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omments8.xml" ContentType="application/vnd.openxmlformats-officedocument.spreadsheetml.comments+xml"/>
  <Override PartName="/xl/drawings/drawing4.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omments9.xml" ContentType="application/vnd.openxmlformats-officedocument.spreadsheetml.comments+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omments10.xml" ContentType="application/vnd.openxmlformats-officedocument.spreadsheetml.comments+xml"/>
  <Override PartName="/xl/drawings/drawing6.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omments11.xml" ContentType="application/vnd.openxmlformats-officedocument.spreadsheetml.comments+xml"/>
  <Override PartName="/xl/drawings/drawing7.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omments12.xml" ContentType="application/vnd.openxmlformats-officedocument.spreadsheetml.comments+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omments13.xml" ContentType="application/vnd.openxmlformats-officedocument.spreadsheetml.comments+xml"/>
  <Override PartName="/xl/drawings/drawing9.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omments14.xml" ContentType="application/vnd.openxmlformats-officedocument.spreadsheetml.comments+xml"/>
  <Override PartName="/xl/drawings/drawing10.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omments15.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omments16.xml" ContentType="application/vnd.openxmlformats-officedocument.spreadsheetml.comments+xml"/>
  <Override PartName="/xl/drawings/drawing13.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omments17.xml" ContentType="application/vnd.openxmlformats-officedocument.spreadsheetml.comments+xml"/>
  <Override PartName="/xl/drawings/drawing14.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omments18.xml" ContentType="application/vnd.openxmlformats-officedocument.spreadsheetml.comments+xml"/>
  <Override PartName="/xl/drawings/drawing15.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omments19.xml" ContentType="application/vnd.openxmlformats-officedocument.spreadsheetml.comments+xml"/>
  <Override PartName="/xl/drawings/drawing16.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omments20.xml" ContentType="application/vnd.openxmlformats-officedocument.spreadsheetml.comments+xml"/>
  <Override PartName="/xl/drawings/drawing17.xml" ContentType="application/vnd.openxmlformats-officedocument.drawing+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comments21.xml" ContentType="application/vnd.openxmlformats-officedocument.spreadsheetml.comments+xml"/>
  <Override PartName="/xl/drawings/drawing18.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omments22.xml" ContentType="application/vnd.openxmlformats-officedocument.spreadsheetml.comments+xml"/>
  <Override PartName="/xl/drawings/drawing19.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omments23.xml" ContentType="application/vnd.openxmlformats-officedocument.spreadsheetml.comments+xml"/>
  <Override PartName="/xl/drawings/drawing20.xml" ContentType="application/vnd.openxmlformats-officedocument.drawing+xml"/>
  <Override PartName="/xl/charts/chart49.xml" ContentType="application/vnd.openxmlformats-officedocument.drawingml.chart+xml"/>
  <Override PartName="/xl/charts/chart50.xml" ContentType="application/vnd.openxmlformats-officedocument.drawingml.chart+xml"/>
  <Override PartName="/xl/charts/chart51.xml" ContentType="application/vnd.openxmlformats-officedocument.drawingml.chart+xml"/>
  <Override PartName="/xl/comments24.xml" ContentType="application/vnd.openxmlformats-officedocument.spreadsheetml.comments+xml"/>
  <Override PartName="/xl/drawings/drawing21.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omments25.xml" ContentType="application/vnd.openxmlformats-officedocument.spreadsheetml.comments+xml"/>
  <Override PartName="/xl/drawings/drawing22.xml" ContentType="application/vnd.openxmlformats-officedocument.drawing+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omments26.xml" ContentType="application/vnd.openxmlformats-officedocument.spreadsheetml.comments+xml"/>
  <Override PartName="/xl/drawings/drawing23.xml" ContentType="application/vnd.openxmlformats-officedocument.drawing+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xl/comments27.xml" ContentType="application/vnd.openxmlformats-officedocument.spreadsheetml.comments+xml"/>
  <Override PartName="/xl/drawings/drawing24.xml" ContentType="application/vnd.openxmlformats-officedocument.drawing+xml"/>
  <Override PartName="/xl/charts/chart61.xml" ContentType="application/vnd.openxmlformats-officedocument.drawingml.chart+xml"/>
  <Override PartName="/xl/charts/chart62.xml" ContentType="application/vnd.openxmlformats-officedocument.drawingml.chart+xml"/>
  <Override PartName="/xl/charts/chart63.xml" ContentType="application/vnd.openxmlformats-officedocument.drawingml.chart+xml"/>
  <Override PartName="/xl/comments28.xml" ContentType="application/vnd.openxmlformats-officedocument.spreadsheetml.comments+xml"/>
  <Override PartName="/xl/drawings/drawing25.xml" ContentType="application/vnd.openxmlformats-officedocument.drawing+xml"/>
  <Override PartName="/xl/charts/chart64.xml" ContentType="application/vnd.openxmlformats-officedocument.drawingml.chart+xml"/>
  <Override PartName="/xl/charts/chart65.xml" ContentType="application/vnd.openxmlformats-officedocument.drawingml.chart+xml"/>
  <Override PartName="/xl/charts/chart66.xml" ContentType="application/vnd.openxmlformats-officedocument.drawingml.chart+xml"/>
  <Override PartName="/xl/comments29.xml" ContentType="application/vnd.openxmlformats-officedocument.spreadsheetml.comments+xml"/>
  <Override PartName="/xl/drawings/drawing26.xml" ContentType="application/vnd.openxmlformats-officedocument.drawing+xml"/>
  <Override PartName="/xl/charts/chart67.xml" ContentType="application/vnd.openxmlformats-officedocument.drawingml.chart+xml"/>
  <Override PartName="/xl/charts/chart68.xml" ContentType="application/vnd.openxmlformats-officedocument.drawingml.chart+xml"/>
  <Override PartName="/xl/charts/chart69.xml" ContentType="application/vnd.openxmlformats-officedocument.drawingml.chart+xml"/>
  <Override PartName="/xl/comments30.xml" ContentType="application/vnd.openxmlformats-officedocument.spreadsheetml.comments+xml"/>
  <Override PartName="/xl/drawings/drawing27.xml" ContentType="application/vnd.openxmlformats-officedocument.drawing+xml"/>
  <Override PartName="/xl/charts/chart70.xml" ContentType="application/vnd.openxmlformats-officedocument.drawingml.chart+xml"/>
  <Override PartName="/xl/charts/chart71.xml" ContentType="application/vnd.openxmlformats-officedocument.drawingml.chart+xml"/>
  <Override PartName="/xl/charts/chart72.xml" ContentType="application/vnd.openxmlformats-officedocument.drawingml.chart+xml"/>
  <Override PartName="/xl/comments31.xml" ContentType="application/vnd.openxmlformats-officedocument.spreadsheetml.comments+xml"/>
  <Override PartName="/xl/drawings/drawing28.xml" ContentType="application/vnd.openxmlformats-officedocument.drawing+xml"/>
  <Override PartName="/xl/charts/chart73.xml" ContentType="application/vnd.openxmlformats-officedocument.drawingml.chart+xml"/>
  <Override PartName="/xl/charts/chart74.xml" ContentType="application/vnd.openxmlformats-officedocument.drawingml.chart+xml"/>
  <Override PartName="/xl/charts/chart75.xml" ContentType="application/vnd.openxmlformats-officedocument.drawingml.chart+xml"/>
  <Override PartName="/xl/comments32.xml" ContentType="application/vnd.openxmlformats-officedocument.spreadsheetml.comments+xml"/>
  <Override PartName="/xl/drawings/drawing29.xml" ContentType="application/vnd.openxmlformats-officedocument.drawing+xml"/>
  <Override PartName="/xl/charts/chart76.xml" ContentType="application/vnd.openxmlformats-officedocument.drawingml.chart+xml"/>
  <Override PartName="/xl/charts/chart77.xml" ContentType="application/vnd.openxmlformats-officedocument.drawingml.chart+xml"/>
  <Override PartName="/xl/charts/chart78.xml" ContentType="application/vnd.openxmlformats-officedocument.drawingml.chart+xml"/>
  <Override PartName="/xl/comments33.xml" ContentType="application/vnd.openxmlformats-officedocument.spreadsheetml.comments+xml"/>
  <Override PartName="/xl/drawings/drawing30.xml" ContentType="application/vnd.openxmlformats-officedocument.drawing+xml"/>
  <Override PartName="/xl/charts/chart79.xml" ContentType="application/vnd.openxmlformats-officedocument.drawingml.chart+xml"/>
  <Override PartName="/xl/charts/chart80.xml" ContentType="application/vnd.openxmlformats-officedocument.drawingml.chart+xml"/>
  <Override PartName="/xl/charts/chart81.xml" ContentType="application/vnd.openxmlformats-officedocument.drawingml.chart+xml"/>
  <Override PartName="/xl/comments34.xml" ContentType="application/vnd.openxmlformats-officedocument.spreadsheetml.comments+xml"/>
  <Override PartName="/xl/drawings/drawing31.xml" ContentType="application/vnd.openxmlformats-officedocument.drawing+xml"/>
  <Override PartName="/xl/charts/chart82.xml" ContentType="application/vnd.openxmlformats-officedocument.drawingml.chart+xml"/>
  <Override PartName="/xl/charts/chart83.xml" ContentType="application/vnd.openxmlformats-officedocument.drawingml.chart+xml"/>
  <Override PartName="/xl/charts/chart84.xml" ContentType="application/vnd.openxmlformats-officedocument.drawingml.chart+xml"/>
  <Override PartName="/xl/comments35.xml" ContentType="application/vnd.openxmlformats-officedocument.spreadsheetml.comments+xml"/>
  <Override PartName="/xl/drawings/drawing32.xml" ContentType="application/vnd.openxmlformats-officedocument.drawing+xml"/>
  <Override PartName="/xl/charts/chart85.xml" ContentType="application/vnd.openxmlformats-officedocument.drawingml.chart+xml"/>
  <Override PartName="/xl/charts/chart86.xml" ContentType="application/vnd.openxmlformats-officedocument.drawingml.chart+xml"/>
  <Override PartName="/xl/charts/chart87.xml" ContentType="application/vnd.openxmlformats-officedocument.drawingml.chart+xml"/>
  <Override PartName="/xl/comments36.xml" ContentType="application/vnd.openxmlformats-officedocument.spreadsheetml.comments+xml"/>
  <Override PartName="/xl/drawings/drawing33.xml" ContentType="application/vnd.openxmlformats-officedocument.drawing+xml"/>
  <Override PartName="/xl/charts/chart88.xml" ContentType="application/vnd.openxmlformats-officedocument.drawingml.chart+xml"/>
  <Override PartName="/xl/charts/chart89.xml" ContentType="application/vnd.openxmlformats-officedocument.drawingml.chart+xml"/>
  <Override PartName="/xl/charts/chart90.xml" ContentType="application/vnd.openxmlformats-officedocument.drawingml.chart+xml"/>
  <Override PartName="/xl/comments37.xml" ContentType="application/vnd.openxmlformats-officedocument.spreadsheetml.comments+xml"/>
  <Override PartName="/xl/drawings/drawing34.xml" ContentType="application/vnd.openxmlformats-officedocument.drawing+xml"/>
  <Override PartName="/xl/charts/chart91.xml" ContentType="application/vnd.openxmlformats-officedocument.drawingml.chart+xml"/>
  <Override PartName="/xl/charts/chart92.xml" ContentType="application/vnd.openxmlformats-officedocument.drawingml.chart+xml"/>
  <Override PartName="/xl/charts/chart93.xml" ContentType="application/vnd.openxmlformats-officedocument.drawingml.chart+xml"/>
  <Override PartName="/xl/comments38.xml" ContentType="application/vnd.openxmlformats-officedocument.spreadsheetml.comments+xml"/>
  <Override PartName="/xl/drawings/drawing35.xml" ContentType="application/vnd.openxmlformats-officedocument.drawing+xml"/>
  <Override PartName="/xl/charts/chart94.xml" ContentType="application/vnd.openxmlformats-officedocument.drawingml.chart+xml"/>
  <Override PartName="/xl/charts/chart95.xml" ContentType="application/vnd.openxmlformats-officedocument.drawingml.chart+xml"/>
  <Override PartName="/xl/charts/chart96.xml" ContentType="application/vnd.openxmlformats-officedocument.drawingml.chart+xml"/>
  <Override PartName="/xl/comments39.xml" ContentType="application/vnd.openxmlformats-officedocument.spreadsheetml.comments+xml"/>
  <Override PartName="/xl/drawings/drawing36.xml" ContentType="application/vnd.openxmlformats-officedocument.drawing+xml"/>
  <Override PartName="/xl/charts/chart97.xml" ContentType="application/vnd.openxmlformats-officedocument.drawingml.chart+xml"/>
  <Override PartName="/xl/charts/chart98.xml" ContentType="application/vnd.openxmlformats-officedocument.drawingml.chart+xml"/>
  <Override PartName="/xl/charts/chart99.xml" ContentType="application/vnd.openxmlformats-officedocument.drawingml.chart+xml"/>
  <Override PartName="/xl/comments40.xml" ContentType="application/vnd.openxmlformats-officedocument.spreadsheetml.comments+xml"/>
  <Override PartName="/xl/drawings/drawing37.xml" ContentType="application/vnd.openxmlformats-officedocument.drawing+xml"/>
  <Override PartName="/xl/charts/chart100.xml" ContentType="application/vnd.openxmlformats-officedocument.drawingml.chart+xml"/>
  <Override PartName="/xl/charts/chart101.xml" ContentType="application/vnd.openxmlformats-officedocument.drawingml.chart+xml"/>
  <Override PartName="/xl/charts/chart102.xml" ContentType="application/vnd.openxmlformats-officedocument.drawingml.chart+xml"/>
  <Override PartName="/xl/comments41.xml" ContentType="application/vnd.openxmlformats-officedocument.spreadsheetml.comments+xml"/>
  <Override PartName="/xl/drawings/drawing38.xml" ContentType="application/vnd.openxmlformats-officedocument.drawing+xml"/>
  <Override PartName="/xl/charts/chart103.xml" ContentType="application/vnd.openxmlformats-officedocument.drawingml.chart+xml"/>
  <Override PartName="/xl/charts/chart104.xml" ContentType="application/vnd.openxmlformats-officedocument.drawingml.chart+xml"/>
  <Override PartName="/xl/charts/chart105.xml" ContentType="application/vnd.openxmlformats-officedocument.drawingml.chart+xml"/>
  <Override PartName="/xl/comments42.xml" ContentType="application/vnd.openxmlformats-officedocument.spreadsheetml.comments+xml"/>
  <Override PartName="/xl/drawings/drawing39.xml" ContentType="application/vnd.openxmlformats-officedocument.drawing+xml"/>
  <Override PartName="/xl/charts/chart106.xml" ContentType="application/vnd.openxmlformats-officedocument.drawingml.chart+xml"/>
  <Override PartName="/xl/charts/chart107.xml" ContentType="application/vnd.openxmlformats-officedocument.drawingml.chart+xml"/>
  <Override PartName="/xl/charts/chart108.xml" ContentType="application/vnd.openxmlformats-officedocument.drawingml.chart+xml"/>
  <Override PartName="/xl/comments43.xml" ContentType="application/vnd.openxmlformats-officedocument.spreadsheetml.comments+xml"/>
  <Override PartName="/xl/drawings/drawing40.xml" ContentType="application/vnd.openxmlformats-officedocument.drawing+xml"/>
  <Override PartName="/xl/charts/chart109.xml" ContentType="application/vnd.openxmlformats-officedocument.drawingml.chart+xml"/>
  <Override PartName="/xl/charts/chart110.xml" ContentType="application/vnd.openxmlformats-officedocument.drawingml.chart+xml"/>
  <Override PartName="/xl/charts/chart111.xml" ContentType="application/vnd.openxmlformats-officedocument.drawingml.chart+xml"/>
  <Override PartName="/xl/comments44.xml" ContentType="application/vnd.openxmlformats-officedocument.spreadsheetml.comments+xml"/>
  <Override PartName="/xl/drawings/drawing41.xml" ContentType="application/vnd.openxmlformats-officedocument.drawing+xml"/>
  <Override PartName="/xl/charts/chart112.xml" ContentType="application/vnd.openxmlformats-officedocument.drawingml.chart+xml"/>
  <Override PartName="/xl/charts/chart113.xml" ContentType="application/vnd.openxmlformats-officedocument.drawingml.chart+xml"/>
  <Override PartName="/xl/charts/chart114.xml" ContentType="application/vnd.openxmlformats-officedocument.drawingml.chart+xml"/>
  <Override PartName="/xl/comments45.xml" ContentType="application/vnd.openxmlformats-officedocument.spreadsheetml.comments+xml"/>
  <Override PartName="/xl/drawings/drawing42.xml" ContentType="application/vnd.openxmlformats-officedocument.drawing+xml"/>
  <Override PartName="/xl/charts/chart115.xml" ContentType="application/vnd.openxmlformats-officedocument.drawingml.chart+xml"/>
  <Override PartName="/xl/charts/chart116.xml" ContentType="application/vnd.openxmlformats-officedocument.drawingml.chart+xml"/>
  <Override PartName="/xl/charts/chart117.xml" ContentType="application/vnd.openxmlformats-officedocument.drawingml.chart+xml"/>
  <Override PartName="/xl/comments46.xml" ContentType="application/vnd.openxmlformats-officedocument.spreadsheetml.comments+xml"/>
  <Override PartName="/xl/drawings/drawing43.xml" ContentType="application/vnd.openxmlformats-officedocument.drawing+xml"/>
  <Override PartName="/xl/charts/chart118.xml" ContentType="application/vnd.openxmlformats-officedocument.drawingml.chart+xml"/>
  <Override PartName="/xl/charts/chart119.xml" ContentType="application/vnd.openxmlformats-officedocument.drawingml.chart+xml"/>
  <Override PartName="/xl/charts/chart120.xml" ContentType="application/vnd.openxmlformats-officedocument.drawingml.chart+xml"/>
  <Override PartName="/xl/comments47.xml" ContentType="application/vnd.openxmlformats-officedocument.spreadsheetml.comments+xml"/>
  <Override PartName="/xl/drawings/drawing44.xml" ContentType="application/vnd.openxmlformats-officedocument.drawing+xml"/>
  <Override PartName="/xl/charts/chart121.xml" ContentType="application/vnd.openxmlformats-officedocument.drawingml.chart+xml"/>
  <Override PartName="/xl/charts/chart122.xml" ContentType="application/vnd.openxmlformats-officedocument.drawingml.chart+xml"/>
  <Override PartName="/xl/charts/chart123.xml" ContentType="application/vnd.openxmlformats-officedocument.drawingml.chart+xml"/>
  <Override PartName="/xl/comments48.xml" ContentType="application/vnd.openxmlformats-officedocument.spreadsheetml.comments+xml"/>
  <Override PartName="/xl/comments49.xml" ContentType="application/vnd.openxmlformats-officedocument.spreadsheetml.comments+xml"/>
  <Override PartName="/xl/comments50.xml" ContentType="application/vnd.openxmlformats-officedocument.spreadsheetml.comments+xml"/>
  <Override PartName="/xl/comments5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codeName="ThisWorkbook"/>
  <mc:AlternateContent xmlns:mc="http://schemas.openxmlformats.org/markup-compatibility/2006">
    <mc:Choice Requires="x15">
      <x15ac:absPath xmlns:x15ac="http://schemas.microsoft.com/office/spreadsheetml/2010/11/ac" url="H:\APP\PA\PAForum\Web Publications\FINANCE\Sources and Uses\2021\"/>
    </mc:Choice>
  </mc:AlternateContent>
  <xr:revisionPtr revIDLastSave="0" documentId="13_ncr:1_{8059130E-AB69-4776-ACE1-94B2DBB34BCB}" xr6:coauthVersionLast="47" xr6:coauthVersionMax="47" xr10:uidLastSave="{00000000-0000-0000-0000-000000000000}"/>
  <bookViews>
    <workbookView xWindow="-120" yWindow="-120" windowWidth="20730" windowHeight="11160" tabRatio="839" xr2:uid="{00000000-000D-0000-FFFF-FFFF00000000}"/>
  </bookViews>
  <sheets>
    <sheet name="Index" sheetId="215" r:id="rId1"/>
    <sheet name="SREB Input" sheetId="219" r:id="rId2"/>
    <sheet name="Acad Space Model" sheetId="192" state="hidden" r:id="rId3"/>
    <sheet name="Acad Cost Study" sheetId="216" r:id="rId4"/>
    <sheet name="CS &amp; SP Smmy" sheetId="191" state="hidden" r:id="rId5"/>
    <sheet name="Acad CTG Costs" sheetId="188" state="hidden" r:id="rId6"/>
    <sheet name="ICUT Survey" sheetId="187" state="hidden" r:id="rId7"/>
    <sheet name="IFRS Smmy (2)" sheetId="231" r:id="rId8"/>
    <sheet name="IFRS Smmy" sheetId="212" state="hidden" r:id="rId9"/>
    <sheet name="Almanac 1" sheetId="210" r:id="rId10"/>
    <sheet name="Almanac 2" sheetId="217" r:id="rId11"/>
    <sheet name="Eval U" sheetId="220" r:id="rId12"/>
    <sheet name="T&amp;F Summary" sheetId="227" r:id="rId13"/>
    <sheet name="Univ_IE_Context" sheetId="229" state="hidden" r:id="rId14"/>
    <sheet name="Univ_IE_Keys" sheetId="230" r:id="rId15"/>
    <sheet name="Univ Context NA" sheetId="214" r:id="rId16"/>
    <sheet name="Univ_IE_Keys NA" sheetId="213" r:id="rId17"/>
    <sheet name="Academic Acct Smmy" sheetId="209" state="hidden" r:id="rId18"/>
    <sheet name="ComRpt" sheetId="233" state="hidden" r:id="rId19"/>
    <sheet name="SP" sheetId="242" r:id="rId20"/>
    <sheet name="Smmy Acad SbS" sheetId="218" r:id="rId21"/>
    <sheet name="Smmy Chrts" sheetId="180" r:id="rId22"/>
    <sheet name="Smmy Sum" sheetId="181" r:id="rId23"/>
    <sheet name="Smmy FGD" sheetId="184" r:id="rId24"/>
    <sheet name="Smmy Fnts" sheetId="182" r:id="rId25"/>
    <sheet name="ARL Chrts" sheetId="1" r:id="rId26"/>
    <sheet name="ARL Sum" sheetId="2" r:id="rId27"/>
    <sheet name="ARL FGD" sheetId="13" r:id="rId28"/>
    <sheet name="ARL Fnts" sheetId="6" r:id="rId29"/>
    <sheet name="AUS1 Chrts" sheetId="14" r:id="rId30"/>
    <sheet name="AUS1 Sum" sheetId="15" r:id="rId31"/>
    <sheet name="AUS1 FGD" sheetId="16" r:id="rId32"/>
    <sheet name="AUS1 Fnts" sheetId="17" r:id="rId33"/>
    <sheet name="DAL Chrts" sheetId="19" r:id="rId34"/>
    <sheet name="DAL Sum" sheetId="20" r:id="rId35"/>
    <sheet name="DAL FGD" sheetId="21" r:id="rId36"/>
    <sheet name="DAL Fnts" sheetId="22" r:id="rId37"/>
    <sheet name="E-P Chrts" sheetId="24" r:id="rId38"/>
    <sheet name="E-P Sum" sheetId="25" r:id="rId39"/>
    <sheet name="E-P FGD" sheetId="26" r:id="rId40"/>
    <sheet name="E-P Fnts" sheetId="27" r:id="rId41"/>
    <sheet name="RGV1 Chrts" sheetId="34" r:id="rId42"/>
    <sheet name="RGV1 Sum" sheetId="35" r:id="rId43"/>
    <sheet name="RGV1 FGD" sheetId="36" r:id="rId44"/>
    <sheet name="RGV1 Fnts" sheetId="37" r:id="rId45"/>
    <sheet name="P-B Chrts" sheetId="40" r:id="rId46"/>
    <sheet name="P-B Sum" sheetId="41" r:id="rId47"/>
    <sheet name="P-B FGD" sheetId="42" r:id="rId48"/>
    <sheet name="P-B Fnts" sheetId="43" r:id="rId49"/>
    <sheet name="S-A Chrts" sheetId="45" r:id="rId50"/>
    <sheet name="S-A Sum" sheetId="46" r:id="rId51"/>
    <sheet name="S-A FGD" sheetId="47" r:id="rId52"/>
    <sheet name="S-A Fnts" sheetId="48" r:id="rId53"/>
    <sheet name="TYL Chrts" sheetId="50" r:id="rId54"/>
    <sheet name="TYL Sum" sheetId="51" r:id="rId55"/>
    <sheet name="TYL FGD" sheetId="52" r:id="rId56"/>
    <sheet name="TYL Fnts" sheetId="53" r:id="rId57"/>
    <sheet name="TAMU Chrts" sheetId="55" r:id="rId58"/>
    <sheet name="TAMU Sum" sheetId="56" r:id="rId59"/>
    <sheet name="TAMU FGD" sheetId="57" r:id="rId60"/>
    <sheet name="TAMU Fnts" sheetId="58" r:id="rId61"/>
    <sheet name="TAMUG Chrts" sheetId="60" r:id="rId62"/>
    <sheet name="TAMUG Sum" sheetId="61" r:id="rId63"/>
    <sheet name="TAMUG FGD" sheetId="62" r:id="rId64"/>
    <sheet name="TAMUG Fnts" sheetId="63" r:id="rId65"/>
    <sheet name="PVAMU Chrts" sheetId="65" r:id="rId66"/>
    <sheet name="PVAMU Sum" sheetId="66" r:id="rId67"/>
    <sheet name="PVAMU FGD" sheetId="67" r:id="rId68"/>
    <sheet name="PVAMU Fnts" sheetId="68" r:id="rId69"/>
    <sheet name="TARLST Chrts" sheetId="70" r:id="rId70"/>
    <sheet name="TARLST Sum" sheetId="71" r:id="rId71"/>
    <sheet name="TARLST FGD" sheetId="72" r:id="rId72"/>
    <sheet name="TARLST Fnts" sheetId="73" r:id="rId73"/>
    <sheet name="TAMUCC Chrts" sheetId="75" r:id="rId74"/>
    <sheet name="TAMUCC Sum" sheetId="76" r:id="rId75"/>
    <sheet name="TAMUCC FGD" sheetId="78" r:id="rId76"/>
    <sheet name="TAMUCC Fnts" sheetId="77" r:id="rId77"/>
    <sheet name="TAMUK Chrts" sheetId="80" r:id="rId78"/>
    <sheet name="TAMUK Sum" sheetId="81" r:id="rId79"/>
    <sheet name="TAMUK FGD" sheetId="82" r:id="rId80"/>
    <sheet name="TAMUK Fnts" sheetId="83" r:id="rId81"/>
    <sheet name="TAMIU Chrts" sheetId="85" r:id="rId82"/>
    <sheet name="TAMIU Sum" sheetId="86" r:id="rId83"/>
    <sheet name="TAMIU FGD" sheetId="87" r:id="rId84"/>
    <sheet name="TAMIU Fnts" sheetId="88" r:id="rId85"/>
    <sheet name="WTAMU Chrts" sheetId="90" r:id="rId86"/>
    <sheet name="WTAMU Sum" sheetId="91" r:id="rId87"/>
    <sheet name="WTAMU FGD" sheetId="92" r:id="rId88"/>
    <sheet name="WTAMU Fnts" sheetId="93" r:id="rId89"/>
    <sheet name="TAMUC Chrts" sheetId="95" r:id="rId90"/>
    <sheet name="TAMUC Sum" sheetId="96" r:id="rId91"/>
    <sheet name="TAMUC FGD" sheetId="97" r:id="rId92"/>
    <sheet name="TAMUC Fnts" sheetId="98" r:id="rId93"/>
    <sheet name="TAMUT Chrts" sheetId="100" r:id="rId94"/>
    <sheet name="TAMUT Sum" sheetId="101" r:id="rId95"/>
    <sheet name="TAMUT FGD" sheetId="102" r:id="rId96"/>
    <sheet name="TAMUT Fnts" sheetId="103" r:id="rId97"/>
    <sheet name="TAMUCT Chrts" sheetId="197" r:id="rId98"/>
    <sheet name="TAMUCT Sum" sheetId="198" r:id="rId99"/>
    <sheet name="TAMUCT FGD" sheetId="199" r:id="rId100"/>
    <sheet name="TAMUCT Fnts" sheetId="200" r:id="rId101"/>
    <sheet name="TAMUSA Chrts" sheetId="201" r:id="rId102"/>
    <sheet name="TAMUSA Sum" sheetId="202" r:id="rId103"/>
    <sheet name="TAMUSA FGD" sheetId="203" r:id="rId104"/>
    <sheet name="TAMUSA Fnts" sheetId="204" r:id="rId105"/>
    <sheet name="UH1 Chrts" sheetId="105" r:id="rId106"/>
    <sheet name="UH1 Sum" sheetId="106" r:id="rId107"/>
    <sheet name="UH1 FGD" sheetId="107" r:id="rId108"/>
    <sheet name="UH1 Fnts" sheetId="108" r:id="rId109"/>
    <sheet name="UHCL Chrts" sheetId="110" r:id="rId110"/>
    <sheet name="UHCL Sum" sheetId="111" r:id="rId111"/>
    <sheet name="UHCL FGD" sheetId="112" r:id="rId112"/>
    <sheet name="UHCL Fnts" sheetId="113" r:id="rId113"/>
    <sheet name="UHD Chrts" sheetId="115" r:id="rId114"/>
    <sheet name="UHD Sum" sheetId="116" r:id="rId115"/>
    <sheet name="UHD FGD" sheetId="117" r:id="rId116"/>
    <sheet name="UHD Fnts" sheetId="118" r:id="rId117"/>
    <sheet name="UHV Chrts" sheetId="120" r:id="rId118"/>
    <sheet name="UHV Sum" sheetId="121" r:id="rId119"/>
    <sheet name="UHV FGD" sheetId="122" r:id="rId120"/>
    <sheet name="UHV Fnts" sheetId="123" r:id="rId121"/>
    <sheet name="LU Chrts" sheetId="125" r:id="rId122"/>
    <sheet name="LU Sum" sheetId="126" r:id="rId123"/>
    <sheet name="LU FGD" sheetId="127" r:id="rId124"/>
    <sheet name="LU Fnts" sheetId="128" r:id="rId125"/>
    <sheet name="shsu1 Chrts" sheetId="130" r:id="rId126"/>
    <sheet name="shsu1 Sum" sheetId="131" r:id="rId127"/>
    <sheet name="shsu1 FGD" sheetId="132" r:id="rId128"/>
    <sheet name="shsu1 Fnts" sheetId="133" r:id="rId129"/>
    <sheet name="TXST Chrts" sheetId="135" r:id="rId130"/>
    <sheet name="TXST Sum" sheetId="136" r:id="rId131"/>
    <sheet name="TXST FGD" sheetId="137" r:id="rId132"/>
    <sheet name="TXST Fnts" sheetId="138" r:id="rId133"/>
    <sheet name="SRSU Chrts" sheetId="140" r:id="rId134"/>
    <sheet name="SRSU Sum" sheetId="141" r:id="rId135"/>
    <sheet name="SRSU FGD" sheetId="142" r:id="rId136"/>
    <sheet name="SRSU Fnts" sheetId="143" r:id="rId137"/>
    <sheet name="TTU Chrts" sheetId="145" r:id="rId138"/>
    <sheet name="TTU Sum" sheetId="146" r:id="rId139"/>
    <sheet name="TTU FGD" sheetId="147" r:id="rId140"/>
    <sheet name="TTU Fnts" sheetId="148" r:id="rId141"/>
    <sheet name="ASU Chrts" sheetId="150" r:id="rId142"/>
    <sheet name="ASU Sum" sheetId="151" r:id="rId143"/>
    <sheet name="ASU FGD" sheetId="152" r:id="rId144"/>
    <sheet name="ASU Fnts" sheetId="153" r:id="rId145"/>
    <sheet name="UNT Chrts" sheetId="155" r:id="rId146"/>
    <sheet name="UNT Sum" sheetId="156" r:id="rId147"/>
    <sheet name="UNT FGD" sheetId="157" r:id="rId148"/>
    <sheet name="UNT Fnts" sheetId="158" r:id="rId149"/>
    <sheet name="UNTD Chrts" sheetId="193" r:id="rId150"/>
    <sheet name="UNTD Sum" sheetId="194" r:id="rId151"/>
    <sheet name="UNTD FGD" sheetId="195" r:id="rId152"/>
    <sheet name="UNTD Fnts" sheetId="196" r:id="rId153"/>
    <sheet name="MidWST Chrts" sheetId="160" r:id="rId154"/>
    <sheet name="MidWST Sum" sheetId="161" r:id="rId155"/>
    <sheet name="MidWST FGD" sheetId="162" r:id="rId156"/>
    <sheet name="MidWST Fnts" sheetId="163" r:id="rId157"/>
    <sheet name="SFA Chrts" sheetId="165" r:id="rId158"/>
    <sheet name="SFA Sum" sheetId="166" r:id="rId159"/>
    <sheet name="SFA FGD" sheetId="167" r:id="rId160"/>
    <sheet name="SFA Fnts" sheetId="168" r:id="rId161"/>
    <sheet name="TSU Chrts" sheetId="170" r:id="rId162"/>
    <sheet name="TSU Sum" sheetId="171" r:id="rId163"/>
    <sheet name="TSU FGD" sheetId="172" r:id="rId164"/>
    <sheet name="TSU Fnts" sheetId="173" r:id="rId165"/>
    <sheet name="TWU Chrts" sheetId="175" r:id="rId166"/>
    <sheet name="TWU Sum" sheetId="176" r:id="rId167"/>
    <sheet name="TWU FGD" sheetId="177" r:id="rId168"/>
    <sheet name="TWU Fnts" sheetId="178" r:id="rId169"/>
    <sheet name="AUS Chrts" sheetId="29" r:id="rId170"/>
    <sheet name="AUS Sum" sheetId="30" r:id="rId171"/>
    <sheet name="AUS FGD" sheetId="31" r:id="rId172"/>
    <sheet name="AUS Fnts" sheetId="32" r:id="rId173"/>
    <sheet name="RGV Chrts" sheetId="222" r:id="rId174"/>
    <sheet name="RGV Sum" sheetId="223" r:id="rId175"/>
    <sheet name="RGV FGD" sheetId="224" r:id="rId176"/>
    <sheet name="RGV Fnts" sheetId="225" r:id="rId177"/>
    <sheet name="UH Chrts" sheetId="234" r:id="rId178"/>
    <sheet name="UH Sum" sheetId="235" r:id="rId179"/>
    <sheet name="UH FGD" sheetId="236" r:id="rId180"/>
    <sheet name="UH Fnts" sheetId="237" r:id="rId181"/>
    <sheet name="Shsu Chrts" sheetId="238" r:id="rId182"/>
    <sheet name="Shsu Sum" sheetId="239" r:id="rId183"/>
    <sheet name="Shsu FGD" sheetId="240" r:id="rId184"/>
    <sheet name="Shsu Fnts" sheetId="241" r:id="rId185"/>
    <sheet name="Names" sheetId="208" r:id="rId186"/>
    <sheet name="Input" sheetId="205" r:id="rId187"/>
    <sheet name="FTSE" sheetId="207" r:id="rId188"/>
    <sheet name="PeerGroups" sheetId="228" r:id="rId189"/>
    <sheet name="SystemGroups" sheetId="232" r:id="rId190"/>
    <sheet name="Balancing" sheetId="221" r:id="rId191"/>
  </sheets>
  <externalReferences>
    <externalReference r:id="rId192"/>
    <externalReference r:id="rId193"/>
    <externalReference r:id="rId194"/>
    <externalReference r:id="rId195"/>
    <externalReference r:id="rId196"/>
    <externalReference r:id="rId197"/>
    <externalReference r:id="rId198"/>
    <externalReference r:id="rId199"/>
    <externalReference r:id="rId200"/>
    <externalReference r:id="rId201"/>
  </externalReferences>
  <definedNames>
    <definedName name="_Key1" localSheetId="5" hidden="1">[1]Datareformat!#REF!</definedName>
    <definedName name="_Key1" localSheetId="20" hidden="1">[1]Datareformat!#REF!</definedName>
    <definedName name="_Order1" hidden="1">255</definedName>
    <definedName name="_Order2" hidden="1">255</definedName>
    <definedName name="_Sort" localSheetId="3" hidden="1">#REF!</definedName>
    <definedName name="_Sort" localSheetId="5" hidden="1">#REF!</definedName>
    <definedName name="_Sort" localSheetId="17" hidden="1">#REF!</definedName>
    <definedName name="_Sort" localSheetId="9" hidden="1">#REF!</definedName>
    <definedName name="_Sort" localSheetId="10" hidden="1">#REF!</definedName>
    <definedName name="_Sort" localSheetId="11" hidden="1">#REF!</definedName>
    <definedName name="_Sort" localSheetId="8" hidden="1">#REF!</definedName>
    <definedName name="_Sort" localSheetId="7" hidden="1">#REF!</definedName>
    <definedName name="_Sort" localSheetId="188" hidden="1">#REF!</definedName>
    <definedName name="_Sort" localSheetId="181" hidden="1">#REF!</definedName>
    <definedName name="_Sort" localSheetId="183" hidden="1">#REF!</definedName>
    <definedName name="_Sort" localSheetId="184" hidden="1">#REF!</definedName>
    <definedName name="_Sort" localSheetId="182" hidden="1">#REF!</definedName>
    <definedName name="_Sort" localSheetId="20" hidden="1">#REF!</definedName>
    <definedName name="_Sort" localSheetId="189" hidden="1">#REF!</definedName>
    <definedName name="_Sort" localSheetId="12" hidden="1">#REF!</definedName>
    <definedName name="_Sort" localSheetId="15" hidden="1">#REF!</definedName>
    <definedName name="_Sort" localSheetId="13" hidden="1">#REF!</definedName>
    <definedName name="_Sort" localSheetId="14" hidden="1">#REF!</definedName>
    <definedName name="_Sort" localSheetId="16" hidden="1">#REF!</definedName>
    <definedName name="_Sort" hidden="1">#REF!</definedName>
    <definedName name="AMTLU" localSheetId="7">Names!$B$11:$L$72</definedName>
    <definedName name="AMTLU" localSheetId="19">[2]Names!$B$11:$L$70</definedName>
    <definedName name="AMTLU" localSheetId="12">[3]Names!$B$11:$I$69</definedName>
    <definedName name="AMTLU" localSheetId="13">[3]Names!$B$11:$I$69</definedName>
    <definedName name="AMTLU" localSheetId="14">[3]Names!$B$11:$I$69</definedName>
    <definedName name="AMTLU">Names!$B$11:$L$72</definedName>
    <definedName name="FTSELU" localSheetId="7">FTSE!$C$8:$S$61</definedName>
    <definedName name="FTSELU" localSheetId="188">[4]FTSE!$C$8:$S$46</definedName>
    <definedName name="FTSELU" localSheetId="19">[2]FTSE!$C$8:$S$61</definedName>
    <definedName name="FTSELU" localSheetId="189">[4]FTSE!$C$8:$S$46</definedName>
    <definedName name="FTSELU" localSheetId="12">FTSE!$C$8:$S$50</definedName>
    <definedName name="FTSELU" localSheetId="13">[5]FTSE!$C$8:$S$47</definedName>
    <definedName name="FTSELU" localSheetId="14">[5]FTSE!$C$8:$S$47</definedName>
    <definedName name="FTSELU">FTSE!$C$8:$S$61</definedName>
    <definedName name="LUTTFTE">[6]FTSE!$C$8:$S$61</definedName>
    <definedName name="NamesLU" localSheetId="188">[7]Names!$B$11:$B$71</definedName>
    <definedName name="NamesLU" localSheetId="189">[7]Names!$B$11:$B$71</definedName>
    <definedName name="NamesLU">Names!$B$11:$B$72</definedName>
    <definedName name="_xlnm.Print_Area" localSheetId="5">'Acad CTG Costs'!$A$1:$I$57</definedName>
    <definedName name="_xlnm.Print_Area" localSheetId="17">'Academic Acct Smmy'!$D$1:$R$62</definedName>
    <definedName name="_xlnm.Print_Area" localSheetId="9">'Almanac 1'!$B$1:$N$63</definedName>
    <definedName name="_xlnm.Print_Area" localSheetId="10">'Almanac 2'!$C$1:$F$53</definedName>
    <definedName name="_xlnm.Print_Area" localSheetId="25">'ARL Chrts'!$A$1:$A$140</definedName>
    <definedName name="_xlnm.Print_Area" localSheetId="27">'ARL FGD'!$B$2:$M$98</definedName>
    <definedName name="_xlnm.Print_Area" localSheetId="28">'ARL Fnts'!$A$1:$B$12</definedName>
    <definedName name="_xlnm.Print_Area" localSheetId="26">'ARL Sum'!$A$1:$C$61</definedName>
    <definedName name="_xlnm.Print_Area" localSheetId="141">'ASU Chrts'!$A$1:$A$140</definedName>
    <definedName name="_xlnm.Print_Area" localSheetId="143">'ASU FGD'!$B$1:$M$97</definedName>
    <definedName name="_xlnm.Print_Area" localSheetId="144">'ASU Fnts'!$A$1:$B$12</definedName>
    <definedName name="_xlnm.Print_Area" localSheetId="142">'ASU Sum'!$A$1:$C$61</definedName>
    <definedName name="_xlnm.Print_Area" localSheetId="169">'AUS Chrts'!$A$1:$A$140</definedName>
    <definedName name="_xlnm.Print_Area" localSheetId="171">'AUS FGD'!$B$2:$M$104</definedName>
    <definedName name="_xlnm.Print_Area" localSheetId="172">'AUS Fnts'!$A$1:$B$12</definedName>
    <definedName name="_xlnm.Print_Area" localSheetId="170">'AUS Sum'!$A$1:$C$68</definedName>
    <definedName name="_xlnm.Print_Area" localSheetId="29">'AUS1 Chrts'!$A$1:$A$140</definedName>
    <definedName name="_xlnm.Print_Area" localSheetId="31">'AUS1 FGD'!$B$2:$M$97</definedName>
    <definedName name="_xlnm.Print_Area" localSheetId="32">'AUS1 Fnts'!$A$1:$B$12</definedName>
    <definedName name="_xlnm.Print_Area" localSheetId="30">'AUS1 Sum'!$A$1:$C$61</definedName>
    <definedName name="_xlnm.Print_Area" localSheetId="33">'DAL Chrts'!$A$1:$A$140</definedName>
    <definedName name="_xlnm.Print_Area" localSheetId="35">'DAL FGD'!$B$2:$M$97</definedName>
    <definedName name="_xlnm.Print_Area" localSheetId="36">'DAL Fnts'!$A$1:$B$12</definedName>
    <definedName name="_xlnm.Print_Area" localSheetId="34">'DAL Sum'!$A$1:$C$61</definedName>
    <definedName name="_xlnm.Print_Area" localSheetId="37">'E-P Chrts'!$A$1:$A$140</definedName>
    <definedName name="_xlnm.Print_Area" localSheetId="39">'E-P FGD'!$B$2:$M$97</definedName>
    <definedName name="_xlnm.Print_Area" localSheetId="40">'E-P Fnts'!$A$1:$B$12</definedName>
    <definedName name="_xlnm.Print_Area" localSheetId="38">'E-P Sum'!$A$1:$C$61</definedName>
    <definedName name="_xlnm.Print_Area" localSheetId="11">'Eval U'!$A$1:$L$51</definedName>
    <definedName name="_xlnm.Print_Area" localSheetId="6">'ICUT Survey'!$A$1:$I$60</definedName>
    <definedName name="_xlnm.Print_Area" localSheetId="8">'IFRS Smmy'!$A$1:$N$50</definedName>
    <definedName name="_xlnm.Print_Area" localSheetId="7">'IFRS Smmy (2)'!$A$1:$AC$50</definedName>
    <definedName name="_xlnm.Print_Area" localSheetId="121">'LU Chrts'!$A$1:$A$140</definedName>
    <definedName name="_xlnm.Print_Area" localSheetId="123">'LU FGD'!$B$2:$M$97</definedName>
    <definedName name="_xlnm.Print_Area" localSheetId="124">'LU Fnts'!$A$1:$B$12</definedName>
    <definedName name="_xlnm.Print_Area" localSheetId="122">'LU Sum'!$A$1:$C$61</definedName>
    <definedName name="_xlnm.Print_Area" localSheetId="153">'MidWST Chrts'!$A$1:$A$140</definedName>
    <definedName name="_xlnm.Print_Area" localSheetId="155">'MidWST FGD'!$A$2:$M$97</definedName>
    <definedName name="_xlnm.Print_Area" localSheetId="156">'MidWST Fnts'!$A$1:$B$12</definedName>
    <definedName name="_xlnm.Print_Area" localSheetId="154">'MidWST Sum'!$A$1:$C$61</definedName>
    <definedName name="_xlnm.Print_Area" localSheetId="185">Names!$A$1:$F$92</definedName>
    <definedName name="_xlnm.Print_Area" localSheetId="45">'P-B Chrts'!$A$1:$A$140</definedName>
    <definedName name="_xlnm.Print_Area" localSheetId="47">'P-B FGD'!$B$2:$M$97</definedName>
    <definedName name="_xlnm.Print_Area" localSheetId="48">'P-B Fnts'!$A$1:$B$12</definedName>
    <definedName name="_xlnm.Print_Area" localSheetId="46">'P-B Sum'!$A$1:$C$61</definedName>
    <definedName name="_xlnm.Print_Area" localSheetId="65">'PVAMU Chrts'!$A$1:$A$140</definedName>
    <definedName name="_xlnm.Print_Area" localSheetId="67">'PVAMU FGD'!$B$1:$M$97</definedName>
    <definedName name="_xlnm.Print_Area" localSheetId="68">'PVAMU Fnts'!$A$1:$B$12</definedName>
    <definedName name="_xlnm.Print_Area" localSheetId="66">'PVAMU Sum'!$A$1:$C$61</definedName>
    <definedName name="_xlnm.Print_Area" localSheetId="173">'RGV Chrts'!$A$1:$A$140</definedName>
    <definedName name="_xlnm.Print_Area" localSheetId="175">'RGV FGD'!$B$2:$M$104</definedName>
    <definedName name="_xlnm.Print_Area" localSheetId="176">'RGV Fnts'!$A$1:$B$12</definedName>
    <definedName name="_xlnm.Print_Area" localSheetId="174">'RGV Sum'!$A$1:$C$68</definedName>
    <definedName name="_xlnm.Print_Area" localSheetId="41">'RGV1 Chrts'!$A$1:$A$141</definedName>
    <definedName name="_xlnm.Print_Area" localSheetId="43">'RGV1 FGD'!$B$2:$M$97</definedName>
    <definedName name="_xlnm.Print_Area" localSheetId="44">'RGV1 Fnts'!$A$1:$B$12</definedName>
    <definedName name="_xlnm.Print_Area" localSheetId="42">'RGV1 Sum'!$A$1:$C$61</definedName>
    <definedName name="_xlnm.Print_Area" localSheetId="49">'S-A Chrts'!$A$1:$A$140</definedName>
    <definedName name="_xlnm.Print_Area" localSheetId="51">'S-A FGD'!$B$2:$M$97</definedName>
    <definedName name="_xlnm.Print_Area" localSheetId="52">'S-A Fnts'!$A$1:$B$12</definedName>
    <definedName name="_xlnm.Print_Area" localSheetId="50">'S-A Sum'!$A$1:$C$61</definedName>
    <definedName name="_xlnm.Print_Area" localSheetId="157">'SFA Chrts'!$A$1:$A$140</definedName>
    <definedName name="_xlnm.Print_Area" localSheetId="159">'SFA FGD'!$B$2:$M$97</definedName>
    <definedName name="_xlnm.Print_Area" localSheetId="160">'SFA Fnts'!$A$1:$B$12</definedName>
    <definedName name="_xlnm.Print_Area" localSheetId="158">'SFA Sum'!$A$1:$C$61</definedName>
    <definedName name="_xlnm.Print_Area" localSheetId="181">'Shsu Chrts'!$A$1:$A$140</definedName>
    <definedName name="_xlnm.Print_Area" localSheetId="183">'Shsu FGD'!$B$2:$M$104</definedName>
    <definedName name="_xlnm.Print_Area" localSheetId="184">'Shsu Fnts'!$A$1:$B$12</definedName>
    <definedName name="_xlnm.Print_Area" localSheetId="182">'Shsu Sum'!$A$1:$C$68</definedName>
    <definedName name="_xlnm.Print_Area" localSheetId="125">'shsu1 Chrts'!$A$1:$A$140</definedName>
    <definedName name="_xlnm.Print_Area" localSheetId="127">'shsu1 FGD'!$A$2:$M$97</definedName>
    <definedName name="_xlnm.Print_Area" localSheetId="128">'shsu1 Fnts'!$A$1:$B$12</definedName>
    <definedName name="_xlnm.Print_Area" localSheetId="126">'shsu1 Sum'!$A$1:$C$61</definedName>
    <definedName name="_xlnm.Print_Area" localSheetId="20">'Smmy Acad SbS'!$A$1:$BW$67</definedName>
    <definedName name="_xlnm.Print_Area" localSheetId="21">'Smmy Chrts'!$A$1:$A$140</definedName>
    <definedName name="_xlnm.Print_Area" localSheetId="23">'Smmy FGD'!$B$2:$M$2545</definedName>
    <definedName name="_xlnm.Print_Area" localSheetId="24">'Smmy Fnts'!$A$1:$B$12</definedName>
    <definedName name="_xlnm.Print_Area" localSheetId="22">'Smmy Sum'!$A$1:$C$99</definedName>
    <definedName name="_xlnm.Print_Area" localSheetId="133">'SRSU Chrts'!$A$1:$A$140</definedName>
    <definedName name="_xlnm.Print_Area" localSheetId="135">'SRSU FGD'!$B$2:$M$97</definedName>
    <definedName name="_xlnm.Print_Area" localSheetId="136">'SRSU Fnts'!$A$1:$B$12</definedName>
    <definedName name="_xlnm.Print_Area" localSheetId="134">'SRSU Sum'!$A$1:$C$61</definedName>
    <definedName name="_xlnm.Print_Area" localSheetId="12">'T&amp;F Summary'!$A$1:$W$64</definedName>
    <definedName name="_xlnm.Print_Area" localSheetId="81">'TAMIU Chrts'!$A$1:$A$140</definedName>
    <definedName name="_xlnm.Print_Area" localSheetId="83">'TAMIU FGD'!$A$1:$M$97</definedName>
    <definedName name="_xlnm.Print_Area" localSheetId="84">'TAMIU Fnts'!$A$1:$B$12</definedName>
    <definedName name="_xlnm.Print_Area" localSheetId="82">'TAMIU Sum'!$A$1:$C$61</definedName>
    <definedName name="_xlnm.Print_Area" localSheetId="57">'TAMU Chrts'!$A$1:$A$140</definedName>
    <definedName name="_xlnm.Print_Area" localSheetId="59">'TAMU FGD'!$B$2:$M$97</definedName>
    <definedName name="_xlnm.Print_Area" localSheetId="60">'TAMU Fnts'!$A$1:$B$12</definedName>
    <definedName name="_xlnm.Print_Area" localSheetId="58">'TAMU Sum'!$A$1:$C$61</definedName>
    <definedName name="_xlnm.Print_Area" localSheetId="89">'TAMUC Chrts'!$A$1:$A$140</definedName>
    <definedName name="_xlnm.Print_Area" localSheetId="91">'TAMUC FGD'!$A$2:$M$97</definedName>
    <definedName name="_xlnm.Print_Area" localSheetId="92">'TAMUC Fnts'!$A$1:$B$12</definedName>
    <definedName name="_xlnm.Print_Area" localSheetId="90">'TAMUC Sum'!$A$1:$C$61</definedName>
    <definedName name="_xlnm.Print_Area" localSheetId="73">'TAMUCC Chrts'!$A$1:$A$140</definedName>
    <definedName name="_xlnm.Print_Area" localSheetId="75">'TAMUCC FGD'!$B$2:$M$97</definedName>
    <definedName name="_xlnm.Print_Area" localSheetId="76">'TAMUCC Fnts'!$A$1:$B$12</definedName>
    <definedName name="_xlnm.Print_Area" localSheetId="74">'TAMUCC Sum'!$A$1:$C$61</definedName>
    <definedName name="_xlnm.Print_Area" localSheetId="97">'TAMUCT Chrts'!$A$1:$A$140</definedName>
    <definedName name="_xlnm.Print_Area" localSheetId="99">'TAMUCT FGD'!$B$1:$M$97</definedName>
    <definedName name="_xlnm.Print_Area" localSheetId="100">'TAMUCT Fnts'!$A$1:$B$12</definedName>
    <definedName name="_xlnm.Print_Area" localSheetId="98">'TAMUCT Sum'!$A$1:$C$61</definedName>
    <definedName name="_xlnm.Print_Area" localSheetId="61">'TAMUG Chrts'!$A$1:$A$140</definedName>
    <definedName name="_xlnm.Print_Area" localSheetId="63">'TAMUG FGD'!$B$1:$M$97</definedName>
    <definedName name="_xlnm.Print_Area" localSheetId="64">'TAMUG Fnts'!$A$1:$B$12</definedName>
    <definedName name="_xlnm.Print_Area" localSheetId="62">'TAMUG Sum'!$A$1:$C$61</definedName>
    <definedName name="_xlnm.Print_Area" localSheetId="77">'TAMUK Chrts'!$A$1:$A$140</definedName>
    <definedName name="_xlnm.Print_Area" localSheetId="79">'TAMUK FGD'!$B$2:$M$97</definedName>
    <definedName name="_xlnm.Print_Area" localSheetId="80">'TAMUK Fnts'!$A$1:$B$12</definedName>
    <definedName name="_xlnm.Print_Area" localSheetId="78">'TAMUK Sum'!$A$1:$C$61</definedName>
    <definedName name="_xlnm.Print_Area" localSheetId="101">'TAMUSA Chrts'!$A$1:$A$140</definedName>
    <definedName name="_xlnm.Print_Area" localSheetId="103">'TAMUSA FGD'!$B$1:$M$97</definedName>
    <definedName name="_xlnm.Print_Area" localSheetId="104">'TAMUSA Fnts'!$A$1:$B$12</definedName>
    <definedName name="_xlnm.Print_Area" localSheetId="102">'TAMUSA Sum'!$A$1:$C$61</definedName>
    <definedName name="_xlnm.Print_Area" localSheetId="93">'TAMUT Chrts'!$A$1:$A$140</definedName>
    <definedName name="_xlnm.Print_Area" localSheetId="95">'TAMUT FGD'!$B$1:$M$97</definedName>
    <definedName name="_xlnm.Print_Area" localSheetId="96">'TAMUT Fnts'!$A$1:$B$12</definedName>
    <definedName name="_xlnm.Print_Area" localSheetId="94">'TAMUT Sum'!$A$1:$C$61</definedName>
    <definedName name="_xlnm.Print_Area" localSheetId="69">'TARLST Chrts'!$A$1:$A$140</definedName>
    <definedName name="_xlnm.Print_Area" localSheetId="71">'TARLST FGD'!$B$1:$M$97</definedName>
    <definedName name="_xlnm.Print_Area" localSheetId="72">'TARLST Fnts'!$A$1:$B$12</definedName>
    <definedName name="_xlnm.Print_Area" localSheetId="70">'TARLST Sum'!$A$1:$C$61</definedName>
    <definedName name="_xlnm.Print_Area" localSheetId="161">'TSU Chrts'!$A$1:$A$140</definedName>
    <definedName name="_xlnm.Print_Area" localSheetId="163">'TSU FGD'!$A$2:$M$97</definedName>
    <definedName name="_xlnm.Print_Area" localSheetId="164">'TSU Fnts'!$A$1:$B$12</definedName>
    <definedName name="_xlnm.Print_Area" localSheetId="162">'TSU Sum'!$A$1:$C$61</definedName>
    <definedName name="_xlnm.Print_Area" localSheetId="137">'TTU Chrts'!$A$1:$A$140</definedName>
    <definedName name="_xlnm.Print_Area" localSheetId="139">'TTU FGD'!$B$1:$M$97</definedName>
    <definedName name="_xlnm.Print_Area" localSheetId="140">'TTU Fnts'!$A$1:$B$12</definedName>
    <definedName name="_xlnm.Print_Area" localSheetId="138">'TTU Sum'!$A$1:$C$61</definedName>
    <definedName name="_xlnm.Print_Area" localSheetId="165">'TWU Chrts'!$A$1:$A$140</definedName>
    <definedName name="_xlnm.Print_Area" localSheetId="167">'TWU FGD'!$B$1:$M$97</definedName>
    <definedName name="_xlnm.Print_Area" localSheetId="168">'TWU Fnts'!$A$1:$B$12</definedName>
    <definedName name="_xlnm.Print_Area" localSheetId="166">'TWU Sum'!$A$1:$C$61</definedName>
    <definedName name="_xlnm.Print_Area" localSheetId="129">'TXST Chrts'!$A$1:$A$140</definedName>
    <definedName name="_xlnm.Print_Area" localSheetId="131">'TXST FGD'!$B$1:$M$97</definedName>
    <definedName name="_xlnm.Print_Area" localSheetId="132">'TXST Fnts'!$A$1:$B$12</definedName>
    <definedName name="_xlnm.Print_Area" localSheetId="130">'TXST Sum'!$A$1:$C$61</definedName>
    <definedName name="_xlnm.Print_Area" localSheetId="53">'TYL Chrts'!$A$1:$A$140</definedName>
    <definedName name="_xlnm.Print_Area" localSheetId="55">'TYL FGD'!$B$2:$M$97</definedName>
    <definedName name="_xlnm.Print_Area" localSheetId="56">'TYL Fnts'!$A$1:$B$12</definedName>
    <definedName name="_xlnm.Print_Area" localSheetId="54">'TYL Sum'!$A$1:$C$61</definedName>
    <definedName name="_xlnm.Print_Area" localSheetId="177">'UH Chrts'!$A$1:$A$140</definedName>
    <definedName name="_xlnm.Print_Area" localSheetId="179">'UH FGD'!$B$2:$M$104</definedName>
    <definedName name="_xlnm.Print_Area" localSheetId="180">'UH Fnts'!$A$1:$B$12</definedName>
    <definedName name="_xlnm.Print_Area" localSheetId="178">'UH Sum'!$A$1:$C$68</definedName>
    <definedName name="_xlnm.Print_Area" localSheetId="105">'UH1 Chrts'!$A$1:$A$141</definedName>
    <definedName name="_xlnm.Print_Area" localSheetId="107">'UH1 FGD'!$B$1:$M$97</definedName>
    <definedName name="_xlnm.Print_Area" localSheetId="108">'UH1 Fnts'!$A$1:$B$12</definedName>
    <definedName name="_xlnm.Print_Area" localSheetId="106">'UH1 Sum'!$A$1:$C$61</definedName>
    <definedName name="_xlnm.Print_Area" localSheetId="109">'UHCL Chrts'!$A$1:$A$140</definedName>
    <definedName name="_xlnm.Print_Area" localSheetId="111">'UHCL FGD'!$B$1:$M$97</definedName>
    <definedName name="_xlnm.Print_Area" localSheetId="112">'UHCL Fnts'!$A$1:$B$12</definedName>
    <definedName name="_xlnm.Print_Area" localSheetId="110">'UHCL Sum'!$A$1:$C$61</definedName>
    <definedName name="_xlnm.Print_Area" localSheetId="113">'UHD Chrts'!$A$1:$A$140</definedName>
    <definedName name="_xlnm.Print_Area" localSheetId="115">'UHD FGD'!$B$2:$M$97</definedName>
    <definedName name="_xlnm.Print_Area" localSheetId="116">'UHD Fnts'!$A$1:$B$12</definedName>
    <definedName name="_xlnm.Print_Area" localSheetId="114">'UHD Sum'!$A$1:$C$61</definedName>
    <definedName name="_xlnm.Print_Area" localSheetId="117">'UHV Chrts'!$A$1:$A$140</definedName>
    <definedName name="_xlnm.Print_Area" localSheetId="119">'UHV FGD'!$B$2:$M$97</definedName>
    <definedName name="_xlnm.Print_Area" localSheetId="120">'UHV Fnts'!$A$1:$B$12</definedName>
    <definedName name="_xlnm.Print_Area" localSheetId="118">'UHV Sum'!$A$1:$C$61</definedName>
    <definedName name="_xlnm.Print_Area" localSheetId="15">'Univ Context NA'!$A$1:$P$73</definedName>
    <definedName name="_xlnm.Print_Area" localSheetId="13">Univ_IE_Context!$A$1:$N$64</definedName>
    <definedName name="_xlnm.Print_Area" localSheetId="14">Univ_IE_Keys!$A$1:$M$51</definedName>
    <definedName name="_xlnm.Print_Area" localSheetId="16">'Univ_IE_Keys NA'!$A$1:$T$61</definedName>
    <definedName name="_xlnm.Print_Area" localSheetId="145">'UNT Chrts'!$A$1:$A$140</definedName>
    <definedName name="_xlnm.Print_Area" localSheetId="147">'UNT FGD'!$B$1:$M$97</definedName>
    <definedName name="_xlnm.Print_Area" localSheetId="148">'UNT Fnts'!$A$1:$B$12</definedName>
    <definedName name="_xlnm.Print_Area" localSheetId="146">'UNT Sum'!$A$1:$C$61</definedName>
    <definedName name="_xlnm.Print_Area" localSheetId="149">'UNTD Chrts'!$A$1:$A$140</definedName>
    <definedName name="_xlnm.Print_Area" localSheetId="151">'UNTD FGD'!$B$1:$M$97</definedName>
    <definedName name="_xlnm.Print_Area" localSheetId="152">'UNTD Fnts'!$A$1:$B$12</definedName>
    <definedName name="_xlnm.Print_Area" localSheetId="150">'UNTD Sum'!$A$1:$C$61</definedName>
    <definedName name="_xlnm.Print_Area" localSheetId="85">'WTAMU Chrts'!$A$1:$A$140</definedName>
    <definedName name="_xlnm.Print_Area" localSheetId="87">'WTAMU FGD'!$B$2:$M$97</definedName>
    <definedName name="_xlnm.Print_Area" localSheetId="88">'WTAMU Fnts'!$A$1:$B$12</definedName>
    <definedName name="_xlnm.Print_Area" localSheetId="86">'WTAMU Sum'!$A$1:$C$61</definedName>
    <definedName name="_xlnm.Print_Area">[8]FY92!$A$1</definedName>
    <definedName name="_xlnm.Print_Titles" localSheetId="20">'Smmy Acad SbS'!$A:$A</definedName>
    <definedName name="Z_14D2702E_F84A_4D2B_A8E0_1BA0EE84A954_.wvu.Cols" localSheetId="26" hidden="1">'ARL Sum'!#REF!,'ARL Sum'!#REF!,'ARL Sum'!#REF!,'ARL Sum'!#REF!,'ARL Sum'!#REF!,'ARL Sum'!#REF!,'ARL Sum'!#REF!,'ARL Sum'!#REF!,'ARL Sum'!#REF!</definedName>
    <definedName name="Z_14D2702E_F84A_4D2B_A8E0_1BA0EE84A954_.wvu.Cols" localSheetId="142" hidden="1">'ASU Sum'!#REF!,'ASU Sum'!#REF!,'ASU Sum'!#REF!,'ASU Sum'!#REF!,'ASU Sum'!#REF!,'ASU Sum'!#REF!,'ASU Sum'!#REF!,'ASU Sum'!#REF!,'ASU Sum'!#REF!</definedName>
    <definedName name="Z_14D2702E_F84A_4D2B_A8E0_1BA0EE84A954_.wvu.Cols" localSheetId="170" hidden="1">'AUS Sum'!#REF!,'AUS Sum'!#REF!,'AUS Sum'!#REF!,'AUS Sum'!#REF!,'AUS Sum'!#REF!,'AUS Sum'!#REF!,'AUS Sum'!#REF!,'AUS Sum'!#REF!,'AUS Sum'!#REF!</definedName>
    <definedName name="Z_14D2702E_F84A_4D2B_A8E0_1BA0EE84A954_.wvu.Cols" localSheetId="30" hidden="1">'AUS1 Sum'!#REF!,'AUS1 Sum'!#REF!,'AUS1 Sum'!#REF!,'AUS1 Sum'!#REF!,'AUS1 Sum'!#REF!,'AUS1 Sum'!#REF!,'AUS1 Sum'!#REF!,'AUS1 Sum'!#REF!,'AUS1 Sum'!#REF!</definedName>
    <definedName name="Z_14D2702E_F84A_4D2B_A8E0_1BA0EE84A954_.wvu.Cols" localSheetId="34" hidden="1">'DAL Sum'!#REF!,'DAL Sum'!#REF!,'DAL Sum'!#REF!,'DAL Sum'!#REF!,'DAL Sum'!#REF!,'DAL Sum'!#REF!,'DAL Sum'!#REF!,'DAL Sum'!#REF!,'DAL Sum'!#REF!</definedName>
    <definedName name="Z_14D2702E_F84A_4D2B_A8E0_1BA0EE84A954_.wvu.Cols" localSheetId="38" hidden="1">'E-P Sum'!#REF!,'E-P Sum'!#REF!,'E-P Sum'!#REF!,'E-P Sum'!#REF!,'E-P Sum'!#REF!,'E-P Sum'!#REF!,'E-P Sum'!#REF!,'E-P Sum'!#REF!,'E-P Sum'!#REF!</definedName>
    <definedName name="Z_14D2702E_F84A_4D2B_A8E0_1BA0EE84A954_.wvu.Cols" localSheetId="122" hidden="1">'LU Sum'!#REF!,'LU Sum'!#REF!,'LU Sum'!#REF!,'LU Sum'!#REF!,'LU Sum'!#REF!,'LU Sum'!#REF!,'LU Sum'!#REF!,'LU Sum'!#REF!,'LU Sum'!#REF!</definedName>
    <definedName name="Z_14D2702E_F84A_4D2B_A8E0_1BA0EE84A954_.wvu.Cols" localSheetId="154" hidden="1">'MidWST Sum'!#REF!,'MidWST Sum'!#REF!,'MidWST Sum'!#REF!,'MidWST Sum'!#REF!,'MidWST Sum'!#REF!,'MidWST Sum'!#REF!,'MidWST Sum'!#REF!,'MidWST Sum'!#REF!,'MidWST Sum'!#REF!</definedName>
    <definedName name="Z_14D2702E_F84A_4D2B_A8E0_1BA0EE84A954_.wvu.Cols" localSheetId="46" hidden="1">'P-B Sum'!#REF!,'P-B Sum'!#REF!,'P-B Sum'!#REF!,'P-B Sum'!#REF!,'P-B Sum'!#REF!,'P-B Sum'!#REF!,'P-B Sum'!#REF!,'P-B Sum'!#REF!,'P-B Sum'!#REF!</definedName>
    <definedName name="Z_14D2702E_F84A_4D2B_A8E0_1BA0EE84A954_.wvu.Cols" localSheetId="66" hidden="1">'PVAMU Sum'!#REF!,'PVAMU Sum'!#REF!,'PVAMU Sum'!#REF!,'PVAMU Sum'!#REF!,'PVAMU Sum'!#REF!,'PVAMU Sum'!#REF!,'PVAMU Sum'!#REF!,'PVAMU Sum'!#REF!,'PVAMU Sum'!#REF!</definedName>
    <definedName name="Z_14D2702E_F84A_4D2B_A8E0_1BA0EE84A954_.wvu.Cols" localSheetId="174" hidden="1">'RGV Sum'!#REF!,'RGV Sum'!#REF!,'RGV Sum'!#REF!,'RGV Sum'!#REF!,'RGV Sum'!#REF!,'RGV Sum'!#REF!,'RGV Sum'!#REF!,'RGV Sum'!#REF!,'RGV Sum'!#REF!</definedName>
    <definedName name="Z_14D2702E_F84A_4D2B_A8E0_1BA0EE84A954_.wvu.Cols" localSheetId="42" hidden="1">'RGV1 Sum'!#REF!,'RGV1 Sum'!#REF!,'RGV1 Sum'!#REF!,'RGV1 Sum'!#REF!,'RGV1 Sum'!#REF!,'RGV1 Sum'!#REF!,'RGV1 Sum'!#REF!,'RGV1 Sum'!#REF!,'RGV1 Sum'!#REF!</definedName>
    <definedName name="Z_14D2702E_F84A_4D2B_A8E0_1BA0EE84A954_.wvu.Cols" localSheetId="50" hidden="1">'S-A Sum'!#REF!,'S-A Sum'!#REF!,'S-A Sum'!#REF!,'S-A Sum'!#REF!,'S-A Sum'!#REF!,'S-A Sum'!#REF!,'S-A Sum'!#REF!,'S-A Sum'!#REF!,'S-A Sum'!#REF!</definedName>
    <definedName name="Z_14D2702E_F84A_4D2B_A8E0_1BA0EE84A954_.wvu.Cols" localSheetId="158" hidden="1">'SFA Sum'!#REF!,'SFA Sum'!#REF!,'SFA Sum'!#REF!,'SFA Sum'!#REF!,'SFA Sum'!#REF!,'SFA Sum'!#REF!,'SFA Sum'!#REF!,'SFA Sum'!#REF!,'SFA Sum'!#REF!</definedName>
    <definedName name="Z_14D2702E_F84A_4D2B_A8E0_1BA0EE84A954_.wvu.Cols" localSheetId="182" hidden="1">'Shsu Sum'!#REF!,'Shsu Sum'!#REF!,'Shsu Sum'!#REF!,'Shsu Sum'!#REF!,'Shsu Sum'!#REF!,'Shsu Sum'!#REF!,'Shsu Sum'!#REF!,'Shsu Sum'!#REF!,'Shsu Sum'!#REF!</definedName>
    <definedName name="Z_14D2702E_F84A_4D2B_A8E0_1BA0EE84A954_.wvu.Cols" localSheetId="126" hidden="1">'shsu1 Sum'!#REF!,'shsu1 Sum'!#REF!,'shsu1 Sum'!#REF!,'shsu1 Sum'!#REF!,'shsu1 Sum'!#REF!,'shsu1 Sum'!#REF!,'shsu1 Sum'!#REF!,'shsu1 Sum'!#REF!,'shsu1 Sum'!#REF!</definedName>
    <definedName name="Z_14D2702E_F84A_4D2B_A8E0_1BA0EE84A954_.wvu.Cols" localSheetId="20" hidden="1">'Smmy Acad SbS'!#REF!,'Smmy Acad SbS'!#REF!,'Smmy Acad SbS'!#REF!,'Smmy Acad SbS'!#REF!,'Smmy Acad SbS'!#REF!,'Smmy Acad SbS'!#REF!,'Smmy Acad SbS'!#REF!,'Smmy Acad SbS'!#REF!,'Smmy Acad SbS'!#REF!</definedName>
    <definedName name="Z_14D2702E_F84A_4D2B_A8E0_1BA0EE84A954_.wvu.Cols" localSheetId="22" hidden="1">'Smmy Sum'!#REF!,'Smmy Sum'!#REF!,'Smmy Sum'!#REF!,'Smmy Sum'!#REF!,'Smmy Sum'!#REF!,'Smmy Sum'!#REF!,'Smmy Sum'!#REF!,'Smmy Sum'!#REF!,'Smmy Sum'!#REF!</definedName>
    <definedName name="Z_14D2702E_F84A_4D2B_A8E0_1BA0EE84A954_.wvu.Cols" localSheetId="134" hidden="1">'SRSU Sum'!#REF!,'SRSU Sum'!#REF!,'SRSU Sum'!#REF!,'SRSU Sum'!#REF!,'SRSU Sum'!#REF!,'SRSU Sum'!#REF!,'SRSU Sum'!#REF!,'SRSU Sum'!#REF!,'SRSU Sum'!#REF!</definedName>
    <definedName name="Z_14D2702E_F84A_4D2B_A8E0_1BA0EE84A954_.wvu.Cols" localSheetId="82" hidden="1">'TAMIU Sum'!#REF!,'TAMIU Sum'!#REF!,'TAMIU Sum'!#REF!,'TAMIU Sum'!#REF!,'TAMIU Sum'!#REF!,'TAMIU Sum'!#REF!,'TAMIU Sum'!#REF!,'TAMIU Sum'!#REF!,'TAMIU Sum'!#REF!</definedName>
    <definedName name="Z_14D2702E_F84A_4D2B_A8E0_1BA0EE84A954_.wvu.Cols" localSheetId="58" hidden="1">'TAMU Sum'!#REF!,'TAMU Sum'!#REF!,'TAMU Sum'!#REF!,'TAMU Sum'!#REF!,'TAMU Sum'!#REF!,'TAMU Sum'!#REF!,'TAMU Sum'!#REF!,'TAMU Sum'!#REF!,'TAMU Sum'!#REF!</definedName>
    <definedName name="Z_14D2702E_F84A_4D2B_A8E0_1BA0EE84A954_.wvu.Cols" localSheetId="90" hidden="1">'TAMUC Sum'!#REF!,'TAMUC Sum'!#REF!,'TAMUC Sum'!#REF!,'TAMUC Sum'!#REF!,'TAMUC Sum'!#REF!,'TAMUC Sum'!#REF!,'TAMUC Sum'!#REF!,'TAMUC Sum'!#REF!,'TAMUC Sum'!#REF!</definedName>
    <definedName name="Z_14D2702E_F84A_4D2B_A8E0_1BA0EE84A954_.wvu.Cols" localSheetId="74" hidden="1">'TAMUCC Sum'!#REF!,'TAMUCC Sum'!#REF!,'TAMUCC Sum'!#REF!,'TAMUCC Sum'!#REF!,'TAMUCC Sum'!#REF!,'TAMUCC Sum'!#REF!,'TAMUCC Sum'!#REF!,'TAMUCC Sum'!#REF!,'TAMUCC Sum'!#REF!</definedName>
    <definedName name="Z_14D2702E_F84A_4D2B_A8E0_1BA0EE84A954_.wvu.Cols" localSheetId="98" hidden="1">'TAMUCT Sum'!#REF!,'TAMUCT Sum'!#REF!,'TAMUCT Sum'!#REF!,'TAMUCT Sum'!#REF!,'TAMUCT Sum'!#REF!,'TAMUCT Sum'!#REF!,'TAMUCT Sum'!#REF!,'TAMUCT Sum'!#REF!,'TAMUCT Sum'!#REF!</definedName>
    <definedName name="Z_14D2702E_F84A_4D2B_A8E0_1BA0EE84A954_.wvu.Cols" localSheetId="62" hidden="1">'TAMUG Sum'!#REF!,'TAMUG Sum'!#REF!,'TAMUG Sum'!#REF!,'TAMUG Sum'!#REF!,'TAMUG Sum'!#REF!,'TAMUG Sum'!#REF!,'TAMUG Sum'!#REF!,'TAMUG Sum'!#REF!,'TAMUG Sum'!#REF!</definedName>
    <definedName name="Z_14D2702E_F84A_4D2B_A8E0_1BA0EE84A954_.wvu.Cols" localSheetId="78" hidden="1">'TAMUK Sum'!#REF!,'TAMUK Sum'!#REF!,'TAMUK Sum'!#REF!,'TAMUK Sum'!#REF!,'TAMUK Sum'!#REF!,'TAMUK Sum'!#REF!,'TAMUK Sum'!#REF!,'TAMUK Sum'!#REF!,'TAMUK Sum'!#REF!</definedName>
    <definedName name="Z_14D2702E_F84A_4D2B_A8E0_1BA0EE84A954_.wvu.Cols" localSheetId="102" hidden="1">'TAMUSA Sum'!#REF!,'TAMUSA Sum'!#REF!,'TAMUSA Sum'!#REF!,'TAMUSA Sum'!#REF!,'TAMUSA Sum'!#REF!,'TAMUSA Sum'!#REF!,'TAMUSA Sum'!#REF!,'TAMUSA Sum'!#REF!,'TAMUSA Sum'!#REF!</definedName>
    <definedName name="Z_14D2702E_F84A_4D2B_A8E0_1BA0EE84A954_.wvu.Cols" localSheetId="94" hidden="1">'TAMUT Sum'!#REF!,'TAMUT Sum'!#REF!,'TAMUT Sum'!#REF!,'TAMUT Sum'!#REF!,'TAMUT Sum'!#REF!,'TAMUT Sum'!#REF!,'TAMUT Sum'!#REF!,'TAMUT Sum'!#REF!,'TAMUT Sum'!#REF!</definedName>
    <definedName name="Z_14D2702E_F84A_4D2B_A8E0_1BA0EE84A954_.wvu.Cols" localSheetId="70" hidden="1">'TARLST Sum'!#REF!,'TARLST Sum'!#REF!,'TARLST Sum'!#REF!,'TARLST Sum'!#REF!,'TARLST Sum'!#REF!,'TARLST Sum'!#REF!,'TARLST Sum'!#REF!,'TARLST Sum'!#REF!,'TARLST Sum'!#REF!</definedName>
    <definedName name="Z_14D2702E_F84A_4D2B_A8E0_1BA0EE84A954_.wvu.Cols" localSheetId="162" hidden="1">'TSU Sum'!#REF!,'TSU Sum'!#REF!,'TSU Sum'!#REF!,'TSU Sum'!#REF!,'TSU Sum'!#REF!,'TSU Sum'!#REF!,'TSU Sum'!#REF!,'TSU Sum'!#REF!,'TSU Sum'!#REF!</definedName>
    <definedName name="Z_14D2702E_F84A_4D2B_A8E0_1BA0EE84A954_.wvu.Cols" localSheetId="138" hidden="1">'TTU Sum'!#REF!,'TTU Sum'!#REF!,'TTU Sum'!#REF!,'TTU Sum'!#REF!,'TTU Sum'!#REF!,'TTU Sum'!#REF!,'TTU Sum'!#REF!,'TTU Sum'!#REF!,'TTU Sum'!#REF!</definedName>
    <definedName name="Z_14D2702E_F84A_4D2B_A8E0_1BA0EE84A954_.wvu.Cols" localSheetId="166" hidden="1">'TWU Sum'!#REF!,'TWU Sum'!#REF!,'TWU Sum'!#REF!,'TWU Sum'!#REF!,'TWU Sum'!#REF!,'TWU Sum'!#REF!,'TWU Sum'!#REF!,'TWU Sum'!#REF!,'TWU Sum'!#REF!</definedName>
    <definedName name="Z_14D2702E_F84A_4D2B_A8E0_1BA0EE84A954_.wvu.Cols" localSheetId="130" hidden="1">'TXST Sum'!#REF!,'TXST Sum'!#REF!,'TXST Sum'!#REF!,'TXST Sum'!#REF!,'TXST Sum'!#REF!,'TXST Sum'!#REF!,'TXST Sum'!#REF!,'TXST Sum'!#REF!,'TXST Sum'!#REF!</definedName>
    <definedName name="Z_14D2702E_F84A_4D2B_A8E0_1BA0EE84A954_.wvu.Cols" localSheetId="54" hidden="1">'TYL Sum'!#REF!,'TYL Sum'!#REF!,'TYL Sum'!#REF!,'TYL Sum'!#REF!,'TYL Sum'!#REF!,'TYL Sum'!#REF!,'TYL Sum'!#REF!,'TYL Sum'!#REF!,'TYL Sum'!#REF!</definedName>
    <definedName name="Z_14D2702E_F84A_4D2B_A8E0_1BA0EE84A954_.wvu.Cols" localSheetId="178" hidden="1">'UH Sum'!#REF!,'UH Sum'!#REF!,'UH Sum'!#REF!,'UH Sum'!#REF!,'UH Sum'!#REF!,'UH Sum'!#REF!,'UH Sum'!#REF!,'UH Sum'!#REF!,'UH Sum'!#REF!</definedName>
    <definedName name="Z_14D2702E_F84A_4D2B_A8E0_1BA0EE84A954_.wvu.Cols" localSheetId="106" hidden="1">'UH1 Sum'!#REF!,'UH1 Sum'!#REF!,'UH1 Sum'!#REF!,'UH1 Sum'!#REF!,'UH1 Sum'!#REF!,'UH1 Sum'!#REF!,'UH1 Sum'!#REF!,'UH1 Sum'!#REF!,'UH1 Sum'!#REF!</definedName>
    <definedName name="Z_14D2702E_F84A_4D2B_A8E0_1BA0EE84A954_.wvu.Cols" localSheetId="110" hidden="1">'UHCL Sum'!#REF!,'UHCL Sum'!#REF!,'UHCL Sum'!#REF!,'UHCL Sum'!#REF!,'UHCL Sum'!#REF!,'UHCL Sum'!#REF!,'UHCL Sum'!#REF!,'UHCL Sum'!#REF!,'UHCL Sum'!#REF!</definedName>
    <definedName name="Z_14D2702E_F84A_4D2B_A8E0_1BA0EE84A954_.wvu.Cols" localSheetId="114" hidden="1">'UHD Sum'!#REF!,'UHD Sum'!#REF!,'UHD Sum'!#REF!,'UHD Sum'!#REF!,'UHD Sum'!#REF!,'UHD Sum'!#REF!,'UHD Sum'!#REF!,'UHD Sum'!#REF!,'UHD Sum'!#REF!</definedName>
    <definedName name="Z_14D2702E_F84A_4D2B_A8E0_1BA0EE84A954_.wvu.Cols" localSheetId="118" hidden="1">'UHV Sum'!#REF!,'UHV Sum'!#REF!,'UHV Sum'!#REF!,'UHV Sum'!#REF!,'UHV Sum'!#REF!,'UHV Sum'!#REF!,'UHV Sum'!#REF!,'UHV Sum'!#REF!,'UHV Sum'!#REF!</definedName>
    <definedName name="Z_14D2702E_F84A_4D2B_A8E0_1BA0EE84A954_.wvu.Cols" localSheetId="146" hidden="1">'UNT Sum'!#REF!,'UNT Sum'!#REF!,'UNT Sum'!#REF!,'UNT Sum'!#REF!,'UNT Sum'!#REF!,'UNT Sum'!#REF!,'UNT Sum'!#REF!,'UNT Sum'!#REF!,'UNT Sum'!#REF!</definedName>
    <definedName name="Z_14D2702E_F84A_4D2B_A8E0_1BA0EE84A954_.wvu.Cols" localSheetId="150" hidden="1">'UNTD Sum'!#REF!,'UNTD Sum'!#REF!,'UNTD Sum'!#REF!,'UNTD Sum'!#REF!,'UNTD Sum'!#REF!,'UNTD Sum'!#REF!,'UNTD Sum'!#REF!,'UNTD Sum'!#REF!,'UNTD Sum'!#REF!</definedName>
    <definedName name="Z_14D2702E_F84A_4D2B_A8E0_1BA0EE84A954_.wvu.Cols" localSheetId="86" hidden="1">'WTAMU Sum'!#REF!,'WTAMU Sum'!#REF!,'WTAMU Sum'!#REF!,'WTAMU Sum'!#REF!,'WTAMU Sum'!#REF!,'WTAMU Sum'!#REF!,'WTAMU Sum'!#REF!,'WTAMU Sum'!#REF!,'WTAMU Sum'!#REF!</definedName>
    <definedName name="Z_1FFC368C_FAAC_4C27_917C_33EB7F20D079_.wvu.PrintTitles" localSheetId="5" hidden="1">[9]Midwestern!$A$1:$B$65536,[9]Midwestern!$A$1:$IV$7</definedName>
    <definedName name="Z_1FFC368C_FAAC_4C27_917C_33EB7F20D079_.wvu.PrintTitles" localSheetId="17" hidden="1">[9]Midwestern!$A$1:$B$65536,[9]Midwestern!$A$1:$IV$7</definedName>
    <definedName name="Z_1FFC368C_FAAC_4C27_917C_33EB7F20D079_.wvu.PrintTitles" localSheetId="9" hidden="1">[9]Midwestern!$A$1:$B$65536,[9]Midwestern!$A$1:$IV$7</definedName>
    <definedName name="Z_1FFC368C_FAAC_4C27_917C_33EB7F20D079_.wvu.PrintTitles" localSheetId="10" hidden="1">[9]Midwestern!$A$1:$B$65536,[9]Midwestern!$A$1:$IV$7</definedName>
    <definedName name="Z_1FFC368C_FAAC_4C27_917C_33EB7F20D079_.wvu.PrintTitles" localSheetId="11" hidden="1">[9]Midwestern!$A$1:$B$65536,[9]Midwestern!$A$1:$IV$7</definedName>
    <definedName name="Z_1FFC368C_FAAC_4C27_917C_33EB7F20D079_.wvu.PrintTitles" localSheetId="8" hidden="1">[9]Midwestern!$A$1:$B$65536,[9]Midwestern!$A$1:$IV$7</definedName>
    <definedName name="Z_1FFC368C_FAAC_4C27_917C_33EB7F20D079_.wvu.PrintTitles" localSheetId="7" hidden="1">[9]Midwestern!$A$1:$B$65536,[9]Midwestern!$A$1:$IV$7</definedName>
    <definedName name="Z_1FFC368C_FAAC_4C27_917C_33EB7F20D079_.wvu.PrintTitles" localSheetId="188" hidden="1">[10]Midwestern!$A$1:$B$65536,[10]Midwestern!$A$1:$IV$7</definedName>
    <definedName name="Z_1FFC368C_FAAC_4C27_917C_33EB7F20D079_.wvu.PrintTitles" localSheetId="189" hidden="1">[10]Midwestern!$A$1:$B$65536,[10]Midwestern!$A$1:$IV$7</definedName>
    <definedName name="Z_1FFC368C_FAAC_4C27_917C_33EB7F20D079_.wvu.PrintTitles" localSheetId="12" hidden="1">[9]Midwestern!$A$1:$B$65536,[9]Midwestern!$A$1:$IV$7</definedName>
    <definedName name="Z_1FFC368C_FAAC_4C27_917C_33EB7F20D079_.wvu.PrintTitles" localSheetId="15" hidden="1">[9]Midwestern!$A$1:$B$65536,[9]Midwestern!$A$1:$IV$7</definedName>
    <definedName name="Z_1FFC368C_FAAC_4C27_917C_33EB7F20D079_.wvu.PrintTitles" localSheetId="13" hidden="1">[9]Midwestern!$A$1:$B$65536,[9]Midwestern!$A$1:$IV$7</definedName>
    <definedName name="Z_1FFC368C_FAAC_4C27_917C_33EB7F20D079_.wvu.PrintTitles" localSheetId="14" hidden="1">[9]Midwestern!$A$1:$B$65536,[9]Midwestern!$A$1:$IV$7</definedName>
    <definedName name="Z_1FFC368C_FAAC_4C27_917C_33EB7F20D079_.wvu.PrintTitles" localSheetId="16" hidden="1">[9]Midwestern!$A$1:$B$65536,[9]Midwestern!$A$1:$IV$7</definedName>
    <definedName name="Z_1FFC368C_FAAC_4C27_917C_33EB7F20D079_.wvu.PrintTitles" hidden="1">[10]Midwestern!$A$1:$B$65536,[10]Midwestern!$A$1:$IV$7</definedName>
    <definedName name="Z_390E69FE_30BF_46A8_BB03_D0C9901EA0FB_.wvu.PrintTitles" localSheetId="5" hidden="1">[9]Midwestern!$A$1:$B$65536,[9]Midwestern!$A$1:$IV$7</definedName>
    <definedName name="Z_390E69FE_30BF_46A8_BB03_D0C9901EA0FB_.wvu.PrintTitles" localSheetId="17" hidden="1">[9]Midwestern!$A$1:$B$65536,[9]Midwestern!$A$1:$IV$7</definedName>
    <definedName name="Z_390E69FE_30BF_46A8_BB03_D0C9901EA0FB_.wvu.PrintTitles" localSheetId="9" hidden="1">[9]Midwestern!$A$1:$B$65536,[9]Midwestern!$A$1:$IV$7</definedName>
    <definedName name="Z_390E69FE_30BF_46A8_BB03_D0C9901EA0FB_.wvu.PrintTitles" localSheetId="10" hidden="1">[9]Midwestern!$A$1:$B$65536,[9]Midwestern!$A$1:$IV$7</definedName>
    <definedName name="Z_390E69FE_30BF_46A8_BB03_D0C9901EA0FB_.wvu.PrintTitles" localSheetId="11" hidden="1">[9]Midwestern!$A$1:$B$65536,[9]Midwestern!$A$1:$IV$7</definedName>
    <definedName name="Z_390E69FE_30BF_46A8_BB03_D0C9901EA0FB_.wvu.PrintTitles" localSheetId="8" hidden="1">[9]Midwestern!$A$1:$B$65536,[9]Midwestern!$A$1:$IV$7</definedName>
    <definedName name="Z_390E69FE_30BF_46A8_BB03_D0C9901EA0FB_.wvu.PrintTitles" localSheetId="7" hidden="1">[9]Midwestern!$A$1:$B$65536,[9]Midwestern!$A$1:$IV$7</definedName>
    <definedName name="Z_390E69FE_30BF_46A8_BB03_D0C9901EA0FB_.wvu.PrintTitles" localSheetId="188" hidden="1">[10]Midwestern!$A$1:$B$65536,[10]Midwestern!$A$1:$IV$7</definedName>
    <definedName name="Z_390E69FE_30BF_46A8_BB03_D0C9901EA0FB_.wvu.PrintTitles" localSheetId="189" hidden="1">[10]Midwestern!$A$1:$B$65536,[10]Midwestern!$A$1:$IV$7</definedName>
    <definedName name="Z_390E69FE_30BF_46A8_BB03_D0C9901EA0FB_.wvu.PrintTitles" localSheetId="12" hidden="1">[9]Midwestern!$A$1:$B$65536,[9]Midwestern!$A$1:$IV$7</definedName>
    <definedName name="Z_390E69FE_30BF_46A8_BB03_D0C9901EA0FB_.wvu.PrintTitles" localSheetId="15" hidden="1">[9]Midwestern!$A$1:$B$65536,[9]Midwestern!$A$1:$IV$7</definedName>
    <definedName name="Z_390E69FE_30BF_46A8_BB03_D0C9901EA0FB_.wvu.PrintTitles" localSheetId="13" hidden="1">[9]Midwestern!$A$1:$B$65536,[9]Midwestern!$A$1:$IV$7</definedName>
    <definedName name="Z_390E69FE_30BF_46A8_BB03_D0C9901EA0FB_.wvu.PrintTitles" localSheetId="14" hidden="1">[9]Midwestern!$A$1:$B$65536,[9]Midwestern!$A$1:$IV$7</definedName>
    <definedName name="Z_390E69FE_30BF_46A8_BB03_D0C9901EA0FB_.wvu.PrintTitles" localSheetId="16" hidden="1">[9]Midwestern!$A$1:$B$65536,[9]Midwestern!$A$1:$IV$7</definedName>
    <definedName name="Z_390E69FE_30BF_46A8_BB03_D0C9901EA0FB_.wvu.PrintTitles" hidden="1">[10]Midwestern!$A$1:$B$65536,[10]Midwestern!$A$1:$IV$7</definedName>
    <definedName name="Z_4AC09102_7151_4BC1_97EC_C57915589D6D_.wvu.PrintTitles" localSheetId="5" hidden="1">[9]Midwestern!$A$1:$B$65536,[9]Midwestern!$A$1:$IV$7</definedName>
    <definedName name="Z_4AC09102_7151_4BC1_97EC_C57915589D6D_.wvu.PrintTitles" localSheetId="17" hidden="1">[9]Midwestern!$A$1:$B$65536,[9]Midwestern!$A$1:$IV$7</definedName>
    <definedName name="Z_4AC09102_7151_4BC1_97EC_C57915589D6D_.wvu.PrintTitles" localSheetId="9" hidden="1">[9]Midwestern!$A$1:$B$65536,[9]Midwestern!$A$1:$IV$7</definedName>
    <definedName name="Z_4AC09102_7151_4BC1_97EC_C57915589D6D_.wvu.PrintTitles" localSheetId="10" hidden="1">[9]Midwestern!$A$1:$B$65536,[9]Midwestern!$A$1:$IV$7</definedName>
    <definedName name="Z_4AC09102_7151_4BC1_97EC_C57915589D6D_.wvu.PrintTitles" localSheetId="11" hidden="1">[9]Midwestern!$A$1:$B$65536,[9]Midwestern!$A$1:$IV$7</definedName>
    <definedName name="Z_4AC09102_7151_4BC1_97EC_C57915589D6D_.wvu.PrintTitles" localSheetId="8" hidden="1">[9]Midwestern!$A$1:$B$65536,[9]Midwestern!$A$1:$IV$7</definedName>
    <definedName name="Z_4AC09102_7151_4BC1_97EC_C57915589D6D_.wvu.PrintTitles" localSheetId="7" hidden="1">[9]Midwestern!$A$1:$B$65536,[9]Midwestern!$A$1:$IV$7</definedName>
    <definedName name="Z_4AC09102_7151_4BC1_97EC_C57915589D6D_.wvu.PrintTitles" localSheetId="188" hidden="1">[10]Midwestern!$A$1:$B$65536,[10]Midwestern!$A$1:$IV$7</definedName>
    <definedName name="Z_4AC09102_7151_4BC1_97EC_C57915589D6D_.wvu.PrintTitles" localSheetId="189" hidden="1">[10]Midwestern!$A$1:$B$65536,[10]Midwestern!$A$1:$IV$7</definedName>
    <definedName name="Z_4AC09102_7151_4BC1_97EC_C57915589D6D_.wvu.PrintTitles" localSheetId="12" hidden="1">[9]Midwestern!$A$1:$B$65536,[9]Midwestern!$A$1:$IV$7</definedName>
    <definedName name="Z_4AC09102_7151_4BC1_97EC_C57915589D6D_.wvu.PrintTitles" localSheetId="15" hidden="1">[9]Midwestern!$A$1:$B$65536,[9]Midwestern!$A$1:$IV$7</definedName>
    <definedName name="Z_4AC09102_7151_4BC1_97EC_C57915589D6D_.wvu.PrintTitles" localSheetId="13" hidden="1">[9]Midwestern!$A$1:$B$65536,[9]Midwestern!$A$1:$IV$7</definedName>
    <definedName name="Z_4AC09102_7151_4BC1_97EC_C57915589D6D_.wvu.PrintTitles" localSheetId="14" hidden="1">[9]Midwestern!$A$1:$B$65536,[9]Midwestern!$A$1:$IV$7</definedName>
    <definedName name="Z_4AC09102_7151_4BC1_97EC_C57915589D6D_.wvu.PrintTitles" localSheetId="16" hidden="1">[9]Midwestern!$A$1:$B$65536,[9]Midwestern!$A$1:$IV$7</definedName>
    <definedName name="Z_4AC09102_7151_4BC1_97EC_C57915589D6D_.wvu.PrintTitles" hidden="1">[10]Midwestern!$A$1:$B$65536,[10]Midwestern!$A$1:$IV$7</definedName>
    <definedName name="Z_59C042EE_7BE0_46D7_83D3_48C0860AA9B7_.wvu.PrintTitles" localSheetId="5" hidden="1">[9]Midwestern!$A$1:$B$65536,[9]Midwestern!$A$1:$IV$7</definedName>
    <definedName name="Z_59C042EE_7BE0_46D7_83D3_48C0860AA9B7_.wvu.PrintTitles" localSheetId="17" hidden="1">[9]Midwestern!$A$1:$B$65536,[9]Midwestern!$A$1:$IV$7</definedName>
    <definedName name="Z_59C042EE_7BE0_46D7_83D3_48C0860AA9B7_.wvu.PrintTitles" localSheetId="9" hidden="1">[9]Midwestern!$A$1:$B$65536,[9]Midwestern!$A$1:$IV$7</definedName>
    <definedName name="Z_59C042EE_7BE0_46D7_83D3_48C0860AA9B7_.wvu.PrintTitles" localSheetId="10" hidden="1">[9]Midwestern!$A$1:$B$65536,[9]Midwestern!$A$1:$IV$7</definedName>
    <definedName name="Z_59C042EE_7BE0_46D7_83D3_48C0860AA9B7_.wvu.PrintTitles" localSheetId="11" hidden="1">[9]Midwestern!$A$1:$B$65536,[9]Midwestern!$A$1:$IV$7</definedName>
    <definedName name="Z_59C042EE_7BE0_46D7_83D3_48C0860AA9B7_.wvu.PrintTitles" localSheetId="8" hidden="1">[9]Midwestern!$A$1:$B$65536,[9]Midwestern!$A$1:$IV$7</definedName>
    <definedName name="Z_59C042EE_7BE0_46D7_83D3_48C0860AA9B7_.wvu.PrintTitles" localSheetId="7" hidden="1">[9]Midwestern!$A$1:$B$65536,[9]Midwestern!$A$1:$IV$7</definedName>
    <definedName name="Z_59C042EE_7BE0_46D7_83D3_48C0860AA9B7_.wvu.PrintTitles" localSheetId="188" hidden="1">[10]Midwestern!$A$1:$B$65536,[10]Midwestern!$A$1:$IV$7</definedName>
    <definedName name="Z_59C042EE_7BE0_46D7_83D3_48C0860AA9B7_.wvu.PrintTitles" localSheetId="189" hidden="1">[10]Midwestern!$A$1:$B$65536,[10]Midwestern!$A$1:$IV$7</definedName>
    <definedName name="Z_59C042EE_7BE0_46D7_83D3_48C0860AA9B7_.wvu.PrintTitles" localSheetId="12" hidden="1">[9]Midwestern!$A$1:$B$65536,[9]Midwestern!$A$1:$IV$7</definedName>
    <definedName name="Z_59C042EE_7BE0_46D7_83D3_48C0860AA9B7_.wvu.PrintTitles" localSheetId="15" hidden="1">[9]Midwestern!$A$1:$B$65536,[9]Midwestern!$A$1:$IV$7</definedName>
    <definedName name="Z_59C042EE_7BE0_46D7_83D3_48C0860AA9B7_.wvu.PrintTitles" localSheetId="13" hidden="1">[9]Midwestern!$A$1:$B$65536,[9]Midwestern!$A$1:$IV$7</definedName>
    <definedName name="Z_59C042EE_7BE0_46D7_83D3_48C0860AA9B7_.wvu.PrintTitles" localSheetId="14" hidden="1">[9]Midwestern!$A$1:$B$65536,[9]Midwestern!$A$1:$IV$7</definedName>
    <definedName name="Z_59C042EE_7BE0_46D7_83D3_48C0860AA9B7_.wvu.PrintTitles" localSheetId="16" hidden="1">[9]Midwestern!$A$1:$B$65536,[9]Midwestern!$A$1:$IV$7</definedName>
    <definedName name="Z_59C042EE_7BE0_46D7_83D3_48C0860AA9B7_.wvu.PrintTitles" hidden="1">[10]Midwestern!$A$1:$B$65536,[10]Midwestern!$A$1:$IV$7</definedName>
    <definedName name="Z_5DB122DC_76B1_4E56_B2C5_DC5B34D3FE31_.wvu.PrintTitles" localSheetId="5" hidden="1">[9]Midwestern!$A$1:$B$65536,[9]Midwestern!$A$1:$IV$7</definedName>
    <definedName name="Z_5DB122DC_76B1_4E56_B2C5_DC5B34D3FE31_.wvu.PrintTitles" localSheetId="17" hidden="1">[9]Midwestern!$A$1:$B$65536,[9]Midwestern!$A$1:$IV$7</definedName>
    <definedName name="Z_5DB122DC_76B1_4E56_B2C5_DC5B34D3FE31_.wvu.PrintTitles" localSheetId="9" hidden="1">[9]Midwestern!$A$1:$B$65536,[9]Midwestern!$A$1:$IV$7</definedName>
    <definedName name="Z_5DB122DC_76B1_4E56_B2C5_DC5B34D3FE31_.wvu.PrintTitles" localSheetId="10" hidden="1">[9]Midwestern!$A$1:$B$65536,[9]Midwestern!$A$1:$IV$7</definedName>
    <definedName name="Z_5DB122DC_76B1_4E56_B2C5_DC5B34D3FE31_.wvu.PrintTitles" localSheetId="11" hidden="1">[9]Midwestern!$A$1:$B$65536,[9]Midwestern!$A$1:$IV$7</definedName>
    <definedName name="Z_5DB122DC_76B1_4E56_B2C5_DC5B34D3FE31_.wvu.PrintTitles" localSheetId="8" hidden="1">[9]Midwestern!$A$1:$B$65536,[9]Midwestern!$A$1:$IV$7</definedName>
    <definedName name="Z_5DB122DC_76B1_4E56_B2C5_DC5B34D3FE31_.wvu.PrintTitles" localSheetId="7" hidden="1">[9]Midwestern!$A$1:$B$65536,[9]Midwestern!$A$1:$IV$7</definedName>
    <definedName name="Z_5DB122DC_76B1_4E56_B2C5_DC5B34D3FE31_.wvu.PrintTitles" localSheetId="188" hidden="1">[10]Midwestern!$A$1:$B$65536,[10]Midwestern!$A$1:$IV$7</definedName>
    <definedName name="Z_5DB122DC_76B1_4E56_B2C5_DC5B34D3FE31_.wvu.PrintTitles" localSheetId="189" hidden="1">[10]Midwestern!$A$1:$B$65536,[10]Midwestern!$A$1:$IV$7</definedName>
    <definedName name="Z_5DB122DC_76B1_4E56_B2C5_DC5B34D3FE31_.wvu.PrintTitles" localSheetId="12" hidden="1">[9]Midwestern!$A$1:$B$65536,[9]Midwestern!$A$1:$IV$7</definedName>
    <definedName name="Z_5DB122DC_76B1_4E56_B2C5_DC5B34D3FE31_.wvu.PrintTitles" localSheetId="15" hidden="1">[9]Midwestern!$A$1:$B$65536,[9]Midwestern!$A$1:$IV$7</definedName>
    <definedName name="Z_5DB122DC_76B1_4E56_B2C5_DC5B34D3FE31_.wvu.PrintTitles" localSheetId="13" hidden="1">[9]Midwestern!$A$1:$B$65536,[9]Midwestern!$A$1:$IV$7</definedName>
    <definedName name="Z_5DB122DC_76B1_4E56_B2C5_DC5B34D3FE31_.wvu.PrintTitles" localSheetId="14" hidden="1">[9]Midwestern!$A$1:$B$65536,[9]Midwestern!$A$1:$IV$7</definedName>
    <definedName name="Z_5DB122DC_76B1_4E56_B2C5_DC5B34D3FE31_.wvu.PrintTitles" localSheetId="16" hidden="1">[9]Midwestern!$A$1:$B$65536,[9]Midwestern!$A$1:$IV$7</definedName>
    <definedName name="Z_5DB122DC_76B1_4E56_B2C5_DC5B34D3FE31_.wvu.PrintTitles" hidden="1">[10]Midwestern!$A$1:$B$65536,[10]Midwestern!$A$1:$IV$7</definedName>
    <definedName name="Z_7E968537_F35A_46C0_AAAE_B8F2523DE409_.wvu.PrintTitles" localSheetId="5" hidden="1">[9]Midwestern!$A$1:$B$65536,[9]Midwestern!$A$1:$IV$7</definedName>
    <definedName name="Z_7E968537_F35A_46C0_AAAE_B8F2523DE409_.wvu.PrintTitles" localSheetId="17" hidden="1">[9]Midwestern!$A$1:$B$65536,[9]Midwestern!$A$1:$IV$7</definedName>
    <definedName name="Z_7E968537_F35A_46C0_AAAE_B8F2523DE409_.wvu.PrintTitles" localSheetId="9" hidden="1">[9]Midwestern!$A$1:$B$65536,[9]Midwestern!$A$1:$IV$7</definedName>
    <definedName name="Z_7E968537_F35A_46C0_AAAE_B8F2523DE409_.wvu.PrintTitles" localSheetId="10" hidden="1">[9]Midwestern!$A$1:$B$65536,[9]Midwestern!$A$1:$IV$7</definedName>
    <definedName name="Z_7E968537_F35A_46C0_AAAE_B8F2523DE409_.wvu.PrintTitles" localSheetId="11" hidden="1">[9]Midwestern!$A$1:$B$65536,[9]Midwestern!$A$1:$IV$7</definedName>
    <definedName name="Z_7E968537_F35A_46C0_AAAE_B8F2523DE409_.wvu.PrintTitles" localSheetId="8" hidden="1">[9]Midwestern!$A$1:$B$65536,[9]Midwestern!$A$1:$IV$7</definedName>
    <definedName name="Z_7E968537_F35A_46C0_AAAE_B8F2523DE409_.wvu.PrintTitles" localSheetId="7" hidden="1">[9]Midwestern!$A$1:$B$65536,[9]Midwestern!$A$1:$IV$7</definedName>
    <definedName name="Z_7E968537_F35A_46C0_AAAE_B8F2523DE409_.wvu.PrintTitles" localSheetId="188" hidden="1">[10]Midwestern!$A$1:$B$65536,[10]Midwestern!$A$1:$IV$7</definedName>
    <definedName name="Z_7E968537_F35A_46C0_AAAE_B8F2523DE409_.wvu.PrintTitles" localSheetId="189" hidden="1">[10]Midwestern!$A$1:$B$65536,[10]Midwestern!$A$1:$IV$7</definedName>
    <definedName name="Z_7E968537_F35A_46C0_AAAE_B8F2523DE409_.wvu.PrintTitles" localSheetId="12" hidden="1">[9]Midwestern!$A$1:$B$65536,[9]Midwestern!$A$1:$IV$7</definedName>
    <definedName name="Z_7E968537_F35A_46C0_AAAE_B8F2523DE409_.wvu.PrintTitles" localSheetId="15" hidden="1">[9]Midwestern!$A$1:$B$65536,[9]Midwestern!$A$1:$IV$7</definedName>
    <definedName name="Z_7E968537_F35A_46C0_AAAE_B8F2523DE409_.wvu.PrintTitles" localSheetId="13" hidden="1">[9]Midwestern!$A$1:$B$65536,[9]Midwestern!$A$1:$IV$7</definedName>
    <definedName name="Z_7E968537_F35A_46C0_AAAE_B8F2523DE409_.wvu.PrintTitles" localSheetId="14" hidden="1">[9]Midwestern!$A$1:$B$65536,[9]Midwestern!$A$1:$IV$7</definedName>
    <definedName name="Z_7E968537_F35A_46C0_AAAE_B8F2523DE409_.wvu.PrintTitles" localSheetId="16" hidden="1">[9]Midwestern!$A$1:$B$65536,[9]Midwestern!$A$1:$IV$7</definedName>
    <definedName name="Z_7E968537_F35A_46C0_AAAE_B8F2523DE409_.wvu.PrintTitles" hidden="1">[10]Midwestern!$A$1:$B$65536,[10]Midwestern!$A$1:$IV$7</definedName>
    <definedName name="Z_999D944D_85B2_4CAE_97DA_DC2EB4BF0AB0_.wvu.PrintTitles" localSheetId="5" hidden="1">[9]Midwestern!$A$1:$B$65536,[9]Midwestern!$A$1:$IV$7</definedName>
    <definedName name="Z_999D944D_85B2_4CAE_97DA_DC2EB4BF0AB0_.wvu.PrintTitles" localSheetId="17" hidden="1">[9]Midwestern!$A$1:$B$65536,[9]Midwestern!$A$1:$IV$7</definedName>
    <definedName name="Z_999D944D_85B2_4CAE_97DA_DC2EB4BF0AB0_.wvu.PrintTitles" localSheetId="9" hidden="1">[9]Midwestern!$A$1:$B$65536,[9]Midwestern!$A$1:$IV$7</definedName>
    <definedName name="Z_999D944D_85B2_4CAE_97DA_DC2EB4BF0AB0_.wvu.PrintTitles" localSheetId="10" hidden="1">[9]Midwestern!$A$1:$B$65536,[9]Midwestern!$A$1:$IV$7</definedName>
    <definedName name="Z_999D944D_85B2_4CAE_97DA_DC2EB4BF0AB0_.wvu.PrintTitles" localSheetId="11" hidden="1">[9]Midwestern!$A$1:$B$65536,[9]Midwestern!$A$1:$IV$7</definedName>
    <definedName name="Z_999D944D_85B2_4CAE_97DA_DC2EB4BF0AB0_.wvu.PrintTitles" localSheetId="8" hidden="1">[9]Midwestern!$A$1:$B$65536,[9]Midwestern!$A$1:$IV$7</definedName>
    <definedName name="Z_999D944D_85B2_4CAE_97DA_DC2EB4BF0AB0_.wvu.PrintTitles" localSheetId="7" hidden="1">[9]Midwestern!$A$1:$B$65536,[9]Midwestern!$A$1:$IV$7</definedName>
    <definedName name="Z_999D944D_85B2_4CAE_97DA_DC2EB4BF0AB0_.wvu.PrintTitles" localSheetId="188" hidden="1">[10]Midwestern!$A$1:$B$65536,[10]Midwestern!$A$1:$IV$7</definedName>
    <definedName name="Z_999D944D_85B2_4CAE_97DA_DC2EB4BF0AB0_.wvu.PrintTitles" localSheetId="189" hidden="1">[10]Midwestern!$A$1:$B$65536,[10]Midwestern!$A$1:$IV$7</definedName>
    <definedName name="Z_999D944D_85B2_4CAE_97DA_DC2EB4BF0AB0_.wvu.PrintTitles" localSheetId="12" hidden="1">[9]Midwestern!$A$1:$B$65536,[9]Midwestern!$A$1:$IV$7</definedName>
    <definedName name="Z_999D944D_85B2_4CAE_97DA_DC2EB4BF0AB0_.wvu.PrintTitles" localSheetId="15" hidden="1">[9]Midwestern!$A$1:$B$65536,[9]Midwestern!$A$1:$IV$7</definedName>
    <definedName name="Z_999D944D_85B2_4CAE_97DA_DC2EB4BF0AB0_.wvu.PrintTitles" localSheetId="13" hidden="1">[9]Midwestern!$A$1:$B$65536,[9]Midwestern!$A$1:$IV$7</definedName>
    <definedName name="Z_999D944D_85B2_4CAE_97DA_DC2EB4BF0AB0_.wvu.PrintTitles" localSheetId="14" hidden="1">[9]Midwestern!$A$1:$B$65536,[9]Midwestern!$A$1:$IV$7</definedName>
    <definedName name="Z_999D944D_85B2_4CAE_97DA_DC2EB4BF0AB0_.wvu.PrintTitles" localSheetId="16" hidden="1">[9]Midwestern!$A$1:$B$65536,[9]Midwestern!$A$1:$IV$7</definedName>
    <definedName name="Z_999D944D_85B2_4CAE_97DA_DC2EB4BF0AB0_.wvu.PrintTitles" hidden="1">[10]Midwestern!$A$1:$B$65536,[10]Midwestern!$A$1:$IV$7</definedName>
    <definedName name="Z_9A9AF875_8B7A_4EA5_9837_BF2AFF98C487_.wvu.PrintTitles" localSheetId="5" hidden="1">[9]Midwestern!$A$1:$B$65536,[9]Midwestern!$A$1:$IV$7</definedName>
    <definedName name="Z_9A9AF875_8B7A_4EA5_9837_BF2AFF98C487_.wvu.PrintTitles" localSheetId="17" hidden="1">[9]Midwestern!$A$1:$B$65536,[9]Midwestern!$A$1:$IV$7</definedName>
    <definedName name="Z_9A9AF875_8B7A_4EA5_9837_BF2AFF98C487_.wvu.PrintTitles" localSheetId="9" hidden="1">[9]Midwestern!$A$1:$B$65536,[9]Midwestern!$A$1:$IV$7</definedName>
    <definedName name="Z_9A9AF875_8B7A_4EA5_9837_BF2AFF98C487_.wvu.PrintTitles" localSheetId="10" hidden="1">[9]Midwestern!$A$1:$B$65536,[9]Midwestern!$A$1:$IV$7</definedName>
    <definedName name="Z_9A9AF875_8B7A_4EA5_9837_BF2AFF98C487_.wvu.PrintTitles" localSheetId="11" hidden="1">[9]Midwestern!$A$1:$B$65536,[9]Midwestern!$A$1:$IV$7</definedName>
    <definedName name="Z_9A9AF875_8B7A_4EA5_9837_BF2AFF98C487_.wvu.PrintTitles" localSheetId="8" hidden="1">[9]Midwestern!$A$1:$B$65536,[9]Midwestern!$A$1:$IV$7</definedName>
    <definedName name="Z_9A9AF875_8B7A_4EA5_9837_BF2AFF98C487_.wvu.PrintTitles" localSheetId="7" hidden="1">[9]Midwestern!$A$1:$B$65536,[9]Midwestern!$A$1:$IV$7</definedName>
    <definedName name="Z_9A9AF875_8B7A_4EA5_9837_BF2AFF98C487_.wvu.PrintTitles" localSheetId="188" hidden="1">[10]Midwestern!$A$1:$B$65536,[10]Midwestern!$A$1:$IV$7</definedName>
    <definedName name="Z_9A9AF875_8B7A_4EA5_9837_BF2AFF98C487_.wvu.PrintTitles" localSheetId="189" hidden="1">[10]Midwestern!$A$1:$B$65536,[10]Midwestern!$A$1:$IV$7</definedName>
    <definedName name="Z_9A9AF875_8B7A_4EA5_9837_BF2AFF98C487_.wvu.PrintTitles" localSheetId="12" hidden="1">[9]Midwestern!$A$1:$B$65536,[9]Midwestern!$A$1:$IV$7</definedName>
    <definedName name="Z_9A9AF875_8B7A_4EA5_9837_BF2AFF98C487_.wvu.PrintTitles" localSheetId="15" hidden="1">[9]Midwestern!$A$1:$B$65536,[9]Midwestern!$A$1:$IV$7</definedName>
    <definedName name="Z_9A9AF875_8B7A_4EA5_9837_BF2AFF98C487_.wvu.PrintTitles" localSheetId="13" hidden="1">[9]Midwestern!$A$1:$B$65536,[9]Midwestern!$A$1:$IV$7</definedName>
    <definedName name="Z_9A9AF875_8B7A_4EA5_9837_BF2AFF98C487_.wvu.PrintTitles" localSheetId="14" hidden="1">[9]Midwestern!$A$1:$B$65536,[9]Midwestern!$A$1:$IV$7</definedName>
    <definedName name="Z_9A9AF875_8B7A_4EA5_9837_BF2AFF98C487_.wvu.PrintTitles" localSheetId="16" hidden="1">[9]Midwestern!$A$1:$B$65536,[9]Midwestern!$A$1:$IV$7</definedName>
    <definedName name="Z_9A9AF875_8B7A_4EA5_9837_BF2AFF98C487_.wvu.PrintTitles" hidden="1">[10]Midwestern!$A$1:$B$65536,[10]Midwestern!$A$1:$IV$7</definedName>
    <definedName name="Z_AEEC638C_8A91_43C3_A958_A71F7CE9122F_.wvu.Cols" localSheetId="26" hidden="1">'ARL Sum'!#REF!,'ARL Sum'!#REF!,'ARL Sum'!#REF!,'ARL Sum'!#REF!,'ARL Sum'!#REF!,'ARL Sum'!#REF!,'ARL Sum'!#REF!,'ARL Sum'!#REF!,'ARL Sum'!#REF!</definedName>
    <definedName name="Z_AEEC638C_8A91_43C3_A958_A71F7CE9122F_.wvu.Cols" localSheetId="142" hidden="1">'ASU Sum'!#REF!,'ASU Sum'!#REF!,'ASU Sum'!#REF!,'ASU Sum'!#REF!,'ASU Sum'!#REF!,'ASU Sum'!#REF!,'ASU Sum'!#REF!,'ASU Sum'!#REF!,'ASU Sum'!#REF!</definedName>
    <definedName name="Z_AEEC638C_8A91_43C3_A958_A71F7CE9122F_.wvu.Cols" localSheetId="170" hidden="1">'AUS Sum'!#REF!,'AUS Sum'!#REF!,'AUS Sum'!#REF!,'AUS Sum'!#REF!,'AUS Sum'!#REF!,'AUS Sum'!#REF!,'AUS Sum'!#REF!,'AUS Sum'!#REF!,'AUS Sum'!#REF!</definedName>
    <definedName name="Z_AEEC638C_8A91_43C3_A958_A71F7CE9122F_.wvu.Cols" localSheetId="30" hidden="1">'AUS1 Sum'!#REF!,'AUS1 Sum'!#REF!,'AUS1 Sum'!#REF!,'AUS1 Sum'!#REF!,'AUS1 Sum'!#REF!,'AUS1 Sum'!#REF!,'AUS1 Sum'!#REF!,'AUS1 Sum'!#REF!,'AUS1 Sum'!#REF!</definedName>
    <definedName name="Z_AEEC638C_8A91_43C3_A958_A71F7CE9122F_.wvu.Cols" localSheetId="34" hidden="1">'DAL Sum'!#REF!,'DAL Sum'!#REF!,'DAL Sum'!#REF!,'DAL Sum'!#REF!,'DAL Sum'!#REF!,'DAL Sum'!#REF!,'DAL Sum'!#REF!,'DAL Sum'!#REF!,'DAL Sum'!#REF!</definedName>
    <definedName name="Z_AEEC638C_8A91_43C3_A958_A71F7CE9122F_.wvu.Cols" localSheetId="38" hidden="1">'E-P Sum'!#REF!,'E-P Sum'!#REF!,'E-P Sum'!#REF!,'E-P Sum'!#REF!,'E-P Sum'!#REF!,'E-P Sum'!#REF!,'E-P Sum'!#REF!,'E-P Sum'!#REF!,'E-P Sum'!#REF!</definedName>
    <definedName name="Z_AEEC638C_8A91_43C3_A958_A71F7CE9122F_.wvu.Cols" localSheetId="122" hidden="1">'LU Sum'!#REF!,'LU Sum'!#REF!,'LU Sum'!#REF!,'LU Sum'!#REF!,'LU Sum'!#REF!,'LU Sum'!#REF!,'LU Sum'!#REF!,'LU Sum'!#REF!,'LU Sum'!#REF!</definedName>
    <definedName name="Z_AEEC638C_8A91_43C3_A958_A71F7CE9122F_.wvu.Cols" localSheetId="154" hidden="1">'MidWST Sum'!#REF!,'MidWST Sum'!#REF!,'MidWST Sum'!#REF!,'MidWST Sum'!#REF!,'MidWST Sum'!#REF!,'MidWST Sum'!#REF!,'MidWST Sum'!#REF!,'MidWST Sum'!#REF!,'MidWST Sum'!#REF!</definedName>
    <definedName name="Z_AEEC638C_8A91_43C3_A958_A71F7CE9122F_.wvu.Cols" localSheetId="46" hidden="1">'P-B Sum'!#REF!,'P-B Sum'!#REF!,'P-B Sum'!#REF!,'P-B Sum'!#REF!,'P-B Sum'!#REF!,'P-B Sum'!#REF!,'P-B Sum'!#REF!,'P-B Sum'!#REF!,'P-B Sum'!#REF!</definedName>
    <definedName name="Z_AEEC638C_8A91_43C3_A958_A71F7CE9122F_.wvu.Cols" localSheetId="66" hidden="1">'PVAMU Sum'!#REF!,'PVAMU Sum'!#REF!,'PVAMU Sum'!#REF!,'PVAMU Sum'!#REF!,'PVAMU Sum'!#REF!,'PVAMU Sum'!#REF!,'PVAMU Sum'!#REF!,'PVAMU Sum'!#REF!,'PVAMU Sum'!#REF!</definedName>
    <definedName name="Z_AEEC638C_8A91_43C3_A958_A71F7CE9122F_.wvu.Cols" localSheetId="174" hidden="1">'RGV Sum'!#REF!,'RGV Sum'!#REF!,'RGV Sum'!#REF!,'RGV Sum'!#REF!,'RGV Sum'!#REF!,'RGV Sum'!#REF!,'RGV Sum'!#REF!,'RGV Sum'!#REF!,'RGV Sum'!#REF!</definedName>
    <definedName name="Z_AEEC638C_8A91_43C3_A958_A71F7CE9122F_.wvu.Cols" localSheetId="42" hidden="1">'RGV1 Sum'!#REF!,'RGV1 Sum'!#REF!,'RGV1 Sum'!#REF!,'RGV1 Sum'!#REF!,'RGV1 Sum'!#REF!,'RGV1 Sum'!#REF!,'RGV1 Sum'!#REF!,'RGV1 Sum'!#REF!,'RGV1 Sum'!#REF!</definedName>
    <definedName name="Z_AEEC638C_8A91_43C3_A958_A71F7CE9122F_.wvu.Cols" localSheetId="50" hidden="1">'S-A Sum'!#REF!,'S-A Sum'!#REF!,'S-A Sum'!#REF!,'S-A Sum'!#REF!,'S-A Sum'!#REF!,'S-A Sum'!#REF!,'S-A Sum'!#REF!,'S-A Sum'!#REF!,'S-A Sum'!#REF!</definedName>
    <definedName name="Z_AEEC638C_8A91_43C3_A958_A71F7CE9122F_.wvu.Cols" localSheetId="158" hidden="1">'SFA Sum'!#REF!,'SFA Sum'!#REF!,'SFA Sum'!#REF!,'SFA Sum'!#REF!,'SFA Sum'!#REF!,'SFA Sum'!#REF!,'SFA Sum'!#REF!,'SFA Sum'!#REF!,'SFA Sum'!#REF!</definedName>
    <definedName name="Z_AEEC638C_8A91_43C3_A958_A71F7CE9122F_.wvu.Cols" localSheetId="182" hidden="1">'Shsu Sum'!#REF!,'Shsu Sum'!#REF!,'Shsu Sum'!#REF!,'Shsu Sum'!#REF!,'Shsu Sum'!#REF!,'Shsu Sum'!#REF!,'Shsu Sum'!#REF!,'Shsu Sum'!#REF!,'Shsu Sum'!#REF!</definedName>
    <definedName name="Z_AEEC638C_8A91_43C3_A958_A71F7CE9122F_.wvu.Cols" localSheetId="126" hidden="1">'shsu1 Sum'!#REF!,'shsu1 Sum'!#REF!,'shsu1 Sum'!#REF!,'shsu1 Sum'!#REF!,'shsu1 Sum'!#REF!,'shsu1 Sum'!#REF!,'shsu1 Sum'!#REF!,'shsu1 Sum'!#REF!,'shsu1 Sum'!#REF!</definedName>
    <definedName name="Z_AEEC638C_8A91_43C3_A958_A71F7CE9122F_.wvu.Cols" localSheetId="20" hidden="1">'Smmy Acad SbS'!#REF!,'Smmy Acad SbS'!#REF!,'Smmy Acad SbS'!#REF!,'Smmy Acad SbS'!#REF!,'Smmy Acad SbS'!#REF!,'Smmy Acad SbS'!#REF!,'Smmy Acad SbS'!#REF!,'Smmy Acad SbS'!#REF!,'Smmy Acad SbS'!#REF!</definedName>
    <definedName name="Z_AEEC638C_8A91_43C3_A958_A71F7CE9122F_.wvu.Cols" localSheetId="22" hidden="1">'Smmy Sum'!#REF!,'Smmy Sum'!#REF!,'Smmy Sum'!#REF!,'Smmy Sum'!#REF!,'Smmy Sum'!#REF!,'Smmy Sum'!#REF!,'Smmy Sum'!#REF!,'Smmy Sum'!#REF!,'Smmy Sum'!#REF!</definedName>
    <definedName name="Z_AEEC638C_8A91_43C3_A958_A71F7CE9122F_.wvu.Cols" localSheetId="134" hidden="1">'SRSU Sum'!#REF!,'SRSU Sum'!#REF!,'SRSU Sum'!#REF!,'SRSU Sum'!#REF!,'SRSU Sum'!#REF!,'SRSU Sum'!#REF!,'SRSU Sum'!#REF!,'SRSU Sum'!#REF!,'SRSU Sum'!#REF!</definedName>
    <definedName name="Z_AEEC638C_8A91_43C3_A958_A71F7CE9122F_.wvu.Cols" localSheetId="82" hidden="1">'TAMIU Sum'!#REF!,'TAMIU Sum'!#REF!,'TAMIU Sum'!#REF!,'TAMIU Sum'!#REF!,'TAMIU Sum'!#REF!,'TAMIU Sum'!#REF!,'TAMIU Sum'!#REF!,'TAMIU Sum'!#REF!,'TAMIU Sum'!#REF!</definedName>
    <definedName name="Z_AEEC638C_8A91_43C3_A958_A71F7CE9122F_.wvu.Cols" localSheetId="58" hidden="1">'TAMU Sum'!#REF!,'TAMU Sum'!#REF!,'TAMU Sum'!#REF!,'TAMU Sum'!#REF!,'TAMU Sum'!#REF!,'TAMU Sum'!#REF!,'TAMU Sum'!#REF!,'TAMU Sum'!#REF!,'TAMU Sum'!#REF!</definedName>
    <definedName name="Z_AEEC638C_8A91_43C3_A958_A71F7CE9122F_.wvu.Cols" localSheetId="90" hidden="1">'TAMUC Sum'!#REF!,'TAMUC Sum'!#REF!,'TAMUC Sum'!#REF!,'TAMUC Sum'!#REF!,'TAMUC Sum'!#REF!,'TAMUC Sum'!#REF!,'TAMUC Sum'!#REF!,'TAMUC Sum'!#REF!,'TAMUC Sum'!#REF!</definedName>
    <definedName name="Z_AEEC638C_8A91_43C3_A958_A71F7CE9122F_.wvu.Cols" localSheetId="74" hidden="1">'TAMUCC Sum'!#REF!,'TAMUCC Sum'!#REF!,'TAMUCC Sum'!#REF!,'TAMUCC Sum'!#REF!,'TAMUCC Sum'!#REF!,'TAMUCC Sum'!#REF!,'TAMUCC Sum'!#REF!,'TAMUCC Sum'!#REF!,'TAMUCC Sum'!#REF!</definedName>
    <definedName name="Z_AEEC638C_8A91_43C3_A958_A71F7CE9122F_.wvu.Cols" localSheetId="98" hidden="1">'TAMUCT Sum'!#REF!,'TAMUCT Sum'!#REF!,'TAMUCT Sum'!#REF!,'TAMUCT Sum'!#REF!,'TAMUCT Sum'!#REF!,'TAMUCT Sum'!#REF!,'TAMUCT Sum'!#REF!,'TAMUCT Sum'!#REF!,'TAMUCT Sum'!#REF!</definedName>
    <definedName name="Z_AEEC638C_8A91_43C3_A958_A71F7CE9122F_.wvu.Cols" localSheetId="62" hidden="1">'TAMUG Sum'!#REF!,'TAMUG Sum'!#REF!,'TAMUG Sum'!#REF!,'TAMUG Sum'!#REF!,'TAMUG Sum'!#REF!,'TAMUG Sum'!#REF!,'TAMUG Sum'!#REF!,'TAMUG Sum'!#REF!,'TAMUG Sum'!#REF!</definedName>
    <definedName name="Z_AEEC638C_8A91_43C3_A958_A71F7CE9122F_.wvu.Cols" localSheetId="78" hidden="1">'TAMUK Sum'!#REF!,'TAMUK Sum'!#REF!,'TAMUK Sum'!#REF!,'TAMUK Sum'!#REF!,'TAMUK Sum'!#REF!,'TAMUK Sum'!#REF!,'TAMUK Sum'!#REF!,'TAMUK Sum'!#REF!,'TAMUK Sum'!#REF!</definedName>
    <definedName name="Z_AEEC638C_8A91_43C3_A958_A71F7CE9122F_.wvu.Cols" localSheetId="102" hidden="1">'TAMUSA Sum'!#REF!,'TAMUSA Sum'!#REF!,'TAMUSA Sum'!#REF!,'TAMUSA Sum'!#REF!,'TAMUSA Sum'!#REF!,'TAMUSA Sum'!#REF!,'TAMUSA Sum'!#REF!,'TAMUSA Sum'!#REF!,'TAMUSA Sum'!#REF!</definedName>
    <definedName name="Z_AEEC638C_8A91_43C3_A958_A71F7CE9122F_.wvu.Cols" localSheetId="94" hidden="1">'TAMUT Sum'!#REF!,'TAMUT Sum'!#REF!,'TAMUT Sum'!#REF!,'TAMUT Sum'!#REF!,'TAMUT Sum'!#REF!,'TAMUT Sum'!#REF!,'TAMUT Sum'!#REF!,'TAMUT Sum'!#REF!,'TAMUT Sum'!#REF!</definedName>
    <definedName name="Z_AEEC638C_8A91_43C3_A958_A71F7CE9122F_.wvu.Cols" localSheetId="70" hidden="1">'TARLST Sum'!#REF!,'TARLST Sum'!#REF!,'TARLST Sum'!#REF!,'TARLST Sum'!#REF!,'TARLST Sum'!#REF!,'TARLST Sum'!#REF!,'TARLST Sum'!#REF!,'TARLST Sum'!#REF!,'TARLST Sum'!#REF!</definedName>
    <definedName name="Z_AEEC638C_8A91_43C3_A958_A71F7CE9122F_.wvu.Cols" localSheetId="162" hidden="1">'TSU Sum'!#REF!,'TSU Sum'!#REF!,'TSU Sum'!#REF!,'TSU Sum'!#REF!,'TSU Sum'!#REF!,'TSU Sum'!#REF!,'TSU Sum'!#REF!,'TSU Sum'!#REF!,'TSU Sum'!#REF!</definedName>
    <definedName name="Z_AEEC638C_8A91_43C3_A958_A71F7CE9122F_.wvu.Cols" localSheetId="138" hidden="1">'TTU Sum'!#REF!,'TTU Sum'!#REF!,'TTU Sum'!#REF!,'TTU Sum'!#REF!,'TTU Sum'!#REF!,'TTU Sum'!#REF!,'TTU Sum'!#REF!,'TTU Sum'!#REF!,'TTU Sum'!#REF!</definedName>
    <definedName name="Z_AEEC638C_8A91_43C3_A958_A71F7CE9122F_.wvu.Cols" localSheetId="166" hidden="1">'TWU Sum'!#REF!,'TWU Sum'!#REF!,'TWU Sum'!#REF!,'TWU Sum'!#REF!,'TWU Sum'!#REF!,'TWU Sum'!#REF!,'TWU Sum'!#REF!,'TWU Sum'!#REF!,'TWU Sum'!#REF!</definedName>
    <definedName name="Z_AEEC638C_8A91_43C3_A958_A71F7CE9122F_.wvu.Cols" localSheetId="130" hidden="1">'TXST Sum'!#REF!,'TXST Sum'!#REF!,'TXST Sum'!#REF!,'TXST Sum'!#REF!,'TXST Sum'!#REF!,'TXST Sum'!#REF!,'TXST Sum'!#REF!,'TXST Sum'!#REF!,'TXST Sum'!#REF!</definedName>
    <definedName name="Z_AEEC638C_8A91_43C3_A958_A71F7CE9122F_.wvu.Cols" localSheetId="54" hidden="1">'TYL Sum'!#REF!,'TYL Sum'!#REF!,'TYL Sum'!#REF!,'TYL Sum'!#REF!,'TYL Sum'!#REF!,'TYL Sum'!#REF!,'TYL Sum'!#REF!,'TYL Sum'!#REF!,'TYL Sum'!#REF!</definedName>
    <definedName name="Z_AEEC638C_8A91_43C3_A958_A71F7CE9122F_.wvu.Cols" localSheetId="178" hidden="1">'UH Sum'!#REF!,'UH Sum'!#REF!,'UH Sum'!#REF!,'UH Sum'!#REF!,'UH Sum'!#REF!,'UH Sum'!#REF!,'UH Sum'!#REF!,'UH Sum'!#REF!,'UH Sum'!#REF!</definedName>
    <definedName name="Z_AEEC638C_8A91_43C3_A958_A71F7CE9122F_.wvu.Cols" localSheetId="106" hidden="1">'UH1 Sum'!#REF!,'UH1 Sum'!#REF!,'UH1 Sum'!#REF!,'UH1 Sum'!#REF!,'UH1 Sum'!#REF!,'UH1 Sum'!#REF!,'UH1 Sum'!#REF!,'UH1 Sum'!#REF!,'UH1 Sum'!#REF!</definedName>
    <definedName name="Z_AEEC638C_8A91_43C3_A958_A71F7CE9122F_.wvu.Cols" localSheetId="110" hidden="1">'UHCL Sum'!#REF!,'UHCL Sum'!#REF!,'UHCL Sum'!#REF!,'UHCL Sum'!#REF!,'UHCL Sum'!#REF!,'UHCL Sum'!#REF!,'UHCL Sum'!#REF!,'UHCL Sum'!#REF!,'UHCL Sum'!#REF!</definedName>
    <definedName name="Z_AEEC638C_8A91_43C3_A958_A71F7CE9122F_.wvu.Cols" localSheetId="114" hidden="1">'UHD Sum'!#REF!,'UHD Sum'!#REF!,'UHD Sum'!#REF!,'UHD Sum'!#REF!,'UHD Sum'!#REF!,'UHD Sum'!#REF!,'UHD Sum'!#REF!,'UHD Sum'!#REF!,'UHD Sum'!#REF!</definedName>
    <definedName name="Z_AEEC638C_8A91_43C3_A958_A71F7CE9122F_.wvu.Cols" localSheetId="118" hidden="1">'UHV Sum'!#REF!,'UHV Sum'!#REF!,'UHV Sum'!#REF!,'UHV Sum'!#REF!,'UHV Sum'!#REF!,'UHV Sum'!#REF!,'UHV Sum'!#REF!,'UHV Sum'!#REF!,'UHV Sum'!#REF!</definedName>
    <definedName name="Z_AEEC638C_8A91_43C3_A958_A71F7CE9122F_.wvu.Cols" localSheetId="146" hidden="1">'UNT Sum'!#REF!,'UNT Sum'!#REF!,'UNT Sum'!#REF!,'UNT Sum'!#REF!,'UNT Sum'!#REF!,'UNT Sum'!#REF!,'UNT Sum'!#REF!,'UNT Sum'!#REF!,'UNT Sum'!#REF!</definedName>
    <definedName name="Z_AEEC638C_8A91_43C3_A958_A71F7CE9122F_.wvu.Cols" localSheetId="150" hidden="1">'UNTD Sum'!#REF!,'UNTD Sum'!#REF!,'UNTD Sum'!#REF!,'UNTD Sum'!#REF!,'UNTD Sum'!#REF!,'UNTD Sum'!#REF!,'UNTD Sum'!#REF!,'UNTD Sum'!#REF!,'UNTD Sum'!#REF!</definedName>
    <definedName name="Z_AEEC638C_8A91_43C3_A958_A71F7CE9122F_.wvu.Cols" localSheetId="86" hidden="1">'WTAMU Sum'!#REF!,'WTAMU Sum'!#REF!,'WTAMU Sum'!#REF!,'WTAMU Sum'!#REF!,'WTAMU Sum'!#REF!,'WTAMU Sum'!#REF!,'WTAMU Sum'!#REF!,'WTAMU Sum'!#REF!,'WTAMU Sum'!#REF!</definedName>
    <definedName name="Z_C63CB8F7_18C4_4A70_94EC_26C8D6B5C80F_.wvu.PrintTitles" localSheetId="5" hidden="1">[9]Midwestern!$A$1:$B$65536,[9]Midwestern!$A$1:$IV$7</definedName>
    <definedName name="Z_C63CB8F7_18C4_4A70_94EC_26C8D6B5C80F_.wvu.PrintTitles" localSheetId="17" hidden="1">[9]Midwestern!$A$1:$B$65536,[9]Midwestern!$A$1:$IV$7</definedName>
    <definedName name="Z_C63CB8F7_18C4_4A70_94EC_26C8D6B5C80F_.wvu.PrintTitles" localSheetId="9" hidden="1">[9]Midwestern!$A$1:$B$65536,[9]Midwestern!$A$1:$IV$7</definedName>
    <definedName name="Z_C63CB8F7_18C4_4A70_94EC_26C8D6B5C80F_.wvu.PrintTitles" localSheetId="10" hidden="1">[9]Midwestern!$A$1:$B$65536,[9]Midwestern!$A$1:$IV$7</definedName>
    <definedName name="Z_C63CB8F7_18C4_4A70_94EC_26C8D6B5C80F_.wvu.PrintTitles" localSheetId="11" hidden="1">[9]Midwestern!$A$1:$B$65536,[9]Midwestern!$A$1:$IV$7</definedName>
    <definedName name="Z_C63CB8F7_18C4_4A70_94EC_26C8D6B5C80F_.wvu.PrintTitles" localSheetId="8" hidden="1">[9]Midwestern!$A$1:$B$65536,[9]Midwestern!$A$1:$IV$7</definedName>
    <definedName name="Z_C63CB8F7_18C4_4A70_94EC_26C8D6B5C80F_.wvu.PrintTitles" localSheetId="7" hidden="1">[9]Midwestern!$A$1:$B$65536,[9]Midwestern!$A$1:$IV$7</definedName>
    <definedName name="Z_C63CB8F7_18C4_4A70_94EC_26C8D6B5C80F_.wvu.PrintTitles" localSheetId="188" hidden="1">[10]Midwestern!$A$1:$B$65536,[10]Midwestern!$A$1:$IV$7</definedName>
    <definedName name="Z_C63CB8F7_18C4_4A70_94EC_26C8D6B5C80F_.wvu.PrintTitles" localSheetId="189" hidden="1">[10]Midwestern!$A$1:$B$65536,[10]Midwestern!$A$1:$IV$7</definedName>
    <definedName name="Z_C63CB8F7_18C4_4A70_94EC_26C8D6B5C80F_.wvu.PrintTitles" localSheetId="12" hidden="1">[9]Midwestern!$A$1:$B$65536,[9]Midwestern!$A$1:$IV$7</definedName>
    <definedName name="Z_C63CB8F7_18C4_4A70_94EC_26C8D6B5C80F_.wvu.PrintTitles" localSheetId="15" hidden="1">[9]Midwestern!$A$1:$B$65536,[9]Midwestern!$A$1:$IV$7</definedName>
    <definedName name="Z_C63CB8F7_18C4_4A70_94EC_26C8D6B5C80F_.wvu.PrintTitles" localSheetId="13" hidden="1">[9]Midwestern!$A$1:$B$65536,[9]Midwestern!$A$1:$IV$7</definedName>
    <definedName name="Z_C63CB8F7_18C4_4A70_94EC_26C8D6B5C80F_.wvu.PrintTitles" localSheetId="14" hidden="1">[9]Midwestern!$A$1:$B$65536,[9]Midwestern!$A$1:$IV$7</definedName>
    <definedName name="Z_C63CB8F7_18C4_4A70_94EC_26C8D6B5C80F_.wvu.PrintTitles" localSheetId="16" hidden="1">[9]Midwestern!$A$1:$B$65536,[9]Midwestern!$A$1:$IV$7</definedName>
    <definedName name="Z_C63CB8F7_18C4_4A70_94EC_26C8D6B5C80F_.wvu.PrintTitles" hidden="1">[10]Midwestern!$A$1:$B$65536,[10]Midwestern!$A$1:$IV$7</definedName>
    <definedName name="Z_D8EE2E15_379C_4027_9083_08D90932B4E1_.wvu.PrintTitles" localSheetId="5" hidden="1">[9]Midwestern!$A$1:$B$65536,[9]Midwestern!$A$1:$IV$7</definedName>
    <definedName name="Z_D8EE2E15_379C_4027_9083_08D90932B4E1_.wvu.PrintTitles" localSheetId="17" hidden="1">[9]Midwestern!$A$1:$B$65536,[9]Midwestern!$A$1:$IV$7</definedName>
    <definedName name="Z_D8EE2E15_379C_4027_9083_08D90932B4E1_.wvu.PrintTitles" localSheetId="9" hidden="1">[9]Midwestern!$A$1:$B$65536,[9]Midwestern!$A$1:$IV$7</definedName>
    <definedName name="Z_D8EE2E15_379C_4027_9083_08D90932B4E1_.wvu.PrintTitles" localSheetId="10" hidden="1">[9]Midwestern!$A$1:$B$65536,[9]Midwestern!$A$1:$IV$7</definedName>
    <definedName name="Z_D8EE2E15_379C_4027_9083_08D90932B4E1_.wvu.PrintTitles" localSheetId="11" hidden="1">[9]Midwestern!$A$1:$B$65536,[9]Midwestern!$A$1:$IV$7</definedName>
    <definedName name="Z_D8EE2E15_379C_4027_9083_08D90932B4E1_.wvu.PrintTitles" localSheetId="8" hidden="1">[9]Midwestern!$A$1:$B$65536,[9]Midwestern!$A$1:$IV$7</definedName>
    <definedName name="Z_D8EE2E15_379C_4027_9083_08D90932B4E1_.wvu.PrintTitles" localSheetId="7" hidden="1">[9]Midwestern!$A$1:$B$65536,[9]Midwestern!$A$1:$IV$7</definedName>
    <definedName name="Z_D8EE2E15_379C_4027_9083_08D90932B4E1_.wvu.PrintTitles" localSheetId="188" hidden="1">[10]Midwestern!$A$1:$B$65536,[10]Midwestern!$A$1:$IV$7</definedName>
    <definedName name="Z_D8EE2E15_379C_4027_9083_08D90932B4E1_.wvu.PrintTitles" localSheetId="189" hidden="1">[10]Midwestern!$A$1:$B$65536,[10]Midwestern!$A$1:$IV$7</definedName>
    <definedName name="Z_D8EE2E15_379C_4027_9083_08D90932B4E1_.wvu.PrintTitles" localSheetId="12" hidden="1">[9]Midwestern!$A$1:$B$65536,[9]Midwestern!$A$1:$IV$7</definedName>
    <definedName name="Z_D8EE2E15_379C_4027_9083_08D90932B4E1_.wvu.PrintTitles" localSheetId="15" hidden="1">[9]Midwestern!$A$1:$B$65536,[9]Midwestern!$A$1:$IV$7</definedName>
    <definedName name="Z_D8EE2E15_379C_4027_9083_08D90932B4E1_.wvu.PrintTitles" localSheetId="13" hidden="1">[9]Midwestern!$A$1:$B$65536,[9]Midwestern!$A$1:$IV$7</definedName>
    <definedName name="Z_D8EE2E15_379C_4027_9083_08D90932B4E1_.wvu.PrintTitles" localSheetId="14" hidden="1">[9]Midwestern!$A$1:$B$65536,[9]Midwestern!$A$1:$IV$7</definedName>
    <definedName name="Z_D8EE2E15_379C_4027_9083_08D90932B4E1_.wvu.PrintTitles" localSheetId="16" hidden="1">[9]Midwestern!$A$1:$B$65536,[9]Midwestern!$A$1:$IV$7</definedName>
    <definedName name="Z_D8EE2E15_379C_4027_9083_08D90932B4E1_.wvu.PrintTitles" hidden="1">[10]Midwestern!$A$1:$B$65536,[10]Midwestern!$A$1:$IV$7</definedName>
    <definedName name="Z_DA0A9440_6679_42F3_94BC_92F66D8750AF_.wvu.Cols" localSheetId="26" hidden="1">'ARL Sum'!#REF!,'ARL Sum'!#REF!,'ARL Sum'!#REF!,'ARL Sum'!#REF!,'ARL Sum'!#REF!,'ARL Sum'!#REF!,'ARL Sum'!#REF!,'ARL Sum'!#REF!,'ARL Sum'!#REF!</definedName>
    <definedName name="Z_DA0A9440_6679_42F3_94BC_92F66D8750AF_.wvu.Cols" localSheetId="142" hidden="1">'ASU Sum'!#REF!,'ASU Sum'!#REF!,'ASU Sum'!#REF!,'ASU Sum'!#REF!,'ASU Sum'!#REF!,'ASU Sum'!#REF!,'ASU Sum'!#REF!,'ASU Sum'!#REF!,'ASU Sum'!#REF!</definedName>
    <definedName name="Z_DA0A9440_6679_42F3_94BC_92F66D8750AF_.wvu.Cols" localSheetId="170" hidden="1">'AUS Sum'!#REF!,'AUS Sum'!#REF!,'AUS Sum'!#REF!,'AUS Sum'!#REF!,'AUS Sum'!#REF!,'AUS Sum'!#REF!,'AUS Sum'!#REF!,'AUS Sum'!#REF!,'AUS Sum'!#REF!</definedName>
    <definedName name="Z_DA0A9440_6679_42F3_94BC_92F66D8750AF_.wvu.Cols" localSheetId="30" hidden="1">'AUS1 Sum'!#REF!,'AUS1 Sum'!#REF!,'AUS1 Sum'!#REF!,'AUS1 Sum'!#REF!,'AUS1 Sum'!#REF!,'AUS1 Sum'!#REF!,'AUS1 Sum'!#REF!,'AUS1 Sum'!#REF!,'AUS1 Sum'!#REF!</definedName>
    <definedName name="Z_DA0A9440_6679_42F3_94BC_92F66D8750AF_.wvu.Cols" localSheetId="34" hidden="1">'DAL Sum'!#REF!,'DAL Sum'!#REF!,'DAL Sum'!#REF!,'DAL Sum'!#REF!,'DAL Sum'!#REF!,'DAL Sum'!#REF!,'DAL Sum'!#REF!,'DAL Sum'!#REF!,'DAL Sum'!#REF!</definedName>
    <definedName name="Z_DA0A9440_6679_42F3_94BC_92F66D8750AF_.wvu.Cols" localSheetId="38" hidden="1">'E-P Sum'!#REF!,'E-P Sum'!#REF!,'E-P Sum'!#REF!,'E-P Sum'!#REF!,'E-P Sum'!#REF!,'E-P Sum'!#REF!,'E-P Sum'!#REF!,'E-P Sum'!#REF!,'E-P Sum'!#REF!</definedName>
    <definedName name="Z_DA0A9440_6679_42F3_94BC_92F66D8750AF_.wvu.Cols" localSheetId="122" hidden="1">'LU Sum'!#REF!,'LU Sum'!#REF!,'LU Sum'!#REF!,'LU Sum'!#REF!,'LU Sum'!#REF!,'LU Sum'!#REF!,'LU Sum'!#REF!,'LU Sum'!#REF!,'LU Sum'!#REF!</definedName>
    <definedName name="Z_DA0A9440_6679_42F3_94BC_92F66D8750AF_.wvu.Cols" localSheetId="154" hidden="1">'MidWST Sum'!#REF!,'MidWST Sum'!#REF!,'MidWST Sum'!#REF!,'MidWST Sum'!#REF!,'MidWST Sum'!#REF!,'MidWST Sum'!#REF!,'MidWST Sum'!#REF!,'MidWST Sum'!#REF!,'MidWST Sum'!#REF!</definedName>
    <definedName name="Z_DA0A9440_6679_42F3_94BC_92F66D8750AF_.wvu.Cols" localSheetId="46" hidden="1">'P-B Sum'!#REF!,'P-B Sum'!#REF!,'P-B Sum'!#REF!,'P-B Sum'!#REF!,'P-B Sum'!#REF!,'P-B Sum'!#REF!,'P-B Sum'!#REF!,'P-B Sum'!#REF!,'P-B Sum'!#REF!</definedName>
    <definedName name="Z_DA0A9440_6679_42F3_94BC_92F66D8750AF_.wvu.Cols" localSheetId="66" hidden="1">'PVAMU Sum'!#REF!,'PVAMU Sum'!#REF!,'PVAMU Sum'!#REF!,'PVAMU Sum'!#REF!,'PVAMU Sum'!#REF!,'PVAMU Sum'!#REF!,'PVAMU Sum'!#REF!,'PVAMU Sum'!#REF!,'PVAMU Sum'!#REF!</definedName>
    <definedName name="Z_DA0A9440_6679_42F3_94BC_92F66D8750AF_.wvu.Cols" localSheetId="174" hidden="1">'RGV Sum'!#REF!,'RGV Sum'!#REF!,'RGV Sum'!#REF!,'RGV Sum'!#REF!,'RGV Sum'!#REF!,'RGV Sum'!#REF!,'RGV Sum'!#REF!,'RGV Sum'!#REF!,'RGV Sum'!#REF!</definedName>
    <definedName name="Z_DA0A9440_6679_42F3_94BC_92F66D8750AF_.wvu.Cols" localSheetId="42" hidden="1">'RGV1 Sum'!#REF!,'RGV1 Sum'!#REF!,'RGV1 Sum'!#REF!,'RGV1 Sum'!#REF!,'RGV1 Sum'!#REF!,'RGV1 Sum'!#REF!,'RGV1 Sum'!#REF!,'RGV1 Sum'!#REF!,'RGV1 Sum'!#REF!</definedName>
    <definedName name="Z_DA0A9440_6679_42F3_94BC_92F66D8750AF_.wvu.Cols" localSheetId="50" hidden="1">'S-A Sum'!#REF!,'S-A Sum'!#REF!,'S-A Sum'!#REF!,'S-A Sum'!#REF!,'S-A Sum'!#REF!,'S-A Sum'!#REF!,'S-A Sum'!#REF!,'S-A Sum'!#REF!,'S-A Sum'!#REF!</definedName>
    <definedName name="Z_DA0A9440_6679_42F3_94BC_92F66D8750AF_.wvu.Cols" localSheetId="158" hidden="1">'SFA Sum'!#REF!,'SFA Sum'!#REF!,'SFA Sum'!#REF!,'SFA Sum'!#REF!,'SFA Sum'!#REF!,'SFA Sum'!#REF!,'SFA Sum'!#REF!,'SFA Sum'!#REF!,'SFA Sum'!#REF!</definedName>
    <definedName name="Z_DA0A9440_6679_42F3_94BC_92F66D8750AF_.wvu.Cols" localSheetId="182" hidden="1">'Shsu Sum'!#REF!,'Shsu Sum'!#REF!,'Shsu Sum'!#REF!,'Shsu Sum'!#REF!,'Shsu Sum'!#REF!,'Shsu Sum'!#REF!,'Shsu Sum'!#REF!,'Shsu Sum'!#REF!,'Shsu Sum'!#REF!</definedName>
    <definedName name="Z_DA0A9440_6679_42F3_94BC_92F66D8750AF_.wvu.Cols" localSheetId="126" hidden="1">'shsu1 Sum'!#REF!,'shsu1 Sum'!#REF!,'shsu1 Sum'!#REF!,'shsu1 Sum'!#REF!,'shsu1 Sum'!#REF!,'shsu1 Sum'!#REF!,'shsu1 Sum'!#REF!,'shsu1 Sum'!#REF!,'shsu1 Sum'!#REF!</definedName>
    <definedName name="Z_DA0A9440_6679_42F3_94BC_92F66D8750AF_.wvu.Cols" localSheetId="20" hidden="1">'Smmy Acad SbS'!#REF!,'Smmy Acad SbS'!#REF!,'Smmy Acad SbS'!#REF!,'Smmy Acad SbS'!#REF!,'Smmy Acad SbS'!#REF!,'Smmy Acad SbS'!#REF!,'Smmy Acad SbS'!#REF!,'Smmy Acad SbS'!#REF!,'Smmy Acad SbS'!#REF!</definedName>
    <definedName name="Z_DA0A9440_6679_42F3_94BC_92F66D8750AF_.wvu.Cols" localSheetId="22" hidden="1">'Smmy Sum'!#REF!,'Smmy Sum'!#REF!,'Smmy Sum'!#REF!,'Smmy Sum'!#REF!,'Smmy Sum'!#REF!,'Smmy Sum'!#REF!,'Smmy Sum'!#REF!,'Smmy Sum'!#REF!,'Smmy Sum'!#REF!</definedName>
    <definedName name="Z_DA0A9440_6679_42F3_94BC_92F66D8750AF_.wvu.Cols" localSheetId="134" hidden="1">'SRSU Sum'!#REF!,'SRSU Sum'!#REF!,'SRSU Sum'!#REF!,'SRSU Sum'!#REF!,'SRSU Sum'!#REF!,'SRSU Sum'!#REF!,'SRSU Sum'!#REF!,'SRSU Sum'!#REF!,'SRSU Sum'!#REF!</definedName>
    <definedName name="Z_DA0A9440_6679_42F3_94BC_92F66D8750AF_.wvu.Cols" localSheetId="82" hidden="1">'TAMIU Sum'!#REF!,'TAMIU Sum'!#REF!,'TAMIU Sum'!#REF!,'TAMIU Sum'!#REF!,'TAMIU Sum'!#REF!,'TAMIU Sum'!#REF!,'TAMIU Sum'!#REF!,'TAMIU Sum'!#REF!,'TAMIU Sum'!#REF!</definedName>
    <definedName name="Z_DA0A9440_6679_42F3_94BC_92F66D8750AF_.wvu.Cols" localSheetId="58" hidden="1">'TAMU Sum'!#REF!,'TAMU Sum'!#REF!,'TAMU Sum'!#REF!,'TAMU Sum'!#REF!,'TAMU Sum'!#REF!,'TAMU Sum'!#REF!,'TAMU Sum'!#REF!,'TAMU Sum'!#REF!,'TAMU Sum'!#REF!</definedName>
    <definedName name="Z_DA0A9440_6679_42F3_94BC_92F66D8750AF_.wvu.Cols" localSheetId="90" hidden="1">'TAMUC Sum'!#REF!,'TAMUC Sum'!#REF!,'TAMUC Sum'!#REF!,'TAMUC Sum'!#REF!,'TAMUC Sum'!#REF!,'TAMUC Sum'!#REF!,'TAMUC Sum'!#REF!,'TAMUC Sum'!#REF!,'TAMUC Sum'!#REF!</definedName>
    <definedName name="Z_DA0A9440_6679_42F3_94BC_92F66D8750AF_.wvu.Cols" localSheetId="74" hidden="1">'TAMUCC Sum'!#REF!,'TAMUCC Sum'!#REF!,'TAMUCC Sum'!#REF!,'TAMUCC Sum'!#REF!,'TAMUCC Sum'!#REF!,'TAMUCC Sum'!#REF!,'TAMUCC Sum'!#REF!,'TAMUCC Sum'!#REF!,'TAMUCC Sum'!#REF!</definedName>
    <definedName name="Z_DA0A9440_6679_42F3_94BC_92F66D8750AF_.wvu.Cols" localSheetId="98" hidden="1">'TAMUCT Sum'!#REF!,'TAMUCT Sum'!#REF!,'TAMUCT Sum'!#REF!,'TAMUCT Sum'!#REF!,'TAMUCT Sum'!#REF!,'TAMUCT Sum'!#REF!,'TAMUCT Sum'!#REF!,'TAMUCT Sum'!#REF!,'TAMUCT Sum'!#REF!</definedName>
    <definedName name="Z_DA0A9440_6679_42F3_94BC_92F66D8750AF_.wvu.Cols" localSheetId="62" hidden="1">'TAMUG Sum'!#REF!,'TAMUG Sum'!#REF!,'TAMUG Sum'!#REF!,'TAMUG Sum'!#REF!,'TAMUG Sum'!#REF!,'TAMUG Sum'!#REF!,'TAMUG Sum'!#REF!,'TAMUG Sum'!#REF!,'TAMUG Sum'!#REF!</definedName>
    <definedName name="Z_DA0A9440_6679_42F3_94BC_92F66D8750AF_.wvu.Cols" localSheetId="78" hidden="1">'TAMUK Sum'!#REF!,'TAMUK Sum'!#REF!,'TAMUK Sum'!#REF!,'TAMUK Sum'!#REF!,'TAMUK Sum'!#REF!,'TAMUK Sum'!#REF!,'TAMUK Sum'!#REF!,'TAMUK Sum'!#REF!,'TAMUK Sum'!#REF!</definedName>
    <definedName name="Z_DA0A9440_6679_42F3_94BC_92F66D8750AF_.wvu.Cols" localSheetId="102" hidden="1">'TAMUSA Sum'!#REF!,'TAMUSA Sum'!#REF!,'TAMUSA Sum'!#REF!,'TAMUSA Sum'!#REF!,'TAMUSA Sum'!#REF!,'TAMUSA Sum'!#REF!,'TAMUSA Sum'!#REF!,'TAMUSA Sum'!#REF!,'TAMUSA Sum'!#REF!</definedName>
    <definedName name="Z_DA0A9440_6679_42F3_94BC_92F66D8750AF_.wvu.Cols" localSheetId="94" hidden="1">'TAMUT Sum'!#REF!,'TAMUT Sum'!#REF!,'TAMUT Sum'!#REF!,'TAMUT Sum'!#REF!,'TAMUT Sum'!#REF!,'TAMUT Sum'!#REF!,'TAMUT Sum'!#REF!,'TAMUT Sum'!#REF!,'TAMUT Sum'!#REF!</definedName>
    <definedName name="Z_DA0A9440_6679_42F3_94BC_92F66D8750AF_.wvu.Cols" localSheetId="70" hidden="1">'TARLST Sum'!#REF!,'TARLST Sum'!#REF!,'TARLST Sum'!#REF!,'TARLST Sum'!#REF!,'TARLST Sum'!#REF!,'TARLST Sum'!#REF!,'TARLST Sum'!#REF!,'TARLST Sum'!#REF!,'TARLST Sum'!#REF!</definedName>
    <definedName name="Z_DA0A9440_6679_42F3_94BC_92F66D8750AF_.wvu.Cols" localSheetId="162" hidden="1">'TSU Sum'!#REF!,'TSU Sum'!#REF!,'TSU Sum'!#REF!,'TSU Sum'!#REF!,'TSU Sum'!#REF!,'TSU Sum'!#REF!,'TSU Sum'!#REF!,'TSU Sum'!#REF!,'TSU Sum'!#REF!</definedName>
    <definedName name="Z_DA0A9440_6679_42F3_94BC_92F66D8750AF_.wvu.Cols" localSheetId="138" hidden="1">'TTU Sum'!#REF!,'TTU Sum'!#REF!,'TTU Sum'!#REF!,'TTU Sum'!#REF!,'TTU Sum'!#REF!,'TTU Sum'!#REF!,'TTU Sum'!#REF!,'TTU Sum'!#REF!,'TTU Sum'!#REF!</definedName>
    <definedName name="Z_DA0A9440_6679_42F3_94BC_92F66D8750AF_.wvu.Cols" localSheetId="166" hidden="1">'TWU Sum'!#REF!,'TWU Sum'!#REF!,'TWU Sum'!#REF!,'TWU Sum'!#REF!,'TWU Sum'!#REF!,'TWU Sum'!#REF!,'TWU Sum'!#REF!,'TWU Sum'!#REF!,'TWU Sum'!#REF!</definedName>
    <definedName name="Z_DA0A9440_6679_42F3_94BC_92F66D8750AF_.wvu.Cols" localSheetId="130" hidden="1">'TXST Sum'!#REF!,'TXST Sum'!#REF!,'TXST Sum'!#REF!,'TXST Sum'!#REF!,'TXST Sum'!#REF!,'TXST Sum'!#REF!,'TXST Sum'!#REF!,'TXST Sum'!#REF!,'TXST Sum'!#REF!</definedName>
    <definedName name="Z_DA0A9440_6679_42F3_94BC_92F66D8750AF_.wvu.Cols" localSheetId="54" hidden="1">'TYL Sum'!#REF!,'TYL Sum'!#REF!,'TYL Sum'!#REF!,'TYL Sum'!#REF!,'TYL Sum'!#REF!,'TYL Sum'!#REF!,'TYL Sum'!#REF!,'TYL Sum'!#REF!,'TYL Sum'!#REF!</definedName>
    <definedName name="Z_DA0A9440_6679_42F3_94BC_92F66D8750AF_.wvu.Cols" localSheetId="178" hidden="1">'UH Sum'!#REF!,'UH Sum'!#REF!,'UH Sum'!#REF!,'UH Sum'!#REF!,'UH Sum'!#REF!,'UH Sum'!#REF!,'UH Sum'!#REF!,'UH Sum'!#REF!,'UH Sum'!#REF!</definedName>
    <definedName name="Z_DA0A9440_6679_42F3_94BC_92F66D8750AF_.wvu.Cols" localSheetId="106" hidden="1">'UH1 Sum'!#REF!,'UH1 Sum'!#REF!,'UH1 Sum'!#REF!,'UH1 Sum'!#REF!,'UH1 Sum'!#REF!,'UH1 Sum'!#REF!,'UH1 Sum'!#REF!,'UH1 Sum'!#REF!,'UH1 Sum'!#REF!</definedName>
    <definedName name="Z_DA0A9440_6679_42F3_94BC_92F66D8750AF_.wvu.Cols" localSheetId="110" hidden="1">'UHCL Sum'!#REF!,'UHCL Sum'!#REF!,'UHCL Sum'!#REF!,'UHCL Sum'!#REF!,'UHCL Sum'!#REF!,'UHCL Sum'!#REF!,'UHCL Sum'!#REF!,'UHCL Sum'!#REF!,'UHCL Sum'!#REF!</definedName>
    <definedName name="Z_DA0A9440_6679_42F3_94BC_92F66D8750AF_.wvu.Cols" localSheetId="114" hidden="1">'UHD Sum'!#REF!,'UHD Sum'!#REF!,'UHD Sum'!#REF!,'UHD Sum'!#REF!,'UHD Sum'!#REF!,'UHD Sum'!#REF!,'UHD Sum'!#REF!,'UHD Sum'!#REF!,'UHD Sum'!#REF!</definedName>
    <definedName name="Z_DA0A9440_6679_42F3_94BC_92F66D8750AF_.wvu.Cols" localSheetId="118" hidden="1">'UHV Sum'!#REF!,'UHV Sum'!#REF!,'UHV Sum'!#REF!,'UHV Sum'!#REF!,'UHV Sum'!#REF!,'UHV Sum'!#REF!,'UHV Sum'!#REF!,'UHV Sum'!#REF!,'UHV Sum'!#REF!</definedName>
    <definedName name="Z_DA0A9440_6679_42F3_94BC_92F66D8750AF_.wvu.Cols" localSheetId="146" hidden="1">'UNT Sum'!#REF!,'UNT Sum'!#REF!,'UNT Sum'!#REF!,'UNT Sum'!#REF!,'UNT Sum'!#REF!,'UNT Sum'!#REF!,'UNT Sum'!#REF!,'UNT Sum'!#REF!,'UNT Sum'!#REF!</definedName>
    <definedName name="Z_DA0A9440_6679_42F3_94BC_92F66D8750AF_.wvu.Cols" localSheetId="150" hidden="1">'UNTD Sum'!#REF!,'UNTD Sum'!#REF!,'UNTD Sum'!#REF!,'UNTD Sum'!#REF!,'UNTD Sum'!#REF!,'UNTD Sum'!#REF!,'UNTD Sum'!#REF!,'UNTD Sum'!#REF!,'UNTD Sum'!#REF!</definedName>
    <definedName name="Z_DA0A9440_6679_42F3_94BC_92F66D8750AF_.wvu.Cols" localSheetId="86" hidden="1">'WTAMU Sum'!#REF!,'WTAMU Sum'!#REF!,'WTAMU Sum'!#REF!,'WTAMU Sum'!#REF!,'WTAMU Sum'!#REF!,'WTAMU Sum'!#REF!,'WTAMU Sum'!#REF!,'WTAMU Sum'!#REF!,'WTAMU Sum'!#REF!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9" i="207" l="1"/>
  <c r="M100" i="92" l="1"/>
  <c r="T92" i="92"/>
  <c r="Q92" i="92"/>
  <c r="O92" i="92"/>
  <c r="L92" i="92"/>
  <c r="K92" i="92"/>
  <c r="J92" i="92"/>
  <c r="I92" i="92"/>
  <c r="H92" i="92"/>
  <c r="G92" i="92"/>
  <c r="F92" i="92"/>
  <c r="E92" i="92"/>
  <c r="D92" i="92"/>
  <c r="L91" i="92"/>
  <c r="K91" i="92"/>
  <c r="J91" i="92"/>
  <c r="I91" i="92"/>
  <c r="H91" i="92"/>
  <c r="G91" i="92"/>
  <c r="F91" i="92"/>
  <c r="E91" i="92"/>
  <c r="D91" i="92"/>
  <c r="L90" i="92"/>
  <c r="K90" i="92"/>
  <c r="J90" i="92"/>
  <c r="I90" i="92"/>
  <c r="H90" i="92"/>
  <c r="G90" i="92"/>
  <c r="F90" i="92"/>
  <c r="E90" i="92"/>
  <c r="D90" i="92"/>
  <c r="L89" i="92"/>
  <c r="K89" i="92"/>
  <c r="J89" i="92"/>
  <c r="I89" i="92"/>
  <c r="H89" i="92"/>
  <c r="G89" i="92"/>
  <c r="F89" i="92"/>
  <c r="E89" i="92"/>
  <c r="D89" i="92"/>
  <c r="L88" i="92"/>
  <c r="K88" i="92"/>
  <c r="J88" i="92"/>
  <c r="I88" i="92"/>
  <c r="H88" i="92"/>
  <c r="G88" i="92"/>
  <c r="F88" i="92"/>
  <c r="E88" i="92"/>
  <c r="D88" i="92"/>
  <c r="L87" i="92"/>
  <c r="K87" i="92"/>
  <c r="J87" i="92"/>
  <c r="I87" i="92"/>
  <c r="H87" i="92"/>
  <c r="G87" i="92"/>
  <c r="F87" i="92"/>
  <c r="E87" i="92"/>
  <c r="D87" i="92"/>
  <c r="L82" i="92"/>
  <c r="K82" i="92"/>
  <c r="J82" i="92"/>
  <c r="I82" i="92"/>
  <c r="H82" i="92"/>
  <c r="G82" i="92"/>
  <c r="F82" i="92"/>
  <c r="E82" i="92"/>
  <c r="D82" i="92"/>
  <c r="L81" i="92"/>
  <c r="K81" i="92"/>
  <c r="J81" i="92"/>
  <c r="I81" i="92"/>
  <c r="H81" i="92"/>
  <c r="G81" i="92"/>
  <c r="F81" i="92"/>
  <c r="E81" i="92"/>
  <c r="D81" i="92"/>
  <c r="R80" i="92"/>
  <c r="R77" i="92"/>
  <c r="L77" i="92"/>
  <c r="L2092" i="184" s="1"/>
  <c r="K77" i="92"/>
  <c r="J77" i="92"/>
  <c r="I77" i="92"/>
  <c r="H77" i="92"/>
  <c r="G77" i="92"/>
  <c r="F77" i="92"/>
  <c r="E77" i="92"/>
  <c r="D77" i="92"/>
  <c r="L76" i="92"/>
  <c r="K76" i="92"/>
  <c r="J76" i="92"/>
  <c r="I76" i="92"/>
  <c r="H76" i="92"/>
  <c r="G76" i="92"/>
  <c r="F76" i="92"/>
  <c r="E76" i="92"/>
  <c r="D76" i="92"/>
  <c r="L75" i="92"/>
  <c r="K75" i="92"/>
  <c r="J75" i="92"/>
  <c r="I75" i="92"/>
  <c r="H75" i="92"/>
  <c r="G75" i="92"/>
  <c r="F75" i="92"/>
  <c r="E75" i="92"/>
  <c r="D75" i="92"/>
  <c r="L74" i="92"/>
  <c r="K74" i="92"/>
  <c r="J74" i="92"/>
  <c r="I74" i="92"/>
  <c r="H74" i="92"/>
  <c r="G74" i="92"/>
  <c r="F74" i="92"/>
  <c r="E74" i="92"/>
  <c r="D74" i="92"/>
  <c r="L70" i="92"/>
  <c r="K70" i="92"/>
  <c r="J70" i="92"/>
  <c r="I70" i="92"/>
  <c r="H70" i="92"/>
  <c r="H1905" i="184" s="1"/>
  <c r="G70" i="92"/>
  <c r="F70" i="92"/>
  <c r="E70" i="92"/>
  <c r="D70" i="92"/>
  <c r="L69" i="92"/>
  <c r="K69" i="92"/>
  <c r="J69" i="92"/>
  <c r="I69" i="92"/>
  <c r="H69" i="92"/>
  <c r="G69" i="92"/>
  <c r="F69" i="92"/>
  <c r="E69" i="92"/>
  <c r="D69" i="92"/>
  <c r="AA68" i="92"/>
  <c r="P68" i="92"/>
  <c r="L68" i="92"/>
  <c r="K68" i="92"/>
  <c r="J68" i="92"/>
  <c r="I68" i="92"/>
  <c r="H68" i="92"/>
  <c r="G68" i="92"/>
  <c r="F68" i="92"/>
  <c r="E68" i="92"/>
  <c r="D68" i="92"/>
  <c r="AA67" i="92"/>
  <c r="W67" i="92"/>
  <c r="V67" i="92"/>
  <c r="P67" i="92"/>
  <c r="L67" i="92"/>
  <c r="K67" i="92"/>
  <c r="J67" i="92"/>
  <c r="I67" i="92"/>
  <c r="H67" i="92"/>
  <c r="G67" i="92"/>
  <c r="F67" i="92"/>
  <c r="E67" i="92"/>
  <c r="D67" i="92"/>
  <c r="AA66" i="92"/>
  <c r="W66" i="92"/>
  <c r="V66" i="92"/>
  <c r="P66" i="92"/>
  <c r="L66" i="92"/>
  <c r="K66" i="92"/>
  <c r="J66" i="92"/>
  <c r="I66" i="92"/>
  <c r="H66" i="92"/>
  <c r="G66" i="92"/>
  <c r="F66" i="92"/>
  <c r="E66" i="92"/>
  <c r="D66" i="92"/>
  <c r="AA65" i="92"/>
  <c r="W65" i="92"/>
  <c r="V65" i="92"/>
  <c r="P65" i="92"/>
  <c r="L65" i="92"/>
  <c r="K65" i="92"/>
  <c r="J65" i="92"/>
  <c r="I65" i="92"/>
  <c r="H65" i="92"/>
  <c r="G65" i="92"/>
  <c r="F65" i="92"/>
  <c r="E65" i="92"/>
  <c r="D65" i="92"/>
  <c r="AA64" i="92"/>
  <c r="W64" i="92"/>
  <c r="V64" i="92"/>
  <c r="Q64" i="92"/>
  <c r="P64" i="92"/>
  <c r="L64" i="92"/>
  <c r="K64" i="92"/>
  <c r="J64" i="92"/>
  <c r="I64" i="92"/>
  <c r="H64" i="92"/>
  <c r="G64" i="92"/>
  <c r="F64" i="92"/>
  <c r="E64" i="92"/>
  <c r="D64" i="92"/>
  <c r="AA63" i="92"/>
  <c r="W63" i="92"/>
  <c r="V63" i="92"/>
  <c r="P63" i="92"/>
  <c r="L63" i="92"/>
  <c r="K63" i="92"/>
  <c r="J63" i="92"/>
  <c r="I63" i="92"/>
  <c r="H63" i="92"/>
  <c r="G63" i="92"/>
  <c r="F63" i="92"/>
  <c r="E63" i="92"/>
  <c r="D63" i="92"/>
  <c r="AA62" i="92"/>
  <c r="W62" i="92"/>
  <c r="V62" i="92"/>
  <c r="P62" i="92"/>
  <c r="L62" i="92"/>
  <c r="K62" i="92"/>
  <c r="J62" i="92"/>
  <c r="I62" i="92"/>
  <c r="H62" i="92"/>
  <c r="G62" i="92"/>
  <c r="F62" i="92"/>
  <c r="E62" i="92"/>
  <c r="D62" i="92"/>
  <c r="AA61" i="92"/>
  <c r="W61" i="92"/>
  <c r="V61" i="92"/>
  <c r="P61" i="92"/>
  <c r="L61" i="92"/>
  <c r="K61" i="92"/>
  <c r="J61" i="92"/>
  <c r="I61" i="92"/>
  <c r="H61" i="92"/>
  <c r="G61" i="92"/>
  <c r="F61" i="92"/>
  <c r="E61" i="92"/>
  <c r="D61" i="92"/>
  <c r="AA60" i="92"/>
  <c r="W60" i="92"/>
  <c r="V60" i="92"/>
  <c r="P60" i="92"/>
  <c r="L60" i="92"/>
  <c r="K60" i="92"/>
  <c r="J60" i="92"/>
  <c r="I60" i="92"/>
  <c r="H60" i="92"/>
  <c r="G60" i="92"/>
  <c r="F60" i="92"/>
  <c r="E60" i="92"/>
  <c r="D60" i="92"/>
  <c r="L55" i="92"/>
  <c r="L1422" i="184" s="1"/>
  <c r="K55" i="92"/>
  <c r="J55" i="92"/>
  <c r="I55" i="92"/>
  <c r="H55" i="92"/>
  <c r="G55" i="92"/>
  <c r="F55" i="92"/>
  <c r="E55" i="92"/>
  <c r="D55" i="92"/>
  <c r="L54" i="92"/>
  <c r="K54" i="92"/>
  <c r="J54" i="92"/>
  <c r="I54" i="92"/>
  <c r="H54" i="92"/>
  <c r="G54" i="92"/>
  <c r="F54" i="92"/>
  <c r="E54" i="92"/>
  <c r="D54" i="92"/>
  <c r="L53" i="92"/>
  <c r="K53" i="92"/>
  <c r="J53" i="92"/>
  <c r="I53" i="92"/>
  <c r="H53" i="92"/>
  <c r="G53" i="92"/>
  <c r="F53" i="92"/>
  <c r="E53" i="92"/>
  <c r="D53" i="92"/>
  <c r="L52" i="92"/>
  <c r="K52" i="92"/>
  <c r="J52" i="92"/>
  <c r="I52" i="92"/>
  <c r="H52" i="92"/>
  <c r="G52" i="92"/>
  <c r="G1311" i="184" s="1"/>
  <c r="F52" i="92"/>
  <c r="E52" i="92"/>
  <c r="D52" i="92"/>
  <c r="L51" i="92"/>
  <c r="K51" i="92"/>
  <c r="J51" i="92"/>
  <c r="I51" i="92"/>
  <c r="H51" i="92"/>
  <c r="G51" i="92"/>
  <c r="F51" i="92"/>
  <c r="E51" i="92"/>
  <c r="D51" i="92"/>
  <c r="L50" i="92"/>
  <c r="K50" i="92"/>
  <c r="J50" i="92"/>
  <c r="I50" i="92"/>
  <c r="I1237" i="184" s="1"/>
  <c r="H50" i="92"/>
  <c r="G50" i="92"/>
  <c r="F50" i="92"/>
  <c r="E50" i="92"/>
  <c r="D50" i="92"/>
  <c r="L47" i="92"/>
  <c r="K47" i="92"/>
  <c r="J47" i="92"/>
  <c r="I47" i="92"/>
  <c r="H47" i="92"/>
  <c r="G47" i="92"/>
  <c r="F47" i="92"/>
  <c r="E47" i="92"/>
  <c r="D47" i="92"/>
  <c r="L41" i="92"/>
  <c r="K41" i="92"/>
  <c r="K1084" i="184" s="1"/>
  <c r="J41" i="92"/>
  <c r="I41" i="92"/>
  <c r="H41" i="92"/>
  <c r="G41" i="92"/>
  <c r="F41" i="92"/>
  <c r="E41" i="92"/>
  <c r="D41" i="92"/>
  <c r="L40" i="92"/>
  <c r="K40" i="92"/>
  <c r="J40" i="92"/>
  <c r="I40" i="92"/>
  <c r="H40" i="92"/>
  <c r="G40" i="92"/>
  <c r="F40" i="92"/>
  <c r="F1047" i="184" s="1"/>
  <c r="E40" i="92"/>
  <c r="D40" i="92"/>
  <c r="D1047" i="184" s="1"/>
  <c r="L39" i="92"/>
  <c r="K39" i="92"/>
  <c r="J39" i="92"/>
  <c r="I39" i="92"/>
  <c r="H39" i="92"/>
  <c r="G39" i="92"/>
  <c r="F39" i="92"/>
  <c r="E39" i="92"/>
  <c r="D39" i="92"/>
  <c r="L38" i="92"/>
  <c r="K38" i="92"/>
  <c r="J38" i="92"/>
  <c r="I38" i="92"/>
  <c r="H38" i="92"/>
  <c r="G38" i="92"/>
  <c r="F38" i="92"/>
  <c r="E38" i="92"/>
  <c r="D38" i="92"/>
  <c r="L37" i="92"/>
  <c r="K37" i="92"/>
  <c r="J37" i="92"/>
  <c r="I37" i="92"/>
  <c r="H37" i="92"/>
  <c r="G37" i="92"/>
  <c r="F37" i="92"/>
  <c r="E37" i="92"/>
  <c r="D37" i="92"/>
  <c r="L36" i="92"/>
  <c r="K36" i="92"/>
  <c r="J36" i="92"/>
  <c r="J899" i="184" s="1"/>
  <c r="I36" i="92"/>
  <c r="H36" i="92"/>
  <c r="G36" i="92"/>
  <c r="F36" i="92"/>
  <c r="E36" i="92"/>
  <c r="D36" i="92"/>
  <c r="L35" i="92"/>
  <c r="K35" i="92"/>
  <c r="J35" i="92"/>
  <c r="I35" i="92"/>
  <c r="H35" i="92"/>
  <c r="G35" i="92"/>
  <c r="F35" i="92"/>
  <c r="E35" i="92"/>
  <c r="D35" i="92"/>
  <c r="R34" i="92"/>
  <c r="L34" i="92"/>
  <c r="K34" i="92"/>
  <c r="J34" i="92"/>
  <c r="I34" i="92"/>
  <c r="H34" i="92"/>
  <c r="G34" i="92"/>
  <c r="F34" i="92"/>
  <c r="E34" i="92"/>
  <c r="D34" i="92"/>
  <c r="L33" i="92"/>
  <c r="K33" i="92"/>
  <c r="J33" i="92"/>
  <c r="I33" i="92"/>
  <c r="H33" i="92"/>
  <c r="G33" i="92"/>
  <c r="F33" i="92"/>
  <c r="E33" i="92"/>
  <c r="D33" i="92"/>
  <c r="Q32" i="92"/>
  <c r="L32" i="92"/>
  <c r="K32" i="92"/>
  <c r="J32" i="92"/>
  <c r="I32" i="92"/>
  <c r="H32" i="92"/>
  <c r="G32" i="92"/>
  <c r="F32" i="92"/>
  <c r="E32" i="92"/>
  <c r="D32" i="92"/>
  <c r="L28" i="92"/>
  <c r="K28" i="92"/>
  <c r="J28" i="92"/>
  <c r="I28" i="92"/>
  <c r="H28" i="92"/>
  <c r="G28" i="92"/>
  <c r="F28" i="92"/>
  <c r="E28" i="92"/>
  <c r="D28" i="92"/>
  <c r="K27" i="92"/>
  <c r="J27" i="92"/>
  <c r="I27" i="92"/>
  <c r="I602" i="184" s="1"/>
  <c r="H27" i="92"/>
  <c r="G27" i="92"/>
  <c r="F27" i="92"/>
  <c r="E27" i="92"/>
  <c r="D27" i="92"/>
  <c r="L26" i="92"/>
  <c r="K26" i="92"/>
  <c r="J26" i="92"/>
  <c r="I26" i="92"/>
  <c r="H26" i="92"/>
  <c r="G26" i="92"/>
  <c r="F26" i="92"/>
  <c r="E26" i="92"/>
  <c r="D26" i="92"/>
  <c r="L25" i="92"/>
  <c r="K25" i="92"/>
  <c r="J25" i="92"/>
  <c r="I25" i="92"/>
  <c r="H25" i="92"/>
  <c r="G25" i="92"/>
  <c r="F25" i="92"/>
  <c r="E25" i="92"/>
  <c r="D25" i="92"/>
  <c r="L24" i="92"/>
  <c r="K24" i="92"/>
  <c r="J24" i="92"/>
  <c r="I24" i="92"/>
  <c r="H24" i="92"/>
  <c r="G24" i="92"/>
  <c r="F24" i="92"/>
  <c r="E24" i="92"/>
  <c r="D24" i="92"/>
  <c r="L23" i="92"/>
  <c r="K23" i="92"/>
  <c r="J23" i="92"/>
  <c r="I23" i="92"/>
  <c r="H23" i="92"/>
  <c r="G23" i="92"/>
  <c r="F23" i="92"/>
  <c r="E23" i="92"/>
  <c r="D23" i="92"/>
  <c r="L22" i="92"/>
  <c r="K22" i="92"/>
  <c r="J22" i="92"/>
  <c r="I22" i="92"/>
  <c r="H22" i="92"/>
  <c r="G22" i="92"/>
  <c r="F22" i="92"/>
  <c r="E22" i="92"/>
  <c r="D22" i="92"/>
  <c r="L21" i="92"/>
  <c r="K21" i="92"/>
  <c r="J21" i="92"/>
  <c r="I21" i="92"/>
  <c r="H21" i="92"/>
  <c r="G21" i="92"/>
  <c r="F21" i="92"/>
  <c r="E21" i="92"/>
  <c r="D21" i="92"/>
  <c r="L20" i="92"/>
  <c r="K20" i="92"/>
  <c r="J20" i="92"/>
  <c r="I20" i="92"/>
  <c r="H20" i="92"/>
  <c r="G20" i="92"/>
  <c r="F20" i="92"/>
  <c r="E20" i="92"/>
  <c r="D20" i="92"/>
  <c r="L19" i="92"/>
  <c r="K19" i="92"/>
  <c r="J19" i="92"/>
  <c r="I19" i="92"/>
  <c r="H19" i="92"/>
  <c r="G19" i="92"/>
  <c r="F19" i="92"/>
  <c r="E19" i="92"/>
  <c r="D19" i="92"/>
  <c r="L14" i="92"/>
  <c r="K14" i="92"/>
  <c r="J14" i="92"/>
  <c r="I14" i="92"/>
  <c r="H14" i="92"/>
  <c r="G14" i="92"/>
  <c r="F14" i="92"/>
  <c r="E14" i="92"/>
  <c r="D14" i="92"/>
  <c r="L13" i="92"/>
  <c r="K13" i="92"/>
  <c r="J13" i="92"/>
  <c r="I13" i="92"/>
  <c r="H13" i="92"/>
  <c r="G13" i="92"/>
  <c r="F13" i="92"/>
  <c r="E13" i="92"/>
  <c r="D13" i="92"/>
  <c r="L11" i="92"/>
  <c r="K11" i="92"/>
  <c r="J11" i="92"/>
  <c r="I11" i="92"/>
  <c r="H11" i="92"/>
  <c r="G11" i="92"/>
  <c r="F11" i="92"/>
  <c r="E11" i="92"/>
  <c r="D11" i="92"/>
  <c r="L10" i="92"/>
  <c r="K10" i="92"/>
  <c r="J10" i="92"/>
  <c r="I10" i="92"/>
  <c r="H10" i="92"/>
  <c r="G10" i="92"/>
  <c r="F10" i="92"/>
  <c r="E10" i="92"/>
  <c r="D10" i="92"/>
  <c r="I2" i="92"/>
  <c r="D25" i="142"/>
  <c r="K98" i="208"/>
  <c r="G98" i="208"/>
  <c r="J72" i="208"/>
  <c r="J73" i="208"/>
  <c r="K55" i="208"/>
  <c r="K77" i="208"/>
  <c r="G55" i="208"/>
  <c r="G77" i="208"/>
  <c r="G100" i="208"/>
  <c r="I41" i="235"/>
  <c r="I41" i="239"/>
  <c r="K100" i="208"/>
  <c r="L53" i="31"/>
  <c r="K53" i="31"/>
  <c r="J53" i="31"/>
  <c r="I53" i="31"/>
  <c r="H53" i="31"/>
  <c r="G53" i="31"/>
  <c r="F53" i="31"/>
  <c r="E53" i="31"/>
  <c r="D53" i="31"/>
  <c r="L50" i="31"/>
  <c r="K50" i="31"/>
  <c r="J50" i="31"/>
  <c r="I50" i="31"/>
  <c r="H50" i="31"/>
  <c r="G50" i="31"/>
  <c r="F50" i="31"/>
  <c r="E50" i="31"/>
  <c r="D50" i="31"/>
  <c r="L53" i="224"/>
  <c r="K53" i="224"/>
  <c r="J53" i="224"/>
  <c r="I53" i="224"/>
  <c r="H53" i="224"/>
  <c r="G53" i="224"/>
  <c r="F53" i="224"/>
  <c r="E53" i="224"/>
  <c r="D53" i="224"/>
  <c r="L53" i="240"/>
  <c r="K53" i="240"/>
  <c r="J53" i="240"/>
  <c r="I53" i="240"/>
  <c r="H53" i="240"/>
  <c r="G53" i="240"/>
  <c r="F53" i="240"/>
  <c r="E53" i="240"/>
  <c r="D53" i="240"/>
  <c r="L50" i="240"/>
  <c r="K50" i="240"/>
  <c r="J50" i="240"/>
  <c r="I50" i="240"/>
  <c r="H50" i="240"/>
  <c r="G50" i="240"/>
  <c r="F50" i="240"/>
  <c r="E50" i="240"/>
  <c r="D50" i="240"/>
  <c r="L50" i="224"/>
  <c r="K50" i="224"/>
  <c r="J50" i="224"/>
  <c r="I50" i="224"/>
  <c r="H50" i="224"/>
  <c r="G50" i="224"/>
  <c r="F50" i="224"/>
  <c r="E50" i="224"/>
  <c r="D50" i="224"/>
  <c r="AA69" i="31"/>
  <c r="P69" i="31"/>
  <c r="U69" i="31" s="1"/>
  <c r="L69" i="31"/>
  <c r="K69" i="31"/>
  <c r="J69" i="31"/>
  <c r="I69" i="31"/>
  <c r="H69" i="31"/>
  <c r="G69" i="31"/>
  <c r="F69" i="31"/>
  <c r="E69" i="31"/>
  <c r="D69" i="31"/>
  <c r="O69" i="31" s="1"/>
  <c r="AA69" i="224"/>
  <c r="P69" i="224"/>
  <c r="L69" i="224"/>
  <c r="K69" i="224"/>
  <c r="J69" i="224"/>
  <c r="I69" i="224"/>
  <c r="H69" i="224"/>
  <c r="G69" i="224"/>
  <c r="F69" i="224"/>
  <c r="E69" i="224"/>
  <c r="D69" i="224"/>
  <c r="AA69" i="240"/>
  <c r="P69" i="240"/>
  <c r="L69" i="240"/>
  <c r="K69" i="240"/>
  <c r="J69" i="240"/>
  <c r="I69" i="240"/>
  <c r="H69" i="240"/>
  <c r="G69" i="240"/>
  <c r="F69" i="240"/>
  <c r="E69" i="240"/>
  <c r="D69" i="240"/>
  <c r="L124" i="31"/>
  <c r="M107" i="31"/>
  <c r="L114" i="31" s="1"/>
  <c r="T99" i="31"/>
  <c r="Q99" i="31"/>
  <c r="Y15" i="209" s="1"/>
  <c r="O99" i="31"/>
  <c r="L99" i="31"/>
  <c r="K99" i="31"/>
  <c r="J99" i="31"/>
  <c r="I99" i="31"/>
  <c r="H99" i="31"/>
  <c r="G99" i="31"/>
  <c r="F99" i="31"/>
  <c r="E99" i="31"/>
  <c r="D99" i="31"/>
  <c r="L98" i="31"/>
  <c r="K98" i="31"/>
  <c r="J98" i="31"/>
  <c r="I98" i="31"/>
  <c r="H98" i="31"/>
  <c r="G98" i="31"/>
  <c r="M98" i="31" s="1"/>
  <c r="F98" i="31"/>
  <c r="E98" i="31"/>
  <c r="D98" i="31"/>
  <c r="L97" i="31"/>
  <c r="K97" i="31"/>
  <c r="J97" i="31"/>
  <c r="I97" i="31"/>
  <c r="H97" i="31"/>
  <c r="G97" i="31"/>
  <c r="F97" i="31"/>
  <c r="E97" i="31"/>
  <c r="D97" i="31"/>
  <c r="L96" i="31"/>
  <c r="K96" i="31"/>
  <c r="J96" i="31"/>
  <c r="I96" i="31"/>
  <c r="H96" i="31"/>
  <c r="G96" i="31"/>
  <c r="F96" i="31"/>
  <c r="D96" i="31"/>
  <c r="E96" i="31"/>
  <c r="L95" i="31"/>
  <c r="K95" i="31"/>
  <c r="J95" i="31"/>
  <c r="I95" i="31"/>
  <c r="H95" i="31"/>
  <c r="G95" i="31"/>
  <c r="D95" i="31"/>
  <c r="E95" i="31"/>
  <c r="F95" i="31"/>
  <c r="L94" i="31"/>
  <c r="K94" i="31"/>
  <c r="J94" i="31"/>
  <c r="I94" i="31"/>
  <c r="H94" i="31"/>
  <c r="D94" i="31"/>
  <c r="E94" i="31"/>
  <c r="F94" i="31"/>
  <c r="G94" i="31"/>
  <c r="L89" i="31"/>
  <c r="L88" i="31"/>
  <c r="K89" i="31"/>
  <c r="J89" i="31"/>
  <c r="I89" i="31"/>
  <c r="I88" i="31"/>
  <c r="I90" i="31"/>
  <c r="H89" i="31"/>
  <c r="G89" i="31"/>
  <c r="F89" i="31"/>
  <c r="E89" i="31"/>
  <c r="D89" i="31"/>
  <c r="D88" i="31"/>
  <c r="K88" i="31"/>
  <c r="J88" i="31"/>
  <c r="H88" i="31"/>
  <c r="G88" i="31"/>
  <c r="G90" i="31" s="1"/>
  <c r="F88" i="31"/>
  <c r="E88" i="31"/>
  <c r="R87" i="31"/>
  <c r="R84" i="31"/>
  <c r="L122" i="31"/>
  <c r="L84" i="31"/>
  <c r="K84" i="31"/>
  <c r="J84" i="31"/>
  <c r="J85" i="31" s="1"/>
  <c r="I84" i="31"/>
  <c r="H84" i="31"/>
  <c r="G84" i="31"/>
  <c r="F84" i="31"/>
  <c r="E84" i="31"/>
  <c r="D84" i="31"/>
  <c r="L83" i="31"/>
  <c r="K83" i="31"/>
  <c r="K85" i="31" s="1"/>
  <c r="J83" i="31"/>
  <c r="I83" i="31"/>
  <c r="I81" i="31"/>
  <c r="I82" i="31"/>
  <c r="H83" i="31"/>
  <c r="G83" i="31"/>
  <c r="F83" i="31"/>
  <c r="F81" i="31"/>
  <c r="F85" i="31" s="1"/>
  <c r="F82" i="31"/>
  <c r="E83" i="31"/>
  <c r="D83" i="31"/>
  <c r="L82" i="31"/>
  <c r="K82" i="31"/>
  <c r="J82" i="31"/>
  <c r="H82" i="31"/>
  <c r="G82" i="31"/>
  <c r="D82" i="31"/>
  <c r="E82" i="31"/>
  <c r="L81" i="31"/>
  <c r="K81" i="31"/>
  <c r="J81" i="31"/>
  <c r="H81" i="31"/>
  <c r="G81" i="31"/>
  <c r="G85" i="31" s="1"/>
  <c r="E81" i="31"/>
  <c r="D81" i="31"/>
  <c r="L77" i="31"/>
  <c r="K77" i="31"/>
  <c r="J77" i="31"/>
  <c r="I77" i="31"/>
  <c r="D77" i="31"/>
  <c r="E77" i="31"/>
  <c r="F77" i="31"/>
  <c r="G77" i="31"/>
  <c r="H77" i="31"/>
  <c r="L76" i="31"/>
  <c r="K76" i="31"/>
  <c r="J76" i="31"/>
  <c r="D76" i="31"/>
  <c r="E76" i="31"/>
  <c r="F76" i="31"/>
  <c r="G76" i="31"/>
  <c r="H76" i="31"/>
  <c r="I76" i="31"/>
  <c r="AA75" i="31"/>
  <c r="P75" i="31"/>
  <c r="L75" i="31"/>
  <c r="K75" i="31"/>
  <c r="J75" i="31"/>
  <c r="I75" i="31"/>
  <c r="H75" i="31"/>
  <c r="G75" i="31"/>
  <c r="F75" i="31"/>
  <c r="E75" i="31"/>
  <c r="D75" i="31"/>
  <c r="AA74" i="31"/>
  <c r="W74" i="31"/>
  <c r="V74" i="31"/>
  <c r="P74" i="31"/>
  <c r="U74" i="31" s="1"/>
  <c r="L74" i="31"/>
  <c r="K74" i="31"/>
  <c r="J74" i="31"/>
  <c r="I74" i="31"/>
  <c r="H74" i="31"/>
  <c r="G74" i="31"/>
  <c r="F74" i="31"/>
  <c r="E74" i="31"/>
  <c r="D74" i="31"/>
  <c r="AA73" i="31"/>
  <c r="W73" i="31"/>
  <c r="V73" i="31"/>
  <c r="P73" i="31"/>
  <c r="U73" i="31" s="1"/>
  <c r="L73" i="31"/>
  <c r="K73" i="31"/>
  <c r="J73" i="31"/>
  <c r="I73" i="31"/>
  <c r="H73" i="31"/>
  <c r="G73" i="31"/>
  <c r="D73" i="31"/>
  <c r="E73" i="31"/>
  <c r="O73" i="31" s="1"/>
  <c r="F73" i="31"/>
  <c r="AA72" i="31"/>
  <c r="W72" i="31"/>
  <c r="V72" i="31"/>
  <c r="P72" i="31"/>
  <c r="U72" i="31" s="1"/>
  <c r="L72" i="31"/>
  <c r="K72" i="31"/>
  <c r="J72" i="31"/>
  <c r="O72" i="31" s="1"/>
  <c r="R72" i="31" s="1"/>
  <c r="I72" i="31"/>
  <c r="H72" i="31"/>
  <c r="G72" i="31"/>
  <c r="F72" i="31"/>
  <c r="E72" i="31"/>
  <c r="D72" i="31"/>
  <c r="T72" i="31" s="1"/>
  <c r="AA71" i="31"/>
  <c r="W71" i="31"/>
  <c r="V71" i="31"/>
  <c r="Q71" i="31"/>
  <c r="P71" i="31"/>
  <c r="U71" i="31" s="1"/>
  <c r="L71" i="31"/>
  <c r="K71" i="31"/>
  <c r="J71" i="31"/>
  <c r="I71" i="31"/>
  <c r="H71" i="31"/>
  <c r="M71" i="31" s="1"/>
  <c r="AB71" i="31" s="1"/>
  <c r="G71" i="31"/>
  <c r="F71" i="31"/>
  <c r="E71" i="31"/>
  <c r="D71" i="31"/>
  <c r="AA70" i="31"/>
  <c r="W70" i="31"/>
  <c r="V70" i="31"/>
  <c r="P70" i="31"/>
  <c r="L70" i="31"/>
  <c r="K70" i="31"/>
  <c r="J70" i="31"/>
  <c r="I70" i="31"/>
  <c r="H70" i="31"/>
  <c r="G70" i="31"/>
  <c r="D70" i="31"/>
  <c r="E70" i="31"/>
  <c r="F70" i="31"/>
  <c r="AA68" i="31"/>
  <c r="W68" i="31"/>
  <c r="V68" i="31"/>
  <c r="P68" i="31"/>
  <c r="U68" i="31" s="1"/>
  <c r="L68" i="31"/>
  <c r="L66" i="31"/>
  <c r="L67" i="31"/>
  <c r="K68" i="31"/>
  <c r="J68" i="31"/>
  <c r="I68" i="31"/>
  <c r="H68" i="31"/>
  <c r="G68" i="31"/>
  <c r="F68" i="31"/>
  <c r="E68" i="31"/>
  <c r="D68" i="31"/>
  <c r="T68" i="31" s="1"/>
  <c r="X68" i="31" s="1"/>
  <c r="AA67" i="31"/>
  <c r="W67" i="31"/>
  <c r="V67" i="31"/>
  <c r="P67" i="31"/>
  <c r="U67" i="31" s="1"/>
  <c r="K67" i="31"/>
  <c r="K66" i="31"/>
  <c r="J67" i="31"/>
  <c r="I67" i="31"/>
  <c r="I66" i="31"/>
  <c r="H67" i="31"/>
  <c r="G67" i="31"/>
  <c r="F67" i="31"/>
  <c r="E67" i="31"/>
  <c r="D67" i="31"/>
  <c r="D66" i="31"/>
  <c r="AA66" i="31"/>
  <c r="W66" i="31"/>
  <c r="V66" i="31"/>
  <c r="P66" i="31"/>
  <c r="J66" i="31"/>
  <c r="H66" i="31"/>
  <c r="G66" i="31"/>
  <c r="F66" i="31"/>
  <c r="E66" i="31"/>
  <c r="T66" i="31" s="1"/>
  <c r="X66" i="31" s="1"/>
  <c r="L61" i="31"/>
  <c r="K61" i="31"/>
  <c r="J61" i="31"/>
  <c r="I61" i="31"/>
  <c r="H61" i="31"/>
  <c r="G61" i="31"/>
  <c r="D61" i="31"/>
  <c r="E61" i="31"/>
  <c r="F61" i="31"/>
  <c r="L60" i="31"/>
  <c r="K60" i="31"/>
  <c r="J60" i="31"/>
  <c r="I60" i="31"/>
  <c r="H60" i="31"/>
  <c r="D60" i="31"/>
  <c r="E60" i="31"/>
  <c r="F60" i="31"/>
  <c r="G60" i="31"/>
  <c r="L59" i="31"/>
  <c r="K59" i="31"/>
  <c r="J59" i="31"/>
  <c r="I59" i="31"/>
  <c r="D59" i="31"/>
  <c r="E59" i="31"/>
  <c r="F59" i="31"/>
  <c r="G59" i="31"/>
  <c r="H59" i="31"/>
  <c r="L58" i="31"/>
  <c r="K58" i="31"/>
  <c r="J58" i="31"/>
  <c r="D58" i="31"/>
  <c r="M58" i="31" s="1"/>
  <c r="B34" i="30" s="1"/>
  <c r="E58" i="31"/>
  <c r="F58" i="31"/>
  <c r="G58" i="31"/>
  <c r="H58" i="31"/>
  <c r="I58" i="31"/>
  <c r="E56" i="31"/>
  <c r="E57" i="31"/>
  <c r="L57" i="31"/>
  <c r="K57" i="31"/>
  <c r="K56" i="31"/>
  <c r="J57" i="31"/>
  <c r="I57" i="31"/>
  <c r="H57" i="31"/>
  <c r="G57" i="31"/>
  <c r="F57" i="31"/>
  <c r="D57" i="31"/>
  <c r="L56" i="31"/>
  <c r="L62" i="31" s="1"/>
  <c r="J56" i="31"/>
  <c r="I56" i="31"/>
  <c r="H56" i="31"/>
  <c r="G56" i="31"/>
  <c r="F56" i="31"/>
  <c r="D56" i="31"/>
  <c r="L47" i="31"/>
  <c r="K47" i="31"/>
  <c r="J47" i="31"/>
  <c r="I47" i="31"/>
  <c r="H47" i="31"/>
  <c r="G47" i="31"/>
  <c r="F47" i="31"/>
  <c r="E47" i="31"/>
  <c r="D47" i="31"/>
  <c r="L41" i="31"/>
  <c r="K41" i="31"/>
  <c r="J41" i="31"/>
  <c r="I41" i="31"/>
  <c r="H41" i="31"/>
  <c r="G41" i="31"/>
  <c r="F41" i="31"/>
  <c r="F36" i="31"/>
  <c r="F37" i="31"/>
  <c r="F38" i="31"/>
  <c r="F39" i="31"/>
  <c r="F40" i="31"/>
  <c r="E41" i="31"/>
  <c r="D41" i="31"/>
  <c r="L40" i="31"/>
  <c r="K40" i="31"/>
  <c r="J40" i="31"/>
  <c r="I40" i="31"/>
  <c r="H40" i="31"/>
  <c r="G40" i="31"/>
  <c r="D40" i="31"/>
  <c r="E40" i="31"/>
  <c r="L39" i="31"/>
  <c r="K39" i="31"/>
  <c r="J39" i="31"/>
  <c r="I39" i="31"/>
  <c r="H39" i="31"/>
  <c r="D39" i="31"/>
  <c r="E39" i="31"/>
  <c r="G39" i="31"/>
  <c r="L38" i="31"/>
  <c r="K38" i="31"/>
  <c r="J38" i="31"/>
  <c r="I38" i="31"/>
  <c r="D38" i="31"/>
  <c r="E38" i="31"/>
  <c r="G38" i="31"/>
  <c r="H38" i="31"/>
  <c r="L37" i="31"/>
  <c r="L42" i="31" s="1"/>
  <c r="K37" i="31"/>
  <c r="K42" i="31" s="1"/>
  <c r="J37" i="31"/>
  <c r="I37" i="31"/>
  <c r="H37" i="31"/>
  <c r="G37" i="31"/>
  <c r="E37" i="31"/>
  <c r="E36" i="31"/>
  <c r="D37" i="31"/>
  <c r="L36" i="31"/>
  <c r="K36" i="31"/>
  <c r="J36" i="31"/>
  <c r="I36" i="31"/>
  <c r="H36" i="31"/>
  <c r="H31" i="31" s="1"/>
  <c r="G36" i="31"/>
  <c r="D36" i="31"/>
  <c r="D31" i="31" s="1"/>
  <c r="L35" i="31"/>
  <c r="L32" i="31"/>
  <c r="L33" i="31"/>
  <c r="L34" i="31"/>
  <c r="K35" i="31"/>
  <c r="J35" i="31"/>
  <c r="I35" i="31"/>
  <c r="H35" i="31"/>
  <c r="G35" i="31"/>
  <c r="F35" i="31"/>
  <c r="E35" i="31"/>
  <c r="D35" i="31"/>
  <c r="R34" i="31"/>
  <c r="K34" i="31"/>
  <c r="J34" i="31"/>
  <c r="I34" i="31"/>
  <c r="I31" i="31" s="1"/>
  <c r="H34" i="31"/>
  <c r="G34" i="31"/>
  <c r="F34" i="31"/>
  <c r="D34" i="31"/>
  <c r="E34" i="31"/>
  <c r="K33" i="31"/>
  <c r="J33" i="31"/>
  <c r="J32" i="31"/>
  <c r="I33" i="31"/>
  <c r="H33" i="31"/>
  <c r="G33" i="31"/>
  <c r="D33" i="31"/>
  <c r="M33" i="31" s="1"/>
  <c r="E33" i="31"/>
  <c r="F33" i="31"/>
  <c r="Q32" i="31"/>
  <c r="K32" i="31"/>
  <c r="I32" i="31"/>
  <c r="H32" i="31"/>
  <c r="G32" i="31"/>
  <c r="G31" i="31" s="1"/>
  <c r="F32" i="31"/>
  <c r="E32" i="31"/>
  <c r="D32" i="31"/>
  <c r="L28" i="31"/>
  <c r="K28" i="31"/>
  <c r="J28" i="31"/>
  <c r="I28" i="31"/>
  <c r="H28" i="31"/>
  <c r="G28" i="31"/>
  <c r="F28" i="31"/>
  <c r="M28" i="31" s="1"/>
  <c r="E28" i="31"/>
  <c r="D28" i="31"/>
  <c r="K27" i="31"/>
  <c r="J27" i="31"/>
  <c r="J23" i="31"/>
  <c r="J24" i="31"/>
  <c r="J25" i="31"/>
  <c r="J26" i="31"/>
  <c r="I27" i="31"/>
  <c r="H27" i="31"/>
  <c r="G27" i="31"/>
  <c r="F27" i="31"/>
  <c r="E27" i="31"/>
  <c r="D27" i="31"/>
  <c r="L26" i="31"/>
  <c r="K26" i="31"/>
  <c r="K23" i="31"/>
  <c r="K24" i="31"/>
  <c r="K25" i="31"/>
  <c r="I26" i="31"/>
  <c r="H26" i="31"/>
  <c r="G26" i="31"/>
  <c r="F26" i="31"/>
  <c r="E26" i="31"/>
  <c r="D26" i="31"/>
  <c r="L25" i="31"/>
  <c r="I25" i="31"/>
  <c r="H25" i="31"/>
  <c r="G25" i="31"/>
  <c r="F25" i="31"/>
  <c r="E25" i="31"/>
  <c r="L24" i="31"/>
  <c r="I24" i="31"/>
  <c r="H24" i="31"/>
  <c r="G24" i="31"/>
  <c r="F24" i="31"/>
  <c r="E24" i="31"/>
  <c r="D24" i="31"/>
  <c r="L23" i="31"/>
  <c r="I23" i="31"/>
  <c r="I29" i="31" s="1"/>
  <c r="H23" i="31"/>
  <c r="G23" i="31"/>
  <c r="F23" i="31"/>
  <c r="E23" i="31"/>
  <c r="D23" i="31"/>
  <c r="L22" i="31"/>
  <c r="K22" i="31"/>
  <c r="J22" i="31"/>
  <c r="I22" i="31"/>
  <c r="H22" i="31"/>
  <c r="G22" i="31"/>
  <c r="F22" i="31"/>
  <c r="D22" i="31"/>
  <c r="E22" i="31"/>
  <c r="L21" i="31"/>
  <c r="K21" i="31"/>
  <c r="J21" i="31"/>
  <c r="I21" i="31"/>
  <c r="H21" i="31"/>
  <c r="G21" i="31"/>
  <c r="D21" i="31"/>
  <c r="E21" i="31"/>
  <c r="F21" i="31"/>
  <c r="L20" i="31"/>
  <c r="L18" i="31" s="1"/>
  <c r="K20" i="31"/>
  <c r="K19" i="31"/>
  <c r="J20" i="31"/>
  <c r="I20" i="31"/>
  <c r="H20" i="31"/>
  <c r="H19" i="31"/>
  <c r="H18" i="31" s="1"/>
  <c r="G20" i="31"/>
  <c r="F20" i="31"/>
  <c r="E20" i="31"/>
  <c r="D20" i="31"/>
  <c r="L19" i="31"/>
  <c r="J19" i="31"/>
  <c r="I19" i="31"/>
  <c r="I10" i="31"/>
  <c r="I11" i="31"/>
  <c r="I13" i="31"/>
  <c r="I14" i="31"/>
  <c r="G19" i="31"/>
  <c r="F19" i="31"/>
  <c r="E19" i="31"/>
  <c r="D19" i="31"/>
  <c r="M19" i="31" s="1"/>
  <c r="L14" i="31"/>
  <c r="K14" i="31"/>
  <c r="J14" i="31"/>
  <c r="J10" i="31"/>
  <c r="J15" i="31" s="1"/>
  <c r="J11" i="31"/>
  <c r="J13" i="31"/>
  <c r="H14" i="31"/>
  <c r="G14" i="31"/>
  <c r="F14" i="31"/>
  <c r="E14" i="31"/>
  <c r="D14" i="31"/>
  <c r="L13" i="31"/>
  <c r="K13" i="31"/>
  <c r="K10" i="31"/>
  <c r="K11" i="31"/>
  <c r="H13" i="31"/>
  <c r="G13" i="31"/>
  <c r="F13" i="31"/>
  <c r="E13" i="31"/>
  <c r="D13" i="31"/>
  <c r="L11" i="31"/>
  <c r="L10" i="31"/>
  <c r="H11" i="31"/>
  <c r="G11" i="31"/>
  <c r="F11" i="31"/>
  <c r="E11" i="31"/>
  <c r="D11" i="31"/>
  <c r="D10" i="31"/>
  <c r="H10" i="31"/>
  <c r="G10" i="31"/>
  <c r="F10" i="31"/>
  <c r="E10" i="31"/>
  <c r="I2" i="31"/>
  <c r="B2" i="31"/>
  <c r="P13" i="31"/>
  <c r="F90" i="31"/>
  <c r="E90" i="31"/>
  <c r="L123" i="31"/>
  <c r="L85" i="31"/>
  <c r="Q76" i="31"/>
  <c r="W69" i="31"/>
  <c r="V69" i="31"/>
  <c r="U66" i="31"/>
  <c r="L116" i="31"/>
  <c r="L115" i="31"/>
  <c r="L27" i="31"/>
  <c r="D25" i="31"/>
  <c r="M7" i="31"/>
  <c r="B6" i="31"/>
  <c r="B4" i="31"/>
  <c r="B3" i="31"/>
  <c r="O71" i="31"/>
  <c r="R71" i="31" s="1"/>
  <c r="K90" i="31"/>
  <c r="T69" i="31"/>
  <c r="X69" i="31" s="1"/>
  <c r="G62" i="31"/>
  <c r="M10" i="31"/>
  <c r="T71" i="31"/>
  <c r="O74" i="31"/>
  <c r="L118" i="31"/>
  <c r="J42" i="31"/>
  <c r="D15" i="31"/>
  <c r="B44" i="242"/>
  <c r="T77" i="230"/>
  <c r="S77" i="230"/>
  <c r="D25" i="127"/>
  <c r="F58" i="214"/>
  <c r="F57" i="214"/>
  <c r="F56" i="214"/>
  <c r="F55" i="214"/>
  <c r="F54" i="214"/>
  <c r="F53" i="214"/>
  <c r="F52" i="214"/>
  <c r="F51" i="214"/>
  <c r="F50" i="214"/>
  <c r="F49" i="214"/>
  <c r="F48" i="214"/>
  <c r="D45" i="239"/>
  <c r="L124" i="240"/>
  <c r="D29" i="239"/>
  <c r="B1" i="241"/>
  <c r="M107" i="240"/>
  <c r="T99" i="240"/>
  <c r="J64" i="215"/>
  <c r="Q99" i="240"/>
  <c r="I64" i="215" s="1"/>
  <c r="O99" i="240"/>
  <c r="H64" i="215" s="1"/>
  <c r="L99" i="240"/>
  <c r="K99" i="240"/>
  <c r="J99" i="240"/>
  <c r="I99" i="240"/>
  <c r="H99" i="240"/>
  <c r="G99" i="240"/>
  <c r="F99" i="240"/>
  <c r="M99" i="240" s="1"/>
  <c r="E99" i="240"/>
  <c r="D99" i="240"/>
  <c r="L98" i="240"/>
  <c r="K98" i="240"/>
  <c r="J98" i="240"/>
  <c r="I98" i="240"/>
  <c r="H98" i="240"/>
  <c r="G98" i="240"/>
  <c r="F98" i="240"/>
  <c r="E98" i="240"/>
  <c r="D98" i="240"/>
  <c r="L97" i="240"/>
  <c r="K97" i="240"/>
  <c r="J97" i="240"/>
  <c r="I97" i="240"/>
  <c r="H97" i="240"/>
  <c r="G97" i="240"/>
  <c r="F97" i="240"/>
  <c r="E97" i="240"/>
  <c r="D97" i="240"/>
  <c r="L96" i="240"/>
  <c r="K96" i="240"/>
  <c r="J96" i="240"/>
  <c r="I96" i="240"/>
  <c r="H96" i="240"/>
  <c r="G96" i="240"/>
  <c r="F96" i="240"/>
  <c r="E96" i="240"/>
  <c r="D96" i="240"/>
  <c r="L95" i="240"/>
  <c r="K95" i="240"/>
  <c r="J95" i="240"/>
  <c r="I95" i="240"/>
  <c r="H95" i="240"/>
  <c r="G95" i="240"/>
  <c r="F95" i="240"/>
  <c r="E95" i="240"/>
  <c r="D95" i="240"/>
  <c r="L94" i="240"/>
  <c r="K94" i="240"/>
  <c r="M94" i="240" s="1"/>
  <c r="J94" i="240"/>
  <c r="I94" i="240"/>
  <c r="H94" i="240"/>
  <c r="G94" i="240"/>
  <c r="F94" i="240"/>
  <c r="E94" i="240"/>
  <c r="D94" i="240"/>
  <c r="L89" i="240"/>
  <c r="K89" i="240"/>
  <c r="J89" i="240"/>
  <c r="I89" i="240"/>
  <c r="H89" i="240"/>
  <c r="G89" i="240"/>
  <c r="G88" i="240"/>
  <c r="F89" i="240"/>
  <c r="D65" i="239"/>
  <c r="E89" i="240"/>
  <c r="D89" i="240"/>
  <c r="L88" i="240"/>
  <c r="K88" i="240"/>
  <c r="K90" i="240" s="1"/>
  <c r="J88" i="240"/>
  <c r="I88" i="240"/>
  <c r="H88" i="240"/>
  <c r="F88" i="240"/>
  <c r="E88" i="240"/>
  <c r="D88" i="240"/>
  <c r="R87" i="240"/>
  <c r="B27" i="241"/>
  <c r="R84" i="240"/>
  <c r="B23" i="241" s="1"/>
  <c r="L84" i="240"/>
  <c r="K84" i="240"/>
  <c r="J84" i="240"/>
  <c r="I84" i="240"/>
  <c r="H84" i="240"/>
  <c r="G84" i="240"/>
  <c r="F84" i="240"/>
  <c r="D60" i="239" s="1"/>
  <c r="E84" i="240"/>
  <c r="D84" i="240"/>
  <c r="L83" i="240"/>
  <c r="K83" i="240"/>
  <c r="J83" i="240"/>
  <c r="I83" i="240"/>
  <c r="H83" i="240"/>
  <c r="G83" i="240"/>
  <c r="F83" i="240"/>
  <c r="E83" i="240"/>
  <c r="D83" i="240"/>
  <c r="L82" i="240"/>
  <c r="K82" i="240"/>
  <c r="J82" i="240"/>
  <c r="I82" i="240"/>
  <c r="H82" i="240"/>
  <c r="H85" i="240" s="1"/>
  <c r="G82" i="240"/>
  <c r="F82" i="240"/>
  <c r="E82" i="240"/>
  <c r="D82" i="240"/>
  <c r="L81" i="240"/>
  <c r="K81" i="240"/>
  <c r="J81" i="240"/>
  <c r="I81" i="240"/>
  <c r="H81" i="240"/>
  <c r="G81" i="240"/>
  <c r="F81" i="240"/>
  <c r="D57" i="239"/>
  <c r="E81" i="240"/>
  <c r="D81" i="240"/>
  <c r="L77" i="240"/>
  <c r="K77" i="240"/>
  <c r="J77" i="240"/>
  <c r="I77" i="240"/>
  <c r="H77" i="240"/>
  <c r="G77" i="240"/>
  <c r="F77" i="240"/>
  <c r="D53" i="239" s="1"/>
  <c r="E77" i="240"/>
  <c r="D77" i="240"/>
  <c r="L76" i="240"/>
  <c r="K76" i="240"/>
  <c r="J76" i="240"/>
  <c r="I76" i="240"/>
  <c r="H76" i="240"/>
  <c r="G76" i="240"/>
  <c r="F76" i="240"/>
  <c r="D52" i="239" s="1"/>
  <c r="E76" i="240"/>
  <c r="D76" i="240"/>
  <c r="AA75" i="240"/>
  <c r="P75" i="240"/>
  <c r="L75" i="240"/>
  <c r="K75" i="240"/>
  <c r="J75" i="240"/>
  <c r="I75" i="240"/>
  <c r="H75" i="240"/>
  <c r="G75" i="240"/>
  <c r="F75" i="240"/>
  <c r="D73" i="239"/>
  <c r="E75" i="240"/>
  <c r="D75" i="240"/>
  <c r="AA74" i="240"/>
  <c r="W74" i="240"/>
  <c r="V74" i="240"/>
  <c r="P74" i="240"/>
  <c r="U74" i="240" s="1"/>
  <c r="L74" i="240"/>
  <c r="K74" i="240"/>
  <c r="J74" i="240"/>
  <c r="D74" i="240"/>
  <c r="E74" i="240"/>
  <c r="G74" i="240"/>
  <c r="I74" i="240"/>
  <c r="H74" i="240"/>
  <c r="F74" i="240"/>
  <c r="D50" i="239" s="1"/>
  <c r="AA73" i="240"/>
  <c r="W73" i="240"/>
  <c r="V73" i="240"/>
  <c r="P73" i="240"/>
  <c r="U73" i="240" s="1"/>
  <c r="L73" i="240"/>
  <c r="K73" i="240"/>
  <c r="J73" i="240"/>
  <c r="I73" i="240"/>
  <c r="I78" i="240" s="1"/>
  <c r="H73" i="240"/>
  <c r="G73" i="240"/>
  <c r="F73" i="240"/>
  <c r="D49" i="239" s="1"/>
  <c r="E73" i="240"/>
  <c r="D73" i="240"/>
  <c r="AA72" i="240"/>
  <c r="W72" i="240"/>
  <c r="V72" i="240"/>
  <c r="P72" i="240"/>
  <c r="U72" i="240"/>
  <c r="L72" i="240"/>
  <c r="K72" i="240"/>
  <c r="J72" i="240"/>
  <c r="I72" i="240"/>
  <c r="H72" i="240"/>
  <c r="G72" i="240"/>
  <c r="F72" i="240"/>
  <c r="D48" i="239"/>
  <c r="E72" i="240"/>
  <c r="D72" i="240"/>
  <c r="AA71" i="240"/>
  <c r="W71" i="240"/>
  <c r="V71" i="240"/>
  <c r="Q71" i="240"/>
  <c r="P71" i="240"/>
  <c r="U71" i="240"/>
  <c r="L71" i="240"/>
  <c r="K71" i="240"/>
  <c r="J71" i="240"/>
  <c r="I71" i="240"/>
  <c r="H71" i="240"/>
  <c r="M71" i="240" s="1"/>
  <c r="B47" i="239" s="1"/>
  <c r="G71" i="240"/>
  <c r="F71" i="240"/>
  <c r="D47" i="239"/>
  <c r="E71" i="240"/>
  <c r="D71" i="240"/>
  <c r="AA70" i="240"/>
  <c r="W70" i="240"/>
  <c r="V70" i="240"/>
  <c r="P70" i="240"/>
  <c r="U70" i="240" s="1"/>
  <c r="L70" i="240"/>
  <c r="L78" i="240" s="1"/>
  <c r="K70" i="240"/>
  <c r="J70" i="240"/>
  <c r="I70" i="240"/>
  <c r="H70" i="240"/>
  <c r="G70" i="240"/>
  <c r="F70" i="240"/>
  <c r="E70" i="240"/>
  <c r="D70" i="240"/>
  <c r="AA68" i="240"/>
  <c r="W68" i="240"/>
  <c r="V68" i="240"/>
  <c r="P68" i="240"/>
  <c r="U68" i="240"/>
  <c r="L68" i="240"/>
  <c r="K68" i="240"/>
  <c r="J68" i="240"/>
  <c r="I68" i="240"/>
  <c r="H68" i="240"/>
  <c r="G68" i="240"/>
  <c r="F68" i="240"/>
  <c r="D44" i="239"/>
  <c r="E73" i="239" s="1"/>
  <c r="E68" i="240"/>
  <c r="D68" i="240"/>
  <c r="AA67" i="240"/>
  <c r="W67" i="240"/>
  <c r="V67" i="240"/>
  <c r="P67" i="240"/>
  <c r="L67" i="240"/>
  <c r="K67" i="240"/>
  <c r="J67" i="240"/>
  <c r="I67" i="240"/>
  <c r="H67" i="240"/>
  <c r="G67" i="240"/>
  <c r="F67" i="240"/>
  <c r="D43" i="239" s="1"/>
  <c r="E67" i="240"/>
  <c r="D67" i="240"/>
  <c r="AA66" i="240"/>
  <c r="W66" i="240"/>
  <c r="V66" i="240"/>
  <c r="P66" i="240"/>
  <c r="U66" i="240" s="1"/>
  <c r="L66" i="240"/>
  <c r="K66" i="240"/>
  <c r="J66" i="240"/>
  <c r="I66" i="240"/>
  <c r="H66" i="240"/>
  <c r="G66" i="240"/>
  <c r="F66" i="240"/>
  <c r="E66" i="240"/>
  <c r="T66" i="240" s="1"/>
  <c r="X66" i="240" s="1"/>
  <c r="D66" i="240"/>
  <c r="L61" i="240"/>
  <c r="K61" i="240"/>
  <c r="J61" i="240"/>
  <c r="I61" i="240"/>
  <c r="H61" i="240"/>
  <c r="G61" i="240"/>
  <c r="F61" i="240"/>
  <c r="D37" i="239" s="1"/>
  <c r="E61" i="240"/>
  <c r="D61" i="240"/>
  <c r="L60" i="240"/>
  <c r="K60" i="240"/>
  <c r="J60" i="240"/>
  <c r="J62" i="240" s="1"/>
  <c r="I60" i="240"/>
  <c r="H60" i="240"/>
  <c r="G60" i="240"/>
  <c r="M60" i="240" s="1"/>
  <c r="F60" i="240"/>
  <c r="D76" i="239"/>
  <c r="E60" i="240"/>
  <c r="D60" i="240"/>
  <c r="L59" i="240"/>
  <c r="L62" i="240" s="1"/>
  <c r="K59" i="240"/>
  <c r="J59" i="240"/>
  <c r="I59" i="240"/>
  <c r="H59" i="240"/>
  <c r="G59" i="240"/>
  <c r="F59" i="240"/>
  <c r="D35" i="239"/>
  <c r="E59" i="240"/>
  <c r="D59" i="240"/>
  <c r="L58" i="240"/>
  <c r="K58" i="240"/>
  <c r="K62" i="240" s="1"/>
  <c r="J58" i="240"/>
  <c r="I58" i="240"/>
  <c r="H58" i="240"/>
  <c r="G58" i="240"/>
  <c r="F58" i="240"/>
  <c r="D34" i="239" s="1"/>
  <c r="E58" i="240"/>
  <c r="D58" i="240"/>
  <c r="L57" i="240"/>
  <c r="K57" i="240"/>
  <c r="J57" i="240"/>
  <c r="I57" i="240"/>
  <c r="H57" i="240"/>
  <c r="H62" i="240" s="1"/>
  <c r="G57" i="240"/>
  <c r="F57" i="240"/>
  <c r="E57" i="240"/>
  <c r="D57" i="240"/>
  <c r="L56" i="240"/>
  <c r="K56" i="240"/>
  <c r="J56" i="240"/>
  <c r="I56" i="240"/>
  <c r="H56" i="240"/>
  <c r="G56" i="240"/>
  <c r="F56" i="240"/>
  <c r="E56" i="240"/>
  <c r="D56" i="240"/>
  <c r="L47" i="240"/>
  <c r="K47" i="240"/>
  <c r="J47" i="240"/>
  <c r="I47" i="240"/>
  <c r="H47" i="240"/>
  <c r="G47" i="240"/>
  <c r="F47" i="240"/>
  <c r="D23" i="239" s="1"/>
  <c r="E47" i="240"/>
  <c r="D47" i="240"/>
  <c r="L41" i="240"/>
  <c r="K41" i="240"/>
  <c r="J41" i="240"/>
  <c r="I41" i="240"/>
  <c r="H41" i="240"/>
  <c r="G41" i="240"/>
  <c r="F41" i="240"/>
  <c r="E41" i="240"/>
  <c r="D41" i="240"/>
  <c r="L40" i="240"/>
  <c r="K40" i="240"/>
  <c r="J40" i="240"/>
  <c r="I40" i="240"/>
  <c r="I42" i="240" s="1"/>
  <c r="I44" i="240" s="1"/>
  <c r="H40" i="240"/>
  <c r="G40" i="240"/>
  <c r="F40" i="240"/>
  <c r="E40" i="240"/>
  <c r="D40" i="240"/>
  <c r="L39" i="240"/>
  <c r="K39" i="240"/>
  <c r="J39" i="240"/>
  <c r="I39" i="240"/>
  <c r="H39" i="240"/>
  <c r="G39" i="240"/>
  <c r="F39" i="240"/>
  <c r="E39" i="240"/>
  <c r="D39" i="240"/>
  <c r="L38" i="240"/>
  <c r="K38" i="240"/>
  <c r="K42" i="240" s="1"/>
  <c r="J38" i="240"/>
  <c r="I38" i="240"/>
  <c r="H38" i="240"/>
  <c r="G38" i="240"/>
  <c r="F38" i="240"/>
  <c r="E38" i="240"/>
  <c r="D38" i="240"/>
  <c r="L37" i="240"/>
  <c r="K37" i="240"/>
  <c r="J37" i="240"/>
  <c r="I37" i="240"/>
  <c r="H37" i="240"/>
  <c r="G37" i="240"/>
  <c r="F37" i="240"/>
  <c r="E37" i="240"/>
  <c r="D37" i="240"/>
  <c r="M37" i="240" s="1"/>
  <c r="L36" i="240"/>
  <c r="K36" i="240"/>
  <c r="J36" i="240"/>
  <c r="I36" i="240"/>
  <c r="H36" i="240"/>
  <c r="G36" i="240"/>
  <c r="F36" i="240"/>
  <c r="E36" i="240"/>
  <c r="D36" i="240"/>
  <c r="L35" i="240"/>
  <c r="K35" i="240"/>
  <c r="J35" i="240"/>
  <c r="I35" i="240"/>
  <c r="H35" i="240"/>
  <c r="G35" i="240"/>
  <c r="F35" i="240"/>
  <c r="M35" i="240" s="1"/>
  <c r="E35" i="240"/>
  <c r="D35" i="240"/>
  <c r="R34" i="240"/>
  <c r="L116" i="240"/>
  <c r="L34" i="240"/>
  <c r="K34" i="240"/>
  <c r="K31" i="240" s="1"/>
  <c r="J34" i="240"/>
  <c r="I34" i="240"/>
  <c r="H34" i="240"/>
  <c r="G34" i="240"/>
  <c r="F34" i="240"/>
  <c r="E34" i="240"/>
  <c r="D34" i="240"/>
  <c r="L33" i="240"/>
  <c r="K33" i="240"/>
  <c r="J33" i="240"/>
  <c r="I33" i="240"/>
  <c r="H33" i="240"/>
  <c r="G33" i="240"/>
  <c r="F33" i="240"/>
  <c r="E33" i="240"/>
  <c r="D33" i="240"/>
  <c r="Q32" i="240"/>
  <c r="L32" i="240"/>
  <c r="L31" i="240" s="1"/>
  <c r="K32" i="240"/>
  <c r="J32" i="240"/>
  <c r="I32" i="240"/>
  <c r="H32" i="240"/>
  <c r="G32" i="240"/>
  <c r="F32" i="240"/>
  <c r="E32" i="240"/>
  <c r="D32" i="240"/>
  <c r="D31" i="240" s="1"/>
  <c r="L28" i="240"/>
  <c r="K28" i="240"/>
  <c r="J28" i="240"/>
  <c r="I28" i="240"/>
  <c r="H28" i="240"/>
  <c r="G28" i="240"/>
  <c r="F28" i="240"/>
  <c r="E28" i="240"/>
  <c r="M28" i="240" s="1"/>
  <c r="D28" i="240"/>
  <c r="K27" i="240"/>
  <c r="J27" i="240"/>
  <c r="I27" i="240"/>
  <c r="H27" i="240"/>
  <c r="G27" i="240"/>
  <c r="F27" i="240"/>
  <c r="E27" i="240"/>
  <c r="E29" i="240" s="1"/>
  <c r="D27" i="240"/>
  <c r="L26" i="240"/>
  <c r="K26" i="240"/>
  <c r="J26" i="240"/>
  <c r="I26" i="240"/>
  <c r="H26" i="240"/>
  <c r="G26" i="240"/>
  <c r="F26" i="240"/>
  <c r="E26" i="240"/>
  <c r="D26" i="240"/>
  <c r="L25" i="240"/>
  <c r="K25" i="240"/>
  <c r="J25" i="240"/>
  <c r="I25" i="240"/>
  <c r="H25" i="240"/>
  <c r="G25" i="240"/>
  <c r="M25" i="240" s="1"/>
  <c r="F25" i="240"/>
  <c r="E25" i="240"/>
  <c r="L24" i="240"/>
  <c r="K24" i="240"/>
  <c r="J24" i="240"/>
  <c r="I24" i="240"/>
  <c r="I29" i="240" s="1"/>
  <c r="H24" i="240"/>
  <c r="G24" i="240"/>
  <c r="F24" i="240"/>
  <c r="E24" i="240"/>
  <c r="D24" i="240"/>
  <c r="L23" i="240"/>
  <c r="K23" i="240"/>
  <c r="J23" i="240"/>
  <c r="I23" i="240"/>
  <c r="H23" i="240"/>
  <c r="H29" i="240" s="1"/>
  <c r="G23" i="240"/>
  <c r="F23" i="240"/>
  <c r="E23" i="240"/>
  <c r="D23" i="240"/>
  <c r="L22" i="240"/>
  <c r="K22" i="240"/>
  <c r="J22" i="240"/>
  <c r="I22" i="240"/>
  <c r="H22" i="240"/>
  <c r="G22" i="240"/>
  <c r="F22" i="240"/>
  <c r="E22" i="240"/>
  <c r="D22" i="240"/>
  <c r="L21" i="240"/>
  <c r="K21" i="240"/>
  <c r="K18" i="240" s="1"/>
  <c r="J21" i="240"/>
  <c r="I21" i="240"/>
  <c r="H21" i="240"/>
  <c r="G21" i="240"/>
  <c r="F21" i="240"/>
  <c r="E21" i="240"/>
  <c r="D21" i="240"/>
  <c r="L20" i="240"/>
  <c r="K20" i="240"/>
  <c r="J20" i="240"/>
  <c r="I20" i="240"/>
  <c r="H20" i="240"/>
  <c r="G20" i="240"/>
  <c r="F20" i="240"/>
  <c r="E20" i="240"/>
  <c r="D20" i="240"/>
  <c r="L19" i="240"/>
  <c r="K19" i="240"/>
  <c r="J19" i="240"/>
  <c r="I19" i="240"/>
  <c r="I18" i="240" s="1"/>
  <c r="H19" i="240"/>
  <c r="G19" i="240"/>
  <c r="F19" i="240"/>
  <c r="E19" i="240"/>
  <c r="D19" i="240"/>
  <c r="L14" i="240"/>
  <c r="K14" i="240"/>
  <c r="J14" i="240"/>
  <c r="I14" i="240"/>
  <c r="H14" i="240"/>
  <c r="G14" i="240"/>
  <c r="F14" i="240"/>
  <c r="E14" i="240"/>
  <c r="D14" i="240"/>
  <c r="L13" i="240"/>
  <c r="K13" i="240"/>
  <c r="J13" i="240"/>
  <c r="I13" i="240"/>
  <c r="H13" i="240"/>
  <c r="G13" i="240"/>
  <c r="G112" i="240" s="1"/>
  <c r="F13" i="240"/>
  <c r="E13" i="240"/>
  <c r="D13" i="240"/>
  <c r="L11" i="240"/>
  <c r="K11" i="240"/>
  <c r="J11" i="240"/>
  <c r="I11" i="240"/>
  <c r="H11" i="240"/>
  <c r="G11" i="240"/>
  <c r="F11" i="240"/>
  <c r="D11" i="239"/>
  <c r="E11" i="240"/>
  <c r="D11" i="240"/>
  <c r="L10" i="240"/>
  <c r="K10" i="240"/>
  <c r="J10" i="240"/>
  <c r="I10" i="240"/>
  <c r="H10" i="240"/>
  <c r="G10" i="240"/>
  <c r="F10" i="240"/>
  <c r="D10" i="239"/>
  <c r="E10" i="240"/>
  <c r="E15" i="240" s="1"/>
  <c r="D10" i="240"/>
  <c r="I2" i="240"/>
  <c r="B2" i="240"/>
  <c r="A1" i="239"/>
  <c r="B3" i="241"/>
  <c r="B2" i="241"/>
  <c r="L118" i="240"/>
  <c r="L114" i="240"/>
  <c r="L90" i="240"/>
  <c r="Q76" i="240"/>
  <c r="W69" i="240"/>
  <c r="V69" i="240"/>
  <c r="T69" i="240"/>
  <c r="U69" i="240"/>
  <c r="O69" i="240"/>
  <c r="R69" i="240" s="1"/>
  <c r="L115" i="240"/>
  <c r="L27" i="240"/>
  <c r="L29" i="240" s="1"/>
  <c r="D25" i="240"/>
  <c r="M7" i="240"/>
  <c r="B6" i="240"/>
  <c r="B4" i="240"/>
  <c r="B3" i="240"/>
  <c r="E66" i="239"/>
  <c r="E61" i="239"/>
  <c r="E39" i="239"/>
  <c r="E38" i="239"/>
  <c r="E20" i="239"/>
  <c r="E15" i="239"/>
  <c r="A5" i="239"/>
  <c r="A3" i="239"/>
  <c r="A2" i="239"/>
  <c r="C57" i="238"/>
  <c r="C12" i="238"/>
  <c r="C11" i="238"/>
  <c r="C10" i="238"/>
  <c r="C9" i="238"/>
  <c r="A3" i="238"/>
  <c r="A2" i="238"/>
  <c r="J90" i="240"/>
  <c r="L123" i="240"/>
  <c r="G31" i="240"/>
  <c r="M41" i="240"/>
  <c r="I90" i="240"/>
  <c r="D46" i="239"/>
  <c r="D58" i="239"/>
  <c r="H90" i="240"/>
  <c r="D13" i="239"/>
  <c r="D33" i="239"/>
  <c r="E90" i="240"/>
  <c r="L122" i="240"/>
  <c r="P13" i="240"/>
  <c r="D29" i="240"/>
  <c r="F18" i="240"/>
  <c r="AA69" i="236"/>
  <c r="L69" i="236"/>
  <c r="K69" i="236"/>
  <c r="J69" i="236"/>
  <c r="I69" i="236"/>
  <c r="H69" i="236"/>
  <c r="G69" i="236"/>
  <c r="F69" i="236"/>
  <c r="E69" i="236"/>
  <c r="D69" i="236"/>
  <c r="L53" i="236"/>
  <c r="K53" i="236"/>
  <c r="J53" i="236"/>
  <c r="I53" i="236"/>
  <c r="H53" i="236"/>
  <c r="G53" i="236"/>
  <c r="F53" i="236"/>
  <c r="D29" i="235" s="1"/>
  <c r="E53" i="236"/>
  <c r="D53" i="236"/>
  <c r="L50" i="236"/>
  <c r="K50" i="236"/>
  <c r="J50" i="236"/>
  <c r="I50" i="236"/>
  <c r="H50" i="236"/>
  <c r="G50" i="236"/>
  <c r="F50" i="236"/>
  <c r="E50" i="236"/>
  <c r="D50" i="236"/>
  <c r="L124" i="236"/>
  <c r="L124" i="224"/>
  <c r="D42" i="30"/>
  <c r="D45" i="30"/>
  <c r="D50" i="30"/>
  <c r="D53" i="30"/>
  <c r="D29" i="30"/>
  <c r="D10" i="236"/>
  <c r="D11" i="236"/>
  <c r="D13" i="236"/>
  <c r="D14" i="236"/>
  <c r="D19" i="236"/>
  <c r="D20" i="236"/>
  <c r="D21" i="236"/>
  <c r="D22" i="236"/>
  <c r="D23" i="236"/>
  <c r="D24" i="236"/>
  <c r="D25" i="236"/>
  <c r="D26" i="236"/>
  <c r="D27" i="236"/>
  <c r="D28" i="236"/>
  <c r="D32" i="236"/>
  <c r="D36" i="236"/>
  <c r="D33" i="236"/>
  <c r="D34" i="236"/>
  <c r="D35" i="236"/>
  <c r="D37" i="236"/>
  <c r="D38" i="236"/>
  <c r="D39" i="236"/>
  <c r="D40" i="236"/>
  <c r="D41" i="236"/>
  <c r="D47" i="236"/>
  <c r="D56" i="236"/>
  <c r="D57" i="236"/>
  <c r="D58" i="236"/>
  <c r="D59" i="236"/>
  <c r="D60" i="236"/>
  <c r="D61" i="236"/>
  <c r="D66" i="236"/>
  <c r="D67" i="236"/>
  <c r="D68" i="236"/>
  <c r="D70" i="236"/>
  <c r="D71" i="236"/>
  <c r="D72" i="236"/>
  <c r="D73" i="236"/>
  <c r="D74" i="236"/>
  <c r="D75" i="236"/>
  <c r="D76" i="236"/>
  <c r="D77" i="236"/>
  <c r="D81" i="236"/>
  <c r="D82" i="236"/>
  <c r="D83" i="236"/>
  <c r="D84" i="236"/>
  <c r="D88" i="236"/>
  <c r="D90" i="236" s="1"/>
  <c r="D89" i="236"/>
  <c r="D94" i="236"/>
  <c r="D95" i="236"/>
  <c r="D96" i="236"/>
  <c r="D97" i="236"/>
  <c r="D98" i="236"/>
  <c r="D99" i="236"/>
  <c r="E10" i="236"/>
  <c r="E11" i="236"/>
  <c r="E13" i="236"/>
  <c r="E14" i="236"/>
  <c r="E19" i="236"/>
  <c r="E20" i="236"/>
  <c r="E21" i="236"/>
  <c r="E22" i="236"/>
  <c r="E23" i="236"/>
  <c r="E24" i="236"/>
  <c r="E25" i="236"/>
  <c r="E26" i="236"/>
  <c r="E27" i="236"/>
  <c r="E28" i="236"/>
  <c r="E32" i="236"/>
  <c r="E33" i="236"/>
  <c r="E34" i="236"/>
  <c r="E35" i="236"/>
  <c r="E36" i="236"/>
  <c r="E37" i="236"/>
  <c r="E38" i="236"/>
  <c r="E39" i="236"/>
  <c r="E40" i="236"/>
  <c r="E41" i="236"/>
  <c r="E47" i="236"/>
  <c r="E56" i="236"/>
  <c r="E57" i="236"/>
  <c r="E58" i="236"/>
  <c r="E59" i="236"/>
  <c r="E60" i="236"/>
  <c r="E61" i="236"/>
  <c r="E66" i="236"/>
  <c r="E67" i="236"/>
  <c r="E68" i="236"/>
  <c r="E70" i="236"/>
  <c r="E71" i="236"/>
  <c r="E72" i="236"/>
  <c r="E73" i="236"/>
  <c r="E74" i="236"/>
  <c r="E75" i="236"/>
  <c r="E76" i="236"/>
  <c r="E77" i="236"/>
  <c r="E81" i="236"/>
  <c r="E82" i="236"/>
  <c r="E83" i="236"/>
  <c r="E84" i="236"/>
  <c r="E88" i="236"/>
  <c r="E89" i="236"/>
  <c r="E94" i="236"/>
  <c r="E95" i="236"/>
  <c r="E96" i="236"/>
  <c r="E97" i="236"/>
  <c r="E98" i="236"/>
  <c r="E99" i="236"/>
  <c r="F10" i="236"/>
  <c r="F11" i="236"/>
  <c r="D11" i="235"/>
  <c r="F13" i="236"/>
  <c r="D13" i="235"/>
  <c r="F14" i="236"/>
  <c r="D14" i="235" s="1"/>
  <c r="F19" i="236"/>
  <c r="F20" i="236"/>
  <c r="F21" i="236"/>
  <c r="F22" i="236"/>
  <c r="F23" i="236"/>
  <c r="F24" i="236"/>
  <c r="F25" i="236"/>
  <c r="F26" i="236"/>
  <c r="F27" i="236"/>
  <c r="F28" i="236"/>
  <c r="F32" i="236"/>
  <c r="F33" i="236"/>
  <c r="F34" i="236"/>
  <c r="F35" i="236"/>
  <c r="F36" i="236"/>
  <c r="F37" i="236"/>
  <c r="F38" i="236"/>
  <c r="F39" i="236"/>
  <c r="F40" i="236"/>
  <c r="F41" i="236"/>
  <c r="F47" i="236"/>
  <c r="F56" i="236"/>
  <c r="D32" i="235"/>
  <c r="F57" i="236"/>
  <c r="D33" i="235" s="1"/>
  <c r="F58" i="236"/>
  <c r="F59" i="236"/>
  <c r="D35" i="235" s="1"/>
  <c r="F60" i="236"/>
  <c r="D76" i="235" s="1"/>
  <c r="F61" i="236"/>
  <c r="F66" i="236"/>
  <c r="D42" i="235"/>
  <c r="F67" i="236"/>
  <c r="F68" i="236"/>
  <c r="D44" i="235" s="1"/>
  <c r="E73" i="235" s="1"/>
  <c r="F70" i="236"/>
  <c r="D46" i="235" s="1"/>
  <c r="F71" i="236"/>
  <c r="D47" i="235" s="1"/>
  <c r="F72" i="236"/>
  <c r="D48" i="235" s="1"/>
  <c r="F73" i="236"/>
  <c r="F74" i="236"/>
  <c r="D50" i="235"/>
  <c r="F75" i="236"/>
  <c r="F76" i="236"/>
  <c r="D52" i="235" s="1"/>
  <c r="F77" i="236"/>
  <c r="D53" i="235" s="1"/>
  <c r="F81" i="236"/>
  <c r="D57" i="235" s="1"/>
  <c r="F82" i="236"/>
  <c r="D58" i="235" s="1"/>
  <c r="F83" i="236"/>
  <c r="D59" i="235"/>
  <c r="F84" i="236"/>
  <c r="D60" i="235" s="1"/>
  <c r="F88" i="236"/>
  <c r="D64" i="235" s="1"/>
  <c r="F89" i="236"/>
  <c r="D65" i="235" s="1"/>
  <c r="F94" i="236"/>
  <c r="F95" i="236"/>
  <c r="F96" i="236"/>
  <c r="F97" i="236"/>
  <c r="F98" i="236"/>
  <c r="F99" i="236"/>
  <c r="D26" i="235"/>
  <c r="G10" i="236"/>
  <c r="G11" i="236"/>
  <c r="G13" i="236"/>
  <c r="G14" i="236"/>
  <c r="G19" i="236"/>
  <c r="G20" i="236"/>
  <c r="G21" i="236"/>
  <c r="G22" i="236"/>
  <c r="G23" i="236"/>
  <c r="G24" i="236"/>
  <c r="G25" i="236"/>
  <c r="G26" i="236"/>
  <c r="G27" i="236"/>
  <c r="G28" i="236"/>
  <c r="G32" i="236"/>
  <c r="G33" i="236"/>
  <c r="G34" i="236"/>
  <c r="G35" i="236"/>
  <c r="G36" i="236"/>
  <c r="G37" i="236"/>
  <c r="G38" i="236"/>
  <c r="G39" i="236"/>
  <c r="G40" i="236"/>
  <c r="G41" i="236"/>
  <c r="G47" i="236"/>
  <c r="G56" i="236"/>
  <c r="G57" i="236"/>
  <c r="G58" i="236"/>
  <c r="G59" i="236"/>
  <c r="G60" i="236"/>
  <c r="G61" i="236"/>
  <c r="G66" i="236"/>
  <c r="G67" i="236"/>
  <c r="G68" i="236"/>
  <c r="G70" i="236"/>
  <c r="G71" i="236"/>
  <c r="G72" i="236"/>
  <c r="G73" i="236"/>
  <c r="G74" i="236"/>
  <c r="G75" i="236"/>
  <c r="G76" i="236"/>
  <c r="G77" i="236"/>
  <c r="G81" i="236"/>
  <c r="G82" i="236"/>
  <c r="G83" i="236"/>
  <c r="G84" i="236"/>
  <c r="G88" i="236"/>
  <c r="G89" i="236"/>
  <c r="G94" i="236"/>
  <c r="G95" i="236"/>
  <c r="G96" i="236"/>
  <c r="G97" i="236"/>
  <c r="G98" i="236"/>
  <c r="G99" i="236"/>
  <c r="H10" i="236"/>
  <c r="H11" i="236"/>
  <c r="H13" i="236"/>
  <c r="H14" i="236"/>
  <c r="H19" i="236"/>
  <c r="H20" i="236"/>
  <c r="H21" i="236"/>
  <c r="H22" i="236"/>
  <c r="H23" i="236"/>
  <c r="H24" i="236"/>
  <c r="H25" i="236"/>
  <c r="H26" i="236"/>
  <c r="H27" i="236"/>
  <c r="H28" i="236"/>
  <c r="H32" i="236"/>
  <c r="H33" i="236"/>
  <c r="H34" i="236"/>
  <c r="H35" i="236"/>
  <c r="H36" i="236"/>
  <c r="H37" i="236"/>
  <c r="H38" i="236"/>
  <c r="H39" i="236"/>
  <c r="H40" i="236"/>
  <c r="H41" i="236"/>
  <c r="H47" i="236"/>
  <c r="H56" i="236"/>
  <c r="H57" i="236"/>
  <c r="H58" i="236"/>
  <c r="H59" i="236"/>
  <c r="H60" i="236"/>
  <c r="H61" i="236"/>
  <c r="H66" i="236"/>
  <c r="H67" i="236"/>
  <c r="H68" i="236"/>
  <c r="H70" i="236"/>
  <c r="H71" i="236"/>
  <c r="H72" i="236"/>
  <c r="H73" i="236"/>
  <c r="H74" i="236"/>
  <c r="H75" i="236"/>
  <c r="H76" i="236"/>
  <c r="H77" i="236"/>
  <c r="H81" i="236"/>
  <c r="H82" i="236"/>
  <c r="H83" i="236"/>
  <c r="H84" i="236"/>
  <c r="H88" i="236"/>
  <c r="H89" i="236"/>
  <c r="H94" i="236"/>
  <c r="H95" i="236"/>
  <c r="H96" i="236"/>
  <c r="H97" i="236"/>
  <c r="H98" i="236"/>
  <c r="H99" i="236"/>
  <c r="I10" i="236"/>
  <c r="I11" i="236"/>
  <c r="I13" i="236"/>
  <c r="I14" i="236"/>
  <c r="I19" i="236"/>
  <c r="I20" i="236"/>
  <c r="I21" i="236"/>
  <c r="I22" i="236"/>
  <c r="I23" i="236"/>
  <c r="I24" i="236"/>
  <c r="I25" i="236"/>
  <c r="I26" i="236"/>
  <c r="I27" i="236"/>
  <c r="I28" i="236"/>
  <c r="I32" i="236"/>
  <c r="I33" i="236"/>
  <c r="I34" i="236"/>
  <c r="I35" i="236"/>
  <c r="I36" i="236"/>
  <c r="I37" i="236"/>
  <c r="I38" i="236"/>
  <c r="I39" i="236"/>
  <c r="I40" i="236"/>
  <c r="I41" i="236"/>
  <c r="I47" i="236"/>
  <c r="I56" i="236"/>
  <c r="I57" i="236"/>
  <c r="I58" i="236"/>
  <c r="I59" i="236"/>
  <c r="I60" i="236"/>
  <c r="I61" i="236"/>
  <c r="I66" i="236"/>
  <c r="I67" i="236"/>
  <c r="I68" i="236"/>
  <c r="I70" i="236"/>
  <c r="I71" i="236"/>
  <c r="I72" i="236"/>
  <c r="I73" i="236"/>
  <c r="I74" i="236"/>
  <c r="I75" i="236"/>
  <c r="I76" i="236"/>
  <c r="I77" i="236"/>
  <c r="I81" i="236"/>
  <c r="I82" i="236"/>
  <c r="I83" i="236"/>
  <c r="I84" i="236"/>
  <c r="I88" i="236"/>
  <c r="I89" i="236"/>
  <c r="I94" i="236"/>
  <c r="I95" i="236"/>
  <c r="I96" i="236"/>
  <c r="I97" i="236"/>
  <c r="I98" i="236"/>
  <c r="I99" i="236"/>
  <c r="J10" i="236"/>
  <c r="J11" i="236"/>
  <c r="J13" i="236"/>
  <c r="J14" i="236"/>
  <c r="J19" i="236"/>
  <c r="J20" i="236"/>
  <c r="J21" i="236"/>
  <c r="J22" i="236"/>
  <c r="J23" i="236"/>
  <c r="J24" i="236"/>
  <c r="J25" i="236"/>
  <c r="J26" i="236"/>
  <c r="J27" i="236"/>
  <c r="J28" i="236"/>
  <c r="J32" i="236"/>
  <c r="J33" i="236"/>
  <c r="J34" i="236"/>
  <c r="J35" i="236"/>
  <c r="J36" i="236"/>
  <c r="J37" i="236"/>
  <c r="J38" i="236"/>
  <c r="J39" i="236"/>
  <c r="J40" i="236"/>
  <c r="J41" i="236"/>
  <c r="J47" i="236"/>
  <c r="J56" i="236"/>
  <c r="J57" i="236"/>
  <c r="J58" i="236"/>
  <c r="J59" i="236"/>
  <c r="J60" i="236"/>
  <c r="J61" i="236"/>
  <c r="J66" i="236"/>
  <c r="J67" i="236"/>
  <c r="J68" i="236"/>
  <c r="J70" i="236"/>
  <c r="J71" i="236"/>
  <c r="J72" i="236"/>
  <c r="J73" i="236"/>
  <c r="J74" i="236"/>
  <c r="J75" i="236"/>
  <c r="J76" i="236"/>
  <c r="J77" i="236"/>
  <c r="J81" i="236"/>
  <c r="J82" i="236"/>
  <c r="J83" i="236"/>
  <c r="J84" i="236"/>
  <c r="J88" i="236"/>
  <c r="J89" i="236"/>
  <c r="J94" i="236"/>
  <c r="J95" i="236"/>
  <c r="J96" i="236"/>
  <c r="J97" i="236"/>
  <c r="J98" i="236"/>
  <c r="J99" i="236"/>
  <c r="K10" i="236"/>
  <c r="K11" i="236"/>
  <c r="K13" i="236"/>
  <c r="K14" i="236"/>
  <c r="K19" i="236"/>
  <c r="K20" i="236"/>
  <c r="K21" i="236"/>
  <c r="K22" i="236"/>
  <c r="K23" i="236"/>
  <c r="K24" i="236"/>
  <c r="K25" i="236"/>
  <c r="K26" i="236"/>
  <c r="K27" i="236"/>
  <c r="K28" i="236"/>
  <c r="K32" i="236"/>
  <c r="K33" i="236"/>
  <c r="K34" i="236"/>
  <c r="K35" i="236"/>
  <c r="K36" i="236"/>
  <c r="K37" i="236"/>
  <c r="K38" i="236"/>
  <c r="K39" i="236"/>
  <c r="K40" i="236"/>
  <c r="K41" i="236"/>
  <c r="K47" i="236"/>
  <c r="K56" i="236"/>
  <c r="K57" i="236"/>
  <c r="K58" i="236"/>
  <c r="K59" i="236"/>
  <c r="K60" i="236"/>
  <c r="K61" i="236"/>
  <c r="K66" i="236"/>
  <c r="K67" i="236"/>
  <c r="K68" i="236"/>
  <c r="K70" i="236"/>
  <c r="K71" i="236"/>
  <c r="K72" i="236"/>
  <c r="K73" i="236"/>
  <c r="K74" i="236"/>
  <c r="K75" i="236"/>
  <c r="K76" i="236"/>
  <c r="K77" i="236"/>
  <c r="K81" i="236"/>
  <c r="K82" i="236"/>
  <c r="K83" i="236"/>
  <c r="K84" i="236"/>
  <c r="K88" i="236"/>
  <c r="K89" i="236"/>
  <c r="K94" i="236"/>
  <c r="K95" i="236"/>
  <c r="K96" i="236"/>
  <c r="K97" i="236"/>
  <c r="K98" i="236"/>
  <c r="K99" i="236"/>
  <c r="L10" i="236"/>
  <c r="L11" i="236"/>
  <c r="L13" i="236"/>
  <c r="L14" i="236"/>
  <c r="L19" i="236"/>
  <c r="L20" i="236"/>
  <c r="L21" i="236"/>
  <c r="L22" i="236"/>
  <c r="L23" i="236"/>
  <c r="L24" i="236"/>
  <c r="L25" i="236"/>
  <c r="L26" i="236"/>
  <c r="L27" i="236"/>
  <c r="L28" i="236"/>
  <c r="L32" i="236"/>
  <c r="L33" i="236"/>
  <c r="L34" i="236"/>
  <c r="L35" i="236"/>
  <c r="L36" i="236"/>
  <c r="L37" i="236"/>
  <c r="L38" i="236"/>
  <c r="L39" i="236"/>
  <c r="L40" i="236"/>
  <c r="L41" i="236"/>
  <c r="L47" i="236"/>
  <c r="L56" i="236"/>
  <c r="L57" i="236"/>
  <c r="L58" i="236"/>
  <c r="L59" i="236"/>
  <c r="L60" i="236"/>
  <c r="L61" i="236"/>
  <c r="L66" i="236"/>
  <c r="L67" i="236"/>
  <c r="L68" i="236"/>
  <c r="L70" i="236"/>
  <c r="L71" i="236"/>
  <c r="L72" i="236"/>
  <c r="L73" i="236"/>
  <c r="L74" i="236"/>
  <c r="L75" i="236"/>
  <c r="L76" i="236"/>
  <c r="L77" i="236"/>
  <c r="L81" i="236"/>
  <c r="L82" i="236"/>
  <c r="L83" i="236"/>
  <c r="L84" i="236"/>
  <c r="L88" i="236"/>
  <c r="L89" i="236"/>
  <c r="L90" i="236"/>
  <c r="L94" i="236"/>
  <c r="L95" i="236"/>
  <c r="L96" i="236"/>
  <c r="L97" i="236"/>
  <c r="L98" i="236"/>
  <c r="L99" i="236"/>
  <c r="M107" i="236"/>
  <c r="L114" i="236"/>
  <c r="Q32" i="236"/>
  <c r="L115" i="236" s="1"/>
  <c r="R34" i="236"/>
  <c r="L116" i="236"/>
  <c r="P66" i="236"/>
  <c r="P67" i="236"/>
  <c r="U67" i="236" s="1"/>
  <c r="P68" i="236"/>
  <c r="U68" i="236" s="1"/>
  <c r="P69" i="236"/>
  <c r="P70" i="236"/>
  <c r="P71" i="236"/>
  <c r="U71" i="236" s="1"/>
  <c r="P72" i="236"/>
  <c r="U72" i="236" s="1"/>
  <c r="P73" i="236"/>
  <c r="U73" i="236" s="1"/>
  <c r="P74" i="236"/>
  <c r="U74" i="236" s="1"/>
  <c r="P75" i="236"/>
  <c r="Q71" i="236"/>
  <c r="L118" i="236" s="1"/>
  <c r="V66" i="236"/>
  <c r="V67" i="236"/>
  <c r="V68" i="236"/>
  <c r="V69" i="236"/>
  <c r="V70" i="236"/>
  <c r="V71" i="236"/>
  <c r="V72" i="236"/>
  <c r="V73" i="236"/>
  <c r="V74" i="236"/>
  <c r="W66" i="236"/>
  <c r="W67" i="236"/>
  <c r="W68" i="236"/>
  <c r="W69" i="236"/>
  <c r="W70" i="236"/>
  <c r="W71" i="236"/>
  <c r="W72" i="236"/>
  <c r="W73" i="236"/>
  <c r="W74" i="236"/>
  <c r="AA66" i="236"/>
  <c r="AA67" i="236"/>
  <c r="AA68" i="236"/>
  <c r="AA70" i="236"/>
  <c r="AA71" i="236"/>
  <c r="AA72" i="236"/>
  <c r="AA73" i="236"/>
  <c r="AA74" i="236"/>
  <c r="AA75" i="236"/>
  <c r="R84" i="236"/>
  <c r="L122" i="236" s="1"/>
  <c r="R87" i="236"/>
  <c r="B27" i="237" s="1"/>
  <c r="T99" i="236"/>
  <c r="J63" i="215" s="1"/>
  <c r="Q99" i="236"/>
  <c r="I63" i="215" s="1"/>
  <c r="O99" i="236"/>
  <c r="H63" i="215" s="1"/>
  <c r="B2" i="236"/>
  <c r="I2" i="236"/>
  <c r="T99" i="224"/>
  <c r="J62" i="215" s="1"/>
  <c r="Q99" i="224"/>
  <c r="I62" i="215" s="1"/>
  <c r="O99" i="224"/>
  <c r="H62" i="215" s="1"/>
  <c r="J61" i="215"/>
  <c r="H61" i="215"/>
  <c r="B3" i="237"/>
  <c r="B2" i="237"/>
  <c r="B1" i="237"/>
  <c r="U66" i="236"/>
  <c r="U69" i="236"/>
  <c r="Q76" i="236"/>
  <c r="M7" i="236"/>
  <c r="B6" i="236"/>
  <c r="B4" i="236"/>
  <c r="B3" i="236"/>
  <c r="D34" i="235"/>
  <c r="D37" i="235"/>
  <c r="D49" i="235"/>
  <c r="E15" i="235"/>
  <c r="E20" i="235"/>
  <c r="E38" i="235"/>
  <c r="E39" i="235"/>
  <c r="E61" i="235"/>
  <c r="E66" i="235"/>
  <c r="A5" i="235"/>
  <c r="A3" i="235"/>
  <c r="A2" i="235"/>
  <c r="A1" i="235"/>
  <c r="C57" i="234"/>
  <c r="C12" i="234"/>
  <c r="C11" i="234"/>
  <c r="C10" i="234"/>
  <c r="C9" i="234"/>
  <c r="A3" i="234"/>
  <c r="A2" i="234"/>
  <c r="D50" i="177"/>
  <c r="E50" i="177"/>
  <c r="F50" i="177"/>
  <c r="D26" i="176" s="1"/>
  <c r="G50" i="177"/>
  <c r="G1228" i="184" s="1"/>
  <c r="H50" i="177"/>
  <c r="I50" i="177"/>
  <c r="J50" i="177"/>
  <c r="K50" i="177"/>
  <c r="L50" i="177"/>
  <c r="L1228" i="184" s="1"/>
  <c r="D51" i="177"/>
  <c r="E51" i="177"/>
  <c r="F51" i="177"/>
  <c r="D27" i="176" s="1"/>
  <c r="G51" i="177"/>
  <c r="H51" i="177"/>
  <c r="I51" i="177"/>
  <c r="J51" i="177"/>
  <c r="K51" i="177"/>
  <c r="K1265" i="184" s="1"/>
  <c r="L51" i="177"/>
  <c r="D52" i="177"/>
  <c r="D1302" i="184"/>
  <c r="E52" i="177"/>
  <c r="E1302" i="184" s="1"/>
  <c r="F52" i="177"/>
  <c r="G52" i="177"/>
  <c r="H52" i="177"/>
  <c r="I52" i="177"/>
  <c r="J52" i="177"/>
  <c r="J1302" i="184"/>
  <c r="K52" i="177"/>
  <c r="K1302" i="184" s="1"/>
  <c r="L52" i="177"/>
  <c r="D53" i="177"/>
  <c r="D1339" i="184" s="1"/>
  <c r="E53" i="177"/>
  <c r="F53" i="177"/>
  <c r="G53" i="177"/>
  <c r="G1339" i="184" s="1"/>
  <c r="H53" i="177"/>
  <c r="H1339" i="184" s="1"/>
  <c r="I53" i="177"/>
  <c r="I1339" i="184" s="1"/>
  <c r="J53" i="177"/>
  <c r="K53" i="177"/>
  <c r="K1339" i="184"/>
  <c r="L53" i="177"/>
  <c r="L1339" i="184" s="1"/>
  <c r="D54" i="177"/>
  <c r="E54" i="177"/>
  <c r="F54" i="177"/>
  <c r="G54" i="177"/>
  <c r="G1376" i="184" s="1"/>
  <c r="H54" i="177"/>
  <c r="H1376" i="184" s="1"/>
  <c r="I54" i="177"/>
  <c r="J54" i="177"/>
  <c r="K54" i="177"/>
  <c r="K1376" i="184" s="1"/>
  <c r="L54" i="177"/>
  <c r="D55" i="177"/>
  <c r="E55" i="177"/>
  <c r="F55" i="177"/>
  <c r="G55" i="177"/>
  <c r="H55" i="177"/>
  <c r="I55" i="177"/>
  <c r="I1413" i="184" s="1"/>
  <c r="J55" i="177"/>
  <c r="J1413" i="184" s="1"/>
  <c r="K55" i="177"/>
  <c r="L55" i="177"/>
  <c r="D50" i="172"/>
  <c r="E50" i="172"/>
  <c r="F50" i="172"/>
  <c r="G50" i="172"/>
  <c r="H50" i="172"/>
  <c r="I50" i="172"/>
  <c r="I1226" i="184" s="1"/>
  <c r="J50" i="172"/>
  <c r="K50" i="172"/>
  <c r="L50" i="172"/>
  <c r="D51" i="172"/>
  <c r="E51" i="172"/>
  <c r="F51" i="172"/>
  <c r="G51" i="172"/>
  <c r="H51" i="172"/>
  <c r="H1263" i="184" s="1"/>
  <c r="I51" i="172"/>
  <c r="J51" i="172"/>
  <c r="K51" i="172"/>
  <c r="L51" i="172"/>
  <c r="L1263" i="184" s="1"/>
  <c r="D52" i="172"/>
  <c r="E52" i="172"/>
  <c r="F52" i="172"/>
  <c r="G52" i="172"/>
  <c r="H52" i="172"/>
  <c r="H1300" i="184" s="1"/>
  <c r="I52" i="172"/>
  <c r="J52" i="172"/>
  <c r="K52" i="172"/>
  <c r="L52" i="172"/>
  <c r="D53" i="172"/>
  <c r="E53" i="172"/>
  <c r="F53" i="172"/>
  <c r="G53" i="172"/>
  <c r="H53" i="172"/>
  <c r="I53" i="172"/>
  <c r="J53" i="172"/>
  <c r="K53" i="172"/>
  <c r="L53" i="172"/>
  <c r="L1337" i="184" s="1"/>
  <c r="D54" i="172"/>
  <c r="E54" i="172"/>
  <c r="F54" i="172"/>
  <c r="G54" i="172"/>
  <c r="H54" i="172"/>
  <c r="H1374" i="184" s="1"/>
  <c r="I54" i="172"/>
  <c r="J54" i="172"/>
  <c r="K54" i="172"/>
  <c r="L54" i="172"/>
  <c r="D55" i="172"/>
  <c r="E55" i="172"/>
  <c r="F55" i="172"/>
  <c r="G55" i="172"/>
  <c r="H55" i="172"/>
  <c r="I55" i="172"/>
  <c r="J55" i="172"/>
  <c r="K55" i="172"/>
  <c r="L55" i="172"/>
  <c r="L1411" i="184" s="1"/>
  <c r="D50" i="167"/>
  <c r="E50" i="167"/>
  <c r="F50" i="167"/>
  <c r="G50" i="167"/>
  <c r="H50" i="167"/>
  <c r="I50" i="167"/>
  <c r="J50" i="167"/>
  <c r="K50" i="167"/>
  <c r="K1213" i="184" s="1"/>
  <c r="L50" i="167"/>
  <c r="D51" i="167"/>
  <c r="E51" i="167"/>
  <c r="F51" i="167"/>
  <c r="G51" i="167"/>
  <c r="H51" i="167"/>
  <c r="I51" i="167"/>
  <c r="J51" i="167"/>
  <c r="K51" i="167"/>
  <c r="L51" i="167"/>
  <c r="D52" i="167"/>
  <c r="E52" i="167"/>
  <c r="F52" i="167"/>
  <c r="G52" i="167"/>
  <c r="H52" i="167"/>
  <c r="I52" i="167"/>
  <c r="J52" i="167"/>
  <c r="K52" i="167"/>
  <c r="K1287" i="184" s="1"/>
  <c r="L52" i="167"/>
  <c r="D53" i="167"/>
  <c r="E53" i="167"/>
  <c r="F53" i="167"/>
  <c r="G53" i="167"/>
  <c r="G1324" i="184"/>
  <c r="H53" i="167"/>
  <c r="I53" i="167"/>
  <c r="J53" i="167"/>
  <c r="K53" i="167"/>
  <c r="L53" i="167"/>
  <c r="D54" i="167"/>
  <c r="E54" i="167"/>
  <c r="F54" i="167"/>
  <c r="G54" i="167"/>
  <c r="H54" i="167"/>
  <c r="I54" i="167"/>
  <c r="J54" i="167"/>
  <c r="K54" i="167"/>
  <c r="K1361" i="184"/>
  <c r="L54" i="167"/>
  <c r="D55" i="167"/>
  <c r="E55" i="167"/>
  <c r="F55" i="167"/>
  <c r="G55" i="167"/>
  <c r="G1398" i="184"/>
  <c r="H55" i="167"/>
  <c r="I55" i="167"/>
  <c r="J55" i="167"/>
  <c r="K55" i="167"/>
  <c r="L55" i="167"/>
  <c r="D50" i="162"/>
  <c r="E50" i="162"/>
  <c r="F50" i="162"/>
  <c r="G50" i="162"/>
  <c r="H50" i="162"/>
  <c r="I50" i="162"/>
  <c r="J50" i="162"/>
  <c r="K50" i="162"/>
  <c r="L50" i="162"/>
  <c r="D51" i="162"/>
  <c r="E51" i="162"/>
  <c r="F51" i="162"/>
  <c r="G51" i="162"/>
  <c r="H51" i="162"/>
  <c r="I51" i="162"/>
  <c r="J51" i="162"/>
  <c r="K51" i="162"/>
  <c r="L51" i="162"/>
  <c r="L1246" i="184"/>
  <c r="D52" i="162"/>
  <c r="E52" i="162"/>
  <c r="F52" i="162"/>
  <c r="G52" i="162"/>
  <c r="H52" i="162"/>
  <c r="I52" i="162"/>
  <c r="J52" i="162"/>
  <c r="K52" i="162"/>
  <c r="L52" i="162"/>
  <c r="D53" i="162"/>
  <c r="E53" i="162"/>
  <c r="F53" i="162"/>
  <c r="G53" i="162"/>
  <c r="H53" i="162"/>
  <c r="I53" i="162"/>
  <c r="J53" i="162"/>
  <c r="K53" i="162"/>
  <c r="L53" i="162"/>
  <c r="D54" i="162"/>
  <c r="E54" i="162"/>
  <c r="F54" i="162"/>
  <c r="G54" i="162"/>
  <c r="H54" i="162"/>
  <c r="H1357" i="184"/>
  <c r="I54" i="162"/>
  <c r="J54" i="162"/>
  <c r="K54" i="162"/>
  <c r="L54" i="162"/>
  <c r="D55" i="162"/>
  <c r="E55" i="162"/>
  <c r="F55" i="162"/>
  <c r="G55" i="162"/>
  <c r="H55" i="162"/>
  <c r="I55" i="162"/>
  <c r="J55" i="162"/>
  <c r="K55" i="162"/>
  <c r="L55" i="162"/>
  <c r="L1394" i="184" s="1"/>
  <c r="D50" i="195"/>
  <c r="E50" i="195"/>
  <c r="F50" i="195"/>
  <c r="G50" i="195"/>
  <c r="G1236" i="184" s="1"/>
  <c r="H50" i="195"/>
  <c r="I50" i="195"/>
  <c r="J50" i="195"/>
  <c r="K50" i="195"/>
  <c r="L50" i="195"/>
  <c r="D51" i="195"/>
  <c r="E51" i="195"/>
  <c r="F51" i="195"/>
  <c r="F1273" i="184" s="1"/>
  <c r="G51" i="195"/>
  <c r="H51" i="195"/>
  <c r="I51" i="195"/>
  <c r="J51" i="195"/>
  <c r="K51" i="195"/>
  <c r="L51" i="195"/>
  <c r="D52" i="195"/>
  <c r="E52" i="195"/>
  <c r="E1310" i="184" s="1"/>
  <c r="F52" i="195"/>
  <c r="G52" i="195"/>
  <c r="H52" i="195"/>
  <c r="I52" i="195"/>
  <c r="J52" i="195"/>
  <c r="K52" i="195"/>
  <c r="L52" i="195"/>
  <c r="D53" i="195"/>
  <c r="E53" i="195"/>
  <c r="F53" i="195"/>
  <c r="G53" i="195"/>
  <c r="H53" i="195"/>
  <c r="I53" i="195"/>
  <c r="J53" i="195"/>
  <c r="K53" i="195"/>
  <c r="L53" i="195"/>
  <c r="D54" i="195"/>
  <c r="E54" i="195"/>
  <c r="F54" i="195"/>
  <c r="G54" i="195"/>
  <c r="H54" i="195"/>
  <c r="I54" i="195"/>
  <c r="J54" i="195"/>
  <c r="K54" i="195"/>
  <c r="L54" i="195"/>
  <c r="D55" i="195"/>
  <c r="E55" i="195"/>
  <c r="F55" i="195"/>
  <c r="G55" i="195"/>
  <c r="H55" i="195"/>
  <c r="I55" i="195"/>
  <c r="J55" i="195"/>
  <c r="J1421" i="184" s="1"/>
  <c r="K55" i="195"/>
  <c r="L55" i="195"/>
  <c r="D50" i="157"/>
  <c r="E50" i="157"/>
  <c r="F50" i="157"/>
  <c r="G50" i="157"/>
  <c r="H50" i="157"/>
  <c r="I50" i="157"/>
  <c r="I1235" i="184" s="1"/>
  <c r="J50" i="157"/>
  <c r="J1235" i="184" s="1"/>
  <c r="K50" i="157"/>
  <c r="L50" i="157"/>
  <c r="D51" i="157"/>
  <c r="E51" i="157"/>
  <c r="F51" i="157"/>
  <c r="G51" i="157"/>
  <c r="H51" i="157"/>
  <c r="I51" i="157"/>
  <c r="J51" i="157"/>
  <c r="K51" i="157"/>
  <c r="L51" i="157"/>
  <c r="D52" i="157"/>
  <c r="E52" i="157"/>
  <c r="F52" i="157"/>
  <c r="G52" i="157"/>
  <c r="G1309" i="184" s="1"/>
  <c r="H52" i="157"/>
  <c r="I52" i="157"/>
  <c r="J52" i="157"/>
  <c r="K52" i="157"/>
  <c r="K1309" i="184" s="1"/>
  <c r="L52" i="157"/>
  <c r="L1309" i="184"/>
  <c r="D53" i="157"/>
  <c r="E53" i="157"/>
  <c r="F53" i="157"/>
  <c r="G53" i="157"/>
  <c r="H53" i="157"/>
  <c r="H1346" i="184" s="1"/>
  <c r="I53" i="157"/>
  <c r="J53" i="157"/>
  <c r="K53" i="157"/>
  <c r="L53" i="157"/>
  <c r="D54" i="157"/>
  <c r="E54" i="157"/>
  <c r="F54" i="157"/>
  <c r="G54" i="157"/>
  <c r="H54" i="157"/>
  <c r="I54" i="157"/>
  <c r="J54" i="157"/>
  <c r="K54" i="157"/>
  <c r="K1383" i="184" s="1"/>
  <c r="L54" i="157"/>
  <c r="L1383" i="184" s="1"/>
  <c r="D55" i="157"/>
  <c r="D1420" i="184"/>
  <c r="E55" i="157"/>
  <c r="F55" i="157"/>
  <c r="G55" i="157"/>
  <c r="H55" i="157"/>
  <c r="H1420" i="184"/>
  <c r="I55" i="157"/>
  <c r="J55" i="157"/>
  <c r="K55" i="157"/>
  <c r="L55" i="157"/>
  <c r="L1420" i="184" s="1"/>
  <c r="D50" i="152"/>
  <c r="E50" i="152"/>
  <c r="F50" i="152"/>
  <c r="G50" i="152"/>
  <c r="H50" i="152"/>
  <c r="I50" i="152"/>
  <c r="J50" i="152"/>
  <c r="K50" i="152"/>
  <c r="L50" i="152"/>
  <c r="L1203" i="184" s="1"/>
  <c r="D51" i="152"/>
  <c r="E51" i="152"/>
  <c r="F51" i="152"/>
  <c r="G51" i="152"/>
  <c r="H51" i="152"/>
  <c r="H1240" i="184" s="1"/>
  <c r="I51" i="152"/>
  <c r="J51" i="152"/>
  <c r="K51" i="152"/>
  <c r="L51" i="152"/>
  <c r="D52" i="152"/>
  <c r="E52" i="152"/>
  <c r="F52" i="152"/>
  <c r="G52" i="152"/>
  <c r="H52" i="152"/>
  <c r="I52" i="152"/>
  <c r="J52" i="152"/>
  <c r="K52" i="152"/>
  <c r="L52" i="152"/>
  <c r="D53" i="152"/>
  <c r="E53" i="152"/>
  <c r="F53" i="152"/>
  <c r="G53" i="152"/>
  <c r="H53" i="152"/>
  <c r="H1314" i="184" s="1"/>
  <c r="I53" i="152"/>
  <c r="J53" i="152"/>
  <c r="K53" i="152"/>
  <c r="L53" i="152"/>
  <c r="D54" i="152"/>
  <c r="E54" i="152"/>
  <c r="F54" i="152"/>
  <c r="G54" i="152"/>
  <c r="H54" i="152"/>
  <c r="I54" i="152"/>
  <c r="J54" i="152"/>
  <c r="K54" i="152"/>
  <c r="L54" i="152"/>
  <c r="L1351" i="184"/>
  <c r="D55" i="152"/>
  <c r="E55" i="152"/>
  <c r="F55" i="152"/>
  <c r="G55" i="152"/>
  <c r="H55" i="152"/>
  <c r="H1388" i="184" s="1"/>
  <c r="I55" i="152"/>
  <c r="J55" i="152"/>
  <c r="K55" i="152"/>
  <c r="L55" i="152"/>
  <c r="D50" i="147"/>
  <c r="E50" i="147"/>
  <c r="E1227" i="184"/>
  <c r="F50" i="147"/>
  <c r="G50" i="147"/>
  <c r="H50" i="147"/>
  <c r="I50" i="147"/>
  <c r="J50" i="147"/>
  <c r="K50" i="147"/>
  <c r="L50" i="147"/>
  <c r="D51" i="147"/>
  <c r="D1264" i="184" s="1"/>
  <c r="E51" i="147"/>
  <c r="F51" i="147"/>
  <c r="G51" i="147"/>
  <c r="H51" i="147"/>
  <c r="I51" i="147"/>
  <c r="J51" i="147"/>
  <c r="K51" i="147"/>
  <c r="L51" i="147"/>
  <c r="L1264" i="184" s="1"/>
  <c r="D52" i="147"/>
  <c r="E52" i="147"/>
  <c r="F52" i="147"/>
  <c r="G52" i="147"/>
  <c r="H52" i="147"/>
  <c r="I52" i="147"/>
  <c r="J52" i="147"/>
  <c r="K52" i="147"/>
  <c r="K1301" i="184" s="1"/>
  <c r="L52" i="147"/>
  <c r="D53" i="147"/>
  <c r="E53" i="147"/>
  <c r="F53" i="147"/>
  <c r="G53" i="147"/>
  <c r="H53" i="147"/>
  <c r="I53" i="147"/>
  <c r="J53" i="147"/>
  <c r="K53" i="147"/>
  <c r="K1338" i="184" s="1"/>
  <c r="L53" i="147"/>
  <c r="D54" i="147"/>
  <c r="E54" i="147"/>
  <c r="F54" i="147"/>
  <c r="G54" i="147"/>
  <c r="H54" i="147"/>
  <c r="I54" i="147"/>
  <c r="I1375" i="184" s="1"/>
  <c r="J54" i="147"/>
  <c r="K54" i="147"/>
  <c r="L54" i="147"/>
  <c r="D55" i="147"/>
  <c r="E55" i="147"/>
  <c r="F55" i="147"/>
  <c r="G55" i="147"/>
  <c r="H55" i="147"/>
  <c r="H1412" i="184" s="1"/>
  <c r="I55" i="147"/>
  <c r="J55" i="147"/>
  <c r="K55" i="147"/>
  <c r="K1412" i="184" s="1"/>
  <c r="L55" i="147"/>
  <c r="D50" i="137"/>
  <c r="E50" i="137"/>
  <c r="F50" i="137"/>
  <c r="G50" i="137"/>
  <c r="H50" i="137"/>
  <c r="I50" i="137"/>
  <c r="J50" i="137"/>
  <c r="K50" i="137"/>
  <c r="L50" i="137"/>
  <c r="L1229" i="184" s="1"/>
  <c r="D51" i="137"/>
  <c r="E51" i="137"/>
  <c r="F51" i="137"/>
  <c r="G51" i="137"/>
  <c r="H51" i="137"/>
  <c r="H1266" i="184"/>
  <c r="I51" i="137"/>
  <c r="J51" i="137"/>
  <c r="K51" i="137"/>
  <c r="L51" i="137"/>
  <c r="D52" i="137"/>
  <c r="E52" i="137"/>
  <c r="F52" i="137"/>
  <c r="G52" i="137"/>
  <c r="H52" i="137"/>
  <c r="I52" i="137"/>
  <c r="J52" i="137"/>
  <c r="K52" i="137"/>
  <c r="L52" i="137"/>
  <c r="D53" i="137"/>
  <c r="E53" i="137"/>
  <c r="F53" i="137"/>
  <c r="G53" i="137"/>
  <c r="H53" i="137"/>
  <c r="H1340" i="184" s="1"/>
  <c r="I53" i="137"/>
  <c r="J53" i="137"/>
  <c r="K53" i="137"/>
  <c r="L53" i="137"/>
  <c r="D54" i="137"/>
  <c r="E54" i="137"/>
  <c r="F54" i="137"/>
  <c r="G54" i="137"/>
  <c r="H54" i="137"/>
  <c r="I54" i="137"/>
  <c r="J54" i="137"/>
  <c r="K54" i="137"/>
  <c r="L54" i="137"/>
  <c r="L1377" i="184" s="1"/>
  <c r="D55" i="137"/>
  <c r="E55" i="137"/>
  <c r="F55" i="137"/>
  <c r="G55" i="137"/>
  <c r="H55" i="137"/>
  <c r="H1414" i="184" s="1"/>
  <c r="I55" i="137"/>
  <c r="J55" i="137"/>
  <c r="K55" i="137"/>
  <c r="L55" i="137"/>
  <c r="A1" i="131"/>
  <c r="B96" i="191"/>
  <c r="D50" i="132"/>
  <c r="E50" i="132"/>
  <c r="F50" i="132"/>
  <c r="G50" i="132"/>
  <c r="H50" i="132"/>
  <c r="I50" i="132"/>
  <c r="J50" i="132"/>
  <c r="K50" i="132"/>
  <c r="K1214" i="184"/>
  <c r="L50" i="132"/>
  <c r="D51" i="132"/>
  <c r="E51" i="132"/>
  <c r="F51" i="132"/>
  <c r="G51" i="132"/>
  <c r="H51" i="132"/>
  <c r="I51" i="132"/>
  <c r="J51" i="132"/>
  <c r="J1251" i="184" s="1"/>
  <c r="K51" i="132"/>
  <c r="L51" i="132"/>
  <c r="D52" i="132"/>
  <c r="E52" i="132"/>
  <c r="F52" i="132"/>
  <c r="G52" i="132"/>
  <c r="H52" i="132"/>
  <c r="H1288" i="184" s="1"/>
  <c r="I52" i="132"/>
  <c r="J52" i="132"/>
  <c r="K52" i="132"/>
  <c r="L52" i="132"/>
  <c r="D53" i="132"/>
  <c r="E53" i="132"/>
  <c r="E1325" i="184" s="1"/>
  <c r="F53" i="132"/>
  <c r="G53" i="132"/>
  <c r="H53" i="132"/>
  <c r="I53" i="132"/>
  <c r="J53" i="132"/>
  <c r="J1325" i="184" s="1"/>
  <c r="K53" i="132"/>
  <c r="L53" i="132"/>
  <c r="D54" i="132"/>
  <c r="E54" i="132"/>
  <c r="F54" i="132"/>
  <c r="F1362" i="184" s="1"/>
  <c r="G54" i="132"/>
  <c r="H54" i="132"/>
  <c r="I54" i="132"/>
  <c r="I1362" i="184"/>
  <c r="J54" i="132"/>
  <c r="K54" i="132"/>
  <c r="L54" i="132"/>
  <c r="D55" i="132"/>
  <c r="E55" i="132"/>
  <c r="E1399" i="184"/>
  <c r="F55" i="132"/>
  <c r="G55" i="132"/>
  <c r="H55" i="132"/>
  <c r="I55" i="132"/>
  <c r="J55" i="132"/>
  <c r="J1399" i="184" s="1"/>
  <c r="K55" i="132"/>
  <c r="L55" i="132"/>
  <c r="L1399" i="184" s="1"/>
  <c r="D50" i="127"/>
  <c r="E50" i="127"/>
  <c r="F50" i="127"/>
  <c r="F1208" i="184" s="1"/>
  <c r="G50" i="127"/>
  <c r="G1208" i="184" s="1"/>
  <c r="H50" i="127"/>
  <c r="I50" i="127"/>
  <c r="J50" i="127"/>
  <c r="K50" i="127"/>
  <c r="K1208" i="184"/>
  <c r="L50" i="127"/>
  <c r="D51" i="127"/>
  <c r="E51" i="127"/>
  <c r="E1245" i="184" s="1"/>
  <c r="F51" i="127"/>
  <c r="G51" i="127"/>
  <c r="H51" i="127"/>
  <c r="I51" i="127"/>
  <c r="J51" i="127"/>
  <c r="J1245" i="184"/>
  <c r="K51" i="127"/>
  <c r="L51" i="127"/>
  <c r="D52" i="127"/>
  <c r="D1282" i="184" s="1"/>
  <c r="E52" i="127"/>
  <c r="E1282" i="184"/>
  <c r="F52" i="127"/>
  <c r="G52" i="127"/>
  <c r="H52" i="127"/>
  <c r="I52" i="127"/>
  <c r="J52" i="127"/>
  <c r="J1282" i="184" s="1"/>
  <c r="K52" i="127"/>
  <c r="L52" i="127"/>
  <c r="D53" i="127"/>
  <c r="D1319" i="184"/>
  <c r="E53" i="127"/>
  <c r="F53" i="127"/>
  <c r="F1319" i="184"/>
  <c r="G53" i="127"/>
  <c r="H53" i="127"/>
  <c r="H1319" i="184"/>
  <c r="I53" i="127"/>
  <c r="J53" i="127"/>
  <c r="K53" i="127"/>
  <c r="K1319" i="184"/>
  <c r="L53" i="127"/>
  <c r="D54" i="127"/>
  <c r="E54" i="127"/>
  <c r="F54" i="127"/>
  <c r="G54" i="127"/>
  <c r="H54" i="127"/>
  <c r="I54" i="127"/>
  <c r="J54" i="127"/>
  <c r="J1356" i="184"/>
  <c r="K54" i="127"/>
  <c r="K1356" i="184" s="1"/>
  <c r="L54" i="127"/>
  <c r="D55" i="127"/>
  <c r="E55" i="127"/>
  <c r="F55" i="127"/>
  <c r="G55" i="127"/>
  <c r="H55" i="127"/>
  <c r="I55" i="127"/>
  <c r="I1393" i="184" s="1"/>
  <c r="J55" i="127"/>
  <c r="J1393" i="184" s="1"/>
  <c r="K55" i="127"/>
  <c r="L55" i="127"/>
  <c r="D50" i="122"/>
  <c r="E50" i="122"/>
  <c r="F50" i="122"/>
  <c r="G50" i="122"/>
  <c r="H50" i="122"/>
  <c r="H1234" i="184" s="1"/>
  <c r="I50" i="122"/>
  <c r="J50" i="122"/>
  <c r="K50" i="122"/>
  <c r="L50" i="122"/>
  <c r="D51" i="122"/>
  <c r="E51" i="122"/>
  <c r="F51" i="122"/>
  <c r="G51" i="122"/>
  <c r="H51" i="122"/>
  <c r="I51" i="122"/>
  <c r="J51" i="122"/>
  <c r="K51" i="122"/>
  <c r="L51" i="122"/>
  <c r="D52" i="122"/>
  <c r="E52" i="122"/>
  <c r="F52" i="122"/>
  <c r="G52" i="122"/>
  <c r="H52" i="122"/>
  <c r="I52" i="122"/>
  <c r="J52" i="122"/>
  <c r="K52" i="122"/>
  <c r="L52" i="122"/>
  <c r="D53" i="122"/>
  <c r="E53" i="122"/>
  <c r="F53" i="122"/>
  <c r="G53" i="122"/>
  <c r="H53" i="122"/>
  <c r="I53" i="122"/>
  <c r="J53" i="122"/>
  <c r="K53" i="122"/>
  <c r="L53" i="122"/>
  <c r="D54" i="122"/>
  <c r="D1382" i="184" s="1"/>
  <c r="E54" i="122"/>
  <c r="F54" i="122"/>
  <c r="G54" i="122"/>
  <c r="H54" i="122"/>
  <c r="I54" i="122"/>
  <c r="J54" i="122"/>
  <c r="K54" i="122"/>
  <c r="L54" i="122"/>
  <c r="L1382" i="184" s="1"/>
  <c r="D55" i="122"/>
  <c r="E55" i="122"/>
  <c r="F55" i="122"/>
  <c r="G55" i="122"/>
  <c r="H55" i="122"/>
  <c r="I55" i="122"/>
  <c r="J55" i="122"/>
  <c r="K55" i="122"/>
  <c r="K1419" i="184" s="1"/>
  <c r="L55" i="122"/>
  <c r="D50" i="117"/>
  <c r="E50" i="117"/>
  <c r="F50" i="117"/>
  <c r="G50" i="117"/>
  <c r="H50" i="117"/>
  <c r="I50" i="117"/>
  <c r="J50" i="117"/>
  <c r="J1233" i="184" s="1"/>
  <c r="K50" i="117"/>
  <c r="L50" i="117"/>
  <c r="D51" i="117"/>
  <c r="E51" i="117"/>
  <c r="F51" i="117"/>
  <c r="G51" i="117"/>
  <c r="H51" i="117"/>
  <c r="I51" i="117"/>
  <c r="I1270" i="184"/>
  <c r="J51" i="117"/>
  <c r="K51" i="117"/>
  <c r="L51" i="117"/>
  <c r="D52" i="117"/>
  <c r="E52" i="117"/>
  <c r="F52" i="117"/>
  <c r="G52" i="117"/>
  <c r="H52" i="117"/>
  <c r="H1307" i="184" s="1"/>
  <c r="I52" i="117"/>
  <c r="J52" i="117"/>
  <c r="K52" i="117"/>
  <c r="L52" i="117"/>
  <c r="D53" i="117"/>
  <c r="E53" i="117"/>
  <c r="F53" i="117"/>
  <c r="G53" i="117"/>
  <c r="G1344" i="184" s="1"/>
  <c r="H53" i="117"/>
  <c r="I53" i="117"/>
  <c r="J53" i="117"/>
  <c r="K53" i="117"/>
  <c r="L53" i="117"/>
  <c r="D54" i="117"/>
  <c r="E54" i="117"/>
  <c r="F54" i="117"/>
  <c r="D69" i="116" s="1"/>
  <c r="G54" i="117"/>
  <c r="H54" i="117"/>
  <c r="I54" i="117"/>
  <c r="J54" i="117"/>
  <c r="K54" i="117"/>
  <c r="L54" i="117"/>
  <c r="D55" i="117"/>
  <c r="E55" i="117"/>
  <c r="E1418" i="184"/>
  <c r="F55" i="117"/>
  <c r="G55" i="117"/>
  <c r="G1418" i="184"/>
  <c r="H55" i="117"/>
  <c r="I55" i="117"/>
  <c r="J55" i="117"/>
  <c r="K55" i="117"/>
  <c r="L55" i="117"/>
  <c r="A1" i="106"/>
  <c r="D50" i="107"/>
  <c r="E50" i="107"/>
  <c r="F50" i="107"/>
  <c r="G50" i="107"/>
  <c r="H50" i="107"/>
  <c r="I50" i="107"/>
  <c r="J50" i="107"/>
  <c r="K50" i="107"/>
  <c r="K1231" i="184"/>
  <c r="L50" i="107"/>
  <c r="D51" i="107"/>
  <c r="E51" i="107"/>
  <c r="F51" i="107"/>
  <c r="G51" i="107"/>
  <c r="H51" i="107"/>
  <c r="I51" i="107"/>
  <c r="J51" i="107"/>
  <c r="J1268" i="184" s="1"/>
  <c r="K51" i="107"/>
  <c r="L51" i="107"/>
  <c r="D52" i="107"/>
  <c r="E52" i="107"/>
  <c r="E1305" i="184"/>
  <c r="F52" i="107"/>
  <c r="G52" i="107"/>
  <c r="H52" i="107"/>
  <c r="H1305" i="184"/>
  <c r="I52" i="107"/>
  <c r="J52" i="107"/>
  <c r="K52" i="107"/>
  <c r="L52" i="107"/>
  <c r="D53" i="107"/>
  <c r="E53" i="107"/>
  <c r="F53" i="107"/>
  <c r="F1342" i="184"/>
  <c r="G53" i="107"/>
  <c r="H53" i="107"/>
  <c r="H1342" i="184" s="1"/>
  <c r="I53" i="107"/>
  <c r="J53" i="107"/>
  <c r="K53" i="107"/>
  <c r="L53" i="107"/>
  <c r="D54" i="107"/>
  <c r="E54" i="107"/>
  <c r="E1379" i="184" s="1"/>
  <c r="F54" i="107"/>
  <c r="G54" i="107"/>
  <c r="G1379" i="184" s="1"/>
  <c r="H54" i="107"/>
  <c r="I54" i="107"/>
  <c r="J54" i="107"/>
  <c r="K54" i="107"/>
  <c r="L54" i="107"/>
  <c r="D55" i="107"/>
  <c r="E55" i="107"/>
  <c r="F55" i="107"/>
  <c r="F1416" i="184"/>
  <c r="G55" i="107"/>
  <c r="H55" i="107"/>
  <c r="I55" i="107"/>
  <c r="J55" i="107"/>
  <c r="K55" i="107"/>
  <c r="K1416" i="184" s="1"/>
  <c r="L55" i="107"/>
  <c r="D50" i="102"/>
  <c r="E50" i="102"/>
  <c r="E1224" i="184"/>
  <c r="F50" i="102"/>
  <c r="G50" i="102"/>
  <c r="H50" i="102"/>
  <c r="I50" i="102"/>
  <c r="J50" i="102"/>
  <c r="K50" i="102"/>
  <c r="L50" i="102"/>
  <c r="D51" i="102"/>
  <c r="E51" i="102"/>
  <c r="F51" i="102"/>
  <c r="G51" i="102"/>
  <c r="H51" i="102"/>
  <c r="I51" i="102"/>
  <c r="J51" i="102"/>
  <c r="K51" i="102"/>
  <c r="L51" i="102"/>
  <c r="L1261" i="184" s="1"/>
  <c r="D52" i="102"/>
  <c r="E52" i="102"/>
  <c r="F52" i="102"/>
  <c r="G52" i="102"/>
  <c r="H52" i="102"/>
  <c r="I52" i="102"/>
  <c r="J52" i="102"/>
  <c r="K52" i="102"/>
  <c r="K1298" i="184" s="1"/>
  <c r="L52" i="102"/>
  <c r="D53" i="102"/>
  <c r="E53" i="102"/>
  <c r="F53" i="102"/>
  <c r="G53" i="102"/>
  <c r="H53" i="102"/>
  <c r="I53" i="102"/>
  <c r="J53" i="102"/>
  <c r="J1335" i="184" s="1"/>
  <c r="K53" i="102"/>
  <c r="L53" i="102"/>
  <c r="L1335" i="184" s="1"/>
  <c r="D54" i="102"/>
  <c r="E54" i="102"/>
  <c r="F54" i="102"/>
  <c r="G54" i="102"/>
  <c r="H54" i="102"/>
  <c r="I54" i="102"/>
  <c r="I55" i="102"/>
  <c r="J54" i="102"/>
  <c r="K54" i="102"/>
  <c r="L54" i="102"/>
  <c r="D55" i="102"/>
  <c r="E55" i="102"/>
  <c r="F55" i="102"/>
  <c r="G55" i="102"/>
  <c r="H55" i="102"/>
  <c r="H1409" i="184" s="1"/>
  <c r="J55" i="102"/>
  <c r="K55" i="102"/>
  <c r="L55" i="102"/>
  <c r="L1409" i="184"/>
  <c r="D50" i="97"/>
  <c r="E50" i="97"/>
  <c r="F50" i="97"/>
  <c r="G50" i="97"/>
  <c r="H50" i="97"/>
  <c r="I50" i="97"/>
  <c r="J50" i="97"/>
  <c r="K50" i="97"/>
  <c r="L50" i="97"/>
  <c r="D51" i="97"/>
  <c r="E51" i="97"/>
  <c r="F51" i="97"/>
  <c r="G51" i="97"/>
  <c r="H51" i="97"/>
  <c r="I51" i="97"/>
  <c r="J51" i="97"/>
  <c r="K51" i="97"/>
  <c r="L51" i="97"/>
  <c r="D52" i="97"/>
  <c r="E52" i="97"/>
  <c r="F52" i="97"/>
  <c r="G52" i="97"/>
  <c r="H52" i="97"/>
  <c r="I52" i="97"/>
  <c r="J52" i="97"/>
  <c r="K52" i="97"/>
  <c r="L52" i="97"/>
  <c r="L1292" i="184"/>
  <c r="D53" i="97"/>
  <c r="E53" i="97"/>
  <c r="F53" i="97"/>
  <c r="G53" i="97"/>
  <c r="H53" i="97"/>
  <c r="I53" i="97"/>
  <c r="J53" i="97"/>
  <c r="K53" i="97"/>
  <c r="L53" i="97"/>
  <c r="D54" i="97"/>
  <c r="E54" i="97"/>
  <c r="F54" i="97"/>
  <c r="G54" i="97"/>
  <c r="H54" i="97"/>
  <c r="I54" i="97"/>
  <c r="J54" i="97"/>
  <c r="K54" i="97"/>
  <c r="L54" i="97"/>
  <c r="L1366" i="184" s="1"/>
  <c r="D55" i="97"/>
  <c r="E55" i="97"/>
  <c r="F55" i="97"/>
  <c r="G55" i="97"/>
  <c r="H55" i="97"/>
  <c r="I55" i="97"/>
  <c r="J55" i="97"/>
  <c r="K55" i="97"/>
  <c r="L55" i="97"/>
  <c r="H1237" i="184"/>
  <c r="L1274" i="184"/>
  <c r="H1311" i="184"/>
  <c r="L1348" i="184"/>
  <c r="H1385" i="184"/>
  <c r="D50" i="87"/>
  <c r="E50" i="87"/>
  <c r="F50" i="87"/>
  <c r="G50" i="87"/>
  <c r="H50" i="87"/>
  <c r="H1216" i="184" s="1"/>
  <c r="I50" i="87"/>
  <c r="J50" i="87"/>
  <c r="K50" i="87"/>
  <c r="L50" i="87"/>
  <c r="D51" i="87"/>
  <c r="E51" i="87"/>
  <c r="F51" i="87"/>
  <c r="G51" i="87"/>
  <c r="H51" i="87"/>
  <c r="I51" i="87"/>
  <c r="J51" i="87"/>
  <c r="K51" i="87"/>
  <c r="L51" i="87"/>
  <c r="L1253" i="184" s="1"/>
  <c r="D52" i="87"/>
  <c r="E52" i="87"/>
  <c r="F52" i="87"/>
  <c r="G52" i="87"/>
  <c r="H52" i="87"/>
  <c r="I52" i="87"/>
  <c r="I1290" i="184" s="1"/>
  <c r="J52" i="87"/>
  <c r="K52" i="87"/>
  <c r="L52" i="87"/>
  <c r="D53" i="87"/>
  <c r="E53" i="87"/>
  <c r="F53" i="87"/>
  <c r="G53" i="87"/>
  <c r="H53" i="87"/>
  <c r="I53" i="87"/>
  <c r="J53" i="87"/>
  <c r="K53" i="87"/>
  <c r="L53" i="87"/>
  <c r="L1327" i="184"/>
  <c r="D54" i="87"/>
  <c r="E54" i="87"/>
  <c r="F54" i="87"/>
  <c r="G54" i="87"/>
  <c r="G1364" i="184" s="1"/>
  <c r="H54" i="87"/>
  <c r="H1364" i="184" s="1"/>
  <c r="I54" i="87"/>
  <c r="J54" i="87"/>
  <c r="K54" i="87"/>
  <c r="L54" i="87"/>
  <c r="D55" i="87"/>
  <c r="E55" i="87"/>
  <c r="F55" i="87"/>
  <c r="F1401" i="184" s="1"/>
  <c r="G55" i="87"/>
  <c r="H55" i="87"/>
  <c r="I55" i="87"/>
  <c r="J55" i="87"/>
  <c r="K55" i="87"/>
  <c r="L55" i="87"/>
  <c r="L1401" i="184"/>
  <c r="D50" i="203"/>
  <c r="E50" i="203"/>
  <c r="E1223" i="184" s="1"/>
  <c r="F50" i="203"/>
  <c r="G50" i="203"/>
  <c r="H50" i="203"/>
  <c r="I50" i="203"/>
  <c r="J50" i="203"/>
  <c r="K50" i="203"/>
  <c r="L50" i="203"/>
  <c r="D51" i="203"/>
  <c r="E51" i="203"/>
  <c r="F51" i="203"/>
  <c r="G51" i="203"/>
  <c r="H51" i="203"/>
  <c r="I51" i="203"/>
  <c r="J51" i="203"/>
  <c r="K51" i="203"/>
  <c r="L51" i="203"/>
  <c r="L1260" i="184" s="1"/>
  <c r="D52" i="203"/>
  <c r="E52" i="203"/>
  <c r="F52" i="203"/>
  <c r="G52" i="203"/>
  <c r="H52" i="203"/>
  <c r="H1297" i="184"/>
  <c r="I52" i="203"/>
  <c r="J52" i="203"/>
  <c r="K52" i="203"/>
  <c r="K1297" i="184" s="1"/>
  <c r="L52" i="203"/>
  <c r="D53" i="203"/>
  <c r="E53" i="203"/>
  <c r="F53" i="203"/>
  <c r="G53" i="203"/>
  <c r="H53" i="203"/>
  <c r="I53" i="203"/>
  <c r="J53" i="203"/>
  <c r="J1334" i="184" s="1"/>
  <c r="K53" i="203"/>
  <c r="L53" i="203"/>
  <c r="L1334" i="184"/>
  <c r="D54" i="203"/>
  <c r="E54" i="203"/>
  <c r="F54" i="203"/>
  <c r="G54" i="203"/>
  <c r="H54" i="203"/>
  <c r="H1371" i="184" s="1"/>
  <c r="I54" i="203"/>
  <c r="I1371" i="184"/>
  <c r="J54" i="203"/>
  <c r="K54" i="203"/>
  <c r="L54" i="203"/>
  <c r="D55" i="203"/>
  <c r="E55" i="203"/>
  <c r="F55" i="203"/>
  <c r="G55" i="203"/>
  <c r="H55" i="203"/>
  <c r="H1408" i="184" s="1"/>
  <c r="I55" i="203"/>
  <c r="J55" i="203"/>
  <c r="K55" i="203"/>
  <c r="L55" i="203"/>
  <c r="D50" i="199"/>
  <c r="E50" i="199"/>
  <c r="F50" i="199"/>
  <c r="G50" i="199"/>
  <c r="G1220" i="184" s="1"/>
  <c r="H50" i="199"/>
  <c r="I50" i="199"/>
  <c r="J50" i="199"/>
  <c r="K50" i="199"/>
  <c r="L50" i="199"/>
  <c r="D51" i="199"/>
  <c r="E51" i="199"/>
  <c r="F51" i="199"/>
  <c r="F1257" i="184" s="1"/>
  <c r="G51" i="199"/>
  <c r="H51" i="199"/>
  <c r="I51" i="199"/>
  <c r="J51" i="199"/>
  <c r="K51" i="199"/>
  <c r="L51" i="199"/>
  <c r="D52" i="199"/>
  <c r="E52" i="199"/>
  <c r="E1294" i="184" s="1"/>
  <c r="F52" i="199"/>
  <c r="G52" i="199"/>
  <c r="H52" i="199"/>
  <c r="I52" i="199"/>
  <c r="J52" i="199"/>
  <c r="K52" i="199"/>
  <c r="L52" i="199"/>
  <c r="L1294" i="184" s="1"/>
  <c r="D53" i="199"/>
  <c r="D1331" i="184"/>
  <c r="E53" i="199"/>
  <c r="F53" i="199"/>
  <c r="G53" i="199"/>
  <c r="H53" i="199"/>
  <c r="I53" i="199"/>
  <c r="J53" i="199"/>
  <c r="K53" i="199"/>
  <c r="L53" i="199"/>
  <c r="L1331" i="184" s="1"/>
  <c r="D54" i="199"/>
  <c r="E54" i="199"/>
  <c r="F54" i="199"/>
  <c r="G54" i="199"/>
  <c r="H54" i="199"/>
  <c r="I54" i="199"/>
  <c r="J54" i="199"/>
  <c r="K54" i="199"/>
  <c r="K1368" i="184" s="1"/>
  <c r="L54" i="199"/>
  <c r="L1368" i="184"/>
  <c r="D55" i="199"/>
  <c r="E55" i="199"/>
  <c r="F55" i="199"/>
  <c r="G55" i="199"/>
  <c r="H55" i="199"/>
  <c r="I55" i="199"/>
  <c r="J55" i="199"/>
  <c r="J1405" i="184"/>
  <c r="K55" i="199"/>
  <c r="L55" i="199"/>
  <c r="D50" i="82"/>
  <c r="E50" i="82"/>
  <c r="F50" i="82"/>
  <c r="G50" i="82"/>
  <c r="H50" i="82"/>
  <c r="I50" i="82"/>
  <c r="J50" i="82"/>
  <c r="K50" i="82"/>
  <c r="L50" i="82"/>
  <c r="D51" i="82"/>
  <c r="E51" i="82"/>
  <c r="F51" i="82"/>
  <c r="G51" i="82"/>
  <c r="H51" i="82"/>
  <c r="I51" i="82"/>
  <c r="J51" i="82"/>
  <c r="K51" i="82"/>
  <c r="L51" i="82"/>
  <c r="D52" i="82"/>
  <c r="E52" i="82"/>
  <c r="F52" i="82"/>
  <c r="G52" i="82"/>
  <c r="H52" i="82"/>
  <c r="I52" i="82"/>
  <c r="J52" i="82"/>
  <c r="K52" i="82"/>
  <c r="L52" i="82"/>
  <c r="D53" i="82"/>
  <c r="E53" i="82"/>
  <c r="F53" i="82"/>
  <c r="G53" i="82"/>
  <c r="H53" i="82"/>
  <c r="I53" i="82"/>
  <c r="J53" i="82"/>
  <c r="K53" i="82"/>
  <c r="L53" i="82"/>
  <c r="D54" i="82"/>
  <c r="E54" i="82"/>
  <c r="F54" i="82"/>
  <c r="G54" i="82"/>
  <c r="H54" i="82"/>
  <c r="I54" i="82"/>
  <c r="J54" i="82"/>
  <c r="K54" i="82"/>
  <c r="L54" i="82"/>
  <c r="D55" i="82"/>
  <c r="E55" i="82"/>
  <c r="F55" i="82"/>
  <c r="G55" i="82"/>
  <c r="H55" i="82"/>
  <c r="I55" i="82"/>
  <c r="J55" i="82"/>
  <c r="K55" i="82"/>
  <c r="L55" i="82"/>
  <c r="D50" i="78"/>
  <c r="E50" i="78"/>
  <c r="F50" i="78"/>
  <c r="G50" i="78"/>
  <c r="H50" i="78"/>
  <c r="I50" i="78"/>
  <c r="J50" i="78"/>
  <c r="K50" i="78"/>
  <c r="L50" i="78"/>
  <c r="D51" i="78"/>
  <c r="E51" i="78"/>
  <c r="F51" i="78"/>
  <c r="G51" i="78"/>
  <c r="H51" i="78"/>
  <c r="I51" i="78"/>
  <c r="J51" i="78"/>
  <c r="K51" i="78"/>
  <c r="L51" i="78"/>
  <c r="D52" i="78"/>
  <c r="E52" i="78"/>
  <c r="F52" i="78"/>
  <c r="G52" i="78"/>
  <c r="H52" i="78"/>
  <c r="I52" i="78"/>
  <c r="J52" i="78"/>
  <c r="K52" i="78"/>
  <c r="K1293" i="184"/>
  <c r="L52" i="78"/>
  <c r="D53" i="78"/>
  <c r="E53" i="78"/>
  <c r="F53" i="78"/>
  <c r="G53" i="78"/>
  <c r="H53" i="78"/>
  <c r="H1330" i="184"/>
  <c r="I53" i="78"/>
  <c r="J53" i="78"/>
  <c r="K53" i="78"/>
  <c r="L53" i="78"/>
  <c r="D54" i="78"/>
  <c r="E54" i="78"/>
  <c r="F54" i="78"/>
  <c r="G54" i="78"/>
  <c r="H54" i="78"/>
  <c r="I54" i="78"/>
  <c r="J54" i="78"/>
  <c r="K54" i="78"/>
  <c r="L54" i="78"/>
  <c r="L1367" i="184"/>
  <c r="D55" i="78"/>
  <c r="E55" i="78"/>
  <c r="F55" i="78"/>
  <c r="G55" i="78"/>
  <c r="H55" i="78"/>
  <c r="H1404" i="184" s="1"/>
  <c r="I55" i="78"/>
  <c r="J55" i="78"/>
  <c r="K55" i="78"/>
  <c r="L55" i="78"/>
  <c r="D50" i="72"/>
  <c r="E50" i="72"/>
  <c r="E1225" i="184" s="1"/>
  <c r="F50" i="72"/>
  <c r="G50" i="72"/>
  <c r="H50" i="72"/>
  <c r="I50" i="72"/>
  <c r="J50" i="72"/>
  <c r="K50" i="72"/>
  <c r="K1225" i="184"/>
  <c r="L50" i="72"/>
  <c r="D51" i="72"/>
  <c r="D1262" i="184" s="1"/>
  <c r="E51" i="72"/>
  <c r="F51" i="72"/>
  <c r="G51" i="72"/>
  <c r="H51" i="72"/>
  <c r="H1262" i="184"/>
  <c r="I51" i="72"/>
  <c r="J51" i="72"/>
  <c r="K51" i="72"/>
  <c r="L51" i="72"/>
  <c r="L1262" i="184" s="1"/>
  <c r="D52" i="72"/>
  <c r="E52" i="72"/>
  <c r="F52" i="72"/>
  <c r="G52" i="72"/>
  <c r="H52" i="72"/>
  <c r="I52" i="72"/>
  <c r="J52" i="72"/>
  <c r="K52" i="72"/>
  <c r="K1299" i="184" s="1"/>
  <c r="L52" i="72"/>
  <c r="L1299" i="184"/>
  <c r="D53" i="72"/>
  <c r="E53" i="72"/>
  <c r="F53" i="72"/>
  <c r="G53" i="72"/>
  <c r="H53" i="72"/>
  <c r="H1336" i="184" s="1"/>
  <c r="I53" i="72"/>
  <c r="J53" i="72"/>
  <c r="J1336" i="184" s="1"/>
  <c r="K53" i="72"/>
  <c r="L53" i="72"/>
  <c r="D54" i="72"/>
  <c r="E54" i="72"/>
  <c r="F54" i="72"/>
  <c r="G54" i="72"/>
  <c r="H54" i="72"/>
  <c r="I54" i="72"/>
  <c r="I1373" i="184" s="1"/>
  <c r="J54" i="72"/>
  <c r="K54" i="72"/>
  <c r="K1373" i="184" s="1"/>
  <c r="L54" i="72"/>
  <c r="L1373" i="184" s="1"/>
  <c r="D55" i="72"/>
  <c r="E55" i="72"/>
  <c r="F55" i="72"/>
  <c r="G55" i="72"/>
  <c r="G1410" i="184"/>
  <c r="H55" i="72"/>
  <c r="H1410" i="184"/>
  <c r="I55" i="72"/>
  <c r="J55" i="72"/>
  <c r="K55" i="72"/>
  <c r="L55" i="72"/>
  <c r="D50" i="67"/>
  <c r="E50" i="67"/>
  <c r="F50" i="67"/>
  <c r="G50" i="67"/>
  <c r="G1211" i="184" s="1"/>
  <c r="H50" i="67"/>
  <c r="I50" i="67"/>
  <c r="J50" i="67"/>
  <c r="K50" i="67"/>
  <c r="L50" i="67"/>
  <c r="D51" i="67"/>
  <c r="E51" i="67"/>
  <c r="F51" i="67"/>
  <c r="D27" i="66"/>
  <c r="G51" i="67"/>
  <c r="H51" i="67"/>
  <c r="I51" i="67"/>
  <c r="I1248" i="184"/>
  <c r="J51" i="67"/>
  <c r="K51" i="67"/>
  <c r="K56" i="67" s="1"/>
  <c r="K1433" i="184" s="1"/>
  <c r="L51" i="67"/>
  <c r="D52" i="67"/>
  <c r="E52" i="67"/>
  <c r="E1285" i="184"/>
  <c r="F52" i="67"/>
  <c r="G52" i="67"/>
  <c r="H52" i="67"/>
  <c r="H1285" i="184"/>
  <c r="I52" i="67"/>
  <c r="J52" i="67"/>
  <c r="K52" i="67"/>
  <c r="L52" i="67"/>
  <c r="D53" i="67"/>
  <c r="D1322" i="184"/>
  <c r="E53" i="67"/>
  <c r="F53" i="67"/>
  <c r="G53" i="67"/>
  <c r="H53" i="67"/>
  <c r="I53" i="67"/>
  <c r="J53" i="67"/>
  <c r="J1322" i="184" s="1"/>
  <c r="K53" i="67"/>
  <c r="L53" i="67"/>
  <c r="L56" i="67" s="1"/>
  <c r="L1433" i="184" s="1"/>
  <c r="L54" i="67"/>
  <c r="L55" i="67"/>
  <c r="D54" i="67"/>
  <c r="E54" i="67"/>
  <c r="F54" i="67"/>
  <c r="F1359" i="184" s="1"/>
  <c r="G54" i="67"/>
  <c r="H54" i="67"/>
  <c r="I54" i="67"/>
  <c r="J54" i="67"/>
  <c r="K54" i="67"/>
  <c r="K55" i="67"/>
  <c r="D55" i="67"/>
  <c r="E55" i="67"/>
  <c r="E1396" i="184"/>
  <c r="F55" i="67"/>
  <c r="G55" i="67"/>
  <c r="H55" i="67"/>
  <c r="I55" i="67"/>
  <c r="J55" i="67"/>
  <c r="J1396" i="184" s="1"/>
  <c r="D50" i="62"/>
  <c r="E50" i="62"/>
  <c r="F50" i="62"/>
  <c r="G50" i="62"/>
  <c r="H50" i="62"/>
  <c r="I50" i="62"/>
  <c r="J50" i="62"/>
  <c r="K50" i="62"/>
  <c r="L50" i="62"/>
  <c r="D51" i="62"/>
  <c r="E51" i="62"/>
  <c r="F51" i="62"/>
  <c r="G51" i="62"/>
  <c r="H51" i="62"/>
  <c r="I51" i="62"/>
  <c r="J51" i="62"/>
  <c r="K51" i="62"/>
  <c r="L51" i="62"/>
  <c r="D52" i="62"/>
  <c r="E52" i="62"/>
  <c r="F52" i="62"/>
  <c r="G52" i="62"/>
  <c r="H52" i="62"/>
  <c r="I52" i="62"/>
  <c r="J52" i="62"/>
  <c r="K52" i="62"/>
  <c r="L52" i="62"/>
  <c r="L1295" i="184"/>
  <c r="D53" i="62"/>
  <c r="E53" i="62"/>
  <c r="F53" i="62"/>
  <c r="G53" i="62"/>
  <c r="H53" i="62"/>
  <c r="I53" i="62"/>
  <c r="J53" i="62"/>
  <c r="K53" i="62"/>
  <c r="L53" i="62"/>
  <c r="D54" i="62"/>
  <c r="E54" i="62"/>
  <c r="F54" i="62"/>
  <c r="G54" i="62"/>
  <c r="H54" i="62"/>
  <c r="I54" i="62"/>
  <c r="J54" i="62"/>
  <c r="K54" i="62"/>
  <c r="L54" i="62"/>
  <c r="D55" i="62"/>
  <c r="E55" i="62"/>
  <c r="F55" i="62"/>
  <c r="G55" i="62"/>
  <c r="H55" i="62"/>
  <c r="I55" i="62"/>
  <c r="J55" i="62"/>
  <c r="K55" i="62"/>
  <c r="L55" i="62"/>
  <c r="D50" i="57"/>
  <c r="E50" i="57"/>
  <c r="F50" i="57"/>
  <c r="G50" i="57"/>
  <c r="G1217" i="184"/>
  <c r="H50" i="57"/>
  <c r="I50" i="57"/>
  <c r="J50" i="57"/>
  <c r="K50" i="57"/>
  <c r="K1217" i="184"/>
  <c r="L50" i="57"/>
  <c r="D51" i="57"/>
  <c r="E51" i="57"/>
  <c r="F51" i="57"/>
  <c r="F1254" i="184" s="1"/>
  <c r="G51" i="57"/>
  <c r="G1254" i="184"/>
  <c r="H51" i="57"/>
  <c r="I51" i="57"/>
  <c r="J51" i="57"/>
  <c r="J1254" i="184"/>
  <c r="K51" i="57"/>
  <c r="K1254" i="184" s="1"/>
  <c r="L51" i="57"/>
  <c r="L1254" i="184"/>
  <c r="D52" i="57"/>
  <c r="E52" i="57"/>
  <c r="F52" i="57"/>
  <c r="G52" i="57"/>
  <c r="G1291" i="184" s="1"/>
  <c r="H52" i="57"/>
  <c r="H1291" i="184" s="1"/>
  <c r="I52" i="57"/>
  <c r="J52" i="57"/>
  <c r="K52" i="57"/>
  <c r="L52" i="57"/>
  <c r="D53" i="57"/>
  <c r="E53" i="57"/>
  <c r="F53" i="57"/>
  <c r="G53" i="57"/>
  <c r="H53" i="57"/>
  <c r="H1328" i="184" s="1"/>
  <c r="I53" i="57"/>
  <c r="J53" i="57"/>
  <c r="K53" i="57"/>
  <c r="L53" i="57"/>
  <c r="D54" i="57"/>
  <c r="E54" i="57"/>
  <c r="F54" i="57"/>
  <c r="G54" i="57"/>
  <c r="G1365" i="184"/>
  <c r="H54" i="57"/>
  <c r="H1365" i="184" s="1"/>
  <c r="I54" i="57"/>
  <c r="J54" i="57"/>
  <c r="K54" i="57"/>
  <c r="K1365" i="184" s="1"/>
  <c r="L54" i="57"/>
  <c r="D55" i="57"/>
  <c r="E55" i="57"/>
  <c r="F55" i="57"/>
  <c r="D31" i="56" s="1"/>
  <c r="G55" i="57"/>
  <c r="H55" i="57"/>
  <c r="I55" i="57"/>
  <c r="J55" i="57"/>
  <c r="J1402" i="184" s="1"/>
  <c r="K55" i="57"/>
  <c r="K1402" i="184"/>
  <c r="L55" i="57"/>
  <c r="L1402" i="184" s="1"/>
  <c r="D50" i="52"/>
  <c r="E50" i="52"/>
  <c r="F50" i="52"/>
  <c r="G50" i="52"/>
  <c r="H50" i="52"/>
  <c r="I50" i="52"/>
  <c r="J50" i="52"/>
  <c r="K50" i="52"/>
  <c r="L50" i="52"/>
  <c r="D51" i="52"/>
  <c r="E51" i="52"/>
  <c r="F51" i="52"/>
  <c r="G51" i="52"/>
  <c r="H51" i="52"/>
  <c r="I51" i="52"/>
  <c r="J51" i="52"/>
  <c r="K51" i="52"/>
  <c r="L51" i="52"/>
  <c r="D52" i="52"/>
  <c r="E52" i="52"/>
  <c r="F52" i="52"/>
  <c r="G52" i="52"/>
  <c r="H52" i="52"/>
  <c r="I52" i="52"/>
  <c r="J52" i="52"/>
  <c r="K52" i="52"/>
  <c r="L52" i="52"/>
  <c r="D53" i="52"/>
  <c r="E53" i="52"/>
  <c r="F53" i="52"/>
  <c r="G53" i="52"/>
  <c r="H53" i="52"/>
  <c r="I53" i="52"/>
  <c r="J53" i="52"/>
  <c r="K53" i="52"/>
  <c r="L53" i="52"/>
  <c r="D54" i="52"/>
  <c r="E54" i="52"/>
  <c r="F54" i="52"/>
  <c r="G54" i="52"/>
  <c r="H54" i="52"/>
  <c r="I54" i="52"/>
  <c r="J54" i="52"/>
  <c r="K54" i="52"/>
  <c r="L54" i="52"/>
  <c r="D55" i="52"/>
  <c r="E55" i="52"/>
  <c r="E1415" i="184"/>
  <c r="F55" i="52"/>
  <c r="G55" i="52"/>
  <c r="H55" i="52"/>
  <c r="I55" i="52"/>
  <c r="J55" i="52"/>
  <c r="K55" i="52"/>
  <c r="L55" i="52"/>
  <c r="D50" i="47"/>
  <c r="E50" i="47"/>
  <c r="F50" i="47"/>
  <c r="G50" i="47"/>
  <c r="H50" i="47"/>
  <c r="I50" i="47"/>
  <c r="J50" i="47"/>
  <c r="K50" i="47"/>
  <c r="L50" i="47"/>
  <c r="D51" i="47"/>
  <c r="E51" i="47"/>
  <c r="E1249" i="184"/>
  <c r="F51" i="47"/>
  <c r="G51" i="47"/>
  <c r="H51" i="47"/>
  <c r="I51" i="47"/>
  <c r="J51" i="47"/>
  <c r="J1249" i="184"/>
  <c r="K51" i="47"/>
  <c r="L51" i="47"/>
  <c r="D52" i="47"/>
  <c r="E52" i="47"/>
  <c r="F52" i="47"/>
  <c r="G52" i="47"/>
  <c r="H52" i="47"/>
  <c r="I52" i="47"/>
  <c r="J52" i="47"/>
  <c r="J1286" i="184"/>
  <c r="K52" i="47"/>
  <c r="L52" i="47"/>
  <c r="D53" i="47"/>
  <c r="E53" i="47"/>
  <c r="E1323" i="184"/>
  <c r="F53" i="47"/>
  <c r="G53" i="47"/>
  <c r="H53" i="47"/>
  <c r="H1323" i="184" s="1"/>
  <c r="I53" i="47"/>
  <c r="J53" i="47"/>
  <c r="K53" i="47"/>
  <c r="L53" i="47"/>
  <c r="D54" i="47"/>
  <c r="E54" i="47"/>
  <c r="F54" i="47"/>
  <c r="G54" i="47"/>
  <c r="H54" i="47"/>
  <c r="I54" i="47"/>
  <c r="I1360" i="184"/>
  <c r="J54" i="47"/>
  <c r="K54" i="47"/>
  <c r="L54" i="47"/>
  <c r="D55" i="47"/>
  <c r="E55" i="47"/>
  <c r="F55" i="47"/>
  <c r="D31" i="46"/>
  <c r="G55" i="47"/>
  <c r="H55" i="47"/>
  <c r="I55" i="47"/>
  <c r="J55" i="47"/>
  <c r="K55" i="47"/>
  <c r="L55" i="47"/>
  <c r="D50" i="42"/>
  <c r="E50" i="42"/>
  <c r="F50" i="42"/>
  <c r="G50" i="42"/>
  <c r="H50" i="42"/>
  <c r="I50" i="42"/>
  <c r="J50" i="42"/>
  <c r="K50" i="42"/>
  <c r="L50" i="42"/>
  <c r="D51" i="42"/>
  <c r="D1247" i="184"/>
  <c r="E51" i="42"/>
  <c r="F51" i="42"/>
  <c r="G51" i="42"/>
  <c r="H51" i="42"/>
  <c r="I51" i="42"/>
  <c r="J51" i="42"/>
  <c r="K51" i="42"/>
  <c r="L51" i="42"/>
  <c r="D52" i="42"/>
  <c r="E52" i="42"/>
  <c r="F52" i="42"/>
  <c r="G52" i="42"/>
  <c r="H52" i="42"/>
  <c r="I52" i="42"/>
  <c r="I1284" i="184"/>
  <c r="J52" i="42"/>
  <c r="K52" i="42"/>
  <c r="L52" i="42"/>
  <c r="D53" i="42"/>
  <c r="D1321" i="184"/>
  <c r="E53" i="42"/>
  <c r="E1321" i="184" s="1"/>
  <c r="F53" i="42"/>
  <c r="G53" i="42"/>
  <c r="H53" i="42"/>
  <c r="I53" i="42"/>
  <c r="J53" i="42"/>
  <c r="K53" i="42"/>
  <c r="L53" i="42"/>
  <c r="D54" i="42"/>
  <c r="E54" i="42"/>
  <c r="F54" i="42"/>
  <c r="G54" i="42"/>
  <c r="H54" i="42"/>
  <c r="H1358" i="184"/>
  <c r="I54" i="42"/>
  <c r="I1358" i="184"/>
  <c r="J54" i="42"/>
  <c r="K54" i="42"/>
  <c r="L54" i="42"/>
  <c r="D55" i="42"/>
  <c r="D1395" i="184" s="1"/>
  <c r="E55" i="42"/>
  <c r="E1395" i="184" s="1"/>
  <c r="F55" i="42"/>
  <c r="G55" i="42"/>
  <c r="H55" i="42"/>
  <c r="I55" i="42"/>
  <c r="J55" i="42"/>
  <c r="K55" i="42"/>
  <c r="L55" i="42"/>
  <c r="L1395" i="184"/>
  <c r="D50" i="36"/>
  <c r="E50" i="36"/>
  <c r="E1205" i="184" s="1"/>
  <c r="F50" i="36"/>
  <c r="G50" i="36"/>
  <c r="H50" i="36"/>
  <c r="I50" i="36"/>
  <c r="J50" i="36"/>
  <c r="K50" i="36"/>
  <c r="L50" i="36"/>
  <c r="D51" i="36"/>
  <c r="D1242" i="184" s="1"/>
  <c r="E51" i="36"/>
  <c r="F51" i="36"/>
  <c r="F1242" i="184"/>
  <c r="G51" i="36"/>
  <c r="H51" i="36"/>
  <c r="I51" i="36"/>
  <c r="J51" i="36"/>
  <c r="K51" i="36"/>
  <c r="L51" i="36"/>
  <c r="D52" i="36"/>
  <c r="E52" i="36"/>
  <c r="E1279" i="184"/>
  <c r="F52" i="36"/>
  <c r="G52" i="36"/>
  <c r="H52" i="36"/>
  <c r="I52" i="36"/>
  <c r="J52" i="36"/>
  <c r="J1279" i="184"/>
  <c r="K52" i="36"/>
  <c r="K1279" i="184" s="1"/>
  <c r="L52" i="36"/>
  <c r="D53" i="36"/>
  <c r="D1316" i="184" s="1"/>
  <c r="E53" i="36"/>
  <c r="F53" i="36"/>
  <c r="G53" i="36"/>
  <c r="H53" i="36"/>
  <c r="I53" i="36"/>
  <c r="J53" i="36"/>
  <c r="J1316" i="184" s="1"/>
  <c r="K53" i="36"/>
  <c r="L53" i="36"/>
  <c r="L1316" i="184"/>
  <c r="D54" i="36"/>
  <c r="E54" i="36"/>
  <c r="F54" i="36"/>
  <c r="G54" i="36"/>
  <c r="H54" i="36"/>
  <c r="I54" i="36"/>
  <c r="J54" i="36"/>
  <c r="J1353" i="184"/>
  <c r="K54" i="36"/>
  <c r="L54" i="36"/>
  <c r="D55" i="36"/>
  <c r="E55" i="36"/>
  <c r="F55" i="36"/>
  <c r="G55" i="36"/>
  <c r="H55" i="36"/>
  <c r="H1390" i="184"/>
  <c r="I55" i="36"/>
  <c r="J55" i="36"/>
  <c r="K55" i="36"/>
  <c r="L55" i="36"/>
  <c r="D50" i="26"/>
  <c r="E50" i="26"/>
  <c r="F50" i="26"/>
  <c r="G50" i="26"/>
  <c r="H50" i="26"/>
  <c r="I50" i="26"/>
  <c r="I1207" i="184"/>
  <c r="J50" i="26"/>
  <c r="K50" i="26"/>
  <c r="L50" i="26"/>
  <c r="D51" i="26"/>
  <c r="E51" i="26"/>
  <c r="F51" i="26"/>
  <c r="G51" i="26"/>
  <c r="H51" i="26"/>
  <c r="I51" i="26"/>
  <c r="J51" i="26"/>
  <c r="K51" i="26"/>
  <c r="L51" i="26"/>
  <c r="D52" i="26"/>
  <c r="E52" i="26"/>
  <c r="F52" i="26"/>
  <c r="G52" i="26"/>
  <c r="H52" i="26"/>
  <c r="I52" i="26"/>
  <c r="J52" i="26"/>
  <c r="K52" i="26"/>
  <c r="L52" i="26"/>
  <c r="D53" i="26"/>
  <c r="E53" i="26"/>
  <c r="F53" i="26"/>
  <c r="F1318" i="184" s="1"/>
  <c r="G53" i="26"/>
  <c r="H53" i="26"/>
  <c r="I53" i="26"/>
  <c r="J53" i="26"/>
  <c r="K53" i="26"/>
  <c r="K1318" i="184" s="1"/>
  <c r="L53" i="26"/>
  <c r="D54" i="26"/>
  <c r="E54" i="26"/>
  <c r="E1355" i="184" s="1"/>
  <c r="F54" i="26"/>
  <c r="G54" i="26"/>
  <c r="H54" i="26"/>
  <c r="I54" i="26"/>
  <c r="J54" i="26"/>
  <c r="K54" i="26"/>
  <c r="L54" i="26"/>
  <c r="D55" i="26"/>
  <c r="D1392" i="184" s="1"/>
  <c r="E55" i="26"/>
  <c r="F55" i="26"/>
  <c r="G55" i="26"/>
  <c r="H55" i="26"/>
  <c r="I55" i="26"/>
  <c r="J55" i="26"/>
  <c r="K55" i="26"/>
  <c r="K1392" i="184" s="1"/>
  <c r="L55" i="26"/>
  <c r="L1392" i="184" s="1"/>
  <c r="D50" i="21"/>
  <c r="E50" i="21"/>
  <c r="F50" i="21"/>
  <c r="G50" i="21"/>
  <c r="H50" i="21"/>
  <c r="I50" i="21"/>
  <c r="J50" i="21"/>
  <c r="K50" i="21"/>
  <c r="L50" i="21"/>
  <c r="D51" i="21"/>
  <c r="E51" i="21"/>
  <c r="F51" i="21"/>
  <c r="G51" i="21"/>
  <c r="H51" i="21"/>
  <c r="I51" i="21"/>
  <c r="J51" i="21"/>
  <c r="J1243" i="184"/>
  <c r="K51" i="21"/>
  <c r="K1243" i="184"/>
  <c r="L51" i="21"/>
  <c r="D52" i="21"/>
  <c r="E52" i="21"/>
  <c r="F52" i="21"/>
  <c r="D28" i="20"/>
  <c r="G52" i="21"/>
  <c r="G1280" i="184" s="1"/>
  <c r="H52" i="21"/>
  <c r="I52" i="21"/>
  <c r="J52" i="21"/>
  <c r="K52" i="21"/>
  <c r="L52" i="21"/>
  <c r="D53" i="21"/>
  <c r="E53" i="21"/>
  <c r="F53" i="21"/>
  <c r="G53" i="21"/>
  <c r="H53" i="21"/>
  <c r="H1317" i="184" s="1"/>
  <c r="I53" i="21"/>
  <c r="J53" i="21"/>
  <c r="J1317" i="184"/>
  <c r="K53" i="21"/>
  <c r="K1317" i="184" s="1"/>
  <c r="L53" i="21"/>
  <c r="D54" i="21"/>
  <c r="E54" i="21"/>
  <c r="F54" i="21"/>
  <c r="G54" i="21"/>
  <c r="G1354" i="184"/>
  <c r="H54" i="21"/>
  <c r="I54" i="21"/>
  <c r="J54" i="21"/>
  <c r="K54" i="21"/>
  <c r="L54" i="21"/>
  <c r="L1354" i="184" s="1"/>
  <c r="D55" i="21"/>
  <c r="E55" i="21"/>
  <c r="F55" i="21"/>
  <c r="D31" i="20"/>
  <c r="G55" i="21"/>
  <c r="H55" i="21"/>
  <c r="I55" i="21"/>
  <c r="J55" i="21"/>
  <c r="K55" i="21"/>
  <c r="K1391" i="184"/>
  <c r="L55" i="21"/>
  <c r="D50" i="16"/>
  <c r="E50" i="16"/>
  <c r="F50" i="16"/>
  <c r="G50" i="16"/>
  <c r="H50" i="16"/>
  <c r="I50" i="16"/>
  <c r="I1204" i="184"/>
  <c r="J50" i="16"/>
  <c r="K50" i="16"/>
  <c r="L50" i="16"/>
  <c r="L56" i="16" s="1"/>
  <c r="L1426" i="184" s="1"/>
  <c r="D51" i="16"/>
  <c r="E51" i="16"/>
  <c r="E1241" i="184"/>
  <c r="F51" i="16"/>
  <c r="G51" i="16"/>
  <c r="H51" i="16"/>
  <c r="I51" i="16"/>
  <c r="J51" i="16"/>
  <c r="K51" i="16"/>
  <c r="L51" i="16"/>
  <c r="D52" i="16"/>
  <c r="E52" i="16"/>
  <c r="F52" i="16"/>
  <c r="G52" i="16"/>
  <c r="G1278" i="184" s="1"/>
  <c r="H52" i="16"/>
  <c r="I52" i="16"/>
  <c r="J52" i="16"/>
  <c r="K52" i="16"/>
  <c r="L52" i="16"/>
  <c r="D53" i="16"/>
  <c r="E53" i="16"/>
  <c r="E1315" i="184" s="1"/>
  <c r="F53" i="16"/>
  <c r="G53" i="16"/>
  <c r="H53" i="16"/>
  <c r="H56" i="16" s="1"/>
  <c r="H1426" i="184" s="1"/>
  <c r="I53" i="16"/>
  <c r="J53" i="16"/>
  <c r="K53" i="16"/>
  <c r="L53" i="16"/>
  <c r="D54" i="16"/>
  <c r="E54" i="16"/>
  <c r="F54" i="16"/>
  <c r="G54" i="16"/>
  <c r="H54" i="16"/>
  <c r="I54" i="16"/>
  <c r="I1352" i="184"/>
  <c r="J54" i="16"/>
  <c r="K54" i="16"/>
  <c r="L54" i="16"/>
  <c r="D55" i="16"/>
  <c r="D56" i="16"/>
  <c r="D1426" i="184" s="1"/>
  <c r="E55" i="16"/>
  <c r="E1389" i="184"/>
  <c r="F55" i="16"/>
  <c r="G55" i="16"/>
  <c r="H55" i="16"/>
  <c r="I55" i="16"/>
  <c r="J55" i="16"/>
  <c r="K55" i="16"/>
  <c r="L55" i="16"/>
  <c r="D50" i="13"/>
  <c r="E50" i="13"/>
  <c r="F50" i="13"/>
  <c r="G50" i="13"/>
  <c r="H50" i="13"/>
  <c r="I50" i="13"/>
  <c r="J50" i="13"/>
  <c r="K50" i="13"/>
  <c r="L50" i="13"/>
  <c r="D51" i="13"/>
  <c r="E51" i="13"/>
  <c r="F51" i="13"/>
  <c r="G51" i="13"/>
  <c r="H51" i="13"/>
  <c r="I51" i="13"/>
  <c r="I1239" i="184" s="1"/>
  <c r="J51" i="13"/>
  <c r="K51" i="13"/>
  <c r="L51" i="13"/>
  <c r="D52" i="13"/>
  <c r="D1276" i="184" s="1"/>
  <c r="E52" i="13"/>
  <c r="F52" i="13"/>
  <c r="G52" i="13"/>
  <c r="H52" i="13"/>
  <c r="I52" i="13"/>
  <c r="J52" i="13"/>
  <c r="K52" i="13"/>
  <c r="L52" i="13"/>
  <c r="L1276" i="184" s="1"/>
  <c r="D53" i="13"/>
  <c r="E53" i="13"/>
  <c r="F53" i="13"/>
  <c r="G53" i="13"/>
  <c r="H53" i="13"/>
  <c r="I53" i="13"/>
  <c r="I1313" i="184" s="1"/>
  <c r="J53" i="13"/>
  <c r="K53" i="13"/>
  <c r="L53" i="13"/>
  <c r="D54" i="13"/>
  <c r="E54" i="13"/>
  <c r="E1350" i="184" s="1"/>
  <c r="F54" i="13"/>
  <c r="G54" i="13"/>
  <c r="H54" i="13"/>
  <c r="I54" i="13"/>
  <c r="J54" i="13"/>
  <c r="K54" i="13"/>
  <c r="L54" i="13"/>
  <c r="D55" i="13"/>
  <c r="E55" i="13"/>
  <c r="F55" i="13"/>
  <c r="G55" i="13"/>
  <c r="H55" i="13"/>
  <c r="I55" i="13"/>
  <c r="J55" i="13"/>
  <c r="K55" i="13"/>
  <c r="L55" i="13"/>
  <c r="D50" i="142"/>
  <c r="E50" i="142"/>
  <c r="F50" i="142"/>
  <c r="G50" i="142"/>
  <c r="H50" i="142"/>
  <c r="I50" i="142"/>
  <c r="J50" i="142"/>
  <c r="K50" i="142"/>
  <c r="L50" i="142"/>
  <c r="D51" i="142"/>
  <c r="E51" i="142"/>
  <c r="F51" i="142"/>
  <c r="G51" i="142"/>
  <c r="H51" i="142"/>
  <c r="I51" i="142"/>
  <c r="J51" i="142"/>
  <c r="K51" i="142"/>
  <c r="L51" i="142"/>
  <c r="D52" i="142"/>
  <c r="E52" i="142"/>
  <c r="F52" i="142"/>
  <c r="G52" i="142"/>
  <c r="H52" i="142"/>
  <c r="I52" i="142"/>
  <c r="J52" i="142"/>
  <c r="K52" i="142"/>
  <c r="L52" i="142"/>
  <c r="D53" i="142"/>
  <c r="E53" i="142"/>
  <c r="F53" i="142"/>
  <c r="G53" i="142"/>
  <c r="H53" i="142"/>
  <c r="I53" i="142"/>
  <c r="J53" i="142"/>
  <c r="J1326" i="184"/>
  <c r="K53" i="142"/>
  <c r="L53" i="142"/>
  <c r="D54" i="142"/>
  <c r="E54" i="142"/>
  <c r="F54" i="142"/>
  <c r="G54" i="142"/>
  <c r="H54" i="142"/>
  <c r="I54" i="142"/>
  <c r="J54" i="142"/>
  <c r="K54" i="142"/>
  <c r="L54" i="142"/>
  <c r="D55" i="142"/>
  <c r="E55" i="142"/>
  <c r="F55" i="142"/>
  <c r="G55" i="142"/>
  <c r="H55" i="142"/>
  <c r="I55" i="142"/>
  <c r="J55" i="142"/>
  <c r="J1400" i="184"/>
  <c r="K55" i="142"/>
  <c r="L55" i="142"/>
  <c r="D50" i="112"/>
  <c r="E50" i="112"/>
  <c r="F50" i="112"/>
  <c r="G50" i="112"/>
  <c r="H50" i="112"/>
  <c r="I50" i="112"/>
  <c r="J50" i="112"/>
  <c r="K50" i="112"/>
  <c r="L50" i="112"/>
  <c r="D51" i="112"/>
  <c r="E51" i="112"/>
  <c r="F51" i="112"/>
  <c r="G51" i="112"/>
  <c r="H51" i="112"/>
  <c r="I51" i="112"/>
  <c r="J51" i="112"/>
  <c r="K51" i="112"/>
  <c r="L51" i="112"/>
  <c r="D52" i="112"/>
  <c r="E52" i="112"/>
  <c r="F52" i="112"/>
  <c r="G52" i="112"/>
  <c r="H52" i="112"/>
  <c r="I52" i="112"/>
  <c r="J52" i="112"/>
  <c r="K52" i="112"/>
  <c r="L52" i="112"/>
  <c r="D53" i="112"/>
  <c r="E53" i="112"/>
  <c r="F53" i="112"/>
  <c r="G53" i="112"/>
  <c r="H53" i="112"/>
  <c r="H1343" i="184"/>
  <c r="I53" i="112"/>
  <c r="J53" i="112"/>
  <c r="K53" i="112"/>
  <c r="L53" i="112"/>
  <c r="D54" i="112"/>
  <c r="E54" i="112"/>
  <c r="F54" i="112"/>
  <c r="G54" i="112"/>
  <c r="H54" i="112"/>
  <c r="I54" i="112"/>
  <c r="J54" i="112"/>
  <c r="K54" i="112"/>
  <c r="L54" i="112"/>
  <c r="L1380" i="184"/>
  <c r="D55" i="112"/>
  <c r="E55" i="112"/>
  <c r="F55" i="112"/>
  <c r="G55" i="112"/>
  <c r="H55" i="112"/>
  <c r="H1417" i="184"/>
  <c r="I55" i="112"/>
  <c r="J55" i="112"/>
  <c r="K55" i="112"/>
  <c r="L55" i="112"/>
  <c r="D47" i="177"/>
  <c r="D1189" i="184"/>
  <c r="E47" i="177"/>
  <c r="E1189" i="184"/>
  <c r="F47" i="177"/>
  <c r="G47" i="177"/>
  <c r="G1189" i="184" s="1"/>
  <c r="H47" i="177"/>
  <c r="H1189" i="184" s="1"/>
  <c r="I47" i="177"/>
  <c r="I1189" i="184" s="1"/>
  <c r="J47" i="177"/>
  <c r="K47" i="177"/>
  <c r="L47" i="177"/>
  <c r="L1189" i="184" s="1"/>
  <c r="D47" i="172"/>
  <c r="D1187" i="184" s="1"/>
  <c r="E47" i="172"/>
  <c r="F47" i="172"/>
  <c r="G47" i="172"/>
  <c r="G1187" i="184" s="1"/>
  <c r="H47" i="172"/>
  <c r="I47" i="172"/>
  <c r="J47" i="172"/>
  <c r="K47" i="172"/>
  <c r="L47" i="172"/>
  <c r="L1187" i="184" s="1"/>
  <c r="D47" i="167"/>
  <c r="E47" i="167"/>
  <c r="F47" i="167"/>
  <c r="G47" i="167"/>
  <c r="H47" i="167"/>
  <c r="I47" i="167"/>
  <c r="J47" i="167"/>
  <c r="K47" i="167"/>
  <c r="L47" i="167"/>
  <c r="D47" i="162"/>
  <c r="E47" i="162"/>
  <c r="F47" i="162"/>
  <c r="G47" i="162"/>
  <c r="H47" i="162"/>
  <c r="I47" i="162"/>
  <c r="J47" i="162"/>
  <c r="K47" i="162"/>
  <c r="L47" i="162"/>
  <c r="D47" i="195"/>
  <c r="E47" i="195"/>
  <c r="E1197" i="184"/>
  <c r="F47" i="195"/>
  <c r="G47" i="195"/>
  <c r="H47" i="195"/>
  <c r="I47" i="195"/>
  <c r="I1197" i="184"/>
  <c r="J47" i="195"/>
  <c r="K47" i="195"/>
  <c r="L47" i="195"/>
  <c r="D47" i="157"/>
  <c r="E47" i="157"/>
  <c r="F47" i="157"/>
  <c r="G47" i="157"/>
  <c r="H47" i="157"/>
  <c r="H1196" i="184"/>
  <c r="I47" i="157"/>
  <c r="J47" i="157"/>
  <c r="K47" i="157"/>
  <c r="L47" i="157"/>
  <c r="D47" i="152"/>
  <c r="E47" i="152"/>
  <c r="F47" i="152"/>
  <c r="G47" i="152"/>
  <c r="H47" i="152"/>
  <c r="I47" i="152"/>
  <c r="J47" i="152"/>
  <c r="K47" i="152"/>
  <c r="L47" i="152"/>
  <c r="D47" i="147"/>
  <c r="E47" i="147"/>
  <c r="F47" i="147"/>
  <c r="D23" i="146"/>
  <c r="G47" i="147"/>
  <c r="H47" i="147"/>
  <c r="I47" i="147"/>
  <c r="J47" i="147"/>
  <c r="K47" i="147"/>
  <c r="L47" i="147"/>
  <c r="D47" i="137"/>
  <c r="E47" i="137"/>
  <c r="F47" i="137"/>
  <c r="G47" i="137"/>
  <c r="H47" i="137"/>
  <c r="I47" i="137"/>
  <c r="J47" i="137"/>
  <c r="K47" i="137"/>
  <c r="L47" i="137"/>
  <c r="D47" i="132"/>
  <c r="D1175" i="184"/>
  <c r="E47" i="132"/>
  <c r="F47" i="132"/>
  <c r="G47" i="132"/>
  <c r="H47" i="132"/>
  <c r="I47" i="132"/>
  <c r="J47" i="132"/>
  <c r="K47" i="132"/>
  <c r="L47" i="132"/>
  <c r="D47" i="127"/>
  <c r="E47" i="127"/>
  <c r="E1169" i="184"/>
  <c r="F47" i="127"/>
  <c r="F1169" i="184"/>
  <c r="G47" i="127"/>
  <c r="H47" i="127"/>
  <c r="H1169" i="184"/>
  <c r="I47" i="127"/>
  <c r="J47" i="127"/>
  <c r="K47" i="127"/>
  <c r="L47" i="127"/>
  <c r="D47" i="122"/>
  <c r="E47" i="122"/>
  <c r="F47" i="122"/>
  <c r="G47" i="122"/>
  <c r="H47" i="122"/>
  <c r="I47" i="122"/>
  <c r="J47" i="122"/>
  <c r="K47" i="122"/>
  <c r="L47" i="122"/>
  <c r="D47" i="117"/>
  <c r="D1194" i="184"/>
  <c r="E47" i="117"/>
  <c r="F47" i="117"/>
  <c r="G47" i="117"/>
  <c r="H47" i="117"/>
  <c r="I47" i="117"/>
  <c r="J47" i="117"/>
  <c r="K47" i="117"/>
  <c r="L47" i="117"/>
  <c r="L1194" i="184"/>
  <c r="D47" i="107"/>
  <c r="E47" i="107"/>
  <c r="F47" i="107"/>
  <c r="G47" i="107"/>
  <c r="H47" i="107"/>
  <c r="I47" i="107"/>
  <c r="J47" i="107"/>
  <c r="K47" i="107"/>
  <c r="K1192" i="184" s="1"/>
  <c r="L47" i="107"/>
  <c r="D47" i="102"/>
  <c r="E47" i="102"/>
  <c r="F47" i="102"/>
  <c r="G47" i="102"/>
  <c r="H47" i="102"/>
  <c r="I47" i="102"/>
  <c r="J47" i="102"/>
  <c r="J1185" i="184" s="1"/>
  <c r="K47" i="102"/>
  <c r="L47" i="102"/>
  <c r="D47" i="97"/>
  <c r="E47" i="97"/>
  <c r="F47" i="97"/>
  <c r="G47" i="97"/>
  <c r="H47" i="97"/>
  <c r="I47" i="97"/>
  <c r="J47" i="97"/>
  <c r="K47" i="97"/>
  <c r="L47" i="97"/>
  <c r="H1198" i="184"/>
  <c r="D47" i="87"/>
  <c r="E47" i="87"/>
  <c r="F47" i="87"/>
  <c r="G47" i="87"/>
  <c r="G1177" i="184" s="1"/>
  <c r="H47" i="87"/>
  <c r="I47" i="87"/>
  <c r="J47" i="87"/>
  <c r="K47" i="87"/>
  <c r="L47" i="87"/>
  <c r="D47" i="203"/>
  <c r="E47" i="203"/>
  <c r="F47" i="203"/>
  <c r="F1184" i="184" s="1"/>
  <c r="G47" i="203"/>
  <c r="H47" i="203"/>
  <c r="I47" i="203"/>
  <c r="J47" i="203"/>
  <c r="K47" i="203"/>
  <c r="L47" i="203"/>
  <c r="D47" i="199"/>
  <c r="E47" i="199"/>
  <c r="E1181" i="184" s="1"/>
  <c r="F47" i="199"/>
  <c r="G47" i="199"/>
  <c r="H47" i="199"/>
  <c r="I47" i="199"/>
  <c r="J47" i="199"/>
  <c r="K47" i="199"/>
  <c r="L47" i="199"/>
  <c r="D47" i="82"/>
  <c r="E47" i="82"/>
  <c r="F47" i="82"/>
  <c r="G47" i="82"/>
  <c r="H47" i="82"/>
  <c r="I47" i="82"/>
  <c r="J47" i="82"/>
  <c r="K47" i="82"/>
  <c r="L47" i="82"/>
  <c r="D47" i="78"/>
  <c r="E47" i="78"/>
  <c r="F47" i="78"/>
  <c r="G47" i="78"/>
  <c r="H47" i="78"/>
  <c r="I47" i="78"/>
  <c r="J47" i="78"/>
  <c r="K47" i="78"/>
  <c r="L47" i="78"/>
  <c r="D47" i="72"/>
  <c r="E47" i="72"/>
  <c r="F47" i="72"/>
  <c r="G47" i="72"/>
  <c r="H47" i="72"/>
  <c r="I47" i="72"/>
  <c r="J47" i="72"/>
  <c r="K47" i="72"/>
  <c r="K1186" i="184"/>
  <c r="L47" i="72"/>
  <c r="D47" i="67"/>
  <c r="E47" i="67"/>
  <c r="F47" i="67"/>
  <c r="G47" i="67"/>
  <c r="H47" i="67"/>
  <c r="I47" i="67"/>
  <c r="I1172" i="184"/>
  <c r="J47" i="67"/>
  <c r="K47" i="67"/>
  <c r="L47" i="67"/>
  <c r="L1172" i="184"/>
  <c r="D47" i="62"/>
  <c r="E47" i="62"/>
  <c r="E1182" i="184" s="1"/>
  <c r="F47" i="62"/>
  <c r="G47" i="62"/>
  <c r="H47" i="62"/>
  <c r="I47" i="62"/>
  <c r="J47" i="62"/>
  <c r="K47" i="62"/>
  <c r="L47" i="62"/>
  <c r="D47" i="57"/>
  <c r="D1178" i="184"/>
  <c r="E47" i="57"/>
  <c r="F47" i="57"/>
  <c r="G47" i="57"/>
  <c r="G1178" i="184"/>
  <c r="H47" i="57"/>
  <c r="H1178" i="184"/>
  <c r="I47" i="57"/>
  <c r="J47" i="57"/>
  <c r="K47" i="57"/>
  <c r="L47" i="57"/>
  <c r="L1178" i="184"/>
  <c r="D47" i="52"/>
  <c r="D1191" i="184" s="1"/>
  <c r="E47" i="52"/>
  <c r="F47" i="52"/>
  <c r="G47" i="52"/>
  <c r="H47" i="52"/>
  <c r="I47" i="52"/>
  <c r="J47" i="52"/>
  <c r="K47" i="52"/>
  <c r="L47" i="52"/>
  <c r="D47" i="47"/>
  <c r="E47" i="47"/>
  <c r="F47" i="47"/>
  <c r="G47" i="47"/>
  <c r="H47" i="47"/>
  <c r="I47" i="47"/>
  <c r="J47" i="47"/>
  <c r="J1173" i="184"/>
  <c r="K47" i="47"/>
  <c r="L47" i="47"/>
  <c r="D47" i="42"/>
  <c r="E47" i="42"/>
  <c r="F47" i="42"/>
  <c r="G47" i="42"/>
  <c r="H47" i="42"/>
  <c r="I47" i="42"/>
  <c r="J47" i="42"/>
  <c r="K47" i="42"/>
  <c r="L47" i="42"/>
  <c r="D47" i="36"/>
  <c r="E47" i="36"/>
  <c r="F47" i="36"/>
  <c r="D23" i="35"/>
  <c r="G47" i="36"/>
  <c r="H47" i="36"/>
  <c r="H1166" i="184"/>
  <c r="I47" i="36"/>
  <c r="J47" i="36"/>
  <c r="K47" i="36"/>
  <c r="L47" i="36"/>
  <c r="D47" i="26"/>
  <c r="E47" i="26"/>
  <c r="F47" i="26"/>
  <c r="G47" i="26"/>
  <c r="H47" i="26"/>
  <c r="I47" i="26"/>
  <c r="J47" i="26"/>
  <c r="K47" i="26"/>
  <c r="L47" i="26"/>
  <c r="D47" i="21"/>
  <c r="E47" i="21"/>
  <c r="F47" i="21"/>
  <c r="F1167" i="184" s="1"/>
  <c r="G47" i="21"/>
  <c r="H47" i="21"/>
  <c r="I47" i="21"/>
  <c r="J47" i="21"/>
  <c r="K47" i="21"/>
  <c r="L47" i="21"/>
  <c r="D47" i="16"/>
  <c r="E47" i="16"/>
  <c r="F47" i="16"/>
  <c r="G47" i="16"/>
  <c r="H47" i="16"/>
  <c r="I47" i="16"/>
  <c r="I1165" i="184"/>
  <c r="J47" i="16"/>
  <c r="K47" i="16"/>
  <c r="L47" i="16"/>
  <c r="D47" i="13"/>
  <c r="E47" i="13"/>
  <c r="F47" i="13"/>
  <c r="G47" i="13"/>
  <c r="H47" i="13"/>
  <c r="I47" i="13"/>
  <c r="J47" i="13"/>
  <c r="K47" i="13"/>
  <c r="L47" i="13"/>
  <c r="L1163" i="184" s="1"/>
  <c r="D47" i="142"/>
  <c r="E47" i="142"/>
  <c r="F47" i="142"/>
  <c r="G47" i="142"/>
  <c r="H47" i="142"/>
  <c r="I47" i="142"/>
  <c r="J47" i="142"/>
  <c r="K47" i="142"/>
  <c r="L47" i="142"/>
  <c r="D47" i="112"/>
  <c r="E47" i="112"/>
  <c r="F47" i="112"/>
  <c r="G47" i="112"/>
  <c r="H47" i="112"/>
  <c r="I47" i="112"/>
  <c r="J47" i="112"/>
  <c r="K47" i="112"/>
  <c r="L47" i="112"/>
  <c r="D10" i="177"/>
  <c r="E10" i="177"/>
  <c r="F10" i="177"/>
  <c r="G10" i="177"/>
  <c r="H10" i="177"/>
  <c r="H36" i="184" s="1"/>
  <c r="I10" i="177"/>
  <c r="I36" i="184"/>
  <c r="J10" i="177"/>
  <c r="K10" i="177"/>
  <c r="L10" i="177"/>
  <c r="D11" i="177"/>
  <c r="E11" i="177"/>
  <c r="F11" i="177"/>
  <c r="G11" i="177"/>
  <c r="G73" i="184"/>
  <c r="H11" i="177"/>
  <c r="H73" i="184"/>
  <c r="I11" i="177"/>
  <c r="J11" i="177"/>
  <c r="K11" i="177"/>
  <c r="L11" i="177"/>
  <c r="D13" i="177"/>
  <c r="E13" i="177"/>
  <c r="E147" i="184" s="1"/>
  <c r="F13" i="177"/>
  <c r="D13" i="176" s="1"/>
  <c r="G13" i="177"/>
  <c r="G147" i="184" s="1"/>
  <c r="H13" i="177"/>
  <c r="I13" i="177"/>
  <c r="J13" i="177"/>
  <c r="K13" i="177"/>
  <c r="L13" i="177"/>
  <c r="D14" i="177"/>
  <c r="D184" i="184" s="1"/>
  <c r="E14" i="177"/>
  <c r="E184" i="184" s="1"/>
  <c r="F14" i="177"/>
  <c r="F184" i="184"/>
  <c r="G14" i="177"/>
  <c r="H14" i="177"/>
  <c r="I14" i="177"/>
  <c r="J14" i="177"/>
  <c r="K14" i="177"/>
  <c r="L14" i="177"/>
  <c r="D10" i="172"/>
  <c r="E10" i="172"/>
  <c r="F10" i="172"/>
  <c r="G10" i="172"/>
  <c r="H10" i="172"/>
  <c r="I10" i="172"/>
  <c r="J10" i="172"/>
  <c r="K10" i="172"/>
  <c r="L10" i="172"/>
  <c r="D11" i="172"/>
  <c r="E11" i="172"/>
  <c r="E71" i="184"/>
  <c r="F11" i="172"/>
  <c r="G11" i="172"/>
  <c r="H11" i="172"/>
  <c r="I11" i="172"/>
  <c r="J11" i="172"/>
  <c r="K11" i="172"/>
  <c r="L11" i="172"/>
  <c r="L71" i="184"/>
  <c r="D13" i="172"/>
  <c r="E13" i="172"/>
  <c r="F13" i="172"/>
  <c r="G13" i="172"/>
  <c r="H13" i="172"/>
  <c r="I13" i="172"/>
  <c r="I145" i="184" s="1"/>
  <c r="J13" i="172"/>
  <c r="K13" i="172"/>
  <c r="L13" i="172"/>
  <c r="D14" i="172"/>
  <c r="E14" i="172"/>
  <c r="F14" i="172"/>
  <c r="G14" i="172"/>
  <c r="H14" i="172"/>
  <c r="I14" i="172"/>
  <c r="J14" i="172"/>
  <c r="J182" i="184"/>
  <c r="K14" i="172"/>
  <c r="L14" i="172"/>
  <c r="D10" i="167"/>
  <c r="E10" i="167"/>
  <c r="F10" i="167"/>
  <c r="G10" i="167"/>
  <c r="H10" i="167"/>
  <c r="I10" i="167"/>
  <c r="J10" i="167"/>
  <c r="K10" i="167"/>
  <c r="L10" i="167"/>
  <c r="L21" i="184"/>
  <c r="D11" i="167"/>
  <c r="E11" i="167"/>
  <c r="F11" i="167"/>
  <c r="G11" i="167"/>
  <c r="H11" i="167"/>
  <c r="I11" i="167"/>
  <c r="J11" i="167"/>
  <c r="K11" i="167"/>
  <c r="L11" i="167"/>
  <c r="D13" i="167"/>
  <c r="E13" i="167"/>
  <c r="F13" i="167"/>
  <c r="G13" i="167"/>
  <c r="H13" i="167"/>
  <c r="I13" i="167"/>
  <c r="J13" i="167"/>
  <c r="K13" i="167"/>
  <c r="L13" i="167"/>
  <c r="L132" i="184"/>
  <c r="D14" i="167"/>
  <c r="E14" i="167"/>
  <c r="F14" i="167"/>
  <c r="G14" i="167"/>
  <c r="H14" i="167"/>
  <c r="I14" i="167"/>
  <c r="J14" i="167"/>
  <c r="K14" i="167"/>
  <c r="L14" i="167"/>
  <c r="D10" i="162"/>
  <c r="E10" i="162"/>
  <c r="F10" i="162"/>
  <c r="G10" i="162"/>
  <c r="H10" i="162"/>
  <c r="H17" i="184" s="1"/>
  <c r="I10" i="162"/>
  <c r="J10" i="162"/>
  <c r="K10" i="162"/>
  <c r="L10" i="162"/>
  <c r="D11" i="162"/>
  <c r="E11" i="162"/>
  <c r="F11" i="162"/>
  <c r="G11" i="162"/>
  <c r="H11" i="162"/>
  <c r="I11" i="162"/>
  <c r="J11" i="162"/>
  <c r="K11" i="162"/>
  <c r="L11" i="162"/>
  <c r="D13" i="162"/>
  <c r="E13" i="162"/>
  <c r="F13" i="162"/>
  <c r="G13" i="162"/>
  <c r="H13" i="162"/>
  <c r="H128" i="184"/>
  <c r="I13" i="162"/>
  <c r="J13" i="162"/>
  <c r="K13" i="162"/>
  <c r="L13" i="162"/>
  <c r="D14" i="162"/>
  <c r="E14" i="162"/>
  <c r="F14" i="162"/>
  <c r="G14" i="162"/>
  <c r="H14" i="162"/>
  <c r="I14" i="162"/>
  <c r="J14" i="162"/>
  <c r="K14" i="162"/>
  <c r="L14" i="162"/>
  <c r="L165" i="184" s="1"/>
  <c r="D10" i="195"/>
  <c r="E10" i="195"/>
  <c r="F10" i="195"/>
  <c r="G10" i="195"/>
  <c r="H10" i="195"/>
  <c r="I10" i="195"/>
  <c r="I44" i="184"/>
  <c r="J10" i="195"/>
  <c r="K10" i="195"/>
  <c r="L10" i="195"/>
  <c r="D11" i="195"/>
  <c r="E11" i="195"/>
  <c r="F11" i="195"/>
  <c r="G11" i="195"/>
  <c r="H11" i="195"/>
  <c r="I11" i="195"/>
  <c r="J11" i="195"/>
  <c r="K11" i="195"/>
  <c r="L11" i="195"/>
  <c r="D13" i="195"/>
  <c r="E13" i="195"/>
  <c r="F13" i="195"/>
  <c r="G13" i="195"/>
  <c r="G155" i="184" s="1"/>
  <c r="H13" i="195"/>
  <c r="I13" i="195"/>
  <c r="J13" i="195"/>
  <c r="K13" i="195"/>
  <c r="L13" i="195"/>
  <c r="D14" i="195"/>
  <c r="E14" i="195"/>
  <c r="F14" i="195"/>
  <c r="F15" i="195" s="1"/>
  <c r="F229" i="184" s="1"/>
  <c r="G14" i="195"/>
  <c r="H14" i="195"/>
  <c r="I14" i="195"/>
  <c r="J14" i="195"/>
  <c r="K14" i="195"/>
  <c r="L14" i="195"/>
  <c r="D10" i="157"/>
  <c r="D43" i="184" s="1"/>
  <c r="E10" i="157"/>
  <c r="E43" i="184" s="1"/>
  <c r="F10" i="157"/>
  <c r="G10" i="157"/>
  <c r="H10" i="157"/>
  <c r="I10" i="157"/>
  <c r="J10" i="157"/>
  <c r="K10" i="157"/>
  <c r="L10" i="157"/>
  <c r="L43" i="184"/>
  <c r="D11" i="157"/>
  <c r="D80" i="184"/>
  <c r="E11" i="157"/>
  <c r="F11" i="157"/>
  <c r="G11" i="157"/>
  <c r="H11" i="157"/>
  <c r="I11" i="157"/>
  <c r="J11" i="157"/>
  <c r="J80" i="184" s="1"/>
  <c r="K11" i="157"/>
  <c r="L11" i="157"/>
  <c r="D13" i="157"/>
  <c r="E13" i="157"/>
  <c r="F13" i="157"/>
  <c r="G13" i="157"/>
  <c r="H13" i="157"/>
  <c r="I13" i="157"/>
  <c r="I154" i="184" s="1"/>
  <c r="J13" i="157"/>
  <c r="K13" i="157"/>
  <c r="L13" i="157"/>
  <c r="D14" i="157"/>
  <c r="E14" i="157"/>
  <c r="F14" i="157"/>
  <c r="G14" i="157"/>
  <c r="H14" i="157"/>
  <c r="I14" i="157"/>
  <c r="I191" i="184" s="1"/>
  <c r="J14" i="157"/>
  <c r="K14" i="157"/>
  <c r="L14" i="157"/>
  <c r="D10" i="152"/>
  <c r="E10" i="152"/>
  <c r="F10" i="152"/>
  <c r="G10" i="152"/>
  <c r="H10" i="152"/>
  <c r="I10" i="152"/>
  <c r="J10" i="152"/>
  <c r="K10" i="152"/>
  <c r="L10" i="152"/>
  <c r="D11" i="152"/>
  <c r="E11" i="152"/>
  <c r="F11" i="152"/>
  <c r="G11" i="152"/>
  <c r="H11" i="152"/>
  <c r="I11" i="152"/>
  <c r="J11" i="152"/>
  <c r="K11" i="152"/>
  <c r="L11" i="152"/>
  <c r="D13" i="152"/>
  <c r="E13" i="152"/>
  <c r="E122" i="184"/>
  <c r="F13" i="152"/>
  <c r="G13" i="152"/>
  <c r="H13" i="152"/>
  <c r="I13" i="152"/>
  <c r="J13" i="152"/>
  <c r="K13" i="152"/>
  <c r="L13" i="152"/>
  <c r="D14" i="152"/>
  <c r="E14" i="152"/>
  <c r="F14" i="152"/>
  <c r="G14" i="152"/>
  <c r="H14" i="152"/>
  <c r="I14" i="152"/>
  <c r="J14" i="152"/>
  <c r="K14" i="152"/>
  <c r="L14" i="152"/>
  <c r="D10" i="147"/>
  <c r="E10" i="147"/>
  <c r="F10" i="147"/>
  <c r="G10" i="147"/>
  <c r="H10" i="147"/>
  <c r="I10" i="147"/>
  <c r="J10" i="147"/>
  <c r="K10" i="147"/>
  <c r="L10" i="147"/>
  <c r="D11" i="147"/>
  <c r="D72" i="184" s="1"/>
  <c r="E11" i="147"/>
  <c r="F11" i="147"/>
  <c r="G11" i="147"/>
  <c r="H11" i="147"/>
  <c r="I11" i="147"/>
  <c r="J11" i="147"/>
  <c r="K11" i="147"/>
  <c r="L11" i="147"/>
  <c r="L72" i="184" s="1"/>
  <c r="D13" i="147"/>
  <c r="E13" i="147"/>
  <c r="F13" i="147"/>
  <c r="G13" i="147"/>
  <c r="H13" i="147"/>
  <c r="I13" i="147"/>
  <c r="J13" i="147"/>
  <c r="K13" i="147"/>
  <c r="L13" i="147"/>
  <c r="D14" i="147"/>
  <c r="E14" i="147"/>
  <c r="F14" i="147"/>
  <c r="G14" i="147"/>
  <c r="H14" i="147"/>
  <c r="I14" i="147"/>
  <c r="J14" i="147"/>
  <c r="J183" i="184" s="1"/>
  <c r="K14" i="147"/>
  <c r="L14" i="147"/>
  <c r="D10" i="137"/>
  <c r="E10" i="137"/>
  <c r="F10" i="137"/>
  <c r="G10" i="137"/>
  <c r="H10" i="137"/>
  <c r="I10" i="137"/>
  <c r="J10" i="137"/>
  <c r="K10" i="137"/>
  <c r="L10" i="137"/>
  <c r="D11" i="137"/>
  <c r="E11" i="137"/>
  <c r="F11" i="137"/>
  <c r="G11" i="137"/>
  <c r="H11" i="137"/>
  <c r="I11" i="137"/>
  <c r="J11" i="137"/>
  <c r="K11" i="137"/>
  <c r="L11" i="137"/>
  <c r="D13" i="137"/>
  <c r="E13" i="137"/>
  <c r="F13" i="137"/>
  <c r="G13" i="137"/>
  <c r="H13" i="137"/>
  <c r="H148" i="184" s="1"/>
  <c r="I13" i="137"/>
  <c r="J13" i="137"/>
  <c r="K13" i="137"/>
  <c r="L13" i="137"/>
  <c r="D14" i="137"/>
  <c r="E14" i="137"/>
  <c r="F14" i="137"/>
  <c r="G14" i="137"/>
  <c r="H14" i="137"/>
  <c r="I14" i="137"/>
  <c r="J14" i="137"/>
  <c r="K14" i="137"/>
  <c r="L14" i="137"/>
  <c r="L185" i="184"/>
  <c r="D10" i="132"/>
  <c r="E10" i="132"/>
  <c r="F10" i="132"/>
  <c r="G10" i="132"/>
  <c r="G22" i="184"/>
  <c r="H10" i="132"/>
  <c r="H22" i="184"/>
  <c r="I10" i="132"/>
  <c r="J10" i="132"/>
  <c r="J22" i="184" s="1"/>
  <c r="K10" i="132"/>
  <c r="L10" i="132"/>
  <c r="D11" i="132"/>
  <c r="E11" i="132"/>
  <c r="F11" i="132"/>
  <c r="G11" i="132"/>
  <c r="G59" i="184"/>
  <c r="H11" i="132"/>
  <c r="H59" i="184" s="1"/>
  <c r="I11" i="132"/>
  <c r="J11" i="132"/>
  <c r="K11" i="132"/>
  <c r="K59" i="184" s="1"/>
  <c r="L11" i="132"/>
  <c r="D13" i="132"/>
  <c r="E13" i="132"/>
  <c r="F13" i="132"/>
  <c r="G13" i="132"/>
  <c r="H13" i="132"/>
  <c r="I13" i="132"/>
  <c r="J13" i="132"/>
  <c r="J133" i="184" s="1"/>
  <c r="K13" i="132"/>
  <c r="L13" i="132"/>
  <c r="D14" i="132"/>
  <c r="E14" i="132"/>
  <c r="E170" i="184" s="1"/>
  <c r="F14" i="132"/>
  <c r="G14" i="132"/>
  <c r="H14" i="132"/>
  <c r="I14" i="132"/>
  <c r="J14" i="132"/>
  <c r="K14" i="132"/>
  <c r="K170" i="184" s="1"/>
  <c r="L14" i="132"/>
  <c r="D10" i="127"/>
  <c r="E10" i="127"/>
  <c r="F10" i="127"/>
  <c r="G10" i="127"/>
  <c r="H10" i="127"/>
  <c r="I10" i="127"/>
  <c r="I16" i="184"/>
  <c r="J10" i="127"/>
  <c r="K10" i="127"/>
  <c r="L10" i="127"/>
  <c r="L16" i="184" s="1"/>
  <c r="D11" i="127"/>
  <c r="E11" i="127"/>
  <c r="E53" i="184"/>
  <c r="F11" i="127"/>
  <c r="G11" i="127"/>
  <c r="H11" i="127"/>
  <c r="I11" i="127"/>
  <c r="J11" i="127"/>
  <c r="K11" i="127"/>
  <c r="K53" i="184"/>
  <c r="L11" i="127"/>
  <c r="D13" i="127"/>
  <c r="D127" i="184"/>
  <c r="E13" i="127"/>
  <c r="F13" i="127"/>
  <c r="G13" i="127"/>
  <c r="H13" i="127"/>
  <c r="I13" i="127"/>
  <c r="J13" i="127"/>
  <c r="J127" i="184" s="1"/>
  <c r="K13" i="127"/>
  <c r="L13" i="127"/>
  <c r="D14" i="127"/>
  <c r="E14" i="127"/>
  <c r="F14" i="127"/>
  <c r="F164" i="184"/>
  <c r="G14" i="127"/>
  <c r="H14" i="127"/>
  <c r="I14" i="127"/>
  <c r="I164" i="184" s="1"/>
  <c r="J14" i="127"/>
  <c r="K14" i="127"/>
  <c r="K164" i="184"/>
  <c r="L14" i="127"/>
  <c r="L164" i="184" s="1"/>
  <c r="D10" i="122"/>
  <c r="E10" i="122"/>
  <c r="F10" i="122"/>
  <c r="G10" i="122"/>
  <c r="H10" i="122"/>
  <c r="H42" i="184"/>
  <c r="I10" i="122"/>
  <c r="J10" i="122"/>
  <c r="K10" i="122"/>
  <c r="L10" i="122"/>
  <c r="D11" i="122"/>
  <c r="E11" i="122"/>
  <c r="F11" i="122"/>
  <c r="G11" i="122"/>
  <c r="G79" i="184"/>
  <c r="H11" i="122"/>
  <c r="I11" i="122"/>
  <c r="J11" i="122"/>
  <c r="K11" i="122"/>
  <c r="L11" i="122"/>
  <c r="D13" i="122"/>
  <c r="E13" i="122"/>
  <c r="F13" i="122"/>
  <c r="F153" i="184" s="1"/>
  <c r="G13" i="122"/>
  <c r="H13" i="122"/>
  <c r="I13" i="122"/>
  <c r="J13" i="122"/>
  <c r="K13" i="122"/>
  <c r="L13" i="122"/>
  <c r="D14" i="122"/>
  <c r="E14" i="122"/>
  <c r="E190" i="184" s="1"/>
  <c r="F14" i="122"/>
  <c r="G14" i="122"/>
  <c r="H14" i="122"/>
  <c r="I14" i="122"/>
  <c r="J14" i="122"/>
  <c r="K14" i="122"/>
  <c r="L14" i="122"/>
  <c r="D10" i="117"/>
  <c r="E10" i="117"/>
  <c r="F10" i="117"/>
  <c r="G10" i="117"/>
  <c r="H10" i="117"/>
  <c r="I10" i="117"/>
  <c r="J10" i="117"/>
  <c r="K10" i="117"/>
  <c r="L10" i="117"/>
  <c r="D11" i="117"/>
  <c r="E11" i="117"/>
  <c r="F11" i="117"/>
  <c r="G11" i="117"/>
  <c r="H11" i="117"/>
  <c r="I11" i="117"/>
  <c r="J11" i="117"/>
  <c r="K11" i="117"/>
  <c r="K78" i="184"/>
  <c r="L11" i="117"/>
  <c r="D13" i="117"/>
  <c r="E13" i="117"/>
  <c r="F13" i="117"/>
  <c r="G13" i="117"/>
  <c r="H13" i="117"/>
  <c r="I13" i="117"/>
  <c r="J13" i="117"/>
  <c r="K13" i="117"/>
  <c r="L13" i="117"/>
  <c r="D14" i="117"/>
  <c r="E14" i="117"/>
  <c r="F14" i="117"/>
  <c r="G14" i="117"/>
  <c r="H14" i="117"/>
  <c r="I14" i="117"/>
  <c r="I189" i="184" s="1"/>
  <c r="J14" i="117"/>
  <c r="K14" i="117"/>
  <c r="L14" i="117"/>
  <c r="D10" i="107"/>
  <c r="E10" i="107"/>
  <c r="F10" i="107"/>
  <c r="G10" i="107"/>
  <c r="H10" i="107"/>
  <c r="H39" i="184" s="1"/>
  <c r="I10" i="107"/>
  <c r="J10" i="107"/>
  <c r="K10" i="107"/>
  <c r="L10" i="107"/>
  <c r="D11" i="107"/>
  <c r="E11" i="107"/>
  <c r="F11" i="107"/>
  <c r="G11" i="107"/>
  <c r="G76" i="184" s="1"/>
  <c r="H11" i="107"/>
  <c r="H76" i="184"/>
  <c r="I11" i="107"/>
  <c r="J11" i="107"/>
  <c r="K11" i="107"/>
  <c r="L11" i="107"/>
  <c r="D13" i="107"/>
  <c r="E13" i="107"/>
  <c r="E150" i="184" s="1"/>
  <c r="F13" i="107"/>
  <c r="F150" i="184" s="1"/>
  <c r="G13" i="107"/>
  <c r="G150" i="184" s="1"/>
  <c r="H13" i="107"/>
  <c r="I13" i="107"/>
  <c r="J13" i="107"/>
  <c r="K13" i="107"/>
  <c r="L13" i="107"/>
  <c r="D14" i="107"/>
  <c r="E14" i="107"/>
  <c r="E187" i="184" s="1"/>
  <c r="F14" i="107"/>
  <c r="G14" i="107"/>
  <c r="H14" i="107"/>
  <c r="I14" i="107"/>
  <c r="J14" i="107"/>
  <c r="K14" i="107"/>
  <c r="L14" i="107"/>
  <c r="D10" i="102"/>
  <c r="E10" i="102"/>
  <c r="F10" i="102"/>
  <c r="G10" i="102"/>
  <c r="H10" i="102"/>
  <c r="I10" i="102"/>
  <c r="J10" i="102"/>
  <c r="K10" i="102"/>
  <c r="L10" i="102"/>
  <c r="D11" i="102"/>
  <c r="E11" i="102"/>
  <c r="F11" i="102"/>
  <c r="G11" i="102"/>
  <c r="H11" i="102"/>
  <c r="I11" i="102"/>
  <c r="J11" i="102"/>
  <c r="K11" i="102"/>
  <c r="L11" i="102"/>
  <c r="D13" i="102"/>
  <c r="E13" i="102"/>
  <c r="F13" i="102"/>
  <c r="G13" i="102"/>
  <c r="H13" i="102"/>
  <c r="I13" i="102"/>
  <c r="I15" i="102" s="1"/>
  <c r="I217" i="184" s="1"/>
  <c r="J13" i="102"/>
  <c r="K13" i="102"/>
  <c r="L13" i="102"/>
  <c r="D14" i="102"/>
  <c r="E14" i="102"/>
  <c r="E180" i="184"/>
  <c r="F14" i="102"/>
  <c r="G14" i="102"/>
  <c r="H14" i="102"/>
  <c r="I14" i="102"/>
  <c r="J14" i="102"/>
  <c r="K14" i="102"/>
  <c r="L14" i="102"/>
  <c r="D10" i="97"/>
  <c r="E10" i="97"/>
  <c r="F10" i="97"/>
  <c r="G10" i="97"/>
  <c r="H10" i="97"/>
  <c r="I10" i="97"/>
  <c r="J10" i="97"/>
  <c r="K10" i="97"/>
  <c r="L10" i="97"/>
  <c r="D11" i="97"/>
  <c r="E11" i="97"/>
  <c r="F11" i="97"/>
  <c r="G11" i="97"/>
  <c r="H11" i="97"/>
  <c r="I11" i="97"/>
  <c r="J11" i="97"/>
  <c r="K11" i="97"/>
  <c r="L11" i="97"/>
  <c r="D13" i="97"/>
  <c r="E13" i="97"/>
  <c r="F13" i="97"/>
  <c r="G13" i="97"/>
  <c r="H13" i="97"/>
  <c r="I13" i="97"/>
  <c r="J13" i="97"/>
  <c r="K13" i="97"/>
  <c r="L13" i="97"/>
  <c r="D14" i="97"/>
  <c r="E14" i="97"/>
  <c r="F14" i="97"/>
  <c r="G14" i="97"/>
  <c r="H14" i="97"/>
  <c r="I14" i="97"/>
  <c r="J14" i="97"/>
  <c r="K14" i="97"/>
  <c r="L14" i="97"/>
  <c r="H45" i="184"/>
  <c r="K82" i="184"/>
  <c r="H156" i="184"/>
  <c r="J156" i="184"/>
  <c r="I193" i="184"/>
  <c r="L193" i="184"/>
  <c r="D10" i="87"/>
  <c r="E10" i="87"/>
  <c r="F10" i="87"/>
  <c r="G10" i="87"/>
  <c r="G24" i="184" s="1"/>
  <c r="H10" i="87"/>
  <c r="H24" i="184"/>
  <c r="I10" i="87"/>
  <c r="J10" i="87"/>
  <c r="K10" i="87"/>
  <c r="L10" i="87"/>
  <c r="D11" i="87"/>
  <c r="E11" i="87"/>
  <c r="F11" i="87"/>
  <c r="G11" i="87"/>
  <c r="H11" i="87"/>
  <c r="I11" i="87"/>
  <c r="J11" i="87"/>
  <c r="K11" i="87"/>
  <c r="L11" i="87"/>
  <c r="D13" i="87"/>
  <c r="E13" i="87"/>
  <c r="F13" i="87"/>
  <c r="D13" i="86"/>
  <c r="G13" i="87"/>
  <c r="H13" i="87"/>
  <c r="I13" i="87"/>
  <c r="J13" i="87"/>
  <c r="K13" i="87"/>
  <c r="L13" i="87"/>
  <c r="D14" i="87"/>
  <c r="E14" i="87"/>
  <c r="F14" i="87"/>
  <c r="G14" i="87"/>
  <c r="H14" i="87"/>
  <c r="I14" i="87"/>
  <c r="J14" i="87"/>
  <c r="K14" i="87"/>
  <c r="K172" i="184"/>
  <c r="L14" i="87"/>
  <c r="D10" i="203"/>
  <c r="E10" i="203"/>
  <c r="F10" i="203"/>
  <c r="G10" i="203"/>
  <c r="H10" i="203"/>
  <c r="I10" i="203"/>
  <c r="J10" i="203"/>
  <c r="K10" i="203"/>
  <c r="L10" i="203"/>
  <c r="D11" i="203"/>
  <c r="E11" i="203"/>
  <c r="F11" i="203"/>
  <c r="G11" i="203"/>
  <c r="G68" i="184"/>
  <c r="H11" i="203"/>
  <c r="I11" i="203"/>
  <c r="J11" i="203"/>
  <c r="K11" i="203"/>
  <c r="K68" i="184"/>
  <c r="L11" i="203"/>
  <c r="D13" i="203"/>
  <c r="E13" i="203"/>
  <c r="F13" i="203"/>
  <c r="G13" i="203"/>
  <c r="H13" i="203"/>
  <c r="I13" i="203"/>
  <c r="J13" i="203"/>
  <c r="K13" i="203"/>
  <c r="L13" i="203"/>
  <c r="D14" i="203"/>
  <c r="E14" i="203"/>
  <c r="F14" i="203"/>
  <c r="G14" i="203"/>
  <c r="G179" i="184" s="1"/>
  <c r="H14" i="203"/>
  <c r="I14" i="203"/>
  <c r="I179" i="184" s="1"/>
  <c r="J14" i="203"/>
  <c r="K14" i="203"/>
  <c r="L14" i="203"/>
  <c r="D10" i="199"/>
  <c r="E10" i="199"/>
  <c r="F10" i="199"/>
  <c r="G10" i="199"/>
  <c r="H10" i="199"/>
  <c r="H28" i="184"/>
  <c r="I10" i="199"/>
  <c r="J10" i="199"/>
  <c r="K10" i="199"/>
  <c r="L10" i="199"/>
  <c r="D11" i="199"/>
  <c r="E11" i="199"/>
  <c r="F11" i="199"/>
  <c r="G11" i="199"/>
  <c r="G65" i="184" s="1"/>
  <c r="H11" i="199"/>
  <c r="I11" i="199"/>
  <c r="J11" i="199"/>
  <c r="K11" i="199"/>
  <c r="L11" i="199"/>
  <c r="D13" i="199"/>
  <c r="E13" i="199"/>
  <c r="F13" i="199"/>
  <c r="G13" i="199"/>
  <c r="H13" i="199"/>
  <c r="I13" i="199"/>
  <c r="J13" i="199"/>
  <c r="K13" i="199"/>
  <c r="L13" i="199"/>
  <c r="D14" i="199"/>
  <c r="E14" i="199"/>
  <c r="E176" i="184" s="1"/>
  <c r="F14" i="199"/>
  <c r="G14" i="199"/>
  <c r="H14" i="199"/>
  <c r="I14" i="199"/>
  <c r="J14" i="199"/>
  <c r="K14" i="199"/>
  <c r="L14" i="199"/>
  <c r="D10" i="82"/>
  <c r="E10" i="82"/>
  <c r="F10" i="82"/>
  <c r="G10" i="82"/>
  <c r="H10" i="82"/>
  <c r="I10" i="82"/>
  <c r="J10" i="82"/>
  <c r="K10" i="82"/>
  <c r="L10" i="82"/>
  <c r="D11" i="82"/>
  <c r="E11" i="82"/>
  <c r="F11" i="82"/>
  <c r="G11" i="82"/>
  <c r="H11" i="82"/>
  <c r="I11" i="82"/>
  <c r="J11" i="82"/>
  <c r="K11" i="82"/>
  <c r="L11" i="82"/>
  <c r="D13" i="82"/>
  <c r="E13" i="82"/>
  <c r="F13" i="82"/>
  <c r="G13" i="82"/>
  <c r="H13" i="82"/>
  <c r="I13" i="82"/>
  <c r="J13" i="82"/>
  <c r="K13" i="82"/>
  <c r="L13" i="82"/>
  <c r="D14" i="82"/>
  <c r="E14" i="82"/>
  <c r="F14" i="82"/>
  <c r="G14" i="82"/>
  <c r="H14" i="82"/>
  <c r="I14" i="82"/>
  <c r="J14" i="82"/>
  <c r="K14" i="82"/>
  <c r="L14" i="82"/>
  <c r="D10" i="78"/>
  <c r="E10" i="78"/>
  <c r="F10" i="78"/>
  <c r="G10" i="78"/>
  <c r="H10" i="78"/>
  <c r="H27" i="184"/>
  <c r="I10" i="78"/>
  <c r="J10" i="78"/>
  <c r="K10" i="78"/>
  <c r="L10" i="78"/>
  <c r="D11" i="78"/>
  <c r="E11" i="78"/>
  <c r="F11" i="78"/>
  <c r="G11" i="78"/>
  <c r="H11" i="78"/>
  <c r="I11" i="78"/>
  <c r="J11" i="78"/>
  <c r="K11" i="78"/>
  <c r="L11" i="78"/>
  <c r="D13" i="78"/>
  <c r="E13" i="78"/>
  <c r="F13" i="78"/>
  <c r="G13" i="78"/>
  <c r="H13" i="78"/>
  <c r="I13" i="78"/>
  <c r="I138" i="184" s="1"/>
  <c r="J13" i="78"/>
  <c r="K13" i="78"/>
  <c r="L13" i="78"/>
  <c r="D14" i="78"/>
  <c r="D175" i="184" s="1"/>
  <c r="E14" i="78"/>
  <c r="F14" i="78"/>
  <c r="G14" i="78"/>
  <c r="H14" i="78"/>
  <c r="I14" i="78"/>
  <c r="J14" i="78"/>
  <c r="K14" i="78"/>
  <c r="L14" i="78"/>
  <c r="L175" i="184" s="1"/>
  <c r="D10" i="72"/>
  <c r="D33" i="184" s="1"/>
  <c r="E10" i="72"/>
  <c r="F10" i="72"/>
  <c r="G10" i="72"/>
  <c r="H10" i="72"/>
  <c r="I10" i="72"/>
  <c r="J10" i="72"/>
  <c r="K10" i="72"/>
  <c r="L10" i="72"/>
  <c r="L33" i="184" s="1"/>
  <c r="D11" i="72"/>
  <c r="E11" i="72"/>
  <c r="F11" i="72"/>
  <c r="G11" i="72"/>
  <c r="H11" i="72"/>
  <c r="I11" i="72"/>
  <c r="J11" i="72"/>
  <c r="K11" i="72"/>
  <c r="L11" i="72"/>
  <c r="D13" i="72"/>
  <c r="E13" i="72"/>
  <c r="F13" i="72"/>
  <c r="G13" i="72"/>
  <c r="H13" i="72"/>
  <c r="H144" i="184" s="1"/>
  <c r="I13" i="72"/>
  <c r="J13" i="72"/>
  <c r="J144" i="184"/>
  <c r="K13" i="72"/>
  <c r="L13" i="72"/>
  <c r="D14" i="72"/>
  <c r="E14" i="72"/>
  <c r="F14" i="72"/>
  <c r="G14" i="72"/>
  <c r="H14" i="72"/>
  <c r="I14" i="72"/>
  <c r="I181" i="184" s="1"/>
  <c r="J14" i="72"/>
  <c r="K14" i="72"/>
  <c r="L14" i="72"/>
  <c r="L181" i="184" s="1"/>
  <c r="D10" i="67"/>
  <c r="E10" i="67"/>
  <c r="F10" i="67"/>
  <c r="G10" i="67"/>
  <c r="H10" i="67"/>
  <c r="H19" i="184" s="1"/>
  <c r="I10" i="67"/>
  <c r="J10" i="67"/>
  <c r="K10" i="67"/>
  <c r="L10" i="67"/>
  <c r="D11" i="67"/>
  <c r="E11" i="67"/>
  <c r="F11" i="67"/>
  <c r="G11" i="67"/>
  <c r="G56" i="184" s="1"/>
  <c r="H11" i="67"/>
  <c r="I11" i="67"/>
  <c r="J11" i="67"/>
  <c r="K11" i="67"/>
  <c r="L11" i="67"/>
  <c r="D13" i="67"/>
  <c r="D130" i="184" s="1"/>
  <c r="E13" i="67"/>
  <c r="F13" i="67"/>
  <c r="F130" i="184"/>
  <c r="G13" i="67"/>
  <c r="H13" i="67"/>
  <c r="I13" i="67"/>
  <c r="J13" i="67"/>
  <c r="K13" i="67"/>
  <c r="L13" i="67"/>
  <c r="D14" i="67"/>
  <c r="E14" i="67"/>
  <c r="E167" i="184" s="1"/>
  <c r="F14" i="67"/>
  <c r="G14" i="67"/>
  <c r="H14" i="67"/>
  <c r="I14" i="67"/>
  <c r="J14" i="67"/>
  <c r="K14" i="67"/>
  <c r="L14" i="67"/>
  <c r="D10" i="62"/>
  <c r="E10" i="62"/>
  <c r="F10" i="62"/>
  <c r="G10" i="62"/>
  <c r="H10" i="62"/>
  <c r="I10" i="62"/>
  <c r="J10" i="62"/>
  <c r="K10" i="62"/>
  <c r="L10" i="62"/>
  <c r="D11" i="62"/>
  <c r="E11" i="62"/>
  <c r="F11" i="62"/>
  <c r="G11" i="62"/>
  <c r="H11" i="62"/>
  <c r="I11" i="62"/>
  <c r="J11" i="62"/>
  <c r="K11" i="62"/>
  <c r="L11" i="62"/>
  <c r="D13" i="62"/>
  <c r="E13" i="62"/>
  <c r="F13" i="62"/>
  <c r="G13" i="62"/>
  <c r="H13" i="62"/>
  <c r="I13" i="62"/>
  <c r="J13" i="62"/>
  <c r="K13" i="62"/>
  <c r="L13" i="62"/>
  <c r="D14" i="62"/>
  <c r="E14" i="62"/>
  <c r="F14" i="62"/>
  <c r="G14" i="62"/>
  <c r="H14" i="62"/>
  <c r="I14" i="62"/>
  <c r="J14" i="62"/>
  <c r="K14" i="62"/>
  <c r="K177" i="184" s="1"/>
  <c r="L14" i="62"/>
  <c r="D10" i="57"/>
  <c r="D25" i="184" s="1"/>
  <c r="E10" i="57"/>
  <c r="F10" i="57"/>
  <c r="G10" i="57"/>
  <c r="H10" i="57"/>
  <c r="H25" i="184" s="1"/>
  <c r="I10" i="57"/>
  <c r="J10" i="57"/>
  <c r="K10" i="57"/>
  <c r="L10" i="57"/>
  <c r="L25" i="184" s="1"/>
  <c r="D11" i="57"/>
  <c r="E11" i="57"/>
  <c r="F11" i="57"/>
  <c r="G11" i="57"/>
  <c r="G62" i="184" s="1"/>
  <c r="H11" i="57"/>
  <c r="H62" i="184" s="1"/>
  <c r="I11" i="57"/>
  <c r="J11" i="57"/>
  <c r="K11" i="57"/>
  <c r="L11" i="57"/>
  <c r="D13" i="57"/>
  <c r="E13" i="57"/>
  <c r="F13" i="57"/>
  <c r="F136" i="184"/>
  <c r="G13" i="57"/>
  <c r="G136" i="184" s="1"/>
  <c r="H13" i="57"/>
  <c r="I13" i="57"/>
  <c r="J13" i="57"/>
  <c r="J136" i="184" s="1"/>
  <c r="K13" i="57"/>
  <c r="L13" i="57"/>
  <c r="D14" i="57"/>
  <c r="E14" i="57"/>
  <c r="E173" i="184" s="1"/>
  <c r="F14" i="57"/>
  <c r="G14" i="57"/>
  <c r="H14" i="57"/>
  <c r="I14" i="57"/>
  <c r="I173" i="184"/>
  <c r="J14" i="57"/>
  <c r="K14" i="57"/>
  <c r="L14" i="57"/>
  <c r="D10" i="52"/>
  <c r="E10" i="52"/>
  <c r="F10" i="52"/>
  <c r="G10" i="52"/>
  <c r="H10" i="52"/>
  <c r="I10" i="52"/>
  <c r="J10" i="52"/>
  <c r="K10" i="52"/>
  <c r="K38" i="184" s="1"/>
  <c r="L10" i="52"/>
  <c r="D11" i="52"/>
  <c r="E11" i="52"/>
  <c r="F11" i="52"/>
  <c r="G11" i="52"/>
  <c r="H11" i="52"/>
  <c r="I11" i="52"/>
  <c r="J11" i="52"/>
  <c r="K11" i="52"/>
  <c r="L11" i="52"/>
  <c r="D13" i="52"/>
  <c r="E13" i="52"/>
  <c r="F13" i="52"/>
  <c r="G13" i="52"/>
  <c r="H13" i="52"/>
  <c r="I13" i="52"/>
  <c r="J13" i="52"/>
  <c r="K13" i="52"/>
  <c r="L13" i="52"/>
  <c r="L149" i="184" s="1"/>
  <c r="D14" i="52"/>
  <c r="E14" i="52"/>
  <c r="F14" i="52"/>
  <c r="G14" i="52"/>
  <c r="G186" i="184" s="1"/>
  <c r="H14" i="52"/>
  <c r="H186" i="184" s="1"/>
  <c r="I14" i="52"/>
  <c r="J14" i="52"/>
  <c r="K14" i="52"/>
  <c r="L14" i="52"/>
  <c r="D10" i="47"/>
  <c r="E10" i="47"/>
  <c r="F10" i="47"/>
  <c r="G10" i="47"/>
  <c r="H10" i="47"/>
  <c r="I10" i="47"/>
  <c r="J10" i="47"/>
  <c r="K10" i="47"/>
  <c r="L10" i="47"/>
  <c r="D11" i="47"/>
  <c r="D57" i="184"/>
  <c r="E11" i="47"/>
  <c r="F11" i="47"/>
  <c r="G11" i="47"/>
  <c r="G57" i="184" s="1"/>
  <c r="H11" i="47"/>
  <c r="I11" i="47"/>
  <c r="J11" i="47"/>
  <c r="K11" i="47"/>
  <c r="L11" i="47"/>
  <c r="L13" i="47"/>
  <c r="L14" i="47"/>
  <c r="D13" i="47"/>
  <c r="E13" i="47"/>
  <c r="F13" i="47"/>
  <c r="G13" i="47"/>
  <c r="H13" i="47"/>
  <c r="I13" i="47"/>
  <c r="J13" i="47"/>
  <c r="K13" i="47"/>
  <c r="K131" i="184" s="1"/>
  <c r="D14" i="47"/>
  <c r="E14" i="47"/>
  <c r="F14" i="47"/>
  <c r="D14" i="46"/>
  <c r="G14" i="47"/>
  <c r="H14" i="47"/>
  <c r="I14" i="47"/>
  <c r="J14" i="47"/>
  <c r="J168" i="184" s="1"/>
  <c r="K14" i="47"/>
  <c r="D10" i="42"/>
  <c r="E10" i="42"/>
  <c r="F10" i="42"/>
  <c r="G10" i="42"/>
  <c r="H10" i="42"/>
  <c r="I10" i="42"/>
  <c r="J10" i="42"/>
  <c r="K10" i="42"/>
  <c r="K18" i="184" s="1"/>
  <c r="L10" i="42"/>
  <c r="D11" i="42"/>
  <c r="E11" i="42"/>
  <c r="F11" i="42"/>
  <c r="G11" i="42"/>
  <c r="H11" i="42"/>
  <c r="I11" i="42"/>
  <c r="J11" i="42"/>
  <c r="K11" i="42"/>
  <c r="L11" i="42"/>
  <c r="D13" i="42"/>
  <c r="E13" i="42"/>
  <c r="F13" i="42"/>
  <c r="G13" i="42"/>
  <c r="H13" i="42"/>
  <c r="I13" i="42"/>
  <c r="J13" i="42"/>
  <c r="K13" i="42"/>
  <c r="K129" i="184"/>
  <c r="L13" i="42"/>
  <c r="L129" i="184" s="1"/>
  <c r="D14" i="42"/>
  <c r="E14" i="42"/>
  <c r="F14" i="42"/>
  <c r="G14" i="42"/>
  <c r="G166" i="184" s="1"/>
  <c r="H14" i="42"/>
  <c r="H166" i="184" s="1"/>
  <c r="I14" i="42"/>
  <c r="J14" i="42"/>
  <c r="K14" i="42"/>
  <c r="L14" i="42"/>
  <c r="D10" i="36"/>
  <c r="D15" i="36" s="1"/>
  <c r="D198" i="184" s="1"/>
  <c r="E10" i="36"/>
  <c r="F10" i="36"/>
  <c r="G10" i="36"/>
  <c r="H10" i="36"/>
  <c r="I10" i="36"/>
  <c r="J10" i="36"/>
  <c r="K10" i="36"/>
  <c r="K13" i="184"/>
  <c r="L10" i="36"/>
  <c r="D11" i="36"/>
  <c r="D13" i="36"/>
  <c r="D14" i="36"/>
  <c r="E11" i="36"/>
  <c r="F11" i="36"/>
  <c r="G11" i="36"/>
  <c r="H11" i="36"/>
  <c r="I11" i="36"/>
  <c r="J11" i="36"/>
  <c r="K11" i="36"/>
  <c r="L11" i="36"/>
  <c r="E13" i="36"/>
  <c r="F13" i="36"/>
  <c r="G13" i="36"/>
  <c r="H13" i="36"/>
  <c r="H124" i="184" s="1"/>
  <c r="I13" i="36"/>
  <c r="I124" i="184" s="1"/>
  <c r="J13" i="36"/>
  <c r="K13" i="36"/>
  <c r="K124" i="184"/>
  <c r="L13" i="36"/>
  <c r="E14" i="36"/>
  <c r="F14" i="36"/>
  <c r="G14" i="36"/>
  <c r="H14" i="36"/>
  <c r="H161" i="184" s="1"/>
  <c r="I14" i="36"/>
  <c r="J14" i="36"/>
  <c r="J161" i="184" s="1"/>
  <c r="K14" i="36"/>
  <c r="K161" i="184" s="1"/>
  <c r="L14" i="36"/>
  <c r="L161" i="184" s="1"/>
  <c r="D10" i="26"/>
  <c r="E10" i="26"/>
  <c r="F10" i="26"/>
  <c r="F15" i="26" s="1"/>
  <c r="F200" i="184" s="1"/>
  <c r="G10" i="26"/>
  <c r="H10" i="26"/>
  <c r="I10" i="26"/>
  <c r="I15" i="184" s="1"/>
  <c r="J10" i="26"/>
  <c r="K10" i="26"/>
  <c r="L10" i="26"/>
  <c r="D11" i="26"/>
  <c r="E11" i="26"/>
  <c r="F11" i="26"/>
  <c r="G11" i="26"/>
  <c r="H11" i="26"/>
  <c r="H52" i="184" s="1"/>
  <c r="I11" i="26"/>
  <c r="J11" i="26"/>
  <c r="K11" i="26"/>
  <c r="L11" i="26"/>
  <c r="D13" i="26"/>
  <c r="E13" i="26"/>
  <c r="E126" i="184" s="1"/>
  <c r="F13" i="26"/>
  <c r="G13" i="26"/>
  <c r="G15" i="26" s="1"/>
  <c r="G200" i="184" s="1"/>
  <c r="G14" i="26"/>
  <c r="H13" i="26"/>
  <c r="I13" i="26"/>
  <c r="J13" i="26"/>
  <c r="K13" i="26"/>
  <c r="L13" i="26"/>
  <c r="D14" i="26"/>
  <c r="E14" i="26"/>
  <c r="F14" i="26"/>
  <c r="H14" i="26"/>
  <c r="I14" i="26"/>
  <c r="J14" i="26"/>
  <c r="K14" i="26"/>
  <c r="L14" i="26"/>
  <c r="D10" i="21"/>
  <c r="E10" i="21"/>
  <c r="E14" i="184" s="1"/>
  <c r="F10" i="21"/>
  <c r="G10" i="21"/>
  <c r="H10" i="21"/>
  <c r="I10" i="21"/>
  <c r="J10" i="21"/>
  <c r="K10" i="21"/>
  <c r="K14" i="184"/>
  <c r="L10" i="21"/>
  <c r="D11" i="21"/>
  <c r="E11" i="21"/>
  <c r="F11" i="21"/>
  <c r="G11" i="21"/>
  <c r="H11" i="21"/>
  <c r="I11" i="21"/>
  <c r="J11" i="21"/>
  <c r="J51" i="184" s="1"/>
  <c r="K11" i="21"/>
  <c r="L11" i="21"/>
  <c r="L51" i="184" s="1"/>
  <c r="D13" i="21"/>
  <c r="E13" i="21"/>
  <c r="E125" i="184"/>
  <c r="F13" i="21"/>
  <c r="G13" i="21"/>
  <c r="H13" i="21"/>
  <c r="I13" i="21"/>
  <c r="J13" i="21"/>
  <c r="K13" i="21"/>
  <c r="K125" i="184" s="1"/>
  <c r="L13" i="21"/>
  <c r="D14" i="21"/>
  <c r="E14" i="21"/>
  <c r="F14" i="21"/>
  <c r="G14" i="21"/>
  <c r="G162" i="184" s="1"/>
  <c r="H14" i="21"/>
  <c r="I14" i="21"/>
  <c r="J14" i="21"/>
  <c r="J162" i="184" s="1"/>
  <c r="K14" i="21"/>
  <c r="L14" i="21"/>
  <c r="D10" i="16"/>
  <c r="E10" i="16"/>
  <c r="E12" i="184"/>
  <c r="F10" i="16"/>
  <c r="G10" i="16"/>
  <c r="H10" i="16"/>
  <c r="I10" i="16"/>
  <c r="J10" i="16"/>
  <c r="K10" i="16"/>
  <c r="L10" i="16"/>
  <c r="D11" i="16"/>
  <c r="E11" i="16"/>
  <c r="F11" i="16"/>
  <c r="G11" i="16"/>
  <c r="H11" i="16"/>
  <c r="I11" i="16"/>
  <c r="J11" i="16"/>
  <c r="K11" i="16"/>
  <c r="L11" i="16"/>
  <c r="L49" i="184" s="1"/>
  <c r="D13" i="16"/>
  <c r="E13" i="16"/>
  <c r="E123" i="184" s="1"/>
  <c r="F13" i="16"/>
  <c r="G13" i="16"/>
  <c r="H13" i="16"/>
  <c r="I13" i="16"/>
  <c r="J13" i="16"/>
  <c r="K13" i="16"/>
  <c r="K123" i="184" s="1"/>
  <c r="L13" i="16"/>
  <c r="D14" i="16"/>
  <c r="E14" i="16"/>
  <c r="F14" i="16"/>
  <c r="G14" i="16"/>
  <c r="H14" i="16"/>
  <c r="I14" i="16"/>
  <c r="J14" i="16"/>
  <c r="K14" i="16"/>
  <c r="L14" i="16"/>
  <c r="D10" i="13"/>
  <c r="E10" i="13"/>
  <c r="F10" i="13"/>
  <c r="G10" i="13"/>
  <c r="H10" i="13"/>
  <c r="I10" i="13"/>
  <c r="J10" i="13"/>
  <c r="K10" i="13"/>
  <c r="L10" i="13"/>
  <c r="L10" i="184"/>
  <c r="D11" i="13"/>
  <c r="E11" i="13"/>
  <c r="F11" i="13"/>
  <c r="G11" i="13"/>
  <c r="H11" i="13"/>
  <c r="I11" i="13"/>
  <c r="J11" i="13"/>
  <c r="K11" i="13"/>
  <c r="L11" i="13"/>
  <c r="D13" i="13"/>
  <c r="D121" i="184" s="1"/>
  <c r="E13" i="13"/>
  <c r="F13" i="13"/>
  <c r="G13" i="13"/>
  <c r="H13" i="13"/>
  <c r="H121" i="184" s="1"/>
  <c r="I13" i="13"/>
  <c r="J13" i="13"/>
  <c r="K13" i="13"/>
  <c r="L13" i="13"/>
  <c r="L121" i="184" s="1"/>
  <c r="D14" i="13"/>
  <c r="E14" i="13"/>
  <c r="F14" i="13"/>
  <c r="G14" i="13"/>
  <c r="H14" i="13"/>
  <c r="I14" i="13"/>
  <c r="I158" i="184"/>
  <c r="J14" i="13"/>
  <c r="K14" i="13"/>
  <c r="L14" i="13"/>
  <c r="D10" i="142"/>
  <c r="E10" i="142"/>
  <c r="F10" i="142"/>
  <c r="G10" i="142"/>
  <c r="H10" i="142"/>
  <c r="I10" i="142"/>
  <c r="J10" i="142"/>
  <c r="K10" i="142"/>
  <c r="L10" i="142"/>
  <c r="D11" i="142"/>
  <c r="E11" i="142"/>
  <c r="F11" i="142"/>
  <c r="G11" i="142"/>
  <c r="H11" i="142"/>
  <c r="I11" i="142"/>
  <c r="J11" i="142"/>
  <c r="K11" i="142"/>
  <c r="L11" i="142"/>
  <c r="D13" i="142"/>
  <c r="E13" i="142"/>
  <c r="F13" i="142"/>
  <c r="G13" i="142"/>
  <c r="H13" i="142"/>
  <c r="I13" i="142"/>
  <c r="J13" i="142"/>
  <c r="K13" i="142"/>
  <c r="L13" i="142"/>
  <c r="D14" i="142"/>
  <c r="E14" i="142"/>
  <c r="F14" i="142"/>
  <c r="G14" i="142"/>
  <c r="H14" i="142"/>
  <c r="I14" i="142"/>
  <c r="J14" i="142"/>
  <c r="K14" i="142"/>
  <c r="L14" i="142"/>
  <c r="D10" i="112"/>
  <c r="E10" i="112"/>
  <c r="F10" i="112"/>
  <c r="G10" i="112"/>
  <c r="H10" i="112"/>
  <c r="I10" i="112"/>
  <c r="J10" i="112"/>
  <c r="K10" i="112"/>
  <c r="L10" i="112"/>
  <c r="D11" i="112"/>
  <c r="E11" i="112"/>
  <c r="F11" i="112"/>
  <c r="G11" i="112"/>
  <c r="H11" i="112"/>
  <c r="I11" i="112"/>
  <c r="J11" i="112"/>
  <c r="K11" i="112"/>
  <c r="L11" i="112"/>
  <c r="D13" i="112"/>
  <c r="E13" i="112"/>
  <c r="F13" i="112"/>
  <c r="G13" i="112"/>
  <c r="H13" i="112"/>
  <c r="I13" i="112"/>
  <c r="J13" i="112"/>
  <c r="K13" i="112"/>
  <c r="L13" i="112"/>
  <c r="D14" i="112"/>
  <c r="E14" i="112"/>
  <c r="F14" i="112"/>
  <c r="G14" i="112"/>
  <c r="H14" i="112"/>
  <c r="I14" i="112"/>
  <c r="J14" i="112"/>
  <c r="J188" i="184"/>
  <c r="K14" i="112"/>
  <c r="L14" i="112"/>
  <c r="F58" i="213"/>
  <c r="F57" i="213"/>
  <c r="F56" i="213"/>
  <c r="F55" i="213"/>
  <c r="F54" i="213"/>
  <c r="F53" i="213"/>
  <c r="D37" i="13"/>
  <c r="E37" i="13"/>
  <c r="F37" i="13"/>
  <c r="F901" i="184" s="1"/>
  <c r="G37" i="13"/>
  <c r="H37" i="13"/>
  <c r="H901" i="184" s="1"/>
  <c r="I37" i="13"/>
  <c r="J37" i="13"/>
  <c r="K37" i="13"/>
  <c r="L37" i="13"/>
  <c r="D38" i="13"/>
  <c r="E38" i="13"/>
  <c r="E938" i="184"/>
  <c r="F38" i="13"/>
  <c r="G38" i="13"/>
  <c r="H38" i="13"/>
  <c r="I38" i="13"/>
  <c r="J38" i="13"/>
  <c r="K38" i="13"/>
  <c r="L38" i="13"/>
  <c r="D39" i="13"/>
  <c r="E39" i="13"/>
  <c r="F39" i="13"/>
  <c r="F975" i="184" s="1"/>
  <c r="G39" i="13"/>
  <c r="H39" i="13"/>
  <c r="I39" i="13"/>
  <c r="J39" i="13"/>
  <c r="J975" i="184"/>
  <c r="K39" i="13"/>
  <c r="L39" i="13"/>
  <c r="D40" i="13"/>
  <c r="E40" i="13"/>
  <c r="F40" i="13"/>
  <c r="G40" i="13"/>
  <c r="H40" i="13"/>
  <c r="H1012" i="184"/>
  <c r="I40" i="13"/>
  <c r="I1012" i="184" s="1"/>
  <c r="J40" i="13"/>
  <c r="K40" i="13"/>
  <c r="L40" i="13"/>
  <c r="D41" i="13"/>
  <c r="D1049" i="184" s="1"/>
  <c r="E41" i="13"/>
  <c r="F41" i="13"/>
  <c r="G41" i="13"/>
  <c r="G1049" i="184" s="1"/>
  <c r="H41" i="13"/>
  <c r="I41" i="13"/>
  <c r="J41" i="13"/>
  <c r="K41" i="13"/>
  <c r="L41" i="13"/>
  <c r="L1049" i="184" s="1"/>
  <c r="D37" i="16"/>
  <c r="E37" i="16"/>
  <c r="F37" i="16"/>
  <c r="G37" i="16"/>
  <c r="H37" i="16"/>
  <c r="H903" i="184" s="1"/>
  <c r="I37" i="16"/>
  <c r="J37" i="16"/>
  <c r="J903" i="184"/>
  <c r="K37" i="16"/>
  <c r="L37" i="16"/>
  <c r="D38" i="16"/>
  <c r="E38" i="16"/>
  <c r="F38" i="16"/>
  <c r="G38" i="16"/>
  <c r="H38" i="16"/>
  <c r="I38" i="16"/>
  <c r="J38" i="16"/>
  <c r="K38" i="16"/>
  <c r="L38" i="16"/>
  <c r="D39" i="16"/>
  <c r="D977" i="184"/>
  <c r="E39" i="16"/>
  <c r="F39" i="16"/>
  <c r="G39" i="16"/>
  <c r="H39" i="16"/>
  <c r="H977" i="184" s="1"/>
  <c r="I39" i="16"/>
  <c r="J39" i="16"/>
  <c r="K39" i="16"/>
  <c r="L39" i="16"/>
  <c r="L977" i="184" s="1"/>
  <c r="D40" i="16"/>
  <c r="E40" i="16"/>
  <c r="F40" i="16"/>
  <c r="G40" i="16"/>
  <c r="G1014" i="184" s="1"/>
  <c r="H40" i="16"/>
  <c r="I40" i="16"/>
  <c r="J40" i="16"/>
  <c r="K40" i="16"/>
  <c r="L40" i="16"/>
  <c r="D41" i="16"/>
  <c r="E41" i="16"/>
  <c r="F41" i="16"/>
  <c r="G41" i="16"/>
  <c r="H41" i="16"/>
  <c r="I41" i="16"/>
  <c r="J41" i="16"/>
  <c r="K41" i="16"/>
  <c r="L41" i="16"/>
  <c r="D36" i="16"/>
  <c r="E36" i="16"/>
  <c r="E866" i="184" s="1"/>
  <c r="F36" i="16"/>
  <c r="F42" i="16" s="1"/>
  <c r="G36" i="16"/>
  <c r="H36" i="16"/>
  <c r="I36" i="16"/>
  <c r="I42" i="16" s="1"/>
  <c r="J36" i="16"/>
  <c r="K36" i="16"/>
  <c r="L36" i="16"/>
  <c r="D37" i="21"/>
  <c r="E37" i="21"/>
  <c r="F37" i="21"/>
  <c r="G37" i="21"/>
  <c r="H37" i="21"/>
  <c r="H905" i="184" s="1"/>
  <c r="I37" i="21"/>
  <c r="J37" i="21"/>
  <c r="K37" i="21"/>
  <c r="L37" i="21"/>
  <c r="D38" i="21"/>
  <c r="E38" i="21"/>
  <c r="E942" i="184" s="1"/>
  <c r="F38" i="21"/>
  <c r="G38" i="21"/>
  <c r="H38" i="21"/>
  <c r="I38" i="21"/>
  <c r="J38" i="21"/>
  <c r="K38" i="21"/>
  <c r="L38" i="21"/>
  <c r="D39" i="21"/>
  <c r="E39" i="21"/>
  <c r="F39" i="21"/>
  <c r="G39" i="21"/>
  <c r="H39" i="21"/>
  <c r="I39" i="21"/>
  <c r="J39" i="21"/>
  <c r="K39" i="21"/>
  <c r="K979" i="184" s="1"/>
  <c r="L39" i="21"/>
  <c r="L979" i="184" s="1"/>
  <c r="D40" i="21"/>
  <c r="E40" i="21"/>
  <c r="E1016" i="184" s="1"/>
  <c r="F40" i="21"/>
  <c r="G40" i="21"/>
  <c r="G1016" i="184" s="1"/>
  <c r="H40" i="21"/>
  <c r="I40" i="21"/>
  <c r="J40" i="21"/>
  <c r="K40" i="21"/>
  <c r="L40" i="21"/>
  <c r="D41" i="21"/>
  <c r="E41" i="21"/>
  <c r="E1053" i="184" s="1"/>
  <c r="F41" i="21"/>
  <c r="G41" i="21"/>
  <c r="G1053" i="184"/>
  <c r="H41" i="21"/>
  <c r="H1053" i="184" s="1"/>
  <c r="I41" i="21"/>
  <c r="J41" i="21"/>
  <c r="K41" i="21"/>
  <c r="L41" i="21"/>
  <c r="L1053" i="184" s="1"/>
  <c r="D36" i="21"/>
  <c r="D868" i="184" s="1"/>
  <c r="E36" i="21"/>
  <c r="F36" i="21"/>
  <c r="G36" i="21"/>
  <c r="H36" i="21"/>
  <c r="I36" i="21"/>
  <c r="J36" i="21"/>
  <c r="K36" i="21"/>
  <c r="K868" i="184" s="1"/>
  <c r="L36" i="21"/>
  <c r="L868" i="184" s="1"/>
  <c r="D37" i="26"/>
  <c r="E37" i="26"/>
  <c r="F37" i="26"/>
  <c r="G37" i="26"/>
  <c r="H37" i="26"/>
  <c r="I37" i="26"/>
  <c r="J37" i="26"/>
  <c r="J906" i="184" s="1"/>
  <c r="K37" i="26"/>
  <c r="L37" i="26"/>
  <c r="D38" i="26"/>
  <c r="E38" i="26"/>
  <c r="F38" i="26"/>
  <c r="G38" i="26"/>
  <c r="H38" i="26"/>
  <c r="I38" i="26"/>
  <c r="I943" i="184" s="1"/>
  <c r="J38" i="26"/>
  <c r="K38" i="26"/>
  <c r="L38" i="26"/>
  <c r="D39" i="26"/>
  <c r="E39" i="26"/>
  <c r="F39" i="26"/>
  <c r="G39" i="26"/>
  <c r="H39" i="26"/>
  <c r="H980" i="184" s="1"/>
  <c r="I39" i="26"/>
  <c r="J39" i="26"/>
  <c r="K39" i="26"/>
  <c r="L39" i="26"/>
  <c r="D40" i="26"/>
  <c r="E40" i="26"/>
  <c r="F40" i="26"/>
  <c r="G40" i="26"/>
  <c r="G36" i="26"/>
  <c r="G42" i="26" s="1"/>
  <c r="G1091" i="184" s="1"/>
  <c r="G41" i="26"/>
  <c r="H40" i="26"/>
  <c r="I40" i="26"/>
  <c r="J40" i="26"/>
  <c r="K40" i="26"/>
  <c r="L40" i="26"/>
  <c r="D41" i="26"/>
  <c r="E41" i="26"/>
  <c r="E1054" i="184"/>
  <c r="F41" i="26"/>
  <c r="F1054" i="184" s="1"/>
  <c r="H41" i="26"/>
  <c r="I41" i="26"/>
  <c r="J41" i="26"/>
  <c r="K41" i="26"/>
  <c r="L41" i="26"/>
  <c r="D36" i="26"/>
  <c r="E36" i="26"/>
  <c r="F36" i="26"/>
  <c r="H36" i="26"/>
  <c r="I36" i="26"/>
  <c r="J36" i="26"/>
  <c r="K36" i="26"/>
  <c r="L36" i="26"/>
  <c r="D37" i="36"/>
  <c r="D904" i="184"/>
  <c r="E37" i="36"/>
  <c r="E904" i="184" s="1"/>
  <c r="F37" i="36"/>
  <c r="G37" i="36"/>
  <c r="H37" i="36"/>
  <c r="I37" i="36"/>
  <c r="J37" i="36"/>
  <c r="J904" i="184"/>
  <c r="K37" i="36"/>
  <c r="L37" i="36"/>
  <c r="L904" i="184" s="1"/>
  <c r="D38" i="36"/>
  <c r="E38" i="36"/>
  <c r="F38" i="36"/>
  <c r="G38" i="36"/>
  <c r="H38" i="36"/>
  <c r="I38" i="36"/>
  <c r="I941" i="184" s="1"/>
  <c r="J38" i="36"/>
  <c r="K38" i="36"/>
  <c r="L38" i="36"/>
  <c r="D39" i="36"/>
  <c r="E39" i="36"/>
  <c r="F39" i="36"/>
  <c r="G39" i="36"/>
  <c r="H39" i="36"/>
  <c r="H978" i="184" s="1"/>
  <c r="I39" i="36"/>
  <c r="I978" i="184" s="1"/>
  <c r="J39" i="36"/>
  <c r="J978" i="184"/>
  <c r="K39" i="36"/>
  <c r="L39" i="36"/>
  <c r="D40" i="36"/>
  <c r="E40" i="36"/>
  <c r="F40" i="36"/>
  <c r="F1015" i="184" s="1"/>
  <c r="G40" i="36"/>
  <c r="H40" i="36"/>
  <c r="I40" i="36"/>
  <c r="I1015" i="184" s="1"/>
  <c r="J40" i="36"/>
  <c r="K40" i="36"/>
  <c r="L40" i="36"/>
  <c r="D41" i="36"/>
  <c r="D1052" i="184"/>
  <c r="E41" i="36"/>
  <c r="F41" i="36"/>
  <c r="G41" i="36"/>
  <c r="H41" i="36"/>
  <c r="H1052" i="184" s="1"/>
  <c r="I41" i="36"/>
  <c r="J41" i="36"/>
  <c r="K41" i="36"/>
  <c r="L41" i="36"/>
  <c r="L1052" i="184" s="1"/>
  <c r="D37" i="42"/>
  <c r="E37" i="42"/>
  <c r="F37" i="42"/>
  <c r="G37" i="42"/>
  <c r="H37" i="42"/>
  <c r="I37" i="42"/>
  <c r="J37" i="42"/>
  <c r="K37" i="42"/>
  <c r="L37" i="42"/>
  <c r="D38" i="42"/>
  <c r="E38" i="42"/>
  <c r="F38" i="42"/>
  <c r="G38" i="42"/>
  <c r="H38" i="42"/>
  <c r="I38" i="42"/>
  <c r="J38" i="42"/>
  <c r="K38" i="42"/>
  <c r="L38" i="42"/>
  <c r="D39" i="42"/>
  <c r="E39" i="42"/>
  <c r="F39" i="42"/>
  <c r="G39" i="42"/>
  <c r="H39" i="42"/>
  <c r="H983" i="184"/>
  <c r="I39" i="42"/>
  <c r="J39" i="42"/>
  <c r="K39" i="42"/>
  <c r="L39" i="42"/>
  <c r="D40" i="42"/>
  <c r="E40" i="42"/>
  <c r="F40" i="42"/>
  <c r="G40" i="42"/>
  <c r="G1020" i="184" s="1"/>
  <c r="H40" i="42"/>
  <c r="I40" i="42"/>
  <c r="J40" i="42"/>
  <c r="K40" i="42"/>
  <c r="L40" i="42"/>
  <c r="D41" i="42"/>
  <c r="E41" i="42"/>
  <c r="E1057" i="184" s="1"/>
  <c r="F41" i="42"/>
  <c r="G41" i="42"/>
  <c r="H41" i="42"/>
  <c r="I41" i="42"/>
  <c r="J41" i="42"/>
  <c r="K41" i="42"/>
  <c r="L41" i="42"/>
  <c r="D36" i="42"/>
  <c r="E36" i="42"/>
  <c r="F36" i="42"/>
  <c r="G36" i="42"/>
  <c r="H36" i="42"/>
  <c r="I36" i="42"/>
  <c r="J36" i="42"/>
  <c r="K36" i="42"/>
  <c r="L36" i="42"/>
  <c r="D37" i="47"/>
  <c r="E37" i="47"/>
  <c r="F37" i="47"/>
  <c r="G37" i="47"/>
  <c r="H37" i="47"/>
  <c r="I37" i="47"/>
  <c r="J37" i="47"/>
  <c r="J911" i="184" s="1"/>
  <c r="K37" i="47"/>
  <c r="L37" i="47"/>
  <c r="D38" i="47"/>
  <c r="E38" i="47"/>
  <c r="F38" i="47"/>
  <c r="G38" i="47"/>
  <c r="H38" i="47"/>
  <c r="H948" i="184" s="1"/>
  <c r="I38" i="47"/>
  <c r="J38" i="47"/>
  <c r="K38" i="47"/>
  <c r="L38" i="47"/>
  <c r="D39" i="47"/>
  <c r="E39" i="47"/>
  <c r="F39" i="47"/>
  <c r="G39" i="47"/>
  <c r="G985" i="184" s="1"/>
  <c r="H39" i="47"/>
  <c r="I39" i="47"/>
  <c r="J39" i="47"/>
  <c r="K39" i="47"/>
  <c r="L39" i="47"/>
  <c r="D40" i="47"/>
  <c r="E40" i="47"/>
  <c r="F40" i="47"/>
  <c r="F1022" i="184" s="1"/>
  <c r="G40" i="47"/>
  <c r="H40" i="47"/>
  <c r="I40" i="47"/>
  <c r="J40" i="47"/>
  <c r="K40" i="47"/>
  <c r="L40" i="47"/>
  <c r="D41" i="47"/>
  <c r="E41" i="47"/>
  <c r="E1059" i="184" s="1"/>
  <c r="F41" i="47"/>
  <c r="G41" i="47"/>
  <c r="H41" i="47"/>
  <c r="I41" i="47"/>
  <c r="J41" i="47"/>
  <c r="K41" i="47"/>
  <c r="L41" i="47"/>
  <c r="D36" i="47"/>
  <c r="D874" i="184" s="1"/>
  <c r="E36" i="47"/>
  <c r="F36" i="47"/>
  <c r="G36" i="47"/>
  <c r="H36" i="47"/>
  <c r="I36" i="47"/>
  <c r="J36" i="47"/>
  <c r="K36" i="47"/>
  <c r="L36" i="47"/>
  <c r="L874" i="184" s="1"/>
  <c r="D37" i="52"/>
  <c r="E37" i="52"/>
  <c r="F37" i="52"/>
  <c r="G37" i="52"/>
  <c r="H37" i="52"/>
  <c r="I37" i="52"/>
  <c r="J37" i="52"/>
  <c r="K37" i="52"/>
  <c r="L37" i="52"/>
  <c r="D38" i="52"/>
  <c r="E38" i="52"/>
  <c r="F38" i="52"/>
  <c r="G38" i="52"/>
  <c r="H38" i="52"/>
  <c r="I38" i="52"/>
  <c r="J38" i="52"/>
  <c r="K38" i="52"/>
  <c r="L38" i="52"/>
  <c r="D39" i="52"/>
  <c r="E39" i="52"/>
  <c r="F39" i="52"/>
  <c r="G39" i="52"/>
  <c r="H39" i="52"/>
  <c r="I39" i="52"/>
  <c r="I1003" i="184"/>
  <c r="J39" i="52"/>
  <c r="K39" i="52"/>
  <c r="L39" i="52"/>
  <c r="D40" i="52"/>
  <c r="E40" i="52"/>
  <c r="F40" i="52"/>
  <c r="G40" i="52"/>
  <c r="H40" i="52"/>
  <c r="I40" i="52"/>
  <c r="J40" i="52"/>
  <c r="K40" i="52"/>
  <c r="L40" i="52"/>
  <c r="L1040" i="184" s="1"/>
  <c r="D41" i="52"/>
  <c r="E41" i="52"/>
  <c r="F41" i="52"/>
  <c r="G41" i="52"/>
  <c r="G1077" i="184" s="1"/>
  <c r="H41" i="52"/>
  <c r="I41" i="52"/>
  <c r="J41" i="52"/>
  <c r="K41" i="52"/>
  <c r="K1077" i="184"/>
  <c r="L41" i="52"/>
  <c r="D37" i="57"/>
  <c r="E37" i="57"/>
  <c r="F37" i="57"/>
  <c r="G37" i="57"/>
  <c r="H37" i="57"/>
  <c r="H916" i="184" s="1"/>
  <c r="I37" i="57"/>
  <c r="J37" i="57"/>
  <c r="K37" i="57"/>
  <c r="L37" i="57"/>
  <c r="D38" i="57"/>
  <c r="D953" i="184" s="1"/>
  <c r="E38" i="57"/>
  <c r="F38" i="57"/>
  <c r="G38" i="57"/>
  <c r="G953" i="184" s="1"/>
  <c r="H38" i="57"/>
  <c r="I38" i="57"/>
  <c r="J38" i="57"/>
  <c r="K38" i="57"/>
  <c r="L38" i="57"/>
  <c r="L953" i="184" s="1"/>
  <c r="D39" i="57"/>
  <c r="E39" i="57"/>
  <c r="F39" i="57"/>
  <c r="F990" i="184" s="1"/>
  <c r="G39" i="57"/>
  <c r="H39" i="57"/>
  <c r="I39" i="57"/>
  <c r="J39" i="57"/>
  <c r="K39" i="57"/>
  <c r="L39" i="57"/>
  <c r="L990" i="184"/>
  <c r="D40" i="57"/>
  <c r="E40" i="57"/>
  <c r="E1027" i="184" s="1"/>
  <c r="F40" i="57"/>
  <c r="G40" i="57"/>
  <c r="H40" i="57"/>
  <c r="I40" i="57"/>
  <c r="I1027" i="184" s="1"/>
  <c r="J40" i="57"/>
  <c r="J1027" i="184" s="1"/>
  <c r="K40" i="57"/>
  <c r="K1027" i="184" s="1"/>
  <c r="L40" i="57"/>
  <c r="D41" i="57"/>
  <c r="D1064" i="184"/>
  <c r="E41" i="57"/>
  <c r="F41" i="57"/>
  <c r="G41" i="57"/>
  <c r="H41" i="57"/>
  <c r="I41" i="57"/>
  <c r="I1064" i="184" s="1"/>
  <c r="J41" i="57"/>
  <c r="K41" i="57"/>
  <c r="L41" i="57"/>
  <c r="L1064" i="184" s="1"/>
  <c r="D37" i="62"/>
  <c r="E37" i="62"/>
  <c r="F37" i="62"/>
  <c r="G37" i="62"/>
  <c r="H37" i="62"/>
  <c r="I37" i="62"/>
  <c r="J37" i="62"/>
  <c r="K37" i="62"/>
  <c r="L37" i="62"/>
  <c r="D38" i="62"/>
  <c r="E38" i="62"/>
  <c r="F38" i="62"/>
  <c r="G38" i="62"/>
  <c r="H38" i="62"/>
  <c r="I38" i="62"/>
  <c r="J38" i="62"/>
  <c r="K38" i="62"/>
  <c r="L38" i="62"/>
  <c r="L957" i="184" s="1"/>
  <c r="D39" i="62"/>
  <c r="E39" i="62"/>
  <c r="F39" i="62"/>
  <c r="G39" i="62"/>
  <c r="H39" i="62"/>
  <c r="I39" i="62"/>
  <c r="J39" i="62"/>
  <c r="K39" i="62"/>
  <c r="L39" i="62"/>
  <c r="D40" i="62"/>
  <c r="E40" i="62"/>
  <c r="F40" i="62"/>
  <c r="G40" i="62"/>
  <c r="H40" i="62"/>
  <c r="I40" i="62"/>
  <c r="J40" i="62"/>
  <c r="K40" i="62"/>
  <c r="L40" i="62"/>
  <c r="D41" i="62"/>
  <c r="E41" i="62"/>
  <c r="F41" i="62"/>
  <c r="F1068" i="184"/>
  <c r="G41" i="62"/>
  <c r="H41" i="62"/>
  <c r="I41" i="62"/>
  <c r="J41" i="62"/>
  <c r="K41" i="62"/>
  <c r="L41" i="62"/>
  <c r="D36" i="62"/>
  <c r="E36" i="62"/>
  <c r="F36" i="62"/>
  <c r="G36" i="62"/>
  <c r="H36" i="62"/>
  <c r="I36" i="62"/>
  <c r="J36" i="62"/>
  <c r="K36" i="62"/>
  <c r="L36" i="62"/>
  <c r="D37" i="67"/>
  <c r="E37" i="67"/>
  <c r="E910" i="184" s="1"/>
  <c r="F37" i="67"/>
  <c r="G37" i="67"/>
  <c r="H37" i="67"/>
  <c r="I37" i="67"/>
  <c r="J37" i="67"/>
  <c r="K37" i="67"/>
  <c r="L37" i="67"/>
  <c r="D38" i="67"/>
  <c r="D947" i="184" s="1"/>
  <c r="E38" i="67"/>
  <c r="F38" i="67"/>
  <c r="G38" i="67"/>
  <c r="H38" i="67"/>
  <c r="H947" i="184"/>
  <c r="I38" i="67"/>
  <c r="J38" i="67"/>
  <c r="K38" i="67"/>
  <c r="L38" i="67"/>
  <c r="L947" i="184"/>
  <c r="D39" i="67"/>
  <c r="E39" i="67"/>
  <c r="F39" i="67"/>
  <c r="G39" i="67"/>
  <c r="H39" i="67"/>
  <c r="I39" i="67"/>
  <c r="J39" i="67"/>
  <c r="K39" i="67"/>
  <c r="K984" i="184" s="1"/>
  <c r="L39" i="67"/>
  <c r="D40" i="67"/>
  <c r="E40" i="67"/>
  <c r="E1021" i="184" s="1"/>
  <c r="F40" i="67"/>
  <c r="G40" i="67"/>
  <c r="H40" i="67"/>
  <c r="I40" i="67"/>
  <c r="J40" i="67"/>
  <c r="K40" i="67"/>
  <c r="L40" i="67"/>
  <c r="D41" i="67"/>
  <c r="E41" i="67"/>
  <c r="F41" i="67"/>
  <c r="G41" i="67"/>
  <c r="H41" i="67"/>
  <c r="I41" i="67"/>
  <c r="J41" i="67"/>
  <c r="K41" i="67"/>
  <c r="L41" i="67"/>
  <c r="D37" i="72"/>
  <c r="E37" i="72"/>
  <c r="E924" i="184"/>
  <c r="F37" i="72"/>
  <c r="G37" i="72"/>
  <c r="H37" i="72"/>
  <c r="H924" i="184" s="1"/>
  <c r="I37" i="72"/>
  <c r="J37" i="72"/>
  <c r="K37" i="72"/>
  <c r="L37" i="72"/>
  <c r="D38" i="72"/>
  <c r="E38" i="72"/>
  <c r="F38" i="72"/>
  <c r="G38" i="72"/>
  <c r="G961" i="184" s="1"/>
  <c r="H38" i="72"/>
  <c r="I38" i="72"/>
  <c r="J38" i="72"/>
  <c r="K38" i="72"/>
  <c r="K961" i="184" s="1"/>
  <c r="L38" i="72"/>
  <c r="D39" i="72"/>
  <c r="E39" i="72"/>
  <c r="F39" i="72"/>
  <c r="G39" i="72"/>
  <c r="H39" i="72"/>
  <c r="I39" i="72"/>
  <c r="J39" i="72"/>
  <c r="K39" i="72"/>
  <c r="L39" i="72"/>
  <c r="D40" i="72"/>
  <c r="E40" i="72"/>
  <c r="E1035" i="184" s="1"/>
  <c r="F40" i="72"/>
  <c r="G40" i="72"/>
  <c r="H40" i="72"/>
  <c r="H1035" i="184" s="1"/>
  <c r="I40" i="72"/>
  <c r="J40" i="72"/>
  <c r="K40" i="72"/>
  <c r="L40" i="72"/>
  <c r="D41" i="72"/>
  <c r="D1072" i="184"/>
  <c r="E41" i="72"/>
  <c r="E1072" i="184" s="1"/>
  <c r="F41" i="72"/>
  <c r="G41" i="72"/>
  <c r="H41" i="72"/>
  <c r="I41" i="72"/>
  <c r="J41" i="72"/>
  <c r="K41" i="72"/>
  <c r="L41" i="72"/>
  <c r="L1072" i="184"/>
  <c r="D36" i="72"/>
  <c r="E36" i="72"/>
  <c r="F36" i="72"/>
  <c r="G36" i="72"/>
  <c r="H36" i="72"/>
  <c r="I36" i="72"/>
  <c r="J36" i="72"/>
  <c r="J887" i="184"/>
  <c r="K36" i="72"/>
  <c r="L36" i="72"/>
  <c r="D37" i="78"/>
  <c r="E37" i="78"/>
  <c r="F37" i="78"/>
  <c r="F918" i="184"/>
  <c r="G37" i="78"/>
  <c r="H37" i="78"/>
  <c r="I37" i="78"/>
  <c r="J37" i="78"/>
  <c r="K37" i="78"/>
  <c r="L37" i="78"/>
  <c r="D38" i="78"/>
  <c r="D955" i="184"/>
  <c r="E38" i="78"/>
  <c r="F38" i="78"/>
  <c r="G38" i="78"/>
  <c r="H38" i="78"/>
  <c r="I38" i="78"/>
  <c r="J38" i="78"/>
  <c r="K38" i="78"/>
  <c r="L38" i="78"/>
  <c r="D39" i="78"/>
  <c r="E39" i="78"/>
  <c r="F39" i="78"/>
  <c r="G39" i="78"/>
  <c r="H39" i="78"/>
  <c r="I39" i="78"/>
  <c r="J39" i="78"/>
  <c r="K39" i="78"/>
  <c r="K992" i="184" s="1"/>
  <c r="L39" i="78"/>
  <c r="D40" i="78"/>
  <c r="E40" i="78"/>
  <c r="F40" i="78"/>
  <c r="G40" i="78"/>
  <c r="H40" i="78"/>
  <c r="I40" i="78"/>
  <c r="J40" i="78"/>
  <c r="K40" i="78"/>
  <c r="L40" i="78"/>
  <c r="D41" i="78"/>
  <c r="E41" i="78"/>
  <c r="F41" i="78"/>
  <c r="G41" i="78"/>
  <c r="G1066" i="184"/>
  <c r="H41" i="78"/>
  <c r="I41" i="78"/>
  <c r="J41" i="78"/>
  <c r="K41" i="78"/>
  <c r="L41" i="78"/>
  <c r="D37" i="82"/>
  <c r="E37" i="82"/>
  <c r="F37" i="82"/>
  <c r="G37" i="82"/>
  <c r="H37" i="82"/>
  <c r="I37" i="82"/>
  <c r="J37" i="82"/>
  <c r="K37" i="82"/>
  <c r="L37" i="82"/>
  <c r="D38" i="82"/>
  <c r="E38" i="82"/>
  <c r="F38" i="82"/>
  <c r="G38" i="82"/>
  <c r="H38" i="82"/>
  <c r="I38" i="82"/>
  <c r="J38" i="82"/>
  <c r="K38" i="82"/>
  <c r="L38" i="82"/>
  <c r="D39" i="82"/>
  <c r="E39" i="82"/>
  <c r="F39" i="82"/>
  <c r="G39" i="82"/>
  <c r="H39" i="82"/>
  <c r="I39" i="82"/>
  <c r="J39" i="82"/>
  <c r="K39" i="82"/>
  <c r="L39" i="82"/>
  <c r="D40" i="82"/>
  <c r="E40" i="82"/>
  <c r="F40" i="82"/>
  <c r="G40" i="82"/>
  <c r="H40" i="82"/>
  <c r="I40" i="82"/>
  <c r="J40" i="82"/>
  <c r="K40" i="82"/>
  <c r="L40" i="82"/>
  <c r="D41" i="82"/>
  <c r="E41" i="82"/>
  <c r="F41" i="82"/>
  <c r="G41" i="82"/>
  <c r="H41" i="82"/>
  <c r="I41" i="82"/>
  <c r="J41" i="82"/>
  <c r="K41" i="82"/>
  <c r="L41" i="82"/>
  <c r="D36" i="82"/>
  <c r="E36" i="82"/>
  <c r="F36" i="82"/>
  <c r="G36" i="82"/>
  <c r="H36" i="82"/>
  <c r="I36" i="82"/>
  <c r="J36" i="82"/>
  <c r="K36" i="82"/>
  <c r="L36" i="82"/>
  <c r="D37" i="199"/>
  <c r="E37" i="199"/>
  <c r="F37" i="199"/>
  <c r="G37" i="199"/>
  <c r="H37" i="199"/>
  <c r="I37" i="199"/>
  <c r="J37" i="199"/>
  <c r="K37" i="199"/>
  <c r="L37" i="199"/>
  <c r="D38" i="199"/>
  <c r="E38" i="199"/>
  <c r="F38" i="199"/>
  <c r="G38" i="199"/>
  <c r="H38" i="199"/>
  <c r="I38" i="199"/>
  <c r="J38" i="199"/>
  <c r="K38" i="199"/>
  <c r="L38" i="199"/>
  <c r="D39" i="199"/>
  <c r="E39" i="199"/>
  <c r="E993" i="184"/>
  <c r="F39" i="199"/>
  <c r="G39" i="199"/>
  <c r="H39" i="199"/>
  <c r="I39" i="199"/>
  <c r="J39" i="199"/>
  <c r="K39" i="199"/>
  <c r="L39" i="199"/>
  <c r="L993" i="184"/>
  <c r="D40" i="199"/>
  <c r="D1030" i="184"/>
  <c r="E40" i="199"/>
  <c r="F40" i="199"/>
  <c r="G40" i="199"/>
  <c r="H40" i="199"/>
  <c r="I40" i="199"/>
  <c r="J40" i="199"/>
  <c r="K40" i="199"/>
  <c r="L40" i="199"/>
  <c r="L1030" i="184" s="1"/>
  <c r="D41" i="199"/>
  <c r="E41" i="199"/>
  <c r="F41" i="199"/>
  <c r="G41" i="199"/>
  <c r="H41" i="199"/>
  <c r="I41" i="199"/>
  <c r="J41" i="199"/>
  <c r="K41" i="199"/>
  <c r="L41" i="199"/>
  <c r="D37" i="203"/>
  <c r="E37" i="203"/>
  <c r="F37" i="203"/>
  <c r="F922" i="184"/>
  <c r="G37" i="203"/>
  <c r="H37" i="203"/>
  <c r="I37" i="203"/>
  <c r="J37" i="203"/>
  <c r="K37" i="203"/>
  <c r="L37" i="203"/>
  <c r="D38" i="203"/>
  <c r="E38" i="203"/>
  <c r="F38" i="203"/>
  <c r="G38" i="203"/>
  <c r="H38" i="203"/>
  <c r="I38" i="203"/>
  <c r="J38" i="203"/>
  <c r="K38" i="203"/>
  <c r="L38" i="203"/>
  <c r="L959" i="184"/>
  <c r="D39" i="203"/>
  <c r="E39" i="203"/>
  <c r="F39" i="203"/>
  <c r="G39" i="203"/>
  <c r="H39" i="203"/>
  <c r="H996" i="184" s="1"/>
  <c r="I39" i="203"/>
  <c r="J39" i="203"/>
  <c r="J996" i="184" s="1"/>
  <c r="K39" i="203"/>
  <c r="L39" i="203"/>
  <c r="D40" i="203"/>
  <c r="E40" i="203"/>
  <c r="F40" i="203"/>
  <c r="G40" i="203"/>
  <c r="G1033" i="184" s="1"/>
  <c r="H40" i="203"/>
  <c r="H1033" i="184" s="1"/>
  <c r="I40" i="203"/>
  <c r="J40" i="203"/>
  <c r="K40" i="203"/>
  <c r="L40" i="203"/>
  <c r="D41" i="203"/>
  <c r="E41" i="203"/>
  <c r="F41" i="203"/>
  <c r="F1070" i="184" s="1"/>
  <c r="G41" i="203"/>
  <c r="H41" i="203"/>
  <c r="I41" i="203"/>
  <c r="J41" i="203"/>
  <c r="K41" i="203"/>
  <c r="L41" i="203"/>
  <c r="D36" i="203"/>
  <c r="E36" i="203"/>
  <c r="F36" i="203"/>
  <c r="G36" i="203"/>
  <c r="H36" i="203"/>
  <c r="I36" i="203"/>
  <c r="J36" i="203"/>
  <c r="K36" i="203"/>
  <c r="L36" i="203"/>
  <c r="D37" i="87"/>
  <c r="E37" i="87"/>
  <c r="F37" i="87"/>
  <c r="G37" i="87"/>
  <c r="H37" i="87"/>
  <c r="I37" i="87"/>
  <c r="J37" i="87"/>
  <c r="K37" i="87"/>
  <c r="L37" i="87"/>
  <c r="L915" i="184" s="1"/>
  <c r="D38" i="87"/>
  <c r="E38" i="87"/>
  <c r="F38" i="87"/>
  <c r="G38" i="87"/>
  <c r="H38" i="87"/>
  <c r="I38" i="87"/>
  <c r="J38" i="87"/>
  <c r="K38" i="87"/>
  <c r="L38" i="87"/>
  <c r="D39" i="87"/>
  <c r="E39" i="87"/>
  <c r="F39" i="87"/>
  <c r="G39" i="87"/>
  <c r="G989" i="184" s="1"/>
  <c r="H39" i="87"/>
  <c r="I39" i="87"/>
  <c r="J39" i="87"/>
  <c r="K39" i="87"/>
  <c r="L39" i="87"/>
  <c r="D40" i="87"/>
  <c r="E40" i="87"/>
  <c r="E1026" i="184" s="1"/>
  <c r="F40" i="87"/>
  <c r="G40" i="87"/>
  <c r="H40" i="87"/>
  <c r="I40" i="87"/>
  <c r="I1026" i="184" s="1"/>
  <c r="J40" i="87"/>
  <c r="K40" i="87"/>
  <c r="L40" i="87"/>
  <c r="D41" i="87"/>
  <c r="E41" i="87"/>
  <c r="F41" i="87"/>
  <c r="G41" i="87"/>
  <c r="H41" i="87"/>
  <c r="H1063" i="184"/>
  <c r="I41" i="87"/>
  <c r="J41" i="87"/>
  <c r="K41" i="87"/>
  <c r="L41" i="87"/>
  <c r="L1084" i="184"/>
  <c r="D37" i="97"/>
  <c r="E37" i="97"/>
  <c r="F37" i="97"/>
  <c r="G37" i="97"/>
  <c r="H37" i="97"/>
  <c r="I37" i="97"/>
  <c r="J37" i="97"/>
  <c r="K37" i="97"/>
  <c r="L37" i="97"/>
  <c r="D38" i="97"/>
  <c r="E38" i="97"/>
  <c r="F38" i="97"/>
  <c r="G38" i="97"/>
  <c r="G954" i="184"/>
  <c r="H38" i="97"/>
  <c r="I38" i="97"/>
  <c r="J38" i="97"/>
  <c r="K38" i="97"/>
  <c r="L38" i="97"/>
  <c r="D39" i="97"/>
  <c r="E39" i="97"/>
  <c r="F39" i="97"/>
  <c r="G39" i="97"/>
  <c r="H39" i="97"/>
  <c r="I39" i="97"/>
  <c r="J39" i="97"/>
  <c r="K39" i="97"/>
  <c r="L39" i="97"/>
  <c r="D40" i="97"/>
  <c r="E40" i="97"/>
  <c r="F40" i="97"/>
  <c r="G40" i="97"/>
  <c r="H40" i="97"/>
  <c r="I40" i="97"/>
  <c r="J40" i="97"/>
  <c r="K40" i="97"/>
  <c r="L40" i="97"/>
  <c r="D41" i="97"/>
  <c r="E41" i="97"/>
  <c r="F41" i="97"/>
  <c r="G41" i="97"/>
  <c r="H41" i="97"/>
  <c r="I41" i="97"/>
  <c r="I1065" i="184" s="1"/>
  <c r="J41" i="97"/>
  <c r="K41" i="97"/>
  <c r="L41" i="97"/>
  <c r="D36" i="97"/>
  <c r="E36" i="97"/>
  <c r="F36" i="97"/>
  <c r="G36" i="97"/>
  <c r="H36" i="97"/>
  <c r="I36" i="97"/>
  <c r="J36" i="97"/>
  <c r="K36" i="97"/>
  <c r="L36" i="97"/>
  <c r="D37" i="102"/>
  <c r="E37" i="102"/>
  <c r="F37" i="102"/>
  <c r="G37" i="102"/>
  <c r="H37" i="102"/>
  <c r="I37" i="102"/>
  <c r="J37" i="102"/>
  <c r="K37" i="102"/>
  <c r="L37" i="102"/>
  <c r="D38" i="102"/>
  <c r="E38" i="102"/>
  <c r="F38" i="102"/>
  <c r="G38" i="102"/>
  <c r="H38" i="102"/>
  <c r="I38" i="102"/>
  <c r="J38" i="102"/>
  <c r="J960" i="184"/>
  <c r="K38" i="102"/>
  <c r="L38" i="102"/>
  <c r="D39" i="102"/>
  <c r="E39" i="102"/>
  <c r="F39" i="102"/>
  <c r="G39" i="102"/>
  <c r="H39" i="102"/>
  <c r="I39" i="102"/>
  <c r="I997" i="184"/>
  <c r="J39" i="102"/>
  <c r="K39" i="102"/>
  <c r="L39" i="102"/>
  <c r="D40" i="102"/>
  <c r="E40" i="102"/>
  <c r="F40" i="102"/>
  <c r="G40" i="102"/>
  <c r="H40" i="102"/>
  <c r="H1034" i="184" s="1"/>
  <c r="I40" i="102"/>
  <c r="J40" i="102"/>
  <c r="K40" i="102"/>
  <c r="L40" i="102"/>
  <c r="D41" i="102"/>
  <c r="E41" i="102"/>
  <c r="F41" i="102"/>
  <c r="F1071" i="184" s="1"/>
  <c r="G41" i="102"/>
  <c r="H41" i="102"/>
  <c r="I41" i="102"/>
  <c r="J41" i="102"/>
  <c r="K41" i="102"/>
  <c r="L41" i="102"/>
  <c r="D36" i="102"/>
  <c r="E36" i="102"/>
  <c r="F36" i="102"/>
  <c r="G36" i="102"/>
  <c r="H36" i="102"/>
  <c r="I36" i="102"/>
  <c r="J36" i="102"/>
  <c r="K36" i="102"/>
  <c r="L36" i="102"/>
  <c r="D37" i="107"/>
  <c r="E37" i="107"/>
  <c r="E930" i="184" s="1"/>
  <c r="F37" i="107"/>
  <c r="G37" i="107"/>
  <c r="H37" i="107"/>
  <c r="I37" i="107"/>
  <c r="J37" i="107"/>
  <c r="K37" i="107"/>
  <c r="L37" i="107"/>
  <c r="D38" i="107"/>
  <c r="E38" i="107"/>
  <c r="F38" i="107"/>
  <c r="G38" i="107"/>
  <c r="H38" i="107"/>
  <c r="I38" i="107"/>
  <c r="J38" i="107"/>
  <c r="J967" i="184"/>
  <c r="K38" i="107"/>
  <c r="L38" i="107"/>
  <c r="D39" i="107"/>
  <c r="E39" i="107"/>
  <c r="F39" i="107"/>
  <c r="G39" i="107"/>
  <c r="H39" i="107"/>
  <c r="I39" i="107"/>
  <c r="I1004" i="184" s="1"/>
  <c r="J39" i="107"/>
  <c r="K39" i="107"/>
  <c r="K1004" i="184" s="1"/>
  <c r="L39" i="107"/>
  <c r="D40" i="107"/>
  <c r="E40" i="107"/>
  <c r="F40" i="107"/>
  <c r="G40" i="107"/>
  <c r="H40" i="107"/>
  <c r="I40" i="107"/>
  <c r="J40" i="107"/>
  <c r="K40" i="107"/>
  <c r="L40" i="107"/>
  <c r="D41" i="107"/>
  <c r="E41" i="107"/>
  <c r="F41" i="107"/>
  <c r="G41" i="107"/>
  <c r="H41" i="107"/>
  <c r="I41" i="107"/>
  <c r="I1078" i="184" s="1"/>
  <c r="J41" i="107"/>
  <c r="K41" i="107"/>
  <c r="L41" i="107"/>
  <c r="D36" i="107"/>
  <c r="E36" i="107"/>
  <c r="F36" i="107"/>
  <c r="G36" i="107"/>
  <c r="H36" i="107"/>
  <c r="I36" i="107"/>
  <c r="J36" i="107"/>
  <c r="K36" i="107"/>
  <c r="L36" i="107"/>
  <c r="D37" i="112"/>
  <c r="E37" i="112"/>
  <c r="F37" i="112"/>
  <c r="G37" i="112"/>
  <c r="H37" i="112"/>
  <c r="I37" i="112"/>
  <c r="J37" i="112"/>
  <c r="K37" i="112"/>
  <c r="L37" i="112"/>
  <c r="D38" i="112"/>
  <c r="E38" i="112"/>
  <c r="F38" i="112"/>
  <c r="G38" i="112"/>
  <c r="H38" i="112"/>
  <c r="I38" i="112"/>
  <c r="J38" i="112"/>
  <c r="K38" i="112"/>
  <c r="L38" i="112"/>
  <c r="D39" i="112"/>
  <c r="E39" i="112"/>
  <c r="F39" i="112"/>
  <c r="G39" i="112"/>
  <c r="H39" i="112"/>
  <c r="I39" i="112"/>
  <c r="J39" i="112"/>
  <c r="K39" i="112"/>
  <c r="K1005" i="184" s="1"/>
  <c r="L39" i="112"/>
  <c r="D40" i="112"/>
  <c r="E40" i="112"/>
  <c r="F40" i="112"/>
  <c r="G40" i="112"/>
  <c r="H40" i="112"/>
  <c r="I40" i="112"/>
  <c r="J40" i="112"/>
  <c r="K40" i="112"/>
  <c r="L40" i="112"/>
  <c r="L1042" i="184" s="1"/>
  <c r="D41" i="112"/>
  <c r="E41" i="112"/>
  <c r="F41" i="112"/>
  <c r="G41" i="112"/>
  <c r="H41" i="112"/>
  <c r="I41" i="112"/>
  <c r="J41" i="112"/>
  <c r="K41" i="112"/>
  <c r="L41" i="112"/>
  <c r="D36" i="112"/>
  <c r="E36" i="112"/>
  <c r="F36" i="112"/>
  <c r="G36" i="112"/>
  <c r="H36" i="112"/>
  <c r="I36" i="112"/>
  <c r="J36" i="112"/>
  <c r="K36" i="112"/>
  <c r="L36" i="112"/>
  <c r="D37" i="117"/>
  <c r="E37" i="117"/>
  <c r="F37" i="117"/>
  <c r="G37" i="117"/>
  <c r="H37" i="117"/>
  <c r="I37" i="117"/>
  <c r="J37" i="117"/>
  <c r="K37" i="117"/>
  <c r="L37" i="117"/>
  <c r="D38" i="117"/>
  <c r="E38" i="117"/>
  <c r="F38" i="117"/>
  <c r="G38" i="117"/>
  <c r="H38" i="117"/>
  <c r="I38" i="117"/>
  <c r="J38" i="117"/>
  <c r="K38" i="117"/>
  <c r="L38" i="117"/>
  <c r="D39" i="117"/>
  <c r="E39" i="117"/>
  <c r="F39" i="117"/>
  <c r="G39" i="117"/>
  <c r="G1006" i="184"/>
  <c r="H39" i="117"/>
  <c r="I39" i="117"/>
  <c r="J39" i="117"/>
  <c r="K39" i="117"/>
  <c r="L39" i="117"/>
  <c r="L1006" i="184"/>
  <c r="D40" i="117"/>
  <c r="E40" i="117"/>
  <c r="F40" i="117"/>
  <c r="F1043" i="184"/>
  <c r="G40" i="117"/>
  <c r="H40" i="117"/>
  <c r="I40" i="117"/>
  <c r="J40" i="117"/>
  <c r="K40" i="117"/>
  <c r="L40" i="117"/>
  <c r="D41" i="117"/>
  <c r="E41" i="117"/>
  <c r="E1080" i="184" s="1"/>
  <c r="F41" i="117"/>
  <c r="G41" i="117"/>
  <c r="H41" i="117"/>
  <c r="I41" i="117"/>
  <c r="J41" i="117"/>
  <c r="K41" i="117"/>
  <c r="L41" i="117"/>
  <c r="D36" i="117"/>
  <c r="E36" i="117"/>
  <c r="F36" i="117"/>
  <c r="G36" i="117"/>
  <c r="H36" i="117"/>
  <c r="I36" i="117"/>
  <c r="J36" i="117"/>
  <c r="K36" i="117"/>
  <c r="L36" i="117"/>
  <c r="L895" i="184" s="1"/>
  <c r="D37" i="122"/>
  <c r="E37" i="122"/>
  <c r="F37" i="122"/>
  <c r="G37" i="122"/>
  <c r="H37" i="122"/>
  <c r="I37" i="122"/>
  <c r="J37" i="122"/>
  <c r="K37" i="122"/>
  <c r="K933" i="184"/>
  <c r="L37" i="122"/>
  <c r="D38" i="122"/>
  <c r="E38" i="122"/>
  <c r="F38" i="122"/>
  <c r="G38" i="122"/>
  <c r="H38" i="122"/>
  <c r="I38" i="122"/>
  <c r="J38" i="122"/>
  <c r="J970" i="184" s="1"/>
  <c r="K38" i="122"/>
  <c r="L38" i="122"/>
  <c r="D39" i="122"/>
  <c r="E39" i="122"/>
  <c r="F39" i="122"/>
  <c r="G39" i="122"/>
  <c r="H39" i="122"/>
  <c r="I39" i="122"/>
  <c r="J39" i="122"/>
  <c r="K39" i="122"/>
  <c r="L39" i="122"/>
  <c r="D40" i="122"/>
  <c r="E40" i="122"/>
  <c r="F40" i="122"/>
  <c r="G40" i="122"/>
  <c r="H40" i="122"/>
  <c r="H1044" i="184" s="1"/>
  <c r="I40" i="122"/>
  <c r="J40" i="122"/>
  <c r="K40" i="122"/>
  <c r="L40" i="122"/>
  <c r="D41" i="122"/>
  <c r="E41" i="122"/>
  <c r="F41" i="122"/>
  <c r="G41" i="122"/>
  <c r="G1081" i="184" s="1"/>
  <c r="H41" i="122"/>
  <c r="I41" i="122"/>
  <c r="J41" i="122"/>
  <c r="K41" i="122"/>
  <c r="L41" i="122"/>
  <c r="D36" i="122"/>
  <c r="E36" i="122"/>
  <c r="F36" i="122"/>
  <c r="G36" i="122"/>
  <c r="H36" i="122"/>
  <c r="I36" i="122"/>
  <c r="J36" i="122"/>
  <c r="K36" i="122"/>
  <c r="L36" i="122"/>
  <c r="D37" i="132"/>
  <c r="E37" i="132"/>
  <c r="E913" i="184" s="1"/>
  <c r="F37" i="132"/>
  <c r="F913" i="184" s="1"/>
  <c r="G37" i="132"/>
  <c r="H37" i="132"/>
  <c r="I37" i="132"/>
  <c r="J37" i="132"/>
  <c r="J913" i="184"/>
  <c r="K37" i="132"/>
  <c r="L37" i="132"/>
  <c r="D38" i="132"/>
  <c r="D950" i="184" s="1"/>
  <c r="E38" i="132"/>
  <c r="F38" i="132"/>
  <c r="G38" i="132"/>
  <c r="H38" i="132"/>
  <c r="H950" i="184" s="1"/>
  <c r="I38" i="132"/>
  <c r="J38" i="132"/>
  <c r="K38" i="132"/>
  <c r="K950" i="184" s="1"/>
  <c r="L38" i="132"/>
  <c r="L950" i="184" s="1"/>
  <c r="D39" i="132"/>
  <c r="E39" i="132"/>
  <c r="F39" i="132"/>
  <c r="F987" i="184" s="1"/>
  <c r="G39" i="132"/>
  <c r="H39" i="132"/>
  <c r="I39" i="132"/>
  <c r="I987" i="184" s="1"/>
  <c r="J39" i="132"/>
  <c r="K39" i="132"/>
  <c r="L39" i="132"/>
  <c r="D40" i="132"/>
  <c r="E40" i="132"/>
  <c r="F40" i="132"/>
  <c r="G40" i="132"/>
  <c r="G1024" i="184" s="1"/>
  <c r="H40" i="132"/>
  <c r="I40" i="132"/>
  <c r="I1024" i="184" s="1"/>
  <c r="J40" i="132"/>
  <c r="K40" i="132"/>
  <c r="L40" i="132"/>
  <c r="L1024" i="184"/>
  <c r="D41" i="132"/>
  <c r="E41" i="132"/>
  <c r="E1061" i="184" s="1"/>
  <c r="F41" i="132"/>
  <c r="G41" i="132"/>
  <c r="H41" i="132"/>
  <c r="I41" i="132"/>
  <c r="I1061" i="184"/>
  <c r="J41" i="132"/>
  <c r="J1061" i="184" s="1"/>
  <c r="K41" i="132"/>
  <c r="L41" i="132"/>
  <c r="D36" i="132"/>
  <c r="E36" i="132"/>
  <c r="F36" i="132"/>
  <c r="F876" i="184"/>
  <c r="G36" i="132"/>
  <c r="H36" i="132"/>
  <c r="I36" i="132"/>
  <c r="J36" i="132"/>
  <c r="J876" i="184" s="1"/>
  <c r="K36" i="132"/>
  <c r="L36" i="132"/>
  <c r="D37" i="137"/>
  <c r="E37" i="137"/>
  <c r="F37" i="137"/>
  <c r="G37" i="137"/>
  <c r="H37" i="137"/>
  <c r="I37" i="137"/>
  <c r="J37" i="137"/>
  <c r="K37" i="137"/>
  <c r="L37" i="137"/>
  <c r="D38" i="137"/>
  <c r="E38" i="137"/>
  <c r="F38" i="137"/>
  <c r="G38" i="137"/>
  <c r="H38" i="137"/>
  <c r="I38" i="137"/>
  <c r="J38" i="137"/>
  <c r="K38" i="137"/>
  <c r="K965" i="184" s="1"/>
  <c r="L38" i="137"/>
  <c r="D39" i="137"/>
  <c r="E39" i="137"/>
  <c r="F39" i="137"/>
  <c r="G39" i="137"/>
  <c r="H39" i="137"/>
  <c r="I39" i="137"/>
  <c r="J39" i="137"/>
  <c r="K39" i="137"/>
  <c r="L39" i="137"/>
  <c r="D40" i="137"/>
  <c r="E40" i="137"/>
  <c r="F40" i="137"/>
  <c r="G40" i="137"/>
  <c r="H40" i="137"/>
  <c r="I40" i="137"/>
  <c r="J40" i="137"/>
  <c r="K40" i="137"/>
  <c r="L40" i="137"/>
  <c r="D41" i="137"/>
  <c r="E41" i="137"/>
  <c r="E1076" i="184" s="1"/>
  <c r="F41" i="137"/>
  <c r="G41" i="137"/>
  <c r="H41" i="137"/>
  <c r="I41" i="137"/>
  <c r="J41" i="137"/>
  <c r="K41" i="137"/>
  <c r="L41" i="137"/>
  <c r="D36" i="137"/>
  <c r="E36" i="137"/>
  <c r="F36" i="137"/>
  <c r="G36" i="137"/>
  <c r="H36" i="137"/>
  <c r="I36" i="137"/>
  <c r="J36" i="137"/>
  <c r="J891" i="184" s="1"/>
  <c r="K36" i="137"/>
  <c r="L36" i="137"/>
  <c r="D37" i="142"/>
  <c r="E37" i="142"/>
  <c r="F37" i="142"/>
  <c r="G37" i="142"/>
  <c r="G914" i="184" s="1"/>
  <c r="H37" i="142"/>
  <c r="I37" i="142"/>
  <c r="J37" i="142"/>
  <c r="K37" i="142"/>
  <c r="L37" i="142"/>
  <c r="D38" i="142"/>
  <c r="E38" i="142"/>
  <c r="F38" i="142"/>
  <c r="G38" i="142"/>
  <c r="H38" i="142"/>
  <c r="I38" i="142"/>
  <c r="J38" i="142"/>
  <c r="K38" i="142"/>
  <c r="L38" i="142"/>
  <c r="D39" i="142"/>
  <c r="E39" i="142"/>
  <c r="E988" i="184"/>
  <c r="F39" i="142"/>
  <c r="G39" i="142"/>
  <c r="H39" i="142"/>
  <c r="I39" i="142"/>
  <c r="J39" i="142"/>
  <c r="K39" i="142"/>
  <c r="L39" i="142"/>
  <c r="D40" i="142"/>
  <c r="D1025" i="184" s="1"/>
  <c r="E40" i="142"/>
  <c r="F40" i="142"/>
  <c r="G40" i="142"/>
  <c r="H40" i="142"/>
  <c r="I40" i="142"/>
  <c r="J40" i="142"/>
  <c r="K40" i="142"/>
  <c r="L40" i="142"/>
  <c r="L1025" i="184" s="1"/>
  <c r="D41" i="142"/>
  <c r="E41" i="142"/>
  <c r="F41" i="142"/>
  <c r="G41" i="142"/>
  <c r="H41" i="142"/>
  <c r="I41" i="142"/>
  <c r="J41" i="142"/>
  <c r="K41" i="142"/>
  <c r="K1062" i="184" s="1"/>
  <c r="L41" i="142"/>
  <c r="D36" i="142"/>
  <c r="E36" i="142"/>
  <c r="F36" i="142"/>
  <c r="G36" i="142"/>
  <c r="H36" i="142"/>
  <c r="I36" i="142"/>
  <c r="J36" i="142"/>
  <c r="K36" i="142"/>
  <c r="L36" i="142"/>
  <c r="D37" i="147"/>
  <c r="E37" i="147"/>
  <c r="F37" i="147"/>
  <c r="G37" i="147"/>
  <c r="H37" i="147"/>
  <c r="I37" i="147"/>
  <c r="I926" i="184"/>
  <c r="J37" i="147"/>
  <c r="K37" i="147"/>
  <c r="L37" i="147"/>
  <c r="D38" i="147"/>
  <c r="E38" i="147"/>
  <c r="F38" i="147"/>
  <c r="G38" i="147"/>
  <c r="H38" i="147"/>
  <c r="H963" i="184" s="1"/>
  <c r="I38" i="147"/>
  <c r="J38" i="147"/>
  <c r="K38" i="147"/>
  <c r="L38" i="147"/>
  <c r="D39" i="147"/>
  <c r="E39" i="147"/>
  <c r="F39" i="147"/>
  <c r="G39" i="147"/>
  <c r="H39" i="147"/>
  <c r="I39" i="147"/>
  <c r="J39" i="147"/>
  <c r="K39" i="147"/>
  <c r="L39" i="147"/>
  <c r="D40" i="147"/>
  <c r="E40" i="147"/>
  <c r="F40" i="147"/>
  <c r="G40" i="147"/>
  <c r="H40" i="147"/>
  <c r="I40" i="147"/>
  <c r="J40" i="147"/>
  <c r="K40" i="147"/>
  <c r="L40" i="147"/>
  <c r="D41" i="147"/>
  <c r="E41" i="147"/>
  <c r="E1074" i="184" s="1"/>
  <c r="F41" i="147"/>
  <c r="G41" i="147"/>
  <c r="H41" i="147"/>
  <c r="I41" i="147"/>
  <c r="J41" i="147"/>
  <c r="K41" i="147"/>
  <c r="L41" i="147"/>
  <c r="D37" i="152"/>
  <c r="E37" i="152"/>
  <c r="F37" i="152"/>
  <c r="G37" i="152"/>
  <c r="H37" i="152"/>
  <c r="I37" i="152"/>
  <c r="I902" i="184" s="1"/>
  <c r="J37" i="152"/>
  <c r="K37" i="152"/>
  <c r="L37" i="152"/>
  <c r="D38" i="152"/>
  <c r="E38" i="152"/>
  <c r="F38" i="152"/>
  <c r="G38" i="152"/>
  <c r="G939" i="184" s="1"/>
  <c r="H38" i="152"/>
  <c r="I38" i="152"/>
  <c r="J38" i="152"/>
  <c r="K38" i="152"/>
  <c r="L38" i="152"/>
  <c r="D39" i="152"/>
  <c r="E39" i="152"/>
  <c r="E976" i="184" s="1"/>
  <c r="F39" i="152"/>
  <c r="G39" i="152"/>
  <c r="H39" i="152"/>
  <c r="I39" i="152"/>
  <c r="J39" i="152"/>
  <c r="K39" i="152"/>
  <c r="L39" i="152"/>
  <c r="D40" i="152"/>
  <c r="E40" i="152"/>
  <c r="F40" i="152"/>
  <c r="G40" i="152"/>
  <c r="H40" i="152"/>
  <c r="I40" i="152"/>
  <c r="J40" i="152"/>
  <c r="K40" i="152"/>
  <c r="K1013" i="184" s="1"/>
  <c r="L40" i="152"/>
  <c r="D41" i="152"/>
  <c r="E41" i="152"/>
  <c r="F41" i="152"/>
  <c r="G41" i="152"/>
  <c r="H41" i="152"/>
  <c r="I41" i="152"/>
  <c r="J41" i="152"/>
  <c r="K41" i="152"/>
  <c r="L41" i="152"/>
  <c r="D37" i="157"/>
  <c r="E37" i="157"/>
  <c r="F37" i="157"/>
  <c r="G37" i="157"/>
  <c r="H37" i="157"/>
  <c r="I37" i="157"/>
  <c r="I934" i="184" s="1"/>
  <c r="J37" i="157"/>
  <c r="K37" i="157"/>
  <c r="L37" i="157"/>
  <c r="D38" i="157"/>
  <c r="D971" i="184" s="1"/>
  <c r="E38" i="157"/>
  <c r="F38" i="157"/>
  <c r="G38" i="157"/>
  <c r="H38" i="157"/>
  <c r="H971" i="184" s="1"/>
  <c r="I38" i="157"/>
  <c r="J38" i="157"/>
  <c r="K38" i="157"/>
  <c r="L38" i="157"/>
  <c r="L971" i="184"/>
  <c r="D39" i="157"/>
  <c r="E39" i="157"/>
  <c r="E1008" i="184" s="1"/>
  <c r="F39" i="157"/>
  <c r="F1008" i="184"/>
  <c r="G39" i="157"/>
  <c r="G1008" i="184" s="1"/>
  <c r="H39" i="157"/>
  <c r="I39" i="157"/>
  <c r="J39" i="157"/>
  <c r="K39" i="157"/>
  <c r="K1008" i="184" s="1"/>
  <c r="L39" i="157"/>
  <c r="D40" i="157"/>
  <c r="E40" i="157"/>
  <c r="F40" i="157"/>
  <c r="F1045" i="184" s="1"/>
  <c r="G40" i="157"/>
  <c r="H40" i="157"/>
  <c r="I40" i="157"/>
  <c r="J40" i="157"/>
  <c r="K40" i="157"/>
  <c r="L40" i="157"/>
  <c r="L1045" i="184" s="1"/>
  <c r="D41" i="157"/>
  <c r="D1082" i="184" s="1"/>
  <c r="E41" i="157"/>
  <c r="E1082" i="184"/>
  <c r="F41" i="157"/>
  <c r="G41" i="157"/>
  <c r="G1082" i="184" s="1"/>
  <c r="H41" i="157"/>
  <c r="I41" i="157"/>
  <c r="J41" i="157"/>
  <c r="K41" i="157"/>
  <c r="K1082" i="184" s="1"/>
  <c r="L41" i="157"/>
  <c r="L1082" i="184"/>
  <c r="D36" i="157"/>
  <c r="E36" i="157"/>
  <c r="F36" i="157"/>
  <c r="G36" i="157"/>
  <c r="H36" i="157"/>
  <c r="I36" i="157"/>
  <c r="J36" i="157"/>
  <c r="J897" i="184"/>
  <c r="K36" i="157"/>
  <c r="L36" i="157"/>
  <c r="D37" i="195"/>
  <c r="E37" i="195"/>
  <c r="F37" i="195"/>
  <c r="G37" i="195"/>
  <c r="H37" i="195"/>
  <c r="I37" i="195"/>
  <c r="I935" i="184" s="1"/>
  <c r="J37" i="195"/>
  <c r="K37" i="195"/>
  <c r="L37" i="195"/>
  <c r="D38" i="195"/>
  <c r="E38" i="195"/>
  <c r="F38" i="195"/>
  <c r="G38" i="195"/>
  <c r="H38" i="195"/>
  <c r="H972" i="184" s="1"/>
  <c r="I38" i="195"/>
  <c r="J38" i="195"/>
  <c r="K38" i="195"/>
  <c r="L38" i="195"/>
  <c r="D39" i="195"/>
  <c r="E39" i="195"/>
  <c r="F39" i="195"/>
  <c r="G39" i="195"/>
  <c r="G1009" i="184" s="1"/>
  <c r="H39" i="195"/>
  <c r="I39" i="195"/>
  <c r="J39" i="195"/>
  <c r="K39" i="195"/>
  <c r="L39" i="195"/>
  <c r="D40" i="195"/>
  <c r="E40" i="195"/>
  <c r="F40" i="195"/>
  <c r="G40" i="195"/>
  <c r="H40" i="195"/>
  <c r="I40" i="195"/>
  <c r="J40" i="195"/>
  <c r="K40" i="195"/>
  <c r="L40" i="195"/>
  <c r="D41" i="195"/>
  <c r="E41" i="195"/>
  <c r="E1083" i="184" s="1"/>
  <c r="F41" i="195"/>
  <c r="G41" i="195"/>
  <c r="H41" i="195"/>
  <c r="I41" i="195"/>
  <c r="J41" i="195"/>
  <c r="K41" i="195"/>
  <c r="L41" i="195"/>
  <c r="L1083" i="184" s="1"/>
  <c r="D37" i="162"/>
  <c r="E37" i="162"/>
  <c r="F37" i="162"/>
  <c r="G37" i="162"/>
  <c r="H37" i="162"/>
  <c r="I37" i="162"/>
  <c r="J37" i="162"/>
  <c r="K37" i="162"/>
  <c r="L37" i="162"/>
  <c r="D38" i="162"/>
  <c r="E38" i="162"/>
  <c r="F38" i="162"/>
  <c r="G38" i="162"/>
  <c r="H38" i="162"/>
  <c r="H945" i="184" s="1"/>
  <c r="I38" i="162"/>
  <c r="J38" i="162"/>
  <c r="K38" i="162"/>
  <c r="L38" i="162"/>
  <c r="D39" i="162"/>
  <c r="E39" i="162"/>
  <c r="F39" i="162"/>
  <c r="F982" i="184" s="1"/>
  <c r="G39" i="162"/>
  <c r="H39" i="162"/>
  <c r="I39" i="162"/>
  <c r="J39" i="162"/>
  <c r="K39" i="162"/>
  <c r="L39" i="162"/>
  <c r="D40" i="162"/>
  <c r="E40" i="162"/>
  <c r="F40" i="162"/>
  <c r="G40" i="162"/>
  <c r="H40" i="162"/>
  <c r="I40" i="162"/>
  <c r="J40" i="162"/>
  <c r="K40" i="162"/>
  <c r="L40" i="162"/>
  <c r="D41" i="162"/>
  <c r="E41" i="162"/>
  <c r="F41" i="162"/>
  <c r="G41" i="162"/>
  <c r="H41" i="162"/>
  <c r="I41" i="162"/>
  <c r="J41" i="162"/>
  <c r="K41" i="162"/>
  <c r="L41" i="162"/>
  <c r="D36" i="162"/>
  <c r="E36" i="162"/>
  <c r="F36" i="162"/>
  <c r="G36" i="162"/>
  <c r="G871" i="184" s="1"/>
  <c r="H36" i="162"/>
  <c r="I36" i="162"/>
  <c r="J36" i="162"/>
  <c r="K36" i="162"/>
  <c r="L36" i="162"/>
  <c r="D37" i="167"/>
  <c r="E37" i="167"/>
  <c r="F37" i="167"/>
  <c r="G37" i="167"/>
  <c r="G912" i="184" s="1"/>
  <c r="H37" i="167"/>
  <c r="I37" i="167"/>
  <c r="J37" i="167"/>
  <c r="K37" i="167"/>
  <c r="L37" i="167"/>
  <c r="D38" i="167"/>
  <c r="E38" i="167"/>
  <c r="F38" i="167"/>
  <c r="F949" i="184" s="1"/>
  <c r="G38" i="167"/>
  <c r="H38" i="167"/>
  <c r="I38" i="167"/>
  <c r="J38" i="167"/>
  <c r="K38" i="167"/>
  <c r="L38" i="167"/>
  <c r="D39" i="167"/>
  <c r="E39" i="167"/>
  <c r="F39" i="167"/>
  <c r="G39" i="167"/>
  <c r="H39" i="167"/>
  <c r="I39" i="167"/>
  <c r="J39" i="167"/>
  <c r="K39" i="167"/>
  <c r="L39" i="167"/>
  <c r="D40" i="167"/>
  <c r="E40" i="167"/>
  <c r="F40" i="167"/>
  <c r="G40" i="167"/>
  <c r="H40" i="167"/>
  <c r="I40" i="167"/>
  <c r="J40" i="167"/>
  <c r="K40" i="167"/>
  <c r="L40" i="167"/>
  <c r="L1023" i="184" s="1"/>
  <c r="D41" i="167"/>
  <c r="E41" i="167"/>
  <c r="F41" i="167"/>
  <c r="G41" i="167"/>
  <c r="H41" i="167"/>
  <c r="I41" i="167"/>
  <c r="J41" i="167"/>
  <c r="K41" i="167"/>
  <c r="K1060" i="184" s="1"/>
  <c r="L41" i="167"/>
  <c r="D37" i="172"/>
  <c r="E37" i="172"/>
  <c r="F37" i="172"/>
  <c r="G37" i="172"/>
  <c r="H37" i="172"/>
  <c r="I37" i="172"/>
  <c r="J37" i="172"/>
  <c r="K37" i="172"/>
  <c r="L37" i="172"/>
  <c r="L925" i="184" s="1"/>
  <c r="D38" i="172"/>
  <c r="E38" i="172"/>
  <c r="F38" i="172"/>
  <c r="G38" i="172"/>
  <c r="H38" i="172"/>
  <c r="H962" i="184"/>
  <c r="I38" i="172"/>
  <c r="J38" i="172"/>
  <c r="J962" i="184" s="1"/>
  <c r="K38" i="172"/>
  <c r="L38" i="172"/>
  <c r="D39" i="172"/>
  <c r="E39" i="172"/>
  <c r="F39" i="172"/>
  <c r="G39" i="172"/>
  <c r="G999" i="184" s="1"/>
  <c r="H39" i="172"/>
  <c r="I39" i="172"/>
  <c r="J39" i="172"/>
  <c r="K39" i="172"/>
  <c r="L39" i="172"/>
  <c r="D40" i="172"/>
  <c r="E40" i="172"/>
  <c r="F40" i="172"/>
  <c r="G40" i="172"/>
  <c r="H40" i="172"/>
  <c r="I40" i="172"/>
  <c r="J40" i="172"/>
  <c r="K40" i="172"/>
  <c r="L40" i="172"/>
  <c r="D41" i="172"/>
  <c r="E41" i="172"/>
  <c r="F41" i="172"/>
  <c r="G41" i="172"/>
  <c r="H41" i="172"/>
  <c r="I41" i="172"/>
  <c r="J41" i="172"/>
  <c r="K41" i="172"/>
  <c r="L41" i="172"/>
  <c r="L1073" i="184"/>
  <c r="D36" i="172"/>
  <c r="E36" i="172"/>
  <c r="F36" i="172"/>
  <c r="G36" i="172"/>
  <c r="H36" i="172"/>
  <c r="I36" i="172"/>
  <c r="I888" i="184" s="1"/>
  <c r="J36" i="172"/>
  <c r="K36" i="172"/>
  <c r="L36" i="172"/>
  <c r="D37" i="177"/>
  <c r="E37" i="177"/>
  <c r="F37" i="177"/>
  <c r="G37" i="177"/>
  <c r="G927" i="184" s="1"/>
  <c r="H37" i="177"/>
  <c r="I37" i="177"/>
  <c r="I927" i="184"/>
  <c r="J37" i="177"/>
  <c r="K37" i="177"/>
  <c r="K927" i="184" s="1"/>
  <c r="L37" i="177"/>
  <c r="D38" i="177"/>
  <c r="E38" i="177"/>
  <c r="F38" i="177"/>
  <c r="F964" i="184" s="1"/>
  <c r="G38" i="177"/>
  <c r="G964" i="184" s="1"/>
  <c r="H38" i="177"/>
  <c r="H964" i="184" s="1"/>
  <c r="I38" i="177"/>
  <c r="I964" i="184" s="1"/>
  <c r="J38" i="177"/>
  <c r="J964" i="184" s="1"/>
  <c r="K38" i="177"/>
  <c r="L38" i="177"/>
  <c r="L964" i="184" s="1"/>
  <c r="D39" i="177"/>
  <c r="E39" i="177"/>
  <c r="E1001" i="184" s="1"/>
  <c r="F39" i="177"/>
  <c r="F1001" i="184" s="1"/>
  <c r="G39" i="177"/>
  <c r="H39" i="177"/>
  <c r="H1001" i="184" s="1"/>
  <c r="I39" i="177"/>
  <c r="I1001" i="184"/>
  <c r="J39" i="177"/>
  <c r="K39" i="177"/>
  <c r="L39" i="177"/>
  <c r="D40" i="177"/>
  <c r="D1038" i="184"/>
  <c r="E40" i="177"/>
  <c r="E1038" i="184" s="1"/>
  <c r="F40" i="177"/>
  <c r="G40" i="177"/>
  <c r="G1038" i="184" s="1"/>
  <c r="H40" i="177"/>
  <c r="I40" i="177"/>
  <c r="I1038" i="184" s="1"/>
  <c r="J40" i="177"/>
  <c r="K40" i="177"/>
  <c r="L40" i="177"/>
  <c r="D41" i="177"/>
  <c r="E41" i="177"/>
  <c r="F41" i="177"/>
  <c r="G41" i="177"/>
  <c r="G1075" i="184"/>
  <c r="H41" i="177"/>
  <c r="I41" i="177"/>
  <c r="J41" i="177"/>
  <c r="K41" i="177"/>
  <c r="K1075" i="184" s="1"/>
  <c r="L41" i="177"/>
  <c r="L1075" i="184" s="1"/>
  <c r="D36" i="177"/>
  <c r="E36" i="177"/>
  <c r="E890" i="184" s="1"/>
  <c r="F36" i="177"/>
  <c r="F890" i="184" s="1"/>
  <c r="G36" i="177"/>
  <c r="H36" i="177"/>
  <c r="I36" i="177"/>
  <c r="J36" i="177"/>
  <c r="J890" i="184" s="1"/>
  <c r="K36" i="177"/>
  <c r="L36" i="177"/>
  <c r="L890" i="184" s="1"/>
  <c r="D24" i="13"/>
  <c r="E24" i="13"/>
  <c r="F24" i="13"/>
  <c r="G24" i="13"/>
  <c r="H24" i="13"/>
  <c r="I24" i="13"/>
  <c r="J24" i="13"/>
  <c r="K24" i="13"/>
  <c r="L24" i="13"/>
  <c r="D25" i="13"/>
  <c r="E25" i="13"/>
  <c r="F25" i="13"/>
  <c r="G25" i="13"/>
  <c r="H25" i="13"/>
  <c r="I25" i="13"/>
  <c r="J25" i="13"/>
  <c r="K25" i="13"/>
  <c r="L25" i="13"/>
  <c r="D26" i="13"/>
  <c r="E26" i="13"/>
  <c r="F26" i="13"/>
  <c r="G26" i="13"/>
  <c r="H26" i="13"/>
  <c r="H530" i="184" s="1"/>
  <c r="I26" i="13"/>
  <c r="J26" i="13"/>
  <c r="K26" i="13"/>
  <c r="L26" i="13"/>
  <c r="D27" i="13"/>
  <c r="E27" i="13"/>
  <c r="E567" i="184" s="1"/>
  <c r="F27" i="13"/>
  <c r="G27" i="13"/>
  <c r="G567" i="184"/>
  <c r="H27" i="13"/>
  <c r="I27" i="13"/>
  <c r="J27" i="13"/>
  <c r="K27" i="13"/>
  <c r="L27" i="13"/>
  <c r="D28" i="13"/>
  <c r="E28" i="13"/>
  <c r="F28" i="13"/>
  <c r="F604" i="184" s="1"/>
  <c r="G28" i="13"/>
  <c r="H28" i="13"/>
  <c r="I28" i="13"/>
  <c r="J28" i="13"/>
  <c r="K28" i="13"/>
  <c r="K604" i="184" s="1"/>
  <c r="L28" i="13"/>
  <c r="D23" i="13"/>
  <c r="E23" i="13"/>
  <c r="E419" i="184" s="1"/>
  <c r="F23" i="13"/>
  <c r="G23" i="13"/>
  <c r="H23" i="13"/>
  <c r="I23" i="13"/>
  <c r="J23" i="13"/>
  <c r="K23" i="13"/>
  <c r="L23" i="13"/>
  <c r="D24" i="16"/>
  <c r="E24" i="16"/>
  <c r="F24" i="16"/>
  <c r="G24" i="16"/>
  <c r="H24" i="16"/>
  <c r="I24" i="16"/>
  <c r="J24" i="16"/>
  <c r="K24" i="16"/>
  <c r="K458" i="184" s="1"/>
  <c r="L24" i="16"/>
  <c r="D25" i="16"/>
  <c r="E25" i="16"/>
  <c r="F25" i="16"/>
  <c r="G25" i="16"/>
  <c r="H25" i="16"/>
  <c r="I25" i="16"/>
  <c r="J25" i="16"/>
  <c r="J495" i="184" s="1"/>
  <c r="K25" i="16"/>
  <c r="L25" i="16"/>
  <c r="D26" i="16"/>
  <c r="D532" i="184" s="1"/>
  <c r="E26" i="16"/>
  <c r="F26" i="16"/>
  <c r="G26" i="16"/>
  <c r="H26" i="16"/>
  <c r="I26" i="16"/>
  <c r="I532" i="184"/>
  <c r="J26" i="16"/>
  <c r="K26" i="16"/>
  <c r="L26" i="16"/>
  <c r="D27" i="16"/>
  <c r="E27" i="16"/>
  <c r="F27" i="16"/>
  <c r="G27" i="16"/>
  <c r="H27" i="16"/>
  <c r="H569" i="184" s="1"/>
  <c r="I27" i="16"/>
  <c r="J27" i="16"/>
  <c r="J569" i="184"/>
  <c r="K27" i="16"/>
  <c r="L27" i="16"/>
  <c r="D28" i="16"/>
  <c r="E28" i="16"/>
  <c r="F28" i="16"/>
  <c r="G28" i="16"/>
  <c r="G606" i="184" s="1"/>
  <c r="H28" i="16"/>
  <c r="I28" i="16"/>
  <c r="J28" i="16"/>
  <c r="K28" i="16"/>
  <c r="L28" i="16"/>
  <c r="D24" i="21"/>
  <c r="E24" i="21"/>
  <c r="E460" i="184" s="1"/>
  <c r="F24" i="21"/>
  <c r="G24" i="21"/>
  <c r="H24" i="21"/>
  <c r="I24" i="21"/>
  <c r="J24" i="21"/>
  <c r="J460" i="184" s="1"/>
  <c r="K24" i="21"/>
  <c r="L24" i="21"/>
  <c r="D25" i="21"/>
  <c r="E25" i="21"/>
  <c r="F25" i="21"/>
  <c r="G25" i="21"/>
  <c r="H25" i="21"/>
  <c r="I25" i="21"/>
  <c r="J25" i="21"/>
  <c r="K25" i="21"/>
  <c r="K497" i="184"/>
  <c r="L25" i="21"/>
  <c r="D26" i="21"/>
  <c r="E26" i="21"/>
  <c r="F26" i="21"/>
  <c r="G26" i="21"/>
  <c r="H26" i="21"/>
  <c r="H534" i="184" s="1"/>
  <c r="I26" i="21"/>
  <c r="J26" i="21"/>
  <c r="J534" i="184" s="1"/>
  <c r="K26" i="21"/>
  <c r="L26" i="21"/>
  <c r="D27" i="21"/>
  <c r="E27" i="21"/>
  <c r="E571" i="184" s="1"/>
  <c r="F27" i="21"/>
  <c r="G27" i="21"/>
  <c r="G571" i="184"/>
  <c r="H27" i="21"/>
  <c r="I27" i="21"/>
  <c r="J27" i="21"/>
  <c r="K27" i="21"/>
  <c r="L27" i="21"/>
  <c r="L571" i="184"/>
  <c r="D28" i="21"/>
  <c r="D608" i="184" s="1"/>
  <c r="E28" i="21"/>
  <c r="F28" i="21"/>
  <c r="G28" i="21"/>
  <c r="H28" i="21"/>
  <c r="I28" i="21"/>
  <c r="J28" i="21"/>
  <c r="K28" i="21"/>
  <c r="L28" i="21"/>
  <c r="D23" i="21"/>
  <c r="E23" i="21"/>
  <c r="F23" i="21"/>
  <c r="G23" i="21"/>
  <c r="H23" i="21"/>
  <c r="I23" i="21"/>
  <c r="J23" i="21"/>
  <c r="K23" i="21"/>
  <c r="K423" i="184"/>
  <c r="L23" i="21"/>
  <c r="D24" i="26"/>
  <c r="E24" i="26"/>
  <c r="F24" i="26"/>
  <c r="G24" i="26"/>
  <c r="H24" i="26"/>
  <c r="I24" i="26"/>
  <c r="J24" i="26"/>
  <c r="K24" i="26"/>
  <c r="L24" i="26"/>
  <c r="D25" i="26"/>
  <c r="E25" i="26"/>
  <c r="F25" i="26"/>
  <c r="G25" i="26"/>
  <c r="H25" i="26"/>
  <c r="I25" i="26"/>
  <c r="J25" i="26"/>
  <c r="K25" i="26"/>
  <c r="K498" i="184" s="1"/>
  <c r="L25" i="26"/>
  <c r="D26" i="26"/>
  <c r="E26" i="26"/>
  <c r="F26" i="26"/>
  <c r="G26" i="26"/>
  <c r="H26" i="26"/>
  <c r="I26" i="26"/>
  <c r="J26" i="26"/>
  <c r="J535" i="184" s="1"/>
  <c r="K26" i="26"/>
  <c r="L26" i="26"/>
  <c r="D27" i="26"/>
  <c r="E27" i="26"/>
  <c r="F27" i="26"/>
  <c r="G27" i="26"/>
  <c r="H27" i="26"/>
  <c r="I27" i="26"/>
  <c r="I23" i="26"/>
  <c r="I28" i="26"/>
  <c r="J27" i="26"/>
  <c r="K27" i="26"/>
  <c r="L27" i="26"/>
  <c r="D28" i="26"/>
  <c r="E28" i="26"/>
  <c r="F28" i="26"/>
  <c r="G28" i="26"/>
  <c r="H28" i="26"/>
  <c r="H609" i="184" s="1"/>
  <c r="J28" i="26"/>
  <c r="K28" i="26"/>
  <c r="L28" i="26"/>
  <c r="D23" i="26"/>
  <c r="E23" i="26"/>
  <c r="F23" i="26"/>
  <c r="G23" i="26"/>
  <c r="G424" i="184" s="1"/>
  <c r="H23" i="26"/>
  <c r="J23" i="26"/>
  <c r="K23" i="26"/>
  <c r="L23" i="26"/>
  <c r="D24" i="36"/>
  <c r="D459" i="184"/>
  <c r="E24" i="36"/>
  <c r="F24" i="36"/>
  <c r="F459" i="184"/>
  <c r="G24" i="36"/>
  <c r="H24" i="36"/>
  <c r="I24" i="36"/>
  <c r="J24" i="36"/>
  <c r="K24" i="36"/>
  <c r="L24" i="36"/>
  <c r="L459" i="184" s="1"/>
  <c r="D25" i="36"/>
  <c r="E25" i="36"/>
  <c r="F25" i="36"/>
  <c r="G25" i="36"/>
  <c r="G496" i="184" s="1"/>
  <c r="H25" i="36"/>
  <c r="H496" i="184"/>
  <c r="I25" i="36"/>
  <c r="J25" i="36"/>
  <c r="K25" i="36"/>
  <c r="K496" i="184" s="1"/>
  <c r="L25" i="36"/>
  <c r="D26" i="36"/>
  <c r="D533" i="184"/>
  <c r="E26" i="36"/>
  <c r="F26" i="36"/>
  <c r="G26" i="36"/>
  <c r="H26" i="36"/>
  <c r="I26" i="36"/>
  <c r="J26" i="36"/>
  <c r="K26" i="36"/>
  <c r="L26" i="36"/>
  <c r="L533" i="184"/>
  <c r="D27" i="36"/>
  <c r="E27" i="36"/>
  <c r="F27" i="36"/>
  <c r="G27" i="36"/>
  <c r="H27" i="36"/>
  <c r="I27" i="36"/>
  <c r="I570" i="184"/>
  <c r="J27" i="36"/>
  <c r="K27" i="36"/>
  <c r="K570" i="184" s="1"/>
  <c r="L27" i="36"/>
  <c r="L570" i="184" s="1"/>
  <c r="D28" i="36"/>
  <c r="E28" i="36"/>
  <c r="F28" i="36"/>
  <c r="G28" i="36"/>
  <c r="H28" i="36"/>
  <c r="H607" i="184" s="1"/>
  <c r="I28" i="36"/>
  <c r="J28" i="36"/>
  <c r="K28" i="36"/>
  <c r="L28" i="36"/>
  <c r="D23" i="36"/>
  <c r="E23" i="36"/>
  <c r="F23" i="36"/>
  <c r="G23" i="36"/>
  <c r="H23" i="36"/>
  <c r="I23" i="36"/>
  <c r="I422" i="184" s="1"/>
  <c r="J23" i="36"/>
  <c r="K23" i="36"/>
  <c r="L23" i="36"/>
  <c r="D24" i="42"/>
  <c r="E24" i="42"/>
  <c r="F24" i="42"/>
  <c r="G24" i="42"/>
  <c r="H24" i="42"/>
  <c r="I24" i="42"/>
  <c r="J24" i="42"/>
  <c r="K24" i="42"/>
  <c r="L24" i="42"/>
  <c r="D25" i="42"/>
  <c r="E25" i="42"/>
  <c r="F25" i="42"/>
  <c r="G25" i="42"/>
  <c r="H25" i="42"/>
  <c r="I25" i="42"/>
  <c r="J25" i="42"/>
  <c r="K25" i="42"/>
  <c r="L25" i="42"/>
  <c r="L501" i="184" s="1"/>
  <c r="D26" i="42"/>
  <c r="E26" i="42"/>
  <c r="F26" i="42"/>
  <c r="G26" i="42"/>
  <c r="H26" i="42"/>
  <c r="I26" i="42"/>
  <c r="J26" i="42"/>
  <c r="K26" i="42"/>
  <c r="L26" i="42"/>
  <c r="D27" i="42"/>
  <c r="E27" i="42"/>
  <c r="F27" i="42"/>
  <c r="G27" i="42"/>
  <c r="H27" i="42"/>
  <c r="I27" i="42"/>
  <c r="J27" i="42"/>
  <c r="K27" i="42"/>
  <c r="L27" i="42"/>
  <c r="D28" i="42"/>
  <c r="E28" i="42"/>
  <c r="E612" i="184" s="1"/>
  <c r="F28" i="42"/>
  <c r="F612" i="184"/>
  <c r="G28" i="42"/>
  <c r="H28" i="42"/>
  <c r="I28" i="42"/>
  <c r="J28" i="42"/>
  <c r="K28" i="42"/>
  <c r="L28" i="42"/>
  <c r="D23" i="42"/>
  <c r="E23" i="42"/>
  <c r="F23" i="42"/>
  <c r="G23" i="42"/>
  <c r="H23" i="42"/>
  <c r="I23" i="42"/>
  <c r="J23" i="42"/>
  <c r="K23" i="42"/>
  <c r="K427" i="184" s="1"/>
  <c r="L23" i="42"/>
  <c r="D24" i="47"/>
  <c r="E24" i="47"/>
  <c r="F24" i="47"/>
  <c r="G24" i="47"/>
  <c r="H24" i="47"/>
  <c r="I24" i="47"/>
  <c r="J24" i="47"/>
  <c r="K24" i="47"/>
  <c r="L24" i="47"/>
  <c r="D25" i="47"/>
  <c r="E25" i="47"/>
  <c r="F25" i="47"/>
  <c r="G25" i="47"/>
  <c r="H25" i="47"/>
  <c r="I25" i="47"/>
  <c r="I503" i="184" s="1"/>
  <c r="J25" i="47"/>
  <c r="K25" i="47"/>
  <c r="L25" i="47"/>
  <c r="D26" i="47"/>
  <c r="E26" i="47"/>
  <c r="F26" i="47"/>
  <c r="G26" i="47"/>
  <c r="H26" i="47"/>
  <c r="H23" i="47"/>
  <c r="H27" i="47"/>
  <c r="H28" i="47"/>
  <c r="I26" i="47"/>
  <c r="J26" i="47"/>
  <c r="K26" i="47"/>
  <c r="L26" i="47"/>
  <c r="D27" i="47"/>
  <c r="D577" i="184" s="1"/>
  <c r="E27" i="47"/>
  <c r="F27" i="47"/>
  <c r="G27" i="47"/>
  <c r="G577" i="184" s="1"/>
  <c r="I27" i="47"/>
  <c r="J27" i="47"/>
  <c r="K27" i="47"/>
  <c r="L27" i="47"/>
  <c r="L577" i="184" s="1"/>
  <c r="D28" i="47"/>
  <c r="E28" i="47"/>
  <c r="F28" i="47"/>
  <c r="F614" i="184" s="1"/>
  <c r="G28" i="47"/>
  <c r="I28" i="47"/>
  <c r="J28" i="47"/>
  <c r="K28" i="47"/>
  <c r="K614" i="184"/>
  <c r="L28" i="47"/>
  <c r="D23" i="47"/>
  <c r="E23" i="47"/>
  <c r="E429" i="184" s="1"/>
  <c r="F23" i="47"/>
  <c r="G23" i="47"/>
  <c r="I23" i="47"/>
  <c r="J23" i="47"/>
  <c r="K23" i="47"/>
  <c r="L23" i="47"/>
  <c r="D24" i="52"/>
  <c r="D484" i="184" s="1"/>
  <c r="E24" i="52"/>
  <c r="F24" i="52"/>
  <c r="G24" i="52"/>
  <c r="H24" i="52"/>
  <c r="I24" i="52"/>
  <c r="J24" i="52"/>
  <c r="K24" i="52"/>
  <c r="L24" i="52"/>
  <c r="D25" i="52"/>
  <c r="E25" i="52"/>
  <c r="F25" i="52"/>
  <c r="G25" i="52"/>
  <c r="H25" i="52"/>
  <c r="I25" i="52"/>
  <c r="J25" i="52"/>
  <c r="K25" i="52"/>
  <c r="L25" i="52"/>
  <c r="D26" i="52"/>
  <c r="E26" i="52"/>
  <c r="F26" i="52"/>
  <c r="G26" i="52"/>
  <c r="H26" i="52"/>
  <c r="H558" i="184"/>
  <c r="I26" i="52"/>
  <c r="J26" i="52"/>
  <c r="J558" i="184" s="1"/>
  <c r="K26" i="52"/>
  <c r="L26" i="52"/>
  <c r="D27" i="52"/>
  <c r="E27" i="52"/>
  <c r="F27" i="52"/>
  <c r="G27" i="52"/>
  <c r="H27" i="52"/>
  <c r="I27" i="52"/>
  <c r="I595" i="184"/>
  <c r="J27" i="52"/>
  <c r="K27" i="52"/>
  <c r="L27" i="52"/>
  <c r="D28" i="52"/>
  <c r="E28" i="52"/>
  <c r="E632" i="184" s="1"/>
  <c r="F28" i="52"/>
  <c r="G28" i="52"/>
  <c r="H28" i="52"/>
  <c r="I28" i="52"/>
  <c r="J28" i="52"/>
  <c r="K28" i="52"/>
  <c r="L28" i="52"/>
  <c r="D23" i="52"/>
  <c r="E23" i="52"/>
  <c r="F23" i="52"/>
  <c r="G23" i="52"/>
  <c r="H23" i="52"/>
  <c r="I23" i="52"/>
  <c r="J23" i="52"/>
  <c r="K23" i="52"/>
  <c r="K447" i="184"/>
  <c r="L23" i="52"/>
  <c r="D24" i="57"/>
  <c r="D471" i="184"/>
  <c r="E24" i="57"/>
  <c r="F24" i="57"/>
  <c r="G24" i="57"/>
  <c r="G471" i="184" s="1"/>
  <c r="H24" i="57"/>
  <c r="I24" i="57"/>
  <c r="J24" i="57"/>
  <c r="J471" i="184" s="1"/>
  <c r="K24" i="57"/>
  <c r="L24" i="57"/>
  <c r="D25" i="57"/>
  <c r="E25" i="57"/>
  <c r="F25" i="57"/>
  <c r="F508" i="184" s="1"/>
  <c r="G25" i="57"/>
  <c r="H25" i="57"/>
  <c r="I25" i="57"/>
  <c r="J25" i="57"/>
  <c r="K25" i="57"/>
  <c r="K508" i="184" s="1"/>
  <c r="L25" i="57"/>
  <c r="D26" i="57"/>
  <c r="E26" i="57"/>
  <c r="F26" i="57"/>
  <c r="G26" i="57"/>
  <c r="G545" i="184" s="1"/>
  <c r="H26" i="57"/>
  <c r="I26" i="57"/>
  <c r="J26" i="57"/>
  <c r="K26" i="57"/>
  <c r="L26" i="57"/>
  <c r="D27" i="57"/>
  <c r="D582" i="184"/>
  <c r="E27" i="57"/>
  <c r="F27" i="57"/>
  <c r="G27" i="57"/>
  <c r="H27" i="57"/>
  <c r="H582" i="184" s="1"/>
  <c r="I27" i="57"/>
  <c r="I582" i="184" s="1"/>
  <c r="J27" i="57"/>
  <c r="K27" i="57"/>
  <c r="L27" i="57"/>
  <c r="D28" i="57"/>
  <c r="E28" i="57"/>
  <c r="E619" i="184" s="1"/>
  <c r="F28" i="57"/>
  <c r="G28" i="57"/>
  <c r="G619" i="184" s="1"/>
  <c r="H28" i="57"/>
  <c r="I28" i="57"/>
  <c r="J28" i="57"/>
  <c r="K28" i="57"/>
  <c r="K619" i="184" s="1"/>
  <c r="L28" i="57"/>
  <c r="D23" i="57"/>
  <c r="E23" i="57"/>
  <c r="F23" i="57"/>
  <c r="G23" i="57"/>
  <c r="G434" i="184" s="1"/>
  <c r="H23" i="57"/>
  <c r="I23" i="57"/>
  <c r="J23" i="57"/>
  <c r="K23" i="57"/>
  <c r="L23" i="57"/>
  <c r="L434" i="184" s="1"/>
  <c r="D24" i="62"/>
  <c r="E24" i="62"/>
  <c r="F24" i="62"/>
  <c r="G24" i="62"/>
  <c r="H24" i="62"/>
  <c r="H475" i="184" s="1"/>
  <c r="I24" i="62"/>
  <c r="J24" i="62"/>
  <c r="K24" i="62"/>
  <c r="L24" i="62"/>
  <c r="D25" i="62"/>
  <c r="E25" i="62"/>
  <c r="F25" i="62"/>
  <c r="F512" i="184" s="1"/>
  <c r="G25" i="62"/>
  <c r="H25" i="62"/>
  <c r="I25" i="62"/>
  <c r="J25" i="62"/>
  <c r="K25" i="62"/>
  <c r="L25" i="62"/>
  <c r="D26" i="62"/>
  <c r="E26" i="62"/>
  <c r="F26" i="62"/>
  <c r="G26" i="62"/>
  <c r="H26" i="62"/>
  <c r="I26" i="62"/>
  <c r="J26" i="62"/>
  <c r="K26" i="62"/>
  <c r="L26" i="62"/>
  <c r="D27" i="62"/>
  <c r="E27" i="62"/>
  <c r="F27" i="62"/>
  <c r="G27" i="62"/>
  <c r="H27" i="62"/>
  <c r="I27" i="62"/>
  <c r="J27" i="62"/>
  <c r="K27" i="62"/>
  <c r="L27" i="62"/>
  <c r="D28" i="62"/>
  <c r="E28" i="62"/>
  <c r="F28" i="62"/>
  <c r="G28" i="62"/>
  <c r="H28" i="62"/>
  <c r="I28" i="62"/>
  <c r="J28" i="62"/>
  <c r="K28" i="62"/>
  <c r="L28" i="62"/>
  <c r="D23" i="62"/>
  <c r="E23" i="62"/>
  <c r="F23" i="62"/>
  <c r="G23" i="62"/>
  <c r="H23" i="62"/>
  <c r="I23" i="62"/>
  <c r="J23" i="62"/>
  <c r="K23" i="62"/>
  <c r="L23" i="62"/>
  <c r="D24" i="67"/>
  <c r="E24" i="67"/>
  <c r="E465" i="184"/>
  <c r="F24" i="67"/>
  <c r="G24" i="67"/>
  <c r="H24" i="67"/>
  <c r="I24" i="67"/>
  <c r="J24" i="67"/>
  <c r="K24" i="67"/>
  <c r="K465" i="184" s="1"/>
  <c r="L24" i="67"/>
  <c r="D25" i="67"/>
  <c r="E25" i="67"/>
  <c r="F25" i="67"/>
  <c r="G25" i="67"/>
  <c r="H25" i="67"/>
  <c r="I25" i="67"/>
  <c r="J25" i="67"/>
  <c r="J502" i="184" s="1"/>
  <c r="K25" i="67"/>
  <c r="L25" i="67"/>
  <c r="L502" i="184" s="1"/>
  <c r="D26" i="67"/>
  <c r="E26" i="67"/>
  <c r="F26" i="67"/>
  <c r="G26" i="67"/>
  <c r="H26" i="67"/>
  <c r="I26" i="67"/>
  <c r="J26" i="67"/>
  <c r="K26" i="67"/>
  <c r="K539" i="184" s="1"/>
  <c r="L26" i="67"/>
  <c r="D27" i="67"/>
  <c r="E27" i="67"/>
  <c r="F27" i="67"/>
  <c r="G27" i="67"/>
  <c r="H27" i="67"/>
  <c r="I27" i="67"/>
  <c r="J27" i="67"/>
  <c r="J576" i="184" s="1"/>
  <c r="K27" i="67"/>
  <c r="L27" i="67"/>
  <c r="L576" i="184"/>
  <c r="D28" i="67"/>
  <c r="E28" i="67"/>
  <c r="F28" i="67"/>
  <c r="G28" i="67"/>
  <c r="H28" i="67"/>
  <c r="I28" i="67"/>
  <c r="I613" i="184" s="1"/>
  <c r="J28" i="67"/>
  <c r="K28" i="67"/>
  <c r="L28" i="67"/>
  <c r="D23" i="67"/>
  <c r="E23" i="67"/>
  <c r="F23" i="67"/>
  <c r="G23" i="67"/>
  <c r="H23" i="67"/>
  <c r="I23" i="67"/>
  <c r="J23" i="67"/>
  <c r="K23" i="67"/>
  <c r="L23" i="67"/>
  <c r="D24" i="72"/>
  <c r="E24" i="72"/>
  <c r="E479" i="184" s="1"/>
  <c r="F24" i="72"/>
  <c r="G24" i="72"/>
  <c r="H24" i="72"/>
  <c r="I24" i="72"/>
  <c r="J24" i="72"/>
  <c r="K24" i="72"/>
  <c r="L24" i="72"/>
  <c r="D25" i="72"/>
  <c r="D516" i="184" s="1"/>
  <c r="E25" i="72"/>
  <c r="E516" i="184" s="1"/>
  <c r="F25" i="72"/>
  <c r="G25" i="72"/>
  <c r="H25" i="72"/>
  <c r="I25" i="72"/>
  <c r="J25" i="72"/>
  <c r="K25" i="72"/>
  <c r="L25" i="72"/>
  <c r="L516" i="184" s="1"/>
  <c r="D26" i="72"/>
  <c r="E26" i="72"/>
  <c r="F26" i="72"/>
  <c r="G26" i="72"/>
  <c r="H26" i="72"/>
  <c r="I26" i="72"/>
  <c r="J26" i="72"/>
  <c r="K26" i="72"/>
  <c r="K553" i="184"/>
  <c r="L26" i="72"/>
  <c r="D27" i="72"/>
  <c r="E27" i="72"/>
  <c r="F27" i="72"/>
  <c r="G27" i="72"/>
  <c r="H27" i="72"/>
  <c r="I27" i="72"/>
  <c r="I590" i="184"/>
  <c r="J27" i="72"/>
  <c r="K27" i="72"/>
  <c r="L27" i="72"/>
  <c r="D28" i="72"/>
  <c r="E28" i="72"/>
  <c r="F28" i="72"/>
  <c r="G28" i="72"/>
  <c r="G627" i="184"/>
  <c r="H28" i="72"/>
  <c r="H627" i="184"/>
  <c r="I28" i="72"/>
  <c r="J28" i="72"/>
  <c r="K28" i="72"/>
  <c r="L28" i="72"/>
  <c r="D23" i="72"/>
  <c r="E23" i="72"/>
  <c r="F23" i="72"/>
  <c r="G23" i="72"/>
  <c r="H23" i="72"/>
  <c r="H442" i="184" s="1"/>
  <c r="I23" i="72"/>
  <c r="J23" i="72"/>
  <c r="K23" i="72"/>
  <c r="L23" i="72"/>
  <c r="D24" i="78"/>
  <c r="E24" i="78"/>
  <c r="F24" i="78"/>
  <c r="G24" i="78"/>
  <c r="H24" i="78"/>
  <c r="I24" i="78"/>
  <c r="J24" i="78"/>
  <c r="K24" i="78"/>
  <c r="L24" i="78"/>
  <c r="D25" i="78"/>
  <c r="E25" i="78"/>
  <c r="F25" i="78"/>
  <c r="G25" i="78"/>
  <c r="G510" i="184"/>
  <c r="H25" i="78"/>
  <c r="I25" i="78"/>
  <c r="J25" i="78"/>
  <c r="K25" i="78"/>
  <c r="L25" i="78"/>
  <c r="D26" i="78"/>
  <c r="E26" i="78"/>
  <c r="F26" i="78"/>
  <c r="G26" i="78"/>
  <c r="H26" i="78"/>
  <c r="I26" i="78"/>
  <c r="J26" i="78"/>
  <c r="K26" i="78"/>
  <c r="L26" i="78"/>
  <c r="D27" i="78"/>
  <c r="E27" i="78"/>
  <c r="F27" i="78"/>
  <c r="G27" i="78"/>
  <c r="H27" i="78"/>
  <c r="I27" i="78"/>
  <c r="J27" i="78"/>
  <c r="K27" i="78"/>
  <c r="K584" i="184" s="1"/>
  <c r="L27" i="78"/>
  <c r="D28" i="78"/>
  <c r="E28" i="78"/>
  <c r="F28" i="78"/>
  <c r="G28" i="78"/>
  <c r="H28" i="78"/>
  <c r="I28" i="78"/>
  <c r="J28" i="78"/>
  <c r="K28" i="78"/>
  <c r="L28" i="78"/>
  <c r="D23" i="78"/>
  <c r="E23" i="78"/>
  <c r="F23" i="78"/>
  <c r="G23" i="78"/>
  <c r="H23" i="78"/>
  <c r="H436" i="184" s="1"/>
  <c r="I23" i="78"/>
  <c r="J23" i="78"/>
  <c r="K23" i="78"/>
  <c r="L23" i="78"/>
  <c r="D24" i="82"/>
  <c r="E24" i="82"/>
  <c r="F24" i="82"/>
  <c r="G24" i="82"/>
  <c r="H24" i="82"/>
  <c r="I24" i="82"/>
  <c r="J24" i="82"/>
  <c r="K24" i="82"/>
  <c r="L24" i="82"/>
  <c r="D25" i="82"/>
  <c r="E25" i="82"/>
  <c r="F25" i="82"/>
  <c r="G25" i="82"/>
  <c r="H25" i="82"/>
  <c r="I25" i="82"/>
  <c r="J25" i="82"/>
  <c r="K25" i="82"/>
  <c r="L25" i="82"/>
  <c r="D26" i="82"/>
  <c r="E26" i="82"/>
  <c r="F26" i="82"/>
  <c r="G26" i="82"/>
  <c r="H26" i="82"/>
  <c r="I26" i="82"/>
  <c r="J26" i="82"/>
  <c r="K26" i="82"/>
  <c r="L26" i="82"/>
  <c r="D27" i="82"/>
  <c r="E27" i="82"/>
  <c r="F27" i="82"/>
  <c r="G27" i="82"/>
  <c r="H27" i="82"/>
  <c r="I27" i="82"/>
  <c r="J27" i="82"/>
  <c r="K27" i="82"/>
  <c r="L27" i="82"/>
  <c r="L587" i="184"/>
  <c r="D28" i="82"/>
  <c r="E28" i="82"/>
  <c r="F28" i="82"/>
  <c r="G28" i="82"/>
  <c r="H28" i="82"/>
  <c r="I28" i="82"/>
  <c r="J28" i="82"/>
  <c r="K28" i="82"/>
  <c r="L28" i="82"/>
  <c r="D23" i="82"/>
  <c r="E23" i="82"/>
  <c r="F23" i="82"/>
  <c r="G23" i="82"/>
  <c r="H23" i="82"/>
  <c r="I23" i="82"/>
  <c r="J23" i="82"/>
  <c r="K23" i="82"/>
  <c r="L23" i="82"/>
  <c r="D24" i="199"/>
  <c r="D474" i="184" s="1"/>
  <c r="E24" i="199"/>
  <c r="F24" i="199"/>
  <c r="G24" i="199"/>
  <c r="H24" i="199"/>
  <c r="I24" i="199"/>
  <c r="J24" i="199"/>
  <c r="K24" i="199"/>
  <c r="L24" i="199"/>
  <c r="D25" i="199"/>
  <c r="E25" i="199"/>
  <c r="F25" i="199"/>
  <c r="G25" i="199"/>
  <c r="H25" i="199"/>
  <c r="I25" i="199"/>
  <c r="J25" i="199"/>
  <c r="K25" i="199"/>
  <c r="K511" i="184" s="1"/>
  <c r="L25" i="199"/>
  <c r="D26" i="199"/>
  <c r="E26" i="199"/>
  <c r="F26" i="199"/>
  <c r="G26" i="199"/>
  <c r="H26" i="199"/>
  <c r="I26" i="199"/>
  <c r="J26" i="199"/>
  <c r="J548" i="184"/>
  <c r="K26" i="199"/>
  <c r="L26" i="199"/>
  <c r="D27" i="199"/>
  <c r="E27" i="199"/>
  <c r="F27" i="199"/>
  <c r="G27" i="199"/>
  <c r="H27" i="199"/>
  <c r="I27" i="199"/>
  <c r="I585" i="184" s="1"/>
  <c r="J27" i="199"/>
  <c r="K27" i="199"/>
  <c r="L27" i="199"/>
  <c r="L585" i="184"/>
  <c r="D28" i="199"/>
  <c r="E28" i="199"/>
  <c r="F28" i="199"/>
  <c r="G28" i="199"/>
  <c r="H28" i="199"/>
  <c r="H622" i="184"/>
  <c r="I28" i="199"/>
  <c r="J28" i="199"/>
  <c r="K28" i="199"/>
  <c r="L28" i="199"/>
  <c r="D23" i="199"/>
  <c r="E23" i="199"/>
  <c r="F23" i="199"/>
  <c r="G23" i="199"/>
  <c r="G437" i="184"/>
  <c r="H23" i="199"/>
  <c r="I23" i="199"/>
  <c r="J23" i="199"/>
  <c r="K23" i="199"/>
  <c r="L23" i="199"/>
  <c r="D24" i="203"/>
  <c r="E24" i="203"/>
  <c r="F24" i="203"/>
  <c r="F477" i="184"/>
  <c r="G24" i="203"/>
  <c r="H24" i="203"/>
  <c r="I24" i="203"/>
  <c r="J24" i="203"/>
  <c r="K24" i="203"/>
  <c r="L24" i="203"/>
  <c r="D25" i="203"/>
  <c r="E25" i="203"/>
  <c r="F25" i="203"/>
  <c r="G25" i="203"/>
  <c r="H25" i="203"/>
  <c r="I25" i="203"/>
  <c r="J25" i="203"/>
  <c r="K25" i="203"/>
  <c r="L25" i="203"/>
  <c r="D26" i="203"/>
  <c r="D551" i="184" s="1"/>
  <c r="E26" i="203"/>
  <c r="F26" i="203"/>
  <c r="G26" i="203"/>
  <c r="H26" i="203"/>
  <c r="I26" i="203"/>
  <c r="J26" i="203"/>
  <c r="K26" i="203"/>
  <c r="L26" i="203"/>
  <c r="L551" i="184" s="1"/>
  <c r="D27" i="203"/>
  <c r="E27" i="203"/>
  <c r="F27" i="203"/>
  <c r="G27" i="203"/>
  <c r="H27" i="203"/>
  <c r="I27" i="203"/>
  <c r="J27" i="203"/>
  <c r="K27" i="203"/>
  <c r="L27" i="203"/>
  <c r="D28" i="203"/>
  <c r="E28" i="203"/>
  <c r="E625" i="184" s="1"/>
  <c r="F28" i="203"/>
  <c r="G28" i="203"/>
  <c r="H28" i="203"/>
  <c r="I28" i="203"/>
  <c r="J28" i="203"/>
  <c r="J625" i="184" s="1"/>
  <c r="K28" i="203"/>
  <c r="L28" i="203"/>
  <c r="D23" i="203"/>
  <c r="E23" i="203"/>
  <c r="F23" i="203"/>
  <c r="G23" i="203"/>
  <c r="H23" i="203"/>
  <c r="I23" i="203"/>
  <c r="J23" i="203"/>
  <c r="K23" i="203"/>
  <c r="L23" i="203"/>
  <c r="D24" i="87"/>
  <c r="E24" i="87"/>
  <c r="F24" i="87"/>
  <c r="G24" i="87"/>
  <c r="H24" i="87"/>
  <c r="I24" i="87"/>
  <c r="J24" i="87"/>
  <c r="K24" i="87"/>
  <c r="L24" i="87"/>
  <c r="D25" i="87"/>
  <c r="D507" i="184" s="1"/>
  <c r="E25" i="87"/>
  <c r="F25" i="87"/>
  <c r="G25" i="87"/>
  <c r="H25" i="87"/>
  <c r="I25" i="87"/>
  <c r="J25" i="87"/>
  <c r="K25" i="87"/>
  <c r="L25" i="87"/>
  <c r="D26" i="87"/>
  <c r="E26" i="87"/>
  <c r="F26" i="87"/>
  <c r="F544" i="184" s="1"/>
  <c r="G26" i="87"/>
  <c r="H26" i="87"/>
  <c r="I26" i="87"/>
  <c r="J26" i="87"/>
  <c r="K26" i="87"/>
  <c r="L26" i="87"/>
  <c r="D27" i="87"/>
  <c r="E27" i="87"/>
  <c r="F27" i="87"/>
  <c r="G27" i="87"/>
  <c r="H27" i="87"/>
  <c r="I27" i="87"/>
  <c r="J27" i="87"/>
  <c r="K27" i="87"/>
  <c r="L27" i="87"/>
  <c r="D28" i="87"/>
  <c r="E28" i="87"/>
  <c r="F28" i="87"/>
  <c r="G28" i="87"/>
  <c r="H28" i="87"/>
  <c r="I28" i="87"/>
  <c r="J28" i="87"/>
  <c r="K28" i="87"/>
  <c r="K618" i="184" s="1"/>
  <c r="L28" i="87"/>
  <c r="D23" i="87"/>
  <c r="E23" i="87"/>
  <c r="F23" i="87"/>
  <c r="G23" i="87"/>
  <c r="H23" i="87"/>
  <c r="I23" i="87"/>
  <c r="J23" i="87"/>
  <c r="K23" i="87"/>
  <c r="L23" i="87"/>
  <c r="I491" i="184"/>
  <c r="E602" i="184"/>
  <c r="L27" i="92"/>
  <c r="E639" i="184"/>
  <c r="D24" i="97"/>
  <c r="E24" i="97"/>
  <c r="F24" i="97"/>
  <c r="G24" i="97"/>
  <c r="H24" i="97"/>
  <c r="I24" i="97"/>
  <c r="J24" i="97"/>
  <c r="K24" i="97"/>
  <c r="L24" i="97"/>
  <c r="D25" i="97"/>
  <c r="E25" i="97"/>
  <c r="F25" i="97"/>
  <c r="G25" i="97"/>
  <c r="H25" i="97"/>
  <c r="I25" i="97"/>
  <c r="J25" i="97"/>
  <c r="K25" i="97"/>
  <c r="L25" i="97"/>
  <c r="D26" i="97"/>
  <c r="E26" i="97"/>
  <c r="F26" i="97"/>
  <c r="G26" i="97"/>
  <c r="H26" i="97"/>
  <c r="I26" i="97"/>
  <c r="J26" i="97"/>
  <c r="K26" i="97"/>
  <c r="L26" i="97"/>
  <c r="D27" i="97"/>
  <c r="E27" i="97"/>
  <c r="F27" i="97"/>
  <c r="G27" i="97"/>
  <c r="H27" i="97"/>
  <c r="I27" i="97"/>
  <c r="J27" i="97"/>
  <c r="K27" i="97"/>
  <c r="L27" i="97"/>
  <c r="L583" i="184"/>
  <c r="D28" i="97"/>
  <c r="E28" i="97"/>
  <c r="F28" i="97"/>
  <c r="G28" i="97"/>
  <c r="H28" i="97"/>
  <c r="I28" i="97"/>
  <c r="J28" i="97"/>
  <c r="K28" i="97"/>
  <c r="L28" i="97"/>
  <c r="D23" i="97"/>
  <c r="E23" i="97"/>
  <c r="F23" i="97"/>
  <c r="G23" i="97"/>
  <c r="H23" i="97"/>
  <c r="I23" i="97"/>
  <c r="J23" i="97"/>
  <c r="K23" i="97"/>
  <c r="L23" i="97"/>
  <c r="D24" i="102"/>
  <c r="E24" i="102"/>
  <c r="E478" i="184" s="1"/>
  <c r="F24" i="102"/>
  <c r="G24" i="102"/>
  <c r="H24" i="102"/>
  <c r="I24" i="102"/>
  <c r="J24" i="102"/>
  <c r="K24" i="102"/>
  <c r="L24" i="102"/>
  <c r="D25" i="102"/>
  <c r="D515" i="184" s="1"/>
  <c r="E25" i="102"/>
  <c r="F25" i="102"/>
  <c r="G25" i="102"/>
  <c r="H25" i="102"/>
  <c r="I25" i="102"/>
  <c r="J25" i="102"/>
  <c r="K25" i="102"/>
  <c r="L25" i="102"/>
  <c r="L515" i="184" s="1"/>
  <c r="D26" i="102"/>
  <c r="E26" i="102"/>
  <c r="F26" i="102"/>
  <c r="G26" i="102"/>
  <c r="H26" i="102"/>
  <c r="I26" i="102"/>
  <c r="J26" i="102"/>
  <c r="K26" i="102"/>
  <c r="K552" i="184" s="1"/>
  <c r="L26" i="102"/>
  <c r="D27" i="102"/>
  <c r="E27" i="102"/>
  <c r="F27" i="102"/>
  <c r="G27" i="102"/>
  <c r="H27" i="102"/>
  <c r="I27" i="102"/>
  <c r="J27" i="102"/>
  <c r="J589" i="184" s="1"/>
  <c r="K27" i="102"/>
  <c r="L27" i="102"/>
  <c r="D28" i="102"/>
  <c r="D626" i="184" s="1"/>
  <c r="E28" i="102"/>
  <c r="F28" i="102"/>
  <c r="G28" i="102"/>
  <c r="H28" i="102"/>
  <c r="I28" i="102"/>
  <c r="I626" i="184"/>
  <c r="J28" i="102"/>
  <c r="K28" i="102"/>
  <c r="L28" i="102"/>
  <c r="D23" i="102"/>
  <c r="E23" i="102"/>
  <c r="F23" i="102"/>
  <c r="G23" i="102"/>
  <c r="H23" i="102"/>
  <c r="I23" i="102"/>
  <c r="J23" i="102"/>
  <c r="K23" i="102"/>
  <c r="L23" i="102"/>
  <c r="D24" i="107"/>
  <c r="E24" i="107"/>
  <c r="F24" i="107"/>
  <c r="G24" i="107"/>
  <c r="H24" i="107"/>
  <c r="I24" i="107"/>
  <c r="I485" i="184" s="1"/>
  <c r="J24" i="107"/>
  <c r="K24" i="107"/>
  <c r="L24" i="107"/>
  <c r="D25" i="107"/>
  <c r="E25" i="107"/>
  <c r="F25" i="107"/>
  <c r="G25" i="107"/>
  <c r="G522" i="184" s="1"/>
  <c r="H25" i="107"/>
  <c r="H522" i="184" s="1"/>
  <c r="I25" i="107"/>
  <c r="J25" i="107"/>
  <c r="K25" i="107"/>
  <c r="L25" i="107"/>
  <c r="D26" i="107"/>
  <c r="E26" i="107"/>
  <c r="F26" i="107"/>
  <c r="G26" i="107"/>
  <c r="H26" i="107"/>
  <c r="I26" i="107"/>
  <c r="J26" i="107"/>
  <c r="K26" i="107"/>
  <c r="L26" i="107"/>
  <c r="D27" i="107"/>
  <c r="E27" i="107"/>
  <c r="E596" i="184" s="1"/>
  <c r="F27" i="107"/>
  <c r="F596" i="184" s="1"/>
  <c r="G27" i="107"/>
  <c r="H27" i="107"/>
  <c r="I27" i="107"/>
  <c r="J27" i="107"/>
  <c r="K27" i="107"/>
  <c r="L27" i="107"/>
  <c r="D28" i="107"/>
  <c r="D633" i="184" s="1"/>
  <c r="E28" i="107"/>
  <c r="F28" i="107"/>
  <c r="G28" i="107"/>
  <c r="H28" i="107"/>
  <c r="I28" i="107"/>
  <c r="J28" i="107"/>
  <c r="K28" i="107"/>
  <c r="L28" i="107"/>
  <c r="L633" i="184" s="1"/>
  <c r="D23" i="107"/>
  <c r="E23" i="107"/>
  <c r="F23" i="107"/>
  <c r="G23" i="107"/>
  <c r="H23" i="107"/>
  <c r="I23" i="107"/>
  <c r="J23" i="107"/>
  <c r="K23" i="107"/>
  <c r="K448" i="184" s="1"/>
  <c r="L23" i="107"/>
  <c r="L448" i="184" s="1"/>
  <c r="D24" i="112"/>
  <c r="E24" i="112"/>
  <c r="F24" i="112"/>
  <c r="G24" i="112"/>
  <c r="H24" i="112"/>
  <c r="I24" i="112"/>
  <c r="J24" i="112"/>
  <c r="K24" i="112"/>
  <c r="L24" i="112"/>
  <c r="D25" i="112"/>
  <c r="E25" i="112"/>
  <c r="F25" i="112"/>
  <c r="G25" i="112"/>
  <c r="H25" i="112"/>
  <c r="I25" i="112"/>
  <c r="J25" i="112"/>
  <c r="K25" i="112"/>
  <c r="L25" i="112"/>
  <c r="D26" i="112"/>
  <c r="E26" i="112"/>
  <c r="F26" i="112"/>
  <c r="G26" i="112"/>
  <c r="H26" i="112"/>
  <c r="I26" i="112"/>
  <c r="J26" i="112"/>
  <c r="K26" i="112"/>
  <c r="L26" i="112"/>
  <c r="D27" i="112"/>
  <c r="E27" i="112"/>
  <c r="F27" i="112"/>
  <c r="G27" i="112"/>
  <c r="H27" i="112"/>
  <c r="I27" i="112"/>
  <c r="J27" i="112"/>
  <c r="K27" i="112"/>
  <c r="L27" i="112"/>
  <c r="D28" i="112"/>
  <c r="E28" i="112"/>
  <c r="F28" i="112"/>
  <c r="G28" i="112"/>
  <c r="H28" i="112"/>
  <c r="I28" i="112"/>
  <c r="J28" i="112"/>
  <c r="K28" i="112"/>
  <c r="L28" i="112"/>
  <c r="D23" i="112"/>
  <c r="E23" i="112"/>
  <c r="F23" i="112"/>
  <c r="G23" i="112"/>
  <c r="H23" i="112"/>
  <c r="I23" i="112"/>
  <c r="J23" i="112"/>
  <c r="K23" i="112"/>
  <c r="L23" i="112"/>
  <c r="D24" i="117"/>
  <c r="E24" i="117"/>
  <c r="F24" i="117"/>
  <c r="G24" i="117"/>
  <c r="H24" i="117"/>
  <c r="I24" i="117"/>
  <c r="J24" i="117"/>
  <c r="K24" i="117"/>
  <c r="L24" i="117"/>
  <c r="L487" i="184" s="1"/>
  <c r="D25" i="117"/>
  <c r="E25" i="117"/>
  <c r="F25" i="117"/>
  <c r="G25" i="117"/>
  <c r="H25" i="117"/>
  <c r="I25" i="117"/>
  <c r="J25" i="117"/>
  <c r="K25" i="117"/>
  <c r="L25" i="117"/>
  <c r="D26" i="117"/>
  <c r="E26" i="117"/>
  <c r="F26" i="117"/>
  <c r="G26" i="117"/>
  <c r="H26" i="117"/>
  <c r="I26" i="117"/>
  <c r="J26" i="117"/>
  <c r="K26" i="117"/>
  <c r="L26" i="117"/>
  <c r="D27" i="117"/>
  <c r="E27" i="117"/>
  <c r="F27" i="117"/>
  <c r="G27" i="117"/>
  <c r="H27" i="117"/>
  <c r="I27" i="117"/>
  <c r="J27" i="117"/>
  <c r="K27" i="117"/>
  <c r="L27" i="117"/>
  <c r="D28" i="117"/>
  <c r="E28" i="117"/>
  <c r="F28" i="117"/>
  <c r="G28" i="117"/>
  <c r="H28" i="117"/>
  <c r="I28" i="117"/>
  <c r="J28" i="117"/>
  <c r="K28" i="117"/>
  <c r="L28" i="117"/>
  <c r="D23" i="117"/>
  <c r="E23" i="117"/>
  <c r="F23" i="117"/>
  <c r="G23" i="117"/>
  <c r="G450" i="184"/>
  <c r="H23" i="117"/>
  <c r="I23" i="117"/>
  <c r="J23" i="117"/>
  <c r="K23" i="117"/>
  <c r="L23" i="117"/>
  <c r="D24" i="122"/>
  <c r="E24" i="122"/>
  <c r="F24" i="122"/>
  <c r="G24" i="122"/>
  <c r="H24" i="122"/>
  <c r="I24" i="122"/>
  <c r="J24" i="122"/>
  <c r="K24" i="122"/>
  <c r="L24" i="122"/>
  <c r="D25" i="122"/>
  <c r="E25" i="122"/>
  <c r="E525" i="184" s="1"/>
  <c r="F25" i="122"/>
  <c r="G25" i="122"/>
  <c r="H25" i="122"/>
  <c r="I25" i="122"/>
  <c r="J25" i="122"/>
  <c r="K25" i="122"/>
  <c r="L25" i="122"/>
  <c r="D26" i="122"/>
  <c r="E26" i="122"/>
  <c r="F26" i="122"/>
  <c r="G26" i="122"/>
  <c r="H26" i="122"/>
  <c r="I26" i="122"/>
  <c r="J26" i="122"/>
  <c r="K26" i="122"/>
  <c r="L26" i="122"/>
  <c r="D27" i="122"/>
  <c r="E27" i="122"/>
  <c r="F27" i="122"/>
  <c r="G27" i="122"/>
  <c r="H27" i="122"/>
  <c r="I27" i="122"/>
  <c r="J27" i="122"/>
  <c r="K27" i="122"/>
  <c r="L27" i="122"/>
  <c r="D28" i="122"/>
  <c r="E28" i="122"/>
  <c r="F28" i="122"/>
  <c r="G28" i="122"/>
  <c r="H28" i="122"/>
  <c r="I28" i="122"/>
  <c r="J28" i="122"/>
  <c r="K28" i="122"/>
  <c r="L28" i="122"/>
  <c r="D23" i="122"/>
  <c r="E23" i="122"/>
  <c r="F23" i="122"/>
  <c r="G23" i="122"/>
  <c r="H23" i="122"/>
  <c r="I23" i="122"/>
  <c r="J23" i="122"/>
  <c r="K23" i="122"/>
  <c r="L23" i="122"/>
  <c r="D24" i="132"/>
  <c r="E24" i="132"/>
  <c r="F24" i="132"/>
  <c r="G24" i="132"/>
  <c r="H24" i="132"/>
  <c r="I24" i="132"/>
  <c r="J24" i="132"/>
  <c r="K24" i="132"/>
  <c r="L24" i="132"/>
  <c r="L468" i="184" s="1"/>
  <c r="D25" i="132"/>
  <c r="E25" i="132"/>
  <c r="F25" i="132"/>
  <c r="G25" i="132"/>
  <c r="H25" i="132"/>
  <c r="I25" i="132"/>
  <c r="J25" i="132"/>
  <c r="J505" i="184" s="1"/>
  <c r="K25" i="132"/>
  <c r="K505" i="184" s="1"/>
  <c r="L25" i="132"/>
  <c r="D26" i="132"/>
  <c r="E26" i="132"/>
  <c r="F26" i="132"/>
  <c r="G26" i="132"/>
  <c r="H26" i="132"/>
  <c r="I26" i="132"/>
  <c r="J26" i="132"/>
  <c r="J542" i="184" s="1"/>
  <c r="K26" i="132"/>
  <c r="L26" i="132"/>
  <c r="D27" i="132"/>
  <c r="E27" i="132"/>
  <c r="F27" i="132"/>
  <c r="F579" i="184" s="1"/>
  <c r="G27" i="132"/>
  <c r="G579" i="184" s="1"/>
  <c r="H27" i="132"/>
  <c r="H579" i="184" s="1"/>
  <c r="I27" i="132"/>
  <c r="J27" i="132"/>
  <c r="K27" i="132"/>
  <c r="K579" i="184" s="1"/>
  <c r="L27" i="132"/>
  <c r="D28" i="132"/>
  <c r="E28" i="132"/>
  <c r="F28" i="132"/>
  <c r="G28" i="132"/>
  <c r="G616" i="184"/>
  <c r="H28" i="132"/>
  <c r="I28" i="132"/>
  <c r="I616" i="184" s="1"/>
  <c r="J28" i="132"/>
  <c r="K28" i="132"/>
  <c r="L28" i="132"/>
  <c r="D23" i="132"/>
  <c r="E23" i="132"/>
  <c r="E431" i="184" s="1"/>
  <c r="F23" i="132"/>
  <c r="F431" i="184" s="1"/>
  <c r="G23" i="132"/>
  <c r="H23" i="132"/>
  <c r="I23" i="132"/>
  <c r="J23" i="132"/>
  <c r="K23" i="132"/>
  <c r="L23" i="132"/>
  <c r="D24" i="137"/>
  <c r="E24" i="137"/>
  <c r="F24" i="137"/>
  <c r="G24" i="137"/>
  <c r="H24" i="137"/>
  <c r="I24" i="137"/>
  <c r="J24" i="137"/>
  <c r="K24" i="137"/>
  <c r="L24" i="137"/>
  <c r="D25" i="137"/>
  <c r="E25" i="137"/>
  <c r="F25" i="137"/>
  <c r="G25" i="137"/>
  <c r="H25" i="137"/>
  <c r="I25" i="137"/>
  <c r="J25" i="137"/>
  <c r="K25" i="137"/>
  <c r="L25" i="137"/>
  <c r="D26" i="137"/>
  <c r="E26" i="137"/>
  <c r="F26" i="137"/>
  <c r="G26" i="137"/>
  <c r="H26" i="137"/>
  <c r="I26" i="137"/>
  <c r="J26" i="137"/>
  <c r="K26" i="137"/>
  <c r="L26" i="137"/>
  <c r="D27" i="137"/>
  <c r="E27" i="137"/>
  <c r="F27" i="137"/>
  <c r="F594" i="184"/>
  <c r="G27" i="137"/>
  <c r="H27" i="137"/>
  <c r="I27" i="137"/>
  <c r="J27" i="137"/>
  <c r="K27" i="137"/>
  <c r="L27" i="137"/>
  <c r="D28" i="137"/>
  <c r="E28" i="137"/>
  <c r="F28" i="137"/>
  <c r="G28" i="137"/>
  <c r="H28" i="137"/>
  <c r="I28" i="137"/>
  <c r="J28" i="137"/>
  <c r="K28" i="137"/>
  <c r="L28" i="137"/>
  <c r="L631" i="184"/>
  <c r="D23" i="137"/>
  <c r="E23" i="137"/>
  <c r="F23" i="137"/>
  <c r="G23" i="137"/>
  <c r="H23" i="137"/>
  <c r="I23" i="137"/>
  <c r="J23" i="137"/>
  <c r="K23" i="137"/>
  <c r="L23" i="137"/>
  <c r="D24" i="142"/>
  <c r="E24" i="142"/>
  <c r="F24" i="142"/>
  <c r="G24" i="142"/>
  <c r="H24" i="142"/>
  <c r="I24" i="142"/>
  <c r="J24" i="142"/>
  <c r="K24" i="142"/>
  <c r="L24" i="142"/>
  <c r="E25" i="142"/>
  <c r="F25" i="142"/>
  <c r="G25" i="142"/>
  <c r="H25" i="142"/>
  <c r="I25" i="142"/>
  <c r="J25" i="142"/>
  <c r="K25" i="142"/>
  <c r="L25" i="142"/>
  <c r="D26" i="142"/>
  <c r="E26" i="142"/>
  <c r="F26" i="142"/>
  <c r="G26" i="142"/>
  <c r="H26" i="142"/>
  <c r="H543" i="184"/>
  <c r="I26" i="142"/>
  <c r="J26" i="142"/>
  <c r="K26" i="142"/>
  <c r="L26" i="142"/>
  <c r="D27" i="142"/>
  <c r="E27" i="142"/>
  <c r="F27" i="142"/>
  <c r="G27" i="142"/>
  <c r="H27" i="142"/>
  <c r="I27" i="142"/>
  <c r="J27" i="142"/>
  <c r="K27" i="142"/>
  <c r="L27" i="142"/>
  <c r="D28" i="142"/>
  <c r="E28" i="142"/>
  <c r="F28" i="142"/>
  <c r="G28" i="142"/>
  <c r="H28" i="142"/>
  <c r="I28" i="142"/>
  <c r="J28" i="142"/>
  <c r="K28" i="142"/>
  <c r="L28" i="142"/>
  <c r="D23" i="142"/>
  <c r="E23" i="142"/>
  <c r="E432" i="184" s="1"/>
  <c r="F23" i="142"/>
  <c r="G23" i="142"/>
  <c r="H23" i="142"/>
  <c r="I23" i="142"/>
  <c r="J23" i="142"/>
  <c r="K23" i="142"/>
  <c r="L23" i="142"/>
  <c r="D24" i="147"/>
  <c r="D481" i="184" s="1"/>
  <c r="E24" i="147"/>
  <c r="F24" i="147"/>
  <c r="G24" i="147"/>
  <c r="H24" i="147"/>
  <c r="I24" i="147"/>
  <c r="J24" i="147"/>
  <c r="K24" i="147"/>
  <c r="L24" i="147"/>
  <c r="L481" i="184"/>
  <c r="D25" i="147"/>
  <c r="E25" i="147"/>
  <c r="F25" i="147"/>
  <c r="G25" i="147"/>
  <c r="H25" i="147"/>
  <c r="I25" i="147"/>
  <c r="J25" i="147"/>
  <c r="K25" i="147"/>
  <c r="K518" i="184" s="1"/>
  <c r="L25" i="147"/>
  <c r="D26" i="147"/>
  <c r="E26" i="147"/>
  <c r="F26" i="147"/>
  <c r="G26" i="147"/>
  <c r="H26" i="147"/>
  <c r="I26" i="147"/>
  <c r="J26" i="147"/>
  <c r="J555" i="184" s="1"/>
  <c r="K26" i="147"/>
  <c r="L26" i="147"/>
  <c r="D27" i="147"/>
  <c r="E27" i="147"/>
  <c r="F27" i="147"/>
  <c r="G27" i="147"/>
  <c r="H27" i="147"/>
  <c r="I27" i="147"/>
  <c r="I592" i="184" s="1"/>
  <c r="J27" i="147"/>
  <c r="K27" i="147"/>
  <c r="L27" i="147"/>
  <c r="D28" i="147"/>
  <c r="E28" i="147"/>
  <c r="F28" i="147"/>
  <c r="G28" i="147"/>
  <c r="H28" i="147"/>
  <c r="H629" i="184"/>
  <c r="I28" i="147"/>
  <c r="J28" i="147"/>
  <c r="K28" i="147"/>
  <c r="L28" i="147"/>
  <c r="D23" i="147"/>
  <c r="E23" i="147"/>
  <c r="F23" i="147"/>
  <c r="G23" i="147"/>
  <c r="G444" i="184" s="1"/>
  <c r="H23" i="147"/>
  <c r="I23" i="147"/>
  <c r="J23" i="147"/>
  <c r="K23" i="147"/>
  <c r="L23" i="147"/>
  <c r="D24" i="152"/>
  <c r="E24" i="152"/>
  <c r="E457" i="184" s="1"/>
  <c r="F24" i="152"/>
  <c r="G24" i="152"/>
  <c r="H24" i="152"/>
  <c r="I24" i="152"/>
  <c r="J24" i="152"/>
  <c r="K24" i="152"/>
  <c r="L24" i="152"/>
  <c r="D25" i="152"/>
  <c r="E25" i="152"/>
  <c r="F25" i="152"/>
  <c r="G25" i="152"/>
  <c r="H25" i="152"/>
  <c r="I25" i="152"/>
  <c r="J25" i="152"/>
  <c r="K25" i="152"/>
  <c r="L25" i="152"/>
  <c r="D26" i="152"/>
  <c r="E26" i="152"/>
  <c r="F26" i="152"/>
  <c r="G26" i="152"/>
  <c r="H26" i="152"/>
  <c r="I26" i="152"/>
  <c r="J26" i="152"/>
  <c r="K26" i="152"/>
  <c r="L26" i="152"/>
  <c r="D27" i="152"/>
  <c r="E27" i="152"/>
  <c r="F27" i="152"/>
  <c r="G27" i="152"/>
  <c r="G568" i="184" s="1"/>
  <c r="H27" i="152"/>
  <c r="I27" i="152"/>
  <c r="J27" i="152"/>
  <c r="K27" i="152"/>
  <c r="L27" i="152"/>
  <c r="D28" i="152"/>
  <c r="E28" i="152"/>
  <c r="E605" i="184" s="1"/>
  <c r="F28" i="152"/>
  <c r="G28" i="152"/>
  <c r="H28" i="152"/>
  <c r="I28" i="152"/>
  <c r="J28" i="152"/>
  <c r="K28" i="152"/>
  <c r="L28" i="152"/>
  <c r="D24" i="157"/>
  <c r="E24" i="157"/>
  <c r="F24" i="157"/>
  <c r="G24" i="157"/>
  <c r="H24" i="157"/>
  <c r="I24" i="157"/>
  <c r="I489" i="184" s="1"/>
  <c r="J24" i="157"/>
  <c r="K24" i="157"/>
  <c r="L24" i="157"/>
  <c r="D25" i="157"/>
  <c r="E25" i="157"/>
  <c r="F25" i="157"/>
  <c r="F526" i="184"/>
  <c r="G25" i="157"/>
  <c r="G526" i="184" s="1"/>
  <c r="H25" i="157"/>
  <c r="I25" i="157"/>
  <c r="J25" i="157"/>
  <c r="K25" i="157"/>
  <c r="L25" i="157"/>
  <c r="L526" i="184" s="1"/>
  <c r="D26" i="157"/>
  <c r="E26" i="157"/>
  <c r="E563" i="184"/>
  <c r="F26" i="157"/>
  <c r="F563" i="184"/>
  <c r="G26" i="157"/>
  <c r="G563" i="184" s="1"/>
  <c r="H26" i="157"/>
  <c r="I26" i="157"/>
  <c r="J26" i="157"/>
  <c r="K26" i="157"/>
  <c r="L26" i="157"/>
  <c r="D27" i="157"/>
  <c r="D600" i="184" s="1"/>
  <c r="E27" i="157"/>
  <c r="E600" i="184" s="1"/>
  <c r="F27" i="157"/>
  <c r="G27" i="157"/>
  <c r="H27" i="157"/>
  <c r="H600" i="184" s="1"/>
  <c r="I27" i="157"/>
  <c r="J27" i="157"/>
  <c r="K27" i="157"/>
  <c r="L27" i="157"/>
  <c r="D28" i="157"/>
  <c r="D637" i="184"/>
  <c r="E28" i="157"/>
  <c r="E637" i="184" s="1"/>
  <c r="F28" i="157"/>
  <c r="F637" i="184" s="1"/>
  <c r="G28" i="157"/>
  <c r="H28" i="157"/>
  <c r="I28" i="157"/>
  <c r="J28" i="157"/>
  <c r="K28" i="157"/>
  <c r="K637" i="184" s="1"/>
  <c r="L28" i="157"/>
  <c r="L637" i="184"/>
  <c r="D23" i="157"/>
  <c r="E23" i="157"/>
  <c r="F23" i="157"/>
  <c r="G23" i="157"/>
  <c r="H23" i="157"/>
  <c r="I23" i="157"/>
  <c r="J23" i="157"/>
  <c r="J452" i="184"/>
  <c r="K23" i="157"/>
  <c r="L23" i="157"/>
  <c r="D24" i="195"/>
  <c r="E24" i="195"/>
  <c r="F24" i="195"/>
  <c r="G24" i="195"/>
  <c r="H24" i="195"/>
  <c r="I24" i="195"/>
  <c r="J24" i="195"/>
  <c r="K24" i="195"/>
  <c r="K490" i="184" s="1"/>
  <c r="L24" i="195"/>
  <c r="D25" i="195"/>
  <c r="E25" i="195"/>
  <c r="F25" i="195"/>
  <c r="G25" i="195"/>
  <c r="H25" i="195"/>
  <c r="H29" i="195" s="1"/>
  <c r="H675" i="184" s="1"/>
  <c r="I25" i="195"/>
  <c r="J25" i="195"/>
  <c r="J527" i="184" s="1"/>
  <c r="K25" i="195"/>
  <c r="L25" i="195"/>
  <c r="D26" i="195"/>
  <c r="E26" i="195"/>
  <c r="F26" i="195"/>
  <c r="G26" i="195"/>
  <c r="H26" i="195"/>
  <c r="I26" i="195"/>
  <c r="J26" i="195"/>
  <c r="K26" i="195"/>
  <c r="L26" i="195"/>
  <c r="D27" i="195"/>
  <c r="E27" i="195"/>
  <c r="F27" i="195"/>
  <c r="G27" i="195"/>
  <c r="H27" i="195"/>
  <c r="H23" i="195"/>
  <c r="H28" i="195"/>
  <c r="I27" i="195"/>
  <c r="J27" i="195"/>
  <c r="K27" i="195"/>
  <c r="L27" i="195"/>
  <c r="D28" i="195"/>
  <c r="E28" i="195"/>
  <c r="E638" i="184"/>
  <c r="F28" i="195"/>
  <c r="G28" i="195"/>
  <c r="G638" i="184"/>
  <c r="I28" i="195"/>
  <c r="J28" i="195"/>
  <c r="K28" i="195"/>
  <c r="L28" i="195"/>
  <c r="D23" i="195"/>
  <c r="E23" i="195"/>
  <c r="F23" i="195"/>
  <c r="G23" i="195"/>
  <c r="I23" i="195"/>
  <c r="J23" i="195"/>
  <c r="J453" i="184" s="1"/>
  <c r="K23" i="195"/>
  <c r="L23" i="195"/>
  <c r="D24" i="162"/>
  <c r="E24" i="162"/>
  <c r="F24" i="162"/>
  <c r="G24" i="162"/>
  <c r="H24" i="162"/>
  <c r="I24" i="162"/>
  <c r="J24" i="162"/>
  <c r="K24" i="162"/>
  <c r="L24" i="162"/>
  <c r="D25" i="162"/>
  <c r="E25" i="162"/>
  <c r="F25" i="162"/>
  <c r="G25" i="162"/>
  <c r="H25" i="162"/>
  <c r="I25" i="162"/>
  <c r="J25" i="162"/>
  <c r="K25" i="162"/>
  <c r="L25" i="162"/>
  <c r="L500" i="184"/>
  <c r="D26" i="162"/>
  <c r="E26" i="162"/>
  <c r="F26" i="162"/>
  <c r="G26" i="162"/>
  <c r="H26" i="162"/>
  <c r="I26" i="162"/>
  <c r="J26" i="162"/>
  <c r="K26" i="162"/>
  <c r="L26" i="162"/>
  <c r="D27" i="162"/>
  <c r="E27" i="162"/>
  <c r="F27" i="162"/>
  <c r="G27" i="162"/>
  <c r="H27" i="162"/>
  <c r="I27" i="162"/>
  <c r="J27" i="162"/>
  <c r="K27" i="162"/>
  <c r="L27" i="162"/>
  <c r="D28" i="162"/>
  <c r="E28" i="162"/>
  <c r="F28" i="162"/>
  <c r="G28" i="162"/>
  <c r="G611" i="184" s="1"/>
  <c r="H28" i="162"/>
  <c r="I28" i="162"/>
  <c r="J28" i="162"/>
  <c r="K28" i="162"/>
  <c r="L28" i="162"/>
  <c r="D23" i="162"/>
  <c r="E23" i="162"/>
  <c r="E426" i="184" s="1"/>
  <c r="F23" i="162"/>
  <c r="G23" i="162"/>
  <c r="H23" i="162"/>
  <c r="I23" i="162"/>
  <c r="J23" i="162"/>
  <c r="K23" i="162"/>
  <c r="L23" i="162"/>
  <c r="D24" i="167"/>
  <c r="E24" i="167"/>
  <c r="F24" i="167"/>
  <c r="G24" i="167"/>
  <c r="H24" i="167"/>
  <c r="I24" i="167"/>
  <c r="J24" i="167"/>
  <c r="K24" i="167"/>
  <c r="L24" i="167"/>
  <c r="D25" i="167"/>
  <c r="E25" i="167"/>
  <c r="F25" i="167"/>
  <c r="G25" i="167"/>
  <c r="H25" i="167"/>
  <c r="I25" i="167"/>
  <c r="J25" i="167"/>
  <c r="K25" i="167"/>
  <c r="L25" i="167"/>
  <c r="D26" i="167"/>
  <c r="E26" i="167"/>
  <c r="E541" i="184" s="1"/>
  <c r="F26" i="167"/>
  <c r="G26" i="167"/>
  <c r="H26" i="167"/>
  <c r="I26" i="167"/>
  <c r="J26" i="167"/>
  <c r="K26" i="167"/>
  <c r="L26" i="167"/>
  <c r="D27" i="167"/>
  <c r="E27" i="167"/>
  <c r="F27" i="167"/>
  <c r="G27" i="167"/>
  <c r="H27" i="167"/>
  <c r="I27" i="167"/>
  <c r="J27" i="167"/>
  <c r="K27" i="167"/>
  <c r="L27" i="167"/>
  <c r="D28" i="167"/>
  <c r="E28" i="167"/>
  <c r="F28" i="167"/>
  <c r="G28" i="167"/>
  <c r="H28" i="167"/>
  <c r="I28" i="167"/>
  <c r="J28" i="167"/>
  <c r="K28" i="167"/>
  <c r="L28" i="167"/>
  <c r="D23" i="167"/>
  <c r="E23" i="167"/>
  <c r="F23" i="167"/>
  <c r="G23" i="167"/>
  <c r="H23" i="167"/>
  <c r="I23" i="167"/>
  <c r="J23" i="167"/>
  <c r="K23" i="167"/>
  <c r="L23" i="167"/>
  <c r="D24" i="172"/>
  <c r="E24" i="172"/>
  <c r="E480" i="184" s="1"/>
  <c r="F24" i="172"/>
  <c r="G24" i="172"/>
  <c r="H24" i="172"/>
  <c r="I24" i="172"/>
  <c r="I480" i="184" s="1"/>
  <c r="J24" i="172"/>
  <c r="K24" i="172"/>
  <c r="L24" i="172"/>
  <c r="D25" i="172"/>
  <c r="E25" i="172"/>
  <c r="F25" i="172"/>
  <c r="G25" i="172"/>
  <c r="G517" i="184" s="1"/>
  <c r="H25" i="172"/>
  <c r="H517" i="184"/>
  <c r="I25" i="172"/>
  <c r="J25" i="172"/>
  <c r="K25" i="172"/>
  <c r="K517" i="184" s="1"/>
  <c r="L25" i="172"/>
  <c r="D26" i="172"/>
  <c r="E26" i="172"/>
  <c r="F26" i="172"/>
  <c r="G26" i="172"/>
  <c r="H26" i="172"/>
  <c r="I26" i="172"/>
  <c r="J26" i="172"/>
  <c r="K26" i="172"/>
  <c r="L26" i="172"/>
  <c r="D27" i="172"/>
  <c r="D591" i="184" s="1"/>
  <c r="E27" i="172"/>
  <c r="F27" i="172"/>
  <c r="F591" i="184" s="1"/>
  <c r="G27" i="172"/>
  <c r="H27" i="172"/>
  <c r="I27" i="172"/>
  <c r="J27" i="172"/>
  <c r="K27" i="172"/>
  <c r="L27" i="172"/>
  <c r="D28" i="172"/>
  <c r="D628" i="184" s="1"/>
  <c r="E28" i="172"/>
  <c r="E628" i="184" s="1"/>
  <c r="F28" i="172"/>
  <c r="G28" i="172"/>
  <c r="H28" i="172"/>
  <c r="I28" i="172"/>
  <c r="J28" i="172"/>
  <c r="K28" i="172"/>
  <c r="K628" i="184" s="1"/>
  <c r="L28" i="172"/>
  <c r="D23" i="172"/>
  <c r="D443" i="184" s="1"/>
  <c r="E23" i="172"/>
  <c r="F23" i="172"/>
  <c r="G23" i="172"/>
  <c r="H23" i="172"/>
  <c r="I23" i="172"/>
  <c r="J23" i="172"/>
  <c r="K23" i="172"/>
  <c r="L23" i="172"/>
  <c r="D24" i="177"/>
  <c r="E24" i="177"/>
  <c r="F24" i="177"/>
  <c r="G24" i="177"/>
  <c r="H24" i="177"/>
  <c r="H482" i="184"/>
  <c r="I24" i="177"/>
  <c r="J24" i="177"/>
  <c r="J482" i="184" s="1"/>
  <c r="K24" i="177"/>
  <c r="K482" i="184" s="1"/>
  <c r="L24" i="177"/>
  <c r="D25" i="177"/>
  <c r="E25" i="177"/>
  <c r="F25" i="177"/>
  <c r="F519" i="184" s="1"/>
  <c r="G25" i="177"/>
  <c r="H25" i="177"/>
  <c r="H519" i="184" s="1"/>
  <c r="I25" i="177"/>
  <c r="I519" i="184" s="1"/>
  <c r="J25" i="177"/>
  <c r="J519" i="184"/>
  <c r="K25" i="177"/>
  <c r="L25" i="177"/>
  <c r="D26" i="177"/>
  <c r="E26" i="177"/>
  <c r="E556" i="184" s="1"/>
  <c r="F26" i="177"/>
  <c r="F556" i="184" s="1"/>
  <c r="G26" i="177"/>
  <c r="H26" i="177"/>
  <c r="H556" i="184"/>
  <c r="I26" i="177"/>
  <c r="I556" i="184" s="1"/>
  <c r="J26" i="177"/>
  <c r="K26" i="177"/>
  <c r="L26" i="177"/>
  <c r="L556" i="184" s="1"/>
  <c r="D27" i="177"/>
  <c r="E27" i="177"/>
  <c r="E593" i="184" s="1"/>
  <c r="F27" i="177"/>
  <c r="F593" i="184" s="1"/>
  <c r="G27" i="177"/>
  <c r="G593" i="184"/>
  <c r="H27" i="177"/>
  <c r="H593" i="184"/>
  <c r="I27" i="177"/>
  <c r="J27" i="177"/>
  <c r="K27" i="177"/>
  <c r="L27" i="177"/>
  <c r="D28" i="177"/>
  <c r="D630" i="184"/>
  <c r="E28" i="177"/>
  <c r="F28" i="177"/>
  <c r="F630" i="184" s="1"/>
  <c r="G28" i="177"/>
  <c r="G630" i="184" s="1"/>
  <c r="H28" i="177"/>
  <c r="I28" i="177"/>
  <c r="J28" i="177"/>
  <c r="K28" i="177"/>
  <c r="L28" i="177"/>
  <c r="L630" i="184"/>
  <c r="D23" i="177"/>
  <c r="E23" i="177"/>
  <c r="F23" i="177"/>
  <c r="F445" i="184" s="1"/>
  <c r="G23" i="177"/>
  <c r="H23" i="177"/>
  <c r="I23" i="177"/>
  <c r="J23" i="177"/>
  <c r="K23" i="177"/>
  <c r="K445" i="184" s="1"/>
  <c r="L23" i="177"/>
  <c r="L445" i="184"/>
  <c r="D36" i="167"/>
  <c r="E36" i="167"/>
  <c r="F36" i="167"/>
  <c r="G36" i="167"/>
  <c r="H36" i="167"/>
  <c r="I36" i="167"/>
  <c r="J36" i="167"/>
  <c r="K36" i="167"/>
  <c r="L36" i="167"/>
  <c r="D36" i="199"/>
  <c r="E36" i="199"/>
  <c r="F36" i="199"/>
  <c r="G36" i="199"/>
  <c r="H36" i="199"/>
  <c r="I36" i="199"/>
  <c r="J36" i="199"/>
  <c r="K36" i="199"/>
  <c r="L36" i="199"/>
  <c r="D36" i="57"/>
  <c r="E36" i="57"/>
  <c r="E879" i="184" s="1"/>
  <c r="F36" i="57"/>
  <c r="G36" i="57"/>
  <c r="G879" i="184"/>
  <c r="H36" i="57"/>
  <c r="I36" i="57"/>
  <c r="J36" i="57"/>
  <c r="K36" i="57"/>
  <c r="K879" i="184" s="1"/>
  <c r="L36" i="57"/>
  <c r="D36" i="52"/>
  <c r="E36" i="52"/>
  <c r="F36" i="52"/>
  <c r="G36" i="52"/>
  <c r="H36" i="52"/>
  <c r="H892" i="184"/>
  <c r="I36" i="52"/>
  <c r="J36" i="52"/>
  <c r="J892" i="184" s="1"/>
  <c r="K36" i="52"/>
  <c r="L36" i="52"/>
  <c r="D36" i="13"/>
  <c r="E36" i="13"/>
  <c r="F36" i="13"/>
  <c r="G36" i="13"/>
  <c r="H36" i="13"/>
  <c r="I36" i="13"/>
  <c r="I864" i="184" s="1"/>
  <c r="J36" i="13"/>
  <c r="K36" i="13"/>
  <c r="L36" i="13"/>
  <c r="C46" i="213"/>
  <c r="C45" i="213"/>
  <c r="C44" i="213"/>
  <c r="C43" i="213"/>
  <c r="C42" i="213"/>
  <c r="C41" i="213"/>
  <c r="C40" i="213"/>
  <c r="C39" i="213"/>
  <c r="C38" i="213"/>
  <c r="C37" i="213"/>
  <c r="C36" i="213"/>
  <c r="C35" i="213"/>
  <c r="C34" i="213"/>
  <c r="C33" i="213"/>
  <c r="C32" i="213"/>
  <c r="C31" i="213"/>
  <c r="C30" i="213"/>
  <c r="C29" i="213"/>
  <c r="C28" i="213"/>
  <c r="C27" i="213"/>
  <c r="C26" i="213"/>
  <c r="C25" i="213"/>
  <c r="C24" i="213"/>
  <c r="C23" i="213"/>
  <c r="C22" i="213"/>
  <c r="C21" i="213"/>
  <c r="C20" i="213"/>
  <c r="C19" i="213"/>
  <c r="C18" i="213"/>
  <c r="C17" i="213"/>
  <c r="C16" i="213"/>
  <c r="C15" i="213"/>
  <c r="C14" i="213"/>
  <c r="C13" i="213"/>
  <c r="C12" i="213"/>
  <c r="C11" i="213"/>
  <c r="C46" i="214"/>
  <c r="C45" i="214"/>
  <c r="C44" i="214"/>
  <c r="C43" i="214"/>
  <c r="C42" i="214"/>
  <c r="C41" i="214"/>
  <c r="C40" i="214"/>
  <c r="C39" i="214"/>
  <c r="C38" i="214"/>
  <c r="C37" i="214"/>
  <c r="C36" i="214"/>
  <c r="C35" i="214"/>
  <c r="C34" i="214"/>
  <c r="C33" i="214"/>
  <c r="C32" i="214"/>
  <c r="C31" i="214"/>
  <c r="C30" i="214"/>
  <c r="C29" i="214"/>
  <c r="C28" i="214"/>
  <c r="C27" i="214"/>
  <c r="C26" i="214"/>
  <c r="C25" i="214"/>
  <c r="C24" i="214"/>
  <c r="C23" i="214"/>
  <c r="C22" i="214"/>
  <c r="C21" i="214"/>
  <c r="C20" i="214"/>
  <c r="C19" i="214"/>
  <c r="C18" i="214"/>
  <c r="C17" i="214"/>
  <c r="C16" i="214"/>
  <c r="C15" i="214"/>
  <c r="C14" i="214"/>
  <c r="C13" i="214"/>
  <c r="C12" i="214"/>
  <c r="C11" i="214"/>
  <c r="B11" i="214"/>
  <c r="B12" i="214"/>
  <c r="D12" i="214" s="1"/>
  <c r="B13" i="214"/>
  <c r="D13" i="214" s="1"/>
  <c r="B14" i="214"/>
  <c r="D14" i="214" s="1"/>
  <c r="B15" i="214"/>
  <c r="D15" i="214" s="1"/>
  <c r="B16" i="214"/>
  <c r="D16" i="214" s="1"/>
  <c r="B17" i="214"/>
  <c r="D17" i="214" s="1"/>
  <c r="B18" i="214"/>
  <c r="D18" i="214" s="1"/>
  <c r="B19" i="214"/>
  <c r="D19" i="214" s="1"/>
  <c r="B20" i="214"/>
  <c r="D20" i="214" s="1"/>
  <c r="B21" i="214"/>
  <c r="D21" i="214" s="1"/>
  <c r="B22" i="214"/>
  <c r="D22" i="214" s="1"/>
  <c r="B23" i="214"/>
  <c r="D23" i="214" s="1"/>
  <c r="B24" i="214"/>
  <c r="D24" i="214" s="1"/>
  <c r="B25" i="214"/>
  <c r="D25" i="214" s="1"/>
  <c r="B26" i="214"/>
  <c r="D26" i="214" s="1"/>
  <c r="B27" i="214"/>
  <c r="D27" i="214" s="1"/>
  <c r="B28" i="214"/>
  <c r="D28" i="214" s="1"/>
  <c r="B29" i="214"/>
  <c r="D29" i="214" s="1"/>
  <c r="B30" i="214"/>
  <c r="D30" i="214" s="1"/>
  <c r="B31" i="214"/>
  <c r="D31" i="214" s="1"/>
  <c r="B32" i="214"/>
  <c r="D32" i="214" s="1"/>
  <c r="B33" i="214"/>
  <c r="D33" i="214" s="1"/>
  <c r="B34" i="214"/>
  <c r="D34" i="214" s="1"/>
  <c r="B35" i="214"/>
  <c r="D35" i="214" s="1"/>
  <c r="B36" i="214"/>
  <c r="D36" i="214" s="1"/>
  <c r="B37" i="214"/>
  <c r="D37" i="214" s="1"/>
  <c r="B38" i="214"/>
  <c r="D38" i="214" s="1"/>
  <c r="B39" i="214"/>
  <c r="D39" i="214" s="1"/>
  <c r="B40" i="214"/>
  <c r="D40" i="214" s="1"/>
  <c r="B41" i="214"/>
  <c r="D41" i="214" s="1"/>
  <c r="B42" i="214"/>
  <c r="D42" i="214" s="1"/>
  <c r="B43" i="214"/>
  <c r="D43" i="214" s="1"/>
  <c r="B44" i="214"/>
  <c r="D44" i="214" s="1"/>
  <c r="B45" i="214"/>
  <c r="D45" i="214" s="1"/>
  <c r="B46" i="214"/>
  <c r="D46" i="214" s="1"/>
  <c r="AA60" i="230"/>
  <c r="AB60" i="230"/>
  <c r="AC60" i="230"/>
  <c r="AD60" i="230"/>
  <c r="AE60" i="230"/>
  <c r="P27" i="207"/>
  <c r="A52" i="207"/>
  <c r="O73" i="210"/>
  <c r="C46" i="231"/>
  <c r="C45" i="231"/>
  <c r="C44" i="231"/>
  <c r="C43" i="231"/>
  <c r="C42" i="231"/>
  <c r="C41" i="231"/>
  <c r="C40" i="231"/>
  <c r="C39" i="231"/>
  <c r="C38" i="231"/>
  <c r="C37" i="231"/>
  <c r="C36" i="231"/>
  <c r="C35" i="231"/>
  <c r="C34" i="231"/>
  <c r="C33" i="231"/>
  <c r="C32" i="231"/>
  <c r="C31" i="231"/>
  <c r="C30" i="231"/>
  <c r="C29" i="231"/>
  <c r="C28" i="231"/>
  <c r="C27" i="231"/>
  <c r="C26" i="231"/>
  <c r="C25" i="231"/>
  <c r="C24" i="231"/>
  <c r="C23" i="231"/>
  <c r="C22" i="231"/>
  <c r="C21" i="231"/>
  <c r="C20" i="231"/>
  <c r="C19" i="231"/>
  <c r="C18" i="231"/>
  <c r="C17" i="231"/>
  <c r="C16" i="231"/>
  <c r="C15" i="231"/>
  <c r="C14" i="231"/>
  <c r="C13" i="231"/>
  <c r="C11" i="231"/>
  <c r="C12" i="231"/>
  <c r="B11" i="213"/>
  <c r="D11" i="213" s="1"/>
  <c r="B12" i="213"/>
  <c r="D12" i="213" s="1"/>
  <c r="B13" i="213"/>
  <c r="B14" i="213"/>
  <c r="D14" i="213" s="1"/>
  <c r="B15" i="213"/>
  <c r="D15" i="213" s="1"/>
  <c r="B16" i="213"/>
  <c r="D16" i="213" s="1"/>
  <c r="B17" i="213"/>
  <c r="B18" i="213"/>
  <c r="D18" i="213" s="1"/>
  <c r="B19" i="213"/>
  <c r="D19" i="213" s="1"/>
  <c r="B20" i="213"/>
  <c r="D20" i="213" s="1"/>
  <c r="B21" i="213"/>
  <c r="D21" i="213" s="1"/>
  <c r="B22" i="213"/>
  <c r="D22" i="213" s="1"/>
  <c r="B23" i="213"/>
  <c r="D23" i="213" s="1"/>
  <c r="B24" i="213"/>
  <c r="D24" i="213" s="1"/>
  <c r="B25" i="213"/>
  <c r="D25" i="213" s="1"/>
  <c r="B26" i="213"/>
  <c r="D26" i="213" s="1"/>
  <c r="B27" i="213"/>
  <c r="D27" i="213" s="1"/>
  <c r="B28" i="213"/>
  <c r="D28" i="213" s="1"/>
  <c r="B29" i="213"/>
  <c r="D29" i="213" s="1"/>
  <c r="B30" i="213"/>
  <c r="D30" i="213" s="1"/>
  <c r="B31" i="213"/>
  <c r="D31" i="213" s="1"/>
  <c r="B32" i="213"/>
  <c r="D32" i="213" s="1"/>
  <c r="B33" i="213"/>
  <c r="D33" i="213" s="1"/>
  <c r="B34" i="213"/>
  <c r="D34" i="213" s="1"/>
  <c r="B35" i="213"/>
  <c r="D35" i="213" s="1"/>
  <c r="B36" i="213"/>
  <c r="D36" i="213" s="1"/>
  <c r="B37" i="213"/>
  <c r="D37" i="213" s="1"/>
  <c r="B38" i="213"/>
  <c r="D38" i="213" s="1"/>
  <c r="B39" i="213"/>
  <c r="D39" i="213" s="1"/>
  <c r="B40" i="213"/>
  <c r="D40" i="213" s="1"/>
  <c r="B41" i="213"/>
  <c r="D41" i="213" s="1"/>
  <c r="B42" i="213"/>
  <c r="D42" i="213" s="1"/>
  <c r="B43" i="213"/>
  <c r="D43" i="213" s="1"/>
  <c r="B44" i="213"/>
  <c r="D44" i="213" s="1"/>
  <c r="B45" i="213"/>
  <c r="D45" i="213" s="1"/>
  <c r="B46" i="213"/>
  <c r="D46" i="213" s="1"/>
  <c r="B43" i="216"/>
  <c r="C49" i="212"/>
  <c r="C50" i="219"/>
  <c r="E48" i="229"/>
  <c r="O47" i="230"/>
  <c r="N47" i="230"/>
  <c r="O46" i="230"/>
  <c r="N46" i="230"/>
  <c r="O45" i="230"/>
  <c r="N45" i="230"/>
  <c r="O17" i="230"/>
  <c r="N17" i="230"/>
  <c r="O44" i="230"/>
  <c r="N44" i="230"/>
  <c r="O43" i="230"/>
  <c r="N43" i="230"/>
  <c r="O42" i="230"/>
  <c r="N42" i="230"/>
  <c r="O41" i="230"/>
  <c r="N41" i="230"/>
  <c r="O40" i="230"/>
  <c r="N40" i="230"/>
  <c r="O39" i="230"/>
  <c r="N39" i="230"/>
  <c r="O38" i="230"/>
  <c r="N38" i="230"/>
  <c r="O37" i="230"/>
  <c r="N37" i="230"/>
  <c r="O36" i="230"/>
  <c r="N36" i="230"/>
  <c r="O35" i="230"/>
  <c r="N35" i="230"/>
  <c r="O34" i="230"/>
  <c r="N34" i="230"/>
  <c r="O33" i="230"/>
  <c r="N33" i="230"/>
  <c r="O32" i="230"/>
  <c r="N32" i="230"/>
  <c r="O31" i="230"/>
  <c r="N31" i="230"/>
  <c r="O30" i="230"/>
  <c r="N30" i="230"/>
  <c r="O29" i="230"/>
  <c r="N29" i="230"/>
  <c r="O28" i="230"/>
  <c r="N28" i="230"/>
  <c r="O27" i="230"/>
  <c r="N27" i="230"/>
  <c r="O26" i="230"/>
  <c r="N26" i="230"/>
  <c r="O25" i="230"/>
  <c r="N25" i="230"/>
  <c r="O24" i="230"/>
  <c r="N24" i="230"/>
  <c r="O23" i="230"/>
  <c r="N23" i="230"/>
  <c r="O22" i="230"/>
  <c r="N22" i="230"/>
  <c r="O21" i="230"/>
  <c r="N21" i="230"/>
  <c r="O20" i="230"/>
  <c r="N20" i="230"/>
  <c r="O19" i="230"/>
  <c r="N19" i="230"/>
  <c r="O18" i="230"/>
  <c r="N18" i="230"/>
  <c r="O16" i="230"/>
  <c r="N16" i="230"/>
  <c r="O15" i="230"/>
  <c r="N15" i="230"/>
  <c r="O14" i="230"/>
  <c r="N14" i="230"/>
  <c r="O13" i="230"/>
  <c r="N13" i="230"/>
  <c r="O12" i="230"/>
  <c r="N12" i="230"/>
  <c r="Q77" i="230"/>
  <c r="P77" i="230"/>
  <c r="J77" i="230"/>
  <c r="F72" i="230"/>
  <c r="F77" i="230"/>
  <c r="F60" i="230"/>
  <c r="E48" i="230"/>
  <c r="E47" i="230"/>
  <c r="E46" i="230"/>
  <c r="E45" i="230"/>
  <c r="E17" i="230"/>
  <c r="E44" i="230"/>
  <c r="E43" i="230"/>
  <c r="E42" i="230"/>
  <c r="E41" i="230"/>
  <c r="E40" i="230"/>
  <c r="E39" i="230"/>
  <c r="E38" i="230"/>
  <c r="E37" i="230"/>
  <c r="E36" i="230"/>
  <c r="E35" i="230"/>
  <c r="E34" i="230"/>
  <c r="E33" i="230"/>
  <c r="E32" i="230"/>
  <c r="E31" i="230"/>
  <c r="E30" i="230"/>
  <c r="E29" i="230"/>
  <c r="E28" i="230"/>
  <c r="E27" i="230"/>
  <c r="E26" i="230"/>
  <c r="E25" i="230"/>
  <c r="E24" i="230"/>
  <c r="E23" i="230"/>
  <c r="E22" i="230"/>
  <c r="E21" i="230"/>
  <c r="E20" i="230"/>
  <c r="E19" i="230"/>
  <c r="E18" i="230"/>
  <c r="E16" i="230"/>
  <c r="E12" i="230"/>
  <c r="E13" i="230"/>
  <c r="E14" i="230"/>
  <c r="E15" i="230"/>
  <c r="O11" i="230"/>
  <c r="N11" i="230"/>
  <c r="E11" i="230"/>
  <c r="F71" i="229"/>
  <c r="E49" i="229"/>
  <c r="E47" i="229"/>
  <c r="E46" i="229"/>
  <c r="E45" i="229"/>
  <c r="E17" i="229"/>
  <c r="E44" i="229"/>
  <c r="E43" i="229"/>
  <c r="E42" i="229"/>
  <c r="E41" i="229"/>
  <c r="E40" i="229"/>
  <c r="E39" i="229"/>
  <c r="E38" i="229"/>
  <c r="E37" i="229"/>
  <c r="E36" i="229"/>
  <c r="E35" i="229"/>
  <c r="E34" i="229"/>
  <c r="E33" i="229"/>
  <c r="E32" i="229"/>
  <c r="E31" i="229"/>
  <c r="E30" i="229"/>
  <c r="E29" i="229"/>
  <c r="E28" i="229"/>
  <c r="E27" i="229"/>
  <c r="E26" i="229"/>
  <c r="E25" i="229"/>
  <c r="E24" i="229"/>
  <c r="E23" i="229"/>
  <c r="E22" i="229"/>
  <c r="E21" i="229"/>
  <c r="E20" i="229"/>
  <c r="E19" i="229"/>
  <c r="E18" i="229"/>
  <c r="E16" i="229"/>
  <c r="E15" i="229"/>
  <c r="E14" i="229"/>
  <c r="E13" i="229"/>
  <c r="E12" i="229"/>
  <c r="E50" i="229"/>
  <c r="E11" i="229"/>
  <c r="W69" i="224"/>
  <c r="V69" i="224"/>
  <c r="U69" i="224"/>
  <c r="G66" i="224"/>
  <c r="G67" i="224"/>
  <c r="G68" i="224"/>
  <c r="G70" i="224"/>
  <c r="G71" i="224"/>
  <c r="G72" i="224"/>
  <c r="G73" i="224"/>
  <c r="G74" i="224"/>
  <c r="G75" i="224"/>
  <c r="G76" i="224"/>
  <c r="G77" i="224"/>
  <c r="D29" i="223"/>
  <c r="D26" i="223"/>
  <c r="V48" i="207"/>
  <c r="P44" i="207"/>
  <c r="P43" i="207"/>
  <c r="P42" i="207"/>
  <c r="P41" i="207"/>
  <c r="P40" i="207"/>
  <c r="P39" i="207"/>
  <c r="P38" i="207"/>
  <c r="P37" i="207"/>
  <c r="P36" i="207"/>
  <c r="P35" i="207"/>
  <c r="P34" i="207"/>
  <c r="P33" i="207"/>
  <c r="P32" i="207"/>
  <c r="P31" i="207"/>
  <c r="P30" i="207"/>
  <c r="P29" i="207"/>
  <c r="P28" i="207"/>
  <c r="P70" i="207" s="1"/>
  <c r="I8" i="235" s="1"/>
  <c r="P26" i="207"/>
  <c r="P25" i="207"/>
  <c r="P24" i="207"/>
  <c r="P23" i="207"/>
  <c r="P22" i="207"/>
  <c r="P21" i="207"/>
  <c r="P20" i="207"/>
  <c r="P19" i="207"/>
  <c r="P18" i="207"/>
  <c r="P17" i="207"/>
  <c r="P16" i="207"/>
  <c r="P15" i="207"/>
  <c r="P14" i="207"/>
  <c r="P13" i="207"/>
  <c r="P12" i="207"/>
  <c r="P68" i="207" s="1"/>
  <c r="I8" i="223" s="1"/>
  <c r="I14" i="223" s="1"/>
  <c r="P11" i="207"/>
  <c r="P10" i="207"/>
  <c r="P9" i="207"/>
  <c r="P8" i="207"/>
  <c r="F18" i="213"/>
  <c r="F17" i="213"/>
  <c r="F15" i="213"/>
  <c r="F14" i="213"/>
  <c r="F13" i="213"/>
  <c r="F12" i="213"/>
  <c r="F11" i="213"/>
  <c r="F10" i="213"/>
  <c r="F52" i="213"/>
  <c r="F51" i="213"/>
  <c r="F50" i="213"/>
  <c r="F49" i="213"/>
  <c r="F48" i="213"/>
  <c r="F47" i="213"/>
  <c r="F45" i="213"/>
  <c r="F46" i="213"/>
  <c r="F44" i="213"/>
  <c r="F16" i="213"/>
  <c r="F43" i="213"/>
  <c r="F42" i="213"/>
  <c r="F41" i="213"/>
  <c r="F40" i="213"/>
  <c r="F39" i="213"/>
  <c r="F38" i="213"/>
  <c r="F37" i="213"/>
  <c r="F36" i="213"/>
  <c r="F35" i="213"/>
  <c r="F34" i="213"/>
  <c r="F33" i="213"/>
  <c r="F32" i="213"/>
  <c r="F31" i="213"/>
  <c r="F30" i="213"/>
  <c r="F29" i="213"/>
  <c r="F28" i="213"/>
  <c r="F27" i="213"/>
  <c r="F26" i="213"/>
  <c r="F25" i="213"/>
  <c r="F24" i="213"/>
  <c r="F23" i="213"/>
  <c r="F22" i="213"/>
  <c r="F59" i="213"/>
  <c r="F21" i="213"/>
  <c r="F20" i="213"/>
  <c r="F19" i="213"/>
  <c r="T637" i="228"/>
  <c r="S637" i="228"/>
  <c r="R637" i="228"/>
  <c r="T636" i="228"/>
  <c r="S636" i="228"/>
  <c r="R636" i="228"/>
  <c r="T635" i="228"/>
  <c r="S635" i="228"/>
  <c r="R635" i="228"/>
  <c r="R638" i="228"/>
  <c r="T634" i="228"/>
  <c r="T638" i="228"/>
  <c r="S634" i="228"/>
  <c r="R634" i="228"/>
  <c r="T631" i="228"/>
  <c r="S631" i="228"/>
  <c r="R631" i="228"/>
  <c r="T630" i="228"/>
  <c r="S630" i="228"/>
  <c r="S632" i="228"/>
  <c r="R630" i="228"/>
  <c r="T629" i="228"/>
  <c r="S629" i="228"/>
  <c r="R629" i="228"/>
  <c r="T628" i="228"/>
  <c r="S628" i="228"/>
  <c r="R628" i="228"/>
  <c r="R632" i="228"/>
  <c r="T627" i="228"/>
  <c r="T632" i="228"/>
  <c r="S627" i="228"/>
  <c r="R627" i="228"/>
  <c r="I91" i="228"/>
  <c r="H91" i="228"/>
  <c r="G91" i="228"/>
  <c r="F91" i="228"/>
  <c r="E91" i="228"/>
  <c r="D91" i="228"/>
  <c r="I90" i="228"/>
  <c r="H90" i="228"/>
  <c r="G90" i="228"/>
  <c r="F90" i="228"/>
  <c r="E90" i="228"/>
  <c r="D90" i="228"/>
  <c r="I89" i="228"/>
  <c r="H89" i="228"/>
  <c r="G89" i="228"/>
  <c r="F89" i="228"/>
  <c r="E89" i="228"/>
  <c r="D89" i="228"/>
  <c r="I88" i="228"/>
  <c r="H88" i="228"/>
  <c r="G88" i="228"/>
  <c r="F88" i="228"/>
  <c r="E88" i="228"/>
  <c r="D88" i="228"/>
  <c r="I87" i="228"/>
  <c r="H87" i="228"/>
  <c r="G87" i="228"/>
  <c r="F87" i="228"/>
  <c r="E87" i="228"/>
  <c r="D87" i="228"/>
  <c r="I86" i="228"/>
  <c r="H86" i="228"/>
  <c r="G86" i="228"/>
  <c r="F86" i="228"/>
  <c r="E86" i="228"/>
  <c r="D86" i="228"/>
  <c r="I85" i="228"/>
  <c r="H85" i="228"/>
  <c r="G85" i="228"/>
  <c r="F85" i="228"/>
  <c r="E85" i="228"/>
  <c r="D85" i="228"/>
  <c r="I84" i="228"/>
  <c r="H84" i="228"/>
  <c r="G84" i="228"/>
  <c r="F84" i="228"/>
  <c r="E84" i="228"/>
  <c r="D84" i="228"/>
  <c r="I83" i="228"/>
  <c r="H83" i="228"/>
  <c r="G83" i="228"/>
  <c r="F83" i="228"/>
  <c r="E83" i="228"/>
  <c r="D83" i="228"/>
  <c r="I82" i="228"/>
  <c r="H82" i="228"/>
  <c r="G82" i="228"/>
  <c r="F82" i="228"/>
  <c r="E82" i="228"/>
  <c r="D82" i="228"/>
  <c r="I81" i="228"/>
  <c r="H81" i="228"/>
  <c r="G81" i="228"/>
  <c r="F81" i="228"/>
  <c r="E81" i="228"/>
  <c r="D81" i="228"/>
  <c r="I80" i="228"/>
  <c r="H80" i="228"/>
  <c r="G80" i="228"/>
  <c r="F80" i="228"/>
  <c r="E80" i="228"/>
  <c r="D80" i="228"/>
  <c r="I79" i="228"/>
  <c r="H79" i="228"/>
  <c r="G79" i="228"/>
  <c r="F79" i="228"/>
  <c r="E79" i="228"/>
  <c r="D79" i="228"/>
  <c r="I78" i="228"/>
  <c r="H78" i="228"/>
  <c r="G78" i="228"/>
  <c r="F78" i="228"/>
  <c r="E78" i="228"/>
  <c r="D78" i="228"/>
  <c r="I77" i="228"/>
  <c r="H77" i="228"/>
  <c r="G77" i="228"/>
  <c r="F77" i="228"/>
  <c r="E77" i="228"/>
  <c r="D77" i="228"/>
  <c r="I76" i="228"/>
  <c r="H76" i="228"/>
  <c r="G76" i="228"/>
  <c r="F76" i="228"/>
  <c r="E76" i="228"/>
  <c r="D76" i="228"/>
  <c r="I75" i="228"/>
  <c r="H75" i="228"/>
  <c r="G75" i="228"/>
  <c r="F75" i="228"/>
  <c r="E75" i="228"/>
  <c r="D75" i="228"/>
  <c r="I74" i="228"/>
  <c r="H74" i="228"/>
  <c r="G74" i="228"/>
  <c r="F74" i="228"/>
  <c r="E74" i="228"/>
  <c r="D74" i="228"/>
  <c r="I73" i="228"/>
  <c r="H73" i="228"/>
  <c r="G73" i="228"/>
  <c r="F73" i="228"/>
  <c r="E73" i="228"/>
  <c r="D73" i="228"/>
  <c r="I72" i="228"/>
  <c r="H72" i="228"/>
  <c r="G72" i="228"/>
  <c r="F72" i="228"/>
  <c r="E72" i="228"/>
  <c r="D72" i="228"/>
  <c r="I71" i="228"/>
  <c r="H71" i="228"/>
  <c r="G71" i="228"/>
  <c r="F71" i="228"/>
  <c r="E71" i="228"/>
  <c r="D71" i="228"/>
  <c r="I70" i="228"/>
  <c r="H70" i="228"/>
  <c r="G70" i="228"/>
  <c r="F70" i="228"/>
  <c r="E70" i="228"/>
  <c r="D70" i="228"/>
  <c r="I69" i="228"/>
  <c r="H69" i="228"/>
  <c r="G69" i="228"/>
  <c r="F69" i="228"/>
  <c r="E69" i="228"/>
  <c r="D69" i="228"/>
  <c r="I68" i="228"/>
  <c r="H68" i="228"/>
  <c r="G68" i="228"/>
  <c r="F68" i="228"/>
  <c r="E68" i="228"/>
  <c r="D68" i="228"/>
  <c r="I67" i="228"/>
  <c r="H67" i="228"/>
  <c r="G67" i="228"/>
  <c r="F67" i="228"/>
  <c r="E67" i="228"/>
  <c r="D67" i="228"/>
  <c r="I66" i="228"/>
  <c r="H66" i="228"/>
  <c r="G66" i="228"/>
  <c r="F66" i="228"/>
  <c r="E66" i="228"/>
  <c r="D66" i="228"/>
  <c r="I65" i="228"/>
  <c r="H65" i="228"/>
  <c r="G65" i="228"/>
  <c r="F65" i="228"/>
  <c r="E65" i="228"/>
  <c r="D65" i="228"/>
  <c r="I64" i="228"/>
  <c r="H64" i="228"/>
  <c r="G64" i="228"/>
  <c r="F64" i="228"/>
  <c r="E64" i="228"/>
  <c r="D64" i="228"/>
  <c r="I63" i="228"/>
  <c r="H63" i="228"/>
  <c r="G63" i="228"/>
  <c r="F63" i="228"/>
  <c r="E63" i="228"/>
  <c r="D63" i="228"/>
  <c r="I62" i="228"/>
  <c r="H62" i="228"/>
  <c r="G62" i="228"/>
  <c r="F62" i="228"/>
  <c r="E62" i="228"/>
  <c r="D62" i="228"/>
  <c r="I61" i="228"/>
  <c r="H61" i="228"/>
  <c r="G61" i="228"/>
  <c r="F61" i="228"/>
  <c r="E61" i="228"/>
  <c r="D61" i="228"/>
  <c r="I60" i="228"/>
  <c r="H60" i="228"/>
  <c r="G60" i="228"/>
  <c r="F60" i="228"/>
  <c r="E60" i="228"/>
  <c r="D60" i="228"/>
  <c r="I59" i="228"/>
  <c r="H59" i="228"/>
  <c r="G59" i="228"/>
  <c r="F59" i="228"/>
  <c r="E59" i="228"/>
  <c r="D59" i="228"/>
  <c r="I58" i="228"/>
  <c r="H58" i="228"/>
  <c r="G58" i="228"/>
  <c r="F58" i="228"/>
  <c r="E58" i="228"/>
  <c r="D58" i="228"/>
  <c r="I57" i="228"/>
  <c r="H57" i="228"/>
  <c r="G57" i="228"/>
  <c r="F57" i="228"/>
  <c r="E57" i="228"/>
  <c r="D57" i="228"/>
  <c r="I56" i="228"/>
  <c r="H56" i="228"/>
  <c r="G56" i="228"/>
  <c r="F56" i="228"/>
  <c r="E56" i="228"/>
  <c r="D56" i="228"/>
  <c r="I55" i="228"/>
  <c r="H55" i="228"/>
  <c r="G55" i="228"/>
  <c r="F55" i="228"/>
  <c r="E55" i="228"/>
  <c r="D55" i="228"/>
  <c r="I54" i="228"/>
  <c r="H54" i="228"/>
  <c r="G54" i="228"/>
  <c r="F54" i="228"/>
  <c r="E54" i="228"/>
  <c r="D54" i="228"/>
  <c r="I53" i="228"/>
  <c r="H53" i="228"/>
  <c r="G53" i="228"/>
  <c r="F53" i="228"/>
  <c r="E53" i="228"/>
  <c r="D53" i="228"/>
  <c r="I52" i="228"/>
  <c r="H52" i="228"/>
  <c r="G52" i="228"/>
  <c r="F52" i="228"/>
  <c r="E52" i="228"/>
  <c r="D52" i="228"/>
  <c r="I51" i="228"/>
  <c r="H51" i="228"/>
  <c r="G51" i="228"/>
  <c r="F51" i="228"/>
  <c r="E51" i="228"/>
  <c r="D51" i="228"/>
  <c r="I50" i="228"/>
  <c r="H50" i="228"/>
  <c r="G50" i="228"/>
  <c r="F50" i="228"/>
  <c r="E50" i="228"/>
  <c r="D50" i="228"/>
  <c r="I49" i="228"/>
  <c r="H49" i="228"/>
  <c r="G49" i="228"/>
  <c r="F49" i="228"/>
  <c r="E49" i="228"/>
  <c r="D49" i="228"/>
  <c r="I48" i="228"/>
  <c r="H48" i="228"/>
  <c r="G48" i="228"/>
  <c r="F48" i="228"/>
  <c r="E48" i="228"/>
  <c r="D48" i="228"/>
  <c r="I47" i="228"/>
  <c r="H47" i="228"/>
  <c r="G47" i="228"/>
  <c r="F47" i="228"/>
  <c r="E47" i="228"/>
  <c r="D47" i="228"/>
  <c r="I46" i="228"/>
  <c r="H46" i="228"/>
  <c r="G46" i="228"/>
  <c r="F46" i="228"/>
  <c r="E46" i="228"/>
  <c r="D46" i="228"/>
  <c r="I45" i="228"/>
  <c r="H45" i="228"/>
  <c r="G45" i="228"/>
  <c r="F45" i="228"/>
  <c r="E45" i="228"/>
  <c r="D45" i="228"/>
  <c r="I44" i="228"/>
  <c r="H44" i="228"/>
  <c r="G44" i="228"/>
  <c r="F44" i="228"/>
  <c r="E44" i="228"/>
  <c r="D44" i="228"/>
  <c r="I43" i="228"/>
  <c r="H43" i="228"/>
  <c r="G43" i="228"/>
  <c r="F43" i="228"/>
  <c r="E43" i="228"/>
  <c r="D43" i="228"/>
  <c r="I42" i="228"/>
  <c r="H42" i="228"/>
  <c r="G42" i="228"/>
  <c r="F42" i="228"/>
  <c r="E42" i="228"/>
  <c r="D42" i="228"/>
  <c r="I41" i="228"/>
  <c r="H41" i="228"/>
  <c r="G41" i="228"/>
  <c r="F41" i="228"/>
  <c r="E41" i="228"/>
  <c r="D41" i="228"/>
  <c r="I40" i="228"/>
  <c r="H40" i="228"/>
  <c r="G40" i="228"/>
  <c r="F40" i="228"/>
  <c r="E40" i="228"/>
  <c r="D40" i="228"/>
  <c r="I39" i="228"/>
  <c r="H39" i="228"/>
  <c r="G39" i="228"/>
  <c r="F39" i="228"/>
  <c r="E39" i="228"/>
  <c r="D39" i="228"/>
  <c r="I38" i="228"/>
  <c r="H38" i="228"/>
  <c r="G38" i="228"/>
  <c r="F38" i="228"/>
  <c r="E38" i="228"/>
  <c r="D38" i="228"/>
  <c r="I37" i="228"/>
  <c r="H37" i="228"/>
  <c r="G37" i="228"/>
  <c r="F37" i="228"/>
  <c r="E37" i="228"/>
  <c r="D37" i="228"/>
  <c r="I36" i="228"/>
  <c r="H36" i="228"/>
  <c r="G36" i="228"/>
  <c r="F36" i="228"/>
  <c r="E36" i="228"/>
  <c r="D36" i="228"/>
  <c r="I35" i="228"/>
  <c r="H35" i="228"/>
  <c r="G35" i="228"/>
  <c r="F35" i="228"/>
  <c r="E35" i="228"/>
  <c r="D35" i="228"/>
  <c r="I34" i="228"/>
  <c r="H34" i="228"/>
  <c r="G34" i="228"/>
  <c r="F34" i="228"/>
  <c r="E34" i="228"/>
  <c r="D34" i="228"/>
  <c r="I33" i="228"/>
  <c r="H33" i="228"/>
  <c r="G33" i="228"/>
  <c r="F33" i="228"/>
  <c r="E33" i="228"/>
  <c r="D33" i="228"/>
  <c r="I32" i="228"/>
  <c r="H32" i="228"/>
  <c r="G32" i="228"/>
  <c r="F32" i="228"/>
  <c r="E32" i="228"/>
  <c r="D32" i="228"/>
  <c r="I31" i="228"/>
  <c r="H31" i="228"/>
  <c r="G31" i="228"/>
  <c r="F31" i="228"/>
  <c r="E31" i="228"/>
  <c r="D31" i="228"/>
  <c r="I30" i="228"/>
  <c r="H30" i="228"/>
  <c r="G30" i="228"/>
  <c r="F30" i="228"/>
  <c r="E30" i="228"/>
  <c r="D30" i="228"/>
  <c r="I29" i="228"/>
  <c r="H29" i="228"/>
  <c r="G29" i="228"/>
  <c r="F29" i="228"/>
  <c r="E29" i="228"/>
  <c r="D29" i="228"/>
  <c r="I28" i="228"/>
  <c r="H28" i="228"/>
  <c r="G28" i="228"/>
  <c r="F28" i="228"/>
  <c r="E28" i="228"/>
  <c r="D28" i="228"/>
  <c r="I27" i="228"/>
  <c r="H27" i="228"/>
  <c r="G27" i="228"/>
  <c r="F27" i="228"/>
  <c r="E27" i="228"/>
  <c r="D27" i="228"/>
  <c r="I26" i="228"/>
  <c r="H26" i="228"/>
  <c r="G26" i="228"/>
  <c r="F26" i="228"/>
  <c r="E26" i="228"/>
  <c r="D26" i="228"/>
  <c r="I25" i="228"/>
  <c r="H25" i="228"/>
  <c r="G25" i="228"/>
  <c r="F25" i="228"/>
  <c r="E25" i="228"/>
  <c r="D25" i="228"/>
  <c r="I24" i="228"/>
  <c r="H24" i="228"/>
  <c r="G24" i="228"/>
  <c r="F24" i="228"/>
  <c r="E24" i="228"/>
  <c r="D24" i="228"/>
  <c r="I23" i="228"/>
  <c r="H23" i="228"/>
  <c r="G23" i="228"/>
  <c r="F23" i="228"/>
  <c r="E23" i="228"/>
  <c r="D23" i="228"/>
  <c r="I22" i="228"/>
  <c r="H22" i="228"/>
  <c r="G22" i="228"/>
  <c r="F22" i="228"/>
  <c r="E22" i="228"/>
  <c r="D22" i="228"/>
  <c r="I21" i="228"/>
  <c r="H21" i="228"/>
  <c r="G21" i="228"/>
  <c r="F21" i="228"/>
  <c r="E21" i="228"/>
  <c r="D21" i="228"/>
  <c r="I20" i="228"/>
  <c r="H20" i="228"/>
  <c r="G20" i="228"/>
  <c r="F20" i="228"/>
  <c r="E20" i="228"/>
  <c r="D20" i="228"/>
  <c r="I19" i="228"/>
  <c r="H19" i="228"/>
  <c r="G19" i="228"/>
  <c r="F19" i="228"/>
  <c r="E19" i="228"/>
  <c r="D19" i="228"/>
  <c r="I18" i="228"/>
  <c r="H18" i="228"/>
  <c r="G18" i="228"/>
  <c r="F18" i="228"/>
  <c r="E18" i="228"/>
  <c r="D18" i="228"/>
  <c r="I17" i="228"/>
  <c r="H17" i="228"/>
  <c r="G17" i="228"/>
  <c r="F17" i="228"/>
  <c r="E17" i="228"/>
  <c r="D17" i="228"/>
  <c r="I16" i="228"/>
  <c r="H16" i="228"/>
  <c r="G16" i="228"/>
  <c r="F16" i="228"/>
  <c r="E16" i="228"/>
  <c r="D16" i="228"/>
  <c r="I15" i="228"/>
  <c r="H15" i="228"/>
  <c r="G15" i="228"/>
  <c r="F15" i="228"/>
  <c r="E15" i="228"/>
  <c r="D15" i="228"/>
  <c r="I14" i="228"/>
  <c r="H14" i="228"/>
  <c r="G14" i="228"/>
  <c r="F14" i="228"/>
  <c r="E14" i="228"/>
  <c r="D14" i="228"/>
  <c r="I13" i="228"/>
  <c r="H13" i="228"/>
  <c r="G13" i="228"/>
  <c r="F13" i="228"/>
  <c r="E13" i="228"/>
  <c r="D13" i="228"/>
  <c r="I12" i="228"/>
  <c r="H12" i="228"/>
  <c r="G12" i="228"/>
  <c r="F12" i="228"/>
  <c r="E12" i="228"/>
  <c r="D12" i="228"/>
  <c r="I11" i="228"/>
  <c r="H11" i="228"/>
  <c r="G11" i="228"/>
  <c r="F11" i="228"/>
  <c r="E11" i="228"/>
  <c r="D11" i="228"/>
  <c r="I10" i="228"/>
  <c r="H10" i="228"/>
  <c r="G10" i="228"/>
  <c r="F10" i="228"/>
  <c r="E10" i="228"/>
  <c r="D10" i="228"/>
  <c r="I9" i="228"/>
  <c r="H9" i="228"/>
  <c r="G9" i="228"/>
  <c r="F9" i="228"/>
  <c r="E9" i="228"/>
  <c r="D9" i="228"/>
  <c r="I8" i="228"/>
  <c r="H8" i="228"/>
  <c r="G8" i="228"/>
  <c r="F8" i="228"/>
  <c r="E8" i="228"/>
  <c r="D8" i="228"/>
  <c r="S638" i="228"/>
  <c r="N12" i="207"/>
  <c r="N9" i="207"/>
  <c r="E49" i="227"/>
  <c r="E47" i="227"/>
  <c r="E46" i="227"/>
  <c r="E45" i="227"/>
  <c r="E17" i="227"/>
  <c r="E44" i="227"/>
  <c r="E43" i="227"/>
  <c r="E42" i="227"/>
  <c r="E41" i="227"/>
  <c r="E40" i="227"/>
  <c r="E39" i="227"/>
  <c r="E38" i="227"/>
  <c r="E37" i="227"/>
  <c r="E36" i="227"/>
  <c r="E35" i="227"/>
  <c r="E34" i="227"/>
  <c r="E33" i="227"/>
  <c r="E32" i="227"/>
  <c r="E31" i="227"/>
  <c r="E30" i="227"/>
  <c r="E29" i="227"/>
  <c r="E28" i="227"/>
  <c r="E27" i="227"/>
  <c r="E26" i="227"/>
  <c r="E25" i="227"/>
  <c r="E24" i="227"/>
  <c r="E23" i="227"/>
  <c r="E22" i="227"/>
  <c r="E21" i="227"/>
  <c r="E20" i="227"/>
  <c r="E19" i="227"/>
  <c r="E18" i="227"/>
  <c r="E16" i="227"/>
  <c r="E15" i="227"/>
  <c r="E14" i="227"/>
  <c r="E13" i="227"/>
  <c r="E12" i="227"/>
  <c r="E50" i="227"/>
  <c r="E11" i="227"/>
  <c r="B87" i="218"/>
  <c r="M107" i="224"/>
  <c r="L114" i="224"/>
  <c r="L99" i="224"/>
  <c r="K99" i="224"/>
  <c r="J99" i="224"/>
  <c r="I99" i="224"/>
  <c r="H99" i="224"/>
  <c r="G99" i="224"/>
  <c r="F99" i="224"/>
  <c r="E99" i="224"/>
  <c r="D99" i="224"/>
  <c r="L98" i="224"/>
  <c r="K98" i="224"/>
  <c r="J98" i="224"/>
  <c r="I98" i="224"/>
  <c r="H98" i="224"/>
  <c r="G98" i="224"/>
  <c r="F98" i="224"/>
  <c r="E98" i="224"/>
  <c r="D98" i="224"/>
  <c r="L97" i="224"/>
  <c r="K97" i="224"/>
  <c r="J97" i="224"/>
  <c r="I97" i="224"/>
  <c r="H97" i="224"/>
  <c r="G97" i="224"/>
  <c r="F97" i="224"/>
  <c r="E97" i="224"/>
  <c r="D97" i="224"/>
  <c r="L96" i="224"/>
  <c r="K96" i="224"/>
  <c r="J96" i="224"/>
  <c r="I96" i="224"/>
  <c r="H96" i="224"/>
  <c r="G96" i="224"/>
  <c r="F96" i="224"/>
  <c r="E96" i="224"/>
  <c r="D96" i="224"/>
  <c r="L95" i="224"/>
  <c r="K95" i="224"/>
  <c r="J95" i="224"/>
  <c r="I95" i="224"/>
  <c r="H95" i="224"/>
  <c r="G95" i="224"/>
  <c r="F95" i="224"/>
  <c r="E95" i="224"/>
  <c r="D95" i="224"/>
  <c r="L94" i="224"/>
  <c r="K94" i="224"/>
  <c r="J94" i="224"/>
  <c r="I94" i="224"/>
  <c r="H94" i="224"/>
  <c r="G94" i="224"/>
  <c r="F94" i="224"/>
  <c r="E94" i="224"/>
  <c r="D94" i="224"/>
  <c r="L89" i="224"/>
  <c r="K89" i="224"/>
  <c r="J89" i="224"/>
  <c r="I89" i="224"/>
  <c r="H89" i="224"/>
  <c r="H90" i="224" s="1"/>
  <c r="G89" i="224"/>
  <c r="F89" i="224"/>
  <c r="D65" i="223"/>
  <c r="E89" i="224"/>
  <c r="D89" i="224"/>
  <c r="D90" i="224" s="1"/>
  <c r="D88" i="224"/>
  <c r="L88" i="224"/>
  <c r="K88" i="224"/>
  <c r="J88" i="224"/>
  <c r="I88" i="224"/>
  <c r="H88" i="224"/>
  <c r="G88" i="224"/>
  <c r="F88" i="224"/>
  <c r="E88" i="224"/>
  <c r="R87" i="224"/>
  <c r="R84" i="224"/>
  <c r="L84" i="224"/>
  <c r="K84" i="224"/>
  <c r="J84" i="224"/>
  <c r="I84" i="224"/>
  <c r="H84" i="224"/>
  <c r="G84" i="224"/>
  <c r="F84" i="224"/>
  <c r="D60" i="223" s="1"/>
  <c r="E84" i="224"/>
  <c r="D84" i="224"/>
  <c r="L83" i="224"/>
  <c r="K83" i="224"/>
  <c r="J83" i="224"/>
  <c r="I83" i="224"/>
  <c r="H83" i="224"/>
  <c r="G83" i="224"/>
  <c r="F83" i="224"/>
  <c r="D59" i="223" s="1"/>
  <c r="E83" i="224"/>
  <c r="D83" i="224"/>
  <c r="L82" i="224"/>
  <c r="K82" i="224"/>
  <c r="J82" i="224"/>
  <c r="I82" i="224"/>
  <c r="H82" i="224"/>
  <c r="G82" i="224"/>
  <c r="F82" i="224"/>
  <c r="D58" i="223" s="1"/>
  <c r="E82" i="224"/>
  <c r="D82" i="224"/>
  <c r="L81" i="224"/>
  <c r="K81" i="224"/>
  <c r="J81" i="224"/>
  <c r="I81" i="224"/>
  <c r="H81" i="224"/>
  <c r="G81" i="224"/>
  <c r="F81" i="224"/>
  <c r="E81" i="224"/>
  <c r="D81" i="224"/>
  <c r="L77" i="224"/>
  <c r="K77" i="224"/>
  <c r="J77" i="224"/>
  <c r="I77" i="224"/>
  <c r="H77" i="224"/>
  <c r="F77" i="224"/>
  <c r="D53" i="223" s="1"/>
  <c r="E77" i="224"/>
  <c r="D77" i="224"/>
  <c r="L76" i="224"/>
  <c r="K76" i="224"/>
  <c r="J76" i="224"/>
  <c r="I76" i="224"/>
  <c r="H76" i="224"/>
  <c r="F76" i="224"/>
  <c r="D52" i="223" s="1"/>
  <c r="E76" i="224"/>
  <c r="D76" i="224"/>
  <c r="AA75" i="224"/>
  <c r="P75" i="224"/>
  <c r="L75" i="224"/>
  <c r="K75" i="224"/>
  <c r="J75" i="224"/>
  <c r="I75" i="224"/>
  <c r="H75" i="224"/>
  <c r="F75" i="224"/>
  <c r="D73" i="223" s="1"/>
  <c r="E75" i="224"/>
  <c r="D75" i="224"/>
  <c r="AA74" i="224"/>
  <c r="W74" i="224"/>
  <c r="V74" i="224"/>
  <c r="P74" i="224"/>
  <c r="U74" i="224"/>
  <c r="L74" i="224"/>
  <c r="K74" i="224"/>
  <c r="J74" i="224"/>
  <c r="I74" i="224"/>
  <c r="H74" i="224"/>
  <c r="F74" i="224"/>
  <c r="D50" i="223" s="1"/>
  <c r="E74" i="224"/>
  <c r="D74" i="224"/>
  <c r="AA73" i="224"/>
  <c r="W73" i="224"/>
  <c r="V73" i="224"/>
  <c r="P73" i="224"/>
  <c r="U73" i="224" s="1"/>
  <c r="L73" i="224"/>
  <c r="K73" i="224"/>
  <c r="J73" i="224"/>
  <c r="I73" i="224"/>
  <c r="H73" i="224"/>
  <c r="F73" i="224"/>
  <c r="D49" i="223"/>
  <c r="E73" i="224"/>
  <c r="D73" i="224"/>
  <c r="AA72" i="224"/>
  <c r="W72" i="224"/>
  <c r="V72" i="224"/>
  <c r="P72" i="224"/>
  <c r="U72" i="224"/>
  <c r="L72" i="224"/>
  <c r="K72" i="224"/>
  <c r="J72" i="224"/>
  <c r="I72" i="224"/>
  <c r="H72" i="224"/>
  <c r="F72" i="224"/>
  <c r="D48" i="223"/>
  <c r="E72" i="224"/>
  <c r="D72" i="224"/>
  <c r="AA71" i="224"/>
  <c r="W71" i="224"/>
  <c r="V71" i="224"/>
  <c r="Q71" i="224"/>
  <c r="P71" i="224"/>
  <c r="U71" i="224"/>
  <c r="L71" i="224"/>
  <c r="K71" i="224"/>
  <c r="J71" i="224"/>
  <c r="I71" i="224"/>
  <c r="H71" i="224"/>
  <c r="F71" i="224"/>
  <c r="D47" i="223" s="1"/>
  <c r="E71" i="224"/>
  <c r="D71" i="224"/>
  <c r="AA70" i="224"/>
  <c r="W70" i="224"/>
  <c r="V70" i="224"/>
  <c r="P70" i="224"/>
  <c r="U70" i="224" s="1"/>
  <c r="L70" i="224"/>
  <c r="K70" i="224"/>
  <c r="J70" i="224"/>
  <c r="I70" i="224"/>
  <c r="H70" i="224"/>
  <c r="F70" i="224"/>
  <c r="D46" i="223"/>
  <c r="E70" i="224"/>
  <c r="D70" i="224"/>
  <c r="AA68" i="224"/>
  <c r="W68" i="224"/>
  <c r="V68" i="224"/>
  <c r="P68" i="224"/>
  <c r="U68" i="224" s="1"/>
  <c r="L68" i="224"/>
  <c r="K68" i="224"/>
  <c r="J68" i="224"/>
  <c r="I68" i="224"/>
  <c r="H68" i="224"/>
  <c r="F68" i="224"/>
  <c r="D44" i="223" s="1"/>
  <c r="E73" i="223" s="1"/>
  <c r="E68" i="224"/>
  <c r="D68" i="224"/>
  <c r="AA67" i="224"/>
  <c r="W67" i="224"/>
  <c r="V67" i="224"/>
  <c r="P67" i="224"/>
  <c r="U67" i="224" s="1"/>
  <c r="L67" i="224"/>
  <c r="K67" i="224"/>
  <c r="J67" i="224"/>
  <c r="I67" i="224"/>
  <c r="H67" i="224"/>
  <c r="F67" i="224"/>
  <c r="D43" i="223"/>
  <c r="E67" i="224"/>
  <c r="D67" i="224"/>
  <c r="AA66" i="224"/>
  <c r="W66" i="224"/>
  <c r="V66" i="224"/>
  <c r="P66" i="224"/>
  <c r="L66" i="224"/>
  <c r="K66" i="224"/>
  <c r="J66" i="224"/>
  <c r="I66" i="224"/>
  <c r="H66" i="224"/>
  <c r="F66" i="224"/>
  <c r="D42" i="223" s="1"/>
  <c r="E66" i="224"/>
  <c r="D66" i="224"/>
  <c r="L61" i="224"/>
  <c r="K61" i="224"/>
  <c r="J61" i="224"/>
  <c r="I61" i="224"/>
  <c r="H61" i="224"/>
  <c r="G61" i="224"/>
  <c r="F61" i="224"/>
  <c r="D37" i="223" s="1"/>
  <c r="E61" i="224"/>
  <c r="D61" i="224"/>
  <c r="L60" i="224"/>
  <c r="K60" i="224"/>
  <c r="J60" i="224"/>
  <c r="I60" i="224"/>
  <c r="H60" i="224"/>
  <c r="G60" i="224"/>
  <c r="F60" i="224"/>
  <c r="D76" i="223" s="1"/>
  <c r="E60" i="224"/>
  <c r="D60" i="224"/>
  <c r="L59" i="224"/>
  <c r="K59" i="224"/>
  <c r="J59" i="224"/>
  <c r="I59" i="224"/>
  <c r="H59" i="224"/>
  <c r="G59" i="224"/>
  <c r="F59" i="224"/>
  <c r="D35" i="223"/>
  <c r="E59" i="224"/>
  <c r="D59" i="224"/>
  <c r="L58" i="224"/>
  <c r="K58" i="224"/>
  <c r="J58" i="224"/>
  <c r="I58" i="224"/>
  <c r="H58" i="224"/>
  <c r="G58" i="224"/>
  <c r="F58" i="224"/>
  <c r="D34" i="223" s="1"/>
  <c r="E58" i="224"/>
  <c r="D58" i="224"/>
  <c r="L57" i="224"/>
  <c r="K57" i="224"/>
  <c r="J57" i="224"/>
  <c r="I57" i="224"/>
  <c r="H57" i="224"/>
  <c r="G57" i="224"/>
  <c r="F57" i="224"/>
  <c r="D33" i="223" s="1"/>
  <c r="E57" i="224"/>
  <c r="D57" i="224"/>
  <c r="L56" i="224"/>
  <c r="K56" i="224"/>
  <c r="J56" i="224"/>
  <c r="I56" i="224"/>
  <c r="H56" i="224"/>
  <c r="G56" i="224"/>
  <c r="F56" i="224"/>
  <c r="E56" i="224"/>
  <c r="D56" i="224"/>
  <c r="L47" i="224"/>
  <c r="K47" i="224"/>
  <c r="J47" i="224"/>
  <c r="I47" i="224"/>
  <c r="H47" i="224"/>
  <c r="G47" i="224"/>
  <c r="F47" i="224"/>
  <c r="D23" i="223" s="1"/>
  <c r="E47" i="224"/>
  <c r="D47" i="224"/>
  <c r="L41" i="224"/>
  <c r="K41" i="224"/>
  <c r="J41" i="224"/>
  <c r="I41" i="224"/>
  <c r="H41" i="224"/>
  <c r="G41" i="224"/>
  <c r="F41" i="224"/>
  <c r="E41" i="224"/>
  <c r="D41" i="224"/>
  <c r="L40" i="224"/>
  <c r="K40" i="224"/>
  <c r="J40" i="224"/>
  <c r="I40" i="224"/>
  <c r="H40" i="224"/>
  <c r="G40" i="224"/>
  <c r="F40" i="224"/>
  <c r="E40" i="224"/>
  <c r="D40" i="224"/>
  <c r="L39" i="224"/>
  <c r="K39" i="224"/>
  <c r="J39" i="224"/>
  <c r="I39" i="224"/>
  <c r="H39" i="224"/>
  <c r="G39" i="224"/>
  <c r="F39" i="224"/>
  <c r="E39" i="224"/>
  <c r="D39" i="224"/>
  <c r="L38" i="224"/>
  <c r="K38" i="224"/>
  <c r="J38" i="224"/>
  <c r="I38" i="224"/>
  <c r="H38" i="224"/>
  <c r="G38" i="224"/>
  <c r="F38" i="224"/>
  <c r="E38" i="224"/>
  <c r="D38" i="224"/>
  <c r="L37" i="224"/>
  <c r="K37" i="224"/>
  <c r="J37" i="224"/>
  <c r="I37" i="224"/>
  <c r="H37" i="224"/>
  <c r="G37" i="224"/>
  <c r="F37" i="224"/>
  <c r="E37" i="224"/>
  <c r="D37" i="224"/>
  <c r="L36" i="224"/>
  <c r="K36" i="224"/>
  <c r="J36" i="224"/>
  <c r="I36" i="224"/>
  <c r="H36" i="224"/>
  <c r="G36" i="224"/>
  <c r="F36" i="224"/>
  <c r="E36" i="224"/>
  <c r="D36" i="224"/>
  <c r="L35" i="224"/>
  <c r="K35" i="224"/>
  <c r="J35" i="224"/>
  <c r="I35" i="224"/>
  <c r="H35" i="224"/>
  <c r="G35" i="224"/>
  <c r="F35" i="224"/>
  <c r="E35" i="224"/>
  <c r="D35" i="224"/>
  <c r="R34" i="224"/>
  <c r="L116" i="224"/>
  <c r="L34" i="224"/>
  <c r="K34" i="224"/>
  <c r="J34" i="224"/>
  <c r="I34" i="224"/>
  <c r="H34" i="224"/>
  <c r="G34" i="224"/>
  <c r="F34" i="224"/>
  <c r="E34" i="224"/>
  <c r="D34" i="224"/>
  <c r="L33" i="224"/>
  <c r="K33" i="224"/>
  <c r="J33" i="224"/>
  <c r="I33" i="224"/>
  <c r="H33" i="224"/>
  <c r="G33" i="224"/>
  <c r="F33" i="224"/>
  <c r="E33" i="224"/>
  <c r="D33" i="224"/>
  <c r="Q32" i="224"/>
  <c r="L115" i="224"/>
  <c r="L32" i="224"/>
  <c r="K32" i="224"/>
  <c r="J32" i="224"/>
  <c r="I32" i="224"/>
  <c r="H32" i="224"/>
  <c r="G32" i="224"/>
  <c r="F32" i="224"/>
  <c r="E32" i="224"/>
  <c r="D32" i="224"/>
  <c r="L28" i="224"/>
  <c r="K28" i="224"/>
  <c r="J28" i="224"/>
  <c r="I28" i="224"/>
  <c r="H28" i="224"/>
  <c r="G28" i="224"/>
  <c r="F28" i="224"/>
  <c r="E28" i="224"/>
  <c r="D28" i="224"/>
  <c r="K27" i="224"/>
  <c r="J27" i="224"/>
  <c r="I27" i="224"/>
  <c r="H27" i="224"/>
  <c r="G27" i="224"/>
  <c r="F27" i="224"/>
  <c r="E27" i="224"/>
  <c r="D27" i="224"/>
  <c r="L26" i="224"/>
  <c r="K26" i="224"/>
  <c r="J26" i="224"/>
  <c r="I26" i="224"/>
  <c r="H26" i="224"/>
  <c r="G26" i="224"/>
  <c r="F26" i="224"/>
  <c r="E26" i="224"/>
  <c r="D26" i="224"/>
  <c r="L25" i="224"/>
  <c r="K25" i="224"/>
  <c r="J25" i="224"/>
  <c r="I25" i="224"/>
  <c r="H25" i="224"/>
  <c r="G25" i="224"/>
  <c r="F25" i="224"/>
  <c r="E25" i="224"/>
  <c r="L24" i="224"/>
  <c r="K24" i="224"/>
  <c r="J24" i="224"/>
  <c r="I24" i="224"/>
  <c r="H24" i="224"/>
  <c r="G24" i="224"/>
  <c r="F24" i="224"/>
  <c r="E24" i="224"/>
  <c r="D24" i="224"/>
  <c r="L23" i="224"/>
  <c r="K23" i="224"/>
  <c r="J23" i="224"/>
  <c r="I23" i="224"/>
  <c r="H23" i="224"/>
  <c r="G23" i="224"/>
  <c r="F23" i="224"/>
  <c r="E23" i="224"/>
  <c r="D23" i="224"/>
  <c r="L22" i="224"/>
  <c r="K22" i="224"/>
  <c r="J22" i="224"/>
  <c r="I22" i="224"/>
  <c r="H22" i="224"/>
  <c r="G22" i="224"/>
  <c r="F22" i="224"/>
  <c r="E22" i="224"/>
  <c r="D22" i="224"/>
  <c r="L21" i="224"/>
  <c r="K21" i="224"/>
  <c r="J21" i="224"/>
  <c r="I21" i="224"/>
  <c r="H21" i="224"/>
  <c r="G21" i="224"/>
  <c r="F21" i="224"/>
  <c r="E21" i="224"/>
  <c r="D21" i="224"/>
  <c r="L20" i="224"/>
  <c r="K20" i="224"/>
  <c r="J20" i="224"/>
  <c r="I20" i="224"/>
  <c r="H20" i="224"/>
  <c r="G20" i="224"/>
  <c r="F20" i="224"/>
  <c r="E20" i="224"/>
  <c r="D20" i="224"/>
  <c r="L19" i="224"/>
  <c r="K19" i="224"/>
  <c r="J19" i="224"/>
  <c r="I19" i="224"/>
  <c r="H19" i="224"/>
  <c r="G19" i="224"/>
  <c r="F19" i="224"/>
  <c r="E19" i="224"/>
  <c r="D19" i="224"/>
  <c r="L14" i="224"/>
  <c r="K14" i="224"/>
  <c r="J14" i="224"/>
  <c r="I14" i="224"/>
  <c r="H14" i="224"/>
  <c r="G14" i="224"/>
  <c r="F14" i="224"/>
  <c r="D14" i="223" s="1"/>
  <c r="E14" i="224"/>
  <c r="D14" i="224"/>
  <c r="L13" i="224"/>
  <c r="K13" i="224"/>
  <c r="J13" i="224"/>
  <c r="I13" i="224"/>
  <c r="H13" i="224"/>
  <c r="G13" i="224"/>
  <c r="F13" i="224"/>
  <c r="E13" i="224"/>
  <c r="D13" i="224"/>
  <c r="L11" i="224"/>
  <c r="K11" i="224"/>
  <c r="J11" i="224"/>
  <c r="I11" i="224"/>
  <c r="H11" i="224"/>
  <c r="G11" i="224"/>
  <c r="F11" i="224"/>
  <c r="D11" i="223"/>
  <c r="E11" i="224"/>
  <c r="D11" i="224"/>
  <c r="L10" i="224"/>
  <c r="K10" i="224"/>
  <c r="J10" i="224"/>
  <c r="I10" i="224"/>
  <c r="H10" i="224"/>
  <c r="G10" i="224"/>
  <c r="F10" i="224"/>
  <c r="E10" i="224"/>
  <c r="D10" i="224"/>
  <c r="B3" i="225"/>
  <c r="B2" i="225"/>
  <c r="B1" i="225"/>
  <c r="L27" i="224"/>
  <c r="D25" i="224"/>
  <c r="M7" i="224"/>
  <c r="B6" i="224"/>
  <c r="B4" i="224"/>
  <c r="B3" i="224"/>
  <c r="B2" i="224"/>
  <c r="P13" i="224"/>
  <c r="E66" i="223"/>
  <c r="E61" i="223"/>
  <c r="E38" i="223"/>
  <c r="E20" i="223"/>
  <c r="E39" i="223"/>
  <c r="E15" i="223"/>
  <c r="A5" i="223"/>
  <c r="A3" i="223"/>
  <c r="A2" i="223"/>
  <c r="A1" i="223"/>
  <c r="C57" i="222"/>
  <c r="C12" i="222"/>
  <c r="C11" i="222"/>
  <c r="C10" i="222"/>
  <c r="C9" i="222"/>
  <c r="A3" i="222"/>
  <c r="A2" i="222"/>
  <c r="I2" i="224"/>
  <c r="L49" i="207"/>
  <c r="L54" i="207" s="1"/>
  <c r="K49" i="207"/>
  <c r="K54" i="207" s="1"/>
  <c r="J49" i="207"/>
  <c r="J54" i="207" s="1"/>
  <c r="I49" i="207"/>
  <c r="I54" i="207" s="1"/>
  <c r="H49" i="207"/>
  <c r="H54" i="207" s="1"/>
  <c r="G49" i="207"/>
  <c r="G54" i="207" s="1"/>
  <c r="F49" i="207"/>
  <c r="F54" i="207"/>
  <c r="E49" i="207"/>
  <c r="E54" i="207" s="1"/>
  <c r="N44" i="207"/>
  <c r="N43" i="207"/>
  <c r="N42" i="207"/>
  <c r="N41" i="207"/>
  <c r="N40" i="207"/>
  <c r="N39" i="207"/>
  <c r="N38" i="207"/>
  <c r="N37" i="207"/>
  <c r="N36" i="207"/>
  <c r="N35" i="207"/>
  <c r="AF13" i="230"/>
  <c r="AD63" i="230"/>
  <c r="N34" i="207"/>
  <c r="N33" i="207"/>
  <c r="N71" i="207"/>
  <c r="C6" i="239" s="1"/>
  <c r="C47" i="239" s="1"/>
  <c r="N32" i="207"/>
  <c r="N31" i="207"/>
  <c r="N30" i="207"/>
  <c r="N29" i="207"/>
  <c r="C6" i="111"/>
  <c r="N28" i="207"/>
  <c r="N27" i="207"/>
  <c r="N26" i="207"/>
  <c r="N25" i="207"/>
  <c r="N24" i="207"/>
  <c r="N23" i="207"/>
  <c r="N22" i="207"/>
  <c r="N21" i="207"/>
  <c r="N20" i="207"/>
  <c r="N19" i="207"/>
  <c r="N18" i="207"/>
  <c r="N17" i="207"/>
  <c r="N16" i="207"/>
  <c r="N15" i="207"/>
  <c r="N14" i="207"/>
  <c r="N13" i="207"/>
  <c r="N11" i="207"/>
  <c r="N10" i="207"/>
  <c r="N8" i="207"/>
  <c r="T92" i="78"/>
  <c r="W39" i="220"/>
  <c r="F46" i="214"/>
  <c r="R45" i="213"/>
  <c r="Q45" i="213"/>
  <c r="Q10" i="213"/>
  <c r="Y58" i="213"/>
  <c r="Z58" i="213"/>
  <c r="AA58" i="213"/>
  <c r="AB58" i="213"/>
  <c r="X58" i="213"/>
  <c r="R46" i="213"/>
  <c r="Q46" i="213"/>
  <c r="R44" i="213"/>
  <c r="Q44" i="213"/>
  <c r="R16" i="213"/>
  <c r="Q16" i="213"/>
  <c r="R43" i="213"/>
  <c r="Q43" i="213"/>
  <c r="R42" i="213"/>
  <c r="Q42" i="213"/>
  <c r="R41" i="213"/>
  <c r="Q41" i="213"/>
  <c r="R40" i="213"/>
  <c r="Q40" i="213"/>
  <c r="R39" i="213"/>
  <c r="Q39" i="213"/>
  <c r="R38" i="213"/>
  <c r="Q38" i="213"/>
  <c r="R37" i="213"/>
  <c r="Q37" i="213"/>
  <c r="R36" i="213"/>
  <c r="Q36" i="213"/>
  <c r="R35" i="213"/>
  <c r="Q35" i="213"/>
  <c r="R34" i="213"/>
  <c r="Q34" i="213"/>
  <c r="R33" i="213"/>
  <c r="Q33" i="213"/>
  <c r="R32" i="213"/>
  <c r="Q32" i="213"/>
  <c r="R31" i="213"/>
  <c r="Q31" i="213"/>
  <c r="R30" i="213"/>
  <c r="Q30" i="213"/>
  <c r="R29" i="213"/>
  <c r="Q29" i="213"/>
  <c r="R28" i="213"/>
  <c r="Q28" i="213"/>
  <c r="R27" i="213"/>
  <c r="Q27" i="213"/>
  <c r="R26" i="213"/>
  <c r="Q26" i="213"/>
  <c r="R25" i="213"/>
  <c r="Q25" i="213"/>
  <c r="R24" i="213"/>
  <c r="Q24" i="213"/>
  <c r="R23" i="213"/>
  <c r="Q23" i="213"/>
  <c r="R22" i="213"/>
  <c r="Q22" i="213"/>
  <c r="R21" i="213"/>
  <c r="Q21" i="213"/>
  <c r="R20" i="213"/>
  <c r="Q20" i="213"/>
  <c r="R19" i="213"/>
  <c r="Q19" i="213"/>
  <c r="R18" i="213"/>
  <c r="Q18" i="213"/>
  <c r="R17" i="213"/>
  <c r="Q17" i="213"/>
  <c r="R15" i="213"/>
  <c r="Q15" i="213"/>
  <c r="R14" i="213"/>
  <c r="Q14" i="213"/>
  <c r="R13" i="213"/>
  <c r="Q13" i="213"/>
  <c r="R12" i="213"/>
  <c r="Q12" i="213"/>
  <c r="R11" i="213"/>
  <c r="Q11" i="213"/>
  <c r="R10" i="213"/>
  <c r="A41" i="221"/>
  <c r="C47" i="217"/>
  <c r="C46" i="219"/>
  <c r="U87" i="213"/>
  <c r="S87" i="213"/>
  <c r="P73" i="210"/>
  <c r="W49" i="207"/>
  <c r="D81" i="36"/>
  <c r="D82" i="36"/>
  <c r="D2173" i="184" s="1"/>
  <c r="E48" i="220"/>
  <c r="E46" i="220"/>
  <c r="E47" i="220"/>
  <c r="E45" i="220"/>
  <c r="E17" i="220"/>
  <c r="E44" i="220"/>
  <c r="E43" i="220"/>
  <c r="E42" i="220"/>
  <c r="E41" i="220"/>
  <c r="E40" i="220"/>
  <c r="E39" i="220"/>
  <c r="E38" i="220"/>
  <c r="E37" i="220"/>
  <c r="E36" i="220"/>
  <c r="E35" i="220"/>
  <c r="E34" i="220"/>
  <c r="E33" i="220"/>
  <c r="E32" i="220"/>
  <c r="E31" i="220"/>
  <c r="E30" i="220"/>
  <c r="E29" i="220"/>
  <c r="E28" i="220"/>
  <c r="E27" i="220"/>
  <c r="E26" i="220"/>
  <c r="E25" i="220"/>
  <c r="E24" i="220"/>
  <c r="E23" i="220"/>
  <c r="E22" i="220"/>
  <c r="E21" i="220"/>
  <c r="E20" i="220"/>
  <c r="E19" i="220"/>
  <c r="E18" i="220"/>
  <c r="E16" i="220"/>
  <c r="E15" i="220"/>
  <c r="E14" i="220"/>
  <c r="E13" i="220"/>
  <c r="E12" i="220"/>
  <c r="E11" i="220"/>
  <c r="A5" i="218"/>
  <c r="A3" i="218"/>
  <c r="A2" i="218"/>
  <c r="B48" i="210"/>
  <c r="H82" i="213"/>
  <c r="H87" i="213"/>
  <c r="H80" i="214"/>
  <c r="H83" i="214"/>
  <c r="A43" i="216"/>
  <c r="D81" i="132"/>
  <c r="S36" i="207"/>
  <c r="T92" i="199"/>
  <c r="Z44" i="209" s="1"/>
  <c r="E59" i="176"/>
  <c r="E54" i="176"/>
  <c r="E32" i="176"/>
  <c r="E20" i="176"/>
  <c r="E15" i="176"/>
  <c r="E59" i="171"/>
  <c r="E54" i="171"/>
  <c r="E32" i="171"/>
  <c r="E33" i="171"/>
  <c r="E20" i="171"/>
  <c r="E15" i="171"/>
  <c r="E59" i="166"/>
  <c r="E54" i="166"/>
  <c r="E32" i="166"/>
  <c r="E20" i="166"/>
  <c r="E15" i="166"/>
  <c r="E59" i="161"/>
  <c r="E54" i="161"/>
  <c r="E32" i="161"/>
  <c r="E20" i="161"/>
  <c r="E33" i="161"/>
  <c r="E15" i="161"/>
  <c r="E59" i="194"/>
  <c r="E54" i="194"/>
  <c r="E32" i="194"/>
  <c r="E33" i="194"/>
  <c r="E20" i="194"/>
  <c r="E15" i="194"/>
  <c r="E59" i="156"/>
  <c r="E54" i="156"/>
  <c r="E32" i="156"/>
  <c r="E20" i="156"/>
  <c r="E15" i="156"/>
  <c r="E33" i="156"/>
  <c r="E59" i="151"/>
  <c r="E54" i="151"/>
  <c r="E32" i="151"/>
  <c r="E20" i="151"/>
  <c r="E15" i="151"/>
  <c r="E33" i="151"/>
  <c r="E59" i="146"/>
  <c r="E54" i="146"/>
  <c r="E32" i="146"/>
  <c r="E20" i="146"/>
  <c r="E15" i="146"/>
  <c r="E59" i="141"/>
  <c r="E54" i="141"/>
  <c r="E32" i="141"/>
  <c r="E20" i="141"/>
  <c r="E33" i="141"/>
  <c r="E15" i="141"/>
  <c r="E59" i="136"/>
  <c r="E54" i="136"/>
  <c r="E32" i="136"/>
  <c r="E33" i="136"/>
  <c r="E20" i="136"/>
  <c r="E15" i="136"/>
  <c r="E59" i="131"/>
  <c r="E54" i="131"/>
  <c r="E32" i="131"/>
  <c r="E20" i="131"/>
  <c r="E15" i="131"/>
  <c r="E59" i="126"/>
  <c r="E54" i="126"/>
  <c r="E32" i="126"/>
  <c r="E20" i="126"/>
  <c r="E33" i="126"/>
  <c r="E15" i="126"/>
  <c r="E59" i="121"/>
  <c r="E54" i="121"/>
  <c r="E32" i="121"/>
  <c r="E20" i="121"/>
  <c r="E15" i="121"/>
  <c r="E59" i="116"/>
  <c r="E54" i="116"/>
  <c r="E32" i="116"/>
  <c r="E20" i="116"/>
  <c r="E15" i="116"/>
  <c r="E33" i="116"/>
  <c r="E59" i="111"/>
  <c r="E54" i="111"/>
  <c r="E32" i="111"/>
  <c r="E20" i="111"/>
  <c r="E33" i="111"/>
  <c r="E15" i="111"/>
  <c r="E59" i="106"/>
  <c r="E54" i="106"/>
  <c r="E32" i="106"/>
  <c r="E20" i="106"/>
  <c r="E15" i="106"/>
  <c r="E59" i="202"/>
  <c r="E54" i="202"/>
  <c r="E32" i="202"/>
  <c r="E20" i="202"/>
  <c r="E15" i="202"/>
  <c r="E59" i="198"/>
  <c r="E54" i="198"/>
  <c r="E32" i="198"/>
  <c r="E20" i="198"/>
  <c r="E15" i="198"/>
  <c r="E59" i="101"/>
  <c r="E54" i="101"/>
  <c r="E32" i="101"/>
  <c r="E20" i="101"/>
  <c r="E15" i="101"/>
  <c r="E59" i="96"/>
  <c r="E54" i="96"/>
  <c r="E32" i="96"/>
  <c r="E20" i="96"/>
  <c r="E33" i="96"/>
  <c r="E15" i="96"/>
  <c r="E59" i="91"/>
  <c r="E54" i="91"/>
  <c r="E32" i="91"/>
  <c r="E33" i="91"/>
  <c r="E20" i="91"/>
  <c r="E15" i="91"/>
  <c r="E59" i="86"/>
  <c r="E54" i="86"/>
  <c r="E32" i="86"/>
  <c r="E20" i="86"/>
  <c r="E15" i="86"/>
  <c r="E33" i="86"/>
  <c r="E59" i="81"/>
  <c r="E54" i="81"/>
  <c r="E32" i="81"/>
  <c r="E20" i="81"/>
  <c r="E15" i="81"/>
  <c r="E59" i="76"/>
  <c r="E54" i="76"/>
  <c r="E32" i="76"/>
  <c r="E33" i="76"/>
  <c r="E20" i="76"/>
  <c r="E15" i="76"/>
  <c r="E59" i="71"/>
  <c r="E54" i="71"/>
  <c r="E32" i="71"/>
  <c r="E20" i="71"/>
  <c r="E15" i="71"/>
  <c r="E59" i="66"/>
  <c r="E54" i="66"/>
  <c r="E32" i="66"/>
  <c r="E20" i="66"/>
  <c r="E15" i="66"/>
  <c r="E33" i="66"/>
  <c r="E59" i="61"/>
  <c r="E54" i="61"/>
  <c r="E32" i="61"/>
  <c r="E20" i="61"/>
  <c r="E15" i="61"/>
  <c r="E59" i="56"/>
  <c r="E54" i="56"/>
  <c r="E32" i="56"/>
  <c r="E20" i="56"/>
  <c r="E33" i="56"/>
  <c r="E15" i="56"/>
  <c r="E59" i="51"/>
  <c r="E54" i="51"/>
  <c r="E32" i="51"/>
  <c r="E20" i="51"/>
  <c r="E15" i="51"/>
  <c r="E59" i="46"/>
  <c r="E54" i="46"/>
  <c r="E32" i="46"/>
  <c r="E20" i="46"/>
  <c r="E15" i="46"/>
  <c r="E33" i="46"/>
  <c r="E59" i="41"/>
  <c r="E54" i="41"/>
  <c r="E32" i="41"/>
  <c r="E20" i="41"/>
  <c r="E15" i="41"/>
  <c r="E33" i="198"/>
  <c r="E33" i="51"/>
  <c r="E33" i="121"/>
  <c r="E33" i="166"/>
  <c r="E59" i="35"/>
  <c r="E54" i="35"/>
  <c r="E32" i="35"/>
  <c r="E20" i="35"/>
  <c r="E15" i="35"/>
  <c r="E33" i="35"/>
  <c r="E66" i="30"/>
  <c r="E61" i="30"/>
  <c r="E38" i="30"/>
  <c r="E20" i="30"/>
  <c r="E15" i="30"/>
  <c r="E59" i="25"/>
  <c r="E54" i="25"/>
  <c r="E32" i="25"/>
  <c r="E20" i="25"/>
  <c r="E15" i="25"/>
  <c r="E33" i="25"/>
  <c r="E59" i="20"/>
  <c r="E54" i="20"/>
  <c r="E32" i="20"/>
  <c r="E20" i="20"/>
  <c r="E15" i="20"/>
  <c r="E33" i="20"/>
  <c r="E59" i="2"/>
  <c r="E54" i="2"/>
  <c r="E32" i="2"/>
  <c r="E20" i="2"/>
  <c r="E15" i="2"/>
  <c r="F10" i="214"/>
  <c r="F47" i="214"/>
  <c r="F45" i="214"/>
  <c r="F44" i="214"/>
  <c r="F16" i="214"/>
  <c r="F43" i="214"/>
  <c r="F42" i="214"/>
  <c r="F41" i="214"/>
  <c r="F40" i="214"/>
  <c r="F39" i="214"/>
  <c r="F38" i="214"/>
  <c r="F37" i="214"/>
  <c r="F36" i="214"/>
  <c r="F35" i="214"/>
  <c r="F34" i="214"/>
  <c r="F33" i="214"/>
  <c r="F32" i="214"/>
  <c r="F31" i="214"/>
  <c r="F30" i="214"/>
  <c r="F29" i="214"/>
  <c r="F28" i="214"/>
  <c r="F27" i="214"/>
  <c r="F26" i="214"/>
  <c r="F25" i="214"/>
  <c r="F24" i="214"/>
  <c r="F23" i="214"/>
  <c r="F22" i="214"/>
  <c r="F21" i="214"/>
  <c r="F20" i="214"/>
  <c r="F19" i="214"/>
  <c r="F18" i="214"/>
  <c r="F17" i="214"/>
  <c r="F15" i="214"/>
  <c r="F14" i="214"/>
  <c r="F13" i="214"/>
  <c r="F59" i="214"/>
  <c r="F12" i="214"/>
  <c r="F11" i="214"/>
  <c r="E95" i="181"/>
  <c r="E90" i="181"/>
  <c r="E68" i="181"/>
  <c r="E56" i="181"/>
  <c r="E51" i="181"/>
  <c r="E69" i="181"/>
  <c r="E59" i="15"/>
  <c r="E54" i="15"/>
  <c r="E32" i="15"/>
  <c r="E20" i="15"/>
  <c r="E15" i="15"/>
  <c r="E33" i="15"/>
  <c r="T92" i="177"/>
  <c r="T92" i="172"/>
  <c r="T92" i="167"/>
  <c r="T92" i="162"/>
  <c r="AF43" i="231"/>
  <c r="T92" i="195"/>
  <c r="T92" i="157"/>
  <c r="T92" i="152"/>
  <c r="T92" i="147"/>
  <c r="AF39" i="231" s="1"/>
  <c r="T92" i="142"/>
  <c r="T92" i="137"/>
  <c r="AF18" i="213"/>
  <c r="T92" i="132"/>
  <c r="T92" i="127"/>
  <c r="AF35" i="231" s="1"/>
  <c r="T92" i="122"/>
  <c r="T92" i="117"/>
  <c r="T92" i="112"/>
  <c r="T92" i="107"/>
  <c r="AF31" i="231"/>
  <c r="T92" i="203"/>
  <c r="AF30" i="231" s="1"/>
  <c r="T92" i="102"/>
  <c r="T92" i="97"/>
  <c r="Y13" i="230" s="1"/>
  <c r="AF26" i="231"/>
  <c r="T92" i="87"/>
  <c r="AF25" i="231"/>
  <c r="T92" i="82"/>
  <c r="T92" i="72"/>
  <c r="T92" i="67"/>
  <c r="AF21" i="213" s="1"/>
  <c r="T92" i="62"/>
  <c r="T92" i="57"/>
  <c r="Z22" i="209"/>
  <c r="T92" i="52"/>
  <c r="T40" i="210" s="1"/>
  <c r="T92" i="47"/>
  <c r="W37" i="220" s="1"/>
  <c r="T92" i="42"/>
  <c r="T92" i="36"/>
  <c r="T92" i="26"/>
  <c r="AF14" i="231"/>
  <c r="T92" i="21"/>
  <c r="AF13" i="231" s="1"/>
  <c r="T92" i="16"/>
  <c r="T92" i="13"/>
  <c r="T30" i="210" s="1"/>
  <c r="D81" i="157"/>
  <c r="D81" i="195"/>
  <c r="D2167" i="184"/>
  <c r="D638" i="184"/>
  <c r="D81" i="147"/>
  <c r="D81" i="102"/>
  <c r="D2155" i="184" s="1"/>
  <c r="D81" i="203"/>
  <c r="D81" i="199"/>
  <c r="D81" i="97"/>
  <c r="D620" i="184"/>
  <c r="D81" i="72"/>
  <c r="D627" i="184"/>
  <c r="D81" i="87"/>
  <c r="D81" i="82"/>
  <c r="D624" i="184"/>
  <c r="D513" i="184"/>
  <c r="D81" i="78"/>
  <c r="D81" i="67"/>
  <c r="D613" i="184"/>
  <c r="D81" i="62"/>
  <c r="D2152" i="184"/>
  <c r="D81" i="57"/>
  <c r="D619" i="184"/>
  <c r="D81" i="167"/>
  <c r="D504" i="184"/>
  <c r="D81" i="172"/>
  <c r="D2157" i="184" s="1"/>
  <c r="D517" i="184"/>
  <c r="D81" i="137"/>
  <c r="D520" i="184"/>
  <c r="D81" i="107"/>
  <c r="D81" i="117"/>
  <c r="D635" i="184"/>
  <c r="D81" i="112"/>
  <c r="D81" i="162"/>
  <c r="D2140" i="184"/>
  <c r="D611" i="184"/>
  <c r="D81" i="122"/>
  <c r="D2165" i="184" s="1"/>
  <c r="D81" i="52"/>
  <c r="D81" i="47"/>
  <c r="D612" i="184"/>
  <c r="D609" i="184"/>
  <c r="D607" i="184"/>
  <c r="D28" i="127"/>
  <c r="D610" i="184" s="1"/>
  <c r="D81" i="16"/>
  <c r="D81" i="177"/>
  <c r="D2159" i="184" s="1"/>
  <c r="E46" i="209"/>
  <c r="E45" i="209"/>
  <c r="E44" i="209"/>
  <c r="E43" i="209"/>
  <c r="E42" i="209"/>
  <c r="E41" i="209"/>
  <c r="E40" i="209"/>
  <c r="E39" i="209"/>
  <c r="E38" i="209"/>
  <c r="E37" i="209"/>
  <c r="E36" i="209"/>
  <c r="E35" i="209"/>
  <c r="E34" i="209"/>
  <c r="E33" i="209"/>
  <c r="E32" i="209"/>
  <c r="E31" i="209"/>
  <c r="E30" i="209"/>
  <c r="E29" i="209"/>
  <c r="E28" i="209"/>
  <c r="E27" i="209"/>
  <c r="E26" i="209"/>
  <c r="E25" i="209"/>
  <c r="E24" i="209"/>
  <c r="E23" i="209"/>
  <c r="E22" i="209"/>
  <c r="E21" i="209"/>
  <c r="E20" i="209"/>
  <c r="E19" i="209"/>
  <c r="E18" i="209"/>
  <c r="E17" i="209"/>
  <c r="E16" i="209"/>
  <c r="E15" i="209"/>
  <c r="E14" i="209"/>
  <c r="E13" i="209"/>
  <c r="E12" i="209"/>
  <c r="E11" i="209"/>
  <c r="E10" i="209"/>
  <c r="D42" i="212"/>
  <c r="D30" i="212"/>
  <c r="D29" i="212"/>
  <c r="D15" i="212"/>
  <c r="D28" i="212"/>
  <c r="D34" i="212"/>
  <c r="D33" i="212"/>
  <c r="D32" i="212"/>
  <c r="D18" i="212"/>
  <c r="D23" i="212"/>
  <c r="D20" i="212"/>
  <c r="D17" i="212"/>
  <c r="D16" i="212"/>
  <c r="D13" i="212"/>
  <c r="D25" i="212"/>
  <c r="D26" i="212"/>
  <c r="D14" i="212"/>
  <c r="D12" i="212"/>
  <c r="D11" i="212"/>
  <c r="D31" i="212"/>
  <c r="D46" i="212"/>
  <c r="D39" i="212"/>
  <c r="D45" i="212"/>
  <c r="D24" i="212"/>
  <c r="D19" i="212"/>
  <c r="D22" i="212"/>
  <c r="D21" i="212"/>
  <c r="D38" i="212"/>
  <c r="D44" i="212"/>
  <c r="D37" i="212"/>
  <c r="D36" i="212"/>
  <c r="D41" i="212"/>
  <c r="D43" i="212"/>
  <c r="D35" i="212"/>
  <c r="D27" i="212"/>
  <c r="D40" i="212"/>
  <c r="L62" i="13"/>
  <c r="L1574" i="184" s="1"/>
  <c r="L20" i="13"/>
  <c r="L308" i="184" s="1"/>
  <c r="L32" i="13"/>
  <c r="L716" i="184"/>
  <c r="L60" i="13"/>
  <c r="L1500" i="184"/>
  <c r="L32" i="16"/>
  <c r="L718" i="184"/>
  <c r="L33" i="16"/>
  <c r="L33" i="13"/>
  <c r="V47" i="209"/>
  <c r="V72" i="209"/>
  <c r="U47" i="209"/>
  <c r="U72" i="209"/>
  <c r="T47" i="209"/>
  <c r="T72" i="209"/>
  <c r="S47" i="209"/>
  <c r="S72" i="209"/>
  <c r="R47" i="209"/>
  <c r="R72" i="209"/>
  <c r="A1" i="61"/>
  <c r="D39" i="192"/>
  <c r="E39" i="192"/>
  <c r="M100" i="177"/>
  <c r="M2574" i="184" s="1"/>
  <c r="Q92" i="177"/>
  <c r="O92" i="177"/>
  <c r="L92" i="177"/>
  <c r="L2494" i="184" s="1"/>
  <c r="K92" i="177"/>
  <c r="K2494" i="184"/>
  <c r="J92" i="177"/>
  <c r="J2494" i="184"/>
  <c r="I92" i="177"/>
  <c r="I2494" i="184" s="1"/>
  <c r="H92" i="177"/>
  <c r="H2494" i="184" s="1"/>
  <c r="G92" i="177"/>
  <c r="G2494" i="184" s="1"/>
  <c r="F92" i="177"/>
  <c r="F2494" i="184"/>
  <c r="E92" i="177"/>
  <c r="E2494" i="184" s="1"/>
  <c r="D92" i="177"/>
  <c r="D2494" i="184" s="1"/>
  <c r="L91" i="177"/>
  <c r="L2457" i="184" s="1"/>
  <c r="K91" i="177"/>
  <c r="K2457" i="184" s="1"/>
  <c r="J91" i="177"/>
  <c r="J2457" i="184"/>
  <c r="I91" i="177"/>
  <c r="I2457" i="184" s="1"/>
  <c r="H91" i="177"/>
  <c r="G91" i="177"/>
  <c r="G2457" i="184" s="1"/>
  <c r="F91" i="177"/>
  <c r="F2457" i="184" s="1"/>
  <c r="E91" i="177"/>
  <c r="E2457" i="184"/>
  <c r="D91" i="177"/>
  <c r="D2457" i="184" s="1"/>
  <c r="L90" i="177"/>
  <c r="L2420" i="184" s="1"/>
  <c r="K90" i="177"/>
  <c r="K2420" i="184" s="1"/>
  <c r="J90" i="177"/>
  <c r="J2420" i="184"/>
  <c r="I90" i="177"/>
  <c r="I2420" i="184" s="1"/>
  <c r="H90" i="177"/>
  <c r="G90" i="177"/>
  <c r="G2420" i="184" s="1"/>
  <c r="F90" i="177"/>
  <c r="F2420" i="184" s="1"/>
  <c r="E90" i="177"/>
  <c r="E2420" i="184"/>
  <c r="D90" i="177"/>
  <c r="L89" i="177"/>
  <c r="L2383" i="184" s="1"/>
  <c r="K89" i="177"/>
  <c r="K2383" i="184" s="1"/>
  <c r="J89" i="177"/>
  <c r="J2383" i="184"/>
  <c r="I89" i="177"/>
  <c r="I2383" i="184" s="1"/>
  <c r="H89" i="177"/>
  <c r="H2383" i="184" s="1"/>
  <c r="G89" i="177"/>
  <c r="G2383" i="184" s="1"/>
  <c r="F89" i="177"/>
  <c r="F2383" i="184"/>
  <c r="E89" i="177"/>
  <c r="D89" i="177"/>
  <c r="L88" i="177"/>
  <c r="L2346" i="184"/>
  <c r="K88" i="177"/>
  <c r="K2346" i="184" s="1"/>
  <c r="J88" i="177"/>
  <c r="J2346" i="184" s="1"/>
  <c r="I88" i="177"/>
  <c r="I2346" i="184" s="1"/>
  <c r="H88" i="177"/>
  <c r="H2346" i="184"/>
  <c r="G88" i="177"/>
  <c r="G2346" i="184" s="1"/>
  <c r="F88" i="177"/>
  <c r="F2346" i="184" s="1"/>
  <c r="E88" i="177"/>
  <c r="D88" i="177"/>
  <c r="D2346" i="184" s="1"/>
  <c r="L87" i="177"/>
  <c r="L2309" i="184" s="1"/>
  <c r="K87" i="177"/>
  <c r="K2309" i="184"/>
  <c r="J87" i="177"/>
  <c r="J2309" i="184"/>
  <c r="I87" i="177"/>
  <c r="I2309" i="184" s="1"/>
  <c r="H87" i="177"/>
  <c r="H2309" i="184" s="1"/>
  <c r="G87" i="177"/>
  <c r="G2309" i="184"/>
  <c r="F87" i="177"/>
  <c r="F2309" i="184"/>
  <c r="E87" i="177"/>
  <c r="E2309" i="184" s="1"/>
  <c r="D87" i="177"/>
  <c r="D2309" i="184" s="1"/>
  <c r="L82" i="177"/>
  <c r="L2196" i="184"/>
  <c r="K82" i="177"/>
  <c r="K2196" i="184"/>
  <c r="J82" i="177"/>
  <c r="J2196" i="184" s="1"/>
  <c r="I82" i="177"/>
  <c r="I2196" i="184" s="1"/>
  <c r="H82" i="177"/>
  <c r="H2196" i="184"/>
  <c r="G82" i="177"/>
  <c r="G2196" i="184"/>
  <c r="F82" i="177"/>
  <c r="F2196" i="184" s="1"/>
  <c r="E82" i="177"/>
  <c r="E2196" i="184" s="1"/>
  <c r="D82" i="177"/>
  <c r="D2196" i="184"/>
  <c r="L81" i="177"/>
  <c r="L2159" i="184"/>
  <c r="K81" i="177"/>
  <c r="K2159" i="184" s="1"/>
  <c r="J81" i="177"/>
  <c r="J2159" i="184" s="1"/>
  <c r="I81" i="177"/>
  <c r="H81" i="177"/>
  <c r="H2159" i="184"/>
  <c r="G81" i="177"/>
  <c r="G2159" i="184" s="1"/>
  <c r="F81" i="177"/>
  <c r="E81" i="177"/>
  <c r="R80" i="177"/>
  <c r="L116" i="177" s="1"/>
  <c r="R77" i="177"/>
  <c r="L115" i="177" s="1"/>
  <c r="L77" i="177"/>
  <c r="K77" i="177"/>
  <c r="K2083" i="184" s="1"/>
  <c r="J77" i="177"/>
  <c r="J2083" i="184" s="1"/>
  <c r="I77" i="177"/>
  <c r="H77" i="177"/>
  <c r="H2083" i="184" s="1"/>
  <c r="G77" i="177"/>
  <c r="G2083" i="184" s="1"/>
  <c r="F77" i="177"/>
  <c r="F2083" i="184"/>
  <c r="E77" i="177"/>
  <c r="E2083" i="184" s="1"/>
  <c r="D77" i="177"/>
  <c r="D2083" i="184" s="1"/>
  <c r="L76" i="177"/>
  <c r="K76" i="177"/>
  <c r="K2046" i="184" s="1"/>
  <c r="J76" i="177"/>
  <c r="I76" i="177"/>
  <c r="I2046" i="184" s="1"/>
  <c r="H76" i="177"/>
  <c r="H2046" i="184"/>
  <c r="G76" i="177"/>
  <c r="G2046" i="184" s="1"/>
  <c r="F76" i="177"/>
  <c r="D52" i="176"/>
  <c r="E76" i="177"/>
  <c r="E2046" i="184" s="1"/>
  <c r="D76" i="177"/>
  <c r="D2046" i="184" s="1"/>
  <c r="L75" i="177"/>
  <c r="K75" i="177"/>
  <c r="K2009" i="184" s="1"/>
  <c r="J75" i="177"/>
  <c r="J2009" i="184" s="1"/>
  <c r="I75" i="177"/>
  <c r="I2009" i="184" s="1"/>
  <c r="H75" i="177"/>
  <c r="H2009" i="184" s="1"/>
  <c r="G75" i="177"/>
  <c r="G2009" i="184" s="1"/>
  <c r="F75" i="177"/>
  <c r="E75" i="177"/>
  <c r="E2009" i="184" s="1"/>
  <c r="D75" i="177"/>
  <c r="D2009" i="184"/>
  <c r="L74" i="177"/>
  <c r="L1972" i="184" s="1"/>
  <c r="K74" i="177"/>
  <c r="J74" i="177"/>
  <c r="J1972" i="184" s="1"/>
  <c r="I74" i="177"/>
  <c r="I1972" i="184" s="1"/>
  <c r="H74" i="177"/>
  <c r="H1972" i="184"/>
  <c r="G74" i="177"/>
  <c r="G1972" i="184" s="1"/>
  <c r="F74" i="177"/>
  <c r="E74" i="177"/>
  <c r="E1972" i="184" s="1"/>
  <c r="D74" i="177"/>
  <c r="L70" i="177"/>
  <c r="L1896" i="184" s="1"/>
  <c r="K70" i="177"/>
  <c r="K1896" i="184" s="1"/>
  <c r="J70" i="177"/>
  <c r="J1896" i="184" s="1"/>
  <c r="I70" i="177"/>
  <c r="I1896" i="184" s="1"/>
  <c r="H70" i="177"/>
  <c r="H1896" i="184" s="1"/>
  <c r="G70" i="177"/>
  <c r="F70" i="177"/>
  <c r="E70" i="177"/>
  <c r="E1896" i="184" s="1"/>
  <c r="D70" i="177"/>
  <c r="L69" i="177"/>
  <c r="L1859" i="184" s="1"/>
  <c r="K69" i="177"/>
  <c r="K1859" i="184" s="1"/>
  <c r="J69" i="177"/>
  <c r="J1859" i="184"/>
  <c r="I69" i="177"/>
  <c r="I1859" i="184" s="1"/>
  <c r="H69" i="177"/>
  <c r="G69" i="177"/>
  <c r="G1859" i="184"/>
  <c r="F69" i="177"/>
  <c r="E69" i="177"/>
  <c r="E1859" i="184" s="1"/>
  <c r="D69" i="177"/>
  <c r="D1859" i="184" s="1"/>
  <c r="AA68" i="177"/>
  <c r="P68" i="177"/>
  <c r="D332" i="191"/>
  <c r="L68" i="177"/>
  <c r="L1822" i="184" s="1"/>
  <c r="K68" i="177"/>
  <c r="K1822" i="184" s="1"/>
  <c r="J68" i="177"/>
  <c r="J1822" i="184" s="1"/>
  <c r="I68" i="177"/>
  <c r="I1822" i="184" s="1"/>
  <c r="H68" i="177"/>
  <c r="H1822" i="184" s="1"/>
  <c r="G68" i="177"/>
  <c r="G1822" i="184" s="1"/>
  <c r="F68" i="177"/>
  <c r="F1822" i="184" s="1"/>
  <c r="E68" i="177"/>
  <c r="E1822" i="184" s="1"/>
  <c r="D68" i="177"/>
  <c r="D1822" i="184" s="1"/>
  <c r="AA67" i="177"/>
  <c r="W67" i="177"/>
  <c r="K295" i="191" s="1"/>
  <c r="V67" i="177"/>
  <c r="J295" i="191"/>
  <c r="P67" i="177"/>
  <c r="U67" i="177" s="1"/>
  <c r="L67" i="177"/>
  <c r="L1785" i="184" s="1"/>
  <c r="K67" i="177"/>
  <c r="K1785" i="184" s="1"/>
  <c r="J67" i="177"/>
  <c r="J1785" i="184"/>
  <c r="I67" i="177"/>
  <c r="I1785" i="184" s="1"/>
  <c r="H67" i="177"/>
  <c r="H1785" i="184" s="1"/>
  <c r="G67" i="177"/>
  <c r="G1785" i="184" s="1"/>
  <c r="F67" i="177"/>
  <c r="D43" i="176"/>
  <c r="E67" i="177"/>
  <c r="D67" i="177"/>
  <c r="D1785" i="184" s="1"/>
  <c r="AA66" i="177"/>
  <c r="W66" i="177"/>
  <c r="K258" i="191" s="1"/>
  <c r="V66" i="177"/>
  <c r="J258" i="191"/>
  <c r="P66" i="177"/>
  <c r="D258" i="191" s="1"/>
  <c r="L66" i="177"/>
  <c r="L1748" i="184" s="1"/>
  <c r="K66" i="177"/>
  <c r="K1748" i="184" s="1"/>
  <c r="J66" i="177"/>
  <c r="J1748" i="184"/>
  <c r="I66" i="177"/>
  <c r="I1748" i="184" s="1"/>
  <c r="H66" i="177"/>
  <c r="H1748" i="184" s="1"/>
  <c r="G66" i="177"/>
  <c r="F66" i="177"/>
  <c r="E66" i="177"/>
  <c r="E1748" i="184"/>
  <c r="D66" i="177"/>
  <c r="D1748" i="184" s="1"/>
  <c r="AA65" i="177"/>
  <c r="W65" i="177"/>
  <c r="K221" i="191" s="1"/>
  <c r="V65" i="177"/>
  <c r="J221" i="191" s="1"/>
  <c r="P65" i="177"/>
  <c r="L65" i="177"/>
  <c r="K65" i="177"/>
  <c r="K1711" i="184" s="1"/>
  <c r="J65" i="177"/>
  <c r="J1711" i="184" s="1"/>
  <c r="I65" i="177"/>
  <c r="H65" i="177"/>
  <c r="H1711" i="184"/>
  <c r="G65" i="177"/>
  <c r="G1711" i="184" s="1"/>
  <c r="F65" i="177"/>
  <c r="D41" i="176" s="1"/>
  <c r="E65" i="177"/>
  <c r="E1711" i="184" s="1"/>
  <c r="D65" i="177"/>
  <c r="D1711" i="184"/>
  <c r="AA64" i="177"/>
  <c r="W64" i="177"/>
  <c r="V64" i="177"/>
  <c r="Q64" i="177"/>
  <c r="L111" i="177" s="1"/>
  <c r="P64" i="177"/>
  <c r="L64" i="177"/>
  <c r="K64" i="177"/>
  <c r="K1674" i="184"/>
  <c r="J64" i="177"/>
  <c r="J1674" i="184" s="1"/>
  <c r="I64" i="177"/>
  <c r="I1674" i="184" s="1"/>
  <c r="H64" i="177"/>
  <c r="G64" i="177"/>
  <c r="G1674" i="184" s="1"/>
  <c r="F64" i="177"/>
  <c r="F1674" i="184" s="1"/>
  <c r="E64" i="177"/>
  <c r="E1674" i="184"/>
  <c r="D64" i="177"/>
  <c r="D1674" i="184" s="1"/>
  <c r="AA63" i="177"/>
  <c r="W63" i="177"/>
  <c r="K147" i="191"/>
  <c r="V63" i="177"/>
  <c r="J147" i="191" s="1"/>
  <c r="P63" i="177"/>
  <c r="U63" i="177" s="1"/>
  <c r="I147" i="191" s="1"/>
  <c r="L63" i="177"/>
  <c r="L1637" i="184"/>
  <c r="K63" i="177"/>
  <c r="J63" i="177"/>
  <c r="J1637" i="184" s="1"/>
  <c r="I63" i="177"/>
  <c r="I1637" i="184" s="1"/>
  <c r="H63" i="177"/>
  <c r="H1637" i="184" s="1"/>
  <c r="G63" i="177"/>
  <c r="G1637" i="184"/>
  <c r="F63" i="177"/>
  <c r="F1637" i="184" s="1"/>
  <c r="E63" i="177"/>
  <c r="E1637" i="184" s="1"/>
  <c r="D63" i="177"/>
  <c r="D1637" i="184" s="1"/>
  <c r="AA62" i="177"/>
  <c r="W62" i="177"/>
  <c r="V62" i="177"/>
  <c r="J110" i="191" s="1"/>
  <c r="P62" i="177"/>
  <c r="U62" i="177" s="1"/>
  <c r="L62" i="177"/>
  <c r="L1600" i="184"/>
  <c r="K62" i="177"/>
  <c r="K1600" i="184" s="1"/>
  <c r="J62" i="177"/>
  <c r="J1600" i="184" s="1"/>
  <c r="I62" i="177"/>
  <c r="I1600" i="184" s="1"/>
  <c r="H62" i="177"/>
  <c r="H1600" i="184" s="1"/>
  <c r="G62" i="177"/>
  <c r="G1600" i="184"/>
  <c r="F62" i="177"/>
  <c r="E62" i="177"/>
  <c r="E1600" i="184"/>
  <c r="D62" i="177"/>
  <c r="D1600" i="184" s="1"/>
  <c r="AA61" i="177"/>
  <c r="W61" i="177"/>
  <c r="V61" i="177"/>
  <c r="P61" i="177"/>
  <c r="L61" i="177"/>
  <c r="L1563" i="184" s="1"/>
  <c r="K61" i="177"/>
  <c r="K1563" i="184" s="1"/>
  <c r="J61" i="177"/>
  <c r="I61" i="177"/>
  <c r="I1563" i="184" s="1"/>
  <c r="H61" i="177"/>
  <c r="H1563" i="184" s="1"/>
  <c r="G61" i="177"/>
  <c r="G1563" i="184" s="1"/>
  <c r="F61" i="177"/>
  <c r="E61" i="177"/>
  <c r="E1563" i="184"/>
  <c r="D61" i="177"/>
  <c r="D1563" i="184" s="1"/>
  <c r="AA60" i="177"/>
  <c r="W60" i="177"/>
  <c r="K36" i="191" s="1"/>
  <c r="V60" i="177"/>
  <c r="P60" i="177"/>
  <c r="L60" i="177"/>
  <c r="L1526" i="184" s="1"/>
  <c r="K60" i="177"/>
  <c r="K1526" i="184" s="1"/>
  <c r="J60" i="177"/>
  <c r="J1526" i="184" s="1"/>
  <c r="I60" i="177"/>
  <c r="I1526" i="184" s="1"/>
  <c r="H60" i="177"/>
  <c r="H1526" i="184"/>
  <c r="G60" i="177"/>
  <c r="G1526" i="184" s="1"/>
  <c r="F60" i="177"/>
  <c r="E60" i="177"/>
  <c r="D60" i="177"/>
  <c r="D1526" i="184"/>
  <c r="L1413" i="184"/>
  <c r="K1413" i="184"/>
  <c r="H1413" i="184"/>
  <c r="D31" i="176"/>
  <c r="E1413" i="184"/>
  <c r="D1413" i="184"/>
  <c r="L1376" i="184"/>
  <c r="J1376" i="184"/>
  <c r="I1376" i="184"/>
  <c r="E1376" i="184"/>
  <c r="J1339" i="184"/>
  <c r="F1339" i="184"/>
  <c r="L1302" i="184"/>
  <c r="H1302" i="184"/>
  <c r="G1302" i="184"/>
  <c r="L1265" i="184"/>
  <c r="I1265" i="184"/>
  <c r="H1265" i="184"/>
  <c r="E1265" i="184"/>
  <c r="D1265" i="184"/>
  <c r="J1228" i="184"/>
  <c r="H1228" i="184"/>
  <c r="E1228" i="184"/>
  <c r="K1189" i="184"/>
  <c r="J1189" i="184"/>
  <c r="F1189" i="184"/>
  <c r="J1075" i="184"/>
  <c r="I1075" i="184"/>
  <c r="H1075" i="184"/>
  <c r="D1075" i="184"/>
  <c r="K1038" i="184"/>
  <c r="J1038" i="184"/>
  <c r="K1001" i="184"/>
  <c r="G1001" i="184"/>
  <c r="K964" i="184"/>
  <c r="E964" i="184"/>
  <c r="L927" i="184"/>
  <c r="J927" i="184"/>
  <c r="E927" i="184"/>
  <c r="D927" i="184"/>
  <c r="I890" i="184"/>
  <c r="G890" i="184"/>
  <c r="L35" i="177"/>
  <c r="K35" i="177"/>
  <c r="K853" i="184" s="1"/>
  <c r="J35" i="177"/>
  <c r="J853" i="184"/>
  <c r="I35" i="177"/>
  <c r="I853" i="184" s="1"/>
  <c r="H35" i="177"/>
  <c r="G35" i="177"/>
  <c r="G853" i="184" s="1"/>
  <c r="F35" i="177"/>
  <c r="F853" i="184" s="1"/>
  <c r="E35" i="177"/>
  <c r="E853" i="184" s="1"/>
  <c r="D35" i="177"/>
  <c r="D853" i="184" s="1"/>
  <c r="R34" i="177"/>
  <c r="L109" i="177" s="1"/>
  <c r="L34" i="177"/>
  <c r="L816" i="184"/>
  <c r="K34" i="177"/>
  <c r="K816" i="184" s="1"/>
  <c r="J34" i="177"/>
  <c r="I34" i="177"/>
  <c r="I816" i="184"/>
  <c r="H34" i="177"/>
  <c r="H816" i="184" s="1"/>
  <c r="G34" i="177"/>
  <c r="G816" i="184"/>
  <c r="F34" i="177"/>
  <c r="F816" i="184" s="1"/>
  <c r="E34" i="177"/>
  <c r="E816" i="184"/>
  <c r="D34" i="177"/>
  <c r="D816" i="184" s="1"/>
  <c r="L33" i="177"/>
  <c r="L779" i="184" s="1"/>
  <c r="K33" i="177"/>
  <c r="K779" i="184" s="1"/>
  <c r="J33" i="177"/>
  <c r="J779" i="184"/>
  <c r="I33" i="177"/>
  <c r="H33" i="177"/>
  <c r="H779" i="184" s="1"/>
  <c r="G33" i="177"/>
  <c r="G779" i="184" s="1"/>
  <c r="F33" i="177"/>
  <c r="F779" i="184" s="1"/>
  <c r="E33" i="177"/>
  <c r="D33" i="177"/>
  <c r="Q32" i="177"/>
  <c r="L108" i="177"/>
  <c r="L32" i="177"/>
  <c r="L742" i="184"/>
  <c r="K32" i="177"/>
  <c r="K742" i="184" s="1"/>
  <c r="J32" i="177"/>
  <c r="J742" i="184" s="1"/>
  <c r="I32" i="177"/>
  <c r="I742" i="184"/>
  <c r="H32" i="177"/>
  <c r="H742" i="184"/>
  <c r="G32" i="177"/>
  <c r="G742" i="184" s="1"/>
  <c r="F32" i="177"/>
  <c r="E32" i="177"/>
  <c r="E742" i="184" s="1"/>
  <c r="D32" i="177"/>
  <c r="D742" i="184"/>
  <c r="K630" i="184"/>
  <c r="H630" i="184"/>
  <c r="E630" i="184"/>
  <c r="J593" i="184"/>
  <c r="I593" i="184"/>
  <c r="D593" i="184"/>
  <c r="K556" i="184"/>
  <c r="G556" i="184"/>
  <c r="L519" i="184"/>
  <c r="K519" i="184"/>
  <c r="G519" i="184"/>
  <c r="E519" i="184"/>
  <c r="L482" i="184"/>
  <c r="G482" i="184"/>
  <c r="E482" i="184"/>
  <c r="D482" i="184"/>
  <c r="I445" i="184"/>
  <c r="H445" i="184"/>
  <c r="L22" i="177"/>
  <c r="L408" i="184" s="1"/>
  <c r="K22" i="177"/>
  <c r="J22" i="177"/>
  <c r="J408" i="184"/>
  <c r="I22" i="177"/>
  <c r="H22" i="177"/>
  <c r="G22" i="177"/>
  <c r="G408" i="184" s="1"/>
  <c r="F22" i="177"/>
  <c r="E22" i="177"/>
  <c r="E408" i="184"/>
  <c r="D22" i="177"/>
  <c r="L21" i="177"/>
  <c r="L371" i="184" s="1"/>
  <c r="K21" i="177"/>
  <c r="K371" i="184" s="1"/>
  <c r="J21" i="177"/>
  <c r="J371" i="184"/>
  <c r="I21" i="177"/>
  <c r="I371" i="184"/>
  <c r="H21" i="177"/>
  <c r="H371" i="184"/>
  <c r="G21" i="177"/>
  <c r="G371" i="184" s="1"/>
  <c r="F21" i="177"/>
  <c r="E21" i="177"/>
  <c r="D21" i="177"/>
  <c r="D371" i="184" s="1"/>
  <c r="L20" i="177"/>
  <c r="L334" i="184"/>
  <c r="K20" i="177"/>
  <c r="K334" i="184" s="1"/>
  <c r="J20" i="177"/>
  <c r="I20" i="177"/>
  <c r="I334" i="184" s="1"/>
  <c r="H20" i="177"/>
  <c r="H334" i="184" s="1"/>
  <c r="G20" i="177"/>
  <c r="G334" i="184" s="1"/>
  <c r="F20" i="177"/>
  <c r="E20" i="177"/>
  <c r="E334" i="184"/>
  <c r="D20" i="177"/>
  <c r="D334" i="184" s="1"/>
  <c r="L19" i="177"/>
  <c r="K19" i="177"/>
  <c r="K297" i="184" s="1"/>
  <c r="J19" i="177"/>
  <c r="I19" i="177"/>
  <c r="I297" i="184"/>
  <c r="H19" i="177"/>
  <c r="H297" i="184"/>
  <c r="G19" i="177"/>
  <c r="G297" i="184"/>
  <c r="F19" i="177"/>
  <c r="E19" i="177"/>
  <c r="E297" i="184" s="1"/>
  <c r="D19" i="177"/>
  <c r="D297" i="184"/>
  <c r="K184" i="184"/>
  <c r="J184" i="184"/>
  <c r="H184" i="184"/>
  <c r="G184" i="184"/>
  <c r="K147" i="184"/>
  <c r="I147" i="184"/>
  <c r="L110" i="184"/>
  <c r="K110" i="184"/>
  <c r="J110" i="184"/>
  <c r="I110" i="184"/>
  <c r="H110" i="184"/>
  <c r="G110" i="184"/>
  <c r="E110" i="184"/>
  <c r="D110" i="184"/>
  <c r="L73" i="184"/>
  <c r="J73" i="184"/>
  <c r="E73" i="184"/>
  <c r="D73" i="184"/>
  <c r="L36" i="184"/>
  <c r="K36" i="184"/>
  <c r="J36" i="184"/>
  <c r="G36" i="184"/>
  <c r="D36" i="184"/>
  <c r="M100" i="172"/>
  <c r="M2572" i="184"/>
  <c r="Q92" i="172"/>
  <c r="I56" i="215" s="1"/>
  <c r="O92" i="172"/>
  <c r="L92" i="172"/>
  <c r="L2492" i="184" s="1"/>
  <c r="K92" i="172"/>
  <c r="K2492" i="184" s="1"/>
  <c r="J92" i="172"/>
  <c r="J2492" i="184" s="1"/>
  <c r="I92" i="172"/>
  <c r="H92" i="172"/>
  <c r="H2492" i="184" s="1"/>
  <c r="G92" i="172"/>
  <c r="G2492" i="184" s="1"/>
  <c r="F92" i="172"/>
  <c r="F2492" i="184" s="1"/>
  <c r="E92" i="172"/>
  <c r="E2492" i="184" s="1"/>
  <c r="D92" i="172"/>
  <c r="D2492" i="184" s="1"/>
  <c r="L91" i="172"/>
  <c r="L2455" i="184" s="1"/>
  <c r="K91" i="172"/>
  <c r="K2455" i="184" s="1"/>
  <c r="J91" i="172"/>
  <c r="J2455" i="184" s="1"/>
  <c r="I91" i="172"/>
  <c r="I2455" i="184" s="1"/>
  <c r="H91" i="172"/>
  <c r="H2455" i="184" s="1"/>
  <c r="G91" i="172"/>
  <c r="G2455" i="184" s="1"/>
  <c r="F91" i="172"/>
  <c r="F2455" i="184" s="1"/>
  <c r="E91" i="172"/>
  <c r="E2455" i="184"/>
  <c r="D91" i="172"/>
  <c r="D2455" i="184" s="1"/>
  <c r="L90" i="172"/>
  <c r="L2418" i="184" s="1"/>
  <c r="K90" i="172"/>
  <c r="K2418" i="184" s="1"/>
  <c r="J90" i="172"/>
  <c r="J2418" i="184" s="1"/>
  <c r="I90" i="172"/>
  <c r="I2418" i="184" s="1"/>
  <c r="H90" i="172"/>
  <c r="H2418" i="184"/>
  <c r="G90" i="172"/>
  <c r="G2418" i="184" s="1"/>
  <c r="F90" i="172"/>
  <c r="F2418" i="184" s="1"/>
  <c r="E90" i="172"/>
  <c r="E2418" i="184" s="1"/>
  <c r="D90" i="172"/>
  <c r="D2418" i="184" s="1"/>
  <c r="L89" i="172"/>
  <c r="L2381" i="184" s="1"/>
  <c r="K89" i="172"/>
  <c r="K2381" i="184"/>
  <c r="J89" i="172"/>
  <c r="I89" i="172"/>
  <c r="I2381" i="184" s="1"/>
  <c r="H89" i="172"/>
  <c r="H2381" i="184" s="1"/>
  <c r="G89" i="172"/>
  <c r="G2381" i="184" s="1"/>
  <c r="F89" i="172"/>
  <c r="F2381" i="184" s="1"/>
  <c r="E89" i="172"/>
  <c r="E2381" i="184"/>
  <c r="D89" i="172"/>
  <c r="D2381" i="184" s="1"/>
  <c r="L88" i="172"/>
  <c r="L2344" i="184" s="1"/>
  <c r="K88" i="172"/>
  <c r="K2344" i="184" s="1"/>
  <c r="J88" i="172"/>
  <c r="J2344" i="184" s="1"/>
  <c r="I88" i="172"/>
  <c r="I2344" i="184" s="1"/>
  <c r="H88" i="172"/>
  <c r="H2344" i="184" s="1"/>
  <c r="G88" i="172"/>
  <c r="G2344" i="184"/>
  <c r="F88" i="172"/>
  <c r="F2344" i="184"/>
  <c r="E88" i="172"/>
  <c r="E2344" i="184" s="1"/>
  <c r="D88" i="172"/>
  <c r="L87" i="172"/>
  <c r="L2307" i="184" s="1"/>
  <c r="K87" i="172"/>
  <c r="K2307" i="184" s="1"/>
  <c r="J87" i="172"/>
  <c r="J2307" i="184"/>
  <c r="I87" i="172"/>
  <c r="I2307" i="184" s="1"/>
  <c r="H87" i="172"/>
  <c r="H2307" i="184" s="1"/>
  <c r="G87" i="172"/>
  <c r="G2307" i="184" s="1"/>
  <c r="F87" i="172"/>
  <c r="F2307" i="184"/>
  <c r="E87" i="172"/>
  <c r="E2307" i="184" s="1"/>
  <c r="D87" i="172"/>
  <c r="D2307" i="184" s="1"/>
  <c r="L82" i="172"/>
  <c r="L2194" i="184" s="1"/>
  <c r="K82" i="172"/>
  <c r="K2194" i="184" s="1"/>
  <c r="J82" i="172"/>
  <c r="J2194" i="184" s="1"/>
  <c r="I82" i="172"/>
  <c r="I2194" i="184" s="1"/>
  <c r="H82" i="172"/>
  <c r="G82" i="172"/>
  <c r="F82" i="172"/>
  <c r="E82" i="172"/>
  <c r="E2194" i="184" s="1"/>
  <c r="D82" i="172"/>
  <c r="D2194" i="184" s="1"/>
  <c r="L81" i="172"/>
  <c r="L2157" i="184" s="1"/>
  <c r="K81" i="172"/>
  <c r="K2157" i="184"/>
  <c r="J81" i="172"/>
  <c r="I81" i="172"/>
  <c r="H81" i="172"/>
  <c r="H2157" i="184" s="1"/>
  <c r="G81" i="172"/>
  <c r="G2157" i="184" s="1"/>
  <c r="F81" i="172"/>
  <c r="E81" i="172"/>
  <c r="R80" i="172"/>
  <c r="L116" i="172" s="1"/>
  <c r="R77" i="172"/>
  <c r="L115" i="172" s="1"/>
  <c r="L77" i="172"/>
  <c r="L2081" i="184"/>
  <c r="K77" i="172"/>
  <c r="K2081" i="184"/>
  <c r="J77" i="172"/>
  <c r="J2081" i="184" s="1"/>
  <c r="I77" i="172"/>
  <c r="I2081" i="184" s="1"/>
  <c r="H77" i="172"/>
  <c r="H2081" i="184"/>
  <c r="G77" i="172"/>
  <c r="G2081" i="184"/>
  <c r="F77" i="172"/>
  <c r="E77" i="172"/>
  <c r="E2081" i="184" s="1"/>
  <c r="D77" i="172"/>
  <c r="L76" i="172"/>
  <c r="K76" i="172"/>
  <c r="K2044" i="184" s="1"/>
  <c r="J76" i="172"/>
  <c r="J2044" i="184" s="1"/>
  <c r="I76" i="172"/>
  <c r="I2044" i="184" s="1"/>
  <c r="H76" i="172"/>
  <c r="G76" i="172"/>
  <c r="G2044" i="184" s="1"/>
  <c r="F76" i="172"/>
  <c r="E76" i="172"/>
  <c r="E2044" i="184" s="1"/>
  <c r="D76" i="172"/>
  <c r="D2044" i="184" s="1"/>
  <c r="L75" i="172"/>
  <c r="L2007" i="184" s="1"/>
  <c r="K75" i="172"/>
  <c r="J75" i="172"/>
  <c r="I75" i="172"/>
  <c r="I2007" i="184"/>
  <c r="H75" i="172"/>
  <c r="H2007" i="184" s="1"/>
  <c r="G75" i="172"/>
  <c r="G2007" i="184" s="1"/>
  <c r="F75" i="172"/>
  <c r="F2007" i="184" s="1"/>
  <c r="E75" i="172"/>
  <c r="D75" i="172"/>
  <c r="L74" i="172"/>
  <c r="L1970" i="184" s="1"/>
  <c r="K74" i="172"/>
  <c r="K1970" i="184" s="1"/>
  <c r="J74" i="172"/>
  <c r="J1970" i="184" s="1"/>
  <c r="I74" i="172"/>
  <c r="H74" i="172"/>
  <c r="G74" i="172"/>
  <c r="F74" i="172"/>
  <c r="E74" i="172"/>
  <c r="E1970" i="184" s="1"/>
  <c r="D74" i="172"/>
  <c r="L70" i="172"/>
  <c r="L1894" i="184" s="1"/>
  <c r="K70" i="172"/>
  <c r="K1894" i="184" s="1"/>
  <c r="J70" i="172"/>
  <c r="I70" i="172"/>
  <c r="I1894" i="184"/>
  <c r="H70" i="172"/>
  <c r="H1894" i="184" s="1"/>
  <c r="G70" i="172"/>
  <c r="G1894" i="184" s="1"/>
  <c r="F70" i="172"/>
  <c r="E70" i="172"/>
  <c r="D70" i="172"/>
  <c r="D1894" i="184"/>
  <c r="L69" i="172"/>
  <c r="L1857" i="184"/>
  <c r="K69" i="172"/>
  <c r="K1857" i="184" s="1"/>
  <c r="J69" i="172"/>
  <c r="J1857" i="184" s="1"/>
  <c r="I69" i="172"/>
  <c r="I1857" i="184"/>
  <c r="H69" i="172"/>
  <c r="G69" i="172"/>
  <c r="G1857" i="184" s="1"/>
  <c r="F69" i="172"/>
  <c r="D45" i="171" s="1"/>
  <c r="E69" i="172"/>
  <c r="E1857" i="184" s="1"/>
  <c r="D69" i="172"/>
  <c r="AA68" i="172"/>
  <c r="P68" i="172"/>
  <c r="D330" i="191" s="1"/>
  <c r="L68" i="172"/>
  <c r="L1820" i="184" s="1"/>
  <c r="K68" i="172"/>
  <c r="K1820" i="184" s="1"/>
  <c r="J68" i="172"/>
  <c r="J1820" i="184"/>
  <c r="I68" i="172"/>
  <c r="H68" i="172"/>
  <c r="H1820" i="184" s="1"/>
  <c r="G68" i="172"/>
  <c r="G1820" i="184" s="1"/>
  <c r="F68" i="172"/>
  <c r="D66" i="171" s="1"/>
  <c r="E68" i="172"/>
  <c r="E1820" i="184" s="1"/>
  <c r="D68" i="172"/>
  <c r="AA67" i="172"/>
  <c r="W67" i="172"/>
  <c r="K293" i="191" s="1"/>
  <c r="V67" i="172"/>
  <c r="J293" i="191"/>
  <c r="P67" i="172"/>
  <c r="L67" i="172"/>
  <c r="L1783" i="184" s="1"/>
  <c r="K67" i="172"/>
  <c r="K1783" i="184" s="1"/>
  <c r="J67" i="172"/>
  <c r="J1783" i="184" s="1"/>
  <c r="I67" i="172"/>
  <c r="I1783" i="184" s="1"/>
  <c r="H67" i="172"/>
  <c r="H1783" i="184" s="1"/>
  <c r="G67" i="172"/>
  <c r="G1783" i="184" s="1"/>
  <c r="F67" i="172"/>
  <c r="E67" i="172"/>
  <c r="E1783" i="184"/>
  <c r="D67" i="172"/>
  <c r="D1783" i="184" s="1"/>
  <c r="AA66" i="172"/>
  <c r="W66" i="172"/>
  <c r="V66" i="172"/>
  <c r="P66" i="172"/>
  <c r="D256" i="191" s="1"/>
  <c r="L66" i="172"/>
  <c r="L1746" i="184" s="1"/>
  <c r="K66" i="172"/>
  <c r="K1746" i="184"/>
  <c r="J66" i="172"/>
  <c r="J1746" i="184" s="1"/>
  <c r="I66" i="172"/>
  <c r="I1746" i="184" s="1"/>
  <c r="H66" i="172"/>
  <c r="H1746" i="184" s="1"/>
  <c r="G66" i="172"/>
  <c r="G1746" i="184" s="1"/>
  <c r="F66" i="172"/>
  <c r="E66" i="172"/>
  <c r="E1746" i="184" s="1"/>
  <c r="D66" i="172"/>
  <c r="D1746" i="184" s="1"/>
  <c r="AA65" i="172"/>
  <c r="W65" i="172"/>
  <c r="K219" i="191"/>
  <c r="V65" i="172"/>
  <c r="P65" i="172"/>
  <c r="U65" i="172" s="1"/>
  <c r="L65" i="172"/>
  <c r="K65" i="172"/>
  <c r="K1709" i="184" s="1"/>
  <c r="J65" i="172"/>
  <c r="I65" i="172"/>
  <c r="I1709" i="184" s="1"/>
  <c r="H65" i="172"/>
  <c r="H1709" i="184"/>
  <c r="G65" i="172"/>
  <c r="G1709" i="184" s="1"/>
  <c r="F65" i="172"/>
  <c r="E65" i="172"/>
  <c r="E1709" i="184" s="1"/>
  <c r="D65" i="172"/>
  <c r="D1709" i="184" s="1"/>
  <c r="AA64" i="172"/>
  <c r="W64" i="172"/>
  <c r="V64" i="172"/>
  <c r="Q64" i="172"/>
  <c r="P64" i="172"/>
  <c r="U64" i="172"/>
  <c r="I182" i="191" s="1"/>
  <c r="L64" i="172"/>
  <c r="L1672" i="184" s="1"/>
  <c r="K64" i="172"/>
  <c r="K1672" i="184" s="1"/>
  <c r="J64" i="172"/>
  <c r="J1672" i="184" s="1"/>
  <c r="I64" i="172"/>
  <c r="H64" i="172"/>
  <c r="G64" i="172"/>
  <c r="G1672" i="184" s="1"/>
  <c r="F64" i="172"/>
  <c r="E64" i="172"/>
  <c r="D64" i="172"/>
  <c r="D1672" i="184" s="1"/>
  <c r="AA63" i="172"/>
  <c r="W63" i="172"/>
  <c r="K145" i="191" s="1"/>
  <c r="V63" i="172"/>
  <c r="P63" i="172"/>
  <c r="U63" i="172"/>
  <c r="L63" i="172"/>
  <c r="L1635" i="184"/>
  <c r="K63" i="172"/>
  <c r="K1635" i="184" s="1"/>
  <c r="J63" i="172"/>
  <c r="J1635" i="184" s="1"/>
  <c r="I63" i="172"/>
  <c r="I1635" i="184" s="1"/>
  <c r="H63" i="172"/>
  <c r="H1635" i="184" s="1"/>
  <c r="G63" i="172"/>
  <c r="G1635" i="184" s="1"/>
  <c r="F63" i="172"/>
  <c r="E63" i="172"/>
  <c r="E1635" i="184" s="1"/>
  <c r="D63" i="172"/>
  <c r="D1635" i="184" s="1"/>
  <c r="AA62" i="172"/>
  <c r="W62" i="172"/>
  <c r="K108" i="191"/>
  <c r="V62" i="172"/>
  <c r="P62" i="172"/>
  <c r="D108" i="191" s="1"/>
  <c r="L62" i="172"/>
  <c r="L1598" i="184" s="1"/>
  <c r="K62" i="172"/>
  <c r="J62" i="172"/>
  <c r="J1598" i="184"/>
  <c r="I62" i="172"/>
  <c r="I1598" i="184"/>
  <c r="H62" i="172"/>
  <c r="H1598" i="184" s="1"/>
  <c r="G62" i="172"/>
  <c r="G1598" i="184" s="1"/>
  <c r="F62" i="172"/>
  <c r="D38" i="171" s="1"/>
  <c r="E62" i="172"/>
  <c r="E1598" i="184" s="1"/>
  <c r="D62" i="172"/>
  <c r="D1598" i="184" s="1"/>
  <c r="AA61" i="172"/>
  <c r="W61" i="172"/>
  <c r="V61" i="172"/>
  <c r="P61" i="172"/>
  <c r="U61" i="172" s="1"/>
  <c r="L61" i="172"/>
  <c r="L1561" i="184" s="1"/>
  <c r="K61" i="172"/>
  <c r="K1561" i="184" s="1"/>
  <c r="J61" i="172"/>
  <c r="J1561" i="184" s="1"/>
  <c r="I61" i="172"/>
  <c r="I1561" i="184" s="1"/>
  <c r="H61" i="172"/>
  <c r="H1561" i="184" s="1"/>
  <c r="G61" i="172"/>
  <c r="G1561" i="184" s="1"/>
  <c r="F61" i="172"/>
  <c r="E61" i="172"/>
  <c r="E1561" i="184" s="1"/>
  <c r="D61" i="172"/>
  <c r="AA60" i="172"/>
  <c r="W60" i="172"/>
  <c r="V60" i="172"/>
  <c r="P60" i="172"/>
  <c r="U60" i="172" s="1"/>
  <c r="L60" i="172"/>
  <c r="L1524" i="184" s="1"/>
  <c r="K60" i="172"/>
  <c r="K1524" i="184"/>
  <c r="J60" i="172"/>
  <c r="I60" i="172"/>
  <c r="I1524" i="184" s="1"/>
  <c r="H60" i="172"/>
  <c r="H1524" i="184" s="1"/>
  <c r="G60" i="172"/>
  <c r="G1524" i="184" s="1"/>
  <c r="F60" i="172"/>
  <c r="D36" i="171" s="1"/>
  <c r="E60" i="172"/>
  <c r="E1524" i="184" s="1"/>
  <c r="D60" i="172"/>
  <c r="D1524" i="184" s="1"/>
  <c r="K1411" i="184"/>
  <c r="J1411" i="184"/>
  <c r="I1411" i="184"/>
  <c r="G1411" i="184"/>
  <c r="D31" i="171"/>
  <c r="L1374" i="184"/>
  <c r="K1374" i="184"/>
  <c r="I1374" i="184"/>
  <c r="G1374" i="184"/>
  <c r="D1374" i="184"/>
  <c r="J1337" i="184"/>
  <c r="I1337" i="184"/>
  <c r="H1337" i="184"/>
  <c r="G1337" i="184"/>
  <c r="E1337" i="184"/>
  <c r="K1300" i="184"/>
  <c r="J1300" i="184"/>
  <c r="I1300" i="184"/>
  <c r="E1300" i="184"/>
  <c r="K1263" i="184"/>
  <c r="J1263" i="184"/>
  <c r="I1263" i="184"/>
  <c r="G1263" i="184"/>
  <c r="E1263" i="184"/>
  <c r="L1226" i="184"/>
  <c r="K1226" i="184"/>
  <c r="J1226" i="184"/>
  <c r="E1226" i="184"/>
  <c r="D1226" i="184"/>
  <c r="K1187" i="184"/>
  <c r="J1187" i="184"/>
  <c r="H1187" i="184"/>
  <c r="D23" i="171"/>
  <c r="E1187" i="184"/>
  <c r="K1073" i="184"/>
  <c r="J1073" i="184"/>
  <c r="I1073" i="184"/>
  <c r="H1073" i="184"/>
  <c r="G1073" i="184"/>
  <c r="F1073" i="184"/>
  <c r="D1073" i="184"/>
  <c r="L1036" i="184"/>
  <c r="K1036" i="184"/>
  <c r="J1036" i="184"/>
  <c r="I1036" i="184"/>
  <c r="H1036" i="184"/>
  <c r="G1036" i="184"/>
  <c r="E1036" i="184"/>
  <c r="D1036" i="184"/>
  <c r="L999" i="184"/>
  <c r="J999" i="184"/>
  <c r="I999" i="184"/>
  <c r="F999" i="184"/>
  <c r="D999" i="184"/>
  <c r="K962" i="184"/>
  <c r="I962" i="184"/>
  <c r="G962" i="184"/>
  <c r="F962" i="184"/>
  <c r="E962" i="184"/>
  <c r="D962" i="184"/>
  <c r="K925" i="184"/>
  <c r="I925" i="184"/>
  <c r="G925" i="184"/>
  <c r="F925" i="184"/>
  <c r="E925" i="184"/>
  <c r="K888" i="184"/>
  <c r="G888" i="184"/>
  <c r="E888" i="184"/>
  <c r="D888" i="184"/>
  <c r="L35" i="172"/>
  <c r="L851" i="184" s="1"/>
  <c r="K35" i="172"/>
  <c r="K851" i="184" s="1"/>
  <c r="J35" i="172"/>
  <c r="J851" i="184" s="1"/>
  <c r="I35" i="172"/>
  <c r="H35" i="172"/>
  <c r="H851" i="184" s="1"/>
  <c r="G35" i="172"/>
  <c r="G851" i="184" s="1"/>
  <c r="F35" i="172"/>
  <c r="F851" i="184" s="1"/>
  <c r="E35" i="172"/>
  <c r="E851" i="184" s="1"/>
  <c r="D35" i="172"/>
  <c r="D851" i="184" s="1"/>
  <c r="R34" i="172"/>
  <c r="L109" i="172" s="1"/>
  <c r="L34" i="172"/>
  <c r="L814" i="184"/>
  <c r="K34" i="172"/>
  <c r="K814" i="184" s="1"/>
  <c r="J34" i="172"/>
  <c r="J814" i="184" s="1"/>
  <c r="I34" i="172"/>
  <c r="I814" i="184"/>
  <c r="H34" i="172"/>
  <c r="H814" i="184" s="1"/>
  <c r="G34" i="172"/>
  <c r="G814" i="184" s="1"/>
  <c r="F34" i="172"/>
  <c r="F814" i="184" s="1"/>
  <c r="E34" i="172"/>
  <c r="E814" i="184" s="1"/>
  <c r="D34" i="172"/>
  <c r="L33" i="172"/>
  <c r="L777" i="184" s="1"/>
  <c r="K33" i="172"/>
  <c r="K777" i="184" s="1"/>
  <c r="J33" i="172"/>
  <c r="J777" i="184" s="1"/>
  <c r="I33" i="172"/>
  <c r="H33" i="172"/>
  <c r="G33" i="172"/>
  <c r="G777" i="184" s="1"/>
  <c r="F33" i="172"/>
  <c r="F777" i="184" s="1"/>
  <c r="E33" i="172"/>
  <c r="E777" i="184" s="1"/>
  <c r="D33" i="172"/>
  <c r="D777" i="184" s="1"/>
  <c r="Q32" i="172"/>
  <c r="L108" i="172" s="1"/>
  <c r="L32" i="172"/>
  <c r="L740" i="184"/>
  <c r="K32" i="172"/>
  <c r="K740" i="184" s="1"/>
  <c r="J32" i="172"/>
  <c r="I32" i="172"/>
  <c r="I740" i="184"/>
  <c r="H32" i="172"/>
  <c r="H740" i="184" s="1"/>
  <c r="G32" i="172"/>
  <c r="G740" i="184" s="1"/>
  <c r="F32" i="172"/>
  <c r="F740" i="184"/>
  <c r="E32" i="172"/>
  <c r="E740" i="184"/>
  <c r="D32" i="172"/>
  <c r="D740" i="184" s="1"/>
  <c r="L628" i="184"/>
  <c r="J628" i="184"/>
  <c r="H628" i="184"/>
  <c r="G628" i="184"/>
  <c r="F628" i="184"/>
  <c r="K591" i="184"/>
  <c r="J591" i="184"/>
  <c r="I591" i="184"/>
  <c r="H591" i="184"/>
  <c r="E591" i="184"/>
  <c r="L554" i="184"/>
  <c r="J554" i="184"/>
  <c r="H554" i="184"/>
  <c r="G554" i="184"/>
  <c r="L517" i="184"/>
  <c r="J517" i="184"/>
  <c r="E517" i="184"/>
  <c r="L480" i="184"/>
  <c r="K480" i="184"/>
  <c r="J480" i="184"/>
  <c r="H480" i="184"/>
  <c r="F480" i="184"/>
  <c r="D480" i="184"/>
  <c r="K443" i="184"/>
  <c r="H443" i="184"/>
  <c r="F443" i="184"/>
  <c r="E443" i="184"/>
  <c r="L22" i="172"/>
  <c r="K22" i="172"/>
  <c r="K406" i="184" s="1"/>
  <c r="J22" i="172"/>
  <c r="J406" i="184" s="1"/>
  <c r="I22" i="172"/>
  <c r="I406" i="184" s="1"/>
  <c r="H22" i="172"/>
  <c r="G22" i="172"/>
  <c r="G406" i="184" s="1"/>
  <c r="F22" i="172"/>
  <c r="F406" i="184" s="1"/>
  <c r="E22" i="172"/>
  <c r="E406" i="184"/>
  <c r="D22" i="172"/>
  <c r="D406" i="184" s="1"/>
  <c r="L21" i="172"/>
  <c r="L369" i="184" s="1"/>
  <c r="K21" i="172"/>
  <c r="K369" i="184" s="1"/>
  <c r="J21" i="172"/>
  <c r="J369" i="184"/>
  <c r="I21" i="172"/>
  <c r="I369" i="184" s="1"/>
  <c r="H21" i="172"/>
  <c r="H369" i="184" s="1"/>
  <c r="G21" i="172"/>
  <c r="G369" i="184" s="1"/>
  <c r="F21" i="172"/>
  <c r="E21" i="172"/>
  <c r="E369" i="184" s="1"/>
  <c r="D21" i="172"/>
  <c r="D369" i="184" s="1"/>
  <c r="L20" i="172"/>
  <c r="L332" i="184"/>
  <c r="K20" i="172"/>
  <c r="K332" i="184" s="1"/>
  <c r="J20" i="172"/>
  <c r="J332" i="184" s="1"/>
  <c r="I20" i="172"/>
  <c r="I332" i="184" s="1"/>
  <c r="H20" i="172"/>
  <c r="H332" i="184" s="1"/>
  <c r="G20" i="172"/>
  <c r="G332" i="184" s="1"/>
  <c r="F20" i="172"/>
  <c r="F332" i="184" s="1"/>
  <c r="E20" i="172"/>
  <c r="E332" i="184" s="1"/>
  <c r="D20" i="172"/>
  <c r="D332" i="184" s="1"/>
  <c r="L19" i="172"/>
  <c r="K19" i="172"/>
  <c r="K295" i="184" s="1"/>
  <c r="J19" i="172"/>
  <c r="I19" i="172"/>
  <c r="I295" i="184" s="1"/>
  <c r="H19" i="172"/>
  <c r="H295" i="184" s="1"/>
  <c r="G19" i="172"/>
  <c r="G295" i="184" s="1"/>
  <c r="F19" i="172"/>
  <c r="E19" i="172"/>
  <c r="E295" i="184" s="1"/>
  <c r="D19" i="172"/>
  <c r="D295" i="184" s="1"/>
  <c r="K182" i="184"/>
  <c r="I182" i="184"/>
  <c r="D14" i="171"/>
  <c r="D182" i="184"/>
  <c r="L145" i="184"/>
  <c r="H145" i="184"/>
  <c r="G145" i="184"/>
  <c r="E145" i="184"/>
  <c r="D145" i="184"/>
  <c r="L108" i="184"/>
  <c r="K108" i="184"/>
  <c r="J108" i="184"/>
  <c r="I108" i="184"/>
  <c r="H108" i="184"/>
  <c r="G108" i="184"/>
  <c r="E108" i="184"/>
  <c r="D108" i="184"/>
  <c r="J71" i="184"/>
  <c r="I71" i="184"/>
  <c r="H71" i="184"/>
  <c r="G71" i="184"/>
  <c r="L15" i="172"/>
  <c r="L219" i="184" s="1"/>
  <c r="K34" i="184"/>
  <c r="J34" i="184"/>
  <c r="I34" i="184"/>
  <c r="H34" i="184"/>
  <c r="D34" i="184"/>
  <c r="M100" i="167"/>
  <c r="Q92" i="167"/>
  <c r="V20" i="220" s="1"/>
  <c r="O92" i="167"/>
  <c r="L92" i="167"/>
  <c r="L2479" i="184"/>
  <c r="K92" i="167"/>
  <c r="K2479" i="184" s="1"/>
  <c r="J92" i="167"/>
  <c r="J2479" i="184" s="1"/>
  <c r="I92" i="167"/>
  <c r="H92" i="167"/>
  <c r="H2479" i="184"/>
  <c r="G92" i="167"/>
  <c r="G2479" i="184" s="1"/>
  <c r="F92" i="167"/>
  <c r="E92" i="167"/>
  <c r="E2479" i="184" s="1"/>
  <c r="D92" i="167"/>
  <c r="D2479" i="184"/>
  <c r="L91" i="167"/>
  <c r="L2442" i="184"/>
  <c r="K91" i="167"/>
  <c r="K2442" i="184" s="1"/>
  <c r="J91" i="167"/>
  <c r="J2442" i="184" s="1"/>
  <c r="I91" i="167"/>
  <c r="I2442" i="184"/>
  <c r="H91" i="167"/>
  <c r="H2442" i="184"/>
  <c r="G91" i="167"/>
  <c r="F91" i="167"/>
  <c r="E91" i="167"/>
  <c r="E2442" i="184" s="1"/>
  <c r="D91" i="167"/>
  <c r="D2442" i="184" s="1"/>
  <c r="L90" i="167"/>
  <c r="L2405" i="184" s="1"/>
  <c r="K90" i="167"/>
  <c r="K2405" i="184" s="1"/>
  <c r="J90" i="167"/>
  <c r="J2405" i="184" s="1"/>
  <c r="I90" i="167"/>
  <c r="I2405" i="184"/>
  <c r="H90" i="167"/>
  <c r="H2405" i="184"/>
  <c r="G90" i="167"/>
  <c r="F90" i="167"/>
  <c r="F2405" i="184" s="1"/>
  <c r="E90" i="167"/>
  <c r="E2405" i="184" s="1"/>
  <c r="D90" i="167"/>
  <c r="D2405" i="184"/>
  <c r="L89" i="167"/>
  <c r="L2368" i="184"/>
  <c r="K89" i="167"/>
  <c r="K2368" i="184" s="1"/>
  <c r="J89" i="167"/>
  <c r="J2368" i="184" s="1"/>
  <c r="I89" i="167"/>
  <c r="I2368" i="184"/>
  <c r="H89" i="167"/>
  <c r="G89" i="167"/>
  <c r="G2368" i="184" s="1"/>
  <c r="F89" i="167"/>
  <c r="F2368" i="184" s="1"/>
  <c r="E89" i="167"/>
  <c r="E2368" i="184" s="1"/>
  <c r="D89" i="167"/>
  <c r="D2368" i="184" s="1"/>
  <c r="L88" i="167"/>
  <c r="L2331" i="184"/>
  <c r="K88" i="167"/>
  <c r="K2331" i="184" s="1"/>
  <c r="J88" i="167"/>
  <c r="J2331" i="184"/>
  <c r="I88" i="167"/>
  <c r="I2331" i="184"/>
  <c r="H88" i="167"/>
  <c r="H2331" i="184" s="1"/>
  <c r="G88" i="167"/>
  <c r="G2331" i="184" s="1"/>
  <c r="F88" i="167"/>
  <c r="F2331" i="184"/>
  <c r="E88" i="167"/>
  <c r="E2331" i="184"/>
  <c r="D88" i="167"/>
  <c r="L87" i="167"/>
  <c r="L2294" i="184" s="1"/>
  <c r="K87" i="167"/>
  <c r="K2294" i="184" s="1"/>
  <c r="J87" i="167"/>
  <c r="J2294" i="184"/>
  <c r="I87" i="167"/>
  <c r="I2294" i="184" s="1"/>
  <c r="H87" i="167"/>
  <c r="H2294" i="184"/>
  <c r="G87" i="167"/>
  <c r="G2294" i="184" s="1"/>
  <c r="F87" i="167"/>
  <c r="F2294" i="184" s="1"/>
  <c r="E87" i="167"/>
  <c r="D87" i="167"/>
  <c r="D2294" i="184" s="1"/>
  <c r="L82" i="167"/>
  <c r="K82" i="167"/>
  <c r="K2181" i="184" s="1"/>
  <c r="J82" i="167"/>
  <c r="J2181" i="184" s="1"/>
  <c r="I82" i="167"/>
  <c r="I2181" i="184" s="1"/>
  <c r="H82" i="167"/>
  <c r="H2181" i="184" s="1"/>
  <c r="G82" i="167"/>
  <c r="F82" i="167"/>
  <c r="E82" i="167"/>
  <c r="E2181" i="184"/>
  <c r="D82" i="167"/>
  <c r="L81" i="167"/>
  <c r="L2144" i="184" s="1"/>
  <c r="K81" i="167"/>
  <c r="K2144" i="184" s="1"/>
  <c r="J81" i="167"/>
  <c r="I81" i="167"/>
  <c r="H81" i="167"/>
  <c r="G81" i="167"/>
  <c r="G2144" i="184"/>
  <c r="F81" i="167"/>
  <c r="E81" i="167"/>
  <c r="R80" i="167"/>
  <c r="R77" i="167"/>
  <c r="L77" i="167"/>
  <c r="L2068" i="184"/>
  <c r="K77" i="167"/>
  <c r="J77" i="167"/>
  <c r="J2068" i="184" s="1"/>
  <c r="I77" i="167"/>
  <c r="I2068" i="184" s="1"/>
  <c r="H77" i="167"/>
  <c r="H2068" i="184"/>
  <c r="G77" i="167"/>
  <c r="G2068" i="184"/>
  <c r="F77" i="167"/>
  <c r="E77" i="167"/>
  <c r="E2068" i="184" s="1"/>
  <c r="D77" i="167"/>
  <c r="L76" i="167"/>
  <c r="L2031" i="184"/>
  <c r="K76" i="167"/>
  <c r="K2031" i="184"/>
  <c r="J76" i="167"/>
  <c r="I76" i="167"/>
  <c r="I2031" i="184" s="1"/>
  <c r="H76" i="167"/>
  <c r="H2031" i="184" s="1"/>
  <c r="G76" i="167"/>
  <c r="G2031" i="184"/>
  <c r="F76" i="167"/>
  <c r="E76" i="167"/>
  <c r="D76" i="167"/>
  <c r="D2031" i="184"/>
  <c r="L75" i="167"/>
  <c r="K75" i="167"/>
  <c r="K1994" i="184" s="1"/>
  <c r="J75" i="167"/>
  <c r="J1994" i="184"/>
  <c r="I75" i="167"/>
  <c r="I1994" i="184" s="1"/>
  <c r="H75" i="167"/>
  <c r="G75" i="167"/>
  <c r="F75" i="167"/>
  <c r="D51" i="166" s="1"/>
  <c r="E75" i="167"/>
  <c r="D75" i="167"/>
  <c r="D1994" i="184" s="1"/>
  <c r="L74" i="167"/>
  <c r="K74" i="167"/>
  <c r="K1957" i="184" s="1"/>
  <c r="J74" i="167"/>
  <c r="J1957" i="184" s="1"/>
  <c r="I74" i="167"/>
  <c r="I1957" i="184" s="1"/>
  <c r="H74" i="167"/>
  <c r="G74" i="167"/>
  <c r="G1957" i="184"/>
  <c r="F74" i="167"/>
  <c r="E74" i="167"/>
  <c r="E1957" i="184" s="1"/>
  <c r="D74" i="167"/>
  <c r="D1957" i="184" s="1"/>
  <c r="L70" i="167"/>
  <c r="L1881" i="184" s="1"/>
  <c r="K70" i="167"/>
  <c r="K1881" i="184" s="1"/>
  <c r="J70" i="167"/>
  <c r="J1881" i="184" s="1"/>
  <c r="I70" i="167"/>
  <c r="I1881" i="184" s="1"/>
  <c r="H70" i="167"/>
  <c r="G70" i="167"/>
  <c r="G1881" i="184" s="1"/>
  <c r="F70" i="167"/>
  <c r="E70" i="167"/>
  <c r="E1881" i="184"/>
  <c r="D70" i="167"/>
  <c r="D1881" i="184"/>
  <c r="L69" i="167"/>
  <c r="L1844" i="184"/>
  <c r="K69" i="167"/>
  <c r="K1844" i="184" s="1"/>
  <c r="J69" i="167"/>
  <c r="J1844" i="184"/>
  <c r="I69" i="167"/>
  <c r="I1844" i="184" s="1"/>
  <c r="H69" i="167"/>
  <c r="H1844" i="184" s="1"/>
  <c r="G69" i="167"/>
  <c r="G1844" i="184" s="1"/>
  <c r="F69" i="167"/>
  <c r="E69" i="167"/>
  <c r="E1844" i="184"/>
  <c r="D69" i="167"/>
  <c r="AA68" i="167"/>
  <c r="P68" i="167"/>
  <c r="D317" i="191" s="1"/>
  <c r="L68" i="167"/>
  <c r="L1807" i="184" s="1"/>
  <c r="K68" i="167"/>
  <c r="K1807" i="184" s="1"/>
  <c r="J68" i="167"/>
  <c r="J1807" i="184"/>
  <c r="I68" i="167"/>
  <c r="I1807" i="184" s="1"/>
  <c r="H68" i="167"/>
  <c r="H1807" i="184" s="1"/>
  <c r="G68" i="167"/>
  <c r="G1807" i="184"/>
  <c r="F68" i="167"/>
  <c r="E68" i="167"/>
  <c r="D68" i="167"/>
  <c r="D1807" i="184" s="1"/>
  <c r="AA67" i="167"/>
  <c r="W67" i="167"/>
  <c r="K280" i="191"/>
  <c r="V67" i="167"/>
  <c r="P67" i="167"/>
  <c r="L67" i="167"/>
  <c r="L1770" i="184"/>
  <c r="K67" i="167"/>
  <c r="K1770" i="184" s="1"/>
  <c r="J67" i="167"/>
  <c r="J1770" i="184" s="1"/>
  <c r="I67" i="167"/>
  <c r="I1770" i="184" s="1"/>
  <c r="H67" i="167"/>
  <c r="G67" i="167"/>
  <c r="G1770" i="184"/>
  <c r="F67" i="167"/>
  <c r="E67" i="167"/>
  <c r="E1770" i="184" s="1"/>
  <c r="D67" i="167"/>
  <c r="AA66" i="167"/>
  <c r="W66" i="167"/>
  <c r="V66" i="167"/>
  <c r="P66" i="167"/>
  <c r="U66" i="167" s="1"/>
  <c r="I243" i="191" s="1"/>
  <c r="L66" i="167"/>
  <c r="L1733" i="184"/>
  <c r="K66" i="167"/>
  <c r="J66" i="167"/>
  <c r="J1733" i="184" s="1"/>
  <c r="I66" i="167"/>
  <c r="H66" i="167"/>
  <c r="H1733" i="184" s="1"/>
  <c r="G66" i="167"/>
  <c r="G1733" i="184"/>
  <c r="F66" i="167"/>
  <c r="D42" i="166"/>
  <c r="E66" i="167"/>
  <c r="E1733" i="184" s="1"/>
  <c r="D66" i="167"/>
  <c r="D1733" i="184" s="1"/>
  <c r="AA65" i="167"/>
  <c r="W65" i="167"/>
  <c r="K206" i="191" s="1"/>
  <c r="V65" i="167"/>
  <c r="J206" i="191"/>
  <c r="P65" i="167"/>
  <c r="U65" i="167" s="1"/>
  <c r="I206" i="191" s="1"/>
  <c r="L65" i="167"/>
  <c r="L1696" i="184"/>
  <c r="K65" i="167"/>
  <c r="K1696" i="184"/>
  <c r="J65" i="167"/>
  <c r="J1696" i="184" s="1"/>
  <c r="I65" i="167"/>
  <c r="I1696" i="184" s="1"/>
  <c r="H65" i="167"/>
  <c r="H1696" i="184"/>
  <c r="G65" i="167"/>
  <c r="F65" i="167"/>
  <c r="E65" i="167"/>
  <c r="E1696" i="184" s="1"/>
  <c r="D65" i="167"/>
  <c r="D1696" i="184" s="1"/>
  <c r="AA64" i="167"/>
  <c r="W64" i="167"/>
  <c r="K169" i="191"/>
  <c r="V64" i="167"/>
  <c r="J169" i="191" s="1"/>
  <c r="Q64" i="167"/>
  <c r="L111" i="167" s="1"/>
  <c r="P64" i="167"/>
  <c r="U64" i="167" s="1"/>
  <c r="L64" i="167"/>
  <c r="K64" i="167"/>
  <c r="K1659" i="184"/>
  <c r="J64" i="167"/>
  <c r="J1659" i="184"/>
  <c r="I64" i="167"/>
  <c r="I1659" i="184" s="1"/>
  <c r="H64" i="167"/>
  <c r="G64" i="167"/>
  <c r="G1659" i="184"/>
  <c r="F64" i="167"/>
  <c r="E64" i="167"/>
  <c r="E1659" i="184" s="1"/>
  <c r="D64" i="167"/>
  <c r="AA63" i="167"/>
  <c r="W63" i="167"/>
  <c r="V63" i="167"/>
  <c r="P63" i="167"/>
  <c r="L63" i="167"/>
  <c r="L1622" i="184" s="1"/>
  <c r="K63" i="167"/>
  <c r="K1622" i="184" s="1"/>
  <c r="J63" i="167"/>
  <c r="I63" i="167"/>
  <c r="H63" i="167"/>
  <c r="H1622" i="184"/>
  <c r="G63" i="167"/>
  <c r="G1622" i="184"/>
  <c r="F63" i="167"/>
  <c r="E63" i="167"/>
  <c r="D63" i="167"/>
  <c r="AA62" i="167"/>
  <c r="W62" i="167"/>
  <c r="K95" i="191"/>
  <c r="V62" i="167"/>
  <c r="J95" i="191"/>
  <c r="P62" i="167"/>
  <c r="D95" i="191" s="1"/>
  <c r="L62" i="167"/>
  <c r="L1585" i="184"/>
  <c r="K62" i="167"/>
  <c r="K1585" i="184" s="1"/>
  <c r="J62" i="167"/>
  <c r="J1585" i="184" s="1"/>
  <c r="I62" i="167"/>
  <c r="I1585" i="184" s="1"/>
  <c r="H62" i="167"/>
  <c r="H1585" i="184" s="1"/>
  <c r="G62" i="167"/>
  <c r="F62" i="167"/>
  <c r="E62" i="167"/>
  <c r="E1585" i="184" s="1"/>
  <c r="D62" i="167"/>
  <c r="D1585" i="184" s="1"/>
  <c r="AA61" i="167"/>
  <c r="W61" i="167"/>
  <c r="V61" i="167"/>
  <c r="J58" i="191" s="1"/>
  <c r="P61" i="167"/>
  <c r="L61" i="167"/>
  <c r="L1548" i="184"/>
  <c r="K61" i="167"/>
  <c r="J61" i="167"/>
  <c r="J1548" i="184" s="1"/>
  <c r="I61" i="167"/>
  <c r="I1548" i="184" s="1"/>
  <c r="H61" i="167"/>
  <c r="H1548" i="184"/>
  <c r="G61" i="167"/>
  <c r="F61" i="167"/>
  <c r="D37" i="166" s="1"/>
  <c r="E61" i="167"/>
  <c r="D61" i="167"/>
  <c r="D1548" i="184"/>
  <c r="AA60" i="167"/>
  <c r="W60" i="167"/>
  <c r="V60" i="167"/>
  <c r="J21" i="191" s="1"/>
  <c r="P60" i="167"/>
  <c r="L60" i="167"/>
  <c r="L1511" i="184"/>
  <c r="K60" i="167"/>
  <c r="K1511" i="184" s="1"/>
  <c r="J60" i="167"/>
  <c r="I60" i="167"/>
  <c r="I1511" i="184" s="1"/>
  <c r="H60" i="167"/>
  <c r="G60" i="167"/>
  <c r="G1511" i="184"/>
  <c r="F60" i="167"/>
  <c r="E60" i="167"/>
  <c r="D60" i="167"/>
  <c r="L1398" i="184"/>
  <c r="K1398" i="184"/>
  <c r="J1398" i="184"/>
  <c r="I1398" i="184"/>
  <c r="H1398" i="184"/>
  <c r="E1398" i="184"/>
  <c r="D1398" i="184"/>
  <c r="L1361" i="184"/>
  <c r="J1361" i="184"/>
  <c r="I1361" i="184"/>
  <c r="H1361" i="184"/>
  <c r="G1361" i="184"/>
  <c r="F1361" i="184"/>
  <c r="E1361" i="184"/>
  <c r="L1324" i="184"/>
  <c r="J1324" i="184"/>
  <c r="I1324" i="184"/>
  <c r="H1324" i="184"/>
  <c r="D29" i="166"/>
  <c r="E1324" i="184"/>
  <c r="L1287" i="184"/>
  <c r="J1287" i="184"/>
  <c r="I1287" i="184"/>
  <c r="H1287" i="184"/>
  <c r="E1287" i="184"/>
  <c r="D1287" i="184"/>
  <c r="L1250" i="184"/>
  <c r="H1250" i="184"/>
  <c r="E1250" i="184"/>
  <c r="J1213" i="184"/>
  <c r="I1213" i="184"/>
  <c r="L1174" i="184"/>
  <c r="K1174" i="184"/>
  <c r="J1174" i="184"/>
  <c r="I1174" i="184"/>
  <c r="G1174" i="184"/>
  <c r="E1174" i="184"/>
  <c r="D1174" i="184"/>
  <c r="L1060" i="184"/>
  <c r="J1060" i="184"/>
  <c r="I1060" i="184"/>
  <c r="H1060" i="184"/>
  <c r="E1060" i="184"/>
  <c r="D1060" i="184"/>
  <c r="J1023" i="184"/>
  <c r="I1023" i="184"/>
  <c r="G1023" i="184"/>
  <c r="E1023" i="184"/>
  <c r="L986" i="184"/>
  <c r="K986" i="184"/>
  <c r="I986" i="184"/>
  <c r="H986" i="184"/>
  <c r="G986" i="184"/>
  <c r="F986" i="184"/>
  <c r="D986" i="184"/>
  <c r="K949" i="184"/>
  <c r="I949" i="184"/>
  <c r="H949" i="184"/>
  <c r="G949" i="184"/>
  <c r="E949" i="184"/>
  <c r="K912" i="184"/>
  <c r="J912" i="184"/>
  <c r="I912" i="184"/>
  <c r="H912" i="184"/>
  <c r="D912" i="184"/>
  <c r="L875" i="184"/>
  <c r="J875" i="184"/>
  <c r="G875" i="184"/>
  <c r="F875" i="184"/>
  <c r="E875" i="184"/>
  <c r="D875" i="184"/>
  <c r="L35" i="167"/>
  <c r="L838" i="184"/>
  <c r="K35" i="167"/>
  <c r="K838" i="184"/>
  <c r="J35" i="167"/>
  <c r="J838" i="184"/>
  <c r="I35" i="167"/>
  <c r="H35" i="167"/>
  <c r="H838" i="184"/>
  <c r="G35" i="167"/>
  <c r="G838" i="184" s="1"/>
  <c r="F35" i="167"/>
  <c r="F838" i="184" s="1"/>
  <c r="E35" i="167"/>
  <c r="D35" i="167"/>
  <c r="R34" i="167"/>
  <c r="L109" i="167"/>
  <c r="L34" i="167"/>
  <c r="L801" i="184"/>
  <c r="K34" i="167"/>
  <c r="K801" i="184" s="1"/>
  <c r="J34" i="167"/>
  <c r="I34" i="167"/>
  <c r="I801" i="184"/>
  <c r="H34" i="167"/>
  <c r="H801" i="184"/>
  <c r="G34" i="167"/>
  <c r="F34" i="167"/>
  <c r="F801" i="184" s="1"/>
  <c r="E34" i="167"/>
  <c r="E801" i="184" s="1"/>
  <c r="D34" i="167"/>
  <c r="D801" i="184" s="1"/>
  <c r="L33" i="167"/>
  <c r="L764" i="184"/>
  <c r="K33" i="167"/>
  <c r="K764" i="184"/>
  <c r="J33" i="167"/>
  <c r="J764" i="184" s="1"/>
  <c r="I33" i="167"/>
  <c r="I764" i="184" s="1"/>
  <c r="H33" i="167"/>
  <c r="G33" i="167"/>
  <c r="G764" i="184"/>
  <c r="F33" i="167"/>
  <c r="E33" i="167"/>
  <c r="E764" i="184" s="1"/>
  <c r="D33" i="167"/>
  <c r="Q32" i="167"/>
  <c r="L108" i="167" s="1"/>
  <c r="L32" i="167"/>
  <c r="L727" i="184" s="1"/>
  <c r="K32" i="167"/>
  <c r="K727" i="184" s="1"/>
  <c r="J32" i="167"/>
  <c r="I32" i="167"/>
  <c r="I727" i="184" s="1"/>
  <c r="H32" i="167"/>
  <c r="H727" i="184" s="1"/>
  <c r="G32" i="167"/>
  <c r="F32" i="167"/>
  <c r="E32" i="167"/>
  <c r="E727" i="184" s="1"/>
  <c r="D32" i="167"/>
  <c r="D727" i="184"/>
  <c r="L615" i="184"/>
  <c r="K615" i="184"/>
  <c r="J615" i="184"/>
  <c r="I615" i="184"/>
  <c r="G615" i="184"/>
  <c r="F615" i="184"/>
  <c r="E615" i="184"/>
  <c r="K578" i="184"/>
  <c r="J578" i="184"/>
  <c r="I578" i="184"/>
  <c r="G578" i="184"/>
  <c r="F578" i="184"/>
  <c r="E578" i="184"/>
  <c r="L541" i="184"/>
  <c r="I541" i="184"/>
  <c r="H541" i="184"/>
  <c r="G541" i="184"/>
  <c r="F541" i="184"/>
  <c r="D541" i="184"/>
  <c r="L504" i="184"/>
  <c r="K504" i="184"/>
  <c r="J504" i="184"/>
  <c r="I504" i="184"/>
  <c r="E504" i="184"/>
  <c r="L467" i="184"/>
  <c r="K467" i="184"/>
  <c r="I467" i="184"/>
  <c r="H467" i="184"/>
  <c r="F467" i="184"/>
  <c r="E467" i="184"/>
  <c r="D467" i="184"/>
  <c r="K430" i="184"/>
  <c r="J430" i="184"/>
  <c r="G430" i="184"/>
  <c r="F430" i="184"/>
  <c r="L22" i="167"/>
  <c r="L393" i="184" s="1"/>
  <c r="K22" i="167"/>
  <c r="K393" i="184" s="1"/>
  <c r="J22" i="167"/>
  <c r="J393" i="184"/>
  <c r="I22" i="167"/>
  <c r="H22" i="167"/>
  <c r="H393" i="184" s="1"/>
  <c r="G22" i="167"/>
  <c r="G393" i="184" s="1"/>
  <c r="F22" i="167"/>
  <c r="E22" i="167"/>
  <c r="E393" i="184" s="1"/>
  <c r="D22" i="167"/>
  <c r="D393" i="184" s="1"/>
  <c r="L21" i="167"/>
  <c r="L356" i="184" s="1"/>
  <c r="K21" i="167"/>
  <c r="J21" i="167"/>
  <c r="I21" i="167"/>
  <c r="I356" i="184" s="1"/>
  <c r="H21" i="167"/>
  <c r="H356" i="184" s="1"/>
  <c r="G21" i="167"/>
  <c r="F21" i="167"/>
  <c r="F356" i="184" s="1"/>
  <c r="E21" i="167"/>
  <c r="E356" i="184" s="1"/>
  <c r="D21" i="167"/>
  <c r="L20" i="167"/>
  <c r="L319" i="184"/>
  <c r="K20" i="167"/>
  <c r="K319" i="184" s="1"/>
  <c r="J20" i="167"/>
  <c r="I20" i="167"/>
  <c r="H20" i="167"/>
  <c r="H319" i="184" s="1"/>
  <c r="G20" i="167"/>
  <c r="G319" i="184" s="1"/>
  <c r="F20" i="167"/>
  <c r="F319" i="184" s="1"/>
  <c r="E20" i="167"/>
  <c r="E319" i="184" s="1"/>
  <c r="D20" i="167"/>
  <c r="D319" i="184" s="1"/>
  <c r="L19" i="167"/>
  <c r="L282" i="184" s="1"/>
  <c r="K19" i="167"/>
  <c r="K282" i="184" s="1"/>
  <c r="J19" i="167"/>
  <c r="J282" i="184"/>
  <c r="I19" i="167"/>
  <c r="H19" i="167"/>
  <c r="H282" i="184" s="1"/>
  <c r="G19" i="167"/>
  <c r="G282" i="184" s="1"/>
  <c r="F19" i="167"/>
  <c r="E19" i="167"/>
  <c r="E282" i="184"/>
  <c r="D19" i="167"/>
  <c r="D282" i="184"/>
  <c r="L169" i="184"/>
  <c r="K169" i="184"/>
  <c r="I169" i="184"/>
  <c r="G169" i="184"/>
  <c r="E169" i="184"/>
  <c r="K132" i="184"/>
  <c r="J132" i="184"/>
  <c r="I132" i="184"/>
  <c r="H132" i="184"/>
  <c r="E132" i="184"/>
  <c r="L95" i="184"/>
  <c r="K95" i="184"/>
  <c r="J95" i="184"/>
  <c r="I95" i="184"/>
  <c r="H95" i="184"/>
  <c r="G95" i="184"/>
  <c r="E95" i="184"/>
  <c r="D95" i="184"/>
  <c r="L58" i="184"/>
  <c r="K58" i="184"/>
  <c r="J58" i="184"/>
  <c r="G58" i="184"/>
  <c r="D58" i="184"/>
  <c r="J21" i="184"/>
  <c r="I21" i="184"/>
  <c r="H21" i="184"/>
  <c r="M100" i="162"/>
  <c r="M2555" i="184" s="1"/>
  <c r="Q92" i="162"/>
  <c r="AE43" i="231" s="1"/>
  <c r="O92" i="162"/>
  <c r="L92" i="162"/>
  <c r="L2475" i="184" s="1"/>
  <c r="K92" i="162"/>
  <c r="K2475" i="184"/>
  <c r="J92" i="162"/>
  <c r="I92" i="162"/>
  <c r="I2475" i="184" s="1"/>
  <c r="H92" i="162"/>
  <c r="H2475" i="184"/>
  <c r="G92" i="162"/>
  <c r="G2475" i="184" s="1"/>
  <c r="F92" i="162"/>
  <c r="F2475" i="184" s="1"/>
  <c r="E92" i="162"/>
  <c r="E2475" i="184" s="1"/>
  <c r="D92" i="162"/>
  <c r="D2475" i="184" s="1"/>
  <c r="L91" i="162"/>
  <c r="L2438" i="184" s="1"/>
  <c r="K91" i="162"/>
  <c r="K2438" i="184" s="1"/>
  <c r="J91" i="162"/>
  <c r="I91" i="162"/>
  <c r="I2438" i="184" s="1"/>
  <c r="H91" i="162"/>
  <c r="H2438" i="184"/>
  <c r="G91" i="162"/>
  <c r="G2438" i="184" s="1"/>
  <c r="F91" i="162"/>
  <c r="F2438" i="184" s="1"/>
  <c r="E91" i="162"/>
  <c r="E2438" i="184" s="1"/>
  <c r="D91" i="162"/>
  <c r="D2438" i="184"/>
  <c r="L90" i="162"/>
  <c r="L2401" i="184" s="1"/>
  <c r="K90" i="162"/>
  <c r="K2401" i="184" s="1"/>
  <c r="J90" i="162"/>
  <c r="J2401" i="184"/>
  <c r="I90" i="162"/>
  <c r="I2401" i="184" s="1"/>
  <c r="H90" i="162"/>
  <c r="H2401" i="184" s="1"/>
  <c r="G90" i="162"/>
  <c r="F90" i="162"/>
  <c r="F2401" i="184" s="1"/>
  <c r="E90" i="162"/>
  <c r="E2401" i="184" s="1"/>
  <c r="D90" i="162"/>
  <c r="D2401" i="184" s="1"/>
  <c r="L89" i="162"/>
  <c r="L2364" i="184" s="1"/>
  <c r="K89" i="162"/>
  <c r="K2364" i="184"/>
  <c r="J89" i="162"/>
  <c r="J2364" i="184"/>
  <c r="I89" i="162"/>
  <c r="I2364" i="184"/>
  <c r="H89" i="162"/>
  <c r="G89" i="162"/>
  <c r="G2364" i="184" s="1"/>
  <c r="F89" i="162"/>
  <c r="F2364" i="184"/>
  <c r="E89" i="162"/>
  <c r="E2364" i="184" s="1"/>
  <c r="D89" i="162"/>
  <c r="D2364" i="184" s="1"/>
  <c r="L88" i="162"/>
  <c r="L2327" i="184" s="1"/>
  <c r="K88" i="162"/>
  <c r="K2327" i="184"/>
  <c r="J88" i="162"/>
  <c r="I88" i="162"/>
  <c r="I2327" i="184" s="1"/>
  <c r="H88" i="162"/>
  <c r="H2327" i="184" s="1"/>
  <c r="G88" i="162"/>
  <c r="G2327" i="184" s="1"/>
  <c r="F88" i="162"/>
  <c r="F2327" i="184" s="1"/>
  <c r="E88" i="162"/>
  <c r="E2327" i="184"/>
  <c r="D88" i="162"/>
  <c r="D2327" i="184" s="1"/>
  <c r="L87" i="162"/>
  <c r="L2290" i="184" s="1"/>
  <c r="K87" i="162"/>
  <c r="K2290" i="184" s="1"/>
  <c r="J87" i="162"/>
  <c r="I87" i="162"/>
  <c r="I2290" i="184"/>
  <c r="H87" i="162"/>
  <c r="H2290" i="184" s="1"/>
  <c r="G87" i="162"/>
  <c r="G2290" i="184" s="1"/>
  <c r="F87" i="162"/>
  <c r="F2290" i="184" s="1"/>
  <c r="E87" i="162"/>
  <c r="E2290" i="184" s="1"/>
  <c r="D87" i="162"/>
  <c r="D2290" i="184" s="1"/>
  <c r="L82" i="162"/>
  <c r="L2177" i="184"/>
  <c r="K82" i="162"/>
  <c r="K2177" i="184"/>
  <c r="J82" i="162"/>
  <c r="J2177" i="184" s="1"/>
  <c r="I82" i="162"/>
  <c r="H82" i="162"/>
  <c r="G82" i="162"/>
  <c r="G2177" i="184"/>
  <c r="F82" i="162"/>
  <c r="E82" i="162"/>
  <c r="D82" i="162"/>
  <c r="D2177" i="184" s="1"/>
  <c r="L81" i="162"/>
  <c r="L2140" i="184"/>
  <c r="K81" i="162"/>
  <c r="J81" i="162"/>
  <c r="I81" i="162"/>
  <c r="I2140" i="184"/>
  <c r="H81" i="162"/>
  <c r="H2140" i="184" s="1"/>
  <c r="G81" i="162"/>
  <c r="F81" i="162"/>
  <c r="E81" i="162"/>
  <c r="E2140" i="184" s="1"/>
  <c r="R80" i="162"/>
  <c r="L116" i="162"/>
  <c r="R77" i="162"/>
  <c r="L77" i="162"/>
  <c r="L2064" i="184" s="1"/>
  <c r="K77" i="162"/>
  <c r="K2064" i="184" s="1"/>
  <c r="J77" i="162"/>
  <c r="J2064" i="184" s="1"/>
  <c r="I77" i="162"/>
  <c r="H77" i="162"/>
  <c r="H2064" i="184" s="1"/>
  <c r="G77" i="162"/>
  <c r="G2064" i="184" s="1"/>
  <c r="F77" i="162"/>
  <c r="E77" i="162"/>
  <c r="E2064" i="184" s="1"/>
  <c r="D77" i="162"/>
  <c r="L76" i="162"/>
  <c r="L2027" i="184" s="1"/>
  <c r="K76" i="162"/>
  <c r="K2027" i="184" s="1"/>
  <c r="J76" i="162"/>
  <c r="I76" i="162"/>
  <c r="I2027" i="184" s="1"/>
  <c r="H76" i="162"/>
  <c r="H2027" i="184" s="1"/>
  <c r="G76" i="162"/>
  <c r="G2027" i="184" s="1"/>
  <c r="F76" i="162"/>
  <c r="E76" i="162"/>
  <c r="D76" i="162"/>
  <c r="D2027" i="184"/>
  <c r="L75" i="162"/>
  <c r="L1990" i="184" s="1"/>
  <c r="K75" i="162"/>
  <c r="J75" i="162"/>
  <c r="J1990" i="184" s="1"/>
  <c r="I75" i="162"/>
  <c r="I1990" i="184" s="1"/>
  <c r="H75" i="162"/>
  <c r="H1990" i="184"/>
  <c r="G75" i="162"/>
  <c r="G1990" i="184" s="1"/>
  <c r="F75" i="162"/>
  <c r="E75" i="162"/>
  <c r="E1990" i="184" s="1"/>
  <c r="D75" i="162"/>
  <c r="D1990" i="184"/>
  <c r="L74" i="162"/>
  <c r="K74" i="162"/>
  <c r="K1953" i="184"/>
  <c r="J74" i="162"/>
  <c r="J1953" i="184" s="1"/>
  <c r="I74" i="162"/>
  <c r="I1953" i="184" s="1"/>
  <c r="H74" i="162"/>
  <c r="G74" i="162"/>
  <c r="G1953" i="184"/>
  <c r="F74" i="162"/>
  <c r="E74" i="162"/>
  <c r="D74" i="162"/>
  <c r="D1953" i="184"/>
  <c r="L70" i="162"/>
  <c r="L1877" i="184"/>
  <c r="K70" i="162"/>
  <c r="K1877" i="184"/>
  <c r="J70" i="162"/>
  <c r="J1877" i="184" s="1"/>
  <c r="I70" i="162"/>
  <c r="I1877" i="184" s="1"/>
  <c r="H70" i="162"/>
  <c r="H1877" i="184" s="1"/>
  <c r="G70" i="162"/>
  <c r="G1877" i="184" s="1"/>
  <c r="F70" i="162"/>
  <c r="E70" i="162"/>
  <c r="E1877" i="184"/>
  <c r="D70" i="162"/>
  <c r="D1877" i="184"/>
  <c r="L69" i="162"/>
  <c r="L1840" i="184" s="1"/>
  <c r="K69" i="162"/>
  <c r="K1840" i="184" s="1"/>
  <c r="J69" i="162"/>
  <c r="J1840" i="184"/>
  <c r="I69" i="162"/>
  <c r="I1840" i="184" s="1"/>
  <c r="H69" i="162"/>
  <c r="G69" i="162"/>
  <c r="G1840" i="184"/>
  <c r="F69" i="162"/>
  <c r="E69" i="162"/>
  <c r="E1840" i="184"/>
  <c r="D69" i="162"/>
  <c r="D1840" i="184" s="1"/>
  <c r="AA68" i="162"/>
  <c r="P68" i="162"/>
  <c r="L68" i="162"/>
  <c r="L1803" i="184" s="1"/>
  <c r="K68" i="162"/>
  <c r="K1803" i="184"/>
  <c r="J68" i="162"/>
  <c r="J1803" i="184" s="1"/>
  <c r="I68" i="162"/>
  <c r="I1803" i="184" s="1"/>
  <c r="H68" i="162"/>
  <c r="H1803" i="184"/>
  <c r="G68" i="162"/>
  <c r="G1803" i="184" s="1"/>
  <c r="F68" i="162"/>
  <c r="E68" i="162"/>
  <c r="E1803" i="184" s="1"/>
  <c r="D68" i="162"/>
  <c r="AA67" i="162"/>
  <c r="W67" i="162"/>
  <c r="K276" i="191" s="1"/>
  <c r="V67" i="162"/>
  <c r="P67" i="162"/>
  <c r="U67" i="162"/>
  <c r="L67" i="162"/>
  <c r="L1766" i="184" s="1"/>
  <c r="K67" i="162"/>
  <c r="K1766" i="184" s="1"/>
  <c r="J67" i="162"/>
  <c r="J1766" i="184" s="1"/>
  <c r="I67" i="162"/>
  <c r="H67" i="162"/>
  <c r="H1766" i="184" s="1"/>
  <c r="G67" i="162"/>
  <c r="G1766" i="184"/>
  <c r="F67" i="162"/>
  <c r="E67" i="162"/>
  <c r="E1766" i="184"/>
  <c r="D67" i="162"/>
  <c r="AA66" i="162"/>
  <c r="W66" i="162"/>
  <c r="K239" i="191" s="1"/>
  <c r="V66" i="162"/>
  <c r="P66" i="162"/>
  <c r="L66" i="162"/>
  <c r="L1729" i="184" s="1"/>
  <c r="K66" i="162"/>
  <c r="K1729" i="184" s="1"/>
  <c r="J66" i="162"/>
  <c r="J1729" i="184" s="1"/>
  <c r="I66" i="162"/>
  <c r="I1729" i="184" s="1"/>
  <c r="H66" i="162"/>
  <c r="H1729" i="184"/>
  <c r="G66" i="162"/>
  <c r="G1729" i="184"/>
  <c r="F66" i="162"/>
  <c r="E66" i="162"/>
  <c r="E1729" i="184" s="1"/>
  <c r="D66" i="162"/>
  <c r="AA65" i="162"/>
  <c r="W65" i="162"/>
  <c r="K202" i="191" s="1"/>
  <c r="V65" i="162"/>
  <c r="J202" i="191" s="1"/>
  <c r="P65" i="162"/>
  <c r="U65" i="162"/>
  <c r="L65" i="162"/>
  <c r="L1692" i="184" s="1"/>
  <c r="K65" i="162"/>
  <c r="J65" i="162"/>
  <c r="J1692" i="184"/>
  <c r="I65" i="162"/>
  <c r="H65" i="162"/>
  <c r="H1692" i="184" s="1"/>
  <c r="G65" i="162"/>
  <c r="G1692" i="184" s="1"/>
  <c r="F65" i="162"/>
  <c r="E65" i="162"/>
  <c r="D65" i="162"/>
  <c r="D1692" i="184" s="1"/>
  <c r="AA64" i="162"/>
  <c r="W64" i="162"/>
  <c r="V64" i="162"/>
  <c r="J165" i="191" s="1"/>
  <c r="Q64" i="162"/>
  <c r="E165" i="191"/>
  <c r="P64" i="162"/>
  <c r="U64" i="162" s="1"/>
  <c r="I165" i="191" s="1"/>
  <c r="L64" i="162"/>
  <c r="L1655" i="184"/>
  <c r="K64" i="162"/>
  <c r="K1655" i="184" s="1"/>
  <c r="J64" i="162"/>
  <c r="J1655" i="184" s="1"/>
  <c r="I64" i="162"/>
  <c r="H64" i="162"/>
  <c r="H1655" i="184" s="1"/>
  <c r="G64" i="162"/>
  <c r="G1655" i="184" s="1"/>
  <c r="F64" i="162"/>
  <c r="E64" i="162"/>
  <c r="E1655" i="184"/>
  <c r="D64" i="162"/>
  <c r="AA63" i="162"/>
  <c r="W63" i="162"/>
  <c r="V63" i="162"/>
  <c r="P63" i="162"/>
  <c r="L63" i="162"/>
  <c r="L1618" i="184"/>
  <c r="K63" i="162"/>
  <c r="K1618" i="184" s="1"/>
  <c r="J63" i="162"/>
  <c r="I63" i="162"/>
  <c r="I1618" i="184" s="1"/>
  <c r="H63" i="162"/>
  <c r="G63" i="162"/>
  <c r="G1618" i="184"/>
  <c r="F63" i="162"/>
  <c r="E63" i="162"/>
  <c r="E1618" i="184" s="1"/>
  <c r="D63" i="162"/>
  <c r="AA62" i="162"/>
  <c r="W62" i="162"/>
  <c r="K91" i="191"/>
  <c r="V62" i="162"/>
  <c r="P62" i="162"/>
  <c r="L62" i="162"/>
  <c r="L1581" i="184" s="1"/>
  <c r="K62" i="162"/>
  <c r="J62" i="162"/>
  <c r="J1581" i="184" s="1"/>
  <c r="I62" i="162"/>
  <c r="I1581" i="184" s="1"/>
  <c r="H62" i="162"/>
  <c r="H1581" i="184"/>
  <c r="G62" i="162"/>
  <c r="G1581" i="184"/>
  <c r="F62" i="162"/>
  <c r="E62" i="162"/>
  <c r="E1581" i="184" s="1"/>
  <c r="D62" i="162"/>
  <c r="AA61" i="162"/>
  <c r="W61" i="162"/>
  <c r="K54" i="191" s="1"/>
  <c r="V61" i="162"/>
  <c r="J54" i="191"/>
  <c r="P61" i="162"/>
  <c r="L61" i="162"/>
  <c r="L1544" i="184" s="1"/>
  <c r="K61" i="162"/>
  <c r="K1544" i="184"/>
  <c r="J61" i="162"/>
  <c r="J1544" i="184"/>
  <c r="I61" i="162"/>
  <c r="H61" i="162"/>
  <c r="H1544" i="184"/>
  <c r="G61" i="162"/>
  <c r="G1544" i="184" s="1"/>
  <c r="F61" i="162"/>
  <c r="F1544" i="184" s="1"/>
  <c r="E61" i="162"/>
  <c r="E1544" i="184"/>
  <c r="D61" i="162"/>
  <c r="AA60" i="162"/>
  <c r="W60" i="162"/>
  <c r="K17" i="191" s="1"/>
  <c r="V60" i="162"/>
  <c r="J17" i="191" s="1"/>
  <c r="P60" i="162"/>
  <c r="D17" i="191"/>
  <c r="L60" i="162"/>
  <c r="K60" i="162"/>
  <c r="K1507" i="184"/>
  <c r="J60" i="162"/>
  <c r="J1507" i="184" s="1"/>
  <c r="I60" i="162"/>
  <c r="I1507" i="184" s="1"/>
  <c r="H60" i="162"/>
  <c r="G60" i="162"/>
  <c r="G1507" i="184"/>
  <c r="F60" i="162"/>
  <c r="E60" i="162"/>
  <c r="E1507" i="184" s="1"/>
  <c r="D60" i="162"/>
  <c r="D1507" i="184" s="1"/>
  <c r="I1394" i="184"/>
  <c r="H1394" i="184"/>
  <c r="G1394" i="184"/>
  <c r="E1394" i="184"/>
  <c r="K1357" i="184"/>
  <c r="J1357" i="184"/>
  <c r="I1357" i="184"/>
  <c r="G1357" i="184"/>
  <c r="E1357" i="184"/>
  <c r="D1357" i="184"/>
  <c r="L1320" i="184"/>
  <c r="K1320" i="184"/>
  <c r="J1320" i="184"/>
  <c r="I1320" i="184"/>
  <c r="G1320" i="184"/>
  <c r="E1320" i="184"/>
  <c r="L1283" i="184"/>
  <c r="K1283" i="184"/>
  <c r="J1283" i="184"/>
  <c r="G1283" i="184"/>
  <c r="E1283" i="184"/>
  <c r="D1283" i="184"/>
  <c r="J1246" i="184"/>
  <c r="I1246" i="184"/>
  <c r="H1246" i="184"/>
  <c r="G1246" i="184"/>
  <c r="E1246" i="184"/>
  <c r="L1209" i="184"/>
  <c r="K1209" i="184"/>
  <c r="J1209" i="184"/>
  <c r="I1209" i="184"/>
  <c r="D26" i="161"/>
  <c r="E1209" i="184"/>
  <c r="D1209" i="184"/>
  <c r="L1170" i="184"/>
  <c r="K1170" i="184"/>
  <c r="J1170" i="184"/>
  <c r="G1170" i="184"/>
  <c r="D1170" i="184"/>
  <c r="L1056" i="184"/>
  <c r="K1056" i="184"/>
  <c r="I1056" i="184"/>
  <c r="H1056" i="184"/>
  <c r="G1056" i="184"/>
  <c r="E1056" i="184"/>
  <c r="D1056" i="184"/>
  <c r="L1019" i="184"/>
  <c r="K1019" i="184"/>
  <c r="J1019" i="184"/>
  <c r="I1019" i="184"/>
  <c r="H1019" i="184"/>
  <c r="F1019" i="184"/>
  <c r="E1019" i="184"/>
  <c r="L982" i="184"/>
  <c r="K982" i="184"/>
  <c r="I982" i="184"/>
  <c r="H982" i="184"/>
  <c r="G982" i="184"/>
  <c r="E982" i="184"/>
  <c r="D982" i="184"/>
  <c r="K945" i="184"/>
  <c r="I945" i="184"/>
  <c r="G945" i="184"/>
  <c r="F945" i="184"/>
  <c r="E945" i="184"/>
  <c r="L908" i="184"/>
  <c r="K908" i="184"/>
  <c r="J908" i="184"/>
  <c r="I908" i="184"/>
  <c r="H908" i="184"/>
  <c r="G908" i="184"/>
  <c r="E908" i="184"/>
  <c r="L871" i="184"/>
  <c r="K871" i="184"/>
  <c r="J871" i="184"/>
  <c r="I871" i="184"/>
  <c r="H871" i="184"/>
  <c r="F871" i="184"/>
  <c r="D871" i="184"/>
  <c r="L35" i="162"/>
  <c r="L834" i="184" s="1"/>
  <c r="K35" i="162"/>
  <c r="K834" i="184"/>
  <c r="J35" i="162"/>
  <c r="J834" i="184"/>
  <c r="I35" i="162"/>
  <c r="H35" i="162"/>
  <c r="H834" i="184" s="1"/>
  <c r="G35" i="162"/>
  <c r="G834" i="184" s="1"/>
  <c r="F35" i="162"/>
  <c r="F834" i="184"/>
  <c r="E35" i="162"/>
  <c r="E834" i="184"/>
  <c r="D35" i="162"/>
  <c r="D834" i="184"/>
  <c r="R34" i="162"/>
  <c r="L109" i="162" s="1"/>
  <c r="L34" i="162"/>
  <c r="K34" i="162"/>
  <c r="K797" i="184"/>
  <c r="J34" i="162"/>
  <c r="J797" i="184" s="1"/>
  <c r="I34" i="162"/>
  <c r="I797" i="184"/>
  <c r="H34" i="162"/>
  <c r="H797" i="184" s="1"/>
  <c r="G34" i="162"/>
  <c r="G797" i="184"/>
  <c r="F34" i="162"/>
  <c r="E34" i="162"/>
  <c r="E797" i="184"/>
  <c r="D34" i="162"/>
  <c r="L33" i="162"/>
  <c r="L760" i="184" s="1"/>
  <c r="K33" i="162"/>
  <c r="K760" i="184"/>
  <c r="J33" i="162"/>
  <c r="I33" i="162"/>
  <c r="H33" i="162"/>
  <c r="H760" i="184"/>
  <c r="G33" i="162"/>
  <c r="F33" i="162"/>
  <c r="F760" i="184" s="1"/>
  <c r="E33" i="162"/>
  <c r="D33" i="162"/>
  <c r="D760" i="184" s="1"/>
  <c r="Q32" i="162"/>
  <c r="L108" i="162"/>
  <c r="L32" i="162"/>
  <c r="L723" i="184"/>
  <c r="K32" i="162"/>
  <c r="J32" i="162"/>
  <c r="J723" i="184"/>
  <c r="I32" i="162"/>
  <c r="I723" i="184"/>
  <c r="H32" i="162"/>
  <c r="G32" i="162"/>
  <c r="G723" i="184"/>
  <c r="F32" i="162"/>
  <c r="F723" i="184" s="1"/>
  <c r="E32" i="162"/>
  <c r="D32" i="162"/>
  <c r="D723" i="184"/>
  <c r="L611" i="184"/>
  <c r="K611" i="184"/>
  <c r="J611" i="184"/>
  <c r="I611" i="184"/>
  <c r="F611" i="184"/>
  <c r="E611" i="184"/>
  <c r="K574" i="184"/>
  <c r="J574" i="184"/>
  <c r="H574" i="184"/>
  <c r="G574" i="184"/>
  <c r="F574" i="184"/>
  <c r="E574" i="184"/>
  <c r="D574" i="184"/>
  <c r="L537" i="184"/>
  <c r="J537" i="184"/>
  <c r="I537" i="184"/>
  <c r="H537" i="184"/>
  <c r="G537" i="184"/>
  <c r="E537" i="184"/>
  <c r="K500" i="184"/>
  <c r="J500" i="184"/>
  <c r="I500" i="184"/>
  <c r="G500" i="184"/>
  <c r="F500" i="184"/>
  <c r="E500" i="184"/>
  <c r="L463" i="184"/>
  <c r="I463" i="184"/>
  <c r="H463" i="184"/>
  <c r="G463" i="184"/>
  <c r="D463" i="184"/>
  <c r="L426" i="184"/>
  <c r="J426" i="184"/>
  <c r="H426" i="184"/>
  <c r="G426" i="184"/>
  <c r="F426" i="184"/>
  <c r="D426" i="184"/>
  <c r="L22" i="162"/>
  <c r="L389" i="184" s="1"/>
  <c r="K22" i="162"/>
  <c r="K389" i="184"/>
  <c r="J22" i="162"/>
  <c r="J389" i="184" s="1"/>
  <c r="I22" i="162"/>
  <c r="I389" i="184"/>
  <c r="H22" i="162"/>
  <c r="H389" i="184" s="1"/>
  <c r="G22" i="162"/>
  <c r="G389" i="184" s="1"/>
  <c r="F22" i="162"/>
  <c r="F389" i="184" s="1"/>
  <c r="E22" i="162"/>
  <c r="D22" i="162"/>
  <c r="D389" i="184"/>
  <c r="L21" i="162"/>
  <c r="K21" i="162"/>
  <c r="J21" i="162"/>
  <c r="J352" i="184" s="1"/>
  <c r="I21" i="162"/>
  <c r="I352" i="184"/>
  <c r="H21" i="162"/>
  <c r="H352" i="184"/>
  <c r="G21" i="162"/>
  <c r="G352" i="184" s="1"/>
  <c r="F21" i="162"/>
  <c r="F352" i="184" s="1"/>
  <c r="E21" i="162"/>
  <c r="E352" i="184"/>
  <c r="D21" i="162"/>
  <c r="L20" i="162"/>
  <c r="L315" i="184" s="1"/>
  <c r="K20" i="162"/>
  <c r="K315" i="184"/>
  <c r="J20" i="162"/>
  <c r="J315" i="184" s="1"/>
  <c r="I20" i="162"/>
  <c r="I315" i="184" s="1"/>
  <c r="H20" i="162"/>
  <c r="H315" i="184" s="1"/>
  <c r="G20" i="162"/>
  <c r="G315" i="184"/>
  <c r="F20" i="162"/>
  <c r="E20" i="162"/>
  <c r="E315" i="184"/>
  <c r="D20" i="162"/>
  <c r="D315" i="184" s="1"/>
  <c r="L19" i="162"/>
  <c r="L278" i="184" s="1"/>
  <c r="K19" i="162"/>
  <c r="K278" i="184"/>
  <c r="J19" i="162"/>
  <c r="J278" i="184"/>
  <c r="I19" i="162"/>
  <c r="I278" i="184" s="1"/>
  <c r="H19" i="162"/>
  <c r="G19" i="162"/>
  <c r="G278" i="184"/>
  <c r="F19" i="162"/>
  <c r="F278" i="184" s="1"/>
  <c r="E19" i="162"/>
  <c r="E278" i="184"/>
  <c r="D19" i="162"/>
  <c r="D278" i="184" s="1"/>
  <c r="K165" i="184"/>
  <c r="I165" i="184"/>
  <c r="H165" i="184"/>
  <c r="G165" i="184"/>
  <c r="E165" i="184"/>
  <c r="D165" i="184"/>
  <c r="K128" i="184"/>
  <c r="J128" i="184"/>
  <c r="I128" i="184"/>
  <c r="G128" i="184"/>
  <c r="D13" i="161"/>
  <c r="E128" i="184"/>
  <c r="L91" i="184"/>
  <c r="K91" i="184"/>
  <c r="J91" i="184"/>
  <c r="I91" i="184"/>
  <c r="H91" i="184"/>
  <c r="G91" i="184"/>
  <c r="E91" i="184"/>
  <c r="D91" i="184"/>
  <c r="L54" i="184"/>
  <c r="K54" i="184"/>
  <c r="J54" i="184"/>
  <c r="H54" i="184"/>
  <c r="G54" i="184"/>
  <c r="F54" i="184"/>
  <c r="L17" i="184"/>
  <c r="K17" i="184"/>
  <c r="J17" i="184"/>
  <c r="I17" i="184"/>
  <c r="G17" i="184"/>
  <c r="E17" i="184"/>
  <c r="D17" i="184"/>
  <c r="M100" i="195"/>
  <c r="Q92" i="195"/>
  <c r="O92" i="195"/>
  <c r="L92" i="195"/>
  <c r="L2502" i="184"/>
  <c r="K92" i="195"/>
  <c r="K2502" i="184" s="1"/>
  <c r="J92" i="195"/>
  <c r="J2502" i="184" s="1"/>
  <c r="I92" i="195"/>
  <c r="I2502" i="184" s="1"/>
  <c r="H92" i="195"/>
  <c r="H2502" i="184"/>
  <c r="G92" i="195"/>
  <c r="G2502" i="184" s="1"/>
  <c r="F92" i="195"/>
  <c r="F2502" i="184"/>
  <c r="E92" i="195"/>
  <c r="E2502" i="184" s="1"/>
  <c r="D92" i="195"/>
  <c r="D2502" i="184"/>
  <c r="L91" i="195"/>
  <c r="L2465" i="184"/>
  <c r="K91" i="195"/>
  <c r="K2465" i="184" s="1"/>
  <c r="J91" i="195"/>
  <c r="J2465" i="184" s="1"/>
  <c r="I91" i="195"/>
  <c r="I2465" i="184" s="1"/>
  <c r="H91" i="195"/>
  <c r="H2465" i="184"/>
  <c r="G91" i="195"/>
  <c r="G2465" i="184"/>
  <c r="F91" i="195"/>
  <c r="E91" i="195"/>
  <c r="E2465" i="184" s="1"/>
  <c r="D91" i="195"/>
  <c r="L90" i="195"/>
  <c r="L2428" i="184"/>
  <c r="K90" i="195"/>
  <c r="K2428" i="184"/>
  <c r="J90" i="195"/>
  <c r="J2428" i="184" s="1"/>
  <c r="I90" i="195"/>
  <c r="I2428" i="184" s="1"/>
  <c r="H90" i="195"/>
  <c r="H2428" i="184"/>
  <c r="G90" i="195"/>
  <c r="F90" i="195"/>
  <c r="E90" i="195"/>
  <c r="E2428" i="184" s="1"/>
  <c r="D90" i="195"/>
  <c r="D2428" i="184"/>
  <c r="L89" i="195"/>
  <c r="L2391" i="184" s="1"/>
  <c r="K89" i="195"/>
  <c r="K2391" i="184"/>
  <c r="J89" i="195"/>
  <c r="J2391" i="184" s="1"/>
  <c r="I89" i="195"/>
  <c r="I2391" i="184"/>
  <c r="H89" i="195"/>
  <c r="G89" i="195"/>
  <c r="G2391" i="184" s="1"/>
  <c r="F89" i="195"/>
  <c r="F2391" i="184"/>
  <c r="E89" i="195"/>
  <c r="E2391" i="184"/>
  <c r="D89" i="195"/>
  <c r="D2391" i="184"/>
  <c r="L88" i="195"/>
  <c r="L2354" i="184" s="1"/>
  <c r="K88" i="195"/>
  <c r="K2354" i="184" s="1"/>
  <c r="J88" i="195"/>
  <c r="J2354" i="184"/>
  <c r="I88" i="195"/>
  <c r="I2354" i="184"/>
  <c r="H88" i="195"/>
  <c r="H2354" i="184" s="1"/>
  <c r="G88" i="195"/>
  <c r="G2354" i="184" s="1"/>
  <c r="F88" i="195"/>
  <c r="F2354" i="184" s="1"/>
  <c r="E88" i="195"/>
  <c r="E2354" i="184"/>
  <c r="D88" i="195"/>
  <c r="L87" i="195"/>
  <c r="L2317" i="184"/>
  <c r="K87" i="195"/>
  <c r="K2317" i="184" s="1"/>
  <c r="J87" i="195"/>
  <c r="I87" i="195"/>
  <c r="I2317" i="184"/>
  <c r="H87" i="195"/>
  <c r="H2317" i="184" s="1"/>
  <c r="G87" i="195"/>
  <c r="G2317" i="184"/>
  <c r="F87" i="195"/>
  <c r="E87" i="195"/>
  <c r="E2317" i="184" s="1"/>
  <c r="D87" i="195"/>
  <c r="D2317" i="184" s="1"/>
  <c r="L82" i="195"/>
  <c r="K82" i="195"/>
  <c r="K2204" i="184"/>
  <c r="J82" i="195"/>
  <c r="J2204" i="184"/>
  <c r="I82" i="195"/>
  <c r="I2204" i="184" s="1"/>
  <c r="H82" i="195"/>
  <c r="H2204" i="184" s="1"/>
  <c r="G82" i="195"/>
  <c r="F82" i="195"/>
  <c r="E82" i="195"/>
  <c r="E2204" i="184"/>
  <c r="D82" i="195"/>
  <c r="L81" i="195"/>
  <c r="L2167" i="184" s="1"/>
  <c r="K81" i="195"/>
  <c r="K2167" i="184"/>
  <c r="J81" i="195"/>
  <c r="I81" i="195"/>
  <c r="H81" i="195"/>
  <c r="H2167" i="184"/>
  <c r="G81" i="195"/>
  <c r="G2167" i="184" s="1"/>
  <c r="F81" i="195"/>
  <c r="E81" i="195"/>
  <c r="R80" i="195"/>
  <c r="B27" i="196" s="1"/>
  <c r="R77" i="195"/>
  <c r="L77" i="195"/>
  <c r="L2091" i="184"/>
  <c r="K77" i="195"/>
  <c r="K2091" i="184" s="1"/>
  <c r="J77" i="195"/>
  <c r="I77" i="195"/>
  <c r="I2091" i="184" s="1"/>
  <c r="H77" i="195"/>
  <c r="G77" i="195"/>
  <c r="F77" i="195"/>
  <c r="E77" i="195"/>
  <c r="E2091" i="184" s="1"/>
  <c r="D77" i="195"/>
  <c r="D2091" i="184" s="1"/>
  <c r="L76" i="195"/>
  <c r="K76" i="195"/>
  <c r="K2054" i="184"/>
  <c r="J76" i="195"/>
  <c r="J2054" i="184"/>
  <c r="I76" i="195"/>
  <c r="H76" i="195"/>
  <c r="G76" i="195"/>
  <c r="G2054" i="184" s="1"/>
  <c r="F76" i="195"/>
  <c r="F2054" i="184"/>
  <c r="E76" i="195"/>
  <c r="E2054" i="184"/>
  <c r="D76" i="195"/>
  <c r="L75" i="195"/>
  <c r="L2017" i="184"/>
  <c r="K75" i="195"/>
  <c r="K2017" i="184" s="1"/>
  <c r="J75" i="195"/>
  <c r="J2017" i="184"/>
  <c r="I75" i="195"/>
  <c r="I2017" i="184" s="1"/>
  <c r="H75" i="195"/>
  <c r="G75" i="195"/>
  <c r="G2017" i="184" s="1"/>
  <c r="F75" i="195"/>
  <c r="E75" i="195"/>
  <c r="E2017" i="184" s="1"/>
  <c r="D75" i="195"/>
  <c r="D2017" i="184" s="1"/>
  <c r="L74" i="195"/>
  <c r="L1980" i="184"/>
  <c r="K74" i="195"/>
  <c r="K1980" i="184"/>
  <c r="J74" i="195"/>
  <c r="I74" i="195"/>
  <c r="H74" i="195"/>
  <c r="H1980" i="184" s="1"/>
  <c r="G74" i="195"/>
  <c r="G1980" i="184"/>
  <c r="F74" i="195"/>
  <c r="E74" i="195"/>
  <c r="E1980" i="184"/>
  <c r="D74" i="195"/>
  <c r="L70" i="195"/>
  <c r="L1904" i="184" s="1"/>
  <c r="K70" i="195"/>
  <c r="J70" i="195"/>
  <c r="J1904" i="184" s="1"/>
  <c r="I70" i="195"/>
  <c r="I1904" i="184"/>
  <c r="H70" i="195"/>
  <c r="H1904" i="184"/>
  <c r="G70" i="195"/>
  <c r="F70" i="195"/>
  <c r="E70" i="195"/>
  <c r="E1904" i="184" s="1"/>
  <c r="D70" i="195"/>
  <c r="D1904" i="184"/>
  <c r="L69" i="195"/>
  <c r="K69" i="195"/>
  <c r="J69" i="195"/>
  <c r="J1867" i="184"/>
  <c r="I69" i="195"/>
  <c r="I1867" i="184" s="1"/>
  <c r="H69" i="195"/>
  <c r="H1867" i="184"/>
  <c r="G69" i="195"/>
  <c r="F69" i="195"/>
  <c r="D45" i="194" s="1"/>
  <c r="E69" i="195"/>
  <c r="E1867" i="184"/>
  <c r="D69" i="195"/>
  <c r="D1867" i="184" s="1"/>
  <c r="AA68" i="195"/>
  <c r="P68" i="195"/>
  <c r="L68" i="195"/>
  <c r="L1830" i="184" s="1"/>
  <c r="K68" i="195"/>
  <c r="K1830" i="184"/>
  <c r="J68" i="195"/>
  <c r="J1830" i="184"/>
  <c r="I68" i="195"/>
  <c r="I1830" i="184" s="1"/>
  <c r="H68" i="195"/>
  <c r="H1830" i="184" s="1"/>
  <c r="G68" i="195"/>
  <c r="G1830" i="184"/>
  <c r="F68" i="195"/>
  <c r="F1830" i="184"/>
  <c r="E68" i="195"/>
  <c r="E1830" i="184" s="1"/>
  <c r="D68" i="195"/>
  <c r="AA67" i="195"/>
  <c r="W67" i="195"/>
  <c r="K303" i="191"/>
  <c r="V67" i="195"/>
  <c r="J303" i="191"/>
  <c r="P67" i="195"/>
  <c r="U67" i="195" s="1"/>
  <c r="I303" i="191" s="1"/>
  <c r="L67" i="195"/>
  <c r="L1793" i="184"/>
  <c r="K67" i="195"/>
  <c r="K1793" i="184" s="1"/>
  <c r="J67" i="195"/>
  <c r="J1793" i="184"/>
  <c r="I67" i="195"/>
  <c r="I1793" i="184" s="1"/>
  <c r="H67" i="195"/>
  <c r="G67" i="195"/>
  <c r="G1793" i="184" s="1"/>
  <c r="F67" i="195"/>
  <c r="E67" i="195"/>
  <c r="E1793" i="184"/>
  <c r="D67" i="195"/>
  <c r="AA66" i="195"/>
  <c r="W66" i="195"/>
  <c r="V66" i="195"/>
  <c r="J266" i="191" s="1"/>
  <c r="P66" i="195"/>
  <c r="U66" i="195"/>
  <c r="L66" i="195"/>
  <c r="L1756" i="184"/>
  <c r="K66" i="195"/>
  <c r="K1756" i="184" s="1"/>
  <c r="J66" i="195"/>
  <c r="J1756" i="184" s="1"/>
  <c r="I66" i="195"/>
  <c r="H66" i="195"/>
  <c r="H1756" i="184"/>
  <c r="G66" i="195"/>
  <c r="G1756" i="184" s="1"/>
  <c r="F66" i="195"/>
  <c r="E66" i="195"/>
  <c r="D66" i="195"/>
  <c r="D1756" i="184" s="1"/>
  <c r="AA65" i="195"/>
  <c r="W65" i="195"/>
  <c r="K229" i="191"/>
  <c r="V65" i="195"/>
  <c r="J229" i="191" s="1"/>
  <c r="P65" i="195"/>
  <c r="L65" i="195"/>
  <c r="L1719" i="184" s="1"/>
  <c r="K65" i="195"/>
  <c r="K1719" i="184"/>
  <c r="J65" i="195"/>
  <c r="J1719" i="184" s="1"/>
  <c r="I65" i="195"/>
  <c r="H65" i="195"/>
  <c r="H1719" i="184"/>
  <c r="G65" i="195"/>
  <c r="G1719" i="184"/>
  <c r="F65" i="195"/>
  <c r="E65" i="195"/>
  <c r="E1719" i="184" s="1"/>
  <c r="D65" i="195"/>
  <c r="AA64" i="195"/>
  <c r="W64" i="195"/>
  <c r="K192" i="191" s="1"/>
  <c r="V64" i="195"/>
  <c r="J192" i="191"/>
  <c r="Q64" i="195"/>
  <c r="P64" i="195"/>
  <c r="L64" i="195"/>
  <c r="L1682" i="184" s="1"/>
  <c r="K64" i="195"/>
  <c r="K1682" i="184" s="1"/>
  <c r="J64" i="195"/>
  <c r="J1682" i="184"/>
  <c r="I64" i="195"/>
  <c r="I1682" i="184"/>
  <c r="H64" i="195"/>
  <c r="H1682" i="184"/>
  <c r="G64" i="195"/>
  <c r="G1682" i="184" s="1"/>
  <c r="F64" i="195"/>
  <c r="D40" i="194"/>
  <c r="E64" i="195"/>
  <c r="D64" i="195"/>
  <c r="D1682" i="184" s="1"/>
  <c r="AA63" i="195"/>
  <c r="W63" i="195"/>
  <c r="K155" i="191" s="1"/>
  <c r="V63" i="195"/>
  <c r="J155" i="191" s="1"/>
  <c r="P63" i="195"/>
  <c r="U63" i="195"/>
  <c r="L63" i="195"/>
  <c r="L1645" i="184"/>
  <c r="K63" i="195"/>
  <c r="K1645" i="184" s="1"/>
  <c r="J63" i="195"/>
  <c r="I63" i="195"/>
  <c r="H63" i="195"/>
  <c r="G63" i="195"/>
  <c r="G1645" i="184" s="1"/>
  <c r="F63" i="195"/>
  <c r="F1645" i="184"/>
  <c r="E63" i="195"/>
  <c r="E1645" i="184"/>
  <c r="D63" i="195"/>
  <c r="D1645" i="184"/>
  <c r="AA62" i="195"/>
  <c r="W62" i="195"/>
  <c r="K118" i="191"/>
  <c r="V62" i="195"/>
  <c r="P62" i="195"/>
  <c r="L62" i="195"/>
  <c r="K62" i="195"/>
  <c r="K1608" i="184"/>
  <c r="J62" i="195"/>
  <c r="J1608" i="184" s="1"/>
  <c r="I62" i="195"/>
  <c r="I1608" i="184"/>
  <c r="H62" i="195"/>
  <c r="G62" i="195"/>
  <c r="F62" i="195"/>
  <c r="E62" i="195"/>
  <c r="E1608" i="184" s="1"/>
  <c r="D62" i="195"/>
  <c r="D1608" i="184" s="1"/>
  <c r="AA61" i="195"/>
  <c r="W61" i="195"/>
  <c r="K81" i="191"/>
  <c r="V61" i="195"/>
  <c r="P61" i="195"/>
  <c r="U61" i="195"/>
  <c r="I81" i="191" s="1"/>
  <c r="L61" i="195"/>
  <c r="L1571" i="184" s="1"/>
  <c r="K61" i="195"/>
  <c r="K1571" i="184"/>
  <c r="J61" i="195"/>
  <c r="J1571" i="184"/>
  <c r="I61" i="195"/>
  <c r="I1571" i="184" s="1"/>
  <c r="H61" i="195"/>
  <c r="H1571" i="184"/>
  <c r="G61" i="195"/>
  <c r="G1571" i="184" s="1"/>
  <c r="F61" i="195"/>
  <c r="F1571" i="184"/>
  <c r="E61" i="195"/>
  <c r="D61" i="195"/>
  <c r="D1571" i="184"/>
  <c r="AA60" i="195"/>
  <c r="W60" i="195"/>
  <c r="K44" i="191" s="1"/>
  <c r="V60" i="195"/>
  <c r="J44" i="191"/>
  <c r="P60" i="195"/>
  <c r="L60" i="195"/>
  <c r="L1534" i="184"/>
  <c r="K60" i="195"/>
  <c r="K1534" i="184" s="1"/>
  <c r="J60" i="195"/>
  <c r="I60" i="195"/>
  <c r="I1534" i="184"/>
  <c r="H60" i="195"/>
  <c r="H1534" i="184" s="1"/>
  <c r="G60" i="195"/>
  <c r="G1534" i="184"/>
  <c r="F60" i="195"/>
  <c r="E60" i="195"/>
  <c r="E1534" i="184" s="1"/>
  <c r="D60" i="195"/>
  <c r="D1534" i="184" s="1"/>
  <c r="L1421" i="184"/>
  <c r="K1421" i="184"/>
  <c r="I1421" i="184"/>
  <c r="H1421" i="184"/>
  <c r="E1421" i="184"/>
  <c r="L1384" i="184"/>
  <c r="J1384" i="184"/>
  <c r="I1384" i="184"/>
  <c r="H1384" i="184"/>
  <c r="G1384" i="184"/>
  <c r="D1384" i="184"/>
  <c r="L1347" i="184"/>
  <c r="K1347" i="184"/>
  <c r="J1347" i="184"/>
  <c r="I1347" i="184"/>
  <c r="H1347" i="184"/>
  <c r="E1347" i="184"/>
  <c r="J1310" i="184"/>
  <c r="I1310" i="184"/>
  <c r="H1310" i="184"/>
  <c r="G1310" i="184"/>
  <c r="L1273" i="184"/>
  <c r="K1273" i="184"/>
  <c r="H1273" i="184"/>
  <c r="E1273" i="184"/>
  <c r="D1273" i="184"/>
  <c r="L1236" i="184"/>
  <c r="J1236" i="184"/>
  <c r="I1236" i="184"/>
  <c r="E1236" i="184"/>
  <c r="D1236" i="184"/>
  <c r="L1197" i="184"/>
  <c r="K1197" i="184"/>
  <c r="J1197" i="184"/>
  <c r="G1197" i="184"/>
  <c r="D1197" i="184"/>
  <c r="K1083" i="184"/>
  <c r="I1083" i="184"/>
  <c r="H1083" i="184"/>
  <c r="G1083" i="184"/>
  <c r="F1083" i="184"/>
  <c r="L1046" i="184"/>
  <c r="K1046" i="184"/>
  <c r="I1046" i="184"/>
  <c r="H1046" i="184"/>
  <c r="G1046" i="184"/>
  <c r="E1046" i="184"/>
  <c r="D1046" i="184"/>
  <c r="L1009" i="184"/>
  <c r="J1009" i="184"/>
  <c r="I1009" i="184"/>
  <c r="F1009" i="184"/>
  <c r="E1009" i="184"/>
  <c r="D1009" i="184"/>
  <c r="L972" i="184"/>
  <c r="I972" i="184"/>
  <c r="G972" i="184"/>
  <c r="F972" i="184"/>
  <c r="D972" i="184"/>
  <c r="K935" i="184"/>
  <c r="J935" i="184"/>
  <c r="H935" i="184"/>
  <c r="G935" i="184"/>
  <c r="F935" i="184"/>
  <c r="E935" i="184"/>
  <c r="L36" i="195"/>
  <c r="K36" i="195"/>
  <c r="K898" i="184" s="1"/>
  <c r="J36" i="195"/>
  <c r="I36" i="195"/>
  <c r="I898" i="184"/>
  <c r="H36" i="195"/>
  <c r="H898" i="184" s="1"/>
  <c r="G36" i="195"/>
  <c r="G898" i="184" s="1"/>
  <c r="F36" i="195"/>
  <c r="F898" i="184"/>
  <c r="E36" i="195"/>
  <c r="E898" i="184"/>
  <c r="D36" i="195"/>
  <c r="L35" i="195"/>
  <c r="L861" i="184" s="1"/>
  <c r="K35" i="195"/>
  <c r="K861" i="184" s="1"/>
  <c r="J35" i="195"/>
  <c r="J861" i="184"/>
  <c r="I35" i="195"/>
  <c r="H35" i="195"/>
  <c r="H861" i="184" s="1"/>
  <c r="G35" i="195"/>
  <c r="G31" i="195" s="1"/>
  <c r="G713" i="184" s="1"/>
  <c r="F35" i="195"/>
  <c r="F861" i="184" s="1"/>
  <c r="E35" i="195"/>
  <c r="D35" i="195"/>
  <c r="R34" i="195"/>
  <c r="L109" i="195" s="1"/>
  <c r="L34" i="195"/>
  <c r="L824" i="184"/>
  <c r="K34" i="195"/>
  <c r="K824" i="184" s="1"/>
  <c r="J34" i="195"/>
  <c r="I34" i="195"/>
  <c r="H34" i="195"/>
  <c r="H824" i="184" s="1"/>
  <c r="G34" i="195"/>
  <c r="G824" i="184"/>
  <c r="F34" i="195"/>
  <c r="F824" i="184" s="1"/>
  <c r="E34" i="195"/>
  <c r="E824" i="184"/>
  <c r="D34" i="195"/>
  <c r="D824" i="184" s="1"/>
  <c r="L33" i="195"/>
  <c r="L787" i="184"/>
  <c r="K33" i="195"/>
  <c r="K787" i="184"/>
  <c r="J33" i="195"/>
  <c r="I33" i="195"/>
  <c r="I787" i="184" s="1"/>
  <c r="H33" i="195"/>
  <c r="H787" i="184"/>
  <c r="G33" i="195"/>
  <c r="G787" i="184" s="1"/>
  <c r="F33" i="195"/>
  <c r="F787" i="184" s="1"/>
  <c r="E33" i="195"/>
  <c r="E787" i="184" s="1"/>
  <c r="D33" i="195"/>
  <c r="D787" i="184" s="1"/>
  <c r="Q32" i="195"/>
  <c r="L32" i="195"/>
  <c r="L750" i="184"/>
  <c r="K32" i="195"/>
  <c r="K750" i="184"/>
  <c r="J32" i="195"/>
  <c r="J750" i="184" s="1"/>
  <c r="I32" i="195"/>
  <c r="I750" i="184" s="1"/>
  <c r="H32" i="195"/>
  <c r="H750" i="184"/>
  <c r="G32" i="195"/>
  <c r="F32" i="195"/>
  <c r="E32" i="195"/>
  <c r="E750" i="184" s="1"/>
  <c r="D32" i="195"/>
  <c r="L638" i="184"/>
  <c r="K638" i="184"/>
  <c r="J638" i="184"/>
  <c r="F638" i="184"/>
  <c r="K601" i="184"/>
  <c r="J601" i="184"/>
  <c r="I601" i="184"/>
  <c r="F601" i="184"/>
  <c r="E601" i="184"/>
  <c r="L564" i="184"/>
  <c r="K564" i="184"/>
  <c r="H564" i="184"/>
  <c r="G564" i="184"/>
  <c r="F564" i="184"/>
  <c r="E564" i="184"/>
  <c r="L527" i="184"/>
  <c r="K527" i="184"/>
  <c r="I527" i="184"/>
  <c r="H527" i="184"/>
  <c r="G527" i="184"/>
  <c r="E527" i="184"/>
  <c r="L490" i="184"/>
  <c r="J490" i="184"/>
  <c r="I490" i="184"/>
  <c r="H490" i="184"/>
  <c r="G490" i="184"/>
  <c r="D490" i="184"/>
  <c r="K453" i="184"/>
  <c r="I453" i="184"/>
  <c r="H453" i="184"/>
  <c r="G453" i="184"/>
  <c r="E453" i="184"/>
  <c r="D453" i="184"/>
  <c r="L22" i="195"/>
  <c r="K22" i="195"/>
  <c r="J22" i="195"/>
  <c r="I22" i="195"/>
  <c r="I416" i="184"/>
  <c r="H22" i="195"/>
  <c r="H416" i="184" s="1"/>
  <c r="G22" i="195"/>
  <c r="G416" i="184"/>
  <c r="F22" i="195"/>
  <c r="F416" i="184"/>
  <c r="E22" i="195"/>
  <c r="D22" i="195"/>
  <c r="L21" i="195"/>
  <c r="L379" i="184" s="1"/>
  <c r="K21" i="195"/>
  <c r="K379" i="184" s="1"/>
  <c r="J21" i="195"/>
  <c r="J379" i="184"/>
  <c r="I21" i="195"/>
  <c r="H21" i="195"/>
  <c r="H379" i="184" s="1"/>
  <c r="G21" i="195"/>
  <c r="F21" i="195"/>
  <c r="F379" i="184" s="1"/>
  <c r="E21" i="195"/>
  <c r="E379" i="184"/>
  <c r="D21" i="195"/>
  <c r="L20" i="195"/>
  <c r="L342" i="184" s="1"/>
  <c r="K20" i="195"/>
  <c r="K342" i="184" s="1"/>
  <c r="J20" i="195"/>
  <c r="J342" i="184"/>
  <c r="I20" i="195"/>
  <c r="H20" i="195"/>
  <c r="G20" i="195"/>
  <c r="F20" i="195"/>
  <c r="F342" i="184" s="1"/>
  <c r="E20" i="195"/>
  <c r="E342" i="184" s="1"/>
  <c r="D20" i="195"/>
  <c r="D342" i="184"/>
  <c r="L19" i="195"/>
  <c r="L305" i="184"/>
  <c r="K19" i="195"/>
  <c r="J19" i="195"/>
  <c r="I19" i="195"/>
  <c r="I305" i="184" s="1"/>
  <c r="H19" i="195"/>
  <c r="H305" i="184"/>
  <c r="G19" i="195"/>
  <c r="G305" i="184"/>
  <c r="F19" i="195"/>
  <c r="F305" i="184" s="1"/>
  <c r="E19" i="195"/>
  <c r="E305" i="184"/>
  <c r="D19" i="195"/>
  <c r="D305" i="184" s="1"/>
  <c r="J192" i="184"/>
  <c r="I192" i="184"/>
  <c r="H192" i="184"/>
  <c r="E192" i="184"/>
  <c r="D192" i="184"/>
  <c r="J155" i="184"/>
  <c r="I155" i="184"/>
  <c r="H155" i="184"/>
  <c r="E155" i="184"/>
  <c r="L118" i="184"/>
  <c r="K118" i="184"/>
  <c r="J118" i="184"/>
  <c r="I118" i="184"/>
  <c r="H118" i="184"/>
  <c r="G118" i="184"/>
  <c r="E118" i="184"/>
  <c r="D118" i="184"/>
  <c r="L81" i="184"/>
  <c r="K81" i="184"/>
  <c r="J81" i="184"/>
  <c r="D81" i="184"/>
  <c r="L44" i="184"/>
  <c r="H44" i="184"/>
  <c r="G44" i="184"/>
  <c r="D44" i="184"/>
  <c r="M100" i="157"/>
  <c r="Q92" i="157"/>
  <c r="O92" i="157"/>
  <c r="L92" i="157"/>
  <c r="K92" i="157"/>
  <c r="K2501" i="184" s="1"/>
  <c r="J92" i="157"/>
  <c r="J2501" i="184" s="1"/>
  <c r="I92" i="157"/>
  <c r="I2501" i="184"/>
  <c r="H92" i="157"/>
  <c r="H2501" i="184"/>
  <c r="G92" i="157"/>
  <c r="F92" i="157"/>
  <c r="F2501" i="184" s="1"/>
  <c r="E92" i="157"/>
  <c r="E2501" i="184" s="1"/>
  <c r="D92" i="157"/>
  <c r="L91" i="157"/>
  <c r="L2464" i="184"/>
  <c r="K91" i="157"/>
  <c r="K2464" i="184" s="1"/>
  <c r="J91" i="157"/>
  <c r="J2464" i="184" s="1"/>
  <c r="I91" i="157"/>
  <c r="I2464" i="184" s="1"/>
  <c r="H91" i="157"/>
  <c r="H2464" i="184"/>
  <c r="G91" i="157"/>
  <c r="G2464" i="184"/>
  <c r="F91" i="157"/>
  <c r="F2464" i="184" s="1"/>
  <c r="E91" i="157"/>
  <c r="D91" i="157"/>
  <c r="D2464" i="184" s="1"/>
  <c r="L90" i="157"/>
  <c r="L2427" i="184"/>
  <c r="K90" i="157"/>
  <c r="K2427" i="184" s="1"/>
  <c r="J90" i="157"/>
  <c r="J2427" i="184"/>
  <c r="I90" i="157"/>
  <c r="H90" i="157"/>
  <c r="H2427" i="184" s="1"/>
  <c r="G90" i="157"/>
  <c r="F90" i="157"/>
  <c r="F2427" i="184" s="1"/>
  <c r="E90" i="157"/>
  <c r="E2427" i="184"/>
  <c r="D90" i="157"/>
  <c r="D2427" i="184" s="1"/>
  <c r="L89" i="157"/>
  <c r="K89" i="157"/>
  <c r="K2390" i="184" s="1"/>
  <c r="J89" i="157"/>
  <c r="J2390" i="184" s="1"/>
  <c r="I89" i="157"/>
  <c r="I2390" i="184"/>
  <c r="H89" i="157"/>
  <c r="H2390" i="184"/>
  <c r="G89" i="157"/>
  <c r="G2390" i="184"/>
  <c r="F89" i="157"/>
  <c r="F2390" i="184" s="1"/>
  <c r="E89" i="157"/>
  <c r="D89" i="157"/>
  <c r="D2390" i="184" s="1"/>
  <c r="L88" i="157"/>
  <c r="L2353" i="184"/>
  <c r="K88" i="157"/>
  <c r="K2353" i="184" s="1"/>
  <c r="J88" i="157"/>
  <c r="J2353" i="184"/>
  <c r="I88" i="157"/>
  <c r="I2353" i="184" s="1"/>
  <c r="H88" i="157"/>
  <c r="H2353" i="184"/>
  <c r="G88" i="157"/>
  <c r="G2353" i="184" s="1"/>
  <c r="F88" i="157"/>
  <c r="E88" i="157"/>
  <c r="E2353" i="184" s="1"/>
  <c r="D88" i="157"/>
  <c r="L87" i="157"/>
  <c r="L2316" i="184" s="1"/>
  <c r="K87" i="157"/>
  <c r="K2316" i="184"/>
  <c r="J87" i="157"/>
  <c r="J2316" i="184"/>
  <c r="I87" i="157"/>
  <c r="I2316" i="184" s="1"/>
  <c r="H87" i="157"/>
  <c r="H2316" i="184" s="1"/>
  <c r="G87" i="157"/>
  <c r="G2316" i="184"/>
  <c r="F87" i="157"/>
  <c r="E87" i="157"/>
  <c r="E2316" i="184"/>
  <c r="D87" i="157"/>
  <c r="D2316" i="184"/>
  <c r="L82" i="157"/>
  <c r="K82" i="157"/>
  <c r="J82" i="157"/>
  <c r="J2203" i="184" s="1"/>
  <c r="I82" i="157"/>
  <c r="I2203" i="184"/>
  <c r="H82" i="157"/>
  <c r="H2203" i="184" s="1"/>
  <c r="G82" i="157"/>
  <c r="F82" i="157"/>
  <c r="E82" i="157"/>
  <c r="E2203" i="184" s="1"/>
  <c r="D82" i="157"/>
  <c r="L81" i="157"/>
  <c r="K81" i="157"/>
  <c r="K2166" i="184"/>
  <c r="J81" i="157"/>
  <c r="I81" i="157"/>
  <c r="H81" i="157"/>
  <c r="H2166" i="184" s="1"/>
  <c r="G81" i="157"/>
  <c r="G2166" i="184"/>
  <c r="F81" i="157"/>
  <c r="E81" i="157"/>
  <c r="R80" i="157"/>
  <c r="L116" i="157" s="1"/>
  <c r="R77" i="157"/>
  <c r="L115" i="157" s="1"/>
  <c r="L77" i="157"/>
  <c r="L2090" i="184" s="1"/>
  <c r="K77" i="157"/>
  <c r="K2090" i="184"/>
  <c r="J77" i="157"/>
  <c r="J2090" i="184"/>
  <c r="I77" i="157"/>
  <c r="I2090" i="184" s="1"/>
  <c r="H77" i="157"/>
  <c r="H2090" i="184" s="1"/>
  <c r="G77" i="157"/>
  <c r="G2090" i="184" s="1"/>
  <c r="F77" i="157"/>
  <c r="F2090" i="184"/>
  <c r="E77" i="157"/>
  <c r="E2090" i="184" s="1"/>
  <c r="D77" i="157"/>
  <c r="L76" i="157"/>
  <c r="L2053" i="184" s="1"/>
  <c r="K76" i="157"/>
  <c r="K2053" i="184" s="1"/>
  <c r="J76" i="157"/>
  <c r="J2053" i="184" s="1"/>
  <c r="I76" i="157"/>
  <c r="H76" i="157"/>
  <c r="H2053" i="184"/>
  <c r="G76" i="157"/>
  <c r="G2053" i="184"/>
  <c r="F76" i="157"/>
  <c r="E76" i="157"/>
  <c r="D76" i="157"/>
  <c r="D2053" i="184" s="1"/>
  <c r="L75" i="157"/>
  <c r="K75" i="157"/>
  <c r="K2016" i="184" s="1"/>
  <c r="J75" i="157"/>
  <c r="I75" i="157"/>
  <c r="I2016" i="184"/>
  <c r="H75" i="157"/>
  <c r="H2016" i="184" s="1"/>
  <c r="G75" i="157"/>
  <c r="G2016" i="184"/>
  <c r="F75" i="157"/>
  <c r="D51" i="156"/>
  <c r="E75" i="157"/>
  <c r="E2016" i="184" s="1"/>
  <c r="D75" i="157"/>
  <c r="D2016" i="184" s="1"/>
  <c r="L74" i="157"/>
  <c r="L1979" i="184" s="1"/>
  <c r="K74" i="157"/>
  <c r="J74" i="157"/>
  <c r="J1979" i="184"/>
  <c r="I74" i="157"/>
  <c r="I1979" i="184" s="1"/>
  <c r="H74" i="157"/>
  <c r="G74" i="157"/>
  <c r="G1979" i="184" s="1"/>
  <c r="F74" i="157"/>
  <c r="E74" i="157"/>
  <c r="E1979" i="184"/>
  <c r="D74" i="157"/>
  <c r="D1979" i="184" s="1"/>
  <c r="L70" i="157"/>
  <c r="L1903" i="184" s="1"/>
  <c r="K70" i="157"/>
  <c r="K1903" i="184" s="1"/>
  <c r="J70" i="157"/>
  <c r="J1903" i="184" s="1"/>
  <c r="I70" i="157"/>
  <c r="I1903" i="184" s="1"/>
  <c r="H70" i="157"/>
  <c r="H1903" i="184"/>
  <c r="G70" i="157"/>
  <c r="G1903" i="184" s="1"/>
  <c r="F70" i="157"/>
  <c r="E70" i="157"/>
  <c r="D70" i="157"/>
  <c r="D1903" i="184" s="1"/>
  <c r="L69" i="157"/>
  <c r="K69" i="157"/>
  <c r="K1866" i="184"/>
  <c r="J69" i="157"/>
  <c r="J1866" i="184"/>
  <c r="I69" i="157"/>
  <c r="I1866" i="184"/>
  <c r="H69" i="157"/>
  <c r="H1866" i="184" s="1"/>
  <c r="G69" i="157"/>
  <c r="G1866" i="184"/>
  <c r="F69" i="157"/>
  <c r="E69" i="157"/>
  <c r="E1866" i="184"/>
  <c r="D69" i="157"/>
  <c r="D1866" i="184" s="1"/>
  <c r="AA68" i="157"/>
  <c r="P68" i="157"/>
  <c r="D339" i="191" s="1"/>
  <c r="L68" i="157"/>
  <c r="K68" i="157"/>
  <c r="K1829" i="184"/>
  <c r="J68" i="157"/>
  <c r="J1829" i="184" s="1"/>
  <c r="I68" i="157"/>
  <c r="I1829" i="184"/>
  <c r="H68" i="157"/>
  <c r="H1829" i="184" s="1"/>
  <c r="G68" i="157"/>
  <c r="G1829" i="184" s="1"/>
  <c r="F68" i="157"/>
  <c r="D66" i="156"/>
  <c r="E68" i="157"/>
  <c r="E1829" i="184" s="1"/>
  <c r="D68" i="157"/>
  <c r="D1829" i="184" s="1"/>
  <c r="AA67" i="157"/>
  <c r="W67" i="157"/>
  <c r="V67" i="157"/>
  <c r="J302" i="191"/>
  <c r="P67" i="157"/>
  <c r="L67" i="157"/>
  <c r="L1792" i="184"/>
  <c r="K67" i="157"/>
  <c r="K1792" i="184" s="1"/>
  <c r="J67" i="157"/>
  <c r="I67" i="157"/>
  <c r="I1792" i="184"/>
  <c r="H67" i="157"/>
  <c r="H1792" i="184"/>
  <c r="G67" i="157"/>
  <c r="G1792" i="184" s="1"/>
  <c r="F67" i="157"/>
  <c r="E67" i="157"/>
  <c r="E1792" i="184" s="1"/>
  <c r="D67" i="157"/>
  <c r="AA66" i="157"/>
  <c r="W66" i="157"/>
  <c r="V66" i="157"/>
  <c r="P66" i="157"/>
  <c r="D265" i="191"/>
  <c r="L66" i="157"/>
  <c r="L1755" i="184" s="1"/>
  <c r="K66" i="157"/>
  <c r="J66" i="157"/>
  <c r="J1755" i="184"/>
  <c r="I66" i="157"/>
  <c r="I1755" i="184" s="1"/>
  <c r="H66" i="157"/>
  <c r="H1755" i="184"/>
  <c r="G66" i="157"/>
  <c r="G1755" i="184" s="1"/>
  <c r="F66" i="157"/>
  <c r="D42" i="156"/>
  <c r="E66" i="157"/>
  <c r="E1755" i="184" s="1"/>
  <c r="D66" i="157"/>
  <c r="AA65" i="157"/>
  <c r="W65" i="157"/>
  <c r="K228" i="191"/>
  <c r="V65" i="157"/>
  <c r="P65" i="157"/>
  <c r="D228" i="191"/>
  <c r="L65" i="157"/>
  <c r="L1718" i="184"/>
  <c r="K65" i="157"/>
  <c r="K1718" i="184"/>
  <c r="J65" i="157"/>
  <c r="J1718" i="184" s="1"/>
  <c r="I65" i="157"/>
  <c r="H65" i="157"/>
  <c r="H1718" i="184" s="1"/>
  <c r="G65" i="157"/>
  <c r="G1718" i="184"/>
  <c r="F65" i="157"/>
  <c r="E65" i="157"/>
  <c r="E1718" i="184" s="1"/>
  <c r="D65" i="157"/>
  <c r="D1718" i="184"/>
  <c r="AA64" i="157"/>
  <c r="W64" i="157"/>
  <c r="V64" i="157"/>
  <c r="J191" i="191"/>
  <c r="Q64" i="157"/>
  <c r="L111" i="157" s="1"/>
  <c r="P64" i="157"/>
  <c r="U64" i="157"/>
  <c r="I191" i="191" s="1"/>
  <c r="L64" i="157"/>
  <c r="K64" i="157"/>
  <c r="K1681" i="184" s="1"/>
  <c r="J64" i="157"/>
  <c r="J1681" i="184" s="1"/>
  <c r="I64" i="157"/>
  <c r="H64" i="157"/>
  <c r="G64" i="157"/>
  <c r="G1681" i="184"/>
  <c r="F64" i="157"/>
  <c r="E64" i="157"/>
  <c r="D64" i="157"/>
  <c r="D1681" i="184" s="1"/>
  <c r="AA63" i="157"/>
  <c r="W63" i="157"/>
  <c r="V63" i="157"/>
  <c r="J154" i="191"/>
  <c r="P63" i="157"/>
  <c r="U63" i="157"/>
  <c r="I154" i="191" s="1"/>
  <c r="L63" i="157"/>
  <c r="L1644" i="184" s="1"/>
  <c r="K63" i="157"/>
  <c r="K1644" i="184" s="1"/>
  <c r="J63" i="157"/>
  <c r="J1644" i="184"/>
  <c r="I63" i="157"/>
  <c r="I1644" i="184" s="1"/>
  <c r="H63" i="157"/>
  <c r="H1644" i="184"/>
  <c r="G63" i="157"/>
  <c r="G1644" i="184" s="1"/>
  <c r="F63" i="157"/>
  <c r="E63" i="157"/>
  <c r="D63" i="157"/>
  <c r="D1644" i="184" s="1"/>
  <c r="AA62" i="157"/>
  <c r="W62" i="157"/>
  <c r="V62" i="157"/>
  <c r="P62" i="157"/>
  <c r="L62" i="157"/>
  <c r="L1607" i="184" s="1"/>
  <c r="K62" i="157"/>
  <c r="J62" i="157"/>
  <c r="I62" i="157"/>
  <c r="I1607" i="184"/>
  <c r="H62" i="157"/>
  <c r="H1607" i="184" s="1"/>
  <c r="G62" i="157"/>
  <c r="G1607" i="184" s="1"/>
  <c r="F62" i="157"/>
  <c r="F1607" i="184"/>
  <c r="E62" i="157"/>
  <c r="D62" i="157"/>
  <c r="D1607" i="184"/>
  <c r="AA61" i="157"/>
  <c r="W61" i="157"/>
  <c r="K80" i="191" s="1"/>
  <c r="V61" i="157"/>
  <c r="P61" i="157"/>
  <c r="D80" i="191" s="1"/>
  <c r="L61" i="157"/>
  <c r="L1570" i="184"/>
  <c r="K61" i="157"/>
  <c r="K1570" i="184"/>
  <c r="J61" i="157"/>
  <c r="J1570" i="184" s="1"/>
  <c r="I61" i="157"/>
  <c r="I1570" i="184" s="1"/>
  <c r="H61" i="157"/>
  <c r="H1570" i="184"/>
  <c r="G61" i="157"/>
  <c r="F61" i="157"/>
  <c r="E61" i="157"/>
  <c r="E1570" i="184"/>
  <c r="D61" i="157"/>
  <c r="D1570" i="184" s="1"/>
  <c r="AA60" i="157"/>
  <c r="W60" i="157"/>
  <c r="K43" i="191" s="1"/>
  <c r="V60" i="157"/>
  <c r="J43" i="191"/>
  <c r="P60" i="157"/>
  <c r="L60" i="157"/>
  <c r="L1533" i="184" s="1"/>
  <c r="K60" i="157"/>
  <c r="J60" i="157"/>
  <c r="J1533" i="184" s="1"/>
  <c r="I60" i="157"/>
  <c r="I1533" i="184"/>
  <c r="H60" i="157"/>
  <c r="H1533" i="184"/>
  <c r="G60" i="157"/>
  <c r="F60" i="157"/>
  <c r="E60" i="157"/>
  <c r="D60" i="157"/>
  <c r="K1420" i="184"/>
  <c r="J1420" i="184"/>
  <c r="I1420" i="184"/>
  <c r="J1383" i="184"/>
  <c r="I1383" i="184"/>
  <c r="H1383" i="184"/>
  <c r="L1346" i="184"/>
  <c r="K1346" i="184"/>
  <c r="J1346" i="184"/>
  <c r="E1346" i="184"/>
  <c r="D1346" i="184"/>
  <c r="J1309" i="184"/>
  <c r="E1309" i="184"/>
  <c r="D1309" i="184"/>
  <c r="L1272" i="184"/>
  <c r="I1272" i="184"/>
  <c r="E1272" i="184"/>
  <c r="D1272" i="184"/>
  <c r="H1235" i="184"/>
  <c r="G1235" i="184"/>
  <c r="E1235" i="184"/>
  <c r="K1196" i="184"/>
  <c r="G1196" i="184"/>
  <c r="E1196" i="184"/>
  <c r="D1196" i="184"/>
  <c r="J1082" i="184"/>
  <c r="I1082" i="184"/>
  <c r="K1045" i="184"/>
  <c r="G1045" i="184"/>
  <c r="E1045" i="184"/>
  <c r="I1008" i="184"/>
  <c r="K971" i="184"/>
  <c r="J971" i="184"/>
  <c r="G971" i="184"/>
  <c r="F971" i="184"/>
  <c r="L934" i="184"/>
  <c r="K934" i="184"/>
  <c r="E934" i="184"/>
  <c r="D934" i="184"/>
  <c r="I897" i="184"/>
  <c r="H897" i="184"/>
  <c r="G897" i="184"/>
  <c r="F897" i="184"/>
  <c r="L35" i="157"/>
  <c r="L860" i="184" s="1"/>
  <c r="K35" i="157"/>
  <c r="K860" i="184" s="1"/>
  <c r="J35" i="157"/>
  <c r="I35" i="157"/>
  <c r="I860" i="184" s="1"/>
  <c r="H35" i="157"/>
  <c r="H860" i="184" s="1"/>
  <c r="G35" i="157"/>
  <c r="G860" i="184"/>
  <c r="F35" i="157"/>
  <c r="F860" i="184" s="1"/>
  <c r="E35" i="157"/>
  <c r="D35" i="157"/>
  <c r="D860" i="184" s="1"/>
  <c r="R34" i="157"/>
  <c r="L109" i="157" s="1"/>
  <c r="L34" i="157"/>
  <c r="L823" i="184"/>
  <c r="K34" i="157"/>
  <c r="K823" i="184"/>
  <c r="J34" i="157"/>
  <c r="J823" i="184"/>
  <c r="I34" i="157"/>
  <c r="I823" i="184" s="1"/>
  <c r="H34" i="157"/>
  <c r="H823" i="184" s="1"/>
  <c r="G34" i="157"/>
  <c r="F34" i="157"/>
  <c r="F823" i="184"/>
  <c r="E34" i="157"/>
  <c r="D34" i="157"/>
  <c r="D823" i="184" s="1"/>
  <c r="L33" i="157"/>
  <c r="L786" i="184" s="1"/>
  <c r="K33" i="157"/>
  <c r="K786" i="184"/>
  <c r="J33" i="157"/>
  <c r="J786" i="184"/>
  <c r="I33" i="157"/>
  <c r="I786" i="184" s="1"/>
  <c r="H33" i="157"/>
  <c r="H786" i="184" s="1"/>
  <c r="G33" i="157"/>
  <c r="F33" i="157"/>
  <c r="F786" i="184"/>
  <c r="E33" i="157"/>
  <c r="E786" i="184" s="1"/>
  <c r="D33" i="157"/>
  <c r="D786" i="184" s="1"/>
  <c r="Q32" i="157"/>
  <c r="L108" i="157" s="1"/>
  <c r="L32" i="157"/>
  <c r="L749" i="184" s="1"/>
  <c r="K32" i="157"/>
  <c r="K749" i="184" s="1"/>
  <c r="J32" i="157"/>
  <c r="J749" i="184"/>
  <c r="I32" i="157"/>
  <c r="H32" i="157"/>
  <c r="H749" i="184"/>
  <c r="G32" i="157"/>
  <c r="G749" i="184" s="1"/>
  <c r="F32" i="157"/>
  <c r="E32" i="157"/>
  <c r="E749" i="184"/>
  <c r="D32" i="157"/>
  <c r="J637" i="184"/>
  <c r="I637" i="184"/>
  <c r="H637" i="184"/>
  <c r="G637" i="184"/>
  <c r="K600" i="184"/>
  <c r="J600" i="184"/>
  <c r="I600" i="184"/>
  <c r="F600" i="184"/>
  <c r="L563" i="184"/>
  <c r="K563" i="184"/>
  <c r="H563" i="184"/>
  <c r="D563" i="184"/>
  <c r="K526" i="184"/>
  <c r="J526" i="184"/>
  <c r="I526" i="184"/>
  <c r="L489" i="184"/>
  <c r="K489" i="184"/>
  <c r="J489" i="184"/>
  <c r="H489" i="184"/>
  <c r="D489" i="184"/>
  <c r="I452" i="184"/>
  <c r="H452" i="184"/>
  <c r="G452" i="184"/>
  <c r="E452" i="184"/>
  <c r="L22" i="157"/>
  <c r="L415" i="184"/>
  <c r="K22" i="157"/>
  <c r="J22" i="157"/>
  <c r="J415" i="184" s="1"/>
  <c r="I22" i="157"/>
  <c r="I415" i="184"/>
  <c r="H22" i="157"/>
  <c r="H415" i="184" s="1"/>
  <c r="G22" i="157"/>
  <c r="F22" i="157"/>
  <c r="F415" i="184"/>
  <c r="E22" i="157"/>
  <c r="D22" i="157"/>
  <c r="D415" i="184" s="1"/>
  <c r="L21" i="157"/>
  <c r="L378" i="184" s="1"/>
  <c r="K21" i="157"/>
  <c r="K378" i="184"/>
  <c r="J21" i="157"/>
  <c r="J378" i="184" s="1"/>
  <c r="I21" i="157"/>
  <c r="I378" i="184" s="1"/>
  <c r="H21" i="157"/>
  <c r="G21" i="157"/>
  <c r="G378" i="184"/>
  <c r="F21" i="157"/>
  <c r="F378" i="184"/>
  <c r="E21" i="157"/>
  <c r="E378" i="184" s="1"/>
  <c r="D21" i="157"/>
  <c r="L20" i="157"/>
  <c r="L341" i="184" s="1"/>
  <c r="K20" i="157"/>
  <c r="K341" i="184"/>
  <c r="J20" i="157"/>
  <c r="J341" i="184" s="1"/>
  <c r="I20" i="157"/>
  <c r="H20" i="157"/>
  <c r="H341" i="184"/>
  <c r="G20" i="157"/>
  <c r="G341" i="184" s="1"/>
  <c r="F20" i="157"/>
  <c r="E20" i="157"/>
  <c r="D20" i="157"/>
  <c r="D341" i="184" s="1"/>
  <c r="L19" i="157"/>
  <c r="K19" i="157"/>
  <c r="K304" i="184" s="1"/>
  <c r="J19" i="157"/>
  <c r="I19" i="157"/>
  <c r="H19" i="157"/>
  <c r="H304" i="184" s="1"/>
  <c r="G19" i="157"/>
  <c r="G304" i="184"/>
  <c r="F19" i="157"/>
  <c r="F304" i="184" s="1"/>
  <c r="E19" i="157"/>
  <c r="E304" i="184"/>
  <c r="D19" i="157"/>
  <c r="D304" i="184" s="1"/>
  <c r="L191" i="184"/>
  <c r="J191" i="184"/>
  <c r="H191" i="184"/>
  <c r="E191" i="184"/>
  <c r="D191" i="184"/>
  <c r="L154" i="184"/>
  <c r="H154" i="184"/>
  <c r="G154" i="184"/>
  <c r="D13" i="156"/>
  <c r="E154" i="184"/>
  <c r="D154" i="184"/>
  <c r="L117" i="184"/>
  <c r="K117" i="184"/>
  <c r="J117" i="184"/>
  <c r="I117" i="184"/>
  <c r="H117" i="184"/>
  <c r="G117" i="184"/>
  <c r="E117" i="184"/>
  <c r="D117" i="184"/>
  <c r="K80" i="184"/>
  <c r="I80" i="184"/>
  <c r="H80" i="184"/>
  <c r="E80" i="184"/>
  <c r="K43" i="184"/>
  <c r="I43" i="184"/>
  <c r="H43" i="184"/>
  <c r="G43" i="184"/>
  <c r="M100" i="152"/>
  <c r="Q92" i="152"/>
  <c r="AE40" i="231" s="1"/>
  <c r="O92" i="152"/>
  <c r="AD40" i="231" s="1"/>
  <c r="L92" i="152"/>
  <c r="L2469" i="184" s="1"/>
  <c r="K92" i="152"/>
  <c r="K2469" i="184" s="1"/>
  <c r="J92" i="152"/>
  <c r="J2469" i="184"/>
  <c r="I92" i="152"/>
  <c r="I2469" i="184" s="1"/>
  <c r="H92" i="152"/>
  <c r="H2469" i="184"/>
  <c r="G92" i="152"/>
  <c r="F92" i="152"/>
  <c r="E92" i="152"/>
  <c r="E2469" i="184"/>
  <c r="D92" i="152"/>
  <c r="D2469" i="184" s="1"/>
  <c r="L91" i="152"/>
  <c r="L2432" i="184" s="1"/>
  <c r="K91" i="152"/>
  <c r="K2432" i="184" s="1"/>
  <c r="J91" i="152"/>
  <c r="J2432" i="184" s="1"/>
  <c r="I91" i="152"/>
  <c r="I2432" i="184" s="1"/>
  <c r="H91" i="152"/>
  <c r="H2432" i="184"/>
  <c r="G91" i="152"/>
  <c r="G2432" i="184" s="1"/>
  <c r="F91" i="152"/>
  <c r="F2432" i="184"/>
  <c r="E91" i="152"/>
  <c r="D91" i="152"/>
  <c r="D2432" i="184" s="1"/>
  <c r="L90" i="152"/>
  <c r="K90" i="152"/>
  <c r="K2395" i="184" s="1"/>
  <c r="J90" i="152"/>
  <c r="J2395" i="184"/>
  <c r="I90" i="152"/>
  <c r="I2395" i="184" s="1"/>
  <c r="H90" i="152"/>
  <c r="G90" i="152"/>
  <c r="G2395" i="184" s="1"/>
  <c r="F90" i="152"/>
  <c r="E90" i="152"/>
  <c r="E2395" i="184"/>
  <c r="D90" i="152"/>
  <c r="D2395" i="184" s="1"/>
  <c r="L89" i="152"/>
  <c r="L2358" i="184"/>
  <c r="K89" i="152"/>
  <c r="J89" i="152"/>
  <c r="J2358" i="184"/>
  <c r="I89" i="152"/>
  <c r="I2358" i="184"/>
  <c r="H89" i="152"/>
  <c r="H2358" i="184" s="1"/>
  <c r="G89" i="152"/>
  <c r="G2358" i="184"/>
  <c r="F89" i="152"/>
  <c r="F2358" i="184" s="1"/>
  <c r="E89" i="152"/>
  <c r="E2358" i="184"/>
  <c r="D89" i="152"/>
  <c r="L88" i="152"/>
  <c r="L2321" i="184" s="1"/>
  <c r="K88" i="152"/>
  <c r="K2321" i="184" s="1"/>
  <c r="J88" i="152"/>
  <c r="J2321" i="184" s="1"/>
  <c r="I88" i="152"/>
  <c r="I2321" i="184" s="1"/>
  <c r="H88" i="152"/>
  <c r="H2321" i="184"/>
  <c r="G88" i="152"/>
  <c r="G2321" i="184" s="1"/>
  <c r="F88" i="152"/>
  <c r="F2321" i="184"/>
  <c r="E88" i="152"/>
  <c r="D88" i="152"/>
  <c r="D2321" i="184" s="1"/>
  <c r="L87" i="152"/>
  <c r="L2284" i="184"/>
  <c r="K87" i="152"/>
  <c r="K2284" i="184"/>
  <c r="J87" i="152"/>
  <c r="J2284" i="184"/>
  <c r="I87" i="152"/>
  <c r="I2284" i="184" s="1"/>
  <c r="H87" i="152"/>
  <c r="H2284" i="184"/>
  <c r="G87" i="152"/>
  <c r="G2284" i="184"/>
  <c r="F87" i="152"/>
  <c r="F2284" i="184" s="1"/>
  <c r="E87" i="152"/>
  <c r="D87" i="152"/>
  <c r="D2284" i="184" s="1"/>
  <c r="L82" i="152"/>
  <c r="K82" i="152"/>
  <c r="J82" i="152"/>
  <c r="J2171" i="184"/>
  <c r="I82" i="152"/>
  <c r="I2171" i="184" s="1"/>
  <c r="H82" i="152"/>
  <c r="H2171" i="184" s="1"/>
  <c r="G82" i="152"/>
  <c r="G2171" i="184" s="1"/>
  <c r="F82" i="152"/>
  <c r="E82" i="152"/>
  <c r="E2171" i="184"/>
  <c r="D82" i="152"/>
  <c r="D2171" i="184" s="1"/>
  <c r="L81" i="152"/>
  <c r="K81" i="152"/>
  <c r="K2134" i="184" s="1"/>
  <c r="J81" i="152"/>
  <c r="J2134" i="184" s="1"/>
  <c r="I81" i="152"/>
  <c r="H81" i="152"/>
  <c r="H2134" i="184" s="1"/>
  <c r="G81" i="152"/>
  <c r="G2134" i="184"/>
  <c r="F81" i="152"/>
  <c r="E81" i="152"/>
  <c r="R80" i="152"/>
  <c r="R77" i="152"/>
  <c r="B23" i="153"/>
  <c r="L77" i="152"/>
  <c r="L2058" i="184"/>
  <c r="K77" i="152"/>
  <c r="K2058" i="184" s="1"/>
  <c r="J77" i="152"/>
  <c r="J2058" i="184"/>
  <c r="I77" i="152"/>
  <c r="I2058" i="184" s="1"/>
  <c r="H77" i="152"/>
  <c r="H2058" i="184" s="1"/>
  <c r="G77" i="152"/>
  <c r="G2058" i="184" s="1"/>
  <c r="F77" i="152"/>
  <c r="E77" i="152"/>
  <c r="E2058" i="184"/>
  <c r="D77" i="152"/>
  <c r="D2058" i="184" s="1"/>
  <c r="L76" i="152"/>
  <c r="L2021" i="184"/>
  <c r="K76" i="152"/>
  <c r="K2021" i="184"/>
  <c r="J76" i="152"/>
  <c r="J2021" i="184" s="1"/>
  <c r="I76" i="152"/>
  <c r="I2021" i="184" s="1"/>
  <c r="H76" i="152"/>
  <c r="H2021" i="184" s="1"/>
  <c r="G76" i="152"/>
  <c r="G2021" i="184" s="1"/>
  <c r="F76" i="152"/>
  <c r="E76" i="152"/>
  <c r="D76" i="152"/>
  <c r="D2021" i="184" s="1"/>
  <c r="L75" i="152"/>
  <c r="K75" i="152"/>
  <c r="K1984" i="184" s="1"/>
  <c r="J75" i="152"/>
  <c r="J1984" i="184"/>
  <c r="I75" i="152"/>
  <c r="I1984" i="184"/>
  <c r="H75" i="152"/>
  <c r="G75" i="152"/>
  <c r="G1984" i="184"/>
  <c r="F75" i="152"/>
  <c r="E75" i="152"/>
  <c r="D75" i="152"/>
  <c r="D1984" i="184" s="1"/>
  <c r="L74" i="152"/>
  <c r="L1947" i="184" s="1"/>
  <c r="K74" i="152"/>
  <c r="K1947" i="184"/>
  <c r="J74" i="152"/>
  <c r="I74" i="152"/>
  <c r="H74" i="152"/>
  <c r="H1947" i="184"/>
  <c r="G74" i="152"/>
  <c r="F74" i="152"/>
  <c r="E74" i="152"/>
  <c r="D74" i="152"/>
  <c r="D1947" i="184" s="1"/>
  <c r="L70" i="152"/>
  <c r="L1871" i="184" s="1"/>
  <c r="K70" i="152"/>
  <c r="K1871" i="184"/>
  <c r="J70" i="152"/>
  <c r="J1871" i="184"/>
  <c r="I70" i="152"/>
  <c r="I1871" i="184" s="1"/>
  <c r="H70" i="152"/>
  <c r="H1871" i="184"/>
  <c r="G70" i="152"/>
  <c r="F70" i="152"/>
  <c r="E70" i="152"/>
  <c r="E1871" i="184" s="1"/>
  <c r="D70" i="152"/>
  <c r="D1871" i="184" s="1"/>
  <c r="L69" i="152"/>
  <c r="L1834" i="184"/>
  <c r="K69" i="152"/>
  <c r="K1834" i="184" s="1"/>
  <c r="J69" i="152"/>
  <c r="J1834" i="184"/>
  <c r="I69" i="152"/>
  <c r="I1834" i="184" s="1"/>
  <c r="H69" i="152"/>
  <c r="H1834" i="184"/>
  <c r="G69" i="152"/>
  <c r="G1834" i="184"/>
  <c r="F69" i="152"/>
  <c r="E69" i="152"/>
  <c r="E1834" i="184"/>
  <c r="D69" i="152"/>
  <c r="AA68" i="152"/>
  <c r="P68" i="152"/>
  <c r="D307" i="191"/>
  <c r="L68" i="152"/>
  <c r="L1797" i="184" s="1"/>
  <c r="K68" i="152"/>
  <c r="K1797" i="184" s="1"/>
  <c r="J68" i="152"/>
  <c r="J1797" i="184" s="1"/>
  <c r="I68" i="152"/>
  <c r="I1797" i="184"/>
  <c r="H68" i="152"/>
  <c r="H1797" i="184" s="1"/>
  <c r="G68" i="152"/>
  <c r="G1797" i="184" s="1"/>
  <c r="F68" i="152"/>
  <c r="F1797" i="184"/>
  <c r="E68" i="152"/>
  <c r="D68" i="152"/>
  <c r="D1797" i="184"/>
  <c r="AA67" i="152"/>
  <c r="W67" i="152"/>
  <c r="K270" i="191" s="1"/>
  <c r="V67" i="152"/>
  <c r="J270" i="191"/>
  <c r="P67" i="152"/>
  <c r="U67" i="152"/>
  <c r="I270" i="191"/>
  <c r="L67" i="152"/>
  <c r="L1760" i="184"/>
  <c r="K67" i="152"/>
  <c r="K1760" i="184" s="1"/>
  <c r="J67" i="152"/>
  <c r="J1760" i="184"/>
  <c r="I67" i="152"/>
  <c r="I1760" i="184"/>
  <c r="H67" i="152"/>
  <c r="H1760" i="184"/>
  <c r="G67" i="152"/>
  <c r="F67" i="152"/>
  <c r="E67" i="152"/>
  <c r="E1760" i="184"/>
  <c r="D67" i="152"/>
  <c r="AA66" i="152"/>
  <c r="W66" i="152"/>
  <c r="K233" i="191"/>
  <c r="V66" i="152"/>
  <c r="J233" i="191" s="1"/>
  <c r="P66" i="152"/>
  <c r="L66" i="152"/>
  <c r="L1723" i="184"/>
  <c r="K66" i="152"/>
  <c r="K1723" i="184" s="1"/>
  <c r="J66" i="152"/>
  <c r="J1723" i="184"/>
  <c r="I66" i="152"/>
  <c r="H66" i="152"/>
  <c r="H1723" i="184" s="1"/>
  <c r="G66" i="152"/>
  <c r="G1723" i="184"/>
  <c r="F66" i="152"/>
  <c r="E66" i="152"/>
  <c r="D66" i="152"/>
  <c r="D1723" i="184" s="1"/>
  <c r="AA65" i="152"/>
  <c r="W65" i="152"/>
  <c r="K196" i="191" s="1"/>
  <c r="V65" i="152"/>
  <c r="J196" i="191" s="1"/>
  <c r="P65" i="152"/>
  <c r="U65" i="152" s="1"/>
  <c r="I196" i="191" s="1"/>
  <c r="L65" i="152"/>
  <c r="L1686" i="184"/>
  <c r="K65" i="152"/>
  <c r="K1686" i="184"/>
  <c r="J65" i="152"/>
  <c r="I65" i="152"/>
  <c r="I1686" i="184"/>
  <c r="H65" i="152"/>
  <c r="H1686" i="184"/>
  <c r="G65" i="152"/>
  <c r="G1686" i="184" s="1"/>
  <c r="F65" i="152"/>
  <c r="E65" i="152"/>
  <c r="E1686" i="184" s="1"/>
  <c r="D65" i="152"/>
  <c r="AA64" i="152"/>
  <c r="W64" i="152"/>
  <c r="K159" i="191"/>
  <c r="V64" i="152"/>
  <c r="J159" i="191"/>
  <c r="Q64" i="152"/>
  <c r="P64" i="152"/>
  <c r="U64" i="152"/>
  <c r="I159" i="191" s="1"/>
  <c r="L64" i="152"/>
  <c r="L1649" i="184"/>
  <c r="K64" i="152"/>
  <c r="K1649" i="184"/>
  <c r="J64" i="152"/>
  <c r="J1649" i="184" s="1"/>
  <c r="I64" i="152"/>
  <c r="I1649" i="184" s="1"/>
  <c r="H64" i="152"/>
  <c r="H1649" i="184" s="1"/>
  <c r="G64" i="152"/>
  <c r="G1649" i="184"/>
  <c r="F64" i="152"/>
  <c r="E64" i="152"/>
  <c r="E1649" i="184" s="1"/>
  <c r="D64" i="152"/>
  <c r="D1649" i="184"/>
  <c r="AA63" i="152"/>
  <c r="W63" i="152"/>
  <c r="K122" i="191"/>
  <c r="V63" i="152"/>
  <c r="J122" i="191"/>
  <c r="P63" i="152"/>
  <c r="U63" i="152" s="1"/>
  <c r="I122" i="191" s="1"/>
  <c r="L63" i="152"/>
  <c r="L1612" i="184"/>
  <c r="K63" i="152"/>
  <c r="K1612" i="184" s="1"/>
  <c r="J63" i="152"/>
  <c r="J1612" i="184"/>
  <c r="I63" i="152"/>
  <c r="I1612" i="184"/>
  <c r="H63" i="152"/>
  <c r="H1612" i="184" s="1"/>
  <c r="G63" i="152"/>
  <c r="F63" i="152"/>
  <c r="E63" i="152"/>
  <c r="E1612" i="184"/>
  <c r="D63" i="152"/>
  <c r="D1612" i="184"/>
  <c r="AA62" i="152"/>
  <c r="W62" i="152"/>
  <c r="K85" i="191"/>
  <c r="V62" i="152"/>
  <c r="J85" i="191"/>
  <c r="P62" i="152"/>
  <c r="D85" i="191" s="1"/>
  <c r="L62" i="152"/>
  <c r="L1575" i="184"/>
  <c r="K62" i="152"/>
  <c r="K1575" i="184" s="1"/>
  <c r="J62" i="152"/>
  <c r="J1575" i="184" s="1"/>
  <c r="I62" i="152"/>
  <c r="I1575" i="184" s="1"/>
  <c r="H62" i="152"/>
  <c r="H1575" i="184" s="1"/>
  <c r="G62" i="152"/>
  <c r="F62" i="152"/>
  <c r="F1575" i="184" s="1"/>
  <c r="E62" i="152"/>
  <c r="E1575" i="184"/>
  <c r="D62" i="152"/>
  <c r="D1575" i="184"/>
  <c r="AA61" i="152"/>
  <c r="W61" i="152"/>
  <c r="K48" i="191"/>
  <c r="V61" i="152"/>
  <c r="P61" i="152"/>
  <c r="L61" i="152"/>
  <c r="L1538" i="184" s="1"/>
  <c r="K61" i="152"/>
  <c r="K1538" i="184"/>
  <c r="J61" i="152"/>
  <c r="I61" i="152"/>
  <c r="I1538" i="184" s="1"/>
  <c r="H61" i="152"/>
  <c r="H1538" i="184" s="1"/>
  <c r="G61" i="152"/>
  <c r="G1538" i="184"/>
  <c r="F61" i="152"/>
  <c r="E61" i="152"/>
  <c r="E1538" i="184"/>
  <c r="D61" i="152"/>
  <c r="D1538" i="184"/>
  <c r="AA60" i="152"/>
  <c r="W60" i="152"/>
  <c r="V60" i="152"/>
  <c r="J11" i="191" s="1"/>
  <c r="P60" i="152"/>
  <c r="U60" i="152"/>
  <c r="I11" i="191" s="1"/>
  <c r="L60" i="152"/>
  <c r="L1501" i="184"/>
  <c r="K60" i="152"/>
  <c r="K1501" i="184" s="1"/>
  <c r="J60" i="152"/>
  <c r="I60" i="152"/>
  <c r="H60" i="152"/>
  <c r="G60" i="152"/>
  <c r="G1501" i="184" s="1"/>
  <c r="F60" i="152"/>
  <c r="D36" i="151" s="1"/>
  <c r="E60" i="152"/>
  <c r="D60" i="152"/>
  <c r="D1501" i="184"/>
  <c r="L1388" i="184"/>
  <c r="K1388" i="184"/>
  <c r="J1388" i="184"/>
  <c r="I1388" i="184"/>
  <c r="G1388" i="184"/>
  <c r="D31" i="151"/>
  <c r="D1388" i="184"/>
  <c r="J1351" i="184"/>
  <c r="I1351" i="184"/>
  <c r="H1351" i="184"/>
  <c r="G1351" i="184"/>
  <c r="E1351" i="184"/>
  <c r="K1314" i="184"/>
  <c r="J1314" i="184"/>
  <c r="I1314" i="184"/>
  <c r="G1314" i="184"/>
  <c r="E1314" i="184"/>
  <c r="L1277" i="184"/>
  <c r="K1277" i="184"/>
  <c r="J1277" i="184"/>
  <c r="I1277" i="184"/>
  <c r="H1277" i="184"/>
  <c r="G1277" i="184"/>
  <c r="E1277" i="184"/>
  <c r="L1240" i="184"/>
  <c r="K1240" i="184"/>
  <c r="J1240" i="184"/>
  <c r="I1240" i="184"/>
  <c r="G1240" i="184"/>
  <c r="E1240" i="184"/>
  <c r="D1240" i="184"/>
  <c r="K1203" i="184"/>
  <c r="J1203" i="184"/>
  <c r="H1203" i="184"/>
  <c r="G1203" i="184"/>
  <c r="E1203" i="184"/>
  <c r="L1164" i="184"/>
  <c r="K1164" i="184"/>
  <c r="J1164" i="184"/>
  <c r="I1164" i="184"/>
  <c r="H1164" i="184"/>
  <c r="G1164" i="184"/>
  <c r="E1164" i="184"/>
  <c r="D1164" i="184"/>
  <c r="K1050" i="184"/>
  <c r="J1050" i="184"/>
  <c r="I1050" i="184"/>
  <c r="H1050" i="184"/>
  <c r="G1050" i="184"/>
  <c r="F1050" i="184"/>
  <c r="E1050" i="184"/>
  <c r="D1050" i="184"/>
  <c r="L1013" i="184"/>
  <c r="J1013" i="184"/>
  <c r="I1013" i="184"/>
  <c r="H1013" i="184"/>
  <c r="G1013" i="184"/>
  <c r="F1013" i="184"/>
  <c r="E1013" i="184"/>
  <c r="D1013" i="184"/>
  <c r="K976" i="184"/>
  <c r="J976" i="184"/>
  <c r="I976" i="184"/>
  <c r="H976" i="184"/>
  <c r="F976" i="184"/>
  <c r="D976" i="184"/>
  <c r="L939" i="184"/>
  <c r="K939" i="184"/>
  <c r="J939" i="184"/>
  <c r="I939" i="184"/>
  <c r="H939" i="184"/>
  <c r="F939" i="184"/>
  <c r="D939" i="184"/>
  <c r="L902" i="184"/>
  <c r="K902" i="184"/>
  <c r="J902" i="184"/>
  <c r="H902" i="184"/>
  <c r="G902" i="184"/>
  <c r="F902" i="184"/>
  <c r="E902" i="184"/>
  <c r="D902" i="184"/>
  <c r="L36" i="152"/>
  <c r="L865" i="184"/>
  <c r="K36" i="152"/>
  <c r="J36" i="152"/>
  <c r="J865" i="184" s="1"/>
  <c r="I36" i="152"/>
  <c r="I865" i="184"/>
  <c r="H36" i="152"/>
  <c r="H865" i="184" s="1"/>
  <c r="G36" i="152"/>
  <c r="F36" i="152"/>
  <c r="F865" i="184" s="1"/>
  <c r="E36" i="152"/>
  <c r="E865" i="184"/>
  <c r="D36" i="152"/>
  <c r="L35" i="152"/>
  <c r="L828" i="184" s="1"/>
  <c r="K35" i="152"/>
  <c r="K828" i="184" s="1"/>
  <c r="J35" i="152"/>
  <c r="I35" i="152"/>
  <c r="I828" i="184" s="1"/>
  <c r="H35" i="152"/>
  <c r="H828" i="184" s="1"/>
  <c r="G35" i="152"/>
  <c r="F35" i="152"/>
  <c r="F828" i="184" s="1"/>
  <c r="E35" i="152"/>
  <c r="E828" i="184"/>
  <c r="D35" i="152"/>
  <c r="D828" i="184"/>
  <c r="R34" i="152"/>
  <c r="L109" i="152" s="1"/>
  <c r="L34" i="152"/>
  <c r="L791" i="184"/>
  <c r="K34" i="152"/>
  <c r="K791" i="184"/>
  <c r="J34" i="152"/>
  <c r="J791" i="184" s="1"/>
  <c r="I34" i="152"/>
  <c r="I791" i="184" s="1"/>
  <c r="H34" i="152"/>
  <c r="H791" i="184" s="1"/>
  <c r="G34" i="152"/>
  <c r="G791" i="184" s="1"/>
  <c r="F34" i="152"/>
  <c r="F791" i="184"/>
  <c r="E34" i="152"/>
  <c r="E791" i="184" s="1"/>
  <c r="D34" i="152"/>
  <c r="D791" i="184" s="1"/>
  <c r="L33" i="152"/>
  <c r="L754" i="184"/>
  <c r="K33" i="152"/>
  <c r="K754" i="184"/>
  <c r="J33" i="152"/>
  <c r="I33" i="152"/>
  <c r="H33" i="152"/>
  <c r="H754" i="184" s="1"/>
  <c r="G33" i="152"/>
  <c r="G754" i="184"/>
  <c r="F33" i="152"/>
  <c r="F754" i="184"/>
  <c r="E33" i="152"/>
  <c r="D33" i="152"/>
  <c r="D754" i="184"/>
  <c r="Q32" i="152"/>
  <c r="L108" i="152" s="1"/>
  <c r="L32" i="152"/>
  <c r="K32" i="152"/>
  <c r="K717" i="184" s="1"/>
  <c r="J32" i="152"/>
  <c r="J717" i="184" s="1"/>
  <c r="I32" i="152"/>
  <c r="I717" i="184"/>
  <c r="H32" i="152"/>
  <c r="H717" i="184" s="1"/>
  <c r="G32" i="152"/>
  <c r="G717" i="184"/>
  <c r="F32" i="152"/>
  <c r="F717" i="184" s="1"/>
  <c r="E32" i="152"/>
  <c r="E717" i="184"/>
  <c r="D32" i="152"/>
  <c r="D717" i="184"/>
  <c r="L605" i="184"/>
  <c r="K605" i="184"/>
  <c r="J605" i="184"/>
  <c r="I605" i="184"/>
  <c r="G605" i="184"/>
  <c r="F605" i="184"/>
  <c r="J568" i="184"/>
  <c r="I568" i="184"/>
  <c r="H568" i="184"/>
  <c r="F568" i="184"/>
  <c r="E568" i="184"/>
  <c r="D568" i="184"/>
  <c r="L531" i="184"/>
  <c r="K531" i="184"/>
  <c r="J531" i="184"/>
  <c r="I531" i="184"/>
  <c r="H531" i="184"/>
  <c r="F531" i="184"/>
  <c r="E531" i="184"/>
  <c r="D531" i="184"/>
  <c r="L494" i="184"/>
  <c r="J494" i="184"/>
  <c r="I494" i="184"/>
  <c r="H494" i="184"/>
  <c r="G494" i="184"/>
  <c r="F494" i="184"/>
  <c r="E494" i="184"/>
  <c r="L457" i="184"/>
  <c r="K457" i="184"/>
  <c r="J457" i="184"/>
  <c r="I457" i="184"/>
  <c r="H457" i="184"/>
  <c r="G457" i="184"/>
  <c r="F457" i="184"/>
  <c r="D457" i="184"/>
  <c r="L23" i="152"/>
  <c r="L420" i="184"/>
  <c r="K23" i="152"/>
  <c r="K420" i="184" s="1"/>
  <c r="J23" i="152"/>
  <c r="J420" i="184"/>
  <c r="I23" i="152"/>
  <c r="I420" i="184"/>
  <c r="H23" i="152"/>
  <c r="H420" i="184" s="1"/>
  <c r="G23" i="152"/>
  <c r="G420" i="184" s="1"/>
  <c r="F23" i="152"/>
  <c r="F420" i="184" s="1"/>
  <c r="E23" i="152"/>
  <c r="E420" i="184" s="1"/>
  <c r="D23" i="152"/>
  <c r="D420" i="184"/>
  <c r="L22" i="152"/>
  <c r="L383" i="184" s="1"/>
  <c r="K22" i="152"/>
  <c r="K383" i="184"/>
  <c r="J22" i="152"/>
  <c r="J383" i="184"/>
  <c r="I22" i="152"/>
  <c r="I383" i="184"/>
  <c r="H22" i="152"/>
  <c r="H383" i="184" s="1"/>
  <c r="G22" i="152"/>
  <c r="G383" i="184"/>
  <c r="F22" i="152"/>
  <c r="F383" i="184" s="1"/>
  <c r="E22" i="152"/>
  <c r="E383" i="184" s="1"/>
  <c r="D22" i="152"/>
  <c r="D383" i="184" s="1"/>
  <c r="L21" i="152"/>
  <c r="K21" i="152"/>
  <c r="K346" i="184"/>
  <c r="J21" i="152"/>
  <c r="J346" i="184" s="1"/>
  <c r="I21" i="152"/>
  <c r="I346" i="184"/>
  <c r="H21" i="152"/>
  <c r="G21" i="152"/>
  <c r="G346" i="184"/>
  <c r="F21" i="152"/>
  <c r="F346" i="184"/>
  <c r="E21" i="152"/>
  <c r="E346" i="184" s="1"/>
  <c r="D21" i="152"/>
  <c r="L20" i="152"/>
  <c r="L309" i="184"/>
  <c r="K20" i="152"/>
  <c r="K309" i="184" s="1"/>
  <c r="J20" i="152"/>
  <c r="J309" i="184" s="1"/>
  <c r="I20" i="152"/>
  <c r="I309" i="184"/>
  <c r="H20" i="152"/>
  <c r="H309" i="184" s="1"/>
  <c r="G20" i="152"/>
  <c r="G309" i="184"/>
  <c r="F20" i="152"/>
  <c r="F309" i="184" s="1"/>
  <c r="E20" i="152"/>
  <c r="D20" i="152"/>
  <c r="L19" i="152"/>
  <c r="L272" i="184"/>
  <c r="K19" i="152"/>
  <c r="K272" i="184"/>
  <c r="J19" i="152"/>
  <c r="I19" i="152"/>
  <c r="H19" i="152"/>
  <c r="G19" i="152"/>
  <c r="F19" i="152"/>
  <c r="F272" i="184"/>
  <c r="E19" i="152"/>
  <c r="E272" i="184"/>
  <c r="D19" i="152"/>
  <c r="K159" i="184"/>
  <c r="J159" i="184"/>
  <c r="H159" i="184"/>
  <c r="G159" i="184"/>
  <c r="D159" i="184"/>
  <c r="L122" i="184"/>
  <c r="K122" i="184"/>
  <c r="J122" i="184"/>
  <c r="I122" i="184"/>
  <c r="H122" i="184"/>
  <c r="D122" i="184"/>
  <c r="L85" i="184"/>
  <c r="K85" i="184"/>
  <c r="J85" i="184"/>
  <c r="I85" i="184"/>
  <c r="H85" i="184"/>
  <c r="G85" i="184"/>
  <c r="E85" i="184"/>
  <c r="D85" i="184"/>
  <c r="L48" i="184"/>
  <c r="K48" i="184"/>
  <c r="J48" i="184"/>
  <c r="H48" i="184"/>
  <c r="G48" i="184"/>
  <c r="E48" i="184"/>
  <c r="D48" i="184"/>
  <c r="H11" i="184"/>
  <c r="G11" i="184"/>
  <c r="E11" i="184"/>
  <c r="X15" i="230"/>
  <c r="T15" i="229"/>
  <c r="S20" i="210"/>
  <c r="F117" i="184"/>
  <c r="D23" i="176"/>
  <c r="D53" i="176"/>
  <c r="F118" i="184"/>
  <c r="F1209" i="184"/>
  <c r="F1376" i="184"/>
  <c r="D69" i="176"/>
  <c r="F1829" i="184"/>
  <c r="F91" i="184"/>
  <c r="F110" i="184"/>
  <c r="F85" i="184"/>
  <c r="F108" i="184"/>
  <c r="F95" i="184"/>
  <c r="F1733" i="184"/>
  <c r="M100" i="147"/>
  <c r="M2573" i="184"/>
  <c r="Q92" i="147"/>
  <c r="O92" i="147"/>
  <c r="Q39" i="212"/>
  <c r="L92" i="147"/>
  <c r="L2493" i="184"/>
  <c r="K92" i="147"/>
  <c r="K2493" i="184" s="1"/>
  <c r="J92" i="147"/>
  <c r="J2493" i="184" s="1"/>
  <c r="I92" i="147"/>
  <c r="I2493" i="184"/>
  <c r="H92" i="147"/>
  <c r="H2493" i="184" s="1"/>
  <c r="G92" i="147"/>
  <c r="F92" i="147"/>
  <c r="F2493" i="184" s="1"/>
  <c r="E92" i="147"/>
  <c r="E2493" i="184" s="1"/>
  <c r="D92" i="147"/>
  <c r="D2493" i="184" s="1"/>
  <c r="L91" i="147"/>
  <c r="L2456" i="184" s="1"/>
  <c r="K91" i="147"/>
  <c r="K2456" i="184" s="1"/>
  <c r="J91" i="147"/>
  <c r="J2456" i="184"/>
  <c r="I91" i="147"/>
  <c r="I2456" i="184" s="1"/>
  <c r="H91" i="147"/>
  <c r="H2456" i="184"/>
  <c r="G91" i="147"/>
  <c r="G2456" i="184"/>
  <c r="F91" i="147"/>
  <c r="F2456" i="184" s="1"/>
  <c r="E91" i="147"/>
  <c r="E2456" i="184" s="1"/>
  <c r="D91" i="147"/>
  <c r="L90" i="147"/>
  <c r="L2419" i="184"/>
  <c r="K90" i="147"/>
  <c r="K2419" i="184" s="1"/>
  <c r="J90" i="147"/>
  <c r="I90" i="147"/>
  <c r="I2419" i="184" s="1"/>
  <c r="H90" i="147"/>
  <c r="H2419" i="184"/>
  <c r="G90" i="147"/>
  <c r="G2419" i="184"/>
  <c r="F90" i="147"/>
  <c r="F2419" i="184" s="1"/>
  <c r="E90" i="147"/>
  <c r="E2419" i="184" s="1"/>
  <c r="D90" i="147"/>
  <c r="D2419" i="184" s="1"/>
  <c r="L89" i="147"/>
  <c r="L2382" i="184" s="1"/>
  <c r="K89" i="147"/>
  <c r="K2382" i="184"/>
  <c r="J89" i="147"/>
  <c r="J2382" i="184" s="1"/>
  <c r="I89" i="147"/>
  <c r="I2382" i="184" s="1"/>
  <c r="H89" i="147"/>
  <c r="H2382" i="184"/>
  <c r="G89" i="147"/>
  <c r="G2382" i="184"/>
  <c r="F89" i="147"/>
  <c r="E89" i="147"/>
  <c r="E2382" i="184"/>
  <c r="D89" i="147"/>
  <c r="L88" i="147"/>
  <c r="L2345" i="184"/>
  <c r="K88" i="147"/>
  <c r="K2345" i="184"/>
  <c r="J88" i="147"/>
  <c r="J2345" i="184" s="1"/>
  <c r="I88" i="147"/>
  <c r="H88" i="147"/>
  <c r="H2345" i="184" s="1"/>
  <c r="G88" i="147"/>
  <c r="G2345" i="184" s="1"/>
  <c r="F88" i="147"/>
  <c r="E88" i="147"/>
  <c r="E2345" i="184" s="1"/>
  <c r="D88" i="147"/>
  <c r="D2345" i="184"/>
  <c r="L87" i="147"/>
  <c r="L2308" i="184"/>
  <c r="K87" i="147"/>
  <c r="K2308" i="184"/>
  <c r="J87" i="147"/>
  <c r="J2308" i="184" s="1"/>
  <c r="I87" i="147"/>
  <c r="I2308" i="184"/>
  <c r="H87" i="147"/>
  <c r="H2308" i="184" s="1"/>
  <c r="G87" i="147"/>
  <c r="G2308" i="184" s="1"/>
  <c r="F87" i="147"/>
  <c r="F2308" i="184" s="1"/>
  <c r="E87" i="147"/>
  <c r="E2308" i="184" s="1"/>
  <c r="D87" i="147"/>
  <c r="D2308" i="184"/>
  <c r="L82" i="147"/>
  <c r="L2195" i="184"/>
  <c r="K82" i="147"/>
  <c r="K2195" i="184" s="1"/>
  <c r="J82" i="147"/>
  <c r="J2195" i="184"/>
  <c r="I82" i="147"/>
  <c r="I2195" i="184"/>
  <c r="H82" i="147"/>
  <c r="H2195" i="184" s="1"/>
  <c r="G82" i="147"/>
  <c r="G2195" i="184" s="1"/>
  <c r="F82" i="147"/>
  <c r="E82" i="147"/>
  <c r="E2195" i="184"/>
  <c r="D82" i="147"/>
  <c r="D2195" i="184" s="1"/>
  <c r="L81" i="147"/>
  <c r="L2158" i="184"/>
  <c r="K81" i="147"/>
  <c r="J81" i="147"/>
  <c r="J2158" i="184" s="1"/>
  <c r="I81" i="147"/>
  <c r="I2158" i="184"/>
  <c r="H81" i="147"/>
  <c r="H2158" i="184"/>
  <c r="G81" i="147"/>
  <c r="F81" i="147"/>
  <c r="E81" i="147"/>
  <c r="E2158" i="184" s="1"/>
  <c r="R80" i="147"/>
  <c r="B27" i="148"/>
  <c r="R77" i="147"/>
  <c r="L115" i="147"/>
  <c r="L77" i="147"/>
  <c r="L2082" i="184" s="1"/>
  <c r="K77" i="147"/>
  <c r="K2082" i="184"/>
  <c r="J77" i="147"/>
  <c r="J2082" i="184" s="1"/>
  <c r="I77" i="147"/>
  <c r="I2082" i="184" s="1"/>
  <c r="H77" i="147"/>
  <c r="H2082" i="184" s="1"/>
  <c r="G77" i="147"/>
  <c r="G2082" i="184" s="1"/>
  <c r="F77" i="147"/>
  <c r="D53" i="146" s="1"/>
  <c r="E77" i="147"/>
  <c r="E2082" i="184"/>
  <c r="D77" i="147"/>
  <c r="L76" i="147"/>
  <c r="L2045" i="184"/>
  <c r="K76" i="147"/>
  <c r="K2045" i="184"/>
  <c r="J76" i="147"/>
  <c r="J2045" i="184" s="1"/>
  <c r="I76" i="147"/>
  <c r="I2045" i="184"/>
  <c r="H76" i="147"/>
  <c r="H2045" i="184"/>
  <c r="G76" i="147"/>
  <c r="G2045" i="184" s="1"/>
  <c r="F76" i="147"/>
  <c r="E76" i="147"/>
  <c r="E2045" i="184" s="1"/>
  <c r="D76" i="147"/>
  <c r="L75" i="147"/>
  <c r="K75" i="147"/>
  <c r="K2008" i="184"/>
  <c r="J75" i="147"/>
  <c r="J2008" i="184"/>
  <c r="I75" i="147"/>
  <c r="I2008" i="184" s="1"/>
  <c r="H75" i="147"/>
  <c r="H2008" i="184" s="1"/>
  <c r="G75" i="147"/>
  <c r="G2008" i="184"/>
  <c r="F75" i="147"/>
  <c r="E75" i="147"/>
  <c r="D75" i="147"/>
  <c r="D2008" i="184" s="1"/>
  <c r="L74" i="147"/>
  <c r="K74" i="147"/>
  <c r="K1971" i="184" s="1"/>
  <c r="J74" i="147"/>
  <c r="J1971" i="184"/>
  <c r="I74" i="147"/>
  <c r="I1971" i="184" s="1"/>
  <c r="H74" i="147"/>
  <c r="G74" i="147"/>
  <c r="G1971" i="184" s="1"/>
  <c r="F74" i="147"/>
  <c r="D50" i="146"/>
  <c r="E74" i="147"/>
  <c r="E1971" i="184"/>
  <c r="D74" i="147"/>
  <c r="D1971" i="184"/>
  <c r="L70" i="147"/>
  <c r="L1895" i="184" s="1"/>
  <c r="K70" i="147"/>
  <c r="K1895" i="184" s="1"/>
  <c r="J70" i="147"/>
  <c r="J1895" i="184" s="1"/>
  <c r="I70" i="147"/>
  <c r="I1895" i="184"/>
  <c r="H70" i="147"/>
  <c r="H1895" i="184" s="1"/>
  <c r="G70" i="147"/>
  <c r="G1895" i="184"/>
  <c r="F70" i="147"/>
  <c r="E70" i="147"/>
  <c r="E1895" i="184" s="1"/>
  <c r="D70" i="147"/>
  <c r="L69" i="147"/>
  <c r="L1858" i="184" s="1"/>
  <c r="K69" i="147"/>
  <c r="K1858" i="184"/>
  <c r="J69" i="147"/>
  <c r="J1858" i="184"/>
  <c r="I69" i="147"/>
  <c r="H69" i="147"/>
  <c r="H1858" i="184"/>
  <c r="G69" i="147"/>
  <c r="F69" i="147"/>
  <c r="D45" i="146"/>
  <c r="E69" i="147"/>
  <c r="E1858" i="184"/>
  <c r="D69" i="147"/>
  <c r="D1858" i="184"/>
  <c r="AA68" i="147"/>
  <c r="P68" i="147"/>
  <c r="L68" i="147"/>
  <c r="L1821" i="184"/>
  <c r="K68" i="147"/>
  <c r="K1821" i="184"/>
  <c r="J68" i="147"/>
  <c r="J1821" i="184"/>
  <c r="I68" i="147"/>
  <c r="I1821" i="184" s="1"/>
  <c r="H68" i="147"/>
  <c r="H1821" i="184"/>
  <c r="G68" i="147"/>
  <c r="G1821" i="184" s="1"/>
  <c r="F68" i="147"/>
  <c r="F1821" i="184" s="1"/>
  <c r="E68" i="147"/>
  <c r="E1821" i="184" s="1"/>
  <c r="D68" i="147"/>
  <c r="AA67" i="147"/>
  <c r="W67" i="147"/>
  <c r="V67" i="147"/>
  <c r="P67" i="147"/>
  <c r="D294" i="191"/>
  <c r="L67" i="147"/>
  <c r="L1784" i="184" s="1"/>
  <c r="K67" i="147"/>
  <c r="K1784" i="184"/>
  <c r="J67" i="147"/>
  <c r="J1784" i="184"/>
  <c r="I67" i="147"/>
  <c r="H67" i="147"/>
  <c r="H1784" i="184"/>
  <c r="G67" i="147"/>
  <c r="G1784" i="184" s="1"/>
  <c r="F67" i="147"/>
  <c r="D43" i="146" s="1"/>
  <c r="E67" i="147"/>
  <c r="D67" i="147"/>
  <c r="AA66" i="147"/>
  <c r="W66" i="147"/>
  <c r="K257" i="191" s="1"/>
  <c r="V66" i="147"/>
  <c r="J257" i="191"/>
  <c r="P66" i="147"/>
  <c r="L66" i="147"/>
  <c r="L1747" i="184" s="1"/>
  <c r="K66" i="147"/>
  <c r="K1747" i="184"/>
  <c r="J66" i="147"/>
  <c r="J1747" i="184"/>
  <c r="I66" i="147"/>
  <c r="H66" i="147"/>
  <c r="H1747" i="184" s="1"/>
  <c r="G66" i="147"/>
  <c r="F66" i="147"/>
  <c r="D42" i="146" s="1"/>
  <c r="E66" i="147"/>
  <c r="E1747" i="184" s="1"/>
  <c r="D66" i="147"/>
  <c r="D1747" i="184" s="1"/>
  <c r="AA65" i="147"/>
  <c r="W65" i="147"/>
  <c r="K220" i="191" s="1"/>
  <c r="V65" i="147"/>
  <c r="J220" i="191" s="1"/>
  <c r="P65" i="147"/>
  <c r="L65" i="147"/>
  <c r="K65" i="147"/>
  <c r="K1710" i="184" s="1"/>
  <c r="J65" i="147"/>
  <c r="J1710" i="184"/>
  <c r="I65" i="147"/>
  <c r="H65" i="147"/>
  <c r="H1710" i="184" s="1"/>
  <c r="G65" i="147"/>
  <c r="G1710" i="184"/>
  <c r="F65" i="147"/>
  <c r="E65" i="147"/>
  <c r="E1710" i="184"/>
  <c r="D65" i="147"/>
  <c r="AA64" i="147"/>
  <c r="W64" i="147"/>
  <c r="K183" i="191"/>
  <c r="V64" i="147"/>
  <c r="Q64" i="147"/>
  <c r="P64" i="147"/>
  <c r="U64" i="147"/>
  <c r="I183" i="191"/>
  <c r="L64" i="147"/>
  <c r="L1673" i="184"/>
  <c r="K64" i="147"/>
  <c r="K1673" i="184"/>
  <c r="J64" i="147"/>
  <c r="J1673" i="184" s="1"/>
  <c r="I64" i="147"/>
  <c r="I1673" i="184"/>
  <c r="H64" i="147"/>
  <c r="H1673" i="184" s="1"/>
  <c r="G64" i="147"/>
  <c r="G1673" i="184"/>
  <c r="F64" i="147"/>
  <c r="E64" i="147"/>
  <c r="E1673" i="184" s="1"/>
  <c r="D64" i="147"/>
  <c r="AA63" i="147"/>
  <c r="W63" i="147"/>
  <c r="V63" i="147"/>
  <c r="J146" i="191"/>
  <c r="P63" i="147"/>
  <c r="U63" i="147" s="1"/>
  <c r="L63" i="147"/>
  <c r="L1636" i="184" s="1"/>
  <c r="K63" i="147"/>
  <c r="J63" i="147"/>
  <c r="J1636" i="184" s="1"/>
  <c r="I63" i="147"/>
  <c r="I1636" i="184"/>
  <c r="H63" i="147"/>
  <c r="H1636" i="184"/>
  <c r="G63" i="147"/>
  <c r="F63" i="147"/>
  <c r="D39" i="146"/>
  <c r="E63" i="147"/>
  <c r="E1636" i="184" s="1"/>
  <c r="D63" i="147"/>
  <c r="D1636" i="184" s="1"/>
  <c r="AA62" i="147"/>
  <c r="W62" i="147"/>
  <c r="K109" i="191" s="1"/>
  <c r="V62" i="147"/>
  <c r="J109" i="191"/>
  <c r="P62" i="147"/>
  <c r="D109" i="191" s="1"/>
  <c r="L62" i="147"/>
  <c r="L1599" i="184"/>
  <c r="K62" i="147"/>
  <c r="J62" i="147"/>
  <c r="J1599" i="184" s="1"/>
  <c r="I62" i="147"/>
  <c r="I1599" i="184"/>
  <c r="H62" i="147"/>
  <c r="G62" i="147"/>
  <c r="G1599" i="184"/>
  <c r="F62" i="147"/>
  <c r="E62" i="147"/>
  <c r="D62" i="147"/>
  <c r="AA61" i="147"/>
  <c r="W61" i="147"/>
  <c r="V61" i="147"/>
  <c r="J72" i="191" s="1"/>
  <c r="P61" i="147"/>
  <c r="D72" i="191"/>
  <c r="L61" i="147"/>
  <c r="K61" i="147"/>
  <c r="K1562" i="184" s="1"/>
  <c r="J61" i="147"/>
  <c r="I61" i="147"/>
  <c r="I1562" i="184" s="1"/>
  <c r="H61" i="147"/>
  <c r="H1562" i="184" s="1"/>
  <c r="G61" i="147"/>
  <c r="G1562" i="184" s="1"/>
  <c r="F61" i="147"/>
  <c r="F1562" i="184" s="1"/>
  <c r="E61" i="147"/>
  <c r="D61" i="147"/>
  <c r="D1562" i="184" s="1"/>
  <c r="AA60" i="147"/>
  <c r="W60" i="147"/>
  <c r="K35" i="191"/>
  <c r="V60" i="147"/>
  <c r="P60" i="147"/>
  <c r="L60" i="147"/>
  <c r="L1525" i="184" s="1"/>
  <c r="K60" i="147"/>
  <c r="J60" i="147"/>
  <c r="I60" i="147"/>
  <c r="I1525" i="184" s="1"/>
  <c r="H60" i="147"/>
  <c r="H1525" i="184" s="1"/>
  <c r="G60" i="147"/>
  <c r="G1525" i="184" s="1"/>
  <c r="F60" i="147"/>
  <c r="E60" i="147"/>
  <c r="D60" i="147"/>
  <c r="D1525" i="184" s="1"/>
  <c r="J1412" i="184"/>
  <c r="I1412" i="184"/>
  <c r="G1412" i="184"/>
  <c r="D31" i="146"/>
  <c r="E1412" i="184"/>
  <c r="L1375" i="184"/>
  <c r="K1375" i="184"/>
  <c r="H1375" i="184"/>
  <c r="E1375" i="184"/>
  <c r="D1375" i="184"/>
  <c r="L1338" i="184"/>
  <c r="J1338" i="184"/>
  <c r="I1338" i="184"/>
  <c r="H1338" i="184"/>
  <c r="G1338" i="184"/>
  <c r="E1338" i="184"/>
  <c r="D1338" i="184"/>
  <c r="L1301" i="184"/>
  <c r="J1301" i="184"/>
  <c r="I1301" i="184"/>
  <c r="H1301" i="184"/>
  <c r="E1301" i="184"/>
  <c r="J1264" i="184"/>
  <c r="I1264" i="184"/>
  <c r="H1264" i="184"/>
  <c r="G1264" i="184"/>
  <c r="D27" i="146"/>
  <c r="E1264" i="184"/>
  <c r="L1227" i="184"/>
  <c r="K1227" i="184"/>
  <c r="J1227" i="184"/>
  <c r="I1227" i="184"/>
  <c r="H1227" i="184"/>
  <c r="D1227" i="184"/>
  <c r="L1188" i="184"/>
  <c r="K1188" i="184"/>
  <c r="I1188" i="184"/>
  <c r="H1188" i="184"/>
  <c r="G1188" i="184"/>
  <c r="E1188" i="184"/>
  <c r="D1188" i="184"/>
  <c r="L1074" i="184"/>
  <c r="K1074" i="184"/>
  <c r="J1074" i="184"/>
  <c r="I1074" i="184"/>
  <c r="F1074" i="184"/>
  <c r="D1074" i="184"/>
  <c r="L1037" i="184"/>
  <c r="K1037" i="184"/>
  <c r="J1037" i="184"/>
  <c r="G1037" i="184"/>
  <c r="D1037" i="184"/>
  <c r="L1000" i="184"/>
  <c r="K1000" i="184"/>
  <c r="H1000" i="184"/>
  <c r="F1000" i="184"/>
  <c r="E1000" i="184"/>
  <c r="L963" i="184"/>
  <c r="K963" i="184"/>
  <c r="G963" i="184"/>
  <c r="E963" i="184"/>
  <c r="D963" i="184"/>
  <c r="J926" i="184"/>
  <c r="H926" i="184"/>
  <c r="G926" i="184"/>
  <c r="F926" i="184"/>
  <c r="D926" i="184"/>
  <c r="L36" i="147"/>
  <c r="L889" i="184" s="1"/>
  <c r="K36" i="147"/>
  <c r="J36" i="147"/>
  <c r="J889" i="184" s="1"/>
  <c r="I36" i="147"/>
  <c r="I889" i="184"/>
  <c r="H36" i="147"/>
  <c r="G36" i="147"/>
  <c r="G889" i="184" s="1"/>
  <c r="F36" i="147"/>
  <c r="E36" i="147"/>
  <c r="D36" i="147"/>
  <c r="D889" i="184" s="1"/>
  <c r="L35" i="147"/>
  <c r="K35" i="147"/>
  <c r="K852" i="184" s="1"/>
  <c r="J35" i="147"/>
  <c r="J852" i="184" s="1"/>
  <c r="I35" i="147"/>
  <c r="I852" i="184" s="1"/>
  <c r="H35" i="147"/>
  <c r="H852" i="184" s="1"/>
  <c r="G35" i="147"/>
  <c r="G852" i="184" s="1"/>
  <c r="F35" i="147"/>
  <c r="F852" i="184"/>
  <c r="E35" i="147"/>
  <c r="E852" i="184" s="1"/>
  <c r="D35" i="147"/>
  <c r="R34" i="147"/>
  <c r="L109" i="147"/>
  <c r="L34" i="147"/>
  <c r="L815" i="184"/>
  <c r="K34" i="147"/>
  <c r="K815" i="184" s="1"/>
  <c r="J34" i="147"/>
  <c r="J815" i="184"/>
  <c r="I34" i="147"/>
  <c r="H34" i="147"/>
  <c r="G34" i="147"/>
  <c r="G815" i="184" s="1"/>
  <c r="F34" i="147"/>
  <c r="F815" i="184" s="1"/>
  <c r="E34" i="147"/>
  <c r="D34" i="147"/>
  <c r="D815" i="184"/>
  <c r="L33" i="147"/>
  <c r="L778" i="184" s="1"/>
  <c r="K33" i="147"/>
  <c r="K778" i="184"/>
  <c r="J33" i="147"/>
  <c r="I33" i="147"/>
  <c r="I778" i="184"/>
  <c r="H33" i="147"/>
  <c r="H778" i="184" s="1"/>
  <c r="G33" i="147"/>
  <c r="G778" i="184" s="1"/>
  <c r="F33" i="147"/>
  <c r="F778" i="184" s="1"/>
  <c r="E33" i="147"/>
  <c r="E778" i="184"/>
  <c r="D33" i="147"/>
  <c r="Q32" i="147"/>
  <c r="L108" i="147" s="1"/>
  <c r="L32" i="147"/>
  <c r="L741" i="184"/>
  <c r="K32" i="147"/>
  <c r="J32" i="147"/>
  <c r="J741" i="184" s="1"/>
  <c r="I32" i="147"/>
  <c r="I741" i="184" s="1"/>
  <c r="H32" i="147"/>
  <c r="H741" i="184"/>
  <c r="G32" i="147"/>
  <c r="F32" i="147"/>
  <c r="F741" i="184"/>
  <c r="E32" i="147"/>
  <c r="D32" i="147"/>
  <c r="D741" i="184" s="1"/>
  <c r="L629" i="184"/>
  <c r="J629" i="184"/>
  <c r="F629" i="184"/>
  <c r="E629" i="184"/>
  <c r="K592" i="184"/>
  <c r="J592" i="184"/>
  <c r="G592" i="184"/>
  <c r="E592" i="184"/>
  <c r="D592" i="184"/>
  <c r="L555" i="184"/>
  <c r="K555" i="184"/>
  <c r="I555" i="184"/>
  <c r="F555" i="184"/>
  <c r="E555" i="184"/>
  <c r="D555" i="184"/>
  <c r="L518" i="184"/>
  <c r="J518" i="184"/>
  <c r="H518" i="184"/>
  <c r="G518" i="184"/>
  <c r="F518" i="184"/>
  <c r="E518" i="184"/>
  <c r="J481" i="184"/>
  <c r="I481" i="184"/>
  <c r="H481" i="184"/>
  <c r="G481" i="184"/>
  <c r="F481" i="184"/>
  <c r="E481" i="184"/>
  <c r="K444" i="184"/>
  <c r="J444" i="184"/>
  <c r="I444" i="184"/>
  <c r="F444" i="184"/>
  <c r="E444" i="184"/>
  <c r="L22" i="147"/>
  <c r="L407" i="184" s="1"/>
  <c r="K22" i="147"/>
  <c r="K407" i="184" s="1"/>
  <c r="J22" i="147"/>
  <c r="J407" i="184"/>
  <c r="I22" i="147"/>
  <c r="I407" i="184"/>
  <c r="H22" i="147"/>
  <c r="H407" i="184"/>
  <c r="G22" i="147"/>
  <c r="G407" i="184" s="1"/>
  <c r="F22" i="147"/>
  <c r="F407" i="184" s="1"/>
  <c r="E22" i="147"/>
  <c r="D22" i="147"/>
  <c r="D407" i="184" s="1"/>
  <c r="L21" i="147"/>
  <c r="K21" i="147"/>
  <c r="K370" i="184" s="1"/>
  <c r="J21" i="147"/>
  <c r="J370" i="184"/>
  <c r="I21" i="147"/>
  <c r="I370" i="184" s="1"/>
  <c r="H21" i="147"/>
  <c r="G21" i="147"/>
  <c r="G370" i="184"/>
  <c r="F21" i="147"/>
  <c r="F370" i="184" s="1"/>
  <c r="E21" i="147"/>
  <c r="E370" i="184"/>
  <c r="D21" i="147"/>
  <c r="D370" i="184" s="1"/>
  <c r="L20" i="147"/>
  <c r="L333" i="184" s="1"/>
  <c r="K20" i="147"/>
  <c r="J20" i="147"/>
  <c r="J333" i="184"/>
  <c r="I20" i="147"/>
  <c r="I333" i="184"/>
  <c r="H20" i="147"/>
  <c r="G20" i="147"/>
  <c r="F20" i="147"/>
  <c r="F333" i="184" s="1"/>
  <c r="E20" i="147"/>
  <c r="E333" i="184"/>
  <c r="D20" i="147"/>
  <c r="D333" i="184" s="1"/>
  <c r="L19" i="147"/>
  <c r="L296" i="184"/>
  <c r="K19" i="147"/>
  <c r="K296" i="184" s="1"/>
  <c r="J19" i="147"/>
  <c r="J296" i="184" s="1"/>
  <c r="I19" i="147"/>
  <c r="I296" i="184"/>
  <c r="H19" i="147"/>
  <c r="H296" i="184" s="1"/>
  <c r="G19" i="147"/>
  <c r="G296" i="184" s="1"/>
  <c r="F19" i="147"/>
  <c r="F296" i="184" s="1"/>
  <c r="E19" i="147"/>
  <c r="E296" i="184"/>
  <c r="D19" i="147"/>
  <c r="L183" i="184"/>
  <c r="I183" i="184"/>
  <c r="H183" i="184"/>
  <c r="G183" i="184"/>
  <c r="D14" i="146"/>
  <c r="E183" i="184"/>
  <c r="D183" i="184"/>
  <c r="L146" i="184"/>
  <c r="J146" i="184"/>
  <c r="I146" i="184"/>
  <c r="E146" i="184"/>
  <c r="D146" i="184"/>
  <c r="L109" i="184"/>
  <c r="K109" i="184"/>
  <c r="J109" i="184"/>
  <c r="I109" i="184"/>
  <c r="H109" i="184"/>
  <c r="G109" i="184"/>
  <c r="E109" i="184"/>
  <c r="D109" i="184"/>
  <c r="K72" i="184"/>
  <c r="J72" i="184"/>
  <c r="H72" i="184"/>
  <c r="G72" i="184"/>
  <c r="D11" i="146"/>
  <c r="L35" i="184"/>
  <c r="K35" i="184"/>
  <c r="I35" i="184"/>
  <c r="H35" i="184"/>
  <c r="M100" i="142"/>
  <c r="Q92" i="142"/>
  <c r="O92" i="142"/>
  <c r="H43" i="215" s="1"/>
  <c r="L92" i="142"/>
  <c r="L2481" i="184" s="1"/>
  <c r="K92" i="142"/>
  <c r="K2481" i="184"/>
  <c r="J92" i="142"/>
  <c r="J2481" i="184" s="1"/>
  <c r="I92" i="142"/>
  <c r="I2481" i="184" s="1"/>
  <c r="H92" i="142"/>
  <c r="H2481" i="184" s="1"/>
  <c r="G92" i="142"/>
  <c r="G2481" i="184"/>
  <c r="F92" i="142"/>
  <c r="F2481" i="184"/>
  <c r="E92" i="142"/>
  <c r="E2481" i="184" s="1"/>
  <c r="D92" i="142"/>
  <c r="D2481" i="184" s="1"/>
  <c r="L91" i="142"/>
  <c r="L2444" i="184"/>
  <c r="K91" i="142"/>
  <c r="K2444" i="184" s="1"/>
  <c r="J91" i="142"/>
  <c r="J2444" i="184" s="1"/>
  <c r="I91" i="142"/>
  <c r="I2444" i="184" s="1"/>
  <c r="H91" i="142"/>
  <c r="H2444" i="184"/>
  <c r="G91" i="142"/>
  <c r="F91" i="142"/>
  <c r="F2444" i="184"/>
  <c r="E91" i="142"/>
  <c r="D91" i="142"/>
  <c r="D2444" i="184" s="1"/>
  <c r="L90" i="142"/>
  <c r="L2407" i="184"/>
  <c r="K90" i="142"/>
  <c r="K2407" i="184" s="1"/>
  <c r="J90" i="142"/>
  <c r="J2407" i="184" s="1"/>
  <c r="I90" i="142"/>
  <c r="I2407" i="184"/>
  <c r="H90" i="142"/>
  <c r="H2407" i="184"/>
  <c r="G90" i="142"/>
  <c r="G2407" i="184" s="1"/>
  <c r="F90" i="142"/>
  <c r="F2407" i="184" s="1"/>
  <c r="E90" i="142"/>
  <c r="E2407" i="184"/>
  <c r="D90" i="142"/>
  <c r="D2407" i="184" s="1"/>
  <c r="L89" i="142"/>
  <c r="L2370" i="184"/>
  <c r="K89" i="142"/>
  <c r="K2370" i="184" s="1"/>
  <c r="J89" i="142"/>
  <c r="J2370" i="184"/>
  <c r="I89" i="142"/>
  <c r="H89" i="142"/>
  <c r="H2370" i="184" s="1"/>
  <c r="G89" i="142"/>
  <c r="G2370" i="184"/>
  <c r="F89" i="142"/>
  <c r="F2370" i="184" s="1"/>
  <c r="E89" i="142"/>
  <c r="E2370" i="184" s="1"/>
  <c r="D89" i="142"/>
  <c r="D2370" i="184" s="1"/>
  <c r="L88" i="142"/>
  <c r="L2333" i="184"/>
  <c r="K88" i="142"/>
  <c r="K2333" i="184"/>
  <c r="J88" i="142"/>
  <c r="J2333" i="184" s="1"/>
  <c r="I88" i="142"/>
  <c r="I2333" i="184" s="1"/>
  <c r="H88" i="142"/>
  <c r="H2333" i="184"/>
  <c r="G88" i="142"/>
  <c r="G2333" i="184"/>
  <c r="F88" i="142"/>
  <c r="F2333" i="184" s="1"/>
  <c r="E88" i="142"/>
  <c r="E2333" i="184" s="1"/>
  <c r="D88" i="142"/>
  <c r="L87" i="142"/>
  <c r="L2296" i="184" s="1"/>
  <c r="K87" i="142"/>
  <c r="K2296" i="184"/>
  <c r="J87" i="142"/>
  <c r="J2296" i="184"/>
  <c r="I87" i="142"/>
  <c r="I2296" i="184"/>
  <c r="H87" i="142"/>
  <c r="G87" i="142"/>
  <c r="G2296" i="184" s="1"/>
  <c r="F87" i="142"/>
  <c r="E87" i="142"/>
  <c r="E2296" i="184"/>
  <c r="D87" i="142"/>
  <c r="D2296" i="184"/>
  <c r="L82" i="142"/>
  <c r="L2183" i="184" s="1"/>
  <c r="K82" i="142"/>
  <c r="K2183" i="184" s="1"/>
  <c r="J82" i="142"/>
  <c r="J2183" i="184"/>
  <c r="I82" i="142"/>
  <c r="I2183" i="184" s="1"/>
  <c r="H82" i="142"/>
  <c r="G82" i="142"/>
  <c r="G2183" i="184" s="1"/>
  <c r="F82" i="142"/>
  <c r="F2183" i="184" s="1"/>
  <c r="E82" i="142"/>
  <c r="E2183" i="184" s="1"/>
  <c r="D82" i="142"/>
  <c r="L81" i="142"/>
  <c r="K81" i="142"/>
  <c r="J81" i="142"/>
  <c r="I81" i="142"/>
  <c r="I2146" i="184" s="1"/>
  <c r="H81" i="142"/>
  <c r="H2146" i="184" s="1"/>
  <c r="G81" i="142"/>
  <c r="F81" i="142"/>
  <c r="E81" i="142"/>
  <c r="R80" i="142"/>
  <c r="L116" i="142"/>
  <c r="R77" i="142"/>
  <c r="L115" i="142"/>
  <c r="L77" i="142"/>
  <c r="K77" i="142"/>
  <c r="K2070" i="184"/>
  <c r="J77" i="142"/>
  <c r="J2070" i="184"/>
  <c r="I77" i="142"/>
  <c r="I2070" i="184" s="1"/>
  <c r="H77" i="142"/>
  <c r="H2070" i="184" s="1"/>
  <c r="G77" i="142"/>
  <c r="G2070" i="184" s="1"/>
  <c r="F77" i="142"/>
  <c r="E77" i="142"/>
  <c r="D77" i="142"/>
  <c r="D2070" i="184" s="1"/>
  <c r="L76" i="142"/>
  <c r="L2033" i="184" s="1"/>
  <c r="K76" i="142"/>
  <c r="K2033" i="184" s="1"/>
  <c r="J76" i="142"/>
  <c r="I76" i="142"/>
  <c r="H76" i="142"/>
  <c r="G76" i="142"/>
  <c r="G2033" i="184" s="1"/>
  <c r="F76" i="142"/>
  <c r="E76" i="142"/>
  <c r="E2033" i="184" s="1"/>
  <c r="D76" i="142"/>
  <c r="D2033" i="184" s="1"/>
  <c r="L75" i="142"/>
  <c r="L1996" i="184" s="1"/>
  <c r="K75" i="142"/>
  <c r="J75" i="142"/>
  <c r="J1996" i="184"/>
  <c r="I75" i="142"/>
  <c r="I1996" i="184" s="1"/>
  <c r="H75" i="142"/>
  <c r="H1996" i="184" s="1"/>
  <c r="G75" i="142"/>
  <c r="G1996" i="184" s="1"/>
  <c r="F75" i="142"/>
  <c r="E75" i="142"/>
  <c r="E1996" i="184"/>
  <c r="D75" i="142"/>
  <c r="L74" i="142"/>
  <c r="L1959" i="184" s="1"/>
  <c r="K74" i="142"/>
  <c r="K1959" i="184"/>
  <c r="J74" i="142"/>
  <c r="I74" i="142"/>
  <c r="I1959" i="184"/>
  <c r="H74" i="142"/>
  <c r="H1959" i="184" s="1"/>
  <c r="G74" i="142"/>
  <c r="F74" i="142"/>
  <c r="D50" i="141"/>
  <c r="E74" i="142"/>
  <c r="E1959" i="184" s="1"/>
  <c r="D74" i="142"/>
  <c r="D1959" i="184" s="1"/>
  <c r="L70" i="142"/>
  <c r="L1883" i="184" s="1"/>
  <c r="K70" i="142"/>
  <c r="K1883" i="184" s="1"/>
  <c r="J70" i="142"/>
  <c r="J1883" i="184"/>
  <c r="I70" i="142"/>
  <c r="I1883" i="184" s="1"/>
  <c r="H70" i="142"/>
  <c r="H1883" i="184" s="1"/>
  <c r="G70" i="142"/>
  <c r="G1883" i="184" s="1"/>
  <c r="F70" i="142"/>
  <c r="E70" i="142"/>
  <c r="E1883" i="184"/>
  <c r="D70" i="142"/>
  <c r="D1883" i="184"/>
  <c r="L69" i="142"/>
  <c r="K69" i="142"/>
  <c r="K1846" i="184" s="1"/>
  <c r="J69" i="142"/>
  <c r="J1846" i="184"/>
  <c r="I69" i="142"/>
  <c r="I1846" i="184" s="1"/>
  <c r="H69" i="142"/>
  <c r="H1846" i="184"/>
  <c r="G69" i="142"/>
  <c r="G1846" i="184" s="1"/>
  <c r="F69" i="142"/>
  <c r="E69" i="142"/>
  <c r="E1846" i="184"/>
  <c r="D69" i="142"/>
  <c r="D1846" i="184" s="1"/>
  <c r="AA68" i="142"/>
  <c r="P68" i="142"/>
  <c r="D319" i="191" s="1"/>
  <c r="L68" i="142"/>
  <c r="K68" i="142"/>
  <c r="K1809" i="184"/>
  <c r="J68" i="142"/>
  <c r="I68" i="142"/>
  <c r="I1809" i="184"/>
  <c r="H68" i="142"/>
  <c r="H1809" i="184" s="1"/>
  <c r="G68" i="142"/>
  <c r="G1809" i="184" s="1"/>
  <c r="F68" i="142"/>
  <c r="D66" i="141" s="1"/>
  <c r="E68" i="142"/>
  <c r="E1809" i="184" s="1"/>
  <c r="D68" i="142"/>
  <c r="D1809" i="184"/>
  <c r="AA67" i="142"/>
  <c r="W67" i="142"/>
  <c r="K282" i="191" s="1"/>
  <c r="V67" i="142"/>
  <c r="J282" i="191"/>
  <c r="P67" i="142"/>
  <c r="U67" i="142" s="1"/>
  <c r="I282" i="191" s="1"/>
  <c r="L67" i="142"/>
  <c r="L1772" i="184"/>
  <c r="K67" i="142"/>
  <c r="J67" i="142"/>
  <c r="J1772" i="184" s="1"/>
  <c r="I67" i="142"/>
  <c r="I1772" i="184" s="1"/>
  <c r="H67" i="142"/>
  <c r="G67" i="142"/>
  <c r="F67" i="142"/>
  <c r="E67" i="142"/>
  <c r="E1772" i="184" s="1"/>
  <c r="D67" i="142"/>
  <c r="AA66" i="142"/>
  <c r="W66" i="142"/>
  <c r="K245" i="191"/>
  <c r="V66" i="142"/>
  <c r="J245" i="191" s="1"/>
  <c r="P66" i="142"/>
  <c r="U66" i="142" s="1"/>
  <c r="L66" i="142"/>
  <c r="L1735" i="184" s="1"/>
  <c r="K66" i="142"/>
  <c r="K1735" i="184" s="1"/>
  <c r="J66" i="142"/>
  <c r="J1735" i="184"/>
  <c r="I66" i="142"/>
  <c r="H66" i="142"/>
  <c r="H1735" i="184"/>
  <c r="G66" i="142"/>
  <c r="G1735" i="184" s="1"/>
  <c r="F66" i="142"/>
  <c r="E66" i="142"/>
  <c r="E1735" i="184"/>
  <c r="D66" i="142"/>
  <c r="AA65" i="142"/>
  <c r="W65" i="142"/>
  <c r="K208" i="191"/>
  <c r="V65" i="142"/>
  <c r="J208" i="191" s="1"/>
  <c r="P65" i="142"/>
  <c r="U65" i="142"/>
  <c r="I208" i="191"/>
  <c r="L65" i="142"/>
  <c r="L1698" i="184"/>
  <c r="K65" i="142"/>
  <c r="K1698" i="184" s="1"/>
  <c r="J65" i="142"/>
  <c r="I65" i="142"/>
  <c r="I1698" i="184" s="1"/>
  <c r="H65" i="142"/>
  <c r="H1698" i="184" s="1"/>
  <c r="G65" i="142"/>
  <c r="G1698" i="184" s="1"/>
  <c r="F65" i="142"/>
  <c r="E65" i="142"/>
  <c r="E1698" i="184" s="1"/>
  <c r="D65" i="142"/>
  <c r="D1698" i="184" s="1"/>
  <c r="AA64" i="142"/>
  <c r="W64" i="142"/>
  <c r="K171" i="191"/>
  <c r="V64" i="142"/>
  <c r="Q64" i="142"/>
  <c r="L111" i="142" s="1"/>
  <c r="P64" i="142"/>
  <c r="L64" i="142"/>
  <c r="L1661" i="184" s="1"/>
  <c r="K64" i="142"/>
  <c r="K1661" i="184" s="1"/>
  <c r="J64" i="142"/>
  <c r="J1661" i="184"/>
  <c r="I64" i="142"/>
  <c r="I1661" i="184"/>
  <c r="H64" i="142"/>
  <c r="H1661" i="184" s="1"/>
  <c r="G64" i="142"/>
  <c r="G1661" i="184" s="1"/>
  <c r="F64" i="142"/>
  <c r="F1661" i="184"/>
  <c r="E64" i="142"/>
  <c r="D64" i="142"/>
  <c r="D1661" i="184"/>
  <c r="AA63" i="142"/>
  <c r="W63" i="142"/>
  <c r="K134" i="191" s="1"/>
  <c r="V63" i="142"/>
  <c r="P63" i="142"/>
  <c r="L63" i="142"/>
  <c r="L1624" i="184" s="1"/>
  <c r="K63" i="142"/>
  <c r="K1624" i="184" s="1"/>
  <c r="J63" i="142"/>
  <c r="J1624" i="184" s="1"/>
  <c r="I63" i="142"/>
  <c r="H63" i="142"/>
  <c r="H1624" i="184" s="1"/>
  <c r="G63" i="142"/>
  <c r="G1624" i="184"/>
  <c r="F63" i="142"/>
  <c r="E63" i="142"/>
  <c r="E1624" i="184"/>
  <c r="D63" i="142"/>
  <c r="AA62" i="142"/>
  <c r="W62" i="142"/>
  <c r="V62" i="142"/>
  <c r="J97" i="191"/>
  <c r="P62" i="142"/>
  <c r="U62" i="142"/>
  <c r="I97" i="191"/>
  <c r="L62" i="142"/>
  <c r="L1587" i="184" s="1"/>
  <c r="K62" i="142"/>
  <c r="K1587" i="184"/>
  <c r="J62" i="142"/>
  <c r="J1587" i="184" s="1"/>
  <c r="I62" i="142"/>
  <c r="I1587" i="184"/>
  <c r="H62" i="142"/>
  <c r="H1587" i="184" s="1"/>
  <c r="G62" i="142"/>
  <c r="G1587" i="184" s="1"/>
  <c r="F62" i="142"/>
  <c r="E62" i="142"/>
  <c r="E1587" i="184" s="1"/>
  <c r="D62" i="142"/>
  <c r="AA61" i="142"/>
  <c r="W61" i="142"/>
  <c r="K60" i="191" s="1"/>
  <c r="V61" i="142"/>
  <c r="J60" i="191" s="1"/>
  <c r="P61" i="142"/>
  <c r="U61" i="142"/>
  <c r="L61" i="142"/>
  <c r="L1550" i="184" s="1"/>
  <c r="K61" i="142"/>
  <c r="K1550" i="184" s="1"/>
  <c r="J61" i="142"/>
  <c r="J1550" i="184" s="1"/>
  <c r="I61" i="142"/>
  <c r="I1550" i="184" s="1"/>
  <c r="H61" i="142"/>
  <c r="G61" i="142"/>
  <c r="G1550" i="184" s="1"/>
  <c r="F61" i="142"/>
  <c r="E61" i="142"/>
  <c r="E1550" i="184" s="1"/>
  <c r="D61" i="142"/>
  <c r="AA60" i="142"/>
  <c r="W60" i="142"/>
  <c r="V60" i="142"/>
  <c r="J23" i="191" s="1"/>
  <c r="P60" i="142"/>
  <c r="U60" i="142" s="1"/>
  <c r="I23" i="191" s="1"/>
  <c r="L60" i="142"/>
  <c r="L1513" i="184" s="1"/>
  <c r="K60" i="142"/>
  <c r="K1513" i="184" s="1"/>
  <c r="J60" i="142"/>
  <c r="J1513" i="184" s="1"/>
  <c r="I60" i="142"/>
  <c r="H60" i="142"/>
  <c r="H1513" i="184" s="1"/>
  <c r="G60" i="142"/>
  <c r="F60" i="142"/>
  <c r="D36" i="141" s="1"/>
  <c r="E60" i="142"/>
  <c r="E1513" i="184" s="1"/>
  <c r="D60" i="142"/>
  <c r="D1513" i="184"/>
  <c r="L1400" i="184"/>
  <c r="K1400" i="184"/>
  <c r="I1400" i="184"/>
  <c r="H1400" i="184"/>
  <c r="G1400" i="184"/>
  <c r="E1400" i="184"/>
  <c r="L1363" i="184"/>
  <c r="K1363" i="184"/>
  <c r="J1363" i="184"/>
  <c r="I1363" i="184"/>
  <c r="H1363" i="184"/>
  <c r="E1363" i="184"/>
  <c r="D1363" i="184"/>
  <c r="L1326" i="184"/>
  <c r="I1326" i="184"/>
  <c r="H1326" i="184"/>
  <c r="G1326" i="184"/>
  <c r="D1326" i="184"/>
  <c r="L1289" i="184"/>
  <c r="K1289" i="184"/>
  <c r="J1289" i="184"/>
  <c r="I1289" i="184"/>
  <c r="H1289" i="184"/>
  <c r="G1289" i="184"/>
  <c r="E1289" i="184"/>
  <c r="D1289" i="184"/>
  <c r="L1252" i="184"/>
  <c r="K1252" i="184"/>
  <c r="I1252" i="184"/>
  <c r="H1252" i="184"/>
  <c r="G1252" i="184"/>
  <c r="E1252" i="184"/>
  <c r="D1252" i="184"/>
  <c r="L1215" i="184"/>
  <c r="K1215" i="184"/>
  <c r="J1215" i="184"/>
  <c r="E1215" i="184"/>
  <c r="D1215" i="184"/>
  <c r="K1176" i="184"/>
  <c r="J1176" i="184"/>
  <c r="I1176" i="184"/>
  <c r="G1176" i="184"/>
  <c r="E1176" i="184"/>
  <c r="L1062" i="184"/>
  <c r="J1062" i="184"/>
  <c r="I1062" i="184"/>
  <c r="F1062" i="184"/>
  <c r="E1062" i="184"/>
  <c r="D1062" i="184"/>
  <c r="K1025" i="184"/>
  <c r="I1025" i="184"/>
  <c r="H1025" i="184"/>
  <c r="G1025" i="184"/>
  <c r="E1025" i="184"/>
  <c r="L988" i="184"/>
  <c r="K988" i="184"/>
  <c r="J988" i="184"/>
  <c r="H988" i="184"/>
  <c r="G988" i="184"/>
  <c r="F988" i="184"/>
  <c r="L951" i="184"/>
  <c r="J951" i="184"/>
  <c r="H951" i="184"/>
  <c r="G951" i="184"/>
  <c r="E951" i="184"/>
  <c r="D951" i="184"/>
  <c r="K914" i="184"/>
  <c r="I914" i="184"/>
  <c r="F914" i="184"/>
  <c r="E914" i="184"/>
  <c r="D914" i="184"/>
  <c r="L877" i="184"/>
  <c r="K877" i="184"/>
  <c r="J877" i="184"/>
  <c r="I877" i="184"/>
  <c r="H877" i="184"/>
  <c r="G877" i="184"/>
  <c r="F877" i="184"/>
  <c r="L35" i="142"/>
  <c r="L840" i="184"/>
  <c r="K35" i="142"/>
  <c r="J35" i="142"/>
  <c r="I35" i="142"/>
  <c r="I840" i="184" s="1"/>
  <c r="H35" i="142"/>
  <c r="H840" i="184" s="1"/>
  <c r="G35" i="142"/>
  <c r="G840" i="184" s="1"/>
  <c r="F35" i="142"/>
  <c r="F840" i="184"/>
  <c r="E35" i="142"/>
  <c r="E840" i="184" s="1"/>
  <c r="D35" i="142"/>
  <c r="D840" i="184" s="1"/>
  <c r="R34" i="142"/>
  <c r="L109" i="142" s="1"/>
  <c r="L34" i="142"/>
  <c r="L803" i="184" s="1"/>
  <c r="K34" i="142"/>
  <c r="K803" i="184" s="1"/>
  <c r="J34" i="142"/>
  <c r="J803" i="184" s="1"/>
  <c r="I34" i="142"/>
  <c r="I803" i="184" s="1"/>
  <c r="H34" i="142"/>
  <c r="H803" i="184"/>
  <c r="G34" i="142"/>
  <c r="G803" i="184" s="1"/>
  <c r="F34" i="142"/>
  <c r="F803" i="184" s="1"/>
  <c r="E34" i="142"/>
  <c r="D34" i="142"/>
  <c r="L33" i="142"/>
  <c r="K33" i="142"/>
  <c r="K766" i="184"/>
  <c r="J33" i="142"/>
  <c r="J766" i="184" s="1"/>
  <c r="I33" i="142"/>
  <c r="I766" i="184" s="1"/>
  <c r="H33" i="142"/>
  <c r="H766" i="184" s="1"/>
  <c r="G33" i="142"/>
  <c r="G766" i="184" s="1"/>
  <c r="F33" i="142"/>
  <c r="F766" i="184"/>
  <c r="E33" i="142"/>
  <c r="E766" i="184" s="1"/>
  <c r="D33" i="142"/>
  <c r="D766" i="184" s="1"/>
  <c r="Q32" i="142"/>
  <c r="L108" i="142"/>
  <c r="L32" i="142"/>
  <c r="L729" i="184"/>
  <c r="K32" i="142"/>
  <c r="J32" i="142"/>
  <c r="I32" i="142"/>
  <c r="H32" i="142"/>
  <c r="H729" i="184" s="1"/>
  <c r="G32" i="142"/>
  <c r="G729" i="184" s="1"/>
  <c r="F32" i="142"/>
  <c r="E32" i="142"/>
  <c r="E729" i="184"/>
  <c r="D32" i="142"/>
  <c r="L617" i="184"/>
  <c r="K617" i="184"/>
  <c r="H617" i="184"/>
  <c r="G617" i="184"/>
  <c r="F617" i="184"/>
  <c r="E617" i="184"/>
  <c r="J580" i="184"/>
  <c r="I580" i="184"/>
  <c r="H580" i="184"/>
  <c r="F580" i="184"/>
  <c r="E580" i="184"/>
  <c r="D580" i="184"/>
  <c r="L543" i="184"/>
  <c r="K543" i="184"/>
  <c r="G543" i="184"/>
  <c r="F543" i="184"/>
  <c r="L506" i="184"/>
  <c r="K506" i="184"/>
  <c r="J506" i="184"/>
  <c r="I506" i="184"/>
  <c r="H506" i="184"/>
  <c r="G506" i="184"/>
  <c r="E506" i="184"/>
  <c r="L469" i="184"/>
  <c r="I469" i="184"/>
  <c r="D469" i="184"/>
  <c r="K432" i="184"/>
  <c r="J432" i="184"/>
  <c r="I432" i="184"/>
  <c r="H432" i="184"/>
  <c r="G432" i="184"/>
  <c r="D432" i="184"/>
  <c r="L22" i="142"/>
  <c r="L395" i="184" s="1"/>
  <c r="K22" i="142"/>
  <c r="K395" i="184" s="1"/>
  <c r="J22" i="142"/>
  <c r="J395" i="184" s="1"/>
  <c r="I22" i="142"/>
  <c r="I395" i="184"/>
  <c r="H22" i="142"/>
  <c r="H395" i="184" s="1"/>
  <c r="G22" i="142"/>
  <c r="G395" i="184" s="1"/>
  <c r="F22" i="142"/>
  <c r="E22" i="142"/>
  <c r="E395" i="184"/>
  <c r="D22" i="142"/>
  <c r="L21" i="142"/>
  <c r="L358" i="184"/>
  <c r="K21" i="142"/>
  <c r="K358" i="184" s="1"/>
  <c r="J21" i="142"/>
  <c r="J358" i="184" s="1"/>
  <c r="I21" i="142"/>
  <c r="H21" i="142"/>
  <c r="H358" i="184" s="1"/>
  <c r="G21" i="142"/>
  <c r="F21" i="142"/>
  <c r="F358" i="184" s="1"/>
  <c r="E21" i="142"/>
  <c r="E358" i="184" s="1"/>
  <c r="D21" i="142"/>
  <c r="D358" i="184" s="1"/>
  <c r="L20" i="142"/>
  <c r="L321" i="184" s="1"/>
  <c r="K20" i="142"/>
  <c r="K321" i="184" s="1"/>
  <c r="J20" i="142"/>
  <c r="J321" i="184" s="1"/>
  <c r="I20" i="142"/>
  <c r="H20" i="142"/>
  <c r="G20" i="142"/>
  <c r="G321" i="184" s="1"/>
  <c r="F20" i="142"/>
  <c r="F321" i="184" s="1"/>
  <c r="E20" i="142"/>
  <c r="E321" i="184" s="1"/>
  <c r="D20" i="142"/>
  <c r="L19" i="142"/>
  <c r="L284" i="184" s="1"/>
  <c r="K19" i="142"/>
  <c r="J19" i="142"/>
  <c r="I19" i="142"/>
  <c r="I284" i="184" s="1"/>
  <c r="H19" i="142"/>
  <c r="G19" i="142"/>
  <c r="G284" i="184"/>
  <c r="F19" i="142"/>
  <c r="F284" i="184" s="1"/>
  <c r="E19" i="142"/>
  <c r="D19" i="142"/>
  <c r="D284" i="184" s="1"/>
  <c r="L171" i="184"/>
  <c r="K171" i="184"/>
  <c r="I171" i="184"/>
  <c r="H171" i="184"/>
  <c r="G171" i="184"/>
  <c r="E171" i="184"/>
  <c r="D171" i="184"/>
  <c r="L134" i="184"/>
  <c r="I134" i="184"/>
  <c r="G134" i="184"/>
  <c r="E134" i="184"/>
  <c r="D134" i="184"/>
  <c r="L97" i="184"/>
  <c r="K97" i="184"/>
  <c r="J97" i="184"/>
  <c r="I97" i="184"/>
  <c r="H97" i="184"/>
  <c r="G97" i="184"/>
  <c r="E97" i="184"/>
  <c r="D97" i="184"/>
  <c r="L60" i="184"/>
  <c r="K60" i="184"/>
  <c r="J60" i="184"/>
  <c r="H60" i="184"/>
  <c r="G60" i="184"/>
  <c r="E60" i="184"/>
  <c r="D60" i="184"/>
  <c r="K23" i="184"/>
  <c r="I23" i="184"/>
  <c r="H23" i="184"/>
  <c r="D10" i="141"/>
  <c r="E23" i="184"/>
  <c r="M100" i="137"/>
  <c r="Q92" i="137"/>
  <c r="AE18" i="213" s="1"/>
  <c r="O92" i="137"/>
  <c r="W19" i="230" s="1"/>
  <c r="L92" i="137"/>
  <c r="L2495" i="184" s="1"/>
  <c r="K92" i="137"/>
  <c r="K2495" i="184" s="1"/>
  <c r="J92" i="137"/>
  <c r="J2495" i="184" s="1"/>
  <c r="I92" i="137"/>
  <c r="I2495" i="184" s="1"/>
  <c r="H92" i="137"/>
  <c r="G92" i="137"/>
  <c r="F92" i="137"/>
  <c r="F2495" i="184" s="1"/>
  <c r="E92" i="137"/>
  <c r="E2495" i="184" s="1"/>
  <c r="D92" i="137"/>
  <c r="D2495" i="184" s="1"/>
  <c r="L91" i="137"/>
  <c r="L2458" i="184" s="1"/>
  <c r="K91" i="137"/>
  <c r="K2458" i="184" s="1"/>
  <c r="J91" i="137"/>
  <c r="J2458" i="184"/>
  <c r="I91" i="137"/>
  <c r="I2458" i="184" s="1"/>
  <c r="H91" i="137"/>
  <c r="H2458" i="184" s="1"/>
  <c r="G91" i="137"/>
  <c r="G2458" i="184" s="1"/>
  <c r="F91" i="137"/>
  <c r="F2458" i="184"/>
  <c r="E91" i="137"/>
  <c r="E2458" i="184"/>
  <c r="D91" i="137"/>
  <c r="L90" i="137"/>
  <c r="L2421" i="184" s="1"/>
  <c r="K90" i="137"/>
  <c r="K2421" i="184"/>
  <c r="J90" i="137"/>
  <c r="J2421" i="184" s="1"/>
  <c r="I90" i="137"/>
  <c r="I2421" i="184"/>
  <c r="H90" i="137"/>
  <c r="H2421" i="184" s="1"/>
  <c r="G90" i="137"/>
  <c r="G2421" i="184" s="1"/>
  <c r="F90" i="137"/>
  <c r="F2421" i="184" s="1"/>
  <c r="E90" i="137"/>
  <c r="D90" i="137"/>
  <c r="D2421" i="184" s="1"/>
  <c r="L89" i="137"/>
  <c r="L2384" i="184" s="1"/>
  <c r="K89" i="137"/>
  <c r="K2384" i="184" s="1"/>
  <c r="J89" i="137"/>
  <c r="J2384" i="184" s="1"/>
  <c r="I89" i="137"/>
  <c r="I2384" i="184" s="1"/>
  <c r="H89" i="137"/>
  <c r="H2384" i="184" s="1"/>
  <c r="G89" i="137"/>
  <c r="G2384" i="184"/>
  <c r="F89" i="137"/>
  <c r="E89" i="137"/>
  <c r="E2384" i="184" s="1"/>
  <c r="D89" i="137"/>
  <c r="D2384" i="184"/>
  <c r="L88" i="137"/>
  <c r="L2347" i="184" s="1"/>
  <c r="K88" i="137"/>
  <c r="K2347" i="184" s="1"/>
  <c r="J88" i="137"/>
  <c r="J2347" i="184" s="1"/>
  <c r="I88" i="137"/>
  <c r="I2347" i="184" s="1"/>
  <c r="H88" i="137"/>
  <c r="H2347" i="184"/>
  <c r="G88" i="137"/>
  <c r="G2347" i="184" s="1"/>
  <c r="F88" i="137"/>
  <c r="F2347" i="184" s="1"/>
  <c r="E88" i="137"/>
  <c r="D88" i="137"/>
  <c r="D2347" i="184" s="1"/>
  <c r="L87" i="137"/>
  <c r="L2310" i="184"/>
  <c r="K87" i="137"/>
  <c r="K2310" i="184" s="1"/>
  <c r="J87" i="137"/>
  <c r="J2310" i="184" s="1"/>
  <c r="I87" i="137"/>
  <c r="I2310" i="184" s="1"/>
  <c r="H87" i="137"/>
  <c r="H2310" i="184" s="1"/>
  <c r="G87" i="137"/>
  <c r="G2310" i="184"/>
  <c r="F87" i="137"/>
  <c r="F2310" i="184" s="1"/>
  <c r="E87" i="137"/>
  <c r="E2310" i="184" s="1"/>
  <c r="D87" i="137"/>
  <c r="D2310" i="184" s="1"/>
  <c r="L82" i="137"/>
  <c r="L2197" i="184" s="1"/>
  <c r="K82" i="137"/>
  <c r="K2197" i="184" s="1"/>
  <c r="J82" i="137"/>
  <c r="J2197" i="184" s="1"/>
  <c r="I82" i="137"/>
  <c r="H82" i="137"/>
  <c r="H2197" i="184" s="1"/>
  <c r="G82" i="137"/>
  <c r="F82" i="137"/>
  <c r="E82" i="137"/>
  <c r="E2197" i="184" s="1"/>
  <c r="D82" i="137"/>
  <c r="D2197" i="184"/>
  <c r="L81" i="137"/>
  <c r="L2160" i="184" s="1"/>
  <c r="K81" i="137"/>
  <c r="J81" i="137"/>
  <c r="J2160" i="184" s="1"/>
  <c r="I81" i="137"/>
  <c r="I2160" i="184" s="1"/>
  <c r="H81" i="137"/>
  <c r="G81" i="137"/>
  <c r="G2160" i="184" s="1"/>
  <c r="F81" i="137"/>
  <c r="E81" i="137"/>
  <c r="E2160" i="184" s="1"/>
  <c r="R80" i="137"/>
  <c r="B27" i="138" s="1"/>
  <c r="R77" i="137"/>
  <c r="B23" i="138"/>
  <c r="L77" i="137"/>
  <c r="L2084" i="184" s="1"/>
  <c r="K77" i="137"/>
  <c r="K2084" i="184" s="1"/>
  <c r="J77" i="137"/>
  <c r="I77" i="137"/>
  <c r="I2084" i="184"/>
  <c r="H77" i="137"/>
  <c r="H2084" i="184" s="1"/>
  <c r="G77" i="137"/>
  <c r="G2084" i="184" s="1"/>
  <c r="F77" i="137"/>
  <c r="F2084" i="184" s="1"/>
  <c r="E77" i="137"/>
  <c r="E2084" i="184"/>
  <c r="D77" i="137"/>
  <c r="D2084" i="184" s="1"/>
  <c r="L76" i="137"/>
  <c r="L2047" i="184"/>
  <c r="K76" i="137"/>
  <c r="J76" i="137"/>
  <c r="J2047" i="184" s="1"/>
  <c r="I76" i="137"/>
  <c r="I2047" i="184" s="1"/>
  <c r="H76" i="137"/>
  <c r="H2047" i="184"/>
  <c r="G76" i="137"/>
  <c r="G2047" i="184" s="1"/>
  <c r="F76" i="137"/>
  <c r="E76" i="137"/>
  <c r="E2047" i="184" s="1"/>
  <c r="D76" i="137"/>
  <c r="D2047" i="184" s="1"/>
  <c r="L75" i="137"/>
  <c r="K75" i="137"/>
  <c r="K2010" i="184" s="1"/>
  <c r="J75" i="137"/>
  <c r="J2010" i="184" s="1"/>
  <c r="I75" i="137"/>
  <c r="I2010" i="184"/>
  <c r="H75" i="137"/>
  <c r="H2010" i="184" s="1"/>
  <c r="G75" i="137"/>
  <c r="G2010" i="184" s="1"/>
  <c r="F75" i="137"/>
  <c r="F2010" i="184" s="1"/>
  <c r="E75" i="137"/>
  <c r="E2010" i="184"/>
  <c r="D75" i="137"/>
  <c r="D2010" i="184"/>
  <c r="L74" i="137"/>
  <c r="L1973" i="184" s="1"/>
  <c r="K74" i="137"/>
  <c r="K1973" i="184" s="1"/>
  <c r="J74" i="137"/>
  <c r="J1973" i="184" s="1"/>
  <c r="I74" i="137"/>
  <c r="I1973" i="184"/>
  <c r="H74" i="137"/>
  <c r="G74" i="137"/>
  <c r="F74" i="137"/>
  <c r="D50" i="136" s="1"/>
  <c r="E74" i="137"/>
  <c r="D74" i="137"/>
  <c r="D1973" i="184" s="1"/>
  <c r="L70" i="137"/>
  <c r="L1897" i="184"/>
  <c r="K70" i="137"/>
  <c r="K1897" i="184" s="1"/>
  <c r="J70" i="137"/>
  <c r="J1897" i="184" s="1"/>
  <c r="I70" i="137"/>
  <c r="I1897" i="184" s="1"/>
  <c r="H70" i="137"/>
  <c r="G70" i="137"/>
  <c r="G1897" i="184" s="1"/>
  <c r="F70" i="137"/>
  <c r="D46" i="136" s="1"/>
  <c r="E70" i="137"/>
  <c r="E1897" i="184" s="1"/>
  <c r="D70" i="137"/>
  <c r="D1897" i="184" s="1"/>
  <c r="L69" i="137"/>
  <c r="L1860" i="184" s="1"/>
  <c r="K69" i="137"/>
  <c r="K1860" i="184" s="1"/>
  <c r="J69" i="137"/>
  <c r="J1860" i="184"/>
  <c r="I69" i="137"/>
  <c r="I1860" i="184" s="1"/>
  <c r="H69" i="137"/>
  <c r="H1860" i="184" s="1"/>
  <c r="G69" i="137"/>
  <c r="F69" i="137"/>
  <c r="F1860" i="184" s="1"/>
  <c r="E69" i="137"/>
  <c r="E1860" i="184" s="1"/>
  <c r="D69" i="137"/>
  <c r="D1860" i="184"/>
  <c r="AA68" i="137"/>
  <c r="P68" i="137"/>
  <c r="D333" i="191" s="1"/>
  <c r="L68" i="137"/>
  <c r="L1823" i="184" s="1"/>
  <c r="K68" i="137"/>
  <c r="K1823" i="184" s="1"/>
  <c r="J68" i="137"/>
  <c r="I68" i="137"/>
  <c r="I1823" i="184"/>
  <c r="H68" i="137"/>
  <c r="H1823" i="184"/>
  <c r="G68" i="137"/>
  <c r="G1823" i="184" s="1"/>
  <c r="F68" i="137"/>
  <c r="F1823" i="184" s="1"/>
  <c r="E68" i="137"/>
  <c r="E1823" i="184"/>
  <c r="D68" i="137"/>
  <c r="D1823" i="184" s="1"/>
  <c r="AA67" i="137"/>
  <c r="W67" i="137"/>
  <c r="V67" i="137"/>
  <c r="J296" i="191" s="1"/>
  <c r="P67" i="137"/>
  <c r="U67" i="137"/>
  <c r="L67" i="137"/>
  <c r="L1786" i="184" s="1"/>
  <c r="K67" i="137"/>
  <c r="K1786" i="184" s="1"/>
  <c r="J67" i="137"/>
  <c r="J1786" i="184" s="1"/>
  <c r="I67" i="137"/>
  <c r="I1786" i="184" s="1"/>
  <c r="H67" i="137"/>
  <c r="G67" i="137"/>
  <c r="G1786" i="184" s="1"/>
  <c r="F67" i="137"/>
  <c r="E67" i="137"/>
  <c r="E1786" i="184" s="1"/>
  <c r="D67" i="137"/>
  <c r="D1786" i="184" s="1"/>
  <c r="AA66" i="137"/>
  <c r="W66" i="137"/>
  <c r="K259" i="191" s="1"/>
  <c r="V66" i="137"/>
  <c r="J259" i="191" s="1"/>
  <c r="P66" i="137"/>
  <c r="D259" i="191" s="1"/>
  <c r="L66" i="137"/>
  <c r="L1749" i="184" s="1"/>
  <c r="K66" i="137"/>
  <c r="J66" i="137"/>
  <c r="J1749" i="184" s="1"/>
  <c r="I66" i="137"/>
  <c r="I1749" i="184" s="1"/>
  <c r="H66" i="137"/>
  <c r="H1749" i="184" s="1"/>
  <c r="G66" i="137"/>
  <c r="F66" i="137"/>
  <c r="E66" i="137"/>
  <c r="E1749" i="184" s="1"/>
  <c r="D66" i="137"/>
  <c r="D1749" i="184"/>
  <c r="AA65" i="137"/>
  <c r="W65" i="137"/>
  <c r="K222" i="191" s="1"/>
  <c r="V65" i="137"/>
  <c r="J222" i="191" s="1"/>
  <c r="P65" i="137"/>
  <c r="D222" i="191" s="1"/>
  <c r="L65" i="137"/>
  <c r="L1712" i="184" s="1"/>
  <c r="K65" i="137"/>
  <c r="K1712" i="184" s="1"/>
  <c r="J65" i="137"/>
  <c r="I65" i="137"/>
  <c r="I1712" i="184" s="1"/>
  <c r="H65" i="137"/>
  <c r="H1712" i="184" s="1"/>
  <c r="G65" i="137"/>
  <c r="G1712" i="184" s="1"/>
  <c r="F65" i="137"/>
  <c r="E65" i="137"/>
  <c r="D65" i="137"/>
  <c r="D1712" i="184" s="1"/>
  <c r="AA64" i="137"/>
  <c r="W64" i="137"/>
  <c r="V64" i="137"/>
  <c r="Q64" i="137"/>
  <c r="Q69" i="137" s="1"/>
  <c r="E370" i="191" s="1"/>
  <c r="P64" i="137"/>
  <c r="U64" i="137" s="1"/>
  <c r="L64" i="137"/>
  <c r="K64" i="137"/>
  <c r="K1675" i="184" s="1"/>
  <c r="J64" i="137"/>
  <c r="J1675" i="184" s="1"/>
  <c r="I64" i="137"/>
  <c r="H64" i="137"/>
  <c r="H1675" i="184" s="1"/>
  <c r="G64" i="137"/>
  <c r="G1675" i="184" s="1"/>
  <c r="F64" i="137"/>
  <c r="F1675" i="184"/>
  <c r="E64" i="137"/>
  <c r="E1675" i="184" s="1"/>
  <c r="D64" i="137"/>
  <c r="AA63" i="137"/>
  <c r="W63" i="137"/>
  <c r="K148" i="191" s="1"/>
  <c r="V63" i="137"/>
  <c r="P63" i="137"/>
  <c r="U63" i="137" s="1"/>
  <c r="L63" i="137"/>
  <c r="L1638" i="184"/>
  <c r="K63" i="137"/>
  <c r="K1638" i="184"/>
  <c r="J63" i="137"/>
  <c r="J1638" i="184" s="1"/>
  <c r="I63" i="137"/>
  <c r="I1638" i="184" s="1"/>
  <c r="H63" i="137"/>
  <c r="H1638" i="184" s="1"/>
  <c r="G63" i="137"/>
  <c r="G1638" i="184"/>
  <c r="F63" i="137"/>
  <c r="E63" i="137"/>
  <c r="E1638" i="184" s="1"/>
  <c r="D63" i="137"/>
  <c r="D1638" i="184" s="1"/>
  <c r="AA62" i="137"/>
  <c r="W62" i="137"/>
  <c r="K111" i="191" s="1"/>
  <c r="V62" i="137"/>
  <c r="J111" i="191" s="1"/>
  <c r="P62" i="137"/>
  <c r="U62" i="137" s="1"/>
  <c r="I111" i="191" s="1"/>
  <c r="L62" i="137"/>
  <c r="L1601" i="184" s="1"/>
  <c r="K62" i="137"/>
  <c r="K1601" i="184" s="1"/>
  <c r="J62" i="137"/>
  <c r="J1601" i="184" s="1"/>
  <c r="I62" i="137"/>
  <c r="I1601" i="184" s="1"/>
  <c r="H62" i="137"/>
  <c r="H1601" i="184" s="1"/>
  <c r="G62" i="137"/>
  <c r="G1601" i="184"/>
  <c r="F62" i="137"/>
  <c r="E62" i="137"/>
  <c r="D62" i="137"/>
  <c r="AA61" i="137"/>
  <c r="W61" i="137"/>
  <c r="K74" i="191" s="1"/>
  <c r="V61" i="137"/>
  <c r="P61" i="137"/>
  <c r="D74" i="191" s="1"/>
  <c r="L61" i="137"/>
  <c r="L1564" i="184" s="1"/>
  <c r="K61" i="137"/>
  <c r="K1564" i="184" s="1"/>
  <c r="J61" i="137"/>
  <c r="J1564" i="184" s="1"/>
  <c r="I61" i="137"/>
  <c r="I1564" i="184" s="1"/>
  <c r="H61" i="137"/>
  <c r="H1564" i="184" s="1"/>
  <c r="G61" i="137"/>
  <c r="G1564" i="184"/>
  <c r="F61" i="137"/>
  <c r="E61" i="137"/>
  <c r="E1564" i="184" s="1"/>
  <c r="D61" i="137"/>
  <c r="D1564" i="184"/>
  <c r="AA60" i="137"/>
  <c r="W60" i="137"/>
  <c r="V60" i="137"/>
  <c r="J37" i="191" s="1"/>
  <c r="P60" i="137"/>
  <c r="L60" i="137"/>
  <c r="L1527" i="184" s="1"/>
  <c r="K60" i="137"/>
  <c r="K1527" i="184" s="1"/>
  <c r="J60" i="137"/>
  <c r="J1527" i="184"/>
  <c r="I60" i="137"/>
  <c r="I1527" i="184" s="1"/>
  <c r="H60" i="137"/>
  <c r="G60" i="137"/>
  <c r="G1527" i="184" s="1"/>
  <c r="F60" i="137"/>
  <c r="E60" i="137"/>
  <c r="E1527" i="184"/>
  <c r="D60" i="137"/>
  <c r="D1527" i="184" s="1"/>
  <c r="L1414" i="184"/>
  <c r="K1414" i="184"/>
  <c r="J1414" i="184"/>
  <c r="I1414" i="184"/>
  <c r="G1414" i="184"/>
  <c r="E1414" i="184"/>
  <c r="D1414" i="184"/>
  <c r="K1377" i="184"/>
  <c r="I1377" i="184"/>
  <c r="H1377" i="184"/>
  <c r="G1377" i="184"/>
  <c r="E1377" i="184"/>
  <c r="D1377" i="184"/>
  <c r="L1340" i="184"/>
  <c r="K1340" i="184"/>
  <c r="J1340" i="184"/>
  <c r="I1340" i="184"/>
  <c r="G1340" i="184"/>
  <c r="D29" i="136"/>
  <c r="D1340" i="184"/>
  <c r="K1303" i="184"/>
  <c r="J1303" i="184"/>
  <c r="I1303" i="184"/>
  <c r="H1303" i="184"/>
  <c r="G1303" i="184"/>
  <c r="D28" i="136"/>
  <c r="E1303" i="184"/>
  <c r="L1266" i="184"/>
  <c r="K1266" i="184"/>
  <c r="J1266" i="184"/>
  <c r="G1266" i="184"/>
  <c r="D1266" i="184"/>
  <c r="K1229" i="184"/>
  <c r="J1229" i="184"/>
  <c r="I1229" i="184"/>
  <c r="H1229" i="184"/>
  <c r="E1229" i="184"/>
  <c r="L1190" i="184"/>
  <c r="K1190" i="184"/>
  <c r="I1190" i="184"/>
  <c r="G1190" i="184"/>
  <c r="E1190" i="184"/>
  <c r="D1190" i="184"/>
  <c r="L1076" i="184"/>
  <c r="K1076" i="184"/>
  <c r="J1076" i="184"/>
  <c r="G1076" i="184"/>
  <c r="F1076" i="184"/>
  <c r="D1076" i="184"/>
  <c r="L1039" i="184"/>
  <c r="J1039" i="184"/>
  <c r="I1039" i="184"/>
  <c r="H1039" i="184"/>
  <c r="F1039" i="184"/>
  <c r="E1039" i="184"/>
  <c r="L1002" i="184"/>
  <c r="K1002" i="184"/>
  <c r="J1002" i="184"/>
  <c r="G1002" i="184"/>
  <c r="F1002" i="184"/>
  <c r="E1002" i="184"/>
  <c r="D1002" i="184"/>
  <c r="J965" i="184"/>
  <c r="I965" i="184"/>
  <c r="H965" i="184"/>
  <c r="G965" i="184"/>
  <c r="F965" i="184"/>
  <c r="E965" i="184"/>
  <c r="L928" i="184"/>
  <c r="K928" i="184"/>
  <c r="I928" i="184"/>
  <c r="H928" i="184"/>
  <c r="G928" i="184"/>
  <c r="F928" i="184"/>
  <c r="D928" i="184"/>
  <c r="L891" i="184"/>
  <c r="K891" i="184"/>
  <c r="I891" i="184"/>
  <c r="H891" i="184"/>
  <c r="E891" i="184"/>
  <c r="D891" i="184"/>
  <c r="L35" i="137"/>
  <c r="K35" i="137"/>
  <c r="K854" i="184" s="1"/>
  <c r="J35" i="137"/>
  <c r="J854" i="184" s="1"/>
  <c r="I35" i="137"/>
  <c r="I854" i="184"/>
  <c r="H35" i="137"/>
  <c r="H854" i="184" s="1"/>
  <c r="G35" i="137"/>
  <c r="G854" i="184" s="1"/>
  <c r="F35" i="137"/>
  <c r="F854" i="184" s="1"/>
  <c r="E35" i="137"/>
  <c r="D35" i="137"/>
  <c r="D854" i="184"/>
  <c r="R34" i="137"/>
  <c r="L109" i="137" s="1"/>
  <c r="L34" i="137"/>
  <c r="L817" i="184" s="1"/>
  <c r="K34" i="137"/>
  <c r="K817" i="184" s="1"/>
  <c r="J34" i="137"/>
  <c r="I34" i="137"/>
  <c r="H34" i="137"/>
  <c r="H817" i="184"/>
  <c r="G34" i="137"/>
  <c r="G817" i="184" s="1"/>
  <c r="F34" i="137"/>
  <c r="F817" i="184" s="1"/>
  <c r="E34" i="137"/>
  <c r="E817" i="184" s="1"/>
  <c r="D34" i="137"/>
  <c r="D817" i="184" s="1"/>
  <c r="L33" i="137"/>
  <c r="K33" i="137"/>
  <c r="K780" i="184"/>
  <c r="J33" i="137"/>
  <c r="J780" i="184"/>
  <c r="I33" i="137"/>
  <c r="I780" i="184" s="1"/>
  <c r="H33" i="137"/>
  <c r="G33" i="137"/>
  <c r="G780" i="184" s="1"/>
  <c r="F33" i="137"/>
  <c r="F780" i="184" s="1"/>
  <c r="E33" i="137"/>
  <c r="E780" i="184"/>
  <c r="D33" i="137"/>
  <c r="Q32" i="137"/>
  <c r="L108" i="137" s="1"/>
  <c r="L32" i="137"/>
  <c r="L743" i="184" s="1"/>
  <c r="K32" i="137"/>
  <c r="K743" i="184" s="1"/>
  <c r="J32" i="137"/>
  <c r="J743" i="184" s="1"/>
  <c r="I32" i="137"/>
  <c r="I743" i="184" s="1"/>
  <c r="H32" i="137"/>
  <c r="H743" i="184"/>
  <c r="G32" i="137"/>
  <c r="G743" i="184" s="1"/>
  <c r="F32" i="137"/>
  <c r="F743" i="184" s="1"/>
  <c r="E32" i="137"/>
  <c r="E743" i="184" s="1"/>
  <c r="D32" i="137"/>
  <c r="D743" i="184"/>
  <c r="K631" i="184"/>
  <c r="J631" i="184"/>
  <c r="I631" i="184"/>
  <c r="G631" i="184"/>
  <c r="F631" i="184"/>
  <c r="E631" i="184"/>
  <c r="K594" i="184"/>
  <c r="J594" i="184"/>
  <c r="H594" i="184"/>
  <c r="G594" i="184"/>
  <c r="E594" i="184"/>
  <c r="D594" i="184"/>
  <c r="L557" i="184"/>
  <c r="K557" i="184"/>
  <c r="J557" i="184"/>
  <c r="I557" i="184"/>
  <c r="G557" i="184"/>
  <c r="E557" i="184"/>
  <c r="D557" i="184"/>
  <c r="L520" i="184"/>
  <c r="K520" i="184"/>
  <c r="I520" i="184"/>
  <c r="H520" i="184"/>
  <c r="F520" i="184"/>
  <c r="E520" i="184"/>
  <c r="L483" i="184"/>
  <c r="K483" i="184"/>
  <c r="J483" i="184"/>
  <c r="I483" i="184"/>
  <c r="H483" i="184"/>
  <c r="G483" i="184"/>
  <c r="L446" i="184"/>
  <c r="I446" i="184"/>
  <c r="H446" i="184"/>
  <c r="G446" i="184"/>
  <c r="F446" i="184"/>
  <c r="L22" i="137"/>
  <c r="L409" i="184" s="1"/>
  <c r="K22" i="137"/>
  <c r="K409" i="184"/>
  <c r="J22" i="137"/>
  <c r="J409" i="184" s="1"/>
  <c r="I22" i="137"/>
  <c r="I409" i="184" s="1"/>
  <c r="H22" i="137"/>
  <c r="H409" i="184" s="1"/>
  <c r="G22" i="137"/>
  <c r="G409" i="184" s="1"/>
  <c r="F22" i="137"/>
  <c r="F409" i="184" s="1"/>
  <c r="E22" i="137"/>
  <c r="E409" i="184" s="1"/>
  <c r="D22" i="137"/>
  <c r="L21" i="137"/>
  <c r="L372" i="184" s="1"/>
  <c r="K21" i="137"/>
  <c r="K372" i="184" s="1"/>
  <c r="J21" i="137"/>
  <c r="J372" i="184" s="1"/>
  <c r="I21" i="137"/>
  <c r="I372" i="184"/>
  <c r="H21" i="137"/>
  <c r="H372" i="184" s="1"/>
  <c r="G21" i="137"/>
  <c r="G372" i="184" s="1"/>
  <c r="F21" i="137"/>
  <c r="F372" i="184" s="1"/>
  <c r="E21" i="137"/>
  <c r="E372" i="184" s="1"/>
  <c r="D21" i="137"/>
  <c r="D372" i="184" s="1"/>
  <c r="L20" i="137"/>
  <c r="L335" i="184" s="1"/>
  <c r="K20" i="137"/>
  <c r="K335" i="184" s="1"/>
  <c r="J20" i="137"/>
  <c r="J335" i="184" s="1"/>
  <c r="I20" i="137"/>
  <c r="H20" i="137"/>
  <c r="H335" i="184" s="1"/>
  <c r="G20" i="137"/>
  <c r="G335" i="184"/>
  <c r="F20" i="137"/>
  <c r="F335" i="184" s="1"/>
  <c r="E20" i="137"/>
  <c r="E335" i="184" s="1"/>
  <c r="D20" i="137"/>
  <c r="L19" i="137"/>
  <c r="L298" i="184" s="1"/>
  <c r="K19" i="137"/>
  <c r="K298" i="184" s="1"/>
  <c r="J19" i="137"/>
  <c r="J298" i="184"/>
  <c r="I19" i="137"/>
  <c r="I298" i="184" s="1"/>
  <c r="H19" i="137"/>
  <c r="G19" i="137"/>
  <c r="F19" i="137"/>
  <c r="F298" i="184" s="1"/>
  <c r="E19" i="137"/>
  <c r="E298" i="184"/>
  <c r="D19" i="137"/>
  <c r="D298" i="184" s="1"/>
  <c r="K185" i="184"/>
  <c r="J185" i="184"/>
  <c r="E185" i="184"/>
  <c r="L148" i="184"/>
  <c r="K148" i="184"/>
  <c r="J148" i="184"/>
  <c r="I148" i="184"/>
  <c r="G148" i="184"/>
  <c r="E148" i="184"/>
  <c r="L111" i="184"/>
  <c r="K111" i="184"/>
  <c r="J111" i="184"/>
  <c r="I111" i="184"/>
  <c r="H111" i="184"/>
  <c r="G111" i="184"/>
  <c r="E111" i="184"/>
  <c r="D111" i="184"/>
  <c r="L74" i="184"/>
  <c r="K74" i="184"/>
  <c r="J74" i="184"/>
  <c r="I74" i="184"/>
  <c r="H74" i="184"/>
  <c r="G74" i="184"/>
  <c r="L37" i="184"/>
  <c r="H37" i="184"/>
  <c r="G37" i="184"/>
  <c r="E37" i="184"/>
  <c r="M100" i="132"/>
  <c r="Q92" i="132"/>
  <c r="O92" i="132"/>
  <c r="L92" i="132"/>
  <c r="L2480" i="184" s="1"/>
  <c r="K92" i="132"/>
  <c r="K2480" i="184" s="1"/>
  <c r="J92" i="132"/>
  <c r="J2480" i="184"/>
  <c r="I92" i="132"/>
  <c r="I2480" i="184" s="1"/>
  <c r="H92" i="132"/>
  <c r="G92" i="132"/>
  <c r="F92" i="132"/>
  <c r="F2480" i="184" s="1"/>
  <c r="E92" i="132"/>
  <c r="E2480" i="184" s="1"/>
  <c r="D92" i="132"/>
  <c r="D2480" i="184" s="1"/>
  <c r="L91" i="132"/>
  <c r="L2443" i="184" s="1"/>
  <c r="K91" i="132"/>
  <c r="K2443" i="184" s="1"/>
  <c r="J91" i="132"/>
  <c r="I91" i="132"/>
  <c r="I2443" i="184" s="1"/>
  <c r="H91" i="132"/>
  <c r="H2443" i="184" s="1"/>
  <c r="G91" i="132"/>
  <c r="G2443" i="184"/>
  <c r="F91" i="132"/>
  <c r="F2443" i="184" s="1"/>
  <c r="E91" i="132"/>
  <c r="E2443" i="184" s="1"/>
  <c r="D91" i="132"/>
  <c r="D2443" i="184" s="1"/>
  <c r="L90" i="132"/>
  <c r="L2406" i="184"/>
  <c r="K90" i="132"/>
  <c r="K2406" i="184"/>
  <c r="J90" i="132"/>
  <c r="J2406" i="184" s="1"/>
  <c r="I90" i="132"/>
  <c r="I2406" i="184" s="1"/>
  <c r="H90" i="132"/>
  <c r="G90" i="132"/>
  <c r="F90" i="132"/>
  <c r="F2406" i="184"/>
  <c r="E90" i="132"/>
  <c r="E2406" i="184" s="1"/>
  <c r="D90" i="132"/>
  <c r="L89" i="132"/>
  <c r="L2369" i="184" s="1"/>
  <c r="K89" i="132"/>
  <c r="K2369" i="184" s="1"/>
  <c r="J89" i="132"/>
  <c r="J2369" i="184" s="1"/>
  <c r="I89" i="132"/>
  <c r="I2369" i="184"/>
  <c r="H89" i="132"/>
  <c r="G89" i="132"/>
  <c r="F89" i="132"/>
  <c r="F2369" i="184" s="1"/>
  <c r="E89" i="132"/>
  <c r="E2369" i="184" s="1"/>
  <c r="D89" i="132"/>
  <c r="D2369" i="184" s="1"/>
  <c r="L88" i="132"/>
  <c r="L2332" i="184" s="1"/>
  <c r="K88" i="132"/>
  <c r="K2332" i="184" s="1"/>
  <c r="J88" i="132"/>
  <c r="J2332" i="184" s="1"/>
  <c r="I88" i="132"/>
  <c r="I2332" i="184" s="1"/>
  <c r="H88" i="132"/>
  <c r="H2332" i="184" s="1"/>
  <c r="G88" i="132"/>
  <c r="F88" i="132"/>
  <c r="F2332" i="184" s="1"/>
  <c r="E88" i="132"/>
  <c r="D88" i="132"/>
  <c r="D2332" i="184" s="1"/>
  <c r="L87" i="132"/>
  <c r="K87" i="132"/>
  <c r="K2295" i="184" s="1"/>
  <c r="J87" i="132"/>
  <c r="J2295" i="184" s="1"/>
  <c r="I87" i="132"/>
  <c r="I2295" i="184" s="1"/>
  <c r="H87" i="132"/>
  <c r="G87" i="132"/>
  <c r="F87" i="132"/>
  <c r="F2295" i="184" s="1"/>
  <c r="E87" i="132"/>
  <c r="E2295" i="184"/>
  <c r="D87" i="132"/>
  <c r="D2295" i="184" s="1"/>
  <c r="L82" i="132"/>
  <c r="K82" i="132"/>
  <c r="J82" i="132"/>
  <c r="I82" i="132"/>
  <c r="H82" i="132"/>
  <c r="G82" i="132"/>
  <c r="G2182" i="184"/>
  <c r="F82" i="132"/>
  <c r="E82" i="132"/>
  <c r="E2182" i="184" s="1"/>
  <c r="D82" i="132"/>
  <c r="D2182" i="184" s="1"/>
  <c r="L81" i="132"/>
  <c r="K81" i="132"/>
  <c r="K2145" i="184"/>
  <c r="J81" i="132"/>
  <c r="J2145" i="184" s="1"/>
  <c r="I81" i="132"/>
  <c r="I2145" i="184" s="1"/>
  <c r="H81" i="132"/>
  <c r="G81" i="132"/>
  <c r="F81" i="132"/>
  <c r="E81" i="132"/>
  <c r="R80" i="132"/>
  <c r="L116" i="132"/>
  <c r="R77" i="132"/>
  <c r="L115" i="132" s="1"/>
  <c r="L77" i="132"/>
  <c r="K77" i="132"/>
  <c r="K2069" i="184" s="1"/>
  <c r="J77" i="132"/>
  <c r="J2069" i="184" s="1"/>
  <c r="I77" i="132"/>
  <c r="I2069" i="184" s="1"/>
  <c r="H77" i="132"/>
  <c r="G77" i="132"/>
  <c r="G2069" i="184" s="1"/>
  <c r="F77" i="132"/>
  <c r="D53" i="131"/>
  <c r="E77" i="132"/>
  <c r="E2069" i="184" s="1"/>
  <c r="D77" i="132"/>
  <c r="L76" i="132"/>
  <c r="L2032" i="184"/>
  <c r="K76" i="132"/>
  <c r="J76" i="132"/>
  <c r="J2032" i="184"/>
  <c r="I76" i="132"/>
  <c r="H76" i="132"/>
  <c r="H2032" i="184" s="1"/>
  <c r="G76" i="132"/>
  <c r="G2032" i="184" s="1"/>
  <c r="F76" i="132"/>
  <c r="E76" i="132"/>
  <c r="D76" i="132"/>
  <c r="D2032" i="184" s="1"/>
  <c r="L75" i="132"/>
  <c r="L1995" i="184" s="1"/>
  <c r="K75" i="132"/>
  <c r="J75" i="132"/>
  <c r="I75" i="132"/>
  <c r="I1995" i="184" s="1"/>
  <c r="H75" i="132"/>
  <c r="H1995" i="184" s="1"/>
  <c r="G75" i="132"/>
  <c r="F75" i="132"/>
  <c r="F1995" i="184" s="1"/>
  <c r="E75" i="132"/>
  <c r="D75" i="132"/>
  <c r="D1995" i="184"/>
  <c r="L74" i="132"/>
  <c r="K74" i="132"/>
  <c r="K1958" i="184"/>
  <c r="J74" i="132"/>
  <c r="J1958" i="184" s="1"/>
  <c r="I74" i="132"/>
  <c r="I1958" i="184" s="1"/>
  <c r="H74" i="132"/>
  <c r="G74" i="132"/>
  <c r="G1958" i="184" s="1"/>
  <c r="F74" i="132"/>
  <c r="E74" i="132"/>
  <c r="D74" i="132"/>
  <c r="D1958" i="184" s="1"/>
  <c r="L70" i="132"/>
  <c r="L1882" i="184" s="1"/>
  <c r="K70" i="132"/>
  <c r="K1882" i="184" s="1"/>
  <c r="J70" i="132"/>
  <c r="J1882" i="184" s="1"/>
  <c r="I70" i="132"/>
  <c r="I1882" i="184" s="1"/>
  <c r="H70" i="132"/>
  <c r="H1882" i="184"/>
  <c r="G70" i="132"/>
  <c r="F70" i="132"/>
  <c r="E70" i="132"/>
  <c r="E1882" i="184" s="1"/>
  <c r="D70" i="132"/>
  <c r="D1882" i="184" s="1"/>
  <c r="L69" i="132"/>
  <c r="L1845" i="184" s="1"/>
  <c r="K69" i="132"/>
  <c r="K1845" i="184" s="1"/>
  <c r="J69" i="132"/>
  <c r="J1845" i="184" s="1"/>
  <c r="I69" i="132"/>
  <c r="I1845" i="184"/>
  <c r="H69" i="132"/>
  <c r="H1845" i="184" s="1"/>
  <c r="G69" i="132"/>
  <c r="G1845" i="184" s="1"/>
  <c r="F69" i="132"/>
  <c r="E69" i="132"/>
  <c r="D69" i="132"/>
  <c r="AA68" i="132"/>
  <c r="P68" i="132"/>
  <c r="D318" i="191" s="1"/>
  <c r="L68" i="132"/>
  <c r="L1808" i="184" s="1"/>
  <c r="K68" i="132"/>
  <c r="K1808" i="184" s="1"/>
  <c r="J68" i="132"/>
  <c r="J1808" i="184"/>
  <c r="I68" i="132"/>
  <c r="I1808" i="184" s="1"/>
  <c r="H68" i="132"/>
  <c r="H1808" i="184" s="1"/>
  <c r="G68" i="132"/>
  <c r="F68" i="132"/>
  <c r="E68" i="132"/>
  <c r="D68" i="132"/>
  <c r="D1808" i="184" s="1"/>
  <c r="AA67" i="132"/>
  <c r="W67" i="132"/>
  <c r="K281" i="191" s="1"/>
  <c r="V67" i="132"/>
  <c r="J281" i="191" s="1"/>
  <c r="P67" i="132"/>
  <c r="U67" i="132" s="1"/>
  <c r="L67" i="132"/>
  <c r="L1771" i="184" s="1"/>
  <c r="K67" i="132"/>
  <c r="K1771" i="184" s="1"/>
  <c r="J67" i="132"/>
  <c r="J1771" i="184" s="1"/>
  <c r="I67" i="132"/>
  <c r="I1771" i="184" s="1"/>
  <c r="H67" i="132"/>
  <c r="H1771" i="184" s="1"/>
  <c r="G67" i="132"/>
  <c r="F67" i="132"/>
  <c r="E67" i="132"/>
  <c r="D67" i="132"/>
  <c r="D1771" i="184" s="1"/>
  <c r="AA66" i="132"/>
  <c r="W66" i="132"/>
  <c r="V66" i="132"/>
  <c r="J244" i="191" s="1"/>
  <c r="P66" i="132"/>
  <c r="L66" i="132"/>
  <c r="L1734" i="184" s="1"/>
  <c r="K66" i="132"/>
  <c r="K1734" i="184"/>
  <c r="J66" i="132"/>
  <c r="J1734" i="184" s="1"/>
  <c r="I66" i="132"/>
  <c r="I1734" i="184" s="1"/>
  <c r="H66" i="132"/>
  <c r="H1734" i="184" s="1"/>
  <c r="G66" i="132"/>
  <c r="F66" i="132"/>
  <c r="E66" i="132"/>
  <c r="E1734" i="184"/>
  <c r="D66" i="132"/>
  <c r="AA65" i="132"/>
  <c r="W65" i="132"/>
  <c r="K207" i="191" s="1"/>
  <c r="V65" i="132"/>
  <c r="J207" i="191" s="1"/>
  <c r="P65" i="132"/>
  <c r="U65" i="132" s="1"/>
  <c r="I207" i="191" s="1"/>
  <c r="L65" i="132"/>
  <c r="L1697" i="184" s="1"/>
  <c r="K65" i="132"/>
  <c r="J65" i="132"/>
  <c r="I65" i="132"/>
  <c r="I1697" i="184" s="1"/>
  <c r="H65" i="132"/>
  <c r="H1697" i="184" s="1"/>
  <c r="G65" i="132"/>
  <c r="G1697" i="184"/>
  <c r="F65" i="132"/>
  <c r="E65" i="132"/>
  <c r="E1697" i="184" s="1"/>
  <c r="D65" i="132"/>
  <c r="AA64" i="132"/>
  <c r="W64" i="132"/>
  <c r="V64" i="132"/>
  <c r="J170" i="191"/>
  <c r="Q64" i="132"/>
  <c r="P64" i="132"/>
  <c r="L64" i="132"/>
  <c r="K64" i="132"/>
  <c r="K1660" i="184" s="1"/>
  <c r="J64" i="132"/>
  <c r="I64" i="132"/>
  <c r="I1660" i="184"/>
  <c r="H64" i="132"/>
  <c r="H1660" i="184" s="1"/>
  <c r="G64" i="132"/>
  <c r="G1660" i="184" s="1"/>
  <c r="F64" i="132"/>
  <c r="E64" i="132"/>
  <c r="E1660" i="184" s="1"/>
  <c r="D64" i="132"/>
  <c r="D1660" i="184" s="1"/>
  <c r="AA63" i="132"/>
  <c r="W63" i="132"/>
  <c r="V63" i="132"/>
  <c r="P63" i="132"/>
  <c r="U63" i="132"/>
  <c r="I133" i="191" s="1"/>
  <c r="L63" i="132"/>
  <c r="L1623" i="184" s="1"/>
  <c r="K63" i="132"/>
  <c r="K1623" i="184" s="1"/>
  <c r="J63" i="132"/>
  <c r="J1623" i="184"/>
  <c r="I63" i="132"/>
  <c r="H63" i="132"/>
  <c r="G63" i="132"/>
  <c r="G1623" i="184" s="1"/>
  <c r="F63" i="132"/>
  <c r="E63" i="132"/>
  <c r="D63" i="132"/>
  <c r="D1623" i="184" s="1"/>
  <c r="AA62" i="132"/>
  <c r="W62" i="132"/>
  <c r="V62" i="132"/>
  <c r="P62" i="132"/>
  <c r="L62" i="132"/>
  <c r="L1586" i="184" s="1"/>
  <c r="K62" i="132"/>
  <c r="J62" i="132"/>
  <c r="J1586" i="184"/>
  <c r="I62" i="132"/>
  <c r="I1586" i="184" s="1"/>
  <c r="H62" i="132"/>
  <c r="G62" i="132"/>
  <c r="G1586" i="184"/>
  <c r="F62" i="132"/>
  <c r="E62" i="132"/>
  <c r="E1586" i="184"/>
  <c r="D62" i="132"/>
  <c r="AA61" i="132"/>
  <c r="W61" i="132"/>
  <c r="K59" i="191" s="1"/>
  <c r="V61" i="132"/>
  <c r="J59" i="191" s="1"/>
  <c r="P61" i="132"/>
  <c r="L61" i="132"/>
  <c r="L1549" i="184" s="1"/>
  <c r="K61" i="132"/>
  <c r="K1549" i="184" s="1"/>
  <c r="J61" i="132"/>
  <c r="J1549" i="184"/>
  <c r="I61" i="132"/>
  <c r="I1549" i="184"/>
  <c r="H61" i="132"/>
  <c r="H1549" i="184" s="1"/>
  <c r="G61" i="132"/>
  <c r="F61" i="132"/>
  <c r="E61" i="132"/>
  <c r="E1549" i="184"/>
  <c r="D61" i="132"/>
  <c r="D1549" i="184" s="1"/>
  <c r="AA60" i="132"/>
  <c r="W60" i="132"/>
  <c r="V60" i="132"/>
  <c r="P60" i="132"/>
  <c r="U60" i="132" s="1"/>
  <c r="I22" i="191" s="1"/>
  <c r="L60" i="132"/>
  <c r="K60" i="132"/>
  <c r="J60" i="132"/>
  <c r="J1512" i="184" s="1"/>
  <c r="I60" i="132"/>
  <c r="I1512" i="184" s="1"/>
  <c r="H60" i="132"/>
  <c r="H1512" i="184" s="1"/>
  <c r="G60" i="132"/>
  <c r="F60" i="132"/>
  <c r="E60" i="132"/>
  <c r="D60" i="132"/>
  <c r="D1512" i="184" s="1"/>
  <c r="K1399" i="184"/>
  <c r="I1399" i="184"/>
  <c r="L1362" i="184"/>
  <c r="K1362" i="184"/>
  <c r="G1362" i="184"/>
  <c r="E1362" i="184"/>
  <c r="D1362" i="184"/>
  <c r="L1325" i="184"/>
  <c r="I1325" i="184"/>
  <c r="H1325" i="184"/>
  <c r="D29" i="131"/>
  <c r="K1288" i="184"/>
  <c r="J1288" i="184"/>
  <c r="I1288" i="184"/>
  <c r="D1288" i="184"/>
  <c r="L1251" i="184"/>
  <c r="K1251" i="184"/>
  <c r="G1251" i="184"/>
  <c r="D1251" i="184"/>
  <c r="L1214" i="184"/>
  <c r="J1214" i="184"/>
  <c r="G1214" i="184"/>
  <c r="E1214" i="184"/>
  <c r="I1175" i="184"/>
  <c r="H1175" i="184"/>
  <c r="D23" i="131"/>
  <c r="L1061" i="184"/>
  <c r="F1061" i="184"/>
  <c r="D1061" i="184"/>
  <c r="K1024" i="184"/>
  <c r="J1024" i="184"/>
  <c r="H1024" i="184"/>
  <c r="F1024" i="184"/>
  <c r="E1024" i="184"/>
  <c r="L987" i="184"/>
  <c r="H987" i="184"/>
  <c r="G987" i="184"/>
  <c r="E987" i="184"/>
  <c r="D987" i="184"/>
  <c r="J950" i="184"/>
  <c r="I950" i="184"/>
  <c r="F950" i="184"/>
  <c r="E950" i="184"/>
  <c r="L913" i="184"/>
  <c r="K913" i="184"/>
  <c r="H913" i="184"/>
  <c r="G913" i="184"/>
  <c r="D913" i="184"/>
  <c r="L876" i="184"/>
  <c r="K876" i="184"/>
  <c r="I876" i="184"/>
  <c r="H876" i="184"/>
  <c r="D876" i="184"/>
  <c r="L35" i="132"/>
  <c r="L839" i="184" s="1"/>
  <c r="K35" i="132"/>
  <c r="K839" i="184" s="1"/>
  <c r="J35" i="132"/>
  <c r="J839" i="184"/>
  <c r="I35" i="132"/>
  <c r="I839" i="184" s="1"/>
  <c r="H35" i="132"/>
  <c r="H839" i="184" s="1"/>
  <c r="G35" i="132"/>
  <c r="F35" i="132"/>
  <c r="E35" i="132"/>
  <c r="E839" i="184"/>
  <c r="D35" i="132"/>
  <c r="R34" i="132"/>
  <c r="L109" i="132" s="1"/>
  <c r="L34" i="132"/>
  <c r="L802" i="184" s="1"/>
  <c r="K34" i="132"/>
  <c r="K802" i="184"/>
  <c r="J34" i="132"/>
  <c r="J802" i="184" s="1"/>
  <c r="I34" i="132"/>
  <c r="I802" i="184" s="1"/>
  <c r="H34" i="132"/>
  <c r="G34" i="132"/>
  <c r="G802" i="184" s="1"/>
  <c r="F34" i="132"/>
  <c r="F802" i="184" s="1"/>
  <c r="E34" i="132"/>
  <c r="D34" i="132"/>
  <c r="D802" i="184"/>
  <c r="L33" i="132"/>
  <c r="K33" i="132"/>
  <c r="J33" i="132"/>
  <c r="J765" i="184" s="1"/>
  <c r="I33" i="132"/>
  <c r="I765" i="184" s="1"/>
  <c r="H33" i="132"/>
  <c r="H765" i="184" s="1"/>
  <c r="G33" i="132"/>
  <c r="G765" i="184" s="1"/>
  <c r="F33" i="132"/>
  <c r="F765" i="184" s="1"/>
  <c r="E33" i="132"/>
  <c r="D33" i="132"/>
  <c r="D765" i="184" s="1"/>
  <c r="Q32" i="132"/>
  <c r="L108" i="132"/>
  <c r="L32" i="132"/>
  <c r="K32" i="132"/>
  <c r="K728" i="184" s="1"/>
  <c r="J32" i="132"/>
  <c r="J728" i="184" s="1"/>
  <c r="I32" i="132"/>
  <c r="H32" i="132"/>
  <c r="G32" i="132"/>
  <c r="F32" i="132"/>
  <c r="F728" i="184" s="1"/>
  <c r="E32" i="132"/>
  <c r="E728" i="184"/>
  <c r="D32" i="132"/>
  <c r="D728" i="184" s="1"/>
  <c r="L616" i="184"/>
  <c r="K616" i="184"/>
  <c r="H616" i="184"/>
  <c r="F616" i="184"/>
  <c r="E616" i="184"/>
  <c r="J579" i="184"/>
  <c r="E579" i="184"/>
  <c r="D579" i="184"/>
  <c r="L542" i="184"/>
  <c r="I542" i="184"/>
  <c r="H542" i="184"/>
  <c r="G542" i="184"/>
  <c r="L505" i="184"/>
  <c r="I505" i="184"/>
  <c r="H505" i="184"/>
  <c r="K468" i="184"/>
  <c r="I468" i="184"/>
  <c r="E468" i="184"/>
  <c r="L431" i="184"/>
  <c r="K431" i="184"/>
  <c r="I431" i="184"/>
  <c r="L22" i="132"/>
  <c r="L394" i="184" s="1"/>
  <c r="K22" i="132"/>
  <c r="J22" i="132"/>
  <c r="J394" i="184" s="1"/>
  <c r="I22" i="132"/>
  <c r="I394" i="184" s="1"/>
  <c r="H22" i="132"/>
  <c r="H394" i="184" s="1"/>
  <c r="G22" i="132"/>
  <c r="F22" i="132"/>
  <c r="F394" i="184"/>
  <c r="E22" i="132"/>
  <c r="D22" i="132"/>
  <c r="D394" i="184" s="1"/>
  <c r="L21" i="132"/>
  <c r="L357" i="184" s="1"/>
  <c r="K21" i="132"/>
  <c r="J21" i="132"/>
  <c r="J357" i="184" s="1"/>
  <c r="I21" i="132"/>
  <c r="H21" i="132"/>
  <c r="G21" i="132"/>
  <c r="G357" i="184" s="1"/>
  <c r="F21" i="132"/>
  <c r="E21" i="132"/>
  <c r="D21" i="132"/>
  <c r="D357" i="184" s="1"/>
  <c r="L20" i="132"/>
  <c r="L320" i="184" s="1"/>
  <c r="K20" i="132"/>
  <c r="K320" i="184"/>
  <c r="J20" i="132"/>
  <c r="I20" i="132"/>
  <c r="I320" i="184" s="1"/>
  <c r="H20" i="132"/>
  <c r="H320" i="184"/>
  <c r="G20" i="132"/>
  <c r="G320" i="184" s="1"/>
  <c r="F20" i="132"/>
  <c r="E20" i="132"/>
  <c r="E320" i="184" s="1"/>
  <c r="D20" i="132"/>
  <c r="D320" i="184" s="1"/>
  <c r="L19" i="132"/>
  <c r="L283" i="184" s="1"/>
  <c r="K19" i="132"/>
  <c r="J19" i="132"/>
  <c r="J283" i="184" s="1"/>
  <c r="I19" i="132"/>
  <c r="H19" i="132"/>
  <c r="H283" i="184"/>
  <c r="G19" i="132"/>
  <c r="F19" i="132"/>
  <c r="F283" i="184" s="1"/>
  <c r="E19" i="132"/>
  <c r="E283" i="184"/>
  <c r="D19" i="132"/>
  <c r="D283" i="184" s="1"/>
  <c r="J170" i="184"/>
  <c r="I170" i="184"/>
  <c r="H170" i="184"/>
  <c r="D170" i="184"/>
  <c r="L133" i="184"/>
  <c r="K133" i="184"/>
  <c r="I133" i="184"/>
  <c r="E133" i="184"/>
  <c r="D133" i="184"/>
  <c r="L96" i="184"/>
  <c r="K96" i="184"/>
  <c r="J96" i="184"/>
  <c r="I96" i="184"/>
  <c r="H96" i="184"/>
  <c r="G96" i="184"/>
  <c r="E96" i="184"/>
  <c r="D96" i="184"/>
  <c r="L59" i="184"/>
  <c r="E59" i="184"/>
  <c r="D59" i="184"/>
  <c r="I22" i="184"/>
  <c r="F22" i="184"/>
  <c r="E22" i="184"/>
  <c r="D22" i="184"/>
  <c r="M100" i="127"/>
  <c r="Q92" i="127"/>
  <c r="O92" i="127"/>
  <c r="U14" i="220" s="1"/>
  <c r="L92" i="127"/>
  <c r="L2474" i="184" s="1"/>
  <c r="L92" i="13"/>
  <c r="L2468" i="184" s="1"/>
  <c r="L92" i="16"/>
  <c r="L2470" i="184" s="1"/>
  <c r="L92" i="36"/>
  <c r="L2471" i="184" s="1"/>
  <c r="L92" i="21"/>
  <c r="L2472" i="184"/>
  <c r="L92" i="26"/>
  <c r="L2473" i="184" s="1"/>
  <c r="L92" i="42"/>
  <c r="L2476" i="184"/>
  <c r="L92" i="67"/>
  <c r="L2477" i="184" s="1"/>
  <c r="L92" i="47"/>
  <c r="L2478" i="184"/>
  <c r="L92" i="87"/>
  <c r="L2482" i="184" s="1"/>
  <c r="L92" i="57"/>
  <c r="L2483" i="184" s="1"/>
  <c r="L92" i="97"/>
  <c r="L2484" i="184" s="1"/>
  <c r="L92" i="78"/>
  <c r="L2485" i="184"/>
  <c r="L92" i="199"/>
  <c r="L2486" i="184" s="1"/>
  <c r="L92" i="62"/>
  <c r="L2487" i="184" s="1"/>
  <c r="L92" i="82"/>
  <c r="L2488" i="184" s="1"/>
  <c r="L92" i="203"/>
  <c r="L2489" i="184" s="1"/>
  <c r="L92" i="102"/>
  <c r="L2490" i="184" s="1"/>
  <c r="L92" i="72"/>
  <c r="L2491" i="184" s="1"/>
  <c r="L92" i="52"/>
  <c r="L2496" i="184" s="1"/>
  <c r="L92" i="107"/>
  <c r="L2497" i="184"/>
  <c r="L92" i="112"/>
  <c r="L2498" i="184" s="1"/>
  <c r="L92" i="117"/>
  <c r="L2499" i="184"/>
  <c r="L92" i="122"/>
  <c r="L2500" i="184" s="1"/>
  <c r="L2503" i="184"/>
  <c r="K92" i="127"/>
  <c r="K2474" i="184" s="1"/>
  <c r="J92" i="127"/>
  <c r="J2474" i="184"/>
  <c r="I92" i="127"/>
  <c r="I2474" i="184" s="1"/>
  <c r="I92" i="13"/>
  <c r="I2468" i="184"/>
  <c r="I92" i="16"/>
  <c r="I2470" i="184" s="1"/>
  <c r="I92" i="36"/>
  <c r="I2471" i="184"/>
  <c r="I92" i="21"/>
  <c r="I2472" i="184" s="1"/>
  <c r="I92" i="26"/>
  <c r="I2473" i="184" s="1"/>
  <c r="I92" i="42"/>
  <c r="I2476" i="184" s="1"/>
  <c r="I92" i="67"/>
  <c r="I92" i="47"/>
  <c r="I2478" i="184" s="1"/>
  <c r="I2479" i="184"/>
  <c r="I92" i="87"/>
  <c r="I2482" i="184" s="1"/>
  <c r="I92" i="57"/>
  <c r="I2483" i="184" s="1"/>
  <c r="I92" i="97"/>
  <c r="I2484" i="184" s="1"/>
  <c r="I92" i="78"/>
  <c r="I92" i="199"/>
  <c r="I2486" i="184" s="1"/>
  <c r="I92" i="62"/>
  <c r="I2487" i="184" s="1"/>
  <c r="I92" i="82"/>
  <c r="I2488" i="184"/>
  <c r="I92" i="203"/>
  <c r="I2489" i="184" s="1"/>
  <c r="I92" i="102"/>
  <c r="I2490" i="184" s="1"/>
  <c r="I92" i="72"/>
  <c r="I2491" i="184" s="1"/>
  <c r="I2492" i="184"/>
  <c r="I92" i="52"/>
  <c r="I2496" i="184" s="1"/>
  <c r="I92" i="107"/>
  <c r="I2497" i="184" s="1"/>
  <c r="I92" i="112"/>
  <c r="I2498" i="184"/>
  <c r="I92" i="117"/>
  <c r="I2499" i="184" s="1"/>
  <c r="I92" i="122"/>
  <c r="I2500" i="184" s="1"/>
  <c r="I2503" i="184"/>
  <c r="H92" i="127"/>
  <c r="H2474" i="184"/>
  <c r="H92" i="13"/>
  <c r="H2468" i="184" s="1"/>
  <c r="H92" i="16"/>
  <c r="H2470" i="184"/>
  <c r="H92" i="36"/>
  <c r="H2471" i="184" s="1"/>
  <c r="H92" i="21"/>
  <c r="H2472" i="184"/>
  <c r="H92" i="26"/>
  <c r="H2473" i="184" s="1"/>
  <c r="H92" i="42"/>
  <c r="H2476" i="184" s="1"/>
  <c r="H92" i="67"/>
  <c r="H2477" i="184" s="1"/>
  <c r="H92" i="47"/>
  <c r="H2478" i="184"/>
  <c r="H2480" i="184"/>
  <c r="H92" i="87"/>
  <c r="H2482" i="184" s="1"/>
  <c r="H92" i="57"/>
  <c r="H2483" i="184" s="1"/>
  <c r="H92" i="97"/>
  <c r="H2484" i="184"/>
  <c r="H92" i="78"/>
  <c r="H2485" i="184" s="1"/>
  <c r="H92" i="199"/>
  <c r="H2486" i="184" s="1"/>
  <c r="H92" i="62"/>
  <c r="H2487" i="184" s="1"/>
  <c r="H92" i="82"/>
  <c r="H2488" i="184"/>
  <c r="H92" i="203"/>
  <c r="H2489" i="184" s="1"/>
  <c r="H92" i="102"/>
  <c r="H92" i="72"/>
  <c r="H2491" i="184"/>
  <c r="H2495" i="184"/>
  <c r="H92" i="52"/>
  <c r="H2496" i="184" s="1"/>
  <c r="H92" i="107"/>
  <c r="H2497" i="184" s="1"/>
  <c r="H92" i="112"/>
  <c r="H2498" i="184"/>
  <c r="H92" i="117"/>
  <c r="H2499" i="184" s="1"/>
  <c r="H92" i="122"/>
  <c r="H2500" i="184" s="1"/>
  <c r="H2503" i="184"/>
  <c r="G92" i="127"/>
  <c r="F92" i="127"/>
  <c r="F2474" i="184" s="1"/>
  <c r="E92" i="127"/>
  <c r="E2474" i="184" s="1"/>
  <c r="D92" i="127"/>
  <c r="D2474" i="184"/>
  <c r="L91" i="127"/>
  <c r="L2437" i="184" s="1"/>
  <c r="L91" i="13"/>
  <c r="L2431" i="184" s="1"/>
  <c r="L91" i="16"/>
  <c r="L2433" i="184" s="1"/>
  <c r="L91" i="36"/>
  <c r="L2434" i="184"/>
  <c r="L91" i="21"/>
  <c r="L2435" i="184" s="1"/>
  <c r="L91" i="26"/>
  <c r="L2436" i="184" s="1"/>
  <c r="L91" i="42"/>
  <c r="L2439" i="184" s="1"/>
  <c r="L91" i="67"/>
  <c r="L2440" i="184"/>
  <c r="L91" i="47"/>
  <c r="L2441" i="184" s="1"/>
  <c r="L91" i="87"/>
  <c r="L2445" i="184"/>
  <c r="L91" i="57"/>
  <c r="L2446" i="184" s="1"/>
  <c r="L91" i="97"/>
  <c r="L2447" i="184"/>
  <c r="L91" i="78"/>
  <c r="L2448" i="184" s="1"/>
  <c r="L91" i="199"/>
  <c r="L2449" i="184" s="1"/>
  <c r="L91" i="62"/>
  <c r="L2450" i="184" s="1"/>
  <c r="L91" i="82"/>
  <c r="L2451" i="184"/>
  <c r="L91" i="203"/>
  <c r="L2452" i="184" s="1"/>
  <c r="L91" i="102"/>
  <c r="L2453" i="184" s="1"/>
  <c r="L91" i="72"/>
  <c r="L2454" i="184" s="1"/>
  <c r="L91" i="52"/>
  <c r="L2459" i="184"/>
  <c r="L91" i="107"/>
  <c r="L2460" i="184" s="1"/>
  <c r="L91" i="112"/>
  <c r="L2461" i="184" s="1"/>
  <c r="L91" i="117"/>
  <c r="L2462" i="184" s="1"/>
  <c r="L91" i="122"/>
  <c r="L2463" i="184"/>
  <c r="L2466" i="184"/>
  <c r="K91" i="127"/>
  <c r="K2437" i="184"/>
  <c r="J91" i="127"/>
  <c r="J2437" i="184" s="1"/>
  <c r="I91" i="127"/>
  <c r="I2437" i="184"/>
  <c r="H91" i="127"/>
  <c r="H2437" i="184" s="1"/>
  <c r="G91" i="127"/>
  <c r="G2437" i="184" s="1"/>
  <c r="F91" i="127"/>
  <c r="F2437" i="184" s="1"/>
  <c r="E91" i="127"/>
  <c r="D91" i="127"/>
  <c r="D2437" i="184" s="1"/>
  <c r="L90" i="127"/>
  <c r="L2400" i="184"/>
  <c r="K90" i="127"/>
  <c r="K2400" i="184" s="1"/>
  <c r="J90" i="127"/>
  <c r="J2400" i="184" s="1"/>
  <c r="J90" i="13"/>
  <c r="J2394" i="184" s="1"/>
  <c r="J90" i="16"/>
  <c r="J2396" i="184"/>
  <c r="J90" i="36"/>
  <c r="J2397" i="184" s="1"/>
  <c r="J90" i="21"/>
  <c r="J2398" i="184" s="1"/>
  <c r="J90" i="26"/>
  <c r="J2399" i="184" s="1"/>
  <c r="J90" i="42"/>
  <c r="J2402" i="184"/>
  <c r="J90" i="67"/>
  <c r="J2403" i="184" s="1"/>
  <c r="J90" i="47"/>
  <c r="J2404" i="184" s="1"/>
  <c r="J90" i="87"/>
  <c r="J2408" i="184" s="1"/>
  <c r="J90" i="57"/>
  <c r="J2409" i="184"/>
  <c r="J90" i="97"/>
  <c r="J2410" i="184" s="1"/>
  <c r="J90" i="78"/>
  <c r="J2411" i="184" s="1"/>
  <c r="J90" i="199"/>
  <c r="J2412" i="184" s="1"/>
  <c r="J90" i="62"/>
  <c r="J2413" i="184"/>
  <c r="J90" i="82"/>
  <c r="J2414" i="184" s="1"/>
  <c r="J90" i="203"/>
  <c r="J2415" i="184" s="1"/>
  <c r="J90" i="102"/>
  <c r="J2416" i="184" s="1"/>
  <c r="J90" i="72"/>
  <c r="J2417" i="184"/>
  <c r="J2419" i="184"/>
  <c r="J90" i="52"/>
  <c r="J2422" i="184" s="1"/>
  <c r="J90" i="107"/>
  <c r="J2423" i="184" s="1"/>
  <c r="J90" i="112"/>
  <c r="J2424" i="184" s="1"/>
  <c r="J90" i="117"/>
  <c r="J2425" i="184"/>
  <c r="J90" i="122"/>
  <c r="J2426" i="184" s="1"/>
  <c r="J2429" i="184"/>
  <c r="I90" i="127"/>
  <c r="H90" i="127"/>
  <c r="H2400" i="184" s="1"/>
  <c r="G90" i="127"/>
  <c r="G2400" i="184" s="1"/>
  <c r="F90" i="127"/>
  <c r="F2400" i="184"/>
  <c r="E90" i="127"/>
  <c r="E2400" i="184" s="1"/>
  <c r="E90" i="13"/>
  <c r="E2394" i="184"/>
  <c r="E90" i="16"/>
  <c r="E2396" i="184" s="1"/>
  <c r="E90" i="36"/>
  <c r="E90" i="21"/>
  <c r="E2398" i="184" s="1"/>
  <c r="E90" i="26"/>
  <c r="E2399" i="184" s="1"/>
  <c r="E90" i="42"/>
  <c r="E2402" i="184" s="1"/>
  <c r="E90" i="67"/>
  <c r="E2403" i="184" s="1"/>
  <c r="E90" i="47"/>
  <c r="E2404" i="184" s="1"/>
  <c r="E90" i="87"/>
  <c r="E2408" i="184" s="1"/>
  <c r="E90" i="57"/>
  <c r="E2409" i="184"/>
  <c r="E90" i="97"/>
  <c r="E2410" i="184" s="1"/>
  <c r="E90" i="78"/>
  <c r="E2411" i="184"/>
  <c r="E90" i="199"/>
  <c r="E2412" i="184" s="1"/>
  <c r="E90" i="62"/>
  <c r="E2413" i="184" s="1"/>
  <c r="E90" i="82"/>
  <c r="E2414" i="184" s="1"/>
  <c r="E90" i="203"/>
  <c r="E2415" i="184"/>
  <c r="E90" i="102"/>
  <c r="E2416" i="184" s="1"/>
  <c r="E90" i="72"/>
  <c r="E2417" i="184" s="1"/>
  <c r="E2421" i="184"/>
  <c r="E90" i="52"/>
  <c r="E2422" i="184" s="1"/>
  <c r="E90" i="107"/>
  <c r="E2423" i="184" s="1"/>
  <c r="E90" i="112"/>
  <c r="E2424" i="184" s="1"/>
  <c r="E90" i="117"/>
  <c r="E2425" i="184" s="1"/>
  <c r="E90" i="122"/>
  <c r="E2426" i="184" s="1"/>
  <c r="E2429" i="184"/>
  <c r="D90" i="127"/>
  <c r="L89" i="127"/>
  <c r="L2363" i="184"/>
  <c r="K89" i="127"/>
  <c r="K2363" i="184" s="1"/>
  <c r="K89" i="13"/>
  <c r="K2357" i="184" s="1"/>
  <c r="K2358" i="184"/>
  <c r="K89" i="16"/>
  <c r="K2359" i="184"/>
  <c r="K89" i="36"/>
  <c r="K2360" i="184" s="1"/>
  <c r="K89" i="21"/>
  <c r="K2361" i="184" s="1"/>
  <c r="K89" i="26"/>
  <c r="K2362" i="184" s="1"/>
  <c r="K89" i="42"/>
  <c r="K2365" i="184" s="1"/>
  <c r="K89" i="67"/>
  <c r="K2366" i="184" s="1"/>
  <c r="K89" i="47"/>
  <c r="K2367" i="184"/>
  <c r="K89" i="87"/>
  <c r="K2371" i="184" s="1"/>
  <c r="K89" i="57"/>
  <c r="K2372" i="184"/>
  <c r="K89" i="97"/>
  <c r="K2373" i="184" s="1"/>
  <c r="K89" i="78"/>
  <c r="K2374" i="184"/>
  <c r="K89" i="199"/>
  <c r="K2375" i="184" s="1"/>
  <c r="K89" i="62"/>
  <c r="K2376" i="184"/>
  <c r="K89" i="82"/>
  <c r="K2377" i="184" s="1"/>
  <c r="K89" i="203"/>
  <c r="K2378" i="184" s="1"/>
  <c r="K89" i="102"/>
  <c r="K2379" i="184" s="1"/>
  <c r="K89" i="72"/>
  <c r="K2380" i="184" s="1"/>
  <c r="K89" i="52"/>
  <c r="K2385" i="184" s="1"/>
  <c r="K89" i="107"/>
  <c r="K2386" i="184" s="1"/>
  <c r="K89" i="112"/>
  <c r="K2387" i="184" s="1"/>
  <c r="K89" i="117"/>
  <c r="K2388" i="184" s="1"/>
  <c r="K89" i="122"/>
  <c r="K2389" i="184" s="1"/>
  <c r="K2392" i="184"/>
  <c r="J89" i="127"/>
  <c r="J2363" i="184" s="1"/>
  <c r="I89" i="127"/>
  <c r="I2363" i="184" s="1"/>
  <c r="H89" i="127"/>
  <c r="H2363" i="184" s="1"/>
  <c r="G89" i="127"/>
  <c r="G2363" i="184" s="1"/>
  <c r="F89" i="127"/>
  <c r="E89" i="127"/>
  <c r="D89" i="127"/>
  <c r="D2363" i="184"/>
  <c r="L88" i="127"/>
  <c r="L2326" i="184" s="1"/>
  <c r="K88" i="127"/>
  <c r="K2326" i="184" s="1"/>
  <c r="K88" i="13"/>
  <c r="K2320" i="184" s="1"/>
  <c r="K88" i="16"/>
  <c r="K2322" i="184"/>
  <c r="K88" i="36"/>
  <c r="K2323" i="184" s="1"/>
  <c r="K88" i="21"/>
  <c r="K2324" i="184" s="1"/>
  <c r="K88" i="26"/>
  <c r="K2325" i="184" s="1"/>
  <c r="K88" i="42"/>
  <c r="K2328" i="184" s="1"/>
  <c r="K88" i="67"/>
  <c r="K2329" i="184" s="1"/>
  <c r="K88" i="47"/>
  <c r="K2330" i="184"/>
  <c r="K88" i="87"/>
  <c r="K2334" i="184" s="1"/>
  <c r="K88" i="57"/>
  <c r="K2335" i="184"/>
  <c r="K88" i="97"/>
  <c r="K2336" i="184" s="1"/>
  <c r="K88" i="78"/>
  <c r="K2337" i="184" s="1"/>
  <c r="K88" i="199"/>
  <c r="K2338" i="184" s="1"/>
  <c r="K88" i="62"/>
  <c r="K2339" i="184"/>
  <c r="K88" i="82"/>
  <c r="K2340" i="184" s="1"/>
  <c r="K88" i="203"/>
  <c r="K2341" i="184" s="1"/>
  <c r="K88" i="102"/>
  <c r="K2342" i="184" s="1"/>
  <c r="K88" i="72"/>
  <c r="K2343" i="184"/>
  <c r="K88" i="52"/>
  <c r="K2348" i="184" s="1"/>
  <c r="K88" i="107"/>
  <c r="K2349" i="184" s="1"/>
  <c r="K88" i="112"/>
  <c r="K2350" i="184" s="1"/>
  <c r="K88" i="117"/>
  <c r="K2351" i="184"/>
  <c r="K88" i="122"/>
  <c r="K2352" i="184" s="1"/>
  <c r="K2355" i="184"/>
  <c r="J88" i="127"/>
  <c r="J2326" i="184" s="1"/>
  <c r="I88" i="127"/>
  <c r="I2326" i="184" s="1"/>
  <c r="H88" i="127"/>
  <c r="H2326" i="184" s="1"/>
  <c r="G88" i="127"/>
  <c r="F88" i="127"/>
  <c r="F2326" i="184" s="1"/>
  <c r="E88" i="127"/>
  <c r="E2326" i="184" s="1"/>
  <c r="D88" i="127"/>
  <c r="D2326" i="184"/>
  <c r="L87" i="127"/>
  <c r="L2289" i="184" s="1"/>
  <c r="K87" i="127"/>
  <c r="J87" i="127"/>
  <c r="J2289" i="184" s="1"/>
  <c r="I87" i="127"/>
  <c r="I2289" i="184"/>
  <c r="H87" i="127"/>
  <c r="H2289" i="184" s="1"/>
  <c r="G87" i="127"/>
  <c r="G2289" i="184"/>
  <c r="F87" i="127"/>
  <c r="F2289" i="184" s="1"/>
  <c r="E87" i="127"/>
  <c r="E2289" i="184" s="1"/>
  <c r="D87" i="127"/>
  <c r="D2289" i="184" s="1"/>
  <c r="L82" i="127"/>
  <c r="K82" i="127"/>
  <c r="K2176" i="184" s="1"/>
  <c r="J82" i="127"/>
  <c r="J2176" i="184" s="1"/>
  <c r="I82" i="127"/>
  <c r="I2176" i="184"/>
  <c r="H82" i="127"/>
  <c r="G82" i="127"/>
  <c r="F82" i="127"/>
  <c r="E82" i="127"/>
  <c r="E2176" i="184" s="1"/>
  <c r="D82" i="127"/>
  <c r="L81" i="127"/>
  <c r="L2139" i="184" s="1"/>
  <c r="K81" i="127"/>
  <c r="K2139" i="184" s="1"/>
  <c r="J81" i="127"/>
  <c r="J2139" i="184"/>
  <c r="I81" i="127"/>
  <c r="I2139" i="184" s="1"/>
  <c r="H81" i="127"/>
  <c r="G81" i="127"/>
  <c r="G2139" i="184" s="1"/>
  <c r="F81" i="127"/>
  <c r="F2139" i="184" s="1"/>
  <c r="E81" i="127"/>
  <c r="R80" i="127"/>
  <c r="L116" i="127" s="1"/>
  <c r="R77" i="127"/>
  <c r="L115" i="127"/>
  <c r="L77" i="127"/>
  <c r="L77" i="13"/>
  <c r="L2057" i="184"/>
  <c r="L77" i="16"/>
  <c r="L2059" i="184" s="1"/>
  <c r="L77" i="36"/>
  <c r="L2060" i="184" s="1"/>
  <c r="L77" i="21"/>
  <c r="L2061" i="184" s="1"/>
  <c r="L77" i="26"/>
  <c r="L2062" i="184"/>
  <c r="L77" i="42"/>
  <c r="L2065" i="184" s="1"/>
  <c r="L77" i="67"/>
  <c r="L2066" i="184" s="1"/>
  <c r="L77" i="47"/>
  <c r="L2067" i="184" s="1"/>
  <c r="L2069" i="184"/>
  <c r="L77" i="87"/>
  <c r="L2071" i="184" s="1"/>
  <c r="L77" i="57"/>
  <c r="L2072" i="184" s="1"/>
  <c r="L77" i="97"/>
  <c r="L2073" i="184"/>
  <c r="L77" i="78"/>
  <c r="L2074" i="184" s="1"/>
  <c r="L77" i="199"/>
  <c r="L2075" i="184" s="1"/>
  <c r="L77" i="62"/>
  <c r="L77" i="82"/>
  <c r="L2077" i="184"/>
  <c r="L77" i="203"/>
  <c r="L2078" i="184" s="1"/>
  <c r="L77" i="102"/>
  <c r="L2079" i="184" s="1"/>
  <c r="L77" i="72"/>
  <c r="L77" i="52"/>
  <c r="L2085" i="184" s="1"/>
  <c r="L77" i="107"/>
  <c r="L2086" i="184"/>
  <c r="L77" i="112"/>
  <c r="L2087" i="184" s="1"/>
  <c r="L77" i="117"/>
  <c r="L2088" i="184" s="1"/>
  <c r="L77" i="122"/>
  <c r="L2089" i="184" s="1"/>
  <c r="K77" i="127"/>
  <c r="J77" i="127"/>
  <c r="J2063" i="184" s="1"/>
  <c r="I77" i="127"/>
  <c r="I2063" i="184" s="1"/>
  <c r="H77" i="127"/>
  <c r="G77" i="127"/>
  <c r="G2063" i="184"/>
  <c r="F77" i="127"/>
  <c r="E77" i="127"/>
  <c r="E2063" i="184" s="1"/>
  <c r="D77" i="127"/>
  <c r="D2063" i="184" s="1"/>
  <c r="L76" i="127"/>
  <c r="K76" i="127"/>
  <c r="K2026" i="184"/>
  <c r="J76" i="127"/>
  <c r="J2026" i="184" s="1"/>
  <c r="I76" i="127"/>
  <c r="H76" i="127"/>
  <c r="H2026" i="184" s="1"/>
  <c r="G76" i="127"/>
  <c r="F76" i="127"/>
  <c r="E76" i="127"/>
  <c r="D76" i="127"/>
  <c r="L75" i="127"/>
  <c r="L1989" i="184"/>
  <c r="K75" i="127"/>
  <c r="J75" i="127"/>
  <c r="J1989" i="184" s="1"/>
  <c r="I75" i="127"/>
  <c r="I1989" i="184"/>
  <c r="H75" i="127"/>
  <c r="H1989" i="184" s="1"/>
  <c r="G75" i="127"/>
  <c r="F75" i="127"/>
  <c r="E75" i="127"/>
  <c r="E1989" i="184" s="1"/>
  <c r="D75" i="127"/>
  <c r="D1989" i="184"/>
  <c r="L74" i="127"/>
  <c r="K74" i="127"/>
  <c r="K1952" i="184"/>
  <c r="J74" i="127"/>
  <c r="I74" i="127"/>
  <c r="I1952" i="184" s="1"/>
  <c r="H74" i="127"/>
  <c r="G74" i="127"/>
  <c r="F74" i="127"/>
  <c r="E74" i="127"/>
  <c r="E1952" i="184"/>
  <c r="D74" i="127"/>
  <c r="L70" i="127"/>
  <c r="L1876" i="184" s="1"/>
  <c r="L70" i="13"/>
  <c r="L1870" i="184"/>
  <c r="L70" i="16"/>
  <c r="L1872" i="184" s="1"/>
  <c r="L70" i="36"/>
  <c r="L1873" i="184" s="1"/>
  <c r="L70" i="21"/>
  <c r="L1874" i="184" s="1"/>
  <c r="L70" i="26"/>
  <c r="L1875" i="184" s="1"/>
  <c r="L70" i="42"/>
  <c r="L1878" i="184" s="1"/>
  <c r="L70" i="67"/>
  <c r="L1879" i="184"/>
  <c r="L70" i="47"/>
  <c r="L1880" i="184" s="1"/>
  <c r="L70" i="87"/>
  <c r="L1884" i="184"/>
  <c r="L70" i="57"/>
  <c r="L1885" i="184" s="1"/>
  <c r="L70" i="97"/>
  <c r="L1886" i="184"/>
  <c r="L70" i="78"/>
  <c r="L1887" i="184" s="1"/>
  <c r="L70" i="199"/>
  <c r="L1888" i="184"/>
  <c r="L70" i="62"/>
  <c r="L1889" i="184" s="1"/>
  <c r="L70" i="82"/>
  <c r="L1890" i="184"/>
  <c r="L70" i="203"/>
  <c r="L1891" i="184" s="1"/>
  <c r="L70" i="102"/>
  <c r="L1892" i="184"/>
  <c r="L70" i="72"/>
  <c r="L1893" i="184" s="1"/>
  <c r="L70" i="52"/>
  <c r="L1898" i="184" s="1"/>
  <c r="L70" i="107"/>
  <c r="L1899" i="184" s="1"/>
  <c r="L70" i="112"/>
  <c r="L70" i="117"/>
  <c r="L1901" i="184" s="1"/>
  <c r="L70" i="122"/>
  <c r="L1902" i="184" s="1"/>
  <c r="L1905" i="184"/>
  <c r="K70" i="127"/>
  <c r="K1876" i="184" s="1"/>
  <c r="J70" i="127"/>
  <c r="J1876" i="184" s="1"/>
  <c r="I70" i="127"/>
  <c r="H70" i="127"/>
  <c r="H1876" i="184" s="1"/>
  <c r="H70" i="13"/>
  <c r="H1870" i="184" s="1"/>
  <c r="H70" i="16"/>
  <c r="H1872" i="184"/>
  <c r="H70" i="36"/>
  <c r="H1873" i="184" s="1"/>
  <c r="H70" i="21"/>
  <c r="H1874" i="184" s="1"/>
  <c r="H70" i="26"/>
  <c r="H1875" i="184" s="1"/>
  <c r="H70" i="42"/>
  <c r="H1878" i="184"/>
  <c r="H70" i="67"/>
  <c r="H1879" i="184" s="1"/>
  <c r="H70" i="47"/>
  <c r="H1880" i="184" s="1"/>
  <c r="H70" i="87"/>
  <c r="H1884" i="184" s="1"/>
  <c r="H70" i="57"/>
  <c r="H1885" i="184"/>
  <c r="H70" i="97"/>
  <c r="H1886" i="184" s="1"/>
  <c r="H70" i="78"/>
  <c r="H1887" i="184" s="1"/>
  <c r="H70" i="199"/>
  <c r="H1888" i="184" s="1"/>
  <c r="H70" i="62"/>
  <c r="H1889" i="184"/>
  <c r="H70" i="82"/>
  <c r="H1890" i="184" s="1"/>
  <c r="H70" i="203"/>
  <c r="H70" i="102"/>
  <c r="H1892" i="184" s="1"/>
  <c r="H70" i="72"/>
  <c r="H1893" i="184" s="1"/>
  <c r="H1897" i="184"/>
  <c r="H70" i="52"/>
  <c r="H1898" i="184" s="1"/>
  <c r="H70" i="107"/>
  <c r="H70" i="112"/>
  <c r="H1900" i="184" s="1"/>
  <c r="H70" i="117"/>
  <c r="H1901" i="184"/>
  <c r="H70" i="122"/>
  <c r="H1902" i="184" s="1"/>
  <c r="G70" i="127"/>
  <c r="G1876" i="184" s="1"/>
  <c r="F70" i="127"/>
  <c r="E70" i="127"/>
  <c r="E1876" i="184"/>
  <c r="D70" i="127"/>
  <c r="D1876" i="184" s="1"/>
  <c r="L69" i="127"/>
  <c r="L1839" i="184"/>
  <c r="L69" i="13"/>
  <c r="L1833" i="184" s="1"/>
  <c r="L69" i="16"/>
  <c r="L1835" i="184"/>
  <c r="L69" i="36"/>
  <c r="L1836" i="184" s="1"/>
  <c r="L69" i="21"/>
  <c r="L1837" i="184"/>
  <c r="L69" i="26"/>
  <c r="L1838" i="184" s="1"/>
  <c r="L69" i="42"/>
  <c r="L1841" i="184"/>
  <c r="L69" i="67"/>
  <c r="L1842" i="184" s="1"/>
  <c r="L69" i="47"/>
  <c r="L1843" i="184" s="1"/>
  <c r="L1846" i="184"/>
  <c r="L69" i="87"/>
  <c r="L1847" i="184"/>
  <c r="L69" i="57"/>
  <c r="L1848" i="184" s="1"/>
  <c r="L69" i="97"/>
  <c r="L1849" i="184"/>
  <c r="L69" i="78"/>
  <c r="L1850" i="184" s="1"/>
  <c r="L69" i="199"/>
  <c r="L1851" i="184"/>
  <c r="L69" i="62"/>
  <c r="L1852" i="184" s="1"/>
  <c r="L69" i="82"/>
  <c r="L1853" i="184" s="1"/>
  <c r="L69" i="203"/>
  <c r="L1854" i="184" s="1"/>
  <c r="L69" i="102"/>
  <c r="L1855" i="184"/>
  <c r="L69" i="72"/>
  <c r="L1856" i="184" s="1"/>
  <c r="L69" i="52"/>
  <c r="L1861" i="184"/>
  <c r="L69" i="107"/>
  <c r="L1862" i="184" s="1"/>
  <c r="L69" i="112"/>
  <c r="L1863" i="184"/>
  <c r="L69" i="117"/>
  <c r="L1864" i="184" s="1"/>
  <c r="L69" i="122"/>
  <c r="L1865" i="184" s="1"/>
  <c r="L1866" i="184"/>
  <c r="L1867" i="184"/>
  <c r="L1868" i="184"/>
  <c r="K69" i="127"/>
  <c r="K1839" i="184" s="1"/>
  <c r="J69" i="127"/>
  <c r="J1839" i="184"/>
  <c r="I69" i="127"/>
  <c r="H69" i="127"/>
  <c r="H1839" i="184" s="1"/>
  <c r="H69" i="13"/>
  <c r="H1833" i="184" s="1"/>
  <c r="H69" i="16"/>
  <c r="H1835" i="184" s="1"/>
  <c r="H69" i="36"/>
  <c r="H1836" i="184" s="1"/>
  <c r="H69" i="21"/>
  <c r="H1837" i="184" s="1"/>
  <c r="H69" i="26"/>
  <c r="H1838" i="184" s="1"/>
  <c r="H1840" i="184"/>
  <c r="H69" i="42"/>
  <c r="H1841" i="184"/>
  <c r="H69" i="67"/>
  <c r="H1842" i="184" s="1"/>
  <c r="H69" i="47"/>
  <c r="H1843" i="184"/>
  <c r="H69" i="87"/>
  <c r="H1847" i="184" s="1"/>
  <c r="H69" i="57"/>
  <c r="H1848" i="184" s="1"/>
  <c r="H69" i="97"/>
  <c r="H1849" i="184" s="1"/>
  <c r="H69" i="78"/>
  <c r="H1850" i="184"/>
  <c r="H69" i="199"/>
  <c r="H1851" i="184" s="1"/>
  <c r="H69" i="62"/>
  <c r="H1852" i="184"/>
  <c r="H69" i="82"/>
  <c r="H1853" i="184" s="1"/>
  <c r="H69" i="203"/>
  <c r="H1854" i="184"/>
  <c r="H69" i="102"/>
  <c r="H1855" i="184" s="1"/>
  <c r="H69" i="72"/>
  <c r="H1856" i="184"/>
  <c r="H1857" i="184"/>
  <c r="H1859" i="184"/>
  <c r="H69" i="52"/>
  <c r="H1861" i="184"/>
  <c r="H69" i="107"/>
  <c r="H1862" i="184" s="1"/>
  <c r="H69" i="112"/>
  <c r="H69" i="117"/>
  <c r="H1864" i="184" s="1"/>
  <c r="H69" i="122"/>
  <c r="H1865" i="184" s="1"/>
  <c r="H1868" i="184"/>
  <c r="G69" i="127"/>
  <c r="F69" i="127"/>
  <c r="F1839" i="184"/>
  <c r="F69" i="13"/>
  <c r="F1833" i="184" s="1"/>
  <c r="F1834" i="184"/>
  <c r="F69" i="16"/>
  <c r="F1835" i="184"/>
  <c r="F69" i="36"/>
  <c r="F1836" i="184" s="1"/>
  <c r="F69" i="21"/>
  <c r="F1837" i="184" s="1"/>
  <c r="F69" i="26"/>
  <c r="F1838" i="184" s="1"/>
  <c r="F1840" i="184"/>
  <c r="F69" i="42"/>
  <c r="F1841" i="184" s="1"/>
  <c r="F69" i="67"/>
  <c r="F1842" i="184" s="1"/>
  <c r="F69" i="47"/>
  <c r="D45" i="46" s="1"/>
  <c r="F1844" i="184"/>
  <c r="F1845" i="184"/>
  <c r="F69" i="87"/>
  <c r="F1847" i="184" s="1"/>
  <c r="F69" i="57"/>
  <c r="F1848" i="184"/>
  <c r="F69" i="97"/>
  <c r="F1849" i="184" s="1"/>
  <c r="F69" i="78"/>
  <c r="F1850" i="184"/>
  <c r="F69" i="199"/>
  <c r="F1851" i="184" s="1"/>
  <c r="F69" i="62"/>
  <c r="F1852" i="184"/>
  <c r="F69" i="82"/>
  <c r="F1853" i="184" s="1"/>
  <c r="F69" i="203"/>
  <c r="F1854" i="184"/>
  <c r="F69" i="102"/>
  <c r="F69" i="72"/>
  <c r="F1858" i="184"/>
  <c r="F69" i="52"/>
  <c r="F1861" i="184"/>
  <c r="F69" i="107"/>
  <c r="F1862" i="184" s="1"/>
  <c r="F69" i="112"/>
  <c r="F1863" i="184"/>
  <c r="F69" i="117"/>
  <c r="F1864" i="184" s="1"/>
  <c r="F69" i="122"/>
  <c r="F1865" i="184" s="1"/>
  <c r="F1868" i="184"/>
  <c r="E69" i="127"/>
  <c r="E1839" i="184"/>
  <c r="E69" i="13"/>
  <c r="E1833" i="184" s="1"/>
  <c r="E69" i="16"/>
  <c r="E1835" i="184"/>
  <c r="E69" i="36"/>
  <c r="E1836" i="184" s="1"/>
  <c r="E69" i="21"/>
  <c r="E1837" i="184"/>
  <c r="E69" i="26"/>
  <c r="E1838" i="184" s="1"/>
  <c r="E69" i="42"/>
  <c r="E1841" i="184" s="1"/>
  <c r="E69" i="67"/>
  <c r="E1842" i="184" s="1"/>
  <c r="E69" i="47"/>
  <c r="E1843" i="184" s="1"/>
  <c r="E1845" i="184"/>
  <c r="E69" i="87"/>
  <c r="E1847" i="184" s="1"/>
  <c r="E69" i="57"/>
  <c r="E1848" i="184" s="1"/>
  <c r="E69" i="97"/>
  <c r="E1849" i="184"/>
  <c r="E69" i="78"/>
  <c r="E1850" i="184" s="1"/>
  <c r="E69" i="199"/>
  <c r="E1851" i="184" s="1"/>
  <c r="E69" i="62"/>
  <c r="E1852" i="184" s="1"/>
  <c r="E69" i="82"/>
  <c r="E1853" i="184"/>
  <c r="E69" i="203"/>
  <c r="E1854" i="184" s="1"/>
  <c r="E69" i="102"/>
  <c r="E1855" i="184"/>
  <c r="E69" i="72"/>
  <c r="E1856" i="184" s="1"/>
  <c r="E69" i="52"/>
  <c r="E1861" i="184"/>
  <c r="E69" i="107"/>
  <c r="E1862" i="184" s="1"/>
  <c r="E69" i="112"/>
  <c r="E1863" i="184"/>
  <c r="E69" i="117"/>
  <c r="E1864" i="184" s="1"/>
  <c r="E69" i="122"/>
  <c r="E1865" i="184"/>
  <c r="E1868" i="184"/>
  <c r="D69" i="127"/>
  <c r="D1839" i="184"/>
  <c r="AA68" i="127"/>
  <c r="P68" i="127"/>
  <c r="D312" i="191" s="1"/>
  <c r="P68" i="13"/>
  <c r="D306" i="191"/>
  <c r="P68" i="16"/>
  <c r="D308" i="191" s="1"/>
  <c r="P68" i="36"/>
  <c r="D309" i="191"/>
  <c r="P68" i="21"/>
  <c r="D310" i="191" s="1"/>
  <c r="P68" i="26"/>
  <c r="D311" i="191"/>
  <c r="D313" i="191"/>
  <c r="P68" i="42"/>
  <c r="D314" i="191"/>
  <c r="P68" i="67"/>
  <c r="D315" i="191" s="1"/>
  <c r="P68" i="47"/>
  <c r="D316" i="191"/>
  <c r="P68" i="87"/>
  <c r="D320" i="191" s="1"/>
  <c r="P68" i="57"/>
  <c r="D321" i="191" s="1"/>
  <c r="P68" i="97"/>
  <c r="D322" i="191" s="1"/>
  <c r="P68" i="78"/>
  <c r="D323" i="191" s="1"/>
  <c r="P68" i="199"/>
  <c r="D324" i="191" s="1"/>
  <c r="P68" i="62"/>
  <c r="D325" i="191" s="1"/>
  <c r="P68" i="82"/>
  <c r="D326" i="191" s="1"/>
  <c r="P68" i="203"/>
  <c r="D327" i="191"/>
  <c r="P68" i="102"/>
  <c r="D328" i="191" s="1"/>
  <c r="P68" i="72"/>
  <c r="D329" i="191" s="1"/>
  <c r="D331" i="191"/>
  <c r="P68" i="52"/>
  <c r="D334" i="191" s="1"/>
  <c r="P68" i="107"/>
  <c r="D335" i="191" s="1"/>
  <c r="P68" i="112"/>
  <c r="D336" i="191" s="1"/>
  <c r="P68" i="117"/>
  <c r="D337" i="191"/>
  <c r="P68" i="122"/>
  <c r="D338" i="191" s="1"/>
  <c r="D340" i="191"/>
  <c r="D341" i="191"/>
  <c r="L68" i="127"/>
  <c r="L1802" i="184"/>
  <c r="K68" i="127"/>
  <c r="K1802" i="184" s="1"/>
  <c r="J68" i="127"/>
  <c r="I68" i="127"/>
  <c r="I1802" i="184"/>
  <c r="I68" i="13"/>
  <c r="I1796" i="184" s="1"/>
  <c r="I68" i="16"/>
  <c r="I1798" i="184"/>
  <c r="I68" i="36"/>
  <c r="I1799" i="184" s="1"/>
  <c r="I68" i="21"/>
  <c r="I1800" i="184"/>
  <c r="I68" i="26"/>
  <c r="I1801" i="184" s="1"/>
  <c r="I68" i="42"/>
  <c r="I1804" i="184"/>
  <c r="I68" i="67"/>
  <c r="I1805" i="184" s="1"/>
  <c r="I68" i="47"/>
  <c r="I1806" i="184"/>
  <c r="I68" i="87"/>
  <c r="I1810" i="184" s="1"/>
  <c r="I68" i="57"/>
  <c r="I1811" i="184"/>
  <c r="I68" i="97"/>
  <c r="I1812" i="184" s="1"/>
  <c r="I68" i="78"/>
  <c r="I1813" i="184" s="1"/>
  <c r="I68" i="199"/>
  <c r="I1814" i="184" s="1"/>
  <c r="I68" i="62"/>
  <c r="I1815" i="184"/>
  <c r="I68" i="82"/>
  <c r="I1816" i="184" s="1"/>
  <c r="I68" i="203"/>
  <c r="I1817" i="184"/>
  <c r="I68" i="102"/>
  <c r="I1818" i="184" s="1"/>
  <c r="I68" i="72"/>
  <c r="I1819" i="184"/>
  <c r="I1820" i="184"/>
  <c r="I68" i="52"/>
  <c r="I1824" i="184"/>
  <c r="I68" i="107"/>
  <c r="I1825" i="184" s="1"/>
  <c r="I68" i="112"/>
  <c r="I1826" i="184"/>
  <c r="I68" i="117"/>
  <c r="I1827" i="184" s="1"/>
  <c r="I68" i="122"/>
  <c r="I1828" i="184" s="1"/>
  <c r="I1831" i="184"/>
  <c r="H68" i="127"/>
  <c r="G68" i="127"/>
  <c r="F68" i="127"/>
  <c r="D66" i="126" s="1"/>
  <c r="E68" i="127"/>
  <c r="E1802" i="184"/>
  <c r="D68" i="127"/>
  <c r="AA67" i="127"/>
  <c r="W67" i="127"/>
  <c r="V67" i="127"/>
  <c r="P67" i="127"/>
  <c r="U67" i="127" s="1"/>
  <c r="L67" i="127"/>
  <c r="L1765" i="184" s="1"/>
  <c r="K67" i="127"/>
  <c r="K1765" i="184" s="1"/>
  <c r="K67" i="13"/>
  <c r="K1759" i="184" s="1"/>
  <c r="K67" i="16"/>
  <c r="K1761" i="184" s="1"/>
  <c r="K67" i="36"/>
  <c r="K1762" i="184"/>
  <c r="K67" i="21"/>
  <c r="K1763" i="184" s="1"/>
  <c r="K67" i="26"/>
  <c r="K1764" i="184"/>
  <c r="K67" i="42"/>
  <c r="K1767" i="184" s="1"/>
  <c r="K67" i="67"/>
  <c r="K1768" i="184"/>
  <c r="K67" i="47"/>
  <c r="K1769" i="184" s="1"/>
  <c r="K1772" i="184"/>
  <c r="K67" i="87"/>
  <c r="K1773" i="184"/>
  <c r="K67" i="57"/>
  <c r="K1774" i="184" s="1"/>
  <c r="K67" i="97"/>
  <c r="K1775" i="184" s="1"/>
  <c r="K67" i="78"/>
  <c r="K1776" i="184" s="1"/>
  <c r="K67" i="199"/>
  <c r="K1777" i="184"/>
  <c r="K67" i="62"/>
  <c r="K1778" i="184" s="1"/>
  <c r="K67" i="82"/>
  <c r="K1779" i="184"/>
  <c r="K67" i="203"/>
  <c r="K1780" i="184" s="1"/>
  <c r="K67" i="102"/>
  <c r="K1781" i="184"/>
  <c r="K67" i="72"/>
  <c r="K1782" i="184" s="1"/>
  <c r="K67" i="52"/>
  <c r="K1787" i="184"/>
  <c r="K67" i="107"/>
  <c r="K1788" i="184" s="1"/>
  <c r="K67" i="112"/>
  <c r="K1789" i="184"/>
  <c r="K67" i="117"/>
  <c r="K1790" i="184" s="1"/>
  <c r="K67" i="122"/>
  <c r="K1791" i="184"/>
  <c r="K1794" i="184"/>
  <c r="J67" i="127"/>
  <c r="J1765" i="184" s="1"/>
  <c r="I67" i="127"/>
  <c r="H67" i="127"/>
  <c r="H1765" i="184"/>
  <c r="G67" i="127"/>
  <c r="G1765" i="184" s="1"/>
  <c r="F67" i="127"/>
  <c r="E67" i="127"/>
  <c r="E1765" i="184"/>
  <c r="D67" i="127"/>
  <c r="D1765" i="184" s="1"/>
  <c r="AA66" i="127"/>
  <c r="W66" i="127"/>
  <c r="K238" i="191" s="1"/>
  <c r="V66" i="127"/>
  <c r="J238" i="191" s="1"/>
  <c r="P66" i="127"/>
  <c r="D238" i="191" s="1"/>
  <c r="L66" i="127"/>
  <c r="L1728" i="184"/>
  <c r="K66" i="127"/>
  <c r="K1728" i="184" s="1"/>
  <c r="J66" i="127"/>
  <c r="J1728" i="184"/>
  <c r="J66" i="13"/>
  <c r="J1722" i="184" s="1"/>
  <c r="J66" i="16"/>
  <c r="J1724" i="184"/>
  <c r="J66" i="36"/>
  <c r="J1725" i="184" s="1"/>
  <c r="J66" i="21"/>
  <c r="J1726" i="184"/>
  <c r="J66" i="26"/>
  <c r="J1727" i="184" s="1"/>
  <c r="J66" i="42"/>
  <c r="J1730" i="184"/>
  <c r="J66" i="67"/>
  <c r="J1731" i="184" s="1"/>
  <c r="J66" i="47"/>
  <c r="J1732" i="184"/>
  <c r="J66" i="87"/>
  <c r="J1736" i="184" s="1"/>
  <c r="J66" i="57"/>
  <c r="J1737" i="184"/>
  <c r="J66" i="97"/>
  <c r="J66" i="78"/>
  <c r="J1739" i="184" s="1"/>
  <c r="J66" i="199"/>
  <c r="J1740" i="184" s="1"/>
  <c r="J66" i="62"/>
  <c r="J1741" i="184" s="1"/>
  <c r="J66" i="82"/>
  <c r="J1742" i="184"/>
  <c r="J66" i="203"/>
  <c r="J1743" i="184" s="1"/>
  <c r="J66" i="102"/>
  <c r="J1744" i="184"/>
  <c r="J66" i="72"/>
  <c r="J1745" i="184" s="1"/>
  <c r="J66" i="52"/>
  <c r="J1750" i="184"/>
  <c r="J66" i="107"/>
  <c r="J1751" i="184"/>
  <c r="J66" i="112"/>
  <c r="J1752" i="184"/>
  <c r="J66" i="117"/>
  <c r="J1753" i="184" s="1"/>
  <c r="J66" i="122"/>
  <c r="J1754" i="184"/>
  <c r="J1757" i="184"/>
  <c r="I66" i="127"/>
  <c r="I1728" i="184" s="1"/>
  <c r="H66" i="127"/>
  <c r="H1728" i="184" s="1"/>
  <c r="G66" i="127"/>
  <c r="F66" i="127"/>
  <c r="D42" i="126" s="1"/>
  <c r="E66" i="127"/>
  <c r="E1728" i="184" s="1"/>
  <c r="D66" i="127"/>
  <c r="D1728" i="184" s="1"/>
  <c r="D66" i="13"/>
  <c r="D1722" i="184" s="1"/>
  <c r="D66" i="16"/>
  <c r="D1724" i="184" s="1"/>
  <c r="D66" i="36"/>
  <c r="D66" i="21"/>
  <c r="D1726" i="184"/>
  <c r="D66" i="26"/>
  <c r="D1727" i="184" s="1"/>
  <c r="D1729" i="184"/>
  <c r="D66" i="42"/>
  <c r="D1730" i="184" s="1"/>
  <c r="D66" i="67"/>
  <c r="D1731" i="184" s="1"/>
  <c r="D66" i="47"/>
  <c r="D1732" i="184" s="1"/>
  <c r="D1735" i="184"/>
  <c r="D66" i="87"/>
  <c r="D1736" i="184" s="1"/>
  <c r="D66" i="57"/>
  <c r="D1737" i="184" s="1"/>
  <c r="D66" i="97"/>
  <c r="D1738" i="184" s="1"/>
  <c r="D66" i="78"/>
  <c r="D1739" i="184" s="1"/>
  <c r="D66" i="199"/>
  <c r="D1740" i="184" s="1"/>
  <c r="D66" i="62"/>
  <c r="D1741" i="184" s="1"/>
  <c r="D66" i="82"/>
  <c r="D1742" i="184"/>
  <c r="D66" i="203"/>
  <c r="D1743" i="184" s="1"/>
  <c r="D66" i="102"/>
  <c r="D1744" i="184" s="1"/>
  <c r="D66" i="72"/>
  <c r="D66" i="52"/>
  <c r="D1750" i="184" s="1"/>
  <c r="D66" i="107"/>
  <c r="D1751" i="184" s="1"/>
  <c r="D66" i="112"/>
  <c r="D1752" i="184" s="1"/>
  <c r="D66" i="117"/>
  <c r="D1753" i="184" s="1"/>
  <c r="D66" i="122"/>
  <c r="D1754" i="184" s="1"/>
  <c r="D1757" i="184"/>
  <c r="AA65" i="127"/>
  <c r="W65" i="127"/>
  <c r="K201" i="191"/>
  <c r="V65" i="127"/>
  <c r="P65" i="127"/>
  <c r="U65" i="127" s="1"/>
  <c r="L65" i="127"/>
  <c r="L1691" i="184" s="1"/>
  <c r="K65" i="127"/>
  <c r="J65" i="127"/>
  <c r="J1691" i="184" s="1"/>
  <c r="J65" i="13"/>
  <c r="J1685" i="184"/>
  <c r="J65" i="16"/>
  <c r="J1687" i="184" s="1"/>
  <c r="J65" i="36"/>
  <c r="J1688" i="184" s="1"/>
  <c r="J65" i="21"/>
  <c r="J1689" i="184" s="1"/>
  <c r="J65" i="26"/>
  <c r="J1690" i="184" s="1"/>
  <c r="J65" i="42"/>
  <c r="J1693" i="184" s="1"/>
  <c r="J65" i="67"/>
  <c r="J1694" i="184"/>
  <c r="J65" i="47"/>
  <c r="J1695" i="184"/>
  <c r="J65" i="87"/>
  <c r="J1699" i="184"/>
  <c r="J65" i="57"/>
  <c r="J1700" i="184" s="1"/>
  <c r="J65" i="97"/>
  <c r="J1701" i="184"/>
  <c r="J65" i="78"/>
  <c r="J1702" i="184"/>
  <c r="J65" i="199"/>
  <c r="J1703" i="184"/>
  <c r="J65" i="62"/>
  <c r="J1704" i="184"/>
  <c r="J65" i="82"/>
  <c r="J1705" i="184"/>
  <c r="J65" i="203"/>
  <c r="J1706" i="184"/>
  <c r="J65" i="102"/>
  <c r="J1707" i="184"/>
  <c r="J65" i="72"/>
  <c r="J1709" i="184"/>
  <c r="J1712" i="184"/>
  <c r="J65" i="52"/>
  <c r="J1713" i="184" s="1"/>
  <c r="J65" i="107"/>
  <c r="J1714" i="184" s="1"/>
  <c r="J65" i="112"/>
  <c r="J1715" i="184" s="1"/>
  <c r="J65" i="117"/>
  <c r="J1716" i="184" s="1"/>
  <c r="J65" i="122"/>
  <c r="J1717" i="184" s="1"/>
  <c r="J1720" i="184"/>
  <c r="I65" i="127"/>
  <c r="I1691" i="184" s="1"/>
  <c r="H65" i="127"/>
  <c r="H1691" i="184" s="1"/>
  <c r="G65" i="127"/>
  <c r="G1691" i="184" s="1"/>
  <c r="F65" i="127"/>
  <c r="E65" i="127"/>
  <c r="D65" i="127"/>
  <c r="D1691" i="184" s="1"/>
  <c r="AA64" i="127"/>
  <c r="W64" i="127"/>
  <c r="V64" i="127"/>
  <c r="J164" i="191" s="1"/>
  <c r="Q64" i="127"/>
  <c r="L111" i="127"/>
  <c r="P64" i="127"/>
  <c r="L64" i="127"/>
  <c r="L1654" i="184"/>
  <c r="K64" i="127"/>
  <c r="K1654" i="184"/>
  <c r="J64" i="127"/>
  <c r="J1654" i="184" s="1"/>
  <c r="I64" i="127"/>
  <c r="I1654" i="184" s="1"/>
  <c r="H64" i="127"/>
  <c r="G64" i="127"/>
  <c r="G64" i="13"/>
  <c r="G1648" i="184" s="1"/>
  <c r="G64" i="16"/>
  <c r="G1650" i="184"/>
  <c r="G64" i="36"/>
  <c r="G1651" i="184"/>
  <c r="G64" i="21"/>
  <c r="G1652" i="184" s="1"/>
  <c r="G64" i="26"/>
  <c r="G64" i="42"/>
  <c r="G64" i="67"/>
  <c r="G1657" i="184" s="1"/>
  <c r="G64" i="47"/>
  <c r="G1658" i="184"/>
  <c r="G64" i="87"/>
  <c r="G1662" i="184" s="1"/>
  <c r="G64" i="57"/>
  <c r="G1663" i="184" s="1"/>
  <c r="G64" i="97"/>
  <c r="G1664" i="184"/>
  <c r="G64" i="78"/>
  <c r="G1665" i="184" s="1"/>
  <c r="G64" i="199"/>
  <c r="G1666" i="184"/>
  <c r="G64" i="62"/>
  <c r="G1667" i="184"/>
  <c r="G64" i="82"/>
  <c r="G1668" i="184" s="1"/>
  <c r="G64" i="203"/>
  <c r="G64" i="102"/>
  <c r="G64" i="72"/>
  <c r="G1671" i="184"/>
  <c r="G64" i="52"/>
  <c r="G1676" i="184" s="1"/>
  <c r="G64" i="107"/>
  <c r="G1677" i="184" s="1"/>
  <c r="G64" i="112"/>
  <c r="G1678" i="184"/>
  <c r="G64" i="117"/>
  <c r="G1679" i="184"/>
  <c r="G64" i="122"/>
  <c r="G1680" i="184" s="1"/>
  <c r="G1683" i="184"/>
  <c r="F64" i="127"/>
  <c r="F1654" i="184" s="1"/>
  <c r="F64" i="13"/>
  <c r="F1648" i="184"/>
  <c r="F1649" i="184"/>
  <c r="F64" i="16"/>
  <c r="F1650" i="184" s="1"/>
  <c r="F64" i="36"/>
  <c r="F1651" i="184" s="1"/>
  <c r="F64" i="21"/>
  <c r="F1652" i="184" s="1"/>
  <c r="F64" i="26"/>
  <c r="F1653" i="184" s="1"/>
  <c r="F1655" i="184"/>
  <c r="F64" i="42"/>
  <c r="F1656" i="184" s="1"/>
  <c r="F64" i="67"/>
  <c r="F1657" i="184" s="1"/>
  <c r="F64" i="47"/>
  <c r="F1658" i="184"/>
  <c r="F1659" i="184"/>
  <c r="F1660" i="184"/>
  <c r="F64" i="87"/>
  <c r="F1662" i="184" s="1"/>
  <c r="F64" i="57"/>
  <c r="F1663" i="184"/>
  <c r="F64" i="97"/>
  <c r="F64" i="78"/>
  <c r="F1665" i="184" s="1"/>
  <c r="F64" i="199"/>
  <c r="F1666" i="184" s="1"/>
  <c r="F64" i="62"/>
  <c r="F64" i="82"/>
  <c r="F1668" i="184"/>
  <c r="F64" i="203"/>
  <c r="F1669" i="184"/>
  <c r="F64" i="102"/>
  <c r="F1670" i="184"/>
  <c r="F64" i="72"/>
  <c r="F1671" i="184" s="1"/>
  <c r="F1672" i="184"/>
  <c r="F1673" i="184"/>
  <c r="F64" i="52"/>
  <c r="F1676" i="184" s="1"/>
  <c r="F64" i="107"/>
  <c r="F1677" i="184" s="1"/>
  <c r="F64" i="112"/>
  <c r="F1678" i="184" s="1"/>
  <c r="F64" i="117"/>
  <c r="F1679" i="184" s="1"/>
  <c r="F64" i="122"/>
  <c r="F1680" i="184" s="1"/>
  <c r="F1681" i="184"/>
  <c r="F1682" i="184"/>
  <c r="F1683" i="184"/>
  <c r="E64" i="127"/>
  <c r="E1654" i="184" s="1"/>
  <c r="D64" i="127"/>
  <c r="D64" i="13"/>
  <c r="D1648" i="184" s="1"/>
  <c r="D64" i="16"/>
  <c r="D1650" i="184" s="1"/>
  <c r="D64" i="36"/>
  <c r="D1651" i="184" s="1"/>
  <c r="D64" i="21"/>
  <c r="D1652" i="184" s="1"/>
  <c r="D64" i="26"/>
  <c r="D1653" i="184" s="1"/>
  <c r="D1655" i="184"/>
  <c r="D64" i="42"/>
  <c r="D1656" i="184" s="1"/>
  <c r="D64" i="67"/>
  <c r="D1657" i="184" s="1"/>
  <c r="D64" i="47"/>
  <c r="D1659" i="184"/>
  <c r="D64" i="87"/>
  <c r="D1662" i="184" s="1"/>
  <c r="D64" i="57"/>
  <c r="D1663" i="184" s="1"/>
  <c r="D64" i="97"/>
  <c r="D1664" i="184" s="1"/>
  <c r="D64" i="78"/>
  <c r="D1665" i="184" s="1"/>
  <c r="D64" i="199"/>
  <c r="D1666" i="184" s="1"/>
  <c r="D64" i="62"/>
  <c r="D64" i="82"/>
  <c r="D1668" i="184" s="1"/>
  <c r="D64" i="203"/>
  <c r="D1669" i="184" s="1"/>
  <c r="D64" i="102"/>
  <c r="D1670" i="184" s="1"/>
  <c r="D64" i="72"/>
  <c r="D1671" i="184" s="1"/>
  <c r="D1675" i="184"/>
  <c r="D64" i="52"/>
  <c r="D1676" i="184" s="1"/>
  <c r="D64" i="107"/>
  <c r="D1677" i="184" s="1"/>
  <c r="D64" i="112"/>
  <c r="D1678" i="184" s="1"/>
  <c r="D64" i="117"/>
  <c r="D1679" i="184" s="1"/>
  <c r="D64" i="122"/>
  <c r="D1680" i="184" s="1"/>
  <c r="D1683" i="184"/>
  <c r="AA63" i="127"/>
  <c r="W63" i="127"/>
  <c r="K127" i="191"/>
  <c r="V63" i="127"/>
  <c r="P63" i="127"/>
  <c r="L63" i="127"/>
  <c r="L1617" i="184" s="1"/>
  <c r="K63" i="127"/>
  <c r="K1617" i="184"/>
  <c r="J63" i="127"/>
  <c r="I63" i="127"/>
  <c r="I1617" i="184" s="1"/>
  <c r="H63" i="127"/>
  <c r="H1617" i="184"/>
  <c r="G63" i="127"/>
  <c r="F63" i="127"/>
  <c r="D39" i="126" s="1"/>
  <c r="E63" i="127"/>
  <c r="E1617" i="184"/>
  <c r="D63" i="127"/>
  <c r="AA62" i="127"/>
  <c r="W62" i="127"/>
  <c r="K90" i="191" s="1"/>
  <c r="V62" i="127"/>
  <c r="P62" i="127"/>
  <c r="U62" i="127" s="1"/>
  <c r="L62" i="127"/>
  <c r="L1580" i="184" s="1"/>
  <c r="K62" i="127"/>
  <c r="J62" i="127"/>
  <c r="J1580" i="184" s="1"/>
  <c r="J62" i="13"/>
  <c r="J1574" i="184"/>
  <c r="J62" i="16"/>
  <c r="J1576" i="184"/>
  <c r="J62" i="36"/>
  <c r="J1577" i="184" s="1"/>
  <c r="J62" i="21"/>
  <c r="J1578" i="184"/>
  <c r="J62" i="26"/>
  <c r="J62" i="42"/>
  <c r="J1582" i="184" s="1"/>
  <c r="J62" i="67"/>
  <c r="J1583" i="184" s="1"/>
  <c r="J62" i="47"/>
  <c r="J62" i="87"/>
  <c r="J1588" i="184"/>
  <c r="J62" i="57"/>
  <c r="J62" i="97"/>
  <c r="J62" i="78"/>
  <c r="J62" i="199"/>
  <c r="J1592" i="184" s="1"/>
  <c r="J62" i="62"/>
  <c r="J1593" i="184" s="1"/>
  <c r="J62" i="82"/>
  <c r="J1594" i="184" s="1"/>
  <c r="J62" i="203"/>
  <c r="J1595" i="184" s="1"/>
  <c r="J62" i="102"/>
  <c r="J1596" i="184" s="1"/>
  <c r="J62" i="72"/>
  <c r="J1597" i="184" s="1"/>
  <c r="J62" i="52"/>
  <c r="J1602" i="184" s="1"/>
  <c r="J62" i="107"/>
  <c r="J1603" i="184" s="1"/>
  <c r="J62" i="112"/>
  <c r="J1604" i="184" s="1"/>
  <c r="J62" i="117"/>
  <c r="J1605" i="184" s="1"/>
  <c r="J62" i="122"/>
  <c r="J1606" i="184" s="1"/>
  <c r="J1609" i="184"/>
  <c r="I62" i="127"/>
  <c r="I1580" i="184" s="1"/>
  <c r="H62" i="127"/>
  <c r="G62" i="127"/>
  <c r="G1580" i="184"/>
  <c r="F62" i="127"/>
  <c r="E62" i="127"/>
  <c r="E1580" i="184" s="1"/>
  <c r="D62" i="127"/>
  <c r="AA61" i="127"/>
  <c r="W61" i="127"/>
  <c r="V61" i="127"/>
  <c r="P61" i="127"/>
  <c r="U61" i="127" s="1"/>
  <c r="L61" i="127"/>
  <c r="L1543" i="184" s="1"/>
  <c r="K61" i="127"/>
  <c r="K1543" i="184" s="1"/>
  <c r="K61" i="13"/>
  <c r="K1537" i="184" s="1"/>
  <c r="K61" i="16"/>
  <c r="K1539" i="184" s="1"/>
  <c r="K61" i="36"/>
  <c r="K1540" i="184" s="1"/>
  <c r="K61" i="21"/>
  <c r="K1541" i="184" s="1"/>
  <c r="K61" i="26"/>
  <c r="K1542" i="184" s="1"/>
  <c r="K61" i="42"/>
  <c r="K1545" i="184" s="1"/>
  <c r="K61" i="67"/>
  <c r="K61" i="47"/>
  <c r="K1547" i="184"/>
  <c r="K61" i="87"/>
  <c r="K1551" i="184" s="1"/>
  <c r="K61" i="57"/>
  <c r="K1552" i="184" s="1"/>
  <c r="K61" i="97"/>
  <c r="K1553" i="184"/>
  <c r="K61" i="78"/>
  <c r="K1554" i="184"/>
  <c r="K61" i="199"/>
  <c r="K1555" i="184" s="1"/>
  <c r="K61" i="62"/>
  <c r="K1556" i="184"/>
  <c r="K61" i="82"/>
  <c r="K1557" i="184"/>
  <c r="K61" i="203"/>
  <c r="K1558" i="184" s="1"/>
  <c r="K61" i="102"/>
  <c r="K1559" i="184" s="1"/>
  <c r="K61" i="72"/>
  <c r="K1560" i="184" s="1"/>
  <c r="K61" i="52"/>
  <c r="K1565" i="184"/>
  <c r="K61" i="107"/>
  <c r="K1566" i="184"/>
  <c r="K61" i="112"/>
  <c r="K1567" i="184" s="1"/>
  <c r="K61" i="117"/>
  <c r="K1568" i="184" s="1"/>
  <c r="K61" i="122"/>
  <c r="K1569" i="184" s="1"/>
  <c r="K1572" i="184"/>
  <c r="J61" i="127"/>
  <c r="J1543" i="184" s="1"/>
  <c r="I61" i="127"/>
  <c r="I1543" i="184"/>
  <c r="H61" i="127"/>
  <c r="H1543" i="184" s="1"/>
  <c r="G61" i="127"/>
  <c r="G1543" i="184" s="1"/>
  <c r="G61" i="13"/>
  <c r="G1537" i="184" s="1"/>
  <c r="G61" i="16"/>
  <c r="G1539" i="184" s="1"/>
  <c r="G61" i="36"/>
  <c r="G1540" i="184"/>
  <c r="G61" i="21"/>
  <c r="G1541" i="184" s="1"/>
  <c r="G61" i="26"/>
  <c r="G1542" i="184" s="1"/>
  <c r="G61" i="42"/>
  <c r="G1545" i="184"/>
  <c r="G61" i="67"/>
  <c r="G1546" i="184"/>
  <c r="G61" i="47"/>
  <c r="G1547" i="184"/>
  <c r="G61" i="87"/>
  <c r="G1551" i="184" s="1"/>
  <c r="G61" i="57"/>
  <c r="G1552" i="184" s="1"/>
  <c r="G61" i="97"/>
  <c r="G1553" i="184"/>
  <c r="G61" i="78"/>
  <c r="G1554" i="184" s="1"/>
  <c r="G61" i="199"/>
  <c r="G1555" i="184" s="1"/>
  <c r="G61" i="62"/>
  <c r="G1556" i="184" s="1"/>
  <c r="G61" i="82"/>
  <c r="G1557" i="184" s="1"/>
  <c r="G61" i="203"/>
  <c r="G1558" i="184"/>
  <c r="G61" i="102"/>
  <c r="G61" i="72"/>
  <c r="G1560" i="184" s="1"/>
  <c r="G61" i="52"/>
  <c r="G61" i="107"/>
  <c r="G1566" i="184" s="1"/>
  <c r="G61" i="112"/>
  <c r="G1567" i="184"/>
  <c r="G61" i="117"/>
  <c r="G1568" i="184" s="1"/>
  <c r="G61" i="122"/>
  <c r="G1569" i="184"/>
  <c r="G1570" i="184"/>
  <c r="G1572" i="184"/>
  <c r="F61" i="127"/>
  <c r="E61" i="127"/>
  <c r="D61" i="127"/>
  <c r="D1543" i="184" s="1"/>
  <c r="AA60" i="127"/>
  <c r="W60" i="127"/>
  <c r="K16" i="191"/>
  <c r="V60" i="127"/>
  <c r="J16" i="191"/>
  <c r="P60" i="127"/>
  <c r="D16" i="191" s="1"/>
  <c r="L60" i="127"/>
  <c r="K60" i="127"/>
  <c r="K1506" i="184" s="1"/>
  <c r="J60" i="127"/>
  <c r="J1506" i="184" s="1"/>
  <c r="I60" i="127"/>
  <c r="H60" i="127"/>
  <c r="H1506" i="184" s="1"/>
  <c r="G60" i="127"/>
  <c r="D60" i="127"/>
  <c r="D1506" i="184" s="1"/>
  <c r="E60" i="127"/>
  <c r="E1506" i="184" s="1"/>
  <c r="F60" i="127"/>
  <c r="D36" i="126" s="1"/>
  <c r="L1393" i="184"/>
  <c r="K1393" i="184"/>
  <c r="E1393" i="184"/>
  <c r="L1356" i="184"/>
  <c r="I1356" i="184"/>
  <c r="H1356" i="184"/>
  <c r="J1319" i="184"/>
  <c r="I1319" i="184"/>
  <c r="G1319" i="184"/>
  <c r="E1319" i="184"/>
  <c r="L1282" i="184"/>
  <c r="K1282" i="184"/>
  <c r="H1282" i="184"/>
  <c r="L1245" i="184"/>
  <c r="I1245" i="184"/>
  <c r="I1241" i="184"/>
  <c r="I1242" i="184"/>
  <c r="I1243" i="184"/>
  <c r="I1244" i="184"/>
  <c r="I1247" i="184"/>
  <c r="I1249" i="184"/>
  <c r="I1250" i="184"/>
  <c r="I1251" i="184"/>
  <c r="I1253" i="184"/>
  <c r="I1254" i="184"/>
  <c r="I1255" i="184"/>
  <c r="I1256" i="184"/>
  <c r="I1257" i="184"/>
  <c r="I1258" i="184"/>
  <c r="I1259" i="184"/>
  <c r="I1260" i="184"/>
  <c r="I1261" i="184"/>
  <c r="I1262" i="184"/>
  <c r="I1266" i="184"/>
  <c r="I1267" i="184"/>
  <c r="I1269" i="184"/>
  <c r="I1271" i="184"/>
  <c r="I1273" i="184"/>
  <c r="I1274" i="184"/>
  <c r="H1245" i="184"/>
  <c r="G1245" i="184"/>
  <c r="G1239" i="184"/>
  <c r="G1241" i="184"/>
  <c r="G1242" i="184"/>
  <c r="G1243" i="184"/>
  <c r="G1244" i="184"/>
  <c r="G1247" i="184"/>
  <c r="G1248" i="184"/>
  <c r="G1249" i="184"/>
  <c r="G1253" i="184"/>
  <c r="G1255" i="184"/>
  <c r="G1257" i="184"/>
  <c r="G1258" i="184"/>
  <c r="G1259" i="184"/>
  <c r="G1260" i="184"/>
  <c r="G1261" i="184"/>
  <c r="G1267" i="184"/>
  <c r="G1268" i="184"/>
  <c r="G1269" i="184"/>
  <c r="G1274" i="184"/>
  <c r="D1245" i="184"/>
  <c r="D1239" i="184"/>
  <c r="D1241" i="184"/>
  <c r="D1243" i="184"/>
  <c r="D1244" i="184"/>
  <c r="D1248" i="184"/>
  <c r="D1249" i="184"/>
  <c r="D1250" i="184"/>
  <c r="D1253" i="184"/>
  <c r="D1255" i="184"/>
  <c r="D1256" i="184"/>
  <c r="D1257" i="184"/>
  <c r="D1258" i="184"/>
  <c r="D1259" i="184"/>
  <c r="D1267" i="184"/>
  <c r="D1268" i="184"/>
  <c r="D1269" i="184"/>
  <c r="D1270" i="184"/>
  <c r="D1271" i="184"/>
  <c r="I1208" i="184"/>
  <c r="H1208" i="184"/>
  <c r="E1208" i="184"/>
  <c r="D1208" i="184"/>
  <c r="L1169" i="184"/>
  <c r="K1169" i="184"/>
  <c r="H1163" i="184"/>
  <c r="H1167" i="184"/>
  <c r="H1168" i="184"/>
  <c r="H1170" i="184"/>
  <c r="H1172" i="184"/>
  <c r="H1173" i="184"/>
  <c r="H1174" i="184"/>
  <c r="H1176" i="184"/>
  <c r="H1177" i="184"/>
  <c r="H1179" i="184"/>
  <c r="H1180" i="184"/>
  <c r="H1181" i="184"/>
  <c r="H1182" i="184"/>
  <c r="H1183" i="184"/>
  <c r="H1184" i="184"/>
  <c r="H1186" i="184"/>
  <c r="H1190" i="184"/>
  <c r="H1191" i="184"/>
  <c r="H1193" i="184"/>
  <c r="H1194" i="184"/>
  <c r="H1195" i="184"/>
  <c r="H1197" i="184"/>
  <c r="G1169" i="184"/>
  <c r="G1163" i="184"/>
  <c r="G1165" i="184"/>
  <c r="G1167" i="184"/>
  <c r="G1171" i="184"/>
  <c r="G1172" i="184"/>
  <c r="G1173" i="184"/>
  <c r="G1179" i="184"/>
  <c r="G1180" i="184"/>
  <c r="G1181" i="184"/>
  <c r="G1182" i="184"/>
  <c r="G1183" i="184"/>
  <c r="G1184" i="184"/>
  <c r="G1185" i="184"/>
  <c r="G1186" i="184"/>
  <c r="G1191" i="184"/>
  <c r="G1192" i="184"/>
  <c r="G1193" i="184"/>
  <c r="G1195" i="184"/>
  <c r="G1198" i="184"/>
  <c r="D1169" i="184"/>
  <c r="L41" i="127"/>
  <c r="L1055" i="184" s="1"/>
  <c r="K41" i="127"/>
  <c r="K1055" i="184" s="1"/>
  <c r="J41" i="127"/>
  <c r="J1055" i="184" s="1"/>
  <c r="I41" i="127"/>
  <c r="H41" i="127"/>
  <c r="H1055" i="184"/>
  <c r="G41" i="127"/>
  <c r="F41" i="127"/>
  <c r="F1055" i="184" s="1"/>
  <c r="E41" i="127"/>
  <c r="E1055" i="184" s="1"/>
  <c r="D41" i="127"/>
  <c r="L40" i="127"/>
  <c r="L1018" i="184" s="1"/>
  <c r="K40" i="127"/>
  <c r="K1018" i="184"/>
  <c r="J40" i="127"/>
  <c r="J1018" i="184"/>
  <c r="I40" i="127"/>
  <c r="H40" i="127"/>
  <c r="H1018" i="184"/>
  <c r="G40" i="127"/>
  <c r="G1018" i="184" s="1"/>
  <c r="F40" i="127"/>
  <c r="F1018" i="184" s="1"/>
  <c r="E40" i="127"/>
  <c r="E1018" i="184" s="1"/>
  <c r="D40" i="127"/>
  <c r="D1018" i="184"/>
  <c r="L39" i="127"/>
  <c r="L981" i="184" s="1"/>
  <c r="K39" i="127"/>
  <c r="K981" i="184" s="1"/>
  <c r="K975" i="184"/>
  <c r="K977" i="184"/>
  <c r="K978" i="184"/>
  <c r="K980" i="184"/>
  <c r="K983" i="184"/>
  <c r="K985" i="184"/>
  <c r="K989" i="184"/>
  <c r="K991" i="184"/>
  <c r="K993" i="184"/>
  <c r="K994" i="184"/>
  <c r="K995" i="184"/>
  <c r="K996" i="184"/>
  <c r="K997" i="184"/>
  <c r="K998" i="184"/>
  <c r="K999" i="184"/>
  <c r="K1003" i="184"/>
  <c r="K1006" i="184"/>
  <c r="K1007" i="184"/>
  <c r="K1009" i="184"/>
  <c r="K1010" i="184"/>
  <c r="J39" i="127"/>
  <c r="I39" i="127"/>
  <c r="H39" i="127"/>
  <c r="H981" i="184" s="1"/>
  <c r="G39" i="127"/>
  <c r="F39" i="127"/>
  <c r="E39" i="127"/>
  <c r="E981" i="184" s="1"/>
  <c r="D39" i="127"/>
  <c r="L38" i="127"/>
  <c r="K38" i="127"/>
  <c r="K944" i="184" s="1"/>
  <c r="J38" i="127"/>
  <c r="J944" i="184" s="1"/>
  <c r="I38" i="127"/>
  <c r="I944" i="184" s="1"/>
  <c r="H38" i="127"/>
  <c r="G38" i="127"/>
  <c r="G944" i="184" s="1"/>
  <c r="F38" i="127"/>
  <c r="E38" i="127"/>
  <c r="D38" i="127"/>
  <c r="D944" i="184" s="1"/>
  <c r="L37" i="127"/>
  <c r="L907" i="184" s="1"/>
  <c r="K37" i="127"/>
  <c r="K907" i="184"/>
  <c r="J37" i="127"/>
  <c r="J907" i="184" s="1"/>
  <c r="I37" i="127"/>
  <c r="I907" i="184" s="1"/>
  <c r="H37" i="127"/>
  <c r="H907" i="184" s="1"/>
  <c r="G37" i="127"/>
  <c r="F37" i="127"/>
  <c r="F907" i="184" s="1"/>
  <c r="E37" i="127"/>
  <c r="E907" i="184" s="1"/>
  <c r="D37" i="127"/>
  <c r="D907" i="184" s="1"/>
  <c r="L36" i="127"/>
  <c r="K36" i="127"/>
  <c r="K870" i="184"/>
  <c r="J36" i="127"/>
  <c r="I36" i="127"/>
  <c r="I870" i="184" s="1"/>
  <c r="I866" i="184"/>
  <c r="I36" i="36"/>
  <c r="I868" i="184"/>
  <c r="I872" i="184"/>
  <c r="I36" i="67"/>
  <c r="I874" i="184"/>
  <c r="I875" i="184"/>
  <c r="I36" i="87"/>
  <c r="I878" i="184"/>
  <c r="I879" i="184"/>
  <c r="I880" i="184"/>
  <c r="I36" i="78"/>
  <c r="I881" i="184"/>
  <c r="I882" i="184"/>
  <c r="I883" i="184"/>
  <c r="I884" i="184"/>
  <c r="I885" i="184"/>
  <c r="I886" i="184"/>
  <c r="I887" i="184"/>
  <c r="I892" i="184"/>
  <c r="I893" i="184"/>
  <c r="I894" i="184"/>
  <c r="I895" i="184"/>
  <c r="I896" i="184"/>
  <c r="H36" i="127"/>
  <c r="G36" i="127"/>
  <c r="G870" i="184" s="1"/>
  <c r="F36" i="127"/>
  <c r="F870" i="184"/>
  <c r="E36" i="127"/>
  <c r="E870" i="184" s="1"/>
  <c r="D36" i="127"/>
  <c r="D870" i="184" s="1"/>
  <c r="L35" i="127"/>
  <c r="L833" i="184"/>
  <c r="K35" i="127"/>
  <c r="K833" i="184"/>
  <c r="J35" i="127"/>
  <c r="J833" i="184"/>
  <c r="I35" i="127"/>
  <c r="I833" i="184" s="1"/>
  <c r="H35" i="127"/>
  <c r="H833" i="184" s="1"/>
  <c r="G35" i="127"/>
  <c r="G833" i="184" s="1"/>
  <c r="F35" i="127"/>
  <c r="E35" i="127"/>
  <c r="D35" i="127"/>
  <c r="R34" i="127"/>
  <c r="L109" i="127" s="1"/>
  <c r="L34" i="127"/>
  <c r="L796" i="184" s="1"/>
  <c r="K34" i="127"/>
  <c r="K796" i="184" s="1"/>
  <c r="J34" i="127"/>
  <c r="J796" i="184" s="1"/>
  <c r="I34" i="127"/>
  <c r="H34" i="127"/>
  <c r="G34" i="127"/>
  <c r="G796" i="184" s="1"/>
  <c r="F34" i="127"/>
  <c r="F796" i="184" s="1"/>
  <c r="F34" i="13"/>
  <c r="F790" i="184" s="1"/>
  <c r="F34" i="16"/>
  <c r="F792" i="184"/>
  <c r="F34" i="36"/>
  <c r="F793" i="184" s="1"/>
  <c r="F34" i="21"/>
  <c r="F794" i="184" s="1"/>
  <c r="F34" i="26"/>
  <c r="F795" i="184" s="1"/>
  <c r="F797" i="184"/>
  <c r="F34" i="42"/>
  <c r="F798" i="184"/>
  <c r="F34" i="67"/>
  <c r="F799" i="184"/>
  <c r="F34" i="47"/>
  <c r="F800" i="184" s="1"/>
  <c r="F34" i="87"/>
  <c r="F804" i="184" s="1"/>
  <c r="F34" i="57"/>
  <c r="F34" i="97"/>
  <c r="F806" i="184" s="1"/>
  <c r="F34" i="78"/>
  <c r="F807" i="184" s="1"/>
  <c r="F34" i="199"/>
  <c r="F808" i="184" s="1"/>
  <c r="F34" i="62"/>
  <c r="F809" i="184" s="1"/>
  <c r="F34" i="82"/>
  <c r="F810" i="184" s="1"/>
  <c r="F34" i="203"/>
  <c r="F811" i="184" s="1"/>
  <c r="F34" i="102"/>
  <c r="F812" i="184" s="1"/>
  <c r="F34" i="72"/>
  <c r="F813" i="184" s="1"/>
  <c r="F34" i="52"/>
  <c r="F818" i="184" s="1"/>
  <c r="F34" i="107"/>
  <c r="F819" i="184" s="1"/>
  <c r="F34" i="112"/>
  <c r="F820" i="184" s="1"/>
  <c r="F34" i="117"/>
  <c r="F821" i="184" s="1"/>
  <c r="F34" i="122"/>
  <c r="F822" i="184" s="1"/>
  <c r="F825" i="184"/>
  <c r="E34" i="127"/>
  <c r="E796" i="184" s="1"/>
  <c r="E34" i="13"/>
  <c r="E790" i="184" s="1"/>
  <c r="E34" i="16"/>
  <c r="E792" i="184" s="1"/>
  <c r="E34" i="36"/>
  <c r="E793" i="184" s="1"/>
  <c r="E34" i="21"/>
  <c r="E794" i="184" s="1"/>
  <c r="E34" i="26"/>
  <c r="E795" i="184" s="1"/>
  <c r="E34" i="42"/>
  <c r="E798" i="184" s="1"/>
  <c r="E34" i="67"/>
  <c r="E799" i="184" s="1"/>
  <c r="E34" i="47"/>
  <c r="E800" i="184" s="1"/>
  <c r="E803" i="184"/>
  <c r="E34" i="87"/>
  <c r="E804" i="184"/>
  <c r="E34" i="57"/>
  <c r="E805" i="184"/>
  <c r="E34" i="97"/>
  <c r="E34" i="78"/>
  <c r="E807" i="184" s="1"/>
  <c r="E34" i="199"/>
  <c r="E808" i="184" s="1"/>
  <c r="E34" i="62"/>
  <c r="E809" i="184" s="1"/>
  <c r="E34" i="82"/>
  <c r="E810" i="184" s="1"/>
  <c r="E34" i="203"/>
  <c r="E811" i="184" s="1"/>
  <c r="E34" i="102"/>
  <c r="E812" i="184" s="1"/>
  <c r="E34" i="72"/>
  <c r="E813" i="184" s="1"/>
  <c r="E34" i="52"/>
  <c r="E818" i="184" s="1"/>
  <c r="E34" i="107"/>
  <c r="E819" i="184" s="1"/>
  <c r="E34" i="112"/>
  <c r="E820" i="184" s="1"/>
  <c r="E34" i="117"/>
  <c r="E821" i="184" s="1"/>
  <c r="E34" i="122"/>
  <c r="E822" i="184" s="1"/>
  <c r="E823" i="184"/>
  <c r="D34" i="127"/>
  <c r="D796" i="184" s="1"/>
  <c r="L33" i="127"/>
  <c r="L759" i="184" s="1"/>
  <c r="K33" i="127"/>
  <c r="J33" i="127"/>
  <c r="I33" i="127"/>
  <c r="I759" i="184" s="1"/>
  <c r="H33" i="127"/>
  <c r="H759" i="184" s="1"/>
  <c r="G33" i="127"/>
  <c r="G759" i="184" s="1"/>
  <c r="F33" i="127"/>
  <c r="F759" i="184" s="1"/>
  <c r="E33" i="127"/>
  <c r="E759" i="184" s="1"/>
  <c r="D33" i="127"/>
  <c r="Q32" i="127"/>
  <c r="L108" i="127"/>
  <c r="L32" i="127"/>
  <c r="L722" i="184"/>
  <c r="K32" i="127"/>
  <c r="J32" i="127"/>
  <c r="I32" i="127"/>
  <c r="I722" i="184" s="1"/>
  <c r="H32" i="127"/>
  <c r="G32" i="127"/>
  <c r="G722" i="184" s="1"/>
  <c r="F32" i="127"/>
  <c r="E32" i="127"/>
  <c r="E722" i="184"/>
  <c r="D32" i="127"/>
  <c r="L28" i="127"/>
  <c r="L610" i="184" s="1"/>
  <c r="K28" i="127"/>
  <c r="K610" i="184" s="1"/>
  <c r="J28" i="127"/>
  <c r="I28" i="127"/>
  <c r="H28" i="127"/>
  <c r="H610" i="184" s="1"/>
  <c r="G28" i="127"/>
  <c r="G610" i="184" s="1"/>
  <c r="F28" i="127"/>
  <c r="F610" i="184" s="1"/>
  <c r="E28" i="127"/>
  <c r="E610" i="184" s="1"/>
  <c r="K27" i="127"/>
  <c r="K573" i="184" s="1"/>
  <c r="J27" i="127"/>
  <c r="J573" i="184" s="1"/>
  <c r="I27" i="127"/>
  <c r="I573" i="184" s="1"/>
  <c r="I567" i="184"/>
  <c r="I569" i="184"/>
  <c r="I571" i="184"/>
  <c r="I572" i="184"/>
  <c r="I575" i="184"/>
  <c r="I576" i="184"/>
  <c r="I577" i="184"/>
  <c r="I579" i="184"/>
  <c r="I581" i="184"/>
  <c r="I583" i="184"/>
  <c r="I584" i="184"/>
  <c r="I586" i="184"/>
  <c r="I587" i="184"/>
  <c r="I588" i="184"/>
  <c r="I589" i="184"/>
  <c r="I594" i="184"/>
  <c r="I596" i="184"/>
  <c r="I597" i="184"/>
  <c r="I599" i="184"/>
  <c r="H27" i="127"/>
  <c r="G27" i="127"/>
  <c r="G573" i="184"/>
  <c r="F27" i="127"/>
  <c r="F573" i="184" s="1"/>
  <c r="E27" i="127"/>
  <c r="D27" i="127"/>
  <c r="D573" i="184" s="1"/>
  <c r="D567" i="184"/>
  <c r="D569" i="184"/>
  <c r="D571" i="184"/>
  <c r="D572" i="184"/>
  <c r="D575" i="184"/>
  <c r="D576" i="184"/>
  <c r="D583" i="184"/>
  <c r="D586" i="184"/>
  <c r="D587" i="184"/>
  <c r="D588" i="184"/>
  <c r="D589" i="184"/>
  <c r="D590" i="184"/>
  <c r="D595" i="184"/>
  <c r="D596" i="184"/>
  <c r="D597" i="184"/>
  <c r="D598" i="184"/>
  <c r="D599" i="184"/>
  <c r="D601" i="184"/>
  <c r="D602" i="184"/>
  <c r="L26" i="127"/>
  <c r="L536" i="184" s="1"/>
  <c r="K26" i="127"/>
  <c r="K536" i="184" s="1"/>
  <c r="K530" i="184"/>
  <c r="K532" i="184"/>
  <c r="K533" i="184"/>
  <c r="K534" i="184"/>
  <c r="K535" i="184"/>
  <c r="K538" i="184"/>
  <c r="K540" i="184"/>
  <c r="K541" i="184"/>
  <c r="K542" i="184"/>
  <c r="K544" i="184"/>
  <c r="K546" i="184"/>
  <c r="K547" i="184"/>
  <c r="K548" i="184"/>
  <c r="K549" i="184"/>
  <c r="K550" i="184"/>
  <c r="K551" i="184"/>
  <c r="K554" i="184"/>
  <c r="K558" i="184"/>
  <c r="K559" i="184"/>
  <c r="K560" i="184"/>
  <c r="K561" i="184"/>
  <c r="K562" i="184"/>
  <c r="K565" i="184"/>
  <c r="J26" i="127"/>
  <c r="J536" i="184" s="1"/>
  <c r="I26" i="127"/>
  <c r="I536" i="184" s="1"/>
  <c r="H26" i="127"/>
  <c r="G26" i="127"/>
  <c r="F26" i="127"/>
  <c r="E26" i="127"/>
  <c r="E536" i="184" s="1"/>
  <c r="D26" i="127"/>
  <c r="D536" i="184" s="1"/>
  <c r="L25" i="127"/>
  <c r="L499" i="184" s="1"/>
  <c r="K25" i="127"/>
  <c r="K499" i="184"/>
  <c r="J25" i="127"/>
  <c r="I25" i="127"/>
  <c r="I499" i="184" s="1"/>
  <c r="H25" i="127"/>
  <c r="H499" i="184"/>
  <c r="G25" i="127"/>
  <c r="G493" i="184"/>
  <c r="G495" i="184"/>
  <c r="G497" i="184"/>
  <c r="G498" i="184"/>
  <c r="G501" i="184"/>
  <c r="G502" i="184"/>
  <c r="G503" i="184"/>
  <c r="G504" i="184"/>
  <c r="G507" i="184"/>
  <c r="G508" i="184"/>
  <c r="G509" i="184"/>
  <c r="G511" i="184"/>
  <c r="G512" i="184"/>
  <c r="G513" i="184"/>
  <c r="G514" i="184"/>
  <c r="G515" i="184"/>
  <c r="G516" i="184"/>
  <c r="G520" i="184"/>
  <c r="G521" i="184"/>
  <c r="G524" i="184"/>
  <c r="G525" i="184"/>
  <c r="G528" i="184"/>
  <c r="F25" i="127"/>
  <c r="F499" i="184"/>
  <c r="E25" i="127"/>
  <c r="E499" i="184" s="1"/>
  <c r="L24" i="127"/>
  <c r="K24" i="127"/>
  <c r="J24" i="127"/>
  <c r="J462" i="184" s="1"/>
  <c r="I24" i="127"/>
  <c r="I462" i="184" s="1"/>
  <c r="H24" i="127"/>
  <c r="G24" i="127"/>
  <c r="F24" i="127"/>
  <c r="F462" i="184"/>
  <c r="E24" i="127"/>
  <c r="D24" i="127"/>
  <c r="L23" i="127"/>
  <c r="K23" i="127"/>
  <c r="K425" i="184" s="1"/>
  <c r="J23" i="127"/>
  <c r="J425" i="184" s="1"/>
  <c r="I23" i="127"/>
  <c r="I425" i="184" s="1"/>
  <c r="H23" i="127"/>
  <c r="G23" i="127"/>
  <c r="G425" i="184"/>
  <c r="F23" i="127"/>
  <c r="F425" i="184" s="1"/>
  <c r="F419" i="184"/>
  <c r="F23" i="16"/>
  <c r="F421" i="184" s="1"/>
  <c r="F422" i="184"/>
  <c r="F423" i="184"/>
  <c r="F424" i="184"/>
  <c r="F427" i="184"/>
  <c r="F429" i="184"/>
  <c r="F433" i="184"/>
  <c r="F434" i="184"/>
  <c r="F435" i="184"/>
  <c r="F436" i="184"/>
  <c r="F437" i="184"/>
  <c r="F439" i="184"/>
  <c r="F440" i="184"/>
  <c r="F441" i="184"/>
  <c r="F447" i="184"/>
  <c r="F449" i="184"/>
  <c r="F450" i="184"/>
  <c r="F451" i="184"/>
  <c r="F452" i="184"/>
  <c r="F454" i="184"/>
  <c r="E23" i="127"/>
  <c r="E425" i="184"/>
  <c r="D23" i="127"/>
  <c r="L22" i="127"/>
  <c r="L388" i="184" s="1"/>
  <c r="K22" i="127"/>
  <c r="J22" i="127"/>
  <c r="I22" i="127"/>
  <c r="I388" i="184" s="1"/>
  <c r="H22" i="127"/>
  <c r="H388" i="184" s="1"/>
  <c r="G22" i="127"/>
  <c r="F22" i="127"/>
  <c r="F388" i="184" s="1"/>
  <c r="E22" i="127"/>
  <c r="E388" i="184" s="1"/>
  <c r="E22" i="13"/>
  <c r="E382" i="184"/>
  <c r="E22" i="16"/>
  <c r="E384" i="184" s="1"/>
  <c r="E22" i="36"/>
  <c r="E22" i="21"/>
  <c r="E386" i="184" s="1"/>
  <c r="E22" i="26"/>
  <c r="E387" i="184" s="1"/>
  <c r="E389" i="184"/>
  <c r="E22" i="42"/>
  <c r="E390" i="184"/>
  <c r="E22" i="67"/>
  <c r="E391" i="184" s="1"/>
  <c r="E22" i="47"/>
  <c r="E392" i="184" s="1"/>
  <c r="E394" i="184"/>
  <c r="E22" i="87"/>
  <c r="E396" i="184" s="1"/>
  <c r="E22" i="57"/>
  <c r="E397" i="184" s="1"/>
  <c r="E22" i="97"/>
  <c r="E398" i="184"/>
  <c r="E22" i="78"/>
  <c r="E399" i="184" s="1"/>
  <c r="E22" i="199"/>
  <c r="E22" i="62"/>
  <c r="E22" i="82"/>
  <c r="E402" i="184" s="1"/>
  <c r="E22" i="203"/>
  <c r="E403" i="184" s="1"/>
  <c r="E22" i="102"/>
  <c r="E22" i="72"/>
  <c r="E405" i="184"/>
  <c r="E407" i="184"/>
  <c r="E22" i="52"/>
  <c r="E410" i="184" s="1"/>
  <c r="E22" i="107"/>
  <c r="E411" i="184" s="1"/>
  <c r="E22" i="112"/>
  <c r="E412" i="184" s="1"/>
  <c r="E22" i="117"/>
  <c r="E413" i="184" s="1"/>
  <c r="E22" i="122"/>
  <c r="E414" i="184" s="1"/>
  <c r="E417" i="184"/>
  <c r="D22" i="127"/>
  <c r="L21" i="127"/>
  <c r="K21" i="127"/>
  <c r="K351" i="184" s="1"/>
  <c r="J21" i="127"/>
  <c r="J351" i="184" s="1"/>
  <c r="I21" i="127"/>
  <c r="I351" i="184" s="1"/>
  <c r="H21" i="127"/>
  <c r="H351" i="184"/>
  <c r="G21" i="127"/>
  <c r="F21" i="127"/>
  <c r="E21" i="127"/>
  <c r="E351" i="184" s="1"/>
  <c r="D21" i="127"/>
  <c r="D351" i="184" s="1"/>
  <c r="L20" i="127"/>
  <c r="L314" i="184" s="1"/>
  <c r="K20" i="127"/>
  <c r="K314" i="184" s="1"/>
  <c r="J20" i="127"/>
  <c r="J314" i="184" s="1"/>
  <c r="I20" i="127"/>
  <c r="I314" i="184"/>
  <c r="H20" i="127"/>
  <c r="G20" i="127"/>
  <c r="G314" i="184" s="1"/>
  <c r="G20" i="13"/>
  <c r="G308" i="184"/>
  <c r="G20" i="16"/>
  <c r="G310" i="184" s="1"/>
  <c r="G20" i="36"/>
  <c r="G311" i="184"/>
  <c r="G20" i="21"/>
  <c r="G312" i="184"/>
  <c r="G20" i="26"/>
  <c r="G313" i="184" s="1"/>
  <c r="G20" i="42"/>
  <c r="G316" i="184" s="1"/>
  <c r="G20" i="67"/>
  <c r="G317" i="184" s="1"/>
  <c r="G20" i="47"/>
  <c r="G318" i="184" s="1"/>
  <c r="G20" i="87"/>
  <c r="G322" i="184" s="1"/>
  <c r="G20" i="57"/>
  <c r="G323" i="184" s="1"/>
  <c r="G20" i="97"/>
  <c r="G324" i="184" s="1"/>
  <c r="G20" i="78"/>
  <c r="G325" i="184" s="1"/>
  <c r="G20" i="199"/>
  <c r="G326" i="184"/>
  <c r="G20" i="62"/>
  <c r="G327" i="184" s="1"/>
  <c r="G20" i="82"/>
  <c r="G328" i="184" s="1"/>
  <c r="G20" i="203"/>
  <c r="G329" i="184"/>
  <c r="G20" i="102"/>
  <c r="G330" i="184" s="1"/>
  <c r="G20" i="72"/>
  <c r="G331" i="184" s="1"/>
  <c r="G333" i="184"/>
  <c r="G20" i="52"/>
  <c r="G336" i="184" s="1"/>
  <c r="G20" i="107"/>
  <c r="G337" i="184"/>
  <c r="G20" i="112"/>
  <c r="G338" i="184"/>
  <c r="G20" i="117"/>
  <c r="G339" i="184" s="1"/>
  <c r="G20" i="122"/>
  <c r="G340" i="184" s="1"/>
  <c r="G343" i="184"/>
  <c r="F20" i="127"/>
  <c r="E20" i="127"/>
  <c r="E314" i="184" s="1"/>
  <c r="D20" i="127"/>
  <c r="D314" i="184"/>
  <c r="L19" i="127"/>
  <c r="L277" i="184" s="1"/>
  <c r="K19" i="127"/>
  <c r="J19" i="127"/>
  <c r="I19" i="127"/>
  <c r="H19" i="127"/>
  <c r="H277" i="184"/>
  <c r="G19" i="127"/>
  <c r="F19" i="127"/>
  <c r="F277" i="184"/>
  <c r="E19" i="127"/>
  <c r="E277" i="184" s="1"/>
  <c r="E19" i="13"/>
  <c r="E271" i="184" s="1"/>
  <c r="E19" i="16"/>
  <c r="E273" i="184" s="1"/>
  <c r="E19" i="36"/>
  <c r="E274" i="184"/>
  <c r="E19" i="21"/>
  <c r="E275" i="184" s="1"/>
  <c r="E19" i="26"/>
  <c r="E276" i="184" s="1"/>
  <c r="E19" i="42"/>
  <c r="E279" i="184" s="1"/>
  <c r="E19" i="67"/>
  <c r="E280" i="184"/>
  <c r="E19" i="47"/>
  <c r="E281" i="184" s="1"/>
  <c r="E284" i="184"/>
  <c r="E19" i="87"/>
  <c r="E285" i="184" s="1"/>
  <c r="E19" i="57"/>
  <c r="E286" i="184" s="1"/>
  <c r="E19" i="97"/>
  <c r="E287" i="184" s="1"/>
  <c r="E19" i="78"/>
  <c r="E19" i="199"/>
  <c r="E289" i="184"/>
  <c r="E19" i="62"/>
  <c r="E290" i="184"/>
  <c r="E19" i="82"/>
  <c r="E291" i="184"/>
  <c r="E19" i="203"/>
  <c r="E19" i="102"/>
  <c r="E293" i="184" s="1"/>
  <c r="E19" i="72"/>
  <c r="E294" i="184"/>
  <c r="E19" i="52"/>
  <c r="E299" i="184" s="1"/>
  <c r="E19" i="107"/>
  <c r="E300" i="184" s="1"/>
  <c r="E19" i="112"/>
  <c r="E301" i="184"/>
  <c r="E19" i="117"/>
  <c r="E302" i="184" s="1"/>
  <c r="E19" i="122"/>
  <c r="E303" i="184" s="1"/>
  <c r="E306" i="184"/>
  <c r="D19" i="127"/>
  <c r="D277" i="184" s="1"/>
  <c r="L158" i="184"/>
  <c r="L159" i="184"/>
  <c r="L160" i="184"/>
  <c r="L162" i="184"/>
  <c r="L163" i="184"/>
  <c r="L166" i="184"/>
  <c r="L167" i="184"/>
  <c r="L168" i="184"/>
  <c r="L170" i="184"/>
  <c r="L172" i="184"/>
  <c r="L173" i="184"/>
  <c r="L174" i="184"/>
  <c r="L176" i="184"/>
  <c r="L177" i="184"/>
  <c r="L178" i="184"/>
  <c r="L179" i="184"/>
  <c r="L180" i="184"/>
  <c r="L182" i="184"/>
  <c r="L186" i="184"/>
  <c r="L187" i="184"/>
  <c r="L188" i="184"/>
  <c r="L189" i="184"/>
  <c r="L190" i="184"/>
  <c r="L192" i="184"/>
  <c r="J164" i="184"/>
  <c r="H164" i="184"/>
  <c r="G164" i="184"/>
  <c r="E164" i="184"/>
  <c r="K127" i="184"/>
  <c r="I127" i="184"/>
  <c r="H123" i="184"/>
  <c r="H125" i="184"/>
  <c r="H126" i="184"/>
  <c r="H129" i="184"/>
  <c r="H130" i="184"/>
  <c r="H131" i="184"/>
  <c r="H133" i="184"/>
  <c r="H134" i="184"/>
  <c r="H135" i="184"/>
  <c r="H136" i="184"/>
  <c r="H137" i="184"/>
  <c r="H139" i="184"/>
  <c r="H140" i="184"/>
  <c r="H141" i="184"/>
  <c r="H142" i="184"/>
  <c r="H143" i="184"/>
  <c r="H146" i="184"/>
  <c r="H147" i="184"/>
  <c r="H149" i="184"/>
  <c r="H150" i="184"/>
  <c r="H151" i="184"/>
  <c r="H152" i="184"/>
  <c r="H153" i="184"/>
  <c r="D123" i="184"/>
  <c r="D124" i="184"/>
  <c r="D125" i="184"/>
  <c r="D126" i="184"/>
  <c r="D128" i="184"/>
  <c r="D131" i="184"/>
  <c r="D135" i="184"/>
  <c r="D136" i="184"/>
  <c r="D137" i="184"/>
  <c r="D138" i="184"/>
  <c r="D139" i="184"/>
  <c r="D140" i="184"/>
  <c r="D141" i="184"/>
  <c r="D142" i="184"/>
  <c r="D143" i="184"/>
  <c r="D144" i="184"/>
  <c r="D147" i="184"/>
  <c r="D148" i="184"/>
  <c r="D150" i="184"/>
  <c r="D151" i="184"/>
  <c r="D152" i="184"/>
  <c r="D153" i="184"/>
  <c r="D155" i="184"/>
  <c r="D156" i="184"/>
  <c r="L90" i="184"/>
  <c r="K90" i="184"/>
  <c r="J90" i="184"/>
  <c r="I90" i="184"/>
  <c r="H90" i="184"/>
  <c r="G90" i="184"/>
  <c r="E90" i="184"/>
  <c r="D90" i="184"/>
  <c r="J53" i="184"/>
  <c r="I53" i="184"/>
  <c r="F53" i="184"/>
  <c r="D47" i="184"/>
  <c r="D52" i="184"/>
  <c r="D55" i="184"/>
  <c r="D56" i="184"/>
  <c r="D61" i="184"/>
  <c r="D62" i="184"/>
  <c r="D63" i="184"/>
  <c r="D64" i="184"/>
  <c r="D65" i="184"/>
  <c r="D66" i="184"/>
  <c r="D67" i="184"/>
  <c r="D68" i="184"/>
  <c r="D69" i="184"/>
  <c r="D75" i="184"/>
  <c r="D76" i="184"/>
  <c r="D77" i="184"/>
  <c r="D78" i="184"/>
  <c r="D79" i="184"/>
  <c r="H10" i="184"/>
  <c r="H12" i="184"/>
  <c r="H14" i="184"/>
  <c r="H15" i="184"/>
  <c r="H18" i="184"/>
  <c r="H20" i="184"/>
  <c r="H26" i="184"/>
  <c r="H29" i="184"/>
  <c r="H30" i="184"/>
  <c r="H31" i="184"/>
  <c r="H32" i="184"/>
  <c r="H38" i="184"/>
  <c r="H40" i="184"/>
  <c r="H41" i="184"/>
  <c r="G16" i="184"/>
  <c r="M100" i="122"/>
  <c r="Q92" i="122"/>
  <c r="AE34" i="231" s="1"/>
  <c r="O92" i="122"/>
  <c r="AD42" i="213" s="1"/>
  <c r="K92" i="122"/>
  <c r="J92" i="122"/>
  <c r="J2500" i="184"/>
  <c r="G92" i="122"/>
  <c r="G2500" i="184" s="1"/>
  <c r="F92" i="122"/>
  <c r="F2500" i="184" s="1"/>
  <c r="E92" i="122"/>
  <c r="E2500" i="184" s="1"/>
  <c r="D92" i="122"/>
  <c r="D2500" i="184"/>
  <c r="K91" i="122"/>
  <c r="K2463" i="184" s="1"/>
  <c r="J91" i="122"/>
  <c r="J2463" i="184" s="1"/>
  <c r="I91" i="122"/>
  <c r="I2463" i="184" s="1"/>
  <c r="H91" i="122"/>
  <c r="H2463" i="184" s="1"/>
  <c r="G91" i="122"/>
  <c r="G2463" i="184" s="1"/>
  <c r="F91" i="122"/>
  <c r="F2463" i="184" s="1"/>
  <c r="E91" i="122"/>
  <c r="E2463" i="184" s="1"/>
  <c r="D91" i="122"/>
  <c r="L90" i="122"/>
  <c r="L2426" i="184" s="1"/>
  <c r="K90" i="122"/>
  <c r="K2426" i="184"/>
  <c r="I90" i="122"/>
  <c r="I2426" i="184"/>
  <c r="H90" i="122"/>
  <c r="H2426" i="184" s="1"/>
  <c r="G90" i="122"/>
  <c r="G2426" i="184" s="1"/>
  <c r="F90" i="122"/>
  <c r="F2426" i="184" s="1"/>
  <c r="D90" i="122"/>
  <c r="D2426" i="184"/>
  <c r="L89" i="122"/>
  <c r="L2389" i="184"/>
  <c r="J89" i="122"/>
  <c r="J2389" i="184" s="1"/>
  <c r="I89" i="122"/>
  <c r="I2389" i="184"/>
  <c r="H89" i="122"/>
  <c r="H2389" i="184" s="1"/>
  <c r="G89" i="122"/>
  <c r="G2389" i="184"/>
  <c r="F89" i="122"/>
  <c r="F2389" i="184" s="1"/>
  <c r="E89" i="122"/>
  <c r="E2389" i="184"/>
  <c r="D89" i="122"/>
  <c r="L88" i="122"/>
  <c r="L2352" i="184" s="1"/>
  <c r="J88" i="122"/>
  <c r="I88" i="122"/>
  <c r="I2352" i="184" s="1"/>
  <c r="H88" i="122"/>
  <c r="H2352" i="184"/>
  <c r="G88" i="122"/>
  <c r="G2352" i="184"/>
  <c r="F88" i="122"/>
  <c r="F2352" i="184" s="1"/>
  <c r="E88" i="122"/>
  <c r="E2352" i="184" s="1"/>
  <c r="D88" i="122"/>
  <c r="D2352" i="184"/>
  <c r="L87" i="122"/>
  <c r="L2315" i="184" s="1"/>
  <c r="K87" i="122"/>
  <c r="K2315" i="184"/>
  <c r="J87" i="122"/>
  <c r="J2315" i="184" s="1"/>
  <c r="I87" i="122"/>
  <c r="I2315" i="184"/>
  <c r="H87" i="122"/>
  <c r="H2315" i="184"/>
  <c r="G87" i="122"/>
  <c r="F87" i="122"/>
  <c r="F2315" i="184" s="1"/>
  <c r="E87" i="122"/>
  <c r="E2315" i="184" s="1"/>
  <c r="D87" i="122"/>
  <c r="D2315" i="184" s="1"/>
  <c r="L82" i="122"/>
  <c r="L2202" i="184" s="1"/>
  <c r="K82" i="122"/>
  <c r="K2202" i="184" s="1"/>
  <c r="J82" i="122"/>
  <c r="J2202" i="184" s="1"/>
  <c r="I82" i="122"/>
  <c r="H82" i="122"/>
  <c r="H2202" i="184" s="1"/>
  <c r="G82" i="122"/>
  <c r="G2202" i="184"/>
  <c r="F82" i="122"/>
  <c r="D58" i="121" s="1"/>
  <c r="E82" i="122"/>
  <c r="E2202" i="184" s="1"/>
  <c r="D82" i="122"/>
  <c r="D2202" i="184"/>
  <c r="L81" i="122"/>
  <c r="L2165" i="184" s="1"/>
  <c r="K81" i="122"/>
  <c r="K2165" i="184"/>
  <c r="J81" i="122"/>
  <c r="J83" i="122" s="1"/>
  <c r="I81" i="122"/>
  <c r="I2165" i="184"/>
  <c r="H81" i="122"/>
  <c r="G81" i="122"/>
  <c r="G2165" i="184" s="1"/>
  <c r="F81" i="122"/>
  <c r="E81" i="122"/>
  <c r="R80" i="122"/>
  <c r="L116" i="122" s="1"/>
  <c r="R77" i="122"/>
  <c r="B23" i="123" s="1"/>
  <c r="K77" i="122"/>
  <c r="K2089" i="184" s="1"/>
  <c r="J77" i="122"/>
  <c r="J2089" i="184" s="1"/>
  <c r="I77" i="122"/>
  <c r="I2089" i="184" s="1"/>
  <c r="H77" i="122"/>
  <c r="H2089" i="184" s="1"/>
  <c r="G77" i="122"/>
  <c r="F77" i="122"/>
  <c r="E77" i="122"/>
  <c r="E2089" i="184" s="1"/>
  <c r="D77" i="122"/>
  <c r="L76" i="122"/>
  <c r="L2052" i="184" s="1"/>
  <c r="K76" i="122"/>
  <c r="K2052" i="184" s="1"/>
  <c r="J76" i="122"/>
  <c r="I76" i="122"/>
  <c r="I2052" i="184" s="1"/>
  <c r="H76" i="122"/>
  <c r="H2052" i="184" s="1"/>
  <c r="G76" i="122"/>
  <c r="G2052" i="184" s="1"/>
  <c r="F76" i="122"/>
  <c r="E76" i="122"/>
  <c r="D76" i="122"/>
  <c r="D2052" i="184"/>
  <c r="L75" i="122"/>
  <c r="L2015" i="184" s="1"/>
  <c r="K75" i="122"/>
  <c r="J75" i="122"/>
  <c r="J2015" i="184" s="1"/>
  <c r="I75" i="122"/>
  <c r="I2015" i="184" s="1"/>
  <c r="H75" i="122"/>
  <c r="G75" i="122"/>
  <c r="G2015" i="184" s="1"/>
  <c r="F75" i="122"/>
  <c r="E75" i="122"/>
  <c r="E2015" i="184" s="1"/>
  <c r="D75" i="122"/>
  <c r="D2015" i="184" s="1"/>
  <c r="L74" i="122"/>
  <c r="K74" i="122"/>
  <c r="K1978" i="184" s="1"/>
  <c r="J74" i="122"/>
  <c r="I74" i="122"/>
  <c r="I1978" i="184" s="1"/>
  <c r="H74" i="122"/>
  <c r="H1978" i="184" s="1"/>
  <c r="G74" i="122"/>
  <c r="G1978" i="184"/>
  <c r="F74" i="122"/>
  <c r="E74" i="122"/>
  <c r="E1978" i="184" s="1"/>
  <c r="D74" i="122"/>
  <c r="D1978" i="184" s="1"/>
  <c r="K70" i="122"/>
  <c r="K1902" i="184" s="1"/>
  <c r="J70" i="122"/>
  <c r="J1902" i="184" s="1"/>
  <c r="I70" i="122"/>
  <c r="I1902" i="184" s="1"/>
  <c r="G70" i="122"/>
  <c r="G1902" i="184" s="1"/>
  <c r="F70" i="122"/>
  <c r="E70" i="122"/>
  <c r="D70" i="122"/>
  <c r="D1902" i="184" s="1"/>
  <c r="K69" i="122"/>
  <c r="K1865" i="184" s="1"/>
  <c r="J69" i="122"/>
  <c r="J1865" i="184" s="1"/>
  <c r="I69" i="122"/>
  <c r="G69" i="122"/>
  <c r="G1865" i="184"/>
  <c r="D45" i="121"/>
  <c r="D69" i="122"/>
  <c r="D1865" i="184" s="1"/>
  <c r="AA68" i="122"/>
  <c r="L68" i="122"/>
  <c r="L1828" i="184" s="1"/>
  <c r="K68" i="122"/>
  <c r="K1828" i="184"/>
  <c r="J68" i="122"/>
  <c r="J1828" i="184"/>
  <c r="H68" i="122"/>
  <c r="H1828" i="184" s="1"/>
  <c r="G68" i="122"/>
  <c r="G1828" i="184" s="1"/>
  <c r="F68" i="122"/>
  <c r="E68" i="122"/>
  <c r="E1828" i="184" s="1"/>
  <c r="D68" i="122"/>
  <c r="AA67" i="122"/>
  <c r="W67" i="122"/>
  <c r="V67" i="122"/>
  <c r="J301" i="191"/>
  <c r="P67" i="122"/>
  <c r="U67" i="122" s="1"/>
  <c r="I301" i="191" s="1"/>
  <c r="L67" i="122"/>
  <c r="L1791" i="184" s="1"/>
  <c r="J67" i="122"/>
  <c r="J1791" i="184" s="1"/>
  <c r="I67" i="122"/>
  <c r="H67" i="122"/>
  <c r="H1791" i="184" s="1"/>
  <c r="G67" i="122"/>
  <c r="G1791" i="184" s="1"/>
  <c r="F67" i="122"/>
  <c r="E67" i="122"/>
  <c r="E1791" i="184" s="1"/>
  <c r="D67" i="122"/>
  <c r="D1791" i="184" s="1"/>
  <c r="AA66" i="122"/>
  <c r="W66" i="122"/>
  <c r="V66" i="122"/>
  <c r="J264" i="191" s="1"/>
  <c r="P66" i="122"/>
  <c r="U66" i="122" s="1"/>
  <c r="L66" i="122"/>
  <c r="L1754" i="184" s="1"/>
  <c r="K66" i="122"/>
  <c r="K1754" i="184" s="1"/>
  <c r="I66" i="122"/>
  <c r="H66" i="122"/>
  <c r="H1754" i="184" s="1"/>
  <c r="G66" i="122"/>
  <c r="G1754" i="184" s="1"/>
  <c r="F66" i="122"/>
  <c r="E66" i="122"/>
  <c r="E1754" i="184" s="1"/>
  <c r="AA65" i="122"/>
  <c r="W65" i="122"/>
  <c r="K227" i="191"/>
  <c r="V65" i="122"/>
  <c r="J227" i="191" s="1"/>
  <c r="P65" i="122"/>
  <c r="L65" i="122"/>
  <c r="L1717" i="184" s="1"/>
  <c r="K65" i="122"/>
  <c r="K1717" i="184" s="1"/>
  <c r="I65" i="122"/>
  <c r="I1717" i="184" s="1"/>
  <c r="H65" i="122"/>
  <c r="H1717" i="184" s="1"/>
  <c r="G65" i="122"/>
  <c r="G1717" i="184" s="1"/>
  <c r="F65" i="122"/>
  <c r="E65" i="122"/>
  <c r="E1717" i="184" s="1"/>
  <c r="D65" i="122"/>
  <c r="AA64" i="122"/>
  <c r="W64" i="122"/>
  <c r="K190" i="191"/>
  <c r="V64" i="122"/>
  <c r="Q64" i="122"/>
  <c r="L111" i="122"/>
  <c r="P64" i="122"/>
  <c r="U64" i="122" s="1"/>
  <c r="I190" i="191" s="1"/>
  <c r="L64" i="122"/>
  <c r="K64" i="122"/>
  <c r="K1680" i="184" s="1"/>
  <c r="J64" i="122"/>
  <c r="J1680" i="184"/>
  <c r="I64" i="122"/>
  <c r="I1680" i="184" s="1"/>
  <c r="H64" i="122"/>
  <c r="H1680" i="184" s="1"/>
  <c r="E64" i="122"/>
  <c r="E1680" i="184" s="1"/>
  <c r="AA63" i="122"/>
  <c r="W63" i="122"/>
  <c r="K153" i="191"/>
  <c r="V63" i="122"/>
  <c r="P63" i="122"/>
  <c r="D153" i="191" s="1"/>
  <c r="L63" i="122"/>
  <c r="L1643" i="184" s="1"/>
  <c r="K63" i="122"/>
  <c r="K1643" i="184" s="1"/>
  <c r="J63" i="122"/>
  <c r="I63" i="122"/>
  <c r="I1643" i="184"/>
  <c r="H63" i="122"/>
  <c r="H1643" i="184" s="1"/>
  <c r="G63" i="122"/>
  <c r="G1643" i="184"/>
  <c r="F63" i="122"/>
  <c r="E63" i="122"/>
  <c r="E1643" i="184" s="1"/>
  <c r="D63" i="122"/>
  <c r="AA62" i="122"/>
  <c r="W62" i="122"/>
  <c r="V62" i="122"/>
  <c r="J116" i="191" s="1"/>
  <c r="P62" i="122"/>
  <c r="U62" i="122" s="1"/>
  <c r="L62" i="122"/>
  <c r="L1606" i="184" s="1"/>
  <c r="K62" i="122"/>
  <c r="K1606" i="184"/>
  <c r="I62" i="122"/>
  <c r="I1606" i="184" s="1"/>
  <c r="H62" i="122"/>
  <c r="H1606" i="184"/>
  <c r="G62" i="122"/>
  <c r="G1606" i="184" s="1"/>
  <c r="F62" i="122"/>
  <c r="E62" i="122"/>
  <c r="D62" i="122"/>
  <c r="D1606" i="184" s="1"/>
  <c r="AA61" i="122"/>
  <c r="W61" i="122"/>
  <c r="K79" i="191" s="1"/>
  <c r="V61" i="122"/>
  <c r="P61" i="122"/>
  <c r="L61" i="122"/>
  <c r="L1569" i="184" s="1"/>
  <c r="J61" i="122"/>
  <c r="I61" i="122"/>
  <c r="I1569" i="184" s="1"/>
  <c r="H61" i="122"/>
  <c r="H1569" i="184"/>
  <c r="F61" i="122"/>
  <c r="E61" i="122"/>
  <c r="E1569" i="184" s="1"/>
  <c r="D61" i="122"/>
  <c r="D1569" i="184" s="1"/>
  <c r="AA60" i="122"/>
  <c r="W60" i="122"/>
  <c r="V60" i="122"/>
  <c r="J42" i="191" s="1"/>
  <c r="P60" i="122"/>
  <c r="L60" i="122"/>
  <c r="L1532" i="184" s="1"/>
  <c r="K60" i="122"/>
  <c r="K1532" i="184"/>
  <c r="J60" i="122"/>
  <c r="J1532" i="184"/>
  <c r="I60" i="122"/>
  <c r="H60" i="122"/>
  <c r="G60" i="122"/>
  <c r="G1532" i="184" s="1"/>
  <c r="F60" i="122"/>
  <c r="E60" i="122"/>
  <c r="E1532" i="184" s="1"/>
  <c r="D60" i="122"/>
  <c r="D1532" i="184" s="1"/>
  <c r="L1419" i="184"/>
  <c r="I1419" i="184"/>
  <c r="H1419" i="184"/>
  <c r="G1419" i="184"/>
  <c r="E1419" i="184"/>
  <c r="K1382" i="184"/>
  <c r="J1382" i="184"/>
  <c r="I1382" i="184"/>
  <c r="H1382" i="184"/>
  <c r="G1382" i="184"/>
  <c r="L1345" i="184"/>
  <c r="K1345" i="184"/>
  <c r="J1345" i="184"/>
  <c r="I1345" i="184"/>
  <c r="H1345" i="184"/>
  <c r="L1308" i="184"/>
  <c r="K1308" i="184"/>
  <c r="J1308" i="184"/>
  <c r="H1308" i="184"/>
  <c r="G1308" i="184"/>
  <c r="E1308" i="184"/>
  <c r="D1308" i="184"/>
  <c r="L1271" i="184"/>
  <c r="K1271" i="184"/>
  <c r="J1271" i="184"/>
  <c r="H1271" i="184"/>
  <c r="E1271" i="184"/>
  <c r="L1234" i="184"/>
  <c r="K1234" i="184"/>
  <c r="J1234" i="184"/>
  <c r="I1234" i="184"/>
  <c r="G1234" i="184"/>
  <c r="E1234" i="184"/>
  <c r="D1234" i="184"/>
  <c r="L1195" i="184"/>
  <c r="K1195" i="184"/>
  <c r="J1195" i="184"/>
  <c r="I1195" i="184"/>
  <c r="L1081" i="184"/>
  <c r="K1081" i="184"/>
  <c r="J1081" i="184"/>
  <c r="I1081" i="184"/>
  <c r="H1081" i="184"/>
  <c r="F1081" i="184"/>
  <c r="E1081" i="184"/>
  <c r="D1081" i="184"/>
  <c r="L1044" i="184"/>
  <c r="K1044" i="184"/>
  <c r="J1044" i="184"/>
  <c r="I1044" i="184"/>
  <c r="G1044" i="184"/>
  <c r="F1044" i="184"/>
  <c r="E1044" i="184"/>
  <c r="D1044" i="184"/>
  <c r="L1007" i="184"/>
  <c r="H1007" i="184"/>
  <c r="G1007" i="184"/>
  <c r="F1007" i="184"/>
  <c r="E1007" i="184"/>
  <c r="D1007" i="184"/>
  <c r="L970" i="184"/>
  <c r="K970" i="184"/>
  <c r="I970" i="184"/>
  <c r="H970" i="184"/>
  <c r="G970" i="184"/>
  <c r="E970" i="184"/>
  <c r="D970" i="184"/>
  <c r="L933" i="184"/>
  <c r="J933" i="184"/>
  <c r="I933" i="184"/>
  <c r="G933" i="184"/>
  <c r="F933" i="184"/>
  <c r="E933" i="184"/>
  <c r="D933" i="184"/>
  <c r="L896" i="184"/>
  <c r="K896" i="184"/>
  <c r="J896" i="184"/>
  <c r="H896" i="184"/>
  <c r="E896" i="184"/>
  <c r="L35" i="122"/>
  <c r="L859" i="184"/>
  <c r="K35" i="122"/>
  <c r="K859" i="184" s="1"/>
  <c r="J35" i="122"/>
  <c r="J859" i="184" s="1"/>
  <c r="I35" i="122"/>
  <c r="I859" i="184"/>
  <c r="H35" i="122"/>
  <c r="H859" i="184"/>
  <c r="G35" i="122"/>
  <c r="G859" i="184" s="1"/>
  <c r="F35" i="122"/>
  <c r="F859" i="184" s="1"/>
  <c r="E35" i="122"/>
  <c r="E859" i="184" s="1"/>
  <c r="D35" i="122"/>
  <c r="D859" i="184" s="1"/>
  <c r="R34" i="122"/>
  <c r="L109" i="122"/>
  <c r="L34" i="122"/>
  <c r="L822" i="184" s="1"/>
  <c r="K34" i="122"/>
  <c r="K822" i="184" s="1"/>
  <c r="J34" i="122"/>
  <c r="J822" i="184" s="1"/>
  <c r="I34" i="122"/>
  <c r="I822" i="184"/>
  <c r="H34" i="122"/>
  <c r="H822" i="184" s="1"/>
  <c r="G34" i="122"/>
  <c r="D34" i="122"/>
  <c r="D822" i="184" s="1"/>
  <c r="L33" i="122"/>
  <c r="L785" i="184" s="1"/>
  <c r="K33" i="122"/>
  <c r="K785" i="184" s="1"/>
  <c r="J33" i="122"/>
  <c r="J785" i="184" s="1"/>
  <c r="I33" i="122"/>
  <c r="I785" i="184" s="1"/>
  <c r="H33" i="122"/>
  <c r="H785" i="184" s="1"/>
  <c r="G33" i="122"/>
  <c r="F33" i="122"/>
  <c r="F785" i="184" s="1"/>
  <c r="E33" i="122"/>
  <c r="E785" i="184" s="1"/>
  <c r="D33" i="122"/>
  <c r="Q32" i="122"/>
  <c r="L32" i="122"/>
  <c r="L748" i="184" s="1"/>
  <c r="K32" i="122"/>
  <c r="J32" i="122"/>
  <c r="I32" i="122"/>
  <c r="H32" i="122"/>
  <c r="H748" i="184"/>
  <c r="G32" i="122"/>
  <c r="G748" i="184" s="1"/>
  <c r="F32" i="122"/>
  <c r="F748" i="184" s="1"/>
  <c r="E32" i="122"/>
  <c r="E748" i="184" s="1"/>
  <c r="D32" i="122"/>
  <c r="D748" i="184" s="1"/>
  <c r="L636" i="184"/>
  <c r="J636" i="184"/>
  <c r="I636" i="184"/>
  <c r="H636" i="184"/>
  <c r="F636" i="184"/>
  <c r="E636" i="184"/>
  <c r="J599" i="184"/>
  <c r="H599" i="184"/>
  <c r="G599" i="184"/>
  <c r="F599" i="184"/>
  <c r="E599" i="184"/>
  <c r="J562" i="184"/>
  <c r="I562" i="184"/>
  <c r="F562" i="184"/>
  <c r="L525" i="184"/>
  <c r="K525" i="184"/>
  <c r="J525" i="184"/>
  <c r="I525" i="184"/>
  <c r="H525" i="184"/>
  <c r="F525" i="184"/>
  <c r="L488" i="184"/>
  <c r="K488" i="184"/>
  <c r="J488" i="184"/>
  <c r="I488" i="184"/>
  <c r="H488" i="184"/>
  <c r="G488" i="184"/>
  <c r="E488" i="184"/>
  <c r="D488" i="184"/>
  <c r="L451" i="184"/>
  <c r="K451" i="184"/>
  <c r="G451" i="184"/>
  <c r="E451" i="184"/>
  <c r="D451" i="184"/>
  <c r="L22" i="122"/>
  <c r="K22" i="122"/>
  <c r="K414" i="184" s="1"/>
  <c r="J22" i="122"/>
  <c r="J414" i="184" s="1"/>
  <c r="I22" i="122"/>
  <c r="I414" i="184" s="1"/>
  <c r="H22" i="122"/>
  <c r="H414" i="184" s="1"/>
  <c r="G22" i="122"/>
  <c r="G414" i="184" s="1"/>
  <c r="F22" i="122"/>
  <c r="F414" i="184" s="1"/>
  <c r="D22" i="122"/>
  <c r="D414" i="184" s="1"/>
  <c r="L21" i="122"/>
  <c r="L377" i="184" s="1"/>
  <c r="K21" i="122"/>
  <c r="K377" i="184" s="1"/>
  <c r="J21" i="122"/>
  <c r="J377" i="184" s="1"/>
  <c r="I21" i="122"/>
  <c r="I377" i="184" s="1"/>
  <c r="H21" i="122"/>
  <c r="H377" i="184" s="1"/>
  <c r="G21" i="122"/>
  <c r="G377" i="184" s="1"/>
  <c r="F21" i="122"/>
  <c r="E21" i="122"/>
  <c r="E377" i="184" s="1"/>
  <c r="D21" i="122"/>
  <c r="D377" i="184" s="1"/>
  <c r="L20" i="122"/>
  <c r="L340" i="184" s="1"/>
  <c r="K20" i="122"/>
  <c r="K340" i="184"/>
  <c r="J20" i="122"/>
  <c r="J340" i="184"/>
  <c r="I20" i="122"/>
  <c r="I340" i="184" s="1"/>
  <c r="H20" i="122"/>
  <c r="F20" i="122"/>
  <c r="F340" i="184" s="1"/>
  <c r="E20" i="122"/>
  <c r="E340" i="184" s="1"/>
  <c r="D20" i="122"/>
  <c r="D340" i="184" s="1"/>
  <c r="L19" i="122"/>
  <c r="L303" i="184" s="1"/>
  <c r="K19" i="122"/>
  <c r="K303" i="184" s="1"/>
  <c r="J19" i="122"/>
  <c r="J303" i="184" s="1"/>
  <c r="I19" i="122"/>
  <c r="I303" i="184" s="1"/>
  <c r="H19" i="122"/>
  <c r="G19" i="122"/>
  <c r="G303" i="184" s="1"/>
  <c r="F19" i="122"/>
  <c r="F303" i="184"/>
  <c r="D19" i="122"/>
  <c r="D303" i="184"/>
  <c r="K190" i="184"/>
  <c r="J190" i="184"/>
  <c r="I190" i="184"/>
  <c r="G190" i="184"/>
  <c r="D14" i="121"/>
  <c r="D190" i="184"/>
  <c r="L153" i="184"/>
  <c r="K153" i="184"/>
  <c r="J153" i="184"/>
  <c r="G153" i="184"/>
  <c r="L116" i="184"/>
  <c r="K116" i="184"/>
  <c r="J116" i="184"/>
  <c r="I116" i="184"/>
  <c r="H116" i="184"/>
  <c r="G116" i="184"/>
  <c r="E116" i="184"/>
  <c r="D116" i="184"/>
  <c r="L79" i="184"/>
  <c r="K79" i="184"/>
  <c r="H79" i="184"/>
  <c r="E79" i="184"/>
  <c r="L42" i="184"/>
  <c r="D42" i="184"/>
  <c r="M100" i="117"/>
  <c r="Q92" i="117"/>
  <c r="X42" i="230" s="1"/>
  <c r="O92" i="117"/>
  <c r="K92" i="117"/>
  <c r="K2499" i="184"/>
  <c r="J92" i="117"/>
  <c r="J2499" i="184" s="1"/>
  <c r="G92" i="117"/>
  <c r="G2499" i="184" s="1"/>
  <c r="F92" i="117"/>
  <c r="E92" i="117"/>
  <c r="E2499" i="184" s="1"/>
  <c r="D92" i="117"/>
  <c r="D2499" i="184" s="1"/>
  <c r="K91" i="117"/>
  <c r="K2462" i="184" s="1"/>
  <c r="J91" i="117"/>
  <c r="J2462" i="184" s="1"/>
  <c r="I91" i="117"/>
  <c r="I2462" i="184" s="1"/>
  <c r="H91" i="117"/>
  <c r="H2462" i="184" s="1"/>
  <c r="G91" i="117"/>
  <c r="F91" i="117"/>
  <c r="F2462" i="184"/>
  <c r="E91" i="117"/>
  <c r="D91" i="117"/>
  <c r="D2462" i="184" s="1"/>
  <c r="L90" i="117"/>
  <c r="L2425" i="184" s="1"/>
  <c r="K90" i="117"/>
  <c r="I90" i="117"/>
  <c r="I2425" i="184" s="1"/>
  <c r="H90" i="117"/>
  <c r="H2425" i="184"/>
  <c r="G90" i="117"/>
  <c r="F90" i="117"/>
  <c r="F2425" i="184" s="1"/>
  <c r="D90" i="117"/>
  <c r="D2425" i="184" s="1"/>
  <c r="L89" i="117"/>
  <c r="J89" i="117"/>
  <c r="J2388" i="184"/>
  <c r="I89" i="117"/>
  <c r="I2388" i="184" s="1"/>
  <c r="H89" i="117"/>
  <c r="G89" i="117"/>
  <c r="G2388" i="184" s="1"/>
  <c r="F89" i="117"/>
  <c r="F2388" i="184" s="1"/>
  <c r="E89" i="117"/>
  <c r="E2388" i="184" s="1"/>
  <c r="D89" i="117"/>
  <c r="D2388" i="184" s="1"/>
  <c r="L88" i="117"/>
  <c r="L2351" i="184" s="1"/>
  <c r="J88" i="117"/>
  <c r="J2351" i="184" s="1"/>
  <c r="I88" i="117"/>
  <c r="I2351" i="184" s="1"/>
  <c r="H88" i="117"/>
  <c r="H2351" i="184" s="1"/>
  <c r="G88" i="117"/>
  <c r="G2351" i="184" s="1"/>
  <c r="F88" i="117"/>
  <c r="F2351" i="184" s="1"/>
  <c r="E88" i="117"/>
  <c r="E2351" i="184" s="1"/>
  <c r="D88" i="117"/>
  <c r="D2351" i="184" s="1"/>
  <c r="L87" i="117"/>
  <c r="L2314" i="184" s="1"/>
  <c r="K87" i="117"/>
  <c r="K2314" i="184" s="1"/>
  <c r="J87" i="117"/>
  <c r="J2314" i="184" s="1"/>
  <c r="I87" i="117"/>
  <c r="I2314" i="184" s="1"/>
  <c r="H87" i="117"/>
  <c r="H2314" i="184" s="1"/>
  <c r="G87" i="117"/>
  <c r="F87" i="117"/>
  <c r="F2314" i="184" s="1"/>
  <c r="E87" i="117"/>
  <c r="E2314" i="184"/>
  <c r="D87" i="117"/>
  <c r="D2314" i="184"/>
  <c r="L82" i="117"/>
  <c r="L2201" i="184" s="1"/>
  <c r="K82" i="117"/>
  <c r="K2201" i="184"/>
  <c r="J82" i="117"/>
  <c r="J2201" i="184"/>
  <c r="I82" i="117"/>
  <c r="I2201" i="184"/>
  <c r="H82" i="117"/>
  <c r="H2201" i="184" s="1"/>
  <c r="G82" i="117"/>
  <c r="F82" i="117"/>
  <c r="E82" i="117"/>
  <c r="E2201" i="184"/>
  <c r="D82" i="117"/>
  <c r="L81" i="117"/>
  <c r="L2164" i="184" s="1"/>
  <c r="K81" i="117"/>
  <c r="K2164" i="184" s="1"/>
  <c r="J81" i="117"/>
  <c r="J2164" i="184" s="1"/>
  <c r="I81" i="117"/>
  <c r="H81" i="117"/>
  <c r="H2164" i="184"/>
  <c r="G81" i="117"/>
  <c r="F81" i="117"/>
  <c r="E81" i="117"/>
  <c r="R80" i="117"/>
  <c r="B27" i="118" s="1"/>
  <c r="R77" i="117"/>
  <c r="L115" i="117" s="1"/>
  <c r="K77" i="117"/>
  <c r="J77" i="117"/>
  <c r="J2088" i="184"/>
  <c r="I77" i="117"/>
  <c r="I2088" i="184"/>
  <c r="H77" i="117"/>
  <c r="H2088" i="184" s="1"/>
  <c r="G77" i="117"/>
  <c r="F77" i="117"/>
  <c r="D53" i="116" s="1"/>
  <c r="E77" i="117"/>
  <c r="D77" i="117"/>
  <c r="D2088" i="184"/>
  <c r="L76" i="117"/>
  <c r="K76" i="117"/>
  <c r="K2051" i="184" s="1"/>
  <c r="J76" i="117"/>
  <c r="J2051" i="184" s="1"/>
  <c r="I76" i="117"/>
  <c r="H76" i="117"/>
  <c r="H2051" i="184" s="1"/>
  <c r="G76" i="117"/>
  <c r="G2051" i="184" s="1"/>
  <c r="F76" i="117"/>
  <c r="E76" i="117"/>
  <c r="E2051" i="184" s="1"/>
  <c r="D76" i="117"/>
  <c r="L75" i="117"/>
  <c r="L2014" i="184" s="1"/>
  <c r="K75" i="117"/>
  <c r="K2014" i="184" s="1"/>
  <c r="J75" i="117"/>
  <c r="J2014" i="184"/>
  <c r="I75" i="117"/>
  <c r="H75" i="117"/>
  <c r="H2014" i="184" s="1"/>
  <c r="G75" i="117"/>
  <c r="G2014" i="184"/>
  <c r="F75" i="117"/>
  <c r="E75" i="117"/>
  <c r="D75" i="117"/>
  <c r="D2014" i="184" s="1"/>
  <c r="L74" i="117"/>
  <c r="L1977" i="184" s="1"/>
  <c r="K74" i="117"/>
  <c r="J74" i="117"/>
  <c r="J1977" i="184" s="1"/>
  <c r="I74" i="117"/>
  <c r="I1977" i="184"/>
  <c r="H74" i="117"/>
  <c r="G74" i="117"/>
  <c r="G1977" i="184" s="1"/>
  <c r="F74" i="117"/>
  <c r="E74" i="117"/>
  <c r="E1977" i="184" s="1"/>
  <c r="D74" i="117"/>
  <c r="D1977" i="184" s="1"/>
  <c r="K70" i="117"/>
  <c r="K1901" i="184"/>
  <c r="J70" i="117"/>
  <c r="J1901" i="184"/>
  <c r="I70" i="117"/>
  <c r="I1901" i="184" s="1"/>
  <c r="G70" i="117"/>
  <c r="G1901" i="184"/>
  <c r="F70" i="117"/>
  <c r="E70" i="117"/>
  <c r="E1901" i="184" s="1"/>
  <c r="D70" i="117"/>
  <c r="D1901" i="184" s="1"/>
  <c r="K69" i="117"/>
  <c r="K1864" i="184" s="1"/>
  <c r="J69" i="117"/>
  <c r="I69" i="117"/>
  <c r="G69" i="117"/>
  <c r="G1864" i="184" s="1"/>
  <c r="D69" i="117"/>
  <c r="AA68" i="117"/>
  <c r="L68" i="117"/>
  <c r="L1827" i="184" s="1"/>
  <c r="K68" i="117"/>
  <c r="J68" i="117"/>
  <c r="J1827" i="184" s="1"/>
  <c r="H68" i="117"/>
  <c r="H1827" i="184"/>
  <c r="G68" i="117"/>
  <c r="G1827" i="184" s="1"/>
  <c r="F68" i="117"/>
  <c r="E68" i="117"/>
  <c r="E1827" i="184" s="1"/>
  <c r="D68" i="117"/>
  <c r="D1827" i="184" s="1"/>
  <c r="AA67" i="117"/>
  <c r="W67" i="117"/>
  <c r="V67" i="117"/>
  <c r="P67" i="117"/>
  <c r="U67" i="117" s="1"/>
  <c r="L67" i="117"/>
  <c r="L1790" i="184"/>
  <c r="J67" i="117"/>
  <c r="J1790" i="184"/>
  <c r="I67" i="117"/>
  <c r="H67" i="117"/>
  <c r="H1790" i="184" s="1"/>
  <c r="G67" i="117"/>
  <c r="G1790" i="184" s="1"/>
  <c r="F67" i="117"/>
  <c r="D43" i="116" s="1"/>
  <c r="E67" i="117"/>
  <c r="E1790" i="184"/>
  <c r="D67" i="117"/>
  <c r="D1790" i="184" s="1"/>
  <c r="AA66" i="117"/>
  <c r="W66" i="117"/>
  <c r="V66" i="117"/>
  <c r="J263" i="191" s="1"/>
  <c r="P66" i="117"/>
  <c r="U66" i="117" s="1"/>
  <c r="I263" i="191" s="1"/>
  <c r="L66" i="117"/>
  <c r="L1753" i="184"/>
  <c r="K66" i="117"/>
  <c r="K1753" i="184"/>
  <c r="I66" i="117"/>
  <c r="I1753" i="184"/>
  <c r="H66" i="117"/>
  <c r="H1753" i="184" s="1"/>
  <c r="G66" i="117"/>
  <c r="F66" i="117"/>
  <c r="F1753" i="184" s="1"/>
  <c r="E66" i="117"/>
  <c r="E1753" i="184" s="1"/>
  <c r="AA65" i="117"/>
  <c r="W65" i="117"/>
  <c r="V65" i="117"/>
  <c r="P65" i="117"/>
  <c r="D226" i="191"/>
  <c r="L65" i="117"/>
  <c r="L1716" i="184" s="1"/>
  <c r="K65" i="117"/>
  <c r="K1716" i="184"/>
  <c r="I65" i="117"/>
  <c r="H65" i="117"/>
  <c r="H1716" i="184" s="1"/>
  <c r="G65" i="117"/>
  <c r="G1716" i="184"/>
  <c r="F65" i="117"/>
  <c r="E65" i="117"/>
  <c r="E1716" i="184"/>
  <c r="D65" i="117"/>
  <c r="D1716" i="184" s="1"/>
  <c r="AA64" i="117"/>
  <c r="W64" i="117"/>
  <c r="V64" i="117"/>
  <c r="Q64" i="117"/>
  <c r="P64" i="117"/>
  <c r="U64" i="117" s="1"/>
  <c r="L64" i="117"/>
  <c r="L1679" i="184" s="1"/>
  <c r="K64" i="117"/>
  <c r="K1679" i="184" s="1"/>
  <c r="J64" i="117"/>
  <c r="J1679" i="184" s="1"/>
  <c r="I64" i="117"/>
  <c r="H64" i="117"/>
  <c r="H1679" i="184"/>
  <c r="E64" i="117"/>
  <c r="AA63" i="117"/>
  <c r="W63" i="117"/>
  <c r="K152" i="191" s="1"/>
  <c r="V63" i="117"/>
  <c r="J152" i="191" s="1"/>
  <c r="P63" i="117"/>
  <c r="L63" i="117"/>
  <c r="L1642" i="184" s="1"/>
  <c r="K63" i="117"/>
  <c r="K1642" i="184" s="1"/>
  <c r="J63" i="117"/>
  <c r="J1642" i="184" s="1"/>
  <c r="I63" i="117"/>
  <c r="I1642" i="184" s="1"/>
  <c r="H63" i="117"/>
  <c r="H1642" i="184" s="1"/>
  <c r="G63" i="117"/>
  <c r="G1642" i="184"/>
  <c r="F63" i="117"/>
  <c r="E63" i="117"/>
  <c r="D63" i="117"/>
  <c r="AA62" i="117"/>
  <c r="W62" i="117"/>
  <c r="V62" i="117"/>
  <c r="J115" i="191" s="1"/>
  <c r="P62" i="117"/>
  <c r="U62" i="117"/>
  <c r="L62" i="117"/>
  <c r="K62" i="117"/>
  <c r="K1605" i="184"/>
  <c r="I62" i="117"/>
  <c r="I1605" i="184" s="1"/>
  <c r="H62" i="117"/>
  <c r="G62" i="117"/>
  <c r="G1605" i="184" s="1"/>
  <c r="F62" i="117"/>
  <c r="F1605" i="184" s="1"/>
  <c r="E62" i="117"/>
  <c r="D62" i="117"/>
  <c r="AA61" i="117"/>
  <c r="W61" i="117"/>
  <c r="K78" i="191" s="1"/>
  <c r="V61" i="117"/>
  <c r="P61" i="117"/>
  <c r="L61" i="117"/>
  <c r="L1568" i="184"/>
  <c r="J61" i="117"/>
  <c r="I61" i="117"/>
  <c r="I1568" i="184" s="1"/>
  <c r="H61" i="117"/>
  <c r="H1568" i="184" s="1"/>
  <c r="F61" i="117"/>
  <c r="E61" i="117"/>
  <c r="E1568" i="184"/>
  <c r="D61" i="117"/>
  <c r="D1568" i="184" s="1"/>
  <c r="AA60" i="117"/>
  <c r="W60" i="117"/>
  <c r="K41" i="191"/>
  <c r="V60" i="117"/>
  <c r="P60" i="117"/>
  <c r="L60" i="117"/>
  <c r="K60" i="117"/>
  <c r="J60" i="117"/>
  <c r="J1531" i="184" s="1"/>
  <c r="I60" i="117"/>
  <c r="I1531" i="184"/>
  <c r="H60" i="117"/>
  <c r="H1531" i="184" s="1"/>
  <c r="G60" i="117"/>
  <c r="G1531" i="184"/>
  <c r="F60" i="117"/>
  <c r="E60" i="117"/>
  <c r="D60" i="117"/>
  <c r="L1418" i="184"/>
  <c r="K1418" i="184"/>
  <c r="J1418" i="184"/>
  <c r="I1418" i="184"/>
  <c r="H1418" i="184"/>
  <c r="D1418" i="184"/>
  <c r="L1381" i="184"/>
  <c r="J1381" i="184"/>
  <c r="I1381" i="184"/>
  <c r="H1381" i="184"/>
  <c r="G1381" i="184"/>
  <c r="E1381" i="184"/>
  <c r="D1381" i="184"/>
  <c r="L1344" i="184"/>
  <c r="K1344" i="184"/>
  <c r="I1344" i="184"/>
  <c r="H1344" i="184"/>
  <c r="E1344" i="184"/>
  <c r="D1344" i="184"/>
  <c r="L1307" i="184"/>
  <c r="J1307" i="184"/>
  <c r="I1307" i="184"/>
  <c r="E1307" i="184"/>
  <c r="D1307" i="184"/>
  <c r="K1270" i="184"/>
  <c r="J1270" i="184"/>
  <c r="H1270" i="184"/>
  <c r="D27" i="116"/>
  <c r="E1270" i="184"/>
  <c r="L1233" i="184"/>
  <c r="I1233" i="184"/>
  <c r="H1233" i="184"/>
  <c r="G1233" i="184"/>
  <c r="F1233" i="184"/>
  <c r="D1233" i="184"/>
  <c r="K1194" i="184"/>
  <c r="J1194" i="184"/>
  <c r="I1194" i="184"/>
  <c r="E1194" i="184"/>
  <c r="K1080" i="184"/>
  <c r="J1080" i="184"/>
  <c r="I1080" i="184"/>
  <c r="D1080" i="184"/>
  <c r="L1043" i="184"/>
  <c r="K1043" i="184"/>
  <c r="I1043" i="184"/>
  <c r="H1043" i="184"/>
  <c r="G1043" i="184"/>
  <c r="E1043" i="184"/>
  <c r="D1043" i="184"/>
  <c r="J1006" i="184"/>
  <c r="I1006" i="184"/>
  <c r="H1006" i="184"/>
  <c r="F1006" i="184"/>
  <c r="E1006" i="184"/>
  <c r="L969" i="184"/>
  <c r="I969" i="184"/>
  <c r="G969" i="184"/>
  <c r="E969" i="184"/>
  <c r="D969" i="184"/>
  <c r="L932" i="184"/>
  <c r="K932" i="184"/>
  <c r="J932" i="184"/>
  <c r="G932" i="184"/>
  <c r="F932" i="184"/>
  <c r="D932" i="184"/>
  <c r="K895" i="184"/>
  <c r="J895" i="184"/>
  <c r="H895" i="184"/>
  <c r="G895" i="184"/>
  <c r="E895" i="184"/>
  <c r="D895" i="184"/>
  <c r="L35" i="117"/>
  <c r="K35" i="117"/>
  <c r="K858" i="184" s="1"/>
  <c r="J35" i="117"/>
  <c r="J858" i="184" s="1"/>
  <c r="I35" i="117"/>
  <c r="I858" i="184" s="1"/>
  <c r="H35" i="117"/>
  <c r="H858" i="184"/>
  <c r="G35" i="117"/>
  <c r="F35" i="117"/>
  <c r="F858" i="184"/>
  <c r="E35" i="117"/>
  <c r="E858" i="184" s="1"/>
  <c r="D35" i="117"/>
  <c r="R34" i="117"/>
  <c r="L109" i="117" s="1"/>
  <c r="L34" i="117"/>
  <c r="K34" i="117"/>
  <c r="K821" i="184" s="1"/>
  <c r="J34" i="117"/>
  <c r="J821" i="184" s="1"/>
  <c r="I34" i="117"/>
  <c r="I821" i="184" s="1"/>
  <c r="H34" i="117"/>
  <c r="H821" i="184" s="1"/>
  <c r="G34" i="117"/>
  <c r="G821" i="184"/>
  <c r="D34" i="117"/>
  <c r="L33" i="117"/>
  <c r="K33" i="117"/>
  <c r="J33" i="117"/>
  <c r="J784" i="184" s="1"/>
  <c r="I33" i="117"/>
  <c r="I784" i="184" s="1"/>
  <c r="H33" i="117"/>
  <c r="H784" i="184"/>
  <c r="G33" i="117"/>
  <c r="G784" i="184" s="1"/>
  <c r="F33" i="117"/>
  <c r="F784" i="184"/>
  <c r="E33" i="117"/>
  <c r="E784" i="184" s="1"/>
  <c r="D33" i="117"/>
  <c r="Q32" i="117"/>
  <c r="L108" i="117" s="1"/>
  <c r="L32" i="117"/>
  <c r="L747" i="184"/>
  <c r="K32" i="117"/>
  <c r="K747" i="184" s="1"/>
  <c r="J32" i="117"/>
  <c r="J747" i="184"/>
  <c r="I32" i="117"/>
  <c r="I747" i="184" s="1"/>
  <c r="H32" i="117"/>
  <c r="G32" i="117"/>
  <c r="G747" i="184" s="1"/>
  <c r="F32" i="117"/>
  <c r="E32" i="117"/>
  <c r="E747" i="184" s="1"/>
  <c r="D32" i="117"/>
  <c r="L635" i="184"/>
  <c r="J635" i="184"/>
  <c r="I635" i="184"/>
  <c r="G635" i="184"/>
  <c r="F635" i="184"/>
  <c r="K598" i="184"/>
  <c r="J598" i="184"/>
  <c r="H598" i="184"/>
  <c r="G598" i="184"/>
  <c r="E598" i="184"/>
  <c r="L561" i="184"/>
  <c r="J561" i="184"/>
  <c r="I561" i="184"/>
  <c r="H561" i="184"/>
  <c r="G561" i="184"/>
  <c r="F561" i="184"/>
  <c r="E561" i="184"/>
  <c r="L524" i="184"/>
  <c r="J524" i="184"/>
  <c r="I524" i="184"/>
  <c r="H524" i="184"/>
  <c r="F524" i="184"/>
  <c r="K487" i="184"/>
  <c r="J487" i="184"/>
  <c r="I487" i="184"/>
  <c r="H487" i="184"/>
  <c r="F487" i="184"/>
  <c r="E487" i="184"/>
  <c r="L450" i="184"/>
  <c r="K450" i="184"/>
  <c r="J450" i="184"/>
  <c r="I450" i="184"/>
  <c r="E450" i="184"/>
  <c r="D450" i="184"/>
  <c r="L22" i="117"/>
  <c r="L413" i="184" s="1"/>
  <c r="K22" i="117"/>
  <c r="K413" i="184" s="1"/>
  <c r="J22" i="117"/>
  <c r="J413" i="184" s="1"/>
  <c r="I22" i="117"/>
  <c r="I413" i="184" s="1"/>
  <c r="H22" i="117"/>
  <c r="H413" i="184" s="1"/>
  <c r="G22" i="117"/>
  <c r="G413" i="184" s="1"/>
  <c r="F22" i="117"/>
  <c r="F413" i="184"/>
  <c r="D22" i="117"/>
  <c r="D413" i="184" s="1"/>
  <c r="L21" i="117"/>
  <c r="L376" i="184"/>
  <c r="K21" i="117"/>
  <c r="J21" i="117"/>
  <c r="I21" i="117"/>
  <c r="I376" i="184" s="1"/>
  <c r="H21" i="117"/>
  <c r="H376" i="184" s="1"/>
  <c r="G21" i="117"/>
  <c r="G376" i="184" s="1"/>
  <c r="F21" i="117"/>
  <c r="F376" i="184" s="1"/>
  <c r="E21" i="117"/>
  <c r="E376" i="184" s="1"/>
  <c r="D21" i="117"/>
  <c r="L20" i="117"/>
  <c r="K20" i="117"/>
  <c r="K339" i="184"/>
  <c r="J20" i="117"/>
  <c r="I20" i="117"/>
  <c r="I339" i="184"/>
  <c r="H20" i="117"/>
  <c r="H339" i="184" s="1"/>
  <c r="F20" i="117"/>
  <c r="E20" i="117"/>
  <c r="E339" i="184"/>
  <c r="D20" i="117"/>
  <c r="D339" i="184" s="1"/>
  <c r="L19" i="117"/>
  <c r="K19" i="117"/>
  <c r="K302" i="184" s="1"/>
  <c r="J19" i="117"/>
  <c r="J302" i="184" s="1"/>
  <c r="I19" i="117"/>
  <c r="I302" i="184" s="1"/>
  <c r="H19" i="117"/>
  <c r="H302" i="184"/>
  <c r="G19" i="117"/>
  <c r="F19" i="117"/>
  <c r="D19" i="117"/>
  <c r="D302" i="184"/>
  <c r="K189" i="184"/>
  <c r="J189" i="184"/>
  <c r="H189" i="184"/>
  <c r="G189" i="184"/>
  <c r="D189" i="184"/>
  <c r="L152" i="184"/>
  <c r="F152" i="184"/>
  <c r="E152" i="184"/>
  <c r="L115" i="184"/>
  <c r="K115" i="184"/>
  <c r="J115" i="184"/>
  <c r="I115" i="184"/>
  <c r="H115" i="184"/>
  <c r="G115" i="184"/>
  <c r="E115" i="184"/>
  <c r="D115" i="184"/>
  <c r="L78" i="184"/>
  <c r="J78" i="184"/>
  <c r="I78" i="184"/>
  <c r="H78" i="184"/>
  <c r="J41" i="184"/>
  <c r="G41" i="184"/>
  <c r="D10" i="116"/>
  <c r="E41" i="184"/>
  <c r="M100" i="112"/>
  <c r="Q92" i="112"/>
  <c r="O92" i="112"/>
  <c r="K92" i="112"/>
  <c r="K2498" i="184"/>
  <c r="J92" i="112"/>
  <c r="J2498" i="184" s="1"/>
  <c r="G92" i="112"/>
  <c r="G2498" i="184"/>
  <c r="F92" i="112"/>
  <c r="F2498" i="184" s="1"/>
  <c r="E92" i="112"/>
  <c r="E2498" i="184" s="1"/>
  <c r="D92" i="112"/>
  <c r="D2498" i="184" s="1"/>
  <c r="K91" i="112"/>
  <c r="K2461" i="184" s="1"/>
  <c r="J91" i="112"/>
  <c r="J2461" i="184" s="1"/>
  <c r="I91" i="112"/>
  <c r="I2461" i="184" s="1"/>
  <c r="H91" i="112"/>
  <c r="G91" i="112"/>
  <c r="G2461" i="184"/>
  <c r="F91" i="112"/>
  <c r="E91" i="112"/>
  <c r="E2461" i="184" s="1"/>
  <c r="D91" i="112"/>
  <c r="D2461" i="184"/>
  <c r="L90" i="112"/>
  <c r="L2424" i="184" s="1"/>
  <c r="K90" i="112"/>
  <c r="I90" i="112"/>
  <c r="I2424" i="184" s="1"/>
  <c r="H90" i="112"/>
  <c r="G90" i="112"/>
  <c r="G2424" i="184" s="1"/>
  <c r="F90" i="112"/>
  <c r="F2424" i="184" s="1"/>
  <c r="D90" i="112"/>
  <c r="D2424" i="184" s="1"/>
  <c r="L89" i="112"/>
  <c r="L2387" i="184" s="1"/>
  <c r="J89" i="112"/>
  <c r="J2387" i="184"/>
  <c r="I89" i="112"/>
  <c r="I2387" i="184" s="1"/>
  <c r="H89" i="112"/>
  <c r="H2387" i="184"/>
  <c r="G89" i="112"/>
  <c r="G2387" i="184" s="1"/>
  <c r="F89" i="112"/>
  <c r="F2387" i="184"/>
  <c r="E89" i="112"/>
  <c r="E2387" i="184" s="1"/>
  <c r="D89" i="112"/>
  <c r="D2387" i="184"/>
  <c r="L88" i="112"/>
  <c r="J88" i="112"/>
  <c r="J2350" i="184"/>
  <c r="I88" i="112"/>
  <c r="I2350" i="184" s="1"/>
  <c r="H88" i="112"/>
  <c r="H2350" i="184"/>
  <c r="G88" i="112"/>
  <c r="G2350" i="184" s="1"/>
  <c r="F88" i="112"/>
  <c r="F2350" i="184" s="1"/>
  <c r="E88" i="112"/>
  <c r="E2350" i="184" s="1"/>
  <c r="D88" i="112"/>
  <c r="L87" i="112"/>
  <c r="L2313" i="184"/>
  <c r="K87" i="112"/>
  <c r="K2313" i="184" s="1"/>
  <c r="J87" i="112"/>
  <c r="J2313" i="184"/>
  <c r="I87" i="112"/>
  <c r="H87" i="112"/>
  <c r="H2313" i="184"/>
  <c r="G87" i="112"/>
  <c r="F87" i="112"/>
  <c r="F2313" i="184" s="1"/>
  <c r="E87" i="112"/>
  <c r="E2313" i="184"/>
  <c r="D87" i="112"/>
  <c r="D2313" i="184" s="1"/>
  <c r="L82" i="112"/>
  <c r="L2200" i="184"/>
  <c r="K82" i="112"/>
  <c r="J82" i="112"/>
  <c r="J2200" i="184"/>
  <c r="I82" i="112"/>
  <c r="H82" i="112"/>
  <c r="G82" i="112"/>
  <c r="F82" i="112"/>
  <c r="E82" i="112"/>
  <c r="E2200" i="184" s="1"/>
  <c r="D82" i="112"/>
  <c r="D2200" i="184" s="1"/>
  <c r="L81" i="112"/>
  <c r="K81" i="112"/>
  <c r="K2163" i="184" s="1"/>
  <c r="J81" i="112"/>
  <c r="I81" i="112"/>
  <c r="I2163" i="184" s="1"/>
  <c r="H81" i="112"/>
  <c r="H2163" i="184"/>
  <c r="G81" i="112"/>
  <c r="G2163" i="184" s="1"/>
  <c r="F81" i="112"/>
  <c r="E81" i="112"/>
  <c r="R80" i="112"/>
  <c r="L116" i="112" s="1"/>
  <c r="R77" i="112"/>
  <c r="B23" i="113"/>
  <c r="K77" i="112"/>
  <c r="K2087" i="184" s="1"/>
  <c r="J77" i="112"/>
  <c r="J2087" i="184"/>
  <c r="I77" i="112"/>
  <c r="I2087" i="184" s="1"/>
  <c r="H77" i="112"/>
  <c r="H2087" i="184"/>
  <c r="G77" i="112"/>
  <c r="G2087" i="184" s="1"/>
  <c r="F77" i="112"/>
  <c r="F2087" i="184" s="1"/>
  <c r="E77" i="112"/>
  <c r="D77" i="112"/>
  <c r="D2087" i="184" s="1"/>
  <c r="L76" i="112"/>
  <c r="K76" i="112"/>
  <c r="K2050" i="184" s="1"/>
  <c r="J76" i="112"/>
  <c r="J2050" i="184"/>
  <c r="I76" i="112"/>
  <c r="H76" i="112"/>
  <c r="H2050" i="184" s="1"/>
  <c r="G76" i="112"/>
  <c r="G2050" i="184" s="1"/>
  <c r="F76" i="112"/>
  <c r="F2050" i="184" s="1"/>
  <c r="E76" i="112"/>
  <c r="E2050" i="184"/>
  <c r="D76" i="112"/>
  <c r="D2050" i="184" s="1"/>
  <c r="L75" i="112"/>
  <c r="L2013" i="184" s="1"/>
  <c r="K75" i="112"/>
  <c r="J75" i="112"/>
  <c r="J2013" i="184"/>
  <c r="I75" i="112"/>
  <c r="I2013" i="184" s="1"/>
  <c r="H75" i="112"/>
  <c r="G75" i="112"/>
  <c r="G2013" i="184" s="1"/>
  <c r="F75" i="112"/>
  <c r="D51" i="111" s="1"/>
  <c r="E75" i="112"/>
  <c r="E2013" i="184"/>
  <c r="D75" i="112"/>
  <c r="L74" i="112"/>
  <c r="L1976" i="184"/>
  <c r="K74" i="112"/>
  <c r="K1976" i="184" s="1"/>
  <c r="J74" i="112"/>
  <c r="J1976" i="184"/>
  <c r="I74" i="112"/>
  <c r="H74" i="112"/>
  <c r="H1976" i="184" s="1"/>
  <c r="G74" i="112"/>
  <c r="F74" i="112"/>
  <c r="E74" i="112"/>
  <c r="E1976" i="184" s="1"/>
  <c r="D74" i="112"/>
  <c r="K70" i="112"/>
  <c r="K1900" i="184" s="1"/>
  <c r="J70" i="112"/>
  <c r="J1900" i="184"/>
  <c r="I70" i="112"/>
  <c r="G70" i="112"/>
  <c r="G1900" i="184" s="1"/>
  <c r="F70" i="112"/>
  <c r="D46" i="111"/>
  <c r="E70" i="112"/>
  <c r="E1900" i="184" s="1"/>
  <c r="D70" i="112"/>
  <c r="D1900" i="184" s="1"/>
  <c r="K69" i="112"/>
  <c r="K1863" i="184" s="1"/>
  <c r="J69" i="112"/>
  <c r="J1863" i="184"/>
  <c r="I69" i="112"/>
  <c r="I1863" i="184" s="1"/>
  <c r="G69" i="112"/>
  <c r="G1863" i="184" s="1"/>
  <c r="D45" i="111"/>
  <c r="D69" i="112"/>
  <c r="AA68" i="112"/>
  <c r="L68" i="112"/>
  <c r="L1826" i="184" s="1"/>
  <c r="K68" i="112"/>
  <c r="K1826" i="184"/>
  <c r="J68" i="112"/>
  <c r="J1826" i="184" s="1"/>
  <c r="H68" i="112"/>
  <c r="H1826" i="184"/>
  <c r="G68" i="112"/>
  <c r="F68" i="112"/>
  <c r="E68" i="112"/>
  <c r="E1826" i="184"/>
  <c r="D68" i="112"/>
  <c r="D1826" i="184" s="1"/>
  <c r="AA67" i="112"/>
  <c r="W67" i="112"/>
  <c r="K299" i="191"/>
  <c r="V67" i="112"/>
  <c r="P67" i="112"/>
  <c r="U67" i="112"/>
  <c r="L67" i="112"/>
  <c r="L1789" i="184" s="1"/>
  <c r="J67" i="112"/>
  <c r="J1789" i="184" s="1"/>
  <c r="I67" i="112"/>
  <c r="I1789" i="184" s="1"/>
  <c r="H67" i="112"/>
  <c r="H1789" i="184" s="1"/>
  <c r="G67" i="112"/>
  <c r="G1789" i="184" s="1"/>
  <c r="F67" i="112"/>
  <c r="D43" i="111"/>
  <c r="E67" i="112"/>
  <c r="D67" i="112"/>
  <c r="D1789" i="184" s="1"/>
  <c r="AA66" i="112"/>
  <c r="W66" i="112"/>
  <c r="K262" i="191" s="1"/>
  <c r="V66" i="112"/>
  <c r="P66" i="112"/>
  <c r="L66" i="112"/>
  <c r="L1752" i="184" s="1"/>
  <c r="K66" i="112"/>
  <c r="K1752" i="184"/>
  <c r="I66" i="112"/>
  <c r="I1752" i="184" s="1"/>
  <c r="H66" i="112"/>
  <c r="H1752" i="184"/>
  <c r="G66" i="112"/>
  <c r="F66" i="112"/>
  <c r="D42" i="111" s="1"/>
  <c r="E66" i="112"/>
  <c r="E1752" i="184" s="1"/>
  <c r="AA65" i="112"/>
  <c r="W65" i="112"/>
  <c r="K225" i="191" s="1"/>
  <c r="V65" i="112"/>
  <c r="P65" i="112"/>
  <c r="U65" i="112" s="1"/>
  <c r="I225" i="191" s="1"/>
  <c r="L65" i="112"/>
  <c r="L1715" i="184" s="1"/>
  <c r="K65" i="112"/>
  <c r="I65" i="112"/>
  <c r="I1715" i="184"/>
  <c r="H65" i="112"/>
  <c r="H1715" i="184" s="1"/>
  <c r="G65" i="112"/>
  <c r="G1715" i="184" s="1"/>
  <c r="F65" i="112"/>
  <c r="E65" i="112"/>
  <c r="D65" i="112"/>
  <c r="D1715" i="184"/>
  <c r="AA64" i="112"/>
  <c r="W64" i="112"/>
  <c r="K188" i="191"/>
  <c r="V64" i="112"/>
  <c r="Q64" i="112"/>
  <c r="P64" i="112"/>
  <c r="L64" i="112"/>
  <c r="L1678" i="184"/>
  <c r="K64" i="112"/>
  <c r="K1678" i="184" s="1"/>
  <c r="J64" i="112"/>
  <c r="J1678" i="184" s="1"/>
  <c r="I64" i="112"/>
  <c r="H64" i="112"/>
  <c r="E64" i="112"/>
  <c r="E1678" i="184"/>
  <c r="AA63" i="112"/>
  <c r="W63" i="112"/>
  <c r="K151" i="191"/>
  <c r="V63" i="112"/>
  <c r="J151" i="191" s="1"/>
  <c r="P63" i="112"/>
  <c r="U63" i="112" s="1"/>
  <c r="L63" i="112"/>
  <c r="L1641" i="184" s="1"/>
  <c r="K63" i="112"/>
  <c r="K1641" i="184" s="1"/>
  <c r="J63" i="112"/>
  <c r="I63" i="112"/>
  <c r="H63" i="112"/>
  <c r="H1641" i="184"/>
  <c r="G63" i="112"/>
  <c r="G1641" i="184" s="1"/>
  <c r="F63" i="112"/>
  <c r="F1641" i="184"/>
  <c r="E63" i="112"/>
  <c r="E1641" i="184" s="1"/>
  <c r="D63" i="112"/>
  <c r="D1641" i="184"/>
  <c r="AA62" i="112"/>
  <c r="W62" i="112"/>
  <c r="K114" i="191" s="1"/>
  <c r="V62" i="112"/>
  <c r="J114" i="191" s="1"/>
  <c r="P62" i="112"/>
  <c r="U62" i="112" s="1"/>
  <c r="I114" i="191" s="1"/>
  <c r="L62" i="112"/>
  <c r="K62" i="112"/>
  <c r="K1604" i="184" s="1"/>
  <c r="I62" i="112"/>
  <c r="H62" i="112"/>
  <c r="H1604" i="184" s="1"/>
  <c r="G62" i="112"/>
  <c r="G1604" i="184"/>
  <c r="F62" i="112"/>
  <c r="F1604" i="184" s="1"/>
  <c r="E62" i="112"/>
  <c r="D62" i="112"/>
  <c r="D1604" i="184" s="1"/>
  <c r="AA61" i="112"/>
  <c r="W61" i="112"/>
  <c r="V61" i="112"/>
  <c r="P61" i="112"/>
  <c r="L61" i="112"/>
  <c r="L1567" i="184" s="1"/>
  <c r="J61" i="112"/>
  <c r="J1567" i="184" s="1"/>
  <c r="I61" i="112"/>
  <c r="I1567" i="184" s="1"/>
  <c r="H61" i="112"/>
  <c r="H1567" i="184" s="1"/>
  <c r="F61" i="112"/>
  <c r="E61" i="112"/>
  <c r="E1567" i="184"/>
  <c r="D61" i="112"/>
  <c r="AA60" i="112"/>
  <c r="W60" i="112"/>
  <c r="V60" i="112"/>
  <c r="J40" i="191" s="1"/>
  <c r="P60" i="112"/>
  <c r="L60" i="112"/>
  <c r="L1530" i="184"/>
  <c r="K60" i="112"/>
  <c r="K1530" i="184" s="1"/>
  <c r="J60" i="112"/>
  <c r="J1530" i="184"/>
  <c r="I60" i="112"/>
  <c r="I1530" i="184" s="1"/>
  <c r="H60" i="112"/>
  <c r="H1530" i="184" s="1"/>
  <c r="G60" i="112"/>
  <c r="G1530" i="184" s="1"/>
  <c r="F60" i="112"/>
  <c r="E60" i="112"/>
  <c r="E1530" i="184" s="1"/>
  <c r="D60" i="112"/>
  <c r="L1417" i="184"/>
  <c r="K1417" i="184"/>
  <c r="J1417" i="184"/>
  <c r="I1417" i="184"/>
  <c r="G1417" i="184"/>
  <c r="D1417" i="184"/>
  <c r="K1380" i="184"/>
  <c r="J1380" i="184"/>
  <c r="I1380" i="184"/>
  <c r="H1380" i="184"/>
  <c r="E1380" i="184"/>
  <c r="L1343" i="184"/>
  <c r="K1343" i="184"/>
  <c r="J1343" i="184"/>
  <c r="I1343" i="184"/>
  <c r="G1343" i="184"/>
  <c r="E1343" i="184"/>
  <c r="D1343" i="184"/>
  <c r="K1306" i="184"/>
  <c r="H1306" i="184"/>
  <c r="D28" i="111"/>
  <c r="E1306" i="184"/>
  <c r="L1269" i="184"/>
  <c r="K1269" i="184"/>
  <c r="J1269" i="184"/>
  <c r="H1269" i="184"/>
  <c r="E1269" i="184"/>
  <c r="K1232" i="184"/>
  <c r="I1232" i="184"/>
  <c r="H1232" i="184"/>
  <c r="G1232" i="184"/>
  <c r="K1193" i="184"/>
  <c r="J1193" i="184"/>
  <c r="I1193" i="184"/>
  <c r="L1079" i="184"/>
  <c r="K1079" i="184"/>
  <c r="I1079" i="184"/>
  <c r="H1079" i="184"/>
  <c r="G1079" i="184"/>
  <c r="F1079" i="184"/>
  <c r="E1079" i="184"/>
  <c r="D1079" i="184"/>
  <c r="K1042" i="184"/>
  <c r="J1042" i="184"/>
  <c r="I1042" i="184"/>
  <c r="H1042" i="184"/>
  <c r="G1042" i="184"/>
  <c r="F1042" i="184"/>
  <c r="E1042" i="184"/>
  <c r="J1005" i="184"/>
  <c r="I1005" i="184"/>
  <c r="H1005" i="184"/>
  <c r="G1005" i="184"/>
  <c r="E1005" i="184"/>
  <c r="D1005" i="184"/>
  <c r="K968" i="184"/>
  <c r="J968" i="184"/>
  <c r="I968" i="184"/>
  <c r="G968" i="184"/>
  <c r="F968" i="184"/>
  <c r="E968" i="184"/>
  <c r="L931" i="184"/>
  <c r="K931" i="184"/>
  <c r="I931" i="184"/>
  <c r="H931" i="184"/>
  <c r="F931" i="184"/>
  <c r="E931" i="184"/>
  <c r="D931" i="184"/>
  <c r="L894" i="184"/>
  <c r="K894" i="184"/>
  <c r="J894" i="184"/>
  <c r="H894" i="184"/>
  <c r="F894" i="184"/>
  <c r="E894" i="184"/>
  <c r="D894" i="184"/>
  <c r="L35" i="112"/>
  <c r="L857" i="184" s="1"/>
  <c r="K35" i="112"/>
  <c r="J35" i="112"/>
  <c r="J857" i="184" s="1"/>
  <c r="I35" i="112"/>
  <c r="I857" i="184" s="1"/>
  <c r="H35" i="112"/>
  <c r="H857" i="184" s="1"/>
  <c r="G35" i="112"/>
  <c r="G857" i="184" s="1"/>
  <c r="F35" i="112"/>
  <c r="E35" i="112"/>
  <c r="E857" i="184" s="1"/>
  <c r="D35" i="112"/>
  <c r="D857" i="184" s="1"/>
  <c r="R34" i="112"/>
  <c r="L109" i="112" s="1"/>
  <c r="L34" i="112"/>
  <c r="L820" i="184"/>
  <c r="K34" i="112"/>
  <c r="K820" i="184" s="1"/>
  <c r="J34" i="112"/>
  <c r="J820" i="184" s="1"/>
  <c r="I34" i="112"/>
  <c r="I820" i="184" s="1"/>
  <c r="H34" i="112"/>
  <c r="G34" i="112"/>
  <c r="G820" i="184" s="1"/>
  <c r="D34" i="112"/>
  <c r="D820" i="184" s="1"/>
  <c r="L33" i="112"/>
  <c r="L783" i="184" s="1"/>
  <c r="K33" i="112"/>
  <c r="K783" i="184"/>
  <c r="J33" i="112"/>
  <c r="J783" i="184" s="1"/>
  <c r="I33" i="112"/>
  <c r="H33" i="112"/>
  <c r="G33" i="112"/>
  <c r="G783" i="184" s="1"/>
  <c r="F33" i="112"/>
  <c r="F783" i="184"/>
  <c r="E33" i="112"/>
  <c r="E783" i="184" s="1"/>
  <c r="D33" i="112"/>
  <c r="Q32" i="112"/>
  <c r="L108" i="112" s="1"/>
  <c r="L32" i="112"/>
  <c r="K32" i="112"/>
  <c r="K746" i="184" s="1"/>
  <c r="J32" i="112"/>
  <c r="J746" i="184" s="1"/>
  <c r="I32" i="112"/>
  <c r="I746" i="184" s="1"/>
  <c r="H32" i="112"/>
  <c r="H746" i="184" s="1"/>
  <c r="G32" i="112"/>
  <c r="G746" i="184"/>
  <c r="F32" i="112"/>
  <c r="F746" i="184" s="1"/>
  <c r="E32" i="112"/>
  <c r="E746" i="184"/>
  <c r="D32" i="112"/>
  <c r="L634" i="184"/>
  <c r="K634" i="184"/>
  <c r="I634" i="184"/>
  <c r="G634" i="184"/>
  <c r="F634" i="184"/>
  <c r="E634" i="184"/>
  <c r="J597" i="184"/>
  <c r="H597" i="184"/>
  <c r="G597" i="184"/>
  <c r="F597" i="184"/>
  <c r="E597" i="184"/>
  <c r="L560" i="184"/>
  <c r="J560" i="184"/>
  <c r="I560" i="184"/>
  <c r="H560" i="184"/>
  <c r="D560" i="184"/>
  <c r="L523" i="184"/>
  <c r="K523" i="184"/>
  <c r="J523" i="184"/>
  <c r="I523" i="184"/>
  <c r="H523" i="184"/>
  <c r="F523" i="184"/>
  <c r="L486" i="184"/>
  <c r="K486" i="184"/>
  <c r="J486" i="184"/>
  <c r="I486" i="184"/>
  <c r="G486" i="184"/>
  <c r="F486" i="184"/>
  <c r="D486" i="184"/>
  <c r="J449" i="184"/>
  <c r="I449" i="184"/>
  <c r="G449" i="184"/>
  <c r="L22" i="112"/>
  <c r="K22" i="112"/>
  <c r="K412" i="184" s="1"/>
  <c r="J22" i="112"/>
  <c r="J412" i="184" s="1"/>
  <c r="I22" i="112"/>
  <c r="I412" i="184" s="1"/>
  <c r="H22" i="112"/>
  <c r="G22" i="112"/>
  <c r="G412" i="184" s="1"/>
  <c r="F22" i="112"/>
  <c r="D22" i="112"/>
  <c r="D412" i="184" s="1"/>
  <c r="L21" i="112"/>
  <c r="L375" i="184"/>
  <c r="K21" i="112"/>
  <c r="K375" i="184" s="1"/>
  <c r="J21" i="112"/>
  <c r="J375" i="184"/>
  <c r="I21" i="112"/>
  <c r="I375" i="184" s="1"/>
  <c r="H21" i="112"/>
  <c r="G21" i="112"/>
  <c r="F21" i="112"/>
  <c r="F375" i="184" s="1"/>
  <c r="E21" i="112"/>
  <c r="E375" i="184"/>
  <c r="D21" i="112"/>
  <c r="D375" i="184" s="1"/>
  <c r="L20" i="112"/>
  <c r="L338" i="184"/>
  <c r="K20" i="112"/>
  <c r="K338" i="184" s="1"/>
  <c r="J20" i="112"/>
  <c r="J338" i="184"/>
  <c r="I20" i="112"/>
  <c r="I338" i="184" s="1"/>
  <c r="H20" i="112"/>
  <c r="H338" i="184" s="1"/>
  <c r="F20" i="112"/>
  <c r="F338" i="184" s="1"/>
  <c r="E20" i="112"/>
  <c r="E338" i="184" s="1"/>
  <c r="D20" i="112"/>
  <c r="D338" i="184" s="1"/>
  <c r="L19" i="112"/>
  <c r="L301" i="184"/>
  <c r="K19" i="112"/>
  <c r="K301" i="184" s="1"/>
  <c r="J19" i="112"/>
  <c r="I19" i="112"/>
  <c r="I301" i="184"/>
  <c r="H19" i="112"/>
  <c r="H301" i="184" s="1"/>
  <c r="G19" i="112"/>
  <c r="F19" i="112"/>
  <c r="F301" i="184" s="1"/>
  <c r="D19" i="112"/>
  <c r="K188" i="184"/>
  <c r="H188" i="184"/>
  <c r="G188" i="184"/>
  <c r="E188" i="184"/>
  <c r="D188" i="184"/>
  <c r="L151" i="184"/>
  <c r="K151" i="184"/>
  <c r="I151" i="184"/>
  <c r="G151" i="184"/>
  <c r="E151" i="184"/>
  <c r="L114" i="184"/>
  <c r="K114" i="184"/>
  <c r="J114" i="184"/>
  <c r="I114" i="184"/>
  <c r="H114" i="184"/>
  <c r="G114" i="184"/>
  <c r="E114" i="184"/>
  <c r="D114" i="184"/>
  <c r="L77" i="184"/>
  <c r="K77" i="184"/>
  <c r="I77" i="184"/>
  <c r="H77" i="184"/>
  <c r="G77" i="184"/>
  <c r="E77" i="184"/>
  <c r="L40" i="184"/>
  <c r="K40" i="184"/>
  <c r="J40" i="184"/>
  <c r="I40" i="184"/>
  <c r="G40" i="184"/>
  <c r="D40" i="184"/>
  <c r="M100" i="107"/>
  <c r="M2577" i="184" s="1"/>
  <c r="Q92" i="107"/>
  <c r="O92" i="107"/>
  <c r="AD31" i="231" s="1"/>
  <c r="K92" i="107"/>
  <c r="K2497" i="184"/>
  <c r="J92" i="107"/>
  <c r="J2497" i="184" s="1"/>
  <c r="G92" i="107"/>
  <c r="F92" i="107"/>
  <c r="F2497" i="184"/>
  <c r="E92" i="107"/>
  <c r="E2497" i="184" s="1"/>
  <c r="D92" i="107"/>
  <c r="K91" i="107"/>
  <c r="K2460" i="184" s="1"/>
  <c r="J91" i="107"/>
  <c r="J2460" i="184"/>
  <c r="I91" i="107"/>
  <c r="I2460" i="184" s="1"/>
  <c r="H91" i="107"/>
  <c r="H2460" i="184"/>
  <c r="G91" i="107"/>
  <c r="G2460" i="184" s="1"/>
  <c r="F91" i="107"/>
  <c r="F2460" i="184" s="1"/>
  <c r="E91" i="107"/>
  <c r="E2460" i="184" s="1"/>
  <c r="D91" i="107"/>
  <c r="D2460" i="184" s="1"/>
  <c r="L90" i="107"/>
  <c r="L2423" i="184" s="1"/>
  <c r="K90" i="107"/>
  <c r="K2423" i="184"/>
  <c r="I90" i="107"/>
  <c r="I2423" i="184" s="1"/>
  <c r="H90" i="107"/>
  <c r="H2423" i="184"/>
  <c r="G90" i="107"/>
  <c r="G2423" i="184" s="1"/>
  <c r="F90" i="107"/>
  <c r="D90" i="107"/>
  <c r="D2423" i="184"/>
  <c r="L89" i="107"/>
  <c r="L2386" i="184" s="1"/>
  <c r="J89" i="107"/>
  <c r="J2386" i="184" s="1"/>
  <c r="I89" i="107"/>
  <c r="H89" i="107"/>
  <c r="G89" i="107"/>
  <c r="G2386" i="184" s="1"/>
  <c r="F89" i="107"/>
  <c r="F2386" i="184" s="1"/>
  <c r="E89" i="107"/>
  <c r="E2386" i="184" s="1"/>
  <c r="D89" i="107"/>
  <c r="D2386" i="184" s="1"/>
  <c r="L88" i="107"/>
  <c r="L2349" i="184" s="1"/>
  <c r="J88" i="107"/>
  <c r="J2349" i="184" s="1"/>
  <c r="I88" i="107"/>
  <c r="H88" i="107"/>
  <c r="H2349" i="184" s="1"/>
  <c r="G88" i="107"/>
  <c r="F88" i="107"/>
  <c r="F2349" i="184"/>
  <c r="E88" i="107"/>
  <c r="E2349" i="184" s="1"/>
  <c r="D88" i="107"/>
  <c r="D2349" i="184" s="1"/>
  <c r="L87" i="107"/>
  <c r="L2312" i="184" s="1"/>
  <c r="K87" i="107"/>
  <c r="K2312" i="184" s="1"/>
  <c r="J87" i="107"/>
  <c r="I87" i="107"/>
  <c r="I2312" i="184"/>
  <c r="H87" i="107"/>
  <c r="H2312" i="184" s="1"/>
  <c r="G87" i="107"/>
  <c r="F87" i="107"/>
  <c r="F2312" i="184"/>
  <c r="E87" i="107"/>
  <c r="E2312" i="184" s="1"/>
  <c r="D87" i="107"/>
  <c r="D2312" i="184" s="1"/>
  <c r="L82" i="107"/>
  <c r="K82" i="107"/>
  <c r="J82" i="107"/>
  <c r="J2199" i="184" s="1"/>
  <c r="I82" i="107"/>
  <c r="I2199" i="184" s="1"/>
  <c r="H82" i="107"/>
  <c r="G82" i="107"/>
  <c r="G2199" i="184" s="1"/>
  <c r="F82" i="107"/>
  <c r="F2199" i="184"/>
  <c r="E82" i="107"/>
  <c r="E2199" i="184" s="1"/>
  <c r="D82" i="107"/>
  <c r="D2199" i="184" s="1"/>
  <c r="L81" i="107"/>
  <c r="K81" i="107"/>
  <c r="K2162" i="184" s="1"/>
  <c r="J81" i="107"/>
  <c r="J2162" i="184" s="1"/>
  <c r="I81" i="107"/>
  <c r="I2162" i="184" s="1"/>
  <c r="H81" i="107"/>
  <c r="H2162" i="184" s="1"/>
  <c r="G81" i="107"/>
  <c r="G2162" i="184" s="1"/>
  <c r="F81" i="107"/>
  <c r="F2162" i="184"/>
  <c r="E81" i="107"/>
  <c r="E2162" i="184" s="1"/>
  <c r="R80" i="107"/>
  <c r="R77" i="107"/>
  <c r="K77" i="107"/>
  <c r="J77" i="107"/>
  <c r="J2086" i="184"/>
  <c r="I77" i="107"/>
  <c r="I2086" i="184" s="1"/>
  <c r="H77" i="107"/>
  <c r="G77" i="107"/>
  <c r="G2086" i="184" s="1"/>
  <c r="F77" i="107"/>
  <c r="E77" i="107"/>
  <c r="E2086" i="184"/>
  <c r="D77" i="107"/>
  <c r="D2086" i="184" s="1"/>
  <c r="L76" i="107"/>
  <c r="K76" i="107"/>
  <c r="J76" i="107"/>
  <c r="J2049" i="184" s="1"/>
  <c r="I76" i="107"/>
  <c r="I2049" i="184" s="1"/>
  <c r="H76" i="107"/>
  <c r="G76" i="107"/>
  <c r="F76" i="107"/>
  <c r="E76" i="107"/>
  <c r="D76" i="107"/>
  <c r="L75" i="107"/>
  <c r="L2012" i="184" s="1"/>
  <c r="K75" i="107"/>
  <c r="K2012" i="184" s="1"/>
  <c r="J75" i="107"/>
  <c r="J2012" i="184" s="1"/>
  <c r="I75" i="107"/>
  <c r="H75" i="107"/>
  <c r="G75" i="107"/>
  <c r="G2012" i="184" s="1"/>
  <c r="F75" i="107"/>
  <c r="E75" i="107"/>
  <c r="D75" i="107"/>
  <c r="D2012" i="184" s="1"/>
  <c r="L74" i="107"/>
  <c r="L1975" i="184" s="1"/>
  <c r="K74" i="107"/>
  <c r="K1975" i="184" s="1"/>
  <c r="J74" i="107"/>
  <c r="I74" i="107"/>
  <c r="H74" i="107"/>
  <c r="H1975" i="184" s="1"/>
  <c r="G74" i="107"/>
  <c r="G1975" i="184" s="1"/>
  <c r="F74" i="107"/>
  <c r="F1975" i="184" s="1"/>
  <c r="E74" i="107"/>
  <c r="E1975" i="184" s="1"/>
  <c r="D74" i="107"/>
  <c r="D1975" i="184" s="1"/>
  <c r="K70" i="107"/>
  <c r="J70" i="107"/>
  <c r="J1899" i="184" s="1"/>
  <c r="I70" i="107"/>
  <c r="I1899" i="184" s="1"/>
  <c r="G70" i="107"/>
  <c r="F70" i="107"/>
  <c r="F1899" i="184" s="1"/>
  <c r="E70" i="107"/>
  <c r="E1899" i="184" s="1"/>
  <c r="D70" i="107"/>
  <c r="D1899" i="184" s="1"/>
  <c r="K69" i="107"/>
  <c r="J69" i="107"/>
  <c r="J1862" i="184" s="1"/>
  <c r="I69" i="107"/>
  <c r="I1862" i="184" s="1"/>
  <c r="G69" i="107"/>
  <c r="G1862" i="184" s="1"/>
  <c r="D45" i="106"/>
  <c r="D69" i="107"/>
  <c r="D1862" i="184" s="1"/>
  <c r="AA68" i="107"/>
  <c r="L68" i="107"/>
  <c r="L1825" i="184"/>
  <c r="K68" i="107"/>
  <c r="K1825" i="184" s="1"/>
  <c r="J68" i="107"/>
  <c r="H68" i="107"/>
  <c r="H1825" i="184" s="1"/>
  <c r="G68" i="107"/>
  <c r="G1825" i="184" s="1"/>
  <c r="F68" i="107"/>
  <c r="E68" i="107"/>
  <c r="E1825" i="184" s="1"/>
  <c r="D68" i="107"/>
  <c r="AA67" i="107"/>
  <c r="W67" i="107"/>
  <c r="K298" i="191" s="1"/>
  <c r="V67" i="107"/>
  <c r="J298" i="191" s="1"/>
  <c r="P67" i="107"/>
  <c r="U67" i="107" s="1"/>
  <c r="I298" i="191" s="1"/>
  <c r="L67" i="107"/>
  <c r="J67" i="107"/>
  <c r="I67" i="107"/>
  <c r="I1788" i="184" s="1"/>
  <c r="H67" i="107"/>
  <c r="H1788" i="184" s="1"/>
  <c r="G67" i="107"/>
  <c r="F67" i="107"/>
  <c r="E67" i="107"/>
  <c r="E1788" i="184"/>
  <c r="D67" i="107"/>
  <c r="D1788" i="184" s="1"/>
  <c r="AA66" i="107"/>
  <c r="W66" i="107"/>
  <c r="K261" i="191" s="1"/>
  <c r="V66" i="107"/>
  <c r="J261" i="191"/>
  <c r="P66" i="107"/>
  <c r="D261" i="191" s="1"/>
  <c r="L66" i="107"/>
  <c r="L1751" i="184"/>
  <c r="K66" i="107"/>
  <c r="K1751" i="184" s="1"/>
  <c r="I66" i="107"/>
  <c r="I1751" i="184"/>
  <c r="H66" i="107"/>
  <c r="H1751" i="184" s="1"/>
  <c r="G66" i="107"/>
  <c r="F66" i="107"/>
  <c r="E66" i="107"/>
  <c r="E1751" i="184" s="1"/>
  <c r="AA65" i="107"/>
  <c r="W65" i="107"/>
  <c r="K224" i="191"/>
  <c r="V65" i="107"/>
  <c r="J224" i="191" s="1"/>
  <c r="P65" i="107"/>
  <c r="U65" i="107" s="1"/>
  <c r="I224" i="191" s="1"/>
  <c r="L65" i="107"/>
  <c r="L1714" i="184"/>
  <c r="K65" i="107"/>
  <c r="K1714" i="184" s="1"/>
  <c r="I65" i="107"/>
  <c r="I1714" i="184" s="1"/>
  <c r="H65" i="107"/>
  <c r="H1714" i="184" s="1"/>
  <c r="G65" i="107"/>
  <c r="F65" i="107"/>
  <c r="F1714" i="184" s="1"/>
  <c r="E65" i="107"/>
  <c r="D65" i="107"/>
  <c r="D1714" i="184"/>
  <c r="AA64" i="107"/>
  <c r="W64" i="107"/>
  <c r="V64" i="107"/>
  <c r="Q64" i="107"/>
  <c r="L111" i="107"/>
  <c r="P64" i="107"/>
  <c r="U64" i="107" s="1"/>
  <c r="L64" i="107"/>
  <c r="L1677" i="184" s="1"/>
  <c r="K64" i="107"/>
  <c r="J64" i="107"/>
  <c r="I64" i="107"/>
  <c r="I1677" i="184"/>
  <c r="H64" i="107"/>
  <c r="H1677" i="184" s="1"/>
  <c r="E64" i="107"/>
  <c r="AA63" i="107"/>
  <c r="W63" i="107"/>
  <c r="K150" i="191" s="1"/>
  <c r="V63" i="107"/>
  <c r="J150" i="191" s="1"/>
  <c r="P63" i="107"/>
  <c r="D150" i="191" s="1"/>
  <c r="L63" i="107"/>
  <c r="K63" i="107"/>
  <c r="K1640" i="184" s="1"/>
  <c r="J63" i="107"/>
  <c r="J1640" i="184"/>
  <c r="I63" i="107"/>
  <c r="H63" i="107"/>
  <c r="H1640" i="184" s="1"/>
  <c r="G63" i="107"/>
  <c r="F63" i="107"/>
  <c r="F1640" i="184" s="1"/>
  <c r="E63" i="107"/>
  <c r="E1640" i="184" s="1"/>
  <c r="D63" i="107"/>
  <c r="D1640" i="184" s="1"/>
  <c r="AA62" i="107"/>
  <c r="W62" i="107"/>
  <c r="V62" i="107"/>
  <c r="J113" i="191" s="1"/>
  <c r="P62" i="107"/>
  <c r="L62" i="107"/>
  <c r="L1603" i="184"/>
  <c r="K62" i="107"/>
  <c r="K1603" i="184" s="1"/>
  <c r="I62" i="107"/>
  <c r="I1603" i="184" s="1"/>
  <c r="H62" i="107"/>
  <c r="G62" i="107"/>
  <c r="F62" i="107"/>
  <c r="E62" i="107"/>
  <c r="E1603" i="184" s="1"/>
  <c r="D62" i="107"/>
  <c r="D1603" i="184"/>
  <c r="AA61" i="107"/>
  <c r="W61" i="107"/>
  <c r="V61" i="107"/>
  <c r="J76" i="191" s="1"/>
  <c r="P61" i="107"/>
  <c r="L61" i="107"/>
  <c r="L1566" i="184" s="1"/>
  <c r="J61" i="107"/>
  <c r="I61" i="107"/>
  <c r="H61" i="107"/>
  <c r="H1566" i="184" s="1"/>
  <c r="F61" i="107"/>
  <c r="F1566" i="184"/>
  <c r="E61" i="107"/>
  <c r="D61" i="107"/>
  <c r="D1566" i="184"/>
  <c r="AA60" i="107"/>
  <c r="W60" i="107"/>
  <c r="V60" i="107"/>
  <c r="J39" i="191"/>
  <c r="P60" i="107"/>
  <c r="L60" i="107"/>
  <c r="L1529" i="184" s="1"/>
  <c r="K60" i="107"/>
  <c r="K1529" i="184" s="1"/>
  <c r="J60" i="107"/>
  <c r="I60" i="107"/>
  <c r="I1529" i="184"/>
  <c r="H60" i="107"/>
  <c r="H1529" i="184" s="1"/>
  <c r="G60" i="107"/>
  <c r="F60" i="107"/>
  <c r="D36" i="106" s="1"/>
  <c r="E60" i="107"/>
  <c r="E1529" i="184" s="1"/>
  <c r="D60" i="107"/>
  <c r="D1529" i="184" s="1"/>
  <c r="L1416" i="184"/>
  <c r="J1416" i="184"/>
  <c r="H1416" i="184"/>
  <c r="G1416" i="184"/>
  <c r="E1416" i="184"/>
  <c r="L1379" i="184"/>
  <c r="K1379" i="184"/>
  <c r="J1379" i="184"/>
  <c r="H1379" i="184"/>
  <c r="D1379" i="184"/>
  <c r="L1342" i="184"/>
  <c r="K1342" i="184"/>
  <c r="J1342" i="184"/>
  <c r="I1342" i="184"/>
  <c r="G1342" i="184"/>
  <c r="D1342" i="184"/>
  <c r="L1305" i="184"/>
  <c r="K1305" i="184"/>
  <c r="J1305" i="184"/>
  <c r="I1305" i="184"/>
  <c r="G1305" i="184"/>
  <c r="D1305" i="184"/>
  <c r="K1268" i="184"/>
  <c r="H1268" i="184"/>
  <c r="F1268" i="184"/>
  <c r="E1268" i="184"/>
  <c r="L1231" i="184"/>
  <c r="I1231" i="184"/>
  <c r="H1231" i="184"/>
  <c r="G1231" i="184"/>
  <c r="D1231" i="184"/>
  <c r="L1192" i="184"/>
  <c r="J1192" i="184"/>
  <c r="I1192" i="184"/>
  <c r="D23" i="106"/>
  <c r="E1192" i="184"/>
  <c r="D1192" i="184"/>
  <c r="L1078" i="184"/>
  <c r="J1078" i="184"/>
  <c r="H1078" i="184"/>
  <c r="G1078" i="184"/>
  <c r="E1078" i="184"/>
  <c r="D1078" i="184"/>
  <c r="L1041" i="184"/>
  <c r="K1041" i="184"/>
  <c r="I1041" i="184"/>
  <c r="H1041" i="184"/>
  <c r="F1041" i="184"/>
  <c r="D1041" i="184"/>
  <c r="L1004" i="184"/>
  <c r="F1004" i="184"/>
  <c r="E1004" i="184"/>
  <c r="H967" i="184"/>
  <c r="G967" i="184"/>
  <c r="F967" i="184"/>
  <c r="E967" i="184"/>
  <c r="D967" i="184"/>
  <c r="L930" i="184"/>
  <c r="J930" i="184"/>
  <c r="I930" i="184"/>
  <c r="H930" i="184"/>
  <c r="G930" i="184"/>
  <c r="F930" i="184"/>
  <c r="D930" i="184"/>
  <c r="L893" i="184"/>
  <c r="K893" i="184"/>
  <c r="J893" i="184"/>
  <c r="G893" i="184"/>
  <c r="D893" i="184"/>
  <c r="L35" i="107"/>
  <c r="L856" i="184"/>
  <c r="K35" i="107"/>
  <c r="K856" i="184" s="1"/>
  <c r="J35" i="107"/>
  <c r="J856" i="184"/>
  <c r="I35" i="107"/>
  <c r="I856" i="184" s="1"/>
  <c r="H35" i="107"/>
  <c r="H856" i="184"/>
  <c r="G35" i="107"/>
  <c r="F35" i="107"/>
  <c r="F856" i="184" s="1"/>
  <c r="E35" i="107"/>
  <c r="E856" i="184" s="1"/>
  <c r="D35" i="107"/>
  <c r="D856" i="184" s="1"/>
  <c r="R34" i="107"/>
  <c r="L109" i="107" s="1"/>
  <c r="L34" i="107"/>
  <c r="L819" i="184" s="1"/>
  <c r="K34" i="107"/>
  <c r="K819" i="184" s="1"/>
  <c r="J34" i="107"/>
  <c r="J819" i="184" s="1"/>
  <c r="I34" i="107"/>
  <c r="H34" i="107"/>
  <c r="H819" i="184" s="1"/>
  <c r="G34" i="107"/>
  <c r="G819" i="184"/>
  <c r="D34" i="107"/>
  <c r="D819" i="184" s="1"/>
  <c r="L33" i="107"/>
  <c r="L782" i="184"/>
  <c r="K33" i="107"/>
  <c r="K782" i="184" s="1"/>
  <c r="J33" i="107"/>
  <c r="I33" i="107"/>
  <c r="I782" i="184" s="1"/>
  <c r="H33" i="107"/>
  <c r="H782" i="184" s="1"/>
  <c r="G33" i="107"/>
  <c r="G782" i="184" s="1"/>
  <c r="F33" i="107"/>
  <c r="F782" i="184" s="1"/>
  <c r="E33" i="107"/>
  <c r="E782" i="184" s="1"/>
  <c r="D33" i="107"/>
  <c r="D782" i="184" s="1"/>
  <c r="Q32" i="107"/>
  <c r="L108" i="107"/>
  <c r="L32" i="107"/>
  <c r="L745" i="184" s="1"/>
  <c r="K32" i="107"/>
  <c r="K745" i="184" s="1"/>
  <c r="J32" i="107"/>
  <c r="I32" i="107"/>
  <c r="H32" i="107"/>
  <c r="H745" i="184" s="1"/>
  <c r="G32" i="107"/>
  <c r="G745" i="184" s="1"/>
  <c r="F32" i="107"/>
  <c r="F745" i="184" s="1"/>
  <c r="E32" i="107"/>
  <c r="E745" i="184" s="1"/>
  <c r="D32" i="107"/>
  <c r="D745" i="184" s="1"/>
  <c r="K633" i="184"/>
  <c r="J633" i="184"/>
  <c r="I633" i="184"/>
  <c r="F633" i="184"/>
  <c r="K596" i="184"/>
  <c r="H596" i="184"/>
  <c r="G596" i="184"/>
  <c r="J559" i="184"/>
  <c r="I559" i="184"/>
  <c r="H559" i="184"/>
  <c r="G559" i="184"/>
  <c r="F559" i="184"/>
  <c r="L522" i="184"/>
  <c r="K522" i="184"/>
  <c r="J522" i="184"/>
  <c r="I522" i="184"/>
  <c r="E522" i="184"/>
  <c r="L485" i="184"/>
  <c r="K485" i="184"/>
  <c r="J485" i="184"/>
  <c r="G485" i="184"/>
  <c r="F485" i="184"/>
  <c r="D485" i="184"/>
  <c r="J19" i="107"/>
  <c r="J300" i="184" s="1"/>
  <c r="J20" i="107"/>
  <c r="J21" i="107"/>
  <c r="J22" i="107"/>
  <c r="J411" i="184" s="1"/>
  <c r="I448" i="184"/>
  <c r="H448" i="184"/>
  <c r="E448" i="184"/>
  <c r="L22" i="107"/>
  <c r="K22" i="107"/>
  <c r="K411" i="184" s="1"/>
  <c r="I22" i="107"/>
  <c r="I411" i="184" s="1"/>
  <c r="H22" i="107"/>
  <c r="H411" i="184" s="1"/>
  <c r="G22" i="107"/>
  <c r="G411" i="184" s="1"/>
  <c r="F22" i="107"/>
  <c r="F411" i="184"/>
  <c r="D22" i="107"/>
  <c r="D411" i="184" s="1"/>
  <c r="L21" i="107"/>
  <c r="L374" i="184"/>
  <c r="K21" i="107"/>
  <c r="K374" i="184" s="1"/>
  <c r="I21" i="107"/>
  <c r="I374" i="184"/>
  <c r="H21" i="107"/>
  <c r="H374" i="184" s="1"/>
  <c r="G21" i="107"/>
  <c r="F21" i="107"/>
  <c r="F374" i="184"/>
  <c r="E21" i="107"/>
  <c r="E374" i="184" s="1"/>
  <c r="D21" i="107"/>
  <c r="D374" i="184" s="1"/>
  <c r="L20" i="107"/>
  <c r="L337" i="184" s="1"/>
  <c r="K20" i="107"/>
  <c r="K337" i="184"/>
  <c r="J337" i="184"/>
  <c r="I20" i="107"/>
  <c r="I337" i="184"/>
  <c r="H20" i="107"/>
  <c r="F20" i="107"/>
  <c r="F337" i="184" s="1"/>
  <c r="E20" i="107"/>
  <c r="D20" i="107"/>
  <c r="L19" i="107"/>
  <c r="L300" i="184" s="1"/>
  <c r="K19" i="107"/>
  <c r="K300" i="184" s="1"/>
  <c r="I19" i="107"/>
  <c r="I300" i="184" s="1"/>
  <c r="H19" i="107"/>
  <c r="G19" i="107"/>
  <c r="F19" i="107"/>
  <c r="F300" i="184" s="1"/>
  <c r="D19" i="107"/>
  <c r="K187" i="184"/>
  <c r="J187" i="184"/>
  <c r="G187" i="184"/>
  <c r="D187" i="184"/>
  <c r="L150" i="184"/>
  <c r="K150" i="184"/>
  <c r="I150" i="184"/>
  <c r="L113" i="184"/>
  <c r="K113" i="184"/>
  <c r="J113" i="184"/>
  <c r="I113" i="184"/>
  <c r="H113" i="184"/>
  <c r="G113" i="184"/>
  <c r="E113" i="184"/>
  <c r="D113" i="184"/>
  <c r="L76" i="184"/>
  <c r="K76" i="184"/>
  <c r="J76" i="184"/>
  <c r="F76" i="184"/>
  <c r="E76" i="184"/>
  <c r="L39" i="184"/>
  <c r="I39" i="184"/>
  <c r="G39" i="184"/>
  <c r="M100" i="203"/>
  <c r="L107" i="203" s="1"/>
  <c r="Q92" i="203"/>
  <c r="O92" i="203"/>
  <c r="AD30" i="231"/>
  <c r="K92" i="203"/>
  <c r="K2489" i="184" s="1"/>
  <c r="J92" i="203"/>
  <c r="J2489" i="184"/>
  <c r="G92" i="203"/>
  <c r="G2489" i="184" s="1"/>
  <c r="F92" i="203"/>
  <c r="F2489" i="184"/>
  <c r="E92" i="203"/>
  <c r="D92" i="203"/>
  <c r="D2489" i="184" s="1"/>
  <c r="K91" i="203"/>
  <c r="K2452" i="184" s="1"/>
  <c r="J91" i="203"/>
  <c r="J2452" i="184" s="1"/>
  <c r="I91" i="203"/>
  <c r="H91" i="203"/>
  <c r="H2452" i="184" s="1"/>
  <c r="G91" i="203"/>
  <c r="F91" i="203"/>
  <c r="F2452" i="184" s="1"/>
  <c r="E91" i="203"/>
  <c r="E2452" i="184" s="1"/>
  <c r="D91" i="203"/>
  <c r="D2452" i="184" s="1"/>
  <c r="L90" i="203"/>
  <c r="L2415" i="184" s="1"/>
  <c r="K90" i="203"/>
  <c r="K2415" i="184" s="1"/>
  <c r="I90" i="203"/>
  <c r="I2415" i="184" s="1"/>
  <c r="H90" i="203"/>
  <c r="H2415" i="184"/>
  <c r="G90" i="203"/>
  <c r="G2415" i="184" s="1"/>
  <c r="F90" i="203"/>
  <c r="F2415" i="184" s="1"/>
  <c r="D90" i="203"/>
  <c r="D2415" i="184" s="1"/>
  <c r="L89" i="203"/>
  <c r="L2378" i="184" s="1"/>
  <c r="J89" i="203"/>
  <c r="J2378" i="184" s="1"/>
  <c r="I89" i="203"/>
  <c r="H89" i="203"/>
  <c r="G89" i="203"/>
  <c r="G2378" i="184" s="1"/>
  <c r="F89" i="203"/>
  <c r="F2378" i="184"/>
  <c r="E89" i="203"/>
  <c r="D89" i="203"/>
  <c r="D2378" i="184"/>
  <c r="L88" i="203"/>
  <c r="L2341" i="184" s="1"/>
  <c r="J88" i="203"/>
  <c r="J2341" i="184"/>
  <c r="I88" i="203"/>
  <c r="I2341" i="184" s="1"/>
  <c r="H88" i="203"/>
  <c r="H2341" i="184" s="1"/>
  <c r="G88" i="203"/>
  <c r="G2341" i="184" s="1"/>
  <c r="F88" i="203"/>
  <c r="E88" i="203"/>
  <c r="E2341" i="184" s="1"/>
  <c r="D88" i="203"/>
  <c r="D2341" i="184" s="1"/>
  <c r="L87" i="203"/>
  <c r="L2304" i="184" s="1"/>
  <c r="K87" i="203"/>
  <c r="K2304" i="184" s="1"/>
  <c r="J87" i="203"/>
  <c r="J2304" i="184" s="1"/>
  <c r="I87" i="203"/>
  <c r="I2304" i="184" s="1"/>
  <c r="H87" i="203"/>
  <c r="G87" i="203"/>
  <c r="G2304" i="184" s="1"/>
  <c r="F87" i="203"/>
  <c r="F2304" i="184"/>
  <c r="E87" i="203"/>
  <c r="D87" i="203"/>
  <c r="D2304" i="184" s="1"/>
  <c r="L82" i="203"/>
  <c r="L2191" i="184"/>
  <c r="K82" i="203"/>
  <c r="J82" i="203"/>
  <c r="J2191" i="184" s="1"/>
  <c r="I82" i="203"/>
  <c r="H82" i="203"/>
  <c r="G82" i="203"/>
  <c r="F82" i="203"/>
  <c r="E82" i="203"/>
  <c r="E2191" i="184" s="1"/>
  <c r="D82" i="203"/>
  <c r="D2191" i="184" s="1"/>
  <c r="L81" i="203"/>
  <c r="L2154" i="184" s="1"/>
  <c r="K81" i="203"/>
  <c r="J81" i="203"/>
  <c r="I81" i="203"/>
  <c r="I2154" i="184" s="1"/>
  <c r="H81" i="203"/>
  <c r="H2154" i="184"/>
  <c r="G81" i="203"/>
  <c r="G2154" i="184" s="1"/>
  <c r="F81" i="203"/>
  <c r="E81" i="203"/>
  <c r="E2154" i="184" s="1"/>
  <c r="R80" i="203"/>
  <c r="L116" i="203" s="1"/>
  <c r="R77" i="203"/>
  <c r="K77" i="203"/>
  <c r="K2078" i="184" s="1"/>
  <c r="J77" i="203"/>
  <c r="J2078" i="184"/>
  <c r="I77" i="203"/>
  <c r="I2078" i="184" s="1"/>
  <c r="H77" i="203"/>
  <c r="G77" i="203"/>
  <c r="F77" i="203"/>
  <c r="E77" i="203"/>
  <c r="D77" i="203"/>
  <c r="D2078" i="184"/>
  <c r="L76" i="203"/>
  <c r="L2041" i="184" s="1"/>
  <c r="K76" i="203"/>
  <c r="J76" i="203"/>
  <c r="J2041" i="184"/>
  <c r="I76" i="203"/>
  <c r="H76" i="203"/>
  <c r="H2041" i="184" s="1"/>
  <c r="G76" i="203"/>
  <c r="G2041" i="184" s="1"/>
  <c r="F76" i="203"/>
  <c r="E76" i="203"/>
  <c r="E2041" i="184" s="1"/>
  <c r="D76" i="203"/>
  <c r="D2041" i="184" s="1"/>
  <c r="L75" i="203"/>
  <c r="K75" i="203"/>
  <c r="K2004" i="184" s="1"/>
  <c r="J75" i="203"/>
  <c r="I75" i="203"/>
  <c r="I2004" i="184" s="1"/>
  <c r="H75" i="203"/>
  <c r="H2004" i="184" s="1"/>
  <c r="G75" i="203"/>
  <c r="G2004" i="184" s="1"/>
  <c r="F75" i="203"/>
  <c r="E75" i="203"/>
  <c r="E2004" i="184"/>
  <c r="D75" i="203"/>
  <c r="L74" i="203"/>
  <c r="K74" i="203"/>
  <c r="K1967" i="184"/>
  <c r="J74" i="203"/>
  <c r="J1967" i="184" s="1"/>
  <c r="I74" i="203"/>
  <c r="H74" i="203"/>
  <c r="H1967" i="184" s="1"/>
  <c r="G74" i="203"/>
  <c r="G1967" i="184" s="1"/>
  <c r="F74" i="203"/>
  <c r="E74" i="203"/>
  <c r="E1967" i="184" s="1"/>
  <c r="D74" i="203"/>
  <c r="K70" i="203"/>
  <c r="K1891" i="184" s="1"/>
  <c r="J70" i="203"/>
  <c r="J1891" i="184" s="1"/>
  <c r="I70" i="203"/>
  <c r="I1891" i="184"/>
  <c r="G70" i="203"/>
  <c r="G1891" i="184" s="1"/>
  <c r="F70" i="203"/>
  <c r="D46" i="202" s="1"/>
  <c r="E70" i="203"/>
  <c r="E1891" i="184" s="1"/>
  <c r="D70" i="203"/>
  <c r="D1891" i="184" s="1"/>
  <c r="K69" i="203"/>
  <c r="K1854" i="184" s="1"/>
  <c r="J69" i="203"/>
  <c r="J1854" i="184" s="1"/>
  <c r="I69" i="203"/>
  <c r="G69" i="203"/>
  <c r="G1854" i="184"/>
  <c r="D69" i="203"/>
  <c r="AA68" i="203"/>
  <c r="L68" i="203"/>
  <c r="L1817" i="184" s="1"/>
  <c r="K68" i="203"/>
  <c r="K1817" i="184" s="1"/>
  <c r="J68" i="203"/>
  <c r="J1817" i="184"/>
  <c r="H68" i="203"/>
  <c r="H1817" i="184" s="1"/>
  <c r="G68" i="203"/>
  <c r="G1817" i="184"/>
  <c r="F68" i="203"/>
  <c r="E68" i="203"/>
  <c r="E1817" i="184" s="1"/>
  <c r="D68" i="203"/>
  <c r="AA67" i="203"/>
  <c r="W67" i="203"/>
  <c r="V67" i="203"/>
  <c r="P67" i="203"/>
  <c r="U67" i="203" s="1"/>
  <c r="L67" i="203"/>
  <c r="L1780" i="184" s="1"/>
  <c r="J67" i="203"/>
  <c r="J1780" i="184" s="1"/>
  <c r="I67" i="203"/>
  <c r="I1780" i="184" s="1"/>
  <c r="H67" i="203"/>
  <c r="H1780" i="184" s="1"/>
  <c r="G67" i="203"/>
  <c r="F67" i="203"/>
  <c r="E67" i="203"/>
  <c r="E1780" i="184"/>
  <c r="D67" i="203"/>
  <c r="D1780" i="184" s="1"/>
  <c r="AA66" i="203"/>
  <c r="W66" i="203"/>
  <c r="K253" i="191" s="1"/>
  <c r="V66" i="203"/>
  <c r="J253" i="191"/>
  <c r="P66" i="203"/>
  <c r="U66" i="203" s="1"/>
  <c r="I253" i="191" s="1"/>
  <c r="L66" i="203"/>
  <c r="K66" i="203"/>
  <c r="I66" i="203"/>
  <c r="I1743" i="184" s="1"/>
  <c r="H66" i="203"/>
  <c r="G66" i="203"/>
  <c r="G1743" i="184" s="1"/>
  <c r="F66" i="203"/>
  <c r="E66" i="203"/>
  <c r="AA65" i="203"/>
  <c r="W65" i="203"/>
  <c r="K216" i="191" s="1"/>
  <c r="V65" i="203"/>
  <c r="P65" i="203"/>
  <c r="U65" i="203" s="1"/>
  <c r="L65" i="203"/>
  <c r="L1706" i="184"/>
  <c r="K65" i="203"/>
  <c r="K1706" i="184" s="1"/>
  <c r="I65" i="203"/>
  <c r="I1706" i="184"/>
  <c r="H65" i="203"/>
  <c r="H1706" i="184"/>
  <c r="G65" i="203"/>
  <c r="F65" i="203"/>
  <c r="E65" i="203"/>
  <c r="E1706" i="184" s="1"/>
  <c r="D65" i="203"/>
  <c r="AA64" i="203"/>
  <c r="W64" i="203"/>
  <c r="V64" i="203"/>
  <c r="J179" i="191" s="1"/>
  <c r="Q64" i="203"/>
  <c r="E179" i="191" s="1"/>
  <c r="P64" i="203"/>
  <c r="L64" i="203"/>
  <c r="L1669" i="184"/>
  <c r="K64" i="203"/>
  <c r="K1669" i="184" s="1"/>
  <c r="J64" i="203"/>
  <c r="J1669" i="184"/>
  <c r="I64" i="203"/>
  <c r="H64" i="203"/>
  <c r="H1669" i="184" s="1"/>
  <c r="E64" i="203"/>
  <c r="AA63" i="203"/>
  <c r="W63" i="203"/>
  <c r="K142" i="191" s="1"/>
  <c r="V63" i="203"/>
  <c r="P63" i="203"/>
  <c r="U63" i="203" s="1"/>
  <c r="I142" i="191" s="1"/>
  <c r="L63" i="203"/>
  <c r="L1632" i="184" s="1"/>
  <c r="K63" i="203"/>
  <c r="K1632" i="184" s="1"/>
  <c r="J63" i="203"/>
  <c r="J1632" i="184" s="1"/>
  <c r="I63" i="203"/>
  <c r="I1632" i="184" s="1"/>
  <c r="H63" i="203"/>
  <c r="H1632" i="184" s="1"/>
  <c r="G63" i="203"/>
  <c r="G1632" i="184" s="1"/>
  <c r="F63" i="203"/>
  <c r="E63" i="203"/>
  <c r="D63" i="203"/>
  <c r="AA62" i="203"/>
  <c r="W62" i="203"/>
  <c r="K105" i="191"/>
  <c r="V62" i="203"/>
  <c r="J105" i="191" s="1"/>
  <c r="P62" i="203"/>
  <c r="L62" i="203"/>
  <c r="L1595" i="184" s="1"/>
  <c r="K62" i="203"/>
  <c r="I62" i="203"/>
  <c r="I1595" i="184" s="1"/>
  <c r="H62" i="203"/>
  <c r="G62" i="203"/>
  <c r="F62" i="203"/>
  <c r="E62" i="203"/>
  <c r="D62" i="203"/>
  <c r="D1595" i="184" s="1"/>
  <c r="AA61" i="203"/>
  <c r="W61" i="203"/>
  <c r="V61" i="203"/>
  <c r="J68" i="191" s="1"/>
  <c r="P61" i="203"/>
  <c r="D68" i="191"/>
  <c r="L61" i="203"/>
  <c r="L1558" i="184"/>
  <c r="J61" i="203"/>
  <c r="I61" i="203"/>
  <c r="I1558" i="184" s="1"/>
  <c r="H61" i="203"/>
  <c r="F61" i="203"/>
  <c r="E61" i="203"/>
  <c r="E1558" i="184" s="1"/>
  <c r="D61" i="203"/>
  <c r="AA60" i="203"/>
  <c r="W60" i="203"/>
  <c r="K31" i="191" s="1"/>
  <c r="V60" i="203"/>
  <c r="J31" i="191" s="1"/>
  <c r="P60" i="203"/>
  <c r="L60" i="203"/>
  <c r="K60" i="203"/>
  <c r="K1521" i="184" s="1"/>
  <c r="J60" i="203"/>
  <c r="J1521" i="184" s="1"/>
  <c r="I60" i="203"/>
  <c r="I1521" i="184" s="1"/>
  <c r="H60" i="203"/>
  <c r="G60" i="203"/>
  <c r="G1521" i="184" s="1"/>
  <c r="F60" i="203"/>
  <c r="E60" i="203"/>
  <c r="E1521" i="184" s="1"/>
  <c r="D60" i="203"/>
  <c r="L1408" i="184"/>
  <c r="K1408" i="184"/>
  <c r="J1408" i="184"/>
  <c r="I1408" i="184"/>
  <c r="G1408" i="184"/>
  <c r="L1371" i="184"/>
  <c r="K1371" i="184"/>
  <c r="G1371" i="184"/>
  <c r="E1371" i="184"/>
  <c r="D1371" i="184"/>
  <c r="K1334" i="184"/>
  <c r="I1334" i="184"/>
  <c r="H1334" i="184"/>
  <c r="G1334" i="184"/>
  <c r="E1334" i="184"/>
  <c r="L1297" i="184"/>
  <c r="J1297" i="184"/>
  <c r="I1297" i="184"/>
  <c r="G1297" i="184"/>
  <c r="D28" i="202"/>
  <c r="E1297" i="184"/>
  <c r="D1297" i="184"/>
  <c r="K1260" i="184"/>
  <c r="J1260" i="184"/>
  <c r="F1260" i="184"/>
  <c r="E1260" i="184"/>
  <c r="K1223" i="184"/>
  <c r="J1223" i="184"/>
  <c r="G1223" i="184"/>
  <c r="D1223" i="184"/>
  <c r="L1184" i="184"/>
  <c r="K1184" i="184"/>
  <c r="J1184" i="184"/>
  <c r="I1184" i="184"/>
  <c r="D23" i="202"/>
  <c r="E1184" i="184"/>
  <c r="D1184" i="184"/>
  <c r="L1070" i="184"/>
  <c r="J1070" i="184"/>
  <c r="I1070" i="184"/>
  <c r="G1070" i="184"/>
  <c r="E1070" i="184"/>
  <c r="D1070" i="184"/>
  <c r="L1033" i="184"/>
  <c r="K1033" i="184"/>
  <c r="J1033" i="184"/>
  <c r="F1033" i="184"/>
  <c r="E1033" i="184"/>
  <c r="D1033" i="184"/>
  <c r="L996" i="184"/>
  <c r="I996" i="184"/>
  <c r="G996" i="184"/>
  <c r="F996" i="184"/>
  <c r="D996" i="184"/>
  <c r="K959" i="184"/>
  <c r="J959" i="184"/>
  <c r="I959" i="184"/>
  <c r="H959" i="184"/>
  <c r="G959" i="184"/>
  <c r="F959" i="184"/>
  <c r="E959" i="184"/>
  <c r="L922" i="184"/>
  <c r="K922" i="184"/>
  <c r="J922" i="184"/>
  <c r="I922" i="184"/>
  <c r="H922" i="184"/>
  <c r="G922" i="184"/>
  <c r="D922" i="184"/>
  <c r="L885" i="184"/>
  <c r="J885" i="184"/>
  <c r="H885" i="184"/>
  <c r="G885" i="184"/>
  <c r="E885" i="184"/>
  <c r="D885" i="184"/>
  <c r="L35" i="203"/>
  <c r="L848" i="184"/>
  <c r="K35" i="203"/>
  <c r="K848" i="184" s="1"/>
  <c r="J35" i="203"/>
  <c r="I35" i="203"/>
  <c r="I848" i="184" s="1"/>
  <c r="H35" i="203"/>
  <c r="H848" i="184" s="1"/>
  <c r="G35" i="203"/>
  <c r="G848" i="184" s="1"/>
  <c r="F35" i="203"/>
  <c r="E35" i="203"/>
  <c r="D35" i="203"/>
  <c r="D848" i="184" s="1"/>
  <c r="R34" i="203"/>
  <c r="L109" i="203" s="1"/>
  <c r="L34" i="203"/>
  <c r="L811" i="184" s="1"/>
  <c r="K34" i="203"/>
  <c r="K811" i="184" s="1"/>
  <c r="J34" i="203"/>
  <c r="J811" i="184" s="1"/>
  <c r="I34" i="203"/>
  <c r="H34" i="203"/>
  <c r="H811" i="184"/>
  <c r="G34" i="203"/>
  <c r="G811" i="184" s="1"/>
  <c r="D34" i="203"/>
  <c r="D811" i="184"/>
  <c r="L33" i="203"/>
  <c r="L774" i="184" s="1"/>
  <c r="K33" i="203"/>
  <c r="J33" i="203"/>
  <c r="J774" i="184" s="1"/>
  <c r="I33" i="203"/>
  <c r="H33" i="203"/>
  <c r="H774" i="184" s="1"/>
  <c r="G33" i="203"/>
  <c r="G774" i="184"/>
  <c r="F33" i="203"/>
  <c r="F774" i="184" s="1"/>
  <c r="E33" i="203"/>
  <c r="D33" i="203"/>
  <c r="Q32" i="203"/>
  <c r="L108" i="203" s="1"/>
  <c r="L32" i="203"/>
  <c r="L737" i="184"/>
  <c r="K32" i="203"/>
  <c r="K737" i="184"/>
  <c r="J32" i="203"/>
  <c r="J737" i="184" s="1"/>
  <c r="I32" i="203"/>
  <c r="I737" i="184"/>
  <c r="H32" i="203"/>
  <c r="H737" i="184"/>
  <c r="G32" i="203"/>
  <c r="G737" i="184" s="1"/>
  <c r="F32" i="203"/>
  <c r="E32" i="203"/>
  <c r="E737" i="184" s="1"/>
  <c r="D32" i="203"/>
  <c r="D737" i="184" s="1"/>
  <c r="L625" i="184"/>
  <c r="I625" i="184"/>
  <c r="H625" i="184"/>
  <c r="G625" i="184"/>
  <c r="K588" i="184"/>
  <c r="J588" i="184"/>
  <c r="E588" i="184"/>
  <c r="J551" i="184"/>
  <c r="H551" i="184"/>
  <c r="G551" i="184"/>
  <c r="F551" i="184"/>
  <c r="E551" i="184"/>
  <c r="L514" i="184"/>
  <c r="K514" i="184"/>
  <c r="I514" i="184"/>
  <c r="H514" i="184"/>
  <c r="F514" i="184"/>
  <c r="E514" i="184"/>
  <c r="L477" i="184"/>
  <c r="K477" i="184"/>
  <c r="H477" i="184"/>
  <c r="D477" i="184"/>
  <c r="L440" i="184"/>
  <c r="J440" i="184"/>
  <c r="I440" i="184"/>
  <c r="H440" i="184"/>
  <c r="G440" i="184"/>
  <c r="E440" i="184"/>
  <c r="D440" i="184"/>
  <c r="L22" i="203"/>
  <c r="L403" i="184"/>
  <c r="K22" i="203"/>
  <c r="K403" i="184"/>
  <c r="J22" i="203"/>
  <c r="J403" i="184"/>
  <c r="I22" i="203"/>
  <c r="H22" i="203"/>
  <c r="H403" i="184" s="1"/>
  <c r="G22" i="203"/>
  <c r="G403" i="184" s="1"/>
  <c r="F22" i="203"/>
  <c r="F403" i="184" s="1"/>
  <c r="D22" i="203"/>
  <c r="D403" i="184" s="1"/>
  <c r="L21" i="203"/>
  <c r="L366" i="184" s="1"/>
  <c r="K21" i="203"/>
  <c r="K366" i="184" s="1"/>
  <c r="J21" i="203"/>
  <c r="J366" i="184" s="1"/>
  <c r="I21" i="203"/>
  <c r="I366" i="184" s="1"/>
  <c r="H21" i="203"/>
  <c r="G21" i="203"/>
  <c r="G366" i="184"/>
  <c r="F21" i="203"/>
  <c r="F366" i="184"/>
  <c r="E21" i="203"/>
  <c r="D21" i="203"/>
  <c r="L20" i="203"/>
  <c r="K20" i="203"/>
  <c r="K329" i="184" s="1"/>
  <c r="J20" i="203"/>
  <c r="I20" i="203"/>
  <c r="I329" i="184"/>
  <c r="H20" i="203"/>
  <c r="H329" i="184" s="1"/>
  <c r="F20" i="203"/>
  <c r="F329" i="184"/>
  <c r="E20" i="203"/>
  <c r="E329" i="184" s="1"/>
  <c r="D20" i="203"/>
  <c r="D329" i="184"/>
  <c r="L19" i="203"/>
  <c r="L292" i="184" s="1"/>
  <c r="K19" i="203"/>
  <c r="K292" i="184"/>
  <c r="J19" i="203"/>
  <c r="J292" i="184" s="1"/>
  <c r="I19" i="203"/>
  <c r="H19" i="203"/>
  <c r="H292" i="184" s="1"/>
  <c r="G19" i="203"/>
  <c r="G292" i="184" s="1"/>
  <c r="F19" i="203"/>
  <c r="F292" i="184" s="1"/>
  <c r="D19" i="203"/>
  <c r="D292" i="184" s="1"/>
  <c r="K179" i="184"/>
  <c r="J179" i="184"/>
  <c r="H179" i="184"/>
  <c r="E179" i="184"/>
  <c r="D179" i="184"/>
  <c r="L142" i="184"/>
  <c r="I142" i="184"/>
  <c r="G142" i="184"/>
  <c r="E142" i="184"/>
  <c r="L105" i="184"/>
  <c r="K105" i="184"/>
  <c r="J105" i="184"/>
  <c r="I105" i="184"/>
  <c r="H105" i="184"/>
  <c r="G105" i="184"/>
  <c r="E105" i="184"/>
  <c r="D105" i="184"/>
  <c r="L68" i="184"/>
  <c r="H68" i="184"/>
  <c r="E68" i="184"/>
  <c r="I31" i="184"/>
  <c r="G31" i="184"/>
  <c r="F31" i="184"/>
  <c r="E31" i="184"/>
  <c r="M100" i="199"/>
  <c r="Q92" i="199"/>
  <c r="O92" i="199"/>
  <c r="AD29" i="231" s="1"/>
  <c r="K92" i="199"/>
  <c r="K2486" i="184" s="1"/>
  <c r="J92" i="199"/>
  <c r="G92" i="199"/>
  <c r="F92" i="199"/>
  <c r="F2486" i="184" s="1"/>
  <c r="E92" i="199"/>
  <c r="E2486" i="184" s="1"/>
  <c r="D92" i="199"/>
  <c r="D2486" i="184" s="1"/>
  <c r="K91" i="199"/>
  <c r="K2449" i="184" s="1"/>
  <c r="J91" i="199"/>
  <c r="J2449" i="184" s="1"/>
  <c r="I91" i="199"/>
  <c r="H91" i="199"/>
  <c r="H2449" i="184"/>
  <c r="G91" i="199"/>
  <c r="G2449" i="184"/>
  <c r="F91" i="199"/>
  <c r="E91" i="199"/>
  <c r="D91" i="199"/>
  <c r="D2449" i="184" s="1"/>
  <c r="L90" i="199"/>
  <c r="L2412" i="184"/>
  <c r="K90" i="199"/>
  <c r="K2412" i="184"/>
  <c r="I90" i="199"/>
  <c r="H90" i="199"/>
  <c r="H2412" i="184" s="1"/>
  <c r="G90" i="199"/>
  <c r="G2412" i="184" s="1"/>
  <c r="F90" i="199"/>
  <c r="F2412" i="184" s="1"/>
  <c r="D90" i="199"/>
  <c r="L89" i="199"/>
  <c r="L2375" i="184" s="1"/>
  <c r="J89" i="199"/>
  <c r="J2375" i="184"/>
  <c r="I89" i="199"/>
  <c r="I2375" i="184"/>
  <c r="H89" i="199"/>
  <c r="H2375" i="184" s="1"/>
  <c r="G89" i="199"/>
  <c r="G2375" i="184" s="1"/>
  <c r="F89" i="199"/>
  <c r="E89" i="199"/>
  <c r="E2375" i="184" s="1"/>
  <c r="D89" i="199"/>
  <c r="D2375" i="184" s="1"/>
  <c r="L88" i="199"/>
  <c r="L2338" i="184" s="1"/>
  <c r="J88" i="199"/>
  <c r="I88" i="199"/>
  <c r="H88" i="199"/>
  <c r="H2338" i="184" s="1"/>
  <c r="G88" i="199"/>
  <c r="G2338" i="184" s="1"/>
  <c r="F88" i="199"/>
  <c r="F2338" i="184" s="1"/>
  <c r="E88" i="199"/>
  <c r="E2338" i="184" s="1"/>
  <c r="D88" i="199"/>
  <c r="D2338" i="184" s="1"/>
  <c r="L87" i="199"/>
  <c r="K87" i="199"/>
  <c r="K2301" i="184"/>
  <c r="J87" i="199"/>
  <c r="I87" i="199"/>
  <c r="I2301" i="184" s="1"/>
  <c r="H87" i="199"/>
  <c r="G87" i="199"/>
  <c r="G2301" i="184" s="1"/>
  <c r="F87" i="199"/>
  <c r="F2301" i="184" s="1"/>
  <c r="E87" i="199"/>
  <c r="E2301" i="184"/>
  <c r="D87" i="199"/>
  <c r="D2301" i="184" s="1"/>
  <c r="L82" i="199"/>
  <c r="L2188" i="184" s="1"/>
  <c r="K82" i="199"/>
  <c r="K2188" i="184" s="1"/>
  <c r="J82" i="199"/>
  <c r="J2188" i="184"/>
  <c r="I82" i="199"/>
  <c r="H82" i="199"/>
  <c r="G82" i="199"/>
  <c r="G2188" i="184" s="1"/>
  <c r="F82" i="199"/>
  <c r="E82" i="199"/>
  <c r="D82" i="199"/>
  <c r="D2188" i="184"/>
  <c r="L81" i="199"/>
  <c r="L2151" i="184"/>
  <c r="K81" i="199"/>
  <c r="K2151" i="184" s="1"/>
  <c r="J81" i="199"/>
  <c r="I81" i="199"/>
  <c r="H81" i="199"/>
  <c r="G81" i="199"/>
  <c r="F81" i="199"/>
  <c r="E81" i="199"/>
  <c r="E2151" i="184" s="1"/>
  <c r="R80" i="199"/>
  <c r="L116" i="199" s="1"/>
  <c r="R77" i="199"/>
  <c r="K77" i="199"/>
  <c r="K2075" i="184"/>
  <c r="J77" i="199"/>
  <c r="J2075" i="184"/>
  <c r="I77" i="199"/>
  <c r="I2075" i="184"/>
  <c r="H77" i="199"/>
  <c r="G77" i="199"/>
  <c r="F77" i="199"/>
  <c r="E77" i="199"/>
  <c r="E2075" i="184" s="1"/>
  <c r="D77" i="199"/>
  <c r="L76" i="199"/>
  <c r="K76" i="199"/>
  <c r="J76" i="199"/>
  <c r="I76" i="199"/>
  <c r="H76" i="199"/>
  <c r="H2038" i="184" s="1"/>
  <c r="G76" i="199"/>
  <c r="G2038" i="184" s="1"/>
  <c r="F76" i="199"/>
  <c r="F2038" i="184" s="1"/>
  <c r="E76" i="199"/>
  <c r="D76" i="199"/>
  <c r="L75" i="199"/>
  <c r="L2001" i="184"/>
  <c r="K75" i="199"/>
  <c r="K2001" i="184"/>
  <c r="J75" i="199"/>
  <c r="J2001" i="184" s="1"/>
  <c r="I75" i="199"/>
  <c r="I2001" i="184"/>
  <c r="H75" i="199"/>
  <c r="H2001" i="184"/>
  <c r="G75" i="199"/>
  <c r="G2001" i="184"/>
  <c r="F75" i="199"/>
  <c r="E75" i="199"/>
  <c r="E2001" i="184" s="1"/>
  <c r="D75" i="199"/>
  <c r="L74" i="199"/>
  <c r="L1964" i="184" s="1"/>
  <c r="K74" i="199"/>
  <c r="K1964" i="184" s="1"/>
  <c r="J74" i="199"/>
  <c r="I74" i="199"/>
  <c r="I1964" i="184" s="1"/>
  <c r="H74" i="199"/>
  <c r="H1964" i="184" s="1"/>
  <c r="G74" i="199"/>
  <c r="F74" i="199"/>
  <c r="E74" i="199"/>
  <c r="E1964" i="184" s="1"/>
  <c r="D74" i="199"/>
  <c r="K70" i="199"/>
  <c r="J70" i="199"/>
  <c r="J1888" i="184" s="1"/>
  <c r="I70" i="199"/>
  <c r="G70" i="199"/>
  <c r="G1888" i="184" s="1"/>
  <c r="F70" i="199"/>
  <c r="E70" i="199"/>
  <c r="D70" i="199"/>
  <c r="D1888" i="184"/>
  <c r="K69" i="199"/>
  <c r="J69" i="199"/>
  <c r="D69" i="199"/>
  <c r="G69" i="199"/>
  <c r="G1851" i="184" s="1"/>
  <c r="I69" i="199"/>
  <c r="AA68" i="199"/>
  <c r="L68" i="199"/>
  <c r="L1814" i="184" s="1"/>
  <c r="K68" i="199"/>
  <c r="K1814" i="184" s="1"/>
  <c r="J68" i="199"/>
  <c r="J1814" i="184" s="1"/>
  <c r="H68" i="199"/>
  <c r="H1814" i="184" s="1"/>
  <c r="G68" i="199"/>
  <c r="G1814" i="184" s="1"/>
  <c r="F68" i="199"/>
  <c r="E68" i="199"/>
  <c r="D68" i="199"/>
  <c r="D1814" i="184" s="1"/>
  <c r="AA67" i="199"/>
  <c r="W67" i="199"/>
  <c r="K287" i="191"/>
  <c r="V67" i="199"/>
  <c r="J287" i="191"/>
  <c r="P67" i="199"/>
  <c r="L67" i="199"/>
  <c r="L1777" i="184" s="1"/>
  <c r="J67" i="199"/>
  <c r="I67" i="199"/>
  <c r="I1777" i="184"/>
  <c r="H67" i="199"/>
  <c r="G67" i="199"/>
  <c r="G1777" i="184" s="1"/>
  <c r="F67" i="199"/>
  <c r="E67" i="199"/>
  <c r="E1777" i="184" s="1"/>
  <c r="D67" i="199"/>
  <c r="D1777" i="184"/>
  <c r="AA66" i="199"/>
  <c r="W66" i="199"/>
  <c r="K250" i="191" s="1"/>
  <c r="V66" i="199"/>
  <c r="J250" i="191" s="1"/>
  <c r="P66" i="199"/>
  <c r="L66" i="199"/>
  <c r="L1740" i="184" s="1"/>
  <c r="K66" i="199"/>
  <c r="K1740" i="184"/>
  <c r="I66" i="199"/>
  <c r="I1740" i="184"/>
  <c r="H66" i="199"/>
  <c r="H1740" i="184"/>
  <c r="G66" i="199"/>
  <c r="F66" i="199"/>
  <c r="E66" i="199"/>
  <c r="E1740" i="184"/>
  <c r="AA65" i="199"/>
  <c r="W65" i="199"/>
  <c r="K213" i="191" s="1"/>
  <c r="V65" i="199"/>
  <c r="P65" i="199"/>
  <c r="L65" i="199"/>
  <c r="K65" i="199"/>
  <c r="K1703" i="184" s="1"/>
  <c r="I65" i="199"/>
  <c r="H65" i="199"/>
  <c r="G65" i="199"/>
  <c r="F65" i="199"/>
  <c r="D41" i="198" s="1"/>
  <c r="E65" i="199"/>
  <c r="E1703" i="184" s="1"/>
  <c r="D65" i="199"/>
  <c r="D1703" i="184" s="1"/>
  <c r="AA64" i="199"/>
  <c r="W64" i="199"/>
  <c r="V64" i="199"/>
  <c r="J176" i="191" s="1"/>
  <c r="Q64" i="199"/>
  <c r="L111" i="199" s="1"/>
  <c r="P64" i="199"/>
  <c r="U64" i="199" s="1"/>
  <c r="I176" i="191" s="1"/>
  <c r="L64" i="199"/>
  <c r="L1666" i="184"/>
  <c r="K64" i="199"/>
  <c r="K1666" i="184" s="1"/>
  <c r="J64" i="199"/>
  <c r="J1666" i="184"/>
  <c r="I64" i="199"/>
  <c r="I1666" i="184"/>
  <c r="H64" i="199"/>
  <c r="E64" i="199"/>
  <c r="E1666" i="184" s="1"/>
  <c r="AA63" i="199"/>
  <c r="W63" i="199"/>
  <c r="K139" i="191" s="1"/>
  <c r="V63" i="199"/>
  <c r="J139" i="191"/>
  <c r="P63" i="199"/>
  <c r="L63" i="199"/>
  <c r="L1629" i="184" s="1"/>
  <c r="K63" i="199"/>
  <c r="K1629" i="184" s="1"/>
  <c r="J63" i="199"/>
  <c r="J1629" i="184" s="1"/>
  <c r="I63" i="199"/>
  <c r="H63" i="199"/>
  <c r="H1629" i="184"/>
  <c r="G63" i="199"/>
  <c r="F63" i="199"/>
  <c r="E63" i="199"/>
  <c r="D63" i="199"/>
  <c r="D1629" i="184" s="1"/>
  <c r="AA62" i="199"/>
  <c r="W62" i="199"/>
  <c r="K102" i="191"/>
  <c r="V62" i="199"/>
  <c r="J102" i="191"/>
  <c r="P62" i="199"/>
  <c r="D102" i="191" s="1"/>
  <c r="L62" i="199"/>
  <c r="K62" i="199"/>
  <c r="K1592" i="184" s="1"/>
  <c r="I62" i="199"/>
  <c r="I1592" i="184" s="1"/>
  <c r="H62" i="199"/>
  <c r="H1592" i="184" s="1"/>
  <c r="G62" i="199"/>
  <c r="F62" i="199"/>
  <c r="E62" i="199"/>
  <c r="E1592" i="184" s="1"/>
  <c r="D62" i="199"/>
  <c r="AA61" i="199"/>
  <c r="W61" i="199"/>
  <c r="K65" i="191" s="1"/>
  <c r="V61" i="199"/>
  <c r="P61" i="199"/>
  <c r="L61" i="199"/>
  <c r="L1555" i="184" s="1"/>
  <c r="J61" i="199"/>
  <c r="J1555" i="184" s="1"/>
  <c r="I61" i="199"/>
  <c r="I1555" i="184" s="1"/>
  <c r="H61" i="199"/>
  <c r="F61" i="199"/>
  <c r="E61" i="199"/>
  <c r="E1555" i="184" s="1"/>
  <c r="D61" i="199"/>
  <c r="D1555" i="184" s="1"/>
  <c r="AA60" i="199"/>
  <c r="W60" i="199"/>
  <c r="V60" i="199"/>
  <c r="J28" i="191" s="1"/>
  <c r="P60" i="199"/>
  <c r="L60" i="199"/>
  <c r="K60" i="199"/>
  <c r="K1518" i="184" s="1"/>
  <c r="J60" i="199"/>
  <c r="I60" i="199"/>
  <c r="I1518" i="184" s="1"/>
  <c r="H60" i="199"/>
  <c r="H1518" i="184"/>
  <c r="G60" i="199"/>
  <c r="F60" i="199"/>
  <c r="E60" i="199"/>
  <c r="D60" i="199"/>
  <c r="D1518" i="184" s="1"/>
  <c r="L1405" i="184"/>
  <c r="K1405" i="184"/>
  <c r="G1405" i="184"/>
  <c r="E1405" i="184"/>
  <c r="D1405" i="184"/>
  <c r="J1368" i="184"/>
  <c r="H1368" i="184"/>
  <c r="G1368" i="184"/>
  <c r="E1368" i="184"/>
  <c r="K1331" i="184"/>
  <c r="J1331" i="184"/>
  <c r="I1331" i="184"/>
  <c r="G1331" i="184"/>
  <c r="K1294" i="184"/>
  <c r="J1294" i="184"/>
  <c r="I1294" i="184"/>
  <c r="H1294" i="184"/>
  <c r="G1294" i="184"/>
  <c r="L1257" i="184"/>
  <c r="K1257" i="184"/>
  <c r="E1257" i="184"/>
  <c r="K1220" i="184"/>
  <c r="I1220" i="184"/>
  <c r="H1220" i="184"/>
  <c r="K1181" i="184"/>
  <c r="J1181" i="184"/>
  <c r="L1067" i="184"/>
  <c r="J1067" i="184"/>
  <c r="I1067" i="184"/>
  <c r="F1067" i="184"/>
  <c r="E1067" i="184"/>
  <c r="D1067" i="184"/>
  <c r="G1030" i="184"/>
  <c r="F1030" i="184"/>
  <c r="E1030" i="184"/>
  <c r="I993" i="184"/>
  <c r="H993" i="184"/>
  <c r="G993" i="184"/>
  <c r="F993" i="184"/>
  <c r="L956" i="184"/>
  <c r="J956" i="184"/>
  <c r="I956" i="184"/>
  <c r="H956" i="184"/>
  <c r="D956" i="184"/>
  <c r="K919" i="184"/>
  <c r="J919" i="184"/>
  <c r="I919" i="184"/>
  <c r="F919" i="184"/>
  <c r="K882" i="184"/>
  <c r="H882" i="184"/>
  <c r="L35" i="199"/>
  <c r="L845" i="184" s="1"/>
  <c r="K35" i="199"/>
  <c r="J35" i="199"/>
  <c r="J845" i="184" s="1"/>
  <c r="I35" i="199"/>
  <c r="H35" i="199"/>
  <c r="H845" i="184" s="1"/>
  <c r="G35" i="199"/>
  <c r="G845" i="184" s="1"/>
  <c r="F35" i="199"/>
  <c r="F845" i="184" s="1"/>
  <c r="E35" i="199"/>
  <c r="E845" i="184" s="1"/>
  <c r="D35" i="199"/>
  <c r="D845" i="184" s="1"/>
  <c r="R34" i="199"/>
  <c r="L109" i="199" s="1"/>
  <c r="L34" i="199"/>
  <c r="L808" i="184" s="1"/>
  <c r="K34" i="199"/>
  <c r="J34" i="199"/>
  <c r="J808" i="184" s="1"/>
  <c r="I34" i="199"/>
  <c r="I808" i="184"/>
  <c r="H34" i="199"/>
  <c r="H808" i="184"/>
  <c r="G34" i="199"/>
  <c r="G808" i="184"/>
  <c r="D34" i="199"/>
  <c r="L33" i="199"/>
  <c r="L771" i="184" s="1"/>
  <c r="K33" i="199"/>
  <c r="K771" i="184" s="1"/>
  <c r="J33" i="199"/>
  <c r="J771" i="184" s="1"/>
  <c r="I33" i="199"/>
  <c r="H33" i="199"/>
  <c r="G33" i="199"/>
  <c r="G771" i="184" s="1"/>
  <c r="F33" i="199"/>
  <c r="F771" i="184" s="1"/>
  <c r="E33" i="199"/>
  <c r="E771" i="184" s="1"/>
  <c r="D33" i="199"/>
  <c r="D771" i="184" s="1"/>
  <c r="Q32" i="199"/>
  <c r="L108" i="199" s="1"/>
  <c r="L32" i="199"/>
  <c r="K32" i="199"/>
  <c r="J32" i="199"/>
  <c r="J734" i="184" s="1"/>
  <c r="I32" i="199"/>
  <c r="H32" i="199"/>
  <c r="H734" i="184"/>
  <c r="G32" i="199"/>
  <c r="G734" i="184"/>
  <c r="F32" i="199"/>
  <c r="E32" i="199"/>
  <c r="E734" i="184" s="1"/>
  <c r="D32" i="199"/>
  <c r="L622" i="184"/>
  <c r="J622" i="184"/>
  <c r="I622" i="184"/>
  <c r="G622" i="184"/>
  <c r="F622" i="184"/>
  <c r="E622" i="184"/>
  <c r="K585" i="184"/>
  <c r="J585" i="184"/>
  <c r="G585" i="184"/>
  <c r="F585" i="184"/>
  <c r="E585" i="184"/>
  <c r="L548" i="184"/>
  <c r="H548" i="184"/>
  <c r="G548" i="184"/>
  <c r="D548" i="184"/>
  <c r="L511" i="184"/>
  <c r="I511" i="184"/>
  <c r="F511" i="184"/>
  <c r="I474" i="184"/>
  <c r="E474" i="184"/>
  <c r="K437" i="184"/>
  <c r="J437" i="184"/>
  <c r="E437" i="184"/>
  <c r="D437" i="184"/>
  <c r="L22" i="199"/>
  <c r="L400" i="184" s="1"/>
  <c r="K22" i="199"/>
  <c r="K400" i="184" s="1"/>
  <c r="J22" i="199"/>
  <c r="J400" i="184"/>
  <c r="I22" i="199"/>
  <c r="H22" i="199"/>
  <c r="H400" i="184" s="1"/>
  <c r="G22" i="199"/>
  <c r="F22" i="199"/>
  <c r="F400" i="184"/>
  <c r="D22" i="199"/>
  <c r="L21" i="199"/>
  <c r="L363" i="184" s="1"/>
  <c r="K21" i="199"/>
  <c r="J21" i="199"/>
  <c r="I21" i="199"/>
  <c r="I363" i="184" s="1"/>
  <c r="H21" i="199"/>
  <c r="H363" i="184" s="1"/>
  <c r="G21" i="199"/>
  <c r="G363" i="184" s="1"/>
  <c r="F21" i="199"/>
  <c r="E21" i="199"/>
  <c r="E363" i="184"/>
  <c r="D21" i="199"/>
  <c r="D363" i="184" s="1"/>
  <c r="L20" i="199"/>
  <c r="L326" i="184" s="1"/>
  <c r="K20" i="199"/>
  <c r="K326" i="184"/>
  <c r="J20" i="199"/>
  <c r="J326" i="184"/>
  <c r="I20" i="199"/>
  <c r="H20" i="199"/>
  <c r="H326" i="184" s="1"/>
  <c r="F20" i="199"/>
  <c r="F326" i="184" s="1"/>
  <c r="E20" i="199"/>
  <c r="D20" i="199"/>
  <c r="L19" i="199"/>
  <c r="L289" i="184" s="1"/>
  <c r="K19" i="199"/>
  <c r="K289" i="184" s="1"/>
  <c r="J19" i="199"/>
  <c r="J289" i="184" s="1"/>
  <c r="I19" i="199"/>
  <c r="H19" i="199"/>
  <c r="H289" i="184"/>
  <c r="G19" i="199"/>
  <c r="F19" i="199"/>
  <c r="F289" i="184" s="1"/>
  <c r="D19" i="199"/>
  <c r="D289" i="184" s="1"/>
  <c r="H176" i="184"/>
  <c r="F176" i="184"/>
  <c r="D176" i="184"/>
  <c r="L139" i="184"/>
  <c r="K139" i="184"/>
  <c r="I139" i="184"/>
  <c r="G139" i="184"/>
  <c r="L102" i="184"/>
  <c r="K102" i="184"/>
  <c r="J102" i="184"/>
  <c r="I102" i="184"/>
  <c r="H102" i="184"/>
  <c r="G102" i="184"/>
  <c r="E102" i="184"/>
  <c r="D102" i="184"/>
  <c r="L65" i="184"/>
  <c r="K65" i="184"/>
  <c r="H65" i="184"/>
  <c r="E65" i="184"/>
  <c r="K28" i="184"/>
  <c r="J28" i="184"/>
  <c r="I28" i="184"/>
  <c r="G28" i="184"/>
  <c r="D28" i="184"/>
  <c r="X14" i="230"/>
  <c r="D431" i="184"/>
  <c r="F113" i="184"/>
  <c r="F90" i="184"/>
  <c r="F97" i="184"/>
  <c r="D66" i="146"/>
  <c r="F1891" i="184"/>
  <c r="U42" i="214"/>
  <c r="D45" i="126"/>
  <c r="F96" i="184"/>
  <c r="F102" i="184"/>
  <c r="F115" i="184"/>
  <c r="F1234" i="184"/>
  <c r="D26" i="121"/>
  <c r="F16" i="184"/>
  <c r="D10" i="126"/>
  <c r="F1876" i="184"/>
  <c r="F23" i="184"/>
  <c r="F105" i="184"/>
  <c r="D27" i="202"/>
  <c r="F1790" i="184"/>
  <c r="F116" i="184"/>
  <c r="F2015" i="184"/>
  <c r="D51" i="121"/>
  <c r="F1952" i="184"/>
  <c r="D50" i="126"/>
  <c r="D10" i="131"/>
  <c r="F1325" i="184"/>
  <c r="F111" i="184"/>
  <c r="F1971" i="184"/>
  <c r="F109" i="184"/>
  <c r="F1264" i="184"/>
  <c r="F114" i="184"/>
  <c r="F1789" i="184"/>
  <c r="S37" i="212"/>
  <c r="Z25" i="209"/>
  <c r="S39" i="212"/>
  <c r="R35" i="212"/>
  <c r="M100" i="102"/>
  <c r="Q92" i="102"/>
  <c r="AE28" i="231" s="1"/>
  <c r="O92" i="102"/>
  <c r="K92" i="102"/>
  <c r="K2490" i="184"/>
  <c r="J92" i="102"/>
  <c r="J2490" i="184" s="1"/>
  <c r="G92" i="102"/>
  <c r="G2490" i="184"/>
  <c r="F92" i="102"/>
  <c r="F2490" i="184" s="1"/>
  <c r="E92" i="102"/>
  <c r="E2490" i="184"/>
  <c r="D92" i="102"/>
  <c r="K91" i="102"/>
  <c r="K2453" i="184" s="1"/>
  <c r="J91" i="102"/>
  <c r="J2453" i="184" s="1"/>
  <c r="I91" i="102"/>
  <c r="I2453" i="184" s="1"/>
  <c r="H91" i="102"/>
  <c r="H2453" i="184" s="1"/>
  <c r="G91" i="102"/>
  <c r="G2453" i="184" s="1"/>
  <c r="F91" i="102"/>
  <c r="F2453" i="184" s="1"/>
  <c r="E91" i="102"/>
  <c r="E2453" i="184" s="1"/>
  <c r="D91" i="102"/>
  <c r="L90" i="102"/>
  <c r="L2416" i="184"/>
  <c r="K90" i="102"/>
  <c r="K2416" i="184" s="1"/>
  <c r="I90" i="102"/>
  <c r="H90" i="102"/>
  <c r="H2416" i="184" s="1"/>
  <c r="G90" i="102"/>
  <c r="G2416" i="184" s="1"/>
  <c r="F90" i="102"/>
  <c r="F2416" i="184" s="1"/>
  <c r="D90" i="102"/>
  <c r="D2416" i="184" s="1"/>
  <c r="L89" i="102"/>
  <c r="L2379" i="184" s="1"/>
  <c r="J89" i="102"/>
  <c r="J2379" i="184" s="1"/>
  <c r="I89" i="102"/>
  <c r="I2379" i="184" s="1"/>
  <c r="H89" i="102"/>
  <c r="H2379" i="184" s="1"/>
  <c r="G89" i="102"/>
  <c r="F89" i="102"/>
  <c r="E89" i="102"/>
  <c r="E2379" i="184" s="1"/>
  <c r="D89" i="102"/>
  <c r="D2379" i="184" s="1"/>
  <c r="L88" i="102"/>
  <c r="L2342" i="184" s="1"/>
  <c r="J88" i="102"/>
  <c r="J2342" i="184" s="1"/>
  <c r="I88" i="102"/>
  <c r="I2342" i="184" s="1"/>
  <c r="H88" i="102"/>
  <c r="H2342" i="184" s="1"/>
  <c r="G88" i="102"/>
  <c r="G2342" i="184" s="1"/>
  <c r="F88" i="102"/>
  <c r="E88" i="102"/>
  <c r="E2342" i="184" s="1"/>
  <c r="D88" i="102"/>
  <c r="D2342" i="184"/>
  <c r="L87" i="102"/>
  <c r="L2305" i="184" s="1"/>
  <c r="K87" i="102"/>
  <c r="K2305" i="184"/>
  <c r="J87" i="102"/>
  <c r="J2305" i="184" s="1"/>
  <c r="I87" i="102"/>
  <c r="I2305" i="184"/>
  <c r="H87" i="102"/>
  <c r="H2305" i="184" s="1"/>
  <c r="G87" i="102"/>
  <c r="F87" i="102"/>
  <c r="E87" i="102"/>
  <c r="E2305" i="184" s="1"/>
  <c r="D87" i="102"/>
  <c r="D2305" i="184"/>
  <c r="L82" i="102"/>
  <c r="L2192" i="184" s="1"/>
  <c r="K82" i="102"/>
  <c r="K2192" i="184"/>
  <c r="J82" i="102"/>
  <c r="J2192" i="184" s="1"/>
  <c r="I82" i="102"/>
  <c r="I2192" i="184"/>
  <c r="H82" i="102"/>
  <c r="H2192" i="184" s="1"/>
  <c r="G82" i="102"/>
  <c r="G2192" i="184"/>
  <c r="F82" i="102"/>
  <c r="D58" i="101" s="1"/>
  <c r="E82" i="102"/>
  <c r="E2192" i="184"/>
  <c r="D82" i="102"/>
  <c r="D2192" i="184" s="1"/>
  <c r="L81" i="102"/>
  <c r="K81" i="102"/>
  <c r="J81" i="102"/>
  <c r="J2155" i="184" s="1"/>
  <c r="I81" i="102"/>
  <c r="I2155" i="184"/>
  <c r="H81" i="102"/>
  <c r="H2155" i="184"/>
  <c r="G81" i="102"/>
  <c r="G2155" i="184"/>
  <c r="F81" i="102"/>
  <c r="E81" i="102"/>
  <c r="R80" i="102"/>
  <c r="L116" i="102"/>
  <c r="R77" i="102"/>
  <c r="L115" i="102"/>
  <c r="K77" i="102"/>
  <c r="K2079" i="184"/>
  <c r="J77" i="102"/>
  <c r="J2079" i="184" s="1"/>
  <c r="I77" i="102"/>
  <c r="H77" i="102"/>
  <c r="G77" i="102"/>
  <c r="F77" i="102"/>
  <c r="F2079" i="184" s="1"/>
  <c r="E77" i="102"/>
  <c r="D77" i="102"/>
  <c r="D2079" i="184"/>
  <c r="L76" i="102"/>
  <c r="K76" i="102"/>
  <c r="K2042" i="184" s="1"/>
  <c r="J76" i="102"/>
  <c r="J2042" i="184" s="1"/>
  <c r="I76" i="102"/>
  <c r="I2042" i="184" s="1"/>
  <c r="H76" i="102"/>
  <c r="H2042" i="184" s="1"/>
  <c r="G76" i="102"/>
  <c r="G2042" i="184" s="1"/>
  <c r="F76" i="102"/>
  <c r="D52" i="101" s="1"/>
  <c r="E76" i="102"/>
  <c r="D76" i="102"/>
  <c r="D2042" i="184" s="1"/>
  <c r="L75" i="102"/>
  <c r="K75" i="102"/>
  <c r="K2005" i="184" s="1"/>
  <c r="J75" i="102"/>
  <c r="J2005" i="184" s="1"/>
  <c r="I75" i="102"/>
  <c r="I2005" i="184" s="1"/>
  <c r="H75" i="102"/>
  <c r="H2005" i="184" s="1"/>
  <c r="G75" i="102"/>
  <c r="G2005" i="184" s="1"/>
  <c r="F75" i="102"/>
  <c r="F2005" i="184" s="1"/>
  <c r="E75" i="102"/>
  <c r="D75" i="102"/>
  <c r="L74" i="102"/>
  <c r="K74" i="102"/>
  <c r="K1968" i="184" s="1"/>
  <c r="J74" i="102"/>
  <c r="J1968" i="184"/>
  <c r="I74" i="102"/>
  <c r="H74" i="102"/>
  <c r="H1968" i="184" s="1"/>
  <c r="G74" i="102"/>
  <c r="G1968" i="184" s="1"/>
  <c r="F74" i="102"/>
  <c r="F1968" i="184" s="1"/>
  <c r="E74" i="102"/>
  <c r="E1968" i="184" s="1"/>
  <c r="D74" i="102"/>
  <c r="D1968" i="184" s="1"/>
  <c r="K70" i="102"/>
  <c r="K1892" i="184" s="1"/>
  <c r="J70" i="102"/>
  <c r="J1892" i="184" s="1"/>
  <c r="I70" i="102"/>
  <c r="I1892" i="184" s="1"/>
  <c r="G70" i="102"/>
  <c r="G1892" i="184" s="1"/>
  <c r="F70" i="102"/>
  <c r="D46" i="101" s="1"/>
  <c r="E70" i="102"/>
  <c r="E1892" i="184" s="1"/>
  <c r="D70" i="102"/>
  <c r="D1892" i="184" s="1"/>
  <c r="K69" i="102"/>
  <c r="K1855" i="184" s="1"/>
  <c r="J69" i="102"/>
  <c r="J1855" i="184" s="1"/>
  <c r="I69" i="102"/>
  <c r="G69" i="102"/>
  <c r="G1855" i="184" s="1"/>
  <c r="D69" i="102"/>
  <c r="AA68" i="102"/>
  <c r="L68" i="102"/>
  <c r="L1818" i="184" s="1"/>
  <c r="K68" i="102"/>
  <c r="K1818" i="184"/>
  <c r="J68" i="102"/>
  <c r="J1818" i="184" s="1"/>
  <c r="H68" i="102"/>
  <c r="H1818" i="184" s="1"/>
  <c r="G68" i="102"/>
  <c r="G1818" i="184" s="1"/>
  <c r="F68" i="102"/>
  <c r="E68" i="102"/>
  <c r="E1818" i="184" s="1"/>
  <c r="D68" i="102"/>
  <c r="AA67" i="102"/>
  <c r="W67" i="102"/>
  <c r="V67" i="102"/>
  <c r="J291" i="191"/>
  <c r="P67" i="102"/>
  <c r="U67" i="102"/>
  <c r="L67" i="102"/>
  <c r="J67" i="102"/>
  <c r="J1781" i="184" s="1"/>
  <c r="I67" i="102"/>
  <c r="I1781" i="184" s="1"/>
  <c r="H67" i="102"/>
  <c r="H1781" i="184" s="1"/>
  <c r="G67" i="102"/>
  <c r="F67" i="102"/>
  <c r="F1781" i="184" s="1"/>
  <c r="E67" i="102"/>
  <c r="D67" i="102"/>
  <c r="D1781" i="184" s="1"/>
  <c r="AA66" i="102"/>
  <c r="W66" i="102"/>
  <c r="V66" i="102"/>
  <c r="P66" i="102"/>
  <c r="L66" i="102"/>
  <c r="L1744" i="184" s="1"/>
  <c r="K66" i="102"/>
  <c r="K1744" i="184" s="1"/>
  <c r="I66" i="102"/>
  <c r="I1744" i="184" s="1"/>
  <c r="H66" i="102"/>
  <c r="H1744" i="184" s="1"/>
  <c r="G66" i="102"/>
  <c r="G1744" i="184" s="1"/>
  <c r="F66" i="102"/>
  <c r="E66" i="102"/>
  <c r="E1744" i="184" s="1"/>
  <c r="AA65" i="102"/>
  <c r="W65" i="102"/>
  <c r="K217" i="191" s="1"/>
  <c r="V65" i="102"/>
  <c r="J217" i="191" s="1"/>
  <c r="P65" i="102"/>
  <c r="U65" i="102" s="1"/>
  <c r="I217" i="191" s="1"/>
  <c r="L65" i="102"/>
  <c r="K65" i="102"/>
  <c r="I65" i="102"/>
  <c r="I1707" i="184" s="1"/>
  <c r="H65" i="102"/>
  <c r="H1707" i="184"/>
  <c r="G65" i="102"/>
  <c r="G1707" i="184"/>
  <c r="F65" i="102"/>
  <c r="E65" i="102"/>
  <c r="E1707" i="184" s="1"/>
  <c r="D65" i="102"/>
  <c r="D1707" i="184" s="1"/>
  <c r="AA64" i="102"/>
  <c r="W64" i="102"/>
  <c r="K180" i="191"/>
  <c r="V64" i="102"/>
  <c r="Q64" i="102"/>
  <c r="E180" i="191" s="1"/>
  <c r="P64" i="102"/>
  <c r="U64" i="102" s="1"/>
  <c r="I180" i="191" s="1"/>
  <c r="L64" i="102"/>
  <c r="L1670" i="184"/>
  <c r="K64" i="102"/>
  <c r="K1670" i="184"/>
  <c r="J64" i="102"/>
  <c r="J1670" i="184"/>
  <c r="I64" i="102"/>
  <c r="I1670" i="184" s="1"/>
  <c r="H64" i="102"/>
  <c r="H1670" i="184"/>
  <c r="E64" i="102"/>
  <c r="AA63" i="102"/>
  <c r="W63" i="102"/>
  <c r="K143" i="191"/>
  <c r="V63" i="102"/>
  <c r="J143" i="191" s="1"/>
  <c r="P63" i="102"/>
  <c r="L63" i="102"/>
  <c r="K63" i="102"/>
  <c r="J63" i="102"/>
  <c r="J1633" i="184" s="1"/>
  <c r="I63" i="102"/>
  <c r="I1633" i="184" s="1"/>
  <c r="H63" i="102"/>
  <c r="H1633" i="184" s="1"/>
  <c r="G63" i="102"/>
  <c r="G1633" i="184" s="1"/>
  <c r="F63" i="102"/>
  <c r="D39" i="101" s="1"/>
  <c r="E63" i="102"/>
  <c r="E1633" i="184" s="1"/>
  <c r="D63" i="102"/>
  <c r="D1633" i="184" s="1"/>
  <c r="AA62" i="102"/>
  <c r="W62" i="102"/>
  <c r="K106" i="191"/>
  <c r="V62" i="102"/>
  <c r="J106" i="191"/>
  <c r="P62" i="102"/>
  <c r="U62" i="102" s="1"/>
  <c r="I106" i="191" s="1"/>
  <c r="L62" i="102"/>
  <c r="K62" i="102"/>
  <c r="K1596" i="184"/>
  <c r="I62" i="102"/>
  <c r="I1596" i="184"/>
  <c r="H62" i="102"/>
  <c r="H1596" i="184" s="1"/>
  <c r="G62" i="102"/>
  <c r="F62" i="102"/>
  <c r="F1596" i="184" s="1"/>
  <c r="E62" i="102"/>
  <c r="E1596" i="184" s="1"/>
  <c r="D62" i="102"/>
  <c r="D1596" i="184" s="1"/>
  <c r="AA61" i="102"/>
  <c r="W61" i="102"/>
  <c r="K69" i="191"/>
  <c r="V61" i="102"/>
  <c r="P61" i="102"/>
  <c r="D69" i="191" s="1"/>
  <c r="L61" i="102"/>
  <c r="L1559" i="184" s="1"/>
  <c r="J61" i="102"/>
  <c r="I61" i="102"/>
  <c r="H61" i="102"/>
  <c r="H1559" i="184" s="1"/>
  <c r="F61" i="102"/>
  <c r="F1559" i="184" s="1"/>
  <c r="E61" i="102"/>
  <c r="E1559" i="184" s="1"/>
  <c r="D61" i="102"/>
  <c r="AA60" i="102"/>
  <c r="W60" i="102"/>
  <c r="V60" i="102"/>
  <c r="P60" i="102"/>
  <c r="U60" i="102" s="1"/>
  <c r="I32" i="191" s="1"/>
  <c r="L60" i="102"/>
  <c r="L1522" i="184"/>
  <c r="K60" i="102"/>
  <c r="K1522" i="184" s="1"/>
  <c r="J60" i="102"/>
  <c r="J1522" i="184"/>
  <c r="I60" i="102"/>
  <c r="I1522" i="184"/>
  <c r="H60" i="102"/>
  <c r="H1522" i="184"/>
  <c r="G60" i="102"/>
  <c r="F60" i="102"/>
  <c r="E60" i="102"/>
  <c r="E1522" i="184"/>
  <c r="D60" i="102"/>
  <c r="D1522" i="184"/>
  <c r="K1409" i="184"/>
  <c r="J1409" i="184"/>
  <c r="I1409" i="184"/>
  <c r="E1409" i="184"/>
  <c r="K1372" i="184"/>
  <c r="G1372" i="184"/>
  <c r="F1372" i="184"/>
  <c r="E1372" i="184"/>
  <c r="D1372" i="184"/>
  <c r="H1335" i="184"/>
  <c r="G1335" i="184"/>
  <c r="F1335" i="184"/>
  <c r="D1335" i="184"/>
  <c r="L1298" i="184"/>
  <c r="J1298" i="184"/>
  <c r="I1298" i="184"/>
  <c r="G1298" i="184"/>
  <c r="E1298" i="184"/>
  <c r="D1298" i="184"/>
  <c r="K1261" i="184"/>
  <c r="J1261" i="184"/>
  <c r="H1261" i="184"/>
  <c r="F1261" i="184"/>
  <c r="E1261" i="184"/>
  <c r="L1224" i="184"/>
  <c r="K1224" i="184"/>
  <c r="J1224" i="184"/>
  <c r="I1224" i="184"/>
  <c r="G1224" i="184"/>
  <c r="D26" i="101"/>
  <c r="D1224" i="184"/>
  <c r="L1185" i="184"/>
  <c r="K1185" i="184"/>
  <c r="I1185" i="184"/>
  <c r="E1185" i="184"/>
  <c r="D1185" i="184"/>
  <c r="L1071" i="184"/>
  <c r="J1071" i="184"/>
  <c r="I1071" i="184"/>
  <c r="H1071" i="184"/>
  <c r="E1071" i="184"/>
  <c r="L1034" i="184"/>
  <c r="J1034" i="184"/>
  <c r="I1034" i="184"/>
  <c r="G1034" i="184"/>
  <c r="F1034" i="184"/>
  <c r="D1034" i="184"/>
  <c r="L997" i="184"/>
  <c r="J997" i="184"/>
  <c r="H997" i="184"/>
  <c r="E997" i="184"/>
  <c r="L960" i="184"/>
  <c r="K960" i="184"/>
  <c r="H960" i="184"/>
  <c r="G960" i="184"/>
  <c r="F960" i="184"/>
  <c r="E960" i="184"/>
  <c r="D960" i="184"/>
  <c r="L923" i="184"/>
  <c r="J923" i="184"/>
  <c r="I923" i="184"/>
  <c r="H923" i="184"/>
  <c r="F923" i="184"/>
  <c r="E923" i="184"/>
  <c r="D923" i="184"/>
  <c r="L886" i="184"/>
  <c r="J886" i="184"/>
  <c r="F886" i="184"/>
  <c r="D886" i="184"/>
  <c r="L35" i="102"/>
  <c r="L849" i="184" s="1"/>
  <c r="K35" i="102"/>
  <c r="K849" i="184" s="1"/>
  <c r="J35" i="102"/>
  <c r="J849" i="184" s="1"/>
  <c r="I35" i="102"/>
  <c r="H35" i="102"/>
  <c r="H849" i="184"/>
  <c r="G35" i="102"/>
  <c r="G849" i="184" s="1"/>
  <c r="F35" i="102"/>
  <c r="F849" i="184" s="1"/>
  <c r="E35" i="102"/>
  <c r="D35" i="102"/>
  <c r="D849" i="184" s="1"/>
  <c r="R34" i="102"/>
  <c r="L109" i="102" s="1"/>
  <c r="L34" i="102"/>
  <c r="K34" i="102"/>
  <c r="K812" i="184"/>
  <c r="J34" i="102"/>
  <c r="J812" i="184" s="1"/>
  <c r="I34" i="102"/>
  <c r="I812" i="184" s="1"/>
  <c r="H34" i="102"/>
  <c r="H812" i="184"/>
  <c r="G34" i="102"/>
  <c r="D34" i="102"/>
  <c r="L33" i="102"/>
  <c r="L775" i="184" s="1"/>
  <c r="K33" i="102"/>
  <c r="K775" i="184"/>
  <c r="J33" i="102"/>
  <c r="J775" i="184"/>
  <c r="I33" i="102"/>
  <c r="I775" i="184"/>
  <c r="H33" i="102"/>
  <c r="H775" i="184" s="1"/>
  <c r="G33" i="102"/>
  <c r="G775" i="184"/>
  <c r="F33" i="102"/>
  <c r="F775" i="184" s="1"/>
  <c r="E33" i="102"/>
  <c r="E775" i="184"/>
  <c r="D33" i="102"/>
  <c r="Q32" i="102"/>
  <c r="L108" i="102" s="1"/>
  <c r="L32" i="102"/>
  <c r="L738" i="184" s="1"/>
  <c r="K32" i="102"/>
  <c r="K738" i="184" s="1"/>
  <c r="J32" i="102"/>
  <c r="I32" i="102"/>
  <c r="I738" i="184" s="1"/>
  <c r="H32" i="102"/>
  <c r="G32" i="102"/>
  <c r="G738" i="184" s="1"/>
  <c r="F32" i="102"/>
  <c r="F738" i="184" s="1"/>
  <c r="E32" i="102"/>
  <c r="D32" i="102"/>
  <c r="D738" i="184" s="1"/>
  <c r="L626" i="184"/>
  <c r="J626" i="184"/>
  <c r="H626" i="184"/>
  <c r="G626" i="184"/>
  <c r="F626" i="184"/>
  <c r="E626" i="184"/>
  <c r="K589" i="184"/>
  <c r="G589" i="184"/>
  <c r="F589" i="184"/>
  <c r="L552" i="184"/>
  <c r="H552" i="184"/>
  <c r="F552" i="184"/>
  <c r="E552" i="184"/>
  <c r="D552" i="184"/>
  <c r="K515" i="184"/>
  <c r="J515" i="184"/>
  <c r="H515" i="184"/>
  <c r="F515" i="184"/>
  <c r="E515" i="184"/>
  <c r="L478" i="184"/>
  <c r="J478" i="184"/>
  <c r="I478" i="184"/>
  <c r="H478" i="184"/>
  <c r="G478" i="184"/>
  <c r="F478" i="184"/>
  <c r="L441" i="184"/>
  <c r="K441" i="184"/>
  <c r="J441" i="184"/>
  <c r="I441" i="184"/>
  <c r="G441" i="184"/>
  <c r="L22" i="102"/>
  <c r="L404" i="184" s="1"/>
  <c r="K22" i="102"/>
  <c r="K404" i="184" s="1"/>
  <c r="J22" i="102"/>
  <c r="I22" i="102"/>
  <c r="I404" i="184" s="1"/>
  <c r="H22" i="102"/>
  <c r="H404" i="184" s="1"/>
  <c r="G22" i="102"/>
  <c r="G404" i="184" s="1"/>
  <c r="F22" i="102"/>
  <c r="D22" i="102"/>
  <c r="D404" i="184"/>
  <c r="L21" i="102"/>
  <c r="K21" i="102"/>
  <c r="K367" i="184" s="1"/>
  <c r="J21" i="102"/>
  <c r="J367" i="184" s="1"/>
  <c r="I21" i="102"/>
  <c r="I367" i="184" s="1"/>
  <c r="H21" i="102"/>
  <c r="H367" i="184" s="1"/>
  <c r="G21" i="102"/>
  <c r="F21" i="102"/>
  <c r="F367" i="184"/>
  <c r="E21" i="102"/>
  <c r="E367" i="184"/>
  <c r="D21" i="102"/>
  <c r="L20" i="102"/>
  <c r="L330" i="184" s="1"/>
  <c r="K20" i="102"/>
  <c r="K330" i="184" s="1"/>
  <c r="J20" i="102"/>
  <c r="J330" i="184" s="1"/>
  <c r="I20" i="102"/>
  <c r="H20" i="102"/>
  <c r="F20" i="102"/>
  <c r="F330" i="184" s="1"/>
  <c r="E20" i="102"/>
  <c r="D20" i="102"/>
  <c r="D330" i="184"/>
  <c r="L19" i="102"/>
  <c r="L293" i="184"/>
  <c r="K19" i="102"/>
  <c r="K293" i="184"/>
  <c r="J19" i="102"/>
  <c r="I19" i="102"/>
  <c r="I293" i="184" s="1"/>
  <c r="H19" i="102"/>
  <c r="H293" i="184" s="1"/>
  <c r="G19" i="102"/>
  <c r="G293" i="184" s="1"/>
  <c r="F19" i="102"/>
  <c r="F293" i="184" s="1"/>
  <c r="D19" i="102"/>
  <c r="D293" i="184" s="1"/>
  <c r="K180" i="184"/>
  <c r="J180" i="184"/>
  <c r="H180" i="184"/>
  <c r="G180" i="184"/>
  <c r="F180" i="184"/>
  <c r="D180" i="184"/>
  <c r="L143" i="184"/>
  <c r="K143" i="184"/>
  <c r="G143" i="184"/>
  <c r="L106" i="184"/>
  <c r="J106" i="184"/>
  <c r="I106" i="184"/>
  <c r="H106" i="184"/>
  <c r="E106" i="184"/>
  <c r="D106" i="184"/>
  <c r="L69" i="184"/>
  <c r="J69" i="184"/>
  <c r="I69" i="184"/>
  <c r="G69" i="184"/>
  <c r="K32" i="184"/>
  <c r="J32" i="184"/>
  <c r="G32" i="184"/>
  <c r="E32" i="184"/>
  <c r="M100" i="97"/>
  <c r="L107" i="97" s="1"/>
  <c r="Q92" i="97"/>
  <c r="AE27" i="231" s="1"/>
  <c r="O92" i="97"/>
  <c r="K92" i="97"/>
  <c r="K2484" i="184" s="1"/>
  <c r="J92" i="97"/>
  <c r="J2484" i="184" s="1"/>
  <c r="G92" i="97"/>
  <c r="G2484" i="184" s="1"/>
  <c r="F92" i="97"/>
  <c r="E92" i="97"/>
  <c r="E2484" i="184"/>
  <c r="D92" i="97"/>
  <c r="D2484" i="184"/>
  <c r="K91" i="97"/>
  <c r="K2447" i="184"/>
  <c r="J91" i="97"/>
  <c r="I91" i="97"/>
  <c r="I2447" i="184" s="1"/>
  <c r="H91" i="97"/>
  <c r="H2447" i="184" s="1"/>
  <c r="G91" i="97"/>
  <c r="F91" i="97"/>
  <c r="F2447" i="184"/>
  <c r="E91" i="97"/>
  <c r="D91" i="97"/>
  <c r="D2447" i="184" s="1"/>
  <c r="L90" i="97"/>
  <c r="L2410" i="184" s="1"/>
  <c r="K90" i="97"/>
  <c r="K2410" i="184" s="1"/>
  <c r="I90" i="97"/>
  <c r="I2410" i="184" s="1"/>
  <c r="H90" i="97"/>
  <c r="H2410" i="184" s="1"/>
  <c r="G90" i="97"/>
  <c r="G2410" i="184" s="1"/>
  <c r="F90" i="97"/>
  <c r="F2410" i="184" s="1"/>
  <c r="D90" i="97"/>
  <c r="D2410" i="184" s="1"/>
  <c r="L89" i="97"/>
  <c r="L2373" i="184" s="1"/>
  <c r="J89" i="97"/>
  <c r="I89" i="97"/>
  <c r="I2373" i="184" s="1"/>
  <c r="H89" i="97"/>
  <c r="H2373" i="184" s="1"/>
  <c r="G89" i="97"/>
  <c r="G2373" i="184" s="1"/>
  <c r="F89" i="97"/>
  <c r="F2373" i="184"/>
  <c r="E89" i="97"/>
  <c r="D89" i="97"/>
  <c r="D2373" i="184" s="1"/>
  <c r="L88" i="97"/>
  <c r="L2336" i="184" s="1"/>
  <c r="J88" i="97"/>
  <c r="J2336" i="184" s="1"/>
  <c r="I88" i="97"/>
  <c r="I2336" i="184" s="1"/>
  <c r="H88" i="97"/>
  <c r="H2336" i="184" s="1"/>
  <c r="G88" i="97"/>
  <c r="G2336" i="184" s="1"/>
  <c r="F88" i="97"/>
  <c r="F2336" i="184" s="1"/>
  <c r="E88" i="97"/>
  <c r="E2336" i="184" s="1"/>
  <c r="D88" i="97"/>
  <c r="D2336" i="184" s="1"/>
  <c r="L87" i="97"/>
  <c r="L2299" i="184" s="1"/>
  <c r="K87" i="97"/>
  <c r="K2299" i="184" s="1"/>
  <c r="J87" i="97"/>
  <c r="J2299" i="184" s="1"/>
  <c r="I87" i="97"/>
  <c r="I2299" i="184" s="1"/>
  <c r="H87" i="97"/>
  <c r="H2299" i="184" s="1"/>
  <c r="G87" i="97"/>
  <c r="G2299" i="184" s="1"/>
  <c r="F87" i="97"/>
  <c r="E87" i="97"/>
  <c r="E2299" i="184"/>
  <c r="D87" i="97"/>
  <c r="D2299" i="184"/>
  <c r="L82" i="97"/>
  <c r="L2186" i="184"/>
  <c r="K82" i="97"/>
  <c r="J82" i="97"/>
  <c r="I82" i="97"/>
  <c r="H82" i="97"/>
  <c r="H2186" i="184" s="1"/>
  <c r="G82" i="97"/>
  <c r="G2186" i="184" s="1"/>
  <c r="F82" i="97"/>
  <c r="D58" i="96" s="1"/>
  <c r="E82" i="97"/>
  <c r="E2186" i="184" s="1"/>
  <c r="D82" i="97"/>
  <c r="D2186" i="184" s="1"/>
  <c r="L81" i="97"/>
  <c r="K81" i="97"/>
  <c r="J81" i="97"/>
  <c r="J2149" i="184" s="1"/>
  <c r="I81" i="97"/>
  <c r="I2149" i="184" s="1"/>
  <c r="H81" i="97"/>
  <c r="H2149" i="184" s="1"/>
  <c r="G81" i="97"/>
  <c r="F81" i="97"/>
  <c r="F2149" i="184"/>
  <c r="E81" i="97"/>
  <c r="R80" i="97"/>
  <c r="L116" i="97" s="1"/>
  <c r="R77" i="97"/>
  <c r="L115" i="97" s="1"/>
  <c r="K77" i="97"/>
  <c r="K2073" i="184" s="1"/>
  <c r="J77" i="97"/>
  <c r="I77" i="97"/>
  <c r="H77" i="97"/>
  <c r="H2073" i="184" s="1"/>
  <c r="G77" i="97"/>
  <c r="G2073" i="184" s="1"/>
  <c r="F77" i="97"/>
  <c r="D53" i="96" s="1"/>
  <c r="E77" i="97"/>
  <c r="D77" i="97"/>
  <c r="L76" i="97"/>
  <c r="L2036" i="184" s="1"/>
  <c r="K76" i="97"/>
  <c r="J76" i="97"/>
  <c r="J2036" i="184" s="1"/>
  <c r="I76" i="97"/>
  <c r="I2036" i="184"/>
  <c r="H76" i="97"/>
  <c r="H2036" i="184" s="1"/>
  <c r="G76" i="97"/>
  <c r="F76" i="97"/>
  <c r="E76" i="97"/>
  <c r="E2036" i="184" s="1"/>
  <c r="D76" i="97"/>
  <c r="D2036" i="184"/>
  <c r="L75" i="97"/>
  <c r="K75" i="97"/>
  <c r="J75" i="97"/>
  <c r="J1999" i="184" s="1"/>
  <c r="I75" i="97"/>
  <c r="I1999" i="184" s="1"/>
  <c r="H75" i="97"/>
  <c r="G75" i="97"/>
  <c r="F75" i="97"/>
  <c r="F1999" i="184" s="1"/>
  <c r="E75" i="97"/>
  <c r="D75" i="97"/>
  <c r="D1999" i="184" s="1"/>
  <c r="L74" i="97"/>
  <c r="K74" i="97"/>
  <c r="K1962" i="184"/>
  <c r="J74" i="97"/>
  <c r="J1962" i="184"/>
  <c r="I74" i="97"/>
  <c r="H74" i="97"/>
  <c r="H1962" i="184" s="1"/>
  <c r="G74" i="97"/>
  <c r="G1962" i="184" s="1"/>
  <c r="F74" i="97"/>
  <c r="F1962" i="184" s="1"/>
  <c r="E74" i="97"/>
  <c r="D74" i="97"/>
  <c r="D1962" i="184"/>
  <c r="K70" i="97"/>
  <c r="K1886" i="184" s="1"/>
  <c r="J70" i="97"/>
  <c r="J1886" i="184" s="1"/>
  <c r="I70" i="97"/>
  <c r="G70" i="97"/>
  <c r="G1886" i="184" s="1"/>
  <c r="F70" i="97"/>
  <c r="E70" i="97"/>
  <c r="E1886" i="184"/>
  <c r="D70" i="97"/>
  <c r="K69" i="97"/>
  <c r="K1849" i="184" s="1"/>
  <c r="J69" i="97"/>
  <c r="J1849" i="184" s="1"/>
  <c r="I69" i="97"/>
  <c r="I1849" i="184" s="1"/>
  <c r="G69" i="97"/>
  <c r="D69" i="97"/>
  <c r="D1849" i="184"/>
  <c r="AA68" i="97"/>
  <c r="L68" i="97"/>
  <c r="L1812" i="184" s="1"/>
  <c r="K68" i="97"/>
  <c r="K1812" i="184" s="1"/>
  <c r="J68" i="97"/>
  <c r="J1812" i="184" s="1"/>
  <c r="H68" i="97"/>
  <c r="H1812" i="184" s="1"/>
  <c r="G68" i="97"/>
  <c r="G1812" i="184" s="1"/>
  <c r="F68" i="97"/>
  <c r="D66" i="96" s="1"/>
  <c r="E68" i="97"/>
  <c r="D68" i="97"/>
  <c r="D1812" i="184" s="1"/>
  <c r="AA67" i="97"/>
  <c r="W67" i="97"/>
  <c r="K285" i="191" s="1"/>
  <c r="V67" i="97"/>
  <c r="P67" i="97"/>
  <c r="L67" i="97"/>
  <c r="L1775" i="184" s="1"/>
  <c r="J67" i="97"/>
  <c r="J1775" i="184" s="1"/>
  <c r="I67" i="97"/>
  <c r="I1775" i="184" s="1"/>
  <c r="H67" i="97"/>
  <c r="H1775" i="184" s="1"/>
  <c r="G67" i="97"/>
  <c r="G1775" i="184" s="1"/>
  <c r="F67" i="97"/>
  <c r="E67" i="97"/>
  <c r="E1775" i="184" s="1"/>
  <c r="D67" i="97"/>
  <c r="AA66" i="97"/>
  <c r="W66" i="97"/>
  <c r="V66" i="97"/>
  <c r="P66" i="97"/>
  <c r="L66" i="97"/>
  <c r="L1738" i="184" s="1"/>
  <c r="K66" i="97"/>
  <c r="K1738" i="184" s="1"/>
  <c r="I66" i="97"/>
  <c r="I1738" i="184" s="1"/>
  <c r="H66" i="97"/>
  <c r="H1738" i="184" s="1"/>
  <c r="G66" i="97"/>
  <c r="G1738" i="184" s="1"/>
  <c r="F66" i="97"/>
  <c r="E66" i="97"/>
  <c r="AA65" i="97"/>
  <c r="W65" i="97"/>
  <c r="K211" i="191"/>
  <c r="V65" i="97"/>
  <c r="P65" i="97"/>
  <c r="U65" i="97" s="1"/>
  <c r="I211" i="191" s="1"/>
  <c r="L65" i="97"/>
  <c r="K65" i="97"/>
  <c r="K1701" i="184" s="1"/>
  <c r="I65" i="97"/>
  <c r="I1701" i="184" s="1"/>
  <c r="H65" i="97"/>
  <c r="H1701" i="184" s="1"/>
  <c r="G65" i="97"/>
  <c r="G1701" i="184" s="1"/>
  <c r="F65" i="97"/>
  <c r="E65" i="97"/>
  <c r="D65" i="97"/>
  <c r="AA64" i="97"/>
  <c r="W64" i="97"/>
  <c r="K174" i="191" s="1"/>
  <c r="V64" i="97"/>
  <c r="Q64" i="97"/>
  <c r="L111" i="97" s="1"/>
  <c r="P64" i="97"/>
  <c r="L64" i="97"/>
  <c r="L1664" i="184" s="1"/>
  <c r="K64" i="97"/>
  <c r="K1664" i="184" s="1"/>
  <c r="J64" i="97"/>
  <c r="J1664" i="184" s="1"/>
  <c r="I64" i="97"/>
  <c r="I1664" i="184" s="1"/>
  <c r="H64" i="97"/>
  <c r="E64" i="97"/>
  <c r="E1664" i="184" s="1"/>
  <c r="AA63" i="97"/>
  <c r="W63" i="97"/>
  <c r="K137" i="191" s="1"/>
  <c r="V63" i="97"/>
  <c r="J137" i="191" s="1"/>
  <c r="P63" i="97"/>
  <c r="U63" i="97" s="1"/>
  <c r="I137" i="191" s="1"/>
  <c r="L63" i="97"/>
  <c r="K63" i="97"/>
  <c r="K1627" i="184" s="1"/>
  <c r="J63" i="97"/>
  <c r="I63" i="97"/>
  <c r="I1627" i="184"/>
  <c r="H63" i="97"/>
  <c r="H1627" i="184"/>
  <c r="G63" i="97"/>
  <c r="G1627" i="184"/>
  <c r="F63" i="97"/>
  <c r="F1627" i="184"/>
  <c r="E63" i="97"/>
  <c r="E1627" i="184"/>
  <c r="D63" i="97"/>
  <c r="D1627" i="184"/>
  <c r="AA62" i="97"/>
  <c r="W62" i="97"/>
  <c r="V62" i="97"/>
  <c r="P62" i="97"/>
  <c r="D100" i="191" s="1"/>
  <c r="L62" i="97"/>
  <c r="K62" i="97"/>
  <c r="K1590" i="184" s="1"/>
  <c r="I62" i="97"/>
  <c r="I1590" i="184"/>
  <c r="H62" i="97"/>
  <c r="G62" i="97"/>
  <c r="G1590" i="184" s="1"/>
  <c r="F62" i="97"/>
  <c r="F1590" i="184" s="1"/>
  <c r="E62" i="97"/>
  <c r="E1590" i="184" s="1"/>
  <c r="D62" i="97"/>
  <c r="D1590" i="184" s="1"/>
  <c r="AA61" i="97"/>
  <c r="W61" i="97"/>
  <c r="V61" i="97"/>
  <c r="P61" i="97"/>
  <c r="L61" i="97"/>
  <c r="L1553" i="184" s="1"/>
  <c r="J61" i="97"/>
  <c r="J1553" i="184" s="1"/>
  <c r="I61" i="97"/>
  <c r="I1553" i="184" s="1"/>
  <c r="H61" i="97"/>
  <c r="H1553" i="184" s="1"/>
  <c r="F61" i="97"/>
  <c r="F1553" i="184" s="1"/>
  <c r="E61" i="97"/>
  <c r="D61" i="97"/>
  <c r="D1553" i="184"/>
  <c r="AA60" i="97"/>
  <c r="W60" i="97"/>
  <c r="V60" i="97"/>
  <c r="J26" i="191"/>
  <c r="P60" i="97"/>
  <c r="L60" i="97"/>
  <c r="L1516" i="184" s="1"/>
  <c r="K60" i="97"/>
  <c r="J60" i="97"/>
  <c r="J1516" i="184" s="1"/>
  <c r="I60" i="97"/>
  <c r="I1516" i="184" s="1"/>
  <c r="H60" i="97"/>
  <c r="H1516" i="184" s="1"/>
  <c r="G60" i="97"/>
  <c r="F60" i="97"/>
  <c r="D36" i="96" s="1"/>
  <c r="E60" i="97"/>
  <c r="E1516" i="184" s="1"/>
  <c r="D60" i="97"/>
  <c r="L1403" i="184"/>
  <c r="K1403" i="184"/>
  <c r="J1403" i="184"/>
  <c r="I1403" i="184"/>
  <c r="G1403" i="184"/>
  <c r="F1403" i="184"/>
  <c r="E1403" i="184"/>
  <c r="D1403" i="184"/>
  <c r="K1366" i="184"/>
  <c r="J1366" i="184"/>
  <c r="H1366" i="184"/>
  <c r="G1366" i="184"/>
  <c r="E1366" i="184"/>
  <c r="L1329" i="184"/>
  <c r="K1329" i="184"/>
  <c r="I1329" i="184"/>
  <c r="H1329" i="184"/>
  <c r="G1329" i="184"/>
  <c r="F1329" i="184"/>
  <c r="E1329" i="184"/>
  <c r="J1292" i="184"/>
  <c r="I1292" i="184"/>
  <c r="H1292" i="184"/>
  <c r="D28" i="96"/>
  <c r="E1292" i="184"/>
  <c r="L1255" i="184"/>
  <c r="K1255" i="184"/>
  <c r="J1255" i="184"/>
  <c r="F1255" i="184"/>
  <c r="K1218" i="184"/>
  <c r="J1218" i="184"/>
  <c r="I1218" i="184"/>
  <c r="H1218" i="184"/>
  <c r="G1218" i="184"/>
  <c r="E1218" i="184"/>
  <c r="L1179" i="184"/>
  <c r="K1179" i="184"/>
  <c r="J1179" i="184"/>
  <c r="I1179" i="184"/>
  <c r="F1179" i="184"/>
  <c r="L1065" i="184"/>
  <c r="K1065" i="184"/>
  <c r="J1065" i="184"/>
  <c r="H1065" i="184"/>
  <c r="G1065" i="184"/>
  <c r="F1065" i="184"/>
  <c r="E1065" i="184"/>
  <c r="D1065" i="184"/>
  <c r="L1028" i="184"/>
  <c r="J1028" i="184"/>
  <c r="I1028" i="184"/>
  <c r="H1028" i="184"/>
  <c r="F1028" i="184"/>
  <c r="L991" i="184"/>
  <c r="J991" i="184"/>
  <c r="I991" i="184"/>
  <c r="G991" i="184"/>
  <c r="D991" i="184"/>
  <c r="L954" i="184"/>
  <c r="K954" i="184"/>
  <c r="J954" i="184"/>
  <c r="H954" i="184"/>
  <c r="E954" i="184"/>
  <c r="D954" i="184"/>
  <c r="L917" i="184"/>
  <c r="K917" i="184"/>
  <c r="F917" i="184"/>
  <c r="E917" i="184"/>
  <c r="D917" i="184"/>
  <c r="L880" i="184"/>
  <c r="J880" i="184"/>
  <c r="H880" i="184"/>
  <c r="G880" i="184"/>
  <c r="E880" i="184"/>
  <c r="D880" i="184"/>
  <c r="L35" i="97"/>
  <c r="K35" i="97"/>
  <c r="K843" i="184"/>
  <c r="J35" i="97"/>
  <c r="J843" i="184" s="1"/>
  <c r="I35" i="97"/>
  <c r="I843" i="184" s="1"/>
  <c r="H35" i="97"/>
  <c r="H843" i="184" s="1"/>
  <c r="G35" i="97"/>
  <c r="G843" i="184"/>
  <c r="F35" i="97"/>
  <c r="E35" i="97"/>
  <c r="E843" i="184" s="1"/>
  <c r="D35" i="97"/>
  <c r="D843" i="184" s="1"/>
  <c r="R34" i="97"/>
  <c r="L109" i="97" s="1"/>
  <c r="L34" i="97"/>
  <c r="K34" i="97"/>
  <c r="K806" i="184"/>
  <c r="J34" i="97"/>
  <c r="J806" i="184"/>
  <c r="I34" i="97"/>
  <c r="I806" i="184"/>
  <c r="H34" i="97"/>
  <c r="H806" i="184"/>
  <c r="G34" i="97"/>
  <c r="G806" i="184"/>
  <c r="D34" i="97"/>
  <c r="D806" i="184"/>
  <c r="L33" i="97"/>
  <c r="L769" i="184"/>
  <c r="K33" i="97"/>
  <c r="J33" i="97"/>
  <c r="J769" i="184" s="1"/>
  <c r="I33" i="97"/>
  <c r="I769" i="184" s="1"/>
  <c r="H33" i="97"/>
  <c r="H769" i="184" s="1"/>
  <c r="G33" i="97"/>
  <c r="F33" i="97"/>
  <c r="F769" i="184" s="1"/>
  <c r="E33" i="97"/>
  <c r="E769" i="184" s="1"/>
  <c r="D33" i="97"/>
  <c r="D769" i="184" s="1"/>
  <c r="Q32" i="97"/>
  <c r="L108" i="97"/>
  <c r="L32" i="97"/>
  <c r="L732" i="184" s="1"/>
  <c r="K32" i="97"/>
  <c r="J32" i="97"/>
  <c r="J732" i="184" s="1"/>
  <c r="I32" i="97"/>
  <c r="I732" i="184" s="1"/>
  <c r="H32" i="97"/>
  <c r="H732" i="184" s="1"/>
  <c r="G32" i="97"/>
  <c r="G732" i="184" s="1"/>
  <c r="F32" i="97"/>
  <c r="E32" i="97"/>
  <c r="E732" i="184" s="1"/>
  <c r="D32" i="97"/>
  <c r="L620" i="184"/>
  <c r="K620" i="184"/>
  <c r="J620" i="184"/>
  <c r="H620" i="184"/>
  <c r="G620" i="184"/>
  <c r="E620" i="184"/>
  <c r="K583" i="184"/>
  <c r="H583" i="184"/>
  <c r="G583" i="184"/>
  <c r="F583" i="184"/>
  <c r="J546" i="184"/>
  <c r="I546" i="184"/>
  <c r="H546" i="184"/>
  <c r="G546" i="184"/>
  <c r="F546" i="184"/>
  <c r="E546" i="184"/>
  <c r="L509" i="184"/>
  <c r="K509" i="184"/>
  <c r="J509" i="184"/>
  <c r="I509" i="184"/>
  <c r="H509" i="184"/>
  <c r="F509" i="184"/>
  <c r="E509" i="184"/>
  <c r="L472" i="184"/>
  <c r="J472" i="184"/>
  <c r="I472" i="184"/>
  <c r="G472" i="184"/>
  <c r="E472" i="184"/>
  <c r="D472" i="184"/>
  <c r="L435" i="184"/>
  <c r="K435" i="184"/>
  <c r="J435" i="184"/>
  <c r="H435" i="184"/>
  <c r="D435" i="184"/>
  <c r="L22" i="97"/>
  <c r="L398" i="184" s="1"/>
  <c r="K22" i="97"/>
  <c r="K398" i="184" s="1"/>
  <c r="J22" i="97"/>
  <c r="J398" i="184" s="1"/>
  <c r="I22" i="97"/>
  <c r="I398" i="184" s="1"/>
  <c r="H22" i="97"/>
  <c r="H398" i="184" s="1"/>
  <c r="G22" i="97"/>
  <c r="F22" i="97"/>
  <c r="F398" i="184"/>
  <c r="D22" i="97"/>
  <c r="D398" i="184"/>
  <c r="L21" i="97"/>
  <c r="L361" i="184"/>
  <c r="K21" i="97"/>
  <c r="J21" i="97"/>
  <c r="J361" i="184" s="1"/>
  <c r="I21" i="97"/>
  <c r="I361" i="184" s="1"/>
  <c r="H21" i="97"/>
  <c r="H361" i="184" s="1"/>
  <c r="G21" i="97"/>
  <c r="G361" i="184" s="1"/>
  <c r="F21" i="97"/>
  <c r="F361" i="184" s="1"/>
  <c r="E21" i="97"/>
  <c r="E361" i="184" s="1"/>
  <c r="D21" i="97"/>
  <c r="L20" i="97"/>
  <c r="K20" i="97"/>
  <c r="K324" i="184" s="1"/>
  <c r="J20" i="97"/>
  <c r="J324" i="184" s="1"/>
  <c r="I20" i="97"/>
  <c r="I324" i="184" s="1"/>
  <c r="H20" i="97"/>
  <c r="H324" i="184" s="1"/>
  <c r="F20" i="97"/>
  <c r="E20" i="97"/>
  <c r="D20" i="97"/>
  <c r="L19" i="97"/>
  <c r="K19" i="97"/>
  <c r="J19" i="97"/>
  <c r="J287" i="184"/>
  <c r="I19" i="97"/>
  <c r="I287" i="184"/>
  <c r="H19" i="97"/>
  <c r="H287" i="184" s="1"/>
  <c r="G19" i="97"/>
  <c r="G287" i="184"/>
  <c r="F19" i="97"/>
  <c r="D19" i="97"/>
  <c r="D287" i="184" s="1"/>
  <c r="K174" i="184"/>
  <c r="J174" i="184"/>
  <c r="H174" i="184"/>
  <c r="G174" i="184"/>
  <c r="E174" i="184"/>
  <c r="L137" i="184"/>
  <c r="K137" i="184"/>
  <c r="J137" i="184"/>
  <c r="I137" i="184"/>
  <c r="F137" i="184"/>
  <c r="K100" i="184"/>
  <c r="J100" i="184"/>
  <c r="I100" i="184"/>
  <c r="G100" i="184"/>
  <c r="E100" i="184"/>
  <c r="L63" i="184"/>
  <c r="K63" i="184"/>
  <c r="J63" i="184"/>
  <c r="H63" i="184"/>
  <c r="L26" i="184"/>
  <c r="K26" i="184"/>
  <c r="J26" i="184"/>
  <c r="D26" i="184"/>
  <c r="AD26" i="231"/>
  <c r="K2503" i="184"/>
  <c r="J2503" i="184"/>
  <c r="F2503" i="184"/>
  <c r="E2503" i="184"/>
  <c r="K2466" i="184"/>
  <c r="J2466" i="184"/>
  <c r="I2466" i="184"/>
  <c r="H2466" i="184"/>
  <c r="G2466" i="184"/>
  <c r="F2466" i="184"/>
  <c r="E2466" i="184"/>
  <c r="D2466" i="184"/>
  <c r="L2429" i="184"/>
  <c r="K2429" i="184"/>
  <c r="I2429" i="184"/>
  <c r="H2429" i="184"/>
  <c r="G2429" i="184"/>
  <c r="F2429" i="184"/>
  <c r="D2429" i="184"/>
  <c r="L2392" i="184"/>
  <c r="J2392" i="184"/>
  <c r="I2392" i="184"/>
  <c r="G2392" i="184"/>
  <c r="F2392" i="184"/>
  <c r="D2392" i="184"/>
  <c r="L2355" i="184"/>
  <c r="J2355" i="184"/>
  <c r="H2355" i="184"/>
  <c r="G2355" i="184"/>
  <c r="E2355" i="184"/>
  <c r="D2355" i="184"/>
  <c r="L2318" i="184"/>
  <c r="K2318" i="184"/>
  <c r="J2318" i="184"/>
  <c r="I2318" i="184"/>
  <c r="H2318" i="184"/>
  <c r="G2318" i="184"/>
  <c r="F2318" i="184"/>
  <c r="E2318" i="184"/>
  <c r="D2318" i="184"/>
  <c r="J2205" i="184"/>
  <c r="I2205" i="184"/>
  <c r="G2205" i="184"/>
  <c r="D58" i="91"/>
  <c r="K2168" i="184"/>
  <c r="J2168" i="184"/>
  <c r="E2168" i="184"/>
  <c r="L116" i="92"/>
  <c r="L115" i="92"/>
  <c r="K2092" i="184"/>
  <c r="J2092" i="184"/>
  <c r="I2092" i="184"/>
  <c r="G2092" i="184"/>
  <c r="E2092" i="184"/>
  <c r="K2055" i="184"/>
  <c r="J2055" i="184"/>
  <c r="I2055" i="184"/>
  <c r="G2055" i="184"/>
  <c r="D52" i="91"/>
  <c r="E2055" i="184"/>
  <c r="L2018" i="184"/>
  <c r="K2018" i="184"/>
  <c r="I2018" i="184"/>
  <c r="H2018" i="184"/>
  <c r="G2018" i="184"/>
  <c r="D51" i="91"/>
  <c r="L1981" i="184"/>
  <c r="J1981" i="184"/>
  <c r="I1981" i="184"/>
  <c r="H1981" i="184"/>
  <c r="G1981" i="184"/>
  <c r="E1981" i="184"/>
  <c r="K1905" i="184"/>
  <c r="J1905" i="184"/>
  <c r="I1905" i="184"/>
  <c r="D46" i="91"/>
  <c r="E1905" i="184"/>
  <c r="D1905" i="184"/>
  <c r="K1868" i="184"/>
  <c r="J1868" i="184"/>
  <c r="G1868" i="184"/>
  <c r="D45" i="91"/>
  <c r="K1831" i="184"/>
  <c r="J1831" i="184"/>
  <c r="H1831" i="184"/>
  <c r="G1831" i="184"/>
  <c r="D1831" i="184"/>
  <c r="J304" i="191"/>
  <c r="U67" i="92"/>
  <c r="I304" i="191" s="1"/>
  <c r="H1794" i="184"/>
  <c r="J267" i="191"/>
  <c r="U66" i="92"/>
  <c r="L1757" i="184"/>
  <c r="I1757" i="184"/>
  <c r="H1757" i="184"/>
  <c r="F1757" i="184"/>
  <c r="E1757" i="184"/>
  <c r="K230" i="191"/>
  <c r="U65" i="92"/>
  <c r="I230" i="191" s="1"/>
  <c r="L1720" i="184"/>
  <c r="K1720" i="184"/>
  <c r="I1720" i="184"/>
  <c r="H1720" i="184"/>
  <c r="G1720" i="184"/>
  <c r="E1720" i="184"/>
  <c r="D1720" i="184"/>
  <c r="K193" i="191"/>
  <c r="J193" i="191"/>
  <c r="L111" i="92"/>
  <c r="L1683" i="184"/>
  <c r="K1683" i="184"/>
  <c r="J1683" i="184"/>
  <c r="I1683" i="184"/>
  <c r="E1683" i="184"/>
  <c r="K156" i="191"/>
  <c r="J156" i="191"/>
  <c r="U63" i="92"/>
  <c r="I156" i="191" s="1"/>
  <c r="K1646" i="184"/>
  <c r="J1646" i="184"/>
  <c r="H1646" i="184"/>
  <c r="G1646" i="184"/>
  <c r="D39" i="91"/>
  <c r="D1646" i="184"/>
  <c r="K119" i="191"/>
  <c r="J119" i="191"/>
  <c r="U62" i="92"/>
  <c r="L1609" i="184"/>
  <c r="K1609" i="184"/>
  <c r="I1609" i="184"/>
  <c r="H1609" i="184"/>
  <c r="G1609" i="184"/>
  <c r="F1609" i="184"/>
  <c r="K82" i="191"/>
  <c r="J82" i="191"/>
  <c r="D82" i="191"/>
  <c r="L1572" i="184"/>
  <c r="I1572" i="184"/>
  <c r="H1572" i="184"/>
  <c r="U60" i="92"/>
  <c r="I45" i="191" s="1"/>
  <c r="L1535" i="184"/>
  <c r="K1535" i="184"/>
  <c r="J1535" i="184"/>
  <c r="G1535" i="184"/>
  <c r="J1422" i="184"/>
  <c r="H1422" i="184"/>
  <c r="D31" i="91"/>
  <c r="E1422" i="184"/>
  <c r="L1385" i="184"/>
  <c r="K1385" i="184"/>
  <c r="J1385" i="184"/>
  <c r="I1385" i="184"/>
  <c r="G1385" i="184"/>
  <c r="D69" i="91"/>
  <c r="J1348" i="184"/>
  <c r="I1348" i="184"/>
  <c r="H1348" i="184"/>
  <c r="G1348" i="184"/>
  <c r="D29" i="91"/>
  <c r="E1348" i="184"/>
  <c r="K1311" i="184"/>
  <c r="I1311" i="184"/>
  <c r="E1311" i="184"/>
  <c r="K1274" i="184"/>
  <c r="J1274" i="184"/>
  <c r="H1274" i="184"/>
  <c r="D27" i="91"/>
  <c r="L1237" i="184"/>
  <c r="K1237" i="184"/>
  <c r="J1237" i="184"/>
  <c r="G1237" i="184"/>
  <c r="E1237" i="184"/>
  <c r="D1237" i="184"/>
  <c r="K1198" i="184"/>
  <c r="J1198" i="184"/>
  <c r="I1198" i="184"/>
  <c r="E1198" i="184"/>
  <c r="D1198" i="184"/>
  <c r="J1084" i="184"/>
  <c r="I1084" i="184"/>
  <c r="H1084" i="184"/>
  <c r="G1084" i="184"/>
  <c r="F1084" i="184"/>
  <c r="E1084" i="184"/>
  <c r="K1047" i="184"/>
  <c r="J1047" i="184"/>
  <c r="I1047" i="184"/>
  <c r="H1047" i="184"/>
  <c r="G1047" i="184"/>
  <c r="E1047" i="184"/>
  <c r="L1010" i="184"/>
  <c r="G1010" i="184"/>
  <c r="F1010" i="184"/>
  <c r="D1010" i="184"/>
  <c r="L973" i="184"/>
  <c r="I973" i="184"/>
  <c r="H973" i="184"/>
  <c r="E973" i="184"/>
  <c r="D973" i="184"/>
  <c r="K936" i="184"/>
  <c r="J936" i="184"/>
  <c r="I936" i="184"/>
  <c r="F936" i="184"/>
  <c r="E936" i="184"/>
  <c r="L899" i="184"/>
  <c r="K899" i="184"/>
  <c r="H899" i="184"/>
  <c r="G899" i="184"/>
  <c r="D899" i="184"/>
  <c r="L862" i="184"/>
  <c r="J862" i="184"/>
  <c r="I862" i="184"/>
  <c r="G862" i="184"/>
  <c r="F862" i="184"/>
  <c r="E862" i="184"/>
  <c r="L109" i="92"/>
  <c r="L825" i="184"/>
  <c r="K825" i="184"/>
  <c r="J825" i="184"/>
  <c r="I825" i="184"/>
  <c r="H825" i="184"/>
  <c r="D825" i="184"/>
  <c r="L788" i="184"/>
  <c r="K788" i="184"/>
  <c r="J788" i="184"/>
  <c r="I788" i="184"/>
  <c r="H788" i="184"/>
  <c r="G788" i="184"/>
  <c r="F788" i="184"/>
  <c r="E788" i="184"/>
  <c r="D788" i="184"/>
  <c r="L108" i="92"/>
  <c r="L751" i="184"/>
  <c r="K751" i="184"/>
  <c r="J751" i="184"/>
  <c r="I751" i="184"/>
  <c r="G751" i="184"/>
  <c r="E751" i="184"/>
  <c r="L639" i="184"/>
  <c r="I639" i="184"/>
  <c r="H639" i="184"/>
  <c r="G639" i="184"/>
  <c r="F639" i="184"/>
  <c r="K602" i="184"/>
  <c r="J602" i="184"/>
  <c r="G602" i="184"/>
  <c r="F602" i="184"/>
  <c r="L565" i="184"/>
  <c r="J565" i="184"/>
  <c r="H565" i="184"/>
  <c r="F565" i="184"/>
  <c r="D565" i="184"/>
  <c r="L528" i="184"/>
  <c r="K528" i="184"/>
  <c r="J528" i="184"/>
  <c r="F528" i="184"/>
  <c r="E528" i="184"/>
  <c r="J491" i="184"/>
  <c r="H491" i="184"/>
  <c r="G491" i="184"/>
  <c r="F491" i="184"/>
  <c r="K454" i="184"/>
  <c r="J454" i="184"/>
  <c r="I454" i="184"/>
  <c r="H454" i="184"/>
  <c r="G454" i="184"/>
  <c r="E454" i="184"/>
  <c r="L417" i="184"/>
  <c r="J417" i="184"/>
  <c r="H417" i="184"/>
  <c r="G417" i="184"/>
  <c r="F417" i="184"/>
  <c r="L380" i="184"/>
  <c r="J380" i="184"/>
  <c r="G380" i="184"/>
  <c r="F380" i="184"/>
  <c r="D380" i="184"/>
  <c r="L343" i="184"/>
  <c r="K343" i="184"/>
  <c r="I343" i="184"/>
  <c r="H343" i="184"/>
  <c r="F343" i="184"/>
  <c r="E343" i="184"/>
  <c r="D343" i="184"/>
  <c r="L306" i="184"/>
  <c r="K306" i="184"/>
  <c r="J306" i="184"/>
  <c r="I306" i="184"/>
  <c r="H306" i="184"/>
  <c r="D306" i="184"/>
  <c r="K193" i="184"/>
  <c r="J193" i="184"/>
  <c r="H193" i="184"/>
  <c r="D14" i="91"/>
  <c r="E193" i="184"/>
  <c r="L156" i="184"/>
  <c r="K156" i="184"/>
  <c r="I156" i="184"/>
  <c r="G156" i="184"/>
  <c r="E156" i="184"/>
  <c r="L119" i="184"/>
  <c r="K119" i="184"/>
  <c r="J119" i="184"/>
  <c r="H119" i="184"/>
  <c r="G119" i="184"/>
  <c r="D119" i="184"/>
  <c r="I82" i="184"/>
  <c r="H82" i="184"/>
  <c r="G82" i="184"/>
  <c r="F82" i="184"/>
  <c r="K45" i="184"/>
  <c r="J45" i="184"/>
  <c r="G45" i="184"/>
  <c r="D10" i="91"/>
  <c r="E45" i="184"/>
  <c r="M100" i="87"/>
  <c r="L107" i="87" s="1"/>
  <c r="Q92" i="87"/>
  <c r="O92" i="87"/>
  <c r="H26" i="215"/>
  <c r="K92" i="87"/>
  <c r="K2482" i="184" s="1"/>
  <c r="J92" i="87"/>
  <c r="J2482" i="184" s="1"/>
  <c r="G92" i="87"/>
  <c r="G2482" i="184"/>
  <c r="F92" i="87"/>
  <c r="F2482" i="184"/>
  <c r="E92" i="87"/>
  <c r="E2482" i="184"/>
  <c r="D92" i="87"/>
  <c r="K91" i="87"/>
  <c r="K2445" i="184" s="1"/>
  <c r="J91" i="87"/>
  <c r="J2445" i="184" s="1"/>
  <c r="I91" i="87"/>
  <c r="I2445" i="184" s="1"/>
  <c r="H91" i="87"/>
  <c r="H2445" i="184" s="1"/>
  <c r="G91" i="87"/>
  <c r="G2445" i="184" s="1"/>
  <c r="F91" i="87"/>
  <c r="F2445" i="184" s="1"/>
  <c r="E91" i="87"/>
  <c r="E2445" i="184" s="1"/>
  <c r="D91" i="87"/>
  <c r="L90" i="87"/>
  <c r="L2408" i="184" s="1"/>
  <c r="K90" i="87"/>
  <c r="I90" i="87"/>
  <c r="I2408" i="184" s="1"/>
  <c r="H90" i="87"/>
  <c r="H2408" i="184" s="1"/>
  <c r="G90" i="87"/>
  <c r="G2408" i="184" s="1"/>
  <c r="F90" i="87"/>
  <c r="D90" i="87"/>
  <c r="D2408" i="184"/>
  <c r="L89" i="87"/>
  <c r="L2371" i="184" s="1"/>
  <c r="J89" i="87"/>
  <c r="J2371" i="184"/>
  <c r="I89" i="87"/>
  <c r="I2371" i="184"/>
  <c r="H89" i="87"/>
  <c r="H2371" i="184"/>
  <c r="G89" i="87"/>
  <c r="G2371" i="184" s="1"/>
  <c r="F89" i="87"/>
  <c r="F2371" i="184"/>
  <c r="E89" i="87"/>
  <c r="E2371" i="184"/>
  <c r="D89" i="87"/>
  <c r="L88" i="87"/>
  <c r="L2334" i="184" s="1"/>
  <c r="J88" i="87"/>
  <c r="J2334" i="184" s="1"/>
  <c r="I88" i="87"/>
  <c r="I2334" i="184" s="1"/>
  <c r="H88" i="87"/>
  <c r="H2334" i="184" s="1"/>
  <c r="G88" i="87"/>
  <c r="G2334" i="184" s="1"/>
  <c r="F88" i="87"/>
  <c r="E88" i="87"/>
  <c r="E2334" i="184" s="1"/>
  <c r="D88" i="87"/>
  <c r="D2334" i="184"/>
  <c r="L87" i="87"/>
  <c r="L2297" i="184" s="1"/>
  <c r="K87" i="87"/>
  <c r="J87" i="87"/>
  <c r="J2297" i="184" s="1"/>
  <c r="I87" i="87"/>
  <c r="I2297" i="184" s="1"/>
  <c r="H87" i="87"/>
  <c r="H2297" i="184" s="1"/>
  <c r="G87" i="87"/>
  <c r="G2297" i="184" s="1"/>
  <c r="F87" i="87"/>
  <c r="F2297" i="184" s="1"/>
  <c r="E87" i="87"/>
  <c r="E2297" i="184" s="1"/>
  <c r="D87" i="87"/>
  <c r="D2297" i="184" s="1"/>
  <c r="L82" i="87"/>
  <c r="K82" i="87"/>
  <c r="J82" i="87"/>
  <c r="I82" i="87"/>
  <c r="I2184" i="184"/>
  <c r="H82" i="87"/>
  <c r="G82" i="87"/>
  <c r="G2184" i="184" s="1"/>
  <c r="F82" i="87"/>
  <c r="E82" i="87"/>
  <c r="D82" i="87"/>
  <c r="L81" i="87"/>
  <c r="K81" i="87"/>
  <c r="K2147" i="184" s="1"/>
  <c r="J81" i="87"/>
  <c r="J2147" i="184" s="1"/>
  <c r="I81" i="87"/>
  <c r="H81" i="87"/>
  <c r="H2147" i="184" s="1"/>
  <c r="G81" i="87"/>
  <c r="G2147" i="184" s="1"/>
  <c r="F81" i="87"/>
  <c r="E81" i="87"/>
  <c r="R80" i="87"/>
  <c r="L116" i="87" s="1"/>
  <c r="R77" i="87"/>
  <c r="L115" i="87"/>
  <c r="K77" i="87"/>
  <c r="K2071" i="184" s="1"/>
  <c r="J77" i="87"/>
  <c r="J2071" i="184" s="1"/>
  <c r="I77" i="87"/>
  <c r="I2071" i="184"/>
  <c r="H77" i="87"/>
  <c r="H2071" i="184"/>
  <c r="G77" i="87"/>
  <c r="G2071" i="184" s="1"/>
  <c r="F77" i="87"/>
  <c r="D53" i="86"/>
  <c r="E77" i="87"/>
  <c r="D77" i="87"/>
  <c r="D2071" i="184" s="1"/>
  <c r="L76" i="87"/>
  <c r="L2034" i="184" s="1"/>
  <c r="K76" i="87"/>
  <c r="J76" i="87"/>
  <c r="J2034" i="184" s="1"/>
  <c r="I76" i="87"/>
  <c r="I2034" i="184"/>
  <c r="H76" i="87"/>
  <c r="H2034" i="184"/>
  <c r="G76" i="87"/>
  <c r="G2034" i="184"/>
  <c r="F76" i="87"/>
  <c r="E76" i="87"/>
  <c r="E2034" i="184" s="1"/>
  <c r="D76" i="87"/>
  <c r="D2034" i="184" s="1"/>
  <c r="L75" i="87"/>
  <c r="L1997" i="184" s="1"/>
  <c r="K75" i="87"/>
  <c r="J75" i="87"/>
  <c r="J1997" i="184" s="1"/>
  <c r="I75" i="87"/>
  <c r="H75" i="87"/>
  <c r="H1997" i="184" s="1"/>
  <c r="G75" i="87"/>
  <c r="F75" i="87"/>
  <c r="F1997" i="184"/>
  <c r="E75" i="87"/>
  <c r="E1997" i="184"/>
  <c r="D75" i="87"/>
  <c r="D1997" i="184"/>
  <c r="L74" i="87"/>
  <c r="L1960" i="184" s="1"/>
  <c r="K74" i="87"/>
  <c r="K1960" i="184"/>
  <c r="J74" i="87"/>
  <c r="I74" i="87"/>
  <c r="I1960" i="184" s="1"/>
  <c r="H74" i="87"/>
  <c r="H1960" i="184" s="1"/>
  <c r="G74" i="87"/>
  <c r="G1960" i="184" s="1"/>
  <c r="F74" i="87"/>
  <c r="F1960" i="184" s="1"/>
  <c r="E74" i="87"/>
  <c r="E1960" i="184" s="1"/>
  <c r="D74" i="87"/>
  <c r="D1960" i="184" s="1"/>
  <c r="K70" i="87"/>
  <c r="J70" i="87"/>
  <c r="J1884" i="184"/>
  <c r="I70" i="87"/>
  <c r="G70" i="87"/>
  <c r="G1884" i="184" s="1"/>
  <c r="F70" i="87"/>
  <c r="E70" i="87"/>
  <c r="E1884" i="184" s="1"/>
  <c r="D70" i="87"/>
  <c r="D1884" i="184" s="1"/>
  <c r="K69" i="87"/>
  <c r="K1847" i="184" s="1"/>
  <c r="J69" i="87"/>
  <c r="J1847" i="184"/>
  <c r="I69" i="87"/>
  <c r="G69" i="87"/>
  <c r="G1847" i="184" s="1"/>
  <c r="D69" i="87"/>
  <c r="D1847" i="184" s="1"/>
  <c r="AA68" i="87"/>
  <c r="L68" i="87"/>
  <c r="L1810" i="184"/>
  <c r="K68" i="87"/>
  <c r="K1810" i="184"/>
  <c r="J68" i="87"/>
  <c r="J1810" i="184"/>
  <c r="H68" i="87"/>
  <c r="H1810" i="184"/>
  <c r="G68" i="87"/>
  <c r="G1810" i="184"/>
  <c r="F68" i="87"/>
  <c r="D66" i="86"/>
  <c r="E68" i="87"/>
  <c r="E1810" i="184"/>
  <c r="D68" i="87"/>
  <c r="AA67" i="87"/>
  <c r="W67" i="87"/>
  <c r="V67" i="87"/>
  <c r="J283" i="191" s="1"/>
  <c r="P67" i="87"/>
  <c r="U67" i="87" s="1"/>
  <c r="I283" i="191" s="1"/>
  <c r="L67" i="87"/>
  <c r="L1773" i="184" s="1"/>
  <c r="J67" i="87"/>
  <c r="J1773" i="184" s="1"/>
  <c r="I67" i="87"/>
  <c r="I1773" i="184"/>
  <c r="H67" i="87"/>
  <c r="G67" i="87"/>
  <c r="F67" i="87"/>
  <c r="F1773" i="184" s="1"/>
  <c r="E67" i="87"/>
  <c r="D67" i="87"/>
  <c r="D1773" i="184" s="1"/>
  <c r="AA66" i="87"/>
  <c r="W66" i="87"/>
  <c r="V66" i="87"/>
  <c r="J246" i="191" s="1"/>
  <c r="P66" i="87"/>
  <c r="U66" i="87" s="1"/>
  <c r="I246" i="191" s="1"/>
  <c r="L66" i="87"/>
  <c r="L1736" i="184" s="1"/>
  <c r="K66" i="87"/>
  <c r="K1736" i="184" s="1"/>
  <c r="I66" i="87"/>
  <c r="I1736" i="184"/>
  <c r="H66" i="87"/>
  <c r="H1736" i="184"/>
  <c r="G66" i="87"/>
  <c r="F66" i="87"/>
  <c r="E66" i="87"/>
  <c r="E1736" i="184"/>
  <c r="AA65" i="87"/>
  <c r="W65" i="87"/>
  <c r="K209" i="191" s="1"/>
  <c r="V65" i="87"/>
  <c r="P65" i="87"/>
  <c r="L65" i="87"/>
  <c r="L1699" i="184" s="1"/>
  <c r="K65" i="87"/>
  <c r="K1699" i="184" s="1"/>
  <c r="I65" i="87"/>
  <c r="I1699" i="184" s="1"/>
  <c r="H65" i="87"/>
  <c r="H1699" i="184" s="1"/>
  <c r="G65" i="87"/>
  <c r="G1699" i="184" s="1"/>
  <c r="F65" i="87"/>
  <c r="E65" i="87"/>
  <c r="D65" i="87"/>
  <c r="D1699" i="184" s="1"/>
  <c r="AA64" i="87"/>
  <c r="W64" i="87"/>
  <c r="K172" i="191"/>
  <c r="V64" i="87"/>
  <c r="J172" i="191"/>
  <c r="Q64" i="87"/>
  <c r="L111" i="87" s="1"/>
  <c r="P64" i="87"/>
  <c r="D172" i="191"/>
  <c r="L64" i="87"/>
  <c r="L1662" i="184"/>
  <c r="K64" i="87"/>
  <c r="K1662" i="184"/>
  <c r="J64" i="87"/>
  <c r="J1662" i="184"/>
  <c r="I64" i="87"/>
  <c r="H64" i="87"/>
  <c r="H1662" i="184" s="1"/>
  <c r="E64" i="87"/>
  <c r="E1662" i="184" s="1"/>
  <c r="AA63" i="87"/>
  <c r="W63" i="87"/>
  <c r="V63" i="87"/>
  <c r="J135" i="191" s="1"/>
  <c r="P63" i="87"/>
  <c r="L63" i="87"/>
  <c r="L1625" i="184"/>
  <c r="K63" i="87"/>
  <c r="K1625" i="184" s="1"/>
  <c r="J63" i="87"/>
  <c r="J1625" i="184" s="1"/>
  <c r="I63" i="87"/>
  <c r="I1625" i="184" s="1"/>
  <c r="H63" i="87"/>
  <c r="H1625" i="184"/>
  <c r="G63" i="87"/>
  <c r="G1625" i="184" s="1"/>
  <c r="F63" i="87"/>
  <c r="E63" i="87"/>
  <c r="E1625" i="184" s="1"/>
  <c r="D63" i="87"/>
  <c r="D1625" i="184" s="1"/>
  <c r="AA62" i="87"/>
  <c r="W62" i="87"/>
  <c r="K98" i="191"/>
  <c r="V62" i="87"/>
  <c r="P62" i="87"/>
  <c r="U62" i="87" s="1"/>
  <c r="L62" i="87"/>
  <c r="L1588" i="184" s="1"/>
  <c r="K62" i="87"/>
  <c r="K1588" i="184" s="1"/>
  <c r="I62" i="87"/>
  <c r="H62" i="87"/>
  <c r="H1588" i="184" s="1"/>
  <c r="G62" i="87"/>
  <c r="F62" i="87"/>
  <c r="F1588" i="184" s="1"/>
  <c r="E62" i="87"/>
  <c r="E1588" i="184" s="1"/>
  <c r="D62" i="87"/>
  <c r="AA61" i="87"/>
  <c r="W61" i="87"/>
  <c r="K61" i="191" s="1"/>
  <c r="V61" i="87"/>
  <c r="J61" i="191" s="1"/>
  <c r="P61" i="87"/>
  <c r="U61" i="87" s="1"/>
  <c r="I61" i="191" s="1"/>
  <c r="L61" i="87"/>
  <c r="L1551" i="184"/>
  <c r="J61" i="87"/>
  <c r="J1551" i="184" s="1"/>
  <c r="I61" i="87"/>
  <c r="I1551" i="184"/>
  <c r="H61" i="87"/>
  <c r="F61" i="87"/>
  <c r="F1551" i="184" s="1"/>
  <c r="E61" i="87"/>
  <c r="E1551" i="184" s="1"/>
  <c r="D61" i="87"/>
  <c r="AA60" i="87"/>
  <c r="W60" i="87"/>
  <c r="V60" i="87"/>
  <c r="P60" i="87"/>
  <c r="U60" i="87" s="1"/>
  <c r="L60" i="87"/>
  <c r="K60" i="87"/>
  <c r="K1514" i="184" s="1"/>
  <c r="J60" i="87"/>
  <c r="J1514" i="184" s="1"/>
  <c r="I60" i="87"/>
  <c r="H60" i="87"/>
  <c r="H1514" i="184" s="1"/>
  <c r="G60" i="87"/>
  <c r="G1514" i="184" s="1"/>
  <c r="F60" i="87"/>
  <c r="D36" i="86" s="1"/>
  <c r="E60" i="87"/>
  <c r="D60" i="87"/>
  <c r="D1514" i="184"/>
  <c r="K1401" i="184"/>
  <c r="J1401" i="184"/>
  <c r="I1401" i="184"/>
  <c r="H1401" i="184"/>
  <c r="G1401" i="184"/>
  <c r="E1401" i="184"/>
  <c r="L1364" i="184"/>
  <c r="K1364" i="184"/>
  <c r="J1364" i="184"/>
  <c r="I1364" i="184"/>
  <c r="K1327" i="184"/>
  <c r="J1327" i="184"/>
  <c r="I1327" i="184"/>
  <c r="E1327" i="184"/>
  <c r="L1290" i="184"/>
  <c r="K1290" i="184"/>
  <c r="J1290" i="184"/>
  <c r="G1290" i="184"/>
  <c r="D1290" i="184"/>
  <c r="E1253" i="184"/>
  <c r="I1216" i="184"/>
  <c r="G1216" i="184"/>
  <c r="F1216" i="184"/>
  <c r="E1216" i="184"/>
  <c r="J1177" i="184"/>
  <c r="I1177" i="184"/>
  <c r="D1177" i="184"/>
  <c r="L1063" i="184"/>
  <c r="J1063" i="184"/>
  <c r="I1063" i="184"/>
  <c r="G1063" i="184"/>
  <c r="F1063" i="184"/>
  <c r="E1063" i="184"/>
  <c r="D1063" i="184"/>
  <c r="L1026" i="184"/>
  <c r="J1026" i="184"/>
  <c r="H1026" i="184"/>
  <c r="G1026" i="184"/>
  <c r="L989" i="184"/>
  <c r="H989" i="184"/>
  <c r="F989" i="184"/>
  <c r="D989" i="184"/>
  <c r="L952" i="184"/>
  <c r="J952" i="184"/>
  <c r="H952" i="184"/>
  <c r="G952" i="184"/>
  <c r="E952" i="184"/>
  <c r="D952" i="184"/>
  <c r="J915" i="184"/>
  <c r="I915" i="184"/>
  <c r="H915" i="184"/>
  <c r="E915" i="184"/>
  <c r="D915" i="184"/>
  <c r="L36" i="87"/>
  <c r="L878" i="184" s="1"/>
  <c r="K36" i="87"/>
  <c r="J36" i="87"/>
  <c r="J878" i="184" s="1"/>
  <c r="H36" i="87"/>
  <c r="G36" i="87"/>
  <c r="G878" i="184" s="1"/>
  <c r="F36" i="87"/>
  <c r="E36" i="87"/>
  <c r="E878" i="184"/>
  <c r="D36" i="87"/>
  <c r="D878" i="184"/>
  <c r="L35" i="87"/>
  <c r="K35" i="87"/>
  <c r="K841" i="184" s="1"/>
  <c r="J35" i="87"/>
  <c r="J841" i="184" s="1"/>
  <c r="I35" i="87"/>
  <c r="H35" i="87"/>
  <c r="H841" i="184"/>
  <c r="G35" i="87"/>
  <c r="F35" i="87"/>
  <c r="F841" i="184" s="1"/>
  <c r="E35" i="87"/>
  <c r="D35" i="87"/>
  <c r="D841" i="184" s="1"/>
  <c r="R34" i="87"/>
  <c r="L109" i="87"/>
  <c r="L34" i="87"/>
  <c r="L804" i="184" s="1"/>
  <c r="K34" i="87"/>
  <c r="J34" i="87"/>
  <c r="J804" i="184" s="1"/>
  <c r="I34" i="87"/>
  <c r="I804" i="184" s="1"/>
  <c r="H34" i="87"/>
  <c r="H804" i="184" s="1"/>
  <c r="G34" i="87"/>
  <c r="G804" i="184" s="1"/>
  <c r="D34" i="87"/>
  <c r="L33" i="87"/>
  <c r="K33" i="87"/>
  <c r="K767" i="184" s="1"/>
  <c r="J33" i="87"/>
  <c r="J767" i="184" s="1"/>
  <c r="I33" i="87"/>
  <c r="H33" i="87"/>
  <c r="H767" i="184"/>
  <c r="G33" i="87"/>
  <c r="G767" i="184"/>
  <c r="F33" i="87"/>
  <c r="F767" i="184" s="1"/>
  <c r="E33" i="87"/>
  <c r="E767" i="184" s="1"/>
  <c r="D33" i="87"/>
  <c r="Q32" i="87"/>
  <c r="L108" i="87" s="1"/>
  <c r="L32" i="87"/>
  <c r="K32" i="87"/>
  <c r="K730" i="184"/>
  <c r="J32" i="87"/>
  <c r="J730" i="184"/>
  <c r="I32" i="87"/>
  <c r="I730" i="184"/>
  <c r="H32" i="87"/>
  <c r="G32" i="87"/>
  <c r="F32" i="87"/>
  <c r="E32" i="87"/>
  <c r="E730" i="184" s="1"/>
  <c r="D32" i="87"/>
  <c r="D730" i="184" s="1"/>
  <c r="L618" i="184"/>
  <c r="I618" i="184"/>
  <c r="H618" i="184"/>
  <c r="G618" i="184"/>
  <c r="E618" i="184"/>
  <c r="K581" i="184"/>
  <c r="J581" i="184"/>
  <c r="G581" i="184"/>
  <c r="F581" i="184"/>
  <c r="E581" i="184"/>
  <c r="L544" i="184"/>
  <c r="I544" i="184"/>
  <c r="H544" i="184"/>
  <c r="G544" i="184"/>
  <c r="E544" i="184"/>
  <c r="D544" i="184"/>
  <c r="L507" i="184"/>
  <c r="J507" i="184"/>
  <c r="I507" i="184"/>
  <c r="H507" i="184"/>
  <c r="E507" i="184"/>
  <c r="L470" i="184"/>
  <c r="I470" i="184"/>
  <c r="H470" i="184"/>
  <c r="F470" i="184"/>
  <c r="E470" i="184"/>
  <c r="D470" i="184"/>
  <c r="L433" i="184"/>
  <c r="G433" i="184"/>
  <c r="L22" i="87"/>
  <c r="K22" i="87"/>
  <c r="K396" i="184" s="1"/>
  <c r="J22" i="87"/>
  <c r="J396" i="184" s="1"/>
  <c r="I22" i="87"/>
  <c r="I396" i="184" s="1"/>
  <c r="H22" i="87"/>
  <c r="G22" i="87"/>
  <c r="F22" i="87"/>
  <c r="F396" i="184" s="1"/>
  <c r="D22" i="87"/>
  <c r="D396" i="184" s="1"/>
  <c r="L21" i="87"/>
  <c r="L359" i="184" s="1"/>
  <c r="K21" i="87"/>
  <c r="K359" i="184" s="1"/>
  <c r="J21" i="87"/>
  <c r="J359" i="184" s="1"/>
  <c r="I21" i="87"/>
  <c r="I359" i="184" s="1"/>
  <c r="H21" i="87"/>
  <c r="H359" i="184" s="1"/>
  <c r="G21" i="87"/>
  <c r="F21" i="87"/>
  <c r="F359" i="184"/>
  <c r="E21" i="87"/>
  <c r="E359" i="184"/>
  <c r="D21" i="87"/>
  <c r="L20" i="87"/>
  <c r="L322" i="184" s="1"/>
  <c r="K20" i="87"/>
  <c r="K322" i="184" s="1"/>
  <c r="J20" i="87"/>
  <c r="J322" i="184" s="1"/>
  <c r="I20" i="87"/>
  <c r="I322" i="184" s="1"/>
  <c r="H20" i="87"/>
  <c r="H322" i="184" s="1"/>
  <c r="F20" i="87"/>
  <c r="F322" i="184" s="1"/>
  <c r="E20" i="87"/>
  <c r="D20" i="87"/>
  <c r="L19" i="87"/>
  <c r="L285" i="184" s="1"/>
  <c r="K19" i="87"/>
  <c r="K285" i="184" s="1"/>
  <c r="J19" i="87"/>
  <c r="J285" i="184" s="1"/>
  <c r="I19" i="87"/>
  <c r="H19" i="87"/>
  <c r="H285" i="184"/>
  <c r="G19" i="87"/>
  <c r="F19" i="87"/>
  <c r="D19" i="87"/>
  <c r="D285" i="184" s="1"/>
  <c r="I172" i="184"/>
  <c r="H172" i="184"/>
  <c r="D172" i="184"/>
  <c r="L135" i="184"/>
  <c r="E135" i="184"/>
  <c r="L98" i="184"/>
  <c r="K98" i="184"/>
  <c r="I98" i="184"/>
  <c r="H98" i="184"/>
  <c r="G98" i="184"/>
  <c r="E98" i="184"/>
  <c r="D98" i="184"/>
  <c r="L61" i="184"/>
  <c r="J61" i="184"/>
  <c r="I61" i="184"/>
  <c r="H61" i="184"/>
  <c r="D11" i="86"/>
  <c r="K24" i="184"/>
  <c r="J24" i="184"/>
  <c r="F24" i="184"/>
  <c r="E24" i="184"/>
  <c r="D24" i="184"/>
  <c r="M100" i="82"/>
  <c r="Q92" i="82"/>
  <c r="O92" i="82"/>
  <c r="S25" i="229" s="1"/>
  <c r="K92" i="82"/>
  <c r="K2488" i="184"/>
  <c r="J92" i="82"/>
  <c r="J2488" i="184"/>
  <c r="G92" i="82"/>
  <c r="F92" i="82"/>
  <c r="F2488" i="184" s="1"/>
  <c r="E92" i="82"/>
  <c r="E2488" i="184" s="1"/>
  <c r="D92" i="82"/>
  <c r="D2488" i="184" s="1"/>
  <c r="K91" i="82"/>
  <c r="K2451" i="184" s="1"/>
  <c r="J91" i="82"/>
  <c r="J2451" i="184" s="1"/>
  <c r="I91" i="82"/>
  <c r="I2451" i="184" s="1"/>
  <c r="H91" i="82"/>
  <c r="H2451" i="184" s="1"/>
  <c r="G91" i="82"/>
  <c r="G2451" i="184" s="1"/>
  <c r="F91" i="82"/>
  <c r="E91" i="82"/>
  <c r="E2451" i="184" s="1"/>
  <c r="D91" i="82"/>
  <c r="D2451" i="184"/>
  <c r="L90" i="82"/>
  <c r="L2414" i="184" s="1"/>
  <c r="K90" i="82"/>
  <c r="K2414" i="184" s="1"/>
  <c r="I90" i="82"/>
  <c r="I2414" i="184" s="1"/>
  <c r="H90" i="82"/>
  <c r="H2414" i="184"/>
  <c r="G90" i="82"/>
  <c r="G2414" i="184" s="1"/>
  <c r="F90" i="82"/>
  <c r="F2414" i="184" s="1"/>
  <c r="D90" i="82"/>
  <c r="D2414" i="184" s="1"/>
  <c r="L89" i="82"/>
  <c r="L2377" i="184"/>
  <c r="J89" i="82"/>
  <c r="J2377" i="184"/>
  <c r="I89" i="82"/>
  <c r="I2377" i="184" s="1"/>
  <c r="H89" i="82"/>
  <c r="H2377" i="184" s="1"/>
  <c r="G89" i="82"/>
  <c r="G2377" i="184"/>
  <c r="F89" i="82"/>
  <c r="E89" i="82"/>
  <c r="E2377" i="184" s="1"/>
  <c r="D89" i="82"/>
  <c r="D2377" i="184" s="1"/>
  <c r="L88" i="82"/>
  <c r="L2340" i="184" s="1"/>
  <c r="J88" i="82"/>
  <c r="J2340" i="184" s="1"/>
  <c r="I88" i="82"/>
  <c r="I2340" i="184" s="1"/>
  <c r="H88" i="82"/>
  <c r="H2340" i="184" s="1"/>
  <c r="G88" i="82"/>
  <c r="F88" i="82"/>
  <c r="F2340" i="184"/>
  <c r="E88" i="82"/>
  <c r="E2340" i="184" s="1"/>
  <c r="D88" i="82"/>
  <c r="D2340" i="184"/>
  <c r="L87" i="82"/>
  <c r="L2303" i="184"/>
  <c r="K87" i="82"/>
  <c r="K2303" i="184"/>
  <c r="J87" i="82"/>
  <c r="J2303" i="184" s="1"/>
  <c r="I87" i="82"/>
  <c r="I2303" i="184"/>
  <c r="H87" i="82"/>
  <c r="H2303" i="184"/>
  <c r="G87" i="82"/>
  <c r="G2303" i="184"/>
  <c r="F87" i="82"/>
  <c r="F2303" i="184" s="1"/>
  <c r="E87" i="82"/>
  <c r="E2303" i="184"/>
  <c r="D87" i="82"/>
  <c r="D2303" i="184"/>
  <c r="L82" i="82"/>
  <c r="L2190" i="184"/>
  <c r="K82" i="82"/>
  <c r="K2190" i="184" s="1"/>
  <c r="J82" i="82"/>
  <c r="J2190" i="184"/>
  <c r="I82" i="82"/>
  <c r="I2190" i="184"/>
  <c r="H82" i="82"/>
  <c r="G82" i="82"/>
  <c r="G2190" i="184" s="1"/>
  <c r="F82" i="82"/>
  <c r="F2190" i="184" s="1"/>
  <c r="E82" i="82"/>
  <c r="E2190" i="184" s="1"/>
  <c r="D82" i="82"/>
  <c r="D2190" i="184" s="1"/>
  <c r="L81" i="82"/>
  <c r="K81" i="82"/>
  <c r="K2153" i="184"/>
  <c r="J81" i="82"/>
  <c r="J2153" i="184"/>
  <c r="I81" i="82"/>
  <c r="I2153" i="184" s="1"/>
  <c r="H81" i="82"/>
  <c r="H2153" i="184"/>
  <c r="G81" i="82"/>
  <c r="G2153" i="184"/>
  <c r="F81" i="82"/>
  <c r="D57" i="81"/>
  <c r="E81" i="82"/>
  <c r="E2153" i="184" s="1"/>
  <c r="R80" i="82"/>
  <c r="L116" i="82"/>
  <c r="R77" i="82"/>
  <c r="L115" i="82"/>
  <c r="K77" i="82"/>
  <c r="K2077" i="184"/>
  <c r="J77" i="82"/>
  <c r="J2077" i="184" s="1"/>
  <c r="I77" i="82"/>
  <c r="I2077" i="184"/>
  <c r="H77" i="82"/>
  <c r="H2077" i="184"/>
  <c r="G77" i="82"/>
  <c r="F77" i="82"/>
  <c r="F2077" i="184" s="1"/>
  <c r="E77" i="82"/>
  <c r="E2077" i="184" s="1"/>
  <c r="D77" i="82"/>
  <c r="D2077" i="184" s="1"/>
  <c r="L76" i="82"/>
  <c r="L2040" i="184" s="1"/>
  <c r="K76" i="82"/>
  <c r="J76" i="82"/>
  <c r="J2040" i="184"/>
  <c r="I76" i="82"/>
  <c r="I2040" i="184"/>
  <c r="H76" i="82"/>
  <c r="H2040" i="184" s="1"/>
  <c r="G76" i="82"/>
  <c r="G2040" i="184"/>
  <c r="F76" i="82"/>
  <c r="D52" i="81"/>
  <c r="E76" i="82"/>
  <c r="E2040" i="184"/>
  <c r="D76" i="82"/>
  <c r="D2040" i="184" s="1"/>
  <c r="L75" i="82"/>
  <c r="L2003" i="184"/>
  <c r="K75" i="82"/>
  <c r="K2003" i="184"/>
  <c r="J75" i="82"/>
  <c r="J2003" i="184"/>
  <c r="I75" i="82"/>
  <c r="H75" i="82"/>
  <c r="H2003" i="184" s="1"/>
  <c r="G75" i="82"/>
  <c r="G2003" i="184" s="1"/>
  <c r="F75" i="82"/>
  <c r="F2003" i="184" s="1"/>
  <c r="E75" i="82"/>
  <c r="E2003" i="184" s="1"/>
  <c r="D75" i="82"/>
  <c r="D2003" i="184"/>
  <c r="L74" i="82"/>
  <c r="K74" i="82"/>
  <c r="K1966" i="184" s="1"/>
  <c r="J74" i="82"/>
  <c r="I74" i="82"/>
  <c r="I1966" i="184" s="1"/>
  <c r="H74" i="82"/>
  <c r="H1966" i="184" s="1"/>
  <c r="G74" i="82"/>
  <c r="G1966" i="184" s="1"/>
  <c r="F74" i="82"/>
  <c r="E74" i="82"/>
  <c r="E1966" i="184" s="1"/>
  <c r="D74" i="82"/>
  <c r="K70" i="82"/>
  <c r="K1890" i="184" s="1"/>
  <c r="J70" i="82"/>
  <c r="J1890" i="184" s="1"/>
  <c r="I70" i="82"/>
  <c r="G70" i="82"/>
  <c r="G1890" i="184" s="1"/>
  <c r="F70" i="82"/>
  <c r="D46" i="81" s="1"/>
  <c r="E70" i="82"/>
  <c r="E1890" i="184" s="1"/>
  <c r="D70" i="82"/>
  <c r="D1890" i="184"/>
  <c r="K69" i="82"/>
  <c r="K1853" i="184" s="1"/>
  <c r="J69" i="82"/>
  <c r="J1853" i="184"/>
  <c r="I69" i="82"/>
  <c r="I1853" i="184" s="1"/>
  <c r="G69" i="82"/>
  <c r="D69" i="82"/>
  <c r="D1853" i="184" s="1"/>
  <c r="AA68" i="82"/>
  <c r="L68" i="82"/>
  <c r="L1816" i="184" s="1"/>
  <c r="K68" i="82"/>
  <c r="K1816" i="184" s="1"/>
  <c r="J68" i="82"/>
  <c r="J1816" i="184" s="1"/>
  <c r="H68" i="82"/>
  <c r="H1816" i="184" s="1"/>
  <c r="G68" i="82"/>
  <c r="G1816" i="184"/>
  <c r="F68" i="82"/>
  <c r="F1816" i="184" s="1"/>
  <c r="E68" i="82"/>
  <c r="E1816" i="184"/>
  <c r="D68" i="82"/>
  <c r="AA67" i="82"/>
  <c r="W67" i="82"/>
  <c r="V67" i="82"/>
  <c r="J289" i="191"/>
  <c r="P67" i="82"/>
  <c r="U67" i="82" s="1"/>
  <c r="I289" i="191" s="1"/>
  <c r="L67" i="82"/>
  <c r="J67" i="82"/>
  <c r="J1779" i="184" s="1"/>
  <c r="I67" i="82"/>
  <c r="I1779" i="184" s="1"/>
  <c r="H67" i="82"/>
  <c r="H1779" i="184" s="1"/>
  <c r="G67" i="82"/>
  <c r="G1779" i="184" s="1"/>
  <c r="F67" i="82"/>
  <c r="D43" i="81" s="1"/>
  <c r="E67" i="82"/>
  <c r="E1779" i="184"/>
  <c r="D67" i="82"/>
  <c r="D1779" i="184" s="1"/>
  <c r="AA66" i="82"/>
  <c r="W66" i="82"/>
  <c r="K252" i="191"/>
  <c r="V66" i="82"/>
  <c r="J252" i="191"/>
  <c r="P66" i="82"/>
  <c r="U66" i="82"/>
  <c r="I252" i="191" s="1"/>
  <c r="L66" i="82"/>
  <c r="L1742" i="184" s="1"/>
  <c r="K66" i="82"/>
  <c r="I66" i="82"/>
  <c r="I1742" i="184"/>
  <c r="H66" i="82"/>
  <c r="H1742" i="184" s="1"/>
  <c r="G66" i="82"/>
  <c r="F66" i="82"/>
  <c r="F1742" i="184" s="1"/>
  <c r="E66" i="82"/>
  <c r="E1742" i="184" s="1"/>
  <c r="AA65" i="82"/>
  <c r="W65" i="82"/>
  <c r="K215" i="191"/>
  <c r="V65" i="82"/>
  <c r="P65" i="82"/>
  <c r="U65" i="82" s="1"/>
  <c r="I215" i="191" s="1"/>
  <c r="L65" i="82"/>
  <c r="L1705" i="184" s="1"/>
  <c r="K65" i="82"/>
  <c r="K1705" i="184" s="1"/>
  <c r="I65" i="82"/>
  <c r="I1705" i="184"/>
  <c r="H65" i="82"/>
  <c r="G65" i="82"/>
  <c r="G1705" i="184" s="1"/>
  <c r="F65" i="82"/>
  <c r="D41" i="81" s="1"/>
  <c r="E65" i="82"/>
  <c r="E1705" i="184" s="1"/>
  <c r="D65" i="82"/>
  <c r="AA64" i="82"/>
  <c r="W64" i="82"/>
  <c r="V64" i="82"/>
  <c r="Q64" i="82"/>
  <c r="L111" i="82"/>
  <c r="P64" i="82"/>
  <c r="U64" i="82" s="1"/>
  <c r="L64" i="82"/>
  <c r="K64" i="82"/>
  <c r="K1668" i="184"/>
  <c r="J64" i="82"/>
  <c r="J1668" i="184" s="1"/>
  <c r="I64" i="82"/>
  <c r="I1668" i="184"/>
  <c r="H64" i="82"/>
  <c r="H1668" i="184" s="1"/>
  <c r="E64" i="82"/>
  <c r="E1668" i="184"/>
  <c r="AA63" i="82"/>
  <c r="W63" i="82"/>
  <c r="K141" i="191"/>
  <c r="V63" i="82"/>
  <c r="J141" i="191" s="1"/>
  <c r="P63" i="82"/>
  <c r="U63" i="82" s="1"/>
  <c r="I141" i="191" s="1"/>
  <c r="L63" i="82"/>
  <c r="L1631" i="184"/>
  <c r="K63" i="82"/>
  <c r="K1631" i="184"/>
  <c r="J63" i="82"/>
  <c r="J1631" i="184"/>
  <c r="I63" i="82"/>
  <c r="I1631" i="184" s="1"/>
  <c r="H63" i="82"/>
  <c r="H1631" i="184"/>
  <c r="G63" i="82"/>
  <c r="F63" i="82"/>
  <c r="F1631" i="184" s="1"/>
  <c r="E63" i="82"/>
  <c r="E1631" i="184"/>
  <c r="D63" i="82"/>
  <c r="D1631" i="184" s="1"/>
  <c r="AA62" i="82"/>
  <c r="W62" i="82"/>
  <c r="K104" i="191"/>
  <c r="V62" i="82"/>
  <c r="J104" i="191"/>
  <c r="P62" i="82"/>
  <c r="L62" i="82"/>
  <c r="L1594" i="184" s="1"/>
  <c r="K62" i="82"/>
  <c r="K1594" i="184" s="1"/>
  <c r="I62" i="82"/>
  <c r="I1594" i="184" s="1"/>
  <c r="H62" i="82"/>
  <c r="H1594" i="184" s="1"/>
  <c r="G62" i="82"/>
  <c r="F62" i="82"/>
  <c r="F1594" i="184" s="1"/>
  <c r="E62" i="82"/>
  <c r="E1594" i="184"/>
  <c r="D62" i="82"/>
  <c r="D1594" i="184" s="1"/>
  <c r="AA61" i="82"/>
  <c r="W61" i="82"/>
  <c r="V61" i="82"/>
  <c r="P61" i="82"/>
  <c r="U61" i="82" s="1"/>
  <c r="L61" i="82"/>
  <c r="L1557" i="184" s="1"/>
  <c r="J61" i="82"/>
  <c r="J1557" i="184" s="1"/>
  <c r="I61" i="82"/>
  <c r="I1557" i="184" s="1"/>
  <c r="H61" i="82"/>
  <c r="H1557" i="184" s="1"/>
  <c r="F61" i="82"/>
  <c r="D37" i="81" s="1"/>
  <c r="E61" i="82"/>
  <c r="D61" i="82"/>
  <c r="D1557" i="184"/>
  <c r="AA60" i="82"/>
  <c r="W60" i="82"/>
  <c r="K30" i="191"/>
  <c r="V60" i="82"/>
  <c r="J30" i="191" s="1"/>
  <c r="P60" i="82"/>
  <c r="L60" i="82"/>
  <c r="L1520" i="184"/>
  <c r="K60" i="82"/>
  <c r="K1520" i="184" s="1"/>
  <c r="J60" i="82"/>
  <c r="J1520" i="184"/>
  <c r="I60" i="82"/>
  <c r="I1520" i="184"/>
  <c r="H60" i="82"/>
  <c r="H1520" i="184"/>
  <c r="G60" i="82"/>
  <c r="G1520" i="184" s="1"/>
  <c r="F60" i="82"/>
  <c r="F1520" i="184"/>
  <c r="E60" i="82"/>
  <c r="D60" i="82"/>
  <c r="D1520" i="184" s="1"/>
  <c r="L1407" i="184"/>
  <c r="K1407" i="184"/>
  <c r="I1407" i="184"/>
  <c r="H1407" i="184"/>
  <c r="G1407" i="184"/>
  <c r="D1407" i="184"/>
  <c r="I1370" i="184"/>
  <c r="H1370" i="184"/>
  <c r="D69" i="81"/>
  <c r="E1370" i="184"/>
  <c r="D1370" i="184"/>
  <c r="L1333" i="184"/>
  <c r="K1333" i="184"/>
  <c r="J1333" i="184"/>
  <c r="H1333" i="184"/>
  <c r="G1333" i="184"/>
  <c r="F1333" i="184"/>
  <c r="E1333" i="184"/>
  <c r="D1333" i="184"/>
  <c r="L1296" i="184"/>
  <c r="K1296" i="184"/>
  <c r="I1296" i="184"/>
  <c r="H1296" i="184"/>
  <c r="G1296" i="184"/>
  <c r="F1296" i="184"/>
  <c r="E1296" i="184"/>
  <c r="D1296" i="184"/>
  <c r="K1259" i="184"/>
  <c r="J1259" i="184"/>
  <c r="E1259" i="184"/>
  <c r="L1222" i="184"/>
  <c r="K1222" i="184"/>
  <c r="J1222" i="184"/>
  <c r="I1222" i="184"/>
  <c r="H1222" i="184"/>
  <c r="G1222" i="184"/>
  <c r="F1222" i="184"/>
  <c r="E1222" i="184"/>
  <c r="D1222" i="184"/>
  <c r="L1183" i="184"/>
  <c r="J1183" i="184"/>
  <c r="I1183" i="184"/>
  <c r="F1183" i="184"/>
  <c r="D1183" i="184"/>
  <c r="L1069" i="184"/>
  <c r="I1069" i="184"/>
  <c r="H1069" i="184"/>
  <c r="G1069" i="184"/>
  <c r="F1069" i="184"/>
  <c r="E1069" i="184"/>
  <c r="L1032" i="184"/>
  <c r="K1032" i="184"/>
  <c r="J1032" i="184"/>
  <c r="I1032" i="184"/>
  <c r="H1032" i="184"/>
  <c r="D1032" i="184"/>
  <c r="L995" i="184"/>
  <c r="J995" i="184"/>
  <c r="I995" i="184"/>
  <c r="G995" i="184"/>
  <c r="F995" i="184"/>
  <c r="E995" i="184"/>
  <c r="D995" i="184"/>
  <c r="L958" i="184"/>
  <c r="K958" i="184"/>
  <c r="J958" i="184"/>
  <c r="I958" i="184"/>
  <c r="H958" i="184"/>
  <c r="G958" i="184"/>
  <c r="F958" i="184"/>
  <c r="D958" i="184"/>
  <c r="K921" i="184"/>
  <c r="J921" i="184"/>
  <c r="I921" i="184"/>
  <c r="H921" i="184"/>
  <c r="G921" i="184"/>
  <c r="E921" i="184"/>
  <c r="D921" i="184"/>
  <c r="K884" i="184"/>
  <c r="J884" i="184"/>
  <c r="G884" i="184"/>
  <c r="F884" i="184"/>
  <c r="E884" i="184"/>
  <c r="D884" i="184"/>
  <c r="L35" i="82"/>
  <c r="L847" i="184" s="1"/>
  <c r="K35" i="82"/>
  <c r="K847" i="184" s="1"/>
  <c r="J35" i="82"/>
  <c r="I35" i="82"/>
  <c r="I847" i="184" s="1"/>
  <c r="H35" i="82"/>
  <c r="G35" i="82"/>
  <c r="G847" i="184" s="1"/>
  <c r="F35" i="82"/>
  <c r="F847" i="184" s="1"/>
  <c r="E35" i="82"/>
  <c r="E847" i="184" s="1"/>
  <c r="D35" i="82"/>
  <c r="D847" i="184" s="1"/>
  <c r="R34" i="82"/>
  <c r="L109" i="82" s="1"/>
  <c r="L34" i="82"/>
  <c r="L810" i="184" s="1"/>
  <c r="K34" i="82"/>
  <c r="K810" i="184" s="1"/>
  <c r="J34" i="82"/>
  <c r="J810" i="184"/>
  <c r="I34" i="82"/>
  <c r="I810" i="184" s="1"/>
  <c r="H34" i="82"/>
  <c r="H810" i="184"/>
  <c r="G34" i="82"/>
  <c r="D34" i="82"/>
  <c r="D810" i="184" s="1"/>
  <c r="L33" i="82"/>
  <c r="L773" i="184"/>
  <c r="K33" i="82"/>
  <c r="K773" i="184" s="1"/>
  <c r="J33" i="82"/>
  <c r="J773" i="184" s="1"/>
  <c r="I33" i="82"/>
  <c r="I773" i="184" s="1"/>
  <c r="H33" i="82"/>
  <c r="G33" i="82"/>
  <c r="G773" i="184" s="1"/>
  <c r="F33" i="82"/>
  <c r="F773" i="184"/>
  <c r="E33" i="82"/>
  <c r="E773" i="184" s="1"/>
  <c r="D33" i="82"/>
  <c r="Q32" i="82"/>
  <c r="L108" i="82" s="1"/>
  <c r="L32" i="82"/>
  <c r="L736" i="184"/>
  <c r="K32" i="82"/>
  <c r="J32" i="82"/>
  <c r="I32" i="82"/>
  <c r="I736" i="184" s="1"/>
  <c r="H32" i="82"/>
  <c r="H736" i="184" s="1"/>
  <c r="G32" i="82"/>
  <c r="G736" i="184"/>
  <c r="F32" i="82"/>
  <c r="F736" i="184"/>
  <c r="E32" i="82"/>
  <c r="E736" i="184" s="1"/>
  <c r="D32" i="82"/>
  <c r="D736" i="184" s="1"/>
  <c r="K624" i="184"/>
  <c r="J624" i="184"/>
  <c r="I624" i="184"/>
  <c r="H624" i="184"/>
  <c r="G624" i="184"/>
  <c r="F624" i="184"/>
  <c r="E624" i="184"/>
  <c r="K587" i="184"/>
  <c r="J587" i="184"/>
  <c r="H587" i="184"/>
  <c r="F587" i="184"/>
  <c r="E587" i="184"/>
  <c r="L550" i="184"/>
  <c r="J550" i="184"/>
  <c r="I550" i="184"/>
  <c r="H550" i="184"/>
  <c r="G550" i="184"/>
  <c r="F550" i="184"/>
  <c r="E550" i="184"/>
  <c r="L513" i="184"/>
  <c r="K513" i="184"/>
  <c r="J513" i="184"/>
  <c r="H513" i="184"/>
  <c r="F513" i="184"/>
  <c r="L476" i="184"/>
  <c r="K476" i="184"/>
  <c r="I476" i="184"/>
  <c r="G476" i="184"/>
  <c r="F476" i="184"/>
  <c r="D476" i="184"/>
  <c r="L439" i="184"/>
  <c r="K439" i="184"/>
  <c r="J439" i="184"/>
  <c r="H439" i="184"/>
  <c r="G439" i="184"/>
  <c r="E439" i="184"/>
  <c r="L22" i="82"/>
  <c r="L402" i="184" s="1"/>
  <c r="K22" i="82"/>
  <c r="J22" i="82"/>
  <c r="J402" i="184" s="1"/>
  <c r="I22" i="82"/>
  <c r="I402" i="184"/>
  <c r="H22" i="82"/>
  <c r="H402" i="184" s="1"/>
  <c r="G22" i="82"/>
  <c r="G402" i="184" s="1"/>
  <c r="F22" i="82"/>
  <c r="F402" i="184" s="1"/>
  <c r="D22" i="82"/>
  <c r="D402" i="184"/>
  <c r="L21" i="82"/>
  <c r="K21" i="82"/>
  <c r="K365" i="184"/>
  <c r="J21" i="82"/>
  <c r="J365" i="184"/>
  <c r="I21" i="82"/>
  <c r="I365" i="184"/>
  <c r="H21" i="82"/>
  <c r="H365" i="184" s="1"/>
  <c r="G21" i="82"/>
  <c r="G365" i="184" s="1"/>
  <c r="F21" i="82"/>
  <c r="E21" i="82"/>
  <c r="E365" i="184" s="1"/>
  <c r="D21" i="82"/>
  <c r="D365" i="184" s="1"/>
  <c r="L20" i="82"/>
  <c r="L328" i="184" s="1"/>
  <c r="K20" i="82"/>
  <c r="K328" i="184"/>
  <c r="J20" i="82"/>
  <c r="J328" i="184" s="1"/>
  <c r="I20" i="82"/>
  <c r="I328" i="184"/>
  <c r="H20" i="82"/>
  <c r="H328" i="184" s="1"/>
  <c r="F20" i="82"/>
  <c r="F328" i="184" s="1"/>
  <c r="E20" i="82"/>
  <c r="E328" i="184" s="1"/>
  <c r="D20" i="82"/>
  <c r="L19" i="82"/>
  <c r="L291" i="184" s="1"/>
  <c r="K19" i="82"/>
  <c r="K291" i="184"/>
  <c r="J19" i="82"/>
  <c r="J291" i="184" s="1"/>
  <c r="I19" i="82"/>
  <c r="I291" i="184"/>
  <c r="H19" i="82"/>
  <c r="H291" i="184" s="1"/>
  <c r="G19" i="82"/>
  <c r="F19" i="82"/>
  <c r="F291" i="184" s="1"/>
  <c r="D19" i="82"/>
  <c r="D291" i="184" s="1"/>
  <c r="K178" i="184"/>
  <c r="J178" i="184"/>
  <c r="I178" i="184"/>
  <c r="H178" i="184"/>
  <c r="G178" i="184"/>
  <c r="E178" i="184"/>
  <c r="D178" i="184"/>
  <c r="L141" i="184"/>
  <c r="K141" i="184"/>
  <c r="J141" i="184"/>
  <c r="I141" i="184"/>
  <c r="E141" i="184"/>
  <c r="L104" i="184"/>
  <c r="J104" i="184"/>
  <c r="I104" i="184"/>
  <c r="H104" i="184"/>
  <c r="G104" i="184"/>
  <c r="E104" i="184"/>
  <c r="D104" i="184"/>
  <c r="L67" i="184"/>
  <c r="K67" i="184"/>
  <c r="J67" i="184"/>
  <c r="I67" i="184"/>
  <c r="G67" i="184"/>
  <c r="E67" i="184"/>
  <c r="L30" i="184"/>
  <c r="G30" i="184"/>
  <c r="E30" i="184"/>
  <c r="M100" i="78"/>
  <c r="M2565" i="184"/>
  <c r="Q92" i="78"/>
  <c r="O92" i="78"/>
  <c r="K92" i="78"/>
  <c r="K2485" i="184" s="1"/>
  <c r="J92" i="78"/>
  <c r="J2485" i="184" s="1"/>
  <c r="G92" i="78"/>
  <c r="G2485" i="184"/>
  <c r="F92" i="78"/>
  <c r="F2485" i="184" s="1"/>
  <c r="E92" i="78"/>
  <c r="D92" i="78"/>
  <c r="D2485" i="184" s="1"/>
  <c r="K91" i="78"/>
  <c r="K2448" i="184"/>
  <c r="J91" i="78"/>
  <c r="J2448" i="184"/>
  <c r="I91" i="78"/>
  <c r="I2448" i="184" s="1"/>
  <c r="H91" i="78"/>
  <c r="H2448" i="184" s="1"/>
  <c r="G91" i="78"/>
  <c r="G2448" i="184"/>
  <c r="F91" i="78"/>
  <c r="E91" i="78"/>
  <c r="D91" i="78"/>
  <c r="D2448" i="184" s="1"/>
  <c r="L90" i="78"/>
  <c r="L2411" i="184"/>
  <c r="K90" i="78"/>
  <c r="K2411" i="184" s="1"/>
  <c r="I90" i="78"/>
  <c r="H90" i="78"/>
  <c r="H2411" i="184" s="1"/>
  <c r="G90" i="78"/>
  <c r="G2411" i="184"/>
  <c r="F90" i="78"/>
  <c r="F2411" i="184" s="1"/>
  <c r="D90" i="78"/>
  <c r="L89" i="78"/>
  <c r="L2374" i="184"/>
  <c r="J89" i="78"/>
  <c r="J2374" i="184" s="1"/>
  <c r="I89" i="78"/>
  <c r="I2374" i="184"/>
  <c r="H89" i="78"/>
  <c r="G89" i="78"/>
  <c r="G2374" i="184" s="1"/>
  <c r="F89" i="78"/>
  <c r="F2374" i="184"/>
  <c r="E89" i="78"/>
  <c r="D89" i="78"/>
  <c r="L88" i="78"/>
  <c r="L2337" i="184"/>
  <c r="J88" i="78"/>
  <c r="J2337" i="184" s="1"/>
  <c r="I88" i="78"/>
  <c r="I2337" i="184"/>
  <c r="H88" i="78"/>
  <c r="G88" i="78"/>
  <c r="F88" i="78"/>
  <c r="E88" i="78"/>
  <c r="E2337" i="184" s="1"/>
  <c r="D88" i="78"/>
  <c r="D2337" i="184" s="1"/>
  <c r="L87" i="78"/>
  <c r="L2300" i="184" s="1"/>
  <c r="K87" i="78"/>
  <c r="K2300" i="184" s="1"/>
  <c r="J87" i="78"/>
  <c r="I87" i="78"/>
  <c r="I2300" i="184"/>
  <c r="H87" i="78"/>
  <c r="H2300" i="184" s="1"/>
  <c r="G87" i="78"/>
  <c r="F87" i="78"/>
  <c r="E87" i="78"/>
  <c r="E2300" i="184" s="1"/>
  <c r="D87" i="78"/>
  <c r="D2300" i="184"/>
  <c r="L82" i="78"/>
  <c r="L2187" i="184" s="1"/>
  <c r="K82" i="78"/>
  <c r="J82" i="78"/>
  <c r="J2187" i="184" s="1"/>
  <c r="I82" i="78"/>
  <c r="H82" i="78"/>
  <c r="H2187" i="184"/>
  <c r="G82" i="78"/>
  <c r="G2187" i="184" s="1"/>
  <c r="F82" i="78"/>
  <c r="F2187" i="184"/>
  <c r="E82" i="78"/>
  <c r="E2187" i="184"/>
  <c r="D82" i="78"/>
  <c r="L81" i="78"/>
  <c r="L2150" i="184" s="1"/>
  <c r="K81" i="78"/>
  <c r="J81" i="78"/>
  <c r="J2150" i="184"/>
  <c r="I81" i="78"/>
  <c r="H81" i="78"/>
  <c r="H2150" i="184" s="1"/>
  <c r="G81" i="78"/>
  <c r="G2150" i="184"/>
  <c r="F81" i="78"/>
  <c r="E81" i="78"/>
  <c r="R80" i="78"/>
  <c r="L116" i="78"/>
  <c r="R77" i="78"/>
  <c r="L115" i="78" s="1"/>
  <c r="K77" i="78"/>
  <c r="K2074" i="184" s="1"/>
  <c r="J77" i="78"/>
  <c r="J2074" i="184" s="1"/>
  <c r="I77" i="78"/>
  <c r="I2074" i="184" s="1"/>
  <c r="H77" i="78"/>
  <c r="G77" i="78"/>
  <c r="G2074" i="184" s="1"/>
  <c r="F77" i="78"/>
  <c r="E77" i="78"/>
  <c r="E2074" i="184" s="1"/>
  <c r="D77" i="78"/>
  <c r="D2074" i="184" s="1"/>
  <c r="L76" i="78"/>
  <c r="K76" i="78"/>
  <c r="K2037" i="184"/>
  <c r="J76" i="78"/>
  <c r="I76" i="78"/>
  <c r="I2037" i="184" s="1"/>
  <c r="H76" i="78"/>
  <c r="H2037" i="184"/>
  <c r="G76" i="78"/>
  <c r="F76" i="78"/>
  <c r="E76" i="78"/>
  <c r="E2037" i="184"/>
  <c r="D76" i="78"/>
  <c r="L75" i="78"/>
  <c r="K75" i="78"/>
  <c r="K2000" i="184"/>
  <c r="J75" i="78"/>
  <c r="I75" i="78"/>
  <c r="I2000" i="184" s="1"/>
  <c r="H75" i="78"/>
  <c r="G75" i="78"/>
  <c r="G2000" i="184" s="1"/>
  <c r="F75" i="78"/>
  <c r="E75" i="78"/>
  <c r="E2000" i="184"/>
  <c r="D75" i="78"/>
  <c r="D2000" i="184" s="1"/>
  <c r="L74" i="78"/>
  <c r="K74" i="78"/>
  <c r="J74" i="78"/>
  <c r="I74" i="78"/>
  <c r="I1963" i="184" s="1"/>
  <c r="H74" i="78"/>
  <c r="G74" i="78"/>
  <c r="F74" i="78"/>
  <c r="E74" i="78"/>
  <c r="D74" i="78"/>
  <c r="D1963" i="184" s="1"/>
  <c r="K70" i="78"/>
  <c r="K1887" i="184"/>
  <c r="J70" i="78"/>
  <c r="I70" i="78"/>
  <c r="G70" i="78"/>
  <c r="G1887" i="184" s="1"/>
  <c r="F70" i="78"/>
  <c r="E70" i="78"/>
  <c r="E1887" i="184" s="1"/>
  <c r="D70" i="78"/>
  <c r="D1887" i="184" s="1"/>
  <c r="K69" i="78"/>
  <c r="J69" i="78"/>
  <c r="J1850" i="184" s="1"/>
  <c r="I69" i="78"/>
  <c r="I1850" i="184" s="1"/>
  <c r="G69" i="78"/>
  <c r="G1850" i="184" s="1"/>
  <c r="D69" i="78"/>
  <c r="AA68" i="78"/>
  <c r="L68" i="78"/>
  <c r="K68" i="78"/>
  <c r="K1813" i="184" s="1"/>
  <c r="J68" i="78"/>
  <c r="J1813" i="184"/>
  <c r="H68" i="78"/>
  <c r="G68" i="78"/>
  <c r="F68" i="78"/>
  <c r="E68" i="78"/>
  <c r="E1813" i="184"/>
  <c r="D68" i="78"/>
  <c r="D1813" i="184" s="1"/>
  <c r="AA67" i="78"/>
  <c r="W67" i="78"/>
  <c r="K286" i="191" s="1"/>
  <c r="V67" i="78"/>
  <c r="J286" i="191" s="1"/>
  <c r="P67" i="78"/>
  <c r="U67" i="78"/>
  <c r="I286" i="191" s="1"/>
  <c r="L67" i="78"/>
  <c r="L1776" i="184" s="1"/>
  <c r="J67" i="78"/>
  <c r="I67" i="78"/>
  <c r="I1776" i="184" s="1"/>
  <c r="H67" i="78"/>
  <c r="H1776" i="184"/>
  <c r="G67" i="78"/>
  <c r="F67" i="78"/>
  <c r="F1776" i="184" s="1"/>
  <c r="E67" i="78"/>
  <c r="E1776" i="184" s="1"/>
  <c r="D67" i="78"/>
  <c r="AA66" i="78"/>
  <c r="W66" i="78"/>
  <c r="K249" i="191" s="1"/>
  <c r="V66" i="78"/>
  <c r="J249" i="191"/>
  <c r="P66" i="78"/>
  <c r="L66" i="78"/>
  <c r="L1739" i="184"/>
  <c r="K66" i="78"/>
  <c r="I66" i="78"/>
  <c r="I1739" i="184" s="1"/>
  <c r="H66" i="78"/>
  <c r="G66" i="78"/>
  <c r="G1739" i="184"/>
  <c r="F66" i="78"/>
  <c r="E66" i="78"/>
  <c r="AA65" i="78"/>
  <c r="W65" i="78"/>
  <c r="V65" i="78"/>
  <c r="P65" i="78"/>
  <c r="U65" i="78" s="1"/>
  <c r="I212" i="191" s="1"/>
  <c r="L65" i="78"/>
  <c r="L1702" i="184"/>
  <c r="K65" i="78"/>
  <c r="K1702" i="184" s="1"/>
  <c r="I65" i="78"/>
  <c r="I1702" i="184" s="1"/>
  <c r="H65" i="78"/>
  <c r="G65" i="78"/>
  <c r="F65" i="78"/>
  <c r="E65" i="78"/>
  <c r="E1702" i="184"/>
  <c r="D65" i="78"/>
  <c r="D1702" i="184" s="1"/>
  <c r="AA64" i="78"/>
  <c r="W64" i="78"/>
  <c r="V64" i="78"/>
  <c r="J175" i="191" s="1"/>
  <c r="Q64" i="78"/>
  <c r="E175" i="191" s="1"/>
  <c r="P64" i="78"/>
  <c r="U64" i="78" s="1"/>
  <c r="I175" i="191" s="1"/>
  <c r="L64" i="78"/>
  <c r="K64" i="78"/>
  <c r="K1665" i="184" s="1"/>
  <c r="J64" i="78"/>
  <c r="J1665" i="184"/>
  <c r="I64" i="78"/>
  <c r="H64" i="78"/>
  <c r="H1665" i="184" s="1"/>
  <c r="E64" i="78"/>
  <c r="E1665" i="184"/>
  <c r="AA63" i="78"/>
  <c r="W63" i="78"/>
  <c r="V63" i="78"/>
  <c r="P63" i="78"/>
  <c r="L63" i="78"/>
  <c r="L1628" i="184" s="1"/>
  <c r="K63" i="78"/>
  <c r="K1628" i="184"/>
  <c r="J63" i="78"/>
  <c r="J1628" i="184" s="1"/>
  <c r="I63" i="78"/>
  <c r="H63" i="78"/>
  <c r="H1628" i="184" s="1"/>
  <c r="G63" i="78"/>
  <c r="F63" i="78"/>
  <c r="E63" i="78"/>
  <c r="E1628" i="184" s="1"/>
  <c r="D63" i="78"/>
  <c r="AA62" i="78"/>
  <c r="W62" i="78"/>
  <c r="K101" i="191" s="1"/>
  <c r="V62" i="78"/>
  <c r="J101" i="191"/>
  <c r="P62" i="78"/>
  <c r="U62" i="78" s="1"/>
  <c r="I101" i="191" s="1"/>
  <c r="L62" i="78"/>
  <c r="L1591" i="184"/>
  <c r="K62" i="78"/>
  <c r="K1591" i="184" s="1"/>
  <c r="I62" i="78"/>
  <c r="H62" i="78"/>
  <c r="G62" i="78"/>
  <c r="G1591" i="184"/>
  <c r="F62" i="78"/>
  <c r="E62" i="78"/>
  <c r="E1591" i="184" s="1"/>
  <c r="D62" i="78"/>
  <c r="D1591" i="184" s="1"/>
  <c r="AA61" i="78"/>
  <c r="W61" i="78"/>
  <c r="K64" i="191"/>
  <c r="V61" i="78"/>
  <c r="P61" i="78"/>
  <c r="D64" i="191" s="1"/>
  <c r="L61" i="78"/>
  <c r="L1554" i="184"/>
  <c r="J61" i="78"/>
  <c r="J1554" i="184" s="1"/>
  <c r="I61" i="78"/>
  <c r="I1554" i="184" s="1"/>
  <c r="H61" i="78"/>
  <c r="F61" i="78"/>
  <c r="F1554" i="184" s="1"/>
  <c r="E61" i="78"/>
  <c r="D61" i="78"/>
  <c r="D1554" i="184" s="1"/>
  <c r="AA60" i="78"/>
  <c r="W60" i="78"/>
  <c r="K27" i="191"/>
  <c r="V60" i="78"/>
  <c r="J27" i="191"/>
  <c r="P60" i="78"/>
  <c r="L60" i="78"/>
  <c r="L1517" i="184" s="1"/>
  <c r="K60" i="78"/>
  <c r="J60" i="78"/>
  <c r="J1517" i="184" s="1"/>
  <c r="I60" i="78"/>
  <c r="H60" i="78"/>
  <c r="G60" i="78"/>
  <c r="F60" i="78"/>
  <c r="D36" i="76" s="1"/>
  <c r="E60" i="78"/>
  <c r="D60" i="78"/>
  <c r="D1517" i="184" s="1"/>
  <c r="L1404" i="184"/>
  <c r="K1404" i="184"/>
  <c r="I1404" i="184"/>
  <c r="E1404" i="184"/>
  <c r="D1404" i="184"/>
  <c r="K1367" i="184"/>
  <c r="I1367" i="184"/>
  <c r="H1367" i="184"/>
  <c r="G1367" i="184"/>
  <c r="F1367" i="184"/>
  <c r="L1330" i="184"/>
  <c r="K1330" i="184"/>
  <c r="J1330" i="184"/>
  <c r="I1330" i="184"/>
  <c r="E1330" i="184"/>
  <c r="D1330" i="184"/>
  <c r="I1293" i="184"/>
  <c r="G1293" i="184"/>
  <c r="E1293" i="184"/>
  <c r="D1293" i="184"/>
  <c r="L1256" i="184"/>
  <c r="J1256" i="184"/>
  <c r="F1256" i="184"/>
  <c r="H1219" i="184"/>
  <c r="F1219" i="184"/>
  <c r="E1219" i="184"/>
  <c r="D1219" i="184"/>
  <c r="D23" i="76"/>
  <c r="E1180" i="184"/>
  <c r="D1180" i="184"/>
  <c r="K1066" i="184"/>
  <c r="J1066" i="184"/>
  <c r="I1066" i="184"/>
  <c r="H1066" i="184"/>
  <c r="D1066" i="184"/>
  <c r="L1029" i="184"/>
  <c r="K1029" i="184"/>
  <c r="J1029" i="184"/>
  <c r="H1029" i="184"/>
  <c r="G1029" i="184"/>
  <c r="F1029" i="184"/>
  <c r="E1029" i="184"/>
  <c r="L992" i="184"/>
  <c r="I992" i="184"/>
  <c r="G992" i="184"/>
  <c r="D992" i="184"/>
  <c r="L955" i="184"/>
  <c r="K955" i="184"/>
  <c r="J955" i="184"/>
  <c r="I955" i="184"/>
  <c r="H955" i="184"/>
  <c r="K918" i="184"/>
  <c r="J918" i="184"/>
  <c r="H918" i="184"/>
  <c r="E918" i="184"/>
  <c r="D918" i="184"/>
  <c r="L36" i="78"/>
  <c r="K36" i="78"/>
  <c r="J36" i="78"/>
  <c r="J42" i="78"/>
  <c r="J1103" i="184" s="1"/>
  <c r="H36" i="78"/>
  <c r="H881" i="184" s="1"/>
  <c r="G36" i="78"/>
  <c r="F36" i="78"/>
  <c r="F881" i="184"/>
  <c r="E36" i="78"/>
  <c r="D36" i="78"/>
  <c r="D881" i="184" s="1"/>
  <c r="L35" i="78"/>
  <c r="K35" i="78"/>
  <c r="K844" i="184"/>
  <c r="J35" i="78"/>
  <c r="J844" i="184" s="1"/>
  <c r="I35" i="78"/>
  <c r="I844" i="184" s="1"/>
  <c r="H35" i="78"/>
  <c r="G35" i="78"/>
  <c r="F35" i="78"/>
  <c r="F844" i="184" s="1"/>
  <c r="E35" i="78"/>
  <c r="E844" i="184" s="1"/>
  <c r="D35" i="78"/>
  <c r="R34" i="78"/>
  <c r="L109" i="78" s="1"/>
  <c r="L34" i="78"/>
  <c r="L807" i="184"/>
  <c r="K34" i="78"/>
  <c r="K807" i="184" s="1"/>
  <c r="J34" i="78"/>
  <c r="I34" i="78"/>
  <c r="I807" i="184" s="1"/>
  <c r="H34" i="78"/>
  <c r="G34" i="78"/>
  <c r="G807" i="184" s="1"/>
  <c r="D34" i="78"/>
  <c r="L33" i="78"/>
  <c r="L770" i="184"/>
  <c r="K33" i="78"/>
  <c r="K770" i="184" s="1"/>
  <c r="J33" i="78"/>
  <c r="J770" i="184"/>
  <c r="I33" i="78"/>
  <c r="H33" i="78"/>
  <c r="H770" i="184" s="1"/>
  <c r="G33" i="78"/>
  <c r="G770" i="184"/>
  <c r="F33" i="78"/>
  <c r="E33" i="78"/>
  <c r="D33" i="78"/>
  <c r="D770" i="184"/>
  <c r="Q32" i="78"/>
  <c r="L108" i="78" s="1"/>
  <c r="L32" i="78"/>
  <c r="L733" i="184" s="1"/>
  <c r="K32" i="78"/>
  <c r="J32" i="78"/>
  <c r="I32" i="78"/>
  <c r="I733" i="184" s="1"/>
  <c r="H32" i="78"/>
  <c r="H733" i="184" s="1"/>
  <c r="G32" i="78"/>
  <c r="G733" i="184"/>
  <c r="F32" i="78"/>
  <c r="F733" i="184" s="1"/>
  <c r="E32" i="78"/>
  <c r="E733" i="184"/>
  <c r="D32" i="78"/>
  <c r="L621" i="184"/>
  <c r="J621" i="184"/>
  <c r="E621" i="184"/>
  <c r="J584" i="184"/>
  <c r="H584" i="184"/>
  <c r="F584" i="184"/>
  <c r="E584" i="184"/>
  <c r="L547" i="184"/>
  <c r="J547" i="184"/>
  <c r="I547" i="184"/>
  <c r="H547" i="184"/>
  <c r="G547" i="184"/>
  <c r="D547" i="184"/>
  <c r="L510" i="184"/>
  <c r="K510" i="184"/>
  <c r="J510" i="184"/>
  <c r="I510" i="184"/>
  <c r="E510" i="184"/>
  <c r="L473" i="184"/>
  <c r="K473" i="184"/>
  <c r="H473" i="184"/>
  <c r="G473" i="184"/>
  <c r="E473" i="184"/>
  <c r="D473" i="184"/>
  <c r="L436" i="184"/>
  <c r="J436" i="184"/>
  <c r="D436" i="184"/>
  <c r="L22" i="78"/>
  <c r="K22" i="78"/>
  <c r="K399" i="184" s="1"/>
  <c r="J22" i="78"/>
  <c r="I22" i="78"/>
  <c r="I399" i="184" s="1"/>
  <c r="H22" i="78"/>
  <c r="G22" i="78"/>
  <c r="G399" i="184" s="1"/>
  <c r="F22" i="78"/>
  <c r="F399" i="184" s="1"/>
  <c r="D22" i="78"/>
  <c r="D399" i="184"/>
  <c r="L21" i="78"/>
  <c r="L362" i="184" s="1"/>
  <c r="K21" i="78"/>
  <c r="J21" i="78"/>
  <c r="J362" i="184" s="1"/>
  <c r="I21" i="78"/>
  <c r="I362" i="184" s="1"/>
  <c r="H21" i="78"/>
  <c r="H362" i="184" s="1"/>
  <c r="G21" i="78"/>
  <c r="F21" i="78"/>
  <c r="E21" i="78"/>
  <c r="D21" i="78"/>
  <c r="D362" i="184"/>
  <c r="L20" i="78"/>
  <c r="L325" i="184" s="1"/>
  <c r="K20" i="78"/>
  <c r="K325" i="184"/>
  <c r="J20" i="78"/>
  <c r="J325" i="184"/>
  <c r="I20" i="78"/>
  <c r="H20" i="78"/>
  <c r="H325" i="184"/>
  <c r="F20" i="78"/>
  <c r="E20" i="78"/>
  <c r="E325" i="184"/>
  <c r="D20" i="78"/>
  <c r="D325" i="184" s="1"/>
  <c r="L19" i="78"/>
  <c r="L288" i="184"/>
  <c r="K19" i="78"/>
  <c r="K288" i="184" s="1"/>
  <c r="J19" i="78"/>
  <c r="I19" i="78"/>
  <c r="I288" i="184" s="1"/>
  <c r="H19" i="78"/>
  <c r="H288" i="184" s="1"/>
  <c r="G19" i="78"/>
  <c r="F19" i="78"/>
  <c r="F288" i="184"/>
  <c r="D19" i="78"/>
  <c r="D288" i="184" s="1"/>
  <c r="K175" i="184"/>
  <c r="J175" i="184"/>
  <c r="I175" i="184"/>
  <c r="H175" i="184"/>
  <c r="D14" i="76"/>
  <c r="L138" i="184"/>
  <c r="K138" i="184"/>
  <c r="J138" i="184"/>
  <c r="G138" i="184"/>
  <c r="F138" i="184"/>
  <c r="K101" i="184"/>
  <c r="J101" i="184"/>
  <c r="I101" i="184"/>
  <c r="G101" i="184"/>
  <c r="E101" i="184"/>
  <c r="J64" i="184"/>
  <c r="G64" i="184"/>
  <c r="F64" i="184"/>
  <c r="L27" i="184"/>
  <c r="K27" i="184"/>
  <c r="E27" i="184"/>
  <c r="D27" i="184"/>
  <c r="M100" i="72"/>
  <c r="Q92" i="72"/>
  <c r="S23" i="210" s="1"/>
  <c r="O92" i="72"/>
  <c r="K92" i="72"/>
  <c r="K2491" i="184"/>
  <c r="J92" i="72"/>
  <c r="J2491" i="184" s="1"/>
  <c r="G92" i="72"/>
  <c r="F92" i="72"/>
  <c r="F2491" i="184" s="1"/>
  <c r="E92" i="72"/>
  <c r="D92" i="72"/>
  <c r="D2491" i="184" s="1"/>
  <c r="K91" i="72"/>
  <c r="K2454" i="184" s="1"/>
  <c r="J91" i="72"/>
  <c r="J2454" i="184"/>
  <c r="I91" i="72"/>
  <c r="I2454" i="184"/>
  <c r="H91" i="72"/>
  <c r="H2454" i="184" s="1"/>
  <c r="G91" i="72"/>
  <c r="F91" i="72"/>
  <c r="F2454" i="184" s="1"/>
  <c r="E91" i="72"/>
  <c r="E2454" i="184" s="1"/>
  <c r="D91" i="72"/>
  <c r="D2454" i="184" s="1"/>
  <c r="L90" i="72"/>
  <c r="L2417" i="184"/>
  <c r="K90" i="72"/>
  <c r="K2417" i="184" s="1"/>
  <c r="I90" i="72"/>
  <c r="I2417" i="184" s="1"/>
  <c r="H90" i="72"/>
  <c r="H2417" i="184" s="1"/>
  <c r="G90" i="72"/>
  <c r="F90" i="72"/>
  <c r="D90" i="72"/>
  <c r="D2417" i="184" s="1"/>
  <c r="L89" i="72"/>
  <c r="L2380" i="184" s="1"/>
  <c r="J89" i="72"/>
  <c r="J2380" i="184" s="1"/>
  <c r="I89" i="72"/>
  <c r="I2380" i="184" s="1"/>
  <c r="H89" i="72"/>
  <c r="H2380" i="184" s="1"/>
  <c r="G89" i="72"/>
  <c r="G2380" i="184" s="1"/>
  <c r="F89" i="72"/>
  <c r="F2380" i="184" s="1"/>
  <c r="E89" i="72"/>
  <c r="D89" i="72"/>
  <c r="D2380" i="184"/>
  <c r="L88" i="72"/>
  <c r="L2343" i="184" s="1"/>
  <c r="J88" i="72"/>
  <c r="J2343" i="184" s="1"/>
  <c r="I88" i="72"/>
  <c r="I2343" i="184"/>
  <c r="H88" i="72"/>
  <c r="H2343" i="184"/>
  <c r="G88" i="72"/>
  <c r="G2343" i="184" s="1"/>
  <c r="F88" i="72"/>
  <c r="F2343" i="184"/>
  <c r="E88" i="72"/>
  <c r="E2343" i="184"/>
  <c r="D88" i="72"/>
  <c r="D2343" i="184"/>
  <c r="L87" i="72"/>
  <c r="L2306" i="184" s="1"/>
  <c r="K87" i="72"/>
  <c r="K2306" i="184"/>
  <c r="J87" i="72"/>
  <c r="J2306" i="184"/>
  <c r="I87" i="72"/>
  <c r="I2306" i="184"/>
  <c r="H87" i="72"/>
  <c r="G87" i="72"/>
  <c r="G2306" i="184" s="1"/>
  <c r="F87" i="72"/>
  <c r="F2306" i="184" s="1"/>
  <c r="E87" i="72"/>
  <c r="D87" i="72"/>
  <c r="D2306" i="184"/>
  <c r="L82" i="72"/>
  <c r="K82" i="72"/>
  <c r="K2193" i="184" s="1"/>
  <c r="J82" i="72"/>
  <c r="I82" i="72"/>
  <c r="H82" i="72"/>
  <c r="G82" i="72"/>
  <c r="G2193" i="184"/>
  <c r="F82" i="72"/>
  <c r="E82" i="72"/>
  <c r="D82" i="72"/>
  <c r="D83" i="72"/>
  <c r="D2230" i="184" s="1"/>
  <c r="L81" i="72"/>
  <c r="K81" i="72"/>
  <c r="J81" i="72"/>
  <c r="I81" i="72"/>
  <c r="I2156" i="184"/>
  <c r="H81" i="72"/>
  <c r="H2156" i="184"/>
  <c r="G81" i="72"/>
  <c r="F81" i="72"/>
  <c r="F2156" i="184" s="1"/>
  <c r="E81" i="72"/>
  <c r="E2156" i="184" s="1"/>
  <c r="R80" i="72"/>
  <c r="R77" i="72"/>
  <c r="K77" i="72"/>
  <c r="K2080" i="184" s="1"/>
  <c r="J77" i="72"/>
  <c r="I77" i="72"/>
  <c r="H77" i="72"/>
  <c r="H2080" i="184" s="1"/>
  <c r="G77" i="72"/>
  <c r="F77" i="72"/>
  <c r="E77" i="72"/>
  <c r="E2080" i="184" s="1"/>
  <c r="D77" i="72"/>
  <c r="D2080" i="184"/>
  <c r="L76" i="72"/>
  <c r="K76" i="72"/>
  <c r="J76" i="72"/>
  <c r="J2043" i="184" s="1"/>
  <c r="I76" i="72"/>
  <c r="H76" i="72"/>
  <c r="H2043" i="184" s="1"/>
  <c r="G76" i="72"/>
  <c r="F76" i="72"/>
  <c r="E76" i="72"/>
  <c r="D76" i="72"/>
  <c r="L75" i="72"/>
  <c r="L2006" i="184" s="1"/>
  <c r="K75" i="72"/>
  <c r="K2006" i="184"/>
  <c r="J75" i="72"/>
  <c r="J2006" i="184"/>
  <c r="I75" i="72"/>
  <c r="I2006" i="184"/>
  <c r="H75" i="72"/>
  <c r="G75" i="72"/>
  <c r="G2006" i="184" s="1"/>
  <c r="F75" i="72"/>
  <c r="E75" i="72"/>
  <c r="E2006" i="184" s="1"/>
  <c r="D75" i="72"/>
  <c r="D2006" i="184" s="1"/>
  <c r="L74" i="72"/>
  <c r="L1969" i="184"/>
  <c r="K74" i="72"/>
  <c r="J74" i="72"/>
  <c r="J1969" i="184" s="1"/>
  <c r="I74" i="72"/>
  <c r="I1969" i="184" s="1"/>
  <c r="H74" i="72"/>
  <c r="H1969" i="184" s="1"/>
  <c r="G74" i="72"/>
  <c r="F74" i="72"/>
  <c r="E74" i="72"/>
  <c r="D74" i="72"/>
  <c r="D1969" i="184" s="1"/>
  <c r="K70" i="72"/>
  <c r="K1893" i="184" s="1"/>
  <c r="J70" i="72"/>
  <c r="J1893" i="184"/>
  <c r="I70" i="72"/>
  <c r="I1893" i="184"/>
  <c r="G70" i="72"/>
  <c r="F70" i="72"/>
  <c r="F1893" i="184" s="1"/>
  <c r="E70" i="72"/>
  <c r="E1893" i="184" s="1"/>
  <c r="D70" i="72"/>
  <c r="K69" i="72"/>
  <c r="K1856" i="184"/>
  <c r="J69" i="72"/>
  <c r="J1856" i="184"/>
  <c r="I69" i="72"/>
  <c r="I1856" i="184" s="1"/>
  <c r="G69" i="72"/>
  <c r="G1856" i="184" s="1"/>
  <c r="D69" i="72"/>
  <c r="D1856" i="184"/>
  <c r="AA68" i="72"/>
  <c r="L68" i="72"/>
  <c r="L1819" i="184" s="1"/>
  <c r="K68" i="72"/>
  <c r="K1819" i="184" s="1"/>
  <c r="J68" i="72"/>
  <c r="J1819" i="184" s="1"/>
  <c r="H68" i="72"/>
  <c r="H1819" i="184" s="1"/>
  <c r="G68" i="72"/>
  <c r="G1819" i="184" s="1"/>
  <c r="F68" i="72"/>
  <c r="D66" i="71" s="1"/>
  <c r="E68" i="72"/>
  <c r="E1819" i="184" s="1"/>
  <c r="D68" i="72"/>
  <c r="AA67" i="72"/>
  <c r="W67" i="72"/>
  <c r="V67" i="72"/>
  <c r="J292" i="191" s="1"/>
  <c r="P67" i="72"/>
  <c r="L67" i="72"/>
  <c r="L1782" i="184" s="1"/>
  <c r="J67" i="72"/>
  <c r="I67" i="72"/>
  <c r="H67" i="72"/>
  <c r="H1782" i="184" s="1"/>
  <c r="G67" i="72"/>
  <c r="F67" i="72"/>
  <c r="F1782" i="184" s="1"/>
  <c r="E67" i="72"/>
  <c r="E1782" i="184"/>
  <c r="D67" i="72"/>
  <c r="D1782" i="184" s="1"/>
  <c r="AA66" i="72"/>
  <c r="W66" i="72"/>
  <c r="K255" i="191" s="1"/>
  <c r="V66" i="72"/>
  <c r="P66" i="72"/>
  <c r="U66" i="72" s="1"/>
  <c r="I255" i="191" s="1"/>
  <c r="L66" i="72"/>
  <c r="L1745" i="184" s="1"/>
  <c r="K66" i="72"/>
  <c r="K1745" i="184" s="1"/>
  <c r="I66" i="72"/>
  <c r="I1745" i="184" s="1"/>
  <c r="H66" i="72"/>
  <c r="G66" i="72"/>
  <c r="F66" i="72"/>
  <c r="E66" i="72"/>
  <c r="E1745" i="184" s="1"/>
  <c r="AA65" i="72"/>
  <c r="W65" i="72"/>
  <c r="K218" i="191" s="1"/>
  <c r="V65" i="72"/>
  <c r="J218" i="191" s="1"/>
  <c r="P65" i="72"/>
  <c r="U65" i="72" s="1"/>
  <c r="L65" i="72"/>
  <c r="K65" i="72"/>
  <c r="I65" i="72"/>
  <c r="I1708" i="184" s="1"/>
  <c r="H65" i="72"/>
  <c r="H1708" i="184" s="1"/>
  <c r="G65" i="72"/>
  <c r="G1708" i="184" s="1"/>
  <c r="F65" i="72"/>
  <c r="E65" i="72"/>
  <c r="E1708" i="184"/>
  <c r="D65" i="72"/>
  <c r="AA64" i="72"/>
  <c r="W64" i="72"/>
  <c r="K181" i="191"/>
  <c r="V64" i="72"/>
  <c r="J181" i="191"/>
  <c r="Q64" i="72"/>
  <c r="L111" i="72"/>
  <c r="P64" i="72"/>
  <c r="U64" i="72" s="1"/>
  <c r="I181" i="191" s="1"/>
  <c r="L64" i="72"/>
  <c r="L1671" i="184" s="1"/>
  <c r="K64" i="72"/>
  <c r="J64" i="72"/>
  <c r="J1671" i="184" s="1"/>
  <c r="I64" i="72"/>
  <c r="I1671" i="184"/>
  <c r="H64" i="72"/>
  <c r="H1671" i="184"/>
  <c r="E64" i="72"/>
  <c r="AA63" i="72"/>
  <c r="W63" i="72"/>
  <c r="K144" i="191" s="1"/>
  <c r="V63" i="72"/>
  <c r="J144" i="191"/>
  <c r="P63" i="72"/>
  <c r="D144" i="191"/>
  <c r="L63" i="72"/>
  <c r="L1634" i="184" s="1"/>
  <c r="K63" i="72"/>
  <c r="K1634" i="184" s="1"/>
  <c r="J63" i="72"/>
  <c r="J1634" i="184"/>
  <c r="I63" i="72"/>
  <c r="H63" i="72"/>
  <c r="H1634" i="184" s="1"/>
  <c r="G63" i="72"/>
  <c r="G1634" i="184" s="1"/>
  <c r="F63" i="72"/>
  <c r="E63" i="72"/>
  <c r="E1634" i="184" s="1"/>
  <c r="D63" i="72"/>
  <c r="D1634" i="184"/>
  <c r="AA62" i="72"/>
  <c r="W62" i="72"/>
  <c r="K107" i="191" s="1"/>
  <c r="V62" i="72"/>
  <c r="J107" i="191" s="1"/>
  <c r="P62" i="72"/>
  <c r="U62" i="72" s="1"/>
  <c r="I107" i="191" s="1"/>
  <c r="L62" i="72"/>
  <c r="K62" i="72"/>
  <c r="K1597" i="184" s="1"/>
  <c r="I62" i="72"/>
  <c r="I1597" i="184" s="1"/>
  <c r="H62" i="72"/>
  <c r="H1597" i="184" s="1"/>
  <c r="G62" i="72"/>
  <c r="F62" i="72"/>
  <c r="E62" i="72"/>
  <c r="D62" i="72"/>
  <c r="AA61" i="72"/>
  <c r="W61" i="72"/>
  <c r="K70" i="191"/>
  <c r="V61" i="72"/>
  <c r="P61" i="72"/>
  <c r="L61" i="72"/>
  <c r="L1560" i="184"/>
  <c r="J61" i="72"/>
  <c r="I61" i="72"/>
  <c r="H61" i="72"/>
  <c r="F61" i="72"/>
  <c r="E61" i="72"/>
  <c r="D61" i="72"/>
  <c r="AA60" i="72"/>
  <c r="W60" i="72"/>
  <c r="V60" i="72"/>
  <c r="J33" i="191"/>
  <c r="P60" i="72"/>
  <c r="U60" i="72"/>
  <c r="I33" i="191" s="1"/>
  <c r="L60" i="72"/>
  <c r="K60" i="72"/>
  <c r="K1523" i="184"/>
  <c r="J60" i="72"/>
  <c r="J1523" i="184" s="1"/>
  <c r="I60" i="72"/>
  <c r="I1523" i="184" s="1"/>
  <c r="H60" i="72"/>
  <c r="G60" i="72"/>
  <c r="F60" i="72"/>
  <c r="E60" i="72"/>
  <c r="D60" i="72"/>
  <c r="L1410" i="184"/>
  <c r="J1410" i="184"/>
  <c r="I1410" i="184"/>
  <c r="E1410" i="184"/>
  <c r="D1410" i="184"/>
  <c r="J1373" i="184"/>
  <c r="D69" i="71"/>
  <c r="L1336" i="184"/>
  <c r="K1336" i="184"/>
  <c r="I1336" i="184"/>
  <c r="G1336" i="184"/>
  <c r="E1336" i="184"/>
  <c r="D1336" i="184"/>
  <c r="I1299" i="184"/>
  <c r="H1299" i="184"/>
  <c r="G1299" i="184"/>
  <c r="E1299" i="184"/>
  <c r="K1262" i="184"/>
  <c r="J1262" i="184"/>
  <c r="E1262" i="184"/>
  <c r="J1225" i="184"/>
  <c r="H1225" i="184"/>
  <c r="G1225" i="184"/>
  <c r="D26" i="71"/>
  <c r="L1186" i="184"/>
  <c r="I1186" i="184"/>
  <c r="F1186" i="184"/>
  <c r="E1186" i="184"/>
  <c r="K1072" i="184"/>
  <c r="J1072" i="184"/>
  <c r="I1072" i="184"/>
  <c r="G1072" i="184"/>
  <c r="L1035" i="184"/>
  <c r="J1035" i="184"/>
  <c r="I1035" i="184"/>
  <c r="G1035" i="184"/>
  <c r="F1035" i="184"/>
  <c r="L998" i="184"/>
  <c r="H998" i="184"/>
  <c r="F998" i="184"/>
  <c r="D998" i="184"/>
  <c r="I961" i="184"/>
  <c r="F961" i="184"/>
  <c r="E961" i="184"/>
  <c r="D961" i="184"/>
  <c r="K924" i="184"/>
  <c r="I924" i="184"/>
  <c r="G924" i="184"/>
  <c r="H887" i="184"/>
  <c r="G887" i="184"/>
  <c r="F887" i="184"/>
  <c r="L35" i="72"/>
  <c r="L850" i="184"/>
  <c r="K35" i="72"/>
  <c r="J35" i="72"/>
  <c r="I35" i="72"/>
  <c r="I850" i="184" s="1"/>
  <c r="H35" i="72"/>
  <c r="G35" i="72"/>
  <c r="F35" i="72"/>
  <c r="F850" i="184"/>
  <c r="E35" i="72"/>
  <c r="E850" i="184"/>
  <c r="D35" i="72"/>
  <c r="D850" i="184" s="1"/>
  <c r="R34" i="72"/>
  <c r="L109" i="72" s="1"/>
  <c r="L34" i="72"/>
  <c r="L813" i="184"/>
  <c r="K34" i="72"/>
  <c r="K813" i="184"/>
  <c r="J34" i="72"/>
  <c r="I34" i="72"/>
  <c r="H34" i="72"/>
  <c r="H813" i="184" s="1"/>
  <c r="G34" i="72"/>
  <c r="G813" i="184"/>
  <c r="D34" i="72"/>
  <c r="D813" i="184"/>
  <c r="L33" i="72"/>
  <c r="L776" i="184" s="1"/>
  <c r="K33" i="72"/>
  <c r="K776" i="184" s="1"/>
  <c r="J33" i="72"/>
  <c r="I33" i="72"/>
  <c r="H33" i="72"/>
  <c r="G33" i="72"/>
  <c r="G776" i="184" s="1"/>
  <c r="F33" i="72"/>
  <c r="E33" i="72"/>
  <c r="D33" i="72"/>
  <c r="D776" i="184" s="1"/>
  <c r="Q32" i="72"/>
  <c r="L108" i="72" s="1"/>
  <c r="L32" i="72"/>
  <c r="L739" i="184" s="1"/>
  <c r="K32" i="72"/>
  <c r="K739" i="184" s="1"/>
  <c r="J32" i="72"/>
  <c r="J739" i="184" s="1"/>
  <c r="I32" i="72"/>
  <c r="H32" i="72"/>
  <c r="H739" i="184"/>
  <c r="G32" i="72"/>
  <c r="F32" i="72"/>
  <c r="F739" i="184" s="1"/>
  <c r="E32" i="72"/>
  <c r="E739" i="184" s="1"/>
  <c r="D32" i="72"/>
  <c r="L627" i="184"/>
  <c r="K627" i="184"/>
  <c r="J627" i="184"/>
  <c r="I627" i="184"/>
  <c r="E627" i="184"/>
  <c r="K590" i="184"/>
  <c r="H590" i="184"/>
  <c r="E590" i="184"/>
  <c r="L553" i="184"/>
  <c r="J553" i="184"/>
  <c r="I553" i="184"/>
  <c r="G553" i="184"/>
  <c r="E553" i="184"/>
  <c r="K516" i="184"/>
  <c r="I516" i="184"/>
  <c r="H516" i="184"/>
  <c r="L479" i="184"/>
  <c r="K479" i="184"/>
  <c r="I479" i="184"/>
  <c r="H479" i="184"/>
  <c r="G479" i="184"/>
  <c r="F479" i="184"/>
  <c r="D479" i="184"/>
  <c r="J442" i="184"/>
  <c r="G442" i="184"/>
  <c r="L22" i="72"/>
  <c r="L405" i="184" s="1"/>
  <c r="K22" i="72"/>
  <c r="K405" i="184" s="1"/>
  <c r="J22" i="72"/>
  <c r="J405" i="184" s="1"/>
  <c r="I22" i="72"/>
  <c r="I405" i="184" s="1"/>
  <c r="H22" i="72"/>
  <c r="H405" i="184" s="1"/>
  <c r="G22" i="72"/>
  <c r="F22" i="72"/>
  <c r="F405" i="184" s="1"/>
  <c r="D22" i="72"/>
  <c r="D405" i="184" s="1"/>
  <c r="L21" i="72"/>
  <c r="L368" i="184" s="1"/>
  <c r="K21" i="72"/>
  <c r="K368" i="184" s="1"/>
  <c r="J21" i="72"/>
  <c r="J368" i="184" s="1"/>
  <c r="I21" i="72"/>
  <c r="I368" i="184" s="1"/>
  <c r="H21" i="72"/>
  <c r="G21" i="72"/>
  <c r="G368" i="184" s="1"/>
  <c r="F21" i="72"/>
  <c r="E21" i="72"/>
  <c r="D21" i="72"/>
  <c r="D368" i="184" s="1"/>
  <c r="L20" i="72"/>
  <c r="K20" i="72"/>
  <c r="K331" i="184"/>
  <c r="J20" i="72"/>
  <c r="I20" i="72"/>
  <c r="H20" i="72"/>
  <c r="H331" i="184"/>
  <c r="F20" i="72"/>
  <c r="F331" i="184" s="1"/>
  <c r="E20" i="72"/>
  <c r="E331" i="184"/>
  <c r="D20" i="72"/>
  <c r="L19" i="72"/>
  <c r="L294" i="184" s="1"/>
  <c r="K19" i="72"/>
  <c r="K294" i="184" s="1"/>
  <c r="J19" i="72"/>
  <c r="J294" i="184" s="1"/>
  <c r="I19" i="72"/>
  <c r="H19" i="72"/>
  <c r="H294" i="184" s="1"/>
  <c r="G19" i="72"/>
  <c r="F19" i="72"/>
  <c r="D19" i="72"/>
  <c r="D294" i="184" s="1"/>
  <c r="K181" i="184"/>
  <c r="J181" i="184"/>
  <c r="G181" i="184"/>
  <c r="F181" i="184"/>
  <c r="E181" i="184"/>
  <c r="L144" i="184"/>
  <c r="F144" i="184"/>
  <c r="E144" i="184"/>
  <c r="L107" i="184"/>
  <c r="K107" i="184"/>
  <c r="J107" i="184"/>
  <c r="H107" i="184"/>
  <c r="G107" i="184"/>
  <c r="D107" i="184"/>
  <c r="G70" i="184"/>
  <c r="D11" i="71"/>
  <c r="E70" i="184"/>
  <c r="K33" i="184"/>
  <c r="J33" i="184"/>
  <c r="F15" i="72"/>
  <c r="F218" i="184" s="1"/>
  <c r="E33" i="184"/>
  <c r="M100" i="67"/>
  <c r="Q92" i="67"/>
  <c r="T22" i="229" s="1"/>
  <c r="O92" i="67"/>
  <c r="U22" i="220" s="1"/>
  <c r="K92" i="67"/>
  <c r="K2477" i="184" s="1"/>
  <c r="J92" i="67"/>
  <c r="G92" i="67"/>
  <c r="G2477" i="184"/>
  <c r="F92" i="67"/>
  <c r="F2477" i="184"/>
  <c r="E92" i="67"/>
  <c r="E2477" i="184" s="1"/>
  <c r="D92" i="67"/>
  <c r="D2477" i="184"/>
  <c r="K91" i="67"/>
  <c r="K2440" i="184"/>
  <c r="J91" i="67"/>
  <c r="J2440" i="184"/>
  <c r="I91" i="67"/>
  <c r="I2440" i="184" s="1"/>
  <c r="H91" i="67"/>
  <c r="H2440" i="184"/>
  <c r="G91" i="67"/>
  <c r="G2440" i="184"/>
  <c r="F91" i="67"/>
  <c r="E91" i="67"/>
  <c r="E2440" i="184" s="1"/>
  <c r="D91" i="67"/>
  <c r="L90" i="67"/>
  <c r="L2403" i="184" s="1"/>
  <c r="K90" i="67"/>
  <c r="K2403" i="184" s="1"/>
  <c r="I90" i="67"/>
  <c r="I2403" i="184" s="1"/>
  <c r="H90" i="67"/>
  <c r="H2403" i="184"/>
  <c r="G90" i="67"/>
  <c r="F90" i="67"/>
  <c r="F2403" i="184" s="1"/>
  <c r="D90" i="67"/>
  <c r="L89" i="67"/>
  <c r="L2366" i="184"/>
  <c r="J89" i="67"/>
  <c r="J2366" i="184"/>
  <c r="I89" i="67"/>
  <c r="I2366" i="184" s="1"/>
  <c r="H89" i="67"/>
  <c r="G89" i="67"/>
  <c r="G2366" i="184" s="1"/>
  <c r="F89" i="67"/>
  <c r="F2366" i="184" s="1"/>
  <c r="E89" i="67"/>
  <c r="D89" i="67"/>
  <c r="D2366" i="184"/>
  <c r="L88" i="67"/>
  <c r="L2329" i="184" s="1"/>
  <c r="J88" i="67"/>
  <c r="J2329" i="184"/>
  <c r="I88" i="67"/>
  <c r="I2329" i="184"/>
  <c r="H88" i="67"/>
  <c r="H2329" i="184"/>
  <c r="G88" i="67"/>
  <c r="G2329" i="184" s="1"/>
  <c r="F88" i="67"/>
  <c r="F2329" i="184"/>
  <c r="E88" i="67"/>
  <c r="D88" i="67"/>
  <c r="L87" i="67"/>
  <c r="L2292" i="184"/>
  <c r="K87" i="67"/>
  <c r="K2292" i="184" s="1"/>
  <c r="J87" i="67"/>
  <c r="J2292" i="184"/>
  <c r="I87" i="67"/>
  <c r="I2292" i="184"/>
  <c r="D87" i="67"/>
  <c r="D2292" i="184"/>
  <c r="E87" i="67"/>
  <c r="E2292" i="184" s="1"/>
  <c r="F87" i="67"/>
  <c r="F2292" i="184"/>
  <c r="G87" i="67"/>
  <c r="G2292" i="184" s="1"/>
  <c r="H87" i="67"/>
  <c r="H2292" i="184"/>
  <c r="L82" i="67"/>
  <c r="L2179" i="184" s="1"/>
  <c r="K82" i="67"/>
  <c r="J82" i="67"/>
  <c r="J2179" i="184" s="1"/>
  <c r="I82" i="67"/>
  <c r="I81" i="67"/>
  <c r="H82" i="67"/>
  <c r="H2179" i="184" s="1"/>
  <c r="G82" i="67"/>
  <c r="G2179" i="184" s="1"/>
  <c r="F82" i="67"/>
  <c r="E82" i="67"/>
  <c r="D82" i="67"/>
  <c r="L81" i="67"/>
  <c r="K81" i="67"/>
  <c r="K2142" i="184" s="1"/>
  <c r="J81" i="67"/>
  <c r="J2142" i="184" s="1"/>
  <c r="H81" i="67"/>
  <c r="G81" i="67"/>
  <c r="G2142" i="184"/>
  <c r="F81" i="67"/>
  <c r="E81" i="67"/>
  <c r="E2142" i="184" s="1"/>
  <c r="R80" i="67"/>
  <c r="R77" i="67"/>
  <c r="K77" i="67"/>
  <c r="K2066" i="184" s="1"/>
  <c r="J77" i="67"/>
  <c r="I77" i="67"/>
  <c r="I2066" i="184"/>
  <c r="H77" i="67"/>
  <c r="G77" i="67"/>
  <c r="F77" i="67"/>
  <c r="D53" i="66" s="1"/>
  <c r="E77" i="67"/>
  <c r="E2066" i="184" s="1"/>
  <c r="D77" i="67"/>
  <c r="L76" i="67"/>
  <c r="K76" i="67"/>
  <c r="J76" i="67"/>
  <c r="J2029" i="184" s="1"/>
  <c r="I76" i="67"/>
  <c r="H76" i="67"/>
  <c r="H2029" i="184"/>
  <c r="G76" i="67"/>
  <c r="G2029" i="184"/>
  <c r="F76" i="67"/>
  <c r="E76" i="67"/>
  <c r="E2029" i="184" s="1"/>
  <c r="D76" i="67"/>
  <c r="L75" i="67"/>
  <c r="L1992" i="184" s="1"/>
  <c r="K75" i="67"/>
  <c r="J75" i="67"/>
  <c r="I75" i="67"/>
  <c r="I1992" i="184"/>
  <c r="H75" i="67"/>
  <c r="H1992" i="184"/>
  <c r="G75" i="67"/>
  <c r="G1992" i="184" s="1"/>
  <c r="F75" i="67"/>
  <c r="E75" i="67"/>
  <c r="D75" i="67"/>
  <c r="D1992" i="184"/>
  <c r="L74" i="67"/>
  <c r="K74" i="67"/>
  <c r="K1955" i="184" s="1"/>
  <c r="J74" i="67"/>
  <c r="J1955" i="184" s="1"/>
  <c r="I74" i="67"/>
  <c r="H74" i="67"/>
  <c r="H1955" i="184"/>
  <c r="G74" i="67"/>
  <c r="G1955" i="184"/>
  <c r="F74" i="67"/>
  <c r="E74" i="67"/>
  <c r="E1955" i="184" s="1"/>
  <c r="D74" i="67"/>
  <c r="K70" i="67"/>
  <c r="K1879" i="184" s="1"/>
  <c r="J70" i="67"/>
  <c r="J1879" i="184" s="1"/>
  <c r="I70" i="67"/>
  <c r="I1879" i="184" s="1"/>
  <c r="G70" i="67"/>
  <c r="G1879" i="184"/>
  <c r="F70" i="67"/>
  <c r="E70" i="67"/>
  <c r="D70" i="67"/>
  <c r="K69" i="67"/>
  <c r="K1842" i="184" s="1"/>
  <c r="J69" i="67"/>
  <c r="J1842" i="184" s="1"/>
  <c r="I69" i="67"/>
  <c r="I1842" i="184" s="1"/>
  <c r="G69" i="67"/>
  <c r="D69" i="67"/>
  <c r="D1842" i="184" s="1"/>
  <c r="AA68" i="67"/>
  <c r="L68" i="67"/>
  <c r="L1805" i="184" s="1"/>
  <c r="K68" i="67"/>
  <c r="K1805" i="184" s="1"/>
  <c r="J68" i="67"/>
  <c r="J1805" i="184" s="1"/>
  <c r="H68" i="67"/>
  <c r="H1805" i="184" s="1"/>
  <c r="G68" i="67"/>
  <c r="G1805" i="184" s="1"/>
  <c r="F68" i="67"/>
  <c r="E68" i="67"/>
  <c r="E1805" i="184" s="1"/>
  <c r="D68" i="67"/>
  <c r="AA67" i="67"/>
  <c r="W67" i="67"/>
  <c r="V67" i="67"/>
  <c r="J278" i="191" s="1"/>
  <c r="P67" i="67"/>
  <c r="L67" i="67"/>
  <c r="L1768" i="184" s="1"/>
  <c r="J67" i="67"/>
  <c r="J1768" i="184"/>
  <c r="I67" i="67"/>
  <c r="H67" i="67"/>
  <c r="G67" i="67"/>
  <c r="G1768" i="184" s="1"/>
  <c r="F67" i="67"/>
  <c r="F1768" i="184" s="1"/>
  <c r="E67" i="67"/>
  <c r="E1768" i="184"/>
  <c r="D67" i="67"/>
  <c r="D1768" i="184"/>
  <c r="AA66" i="67"/>
  <c r="W66" i="67"/>
  <c r="K241" i="191" s="1"/>
  <c r="V66" i="67"/>
  <c r="J241" i="191" s="1"/>
  <c r="P66" i="67"/>
  <c r="L66" i="67"/>
  <c r="L1731" i="184"/>
  <c r="K66" i="67"/>
  <c r="K1731" i="184"/>
  <c r="I66" i="67"/>
  <c r="I1731" i="184"/>
  <c r="H66" i="67"/>
  <c r="G66" i="67"/>
  <c r="G1731" i="184" s="1"/>
  <c r="F66" i="67"/>
  <c r="D42" i="66" s="1"/>
  <c r="E66" i="67"/>
  <c r="AA65" i="67"/>
  <c r="W65" i="67"/>
  <c r="V65" i="67"/>
  <c r="P65" i="67"/>
  <c r="L65" i="67"/>
  <c r="L1694" i="184" s="1"/>
  <c r="K65" i="67"/>
  <c r="K1694" i="184"/>
  <c r="I65" i="67"/>
  <c r="H65" i="67"/>
  <c r="H1694" i="184" s="1"/>
  <c r="G65" i="67"/>
  <c r="G1694" i="184" s="1"/>
  <c r="F65" i="67"/>
  <c r="D41" i="66" s="1"/>
  <c r="E65" i="67"/>
  <c r="D65" i="67"/>
  <c r="AA64" i="67"/>
  <c r="W64" i="67"/>
  <c r="K167" i="191" s="1"/>
  <c r="V64" i="67"/>
  <c r="J167" i="191" s="1"/>
  <c r="Q64" i="67"/>
  <c r="E167" i="191"/>
  <c r="P64" i="67"/>
  <c r="U64" i="67" s="1"/>
  <c r="I167" i="191" s="1"/>
  <c r="L64" i="67"/>
  <c r="L1657" i="184" s="1"/>
  <c r="K64" i="67"/>
  <c r="K1657" i="184" s="1"/>
  <c r="J64" i="67"/>
  <c r="I64" i="67"/>
  <c r="I1657" i="184"/>
  <c r="H64" i="67"/>
  <c r="H1657" i="184" s="1"/>
  <c r="D40" i="66"/>
  <c r="E64" i="67"/>
  <c r="E1657" i="184" s="1"/>
  <c r="AA63" i="67"/>
  <c r="W63" i="67"/>
  <c r="K130" i="191"/>
  <c r="V63" i="67"/>
  <c r="P63" i="67"/>
  <c r="U63" i="67" s="1"/>
  <c r="L63" i="67"/>
  <c r="L1620" i="184" s="1"/>
  <c r="K63" i="67"/>
  <c r="K1620" i="184" s="1"/>
  <c r="J63" i="67"/>
  <c r="J1620" i="184" s="1"/>
  <c r="I63" i="67"/>
  <c r="I1620" i="184" s="1"/>
  <c r="H63" i="67"/>
  <c r="H1620" i="184" s="1"/>
  <c r="G63" i="67"/>
  <c r="F63" i="67"/>
  <c r="E63" i="67"/>
  <c r="E1620" i="184" s="1"/>
  <c r="D63" i="67"/>
  <c r="D1620" i="184" s="1"/>
  <c r="AA62" i="67"/>
  <c r="W62" i="67"/>
  <c r="K93" i="191" s="1"/>
  <c r="V62" i="67"/>
  <c r="P62" i="67"/>
  <c r="D93" i="191" s="1"/>
  <c r="L62" i="67"/>
  <c r="L1583" i="184" s="1"/>
  <c r="K62" i="67"/>
  <c r="K1583" i="184" s="1"/>
  <c r="I62" i="67"/>
  <c r="H62" i="67"/>
  <c r="H1583" i="184"/>
  <c r="G62" i="67"/>
  <c r="G1583" i="184"/>
  <c r="F62" i="67"/>
  <c r="D38" i="66" s="1"/>
  <c r="E66" i="66" s="1"/>
  <c r="E62" i="67"/>
  <c r="D62" i="67"/>
  <c r="AA61" i="67"/>
  <c r="W61" i="67"/>
  <c r="K56" i="191" s="1"/>
  <c r="V61" i="67"/>
  <c r="J56" i="191" s="1"/>
  <c r="P61" i="67"/>
  <c r="P60" i="67"/>
  <c r="L110" i="67" s="1"/>
  <c r="L61" i="67"/>
  <c r="J61" i="67"/>
  <c r="J1546" i="184"/>
  <c r="I61" i="67"/>
  <c r="H61" i="67"/>
  <c r="F61" i="67"/>
  <c r="D37" i="66"/>
  <c r="E61" i="67"/>
  <c r="D61" i="67"/>
  <c r="AA60" i="67"/>
  <c r="W60" i="67"/>
  <c r="K19" i="191" s="1"/>
  <c r="V60" i="67"/>
  <c r="L60" i="67"/>
  <c r="L1509" i="184"/>
  <c r="K60" i="67"/>
  <c r="J60" i="67"/>
  <c r="I60" i="67"/>
  <c r="I1509" i="184"/>
  <c r="H60" i="67"/>
  <c r="H1509" i="184" s="1"/>
  <c r="G60" i="67"/>
  <c r="F60" i="67"/>
  <c r="D36" i="66" s="1"/>
  <c r="E60" i="67"/>
  <c r="E1509" i="184" s="1"/>
  <c r="D60" i="67"/>
  <c r="H1396" i="184"/>
  <c r="G1396" i="184"/>
  <c r="D1396" i="184"/>
  <c r="J1359" i="184"/>
  <c r="I1359" i="184"/>
  <c r="H1359" i="184"/>
  <c r="E1359" i="184"/>
  <c r="K1322" i="184"/>
  <c r="I1322" i="184"/>
  <c r="G1322" i="184"/>
  <c r="L1285" i="184"/>
  <c r="K1285" i="184"/>
  <c r="J1285" i="184"/>
  <c r="I1285" i="184"/>
  <c r="G1285" i="184"/>
  <c r="L1248" i="184"/>
  <c r="K1248" i="184"/>
  <c r="E1248" i="184"/>
  <c r="L1211" i="184"/>
  <c r="I1211" i="184"/>
  <c r="E1211" i="184"/>
  <c r="D1211" i="184"/>
  <c r="K1172" i="184"/>
  <c r="J1172" i="184"/>
  <c r="E1172" i="184"/>
  <c r="L1058" i="184"/>
  <c r="K1058" i="184"/>
  <c r="J1058" i="184"/>
  <c r="G1058" i="184"/>
  <c r="E1058" i="184"/>
  <c r="I1021" i="184"/>
  <c r="H1021" i="184"/>
  <c r="G1021" i="184"/>
  <c r="F1021" i="184"/>
  <c r="D1021" i="184"/>
  <c r="L984" i="184"/>
  <c r="J984" i="184"/>
  <c r="I984" i="184"/>
  <c r="H984" i="184"/>
  <c r="K947" i="184"/>
  <c r="I947" i="184"/>
  <c r="G947" i="184"/>
  <c r="E947" i="184"/>
  <c r="L910" i="184"/>
  <c r="G910" i="184"/>
  <c r="F910" i="184"/>
  <c r="D910" i="184"/>
  <c r="L36" i="67"/>
  <c r="K36" i="67"/>
  <c r="K42" i="67" s="1"/>
  <c r="J36" i="67"/>
  <c r="J873" i="184" s="1"/>
  <c r="H36" i="67"/>
  <c r="H873" i="184" s="1"/>
  <c r="G36" i="67"/>
  <c r="F36" i="67"/>
  <c r="F873" i="184" s="1"/>
  <c r="E36" i="67"/>
  <c r="D36" i="67"/>
  <c r="L35" i="67"/>
  <c r="K35" i="67"/>
  <c r="K836" i="184"/>
  <c r="J35" i="67"/>
  <c r="J836" i="184" s="1"/>
  <c r="I35" i="67"/>
  <c r="I836" i="184" s="1"/>
  <c r="H35" i="67"/>
  <c r="H836" i="184"/>
  <c r="G35" i="67"/>
  <c r="G836" i="184"/>
  <c r="F35" i="67"/>
  <c r="F836" i="184"/>
  <c r="E35" i="67"/>
  <c r="E836" i="184" s="1"/>
  <c r="D35" i="67"/>
  <c r="R34" i="67"/>
  <c r="L109" i="67" s="1"/>
  <c r="L34" i="67"/>
  <c r="K34" i="67"/>
  <c r="K799" i="184" s="1"/>
  <c r="J34" i="67"/>
  <c r="I34" i="67"/>
  <c r="I799" i="184" s="1"/>
  <c r="H34" i="67"/>
  <c r="H799" i="184" s="1"/>
  <c r="G34" i="67"/>
  <c r="G799" i="184" s="1"/>
  <c r="D34" i="67"/>
  <c r="L33" i="67"/>
  <c r="L762" i="184"/>
  <c r="K33" i="67"/>
  <c r="K762" i="184"/>
  <c r="J33" i="67"/>
  <c r="I33" i="67"/>
  <c r="I762" i="184" s="1"/>
  <c r="H33" i="67"/>
  <c r="G33" i="67"/>
  <c r="G762" i="184" s="1"/>
  <c r="F33" i="67"/>
  <c r="F762" i="184" s="1"/>
  <c r="E33" i="67"/>
  <c r="D33" i="67"/>
  <c r="D762" i="184" s="1"/>
  <c r="Q32" i="67"/>
  <c r="L108" i="67" s="1"/>
  <c r="L32" i="67"/>
  <c r="L725" i="184" s="1"/>
  <c r="K32" i="67"/>
  <c r="J32" i="67"/>
  <c r="J725" i="184"/>
  <c r="I32" i="67"/>
  <c r="I725" i="184"/>
  <c r="H32" i="67"/>
  <c r="G32" i="67"/>
  <c r="G725" i="184" s="1"/>
  <c r="F32" i="67"/>
  <c r="F725" i="184" s="1"/>
  <c r="E32" i="67"/>
  <c r="E725" i="184" s="1"/>
  <c r="D32" i="67"/>
  <c r="L613" i="184"/>
  <c r="E613" i="184"/>
  <c r="K576" i="184"/>
  <c r="G576" i="184"/>
  <c r="E576" i="184"/>
  <c r="I539" i="184"/>
  <c r="H539" i="184"/>
  <c r="G539" i="184"/>
  <c r="D539" i="184"/>
  <c r="K502" i="184"/>
  <c r="I502" i="184"/>
  <c r="H502" i="184"/>
  <c r="E502" i="184"/>
  <c r="L465" i="184"/>
  <c r="I465" i="184"/>
  <c r="H465" i="184"/>
  <c r="G465" i="184"/>
  <c r="D465" i="184"/>
  <c r="K428" i="184"/>
  <c r="J428" i="184"/>
  <c r="I428" i="184"/>
  <c r="H428" i="184"/>
  <c r="G428" i="184"/>
  <c r="L22" i="67"/>
  <c r="K22" i="67"/>
  <c r="K391" i="184" s="1"/>
  <c r="J22" i="67"/>
  <c r="J391" i="184"/>
  <c r="I22" i="67"/>
  <c r="I391" i="184" s="1"/>
  <c r="H22" i="67"/>
  <c r="H391" i="184" s="1"/>
  <c r="G22" i="67"/>
  <c r="F22" i="67"/>
  <c r="D22" i="67"/>
  <c r="D391" i="184"/>
  <c r="L21" i="67"/>
  <c r="L354" i="184"/>
  <c r="K21" i="67"/>
  <c r="J21" i="67"/>
  <c r="J354" i="184" s="1"/>
  <c r="I21" i="67"/>
  <c r="I354" i="184" s="1"/>
  <c r="H21" i="67"/>
  <c r="H354" i="184" s="1"/>
  <c r="G21" i="67"/>
  <c r="F21" i="67"/>
  <c r="E21" i="67"/>
  <c r="E354" i="184" s="1"/>
  <c r="D21" i="67"/>
  <c r="L20" i="67"/>
  <c r="L317" i="184"/>
  <c r="K20" i="67"/>
  <c r="K317" i="184" s="1"/>
  <c r="J20" i="67"/>
  <c r="J317" i="184"/>
  <c r="I20" i="67"/>
  <c r="I317" i="184" s="1"/>
  <c r="H20" i="67"/>
  <c r="F20" i="67"/>
  <c r="E20" i="67"/>
  <c r="E317" i="184"/>
  <c r="D20" i="67"/>
  <c r="D317" i="184"/>
  <c r="L19" i="67"/>
  <c r="L280" i="184"/>
  <c r="K19" i="67"/>
  <c r="K280" i="184"/>
  <c r="J19" i="67"/>
  <c r="I19" i="67"/>
  <c r="I280" i="184" s="1"/>
  <c r="H19" i="67"/>
  <c r="H280" i="184" s="1"/>
  <c r="G19" i="67"/>
  <c r="G280" i="184" s="1"/>
  <c r="F19" i="67"/>
  <c r="F280" i="184" s="1"/>
  <c r="D19" i="67"/>
  <c r="D280" i="184" s="1"/>
  <c r="J167" i="184"/>
  <c r="I167" i="184"/>
  <c r="G167" i="184"/>
  <c r="K130" i="184"/>
  <c r="J130" i="184"/>
  <c r="G130" i="184"/>
  <c r="E130" i="184"/>
  <c r="L93" i="184"/>
  <c r="J93" i="184"/>
  <c r="I93" i="184"/>
  <c r="H93" i="184"/>
  <c r="E93" i="184"/>
  <c r="D93" i="184"/>
  <c r="K56" i="184"/>
  <c r="J56" i="184"/>
  <c r="I56" i="184"/>
  <c r="L19" i="184"/>
  <c r="K19" i="184"/>
  <c r="E19" i="184"/>
  <c r="M100" i="62"/>
  <c r="Q92" i="62"/>
  <c r="O92" i="62"/>
  <c r="AD20" i="231" s="1"/>
  <c r="K92" i="62"/>
  <c r="K2487" i="184" s="1"/>
  <c r="J92" i="62"/>
  <c r="J2487" i="184" s="1"/>
  <c r="G92" i="62"/>
  <c r="G2487" i="184"/>
  <c r="F92" i="62"/>
  <c r="F2487" i="184" s="1"/>
  <c r="E92" i="62"/>
  <c r="E2487" i="184" s="1"/>
  <c r="D92" i="62"/>
  <c r="D2487" i="184"/>
  <c r="K91" i="62"/>
  <c r="K2450" i="184"/>
  <c r="J91" i="62"/>
  <c r="J2450" i="184" s="1"/>
  <c r="I91" i="62"/>
  <c r="I2450" i="184" s="1"/>
  <c r="H91" i="62"/>
  <c r="H2450" i="184"/>
  <c r="G91" i="62"/>
  <c r="G2450" i="184"/>
  <c r="F91" i="62"/>
  <c r="F2450" i="184" s="1"/>
  <c r="E91" i="62"/>
  <c r="D91" i="62"/>
  <c r="L90" i="62"/>
  <c r="L2413" i="184"/>
  <c r="K90" i="62"/>
  <c r="K2413" i="184"/>
  <c r="I90" i="62"/>
  <c r="H90" i="62"/>
  <c r="H2413" i="184" s="1"/>
  <c r="G90" i="62"/>
  <c r="G2413" i="184" s="1"/>
  <c r="F90" i="62"/>
  <c r="F2413" i="184" s="1"/>
  <c r="D90" i="62"/>
  <c r="D2413" i="184" s="1"/>
  <c r="L89" i="62"/>
  <c r="L2376" i="184" s="1"/>
  <c r="J89" i="62"/>
  <c r="I89" i="62"/>
  <c r="I2376" i="184"/>
  <c r="H89" i="62"/>
  <c r="H2376" i="184"/>
  <c r="G89" i="62"/>
  <c r="F89" i="62"/>
  <c r="F2376" i="184" s="1"/>
  <c r="E89" i="62"/>
  <c r="E2376" i="184" s="1"/>
  <c r="D89" i="62"/>
  <c r="L88" i="62"/>
  <c r="L2339" i="184"/>
  <c r="J88" i="62"/>
  <c r="J2339" i="184"/>
  <c r="I88" i="62"/>
  <c r="I2339" i="184"/>
  <c r="H88" i="62"/>
  <c r="H2339" i="184" s="1"/>
  <c r="G88" i="62"/>
  <c r="G2339" i="184"/>
  <c r="F88" i="62"/>
  <c r="F2339" i="184"/>
  <c r="E88" i="62"/>
  <c r="D88" i="62"/>
  <c r="L87" i="62"/>
  <c r="L2302" i="184" s="1"/>
  <c r="K87" i="62"/>
  <c r="K2302" i="184"/>
  <c r="J87" i="62"/>
  <c r="J2302" i="184"/>
  <c r="I87" i="62"/>
  <c r="I2302" i="184"/>
  <c r="H87" i="62"/>
  <c r="H2302" i="184" s="1"/>
  <c r="G87" i="62"/>
  <c r="G2302" i="184"/>
  <c r="F87" i="62"/>
  <c r="E87" i="62"/>
  <c r="D87" i="62"/>
  <c r="L82" i="62"/>
  <c r="K82" i="62"/>
  <c r="J82" i="62"/>
  <c r="J2189" i="184" s="1"/>
  <c r="I82" i="62"/>
  <c r="I2189" i="184" s="1"/>
  <c r="H82" i="62"/>
  <c r="G82" i="62"/>
  <c r="G2189" i="184" s="1"/>
  <c r="F82" i="62"/>
  <c r="E82" i="62"/>
  <c r="E2189" i="184" s="1"/>
  <c r="D82" i="62"/>
  <c r="D2189" i="184" s="1"/>
  <c r="L81" i="62"/>
  <c r="L2152" i="184" s="1"/>
  <c r="K81" i="62"/>
  <c r="K2152" i="184" s="1"/>
  <c r="J81" i="62"/>
  <c r="I81" i="62"/>
  <c r="H81" i="62"/>
  <c r="G81" i="62"/>
  <c r="F81" i="62"/>
  <c r="E81" i="62"/>
  <c r="E2152" i="184" s="1"/>
  <c r="R80" i="62"/>
  <c r="R77" i="62"/>
  <c r="L115" i="62" s="1"/>
  <c r="K77" i="62"/>
  <c r="J77" i="62"/>
  <c r="I77" i="62"/>
  <c r="I2076" i="184" s="1"/>
  <c r="H77" i="62"/>
  <c r="H2076" i="184" s="1"/>
  <c r="G77" i="62"/>
  <c r="F77" i="62"/>
  <c r="E77" i="62"/>
  <c r="D77" i="62"/>
  <c r="D2076" i="184" s="1"/>
  <c r="L76" i="62"/>
  <c r="L2039" i="184"/>
  <c r="K76" i="62"/>
  <c r="K2039" i="184" s="1"/>
  <c r="J76" i="62"/>
  <c r="I76" i="62"/>
  <c r="H76" i="62"/>
  <c r="G76" i="62"/>
  <c r="G2039" i="184" s="1"/>
  <c r="F76" i="62"/>
  <c r="E76" i="62"/>
  <c r="E2039" i="184"/>
  <c r="D76" i="62"/>
  <c r="L75" i="62"/>
  <c r="L2002" i="184" s="1"/>
  <c r="K75" i="62"/>
  <c r="K2002" i="184" s="1"/>
  <c r="J75" i="62"/>
  <c r="J2002" i="184" s="1"/>
  <c r="I75" i="62"/>
  <c r="I2002" i="184" s="1"/>
  <c r="H75" i="62"/>
  <c r="H2002" i="184" s="1"/>
  <c r="G75" i="62"/>
  <c r="G2002" i="184" s="1"/>
  <c r="F75" i="62"/>
  <c r="E75" i="62"/>
  <c r="E2002" i="184" s="1"/>
  <c r="D75" i="62"/>
  <c r="L74" i="62"/>
  <c r="L1965" i="184" s="1"/>
  <c r="K74" i="62"/>
  <c r="K1965" i="184" s="1"/>
  <c r="J74" i="62"/>
  <c r="I74" i="62"/>
  <c r="H74" i="62"/>
  <c r="G74" i="62"/>
  <c r="G1965" i="184" s="1"/>
  <c r="F74" i="62"/>
  <c r="D50" i="61"/>
  <c r="E74" i="62"/>
  <c r="E1965" i="184" s="1"/>
  <c r="D74" i="62"/>
  <c r="K70" i="62"/>
  <c r="K1889" i="184" s="1"/>
  <c r="J70" i="62"/>
  <c r="J1889" i="184" s="1"/>
  <c r="I70" i="62"/>
  <c r="I1889" i="184" s="1"/>
  <c r="G70" i="62"/>
  <c r="F70" i="62"/>
  <c r="D46" i="61" s="1"/>
  <c r="E70" i="62"/>
  <c r="E1889" i="184"/>
  <c r="D70" i="62"/>
  <c r="D1889" i="184" s="1"/>
  <c r="K69" i="62"/>
  <c r="K1852" i="184" s="1"/>
  <c r="J69" i="62"/>
  <c r="J1852" i="184" s="1"/>
  <c r="I69" i="62"/>
  <c r="I1852" i="184"/>
  <c r="G69" i="62"/>
  <c r="G1852" i="184"/>
  <c r="D69" i="62"/>
  <c r="AA68" i="62"/>
  <c r="L68" i="62"/>
  <c r="L1815" i="184" s="1"/>
  <c r="K68" i="62"/>
  <c r="K1815" i="184"/>
  <c r="J68" i="62"/>
  <c r="J1815" i="184"/>
  <c r="H68" i="62"/>
  <c r="G68" i="62"/>
  <c r="G1815" i="184" s="1"/>
  <c r="F68" i="62"/>
  <c r="D66" i="61" s="1"/>
  <c r="E68" i="62"/>
  <c r="E1815" i="184" s="1"/>
  <c r="D68" i="62"/>
  <c r="AA67" i="62"/>
  <c r="W67" i="62"/>
  <c r="K288" i="191" s="1"/>
  <c r="V67" i="62"/>
  <c r="J288" i="191" s="1"/>
  <c r="P67" i="62"/>
  <c r="L67" i="62"/>
  <c r="J67" i="62"/>
  <c r="I67" i="62"/>
  <c r="I1778" i="184" s="1"/>
  <c r="H67" i="62"/>
  <c r="H1778" i="184"/>
  <c r="G67" i="62"/>
  <c r="G1778" i="184" s="1"/>
  <c r="F67" i="62"/>
  <c r="E67" i="62"/>
  <c r="D67" i="62"/>
  <c r="D1778" i="184" s="1"/>
  <c r="AA66" i="62"/>
  <c r="W66" i="62"/>
  <c r="K251" i="191" s="1"/>
  <c r="V66" i="62"/>
  <c r="P66" i="62"/>
  <c r="U66" i="62" s="1"/>
  <c r="I251" i="191" s="1"/>
  <c r="L66" i="62"/>
  <c r="L1741" i="184" s="1"/>
  <c r="K66" i="62"/>
  <c r="K1741" i="184" s="1"/>
  <c r="I66" i="62"/>
  <c r="H66" i="62"/>
  <c r="H1741" i="184"/>
  <c r="G66" i="62"/>
  <c r="F66" i="62"/>
  <c r="E66" i="62"/>
  <c r="E1741" i="184"/>
  <c r="AA65" i="62"/>
  <c r="W65" i="62"/>
  <c r="V65" i="62"/>
  <c r="J214" i="191"/>
  <c r="P65" i="62"/>
  <c r="U65" i="62" s="1"/>
  <c r="L65" i="62"/>
  <c r="K65" i="62"/>
  <c r="I65" i="62"/>
  <c r="I1704" i="184" s="1"/>
  <c r="H65" i="62"/>
  <c r="H1704" i="184"/>
  <c r="G65" i="62"/>
  <c r="G1704" i="184" s="1"/>
  <c r="F65" i="62"/>
  <c r="E65" i="62"/>
  <c r="E1704" i="184" s="1"/>
  <c r="D65" i="62"/>
  <c r="AA64" i="62"/>
  <c r="W64" i="62"/>
  <c r="K177" i="191" s="1"/>
  <c r="V64" i="62"/>
  <c r="J177" i="191" s="1"/>
  <c r="Q64" i="62"/>
  <c r="L111" i="62" s="1"/>
  <c r="P64" i="62"/>
  <c r="L64" i="62"/>
  <c r="L1667" i="184"/>
  <c r="K64" i="62"/>
  <c r="K1667" i="184" s="1"/>
  <c r="J64" i="62"/>
  <c r="J1667" i="184"/>
  <c r="I64" i="62"/>
  <c r="I1667" i="184" s="1"/>
  <c r="H64" i="62"/>
  <c r="H1667" i="184"/>
  <c r="E64" i="62"/>
  <c r="E1667" i="184" s="1"/>
  <c r="AA63" i="62"/>
  <c r="W63" i="62"/>
  <c r="K140" i="191" s="1"/>
  <c r="V63" i="62"/>
  <c r="J140" i="191" s="1"/>
  <c r="P63" i="62"/>
  <c r="L63" i="62"/>
  <c r="K63" i="62"/>
  <c r="K1630" i="184" s="1"/>
  <c r="J63" i="62"/>
  <c r="J1630" i="184" s="1"/>
  <c r="I63" i="62"/>
  <c r="H63" i="62"/>
  <c r="G63" i="62"/>
  <c r="F63" i="62"/>
  <c r="D39" i="61" s="1"/>
  <c r="E63" i="62"/>
  <c r="D63" i="62"/>
  <c r="D1630" i="184" s="1"/>
  <c r="AA62" i="62"/>
  <c r="W62" i="62"/>
  <c r="K103" i="191"/>
  <c r="V62" i="62"/>
  <c r="J103" i="191" s="1"/>
  <c r="P62" i="62"/>
  <c r="L62" i="62"/>
  <c r="L1593" i="184" s="1"/>
  <c r="K62" i="62"/>
  <c r="K1593" i="184" s="1"/>
  <c r="I62" i="62"/>
  <c r="H62" i="62"/>
  <c r="H1593" i="184"/>
  <c r="G62" i="62"/>
  <c r="G1593" i="184"/>
  <c r="F62" i="62"/>
  <c r="E62" i="62"/>
  <c r="D62" i="62"/>
  <c r="AA61" i="62"/>
  <c r="W61" i="62"/>
  <c r="V61" i="62"/>
  <c r="P61" i="62"/>
  <c r="U61" i="62"/>
  <c r="I66" i="191" s="1"/>
  <c r="L61" i="62"/>
  <c r="J61" i="62"/>
  <c r="J1556" i="184"/>
  <c r="I61" i="62"/>
  <c r="I1556" i="184" s="1"/>
  <c r="H61" i="62"/>
  <c r="H1556" i="184"/>
  <c r="F61" i="62"/>
  <c r="D37" i="61" s="1"/>
  <c r="E61" i="62"/>
  <c r="D61" i="62"/>
  <c r="AA60" i="62"/>
  <c r="W60" i="62"/>
  <c r="V60" i="62"/>
  <c r="J29" i="191"/>
  <c r="P60" i="62"/>
  <c r="U60" i="62" s="1"/>
  <c r="I29" i="191" s="1"/>
  <c r="L60" i="62"/>
  <c r="L1519" i="184" s="1"/>
  <c r="K60" i="62"/>
  <c r="K1519" i="184" s="1"/>
  <c r="J60" i="62"/>
  <c r="I60" i="62"/>
  <c r="H60" i="62"/>
  <c r="H1519" i="184" s="1"/>
  <c r="G60" i="62"/>
  <c r="F60" i="62"/>
  <c r="E60" i="62"/>
  <c r="D60" i="62"/>
  <c r="L1406" i="184"/>
  <c r="I1406" i="184"/>
  <c r="G1406" i="184"/>
  <c r="D31" i="61"/>
  <c r="E1406" i="184"/>
  <c r="D1406" i="184"/>
  <c r="K1369" i="184"/>
  <c r="J1369" i="184"/>
  <c r="H1369" i="184"/>
  <c r="G1369" i="184"/>
  <c r="E1369" i="184"/>
  <c r="L1332" i="184"/>
  <c r="J1332" i="184"/>
  <c r="I1332" i="184"/>
  <c r="D29" i="61"/>
  <c r="E1332" i="184"/>
  <c r="D1332" i="184"/>
  <c r="K1295" i="184"/>
  <c r="J1295" i="184"/>
  <c r="I1295" i="184"/>
  <c r="H1295" i="184"/>
  <c r="L1258" i="184"/>
  <c r="K1258" i="184"/>
  <c r="J1258" i="184"/>
  <c r="D27" i="61"/>
  <c r="L1221" i="184"/>
  <c r="K1221" i="184"/>
  <c r="J1221" i="184"/>
  <c r="I1221" i="184"/>
  <c r="H1221" i="184"/>
  <c r="G1221" i="184"/>
  <c r="L1182" i="184"/>
  <c r="K1182" i="184"/>
  <c r="J1182" i="184"/>
  <c r="I1182" i="184"/>
  <c r="D1182" i="184"/>
  <c r="L1068" i="184"/>
  <c r="K1068" i="184"/>
  <c r="J1068" i="184"/>
  <c r="I1068" i="184"/>
  <c r="H1068" i="184"/>
  <c r="G1068" i="184"/>
  <c r="E1068" i="184"/>
  <c r="D1068" i="184"/>
  <c r="L1031" i="184"/>
  <c r="K1031" i="184"/>
  <c r="J1031" i="184"/>
  <c r="G1031" i="184"/>
  <c r="F1031" i="184"/>
  <c r="E1031" i="184"/>
  <c r="L994" i="184"/>
  <c r="H994" i="184"/>
  <c r="G994" i="184"/>
  <c r="F994" i="184"/>
  <c r="D994" i="184"/>
  <c r="K957" i="184"/>
  <c r="J957" i="184"/>
  <c r="I957" i="184"/>
  <c r="H957" i="184"/>
  <c r="E957" i="184"/>
  <c r="L920" i="184"/>
  <c r="K920" i="184"/>
  <c r="I920" i="184"/>
  <c r="E920" i="184"/>
  <c r="D920" i="184"/>
  <c r="G883" i="184"/>
  <c r="F883" i="184"/>
  <c r="D883" i="184"/>
  <c r="L35" i="62"/>
  <c r="L846" i="184" s="1"/>
  <c r="K35" i="62"/>
  <c r="K846" i="184" s="1"/>
  <c r="J35" i="62"/>
  <c r="J846" i="184" s="1"/>
  <c r="I35" i="62"/>
  <c r="H35" i="62"/>
  <c r="H846" i="184" s="1"/>
  <c r="G35" i="62"/>
  <c r="F35" i="62"/>
  <c r="F846" i="184" s="1"/>
  <c r="E35" i="62"/>
  <c r="E846" i="184" s="1"/>
  <c r="D35" i="62"/>
  <c r="R34" i="62"/>
  <c r="L109" i="62" s="1"/>
  <c r="L34" i="62"/>
  <c r="K34" i="62"/>
  <c r="J34" i="62"/>
  <c r="J809" i="184"/>
  <c r="I34" i="62"/>
  <c r="I809" i="184" s="1"/>
  <c r="H34" i="62"/>
  <c r="H809" i="184"/>
  <c r="G34" i="62"/>
  <c r="G809" i="184" s="1"/>
  <c r="D34" i="62"/>
  <c r="L33" i="62"/>
  <c r="L772" i="184" s="1"/>
  <c r="K33" i="62"/>
  <c r="K772" i="184" s="1"/>
  <c r="J33" i="62"/>
  <c r="I33" i="62"/>
  <c r="I772" i="184"/>
  <c r="H33" i="62"/>
  <c r="G33" i="62"/>
  <c r="G772" i="184" s="1"/>
  <c r="F33" i="62"/>
  <c r="F772" i="184" s="1"/>
  <c r="E33" i="62"/>
  <c r="D33" i="62"/>
  <c r="D772" i="184" s="1"/>
  <c r="Q32" i="62"/>
  <c r="L108" i="62"/>
  <c r="L32" i="62"/>
  <c r="L735" i="184" s="1"/>
  <c r="K32" i="62"/>
  <c r="J32" i="62"/>
  <c r="J735" i="184" s="1"/>
  <c r="I32" i="62"/>
  <c r="I735" i="184" s="1"/>
  <c r="H32" i="62"/>
  <c r="H735" i="184" s="1"/>
  <c r="G32" i="62"/>
  <c r="G735" i="184" s="1"/>
  <c r="F32" i="62"/>
  <c r="E32" i="62"/>
  <c r="E735" i="184" s="1"/>
  <c r="D32" i="62"/>
  <c r="D735" i="184"/>
  <c r="L623" i="184"/>
  <c r="K623" i="184"/>
  <c r="J623" i="184"/>
  <c r="H623" i="184"/>
  <c r="F623" i="184"/>
  <c r="K586" i="184"/>
  <c r="H586" i="184"/>
  <c r="F586" i="184"/>
  <c r="E586" i="184"/>
  <c r="J549" i="184"/>
  <c r="I549" i="184"/>
  <c r="G549" i="184"/>
  <c r="E549" i="184"/>
  <c r="L512" i="184"/>
  <c r="K512" i="184"/>
  <c r="J512" i="184"/>
  <c r="H512" i="184"/>
  <c r="E512" i="184"/>
  <c r="L475" i="184"/>
  <c r="J475" i="184"/>
  <c r="G475" i="184"/>
  <c r="F475" i="184"/>
  <c r="E475" i="184"/>
  <c r="K438" i="184"/>
  <c r="J438" i="184"/>
  <c r="I438" i="184"/>
  <c r="G438" i="184"/>
  <c r="E438" i="184"/>
  <c r="D438" i="184"/>
  <c r="L22" i="62"/>
  <c r="L401" i="184" s="1"/>
  <c r="K22" i="62"/>
  <c r="K401" i="184" s="1"/>
  <c r="J22" i="62"/>
  <c r="J401" i="184" s="1"/>
  <c r="I22" i="62"/>
  <c r="I401" i="184" s="1"/>
  <c r="H22" i="62"/>
  <c r="H401" i="184" s="1"/>
  <c r="G22" i="62"/>
  <c r="G401" i="184" s="1"/>
  <c r="F22" i="62"/>
  <c r="F401" i="184" s="1"/>
  <c r="D22" i="62"/>
  <c r="L21" i="62"/>
  <c r="K21" i="62"/>
  <c r="K364" i="184" s="1"/>
  <c r="J21" i="62"/>
  <c r="J364" i="184" s="1"/>
  <c r="I21" i="62"/>
  <c r="I364" i="184" s="1"/>
  <c r="H21" i="62"/>
  <c r="H364" i="184" s="1"/>
  <c r="G21" i="62"/>
  <c r="G364" i="184" s="1"/>
  <c r="F21" i="62"/>
  <c r="F364" i="184" s="1"/>
  <c r="E21" i="62"/>
  <c r="E364" i="184" s="1"/>
  <c r="D21" i="62"/>
  <c r="D364" i="184" s="1"/>
  <c r="L20" i="62"/>
  <c r="K20" i="62"/>
  <c r="K327" i="184"/>
  <c r="J20" i="62"/>
  <c r="J327" i="184" s="1"/>
  <c r="I20" i="62"/>
  <c r="H20" i="62"/>
  <c r="F20" i="62"/>
  <c r="E20" i="62"/>
  <c r="E327" i="184" s="1"/>
  <c r="D20" i="62"/>
  <c r="L19" i="62"/>
  <c r="L290" i="184"/>
  <c r="K19" i="62"/>
  <c r="J19" i="62"/>
  <c r="I19" i="62"/>
  <c r="I290" i="184" s="1"/>
  <c r="H19" i="62"/>
  <c r="G19" i="62"/>
  <c r="G290" i="184" s="1"/>
  <c r="F19" i="62"/>
  <c r="F290" i="184" s="1"/>
  <c r="D19" i="62"/>
  <c r="G177" i="184"/>
  <c r="E177" i="184"/>
  <c r="D177" i="184"/>
  <c r="L140" i="184"/>
  <c r="J140" i="184"/>
  <c r="I140" i="184"/>
  <c r="K103" i="184"/>
  <c r="J103" i="184"/>
  <c r="I103" i="184"/>
  <c r="G103" i="184"/>
  <c r="E103" i="184"/>
  <c r="L66" i="184"/>
  <c r="K66" i="184"/>
  <c r="J66" i="184"/>
  <c r="I66" i="184"/>
  <c r="H66" i="184"/>
  <c r="D11" i="61"/>
  <c r="E66" i="184"/>
  <c r="I29" i="184"/>
  <c r="D10" i="61"/>
  <c r="E29" i="184"/>
  <c r="D29" i="184"/>
  <c r="M100" i="57"/>
  <c r="M2563" i="184"/>
  <c r="Q92" i="57"/>
  <c r="AE19" i="231" s="1"/>
  <c r="O92" i="57"/>
  <c r="K92" i="57"/>
  <c r="K2483" i="184" s="1"/>
  <c r="J92" i="57"/>
  <c r="J2483" i="184" s="1"/>
  <c r="G92" i="57"/>
  <c r="G2483" i="184" s="1"/>
  <c r="F92" i="57"/>
  <c r="F2483" i="184" s="1"/>
  <c r="E92" i="57"/>
  <c r="D92" i="57"/>
  <c r="D2483" i="184" s="1"/>
  <c r="K91" i="57"/>
  <c r="K2446" i="184" s="1"/>
  <c r="J91" i="57"/>
  <c r="J2446" i="184" s="1"/>
  <c r="I91" i="57"/>
  <c r="I2446" i="184" s="1"/>
  <c r="H91" i="57"/>
  <c r="H2446" i="184" s="1"/>
  <c r="G91" i="57"/>
  <c r="G2446" i="184" s="1"/>
  <c r="F91" i="57"/>
  <c r="E91" i="57"/>
  <c r="E2446" i="184" s="1"/>
  <c r="D91" i="57"/>
  <c r="D2446" i="184" s="1"/>
  <c r="L90" i="57"/>
  <c r="L2409" i="184" s="1"/>
  <c r="K90" i="57"/>
  <c r="K2409" i="184" s="1"/>
  <c r="I90" i="57"/>
  <c r="I2409" i="184" s="1"/>
  <c r="H90" i="57"/>
  <c r="H2409" i="184" s="1"/>
  <c r="G90" i="57"/>
  <c r="G2409" i="184" s="1"/>
  <c r="F90" i="57"/>
  <c r="F2409" i="184" s="1"/>
  <c r="D90" i="57"/>
  <c r="L89" i="57"/>
  <c r="L2372" i="184"/>
  <c r="J89" i="57"/>
  <c r="J2372" i="184" s="1"/>
  <c r="I89" i="57"/>
  <c r="I2372" i="184" s="1"/>
  <c r="H89" i="57"/>
  <c r="H2372" i="184"/>
  <c r="G89" i="57"/>
  <c r="G2372" i="184"/>
  <c r="F89" i="57"/>
  <c r="F2372" i="184"/>
  <c r="E89" i="57"/>
  <c r="E2372" i="184" s="1"/>
  <c r="D89" i="57"/>
  <c r="D2372" i="184"/>
  <c r="L88" i="57"/>
  <c r="L2335" i="184"/>
  <c r="J88" i="57"/>
  <c r="J2335" i="184" s="1"/>
  <c r="I88" i="57"/>
  <c r="I2335" i="184" s="1"/>
  <c r="H88" i="57"/>
  <c r="H2335" i="184"/>
  <c r="G88" i="57"/>
  <c r="G2335" i="184"/>
  <c r="F88" i="57"/>
  <c r="F2335" i="184"/>
  <c r="E88" i="57"/>
  <c r="E2335" i="184" s="1"/>
  <c r="D88" i="57"/>
  <c r="L87" i="57"/>
  <c r="L2298" i="184" s="1"/>
  <c r="K87" i="57"/>
  <c r="K2298" i="184" s="1"/>
  <c r="J87" i="57"/>
  <c r="J2298" i="184" s="1"/>
  <c r="I87" i="57"/>
  <c r="I2298" i="184" s="1"/>
  <c r="H87" i="57"/>
  <c r="H2298" i="184" s="1"/>
  <c r="G87" i="57"/>
  <c r="G2298" i="184" s="1"/>
  <c r="F87" i="57"/>
  <c r="F2298" i="184" s="1"/>
  <c r="E87" i="57"/>
  <c r="D87" i="57"/>
  <c r="L82" i="57"/>
  <c r="L2185" i="184" s="1"/>
  <c r="K82" i="57"/>
  <c r="K2185" i="184" s="1"/>
  <c r="J82" i="57"/>
  <c r="J2185" i="184" s="1"/>
  <c r="I82" i="57"/>
  <c r="I2185" i="184" s="1"/>
  <c r="H82" i="57"/>
  <c r="G82" i="57"/>
  <c r="G2185" i="184" s="1"/>
  <c r="F82" i="57"/>
  <c r="D58" i="56"/>
  <c r="E82" i="57"/>
  <c r="E2185" i="184" s="1"/>
  <c r="D82" i="57"/>
  <c r="L81" i="57"/>
  <c r="L2148" i="184" s="1"/>
  <c r="K81" i="57"/>
  <c r="J81" i="57"/>
  <c r="J2148" i="184" s="1"/>
  <c r="I81" i="57"/>
  <c r="H81" i="57"/>
  <c r="G81" i="57"/>
  <c r="G2148" i="184" s="1"/>
  <c r="F81" i="57"/>
  <c r="E81" i="57"/>
  <c r="R80" i="57"/>
  <c r="L116" i="57"/>
  <c r="R77" i="57"/>
  <c r="L115" i="57"/>
  <c r="K77" i="57"/>
  <c r="K2072" i="184"/>
  <c r="J77" i="57"/>
  <c r="I77" i="57"/>
  <c r="I2072" i="184" s="1"/>
  <c r="H77" i="57"/>
  <c r="G77" i="57"/>
  <c r="G2072" i="184" s="1"/>
  <c r="F77" i="57"/>
  <c r="F2072" i="184" s="1"/>
  <c r="E77" i="57"/>
  <c r="E2072" i="184"/>
  <c r="D77" i="57"/>
  <c r="L76" i="57"/>
  <c r="K76" i="57"/>
  <c r="K2035" i="184"/>
  <c r="J76" i="57"/>
  <c r="J2035" i="184"/>
  <c r="I76" i="57"/>
  <c r="H76" i="57"/>
  <c r="H2035" i="184" s="1"/>
  <c r="G76" i="57"/>
  <c r="F76" i="57"/>
  <c r="F2035" i="184"/>
  <c r="E76" i="57"/>
  <c r="E2035" i="184" s="1"/>
  <c r="D76" i="57"/>
  <c r="L75" i="57"/>
  <c r="L1998" i="184" s="1"/>
  <c r="K75" i="57"/>
  <c r="K1998" i="184" s="1"/>
  <c r="J75" i="57"/>
  <c r="J1998" i="184" s="1"/>
  <c r="I75" i="57"/>
  <c r="I1998" i="184" s="1"/>
  <c r="H75" i="57"/>
  <c r="H1998" i="184" s="1"/>
  <c r="G75" i="57"/>
  <c r="G1998" i="184" s="1"/>
  <c r="F75" i="57"/>
  <c r="D51" i="56" s="1"/>
  <c r="E75" i="57"/>
  <c r="E1998" i="184" s="1"/>
  <c r="D75" i="57"/>
  <c r="L74" i="57"/>
  <c r="L1961" i="184" s="1"/>
  <c r="K74" i="57"/>
  <c r="J74" i="57"/>
  <c r="J1961" i="184" s="1"/>
  <c r="I74" i="57"/>
  <c r="H74" i="57"/>
  <c r="H1961" i="184" s="1"/>
  <c r="G74" i="57"/>
  <c r="F74" i="57"/>
  <c r="F1961" i="184" s="1"/>
  <c r="E74" i="57"/>
  <c r="E1961" i="184" s="1"/>
  <c r="D74" i="57"/>
  <c r="D1961" i="184" s="1"/>
  <c r="K70" i="57"/>
  <c r="K1885" i="184" s="1"/>
  <c r="J70" i="57"/>
  <c r="J1885" i="184" s="1"/>
  <c r="I70" i="57"/>
  <c r="I1885" i="184" s="1"/>
  <c r="G70" i="57"/>
  <c r="F70" i="57"/>
  <c r="D46" i="56"/>
  <c r="E70" i="57"/>
  <c r="D70" i="57"/>
  <c r="D1885" i="184" s="1"/>
  <c r="K69" i="57"/>
  <c r="K1848" i="184" s="1"/>
  <c r="J69" i="57"/>
  <c r="J1848" i="184" s="1"/>
  <c r="I69" i="57"/>
  <c r="I1848" i="184" s="1"/>
  <c r="G69" i="57"/>
  <c r="G1848" i="184" s="1"/>
  <c r="D69" i="57"/>
  <c r="AA68" i="57"/>
  <c r="L68" i="57"/>
  <c r="L1811" i="184" s="1"/>
  <c r="K68" i="57"/>
  <c r="K1811" i="184" s="1"/>
  <c r="J68" i="57"/>
  <c r="H68" i="57"/>
  <c r="H1811" i="184"/>
  <c r="G68" i="57"/>
  <c r="F68" i="57"/>
  <c r="E68" i="57"/>
  <c r="E1811" i="184" s="1"/>
  <c r="D68" i="57"/>
  <c r="D1811" i="184" s="1"/>
  <c r="AA67" i="57"/>
  <c r="W67" i="57"/>
  <c r="K284" i="191" s="1"/>
  <c r="V67" i="57"/>
  <c r="J284" i="191" s="1"/>
  <c r="P67" i="57"/>
  <c r="L67" i="57"/>
  <c r="L1774" i="184" s="1"/>
  <c r="J67" i="57"/>
  <c r="J1774" i="184" s="1"/>
  <c r="I67" i="57"/>
  <c r="I1774" i="184"/>
  <c r="H67" i="57"/>
  <c r="H1774" i="184" s="1"/>
  <c r="G67" i="57"/>
  <c r="G1774" i="184" s="1"/>
  <c r="F67" i="57"/>
  <c r="E67" i="57"/>
  <c r="E1774" i="184" s="1"/>
  <c r="D67" i="57"/>
  <c r="AA66" i="57"/>
  <c r="W66" i="57"/>
  <c r="V66" i="57"/>
  <c r="J247" i="191"/>
  <c r="P66" i="57"/>
  <c r="D247" i="191"/>
  <c r="L66" i="57"/>
  <c r="L1737" i="184" s="1"/>
  <c r="K66" i="57"/>
  <c r="K1737" i="184" s="1"/>
  <c r="I66" i="57"/>
  <c r="I1737" i="184"/>
  <c r="H66" i="57"/>
  <c r="H1737" i="184"/>
  <c r="G66" i="57"/>
  <c r="F66" i="57"/>
  <c r="D42" i="56" s="1"/>
  <c r="E66" i="57"/>
  <c r="E1737" i="184" s="1"/>
  <c r="AA65" i="57"/>
  <c r="W65" i="57"/>
  <c r="V65" i="57"/>
  <c r="J210" i="191" s="1"/>
  <c r="P65" i="57"/>
  <c r="L65" i="57"/>
  <c r="L1700" i="184" s="1"/>
  <c r="K65" i="57"/>
  <c r="I65" i="57"/>
  <c r="I1700" i="184" s="1"/>
  <c r="H65" i="57"/>
  <c r="H1700" i="184" s="1"/>
  <c r="G65" i="57"/>
  <c r="F65" i="57"/>
  <c r="E65" i="57"/>
  <c r="D65" i="57"/>
  <c r="D1700" i="184" s="1"/>
  <c r="AA64" i="57"/>
  <c r="W64" i="57"/>
  <c r="K173" i="191" s="1"/>
  <c r="V64" i="57"/>
  <c r="J173" i="191" s="1"/>
  <c r="Q64" i="57"/>
  <c r="L111" i="57" s="1"/>
  <c r="P64" i="57"/>
  <c r="L64" i="57"/>
  <c r="L1663" i="184"/>
  <c r="K64" i="57"/>
  <c r="K1663" i="184" s="1"/>
  <c r="J64" i="57"/>
  <c r="J1663" i="184" s="1"/>
  <c r="I64" i="57"/>
  <c r="H64" i="57"/>
  <c r="H1663" i="184" s="1"/>
  <c r="E64" i="57"/>
  <c r="AA63" i="57"/>
  <c r="W63" i="57"/>
  <c r="K136" i="191" s="1"/>
  <c r="V63" i="57"/>
  <c r="P63" i="57"/>
  <c r="L63" i="57"/>
  <c r="L1626" i="184" s="1"/>
  <c r="K63" i="57"/>
  <c r="K1626" i="184" s="1"/>
  <c r="J63" i="57"/>
  <c r="J1626" i="184" s="1"/>
  <c r="I63" i="57"/>
  <c r="I1626" i="184" s="1"/>
  <c r="H63" i="57"/>
  <c r="G63" i="57"/>
  <c r="F63" i="57"/>
  <c r="E63" i="57"/>
  <c r="E1626" i="184" s="1"/>
  <c r="D63" i="57"/>
  <c r="AA62" i="57"/>
  <c r="W62" i="57"/>
  <c r="V62" i="57"/>
  <c r="J99" i="191" s="1"/>
  <c r="P62" i="57"/>
  <c r="D99" i="191" s="1"/>
  <c r="L62" i="57"/>
  <c r="L1589" i="184" s="1"/>
  <c r="K62" i="57"/>
  <c r="I62" i="57"/>
  <c r="I1589" i="184" s="1"/>
  <c r="H62" i="57"/>
  <c r="H1589" i="184" s="1"/>
  <c r="G62" i="57"/>
  <c r="G1589" i="184"/>
  <c r="F62" i="57"/>
  <c r="E62" i="57"/>
  <c r="E1589" i="184" s="1"/>
  <c r="D62" i="57"/>
  <c r="AA61" i="57"/>
  <c r="W61" i="57"/>
  <c r="K62" i="191" s="1"/>
  <c r="V61" i="57"/>
  <c r="J62" i="191" s="1"/>
  <c r="P61" i="57"/>
  <c r="U61" i="57" s="1"/>
  <c r="I62" i="191" s="1"/>
  <c r="L61" i="57"/>
  <c r="J61" i="57"/>
  <c r="I61" i="57"/>
  <c r="I1552" i="184" s="1"/>
  <c r="H61" i="57"/>
  <c r="H1552" i="184"/>
  <c r="F61" i="57"/>
  <c r="E61" i="57"/>
  <c r="E1552" i="184" s="1"/>
  <c r="D61" i="57"/>
  <c r="AA60" i="57"/>
  <c r="W60" i="57"/>
  <c r="K25" i="191" s="1"/>
  <c r="V60" i="57"/>
  <c r="J25" i="191" s="1"/>
  <c r="P60" i="57"/>
  <c r="L60" i="57"/>
  <c r="L1515" i="184" s="1"/>
  <c r="K60" i="57"/>
  <c r="K1515" i="184" s="1"/>
  <c r="J60" i="57"/>
  <c r="J1515" i="184"/>
  <c r="I60" i="57"/>
  <c r="I1515" i="184" s="1"/>
  <c r="H60" i="57"/>
  <c r="H1515" i="184" s="1"/>
  <c r="G60" i="57"/>
  <c r="G1515" i="184" s="1"/>
  <c r="F60" i="57"/>
  <c r="D36" i="56"/>
  <c r="E60" i="57"/>
  <c r="E1515" i="184" s="1"/>
  <c r="D60" i="57"/>
  <c r="D1515" i="184" s="1"/>
  <c r="I1402" i="184"/>
  <c r="H1402" i="184"/>
  <c r="G1402" i="184"/>
  <c r="L1365" i="184"/>
  <c r="J1365" i="184"/>
  <c r="E1365" i="184"/>
  <c r="K1328" i="184"/>
  <c r="J1328" i="184"/>
  <c r="I1328" i="184"/>
  <c r="G1328" i="184"/>
  <c r="E1328" i="184"/>
  <c r="L1291" i="184"/>
  <c r="K1291" i="184"/>
  <c r="J1291" i="184"/>
  <c r="D1291" i="184"/>
  <c r="H1254" i="184"/>
  <c r="L1217" i="184"/>
  <c r="J1217" i="184"/>
  <c r="I1217" i="184"/>
  <c r="E1217" i="184"/>
  <c r="D1217" i="184"/>
  <c r="K1178" i="184"/>
  <c r="J1178" i="184"/>
  <c r="D23" i="56"/>
  <c r="E1178" i="184"/>
  <c r="K1064" i="184"/>
  <c r="J1064" i="184"/>
  <c r="G1064" i="184"/>
  <c r="F1064" i="184"/>
  <c r="L1027" i="184"/>
  <c r="G1027" i="184"/>
  <c r="D1027" i="184"/>
  <c r="J990" i="184"/>
  <c r="I990" i="184"/>
  <c r="H990" i="184"/>
  <c r="G990" i="184"/>
  <c r="E990" i="184"/>
  <c r="K953" i="184"/>
  <c r="J953" i="184"/>
  <c r="I953" i="184"/>
  <c r="H953" i="184"/>
  <c r="L916" i="184"/>
  <c r="K916" i="184"/>
  <c r="F916" i="184"/>
  <c r="E916" i="184"/>
  <c r="D916" i="184"/>
  <c r="J879" i="184"/>
  <c r="H879" i="184"/>
  <c r="F879" i="184"/>
  <c r="L35" i="57"/>
  <c r="L842" i="184" s="1"/>
  <c r="K35" i="57"/>
  <c r="J35" i="57"/>
  <c r="I35" i="57"/>
  <c r="I842" i="184" s="1"/>
  <c r="H35" i="57"/>
  <c r="H842" i="184" s="1"/>
  <c r="G35" i="57"/>
  <c r="G842" i="184" s="1"/>
  <c r="F35" i="57"/>
  <c r="F842" i="184" s="1"/>
  <c r="E35" i="57"/>
  <c r="E842" i="184" s="1"/>
  <c r="D35" i="57"/>
  <c r="D842" i="184" s="1"/>
  <c r="R34" i="57"/>
  <c r="L109" i="57" s="1"/>
  <c r="L34" i="57"/>
  <c r="K34" i="57"/>
  <c r="J34" i="57"/>
  <c r="I34" i="57"/>
  <c r="I805" i="184" s="1"/>
  <c r="H34" i="57"/>
  <c r="H805" i="184" s="1"/>
  <c r="G34" i="57"/>
  <c r="D34" i="57"/>
  <c r="D805" i="184" s="1"/>
  <c r="L33" i="57"/>
  <c r="L768" i="184" s="1"/>
  <c r="K33" i="57"/>
  <c r="K768" i="184" s="1"/>
  <c r="J33" i="57"/>
  <c r="J768" i="184" s="1"/>
  <c r="I33" i="57"/>
  <c r="I768" i="184" s="1"/>
  <c r="H33" i="57"/>
  <c r="H768" i="184" s="1"/>
  <c r="G33" i="57"/>
  <c r="F33" i="57"/>
  <c r="E33" i="57"/>
  <c r="E768" i="184" s="1"/>
  <c r="D33" i="57"/>
  <c r="Q32" i="57"/>
  <c r="L108" i="57"/>
  <c r="L32" i="57"/>
  <c r="K32" i="57"/>
  <c r="K731" i="184" s="1"/>
  <c r="J32" i="57"/>
  <c r="J731" i="184" s="1"/>
  <c r="I32" i="57"/>
  <c r="I731" i="184" s="1"/>
  <c r="H32" i="57"/>
  <c r="G32" i="57"/>
  <c r="G731" i="184"/>
  <c r="F32" i="57"/>
  <c r="F731" i="184" s="1"/>
  <c r="E32" i="57"/>
  <c r="E731" i="184" s="1"/>
  <c r="D32" i="57"/>
  <c r="D731" i="184"/>
  <c r="L619" i="184"/>
  <c r="I619" i="184"/>
  <c r="F619" i="184"/>
  <c r="K582" i="184"/>
  <c r="J582" i="184"/>
  <c r="G582" i="184"/>
  <c r="F582" i="184"/>
  <c r="E582" i="184"/>
  <c r="I545" i="184"/>
  <c r="H545" i="184"/>
  <c r="E545" i="184"/>
  <c r="D545" i="184"/>
  <c r="J508" i="184"/>
  <c r="I508" i="184"/>
  <c r="E508" i="184"/>
  <c r="L471" i="184"/>
  <c r="K471" i="184"/>
  <c r="I471" i="184"/>
  <c r="H471" i="184"/>
  <c r="E471" i="184"/>
  <c r="K434" i="184"/>
  <c r="L22" i="57"/>
  <c r="L397" i="184" s="1"/>
  <c r="K22" i="57"/>
  <c r="K397" i="184" s="1"/>
  <c r="J22" i="57"/>
  <c r="J397" i="184" s="1"/>
  <c r="I22" i="57"/>
  <c r="I397" i="184" s="1"/>
  <c r="H22" i="57"/>
  <c r="H397" i="184" s="1"/>
  <c r="G22" i="57"/>
  <c r="G397" i="184" s="1"/>
  <c r="F22" i="57"/>
  <c r="F397" i="184" s="1"/>
  <c r="D22" i="57"/>
  <c r="D397" i="184" s="1"/>
  <c r="L21" i="57"/>
  <c r="L360" i="184" s="1"/>
  <c r="K21" i="57"/>
  <c r="J21" i="57"/>
  <c r="J360" i="184" s="1"/>
  <c r="I21" i="57"/>
  <c r="I360" i="184"/>
  <c r="H21" i="57"/>
  <c r="H360" i="184"/>
  <c r="G21" i="57"/>
  <c r="F21" i="57"/>
  <c r="F360" i="184" s="1"/>
  <c r="E21" i="57"/>
  <c r="E360" i="184" s="1"/>
  <c r="D21" i="57"/>
  <c r="D360" i="184" s="1"/>
  <c r="L20" i="57"/>
  <c r="L323" i="184" s="1"/>
  <c r="K20" i="57"/>
  <c r="K323" i="184" s="1"/>
  <c r="J20" i="57"/>
  <c r="J323" i="184" s="1"/>
  <c r="I20" i="57"/>
  <c r="I323" i="184" s="1"/>
  <c r="H20" i="57"/>
  <c r="H323" i="184" s="1"/>
  <c r="F20" i="57"/>
  <c r="E20" i="57"/>
  <c r="E323" i="184" s="1"/>
  <c r="D20" i="57"/>
  <c r="L19" i="57"/>
  <c r="L286" i="184" s="1"/>
  <c r="K19" i="57"/>
  <c r="J19" i="57"/>
  <c r="J286" i="184" s="1"/>
  <c r="I19" i="57"/>
  <c r="I286" i="184"/>
  <c r="H19" i="57"/>
  <c r="H286" i="184"/>
  <c r="G19" i="57"/>
  <c r="F19" i="57"/>
  <c r="F286" i="184" s="1"/>
  <c r="D19" i="57"/>
  <c r="D286" i="184" s="1"/>
  <c r="K173" i="184"/>
  <c r="J173" i="184"/>
  <c r="H173" i="184"/>
  <c r="G173" i="184"/>
  <c r="D173" i="184"/>
  <c r="L136" i="184"/>
  <c r="K136" i="184"/>
  <c r="E136" i="184"/>
  <c r="L99" i="184"/>
  <c r="K99" i="184"/>
  <c r="J99" i="184"/>
  <c r="H99" i="184"/>
  <c r="G99" i="184"/>
  <c r="D99" i="184"/>
  <c r="L62" i="184"/>
  <c r="J62" i="184"/>
  <c r="I62" i="184"/>
  <c r="K25" i="184"/>
  <c r="G25" i="184"/>
  <c r="M100" i="52"/>
  <c r="Q92" i="52"/>
  <c r="AE18" i="231" s="1"/>
  <c r="O92" i="52"/>
  <c r="AD18" i="231" s="1"/>
  <c r="K92" i="52"/>
  <c r="J92" i="52"/>
  <c r="J2496" i="184" s="1"/>
  <c r="G92" i="52"/>
  <c r="G2496" i="184"/>
  <c r="F92" i="52"/>
  <c r="F2496" i="184"/>
  <c r="E92" i="52"/>
  <c r="E2496" i="184" s="1"/>
  <c r="D92" i="52"/>
  <c r="D2496" i="184" s="1"/>
  <c r="K91" i="52"/>
  <c r="K2459" i="184"/>
  <c r="J91" i="52"/>
  <c r="I91" i="52"/>
  <c r="I2459" i="184" s="1"/>
  <c r="H91" i="52"/>
  <c r="H2459" i="184" s="1"/>
  <c r="G91" i="52"/>
  <c r="F91" i="52"/>
  <c r="F2459" i="184" s="1"/>
  <c r="E91" i="52"/>
  <c r="E2459" i="184"/>
  <c r="D91" i="52"/>
  <c r="D2459" i="184"/>
  <c r="L90" i="52"/>
  <c r="K90" i="52"/>
  <c r="I90" i="52"/>
  <c r="I2422" i="184"/>
  <c r="H90" i="52"/>
  <c r="H2422" i="184"/>
  <c r="G90" i="52"/>
  <c r="G2422" i="184"/>
  <c r="F90" i="52"/>
  <c r="F2422" i="184" s="1"/>
  <c r="D90" i="52"/>
  <c r="D2422" i="184"/>
  <c r="L89" i="52"/>
  <c r="L2385" i="184"/>
  <c r="J89" i="52"/>
  <c r="J2385" i="184"/>
  <c r="I89" i="52"/>
  <c r="I2385" i="184" s="1"/>
  <c r="H89" i="52"/>
  <c r="H2385" i="184"/>
  <c r="G89" i="52"/>
  <c r="G2385" i="184"/>
  <c r="F89" i="52"/>
  <c r="E89" i="52"/>
  <c r="E2385" i="184" s="1"/>
  <c r="D89" i="52"/>
  <c r="D2385" i="184" s="1"/>
  <c r="L88" i="52"/>
  <c r="L2348" i="184" s="1"/>
  <c r="J88" i="52"/>
  <c r="J2348" i="184" s="1"/>
  <c r="I88" i="52"/>
  <c r="I2348" i="184" s="1"/>
  <c r="H88" i="52"/>
  <c r="G88" i="52"/>
  <c r="G2348" i="184" s="1"/>
  <c r="F88" i="52"/>
  <c r="F2348" i="184"/>
  <c r="E88" i="52"/>
  <c r="E2348" i="184" s="1"/>
  <c r="D88" i="52"/>
  <c r="L87" i="52"/>
  <c r="L2311" i="184" s="1"/>
  <c r="K87" i="52"/>
  <c r="K2311" i="184" s="1"/>
  <c r="J87" i="52"/>
  <c r="J2311" i="184" s="1"/>
  <c r="I87" i="52"/>
  <c r="I2311" i="184" s="1"/>
  <c r="H87" i="52"/>
  <c r="H2311" i="184" s="1"/>
  <c r="G87" i="52"/>
  <c r="G2311" i="184" s="1"/>
  <c r="F87" i="52"/>
  <c r="E87" i="52"/>
  <c r="D87" i="52"/>
  <c r="L82" i="52"/>
  <c r="K82" i="52"/>
  <c r="K2198" i="184" s="1"/>
  <c r="J82" i="52"/>
  <c r="I82" i="52"/>
  <c r="I2198" i="184" s="1"/>
  <c r="H82" i="52"/>
  <c r="G82" i="52"/>
  <c r="F82" i="52"/>
  <c r="D58" i="51"/>
  <c r="E82" i="52"/>
  <c r="E2198" i="184"/>
  <c r="D82" i="52"/>
  <c r="D2198" i="184" s="1"/>
  <c r="L81" i="52"/>
  <c r="L2161" i="184"/>
  <c r="K81" i="52"/>
  <c r="J81" i="52"/>
  <c r="I81" i="52"/>
  <c r="H81" i="52"/>
  <c r="G81" i="52"/>
  <c r="G2161" i="184" s="1"/>
  <c r="F81" i="52"/>
  <c r="E81" i="52"/>
  <c r="E2161" i="184" s="1"/>
  <c r="R80" i="52"/>
  <c r="R77" i="52"/>
  <c r="K77" i="52"/>
  <c r="K2085" i="184" s="1"/>
  <c r="J77" i="52"/>
  <c r="I77" i="52"/>
  <c r="I2085" i="184" s="1"/>
  <c r="H77" i="52"/>
  <c r="G77" i="52"/>
  <c r="G2085" i="184" s="1"/>
  <c r="F77" i="52"/>
  <c r="E77" i="52"/>
  <c r="E2085" i="184"/>
  <c r="D77" i="52"/>
  <c r="D2085" i="184"/>
  <c r="L76" i="52"/>
  <c r="L2048" i="184" s="1"/>
  <c r="K76" i="52"/>
  <c r="J76" i="52"/>
  <c r="J2048" i="184" s="1"/>
  <c r="I76" i="52"/>
  <c r="H76" i="52"/>
  <c r="H2048" i="184" s="1"/>
  <c r="G76" i="52"/>
  <c r="G2048" i="184" s="1"/>
  <c r="F76" i="52"/>
  <c r="E76" i="52"/>
  <c r="E2048" i="184" s="1"/>
  <c r="D76" i="52"/>
  <c r="L75" i="52"/>
  <c r="K75" i="52"/>
  <c r="J75" i="52"/>
  <c r="J2011" i="184"/>
  <c r="I75" i="52"/>
  <c r="I2011" i="184" s="1"/>
  <c r="H75" i="52"/>
  <c r="H2011" i="184" s="1"/>
  <c r="G75" i="52"/>
  <c r="F75" i="52"/>
  <c r="F2011" i="184" s="1"/>
  <c r="E75" i="52"/>
  <c r="E2011" i="184" s="1"/>
  <c r="D75" i="52"/>
  <c r="L74" i="52"/>
  <c r="K74" i="52"/>
  <c r="K1974" i="184" s="1"/>
  <c r="J74" i="52"/>
  <c r="J1974" i="184" s="1"/>
  <c r="I74" i="52"/>
  <c r="I1974" i="184" s="1"/>
  <c r="H74" i="52"/>
  <c r="G74" i="52"/>
  <c r="G1974" i="184" s="1"/>
  <c r="F74" i="52"/>
  <c r="D50" i="51" s="1"/>
  <c r="E74" i="52"/>
  <c r="D74" i="52"/>
  <c r="D1974" i="184" s="1"/>
  <c r="K70" i="52"/>
  <c r="K1898" i="184" s="1"/>
  <c r="J70" i="52"/>
  <c r="J1898" i="184" s="1"/>
  <c r="I70" i="52"/>
  <c r="I1898" i="184" s="1"/>
  <c r="G70" i="52"/>
  <c r="F70" i="52"/>
  <c r="F1898" i="184" s="1"/>
  <c r="E70" i="52"/>
  <c r="E1898" i="184"/>
  <c r="D70" i="52"/>
  <c r="K69" i="52"/>
  <c r="K1861" i="184" s="1"/>
  <c r="J69" i="52"/>
  <c r="I69" i="52"/>
  <c r="I1861" i="184"/>
  <c r="G69" i="52"/>
  <c r="G1861" i="184" s="1"/>
  <c r="D69" i="52"/>
  <c r="D1861" i="184" s="1"/>
  <c r="AA68" i="52"/>
  <c r="L68" i="52"/>
  <c r="L1824" i="184" s="1"/>
  <c r="K68" i="52"/>
  <c r="K1824" i="184" s="1"/>
  <c r="J68" i="52"/>
  <c r="H68" i="52"/>
  <c r="H1824" i="184"/>
  <c r="G68" i="52"/>
  <c r="G1824" i="184"/>
  <c r="F68" i="52"/>
  <c r="F1824" i="184"/>
  <c r="E68" i="52"/>
  <c r="E1824" i="184"/>
  <c r="D68" i="52"/>
  <c r="D1824" i="184"/>
  <c r="AA67" i="52"/>
  <c r="W67" i="52"/>
  <c r="V67" i="52"/>
  <c r="J297" i="191"/>
  <c r="P67" i="52"/>
  <c r="L67" i="52"/>
  <c r="L1787" i="184" s="1"/>
  <c r="J67" i="52"/>
  <c r="I67" i="52"/>
  <c r="H67" i="52"/>
  <c r="H1787" i="184" s="1"/>
  <c r="G67" i="52"/>
  <c r="G1787" i="184" s="1"/>
  <c r="F67" i="52"/>
  <c r="D43" i="51" s="1"/>
  <c r="E67" i="52"/>
  <c r="D67" i="52"/>
  <c r="D1787" i="184"/>
  <c r="AA66" i="52"/>
  <c r="W66" i="52"/>
  <c r="K260" i="191" s="1"/>
  <c r="V66" i="52"/>
  <c r="P66" i="52"/>
  <c r="D260" i="191"/>
  <c r="L66" i="52"/>
  <c r="K66" i="52"/>
  <c r="K1750" i="184" s="1"/>
  <c r="I66" i="52"/>
  <c r="I1750" i="184" s="1"/>
  <c r="H66" i="52"/>
  <c r="H1750" i="184" s="1"/>
  <c r="G66" i="52"/>
  <c r="G1750" i="184" s="1"/>
  <c r="F66" i="52"/>
  <c r="E66" i="52"/>
  <c r="E1750" i="184"/>
  <c r="AA65" i="52"/>
  <c r="W65" i="52"/>
  <c r="K223" i="191" s="1"/>
  <c r="V65" i="52"/>
  <c r="J223" i="191" s="1"/>
  <c r="P65" i="52"/>
  <c r="U65" i="52" s="1"/>
  <c r="L65" i="52"/>
  <c r="L1713" i="184" s="1"/>
  <c r="K65" i="52"/>
  <c r="K1713" i="184" s="1"/>
  <c r="I65" i="52"/>
  <c r="H65" i="52"/>
  <c r="G65" i="52"/>
  <c r="G1713" i="184" s="1"/>
  <c r="F65" i="52"/>
  <c r="F1713" i="184" s="1"/>
  <c r="E65" i="52"/>
  <c r="E1713" i="184" s="1"/>
  <c r="D65" i="52"/>
  <c r="D1713" i="184" s="1"/>
  <c r="AA64" i="52"/>
  <c r="W64" i="52"/>
  <c r="K186" i="191" s="1"/>
  <c r="V64" i="52"/>
  <c r="Q64" i="52"/>
  <c r="P64" i="52"/>
  <c r="L64" i="52"/>
  <c r="L1676" i="184" s="1"/>
  <c r="K64" i="52"/>
  <c r="J64" i="52"/>
  <c r="I64" i="52"/>
  <c r="I1676" i="184" s="1"/>
  <c r="H64" i="52"/>
  <c r="E64" i="52"/>
  <c r="E1676" i="184"/>
  <c r="AA63" i="52"/>
  <c r="W63" i="52"/>
  <c r="K149" i="191" s="1"/>
  <c r="V63" i="52"/>
  <c r="P63" i="52"/>
  <c r="U63" i="52"/>
  <c r="L63" i="52"/>
  <c r="L1639" i="184"/>
  <c r="K63" i="52"/>
  <c r="K1639" i="184"/>
  <c r="J63" i="52"/>
  <c r="J1639" i="184" s="1"/>
  <c r="I63" i="52"/>
  <c r="I1639" i="184"/>
  <c r="H63" i="52"/>
  <c r="H1639" i="184"/>
  <c r="G63" i="52"/>
  <c r="F63" i="52"/>
  <c r="D39" i="51" s="1"/>
  <c r="E63" i="52"/>
  <c r="E1639" i="184" s="1"/>
  <c r="D63" i="52"/>
  <c r="AA62" i="52"/>
  <c r="W62" i="52"/>
  <c r="V62" i="52"/>
  <c r="J112" i="191"/>
  <c r="P62" i="52"/>
  <c r="L62" i="52"/>
  <c r="K62" i="52"/>
  <c r="K1602" i="184" s="1"/>
  <c r="I62" i="52"/>
  <c r="I1602" i="184"/>
  <c r="H62" i="52"/>
  <c r="H1602" i="184"/>
  <c r="G62" i="52"/>
  <c r="G1602" i="184"/>
  <c r="F62" i="52"/>
  <c r="E62" i="52"/>
  <c r="D62" i="52"/>
  <c r="AA61" i="52"/>
  <c r="W61" i="52"/>
  <c r="V61" i="52"/>
  <c r="J75" i="191" s="1"/>
  <c r="P61" i="52"/>
  <c r="U61" i="52" s="1"/>
  <c r="I75" i="191" s="1"/>
  <c r="L61" i="52"/>
  <c r="L1565" i="184"/>
  <c r="J61" i="52"/>
  <c r="J1565" i="184" s="1"/>
  <c r="I61" i="52"/>
  <c r="I1565" i="184" s="1"/>
  <c r="H61" i="52"/>
  <c r="H1565" i="184" s="1"/>
  <c r="F61" i="52"/>
  <c r="F1565" i="184"/>
  <c r="E61" i="52"/>
  <c r="D61" i="52"/>
  <c r="D1565" i="184" s="1"/>
  <c r="AA60" i="52"/>
  <c r="W60" i="52"/>
  <c r="V60" i="52"/>
  <c r="P60" i="52"/>
  <c r="U60" i="52" s="1"/>
  <c r="I38" i="191" s="1"/>
  <c r="L60" i="52"/>
  <c r="L1528" i="184" s="1"/>
  <c r="K60" i="52"/>
  <c r="K1528" i="184" s="1"/>
  <c r="J60" i="52"/>
  <c r="I60" i="52"/>
  <c r="I1528" i="184" s="1"/>
  <c r="H60" i="52"/>
  <c r="H1528" i="184" s="1"/>
  <c r="G60" i="52"/>
  <c r="G1528" i="184"/>
  <c r="F60" i="52"/>
  <c r="E60" i="52"/>
  <c r="E1528" i="184" s="1"/>
  <c r="D60" i="52"/>
  <c r="D1528" i="184" s="1"/>
  <c r="L1415" i="184"/>
  <c r="J1415" i="184"/>
  <c r="I1415" i="184"/>
  <c r="H1415" i="184"/>
  <c r="G1415" i="184"/>
  <c r="D1415" i="184"/>
  <c r="L1378" i="184"/>
  <c r="K1378" i="184"/>
  <c r="G1378" i="184"/>
  <c r="D69" i="51"/>
  <c r="E1378" i="184"/>
  <c r="D1378" i="184"/>
  <c r="L1341" i="184"/>
  <c r="K1341" i="184"/>
  <c r="I1341" i="184"/>
  <c r="K1304" i="184"/>
  <c r="J1304" i="184"/>
  <c r="D28" i="51"/>
  <c r="E1304" i="184"/>
  <c r="D1304" i="184"/>
  <c r="L1267" i="184"/>
  <c r="K1267" i="184"/>
  <c r="J1267" i="184"/>
  <c r="E1267" i="184"/>
  <c r="L1230" i="184"/>
  <c r="H1230" i="184"/>
  <c r="F1230" i="184"/>
  <c r="K1191" i="184"/>
  <c r="J1191" i="184"/>
  <c r="I1191" i="184"/>
  <c r="D23" i="51"/>
  <c r="L1077" i="184"/>
  <c r="I1077" i="184"/>
  <c r="F1077" i="184"/>
  <c r="E1077" i="184"/>
  <c r="D1077" i="184"/>
  <c r="J1040" i="184"/>
  <c r="H1040" i="184"/>
  <c r="G1040" i="184"/>
  <c r="F1040" i="184"/>
  <c r="L1003" i="184"/>
  <c r="J1003" i="184"/>
  <c r="H1003" i="184"/>
  <c r="D1003" i="184"/>
  <c r="L966" i="184"/>
  <c r="K966" i="184"/>
  <c r="I966" i="184"/>
  <c r="G966" i="184"/>
  <c r="F966" i="184"/>
  <c r="D966" i="184"/>
  <c r="I929" i="184"/>
  <c r="H929" i="184"/>
  <c r="F929" i="184"/>
  <c r="E929" i="184"/>
  <c r="G892" i="184"/>
  <c r="E892" i="184"/>
  <c r="L35" i="52"/>
  <c r="L855" i="184" s="1"/>
  <c r="K35" i="52"/>
  <c r="K855" i="184" s="1"/>
  <c r="J35" i="52"/>
  <c r="J855" i="184" s="1"/>
  <c r="I35" i="52"/>
  <c r="I855" i="184" s="1"/>
  <c r="H35" i="52"/>
  <c r="H855" i="184" s="1"/>
  <c r="G35" i="52"/>
  <c r="F35" i="52"/>
  <c r="F855" i="184"/>
  <c r="E35" i="52"/>
  <c r="E855" i="184"/>
  <c r="D35" i="52"/>
  <c r="D855" i="184"/>
  <c r="R34" i="52"/>
  <c r="L109" i="52" s="1"/>
  <c r="L34" i="52"/>
  <c r="L818" i="184"/>
  <c r="K34" i="52"/>
  <c r="K818" i="184"/>
  <c r="J34" i="52"/>
  <c r="J818" i="184" s="1"/>
  <c r="I34" i="52"/>
  <c r="H34" i="52"/>
  <c r="G34" i="52"/>
  <c r="G818" i="184" s="1"/>
  <c r="D34" i="52"/>
  <c r="D818" i="184"/>
  <c r="L33" i="52"/>
  <c r="L781" i="184"/>
  <c r="K33" i="52"/>
  <c r="K781" i="184" s="1"/>
  <c r="J33" i="52"/>
  <c r="I33" i="52"/>
  <c r="H33" i="52"/>
  <c r="H781" i="184"/>
  <c r="G33" i="52"/>
  <c r="F33" i="52"/>
  <c r="F781" i="184" s="1"/>
  <c r="E33" i="52"/>
  <c r="E781" i="184" s="1"/>
  <c r="D33" i="52"/>
  <c r="D781" i="184" s="1"/>
  <c r="Q32" i="52"/>
  <c r="L108" i="52" s="1"/>
  <c r="L32" i="52"/>
  <c r="L744" i="184" s="1"/>
  <c r="K32" i="52"/>
  <c r="K31" i="52" s="1"/>
  <c r="K707" i="184" s="1"/>
  <c r="J32" i="52"/>
  <c r="J744" i="184"/>
  <c r="I32" i="52"/>
  <c r="H32" i="52"/>
  <c r="H744" i="184" s="1"/>
  <c r="G32" i="52"/>
  <c r="G744" i="184" s="1"/>
  <c r="F32" i="52"/>
  <c r="E32" i="52"/>
  <c r="E744" i="184"/>
  <c r="D32" i="52"/>
  <c r="D744" i="184"/>
  <c r="L632" i="184"/>
  <c r="K632" i="184"/>
  <c r="J632" i="184"/>
  <c r="I632" i="184"/>
  <c r="G632" i="184"/>
  <c r="K595" i="184"/>
  <c r="H595" i="184"/>
  <c r="E595" i="184"/>
  <c r="G558" i="184"/>
  <c r="F558" i="184"/>
  <c r="E558" i="184"/>
  <c r="L521" i="184"/>
  <c r="J521" i="184"/>
  <c r="H521" i="184"/>
  <c r="E521" i="184"/>
  <c r="J484" i="184"/>
  <c r="I484" i="184"/>
  <c r="I447" i="184"/>
  <c r="E447" i="184"/>
  <c r="L22" i="52"/>
  <c r="L410" i="184" s="1"/>
  <c r="K22" i="52"/>
  <c r="J22" i="52"/>
  <c r="I22" i="52"/>
  <c r="H22" i="52"/>
  <c r="G22" i="52"/>
  <c r="G410" i="184" s="1"/>
  <c r="F22" i="52"/>
  <c r="F410" i="184" s="1"/>
  <c r="D22" i="52"/>
  <c r="D410" i="184" s="1"/>
  <c r="L21" i="52"/>
  <c r="L373" i="184" s="1"/>
  <c r="K21" i="52"/>
  <c r="K373" i="184" s="1"/>
  <c r="J21" i="52"/>
  <c r="J373" i="184" s="1"/>
  <c r="I21" i="52"/>
  <c r="H21" i="52"/>
  <c r="H373" i="184"/>
  <c r="G21" i="52"/>
  <c r="F21" i="52"/>
  <c r="F373" i="184" s="1"/>
  <c r="E21" i="52"/>
  <c r="E373" i="184" s="1"/>
  <c r="D21" i="52"/>
  <c r="D373" i="184" s="1"/>
  <c r="L20" i="52"/>
  <c r="K20" i="52"/>
  <c r="J20" i="52"/>
  <c r="I20" i="52"/>
  <c r="I336" i="184" s="1"/>
  <c r="H20" i="52"/>
  <c r="H336" i="184"/>
  <c r="F20" i="52"/>
  <c r="F336" i="184"/>
  <c r="E20" i="52"/>
  <c r="D20" i="52"/>
  <c r="L19" i="52"/>
  <c r="L299" i="184"/>
  <c r="K19" i="52"/>
  <c r="J19" i="52"/>
  <c r="J299" i="184" s="1"/>
  <c r="I19" i="52"/>
  <c r="H19" i="52"/>
  <c r="H299" i="184" s="1"/>
  <c r="G19" i="52"/>
  <c r="G299" i="184"/>
  <c r="F19" i="52"/>
  <c r="F299" i="184" s="1"/>
  <c r="D19" i="52"/>
  <c r="J186" i="184"/>
  <c r="I186" i="184"/>
  <c r="D14" i="51"/>
  <c r="E186" i="184"/>
  <c r="D186" i="184"/>
  <c r="J149" i="184"/>
  <c r="I149" i="184"/>
  <c r="G149" i="184"/>
  <c r="E149" i="184"/>
  <c r="L112" i="184"/>
  <c r="K112" i="184"/>
  <c r="I112" i="184"/>
  <c r="H112" i="184"/>
  <c r="G112" i="184"/>
  <c r="E112" i="184"/>
  <c r="D112" i="184"/>
  <c r="L75" i="184"/>
  <c r="K75" i="184"/>
  <c r="J75" i="184"/>
  <c r="I75" i="184"/>
  <c r="E75" i="184"/>
  <c r="J38" i="184"/>
  <c r="E38" i="184"/>
  <c r="M100" i="47"/>
  <c r="M2558" i="184"/>
  <c r="Q92" i="47"/>
  <c r="AE36" i="213" s="1"/>
  <c r="O92" i="47"/>
  <c r="K92" i="47"/>
  <c r="K2478" i="184" s="1"/>
  <c r="J92" i="47"/>
  <c r="J2478" i="184" s="1"/>
  <c r="G92" i="47"/>
  <c r="G2478" i="184" s="1"/>
  <c r="F92" i="47"/>
  <c r="F2478" i="184" s="1"/>
  <c r="E92" i="47"/>
  <c r="D92" i="47"/>
  <c r="K91" i="47"/>
  <c r="K2441" i="184" s="1"/>
  <c r="J91" i="47"/>
  <c r="J2441" i="184" s="1"/>
  <c r="I91" i="47"/>
  <c r="I2441" i="184" s="1"/>
  <c r="H91" i="47"/>
  <c r="G91" i="47"/>
  <c r="G2441" i="184"/>
  <c r="F91" i="47"/>
  <c r="F2441" i="184"/>
  <c r="E91" i="47"/>
  <c r="E2441" i="184" s="1"/>
  <c r="D91" i="47"/>
  <c r="L90" i="47"/>
  <c r="L2404" i="184" s="1"/>
  <c r="K90" i="47"/>
  <c r="K2404" i="184" s="1"/>
  <c r="I90" i="47"/>
  <c r="I2404" i="184" s="1"/>
  <c r="H90" i="47"/>
  <c r="H2404" i="184" s="1"/>
  <c r="G90" i="47"/>
  <c r="G2404" i="184" s="1"/>
  <c r="F90" i="47"/>
  <c r="F2404" i="184" s="1"/>
  <c r="D90" i="47"/>
  <c r="L89" i="47"/>
  <c r="J89" i="47"/>
  <c r="J2367" i="184" s="1"/>
  <c r="I89" i="47"/>
  <c r="I2367" i="184" s="1"/>
  <c r="H89" i="47"/>
  <c r="H2367" i="184" s="1"/>
  <c r="G89" i="47"/>
  <c r="G2367" i="184" s="1"/>
  <c r="F89" i="47"/>
  <c r="F2367" i="184" s="1"/>
  <c r="E89" i="47"/>
  <c r="D89" i="47"/>
  <c r="D2367" i="184"/>
  <c r="L88" i="47"/>
  <c r="L2330" i="184" s="1"/>
  <c r="J88" i="47"/>
  <c r="I88" i="47"/>
  <c r="I2330" i="184" s="1"/>
  <c r="H88" i="47"/>
  <c r="H2330" i="184" s="1"/>
  <c r="G88" i="47"/>
  <c r="G2330" i="184" s="1"/>
  <c r="F88" i="47"/>
  <c r="F2330" i="184" s="1"/>
  <c r="E88" i="47"/>
  <c r="D88" i="47"/>
  <c r="D2330" i="184"/>
  <c r="L87" i="47"/>
  <c r="K87" i="47"/>
  <c r="K2293" i="184" s="1"/>
  <c r="J87" i="47"/>
  <c r="J2293" i="184" s="1"/>
  <c r="I87" i="47"/>
  <c r="I2293" i="184" s="1"/>
  <c r="H87" i="47"/>
  <c r="H2293" i="184" s="1"/>
  <c r="G87" i="47"/>
  <c r="G2293" i="184" s="1"/>
  <c r="F87" i="47"/>
  <c r="F2293" i="184" s="1"/>
  <c r="E87" i="47"/>
  <c r="E2293" i="184" s="1"/>
  <c r="D87" i="47"/>
  <c r="D2293" i="184" s="1"/>
  <c r="L82" i="47"/>
  <c r="K82" i="47"/>
  <c r="J82" i="47"/>
  <c r="I82" i="47"/>
  <c r="I2180" i="184" s="1"/>
  <c r="H82" i="47"/>
  <c r="H2180" i="184"/>
  <c r="G82" i="47"/>
  <c r="G2180" i="184" s="1"/>
  <c r="F82" i="47"/>
  <c r="E82" i="47"/>
  <c r="D82" i="47"/>
  <c r="D2180" i="184"/>
  <c r="L81" i="47"/>
  <c r="L2143" i="184"/>
  <c r="K81" i="47"/>
  <c r="J81" i="47"/>
  <c r="I81" i="47"/>
  <c r="H81" i="47"/>
  <c r="H2143" i="184" s="1"/>
  <c r="G81" i="47"/>
  <c r="F81" i="47"/>
  <c r="F2143" i="184" s="1"/>
  <c r="E81" i="47"/>
  <c r="R80" i="47"/>
  <c r="L116" i="47" s="1"/>
  <c r="R77" i="47"/>
  <c r="L115" i="47" s="1"/>
  <c r="K77" i="47"/>
  <c r="K2067" i="184" s="1"/>
  <c r="J77" i="47"/>
  <c r="I77" i="47"/>
  <c r="I2067" i="184"/>
  <c r="H77" i="47"/>
  <c r="G77" i="47"/>
  <c r="G2067" i="184" s="1"/>
  <c r="F77" i="47"/>
  <c r="F2067" i="184" s="1"/>
  <c r="E77" i="47"/>
  <c r="D77" i="47"/>
  <c r="L76" i="47"/>
  <c r="L2030" i="184" s="1"/>
  <c r="K76" i="47"/>
  <c r="K2030" i="184" s="1"/>
  <c r="J76" i="47"/>
  <c r="J2030" i="184" s="1"/>
  <c r="I76" i="47"/>
  <c r="I2030" i="184" s="1"/>
  <c r="H76" i="47"/>
  <c r="H2030" i="184"/>
  <c r="G76" i="47"/>
  <c r="F76" i="47"/>
  <c r="E76" i="47"/>
  <c r="E2030" i="184" s="1"/>
  <c r="D76" i="47"/>
  <c r="D2030" i="184" s="1"/>
  <c r="L75" i="47"/>
  <c r="L1993" i="184"/>
  <c r="K75" i="47"/>
  <c r="K1993" i="184" s="1"/>
  <c r="J75" i="47"/>
  <c r="I75" i="47"/>
  <c r="I1993" i="184"/>
  <c r="H75" i="47"/>
  <c r="G75" i="47"/>
  <c r="F75" i="47"/>
  <c r="E75" i="47"/>
  <c r="E1993" i="184" s="1"/>
  <c r="D75" i="47"/>
  <c r="L74" i="47"/>
  <c r="L1956" i="184" s="1"/>
  <c r="K74" i="47"/>
  <c r="K1956" i="184"/>
  <c r="J74" i="47"/>
  <c r="J1956" i="184" s="1"/>
  <c r="I74" i="47"/>
  <c r="H74" i="47"/>
  <c r="G74" i="47"/>
  <c r="F74" i="47"/>
  <c r="F1956" i="184" s="1"/>
  <c r="E74" i="47"/>
  <c r="E1956" i="184" s="1"/>
  <c r="D74" i="47"/>
  <c r="D1956" i="184" s="1"/>
  <c r="K70" i="47"/>
  <c r="K1880" i="184"/>
  <c r="J70" i="47"/>
  <c r="I70" i="47"/>
  <c r="I1880" i="184"/>
  <c r="G70" i="47"/>
  <c r="G1880" i="184"/>
  <c r="F70" i="47"/>
  <c r="E70" i="47"/>
  <c r="E1880" i="184"/>
  <c r="D70" i="47"/>
  <c r="D1880" i="184" s="1"/>
  <c r="K69" i="47"/>
  <c r="K1843" i="184" s="1"/>
  <c r="J69" i="47"/>
  <c r="I69" i="47"/>
  <c r="I1843" i="184"/>
  <c r="G69" i="47"/>
  <c r="D69" i="47"/>
  <c r="D1843" i="184" s="1"/>
  <c r="AA68" i="47"/>
  <c r="L68" i="47"/>
  <c r="L1806" i="184" s="1"/>
  <c r="K68" i="47"/>
  <c r="K1806" i="184"/>
  <c r="J68" i="47"/>
  <c r="J1806" i="184" s="1"/>
  <c r="H68" i="47"/>
  <c r="H1806" i="184"/>
  <c r="G68" i="47"/>
  <c r="F68" i="47"/>
  <c r="E68" i="47"/>
  <c r="E1806" i="184" s="1"/>
  <c r="D68" i="47"/>
  <c r="D1806" i="184" s="1"/>
  <c r="AA67" i="47"/>
  <c r="W67" i="47"/>
  <c r="K279" i="191" s="1"/>
  <c r="V67" i="47"/>
  <c r="J279" i="191" s="1"/>
  <c r="P67" i="47"/>
  <c r="U67" i="47"/>
  <c r="I279" i="191" s="1"/>
  <c r="L67" i="47"/>
  <c r="L1769" i="184"/>
  <c r="J67" i="47"/>
  <c r="J1769" i="184" s="1"/>
  <c r="I67" i="47"/>
  <c r="I1769" i="184"/>
  <c r="H67" i="47"/>
  <c r="H1769" i="184" s="1"/>
  <c r="G67" i="47"/>
  <c r="F67" i="47"/>
  <c r="E67" i="47"/>
  <c r="D67" i="47"/>
  <c r="D1769" i="184" s="1"/>
  <c r="AA66" i="47"/>
  <c r="W66" i="47"/>
  <c r="K242" i="191"/>
  <c r="V66" i="47"/>
  <c r="J242" i="191" s="1"/>
  <c r="P66" i="47"/>
  <c r="U66" i="47" s="1"/>
  <c r="I242" i="191" s="1"/>
  <c r="L66" i="47"/>
  <c r="L1732" i="184" s="1"/>
  <c r="K66" i="47"/>
  <c r="K1732" i="184" s="1"/>
  <c r="I66" i="47"/>
  <c r="I1732" i="184" s="1"/>
  <c r="H66" i="47"/>
  <c r="G66" i="47"/>
  <c r="F66" i="47"/>
  <c r="F1732" i="184" s="1"/>
  <c r="E66" i="47"/>
  <c r="AA65" i="47"/>
  <c r="W65" i="47"/>
  <c r="K205" i="191" s="1"/>
  <c r="V65" i="47"/>
  <c r="J205" i="191" s="1"/>
  <c r="P65" i="47"/>
  <c r="U65" i="47"/>
  <c r="I205" i="191" s="1"/>
  <c r="L65" i="47"/>
  <c r="L1695" i="184" s="1"/>
  <c r="K65" i="47"/>
  <c r="K1695" i="184" s="1"/>
  <c r="I65" i="47"/>
  <c r="I1695" i="184"/>
  <c r="H65" i="47"/>
  <c r="H1695" i="184" s="1"/>
  <c r="G65" i="47"/>
  <c r="F65" i="47"/>
  <c r="F1695" i="184" s="1"/>
  <c r="E65" i="47"/>
  <c r="D65" i="47"/>
  <c r="AA64" i="47"/>
  <c r="W64" i="47"/>
  <c r="K168" i="191" s="1"/>
  <c r="V64" i="47"/>
  <c r="J168" i="191" s="1"/>
  <c r="Q64" i="47"/>
  <c r="L111" i="47" s="1"/>
  <c r="P64" i="47"/>
  <c r="L64" i="47"/>
  <c r="L1658" i="184"/>
  <c r="K64" i="47"/>
  <c r="K1658" i="184" s="1"/>
  <c r="J64" i="47"/>
  <c r="J1658" i="184" s="1"/>
  <c r="I64" i="47"/>
  <c r="I1658" i="184" s="1"/>
  <c r="H64" i="47"/>
  <c r="H1658" i="184" s="1"/>
  <c r="D40" i="46"/>
  <c r="E64" i="47"/>
  <c r="E1658" i="184"/>
  <c r="AA63" i="47"/>
  <c r="W63" i="47"/>
  <c r="K131" i="191" s="1"/>
  <c r="V63" i="47"/>
  <c r="J131" i="191" s="1"/>
  <c r="P63" i="47"/>
  <c r="L63" i="47"/>
  <c r="L1621" i="184" s="1"/>
  <c r="K63" i="47"/>
  <c r="K1621" i="184" s="1"/>
  <c r="J63" i="47"/>
  <c r="I63" i="47"/>
  <c r="I1621" i="184" s="1"/>
  <c r="H63" i="47"/>
  <c r="G63" i="47"/>
  <c r="G1621" i="184" s="1"/>
  <c r="F63" i="47"/>
  <c r="F1621" i="184" s="1"/>
  <c r="E63" i="47"/>
  <c r="D63" i="47"/>
  <c r="D1621" i="184" s="1"/>
  <c r="AA62" i="47"/>
  <c r="W62" i="47"/>
  <c r="K94" i="191"/>
  <c r="V62" i="47"/>
  <c r="J94" i="191" s="1"/>
  <c r="P62" i="47"/>
  <c r="L62" i="47"/>
  <c r="L1584" i="184" s="1"/>
  <c r="K62" i="47"/>
  <c r="K1584" i="184" s="1"/>
  <c r="I62" i="47"/>
  <c r="I1584" i="184" s="1"/>
  <c r="H62" i="47"/>
  <c r="H1584" i="184" s="1"/>
  <c r="G62" i="47"/>
  <c r="F62" i="47"/>
  <c r="E62" i="47"/>
  <c r="E1584" i="184" s="1"/>
  <c r="D62" i="47"/>
  <c r="D1584" i="184" s="1"/>
  <c r="AA61" i="47"/>
  <c r="W61" i="47"/>
  <c r="K57" i="191"/>
  <c r="V61" i="47"/>
  <c r="P61" i="47"/>
  <c r="D57" i="191" s="1"/>
  <c r="L61" i="47"/>
  <c r="L1547" i="184" s="1"/>
  <c r="J61" i="47"/>
  <c r="I61" i="47"/>
  <c r="I1547" i="184" s="1"/>
  <c r="H61" i="47"/>
  <c r="H1547" i="184" s="1"/>
  <c r="F61" i="47"/>
  <c r="F1547" i="184"/>
  <c r="E61" i="47"/>
  <c r="E1547" i="184" s="1"/>
  <c r="D61" i="47"/>
  <c r="D1547" i="184" s="1"/>
  <c r="AA60" i="47"/>
  <c r="W60" i="47"/>
  <c r="V60" i="47"/>
  <c r="J20" i="191" s="1"/>
  <c r="P60" i="47"/>
  <c r="L60" i="47"/>
  <c r="L1510" i="184" s="1"/>
  <c r="K60" i="47"/>
  <c r="K1510" i="184" s="1"/>
  <c r="J60" i="47"/>
  <c r="J1510" i="184" s="1"/>
  <c r="I60" i="47"/>
  <c r="I1510" i="184" s="1"/>
  <c r="H60" i="47"/>
  <c r="H1510" i="184" s="1"/>
  <c r="G60" i="47"/>
  <c r="G1510" i="184" s="1"/>
  <c r="F60" i="47"/>
  <c r="F1510" i="184" s="1"/>
  <c r="E60" i="47"/>
  <c r="D60" i="47"/>
  <c r="D1510" i="184" s="1"/>
  <c r="L1397" i="184"/>
  <c r="K1397" i="184"/>
  <c r="J1397" i="184"/>
  <c r="I1397" i="184"/>
  <c r="H1397" i="184"/>
  <c r="G1397" i="184"/>
  <c r="K1360" i="184"/>
  <c r="J1360" i="184"/>
  <c r="H1360" i="184"/>
  <c r="D69" i="46"/>
  <c r="D1360" i="184"/>
  <c r="K1323" i="184"/>
  <c r="J1323" i="184"/>
  <c r="G1323" i="184"/>
  <c r="D1323" i="184"/>
  <c r="L1286" i="184"/>
  <c r="H1286" i="184"/>
  <c r="D28" i="46"/>
  <c r="E1286" i="184"/>
  <c r="D1286" i="184"/>
  <c r="L1249" i="184"/>
  <c r="L1212" i="184"/>
  <c r="I1212" i="184"/>
  <c r="H1212" i="184"/>
  <c r="D26" i="46"/>
  <c r="D1212" i="184"/>
  <c r="L1173" i="184"/>
  <c r="K1173" i="184"/>
  <c r="I1173" i="184"/>
  <c r="E1173" i="184"/>
  <c r="L1059" i="184"/>
  <c r="K1059" i="184"/>
  <c r="H1059" i="184"/>
  <c r="G1059" i="184"/>
  <c r="F1059" i="184"/>
  <c r="K1022" i="184"/>
  <c r="J1022" i="184"/>
  <c r="I1022" i="184"/>
  <c r="H1022" i="184"/>
  <c r="G1022" i="184"/>
  <c r="I985" i="184"/>
  <c r="F985" i="184"/>
  <c r="E985" i="184"/>
  <c r="D985" i="184"/>
  <c r="L948" i="184"/>
  <c r="K948" i="184"/>
  <c r="J948" i="184"/>
  <c r="D948" i="184"/>
  <c r="L911" i="184"/>
  <c r="H911" i="184"/>
  <c r="G911" i="184"/>
  <c r="F911" i="184"/>
  <c r="E911" i="184"/>
  <c r="J874" i="184"/>
  <c r="H874" i="184"/>
  <c r="L35" i="47"/>
  <c r="L837" i="184" s="1"/>
  <c r="K35" i="47"/>
  <c r="K837" i="184" s="1"/>
  <c r="J35" i="47"/>
  <c r="J837" i="184" s="1"/>
  <c r="I35" i="47"/>
  <c r="H35" i="47"/>
  <c r="G35" i="47"/>
  <c r="G837" i="184" s="1"/>
  <c r="F35" i="47"/>
  <c r="F837" i="184" s="1"/>
  <c r="E35" i="47"/>
  <c r="E837" i="184" s="1"/>
  <c r="D35" i="47"/>
  <c r="R34" i="47"/>
  <c r="L109" i="47" s="1"/>
  <c r="L34" i="47"/>
  <c r="K34" i="47"/>
  <c r="K800" i="184" s="1"/>
  <c r="J34" i="47"/>
  <c r="J800" i="184" s="1"/>
  <c r="I34" i="47"/>
  <c r="I800" i="184" s="1"/>
  <c r="H34" i="47"/>
  <c r="G34" i="47"/>
  <c r="G800" i="184"/>
  <c r="D34" i="47"/>
  <c r="D800" i="184" s="1"/>
  <c r="L33" i="47"/>
  <c r="L763" i="184" s="1"/>
  <c r="K33" i="47"/>
  <c r="K763" i="184" s="1"/>
  <c r="J33" i="47"/>
  <c r="I33" i="47"/>
  <c r="H33" i="47"/>
  <c r="H763" i="184" s="1"/>
  <c r="G33" i="47"/>
  <c r="G763" i="184"/>
  <c r="F33" i="47"/>
  <c r="F763" i="184" s="1"/>
  <c r="E33" i="47"/>
  <c r="E763" i="184"/>
  <c r="D33" i="47"/>
  <c r="Q32" i="47"/>
  <c r="L108" i="47" s="1"/>
  <c r="L32" i="47"/>
  <c r="L726" i="184" s="1"/>
  <c r="K32" i="47"/>
  <c r="J32" i="47"/>
  <c r="J726" i="184" s="1"/>
  <c r="I32" i="47"/>
  <c r="H32" i="47"/>
  <c r="H726" i="184" s="1"/>
  <c r="G32" i="47"/>
  <c r="F32" i="47"/>
  <c r="E32" i="47"/>
  <c r="D32" i="47"/>
  <c r="D726" i="184"/>
  <c r="L614" i="184"/>
  <c r="J614" i="184"/>
  <c r="I614" i="184"/>
  <c r="H614" i="184"/>
  <c r="G614" i="184"/>
  <c r="E614" i="184"/>
  <c r="J577" i="184"/>
  <c r="F577" i="184"/>
  <c r="I540" i="184"/>
  <c r="H540" i="184"/>
  <c r="D540" i="184"/>
  <c r="L503" i="184"/>
  <c r="K503" i="184"/>
  <c r="J503" i="184"/>
  <c r="F503" i="184"/>
  <c r="E503" i="184"/>
  <c r="L466" i="184"/>
  <c r="H466" i="184"/>
  <c r="D466" i="184"/>
  <c r="K429" i="184"/>
  <c r="G429" i="184"/>
  <c r="L22" i="47"/>
  <c r="L392" i="184" s="1"/>
  <c r="K22" i="47"/>
  <c r="J22" i="47"/>
  <c r="J392" i="184" s="1"/>
  <c r="I22" i="47"/>
  <c r="I392" i="184" s="1"/>
  <c r="H22" i="47"/>
  <c r="G22" i="47"/>
  <c r="G392" i="184" s="1"/>
  <c r="F22" i="47"/>
  <c r="F392" i="184" s="1"/>
  <c r="D22" i="47"/>
  <c r="D392" i="184"/>
  <c r="L21" i="47"/>
  <c r="L355" i="184" s="1"/>
  <c r="K21" i="47"/>
  <c r="K355" i="184"/>
  <c r="J21" i="47"/>
  <c r="J355" i="184" s="1"/>
  <c r="I21" i="47"/>
  <c r="H21" i="47"/>
  <c r="H355" i="184" s="1"/>
  <c r="G21" i="47"/>
  <c r="G355" i="184" s="1"/>
  <c r="F21" i="47"/>
  <c r="F355" i="184"/>
  <c r="E21" i="47"/>
  <c r="D21" i="47"/>
  <c r="D355" i="184" s="1"/>
  <c r="L20" i="47"/>
  <c r="K20" i="47"/>
  <c r="J20" i="47"/>
  <c r="J318" i="184" s="1"/>
  <c r="I20" i="47"/>
  <c r="I318" i="184" s="1"/>
  <c r="H20" i="47"/>
  <c r="H318" i="184"/>
  <c r="F20" i="47"/>
  <c r="E20" i="47"/>
  <c r="E318" i="184" s="1"/>
  <c r="D20" i="47"/>
  <c r="D318" i="184"/>
  <c r="L19" i="47"/>
  <c r="L281" i="184" s="1"/>
  <c r="K19" i="47"/>
  <c r="K281" i="184" s="1"/>
  <c r="J19" i="47"/>
  <c r="J281" i="184" s="1"/>
  <c r="I19" i="47"/>
  <c r="I281" i="184"/>
  <c r="H19" i="47"/>
  <c r="H281" i="184" s="1"/>
  <c r="G19" i="47"/>
  <c r="F19" i="47"/>
  <c r="F281" i="184" s="1"/>
  <c r="D19" i="47"/>
  <c r="I168" i="184"/>
  <c r="L131" i="184"/>
  <c r="L94" i="184"/>
  <c r="J94" i="184"/>
  <c r="I94" i="184"/>
  <c r="H94" i="184"/>
  <c r="E94" i="184"/>
  <c r="D94" i="184"/>
  <c r="K57" i="184"/>
  <c r="J57" i="184"/>
  <c r="E57" i="184"/>
  <c r="K20" i="184"/>
  <c r="I20" i="184"/>
  <c r="F20" i="184"/>
  <c r="D20" i="184"/>
  <c r="M100" i="42"/>
  <c r="Q92" i="42"/>
  <c r="O92" i="42"/>
  <c r="H15" i="215" s="1"/>
  <c r="K92" i="42"/>
  <c r="K2476" i="184"/>
  <c r="J92" i="42"/>
  <c r="J2476" i="184" s="1"/>
  <c r="G92" i="42"/>
  <c r="F92" i="42"/>
  <c r="F2476" i="184" s="1"/>
  <c r="E92" i="42"/>
  <c r="D92" i="42"/>
  <c r="D2476" i="184" s="1"/>
  <c r="K91" i="42"/>
  <c r="K2439" i="184" s="1"/>
  <c r="J91" i="42"/>
  <c r="I91" i="42"/>
  <c r="I2439" i="184"/>
  <c r="H91" i="42"/>
  <c r="H2439" i="184" s="1"/>
  <c r="G91" i="42"/>
  <c r="G2439" i="184"/>
  <c r="F91" i="42"/>
  <c r="F2439" i="184" s="1"/>
  <c r="E91" i="42"/>
  <c r="E2439" i="184" s="1"/>
  <c r="D91" i="42"/>
  <c r="L90" i="42"/>
  <c r="L2402" i="184"/>
  <c r="K90" i="42"/>
  <c r="I90" i="42"/>
  <c r="I2402" i="184" s="1"/>
  <c r="H90" i="42"/>
  <c r="H2402" i="184"/>
  <c r="G90" i="42"/>
  <c r="G2402" i="184" s="1"/>
  <c r="F90" i="42"/>
  <c r="F2402" i="184"/>
  <c r="D90" i="42"/>
  <c r="L89" i="42"/>
  <c r="L2365" i="184"/>
  <c r="J89" i="42"/>
  <c r="J2365" i="184" s="1"/>
  <c r="I89" i="42"/>
  <c r="I2365" i="184"/>
  <c r="H89" i="42"/>
  <c r="G89" i="42"/>
  <c r="G2365" i="184" s="1"/>
  <c r="F89" i="42"/>
  <c r="F2365" i="184" s="1"/>
  <c r="E89" i="42"/>
  <c r="D89" i="42"/>
  <c r="D2365" i="184" s="1"/>
  <c r="L88" i="42"/>
  <c r="L2328" i="184" s="1"/>
  <c r="J88" i="42"/>
  <c r="I88" i="42"/>
  <c r="I2328" i="184"/>
  <c r="H88" i="42"/>
  <c r="H2328" i="184" s="1"/>
  <c r="G88" i="42"/>
  <c r="G2328" i="184" s="1"/>
  <c r="F88" i="42"/>
  <c r="F2328" i="184" s="1"/>
  <c r="E88" i="42"/>
  <c r="E2328" i="184" s="1"/>
  <c r="D88" i="42"/>
  <c r="L87" i="42"/>
  <c r="L2291" i="184"/>
  <c r="K87" i="42"/>
  <c r="K2291" i="184" s="1"/>
  <c r="J87" i="42"/>
  <c r="J2291" i="184"/>
  <c r="I87" i="42"/>
  <c r="I2291" i="184" s="1"/>
  <c r="H87" i="42"/>
  <c r="H2291" i="184"/>
  <c r="G87" i="42"/>
  <c r="G2291" i="184" s="1"/>
  <c r="F87" i="42"/>
  <c r="F2291" i="184"/>
  <c r="E87" i="42"/>
  <c r="E2291" i="184" s="1"/>
  <c r="D87" i="42"/>
  <c r="L82" i="42"/>
  <c r="K82" i="42"/>
  <c r="J82" i="42"/>
  <c r="I82" i="42"/>
  <c r="H82" i="42"/>
  <c r="G82" i="42"/>
  <c r="F82" i="42"/>
  <c r="E82" i="42"/>
  <c r="D82" i="42"/>
  <c r="D2178" i="184" s="1"/>
  <c r="L81" i="42"/>
  <c r="K81" i="42"/>
  <c r="K2141" i="184"/>
  <c r="J81" i="42"/>
  <c r="J2141" i="184" s="1"/>
  <c r="I81" i="42"/>
  <c r="H81" i="42"/>
  <c r="G81" i="42"/>
  <c r="G2141" i="184" s="1"/>
  <c r="F81" i="42"/>
  <c r="F2141" i="184"/>
  <c r="E81" i="42"/>
  <c r="R80" i="42"/>
  <c r="R77" i="42"/>
  <c r="L115" i="42" s="1"/>
  <c r="K77" i="42"/>
  <c r="K2065" i="184" s="1"/>
  <c r="J77" i="42"/>
  <c r="I77" i="42"/>
  <c r="I2065" i="184"/>
  <c r="H77" i="42"/>
  <c r="G77" i="42"/>
  <c r="F77" i="42"/>
  <c r="E77" i="42"/>
  <c r="E2065" i="184" s="1"/>
  <c r="D77" i="42"/>
  <c r="L76" i="42"/>
  <c r="L2028" i="184" s="1"/>
  <c r="K76" i="42"/>
  <c r="K2028" i="184" s="1"/>
  <c r="J76" i="42"/>
  <c r="J2028" i="184"/>
  <c r="I76" i="42"/>
  <c r="H76" i="42"/>
  <c r="G76" i="42"/>
  <c r="G2028" i="184"/>
  <c r="F76" i="42"/>
  <c r="E76" i="42"/>
  <c r="E2028" i="184"/>
  <c r="D76" i="42"/>
  <c r="L75" i="42"/>
  <c r="K75" i="42"/>
  <c r="J75" i="42"/>
  <c r="I75" i="42"/>
  <c r="H75" i="42"/>
  <c r="H1991" i="184" s="1"/>
  <c r="G75" i="42"/>
  <c r="G1991" i="184"/>
  <c r="F75" i="42"/>
  <c r="F1991" i="184" s="1"/>
  <c r="E75" i="42"/>
  <c r="D75" i="42"/>
  <c r="L74" i="42"/>
  <c r="L1954" i="184" s="1"/>
  <c r="K74" i="42"/>
  <c r="K1954" i="184" s="1"/>
  <c r="J74" i="42"/>
  <c r="J1954" i="184" s="1"/>
  <c r="I74" i="42"/>
  <c r="I1954" i="184"/>
  <c r="H74" i="42"/>
  <c r="G74" i="42"/>
  <c r="F74" i="42"/>
  <c r="F1954" i="184"/>
  <c r="E74" i="42"/>
  <c r="E1954" i="184" s="1"/>
  <c r="D74" i="42"/>
  <c r="D1954" i="184"/>
  <c r="K70" i="42"/>
  <c r="K1878" i="184" s="1"/>
  <c r="J70" i="42"/>
  <c r="J1878" i="184" s="1"/>
  <c r="I70" i="42"/>
  <c r="G70" i="42"/>
  <c r="G1878" i="184" s="1"/>
  <c r="F70" i="42"/>
  <c r="F1878" i="184" s="1"/>
  <c r="E70" i="42"/>
  <c r="E1878" i="184"/>
  <c r="D70" i="42"/>
  <c r="D1878" i="184" s="1"/>
  <c r="K69" i="42"/>
  <c r="K1841" i="184" s="1"/>
  <c r="J69" i="42"/>
  <c r="J1841" i="184" s="1"/>
  <c r="I69" i="42"/>
  <c r="G69" i="42"/>
  <c r="G1841" i="184"/>
  <c r="D69" i="42"/>
  <c r="D1841" i="184" s="1"/>
  <c r="AA68" i="42"/>
  <c r="L68" i="42"/>
  <c r="L1804" i="184" s="1"/>
  <c r="K68" i="42"/>
  <c r="J68" i="42"/>
  <c r="J1804" i="184" s="1"/>
  <c r="H68" i="42"/>
  <c r="H1804" i="184" s="1"/>
  <c r="G68" i="42"/>
  <c r="G1804" i="184"/>
  <c r="F68" i="42"/>
  <c r="E68" i="42"/>
  <c r="E1804" i="184" s="1"/>
  <c r="D68" i="42"/>
  <c r="D1804" i="184" s="1"/>
  <c r="AA67" i="42"/>
  <c r="W67" i="42"/>
  <c r="V67" i="42"/>
  <c r="P67" i="42"/>
  <c r="L67" i="42"/>
  <c r="L1767" i="184"/>
  <c r="J67" i="42"/>
  <c r="J1767" i="184" s="1"/>
  <c r="I67" i="42"/>
  <c r="I1767" i="184" s="1"/>
  <c r="H67" i="42"/>
  <c r="G67" i="42"/>
  <c r="F67" i="42"/>
  <c r="D43" i="41" s="1"/>
  <c r="E67" i="42"/>
  <c r="E1767" i="184" s="1"/>
  <c r="D67" i="42"/>
  <c r="D1767" i="184"/>
  <c r="AA66" i="42"/>
  <c r="W66" i="42"/>
  <c r="K240" i="191" s="1"/>
  <c r="V66" i="42"/>
  <c r="J240" i="191"/>
  <c r="P66" i="42"/>
  <c r="L66" i="42"/>
  <c r="L1730" i="184" s="1"/>
  <c r="K66" i="42"/>
  <c r="K1730" i="184" s="1"/>
  <c r="I66" i="42"/>
  <c r="H66" i="42"/>
  <c r="G66" i="42"/>
  <c r="F66" i="42"/>
  <c r="F1730" i="184" s="1"/>
  <c r="E66" i="42"/>
  <c r="E1730" i="184"/>
  <c r="AA65" i="42"/>
  <c r="W65" i="42"/>
  <c r="V65" i="42"/>
  <c r="J203" i="191"/>
  <c r="P65" i="42"/>
  <c r="U65" i="42" s="1"/>
  <c r="L65" i="42"/>
  <c r="L1693" i="184" s="1"/>
  <c r="K65" i="42"/>
  <c r="I65" i="42"/>
  <c r="I1693" i="184"/>
  <c r="H65" i="42"/>
  <c r="H1693" i="184" s="1"/>
  <c r="G65" i="42"/>
  <c r="G1693" i="184"/>
  <c r="F65" i="42"/>
  <c r="E65" i="42"/>
  <c r="E1693" i="184" s="1"/>
  <c r="D65" i="42"/>
  <c r="D1693" i="184" s="1"/>
  <c r="AA64" i="42"/>
  <c r="W64" i="42"/>
  <c r="V64" i="42"/>
  <c r="J166" i="191" s="1"/>
  <c r="Q64" i="42"/>
  <c r="P64" i="42"/>
  <c r="L64" i="42"/>
  <c r="L1656" i="184" s="1"/>
  <c r="K64" i="42"/>
  <c r="K1656" i="184"/>
  <c r="J64" i="42"/>
  <c r="I64" i="42"/>
  <c r="I1656" i="184" s="1"/>
  <c r="H64" i="42"/>
  <c r="H1656" i="184"/>
  <c r="E64" i="42"/>
  <c r="AA63" i="42"/>
  <c r="W63" i="42"/>
  <c r="V63" i="42"/>
  <c r="J129" i="191" s="1"/>
  <c r="P63" i="42"/>
  <c r="L63" i="42"/>
  <c r="L1619" i="184" s="1"/>
  <c r="K63" i="42"/>
  <c r="J63" i="42"/>
  <c r="J1619" i="184"/>
  <c r="I63" i="42"/>
  <c r="I1619" i="184" s="1"/>
  <c r="H63" i="42"/>
  <c r="H1619" i="184" s="1"/>
  <c r="G63" i="42"/>
  <c r="G1619" i="184" s="1"/>
  <c r="F63" i="42"/>
  <c r="E63" i="42"/>
  <c r="E1619" i="184" s="1"/>
  <c r="D63" i="42"/>
  <c r="AA62" i="42"/>
  <c r="W62" i="42"/>
  <c r="K92" i="191" s="1"/>
  <c r="V62" i="42"/>
  <c r="J92" i="191" s="1"/>
  <c r="P62" i="42"/>
  <c r="U62" i="42"/>
  <c r="I92" i="191" s="1"/>
  <c r="L62" i="42"/>
  <c r="K62" i="42"/>
  <c r="K1582" i="184" s="1"/>
  <c r="I62" i="42"/>
  <c r="H62" i="42"/>
  <c r="H1582" i="184"/>
  <c r="G62" i="42"/>
  <c r="F62" i="42"/>
  <c r="E62" i="42"/>
  <c r="D62" i="42"/>
  <c r="AA61" i="42"/>
  <c r="W61" i="42"/>
  <c r="V61" i="42"/>
  <c r="P61" i="42"/>
  <c r="D55" i="191" s="1"/>
  <c r="L61" i="42"/>
  <c r="J61" i="42"/>
  <c r="J1545" i="184"/>
  <c r="I61" i="42"/>
  <c r="I1545" i="184" s="1"/>
  <c r="H61" i="42"/>
  <c r="H1545" i="184"/>
  <c r="F61" i="42"/>
  <c r="E61" i="42"/>
  <c r="E1545" i="184" s="1"/>
  <c r="D61" i="42"/>
  <c r="AA60" i="42"/>
  <c r="W60" i="42"/>
  <c r="K18" i="191" s="1"/>
  <c r="V60" i="42"/>
  <c r="P60" i="42"/>
  <c r="L60" i="42"/>
  <c r="L1508" i="184" s="1"/>
  <c r="K60" i="42"/>
  <c r="K1508" i="184" s="1"/>
  <c r="J60" i="42"/>
  <c r="I60" i="42"/>
  <c r="H60" i="42"/>
  <c r="H1508" i="184" s="1"/>
  <c r="G60" i="42"/>
  <c r="G1508" i="184" s="1"/>
  <c r="F60" i="42"/>
  <c r="D36" i="41"/>
  <c r="E60" i="42"/>
  <c r="E1508" i="184" s="1"/>
  <c r="D60" i="42"/>
  <c r="J1395" i="184"/>
  <c r="I1395" i="184"/>
  <c r="H1395" i="184"/>
  <c r="G1395" i="184"/>
  <c r="L1358" i="184"/>
  <c r="K1358" i="184"/>
  <c r="J1358" i="184"/>
  <c r="G1358" i="184"/>
  <c r="E1358" i="184"/>
  <c r="D1358" i="184"/>
  <c r="L1321" i="184"/>
  <c r="K1321" i="184"/>
  <c r="J1321" i="184"/>
  <c r="H1321" i="184"/>
  <c r="K1284" i="184"/>
  <c r="D28" i="41"/>
  <c r="D1284" i="184"/>
  <c r="L1247" i="184"/>
  <c r="J1247" i="184"/>
  <c r="H1247" i="184"/>
  <c r="D27" i="41"/>
  <c r="L1210" i="184"/>
  <c r="K1210" i="184"/>
  <c r="J1210" i="184"/>
  <c r="H1210" i="184"/>
  <c r="G1210" i="184"/>
  <c r="E1210" i="184"/>
  <c r="L1171" i="184"/>
  <c r="K1171" i="184"/>
  <c r="J1171" i="184"/>
  <c r="E1171" i="184"/>
  <c r="D1171" i="184"/>
  <c r="L1057" i="184"/>
  <c r="K1057" i="184"/>
  <c r="J1057" i="184"/>
  <c r="I1057" i="184"/>
  <c r="H1057" i="184"/>
  <c r="G1057" i="184"/>
  <c r="F1057" i="184"/>
  <c r="D1057" i="184"/>
  <c r="L1020" i="184"/>
  <c r="K1020" i="184"/>
  <c r="J1020" i="184"/>
  <c r="I1020" i="184"/>
  <c r="H1020" i="184"/>
  <c r="J983" i="184"/>
  <c r="I983" i="184"/>
  <c r="G983" i="184"/>
  <c r="F983" i="184"/>
  <c r="E983" i="184"/>
  <c r="D983" i="184"/>
  <c r="L946" i="184"/>
  <c r="K946" i="184"/>
  <c r="J946" i="184"/>
  <c r="G946" i="184"/>
  <c r="E946" i="184"/>
  <c r="D946" i="184"/>
  <c r="K909" i="184"/>
  <c r="I909" i="184"/>
  <c r="H909" i="184"/>
  <c r="E909" i="184"/>
  <c r="L872" i="184"/>
  <c r="H872" i="184"/>
  <c r="G872" i="184"/>
  <c r="F872" i="184"/>
  <c r="D872" i="184"/>
  <c r="L35" i="42"/>
  <c r="K35" i="42"/>
  <c r="J35" i="42"/>
  <c r="I35" i="42"/>
  <c r="I835" i="184" s="1"/>
  <c r="H35" i="42"/>
  <c r="H835" i="184" s="1"/>
  <c r="G35" i="42"/>
  <c r="F35" i="42"/>
  <c r="F835" i="184" s="1"/>
  <c r="E35" i="42"/>
  <c r="E835" i="184" s="1"/>
  <c r="D35" i="42"/>
  <c r="D835" i="184"/>
  <c r="R34" i="42"/>
  <c r="L109" i="42" s="1"/>
  <c r="L34" i="42"/>
  <c r="K34" i="42"/>
  <c r="J34" i="42"/>
  <c r="I34" i="42"/>
  <c r="I798" i="184" s="1"/>
  <c r="H34" i="42"/>
  <c r="H798" i="184" s="1"/>
  <c r="G34" i="42"/>
  <c r="D34" i="42"/>
  <c r="L33" i="42"/>
  <c r="L761" i="184" s="1"/>
  <c r="K33" i="42"/>
  <c r="K761" i="184" s="1"/>
  <c r="J33" i="42"/>
  <c r="J761" i="184"/>
  <c r="I33" i="42"/>
  <c r="I761" i="184" s="1"/>
  <c r="H33" i="42"/>
  <c r="H761" i="184" s="1"/>
  <c r="G33" i="42"/>
  <c r="G761" i="184" s="1"/>
  <c r="F33" i="42"/>
  <c r="E33" i="42"/>
  <c r="E761" i="184" s="1"/>
  <c r="D33" i="42"/>
  <c r="Q32" i="42"/>
  <c r="L108" i="42"/>
  <c r="L32" i="42"/>
  <c r="K32" i="42"/>
  <c r="K724" i="184" s="1"/>
  <c r="J32" i="42"/>
  <c r="I32" i="42"/>
  <c r="I724" i="184" s="1"/>
  <c r="H32" i="42"/>
  <c r="H724" i="184"/>
  <c r="G32" i="42"/>
  <c r="G724" i="184" s="1"/>
  <c r="F32" i="42"/>
  <c r="E32" i="42"/>
  <c r="E724" i="184" s="1"/>
  <c r="D32" i="42"/>
  <c r="D724" i="184" s="1"/>
  <c r="L612" i="184"/>
  <c r="J612" i="184"/>
  <c r="I612" i="184"/>
  <c r="H612" i="184"/>
  <c r="G612" i="184"/>
  <c r="K575" i="184"/>
  <c r="J575" i="184"/>
  <c r="E575" i="184"/>
  <c r="L538" i="184"/>
  <c r="F538" i="184"/>
  <c r="E538" i="184"/>
  <c r="D538" i="184"/>
  <c r="I501" i="184"/>
  <c r="H501" i="184"/>
  <c r="F501" i="184"/>
  <c r="E501" i="184"/>
  <c r="L464" i="184"/>
  <c r="K464" i="184"/>
  <c r="I464" i="184"/>
  <c r="G464" i="184"/>
  <c r="D464" i="184"/>
  <c r="J427" i="184"/>
  <c r="I427" i="184"/>
  <c r="G427" i="184"/>
  <c r="E427" i="184"/>
  <c r="L22" i="42"/>
  <c r="K22" i="42"/>
  <c r="K390" i="184"/>
  <c r="J22" i="42"/>
  <c r="J390" i="184" s="1"/>
  <c r="I22" i="42"/>
  <c r="I390" i="184" s="1"/>
  <c r="H22" i="42"/>
  <c r="G22" i="42"/>
  <c r="G390" i="184" s="1"/>
  <c r="F22" i="42"/>
  <c r="F390" i="184"/>
  <c r="D22" i="42"/>
  <c r="L21" i="42"/>
  <c r="L353" i="184" s="1"/>
  <c r="K21" i="42"/>
  <c r="K353" i="184" s="1"/>
  <c r="J21" i="42"/>
  <c r="J353" i="184"/>
  <c r="I21" i="42"/>
  <c r="I353" i="184" s="1"/>
  <c r="H21" i="42"/>
  <c r="G21" i="42"/>
  <c r="F21" i="42"/>
  <c r="F353" i="184" s="1"/>
  <c r="E21" i="42"/>
  <c r="E353" i="184"/>
  <c r="D21" i="42"/>
  <c r="D353" i="184" s="1"/>
  <c r="L20" i="42"/>
  <c r="L316" i="184" s="1"/>
  <c r="K20" i="42"/>
  <c r="K316" i="184" s="1"/>
  <c r="J20" i="42"/>
  <c r="I20" i="42"/>
  <c r="I316" i="184" s="1"/>
  <c r="H20" i="42"/>
  <c r="H316" i="184" s="1"/>
  <c r="F20" i="42"/>
  <c r="F316" i="184"/>
  <c r="E20" i="42"/>
  <c r="D20" i="42"/>
  <c r="L19" i="42"/>
  <c r="L279" i="184"/>
  <c r="K19" i="42"/>
  <c r="J19" i="42"/>
  <c r="J279" i="184" s="1"/>
  <c r="I19" i="42"/>
  <c r="I279" i="184" s="1"/>
  <c r="H19" i="42"/>
  <c r="H279" i="184"/>
  <c r="G19" i="42"/>
  <c r="F19" i="42"/>
  <c r="D19" i="42"/>
  <c r="D279" i="184"/>
  <c r="K166" i="184"/>
  <c r="J166" i="184"/>
  <c r="I166" i="184"/>
  <c r="E166" i="184"/>
  <c r="J129" i="184"/>
  <c r="I129" i="184"/>
  <c r="G129" i="184"/>
  <c r="E129" i="184"/>
  <c r="K92" i="184"/>
  <c r="J92" i="184"/>
  <c r="I92" i="184"/>
  <c r="G92" i="184"/>
  <c r="E92" i="184"/>
  <c r="L55" i="184"/>
  <c r="J55" i="184"/>
  <c r="G55" i="184"/>
  <c r="E55" i="184"/>
  <c r="I18" i="184"/>
  <c r="G18" i="184"/>
  <c r="F18" i="184"/>
  <c r="L115" i="112"/>
  <c r="L108" i="122"/>
  <c r="L116" i="137"/>
  <c r="L116" i="147"/>
  <c r="L116" i="195"/>
  <c r="L108" i="195"/>
  <c r="L111" i="162"/>
  <c r="L107" i="162"/>
  <c r="L116" i="167"/>
  <c r="M100" i="36"/>
  <c r="Q92" i="36"/>
  <c r="AE15" i="231" s="1"/>
  <c r="O92" i="36"/>
  <c r="K92" i="36"/>
  <c r="K2471" i="184" s="1"/>
  <c r="J92" i="36"/>
  <c r="J2471" i="184"/>
  <c r="G92" i="36"/>
  <c r="G2471" i="184" s="1"/>
  <c r="F92" i="36"/>
  <c r="E92" i="36"/>
  <c r="E2471" i="184" s="1"/>
  <c r="D92" i="36"/>
  <c r="D2471" i="184"/>
  <c r="K91" i="36"/>
  <c r="K2434" i="184" s="1"/>
  <c r="J91" i="36"/>
  <c r="I91" i="36"/>
  <c r="I2434" i="184"/>
  <c r="H91" i="36"/>
  <c r="H2434" i="184" s="1"/>
  <c r="G91" i="36"/>
  <c r="G2434" i="184" s="1"/>
  <c r="F91" i="36"/>
  <c r="F2434" i="184" s="1"/>
  <c r="E91" i="36"/>
  <c r="E2434" i="184" s="1"/>
  <c r="D91" i="36"/>
  <c r="D2434" i="184" s="1"/>
  <c r="L90" i="36"/>
  <c r="L2397" i="184"/>
  <c r="K90" i="36"/>
  <c r="K2397" i="184" s="1"/>
  <c r="I90" i="36"/>
  <c r="I2397" i="184"/>
  <c r="H90" i="36"/>
  <c r="H2397" i="184" s="1"/>
  <c r="G90" i="36"/>
  <c r="G2397" i="184"/>
  <c r="F90" i="36"/>
  <c r="F2397" i="184" s="1"/>
  <c r="D90" i="36"/>
  <c r="D2397" i="184"/>
  <c r="L89" i="36"/>
  <c r="L2360" i="184" s="1"/>
  <c r="J89" i="36"/>
  <c r="J2360" i="184" s="1"/>
  <c r="I89" i="36"/>
  <c r="I2360" i="184" s="1"/>
  <c r="H89" i="36"/>
  <c r="H2360" i="184"/>
  <c r="G89" i="36"/>
  <c r="G2360" i="184" s="1"/>
  <c r="F89" i="36"/>
  <c r="F2360" i="184"/>
  <c r="E89" i="36"/>
  <c r="E2360" i="184" s="1"/>
  <c r="D89" i="36"/>
  <c r="L88" i="36"/>
  <c r="L2323" i="184" s="1"/>
  <c r="J88" i="36"/>
  <c r="J2323" i="184"/>
  <c r="I88" i="36"/>
  <c r="I2323" i="184" s="1"/>
  <c r="H88" i="36"/>
  <c r="G88" i="36"/>
  <c r="G2323" i="184"/>
  <c r="F88" i="36"/>
  <c r="F2323" i="184" s="1"/>
  <c r="E88" i="36"/>
  <c r="E2323" i="184" s="1"/>
  <c r="D88" i="36"/>
  <c r="D2323" i="184" s="1"/>
  <c r="L87" i="36"/>
  <c r="L2286" i="184" s="1"/>
  <c r="K87" i="36"/>
  <c r="K2286" i="184" s="1"/>
  <c r="J87" i="36"/>
  <c r="J2286" i="184" s="1"/>
  <c r="I87" i="36"/>
  <c r="I2286" i="184" s="1"/>
  <c r="H87" i="36"/>
  <c r="H2286" i="184"/>
  <c r="G87" i="36"/>
  <c r="G2286" i="184" s="1"/>
  <c r="F87" i="36"/>
  <c r="F2286" i="184"/>
  <c r="E87" i="36"/>
  <c r="D87" i="36"/>
  <c r="L82" i="36"/>
  <c r="K82" i="36"/>
  <c r="K2173" i="184" s="1"/>
  <c r="J82" i="36"/>
  <c r="J2173" i="184" s="1"/>
  <c r="I82" i="36"/>
  <c r="H82" i="36"/>
  <c r="H2173" i="184" s="1"/>
  <c r="G82" i="36"/>
  <c r="G2173" i="184"/>
  <c r="F82" i="36"/>
  <c r="M82" i="36" s="1"/>
  <c r="E82" i="36"/>
  <c r="L81" i="36"/>
  <c r="L2136" i="184" s="1"/>
  <c r="K81" i="36"/>
  <c r="J81" i="36"/>
  <c r="I81" i="36"/>
  <c r="I2136" i="184" s="1"/>
  <c r="H81" i="36"/>
  <c r="G81" i="36"/>
  <c r="G2136" i="184"/>
  <c r="F81" i="36"/>
  <c r="E81" i="36"/>
  <c r="R80" i="36"/>
  <c r="R77" i="36"/>
  <c r="K77" i="36"/>
  <c r="K2060" i="184" s="1"/>
  <c r="J77" i="36"/>
  <c r="I77" i="36"/>
  <c r="H77" i="36"/>
  <c r="G77" i="36"/>
  <c r="G2060" i="184"/>
  <c r="F77" i="36"/>
  <c r="E77" i="36"/>
  <c r="E2060" i="184" s="1"/>
  <c r="D77" i="36"/>
  <c r="D2060" i="184" s="1"/>
  <c r="L76" i="36"/>
  <c r="L2023" i="184" s="1"/>
  <c r="K76" i="36"/>
  <c r="K2023" i="184" s="1"/>
  <c r="J76" i="36"/>
  <c r="J2023" i="184" s="1"/>
  <c r="I76" i="36"/>
  <c r="I2023" i="184"/>
  <c r="H76" i="36"/>
  <c r="G76" i="36"/>
  <c r="F76" i="36"/>
  <c r="E76" i="36"/>
  <c r="E2023" i="184" s="1"/>
  <c r="D76" i="36"/>
  <c r="D2023" i="184"/>
  <c r="L75" i="36"/>
  <c r="L1986" i="184" s="1"/>
  <c r="K75" i="36"/>
  <c r="K1986" i="184"/>
  <c r="J75" i="36"/>
  <c r="J1986" i="184" s="1"/>
  <c r="I75" i="36"/>
  <c r="H75" i="36"/>
  <c r="H1986" i="184" s="1"/>
  <c r="G75" i="36"/>
  <c r="G1986" i="184" s="1"/>
  <c r="F75" i="36"/>
  <c r="F1986" i="184"/>
  <c r="E75" i="36"/>
  <c r="E1986" i="184" s="1"/>
  <c r="D75" i="36"/>
  <c r="D1986" i="184" s="1"/>
  <c r="L74" i="36"/>
  <c r="L1949" i="184" s="1"/>
  <c r="K74" i="36"/>
  <c r="K1949" i="184"/>
  <c r="J74" i="36"/>
  <c r="I74" i="36"/>
  <c r="I1949" i="184"/>
  <c r="H74" i="36"/>
  <c r="H1949" i="184" s="1"/>
  <c r="G74" i="36"/>
  <c r="F74" i="36"/>
  <c r="F78" i="36" s="1"/>
  <c r="F2097" i="184" s="1"/>
  <c r="E74" i="36"/>
  <c r="D74" i="36"/>
  <c r="D1949" i="184"/>
  <c r="K70" i="36"/>
  <c r="K1873" i="184" s="1"/>
  <c r="J70" i="36"/>
  <c r="J1873" i="184" s="1"/>
  <c r="I70" i="36"/>
  <c r="I1873" i="184" s="1"/>
  <c r="G70" i="36"/>
  <c r="F70" i="36"/>
  <c r="F1873" i="184" s="1"/>
  <c r="E70" i="36"/>
  <c r="D70" i="36"/>
  <c r="K69" i="36"/>
  <c r="D69" i="36"/>
  <c r="G69" i="36"/>
  <c r="G1836" i="184"/>
  <c r="I69" i="36"/>
  <c r="I1836" i="184" s="1"/>
  <c r="J69" i="36"/>
  <c r="J1836" i="184" s="1"/>
  <c r="D45" i="35"/>
  <c r="AA68" i="36"/>
  <c r="L68" i="36"/>
  <c r="L1799" i="184" s="1"/>
  <c r="K68" i="36"/>
  <c r="K1799" i="184" s="1"/>
  <c r="J68" i="36"/>
  <c r="J1799" i="184" s="1"/>
  <c r="H68" i="36"/>
  <c r="H1799" i="184" s="1"/>
  <c r="G68" i="36"/>
  <c r="G1799" i="184"/>
  <c r="F68" i="36"/>
  <c r="F1799" i="184" s="1"/>
  <c r="E68" i="36"/>
  <c r="E1799" i="184"/>
  <c r="D68" i="36"/>
  <c r="D1799" i="184" s="1"/>
  <c r="AA67" i="36"/>
  <c r="W67" i="36"/>
  <c r="K272" i="191"/>
  <c r="V67" i="36"/>
  <c r="P67" i="36"/>
  <c r="D272" i="191"/>
  <c r="L67" i="36"/>
  <c r="L1762" i="184" s="1"/>
  <c r="J67" i="36"/>
  <c r="J1762" i="184" s="1"/>
  <c r="I67" i="36"/>
  <c r="H67" i="36"/>
  <c r="H1762" i="184" s="1"/>
  <c r="G67" i="36"/>
  <c r="G1762" i="184"/>
  <c r="F67" i="36"/>
  <c r="E67" i="36"/>
  <c r="E1762" i="184" s="1"/>
  <c r="D67" i="36"/>
  <c r="AA66" i="36"/>
  <c r="W66" i="36"/>
  <c r="K235" i="191" s="1"/>
  <c r="V66" i="36"/>
  <c r="J235" i="191" s="1"/>
  <c r="P66" i="36"/>
  <c r="U66" i="36"/>
  <c r="I235" i="191" s="1"/>
  <c r="L66" i="36"/>
  <c r="L1725" i="184" s="1"/>
  <c r="K66" i="36"/>
  <c r="K1725" i="184"/>
  <c r="I66" i="36"/>
  <c r="I1725" i="184" s="1"/>
  <c r="H66" i="36"/>
  <c r="G66" i="36"/>
  <c r="G1725" i="184" s="1"/>
  <c r="F66" i="36"/>
  <c r="D42" i="35"/>
  <c r="E66" i="36"/>
  <c r="E1725" i="184" s="1"/>
  <c r="AA65" i="36"/>
  <c r="W65" i="36"/>
  <c r="K198" i="191"/>
  <c r="V65" i="36"/>
  <c r="J198" i="191" s="1"/>
  <c r="P65" i="36"/>
  <c r="D198" i="191" s="1"/>
  <c r="L65" i="36"/>
  <c r="L1688" i="184" s="1"/>
  <c r="K65" i="36"/>
  <c r="K1688" i="184" s="1"/>
  <c r="I65" i="36"/>
  <c r="I1688" i="184" s="1"/>
  <c r="H65" i="36"/>
  <c r="H1688" i="184"/>
  <c r="G65" i="36"/>
  <c r="F65" i="36"/>
  <c r="E65" i="36"/>
  <c r="E1688" i="184" s="1"/>
  <c r="D65" i="36"/>
  <c r="D1688" i="184" s="1"/>
  <c r="AA64" i="36"/>
  <c r="W64" i="36"/>
  <c r="K161" i="191" s="1"/>
  <c r="V64" i="36"/>
  <c r="Q64" i="36"/>
  <c r="Q69" i="36"/>
  <c r="E346" i="191" s="1"/>
  <c r="P64" i="36"/>
  <c r="L64" i="36"/>
  <c r="L1651" i="184"/>
  <c r="K64" i="36"/>
  <c r="K1651" i="184" s="1"/>
  <c r="J64" i="36"/>
  <c r="J1651" i="184" s="1"/>
  <c r="I64" i="36"/>
  <c r="I1651" i="184" s="1"/>
  <c r="H64" i="36"/>
  <c r="H1651" i="184" s="1"/>
  <c r="E64" i="36"/>
  <c r="E1651" i="184" s="1"/>
  <c r="AA63" i="36"/>
  <c r="W63" i="36"/>
  <c r="K124" i="191" s="1"/>
  <c r="V63" i="36"/>
  <c r="J124" i="191"/>
  <c r="P63" i="36"/>
  <c r="L63" i="36"/>
  <c r="L1614" i="184" s="1"/>
  <c r="K63" i="36"/>
  <c r="J63" i="36"/>
  <c r="J1614" i="184" s="1"/>
  <c r="I63" i="36"/>
  <c r="I1614" i="184"/>
  <c r="H63" i="36"/>
  <c r="H1614" i="184" s="1"/>
  <c r="G63" i="36"/>
  <c r="F63" i="36"/>
  <c r="F1614" i="184"/>
  <c r="E63" i="36"/>
  <c r="E1614" i="184" s="1"/>
  <c r="D63" i="36"/>
  <c r="AA62" i="36"/>
  <c r="W62" i="36"/>
  <c r="V62" i="36"/>
  <c r="J87" i="191"/>
  <c r="P62" i="36"/>
  <c r="D87" i="191" s="1"/>
  <c r="L62" i="36"/>
  <c r="K62" i="36"/>
  <c r="K1577" i="184"/>
  <c r="I62" i="36"/>
  <c r="I1577" i="184" s="1"/>
  <c r="H62" i="36"/>
  <c r="H1577" i="184"/>
  <c r="G62" i="36"/>
  <c r="F62" i="36"/>
  <c r="E62" i="36"/>
  <c r="E1577" i="184" s="1"/>
  <c r="D62" i="36"/>
  <c r="D1577" i="184" s="1"/>
  <c r="AA61" i="36"/>
  <c r="W61" i="36"/>
  <c r="V61" i="36"/>
  <c r="J50" i="191" s="1"/>
  <c r="P61" i="36"/>
  <c r="L61" i="36"/>
  <c r="J61" i="36"/>
  <c r="J1540" i="184" s="1"/>
  <c r="I61" i="36"/>
  <c r="I1540" i="184"/>
  <c r="H61" i="36"/>
  <c r="H1540" i="184" s="1"/>
  <c r="F61" i="36"/>
  <c r="E61" i="36"/>
  <c r="D61" i="36"/>
  <c r="D1540" i="184" s="1"/>
  <c r="AA60" i="36"/>
  <c r="W60" i="36"/>
  <c r="K13" i="191" s="1"/>
  <c r="V60" i="36"/>
  <c r="J13" i="191"/>
  <c r="P60" i="36"/>
  <c r="D13" i="191" s="1"/>
  <c r="L60" i="36"/>
  <c r="K60" i="36"/>
  <c r="K1503" i="184"/>
  <c r="J60" i="36"/>
  <c r="I60" i="36"/>
  <c r="I1503" i="184" s="1"/>
  <c r="H60" i="36"/>
  <c r="H1503" i="184" s="1"/>
  <c r="G60" i="36"/>
  <c r="F60" i="36"/>
  <c r="D36" i="35"/>
  <c r="E60" i="36"/>
  <c r="D60" i="36"/>
  <c r="D1503" i="184"/>
  <c r="L1390" i="184"/>
  <c r="K1390" i="184"/>
  <c r="J1390" i="184"/>
  <c r="I1390" i="184"/>
  <c r="G1390" i="184"/>
  <c r="D1390" i="184"/>
  <c r="L1353" i="184"/>
  <c r="K1353" i="184"/>
  <c r="H1353" i="184"/>
  <c r="G1353" i="184"/>
  <c r="D1353" i="184"/>
  <c r="K1316" i="184"/>
  <c r="H1316" i="184"/>
  <c r="G1316" i="184"/>
  <c r="E1316" i="184"/>
  <c r="I1279" i="184"/>
  <c r="H1279" i="184"/>
  <c r="G1279" i="184"/>
  <c r="F1279" i="184"/>
  <c r="D1279" i="184"/>
  <c r="K1242" i="184"/>
  <c r="J1242" i="184"/>
  <c r="H1242" i="184"/>
  <c r="E1242" i="184"/>
  <c r="L1205" i="184"/>
  <c r="I1205" i="184"/>
  <c r="G1205" i="184"/>
  <c r="D26" i="35"/>
  <c r="D1205" i="184"/>
  <c r="L1166" i="184"/>
  <c r="K1166" i="184"/>
  <c r="J1166" i="184"/>
  <c r="I1166" i="184"/>
  <c r="E1166" i="184"/>
  <c r="D1166" i="184"/>
  <c r="K1052" i="184"/>
  <c r="J1052" i="184"/>
  <c r="I1052" i="184"/>
  <c r="G1052" i="184"/>
  <c r="L1015" i="184"/>
  <c r="K1015" i="184"/>
  <c r="H1015" i="184"/>
  <c r="E1015" i="184"/>
  <c r="D1015" i="184"/>
  <c r="L978" i="184"/>
  <c r="G978" i="184"/>
  <c r="F978" i="184"/>
  <c r="E978" i="184"/>
  <c r="D978" i="184"/>
  <c r="L941" i="184"/>
  <c r="H941" i="184"/>
  <c r="G941" i="184"/>
  <c r="F941" i="184"/>
  <c r="L36" i="36"/>
  <c r="K904" i="184"/>
  <c r="I904" i="184"/>
  <c r="H904" i="184"/>
  <c r="G904" i="184"/>
  <c r="F904" i="184"/>
  <c r="K36" i="36"/>
  <c r="K867" i="184" s="1"/>
  <c r="J36" i="36"/>
  <c r="J867" i="184" s="1"/>
  <c r="H36" i="36"/>
  <c r="H867" i="184"/>
  <c r="G36" i="36"/>
  <c r="G867" i="184" s="1"/>
  <c r="F36" i="36"/>
  <c r="F867" i="184"/>
  <c r="E36" i="36"/>
  <c r="E867" i="184" s="1"/>
  <c r="D36" i="36"/>
  <c r="L35" i="36"/>
  <c r="L830" i="184" s="1"/>
  <c r="K35" i="36"/>
  <c r="J35" i="36"/>
  <c r="J830" i="184"/>
  <c r="I35" i="36"/>
  <c r="I830" i="184" s="1"/>
  <c r="H35" i="36"/>
  <c r="H830" i="184" s="1"/>
  <c r="G35" i="36"/>
  <c r="F35" i="36"/>
  <c r="F830" i="184" s="1"/>
  <c r="E35" i="36"/>
  <c r="E830" i="184" s="1"/>
  <c r="D35" i="36"/>
  <c r="R34" i="36"/>
  <c r="L109" i="36" s="1"/>
  <c r="L34" i="36"/>
  <c r="L793" i="184" s="1"/>
  <c r="K34" i="36"/>
  <c r="K793" i="184"/>
  <c r="J34" i="36"/>
  <c r="J793" i="184" s="1"/>
  <c r="I34" i="36"/>
  <c r="I793" i="184"/>
  <c r="H34" i="36"/>
  <c r="H793" i="184" s="1"/>
  <c r="G34" i="36"/>
  <c r="D34" i="36"/>
  <c r="D793" i="184" s="1"/>
  <c r="L33" i="36"/>
  <c r="L756" i="184"/>
  <c r="L32" i="36"/>
  <c r="L719" i="184" s="1"/>
  <c r="K33" i="36"/>
  <c r="K756" i="184"/>
  <c r="J33" i="36"/>
  <c r="I33" i="36"/>
  <c r="H33" i="36"/>
  <c r="G33" i="36"/>
  <c r="G756" i="184"/>
  <c r="F33" i="36"/>
  <c r="E33" i="36"/>
  <c r="E756" i="184"/>
  <c r="D33" i="36"/>
  <c r="D756" i="184" s="1"/>
  <c r="Q32" i="36"/>
  <c r="L108" i="36"/>
  <c r="K32" i="36"/>
  <c r="J32" i="36"/>
  <c r="J719" i="184" s="1"/>
  <c r="I32" i="36"/>
  <c r="I719" i="184" s="1"/>
  <c r="H32" i="36"/>
  <c r="H719" i="184" s="1"/>
  <c r="G32" i="36"/>
  <c r="F32" i="36"/>
  <c r="F719" i="184" s="1"/>
  <c r="E32" i="36"/>
  <c r="D32" i="36"/>
  <c r="L607" i="184"/>
  <c r="K607" i="184"/>
  <c r="J607" i="184"/>
  <c r="G607" i="184"/>
  <c r="E607" i="184"/>
  <c r="J570" i="184"/>
  <c r="H570" i="184"/>
  <c r="F570" i="184"/>
  <c r="J533" i="184"/>
  <c r="H533" i="184"/>
  <c r="G533" i="184"/>
  <c r="L496" i="184"/>
  <c r="I496" i="184"/>
  <c r="F496" i="184"/>
  <c r="E496" i="184"/>
  <c r="K459" i="184"/>
  <c r="G459" i="184"/>
  <c r="E459" i="184"/>
  <c r="L422" i="184"/>
  <c r="J422" i="184"/>
  <c r="E422" i="184"/>
  <c r="D422" i="184"/>
  <c r="L22" i="36"/>
  <c r="L385" i="184" s="1"/>
  <c r="K22" i="36"/>
  <c r="K385" i="184" s="1"/>
  <c r="J22" i="36"/>
  <c r="J385" i="184" s="1"/>
  <c r="I22" i="36"/>
  <c r="I385" i="184" s="1"/>
  <c r="H22" i="36"/>
  <c r="H385" i="184"/>
  <c r="G22" i="36"/>
  <c r="F22" i="36"/>
  <c r="F385" i="184" s="1"/>
  <c r="D22" i="36"/>
  <c r="D385" i="184" s="1"/>
  <c r="L21" i="36"/>
  <c r="L19" i="36"/>
  <c r="L20" i="36"/>
  <c r="L311" i="184"/>
  <c r="K21" i="36"/>
  <c r="K348" i="184" s="1"/>
  <c r="J21" i="36"/>
  <c r="J348" i="184"/>
  <c r="I21" i="36"/>
  <c r="I348" i="184" s="1"/>
  <c r="H21" i="36"/>
  <c r="H348" i="184"/>
  <c r="G21" i="36"/>
  <c r="G348" i="184" s="1"/>
  <c r="F21" i="36"/>
  <c r="F348" i="184"/>
  <c r="E21" i="36"/>
  <c r="D21" i="36"/>
  <c r="D348" i="184"/>
  <c r="K20" i="36"/>
  <c r="K311" i="184" s="1"/>
  <c r="J20" i="36"/>
  <c r="I20" i="36"/>
  <c r="H20" i="36"/>
  <c r="H311" i="184" s="1"/>
  <c r="H19" i="36"/>
  <c r="H274" i="184" s="1"/>
  <c r="F20" i="36"/>
  <c r="F311" i="184" s="1"/>
  <c r="E20" i="36"/>
  <c r="E311" i="184"/>
  <c r="D20" i="36"/>
  <c r="D311" i="184" s="1"/>
  <c r="K19" i="36"/>
  <c r="K274" i="184"/>
  <c r="J19" i="36"/>
  <c r="J274" i="184" s="1"/>
  <c r="I19" i="36"/>
  <c r="G19" i="36"/>
  <c r="G274" i="184"/>
  <c r="F19" i="36"/>
  <c r="F274" i="184" s="1"/>
  <c r="D19" i="36"/>
  <c r="D274" i="184" s="1"/>
  <c r="J124" i="184"/>
  <c r="G124" i="184"/>
  <c r="F124" i="184"/>
  <c r="L87" i="184"/>
  <c r="K87" i="184"/>
  <c r="J87" i="184"/>
  <c r="I87" i="184"/>
  <c r="H87" i="184"/>
  <c r="G87" i="184"/>
  <c r="E87" i="184"/>
  <c r="D87" i="184"/>
  <c r="J50" i="184"/>
  <c r="I50" i="184"/>
  <c r="G50" i="184"/>
  <c r="E50" i="184"/>
  <c r="L13" i="184"/>
  <c r="G13" i="184"/>
  <c r="F15" i="36"/>
  <c r="F198" i="184" s="1"/>
  <c r="E13" i="184"/>
  <c r="D65" i="30"/>
  <c r="D60" i="30"/>
  <c r="D57" i="30"/>
  <c r="D61" i="30" s="1"/>
  <c r="D58" i="30"/>
  <c r="D59" i="30"/>
  <c r="D52" i="30"/>
  <c r="D49" i="30"/>
  <c r="D47" i="30"/>
  <c r="D46" i="30"/>
  <c r="D44" i="30"/>
  <c r="E73" i="30"/>
  <c r="D37" i="30"/>
  <c r="D76" i="30"/>
  <c r="D34" i="30"/>
  <c r="D14" i="30"/>
  <c r="D11" i="30"/>
  <c r="M100" i="26"/>
  <c r="Q92" i="26"/>
  <c r="R14" i="212"/>
  <c r="O92" i="26"/>
  <c r="U32" i="220" s="1"/>
  <c r="K92" i="26"/>
  <c r="K2473" i="184" s="1"/>
  <c r="J92" i="26"/>
  <c r="J2473" i="184" s="1"/>
  <c r="G92" i="26"/>
  <c r="G2473" i="184"/>
  <c r="F92" i="26"/>
  <c r="F2473" i="184" s="1"/>
  <c r="E92" i="26"/>
  <c r="E2473" i="184" s="1"/>
  <c r="D92" i="26"/>
  <c r="D2473" i="184" s="1"/>
  <c r="K91" i="26"/>
  <c r="K2436" i="184"/>
  <c r="J91" i="26"/>
  <c r="J2436" i="184" s="1"/>
  <c r="I91" i="26"/>
  <c r="I2436" i="184"/>
  <c r="H91" i="26"/>
  <c r="H2436" i="184" s="1"/>
  <c r="G91" i="26"/>
  <c r="F91" i="26"/>
  <c r="F2436" i="184" s="1"/>
  <c r="E91" i="26"/>
  <c r="D91" i="26"/>
  <c r="L90" i="26"/>
  <c r="L2399" i="184" s="1"/>
  <c r="K90" i="26"/>
  <c r="K2399" i="184"/>
  <c r="I90" i="26"/>
  <c r="I2399" i="184" s="1"/>
  <c r="H90" i="26"/>
  <c r="H2399" i="184" s="1"/>
  <c r="G90" i="26"/>
  <c r="G2399" i="184" s="1"/>
  <c r="F90" i="26"/>
  <c r="D90" i="26"/>
  <c r="D2399" i="184" s="1"/>
  <c r="L89" i="26"/>
  <c r="L2362" i="184" s="1"/>
  <c r="J89" i="26"/>
  <c r="J2362" i="184" s="1"/>
  <c r="I89" i="26"/>
  <c r="I2362" i="184" s="1"/>
  <c r="H89" i="26"/>
  <c r="H2362" i="184"/>
  <c r="G89" i="26"/>
  <c r="G2362" i="184" s="1"/>
  <c r="F89" i="26"/>
  <c r="F2362" i="184"/>
  <c r="E89" i="26"/>
  <c r="D89" i="26"/>
  <c r="D2362" i="184" s="1"/>
  <c r="L88" i="26"/>
  <c r="L2325" i="184" s="1"/>
  <c r="J88" i="26"/>
  <c r="J2325" i="184"/>
  <c r="I88" i="26"/>
  <c r="I2325" i="184" s="1"/>
  <c r="H88" i="26"/>
  <c r="H2325" i="184"/>
  <c r="G88" i="26"/>
  <c r="G2325" i="184" s="1"/>
  <c r="F88" i="26"/>
  <c r="F2325" i="184" s="1"/>
  <c r="E88" i="26"/>
  <c r="D88" i="26"/>
  <c r="L87" i="26"/>
  <c r="L2288" i="184"/>
  <c r="K87" i="26"/>
  <c r="K2288" i="184" s="1"/>
  <c r="J87" i="26"/>
  <c r="J2288" i="184" s="1"/>
  <c r="I87" i="26"/>
  <c r="I2288" i="184" s="1"/>
  <c r="H87" i="26"/>
  <c r="H2288" i="184"/>
  <c r="G87" i="26"/>
  <c r="G2288" i="184" s="1"/>
  <c r="F87" i="26"/>
  <c r="F2288" i="184"/>
  <c r="E87" i="26"/>
  <c r="E2288" i="184" s="1"/>
  <c r="D87" i="26"/>
  <c r="L82" i="26"/>
  <c r="L2175" i="184" s="1"/>
  <c r="K82" i="26"/>
  <c r="K2175" i="184" s="1"/>
  <c r="J82" i="26"/>
  <c r="J81" i="26"/>
  <c r="J83" i="26" s="1"/>
  <c r="J2212" i="184" s="1"/>
  <c r="I82" i="26"/>
  <c r="H82" i="26"/>
  <c r="G82" i="26"/>
  <c r="F82" i="26"/>
  <c r="E82" i="26"/>
  <c r="E2175" i="184"/>
  <c r="D82" i="26"/>
  <c r="L81" i="26"/>
  <c r="L83" i="26"/>
  <c r="L2212" i="184" s="1"/>
  <c r="K81" i="26"/>
  <c r="I81" i="26"/>
  <c r="I2138" i="184"/>
  <c r="H81" i="26"/>
  <c r="G81" i="26"/>
  <c r="F81" i="26"/>
  <c r="E81" i="26"/>
  <c r="R80" i="26"/>
  <c r="L116" i="26" s="1"/>
  <c r="R77" i="26"/>
  <c r="B23" i="27"/>
  <c r="K77" i="26"/>
  <c r="J77" i="26"/>
  <c r="J2062" i="184" s="1"/>
  <c r="I77" i="26"/>
  <c r="I2062" i="184"/>
  <c r="H77" i="26"/>
  <c r="G77" i="26"/>
  <c r="G2062" i="184" s="1"/>
  <c r="F77" i="26"/>
  <c r="E77" i="26"/>
  <c r="D77" i="26"/>
  <c r="L76" i="26"/>
  <c r="L2025" i="184"/>
  <c r="K76" i="26"/>
  <c r="K2025" i="184" s="1"/>
  <c r="J76" i="26"/>
  <c r="J2025" i="184" s="1"/>
  <c r="I76" i="26"/>
  <c r="H76" i="26"/>
  <c r="G76" i="26"/>
  <c r="F76" i="26"/>
  <c r="E76" i="26"/>
  <c r="E2025" i="184" s="1"/>
  <c r="D76" i="26"/>
  <c r="D2025" i="184" s="1"/>
  <c r="L75" i="26"/>
  <c r="K75" i="26"/>
  <c r="K1988" i="184" s="1"/>
  <c r="J75" i="26"/>
  <c r="J1988" i="184" s="1"/>
  <c r="I75" i="26"/>
  <c r="H75" i="26"/>
  <c r="H1988" i="184" s="1"/>
  <c r="G75" i="26"/>
  <c r="F75" i="26"/>
  <c r="E75" i="26"/>
  <c r="E1988" i="184"/>
  <c r="D75" i="26"/>
  <c r="L74" i="26"/>
  <c r="L1951" i="184" s="1"/>
  <c r="K74" i="26"/>
  <c r="J74" i="26"/>
  <c r="I74" i="26"/>
  <c r="H74" i="26"/>
  <c r="G74" i="26"/>
  <c r="G1951" i="184" s="1"/>
  <c r="F74" i="26"/>
  <c r="D50" i="25"/>
  <c r="E74" i="26"/>
  <c r="D74" i="26"/>
  <c r="K70" i="26"/>
  <c r="K1875" i="184"/>
  <c r="J70" i="26"/>
  <c r="J1875" i="184" s="1"/>
  <c r="I70" i="26"/>
  <c r="I1875" i="184" s="1"/>
  <c r="G70" i="26"/>
  <c r="F70" i="26"/>
  <c r="F1875" i="184" s="1"/>
  <c r="E70" i="26"/>
  <c r="D70" i="26"/>
  <c r="D1875" i="184" s="1"/>
  <c r="K69" i="26"/>
  <c r="K1838" i="184"/>
  <c r="J69" i="26"/>
  <c r="J1838" i="184" s="1"/>
  <c r="I69" i="26"/>
  <c r="I1838" i="184"/>
  <c r="G69" i="26"/>
  <c r="G1838" i="184" s="1"/>
  <c r="D69" i="26"/>
  <c r="AA68" i="26"/>
  <c r="L68" i="26"/>
  <c r="L1801" i="184" s="1"/>
  <c r="K68" i="26"/>
  <c r="K1801" i="184"/>
  <c r="J68" i="26"/>
  <c r="J1801" i="184" s="1"/>
  <c r="H68" i="26"/>
  <c r="H1801" i="184" s="1"/>
  <c r="G68" i="26"/>
  <c r="G1801" i="184" s="1"/>
  <c r="F68" i="26"/>
  <c r="E68" i="26"/>
  <c r="E1801" i="184"/>
  <c r="D68" i="26"/>
  <c r="D1801" i="184" s="1"/>
  <c r="AA67" i="26"/>
  <c r="W67" i="26"/>
  <c r="K274" i="191" s="1"/>
  <c r="V67" i="26"/>
  <c r="J274" i="191"/>
  <c r="P67" i="26"/>
  <c r="U67" i="26" s="1"/>
  <c r="L67" i="26"/>
  <c r="L1764" i="184"/>
  <c r="J67" i="26"/>
  <c r="I67" i="26"/>
  <c r="I1764" i="184" s="1"/>
  <c r="H67" i="26"/>
  <c r="H1764" i="184" s="1"/>
  <c r="G67" i="26"/>
  <c r="F67" i="26"/>
  <c r="E67" i="26"/>
  <c r="D67" i="26"/>
  <c r="AA66" i="26"/>
  <c r="W66" i="26"/>
  <c r="K237" i="191"/>
  <c r="V66" i="26"/>
  <c r="J237" i="191" s="1"/>
  <c r="P66" i="26"/>
  <c r="L66" i="26"/>
  <c r="L1727" i="184" s="1"/>
  <c r="K66" i="26"/>
  <c r="K1727" i="184" s="1"/>
  <c r="I66" i="26"/>
  <c r="I1727" i="184"/>
  <c r="H66" i="26"/>
  <c r="H1727" i="184" s="1"/>
  <c r="G66" i="26"/>
  <c r="F66" i="26"/>
  <c r="D42" i="25" s="1"/>
  <c r="E66" i="26"/>
  <c r="E1727" i="184"/>
  <c r="AA65" i="26"/>
  <c r="W65" i="26"/>
  <c r="K200" i="191" s="1"/>
  <c r="V65" i="26"/>
  <c r="P65" i="26"/>
  <c r="L65" i="26"/>
  <c r="L1690" i="184" s="1"/>
  <c r="K65" i="26"/>
  <c r="K1690" i="184" s="1"/>
  <c r="I65" i="26"/>
  <c r="I1690" i="184" s="1"/>
  <c r="H65" i="26"/>
  <c r="H1690" i="184" s="1"/>
  <c r="G65" i="26"/>
  <c r="G1690" i="184" s="1"/>
  <c r="F65" i="26"/>
  <c r="E65" i="26"/>
  <c r="E1690" i="184" s="1"/>
  <c r="D65" i="26"/>
  <c r="AA64" i="26"/>
  <c r="W64" i="26"/>
  <c r="K163" i="191" s="1"/>
  <c r="V64" i="26"/>
  <c r="J163" i="191" s="1"/>
  <c r="Q64" i="26"/>
  <c r="E163" i="191" s="1"/>
  <c r="P64" i="26"/>
  <c r="L64" i="26"/>
  <c r="L1653" i="184" s="1"/>
  <c r="K64" i="26"/>
  <c r="J64" i="26"/>
  <c r="J1653" i="184" s="1"/>
  <c r="I64" i="26"/>
  <c r="I1653" i="184" s="1"/>
  <c r="H64" i="26"/>
  <c r="E64" i="26"/>
  <c r="E1653" i="184" s="1"/>
  <c r="AA63" i="26"/>
  <c r="W63" i="26"/>
  <c r="V63" i="26"/>
  <c r="J126" i="191" s="1"/>
  <c r="P63" i="26"/>
  <c r="U63" i="26" s="1"/>
  <c r="L63" i="26"/>
  <c r="K63" i="26"/>
  <c r="K1616" i="184" s="1"/>
  <c r="J63" i="26"/>
  <c r="J1616" i="184" s="1"/>
  <c r="I63" i="26"/>
  <c r="I1616" i="184" s="1"/>
  <c r="H63" i="26"/>
  <c r="H1616" i="184" s="1"/>
  <c r="G63" i="26"/>
  <c r="F63" i="26"/>
  <c r="E63" i="26"/>
  <c r="E1616" i="184"/>
  <c r="D63" i="26"/>
  <c r="D1616" i="184" s="1"/>
  <c r="AA62" i="26"/>
  <c r="W62" i="26"/>
  <c r="K89" i="191" s="1"/>
  <c r="V62" i="26"/>
  <c r="P62" i="26"/>
  <c r="U62" i="26"/>
  <c r="I89" i="191"/>
  <c r="L62" i="26"/>
  <c r="L1579" i="184" s="1"/>
  <c r="K62" i="26"/>
  <c r="K1579" i="184" s="1"/>
  <c r="I62" i="26"/>
  <c r="H62" i="26"/>
  <c r="H1579" i="184" s="1"/>
  <c r="G62" i="26"/>
  <c r="G1579" i="184" s="1"/>
  <c r="F62" i="26"/>
  <c r="D38" i="25"/>
  <c r="E66" i="25" s="1"/>
  <c r="E62" i="26"/>
  <c r="E1579" i="184" s="1"/>
  <c r="D62" i="26"/>
  <c r="D1579" i="184" s="1"/>
  <c r="AA61" i="26"/>
  <c r="W61" i="26"/>
  <c r="K52" i="191"/>
  <c r="V61" i="26"/>
  <c r="J52" i="191" s="1"/>
  <c r="P61" i="26"/>
  <c r="U61" i="26" s="1"/>
  <c r="I52" i="191" s="1"/>
  <c r="L61" i="26"/>
  <c r="L1542" i="184" s="1"/>
  <c r="J61" i="26"/>
  <c r="I61" i="26"/>
  <c r="I1542" i="184" s="1"/>
  <c r="H61" i="26"/>
  <c r="H1542" i="184" s="1"/>
  <c r="F61" i="26"/>
  <c r="F1542" i="184" s="1"/>
  <c r="E61" i="26"/>
  <c r="D61" i="26"/>
  <c r="AA60" i="26"/>
  <c r="W60" i="26"/>
  <c r="V60" i="26"/>
  <c r="J15" i="191"/>
  <c r="P60" i="26"/>
  <c r="U60" i="26" s="1"/>
  <c r="I15" i="191" s="1"/>
  <c r="L60" i="26"/>
  <c r="L1505" i="184" s="1"/>
  <c r="K60" i="26"/>
  <c r="J60" i="26"/>
  <c r="J1505" i="184"/>
  <c r="I60" i="26"/>
  <c r="H60" i="26"/>
  <c r="G60" i="26"/>
  <c r="F60" i="26"/>
  <c r="D36" i="25" s="1"/>
  <c r="E60" i="26"/>
  <c r="E1505" i="184" s="1"/>
  <c r="D60" i="26"/>
  <c r="D1505" i="184"/>
  <c r="J1392" i="184"/>
  <c r="H1392" i="184"/>
  <c r="G1392" i="184"/>
  <c r="E1392" i="184"/>
  <c r="L1355" i="184"/>
  <c r="J1355" i="184"/>
  <c r="I1355" i="184"/>
  <c r="H1355" i="184"/>
  <c r="D69" i="25"/>
  <c r="L1318" i="184"/>
  <c r="J1318" i="184"/>
  <c r="I1318" i="184"/>
  <c r="H1318" i="184"/>
  <c r="G1318" i="184"/>
  <c r="D1318" i="184"/>
  <c r="L1281" i="184"/>
  <c r="K1281" i="184"/>
  <c r="I1281" i="184"/>
  <c r="D1281" i="184"/>
  <c r="L1244" i="184"/>
  <c r="J1244" i="184"/>
  <c r="E1244" i="184"/>
  <c r="L1207" i="184"/>
  <c r="H1207" i="184"/>
  <c r="L1168" i="184"/>
  <c r="J1168" i="184"/>
  <c r="D1168" i="184"/>
  <c r="L1054" i="184"/>
  <c r="K1054" i="184"/>
  <c r="J1054" i="184"/>
  <c r="H1054" i="184"/>
  <c r="G1054" i="184"/>
  <c r="D1054" i="184"/>
  <c r="L1017" i="184"/>
  <c r="J1017" i="184"/>
  <c r="I1017" i="184"/>
  <c r="H1017" i="184"/>
  <c r="E1017" i="184"/>
  <c r="L980" i="184"/>
  <c r="J980" i="184"/>
  <c r="F980" i="184"/>
  <c r="D980" i="184"/>
  <c r="L943" i="184"/>
  <c r="J943" i="184"/>
  <c r="H943" i="184"/>
  <c r="G943" i="184"/>
  <c r="D943" i="184"/>
  <c r="K906" i="184"/>
  <c r="I906" i="184"/>
  <c r="G906" i="184"/>
  <c r="F906" i="184"/>
  <c r="K869" i="184"/>
  <c r="H869" i="184"/>
  <c r="G869" i="184"/>
  <c r="F869" i="184"/>
  <c r="L35" i="26"/>
  <c r="K35" i="26"/>
  <c r="K832" i="184" s="1"/>
  <c r="J35" i="26"/>
  <c r="J832" i="184" s="1"/>
  <c r="I35" i="26"/>
  <c r="I832" i="184" s="1"/>
  <c r="H35" i="26"/>
  <c r="G35" i="26"/>
  <c r="G832" i="184" s="1"/>
  <c r="F35" i="26"/>
  <c r="E35" i="26"/>
  <c r="D35" i="26"/>
  <c r="D832" i="184" s="1"/>
  <c r="R34" i="26"/>
  <c r="L109" i="26"/>
  <c r="L34" i="26"/>
  <c r="L795" i="184" s="1"/>
  <c r="K34" i="26"/>
  <c r="J34" i="26"/>
  <c r="J795" i="184" s="1"/>
  <c r="I34" i="26"/>
  <c r="I795" i="184" s="1"/>
  <c r="H34" i="26"/>
  <c r="H795" i="184" s="1"/>
  <c r="G34" i="26"/>
  <c r="D34" i="26"/>
  <c r="L33" i="26"/>
  <c r="L758" i="184" s="1"/>
  <c r="K33" i="26"/>
  <c r="K758" i="184" s="1"/>
  <c r="J33" i="26"/>
  <c r="J758" i="184" s="1"/>
  <c r="I33" i="26"/>
  <c r="H33" i="26"/>
  <c r="H758" i="184"/>
  <c r="G33" i="26"/>
  <c r="G758" i="184" s="1"/>
  <c r="F33" i="26"/>
  <c r="E33" i="26"/>
  <c r="E758" i="184"/>
  <c r="D33" i="26"/>
  <c r="Q32" i="26"/>
  <c r="L108" i="26"/>
  <c r="L32" i="26"/>
  <c r="L721" i="184" s="1"/>
  <c r="K32" i="26"/>
  <c r="K721" i="184" s="1"/>
  <c r="J32" i="26"/>
  <c r="J721" i="184" s="1"/>
  <c r="I32" i="26"/>
  <c r="H32" i="26"/>
  <c r="G32" i="26"/>
  <c r="G721" i="184" s="1"/>
  <c r="F32" i="26"/>
  <c r="E32" i="26"/>
  <c r="E721" i="184"/>
  <c r="D32" i="26"/>
  <c r="D721" i="184" s="1"/>
  <c r="L609" i="184"/>
  <c r="J609" i="184"/>
  <c r="I609" i="184"/>
  <c r="G609" i="184"/>
  <c r="F609" i="184"/>
  <c r="K572" i="184"/>
  <c r="J572" i="184"/>
  <c r="E572" i="184"/>
  <c r="H535" i="184"/>
  <c r="G535" i="184"/>
  <c r="F535" i="184"/>
  <c r="E535" i="184"/>
  <c r="L498" i="184"/>
  <c r="I498" i="184"/>
  <c r="H498" i="184"/>
  <c r="E498" i="184"/>
  <c r="K461" i="184"/>
  <c r="I461" i="184"/>
  <c r="H461" i="184"/>
  <c r="G461" i="184"/>
  <c r="F461" i="184"/>
  <c r="L424" i="184"/>
  <c r="L22" i="26"/>
  <c r="K22" i="26"/>
  <c r="K387" i="184" s="1"/>
  <c r="J22" i="26"/>
  <c r="J387" i="184" s="1"/>
  <c r="I22" i="26"/>
  <c r="I387" i="184" s="1"/>
  <c r="H22" i="26"/>
  <c r="G22" i="26"/>
  <c r="F22" i="26"/>
  <c r="F387" i="184" s="1"/>
  <c r="D22" i="26"/>
  <c r="L21" i="26"/>
  <c r="L350" i="184" s="1"/>
  <c r="K21" i="26"/>
  <c r="J21" i="26"/>
  <c r="J350" i="184" s="1"/>
  <c r="I21" i="26"/>
  <c r="I350" i="184"/>
  <c r="H21" i="26"/>
  <c r="G21" i="26"/>
  <c r="G350" i="184" s="1"/>
  <c r="F21" i="26"/>
  <c r="E21" i="26"/>
  <c r="E350" i="184" s="1"/>
  <c r="D21" i="26"/>
  <c r="L20" i="26"/>
  <c r="K20" i="26"/>
  <c r="K313" i="184" s="1"/>
  <c r="J20" i="26"/>
  <c r="J313" i="184"/>
  <c r="I20" i="26"/>
  <c r="H20" i="26"/>
  <c r="F20" i="26"/>
  <c r="F313" i="184" s="1"/>
  <c r="E20" i="26"/>
  <c r="E313" i="184" s="1"/>
  <c r="D20" i="26"/>
  <c r="L19" i="26"/>
  <c r="K19" i="26"/>
  <c r="J19" i="26"/>
  <c r="I19" i="26"/>
  <c r="I276" i="184"/>
  <c r="H19" i="26"/>
  <c r="H276" i="184" s="1"/>
  <c r="G19" i="26"/>
  <c r="F19" i="26"/>
  <c r="F276" i="184"/>
  <c r="D19" i="26"/>
  <c r="J163" i="184"/>
  <c r="H163" i="184"/>
  <c r="G163" i="184"/>
  <c r="E163" i="184"/>
  <c r="L126" i="184"/>
  <c r="K126" i="184"/>
  <c r="J126" i="184"/>
  <c r="D13" i="25"/>
  <c r="L89" i="184"/>
  <c r="K89" i="184"/>
  <c r="J89" i="184"/>
  <c r="I89" i="184"/>
  <c r="H89" i="184"/>
  <c r="G89" i="184"/>
  <c r="E89" i="184"/>
  <c r="D89" i="184"/>
  <c r="M100" i="21"/>
  <c r="L107" i="21" s="1"/>
  <c r="Q92" i="21"/>
  <c r="AE13" i="231" s="1"/>
  <c r="O92" i="21"/>
  <c r="U34" i="214" s="1"/>
  <c r="K92" i="21"/>
  <c r="K2472" i="184" s="1"/>
  <c r="J92" i="21"/>
  <c r="J2472" i="184"/>
  <c r="G92" i="21"/>
  <c r="G2472" i="184" s="1"/>
  <c r="F92" i="21"/>
  <c r="F2472" i="184"/>
  <c r="E92" i="21"/>
  <c r="E2472" i="184" s="1"/>
  <c r="D92" i="21"/>
  <c r="D2472" i="184"/>
  <c r="K91" i="21"/>
  <c r="K2435" i="184" s="1"/>
  <c r="J91" i="21"/>
  <c r="J2435" i="184" s="1"/>
  <c r="I91" i="21"/>
  <c r="I2435" i="184" s="1"/>
  <c r="H91" i="21"/>
  <c r="H2435" i="184" s="1"/>
  <c r="G91" i="21"/>
  <c r="F91" i="21"/>
  <c r="F2435" i="184" s="1"/>
  <c r="E91" i="21"/>
  <c r="E2435" i="184"/>
  <c r="D91" i="21"/>
  <c r="D2435" i="184" s="1"/>
  <c r="L90" i="21"/>
  <c r="L2398" i="184" s="1"/>
  <c r="K90" i="21"/>
  <c r="K2398" i="184" s="1"/>
  <c r="I90" i="21"/>
  <c r="I2398" i="184" s="1"/>
  <c r="H90" i="21"/>
  <c r="H2398" i="184" s="1"/>
  <c r="G90" i="21"/>
  <c r="G2398" i="184" s="1"/>
  <c r="F90" i="21"/>
  <c r="F2398" i="184" s="1"/>
  <c r="D90" i="21"/>
  <c r="L89" i="21"/>
  <c r="L2361" i="184" s="1"/>
  <c r="J89" i="21"/>
  <c r="J2361" i="184" s="1"/>
  <c r="I89" i="21"/>
  <c r="I2361" i="184" s="1"/>
  <c r="H89" i="21"/>
  <c r="H2361" i="184" s="1"/>
  <c r="G89" i="21"/>
  <c r="G2361" i="184" s="1"/>
  <c r="F89" i="21"/>
  <c r="F2361" i="184" s="1"/>
  <c r="E89" i="21"/>
  <c r="D89" i="21"/>
  <c r="D2361" i="184" s="1"/>
  <c r="L88" i="21"/>
  <c r="L2324" i="184"/>
  <c r="J88" i="21"/>
  <c r="J2324" i="184" s="1"/>
  <c r="I88" i="21"/>
  <c r="I2324" i="184" s="1"/>
  <c r="H88" i="21"/>
  <c r="H2324" i="184" s="1"/>
  <c r="G88" i="21"/>
  <c r="G2324" i="184"/>
  <c r="F88" i="21"/>
  <c r="F2324" i="184" s="1"/>
  <c r="E88" i="21"/>
  <c r="E2324" i="184" s="1"/>
  <c r="D88" i="21"/>
  <c r="D2324" i="184" s="1"/>
  <c r="L87" i="21"/>
  <c r="L2287" i="184"/>
  <c r="K87" i="21"/>
  <c r="K2287" i="184" s="1"/>
  <c r="J87" i="21"/>
  <c r="J2287" i="184" s="1"/>
  <c r="I87" i="21"/>
  <c r="I2287" i="184" s="1"/>
  <c r="H87" i="21"/>
  <c r="G87" i="21"/>
  <c r="G2287" i="184" s="1"/>
  <c r="F87" i="21"/>
  <c r="F2287" i="184"/>
  <c r="E87" i="21"/>
  <c r="E2287" i="184" s="1"/>
  <c r="D87" i="21"/>
  <c r="D2287" i="184" s="1"/>
  <c r="L82" i="21"/>
  <c r="K82" i="21"/>
  <c r="J82" i="21"/>
  <c r="J2174" i="184" s="1"/>
  <c r="I82" i="21"/>
  <c r="I2174" i="184"/>
  <c r="H82" i="21"/>
  <c r="G82" i="21"/>
  <c r="G2174" i="184" s="1"/>
  <c r="F82" i="21"/>
  <c r="E82" i="21"/>
  <c r="E2174" i="184" s="1"/>
  <c r="D82" i="21"/>
  <c r="D2174" i="184"/>
  <c r="L81" i="21"/>
  <c r="L83" i="21" s="1"/>
  <c r="L2211" i="184" s="1"/>
  <c r="K81" i="21"/>
  <c r="K2137" i="184"/>
  <c r="J81" i="21"/>
  <c r="I81" i="21"/>
  <c r="I2137" i="184" s="1"/>
  <c r="H81" i="21"/>
  <c r="G81" i="21"/>
  <c r="G2137" i="184" s="1"/>
  <c r="F81" i="21"/>
  <c r="E81" i="21"/>
  <c r="R80" i="21"/>
  <c r="R77" i="21"/>
  <c r="L115" i="21" s="1"/>
  <c r="K77" i="21"/>
  <c r="K2061" i="184" s="1"/>
  <c r="J77" i="21"/>
  <c r="J2061" i="184" s="1"/>
  <c r="I77" i="21"/>
  <c r="I2061" i="184" s="1"/>
  <c r="H77" i="21"/>
  <c r="H2061" i="184" s="1"/>
  <c r="G77" i="21"/>
  <c r="F77" i="21"/>
  <c r="D53" i="20" s="1"/>
  <c r="E77" i="21"/>
  <c r="D77" i="21"/>
  <c r="L76" i="21"/>
  <c r="K76" i="21"/>
  <c r="K2024" i="184" s="1"/>
  <c r="J76" i="21"/>
  <c r="I76" i="21"/>
  <c r="I2024" i="184" s="1"/>
  <c r="H76" i="21"/>
  <c r="H2024" i="184"/>
  <c r="G76" i="21"/>
  <c r="G2024" i="184" s="1"/>
  <c r="F76" i="21"/>
  <c r="F2024" i="184"/>
  <c r="E76" i="21"/>
  <c r="E2024" i="184" s="1"/>
  <c r="D76" i="21"/>
  <c r="D2024" i="184"/>
  <c r="L75" i="21"/>
  <c r="L1987" i="184" s="1"/>
  <c r="K75" i="21"/>
  <c r="J75" i="21"/>
  <c r="J1987" i="184" s="1"/>
  <c r="I75" i="21"/>
  <c r="I1987" i="184" s="1"/>
  <c r="H75" i="21"/>
  <c r="H1987" i="184" s="1"/>
  <c r="G75" i="21"/>
  <c r="G1987" i="184" s="1"/>
  <c r="F75" i="21"/>
  <c r="E75" i="21"/>
  <c r="E1987" i="184" s="1"/>
  <c r="D75" i="21"/>
  <c r="L74" i="21"/>
  <c r="K74" i="21"/>
  <c r="K1950" i="184" s="1"/>
  <c r="J74" i="21"/>
  <c r="J1950" i="184"/>
  <c r="I74" i="21"/>
  <c r="H74" i="21"/>
  <c r="G74" i="21"/>
  <c r="F74" i="21"/>
  <c r="F1950" i="184" s="1"/>
  <c r="E74" i="21"/>
  <c r="E1950" i="184" s="1"/>
  <c r="D74" i="21"/>
  <c r="D1950" i="184"/>
  <c r="K70" i="21"/>
  <c r="K1874" i="184" s="1"/>
  <c r="J70" i="21"/>
  <c r="J1874" i="184" s="1"/>
  <c r="I70" i="21"/>
  <c r="G70" i="21"/>
  <c r="G1874" i="184"/>
  <c r="F70" i="21"/>
  <c r="F1874" i="184" s="1"/>
  <c r="E70" i="21"/>
  <c r="E1874" i="184"/>
  <c r="D70" i="21"/>
  <c r="D1874" i="184" s="1"/>
  <c r="K69" i="21"/>
  <c r="K1837" i="184"/>
  <c r="J69" i="21"/>
  <c r="J1837" i="184" s="1"/>
  <c r="I69" i="21"/>
  <c r="I1837" i="184"/>
  <c r="G69" i="21"/>
  <c r="D69" i="21"/>
  <c r="D1837" i="184" s="1"/>
  <c r="AA68" i="21"/>
  <c r="L68" i="21"/>
  <c r="L1800" i="184" s="1"/>
  <c r="K68" i="21"/>
  <c r="K1800" i="184" s="1"/>
  <c r="J68" i="21"/>
  <c r="J1800" i="184" s="1"/>
  <c r="H68" i="21"/>
  <c r="H1800" i="184" s="1"/>
  <c r="G68" i="21"/>
  <c r="G1800" i="184" s="1"/>
  <c r="F68" i="21"/>
  <c r="E68" i="21"/>
  <c r="D68" i="21"/>
  <c r="D1800" i="184" s="1"/>
  <c r="AA67" i="21"/>
  <c r="W67" i="21"/>
  <c r="V67" i="21"/>
  <c r="J273" i="191" s="1"/>
  <c r="P67" i="21"/>
  <c r="D273" i="191"/>
  <c r="L67" i="21"/>
  <c r="L1763" i="184" s="1"/>
  <c r="J67" i="21"/>
  <c r="I67" i="21"/>
  <c r="I1763" i="184" s="1"/>
  <c r="H67" i="21"/>
  <c r="H1763" i="184" s="1"/>
  <c r="G67" i="21"/>
  <c r="F67" i="21"/>
  <c r="D43" i="20" s="1"/>
  <c r="E67" i="21"/>
  <c r="E1763" i="184"/>
  <c r="D67" i="21"/>
  <c r="AA66" i="21"/>
  <c r="W66" i="21"/>
  <c r="K236" i="191"/>
  <c r="V66" i="21"/>
  <c r="J236" i="191" s="1"/>
  <c r="P66" i="21"/>
  <c r="U66" i="21" s="1"/>
  <c r="L66" i="21"/>
  <c r="L1726" i="184" s="1"/>
  <c r="K66" i="21"/>
  <c r="I66" i="21"/>
  <c r="I1726" i="184" s="1"/>
  <c r="H66" i="21"/>
  <c r="H1726" i="184" s="1"/>
  <c r="G66" i="21"/>
  <c r="F66" i="21"/>
  <c r="F1726" i="184" s="1"/>
  <c r="E66" i="21"/>
  <c r="E1726" i="184" s="1"/>
  <c r="AA65" i="21"/>
  <c r="W65" i="21"/>
  <c r="K199" i="191" s="1"/>
  <c r="V65" i="21"/>
  <c r="J199" i="191" s="1"/>
  <c r="P65" i="21"/>
  <c r="L65" i="21"/>
  <c r="K65" i="21"/>
  <c r="K1689" i="184" s="1"/>
  <c r="I65" i="21"/>
  <c r="I1689" i="184" s="1"/>
  <c r="H65" i="21"/>
  <c r="H1689" i="184" s="1"/>
  <c r="G65" i="21"/>
  <c r="G1689" i="184" s="1"/>
  <c r="F65" i="21"/>
  <c r="E65" i="21"/>
  <c r="E1689" i="184" s="1"/>
  <c r="D65" i="21"/>
  <c r="AA64" i="21"/>
  <c r="W64" i="21"/>
  <c r="V64" i="21"/>
  <c r="Q64" i="21"/>
  <c r="P64" i="21"/>
  <c r="U64" i="21" s="1"/>
  <c r="I162" i="191" s="1"/>
  <c r="L64" i="21"/>
  <c r="L1652" i="184"/>
  <c r="K64" i="21"/>
  <c r="J64" i="21"/>
  <c r="J1652" i="184" s="1"/>
  <c r="I64" i="21"/>
  <c r="I1652" i="184" s="1"/>
  <c r="H64" i="21"/>
  <c r="H1652" i="184" s="1"/>
  <c r="E64" i="21"/>
  <c r="AA63" i="21"/>
  <c r="W63" i="21"/>
  <c r="K125" i="191" s="1"/>
  <c r="V63" i="21"/>
  <c r="J125" i="191" s="1"/>
  <c r="P63" i="21"/>
  <c r="U63" i="21" s="1"/>
  <c r="I125" i="191" s="1"/>
  <c r="L63" i="21"/>
  <c r="L1615" i="184" s="1"/>
  <c r="K63" i="21"/>
  <c r="K1615" i="184"/>
  <c r="J63" i="21"/>
  <c r="J1615" i="184" s="1"/>
  <c r="I63" i="21"/>
  <c r="H63" i="21"/>
  <c r="H1615" i="184"/>
  <c r="G63" i="21"/>
  <c r="G1615" i="184" s="1"/>
  <c r="F63" i="21"/>
  <c r="E63" i="21"/>
  <c r="D63" i="21"/>
  <c r="AA62" i="21"/>
  <c r="W62" i="21"/>
  <c r="V62" i="21"/>
  <c r="J88" i="191" s="1"/>
  <c r="P62" i="21"/>
  <c r="U62" i="21"/>
  <c r="I88" i="191" s="1"/>
  <c r="L62" i="21"/>
  <c r="L1578" i="184" s="1"/>
  <c r="K62" i="21"/>
  <c r="K1578" i="184"/>
  <c r="I62" i="21"/>
  <c r="I1578" i="184" s="1"/>
  <c r="H62" i="21"/>
  <c r="G62" i="21"/>
  <c r="F62" i="21"/>
  <c r="D38" i="20" s="1"/>
  <c r="E66" i="20" s="1"/>
  <c r="E62" i="21"/>
  <c r="E1578" i="184" s="1"/>
  <c r="D62" i="21"/>
  <c r="AA61" i="21"/>
  <c r="W61" i="21"/>
  <c r="K51" i="191" s="1"/>
  <c r="V61" i="21"/>
  <c r="J51" i="191"/>
  <c r="P61" i="21"/>
  <c r="L61" i="21"/>
  <c r="J61" i="21"/>
  <c r="J1541" i="184" s="1"/>
  <c r="I61" i="21"/>
  <c r="I1541" i="184" s="1"/>
  <c r="H61" i="21"/>
  <c r="H1541" i="184" s="1"/>
  <c r="F61" i="21"/>
  <c r="E61" i="21"/>
  <c r="E1541" i="184" s="1"/>
  <c r="D61" i="21"/>
  <c r="AA60" i="21"/>
  <c r="W60" i="21"/>
  <c r="V60" i="21"/>
  <c r="P60" i="21"/>
  <c r="D14" i="191"/>
  <c r="L60" i="21"/>
  <c r="L1504" i="184" s="1"/>
  <c r="K60" i="21"/>
  <c r="K1504" i="184" s="1"/>
  <c r="J60" i="21"/>
  <c r="J1504" i="184" s="1"/>
  <c r="I60" i="21"/>
  <c r="H60" i="21"/>
  <c r="G60" i="21"/>
  <c r="F60" i="21"/>
  <c r="E60" i="21"/>
  <c r="E1504" i="184" s="1"/>
  <c r="D60" i="21"/>
  <c r="D1504" i="184" s="1"/>
  <c r="L1391" i="184"/>
  <c r="I1391" i="184"/>
  <c r="H1391" i="184"/>
  <c r="G1391" i="184"/>
  <c r="E1391" i="184"/>
  <c r="D1391" i="184"/>
  <c r="J1354" i="184"/>
  <c r="I1354" i="184"/>
  <c r="D1354" i="184"/>
  <c r="I1317" i="184"/>
  <c r="F1317" i="184"/>
  <c r="E1317" i="184"/>
  <c r="L1280" i="184"/>
  <c r="K1280" i="184"/>
  <c r="J1280" i="184"/>
  <c r="H1243" i="184"/>
  <c r="F1243" i="184"/>
  <c r="E1243" i="184"/>
  <c r="L1206" i="184"/>
  <c r="J1206" i="184"/>
  <c r="I1206" i="184"/>
  <c r="E1206" i="184"/>
  <c r="L1167" i="184"/>
  <c r="J1167" i="184"/>
  <c r="E1167" i="184"/>
  <c r="D1167" i="184"/>
  <c r="D1053" i="184"/>
  <c r="L1016" i="184"/>
  <c r="J1016" i="184"/>
  <c r="I1016" i="184"/>
  <c r="H1016" i="184"/>
  <c r="J979" i="184"/>
  <c r="I979" i="184"/>
  <c r="E979" i="184"/>
  <c r="D979" i="184"/>
  <c r="L942" i="184"/>
  <c r="J942" i="184"/>
  <c r="I942" i="184"/>
  <c r="F942" i="184"/>
  <c r="D942" i="184"/>
  <c r="L905" i="184"/>
  <c r="K905" i="184"/>
  <c r="J905" i="184"/>
  <c r="I905" i="184"/>
  <c r="G905" i="184"/>
  <c r="F905" i="184"/>
  <c r="E905" i="184"/>
  <c r="D905" i="184"/>
  <c r="H868" i="184"/>
  <c r="G868" i="184"/>
  <c r="F868" i="184"/>
  <c r="L35" i="21"/>
  <c r="L831" i="184" s="1"/>
  <c r="K35" i="21"/>
  <c r="K831" i="184" s="1"/>
  <c r="J35" i="21"/>
  <c r="J831" i="184" s="1"/>
  <c r="I35" i="21"/>
  <c r="I831" i="184" s="1"/>
  <c r="H35" i="21"/>
  <c r="H831" i="184"/>
  <c r="G35" i="21"/>
  <c r="G831" i="184" s="1"/>
  <c r="F35" i="21"/>
  <c r="F831" i="184"/>
  <c r="E35" i="21"/>
  <c r="D35" i="21"/>
  <c r="D831" i="184" s="1"/>
  <c r="R34" i="21"/>
  <c r="L109" i="21" s="1"/>
  <c r="L34" i="21"/>
  <c r="L794" i="184" s="1"/>
  <c r="K34" i="21"/>
  <c r="K794" i="184" s="1"/>
  <c r="J34" i="21"/>
  <c r="J794" i="184" s="1"/>
  <c r="I34" i="21"/>
  <c r="I794" i="184" s="1"/>
  <c r="H34" i="21"/>
  <c r="H794" i="184" s="1"/>
  <c r="G34" i="21"/>
  <c r="D34" i="21"/>
  <c r="D794" i="184" s="1"/>
  <c r="L33" i="21"/>
  <c r="L757" i="184"/>
  <c r="K33" i="21"/>
  <c r="J33" i="21"/>
  <c r="J757" i="184" s="1"/>
  <c r="I33" i="21"/>
  <c r="I757" i="184" s="1"/>
  <c r="H33" i="21"/>
  <c r="H757" i="184" s="1"/>
  <c r="G33" i="21"/>
  <c r="G757" i="184" s="1"/>
  <c r="F33" i="21"/>
  <c r="E33" i="21"/>
  <c r="E757" i="184" s="1"/>
  <c r="D33" i="21"/>
  <c r="Q32" i="21"/>
  <c r="L108" i="21" s="1"/>
  <c r="L32" i="21"/>
  <c r="K32" i="21"/>
  <c r="K720" i="184" s="1"/>
  <c r="J32" i="21"/>
  <c r="I32" i="21"/>
  <c r="I720" i="184"/>
  <c r="H32" i="21"/>
  <c r="H720" i="184" s="1"/>
  <c r="G32" i="21"/>
  <c r="G720" i="184" s="1"/>
  <c r="F32" i="21"/>
  <c r="E32" i="21"/>
  <c r="E720" i="184"/>
  <c r="D32" i="21"/>
  <c r="D720" i="184" s="1"/>
  <c r="L608" i="184"/>
  <c r="J608" i="184"/>
  <c r="I608" i="184"/>
  <c r="H608" i="184"/>
  <c r="G608" i="184"/>
  <c r="E608" i="184"/>
  <c r="K571" i="184"/>
  <c r="H571" i="184"/>
  <c r="F571" i="184"/>
  <c r="L534" i="184"/>
  <c r="I534" i="184"/>
  <c r="F534" i="184"/>
  <c r="L497" i="184"/>
  <c r="J497" i="184"/>
  <c r="H497" i="184"/>
  <c r="E497" i="184"/>
  <c r="L460" i="184"/>
  <c r="K460" i="184"/>
  <c r="I460" i="184"/>
  <c r="H460" i="184"/>
  <c r="L423" i="184"/>
  <c r="J423" i="184"/>
  <c r="G423" i="184"/>
  <c r="D423" i="184"/>
  <c r="L22" i="21"/>
  <c r="L386" i="184"/>
  <c r="K22" i="21"/>
  <c r="K386" i="184" s="1"/>
  <c r="J22" i="21"/>
  <c r="J386" i="184" s="1"/>
  <c r="I22" i="21"/>
  <c r="I386" i="184" s="1"/>
  <c r="H22" i="21"/>
  <c r="H386" i="184"/>
  <c r="G22" i="21"/>
  <c r="G386" i="184" s="1"/>
  <c r="F22" i="21"/>
  <c r="F386" i="184" s="1"/>
  <c r="D22" i="21"/>
  <c r="D386" i="184" s="1"/>
  <c r="L21" i="21"/>
  <c r="L349" i="184" s="1"/>
  <c r="K21" i="21"/>
  <c r="J21" i="21"/>
  <c r="J349" i="184" s="1"/>
  <c r="I21" i="21"/>
  <c r="I349" i="184"/>
  <c r="H21" i="21"/>
  <c r="H349" i="184" s="1"/>
  <c r="G21" i="21"/>
  <c r="G349" i="184" s="1"/>
  <c r="F21" i="21"/>
  <c r="F349" i="184" s="1"/>
  <c r="E21" i="21"/>
  <c r="E349" i="184"/>
  <c r="D21" i="21"/>
  <c r="D349" i="184" s="1"/>
  <c r="L20" i="21"/>
  <c r="L312" i="184" s="1"/>
  <c r="K20" i="21"/>
  <c r="J20" i="21"/>
  <c r="J312" i="184"/>
  <c r="I20" i="21"/>
  <c r="I312" i="184" s="1"/>
  <c r="H20" i="21"/>
  <c r="H312" i="184"/>
  <c r="F20" i="21"/>
  <c r="E20" i="21"/>
  <c r="E312" i="184" s="1"/>
  <c r="D20" i="21"/>
  <c r="L19" i="21"/>
  <c r="K19" i="21"/>
  <c r="K275" i="184" s="1"/>
  <c r="J19" i="21"/>
  <c r="I19" i="21"/>
  <c r="H19" i="21"/>
  <c r="H275" i="184" s="1"/>
  <c r="G19" i="21"/>
  <c r="F19" i="21"/>
  <c r="D19" i="21"/>
  <c r="K162" i="184"/>
  <c r="H162" i="184"/>
  <c r="L125" i="184"/>
  <c r="I125" i="184"/>
  <c r="G125" i="184"/>
  <c r="L88" i="184"/>
  <c r="K88" i="184"/>
  <c r="J88" i="184"/>
  <c r="I88" i="184"/>
  <c r="H88" i="184"/>
  <c r="G88" i="184"/>
  <c r="E88" i="184"/>
  <c r="D88" i="184"/>
  <c r="K51" i="184"/>
  <c r="I51" i="184"/>
  <c r="H51" i="184"/>
  <c r="G51" i="184"/>
  <c r="F51" i="184"/>
  <c r="L14" i="184"/>
  <c r="J14" i="184"/>
  <c r="I14" i="184"/>
  <c r="G14" i="184"/>
  <c r="D14" i="184"/>
  <c r="M100" i="16"/>
  <c r="Q92" i="16"/>
  <c r="O92" i="16"/>
  <c r="K92" i="16"/>
  <c r="K2470" i="184" s="1"/>
  <c r="J92" i="16"/>
  <c r="J2470" i="184"/>
  <c r="G92" i="16"/>
  <c r="F92" i="16"/>
  <c r="F2470" i="184" s="1"/>
  <c r="E92" i="16"/>
  <c r="D92" i="16"/>
  <c r="D2470" i="184" s="1"/>
  <c r="K91" i="16"/>
  <c r="K2433" i="184" s="1"/>
  <c r="J91" i="16"/>
  <c r="J2433" i="184" s="1"/>
  <c r="I91" i="16"/>
  <c r="H91" i="16"/>
  <c r="G91" i="16"/>
  <c r="G2433" i="184" s="1"/>
  <c r="F91" i="16"/>
  <c r="F2433" i="184"/>
  <c r="E91" i="16"/>
  <c r="E2433" i="184" s="1"/>
  <c r="D91" i="16"/>
  <c r="D2433" i="184" s="1"/>
  <c r="L90" i="16"/>
  <c r="L2396" i="184" s="1"/>
  <c r="K90" i="16"/>
  <c r="K2396" i="184"/>
  <c r="I90" i="16"/>
  <c r="I2396" i="184" s="1"/>
  <c r="H90" i="16"/>
  <c r="M90" i="16" s="1"/>
  <c r="H2396" i="184"/>
  <c r="G90" i="16"/>
  <c r="G2396" i="184" s="1"/>
  <c r="F90" i="16"/>
  <c r="D90" i="16"/>
  <c r="L89" i="16"/>
  <c r="L2359" i="184" s="1"/>
  <c r="J89" i="16"/>
  <c r="J2359" i="184" s="1"/>
  <c r="I89" i="16"/>
  <c r="I2359" i="184" s="1"/>
  <c r="H89" i="16"/>
  <c r="H2359" i="184" s="1"/>
  <c r="G89" i="16"/>
  <c r="G2359" i="184" s="1"/>
  <c r="F89" i="16"/>
  <c r="F2359" i="184" s="1"/>
  <c r="E89" i="16"/>
  <c r="E2359" i="184" s="1"/>
  <c r="D89" i="16"/>
  <c r="L88" i="16"/>
  <c r="L2322" i="184" s="1"/>
  <c r="J88" i="16"/>
  <c r="J2322" i="184"/>
  <c r="I88" i="16"/>
  <c r="H88" i="16"/>
  <c r="H2322" i="184" s="1"/>
  <c r="G88" i="16"/>
  <c r="G2322" i="184" s="1"/>
  <c r="F88" i="16"/>
  <c r="F2322" i="184" s="1"/>
  <c r="E88" i="16"/>
  <c r="E2322" i="184" s="1"/>
  <c r="D88" i="16"/>
  <c r="D2322" i="184" s="1"/>
  <c r="L87" i="16"/>
  <c r="L2285" i="184" s="1"/>
  <c r="K87" i="16"/>
  <c r="K2285" i="184" s="1"/>
  <c r="J87" i="16"/>
  <c r="J2285" i="184" s="1"/>
  <c r="I87" i="16"/>
  <c r="I2285" i="184" s="1"/>
  <c r="H87" i="16"/>
  <c r="H2285" i="184" s="1"/>
  <c r="G87" i="16"/>
  <c r="G2285" i="184" s="1"/>
  <c r="F87" i="16"/>
  <c r="F2285" i="184" s="1"/>
  <c r="E87" i="16"/>
  <c r="E2285" i="184" s="1"/>
  <c r="D87" i="16"/>
  <c r="L82" i="16"/>
  <c r="K82" i="16"/>
  <c r="K2172" i="184" s="1"/>
  <c r="J82" i="16"/>
  <c r="I82" i="16"/>
  <c r="I2172" i="184" s="1"/>
  <c r="H82" i="16"/>
  <c r="H2172" i="184" s="1"/>
  <c r="G82" i="16"/>
  <c r="G2172" i="184" s="1"/>
  <c r="F82" i="16"/>
  <c r="E82" i="16"/>
  <c r="E2172" i="184" s="1"/>
  <c r="D82" i="16"/>
  <c r="D2172" i="184" s="1"/>
  <c r="L81" i="16"/>
  <c r="L2135" i="184" s="1"/>
  <c r="K81" i="16"/>
  <c r="J81" i="16"/>
  <c r="I81" i="16"/>
  <c r="I2135" i="184" s="1"/>
  <c r="H81" i="16"/>
  <c r="H2135" i="184" s="1"/>
  <c r="G81" i="16"/>
  <c r="G83" i="16" s="1"/>
  <c r="G2209" i="184" s="1"/>
  <c r="F81" i="16"/>
  <c r="M81" i="16" s="1"/>
  <c r="E81" i="16"/>
  <c r="R80" i="16"/>
  <c r="R77" i="16"/>
  <c r="B23" i="17" s="1"/>
  <c r="K77" i="16"/>
  <c r="J77" i="16"/>
  <c r="I77" i="16"/>
  <c r="H77" i="16"/>
  <c r="H2059" i="184" s="1"/>
  <c r="G77" i="16"/>
  <c r="G2059" i="184" s="1"/>
  <c r="F77" i="16"/>
  <c r="D53" i="15" s="1"/>
  <c r="E77" i="16"/>
  <c r="D77" i="16"/>
  <c r="M77" i="16" s="1"/>
  <c r="L76" i="16"/>
  <c r="L2022" i="184"/>
  <c r="K76" i="16"/>
  <c r="K2022" i="184" s="1"/>
  <c r="J76" i="16"/>
  <c r="J2022" i="184"/>
  <c r="I76" i="16"/>
  <c r="I2022" i="184" s="1"/>
  <c r="H76" i="16"/>
  <c r="H2022" i="184"/>
  <c r="G76" i="16"/>
  <c r="G2022" i="184" s="1"/>
  <c r="F76" i="16"/>
  <c r="F2022" i="184" s="1"/>
  <c r="E76" i="16"/>
  <c r="D76" i="16"/>
  <c r="D2022" i="184" s="1"/>
  <c r="L75" i="16"/>
  <c r="K75" i="16"/>
  <c r="J75" i="16"/>
  <c r="J1985" i="184" s="1"/>
  <c r="I75" i="16"/>
  <c r="I1985" i="184" s="1"/>
  <c r="H75" i="16"/>
  <c r="H1985" i="184" s="1"/>
  <c r="G75" i="16"/>
  <c r="F75" i="16"/>
  <c r="F1985" i="184" s="1"/>
  <c r="E75" i="16"/>
  <c r="E1985" i="184"/>
  <c r="D75" i="16"/>
  <c r="D1985" i="184" s="1"/>
  <c r="L74" i="16"/>
  <c r="L1948" i="184" s="1"/>
  <c r="K74" i="16"/>
  <c r="K1948" i="184" s="1"/>
  <c r="J74" i="16"/>
  <c r="I74" i="16"/>
  <c r="I1948" i="184" s="1"/>
  <c r="H74" i="16"/>
  <c r="G74" i="16"/>
  <c r="G1948" i="184" s="1"/>
  <c r="F74" i="16"/>
  <c r="D50" i="15" s="1"/>
  <c r="E74" i="16"/>
  <c r="E1948" i="184"/>
  <c r="D74" i="16"/>
  <c r="K70" i="16"/>
  <c r="K1872" i="184" s="1"/>
  <c r="J70" i="16"/>
  <c r="J1872" i="184" s="1"/>
  <c r="I70" i="16"/>
  <c r="I1872" i="184" s="1"/>
  <c r="G70" i="16"/>
  <c r="F70" i="16"/>
  <c r="E70" i="16"/>
  <c r="E1872" i="184" s="1"/>
  <c r="D70" i="16"/>
  <c r="D1872" i="184" s="1"/>
  <c r="K69" i="16"/>
  <c r="K1835" i="184" s="1"/>
  <c r="J69" i="16"/>
  <c r="J1835" i="184" s="1"/>
  <c r="I69" i="16"/>
  <c r="I1835" i="184" s="1"/>
  <c r="G69" i="16"/>
  <c r="D69" i="16"/>
  <c r="D1835" i="184" s="1"/>
  <c r="AA68" i="16"/>
  <c r="L68" i="16"/>
  <c r="L1798" i="184" s="1"/>
  <c r="K68" i="16"/>
  <c r="K1798" i="184" s="1"/>
  <c r="J68" i="16"/>
  <c r="H68" i="16"/>
  <c r="H1798" i="184" s="1"/>
  <c r="G68" i="16"/>
  <c r="F68" i="16"/>
  <c r="E68" i="16"/>
  <c r="E1798" i="184" s="1"/>
  <c r="D68" i="16"/>
  <c r="AA67" i="16"/>
  <c r="W67" i="16"/>
  <c r="K271" i="191" s="1"/>
  <c r="V67" i="16"/>
  <c r="P67" i="16"/>
  <c r="L67" i="16"/>
  <c r="L1761" i="184"/>
  <c r="J67" i="16"/>
  <c r="J1761" i="184" s="1"/>
  <c r="I67" i="16"/>
  <c r="H67" i="16"/>
  <c r="G67" i="16"/>
  <c r="F67" i="16"/>
  <c r="E67" i="16"/>
  <c r="E1761" i="184" s="1"/>
  <c r="D67" i="16"/>
  <c r="D1761" i="184"/>
  <c r="AA66" i="16"/>
  <c r="W66" i="16"/>
  <c r="K234" i="191" s="1"/>
  <c r="V66" i="16"/>
  <c r="J234" i="191" s="1"/>
  <c r="P66" i="16"/>
  <c r="D234" i="191" s="1"/>
  <c r="L66" i="16"/>
  <c r="K66" i="16"/>
  <c r="I66" i="16"/>
  <c r="I1724" i="184" s="1"/>
  <c r="H66" i="16"/>
  <c r="H1724" i="184" s="1"/>
  <c r="G66" i="16"/>
  <c r="G1724" i="184" s="1"/>
  <c r="F66" i="16"/>
  <c r="F1724" i="184" s="1"/>
  <c r="E66" i="16"/>
  <c r="AA65" i="16"/>
  <c r="W65" i="16"/>
  <c r="K197" i="191" s="1"/>
  <c r="V65" i="16"/>
  <c r="J197" i="191" s="1"/>
  <c r="P65" i="16"/>
  <c r="L65" i="16"/>
  <c r="L1687" i="184" s="1"/>
  <c r="K65" i="16"/>
  <c r="K1687" i="184"/>
  <c r="I65" i="16"/>
  <c r="I1687" i="184" s="1"/>
  <c r="H65" i="16"/>
  <c r="H1687" i="184" s="1"/>
  <c r="G65" i="16"/>
  <c r="G1687" i="184" s="1"/>
  <c r="F65" i="16"/>
  <c r="D41" i="15"/>
  <c r="E65" i="16"/>
  <c r="D65" i="16"/>
  <c r="AA64" i="16"/>
  <c r="W64" i="16"/>
  <c r="K160" i="191" s="1"/>
  <c r="V64" i="16"/>
  <c r="J160" i="191" s="1"/>
  <c r="Q64" i="16"/>
  <c r="Q69" i="16" s="1"/>
  <c r="E345" i="191" s="1"/>
  <c r="P64" i="16"/>
  <c r="L64" i="16"/>
  <c r="K64" i="16"/>
  <c r="K1650" i="184" s="1"/>
  <c r="J64" i="16"/>
  <c r="I64" i="16"/>
  <c r="I1650" i="184" s="1"/>
  <c r="H64" i="16"/>
  <c r="H1650" i="184" s="1"/>
  <c r="E64" i="16"/>
  <c r="E1650" i="184" s="1"/>
  <c r="AA63" i="16"/>
  <c r="W63" i="16"/>
  <c r="K123" i="191" s="1"/>
  <c r="V63" i="16"/>
  <c r="P63" i="16"/>
  <c r="L63" i="16"/>
  <c r="L1613" i="184" s="1"/>
  <c r="K63" i="16"/>
  <c r="K1613" i="184" s="1"/>
  <c r="J63" i="16"/>
  <c r="J1613" i="184" s="1"/>
  <c r="I63" i="16"/>
  <c r="H63" i="16"/>
  <c r="G63" i="16"/>
  <c r="G1613" i="184" s="1"/>
  <c r="F63" i="16"/>
  <c r="E63" i="16"/>
  <c r="D63" i="16"/>
  <c r="AA62" i="16"/>
  <c r="W62" i="16"/>
  <c r="K86" i="191" s="1"/>
  <c r="V62" i="16"/>
  <c r="J86" i="191" s="1"/>
  <c r="P62" i="16"/>
  <c r="U62" i="16" s="1"/>
  <c r="I86" i="191" s="1"/>
  <c r="L62" i="16"/>
  <c r="L1576" i="184" s="1"/>
  <c r="K62" i="16"/>
  <c r="I62" i="16"/>
  <c r="H62" i="16"/>
  <c r="H1576" i="184" s="1"/>
  <c r="G62" i="16"/>
  <c r="G1576" i="184"/>
  <c r="F62" i="16"/>
  <c r="E62" i="16"/>
  <c r="D62" i="16"/>
  <c r="AA61" i="16"/>
  <c r="W61" i="16"/>
  <c r="V61" i="16"/>
  <c r="J49" i="191"/>
  <c r="P61" i="16"/>
  <c r="L61" i="16"/>
  <c r="J61" i="16"/>
  <c r="J1539" i="184"/>
  <c r="I61" i="16"/>
  <c r="I1539" i="184" s="1"/>
  <c r="H61" i="16"/>
  <c r="F61" i="16"/>
  <c r="E61" i="16"/>
  <c r="D61" i="16"/>
  <c r="AA60" i="16"/>
  <c r="L114" i="16" s="1"/>
  <c r="W60" i="16"/>
  <c r="K12" i="191" s="1"/>
  <c r="V60" i="16"/>
  <c r="J12" i="191" s="1"/>
  <c r="P60" i="16"/>
  <c r="U60" i="16" s="1"/>
  <c r="I12" i="191" s="1"/>
  <c r="L60" i="16"/>
  <c r="L1502" i="184" s="1"/>
  <c r="K60" i="16"/>
  <c r="K1502" i="184"/>
  <c r="J60" i="16"/>
  <c r="J1502" i="184" s="1"/>
  <c r="I60" i="16"/>
  <c r="I1502" i="184" s="1"/>
  <c r="H60" i="16"/>
  <c r="H71" i="16" s="1"/>
  <c r="H1909" i="184" s="1"/>
  <c r="G60" i="16"/>
  <c r="G1502" i="184" s="1"/>
  <c r="F60" i="16"/>
  <c r="F71" i="16" s="1"/>
  <c r="F1909" i="184" s="1"/>
  <c r="E60" i="16"/>
  <c r="D60" i="16"/>
  <c r="D1502" i="184" s="1"/>
  <c r="L1389" i="184"/>
  <c r="K1389" i="184"/>
  <c r="J1389" i="184"/>
  <c r="I1389" i="184"/>
  <c r="D31" i="15"/>
  <c r="L1352" i="184"/>
  <c r="K1352" i="184"/>
  <c r="J1352" i="184"/>
  <c r="G1352" i="184"/>
  <c r="D1352" i="184"/>
  <c r="L1315" i="184"/>
  <c r="K1315" i="184"/>
  <c r="I1315" i="184"/>
  <c r="H1315" i="184"/>
  <c r="G1315" i="184"/>
  <c r="D1315" i="184"/>
  <c r="L1278" i="184"/>
  <c r="J1278" i="184"/>
  <c r="H1278" i="184"/>
  <c r="D1278" i="184"/>
  <c r="K1241" i="184"/>
  <c r="J1241" i="184"/>
  <c r="H1241" i="184"/>
  <c r="L1204" i="184"/>
  <c r="J1204" i="184"/>
  <c r="G1204" i="184"/>
  <c r="D1204" i="184"/>
  <c r="L1165" i="184"/>
  <c r="K1165" i="184"/>
  <c r="F1165" i="184"/>
  <c r="E1165" i="184"/>
  <c r="L1051" i="184"/>
  <c r="K1051" i="184"/>
  <c r="J1051" i="184"/>
  <c r="I1051" i="184"/>
  <c r="G1051" i="184"/>
  <c r="E1051" i="184"/>
  <c r="D1051" i="184"/>
  <c r="L1014" i="184"/>
  <c r="K1014" i="184"/>
  <c r="J1014" i="184"/>
  <c r="I1014" i="184"/>
  <c r="H1014" i="184"/>
  <c r="F1014" i="184"/>
  <c r="E1014" i="184"/>
  <c r="J977" i="184"/>
  <c r="I977" i="184"/>
  <c r="G977" i="184"/>
  <c r="E977" i="184"/>
  <c r="L940" i="184"/>
  <c r="K940" i="184"/>
  <c r="J940" i="184"/>
  <c r="E940" i="184"/>
  <c r="L903" i="184"/>
  <c r="K903" i="184"/>
  <c r="I903" i="184"/>
  <c r="F903" i="184"/>
  <c r="E903" i="184"/>
  <c r="H866" i="184"/>
  <c r="G866" i="184"/>
  <c r="L35" i="16"/>
  <c r="L829" i="184" s="1"/>
  <c r="K35" i="16"/>
  <c r="K829" i="184"/>
  <c r="J35" i="16"/>
  <c r="J829" i="184" s="1"/>
  <c r="I35" i="16"/>
  <c r="I829" i="184"/>
  <c r="H35" i="16"/>
  <c r="H829" i="184" s="1"/>
  <c r="G35" i="16"/>
  <c r="F35" i="16"/>
  <c r="E35" i="16"/>
  <c r="D35" i="16"/>
  <c r="D829" i="184" s="1"/>
  <c r="R34" i="16"/>
  <c r="L109" i="16" s="1"/>
  <c r="L34" i="16"/>
  <c r="K34" i="16"/>
  <c r="K792" i="184" s="1"/>
  <c r="J34" i="16"/>
  <c r="I34" i="16"/>
  <c r="H34" i="16"/>
  <c r="H792" i="184"/>
  <c r="G34" i="16"/>
  <c r="G792" i="184" s="1"/>
  <c r="D34" i="16"/>
  <c r="D792" i="184"/>
  <c r="L755" i="184"/>
  <c r="K33" i="16"/>
  <c r="K755" i="184" s="1"/>
  <c r="J33" i="16"/>
  <c r="J755" i="184" s="1"/>
  <c r="I33" i="16"/>
  <c r="I755" i="184" s="1"/>
  <c r="H33" i="16"/>
  <c r="G33" i="16"/>
  <c r="F33" i="16"/>
  <c r="F755" i="184" s="1"/>
  <c r="E33" i="16"/>
  <c r="E755" i="184" s="1"/>
  <c r="D33" i="16"/>
  <c r="Q32" i="16"/>
  <c r="L108" i="16"/>
  <c r="K32" i="16"/>
  <c r="K718" i="184" s="1"/>
  <c r="J32" i="16"/>
  <c r="J718" i="184"/>
  <c r="I32" i="16"/>
  <c r="H32" i="16"/>
  <c r="H718" i="184" s="1"/>
  <c r="G32" i="16"/>
  <c r="G718" i="184" s="1"/>
  <c r="F32" i="16"/>
  <c r="F718" i="184" s="1"/>
  <c r="E32" i="16"/>
  <c r="D32" i="16"/>
  <c r="D718" i="184" s="1"/>
  <c r="L606" i="184"/>
  <c r="K606" i="184"/>
  <c r="J606" i="184"/>
  <c r="F606" i="184"/>
  <c r="E606" i="184"/>
  <c r="K569" i="184"/>
  <c r="G569" i="184"/>
  <c r="F569" i="184"/>
  <c r="L532" i="184"/>
  <c r="H532" i="184"/>
  <c r="G532" i="184"/>
  <c r="L495" i="184"/>
  <c r="K495" i="184"/>
  <c r="I495" i="184"/>
  <c r="E495" i="184"/>
  <c r="L458" i="184"/>
  <c r="J458" i="184"/>
  <c r="I458" i="184"/>
  <c r="G458" i="184"/>
  <c r="F458" i="184"/>
  <c r="E458" i="184"/>
  <c r="L23" i="16"/>
  <c r="K23" i="16"/>
  <c r="J23" i="16"/>
  <c r="J421" i="184" s="1"/>
  <c r="I23" i="16"/>
  <c r="I421" i="184" s="1"/>
  <c r="H23" i="16"/>
  <c r="H421" i="184" s="1"/>
  <c r="G23" i="16"/>
  <c r="E23" i="16"/>
  <c r="D23" i="16"/>
  <c r="L22" i="16"/>
  <c r="K22" i="16"/>
  <c r="K384" i="184" s="1"/>
  <c r="J22" i="16"/>
  <c r="J384" i="184" s="1"/>
  <c r="I22" i="16"/>
  <c r="I384" i="184" s="1"/>
  <c r="H22" i="16"/>
  <c r="H384" i="184" s="1"/>
  <c r="G22" i="16"/>
  <c r="G384" i="184" s="1"/>
  <c r="F22" i="16"/>
  <c r="F384" i="184" s="1"/>
  <c r="D22" i="16"/>
  <c r="D384" i="184" s="1"/>
  <c r="L21" i="16"/>
  <c r="L347" i="184" s="1"/>
  <c r="K21" i="16"/>
  <c r="J21" i="16"/>
  <c r="J347" i="184" s="1"/>
  <c r="I21" i="16"/>
  <c r="I347" i="184"/>
  <c r="H21" i="16"/>
  <c r="H347" i="184" s="1"/>
  <c r="G21" i="16"/>
  <c r="G347" i="184" s="1"/>
  <c r="F21" i="16"/>
  <c r="E21" i="16"/>
  <c r="E347" i="184" s="1"/>
  <c r="D21" i="16"/>
  <c r="L20" i="16"/>
  <c r="L310" i="184" s="1"/>
  <c r="K20" i="16"/>
  <c r="K310" i="184"/>
  <c r="J20" i="16"/>
  <c r="J310" i="184" s="1"/>
  <c r="I20" i="16"/>
  <c r="I310" i="184"/>
  <c r="H20" i="16"/>
  <c r="H310" i="184" s="1"/>
  <c r="F20" i="16"/>
  <c r="F310" i="184"/>
  <c r="E20" i="16"/>
  <c r="E310" i="184" s="1"/>
  <c r="D20" i="16"/>
  <c r="L19" i="16"/>
  <c r="K19" i="16"/>
  <c r="J19" i="16"/>
  <c r="J273" i="184" s="1"/>
  <c r="I19" i="16"/>
  <c r="H19" i="16"/>
  <c r="G19" i="16"/>
  <c r="G273" i="184" s="1"/>
  <c r="F19" i="16"/>
  <c r="F273" i="184" s="1"/>
  <c r="D19" i="16"/>
  <c r="K160" i="184"/>
  <c r="H160" i="184"/>
  <c r="G160" i="184"/>
  <c r="E160" i="184"/>
  <c r="L123" i="184"/>
  <c r="J123" i="184"/>
  <c r="I123" i="184"/>
  <c r="G123" i="184"/>
  <c r="F123" i="184"/>
  <c r="L86" i="184"/>
  <c r="K86" i="184"/>
  <c r="J86" i="184"/>
  <c r="I86" i="184"/>
  <c r="H86" i="184"/>
  <c r="G86" i="184"/>
  <c r="E86" i="184"/>
  <c r="D86" i="184"/>
  <c r="K49" i="184"/>
  <c r="J49" i="184"/>
  <c r="I12" i="184"/>
  <c r="D10" i="15"/>
  <c r="D12" i="184"/>
  <c r="U65" i="177"/>
  <c r="U64" i="177"/>
  <c r="I184" i="191" s="1"/>
  <c r="U67" i="172"/>
  <c r="I293" i="191" s="1"/>
  <c r="U66" i="172"/>
  <c r="L591" i="184"/>
  <c r="U67" i="167"/>
  <c r="I280" i="191" s="1"/>
  <c r="U60" i="167"/>
  <c r="I21" i="191" s="1"/>
  <c r="L31" i="167"/>
  <c r="L690" i="184" s="1"/>
  <c r="L29" i="167"/>
  <c r="L652" i="184" s="1"/>
  <c r="U66" i="162"/>
  <c r="I239" i="191" s="1"/>
  <c r="L574" i="184"/>
  <c r="U65" i="195"/>
  <c r="U62" i="195"/>
  <c r="U65" i="157"/>
  <c r="I228" i="191" s="1"/>
  <c r="D81" i="152"/>
  <c r="D83" i="152"/>
  <c r="D2208" i="184" s="1"/>
  <c r="U61" i="152"/>
  <c r="L568" i="184"/>
  <c r="D494" i="184"/>
  <c r="H83" i="147"/>
  <c r="H2232" i="184" s="1"/>
  <c r="L592" i="184"/>
  <c r="D81" i="142"/>
  <c r="U64" i="142"/>
  <c r="F83" i="137"/>
  <c r="F2234" i="184" s="1"/>
  <c r="U60" i="137"/>
  <c r="I37" i="191" s="1"/>
  <c r="U66" i="132"/>
  <c r="I244" i="191" s="1"/>
  <c r="U64" i="132"/>
  <c r="I170" i="191" s="1"/>
  <c r="U61" i="132"/>
  <c r="I59" i="191" s="1"/>
  <c r="K83" i="127"/>
  <c r="K2213" i="184" s="1"/>
  <c r="D81" i="127"/>
  <c r="U66" i="127"/>
  <c r="I238" i="191"/>
  <c r="U63" i="127"/>
  <c r="L27" i="127"/>
  <c r="L573" i="184" s="1"/>
  <c r="F83" i="122"/>
  <c r="F2239" i="184" s="1"/>
  <c r="U63" i="122"/>
  <c r="I153" i="191" s="1"/>
  <c r="U60" i="122"/>
  <c r="U60" i="117"/>
  <c r="I41" i="191" s="1"/>
  <c r="U64" i="112"/>
  <c r="I188" i="191"/>
  <c r="J31" i="112"/>
  <c r="J709" i="184" s="1"/>
  <c r="L596" i="184"/>
  <c r="U60" i="203"/>
  <c r="I31" i="191" s="1"/>
  <c r="L588" i="184"/>
  <c r="U61" i="199"/>
  <c r="I65" i="191"/>
  <c r="L602" i="184"/>
  <c r="L586" i="184"/>
  <c r="D512" i="184"/>
  <c r="L582" i="184"/>
  <c r="D521" i="184"/>
  <c r="D503" i="184"/>
  <c r="D81" i="42"/>
  <c r="D496" i="184"/>
  <c r="D81" i="26"/>
  <c r="D498" i="184"/>
  <c r="D81" i="21"/>
  <c r="D2137" i="184" s="1"/>
  <c r="D497" i="184"/>
  <c r="L569" i="184"/>
  <c r="S33" i="229"/>
  <c r="U13" i="220"/>
  <c r="W40" i="230"/>
  <c r="V13" i="220"/>
  <c r="X13" i="230"/>
  <c r="T13" i="229"/>
  <c r="X25" i="230"/>
  <c r="T44" i="229"/>
  <c r="X44" i="230"/>
  <c r="X35" i="230"/>
  <c r="W23" i="230"/>
  <c r="U67" i="36"/>
  <c r="I272" i="191" s="1"/>
  <c r="L107" i="78"/>
  <c r="G955" i="184"/>
  <c r="G940" i="184"/>
  <c r="K2062" i="184"/>
  <c r="U44" i="220"/>
  <c r="U40" i="220"/>
  <c r="V44" i="220"/>
  <c r="S44" i="210"/>
  <c r="S35" i="210"/>
  <c r="U23" i="220"/>
  <c r="S34" i="210"/>
  <c r="H92" i="184"/>
  <c r="F724" i="184"/>
  <c r="D92" i="184"/>
  <c r="L92" i="184"/>
  <c r="G538" i="184"/>
  <c r="H464" i="184"/>
  <c r="I1582" i="184"/>
  <c r="L1991" i="184"/>
  <c r="K874" i="184"/>
  <c r="J112" i="184"/>
  <c r="I99" i="184"/>
  <c r="L103" i="184"/>
  <c r="J586" i="184"/>
  <c r="L1630" i="184"/>
  <c r="J2076" i="184"/>
  <c r="H2152" i="184"/>
  <c r="F2302" i="184"/>
  <c r="D2376" i="184"/>
  <c r="G93" i="184"/>
  <c r="M93" i="184"/>
  <c r="H1211" i="184"/>
  <c r="I107" i="184"/>
  <c r="G2080" i="184"/>
  <c r="H101" i="184"/>
  <c r="L101" i="184"/>
  <c r="G1517" i="184"/>
  <c r="K104" i="184"/>
  <c r="F365" i="184"/>
  <c r="I135" i="184"/>
  <c r="E1290" i="184"/>
  <c r="D1327" i="184"/>
  <c r="I1514" i="184"/>
  <c r="E1773" i="184"/>
  <c r="I119" i="184"/>
  <c r="D1311" i="184"/>
  <c r="K1348" i="184"/>
  <c r="D1868" i="184"/>
  <c r="E2018" i="184"/>
  <c r="L2205" i="184"/>
  <c r="E63" i="184"/>
  <c r="H100" i="184"/>
  <c r="H15" i="97"/>
  <c r="H211" i="184" s="1"/>
  <c r="D324" i="184"/>
  <c r="D1020" i="184"/>
  <c r="H2141" i="184"/>
  <c r="G94" i="184"/>
  <c r="F540" i="184"/>
  <c r="G1230" i="184"/>
  <c r="H103" i="184"/>
  <c r="H327" i="184"/>
  <c r="D1031" i="184"/>
  <c r="G1295" i="184"/>
  <c r="E2339" i="184"/>
  <c r="K93" i="184"/>
  <c r="F1058" i="184"/>
  <c r="D101" i="184"/>
  <c r="L881" i="184"/>
  <c r="I30" i="184"/>
  <c r="E1183" i="184"/>
  <c r="J98" i="184"/>
  <c r="L396" i="184"/>
  <c r="L730" i="184"/>
  <c r="E119" i="184"/>
  <c r="M119" i="184"/>
  <c r="K973" i="184"/>
  <c r="E1274" i="184"/>
  <c r="D38" i="91"/>
  <c r="E66" i="91" s="1"/>
  <c r="H2205" i="184"/>
  <c r="D100" i="184"/>
  <c r="L100" i="184"/>
  <c r="L324" i="184"/>
  <c r="E435" i="184"/>
  <c r="G917" i="184"/>
  <c r="D1028" i="184"/>
  <c r="I1962" i="184"/>
  <c r="H1999" i="184"/>
  <c r="K2036" i="184"/>
  <c r="H83" i="97"/>
  <c r="H2223" i="184" s="1"/>
  <c r="K106" i="184"/>
  <c r="E738" i="184"/>
  <c r="G886" i="184"/>
  <c r="I1559" i="184"/>
  <c r="I2079" i="184"/>
  <c r="D2490" i="184"/>
  <c r="M112" i="184"/>
  <c r="G1284" i="184"/>
  <c r="K94" i="184"/>
  <c r="H1341" i="184"/>
  <c r="E99" i="184"/>
  <c r="D103" i="184"/>
  <c r="I846" i="184"/>
  <c r="L883" i="184"/>
  <c r="E1221" i="184"/>
  <c r="I1593" i="184"/>
  <c r="L56" i="184"/>
  <c r="J910" i="184"/>
  <c r="D984" i="184"/>
  <c r="E107" i="184"/>
  <c r="I64" i="184"/>
  <c r="I1219" i="184"/>
  <c r="H847" i="184"/>
  <c r="F921" i="184"/>
  <c r="H730" i="184"/>
  <c r="D1551" i="184"/>
  <c r="M2562" i="184"/>
  <c r="K417" i="184"/>
  <c r="G973" i="184"/>
  <c r="J1010" i="184"/>
  <c r="D26" i="91"/>
  <c r="L1311" i="184"/>
  <c r="I1646" i="184"/>
  <c r="D2205" i="184"/>
  <c r="F2355" i="184"/>
  <c r="F732" i="184"/>
  <c r="F954" i="184"/>
  <c r="L1627" i="184"/>
  <c r="E1962" i="184"/>
  <c r="L1999" i="184"/>
  <c r="H69" i="184"/>
  <c r="G106" i="184"/>
  <c r="U61" i="102"/>
  <c r="I69" i="191" s="1"/>
  <c r="K1633" i="184"/>
  <c r="L1968" i="184"/>
  <c r="M86" i="184"/>
  <c r="M88" i="184"/>
  <c r="M87" i="184"/>
  <c r="M107" i="184"/>
  <c r="M106" i="184"/>
  <c r="M115" i="184"/>
  <c r="M85" i="184"/>
  <c r="M118" i="184"/>
  <c r="D439" i="184"/>
  <c r="M89" i="184"/>
  <c r="M94" i="184"/>
  <c r="M99" i="184"/>
  <c r="M101" i="184"/>
  <c r="M98" i="184"/>
  <c r="M102" i="184"/>
  <c r="M116" i="184"/>
  <c r="M109" i="184"/>
  <c r="M91" i="184"/>
  <c r="M108" i="184"/>
  <c r="D433" i="184"/>
  <c r="M105" i="184"/>
  <c r="M90" i="184"/>
  <c r="M111" i="184"/>
  <c r="M97" i="184"/>
  <c r="M117" i="184"/>
  <c r="M95" i="184"/>
  <c r="M110" i="184"/>
  <c r="D454" i="184"/>
  <c r="M92" i="184"/>
  <c r="M113" i="184"/>
  <c r="M114" i="184"/>
  <c r="M96" i="184"/>
  <c r="F88" i="184"/>
  <c r="D73" i="30"/>
  <c r="F92" i="184"/>
  <c r="I16" i="215"/>
  <c r="V36" i="214"/>
  <c r="F1191" i="184"/>
  <c r="U39" i="214"/>
  <c r="AD39" i="213"/>
  <c r="D52" i="56"/>
  <c r="F2043" i="184"/>
  <c r="F101" i="184"/>
  <c r="F2000" i="184"/>
  <c r="D51" i="76"/>
  <c r="F2150" i="184"/>
  <c r="D57" i="76"/>
  <c r="AE24" i="213"/>
  <c r="F172" i="184"/>
  <c r="D14" i="86"/>
  <c r="F1884" i="184"/>
  <c r="D46" i="86"/>
  <c r="F100" i="184"/>
  <c r="D27" i="96"/>
  <c r="D51" i="96"/>
  <c r="I29" i="215"/>
  <c r="AE43" i="213"/>
  <c r="F1763" i="184"/>
  <c r="F1284" i="184"/>
  <c r="F1508" i="184"/>
  <c r="F1767" i="184"/>
  <c r="D45" i="41"/>
  <c r="F2178" i="184"/>
  <c r="F94" i="184"/>
  <c r="D42" i="46"/>
  <c r="D57" i="46"/>
  <c r="F1811" i="184"/>
  <c r="D66" i="56"/>
  <c r="D23" i="71"/>
  <c r="H23" i="215"/>
  <c r="F104" i="184"/>
  <c r="F1259" i="184"/>
  <c r="D27" i="81"/>
  <c r="F2153" i="184"/>
  <c r="F61" i="184"/>
  <c r="I26" i="215"/>
  <c r="F1831" i="184"/>
  <c r="D66" i="91"/>
  <c r="H27" i="215"/>
  <c r="U32" i="214"/>
  <c r="D13" i="96"/>
  <c r="F1292" i="184"/>
  <c r="F2186" i="184"/>
  <c r="F106" i="184"/>
  <c r="D27" i="101"/>
  <c r="F162" i="184"/>
  <c r="D14" i="20"/>
  <c r="D29" i="20"/>
  <c r="D46" i="20"/>
  <c r="F1949" i="184"/>
  <c r="F1545" i="184"/>
  <c r="D37" i="41"/>
  <c r="F1286" i="184"/>
  <c r="F112" i="184"/>
  <c r="F1750" i="184"/>
  <c r="D42" i="51"/>
  <c r="F1225" i="184"/>
  <c r="AE22" i="213"/>
  <c r="D40" i="81"/>
  <c r="F98" i="184"/>
  <c r="F1253" i="184"/>
  <c r="D27" i="86"/>
  <c r="F26" i="184"/>
  <c r="D10" i="96"/>
  <c r="F174" i="184"/>
  <c r="D14" i="96"/>
  <c r="D29" i="96"/>
  <c r="D37" i="96"/>
  <c r="F1886" i="184"/>
  <c r="D46" i="96"/>
  <c r="F2073" i="184"/>
  <c r="H28" i="215"/>
  <c r="AD12" i="213"/>
  <c r="F1298" i="184"/>
  <c r="F2192" i="184"/>
  <c r="F86" i="184"/>
  <c r="I12" i="215"/>
  <c r="V34" i="214"/>
  <c r="AE34" i="213"/>
  <c r="H13" i="215"/>
  <c r="U31" i="214"/>
  <c r="F87" i="184"/>
  <c r="F99" i="184"/>
  <c r="F107" i="184"/>
  <c r="D57" i="71"/>
  <c r="D69" i="76"/>
  <c r="F1591" i="184"/>
  <c r="D38" i="76"/>
  <c r="E66" i="76" s="1"/>
  <c r="D10" i="81"/>
  <c r="D66" i="81"/>
  <c r="F1890" i="184"/>
  <c r="F1290" i="184"/>
  <c r="D28" i="86"/>
  <c r="D40" i="86"/>
  <c r="D52" i="86"/>
  <c r="D26" i="96"/>
  <c r="F1366" i="184"/>
  <c r="D69" i="96"/>
  <c r="D38" i="96"/>
  <c r="E66" i="96" s="1"/>
  <c r="I28" i="215"/>
  <c r="V12" i="214"/>
  <c r="AE12" i="213"/>
  <c r="F32" i="184"/>
  <c r="D10" i="101"/>
  <c r="F1892" i="184"/>
  <c r="F93" i="184"/>
  <c r="F1237" i="184"/>
  <c r="F1385" i="184"/>
  <c r="F119" i="184"/>
  <c r="F1274" i="184"/>
  <c r="F2018" i="184"/>
  <c r="F2055" i="184"/>
  <c r="F193" i="184"/>
  <c r="F1579" i="184"/>
  <c r="F89" i="184"/>
  <c r="F1727" i="184"/>
  <c r="Y33" i="209"/>
  <c r="R13" i="212"/>
  <c r="Y23" i="209"/>
  <c r="R24" i="212"/>
  <c r="Y42" i="209"/>
  <c r="R28" i="212"/>
  <c r="X30" i="209"/>
  <c r="Q14" i="212"/>
  <c r="Q23" i="212"/>
  <c r="Q27" i="212"/>
  <c r="Y35" i="209"/>
  <c r="R17" i="212"/>
  <c r="R25" i="212"/>
  <c r="Y11" i="209"/>
  <c r="R27" i="212"/>
  <c r="Z29" i="209"/>
  <c r="S12" i="212"/>
  <c r="X38" i="209"/>
  <c r="Q18" i="212"/>
  <c r="S19" i="212"/>
  <c r="X21" i="209"/>
  <c r="Q22" i="212"/>
  <c r="X42" i="209"/>
  <c r="Q28" i="212"/>
  <c r="F1332" i="184"/>
  <c r="F1556" i="184"/>
  <c r="M103" i="184"/>
  <c r="F1965" i="184"/>
  <c r="F103" i="184"/>
  <c r="F1406" i="184"/>
  <c r="D606" i="184"/>
  <c r="D2135" i="184"/>
  <c r="D2156" i="184"/>
  <c r="D621" i="184"/>
  <c r="D528" i="184"/>
  <c r="D511" i="184"/>
  <c r="D514" i="184"/>
  <c r="L580" i="184"/>
  <c r="D605" i="184"/>
  <c r="D527" i="184"/>
  <c r="F2135" i="184"/>
  <c r="D632" i="184"/>
  <c r="D639" i="184"/>
  <c r="D83" i="199"/>
  <c r="D2225" i="184" s="1"/>
  <c r="D2151" i="184"/>
  <c r="D625" i="184"/>
  <c r="D634" i="184"/>
  <c r="D2164" i="184"/>
  <c r="D636" i="184"/>
  <c r="D617" i="184"/>
  <c r="D629" i="184"/>
  <c r="D2166" i="184"/>
  <c r="D615" i="184"/>
  <c r="L107" i="82"/>
  <c r="M2568" i="184"/>
  <c r="Q69" i="167"/>
  <c r="E354" i="191" s="1"/>
  <c r="Q69" i="162"/>
  <c r="E350" i="191" s="1"/>
  <c r="T65" i="195"/>
  <c r="H229" i="191" s="1"/>
  <c r="Q69" i="157"/>
  <c r="E376" i="191" s="1"/>
  <c r="T65" i="152"/>
  <c r="H196" i="191" s="1"/>
  <c r="O62" i="132"/>
  <c r="C96" i="191" s="1"/>
  <c r="Q69" i="107"/>
  <c r="E372" i="191" s="1"/>
  <c r="Q69" i="199"/>
  <c r="E361" i="191" s="1"/>
  <c r="Q69" i="97"/>
  <c r="E359" i="191" s="1"/>
  <c r="U60" i="82"/>
  <c r="I30" i="191" s="1"/>
  <c r="T65" i="62"/>
  <c r="H214" i="191" s="1"/>
  <c r="M100" i="184"/>
  <c r="M104" i="184"/>
  <c r="AA68" i="13"/>
  <c r="AA67" i="13"/>
  <c r="AA66" i="13"/>
  <c r="AA65" i="13"/>
  <c r="AA64" i="13"/>
  <c r="AA63" i="13"/>
  <c r="AA60" i="13"/>
  <c r="AA61" i="13"/>
  <c r="AA62" i="13"/>
  <c r="W67" i="13"/>
  <c r="K269" i="191" s="1"/>
  <c r="V67" i="13"/>
  <c r="J269" i="191" s="1"/>
  <c r="W66" i="13"/>
  <c r="K232" i="191" s="1"/>
  <c r="V66" i="13"/>
  <c r="J232" i="191"/>
  <c r="W65" i="13"/>
  <c r="K195" i="191" s="1"/>
  <c r="V65" i="13"/>
  <c r="J195" i="191"/>
  <c r="W64" i="13"/>
  <c r="K158" i="191" s="1"/>
  <c r="V64" i="13"/>
  <c r="J158" i="191" s="1"/>
  <c r="W63" i="13"/>
  <c r="K121" i="191" s="1"/>
  <c r="V63" i="13"/>
  <c r="J121" i="191" s="1"/>
  <c r="D63" i="13"/>
  <c r="D1611" i="184" s="1"/>
  <c r="E63" i="13"/>
  <c r="G63" i="13"/>
  <c r="P63" i="13"/>
  <c r="U63" i="13" s="1"/>
  <c r="I121" i="191" s="1"/>
  <c r="W62" i="13"/>
  <c r="V62" i="13"/>
  <c r="J84" i="191" s="1"/>
  <c r="W61" i="13"/>
  <c r="K47" i="191"/>
  <c r="V61" i="13"/>
  <c r="J47" i="191" s="1"/>
  <c r="W60" i="13"/>
  <c r="V60" i="13"/>
  <c r="R77" i="13"/>
  <c r="B23" i="6" s="1"/>
  <c r="R80" i="13"/>
  <c r="Q92" i="13"/>
  <c r="AE29" i="213" s="1"/>
  <c r="O92" i="13"/>
  <c r="AD11" i="231" s="1"/>
  <c r="P67" i="13"/>
  <c r="P66" i="13"/>
  <c r="P65" i="13"/>
  <c r="U65" i="13" s="1"/>
  <c r="I195" i="191" s="1"/>
  <c r="P64" i="13"/>
  <c r="P62" i="13"/>
  <c r="P61" i="13"/>
  <c r="P60" i="13"/>
  <c r="D10" i="191" s="1"/>
  <c r="Q64" i="13"/>
  <c r="R34" i="13"/>
  <c r="L109" i="13"/>
  <c r="Q32" i="13"/>
  <c r="L108" i="13" s="1"/>
  <c r="M100" i="13"/>
  <c r="K92" i="13"/>
  <c r="K2468" i="184" s="1"/>
  <c r="J92" i="13"/>
  <c r="J2468" i="184" s="1"/>
  <c r="G92" i="13"/>
  <c r="G2468" i="184" s="1"/>
  <c r="F92" i="13"/>
  <c r="F2468" i="184" s="1"/>
  <c r="E92" i="13"/>
  <c r="E2468" i="184" s="1"/>
  <c r="D92" i="13"/>
  <c r="D2468" i="184" s="1"/>
  <c r="K91" i="13"/>
  <c r="K2431" i="184" s="1"/>
  <c r="J91" i="13"/>
  <c r="I91" i="13"/>
  <c r="I2431" i="184" s="1"/>
  <c r="H91" i="13"/>
  <c r="H2431" i="184" s="1"/>
  <c r="G91" i="13"/>
  <c r="G2431" i="184" s="1"/>
  <c r="F91" i="13"/>
  <c r="F2431" i="184" s="1"/>
  <c r="E91" i="13"/>
  <c r="E2431" i="184" s="1"/>
  <c r="D91" i="13"/>
  <c r="D2431" i="184" s="1"/>
  <c r="L90" i="13"/>
  <c r="L2394" i="184"/>
  <c r="K90" i="13"/>
  <c r="K2394" i="184" s="1"/>
  <c r="I90" i="13"/>
  <c r="I2394" i="184"/>
  <c r="H90" i="13"/>
  <c r="H2394" i="184" s="1"/>
  <c r="G90" i="13"/>
  <c r="G2394" i="184"/>
  <c r="F90" i="13"/>
  <c r="F2394" i="184" s="1"/>
  <c r="D90" i="13"/>
  <c r="D2394" i="184"/>
  <c r="L89" i="13"/>
  <c r="L2357" i="184" s="1"/>
  <c r="J89" i="13"/>
  <c r="J2357" i="184"/>
  <c r="I89" i="13"/>
  <c r="I2357" i="184" s="1"/>
  <c r="H89" i="13"/>
  <c r="G89" i="13"/>
  <c r="G2357" i="184" s="1"/>
  <c r="F89" i="13"/>
  <c r="F2357" i="184" s="1"/>
  <c r="E89" i="13"/>
  <c r="E2357" i="184" s="1"/>
  <c r="D89" i="13"/>
  <c r="D2357" i="184" s="1"/>
  <c r="L88" i="13"/>
  <c r="L2320" i="184" s="1"/>
  <c r="J88" i="13"/>
  <c r="J2320" i="184" s="1"/>
  <c r="I88" i="13"/>
  <c r="I2320" i="184" s="1"/>
  <c r="H88" i="13"/>
  <c r="H2320" i="184" s="1"/>
  <c r="G88" i="13"/>
  <c r="G2320" i="184" s="1"/>
  <c r="F88" i="13"/>
  <c r="F2320" i="184" s="1"/>
  <c r="E88" i="13"/>
  <c r="E2320" i="184" s="1"/>
  <c r="D88" i="13"/>
  <c r="L87" i="13"/>
  <c r="L2283" i="184"/>
  <c r="K87" i="13"/>
  <c r="K2283" i="184" s="1"/>
  <c r="J87" i="13"/>
  <c r="I87" i="13"/>
  <c r="I2283" i="184" s="1"/>
  <c r="H87" i="13"/>
  <c r="H2283" i="184" s="1"/>
  <c r="G87" i="13"/>
  <c r="G2283" i="184" s="1"/>
  <c r="F87" i="13"/>
  <c r="F2283" i="184" s="1"/>
  <c r="E87" i="13"/>
  <c r="E2283" i="184" s="1"/>
  <c r="D87" i="13"/>
  <c r="L82" i="13"/>
  <c r="L2170" i="184"/>
  <c r="K82" i="13"/>
  <c r="K2170" i="184" s="1"/>
  <c r="J82" i="13"/>
  <c r="I82" i="13"/>
  <c r="H82" i="13"/>
  <c r="D82" i="13"/>
  <c r="D2170" i="184" s="1"/>
  <c r="E82" i="13"/>
  <c r="F82" i="13"/>
  <c r="D58" i="2" s="1"/>
  <c r="G82" i="13"/>
  <c r="L81" i="13"/>
  <c r="L2133" i="184" s="1"/>
  <c r="K81" i="13"/>
  <c r="K2133" i="184" s="1"/>
  <c r="J81" i="13"/>
  <c r="J2133" i="184" s="1"/>
  <c r="I81" i="13"/>
  <c r="I2133" i="184" s="1"/>
  <c r="H81" i="13"/>
  <c r="G81" i="13"/>
  <c r="G2133" i="184" s="1"/>
  <c r="F81" i="13"/>
  <c r="D57" i="2"/>
  <c r="D59" i="2" s="1"/>
  <c r="E81" i="13"/>
  <c r="K77" i="13"/>
  <c r="K2057" i="184" s="1"/>
  <c r="J77" i="13"/>
  <c r="J2057" i="184" s="1"/>
  <c r="I77" i="13"/>
  <c r="I2057" i="184"/>
  <c r="H77" i="13"/>
  <c r="H2057" i="184" s="1"/>
  <c r="G77" i="13"/>
  <c r="F77" i="13"/>
  <c r="E77" i="13"/>
  <c r="E2057" i="184" s="1"/>
  <c r="D77" i="13"/>
  <c r="D2057" i="184" s="1"/>
  <c r="L76" i="13"/>
  <c r="L2020" i="184" s="1"/>
  <c r="K76" i="13"/>
  <c r="K2020" i="184" s="1"/>
  <c r="J76" i="13"/>
  <c r="J2020" i="184" s="1"/>
  <c r="I76" i="13"/>
  <c r="I2020" i="184"/>
  <c r="H76" i="13"/>
  <c r="H2020" i="184" s="1"/>
  <c r="G76" i="13"/>
  <c r="G2020" i="184" s="1"/>
  <c r="F76" i="13"/>
  <c r="D52" i="2" s="1"/>
  <c r="E76" i="13"/>
  <c r="D76" i="13"/>
  <c r="D2020" i="184" s="1"/>
  <c r="L75" i="13"/>
  <c r="K75" i="13"/>
  <c r="J75" i="13"/>
  <c r="J1983" i="184" s="1"/>
  <c r="I75" i="13"/>
  <c r="I1983" i="184" s="1"/>
  <c r="H75" i="13"/>
  <c r="H1983" i="184" s="1"/>
  <c r="G75" i="13"/>
  <c r="F75" i="13"/>
  <c r="F1983" i="184" s="1"/>
  <c r="E75" i="13"/>
  <c r="D75" i="13"/>
  <c r="L74" i="13"/>
  <c r="K74" i="13"/>
  <c r="K1946" i="184" s="1"/>
  <c r="J74" i="13"/>
  <c r="J1946" i="184" s="1"/>
  <c r="I74" i="13"/>
  <c r="H74" i="13"/>
  <c r="H1946" i="184" s="1"/>
  <c r="G74" i="13"/>
  <c r="F74" i="13"/>
  <c r="F1946" i="184" s="1"/>
  <c r="E74" i="13"/>
  <c r="E1946" i="184"/>
  <c r="D74" i="13"/>
  <c r="D1946" i="184" s="1"/>
  <c r="K70" i="13"/>
  <c r="J70" i="13"/>
  <c r="J1870" i="184" s="1"/>
  <c r="I70" i="13"/>
  <c r="I1870" i="184" s="1"/>
  <c r="G70" i="13"/>
  <c r="F70" i="13"/>
  <c r="E70" i="13"/>
  <c r="E1870" i="184"/>
  <c r="D70" i="13"/>
  <c r="K69" i="13"/>
  <c r="K1833" i="184" s="1"/>
  <c r="J69" i="13"/>
  <c r="J1833" i="184" s="1"/>
  <c r="I69" i="13"/>
  <c r="I1833" i="184" s="1"/>
  <c r="G69" i="13"/>
  <c r="D69" i="13"/>
  <c r="D1833" i="184" s="1"/>
  <c r="L68" i="13"/>
  <c r="L1796" i="184"/>
  <c r="K68" i="13"/>
  <c r="K1796" i="184" s="1"/>
  <c r="J68" i="13"/>
  <c r="H68" i="13"/>
  <c r="G68" i="13"/>
  <c r="G1796" i="184" s="1"/>
  <c r="F68" i="13"/>
  <c r="E68" i="13"/>
  <c r="D68" i="13"/>
  <c r="D1796" i="184" s="1"/>
  <c r="L67" i="13"/>
  <c r="L1759" i="184"/>
  <c r="J67" i="13"/>
  <c r="J1759" i="184" s="1"/>
  <c r="I67" i="13"/>
  <c r="H67" i="13"/>
  <c r="H1759" i="184" s="1"/>
  <c r="G67" i="13"/>
  <c r="F67" i="13"/>
  <c r="D43" i="2" s="1"/>
  <c r="E67" i="13"/>
  <c r="D67" i="13"/>
  <c r="L66" i="13"/>
  <c r="L1722" i="184" s="1"/>
  <c r="K66" i="13"/>
  <c r="K1722" i="184" s="1"/>
  <c r="I66" i="13"/>
  <c r="I1722" i="184" s="1"/>
  <c r="H66" i="13"/>
  <c r="H1722" i="184" s="1"/>
  <c r="G66" i="13"/>
  <c r="G1722" i="184" s="1"/>
  <c r="F66" i="13"/>
  <c r="D42" i="2" s="1"/>
  <c r="E66" i="13"/>
  <c r="E1722" i="184" s="1"/>
  <c r="L65" i="13"/>
  <c r="K65" i="13"/>
  <c r="K1685" i="184" s="1"/>
  <c r="I65" i="13"/>
  <c r="I1685" i="184" s="1"/>
  <c r="H65" i="13"/>
  <c r="H1685" i="184" s="1"/>
  <c r="G65" i="13"/>
  <c r="D65" i="13"/>
  <c r="E65" i="13"/>
  <c r="E1685" i="184" s="1"/>
  <c r="F65" i="13"/>
  <c r="L64" i="13"/>
  <c r="L1648" i="184" s="1"/>
  <c r="K64" i="13"/>
  <c r="K1648" i="184" s="1"/>
  <c r="J64" i="13"/>
  <c r="J1648" i="184" s="1"/>
  <c r="I64" i="13"/>
  <c r="I1648" i="184" s="1"/>
  <c r="H64" i="13"/>
  <c r="H1648" i="184" s="1"/>
  <c r="E64" i="13"/>
  <c r="E1648" i="184" s="1"/>
  <c r="L63" i="13"/>
  <c r="L1611" i="184" s="1"/>
  <c r="K63" i="13"/>
  <c r="J63" i="13"/>
  <c r="J1611" i="184"/>
  <c r="I63" i="13"/>
  <c r="I1611" i="184" s="1"/>
  <c r="H63" i="13"/>
  <c r="H1611" i="184" s="1"/>
  <c r="G1611" i="184"/>
  <c r="F63" i="13"/>
  <c r="F1611" i="184" s="1"/>
  <c r="K62" i="13"/>
  <c r="I62" i="13"/>
  <c r="H62" i="13"/>
  <c r="H1574" i="184" s="1"/>
  <c r="G62" i="13"/>
  <c r="G1574" i="184" s="1"/>
  <c r="F62" i="13"/>
  <c r="E62" i="13"/>
  <c r="D62" i="13"/>
  <c r="L61" i="13"/>
  <c r="L1537" i="184" s="1"/>
  <c r="J61" i="13"/>
  <c r="J1537" i="184" s="1"/>
  <c r="I61" i="13"/>
  <c r="I1537" i="184" s="1"/>
  <c r="H61" i="13"/>
  <c r="H1537" i="184" s="1"/>
  <c r="F61" i="13"/>
  <c r="E61" i="13"/>
  <c r="E1537" i="184"/>
  <c r="D61" i="13"/>
  <c r="D1537" i="184" s="1"/>
  <c r="K60" i="13"/>
  <c r="K1500" i="184" s="1"/>
  <c r="J60" i="13"/>
  <c r="J1500" i="184" s="1"/>
  <c r="I60" i="13"/>
  <c r="I1500" i="184" s="1"/>
  <c r="H60" i="13"/>
  <c r="H1500" i="184" s="1"/>
  <c r="G60" i="13"/>
  <c r="G1500" i="184"/>
  <c r="F60" i="13"/>
  <c r="D36" i="2" s="1"/>
  <c r="E60" i="13"/>
  <c r="D60" i="13"/>
  <c r="L1387" i="184"/>
  <c r="K1387" i="184"/>
  <c r="G1387" i="184"/>
  <c r="E1387" i="184"/>
  <c r="D1387" i="184"/>
  <c r="L1350" i="184"/>
  <c r="K1350" i="184"/>
  <c r="J1350" i="184"/>
  <c r="I1350" i="184"/>
  <c r="H1350" i="184"/>
  <c r="G1350" i="184"/>
  <c r="L1313" i="184"/>
  <c r="K1313" i="184"/>
  <c r="J1313" i="184"/>
  <c r="G1313" i="184"/>
  <c r="E1313" i="184"/>
  <c r="J1276" i="184"/>
  <c r="H1276" i="184"/>
  <c r="E1276" i="184"/>
  <c r="L1239" i="184"/>
  <c r="J1239" i="184"/>
  <c r="D27" i="2"/>
  <c r="K1202" i="184"/>
  <c r="J1202" i="184"/>
  <c r="I1202" i="184"/>
  <c r="G1202" i="184"/>
  <c r="D26" i="2"/>
  <c r="J1163" i="184"/>
  <c r="I1163" i="184"/>
  <c r="E1163" i="184"/>
  <c r="D1163" i="184"/>
  <c r="K1049" i="184"/>
  <c r="J1049" i="184"/>
  <c r="H1049" i="184"/>
  <c r="L1012" i="184"/>
  <c r="K1012" i="184"/>
  <c r="G1012" i="184"/>
  <c r="F1012" i="184"/>
  <c r="E1012" i="184"/>
  <c r="D1012" i="184"/>
  <c r="L975" i="184"/>
  <c r="I975" i="184"/>
  <c r="H975" i="184"/>
  <c r="G975" i="184"/>
  <c r="E975" i="184"/>
  <c r="D975" i="184"/>
  <c r="J938" i="184"/>
  <c r="I938" i="184"/>
  <c r="H938" i="184"/>
  <c r="G938" i="184"/>
  <c r="K901" i="184"/>
  <c r="J901" i="184"/>
  <c r="G901" i="184"/>
  <c r="L864" i="184"/>
  <c r="K864" i="184"/>
  <c r="G864" i="184"/>
  <c r="D864" i="184"/>
  <c r="L35" i="13"/>
  <c r="L827" i="184" s="1"/>
  <c r="K35" i="13"/>
  <c r="K827" i="184" s="1"/>
  <c r="J35" i="13"/>
  <c r="J827" i="184" s="1"/>
  <c r="I35" i="13"/>
  <c r="I827" i="184" s="1"/>
  <c r="H35" i="13"/>
  <c r="H827" i="184" s="1"/>
  <c r="G35" i="13"/>
  <c r="F35" i="13"/>
  <c r="E35" i="13"/>
  <c r="D35" i="13"/>
  <c r="D827" i="184" s="1"/>
  <c r="L34" i="13"/>
  <c r="K34" i="13"/>
  <c r="K790" i="184" s="1"/>
  <c r="J34" i="13"/>
  <c r="J790" i="184" s="1"/>
  <c r="I34" i="13"/>
  <c r="I790" i="184" s="1"/>
  <c r="H34" i="13"/>
  <c r="H790" i="184" s="1"/>
  <c r="G34" i="13"/>
  <c r="D34" i="13"/>
  <c r="D790" i="184" s="1"/>
  <c r="L753" i="184"/>
  <c r="K33" i="13"/>
  <c r="K753" i="184" s="1"/>
  <c r="J33" i="13"/>
  <c r="J753" i="184" s="1"/>
  <c r="I33" i="13"/>
  <c r="H33" i="13"/>
  <c r="G33" i="13"/>
  <c r="G753" i="184" s="1"/>
  <c r="F33" i="13"/>
  <c r="F753" i="184" s="1"/>
  <c r="E33" i="13"/>
  <c r="E753" i="184" s="1"/>
  <c r="D33" i="13"/>
  <c r="D32" i="13"/>
  <c r="D716" i="184"/>
  <c r="K32" i="13"/>
  <c r="K716" i="184" s="1"/>
  <c r="J32" i="13"/>
  <c r="J716" i="184" s="1"/>
  <c r="I32" i="13"/>
  <c r="H32" i="13"/>
  <c r="G32" i="13"/>
  <c r="F32" i="13"/>
  <c r="F716" i="184" s="1"/>
  <c r="E32" i="13"/>
  <c r="E716" i="184"/>
  <c r="L604" i="184"/>
  <c r="I604" i="184"/>
  <c r="H604" i="184"/>
  <c r="G604" i="184"/>
  <c r="L567" i="184"/>
  <c r="K567" i="184"/>
  <c r="H567" i="184"/>
  <c r="F567" i="184"/>
  <c r="L530" i="184"/>
  <c r="I530" i="184"/>
  <c r="G530" i="184"/>
  <c r="E530" i="184"/>
  <c r="D530" i="184"/>
  <c r="K493" i="184"/>
  <c r="J493" i="184"/>
  <c r="F493" i="184"/>
  <c r="E493" i="184"/>
  <c r="L456" i="184"/>
  <c r="I456" i="184"/>
  <c r="H456" i="184"/>
  <c r="F456" i="184"/>
  <c r="D456" i="184"/>
  <c r="K419" i="184"/>
  <c r="J419" i="184"/>
  <c r="I19" i="13"/>
  <c r="I20" i="13"/>
  <c r="I308" i="184" s="1"/>
  <c r="I21" i="13"/>
  <c r="I345" i="184" s="1"/>
  <c r="I22" i="13"/>
  <c r="I382" i="184" s="1"/>
  <c r="L22" i="13"/>
  <c r="L382" i="184" s="1"/>
  <c r="K22" i="13"/>
  <c r="K382" i="184" s="1"/>
  <c r="J22" i="13"/>
  <c r="J382" i="184" s="1"/>
  <c r="H22" i="13"/>
  <c r="H382" i="184" s="1"/>
  <c r="G22" i="13"/>
  <c r="G382" i="184" s="1"/>
  <c r="F22" i="13"/>
  <c r="D22" i="13"/>
  <c r="L21" i="13"/>
  <c r="L345" i="184" s="1"/>
  <c r="K21" i="13"/>
  <c r="K345" i="184" s="1"/>
  <c r="J21" i="13"/>
  <c r="J345" i="184" s="1"/>
  <c r="H21" i="13"/>
  <c r="H345" i="184" s="1"/>
  <c r="G21" i="13"/>
  <c r="F21" i="13"/>
  <c r="F345" i="184"/>
  <c r="E21" i="13"/>
  <c r="D21" i="13"/>
  <c r="D345" i="184" s="1"/>
  <c r="K20" i="13"/>
  <c r="K308" i="184" s="1"/>
  <c r="J20" i="13"/>
  <c r="H20" i="13"/>
  <c r="F20" i="13"/>
  <c r="F308" i="184" s="1"/>
  <c r="E20" i="13"/>
  <c r="E308" i="184" s="1"/>
  <c r="D20" i="13"/>
  <c r="L19" i="13"/>
  <c r="L271" i="184" s="1"/>
  <c r="K19" i="13"/>
  <c r="J19" i="13"/>
  <c r="H19" i="13"/>
  <c r="H271" i="184" s="1"/>
  <c r="G19" i="13"/>
  <c r="G271" i="184"/>
  <c r="F19" i="13"/>
  <c r="F271" i="184" s="1"/>
  <c r="D19" i="13"/>
  <c r="D271" i="184"/>
  <c r="D81" i="13"/>
  <c r="D604" i="184"/>
  <c r="K158" i="184"/>
  <c r="J158" i="184"/>
  <c r="E158" i="184"/>
  <c r="K121" i="184"/>
  <c r="J121" i="184"/>
  <c r="I121" i="184"/>
  <c r="E121" i="184"/>
  <c r="L84" i="184"/>
  <c r="K84" i="184"/>
  <c r="J84" i="184"/>
  <c r="I84" i="184"/>
  <c r="H84" i="184"/>
  <c r="H120" i="184"/>
  <c r="H2630" i="184"/>
  <c r="G84" i="184"/>
  <c r="E84" i="184"/>
  <c r="E120" i="184"/>
  <c r="E2630" i="184"/>
  <c r="D84" i="184"/>
  <c r="J47" i="184"/>
  <c r="G47" i="184"/>
  <c r="J10" i="184"/>
  <c r="I10" i="184"/>
  <c r="G10" i="184"/>
  <c r="F84" i="184"/>
  <c r="B27" i="168"/>
  <c r="B27" i="133"/>
  <c r="B23" i="118"/>
  <c r="B27" i="83"/>
  <c r="B27" i="77"/>
  <c r="B23" i="43"/>
  <c r="B27" i="32"/>
  <c r="B23" i="22"/>
  <c r="A42" i="205"/>
  <c r="A81" i="205"/>
  <c r="B1" i="178"/>
  <c r="A5" i="176"/>
  <c r="A1" i="176"/>
  <c r="C41" i="216"/>
  <c r="B1" i="173"/>
  <c r="A5" i="171"/>
  <c r="A1" i="171"/>
  <c r="B1" i="168"/>
  <c r="A5" i="166"/>
  <c r="A1" i="166"/>
  <c r="B1" i="163"/>
  <c r="A5" i="161"/>
  <c r="A1" i="161"/>
  <c r="B128" i="191"/>
  <c r="B1" i="196"/>
  <c r="A5" i="194"/>
  <c r="A1" i="194"/>
  <c r="B1" i="158"/>
  <c r="A5" i="156"/>
  <c r="A1" i="156"/>
  <c r="B1" i="153"/>
  <c r="A5" i="151"/>
  <c r="A1" i="151"/>
  <c r="BJ4" i="218"/>
  <c r="B1" i="148"/>
  <c r="A5" i="146"/>
  <c r="A1" i="146"/>
  <c r="B1" i="143"/>
  <c r="A5" i="141"/>
  <c r="A1" i="141"/>
  <c r="C33" i="216"/>
  <c r="BF4" i="218"/>
  <c r="B1" i="138"/>
  <c r="A5" i="136"/>
  <c r="A1" i="136"/>
  <c r="C6" i="136"/>
  <c r="BE6" i="218" s="1"/>
  <c r="B1" i="133"/>
  <c r="A5" i="131"/>
  <c r="B1" i="128"/>
  <c r="A5" i="126"/>
  <c r="A1" i="126"/>
  <c r="B1" i="123"/>
  <c r="A5" i="121"/>
  <c r="A1" i="121"/>
  <c r="B1" i="118"/>
  <c r="A5" i="116"/>
  <c r="A1" i="116"/>
  <c r="B1" i="113"/>
  <c r="A5" i="111"/>
  <c r="A1" i="111"/>
  <c r="I8" i="111"/>
  <c r="I14" i="111" s="1"/>
  <c r="B1" i="108"/>
  <c r="A5" i="106"/>
  <c r="B1" i="204"/>
  <c r="A5" i="202"/>
  <c r="A1" i="202"/>
  <c r="AH4" i="218"/>
  <c r="B1" i="200"/>
  <c r="A5" i="198"/>
  <c r="A1" i="198"/>
  <c r="C6" i="198"/>
  <c r="AG6" i="218" s="1"/>
  <c r="B1" i="103"/>
  <c r="A5" i="101"/>
  <c r="A1" i="101"/>
  <c r="B1" i="98"/>
  <c r="A5" i="96"/>
  <c r="A1" i="96"/>
  <c r="B1" i="93"/>
  <c r="A5" i="91"/>
  <c r="A1" i="91"/>
  <c r="B1" i="88"/>
  <c r="A5" i="86"/>
  <c r="A1" i="86"/>
  <c r="B1" i="83"/>
  <c r="A5" i="81"/>
  <c r="A1" i="81"/>
  <c r="B178" i="191"/>
  <c r="B1" i="77"/>
  <c r="A5" i="76"/>
  <c r="A1" i="76"/>
  <c r="B1" i="73"/>
  <c r="A5" i="71"/>
  <c r="A1" i="71"/>
  <c r="C6" i="71"/>
  <c r="AA6" i="218" s="1"/>
  <c r="AA42" i="218" s="1"/>
  <c r="B1" i="68"/>
  <c r="A5" i="66"/>
  <c r="A1" i="66"/>
  <c r="B1" i="63"/>
  <c r="A5" i="61"/>
  <c r="B1" i="58"/>
  <c r="A5" i="56"/>
  <c r="A1" i="56"/>
  <c r="B1" i="53"/>
  <c r="A5" i="51"/>
  <c r="A1" i="51"/>
  <c r="C13" i="216"/>
  <c r="B1" i="48"/>
  <c r="A5" i="46"/>
  <c r="A1" i="46"/>
  <c r="B1" i="43"/>
  <c r="A5" i="41"/>
  <c r="A1" i="41"/>
  <c r="B1" i="37"/>
  <c r="A5" i="35"/>
  <c r="A1" i="35"/>
  <c r="L4" i="218"/>
  <c r="B1" i="32"/>
  <c r="A1" i="30"/>
  <c r="A5" i="30"/>
  <c r="A5" i="25"/>
  <c r="A5" i="20"/>
  <c r="A5" i="15"/>
  <c r="A5" i="2"/>
  <c r="A5" i="181"/>
  <c r="B1" i="17"/>
  <c r="B1" i="22"/>
  <c r="B1" i="27"/>
  <c r="A1" i="25"/>
  <c r="C9" i="216"/>
  <c r="A1" i="20"/>
  <c r="A1" i="15"/>
  <c r="C7" i="216"/>
  <c r="A3" i="176"/>
  <c r="A2" i="176"/>
  <c r="A3" i="171"/>
  <c r="A2" i="171"/>
  <c r="A3" i="166"/>
  <c r="A2" i="166"/>
  <c r="A3" i="161"/>
  <c r="A2" i="161"/>
  <c r="A3" i="194"/>
  <c r="A2" i="194"/>
  <c r="A3" i="156"/>
  <c r="A2" i="156"/>
  <c r="A3" i="151"/>
  <c r="A2" i="151"/>
  <c r="A3" i="146"/>
  <c r="A2" i="146"/>
  <c r="A3" i="141"/>
  <c r="A2" i="141"/>
  <c r="A3" i="136"/>
  <c r="A2" i="136"/>
  <c r="A4" i="131"/>
  <c r="A3" i="131"/>
  <c r="A3" i="126"/>
  <c r="A2" i="126"/>
  <c r="A3" i="121"/>
  <c r="A2" i="121"/>
  <c r="A3" i="116"/>
  <c r="A2" i="116"/>
  <c r="A3" i="111"/>
  <c r="A2" i="111"/>
  <c r="A4" i="106"/>
  <c r="A3" i="106"/>
  <c r="A3" i="202"/>
  <c r="A2" i="202"/>
  <c r="A3" i="198"/>
  <c r="A2" i="198"/>
  <c r="A3" i="101"/>
  <c r="A2" i="101"/>
  <c r="A3" i="96"/>
  <c r="A2" i="96"/>
  <c r="A3" i="91"/>
  <c r="A2" i="91"/>
  <c r="A3" i="86"/>
  <c r="A2" i="86"/>
  <c r="A3" i="81"/>
  <c r="A2" i="81"/>
  <c r="A3" i="76"/>
  <c r="A2" i="76"/>
  <c r="A3" i="71"/>
  <c r="A2" i="71"/>
  <c r="A3" i="66"/>
  <c r="A2" i="66"/>
  <c r="A3" i="61"/>
  <c r="A2" i="61"/>
  <c r="A3" i="56"/>
  <c r="A2" i="56"/>
  <c r="A3" i="51"/>
  <c r="A2" i="51"/>
  <c r="A3" i="46"/>
  <c r="A2" i="46"/>
  <c r="A3" i="41"/>
  <c r="A2" i="41"/>
  <c r="A4" i="35"/>
  <c r="A3" i="35"/>
  <c r="A3" i="30"/>
  <c r="A2" i="30"/>
  <c r="A3" i="25"/>
  <c r="A2" i="25"/>
  <c r="A3" i="20"/>
  <c r="A2" i="20"/>
  <c r="A4" i="15"/>
  <c r="A3" i="15"/>
  <c r="A3" i="2"/>
  <c r="A2" i="2"/>
  <c r="B3" i="27"/>
  <c r="B2" i="27"/>
  <c r="B3" i="32"/>
  <c r="B2" i="32"/>
  <c r="B4" i="37"/>
  <c r="B3" i="37"/>
  <c r="B3" i="43"/>
  <c r="B2" i="43"/>
  <c r="B3" i="48"/>
  <c r="B2" i="48"/>
  <c r="B3" i="53"/>
  <c r="B2" i="53"/>
  <c r="B3" i="58"/>
  <c r="B2" i="58"/>
  <c r="B3" i="63"/>
  <c r="B2" i="63"/>
  <c r="B3" i="68"/>
  <c r="B2" i="68"/>
  <c r="B3" i="73"/>
  <c r="B2" i="73"/>
  <c r="B3" i="77"/>
  <c r="B2" i="77"/>
  <c r="B3" i="83"/>
  <c r="B2" i="83"/>
  <c r="B3" i="88"/>
  <c r="B2" i="88"/>
  <c r="B3" i="93"/>
  <c r="B2" i="93"/>
  <c r="B3" i="98"/>
  <c r="B2" i="98"/>
  <c r="B3" i="103"/>
  <c r="B2" i="103"/>
  <c r="B3" i="200"/>
  <c r="B2" i="200"/>
  <c r="B3" i="204"/>
  <c r="B2" i="204"/>
  <c r="B4" i="108"/>
  <c r="B3" i="108"/>
  <c r="B3" i="113"/>
  <c r="B2" i="113"/>
  <c r="B3" i="118"/>
  <c r="B2" i="118"/>
  <c r="B3" i="123"/>
  <c r="B2" i="123"/>
  <c r="B3" i="128"/>
  <c r="B2" i="128"/>
  <c r="B4" i="133"/>
  <c r="B3" i="133"/>
  <c r="B3" i="138"/>
  <c r="B2" i="138"/>
  <c r="B3" i="143"/>
  <c r="B2" i="143"/>
  <c r="B3" i="148"/>
  <c r="B2" i="148"/>
  <c r="B3" i="153"/>
  <c r="B2" i="153"/>
  <c r="B3" i="158"/>
  <c r="B2" i="158"/>
  <c r="B3" i="196"/>
  <c r="B2" i="196"/>
  <c r="B3" i="163"/>
  <c r="B2" i="163"/>
  <c r="B3" i="168"/>
  <c r="B2" i="168"/>
  <c r="B3" i="173"/>
  <c r="B2" i="173"/>
  <c r="B3" i="178"/>
  <c r="B2" i="178"/>
  <c r="B3" i="22"/>
  <c r="B2" i="22"/>
  <c r="B4" i="17"/>
  <c r="B3" i="17"/>
  <c r="B3" i="6"/>
  <c r="B2" i="6"/>
  <c r="B1" i="6"/>
  <c r="A1" i="2"/>
  <c r="C6" i="216"/>
  <c r="A3" i="14"/>
  <c r="A2" i="19"/>
  <c r="A2" i="24"/>
  <c r="A2" i="29"/>
  <c r="A3" i="34"/>
  <c r="A2" i="40"/>
  <c r="A2" i="45"/>
  <c r="A2" i="50"/>
  <c r="A2" i="55"/>
  <c r="A2" i="60"/>
  <c r="A2" i="65"/>
  <c r="A2" i="70"/>
  <c r="A2" i="75"/>
  <c r="A2" i="80"/>
  <c r="A2" i="85"/>
  <c r="A2" i="90"/>
  <c r="A2" i="95"/>
  <c r="A2" i="100"/>
  <c r="A2" i="197"/>
  <c r="A2" i="201"/>
  <c r="A3" i="105"/>
  <c r="A2" i="110"/>
  <c r="A2" i="115"/>
  <c r="A2" i="120"/>
  <c r="A2" i="125"/>
  <c r="A3" i="130"/>
  <c r="A2" i="135"/>
  <c r="A2" i="140"/>
  <c r="A2" i="145"/>
  <c r="A2" i="150"/>
  <c r="A2" i="155"/>
  <c r="A2" i="193"/>
  <c r="A2" i="160"/>
  <c r="A2" i="165"/>
  <c r="A2" i="170"/>
  <c r="A2" i="175"/>
  <c r="A2" i="1"/>
  <c r="A4" i="14"/>
  <c r="A3" i="19"/>
  <c r="A3" i="24"/>
  <c r="A3" i="29"/>
  <c r="A4" i="34"/>
  <c r="A3" i="40"/>
  <c r="A3" i="45"/>
  <c r="A3" i="50"/>
  <c r="A3" i="55"/>
  <c r="A3" i="60"/>
  <c r="A3" i="65"/>
  <c r="A3" i="70"/>
  <c r="A3" i="75"/>
  <c r="A3" i="80"/>
  <c r="A3" i="85"/>
  <c r="A3" i="90"/>
  <c r="A3" i="95"/>
  <c r="A3" i="100"/>
  <c r="A3" i="197"/>
  <c r="A3" i="201"/>
  <c r="A4" i="105"/>
  <c r="A3" i="110"/>
  <c r="A3" i="115"/>
  <c r="A3" i="120"/>
  <c r="A3" i="125"/>
  <c r="A4" i="130"/>
  <c r="A3" i="135"/>
  <c r="A3" i="140"/>
  <c r="A3" i="145"/>
  <c r="A3" i="150"/>
  <c r="A3" i="155"/>
  <c r="A3" i="193"/>
  <c r="A3" i="160"/>
  <c r="A3" i="165"/>
  <c r="A3" i="170"/>
  <c r="A3" i="175"/>
  <c r="A3" i="1"/>
  <c r="B3" i="182"/>
  <c r="B2" i="182"/>
  <c r="B1" i="182"/>
  <c r="B2" i="184"/>
  <c r="M7" i="184"/>
  <c r="B6" i="184"/>
  <c r="B4" i="184"/>
  <c r="B3" i="184"/>
  <c r="AB4" i="218"/>
  <c r="AR4" i="218"/>
  <c r="BH4" i="218"/>
  <c r="J4" i="218"/>
  <c r="C10" i="216"/>
  <c r="T4" i="218"/>
  <c r="AL4" i="218"/>
  <c r="AX4" i="218"/>
  <c r="BN4" i="218"/>
  <c r="BV4" i="218"/>
  <c r="R4" i="218"/>
  <c r="X4" i="218"/>
  <c r="AJ4" i="218"/>
  <c r="AF4" i="218"/>
  <c r="AV4" i="218"/>
  <c r="BD4" i="218"/>
  <c r="BL4" i="218"/>
  <c r="D4" i="218"/>
  <c r="P4" i="218"/>
  <c r="AP4" i="218"/>
  <c r="BR4" i="218"/>
  <c r="C18" i="216"/>
  <c r="C22" i="216"/>
  <c r="C26" i="216"/>
  <c r="C34" i="216"/>
  <c r="C14" i="216"/>
  <c r="C17" i="216"/>
  <c r="C21" i="216"/>
  <c r="C37" i="216"/>
  <c r="C16" i="216"/>
  <c r="C20" i="216"/>
  <c r="C24" i="216"/>
  <c r="C28" i="216"/>
  <c r="C32" i="216"/>
  <c r="C36" i="216"/>
  <c r="C12" i="216"/>
  <c r="C23" i="216"/>
  <c r="C35" i="216"/>
  <c r="C39" i="216"/>
  <c r="C29" i="216"/>
  <c r="A3" i="181"/>
  <c r="A2" i="181"/>
  <c r="A124" i="181"/>
  <c r="A1" i="181"/>
  <c r="B2" i="177"/>
  <c r="L117" i="177"/>
  <c r="B2" i="172"/>
  <c r="B2" i="167"/>
  <c r="B2" i="162"/>
  <c r="B2290" i="184"/>
  <c r="B2" i="195"/>
  <c r="B2" i="157"/>
  <c r="B2" i="152"/>
  <c r="B2" i="147"/>
  <c r="L117" i="147"/>
  <c r="B2" i="142"/>
  <c r="P13" i="142"/>
  <c r="B2" i="137"/>
  <c r="P13" i="137"/>
  <c r="B2" i="132"/>
  <c r="B2517" i="184"/>
  <c r="B2" i="127"/>
  <c r="B2100" i="184"/>
  <c r="B2" i="122"/>
  <c r="B2" i="117"/>
  <c r="B2" i="112"/>
  <c r="P13" i="112"/>
  <c r="B2" i="107"/>
  <c r="B2" i="203"/>
  <c r="B2" i="199"/>
  <c r="B2" i="102"/>
  <c r="B2" i="97"/>
  <c r="B2261" i="184"/>
  <c r="B2" i="92"/>
  <c r="B2" i="87"/>
  <c r="P13" i="87"/>
  <c r="B2" i="82"/>
  <c r="B2" i="78"/>
  <c r="B2" i="72"/>
  <c r="B2" i="67"/>
  <c r="B2" i="62"/>
  <c r="B2" i="57"/>
  <c r="B2563" i="184"/>
  <c r="B2" i="52"/>
  <c r="P13" i="52"/>
  <c r="B2" i="47"/>
  <c r="B2" i="42"/>
  <c r="B2" i="36"/>
  <c r="B2" i="26"/>
  <c r="B2" i="21"/>
  <c r="M7" i="26"/>
  <c r="B6" i="26"/>
  <c r="B4" i="26"/>
  <c r="B3" i="26"/>
  <c r="M7" i="36"/>
  <c r="B6" i="36"/>
  <c r="B5" i="36"/>
  <c r="B4" i="36"/>
  <c r="M7" i="42"/>
  <c r="B6" i="42"/>
  <c r="B4" i="42"/>
  <c r="B3" i="42"/>
  <c r="M7" i="47"/>
  <c r="B6" i="47"/>
  <c r="B4" i="47"/>
  <c r="B3" i="47"/>
  <c r="M7" i="52"/>
  <c r="B6" i="52"/>
  <c r="B4" i="52"/>
  <c r="B3" i="52"/>
  <c r="M7" i="57"/>
  <c r="B6" i="57"/>
  <c r="B4" i="57"/>
  <c r="B3" i="57"/>
  <c r="M7" i="62"/>
  <c r="B6" i="62"/>
  <c r="B4" i="62"/>
  <c r="B3" i="62"/>
  <c r="M7" i="67"/>
  <c r="B6" i="67"/>
  <c r="B4" i="67"/>
  <c r="B3" i="67"/>
  <c r="M7" i="72"/>
  <c r="B6" i="72"/>
  <c r="B4" i="72"/>
  <c r="B3" i="72"/>
  <c r="M7" i="78"/>
  <c r="B6" i="78"/>
  <c r="B4" i="78"/>
  <c r="B3" i="78"/>
  <c r="M7" i="82"/>
  <c r="B6" i="82"/>
  <c r="B4" i="82"/>
  <c r="B3" i="82"/>
  <c r="M7" i="87"/>
  <c r="B6" i="87"/>
  <c r="B4" i="87"/>
  <c r="B3" i="87"/>
  <c r="M7" i="92"/>
  <c r="B6" i="92"/>
  <c r="B4" i="92"/>
  <c r="B3" i="92"/>
  <c r="M7" i="97"/>
  <c r="B6" i="97"/>
  <c r="B4" i="97"/>
  <c r="B3" i="97"/>
  <c r="M7" i="102"/>
  <c r="B6" i="102"/>
  <c r="B4" i="102"/>
  <c r="B3" i="102"/>
  <c r="M7" i="199"/>
  <c r="B6" i="199"/>
  <c r="B4" i="199"/>
  <c r="B3" i="199"/>
  <c r="M7" i="203"/>
  <c r="B6" i="203"/>
  <c r="B4" i="203"/>
  <c r="B3" i="203"/>
  <c r="M7" i="107"/>
  <c r="B6" i="107"/>
  <c r="B5" i="107"/>
  <c r="B4" i="107"/>
  <c r="M7" i="112"/>
  <c r="B6" i="112"/>
  <c r="B4" i="112"/>
  <c r="B3" i="112"/>
  <c r="M7" i="117"/>
  <c r="B6" i="117"/>
  <c r="B4" i="117"/>
  <c r="B3" i="117"/>
  <c r="M7" i="122"/>
  <c r="B6" i="122"/>
  <c r="B4" i="122"/>
  <c r="B3" i="122"/>
  <c r="M7" i="127"/>
  <c r="B6" i="127"/>
  <c r="B4" i="127"/>
  <c r="B3" i="127"/>
  <c r="M7" i="132"/>
  <c r="B6" i="132"/>
  <c r="B5" i="132"/>
  <c r="B4" i="132"/>
  <c r="M7" i="137"/>
  <c r="B6" i="137"/>
  <c r="B4" i="137"/>
  <c r="B3" i="137"/>
  <c r="M7" i="142"/>
  <c r="B6" i="142"/>
  <c r="B4" i="142"/>
  <c r="B3" i="142"/>
  <c r="M7" i="147"/>
  <c r="B6" i="147"/>
  <c r="B4" i="147"/>
  <c r="B3" i="147"/>
  <c r="M7" i="152"/>
  <c r="B6" i="152"/>
  <c r="B4" i="152"/>
  <c r="B3" i="152"/>
  <c r="M7" i="157"/>
  <c r="B6" i="157"/>
  <c r="B4" i="157"/>
  <c r="B3" i="157"/>
  <c r="M7" i="195"/>
  <c r="B6" i="195"/>
  <c r="B4" i="195"/>
  <c r="B3" i="195"/>
  <c r="M7" i="162"/>
  <c r="B6" i="162"/>
  <c r="B4" i="162"/>
  <c r="B3" i="162"/>
  <c r="M7" i="167"/>
  <c r="B6" i="167"/>
  <c r="B4" i="167"/>
  <c r="B3" i="167"/>
  <c r="M7" i="172"/>
  <c r="B6" i="172"/>
  <c r="B4" i="172"/>
  <c r="B3" i="172"/>
  <c r="M7" i="177"/>
  <c r="B6" i="177"/>
  <c r="B4" i="177"/>
  <c r="B3" i="177"/>
  <c r="M7" i="21"/>
  <c r="B6" i="21"/>
  <c r="B4" i="21"/>
  <c r="B3" i="21"/>
  <c r="B2" i="16"/>
  <c r="P13" i="16"/>
  <c r="M7" i="16"/>
  <c r="B6" i="16"/>
  <c r="B5" i="16"/>
  <c r="B4" i="16"/>
  <c r="M7" i="13"/>
  <c r="B6" i="13"/>
  <c r="B4" i="13"/>
  <c r="B3" i="13"/>
  <c r="B2" i="13"/>
  <c r="W6" i="13"/>
  <c r="L117" i="112"/>
  <c r="P13" i="47"/>
  <c r="L117" i="47"/>
  <c r="P13" i="117"/>
  <c r="L117" i="117"/>
  <c r="P13" i="157"/>
  <c r="L117" i="157"/>
  <c r="P13" i="42"/>
  <c r="L117" i="42"/>
  <c r="P13" i="152"/>
  <c r="L117" i="152"/>
  <c r="L117" i="52"/>
  <c r="P13" i="92"/>
  <c r="L117" i="92"/>
  <c r="P13" i="122"/>
  <c r="L117" i="122"/>
  <c r="P13" i="195"/>
  <c r="L117" i="195"/>
  <c r="P13" i="62"/>
  <c r="L117" i="62"/>
  <c r="P13" i="26"/>
  <c r="L117" i="26"/>
  <c r="P13" i="67"/>
  <c r="L117" i="67"/>
  <c r="P13" i="199"/>
  <c r="L117" i="199"/>
  <c r="P13" i="21"/>
  <c r="L117" i="21"/>
  <c r="P13" i="102"/>
  <c r="L117" i="102"/>
  <c r="P13" i="13"/>
  <c r="L117" i="13"/>
  <c r="P13" i="72"/>
  <c r="L117" i="72"/>
  <c r="L117" i="142"/>
  <c r="P13" i="177"/>
  <c r="L117" i="16"/>
  <c r="L117" i="36"/>
  <c r="P13" i="36"/>
  <c r="L117" i="78"/>
  <c r="P13" i="107"/>
  <c r="B2471" i="184"/>
  <c r="B2323" i="184"/>
  <c r="B2588" i="184"/>
  <c r="B2286" i="184"/>
  <c r="B2210" i="184"/>
  <c r="B2060" i="184"/>
  <c r="B1910" i="184"/>
  <c r="B2508" i="184"/>
  <c r="B2434" i="184"/>
  <c r="B2397" i="184"/>
  <c r="B2360" i="184"/>
  <c r="B2173" i="184"/>
  <c r="B2551" i="184"/>
  <c r="B1799" i="184"/>
  <c r="B1651" i="184"/>
  <c r="B2023" i="184"/>
  <c r="B1986" i="184"/>
  <c r="B1949" i="184"/>
  <c r="B1762" i="184"/>
  <c r="B1725" i="184"/>
  <c r="B1688" i="184"/>
  <c r="B1427" i="184"/>
  <c r="B1279" i="184"/>
  <c r="B1127" i="184"/>
  <c r="B2097" i="184"/>
  <c r="B1540" i="184"/>
  <c r="B1390" i="184"/>
  <c r="B2248" i="184"/>
  <c r="B1836" i="184"/>
  <c r="B2136" i="184"/>
  <c r="B1873" i="184"/>
  <c r="B1614" i="184"/>
  <c r="B1577" i="184"/>
  <c r="B1464" i="184"/>
  <c r="B1089" i="184"/>
  <c r="B978" i="184"/>
  <c r="B830" i="184"/>
  <c r="B682" i="184"/>
  <c r="B533" i="184"/>
  <c r="B1503" i="184"/>
  <c r="B1242" i="184"/>
  <c r="B1205" i="184"/>
  <c r="B1166" i="184"/>
  <c r="B941" i="184"/>
  <c r="B793" i="184"/>
  <c r="B1316" i="184"/>
  <c r="B1353" i="184"/>
  <c r="B1015" i="184"/>
  <c r="B867" i="184"/>
  <c r="B644" i="184"/>
  <c r="B607" i="184"/>
  <c r="B570" i="184"/>
  <c r="B422" i="184"/>
  <c r="B274" i="184"/>
  <c r="B124" i="184"/>
  <c r="B756" i="184"/>
  <c r="B719" i="184"/>
  <c r="B1052" i="184"/>
  <c r="B904" i="184"/>
  <c r="B496" i="184"/>
  <c r="B459" i="184"/>
  <c r="B311" i="184"/>
  <c r="B87" i="184"/>
  <c r="B50" i="184"/>
  <c r="B13" i="184"/>
  <c r="B161" i="184"/>
  <c r="B237" i="184"/>
  <c r="B198" i="184"/>
  <c r="B348" i="184"/>
  <c r="B385" i="184"/>
  <c r="B2298" i="184"/>
  <c r="B2109" i="184"/>
  <c r="B1402" i="184"/>
  <c r="B1365" i="184"/>
  <c r="B953" i="184"/>
  <c r="B768" i="184"/>
  <c r="B397" i="184"/>
  <c r="B471" i="184"/>
  <c r="B173" i="184"/>
  <c r="B2602" i="184"/>
  <c r="B2262" i="184"/>
  <c r="B2111" i="184"/>
  <c r="B1850" i="184"/>
  <c r="B1702" i="184"/>
  <c r="B1554" i="184"/>
  <c r="B1887" i="184"/>
  <c r="B1665" i="184"/>
  <c r="B1628" i="184"/>
  <c r="B2000" i="184"/>
  <c r="B1776" i="184"/>
  <c r="B1739" i="184"/>
  <c r="B881" i="184"/>
  <c r="B733" i="184"/>
  <c r="B584" i="184"/>
  <c r="B1517" i="184"/>
  <c r="B1293" i="184"/>
  <c r="B1256" i="184"/>
  <c r="B473" i="184"/>
  <c r="B325" i="184"/>
  <c r="B175" i="184"/>
  <c r="B955" i="184"/>
  <c r="B770" i="184"/>
  <c r="B807" i="184"/>
  <c r="B251" i="184"/>
  <c r="B212" i="184"/>
  <c r="B288" i="184"/>
  <c r="B2601" i="184"/>
  <c r="B2223" i="184"/>
  <c r="B1366" i="184"/>
  <c r="B2073" i="184"/>
  <c r="B880" i="184"/>
  <c r="B1255" i="184"/>
  <c r="B583" i="184"/>
  <c r="B287" i="184"/>
  <c r="B2274" i="184"/>
  <c r="B2123" i="184"/>
  <c r="B1975" i="184"/>
  <c r="B2162" i="184"/>
  <c r="B1936" i="184"/>
  <c r="B1899" i="184"/>
  <c r="B2049" i="184"/>
  <c r="B2012" i="184"/>
  <c r="B1825" i="184"/>
  <c r="B1453" i="184"/>
  <c r="B1677" i="184"/>
  <c r="B1640" i="184"/>
  <c r="B1041" i="184"/>
  <c r="B893" i="184"/>
  <c r="B745" i="184"/>
  <c r="B856" i="184"/>
  <c r="B1379" i="184"/>
  <c r="B1416" i="184"/>
  <c r="B485" i="184"/>
  <c r="B337" i="184"/>
  <c r="B187" i="184"/>
  <c r="B522" i="184"/>
  <c r="B374" i="184"/>
  <c r="B150" i="184"/>
  <c r="B263" i="184"/>
  <c r="B2251" i="184"/>
  <c r="B2139" i="184"/>
  <c r="B2026" i="184"/>
  <c r="B1430" i="184"/>
  <c r="B573" i="184"/>
  <c r="B1092" i="184"/>
  <c r="B462" i="184"/>
  <c r="B425" i="184"/>
  <c r="B90" i="184"/>
  <c r="B2530" i="184"/>
  <c r="B2270" i="184"/>
  <c r="B2119" i="184"/>
  <c r="B1971" i="184"/>
  <c r="B2008" i="184"/>
  <c r="B1858" i="184"/>
  <c r="B1710" i="184"/>
  <c r="B1486" i="184"/>
  <c r="B1338" i="184"/>
  <c r="B1188" i="184"/>
  <c r="B1375" i="184"/>
  <c r="B1301" i="184"/>
  <c r="B1264" i="184"/>
  <c r="B1227" i="184"/>
  <c r="B1599" i="184"/>
  <c r="B1412" i="184"/>
  <c r="B1000" i="184"/>
  <c r="B852" i="184"/>
  <c r="B1111" i="184"/>
  <c r="B1074" i="184"/>
  <c r="B926" i="184"/>
  <c r="B963" i="184"/>
  <c r="B444" i="184"/>
  <c r="B778" i="184"/>
  <c r="B555" i="184"/>
  <c r="B518" i="184"/>
  <c r="B370" i="184"/>
  <c r="B407" i="184"/>
  <c r="B259" i="184"/>
  <c r="B220" i="184"/>
  <c r="B1914" i="184"/>
  <c r="B2438" i="184"/>
  <c r="B1131" i="184"/>
  <c r="B2140" i="184"/>
  <c r="B1093" i="184"/>
  <c r="B1320" i="184"/>
  <c r="B648" i="184"/>
  <c r="B352" i="184"/>
  <c r="B2589" i="184"/>
  <c r="B2435" i="184"/>
  <c r="B2287" i="184"/>
  <c r="B2552" i="184"/>
  <c r="B2509" i="184"/>
  <c r="B2398" i="184"/>
  <c r="B2361" i="184"/>
  <c r="B2324" i="184"/>
  <c r="B2174" i="184"/>
  <c r="B2024" i="184"/>
  <c r="B2472" i="184"/>
  <c r="B2211" i="184"/>
  <c r="B1987" i="184"/>
  <c r="B1950" i="184"/>
  <c r="B1911" i="184"/>
  <c r="B1763" i="184"/>
  <c r="B1615" i="184"/>
  <c r="B2249" i="184"/>
  <c r="B2137" i="184"/>
  <c r="B2098" i="184"/>
  <c r="B2061" i="184"/>
  <c r="B1874" i="184"/>
  <c r="B1800" i="184"/>
  <c r="B1541" i="184"/>
  <c r="B1391" i="184"/>
  <c r="B1243" i="184"/>
  <c r="B1090" i="184"/>
  <c r="B1837" i="184"/>
  <c r="B1504" i="184"/>
  <c r="B1354" i="184"/>
  <c r="B1726" i="184"/>
  <c r="B1689" i="184"/>
  <c r="B1652" i="184"/>
  <c r="B1206" i="184"/>
  <c r="B1167" i="184"/>
  <c r="B1128" i="184"/>
  <c r="B942" i="184"/>
  <c r="B794" i="184"/>
  <c r="B645" i="184"/>
  <c r="B497" i="184"/>
  <c r="B1578" i="184"/>
  <c r="B1317" i="184"/>
  <c r="B1280" i="184"/>
  <c r="B1053" i="184"/>
  <c r="B905" i="184"/>
  <c r="B757" i="184"/>
  <c r="B1428" i="184"/>
  <c r="B1465" i="184"/>
  <c r="B979" i="184"/>
  <c r="B868" i="184"/>
  <c r="B831" i="184"/>
  <c r="B720" i="184"/>
  <c r="B683" i="184"/>
  <c r="B386" i="184"/>
  <c r="B238" i="184"/>
  <c r="B88" i="184"/>
  <c r="B460" i="184"/>
  <c r="B1016" i="184"/>
  <c r="B608" i="184"/>
  <c r="B571" i="184"/>
  <c r="B534" i="184"/>
  <c r="B423" i="184"/>
  <c r="B275" i="184"/>
  <c r="B312" i="184"/>
  <c r="B199" i="184"/>
  <c r="B162" i="184"/>
  <c r="B125" i="184"/>
  <c r="B349" i="184"/>
  <c r="B14" i="184"/>
  <c r="B51" i="184"/>
  <c r="B2513" i="184"/>
  <c r="B2365" i="184"/>
  <c r="B2328" i="184"/>
  <c r="B2439" i="184"/>
  <c r="B2253" i="184"/>
  <c r="B2178" i="184"/>
  <c r="B2215" i="184"/>
  <c r="B2102" i="184"/>
  <c r="B2065" i="184"/>
  <c r="B1210" i="184"/>
  <c r="B1804" i="184"/>
  <c r="B1469" i="184"/>
  <c r="B1132" i="184"/>
  <c r="B1094" i="184"/>
  <c r="B1057" i="184"/>
  <c r="B1247" i="184"/>
  <c r="B1020" i="184"/>
  <c r="B872" i="184"/>
  <c r="B687" i="184"/>
  <c r="B649" i="184"/>
  <c r="B353" i="184"/>
  <c r="B575" i="184"/>
  <c r="B538" i="184"/>
  <c r="B501" i="184"/>
  <c r="B427" i="184"/>
  <c r="B316" i="184"/>
  <c r="B242" i="184"/>
  <c r="B2604" i="184"/>
  <c r="B2450" i="184"/>
  <c r="B2302" i="184"/>
  <c r="B2567" i="184"/>
  <c r="B2524" i="184"/>
  <c r="B2413" i="184"/>
  <c r="B2376" i="184"/>
  <c r="B2339" i="184"/>
  <c r="B2189" i="184"/>
  <c r="B2039" i="184"/>
  <c r="B2487" i="184"/>
  <c r="B2226" i="184"/>
  <c r="B2002" i="184"/>
  <c r="B1965" i="184"/>
  <c r="B1926" i="184"/>
  <c r="B1778" i="184"/>
  <c r="B1630" i="184"/>
  <c r="B2264" i="184"/>
  <c r="B2152" i="184"/>
  <c r="B2113" i="184"/>
  <c r="B2076" i="184"/>
  <c r="B1889" i="184"/>
  <c r="B1815" i="184"/>
  <c r="B1406" i="184"/>
  <c r="B1258" i="184"/>
  <c r="B1105" i="184"/>
  <c r="B1852" i="184"/>
  <c r="B1519" i="184"/>
  <c r="B1369" i="184"/>
  <c r="B1741" i="184"/>
  <c r="B1704" i="184"/>
  <c r="B1667" i="184"/>
  <c r="B1221" i="184"/>
  <c r="B1182" i="184"/>
  <c r="B1143" i="184"/>
  <c r="B957" i="184"/>
  <c r="B809" i="184"/>
  <c r="B660" i="184"/>
  <c r="B512" i="184"/>
  <c r="B1332" i="184"/>
  <c r="B1295" i="184"/>
  <c r="B1068" i="184"/>
  <c r="B920" i="184"/>
  <c r="B772" i="184"/>
  <c r="B1593" i="184"/>
  <c r="B1443" i="184"/>
  <c r="B1556" i="184"/>
  <c r="B1480" i="184"/>
  <c r="B994" i="184"/>
  <c r="B883" i="184"/>
  <c r="B846" i="184"/>
  <c r="B735" i="184"/>
  <c r="B698" i="184"/>
  <c r="B401" i="184"/>
  <c r="B253" i="184"/>
  <c r="B103" i="184"/>
  <c r="B475" i="184"/>
  <c r="B1031" i="184"/>
  <c r="B623" i="184"/>
  <c r="B586" i="184"/>
  <c r="B549" i="184"/>
  <c r="B438" i="184"/>
  <c r="B290" i="184"/>
  <c r="B327" i="184"/>
  <c r="B214" i="184"/>
  <c r="B177" i="184"/>
  <c r="B140" i="184"/>
  <c r="B364" i="184"/>
  <c r="B29" i="184"/>
  <c r="B66" i="184"/>
  <c r="B2568" i="184"/>
  <c r="B2265" i="184"/>
  <c r="B2605" i="184"/>
  <c r="B2488" i="184"/>
  <c r="B1742" i="184"/>
  <c r="B1594" i="184"/>
  <c r="B1853" i="184"/>
  <c r="B1370" i="184"/>
  <c r="B1222" i="184"/>
  <c r="B2190" i="184"/>
  <c r="B1779" i="184"/>
  <c r="B1668" i="184"/>
  <c r="B1407" i="184"/>
  <c r="B624" i="184"/>
  <c r="B1705" i="184"/>
  <c r="B1444" i="184"/>
  <c r="B1106" i="184"/>
  <c r="B958" i="184"/>
  <c r="B995" i="184"/>
  <c r="B587" i="184"/>
  <c r="B550" i="184"/>
  <c r="B513" i="184"/>
  <c r="B254" i="184"/>
  <c r="B178" i="184"/>
  <c r="B104" i="184"/>
  <c r="B2490" i="184"/>
  <c r="B2342" i="184"/>
  <c r="B2607" i="184"/>
  <c r="B2570" i="184"/>
  <c r="B2229" i="184"/>
  <c r="B2079" i="184"/>
  <c r="B1929" i="184"/>
  <c r="B2305" i="184"/>
  <c r="B2192" i="184"/>
  <c r="B2527" i="184"/>
  <c r="B2267" i="184"/>
  <c r="B1818" i="184"/>
  <c r="B1670" i="184"/>
  <c r="B2453" i="184"/>
  <c r="B2379" i="184"/>
  <c r="B2416" i="184"/>
  <c r="B2155" i="184"/>
  <c r="B1855" i="184"/>
  <c r="B1633" i="184"/>
  <c r="B1596" i="184"/>
  <c r="B1559" i="184"/>
  <c r="B1446" i="184"/>
  <c r="B1298" i="184"/>
  <c r="B1146" i="184"/>
  <c r="B2042" i="184"/>
  <c r="B1968" i="184"/>
  <c r="B1892" i="184"/>
  <c r="B1781" i="184"/>
  <c r="B1744" i="184"/>
  <c r="B1707" i="184"/>
  <c r="B1409" i="184"/>
  <c r="B2116" i="184"/>
  <c r="B2005" i="184"/>
  <c r="B1335" i="184"/>
  <c r="B997" i="184"/>
  <c r="B849" i="184"/>
  <c r="B701" i="184"/>
  <c r="B552" i="184"/>
  <c r="B1372" i="184"/>
  <c r="B1108" i="184"/>
  <c r="B960" i="184"/>
  <c r="B812" i="184"/>
  <c r="B1483" i="184"/>
  <c r="B1261" i="184"/>
  <c r="B1224" i="184"/>
  <c r="B1185" i="184"/>
  <c r="B1522" i="184"/>
  <c r="B1034" i="184"/>
  <c r="B886" i="184"/>
  <c r="B515" i="184"/>
  <c r="B441" i="184"/>
  <c r="B293" i="184"/>
  <c r="B143" i="184"/>
  <c r="B1071" i="184"/>
  <c r="B663" i="184"/>
  <c r="B626" i="184"/>
  <c r="B589" i="184"/>
  <c r="B923" i="184"/>
  <c r="B738" i="184"/>
  <c r="B775" i="184"/>
  <c r="B478" i="184"/>
  <c r="B330" i="184"/>
  <c r="B367" i="184"/>
  <c r="B69" i="184"/>
  <c r="B32" i="184"/>
  <c r="B256" i="184"/>
  <c r="B217" i="184"/>
  <c r="B180" i="184"/>
  <c r="B404" i="184"/>
  <c r="B106" i="184"/>
  <c r="B2498" i="184"/>
  <c r="B2350" i="184"/>
  <c r="B2615" i="184"/>
  <c r="B2578" i="184"/>
  <c r="B2461" i="184"/>
  <c r="B2424" i="184"/>
  <c r="B2387" i="184"/>
  <c r="B2237" i="184"/>
  <c r="B2087" i="184"/>
  <c r="B1937" i="184"/>
  <c r="B2200" i="184"/>
  <c r="B2535" i="184"/>
  <c r="B2275" i="184"/>
  <c r="B2050" i="184"/>
  <c r="B2013" i="184"/>
  <c r="B1976" i="184"/>
  <c r="B1826" i="184"/>
  <c r="B1678" i="184"/>
  <c r="B2124" i="184"/>
  <c r="B1863" i="184"/>
  <c r="B1454" i="184"/>
  <c r="B1306" i="184"/>
  <c r="B1154" i="184"/>
  <c r="B1417" i="184"/>
  <c r="B2163" i="184"/>
  <c r="B1900" i="184"/>
  <c r="B2313" i="184"/>
  <c r="B1789" i="184"/>
  <c r="B1752" i="184"/>
  <c r="B1715" i="184"/>
  <c r="B1604" i="184"/>
  <c r="B1343" i="184"/>
  <c r="B1269" i="184"/>
  <c r="B1232" i="184"/>
  <c r="B1193" i="184"/>
  <c r="B1005" i="184"/>
  <c r="B857" i="184"/>
  <c r="B709" i="184"/>
  <c r="B560" i="184"/>
  <c r="B1641" i="184"/>
  <c r="B1380" i="184"/>
  <c r="B968" i="184"/>
  <c r="B820" i="184"/>
  <c r="B1491" i="184"/>
  <c r="B1567" i="184"/>
  <c r="B1530" i="184"/>
  <c r="B1116" i="184"/>
  <c r="B1079" i="184"/>
  <c r="B1042" i="184"/>
  <c r="B894" i="184"/>
  <c r="B931" i="184"/>
  <c r="B449" i="184"/>
  <c r="B301" i="184"/>
  <c r="B151" i="184"/>
  <c r="B746" i="184"/>
  <c r="B523" i="184"/>
  <c r="B783" i="184"/>
  <c r="B671" i="184"/>
  <c r="B634" i="184"/>
  <c r="B597" i="184"/>
  <c r="B486" i="184"/>
  <c r="B338" i="184"/>
  <c r="B375" i="184"/>
  <c r="B264" i="184"/>
  <c r="B225" i="184"/>
  <c r="B188" i="184"/>
  <c r="B77" i="184"/>
  <c r="B412" i="184"/>
  <c r="B40" i="184"/>
  <c r="B114" i="184"/>
  <c r="B2406" i="184"/>
  <c r="B2369" i="184"/>
  <c r="B2597" i="184"/>
  <c r="B2480" i="184"/>
  <c r="B1845" i="184"/>
  <c r="B1623" i="184"/>
  <c r="B2106" i="184"/>
  <c r="B2182" i="184"/>
  <c r="B1061" i="184"/>
  <c r="B1436" i="184"/>
  <c r="B1024" i="184"/>
  <c r="B1288" i="184"/>
  <c r="B542" i="184"/>
  <c r="B59" i="184"/>
  <c r="B468" i="184"/>
  <c r="B394" i="184"/>
  <c r="B283" i="184"/>
  <c r="B320" i="184"/>
  <c r="B2549" i="184"/>
  <c r="B2395" i="184"/>
  <c r="B2506" i="184"/>
  <c r="B2134" i="184"/>
  <c r="B1984" i="184"/>
  <c r="B2586" i="184"/>
  <c r="B2246" i="184"/>
  <c r="B2469" i="184"/>
  <c r="B2171" i="184"/>
  <c r="B1871" i="184"/>
  <c r="B1723" i="184"/>
  <c r="B1575" i="184"/>
  <c r="B2358" i="184"/>
  <c r="B2284" i="184"/>
  <c r="B2208" i="184"/>
  <c r="B1834" i="184"/>
  <c r="B2432" i="184"/>
  <c r="B2321" i="184"/>
  <c r="B2058" i="184"/>
  <c r="B1501" i="184"/>
  <c r="B1351" i="184"/>
  <c r="B1203" i="184"/>
  <c r="B1947" i="184"/>
  <c r="B1686" i="184"/>
  <c r="B1649" i="184"/>
  <c r="B1612" i="184"/>
  <c r="B1462" i="184"/>
  <c r="B2095" i="184"/>
  <c r="B2021" i="184"/>
  <c r="B1797" i="184"/>
  <c r="B1908" i="184"/>
  <c r="B1538" i="184"/>
  <c r="B1050" i="184"/>
  <c r="B902" i="184"/>
  <c r="B754" i="184"/>
  <c r="B605" i="184"/>
  <c r="B1013" i="184"/>
  <c r="B865" i="184"/>
  <c r="B1388" i="184"/>
  <c r="B1164" i="184"/>
  <c r="B1125" i="184"/>
  <c r="B1087" i="184"/>
  <c r="B1760" i="184"/>
  <c r="B1425" i="184"/>
  <c r="B1314" i="184"/>
  <c r="B1277" i="184"/>
  <c r="B1240" i="184"/>
  <c r="B939" i="184"/>
  <c r="B791" i="184"/>
  <c r="B346" i="184"/>
  <c r="B196" i="184"/>
  <c r="B48" i="184"/>
  <c r="B976" i="184"/>
  <c r="B828" i="184"/>
  <c r="B568" i="184"/>
  <c r="B531" i="184"/>
  <c r="B494" i="184"/>
  <c r="B457" i="184"/>
  <c r="B717" i="184"/>
  <c r="B680" i="184"/>
  <c r="B642" i="184"/>
  <c r="B383" i="184"/>
  <c r="B272" i="184"/>
  <c r="B11" i="184"/>
  <c r="B85" i="184"/>
  <c r="B309" i="184"/>
  <c r="B159" i="184"/>
  <c r="B122" i="184"/>
  <c r="B420" i="184"/>
  <c r="B235" i="184"/>
  <c r="B2516" i="184"/>
  <c r="B2181" i="184"/>
  <c r="B2256" i="184"/>
  <c r="B1881" i="184"/>
  <c r="B2405" i="184"/>
  <c r="B1548" i="184"/>
  <c r="B1250" i="184"/>
  <c r="B1659" i="184"/>
  <c r="B1361" i="184"/>
  <c r="B652" i="184"/>
  <c r="B504" i="184"/>
  <c r="B1060" i="184"/>
  <c r="B1435" i="184"/>
  <c r="B1213" i="184"/>
  <c r="B1135" i="184"/>
  <c r="B1472" i="184"/>
  <c r="B1324" i="184"/>
  <c r="B1287" i="184"/>
  <c r="B838" i="184"/>
  <c r="B393" i="184"/>
  <c r="B95" i="184"/>
  <c r="B1023" i="184"/>
  <c r="B615" i="184"/>
  <c r="B578" i="184"/>
  <c r="B875" i="184"/>
  <c r="B727" i="184"/>
  <c r="B467" i="184"/>
  <c r="B430" i="184"/>
  <c r="B282" i="184"/>
  <c r="B319" i="184"/>
  <c r="B21" i="184"/>
  <c r="B206" i="184"/>
  <c r="B356" i="184"/>
  <c r="B132" i="184"/>
  <c r="B2553" i="184"/>
  <c r="B2399" i="184"/>
  <c r="B2510" i="184"/>
  <c r="B2473" i="184"/>
  <c r="B2436" i="184"/>
  <c r="B2138" i="184"/>
  <c r="B1988" i="184"/>
  <c r="B2250" i="184"/>
  <c r="B2590" i="184"/>
  <c r="B2362" i="184"/>
  <c r="B2288" i="184"/>
  <c r="B2099" i="184"/>
  <c r="B2062" i="184"/>
  <c r="B2025" i="184"/>
  <c r="B1875" i="184"/>
  <c r="B1727" i="184"/>
  <c r="B1579" i="184"/>
  <c r="B1838" i="184"/>
  <c r="B2212" i="184"/>
  <c r="B1951" i="184"/>
  <c r="B1505" i="184"/>
  <c r="B1355" i="184"/>
  <c r="B1207" i="184"/>
  <c r="B1466" i="184"/>
  <c r="B2325" i="184"/>
  <c r="B1912" i="184"/>
  <c r="B2175" i="184"/>
  <c r="B1801" i="184"/>
  <c r="B1764" i="184"/>
  <c r="B1690" i="184"/>
  <c r="B1392" i="184"/>
  <c r="B1318" i="184"/>
  <c r="B1281" i="184"/>
  <c r="B1244" i="184"/>
  <c r="B1054" i="184"/>
  <c r="B906" i="184"/>
  <c r="B758" i="184"/>
  <c r="B609" i="184"/>
  <c r="B1429" i="184"/>
  <c r="B1017" i="184"/>
  <c r="B869" i="184"/>
  <c r="B1616" i="184"/>
  <c r="B1542" i="184"/>
  <c r="B1653" i="184"/>
  <c r="B1168" i="184"/>
  <c r="B1129" i="184"/>
  <c r="B1091" i="184"/>
  <c r="B943" i="184"/>
  <c r="B980" i="184"/>
  <c r="B350" i="184"/>
  <c r="B200" i="184"/>
  <c r="B52" i="184"/>
  <c r="B461" i="184"/>
  <c r="B795" i="184"/>
  <c r="B572" i="184"/>
  <c r="B535" i="184"/>
  <c r="B498" i="184"/>
  <c r="B832" i="184"/>
  <c r="B721" i="184"/>
  <c r="B684" i="184"/>
  <c r="B646" i="184"/>
  <c r="B387" i="184"/>
  <c r="B239" i="184"/>
  <c r="B424" i="184"/>
  <c r="B15" i="184"/>
  <c r="B276" i="184"/>
  <c r="B163" i="184"/>
  <c r="B126" i="184"/>
  <c r="B313" i="184"/>
  <c r="B89" i="184"/>
  <c r="B2478" i="184"/>
  <c r="B2330" i="184"/>
  <c r="B2595" i="184"/>
  <c r="B2217" i="184"/>
  <c r="B2067" i="184"/>
  <c r="B1917" i="184"/>
  <c r="B2515" i="184"/>
  <c r="B2180" i="184"/>
  <c r="B2558" i="184"/>
  <c r="B2404" i="184"/>
  <c r="B2143" i="184"/>
  <c r="B2104" i="184"/>
  <c r="B1806" i="184"/>
  <c r="B1658" i="184"/>
  <c r="B2293" i="184"/>
  <c r="B2441" i="184"/>
  <c r="B2367" i="184"/>
  <c r="B1993" i="184"/>
  <c r="B1434" i="184"/>
  <c r="B1286" i="184"/>
  <c r="B1134" i="184"/>
  <c r="B2255" i="184"/>
  <c r="B1621" i="184"/>
  <c r="B1584" i="184"/>
  <c r="B1547" i="184"/>
  <c r="B1397" i="184"/>
  <c r="B2030" i="184"/>
  <c r="B1956" i="184"/>
  <c r="B1843" i="184"/>
  <c r="B1880" i="184"/>
  <c r="B1732" i="184"/>
  <c r="B1471" i="184"/>
  <c r="B1323" i="184"/>
  <c r="B985" i="184"/>
  <c r="B837" i="184"/>
  <c r="B689" i="184"/>
  <c r="B540" i="184"/>
  <c r="B1769" i="184"/>
  <c r="B1510" i="184"/>
  <c r="B948" i="184"/>
  <c r="B800" i="184"/>
  <c r="B1096" i="184"/>
  <c r="B1695" i="184"/>
  <c r="B1360" i="184"/>
  <c r="B1249" i="184"/>
  <c r="B1212" i="184"/>
  <c r="B1173" i="184"/>
  <c r="B1022" i="184"/>
  <c r="B874" i="184"/>
  <c r="B1059" i="184"/>
  <c r="B429" i="184"/>
  <c r="B281" i="184"/>
  <c r="B131" i="184"/>
  <c r="B911" i="184"/>
  <c r="B763" i="184"/>
  <c r="B503" i="184"/>
  <c r="B651" i="184"/>
  <c r="B614" i="184"/>
  <c r="B577" i="184"/>
  <c r="B726" i="184"/>
  <c r="B466" i="184"/>
  <c r="B318" i="184"/>
  <c r="B355" i="184"/>
  <c r="B57" i="184"/>
  <c r="B94" i="184"/>
  <c r="B20" i="184"/>
  <c r="B392" i="184"/>
  <c r="B244" i="184"/>
  <c r="B205" i="184"/>
  <c r="B168" i="184"/>
  <c r="B2514" i="184"/>
  <c r="B2366" i="184"/>
  <c r="B2594" i="184"/>
  <c r="B2477" i="184"/>
  <c r="B2440" i="184"/>
  <c r="B2403" i="184"/>
  <c r="B2254" i="184"/>
  <c r="B2103" i="184"/>
  <c r="B1955" i="184"/>
  <c r="B2216" i="184"/>
  <c r="B2557" i="184"/>
  <c r="B2329" i="184"/>
  <c r="B2066" i="184"/>
  <c r="B2029" i="184"/>
  <c r="B1992" i="184"/>
  <c r="B1842" i="184"/>
  <c r="B1694" i="184"/>
  <c r="B2142" i="184"/>
  <c r="B1805" i="184"/>
  <c r="B2179" i="184"/>
  <c r="B1916" i="184"/>
  <c r="B1879" i="184"/>
  <c r="B1470" i="184"/>
  <c r="B1322" i="184"/>
  <c r="B1172" i="184"/>
  <c r="B2292" i="184"/>
  <c r="B1433" i="184"/>
  <c r="B1768" i="184"/>
  <c r="B1731" i="184"/>
  <c r="B1583" i="184"/>
  <c r="B1359" i="184"/>
  <c r="B1285" i="184"/>
  <c r="B1248" i="184"/>
  <c r="B1211" i="184"/>
  <c r="B1021" i="184"/>
  <c r="B873" i="184"/>
  <c r="B725" i="184"/>
  <c r="B576" i="184"/>
  <c r="B1620" i="184"/>
  <c r="B1396" i="184"/>
  <c r="B984" i="184"/>
  <c r="B836" i="184"/>
  <c r="B1657" i="184"/>
  <c r="B1509" i="184"/>
  <c r="B1546" i="184"/>
  <c r="B1133" i="184"/>
  <c r="B1095" i="184"/>
  <c r="B1058" i="184"/>
  <c r="B910" i="184"/>
  <c r="B947" i="184"/>
  <c r="B465" i="184"/>
  <c r="B317" i="184"/>
  <c r="B167" i="184"/>
  <c r="B19" i="184"/>
  <c r="B428" i="184"/>
  <c r="B762" i="184"/>
  <c r="B539" i="184"/>
  <c r="B502" i="184"/>
  <c r="B799" i="184"/>
  <c r="B688" i="184"/>
  <c r="B650" i="184"/>
  <c r="B613" i="184"/>
  <c r="B354" i="184"/>
  <c r="B391" i="184"/>
  <c r="B243" i="184"/>
  <c r="B204" i="184"/>
  <c r="B93" i="184"/>
  <c r="B56" i="184"/>
  <c r="B130" i="184"/>
  <c r="B280" i="184"/>
  <c r="B2482" i="184"/>
  <c r="B2334" i="184"/>
  <c r="B2599" i="184"/>
  <c r="B2562" i="184"/>
  <c r="B2445" i="184"/>
  <c r="B2408" i="184"/>
  <c r="B2371" i="184"/>
  <c r="B2221" i="184"/>
  <c r="B2071" i="184"/>
  <c r="B1921" i="184"/>
  <c r="B2184" i="184"/>
  <c r="B2519" i="184"/>
  <c r="B2297" i="184"/>
  <c r="B2259" i="184"/>
  <c r="B2034" i="184"/>
  <c r="B1997" i="184"/>
  <c r="B1960" i="184"/>
  <c r="B1810" i="184"/>
  <c r="B1662" i="184"/>
  <c r="B2147" i="184"/>
  <c r="B2108" i="184"/>
  <c r="B1847" i="184"/>
  <c r="B1438" i="184"/>
  <c r="B1290" i="184"/>
  <c r="B1138" i="184"/>
  <c r="B1884" i="184"/>
  <c r="B1401" i="184"/>
  <c r="B1773" i="184"/>
  <c r="B1736" i="184"/>
  <c r="B1699" i="184"/>
  <c r="B1625" i="184"/>
  <c r="B1253" i="184"/>
  <c r="B1216" i="184"/>
  <c r="B1177" i="184"/>
  <c r="B989" i="184"/>
  <c r="B841" i="184"/>
  <c r="B693" i="184"/>
  <c r="B544" i="184"/>
  <c r="B1551" i="184"/>
  <c r="B1364" i="184"/>
  <c r="B1327" i="184"/>
  <c r="B952" i="184"/>
  <c r="B804" i="184"/>
  <c r="B1475" i="184"/>
  <c r="B1588" i="184"/>
  <c r="B1514" i="184"/>
  <c r="B1100" i="184"/>
  <c r="B1026" i="184"/>
  <c r="B878" i="184"/>
  <c r="B915" i="184"/>
  <c r="B730" i="184"/>
  <c r="B433" i="184"/>
  <c r="B285" i="184"/>
  <c r="B135" i="184"/>
  <c r="B507" i="184"/>
  <c r="B1063" i="184"/>
  <c r="B767" i="184"/>
  <c r="B655" i="184"/>
  <c r="B618" i="184"/>
  <c r="B581" i="184"/>
  <c r="B470" i="184"/>
  <c r="B322" i="184"/>
  <c r="B359" i="184"/>
  <c r="B248" i="184"/>
  <c r="B209" i="184"/>
  <c r="B172" i="184"/>
  <c r="B396" i="184"/>
  <c r="B61" i="184"/>
  <c r="B98" i="184"/>
  <c r="B24" i="184"/>
  <c r="B2486" i="184"/>
  <c r="B2338" i="184"/>
  <c r="B2603" i="184"/>
  <c r="B2301" i="184"/>
  <c r="B2225" i="184"/>
  <c r="B2075" i="184"/>
  <c r="B1925" i="184"/>
  <c r="B2523" i="184"/>
  <c r="B2449" i="184"/>
  <c r="B2412" i="184"/>
  <c r="B2375" i="184"/>
  <c r="B2188" i="184"/>
  <c r="B2566" i="184"/>
  <c r="B1814" i="184"/>
  <c r="B1666" i="184"/>
  <c r="B2038" i="184"/>
  <c r="B2001" i="184"/>
  <c r="B1964" i="184"/>
  <c r="B2263" i="184"/>
  <c r="B1777" i="184"/>
  <c r="B1740" i="184"/>
  <c r="B1703" i="184"/>
  <c r="B1442" i="184"/>
  <c r="B1294" i="184"/>
  <c r="B1142" i="184"/>
  <c r="B2151" i="184"/>
  <c r="B1405" i="184"/>
  <c r="B1851" i="184"/>
  <c r="B2112" i="184"/>
  <c r="B1888" i="184"/>
  <c r="B1629" i="184"/>
  <c r="B1592" i="184"/>
  <c r="B1555" i="184"/>
  <c r="B1479" i="184"/>
  <c r="B1104" i="184"/>
  <c r="B993" i="184"/>
  <c r="B845" i="184"/>
  <c r="B697" i="184"/>
  <c r="B548" i="184"/>
  <c r="B1518" i="184"/>
  <c r="B1257" i="184"/>
  <c r="B1220" i="184"/>
  <c r="B1181" i="184"/>
  <c r="B956" i="184"/>
  <c r="B808" i="184"/>
  <c r="B1331" i="184"/>
  <c r="B1368" i="184"/>
  <c r="B1030" i="184"/>
  <c r="B882" i="184"/>
  <c r="B659" i="184"/>
  <c r="B622" i="184"/>
  <c r="B585" i="184"/>
  <c r="B437" i="184"/>
  <c r="B289" i="184"/>
  <c r="B139" i="184"/>
  <c r="B771" i="184"/>
  <c r="B734" i="184"/>
  <c r="B1067" i="184"/>
  <c r="B919" i="184"/>
  <c r="B511" i="184"/>
  <c r="B474" i="184"/>
  <c r="B326" i="184"/>
  <c r="B102" i="184"/>
  <c r="B65" i="184"/>
  <c r="B28" i="184"/>
  <c r="B252" i="184"/>
  <c r="B176" i="184"/>
  <c r="B213" i="184"/>
  <c r="B363" i="184"/>
  <c r="B400" i="184"/>
  <c r="B2616" i="184"/>
  <c r="B2462" i="184"/>
  <c r="B2314" i="184"/>
  <c r="B2579" i="184"/>
  <c r="B2201" i="184"/>
  <c r="B2051" i="184"/>
  <c r="B1901" i="184"/>
  <c r="B2499" i="184"/>
  <c r="B2164" i="184"/>
  <c r="B2536" i="184"/>
  <c r="B2425" i="184"/>
  <c r="B2351" i="184"/>
  <c r="B2125" i="184"/>
  <c r="B2088" i="184"/>
  <c r="B1790" i="184"/>
  <c r="B1642" i="184"/>
  <c r="B2388" i="184"/>
  <c r="B2276" i="184"/>
  <c r="B2014" i="184"/>
  <c r="B1938" i="184"/>
  <c r="B1418" i="184"/>
  <c r="B1270" i="184"/>
  <c r="B1117" i="184"/>
  <c r="B1605" i="184"/>
  <c r="B1568" i="184"/>
  <c r="B1531" i="184"/>
  <c r="B1381" i="184"/>
  <c r="B1977" i="184"/>
  <c r="B1827" i="184"/>
  <c r="B2238" i="184"/>
  <c r="B1864" i="184"/>
  <c r="B1753" i="184"/>
  <c r="B1455" i="184"/>
  <c r="B1307" i="184"/>
  <c r="B969" i="184"/>
  <c r="B821" i="184"/>
  <c r="B672" i="184"/>
  <c r="B524" i="184"/>
  <c r="B1492" i="184"/>
  <c r="B932" i="184"/>
  <c r="B784" i="184"/>
  <c r="B1679" i="184"/>
  <c r="B1080" i="184"/>
  <c r="B1716" i="184"/>
  <c r="B1344" i="184"/>
  <c r="B1233" i="184"/>
  <c r="B1194" i="184"/>
  <c r="B1155" i="184"/>
  <c r="B1006" i="184"/>
  <c r="B858" i="184"/>
  <c r="B1043" i="184"/>
  <c r="B413" i="184"/>
  <c r="B265" i="184"/>
  <c r="B115" i="184"/>
  <c r="B895" i="184"/>
  <c r="B747" i="184"/>
  <c r="B635" i="184"/>
  <c r="B598" i="184"/>
  <c r="B561" i="184"/>
  <c r="B487" i="184"/>
  <c r="B710" i="184"/>
  <c r="B450" i="184"/>
  <c r="B302" i="184"/>
  <c r="B339" i="184"/>
  <c r="B41" i="184"/>
  <c r="B78" i="184"/>
  <c r="B226" i="184"/>
  <c r="B376" i="184"/>
  <c r="B189" i="184"/>
  <c r="B152" i="184"/>
  <c r="B2612" i="184"/>
  <c r="B2458" i="184"/>
  <c r="B2310" i="184"/>
  <c r="B2575" i="184"/>
  <c r="B2532" i="184"/>
  <c r="B2197" i="184"/>
  <c r="B2047" i="184"/>
  <c r="B1897" i="184"/>
  <c r="B2160" i="184"/>
  <c r="B2495" i="184"/>
  <c r="B2234" i="184"/>
  <c r="B1786" i="184"/>
  <c r="B1638" i="184"/>
  <c r="B2421" i="184"/>
  <c r="B2347" i="184"/>
  <c r="B2272" i="184"/>
  <c r="B2384" i="184"/>
  <c r="B2121" i="184"/>
  <c r="B1823" i="184"/>
  <c r="B1601" i="184"/>
  <c r="B1564" i="184"/>
  <c r="B1414" i="184"/>
  <c r="B1266" i="184"/>
  <c r="B1113" i="184"/>
  <c r="B2010" i="184"/>
  <c r="B1934" i="184"/>
  <c r="B1860" i="184"/>
  <c r="B1749" i="184"/>
  <c r="B1712" i="184"/>
  <c r="B1675" i="184"/>
  <c r="B1527" i="184"/>
  <c r="B1377" i="184"/>
  <c r="B2084" i="184"/>
  <c r="B1973" i="184"/>
  <c r="B965" i="184"/>
  <c r="B817" i="184"/>
  <c r="B668" i="184"/>
  <c r="B520" i="184"/>
  <c r="B1340" i="184"/>
  <c r="B1076" i="184"/>
  <c r="B928" i="184"/>
  <c r="B780" i="184"/>
  <c r="B1451" i="184"/>
  <c r="B1229" i="184"/>
  <c r="B1190" i="184"/>
  <c r="B1151" i="184"/>
  <c r="B1488" i="184"/>
  <c r="B1303" i="184"/>
  <c r="B1002" i="184"/>
  <c r="B854" i="184"/>
  <c r="B409" i="184"/>
  <c r="B261" i="184"/>
  <c r="B111" i="184"/>
  <c r="B1039" i="184"/>
  <c r="B631" i="184"/>
  <c r="B594" i="184"/>
  <c r="B557" i="184"/>
  <c r="B891" i="184"/>
  <c r="B706" i="184"/>
  <c r="B483" i="184"/>
  <c r="B743" i="184"/>
  <c r="B446" i="184"/>
  <c r="B298" i="184"/>
  <c r="B335" i="184"/>
  <c r="B37" i="184"/>
  <c r="B222" i="184"/>
  <c r="B372" i="184"/>
  <c r="B74" i="184"/>
  <c r="B185" i="184"/>
  <c r="B148" i="184"/>
  <c r="B2538" i="184"/>
  <c r="B2390" i="184"/>
  <c r="B2501" i="184"/>
  <c r="B2618" i="184"/>
  <c r="B2127" i="184"/>
  <c r="B1979" i="184"/>
  <c r="B2353" i="184"/>
  <c r="B2316" i="184"/>
  <c r="B2278" i="184"/>
  <c r="B2240" i="184"/>
  <c r="B2581" i="184"/>
  <c r="B1866" i="184"/>
  <c r="B1718" i="184"/>
  <c r="B1570" i="184"/>
  <c r="B2464" i="184"/>
  <c r="B1940" i="184"/>
  <c r="B1903" i="184"/>
  <c r="B1829" i="184"/>
  <c r="B2427" i="184"/>
  <c r="B2203" i="184"/>
  <c r="B1681" i="184"/>
  <c r="B1644" i="184"/>
  <c r="B1607" i="184"/>
  <c r="B1494" i="184"/>
  <c r="B1346" i="184"/>
  <c r="B1196" i="184"/>
  <c r="B2166" i="184"/>
  <c r="B2053" i="184"/>
  <c r="B1792" i="184"/>
  <c r="B1755" i="184"/>
  <c r="B1457" i="184"/>
  <c r="B2090" i="184"/>
  <c r="B2016" i="184"/>
  <c r="B1383" i="184"/>
  <c r="B1045" i="184"/>
  <c r="B897" i="184"/>
  <c r="B749" i="184"/>
  <c r="B600" i="184"/>
  <c r="B1420" i="184"/>
  <c r="B1157" i="184"/>
  <c r="B1119" i="184"/>
  <c r="B1082" i="184"/>
  <c r="B1008" i="184"/>
  <c r="B860" i="184"/>
  <c r="B1533" i="184"/>
  <c r="B1309" i="184"/>
  <c r="B1272" i="184"/>
  <c r="B1235" i="184"/>
  <c r="B934" i="184"/>
  <c r="B563" i="184"/>
  <c r="B526" i="184"/>
  <c r="B489" i="184"/>
  <c r="B341" i="184"/>
  <c r="B191" i="184"/>
  <c r="B43" i="184"/>
  <c r="B712" i="184"/>
  <c r="B674" i="184"/>
  <c r="B637" i="184"/>
  <c r="B452" i="184"/>
  <c r="B971" i="184"/>
  <c r="B786" i="184"/>
  <c r="B823" i="184"/>
  <c r="B378" i="184"/>
  <c r="B415" i="184"/>
  <c r="B154" i="184"/>
  <c r="B117" i="184"/>
  <c r="B80" i="184"/>
  <c r="B267" i="184"/>
  <c r="B228" i="184"/>
  <c r="B304" i="184"/>
  <c r="B2572" i="184"/>
  <c r="B2418" i="184"/>
  <c r="B2529" i="184"/>
  <c r="B2492" i="184"/>
  <c r="B2381" i="184"/>
  <c r="B2344" i="184"/>
  <c r="B2307" i="184"/>
  <c r="B2157" i="184"/>
  <c r="B2007" i="184"/>
  <c r="B2609" i="184"/>
  <c r="B2455" i="184"/>
  <c r="B2269" i="184"/>
  <c r="B2194" i="184"/>
  <c r="B1970" i="184"/>
  <c r="B1931" i="184"/>
  <c r="B1894" i="184"/>
  <c r="B1746" i="184"/>
  <c r="B1598" i="184"/>
  <c r="B2231" i="184"/>
  <c r="B2118" i="184"/>
  <c r="B2081" i="184"/>
  <c r="B2044" i="184"/>
  <c r="B1857" i="184"/>
  <c r="B1783" i="184"/>
  <c r="B1524" i="184"/>
  <c r="B1374" i="184"/>
  <c r="B1226" i="184"/>
  <c r="B1820" i="184"/>
  <c r="B1485" i="184"/>
  <c r="B1337" i="184"/>
  <c r="B1709" i="184"/>
  <c r="B1672" i="184"/>
  <c r="B1635" i="184"/>
  <c r="B1187" i="184"/>
  <c r="B1148" i="184"/>
  <c r="B1110" i="184"/>
  <c r="B1073" i="184"/>
  <c r="B925" i="184"/>
  <c r="B777" i="184"/>
  <c r="B628" i="184"/>
  <c r="B1561" i="184"/>
  <c r="B1300" i="184"/>
  <c r="B1263" i="184"/>
  <c r="B1036" i="184"/>
  <c r="B888" i="184"/>
  <c r="B740" i="184"/>
  <c r="B1411" i="184"/>
  <c r="B1448" i="184"/>
  <c r="B962" i="184"/>
  <c r="B814" i="184"/>
  <c r="B703" i="184"/>
  <c r="B665" i="184"/>
  <c r="B369" i="184"/>
  <c r="B219" i="184"/>
  <c r="B71" i="184"/>
  <c r="B851" i="184"/>
  <c r="B480" i="184"/>
  <c r="B999" i="184"/>
  <c r="B591" i="184"/>
  <c r="B554" i="184"/>
  <c r="B517" i="184"/>
  <c r="B406" i="184"/>
  <c r="B295" i="184"/>
  <c r="B182" i="184"/>
  <c r="B145" i="184"/>
  <c r="B108" i="184"/>
  <c r="B258" i="184"/>
  <c r="B34" i="184"/>
  <c r="B443" i="184"/>
  <c r="B332" i="184"/>
  <c r="B2507" i="184"/>
  <c r="B2359" i="184"/>
  <c r="B2587" i="184"/>
  <c r="B2247" i="184"/>
  <c r="B2096" i="184"/>
  <c r="B1948" i="184"/>
  <c r="B2322" i="184"/>
  <c r="B2285" i="184"/>
  <c r="B2209" i="184"/>
  <c r="B2550" i="184"/>
  <c r="B1835" i="184"/>
  <c r="B1687" i="184"/>
  <c r="B2433" i="184"/>
  <c r="B1909" i="184"/>
  <c r="B2470" i="184"/>
  <c r="B2396" i="184"/>
  <c r="B2172" i="184"/>
  <c r="B2135" i="184"/>
  <c r="B1872" i="184"/>
  <c r="B1650" i="184"/>
  <c r="B1613" i="184"/>
  <c r="B1576" i="184"/>
  <c r="B1463" i="184"/>
  <c r="B1315" i="184"/>
  <c r="B1165" i="184"/>
  <c r="B2022" i="184"/>
  <c r="B1798" i="184"/>
  <c r="B1761" i="184"/>
  <c r="B1724" i="184"/>
  <c r="B1426" i="184"/>
  <c r="B2059" i="184"/>
  <c r="B1985" i="184"/>
  <c r="B1352" i="184"/>
  <c r="B1014" i="184"/>
  <c r="B866" i="184"/>
  <c r="B718" i="184"/>
  <c r="B569" i="184"/>
  <c r="B1389" i="184"/>
  <c r="B1126" i="184"/>
  <c r="B1088" i="184"/>
  <c r="B977" i="184"/>
  <c r="B829" i="184"/>
  <c r="B1502" i="184"/>
  <c r="B1278" i="184"/>
  <c r="B1241" i="184"/>
  <c r="B1204" i="184"/>
  <c r="B1539" i="184"/>
  <c r="B1051" i="184"/>
  <c r="B903" i="184"/>
  <c r="B532" i="184"/>
  <c r="B495" i="184"/>
  <c r="B458" i="184"/>
  <c r="B310" i="184"/>
  <c r="B160" i="184"/>
  <c r="B12" i="184"/>
  <c r="B681" i="184"/>
  <c r="B643" i="184"/>
  <c r="B606" i="184"/>
  <c r="B421" i="184"/>
  <c r="B940" i="184"/>
  <c r="B755" i="184"/>
  <c r="B792" i="184"/>
  <c r="B347" i="184"/>
  <c r="B384" i="184"/>
  <c r="B49" i="184"/>
  <c r="B236" i="184"/>
  <c r="B123" i="184"/>
  <c r="B86" i="184"/>
  <c r="B197" i="184"/>
  <c r="B273" i="184"/>
  <c r="I2" i="13"/>
  <c r="B2585" i="184"/>
  <c r="B2431" i="184"/>
  <c r="B2283" i="184"/>
  <c r="B2548" i="184"/>
  <c r="B2468" i="184"/>
  <c r="B2170" i="184"/>
  <c r="B2020" i="184"/>
  <c r="B2394" i="184"/>
  <c r="B2320" i="184"/>
  <c r="B2133" i="184"/>
  <c r="B2094" i="184"/>
  <c r="B2057" i="184"/>
  <c r="B1759" i="184"/>
  <c r="B1611" i="184"/>
  <c r="B1870" i="184"/>
  <c r="B2505" i="184"/>
  <c r="B2357" i="184"/>
  <c r="B2245" i="184"/>
  <c r="B1983" i="184"/>
  <c r="B1907" i="184"/>
  <c r="B1537" i="184"/>
  <c r="B1387" i="184"/>
  <c r="B1239" i="184"/>
  <c r="B1086" i="184"/>
  <c r="B1574" i="184"/>
  <c r="B1500" i="184"/>
  <c r="B1350" i="184"/>
  <c r="B1946" i="184"/>
  <c r="B2207" i="184"/>
  <c r="B1833" i="184"/>
  <c r="B1796" i="184"/>
  <c r="B1648" i="184"/>
  <c r="B1424" i="184"/>
  <c r="B1313" i="184"/>
  <c r="B1276" i="184"/>
  <c r="B938" i="184"/>
  <c r="B790" i="184"/>
  <c r="B641" i="184"/>
  <c r="B493" i="184"/>
  <c r="B1685" i="184"/>
  <c r="B1461" i="184"/>
  <c r="B1049" i="184"/>
  <c r="B901" i="184"/>
  <c r="B753" i="184"/>
  <c r="B1722" i="184"/>
  <c r="B1202" i="184"/>
  <c r="B1163" i="184"/>
  <c r="B1124" i="184"/>
  <c r="B975" i="184"/>
  <c r="B1012" i="184"/>
  <c r="B382" i="184"/>
  <c r="B234" i="184"/>
  <c r="B84" i="184"/>
  <c r="B864" i="184"/>
  <c r="B827" i="184"/>
  <c r="B604" i="184"/>
  <c r="B567" i="184"/>
  <c r="B530" i="184"/>
  <c r="B456" i="184"/>
  <c r="B716" i="184"/>
  <c r="B679" i="184"/>
  <c r="B419" i="184"/>
  <c r="B271" i="184"/>
  <c r="B308" i="184"/>
  <c r="B47" i="184"/>
  <c r="B195" i="184"/>
  <c r="B158" i="184"/>
  <c r="B121" i="184"/>
  <c r="B10" i="184"/>
  <c r="B345" i="184"/>
  <c r="B2576" i="184"/>
  <c r="B2422" i="184"/>
  <c r="B2533" i="184"/>
  <c r="B2161" i="184"/>
  <c r="B2011" i="184"/>
  <c r="B2385" i="184"/>
  <c r="B2348" i="184"/>
  <c r="B2311" i="184"/>
  <c r="B2273" i="184"/>
  <c r="B2613" i="184"/>
  <c r="B1750" i="184"/>
  <c r="B1602" i="184"/>
  <c r="B1974" i="184"/>
  <c r="B1935" i="184"/>
  <c r="B1898" i="184"/>
  <c r="B1861" i="184"/>
  <c r="B2496" i="184"/>
  <c r="B2459" i="184"/>
  <c r="B2235" i="184"/>
  <c r="B2198" i="184"/>
  <c r="B1713" i="184"/>
  <c r="B1676" i="184"/>
  <c r="B1639" i="184"/>
  <c r="B1528" i="184"/>
  <c r="B1378" i="184"/>
  <c r="B1230" i="184"/>
  <c r="B1077" i="184"/>
  <c r="B2085" i="184"/>
  <c r="B1787" i="184"/>
  <c r="B1489" i="184"/>
  <c r="B1341" i="184"/>
  <c r="B2122" i="184"/>
  <c r="B2048" i="184"/>
  <c r="B1824" i="184"/>
  <c r="B1565" i="184"/>
  <c r="B1415" i="184"/>
  <c r="B929" i="184"/>
  <c r="B781" i="184"/>
  <c r="B632" i="184"/>
  <c r="B1452" i="184"/>
  <c r="B1191" i="184"/>
  <c r="B1152" i="184"/>
  <c r="B1114" i="184"/>
  <c r="B1040" i="184"/>
  <c r="B892" i="184"/>
  <c r="B744" i="184"/>
  <c r="B1304" i="184"/>
  <c r="B1267" i="184"/>
  <c r="B966" i="184"/>
  <c r="B595" i="184"/>
  <c r="B558" i="184"/>
  <c r="B521" i="184"/>
  <c r="B373" i="184"/>
  <c r="B223" i="184"/>
  <c r="B75" i="184"/>
  <c r="B707" i="184"/>
  <c r="B669" i="184"/>
  <c r="B484" i="184"/>
  <c r="B1003" i="184"/>
  <c r="B818" i="184"/>
  <c r="B855" i="184"/>
  <c r="B410" i="184"/>
  <c r="B447" i="184"/>
  <c r="B38" i="184"/>
  <c r="B112" i="184"/>
  <c r="B186" i="184"/>
  <c r="B149" i="184"/>
  <c r="B299" i="184"/>
  <c r="B262" i="184"/>
  <c r="B336" i="184"/>
  <c r="B2608" i="184"/>
  <c r="B2454" i="184"/>
  <c r="B2306" i="184"/>
  <c r="B2571" i="184"/>
  <c r="B2193" i="184"/>
  <c r="B2043" i="184"/>
  <c r="B2491" i="184"/>
  <c r="B2417" i="184"/>
  <c r="B2380" i="184"/>
  <c r="B2343" i="184"/>
  <c r="B2156" i="184"/>
  <c r="B2528" i="184"/>
  <c r="B1782" i="184"/>
  <c r="B1634" i="184"/>
  <c r="B2006" i="184"/>
  <c r="B1969" i="184"/>
  <c r="B1930" i="184"/>
  <c r="B1893" i="184"/>
  <c r="B2268" i="184"/>
  <c r="B2230" i="184"/>
  <c r="B1745" i="184"/>
  <c r="B1708" i="184"/>
  <c r="B1671" i="184"/>
  <c r="B1410" i="184"/>
  <c r="B1262" i="184"/>
  <c r="B1109" i="184"/>
  <c r="B2117" i="184"/>
  <c r="B1523" i="184"/>
  <c r="B1373" i="184"/>
  <c r="B1819" i="184"/>
  <c r="B2080" i="184"/>
  <c r="B1856" i="184"/>
  <c r="B1597" i="184"/>
  <c r="B1447" i="184"/>
  <c r="B961" i="184"/>
  <c r="B813" i="184"/>
  <c r="B664" i="184"/>
  <c r="B516" i="184"/>
  <c r="B1484" i="184"/>
  <c r="B1225" i="184"/>
  <c r="B1186" i="184"/>
  <c r="B1147" i="184"/>
  <c r="B1072" i="184"/>
  <c r="B924" i="184"/>
  <c r="B776" i="184"/>
  <c r="B1560" i="184"/>
  <c r="B1299" i="184"/>
  <c r="B1336" i="184"/>
  <c r="B998" i="184"/>
  <c r="B627" i="184"/>
  <c r="B590" i="184"/>
  <c r="B553" i="184"/>
  <c r="B405" i="184"/>
  <c r="B257" i="184"/>
  <c r="B107" i="184"/>
  <c r="B739" i="184"/>
  <c r="B702" i="184"/>
  <c r="B1035" i="184"/>
  <c r="B850" i="184"/>
  <c r="B479" i="184"/>
  <c r="B887" i="184"/>
  <c r="B442" i="184"/>
  <c r="B294" i="184"/>
  <c r="B70" i="184"/>
  <c r="B33" i="184"/>
  <c r="B218" i="184"/>
  <c r="B181" i="184"/>
  <c r="B144" i="184"/>
  <c r="B331" i="184"/>
  <c r="B368" i="184"/>
  <c r="B2620" i="184"/>
  <c r="B2466" i="184"/>
  <c r="B2318" i="184"/>
  <c r="B2583" i="184"/>
  <c r="B2540" i="184"/>
  <c r="B2429" i="184"/>
  <c r="B2392" i="184"/>
  <c r="B2355" i="184"/>
  <c r="B2205" i="184"/>
  <c r="B2055" i="184"/>
  <c r="B1905" i="184"/>
  <c r="B2168" i="184"/>
  <c r="B2503" i="184"/>
  <c r="B2242" i="184"/>
  <c r="B2018" i="184"/>
  <c r="B1981" i="184"/>
  <c r="B1942" i="184"/>
  <c r="B1794" i="184"/>
  <c r="B1646" i="184"/>
  <c r="B2129" i="184"/>
  <c r="B2092" i="184"/>
  <c r="B1831" i="184"/>
  <c r="B1422" i="184"/>
  <c r="B1274" i="184"/>
  <c r="B1121" i="184"/>
  <c r="B1868" i="184"/>
  <c r="B1535" i="184"/>
  <c r="B1385" i="184"/>
  <c r="B2280" i="184"/>
  <c r="B1757" i="184"/>
  <c r="B1720" i="184"/>
  <c r="B1683" i="184"/>
  <c r="B1237" i="184"/>
  <c r="B1198" i="184"/>
  <c r="B1159" i="184"/>
  <c r="B973" i="184"/>
  <c r="B825" i="184"/>
  <c r="B676" i="184"/>
  <c r="B528" i="184"/>
  <c r="B1348" i="184"/>
  <c r="B1311" i="184"/>
  <c r="B936" i="184"/>
  <c r="B788" i="184"/>
  <c r="B1572" i="184"/>
  <c r="B1459" i="184"/>
  <c r="B1609" i="184"/>
  <c r="B1496" i="184"/>
  <c r="B1084" i="184"/>
  <c r="B1010" i="184"/>
  <c r="B862" i="184"/>
  <c r="B899" i="184"/>
  <c r="B714" i="184"/>
  <c r="B417" i="184"/>
  <c r="B269" i="184"/>
  <c r="B119" i="184"/>
  <c r="B491" i="184"/>
  <c r="B1047" i="184"/>
  <c r="B751" i="184"/>
  <c r="B639" i="184"/>
  <c r="B602" i="184"/>
  <c r="B565" i="184"/>
  <c r="B454" i="184"/>
  <c r="B306" i="184"/>
  <c r="B343" i="184"/>
  <c r="B230" i="184"/>
  <c r="B193" i="184"/>
  <c r="B156" i="184"/>
  <c r="B380" i="184"/>
  <c r="B82" i="184"/>
  <c r="B45" i="184"/>
  <c r="B2526" i="184"/>
  <c r="B2378" i="184"/>
  <c r="B2489" i="184"/>
  <c r="B2266" i="184"/>
  <c r="B2115" i="184"/>
  <c r="B1967" i="184"/>
  <c r="B2569" i="184"/>
  <c r="B2228" i="184"/>
  <c r="B2606" i="184"/>
  <c r="B2415" i="184"/>
  <c r="B2154" i="184"/>
  <c r="B1854" i="184"/>
  <c r="B1706" i="184"/>
  <c r="B1558" i="184"/>
  <c r="B2304" i="184"/>
  <c r="B2191" i="184"/>
  <c r="B1817" i="184"/>
  <c r="B2452" i="184"/>
  <c r="B2341" i="184"/>
  <c r="B2078" i="184"/>
  <c r="B2004" i="184"/>
  <c r="B1482" i="184"/>
  <c r="B1334" i="184"/>
  <c r="B1184" i="184"/>
  <c r="B1669" i="184"/>
  <c r="B1632" i="184"/>
  <c r="B1595" i="184"/>
  <c r="B1445" i="184"/>
  <c r="B2041" i="184"/>
  <c r="B1891" i="184"/>
  <c r="B1780" i="184"/>
  <c r="B1928" i="184"/>
  <c r="B1521" i="184"/>
  <c r="B1033" i="184"/>
  <c r="B885" i="184"/>
  <c r="B737" i="184"/>
  <c r="B588" i="184"/>
  <c r="B996" i="184"/>
  <c r="B848" i="184"/>
  <c r="B1743" i="184"/>
  <c r="B1371" i="184"/>
  <c r="B1145" i="184"/>
  <c r="B1107" i="184"/>
  <c r="B1408" i="184"/>
  <c r="B1297" i="184"/>
  <c r="B1260" i="184"/>
  <c r="B1223" i="184"/>
  <c r="B1070" i="184"/>
  <c r="B922" i="184"/>
  <c r="B774" i="184"/>
  <c r="B477" i="184"/>
  <c r="B329" i="184"/>
  <c r="B179" i="184"/>
  <c r="B31" i="184"/>
  <c r="B959" i="184"/>
  <c r="B811" i="184"/>
  <c r="B551" i="184"/>
  <c r="B514" i="184"/>
  <c r="B440" i="184"/>
  <c r="B700" i="184"/>
  <c r="B662" i="184"/>
  <c r="B625" i="184"/>
  <c r="B366" i="184"/>
  <c r="B292" i="184"/>
  <c r="B403" i="184"/>
  <c r="B142" i="184"/>
  <c r="B105" i="184"/>
  <c r="B68" i="184"/>
  <c r="B255" i="184"/>
  <c r="B216" i="184"/>
  <c r="B2580" i="184"/>
  <c r="B2426" i="184"/>
  <c r="B2277" i="184"/>
  <c r="B2537" i="184"/>
  <c r="B2500" i="184"/>
  <c r="B2165" i="184"/>
  <c r="B2015" i="184"/>
  <c r="B2617" i="184"/>
  <c r="B2202" i="184"/>
  <c r="B1754" i="184"/>
  <c r="B1606" i="184"/>
  <c r="B2389" i="184"/>
  <c r="B2315" i="184"/>
  <c r="B2239" i="184"/>
  <c r="B1865" i="184"/>
  <c r="B2463" i="184"/>
  <c r="B2352" i="184"/>
  <c r="B2089" i="184"/>
  <c r="B1569" i="184"/>
  <c r="B1532" i="184"/>
  <c r="B1382" i="184"/>
  <c r="B1234" i="184"/>
  <c r="B1081" i="184"/>
  <c r="B1978" i="184"/>
  <c r="B1902" i="184"/>
  <c r="B1828" i="184"/>
  <c r="B1717" i="184"/>
  <c r="B1680" i="184"/>
  <c r="B1643" i="184"/>
  <c r="B1493" i="184"/>
  <c r="B1345" i="184"/>
  <c r="B2126" i="184"/>
  <c r="B2052" i="184"/>
  <c r="B1791" i="184"/>
  <c r="B1939" i="184"/>
  <c r="B933" i="184"/>
  <c r="B785" i="184"/>
  <c r="B636" i="184"/>
  <c r="B1044" i="184"/>
  <c r="B896" i="184"/>
  <c r="B748" i="184"/>
  <c r="B1419" i="184"/>
  <c r="B1195" i="184"/>
  <c r="B1156" i="184"/>
  <c r="B1118" i="184"/>
  <c r="B1456" i="184"/>
  <c r="B1308" i="184"/>
  <c r="B1271" i="184"/>
  <c r="B970" i="184"/>
  <c r="B822" i="184"/>
  <c r="B377" i="184"/>
  <c r="B227" i="184"/>
  <c r="B79" i="184"/>
  <c r="B1007" i="184"/>
  <c r="B599" i="184"/>
  <c r="B562" i="184"/>
  <c r="B525" i="184"/>
  <c r="B488" i="184"/>
  <c r="B859" i="184"/>
  <c r="B711" i="184"/>
  <c r="B673" i="184"/>
  <c r="B451" i="184"/>
  <c r="B414" i="184"/>
  <c r="B303" i="184"/>
  <c r="B340" i="184"/>
  <c r="B190" i="184"/>
  <c r="B153" i="184"/>
  <c r="B116" i="184"/>
  <c r="B42" i="184"/>
  <c r="B266" i="184"/>
  <c r="B2518" i="184"/>
  <c r="B2370" i="184"/>
  <c r="B2481" i="184"/>
  <c r="B2333" i="184"/>
  <c r="B2296" i="184"/>
  <c r="B2258" i="184"/>
  <c r="B2107" i="184"/>
  <c r="B1959" i="184"/>
  <c r="B2561" i="184"/>
  <c r="B2444" i="184"/>
  <c r="B2407" i="184"/>
  <c r="B2220" i="184"/>
  <c r="B2598" i="184"/>
  <c r="B1920" i="184"/>
  <c r="B1846" i="184"/>
  <c r="B1698" i="184"/>
  <c r="B1550" i="184"/>
  <c r="B2183" i="184"/>
  <c r="B2070" i="184"/>
  <c r="B2033" i="184"/>
  <c r="B1996" i="184"/>
  <c r="B1809" i="184"/>
  <c r="B1772" i="184"/>
  <c r="B1735" i="184"/>
  <c r="B1474" i="184"/>
  <c r="B1326" i="184"/>
  <c r="B1176" i="184"/>
  <c r="B1437" i="184"/>
  <c r="B1883" i="184"/>
  <c r="B2146" i="184"/>
  <c r="B1661" i="184"/>
  <c r="B1624" i="184"/>
  <c r="B1587" i="184"/>
  <c r="B1513" i="184"/>
  <c r="B1137" i="184"/>
  <c r="B1099" i="184"/>
  <c r="B1025" i="184"/>
  <c r="B877" i="184"/>
  <c r="B729" i="184"/>
  <c r="B580" i="184"/>
  <c r="B1289" i="184"/>
  <c r="B1252" i="184"/>
  <c r="B1215" i="184"/>
  <c r="B988" i="184"/>
  <c r="B840" i="184"/>
  <c r="B1363" i="184"/>
  <c r="B1400" i="184"/>
  <c r="B1062" i="184"/>
  <c r="B914" i="184"/>
  <c r="B766" i="184"/>
  <c r="B692" i="184"/>
  <c r="B654" i="184"/>
  <c r="B617" i="184"/>
  <c r="B469" i="184"/>
  <c r="B321" i="184"/>
  <c r="B171" i="184"/>
  <c r="B23" i="184"/>
  <c r="B803" i="184"/>
  <c r="B432" i="184"/>
  <c r="B951" i="184"/>
  <c r="B543" i="184"/>
  <c r="B506" i="184"/>
  <c r="B358" i="184"/>
  <c r="B134" i="184"/>
  <c r="B97" i="184"/>
  <c r="B60" i="184"/>
  <c r="B208" i="184"/>
  <c r="B395" i="184"/>
  <c r="B284" i="184"/>
  <c r="B247" i="184"/>
  <c r="B2502" i="184"/>
  <c r="B2354" i="184"/>
  <c r="B2619" i="184"/>
  <c r="B2317" i="184"/>
  <c r="B2279" i="184"/>
  <c r="B2241" i="184"/>
  <c r="B2091" i="184"/>
  <c r="B1941" i="184"/>
  <c r="B2539" i="184"/>
  <c r="B2465" i="184"/>
  <c r="B2428" i="184"/>
  <c r="B2391" i="184"/>
  <c r="B2204" i="184"/>
  <c r="B2582" i="184"/>
  <c r="B1904" i="184"/>
  <c r="B1830" i="184"/>
  <c r="B1682" i="184"/>
  <c r="B2167" i="184"/>
  <c r="B2054" i="184"/>
  <c r="B2017" i="184"/>
  <c r="B1980" i="184"/>
  <c r="B1793" i="184"/>
  <c r="B1756" i="184"/>
  <c r="B1719" i="184"/>
  <c r="B1458" i="184"/>
  <c r="B1310" i="184"/>
  <c r="B1158" i="184"/>
  <c r="B2128" i="184"/>
  <c r="B1421" i="184"/>
  <c r="B1867" i="184"/>
  <c r="B1645" i="184"/>
  <c r="B1608" i="184"/>
  <c r="B1571" i="184"/>
  <c r="B1495" i="184"/>
  <c r="B1120" i="184"/>
  <c r="B1083" i="184"/>
  <c r="B1009" i="184"/>
  <c r="B861" i="184"/>
  <c r="B713" i="184"/>
  <c r="B564" i="184"/>
  <c r="B1534" i="184"/>
  <c r="B1273" i="184"/>
  <c r="B1236" i="184"/>
  <c r="B1197" i="184"/>
  <c r="B972" i="184"/>
  <c r="B824" i="184"/>
  <c r="B1347" i="184"/>
  <c r="B1384" i="184"/>
  <c r="B1046" i="184"/>
  <c r="B898" i="184"/>
  <c r="B750" i="184"/>
  <c r="B675" i="184"/>
  <c r="B638" i="184"/>
  <c r="B601" i="184"/>
  <c r="B453" i="184"/>
  <c r="B305" i="184"/>
  <c r="B155" i="184"/>
  <c r="B787" i="184"/>
  <c r="B416" i="184"/>
  <c r="B935" i="184"/>
  <c r="B527" i="184"/>
  <c r="B490" i="184"/>
  <c r="B342" i="184"/>
  <c r="B118" i="184"/>
  <c r="B81" i="184"/>
  <c r="B44" i="184"/>
  <c r="B268" i="184"/>
  <c r="B229" i="184"/>
  <c r="B192" i="184"/>
  <c r="B379" i="184"/>
  <c r="B2494" i="184"/>
  <c r="B2346" i="184"/>
  <c r="B2611" i="184"/>
  <c r="B2233" i="184"/>
  <c r="B2083" i="184"/>
  <c r="B1933" i="184"/>
  <c r="B2531" i="184"/>
  <c r="B2196" i="184"/>
  <c r="B2574" i="184"/>
  <c r="B2457" i="184"/>
  <c r="B2383" i="184"/>
  <c r="B2120" i="184"/>
  <c r="B1822" i="184"/>
  <c r="B1674" i="184"/>
  <c r="B2159" i="184"/>
  <c r="B2420" i="184"/>
  <c r="B2309" i="184"/>
  <c r="B2046" i="184"/>
  <c r="B1972" i="184"/>
  <c r="B1450" i="184"/>
  <c r="B1302" i="184"/>
  <c r="B1150" i="184"/>
  <c r="B1637" i="184"/>
  <c r="B1600" i="184"/>
  <c r="B1563" i="184"/>
  <c r="B1413" i="184"/>
  <c r="B2009" i="184"/>
  <c r="B1859" i="184"/>
  <c r="B1785" i="184"/>
  <c r="B2271" i="184"/>
  <c r="B1896" i="184"/>
  <c r="B1711" i="184"/>
  <c r="B1487" i="184"/>
  <c r="B1001" i="184"/>
  <c r="B853" i="184"/>
  <c r="B705" i="184"/>
  <c r="B556" i="184"/>
  <c r="B1748" i="184"/>
  <c r="B1526" i="184"/>
  <c r="B964" i="184"/>
  <c r="B816" i="184"/>
  <c r="B1339" i="184"/>
  <c r="B1112" i="184"/>
  <c r="B1376" i="184"/>
  <c r="B1265" i="184"/>
  <c r="B1228" i="184"/>
  <c r="B1189" i="184"/>
  <c r="B1038" i="184"/>
  <c r="B890" i="184"/>
  <c r="B1075" i="184"/>
  <c r="B742" i="184"/>
  <c r="B445" i="184"/>
  <c r="B297" i="184"/>
  <c r="B147" i="184"/>
  <c r="B927" i="184"/>
  <c r="B779" i="184"/>
  <c r="B519" i="184"/>
  <c r="B667" i="184"/>
  <c r="B630" i="184"/>
  <c r="B593" i="184"/>
  <c r="B482" i="184"/>
  <c r="B334" i="184"/>
  <c r="B371" i="184"/>
  <c r="B73" i="184"/>
  <c r="B110" i="184"/>
  <c r="B36" i="184"/>
  <c r="B184" i="184"/>
  <c r="B408" i="184"/>
  <c r="B260" i="184"/>
  <c r="B221" i="184"/>
  <c r="I2" i="21"/>
  <c r="I2" i="42"/>
  <c r="I2" i="52"/>
  <c r="I2" i="62"/>
  <c r="I2" i="72"/>
  <c r="I2" i="82"/>
  <c r="I2" i="203"/>
  <c r="I2" i="112"/>
  <c r="I2" i="122"/>
  <c r="I2" i="132"/>
  <c r="I2" i="142"/>
  <c r="I2" i="152"/>
  <c r="I2" i="195"/>
  <c r="I2" i="167"/>
  <c r="I2" i="177"/>
  <c r="I2" i="16"/>
  <c r="I2" i="26"/>
  <c r="I2" i="36"/>
  <c r="I2" i="47"/>
  <c r="I2" i="57"/>
  <c r="I2" i="78"/>
  <c r="I2" i="87"/>
  <c r="I2" i="97"/>
  <c r="I2" i="199"/>
  <c r="I2" i="107"/>
  <c r="I2" i="117"/>
  <c r="I2" i="127"/>
  <c r="I2" i="137"/>
  <c r="I2" i="147"/>
  <c r="I2" i="157"/>
  <c r="I2" i="162"/>
  <c r="I2" i="172"/>
  <c r="I2" i="102"/>
  <c r="I2" i="67"/>
  <c r="B378" i="191"/>
  <c r="B377" i="191"/>
  <c r="B376" i="191"/>
  <c r="B375" i="191"/>
  <c r="B374" i="191"/>
  <c r="B373" i="191"/>
  <c r="B372" i="191"/>
  <c r="B371" i="191"/>
  <c r="B370" i="191"/>
  <c r="B369" i="191"/>
  <c r="B368" i="191"/>
  <c r="B367" i="191"/>
  <c r="B366" i="191"/>
  <c r="B365" i="191"/>
  <c r="B364" i="191"/>
  <c r="B362" i="191"/>
  <c r="B361" i="191"/>
  <c r="B360" i="191"/>
  <c r="B359" i="191"/>
  <c r="B358" i="191"/>
  <c r="B357" i="191"/>
  <c r="B356" i="191"/>
  <c r="B354" i="191"/>
  <c r="B353" i="191"/>
  <c r="B352" i="191"/>
  <c r="B351" i="191"/>
  <c r="B348" i="191"/>
  <c r="B347" i="191"/>
  <c r="B346" i="191"/>
  <c r="B345" i="191"/>
  <c r="B344" i="191"/>
  <c r="B343" i="191"/>
  <c r="B341" i="191"/>
  <c r="B340" i="191"/>
  <c r="B339" i="191"/>
  <c r="B338" i="191"/>
  <c r="B337" i="191"/>
  <c r="B336" i="191"/>
  <c r="B335" i="191"/>
  <c r="B334" i="191"/>
  <c r="B333" i="191"/>
  <c r="B332" i="191"/>
  <c r="B331" i="191"/>
  <c r="B330" i="191"/>
  <c r="B329" i="191"/>
  <c r="B328" i="191"/>
  <c r="B327" i="191"/>
  <c r="B326" i="191"/>
  <c r="B325" i="191"/>
  <c r="B324" i="191"/>
  <c r="B323" i="191"/>
  <c r="B322" i="191"/>
  <c r="B321" i="191"/>
  <c r="B320" i="191"/>
  <c r="B319" i="191"/>
  <c r="B318" i="191"/>
  <c r="B317" i="191"/>
  <c r="B316" i="191"/>
  <c r="B315" i="191"/>
  <c r="B314" i="191"/>
  <c r="B312" i="191"/>
  <c r="B311" i="191"/>
  <c r="B310" i="191"/>
  <c r="B309" i="191"/>
  <c r="B307" i="191"/>
  <c r="B306" i="191"/>
  <c r="B304" i="191"/>
  <c r="B303" i="191"/>
  <c r="B302" i="191"/>
  <c r="B301" i="191"/>
  <c r="B300" i="191"/>
  <c r="B299" i="191"/>
  <c r="B298" i="191"/>
  <c r="B297" i="191"/>
  <c r="B296" i="191"/>
  <c r="B295" i="191"/>
  <c r="B294" i="191"/>
  <c r="B293" i="191"/>
  <c r="B292" i="191"/>
  <c r="B291" i="191"/>
  <c r="B290" i="191"/>
  <c r="B288" i="191"/>
  <c r="B287" i="191"/>
  <c r="B286" i="191"/>
  <c r="B285" i="191"/>
  <c r="B284" i="191"/>
  <c r="B283" i="191"/>
  <c r="B282" i="191"/>
  <c r="B280" i="191"/>
  <c r="B279" i="191"/>
  <c r="B278" i="191"/>
  <c r="B277" i="191"/>
  <c r="B274" i="191"/>
  <c r="B273" i="191"/>
  <c r="B272" i="191"/>
  <c r="B271" i="191"/>
  <c r="B270" i="191"/>
  <c r="B269" i="191"/>
  <c r="B267" i="191"/>
  <c r="B266" i="191"/>
  <c r="B265" i="191"/>
  <c r="B264" i="191"/>
  <c r="B263" i="191"/>
  <c r="B262" i="191"/>
  <c r="B261" i="191"/>
  <c r="B260" i="191"/>
  <c r="B259" i="191"/>
  <c r="B258" i="191"/>
  <c r="B257" i="191"/>
  <c r="B256" i="191"/>
  <c r="B255" i="191"/>
  <c r="B254" i="191"/>
  <c r="B253" i="191"/>
  <c r="B252" i="191"/>
  <c r="B251" i="191"/>
  <c r="B250" i="191"/>
  <c r="B249" i="191"/>
  <c r="B248" i="191"/>
  <c r="B247" i="191"/>
  <c r="B246" i="191"/>
  <c r="B245" i="191"/>
  <c r="B244" i="191"/>
  <c r="B243" i="191"/>
  <c r="B242" i="191"/>
  <c r="B241" i="191"/>
  <c r="B240" i="191"/>
  <c r="B238" i="191"/>
  <c r="B237" i="191"/>
  <c r="B236" i="191"/>
  <c r="B235" i="191"/>
  <c r="B233" i="191"/>
  <c r="B232" i="191"/>
  <c r="B230" i="191"/>
  <c r="B229" i="191"/>
  <c r="B228" i="191"/>
  <c r="B227" i="191"/>
  <c r="B226" i="191"/>
  <c r="B225" i="191"/>
  <c r="B224" i="191"/>
  <c r="B223" i="191"/>
  <c r="B222" i="191"/>
  <c r="B221" i="191"/>
  <c r="B220" i="191"/>
  <c r="B219" i="191"/>
  <c r="B218" i="191"/>
  <c r="B217" i="191"/>
  <c r="B216" i="191"/>
  <c r="B214" i="191"/>
  <c r="B213" i="191"/>
  <c r="B212" i="191"/>
  <c r="B211" i="191"/>
  <c r="B210" i="191"/>
  <c r="B209" i="191"/>
  <c r="B208" i="191"/>
  <c r="B206" i="191"/>
  <c r="B205" i="191"/>
  <c r="B204" i="191"/>
  <c r="B203" i="191"/>
  <c r="B202" i="191"/>
  <c r="B200" i="191"/>
  <c r="B199" i="191"/>
  <c r="B198" i="191"/>
  <c r="B196" i="191"/>
  <c r="B195" i="191"/>
  <c r="B193" i="191"/>
  <c r="B192" i="191"/>
  <c r="B191" i="191"/>
  <c r="B190" i="191"/>
  <c r="B189" i="191"/>
  <c r="B188" i="191"/>
  <c r="B187" i="191"/>
  <c r="B186" i="191"/>
  <c r="B185" i="191"/>
  <c r="B184" i="191"/>
  <c r="B183" i="191"/>
  <c r="B182" i="191"/>
  <c r="B181" i="191"/>
  <c r="B180" i="191"/>
  <c r="B179" i="191"/>
  <c r="B177" i="191"/>
  <c r="B176" i="191"/>
  <c r="B175" i="191"/>
  <c r="B174" i="191"/>
  <c r="B173" i="191"/>
  <c r="B172" i="191"/>
  <c r="B171" i="191"/>
  <c r="B170" i="191"/>
  <c r="B169" i="191"/>
  <c r="B168" i="191"/>
  <c r="B167" i="191"/>
  <c r="B166" i="191"/>
  <c r="B163" i="191"/>
  <c r="B162" i="191"/>
  <c r="B161" i="191"/>
  <c r="B159" i="191"/>
  <c r="B158" i="191"/>
  <c r="B156" i="191"/>
  <c r="B155" i="191"/>
  <c r="B154" i="191"/>
  <c r="B153" i="191"/>
  <c r="B152" i="191"/>
  <c r="B151" i="191"/>
  <c r="B150" i="191"/>
  <c r="B149" i="191"/>
  <c r="B148" i="191"/>
  <c r="B147" i="191"/>
  <c r="B146" i="191"/>
  <c r="B145" i="191"/>
  <c r="B144" i="191"/>
  <c r="B143" i="191"/>
  <c r="B142" i="191"/>
  <c r="B140" i="191"/>
  <c r="B139" i="191"/>
  <c r="B138" i="191"/>
  <c r="B137" i="191"/>
  <c r="B136" i="191"/>
  <c r="B135" i="191"/>
  <c r="B134" i="191"/>
  <c r="B132" i="191"/>
  <c r="B131" i="191"/>
  <c r="B130" i="191"/>
  <c r="B129" i="191"/>
  <c r="B127" i="191"/>
  <c r="B126" i="191"/>
  <c r="B125" i="191"/>
  <c r="B124" i="191"/>
  <c r="B122" i="191"/>
  <c r="B121" i="191"/>
  <c r="B119" i="191"/>
  <c r="B118" i="191"/>
  <c r="B117" i="191"/>
  <c r="B116" i="191"/>
  <c r="B115" i="191"/>
  <c r="B114" i="191"/>
  <c r="B113" i="191"/>
  <c r="B112" i="191"/>
  <c r="B111" i="191"/>
  <c r="B110" i="191"/>
  <c r="B109" i="191"/>
  <c r="B108" i="191"/>
  <c r="B107" i="191"/>
  <c r="B106" i="191"/>
  <c r="B105" i="191"/>
  <c r="B104" i="191"/>
  <c r="B103" i="191"/>
  <c r="B102" i="191"/>
  <c r="B101" i="191"/>
  <c r="B100" i="191"/>
  <c r="B99" i="191"/>
  <c r="B98" i="191"/>
  <c r="B97" i="191"/>
  <c r="B95" i="191"/>
  <c r="B94" i="191"/>
  <c r="B93" i="191"/>
  <c r="B92" i="191"/>
  <c r="B89" i="191"/>
  <c r="B88" i="191"/>
  <c r="B87" i="191"/>
  <c r="B85" i="191"/>
  <c r="B84" i="191"/>
  <c r="B82" i="191"/>
  <c r="B81" i="191"/>
  <c r="B80" i="191"/>
  <c r="B79" i="191"/>
  <c r="B78" i="191"/>
  <c r="B77" i="191"/>
  <c r="B76" i="191"/>
  <c r="B75" i="191"/>
  <c r="B74" i="191"/>
  <c r="B73" i="191"/>
  <c r="B72" i="191"/>
  <c r="B71" i="191"/>
  <c r="B70" i="191"/>
  <c r="B69" i="191"/>
  <c r="B68" i="191"/>
  <c r="B66" i="191"/>
  <c r="B65" i="191"/>
  <c r="B64" i="191"/>
  <c r="B63" i="191"/>
  <c r="B62" i="191"/>
  <c r="B61" i="191"/>
  <c r="B60" i="191"/>
  <c r="B58" i="191"/>
  <c r="B57" i="191"/>
  <c r="B56" i="191"/>
  <c r="B55" i="191"/>
  <c r="B53" i="191"/>
  <c r="B52" i="191"/>
  <c r="B51" i="191"/>
  <c r="B50" i="191"/>
  <c r="B48" i="191"/>
  <c r="B47" i="191"/>
  <c r="B28" i="191"/>
  <c r="B27" i="191"/>
  <c r="B26" i="191"/>
  <c r="B45" i="191"/>
  <c r="B44" i="191"/>
  <c r="B43" i="191"/>
  <c r="B42" i="191"/>
  <c r="B41" i="191"/>
  <c r="B40" i="191"/>
  <c r="B39" i="191"/>
  <c r="B38" i="191"/>
  <c r="B37" i="191"/>
  <c r="B36" i="191"/>
  <c r="B35" i="191"/>
  <c r="B34" i="191"/>
  <c r="B33" i="191"/>
  <c r="B32" i="191"/>
  <c r="B31" i="191"/>
  <c r="B29" i="191"/>
  <c r="B25" i="191"/>
  <c r="B24" i="191"/>
  <c r="B23" i="191"/>
  <c r="B21" i="191"/>
  <c r="B20" i="191"/>
  <c r="B19" i="191"/>
  <c r="B18" i="191"/>
  <c r="B17" i="191"/>
  <c r="B15" i="191"/>
  <c r="B14" i="191"/>
  <c r="B13" i="191"/>
  <c r="B11" i="191"/>
  <c r="B10" i="191"/>
  <c r="K11" i="191"/>
  <c r="J18" i="191"/>
  <c r="K20" i="191"/>
  <c r="D21" i="191"/>
  <c r="J22" i="191"/>
  <c r="K22" i="191"/>
  <c r="K24" i="191"/>
  <c r="K26" i="191"/>
  <c r="D29" i="191"/>
  <c r="D30" i="191"/>
  <c r="D31" i="191"/>
  <c r="J32" i="191"/>
  <c r="K33" i="191"/>
  <c r="K34" i="191"/>
  <c r="J35" i="191"/>
  <c r="D36" i="191"/>
  <c r="D37" i="191"/>
  <c r="K38" i="191"/>
  <c r="K39" i="191"/>
  <c r="K40" i="191"/>
  <c r="D41" i="191"/>
  <c r="D42" i="191"/>
  <c r="D44" i="191"/>
  <c r="J45" i="191"/>
  <c r="K45" i="191"/>
  <c r="D48" i="191"/>
  <c r="J48" i="191"/>
  <c r="K53" i="191"/>
  <c r="J55" i="191"/>
  <c r="K55" i="191"/>
  <c r="K58" i="191"/>
  <c r="D59" i="191"/>
  <c r="D60" i="191"/>
  <c r="D61" i="191"/>
  <c r="J63" i="191"/>
  <c r="D65" i="191"/>
  <c r="D66" i="191"/>
  <c r="J66" i="191"/>
  <c r="K66" i="191"/>
  <c r="J67" i="191"/>
  <c r="K67" i="191"/>
  <c r="J69" i="191"/>
  <c r="J71" i="191"/>
  <c r="K71" i="191"/>
  <c r="K72" i="191"/>
  <c r="J73" i="191"/>
  <c r="K73" i="191"/>
  <c r="J74" i="191"/>
  <c r="D75" i="191"/>
  <c r="K75" i="191"/>
  <c r="J77" i="191"/>
  <c r="K77" i="191"/>
  <c r="D79" i="191"/>
  <c r="J79" i="191"/>
  <c r="J81" i="191"/>
  <c r="D90" i="191"/>
  <c r="D91" i="191"/>
  <c r="J91" i="191"/>
  <c r="D96" i="191"/>
  <c r="K97" i="191"/>
  <c r="D98" i="191"/>
  <c r="J98" i="191"/>
  <c r="J100" i="191"/>
  <c r="K100" i="191"/>
  <c r="D104" i="191"/>
  <c r="D107" i="191"/>
  <c r="J108" i="191"/>
  <c r="D110" i="191"/>
  <c r="D115" i="191"/>
  <c r="K115" i="191"/>
  <c r="D116" i="191"/>
  <c r="K116" i="191"/>
  <c r="J117" i="191"/>
  <c r="D118" i="191"/>
  <c r="J118" i="191"/>
  <c r="D119" i="191"/>
  <c r="D125" i="191"/>
  <c r="D127" i="191"/>
  <c r="D128" i="191"/>
  <c r="J128" i="191"/>
  <c r="K128" i="191"/>
  <c r="K129" i="191"/>
  <c r="J132" i="191"/>
  <c r="K132" i="191"/>
  <c r="J133" i="191"/>
  <c r="J134" i="191"/>
  <c r="K135" i="191"/>
  <c r="D137" i="191"/>
  <c r="D138" i="191"/>
  <c r="J138" i="191"/>
  <c r="D141" i="191"/>
  <c r="J145" i="191"/>
  <c r="D146" i="191"/>
  <c r="K146" i="191"/>
  <c r="D148" i="191"/>
  <c r="J148" i="191"/>
  <c r="D151" i="191"/>
  <c r="J153" i="191"/>
  <c r="D155" i="191"/>
  <c r="D159" i="191"/>
  <c r="E159" i="191"/>
  <c r="J162" i="191"/>
  <c r="K162" i="191"/>
  <c r="K164" i="191"/>
  <c r="K165" i="191"/>
  <c r="K166" i="191"/>
  <c r="E168" i="191"/>
  <c r="E169" i="191"/>
  <c r="D170" i="191"/>
  <c r="K170" i="191"/>
  <c r="D171" i="191"/>
  <c r="E174" i="191"/>
  <c r="J174" i="191"/>
  <c r="D175" i="191"/>
  <c r="D176" i="191"/>
  <c r="E177" i="191"/>
  <c r="J178" i="191"/>
  <c r="K178" i="191"/>
  <c r="K179" i="191"/>
  <c r="J180" i="191"/>
  <c r="D182" i="191"/>
  <c r="J182" i="191"/>
  <c r="K182" i="191"/>
  <c r="J183" i="191"/>
  <c r="D184" i="191"/>
  <c r="J184" i="191"/>
  <c r="K184" i="191"/>
  <c r="D185" i="191"/>
  <c r="J185" i="191"/>
  <c r="K185" i="191"/>
  <c r="K187" i="191"/>
  <c r="D188" i="191"/>
  <c r="J188" i="191"/>
  <c r="E189" i="191"/>
  <c r="J189" i="191"/>
  <c r="J190" i="191"/>
  <c r="D191" i="191"/>
  <c r="E191" i="191"/>
  <c r="E192" i="191"/>
  <c r="D193" i="191"/>
  <c r="D196" i="191"/>
  <c r="J200" i="191"/>
  <c r="D205" i="191"/>
  <c r="D207" i="191"/>
  <c r="D209" i="191"/>
  <c r="J209" i="191"/>
  <c r="K210" i="191"/>
  <c r="J211" i="191"/>
  <c r="K212" i="191"/>
  <c r="J213" i="191"/>
  <c r="K214" i="191"/>
  <c r="D215" i="191"/>
  <c r="J215" i="191"/>
  <c r="J216" i="191"/>
  <c r="D218" i="191"/>
  <c r="J219" i="191"/>
  <c r="D221" i="191"/>
  <c r="J225" i="191"/>
  <c r="K226" i="191"/>
  <c r="J228" i="191"/>
  <c r="D229" i="191"/>
  <c r="D230" i="191"/>
  <c r="J230" i="191"/>
  <c r="D239" i="191"/>
  <c r="J239" i="191"/>
  <c r="D243" i="191"/>
  <c r="J243" i="191"/>
  <c r="K243" i="191"/>
  <c r="D244" i="191"/>
  <c r="K244" i="191"/>
  <c r="D246" i="191"/>
  <c r="K246" i="191"/>
  <c r="K247" i="191"/>
  <c r="J248" i="191"/>
  <c r="D252" i="191"/>
  <c r="K254" i="191"/>
  <c r="J256" i="191"/>
  <c r="K256" i="191"/>
  <c r="J260" i="191"/>
  <c r="J262" i="191"/>
  <c r="K264" i="191"/>
  <c r="J265" i="191"/>
  <c r="K265" i="191"/>
  <c r="K267" i="191"/>
  <c r="K273" i="191"/>
  <c r="J275" i="191"/>
  <c r="D276" i="191"/>
  <c r="J276" i="191"/>
  <c r="J277" i="191"/>
  <c r="K277" i="191"/>
  <c r="D280" i="191"/>
  <c r="J280" i="191"/>
  <c r="D282" i="191"/>
  <c r="K283" i="191"/>
  <c r="J285" i="191"/>
  <c r="D286" i="191"/>
  <c r="D289" i="191"/>
  <c r="K289" i="191"/>
  <c r="J290" i="191"/>
  <c r="K290" i="191"/>
  <c r="K291" i="191"/>
  <c r="D293" i="191"/>
  <c r="K294" i="191"/>
  <c r="K296" i="191"/>
  <c r="J299" i="191"/>
  <c r="K300" i="191"/>
  <c r="K301" i="191"/>
  <c r="K302" i="191"/>
  <c r="D303" i="191"/>
  <c r="I223" i="191"/>
  <c r="I218" i="191"/>
  <c r="I178" i="191"/>
  <c r="I119" i="191"/>
  <c r="I127" i="191"/>
  <c r="I146" i="191"/>
  <c r="I48" i="191"/>
  <c r="C22" i="192"/>
  <c r="C20" i="192"/>
  <c r="C14" i="192"/>
  <c r="C42" i="192"/>
  <c r="C10" i="192"/>
  <c r="C6" i="192"/>
  <c r="C21" i="192"/>
  <c r="C15" i="192"/>
  <c r="C13" i="192"/>
  <c r="C8" i="192"/>
  <c r="C37" i="192"/>
  <c r="C36" i="192"/>
  <c r="C35" i="192"/>
  <c r="C23" i="192"/>
  <c r="C41" i="192"/>
  <c r="C40" i="192"/>
  <c r="C38" i="192"/>
  <c r="C7" i="192"/>
  <c r="C27" i="192"/>
  <c r="C28" i="192"/>
  <c r="C33" i="192"/>
  <c r="C17" i="192"/>
  <c r="C16" i="192"/>
  <c r="C32" i="192"/>
  <c r="C18" i="192"/>
  <c r="C34" i="192"/>
  <c r="C31" i="192"/>
  <c r="C30" i="192"/>
  <c r="C39" i="192"/>
  <c r="C11" i="192"/>
  <c r="C26" i="192"/>
  <c r="C29" i="192"/>
  <c r="C25" i="192"/>
  <c r="C24" i="192"/>
  <c r="B44" i="192"/>
  <c r="B7" i="188"/>
  <c r="B8" i="188"/>
  <c r="B23" i="187"/>
  <c r="B25" i="187"/>
  <c r="B24" i="187"/>
  <c r="A52" i="187"/>
  <c r="B47" i="187"/>
  <c r="B46" i="187"/>
  <c r="B45" i="187"/>
  <c r="B44" i="187"/>
  <c r="B43" i="187"/>
  <c r="B42" i="187"/>
  <c r="B39" i="187"/>
  <c r="B38" i="187"/>
  <c r="B37" i="187"/>
  <c r="B36" i="187"/>
  <c r="B35" i="187"/>
  <c r="B34" i="187"/>
  <c r="B33" i="187"/>
  <c r="B32" i="187"/>
  <c r="B31" i="187"/>
  <c r="B29" i="187"/>
  <c r="B21" i="187"/>
  <c r="B20" i="187"/>
  <c r="B19" i="187"/>
  <c r="B18" i="187"/>
  <c r="B17" i="187"/>
  <c r="B16" i="187"/>
  <c r="B15" i="187"/>
  <c r="B14" i="187"/>
  <c r="B13" i="187"/>
  <c r="B12" i="187"/>
  <c r="B11" i="187"/>
  <c r="B10" i="187"/>
  <c r="B9" i="187"/>
  <c r="B8" i="187"/>
  <c r="C57" i="201"/>
  <c r="C12" i="201"/>
  <c r="C11" i="201"/>
  <c r="C10" i="201"/>
  <c r="C9" i="201"/>
  <c r="C57" i="197"/>
  <c r="C12" i="197"/>
  <c r="C11" i="197"/>
  <c r="C10" i="197"/>
  <c r="C9" i="197"/>
  <c r="C57" i="193"/>
  <c r="C12" i="193"/>
  <c r="C11" i="193"/>
  <c r="C10" i="193"/>
  <c r="C9" i="193"/>
  <c r="F24" i="187"/>
  <c r="F25" i="187"/>
  <c r="F23" i="187"/>
  <c r="M84" i="184"/>
  <c r="M120" i="184"/>
  <c r="M2630" i="184"/>
  <c r="B128" i="181"/>
  <c r="J43" i="188"/>
  <c r="I48" i="187"/>
  <c r="C57" i="180"/>
  <c r="C12" i="180"/>
  <c r="C11" i="180"/>
  <c r="C10" i="180"/>
  <c r="C9" i="180"/>
  <c r="C57" i="175"/>
  <c r="C12" i="175"/>
  <c r="C11" i="175"/>
  <c r="C10" i="175"/>
  <c r="C9" i="175"/>
  <c r="F47" i="187"/>
  <c r="C57" i="170"/>
  <c r="C12" i="170"/>
  <c r="C11" i="170"/>
  <c r="C10" i="170"/>
  <c r="C9" i="170"/>
  <c r="F46" i="187"/>
  <c r="C57" i="165"/>
  <c r="C12" i="165"/>
  <c r="C11" i="165"/>
  <c r="C10" i="165"/>
  <c r="C9" i="165"/>
  <c r="F45" i="187"/>
  <c r="C57" i="160"/>
  <c r="C12" i="160"/>
  <c r="C11" i="160"/>
  <c r="C10" i="160"/>
  <c r="C9" i="160"/>
  <c r="F22" i="187"/>
  <c r="C57" i="155"/>
  <c r="C12" i="155"/>
  <c r="C11" i="155"/>
  <c r="C10" i="155"/>
  <c r="C9" i="155"/>
  <c r="F44" i="187"/>
  <c r="C57" i="150"/>
  <c r="C12" i="150"/>
  <c r="C11" i="150"/>
  <c r="C10" i="150"/>
  <c r="C9" i="150"/>
  <c r="F20" i="187"/>
  <c r="C57" i="145"/>
  <c r="C12" i="145"/>
  <c r="C11" i="145"/>
  <c r="C10" i="145"/>
  <c r="C9" i="145"/>
  <c r="F43" i="187"/>
  <c r="C57" i="140"/>
  <c r="C12" i="140"/>
  <c r="C11" i="140"/>
  <c r="C10" i="140"/>
  <c r="C9" i="140"/>
  <c r="F21" i="187"/>
  <c r="C57" i="135"/>
  <c r="C12" i="135"/>
  <c r="C11" i="135"/>
  <c r="C10" i="135"/>
  <c r="C9" i="135"/>
  <c r="F42" i="187"/>
  <c r="C57" i="130"/>
  <c r="C12" i="130"/>
  <c r="C11" i="130"/>
  <c r="C10" i="130"/>
  <c r="C9" i="130"/>
  <c r="F41" i="187"/>
  <c r="C57" i="125"/>
  <c r="C12" i="125"/>
  <c r="C11" i="125"/>
  <c r="C10" i="125"/>
  <c r="C9" i="125"/>
  <c r="F40" i="187"/>
  <c r="C57" i="120"/>
  <c r="C12" i="120"/>
  <c r="C11" i="120"/>
  <c r="C10" i="120"/>
  <c r="C9" i="120"/>
  <c r="F19" i="187"/>
  <c r="C57" i="115"/>
  <c r="C12" i="115"/>
  <c r="C11" i="115"/>
  <c r="C10" i="115"/>
  <c r="C9" i="115"/>
  <c r="F18" i="187"/>
  <c r="C57" i="110"/>
  <c r="C12" i="110"/>
  <c r="C11" i="110"/>
  <c r="C10" i="110"/>
  <c r="C9" i="110"/>
  <c r="F17" i="187"/>
  <c r="C57" i="105"/>
  <c r="C12" i="105"/>
  <c r="C11" i="105"/>
  <c r="C10" i="105"/>
  <c r="C9" i="105"/>
  <c r="F39" i="187"/>
  <c r="C57" i="100"/>
  <c r="C12" i="100"/>
  <c r="C11" i="100"/>
  <c r="C10" i="100"/>
  <c r="C9" i="100"/>
  <c r="F16" i="187"/>
  <c r="C57" i="95"/>
  <c r="C12" i="95"/>
  <c r="C11" i="95"/>
  <c r="C10" i="95"/>
  <c r="C9" i="95"/>
  <c r="F38" i="187"/>
  <c r="C57" i="90"/>
  <c r="C12" i="90"/>
  <c r="C11" i="90"/>
  <c r="C10" i="90"/>
  <c r="C9" i="90"/>
  <c r="F15" i="187"/>
  <c r="C57" i="85"/>
  <c r="C12" i="85"/>
  <c r="C11" i="85"/>
  <c r="C10" i="85"/>
  <c r="C9" i="85"/>
  <c r="F14" i="187"/>
  <c r="C57" i="80"/>
  <c r="C12" i="80"/>
  <c r="C11" i="80"/>
  <c r="C10" i="80"/>
  <c r="C9" i="80"/>
  <c r="F37" i="187"/>
  <c r="C57" i="75"/>
  <c r="C12" i="75"/>
  <c r="C11" i="75"/>
  <c r="C10" i="75"/>
  <c r="C9" i="75"/>
  <c r="F36" i="187"/>
  <c r="C57" i="70"/>
  <c r="C12" i="70"/>
  <c r="C11" i="70"/>
  <c r="C10" i="70"/>
  <c r="C9" i="70"/>
  <c r="F13" i="187"/>
  <c r="C57" i="65"/>
  <c r="C12" i="65"/>
  <c r="C11" i="65"/>
  <c r="C10" i="65"/>
  <c r="C9" i="65"/>
  <c r="F12" i="187"/>
  <c r="F11" i="187"/>
  <c r="C57" i="60"/>
  <c r="C12" i="60"/>
  <c r="C11" i="60"/>
  <c r="C10" i="60"/>
  <c r="C9" i="60"/>
  <c r="C57" i="55"/>
  <c r="C12" i="55"/>
  <c r="C11" i="55"/>
  <c r="C10" i="55"/>
  <c r="C9" i="55"/>
  <c r="F35" i="187"/>
  <c r="C57" i="50"/>
  <c r="C12" i="50"/>
  <c r="C11" i="50"/>
  <c r="C10" i="50"/>
  <c r="C9" i="50"/>
  <c r="F10" i="187"/>
  <c r="C57" i="45"/>
  <c r="C12" i="45"/>
  <c r="C11" i="45"/>
  <c r="C10" i="45"/>
  <c r="C9" i="45"/>
  <c r="F34" i="187"/>
  <c r="C57" i="40"/>
  <c r="C12" i="40"/>
  <c r="C11" i="40"/>
  <c r="C10" i="40"/>
  <c r="C9" i="40"/>
  <c r="F9" i="187"/>
  <c r="C57" i="34"/>
  <c r="C12" i="34"/>
  <c r="C11" i="34"/>
  <c r="C10" i="34"/>
  <c r="C9" i="34"/>
  <c r="F8" i="187"/>
  <c r="F26" i="187"/>
  <c r="C57" i="29"/>
  <c r="C12" i="29"/>
  <c r="C11" i="29"/>
  <c r="C10" i="29"/>
  <c r="C9" i="29"/>
  <c r="F33" i="187"/>
  <c r="C57" i="24"/>
  <c r="C12" i="24"/>
  <c r="C11" i="24"/>
  <c r="C10" i="24"/>
  <c r="C9" i="24"/>
  <c r="F32" i="187"/>
  <c r="C57" i="19"/>
  <c r="C12" i="19"/>
  <c r="C11" i="19"/>
  <c r="C10" i="19"/>
  <c r="C9" i="19"/>
  <c r="F31" i="187"/>
  <c r="C57" i="14"/>
  <c r="C12" i="14"/>
  <c r="C11" i="14"/>
  <c r="C10" i="14"/>
  <c r="C9" i="14"/>
  <c r="F30" i="187"/>
  <c r="C9" i="1"/>
  <c r="C10" i="1"/>
  <c r="C11" i="1"/>
  <c r="C12" i="1"/>
  <c r="C57" i="1"/>
  <c r="F29" i="187"/>
  <c r="F49" i="187"/>
  <c r="V87" i="213"/>
  <c r="Q36" i="207"/>
  <c r="I8" i="141"/>
  <c r="D216" i="191"/>
  <c r="F1694" i="184"/>
  <c r="U67" i="147"/>
  <c r="I294" i="191" s="1"/>
  <c r="F29" i="184"/>
  <c r="F1951" i="184"/>
  <c r="O66" i="122"/>
  <c r="C264" i="191" s="1"/>
  <c r="M2564" i="184"/>
  <c r="F1546" i="184"/>
  <c r="F1998" i="184"/>
  <c r="F2061" i="184"/>
  <c r="D40" i="20"/>
  <c r="D31" i="96"/>
  <c r="U62" i="97"/>
  <c r="I100" i="191" s="1"/>
  <c r="F83" i="42"/>
  <c r="F2215" i="184" s="1"/>
  <c r="D58" i="41"/>
  <c r="F1739" i="184"/>
  <c r="D42" i="76"/>
  <c r="K2149" i="184"/>
  <c r="K83" i="97"/>
  <c r="K2223" i="184" s="1"/>
  <c r="F143" i="184"/>
  <c r="D13" i="101"/>
  <c r="F1959" i="184"/>
  <c r="F1513" i="184"/>
  <c r="V14" i="220"/>
  <c r="S14" i="210"/>
  <c r="F177" i="184"/>
  <c r="D14" i="61"/>
  <c r="F78" i="184"/>
  <c r="D11" i="116"/>
  <c r="D46" i="156"/>
  <c r="F1903" i="184"/>
  <c r="B23" i="32"/>
  <c r="M81" i="112"/>
  <c r="B57" i="111" s="1"/>
  <c r="F1304" i="184"/>
  <c r="J15" i="167"/>
  <c r="J206" i="184" s="1"/>
  <c r="T61" i="147"/>
  <c r="H72" i="191" s="1"/>
  <c r="F2042" i="184"/>
  <c r="M2556" i="184"/>
  <c r="L107" i="42"/>
  <c r="F72" i="184"/>
  <c r="D37" i="136"/>
  <c r="F1564" i="184"/>
  <c r="D304" i="191"/>
  <c r="D299" i="191"/>
  <c r="B27" i="113"/>
  <c r="O60" i="122"/>
  <c r="R60" i="122" s="1"/>
  <c r="F1355" i="184"/>
  <c r="D51" i="101"/>
  <c r="D57" i="41"/>
  <c r="AD28" i="231"/>
  <c r="S44" i="229"/>
  <c r="D40" i="136"/>
  <c r="D57" i="106"/>
  <c r="F1418" i="184"/>
  <c r="D31" i="116"/>
  <c r="I2164" i="184"/>
  <c r="I83" i="117"/>
  <c r="I2238" i="184" s="1"/>
  <c r="D31" i="136"/>
  <c r="F1414" i="184"/>
  <c r="AE19" i="213"/>
  <c r="W30" i="214"/>
  <c r="W31" i="220"/>
  <c r="Z42" i="209"/>
  <c r="J56" i="215"/>
  <c r="S45" i="212"/>
  <c r="F1267" i="184"/>
  <c r="D58" i="86"/>
  <c r="F2184" i="184"/>
  <c r="D264" i="191"/>
  <c r="I83" i="122"/>
  <c r="I2239" i="184"/>
  <c r="X26" i="230"/>
  <c r="S26" i="210"/>
  <c r="F2088" i="184"/>
  <c r="D298" i="191"/>
  <c r="T60" i="122"/>
  <c r="H42" i="191" s="1"/>
  <c r="D83" i="172"/>
  <c r="D2231" i="184" s="1"/>
  <c r="D53" i="101"/>
  <c r="T63" i="195"/>
  <c r="H155" i="191" s="1"/>
  <c r="D52" i="35"/>
  <c r="F2023" i="184"/>
  <c r="D28" i="71"/>
  <c r="F1299" i="184"/>
  <c r="AD23" i="231"/>
  <c r="X37" i="209"/>
  <c r="I15" i="82"/>
  <c r="I215" i="184" s="1"/>
  <c r="AE25" i="231"/>
  <c r="Y32" i="209"/>
  <c r="V33" i="214"/>
  <c r="D43" i="96"/>
  <c r="F1775" i="184"/>
  <c r="F2069" i="184"/>
  <c r="F1303" i="184"/>
  <c r="D28" i="141"/>
  <c r="F1548" i="184"/>
  <c r="Y18" i="209"/>
  <c r="D14" i="161"/>
  <c r="F165" i="184"/>
  <c r="D69" i="101"/>
  <c r="F1948" i="184"/>
  <c r="F2179" i="184"/>
  <c r="D58" i="66"/>
  <c r="D40" i="91"/>
  <c r="L2145" i="184"/>
  <c r="D39" i="96"/>
  <c r="D46" i="171"/>
  <c r="F1894" i="184"/>
  <c r="D245" i="191"/>
  <c r="E187" i="191"/>
  <c r="D11" i="191"/>
  <c r="Q69" i="62"/>
  <c r="E362" i="191" s="1"/>
  <c r="O64" i="157"/>
  <c r="F66" i="184"/>
  <c r="D50" i="96"/>
  <c r="F1779" i="184"/>
  <c r="F1633" i="184"/>
  <c r="V25" i="220"/>
  <c r="V24" i="214"/>
  <c r="D23" i="91"/>
  <c r="F1198" i="184"/>
  <c r="H2165" i="184"/>
  <c r="F1958" i="184"/>
  <c r="D50" i="131"/>
  <c r="F1324" i="184"/>
  <c r="Q69" i="195"/>
  <c r="E377" i="191"/>
  <c r="L111" i="195"/>
  <c r="D29" i="92"/>
  <c r="D676" i="184" s="1"/>
  <c r="F15" i="102"/>
  <c r="F217" i="184" s="1"/>
  <c r="T61" i="142"/>
  <c r="T64" i="97"/>
  <c r="K83" i="172"/>
  <c r="K2231" i="184" s="1"/>
  <c r="E2159" i="184"/>
  <c r="E83" i="177"/>
  <c r="E2233" i="184" s="1"/>
  <c r="F1409" i="184"/>
  <c r="D31" i="101"/>
  <c r="J1220" i="184"/>
  <c r="F2134" i="184"/>
  <c r="D57" i="151"/>
  <c r="F1320" i="184"/>
  <c r="D29" i="161"/>
  <c r="D11" i="171"/>
  <c r="F71" i="184"/>
  <c r="L111" i="172"/>
  <c r="Q69" i="172"/>
  <c r="E367" i="191" s="1"/>
  <c r="AF40" i="231"/>
  <c r="T12" i="210"/>
  <c r="E137" i="184"/>
  <c r="D69" i="111"/>
  <c r="F1380" i="184"/>
  <c r="F83" i="152"/>
  <c r="F2208" i="184" s="1"/>
  <c r="D211" i="191"/>
  <c r="D23" i="96"/>
  <c r="D36" i="81"/>
  <c r="D37" i="141"/>
  <c r="F1550" i="184"/>
  <c r="U20" i="220"/>
  <c r="U19" i="214"/>
  <c r="AD19" i="213"/>
  <c r="R20" i="210"/>
  <c r="J78" i="117"/>
  <c r="J2125" i="184" s="1"/>
  <c r="E2165" i="184"/>
  <c r="E83" i="122"/>
  <c r="E2239" i="184" s="1"/>
  <c r="D13" i="136"/>
  <c r="F148" i="184"/>
  <c r="F483" i="184"/>
  <c r="T61" i="137"/>
  <c r="H74" i="191" s="1"/>
  <c r="F1815" i="184"/>
  <c r="D43" i="86"/>
  <c r="H29" i="162"/>
  <c r="H648" i="184" s="1"/>
  <c r="F1217" i="184"/>
  <c r="D26" i="56"/>
  <c r="D38" i="61"/>
  <c r="E66" i="61"/>
  <c r="F1593" i="184"/>
  <c r="D45" i="76"/>
  <c r="F1364" i="184"/>
  <c r="D69" i="86"/>
  <c r="D28" i="121"/>
  <c r="J1952" i="184"/>
  <c r="J78" i="127"/>
  <c r="J2100" i="184"/>
  <c r="L111" i="137"/>
  <c r="I1980" i="184"/>
  <c r="Q69" i="82"/>
  <c r="E363" i="191" s="1"/>
  <c r="D58" i="81"/>
  <c r="D59" i="81" s="1"/>
  <c r="F1224" i="184"/>
  <c r="D18" i="122"/>
  <c r="D266" i="184"/>
  <c r="K1517" i="184"/>
  <c r="AD13" i="213"/>
  <c r="U61" i="122"/>
  <c r="I79" i="191" s="1"/>
  <c r="P69" i="122"/>
  <c r="D375" i="191" s="1"/>
  <c r="D300" i="191"/>
  <c r="D296" i="191"/>
  <c r="D255" i="191"/>
  <c r="D217" i="191"/>
  <c r="E164" i="191"/>
  <c r="D2144" i="184"/>
  <c r="F1389" i="184"/>
  <c r="F1572" i="184"/>
  <c r="F2066" i="184"/>
  <c r="D14" i="101"/>
  <c r="D57" i="96"/>
  <c r="J15" i="97"/>
  <c r="R23" i="210"/>
  <c r="U22" i="214"/>
  <c r="F1175" i="184"/>
  <c r="D57" i="198"/>
  <c r="F2151" i="184"/>
  <c r="I477" i="184"/>
  <c r="H1618" i="184"/>
  <c r="M63" i="162"/>
  <c r="G21" i="184"/>
  <c r="E430" i="184"/>
  <c r="E29" i="167"/>
  <c r="I43" i="215"/>
  <c r="AE20" i="213"/>
  <c r="J71" i="162"/>
  <c r="J1914" i="184" s="1"/>
  <c r="AD43" i="231"/>
  <c r="R15" i="210"/>
  <c r="D142" i="191"/>
  <c r="B23" i="83"/>
  <c r="F18" i="147"/>
  <c r="F259" i="184" s="1"/>
  <c r="I45" i="184"/>
  <c r="I15" i="92"/>
  <c r="I230" i="184" s="1"/>
  <c r="F2036" i="184"/>
  <c r="D52" i="96"/>
  <c r="I2186" i="184"/>
  <c r="I83" i="97"/>
  <c r="I2223" i="184" s="1"/>
  <c r="H2191" i="184"/>
  <c r="D78" i="191"/>
  <c r="U61" i="117"/>
  <c r="I78" i="191" s="1"/>
  <c r="F1182" i="184"/>
  <c r="D23" i="61"/>
  <c r="I2168" i="184"/>
  <c r="I83" i="92"/>
  <c r="I2242" i="184" s="1"/>
  <c r="U60" i="199"/>
  <c r="D28" i="191"/>
  <c r="I2188" i="184"/>
  <c r="K889" i="184"/>
  <c r="D36" i="146"/>
  <c r="F1525" i="184"/>
  <c r="K463" i="184"/>
  <c r="K29" i="162"/>
  <c r="K648" i="184" s="1"/>
  <c r="E182" i="191"/>
  <c r="B27" i="88"/>
  <c r="L116" i="62"/>
  <c r="B27" i="63"/>
  <c r="F56" i="184"/>
  <c r="F2006" i="184"/>
  <c r="D51" i="71"/>
  <c r="J2156" i="184"/>
  <c r="D10" i="76"/>
  <c r="F2147" i="184"/>
  <c r="D36" i="91"/>
  <c r="F1535" i="184"/>
  <c r="D11" i="101"/>
  <c r="F69" i="184"/>
  <c r="AD34" i="231"/>
  <c r="W43" i="230"/>
  <c r="U43" i="220"/>
  <c r="X41" i="209"/>
  <c r="H37" i="215"/>
  <c r="Q34" i="212"/>
  <c r="M2575" i="184"/>
  <c r="L107" i="137"/>
  <c r="D1624" i="184"/>
  <c r="T63" i="142"/>
  <c r="D117" i="191"/>
  <c r="U62" i="157"/>
  <c r="I117" i="191" s="1"/>
  <c r="D214" i="191"/>
  <c r="F1180" i="184"/>
  <c r="F1885" i="184"/>
  <c r="G42" i="97"/>
  <c r="G1102" i="184" s="1"/>
  <c r="H83" i="157"/>
  <c r="H2240" i="184" s="1"/>
  <c r="D31" i="41"/>
  <c r="F1589" i="184"/>
  <c r="D38" i="56"/>
  <c r="E66" i="56"/>
  <c r="D45" i="81"/>
  <c r="D1966" i="184"/>
  <c r="D78" i="82"/>
  <c r="D2114" i="184" s="1"/>
  <c r="D262" i="191"/>
  <c r="U66" i="112"/>
  <c r="I262" i="191" s="1"/>
  <c r="W18" i="230"/>
  <c r="D14" i="136"/>
  <c r="F185" i="184"/>
  <c r="D23" i="30"/>
  <c r="D190" i="191"/>
  <c r="B27" i="103"/>
  <c r="F175" i="184"/>
  <c r="F78" i="97"/>
  <c r="F2110" i="184" s="1"/>
  <c r="J83" i="78"/>
  <c r="J2224" i="184" s="1"/>
  <c r="D52" i="41"/>
  <c r="F2028" i="184"/>
  <c r="AD27" i="231"/>
  <c r="W13" i="230"/>
  <c r="S13" i="229"/>
  <c r="U12" i="214"/>
  <c r="X11" i="209"/>
  <c r="D487" i="184"/>
  <c r="AE35" i="231"/>
  <c r="V13" i="214"/>
  <c r="AE13" i="213"/>
  <c r="I40" i="215"/>
  <c r="Y12" i="209"/>
  <c r="S20" i="229"/>
  <c r="D212" i="191"/>
  <c r="D154" i="191"/>
  <c r="D130" i="191"/>
  <c r="D114" i="191"/>
  <c r="D106" i="191"/>
  <c r="D101" i="191"/>
  <c r="D24" i="191"/>
  <c r="B27" i="158"/>
  <c r="F1557" i="184"/>
  <c r="F1812" i="184"/>
  <c r="F2040" i="184"/>
  <c r="F1178" i="184"/>
  <c r="F12" i="184"/>
  <c r="F1810" i="184"/>
  <c r="G15" i="102"/>
  <c r="G217" i="184"/>
  <c r="E1701" i="184"/>
  <c r="H15" i="92"/>
  <c r="H230" i="184" s="1"/>
  <c r="D26" i="25"/>
  <c r="F1207" i="184"/>
  <c r="AD14" i="231"/>
  <c r="W32" i="230"/>
  <c r="AD31" i="213"/>
  <c r="J916" i="184"/>
  <c r="J42" i="57"/>
  <c r="J1101" i="184"/>
  <c r="J27" i="184"/>
  <c r="J15" i="78"/>
  <c r="J212" i="184"/>
  <c r="F1628" i="184"/>
  <c r="D39" i="76"/>
  <c r="F67" i="184"/>
  <c r="D11" i="81"/>
  <c r="U60" i="97"/>
  <c r="I26" i="191" s="1"/>
  <c r="D26" i="191"/>
  <c r="M2570" i="184"/>
  <c r="L107" i="102"/>
  <c r="T14" i="229"/>
  <c r="D51" i="106"/>
  <c r="F2012" i="184"/>
  <c r="F963" i="184"/>
  <c r="D29" i="146"/>
  <c r="F1338" i="184"/>
  <c r="F182" i="184"/>
  <c r="K11" i="184"/>
  <c r="G976" i="184"/>
  <c r="E44" i="184"/>
  <c r="F1384" i="184"/>
  <c r="D69" i="194"/>
  <c r="D13" i="166"/>
  <c r="F132" i="184"/>
  <c r="D1561" i="184"/>
  <c r="D147" i="191"/>
  <c r="T63" i="199"/>
  <c r="H139" i="191"/>
  <c r="D29" i="121"/>
  <c r="F1345" i="184"/>
  <c r="D1643" i="184"/>
  <c r="T63" i="122"/>
  <c r="D16" i="184"/>
  <c r="AE25" i="213"/>
  <c r="D66" i="151"/>
  <c r="D50" i="151"/>
  <c r="F1947" i="184"/>
  <c r="F15" i="172"/>
  <c r="F219" i="184" s="1"/>
  <c r="T63" i="177"/>
  <c r="K1326" i="184"/>
  <c r="K56" i="142"/>
  <c r="K1437" i="184" s="1"/>
  <c r="U20" i="214"/>
  <c r="X19" i="209"/>
  <c r="D2465" i="184"/>
  <c r="T20" i="229"/>
  <c r="I55" i="215"/>
  <c r="X20" i="230"/>
  <c r="V19" i="214"/>
  <c r="F1896" i="184"/>
  <c r="D46" i="176"/>
  <c r="T66" i="16"/>
  <c r="I2161" i="184"/>
  <c r="I83" i="52"/>
  <c r="I2235" i="184"/>
  <c r="G15" i="72"/>
  <c r="G218" i="184" s="1"/>
  <c r="U21" i="220"/>
  <c r="D45" i="116"/>
  <c r="E1388" i="184"/>
  <c r="AD33" i="231"/>
  <c r="AD41" i="213"/>
  <c r="F1382" i="184"/>
  <c r="D69" i="121"/>
  <c r="D2389" i="184"/>
  <c r="Q69" i="152"/>
  <c r="E344" i="191"/>
  <c r="L111" i="152"/>
  <c r="L898" i="184"/>
  <c r="I54" i="184"/>
  <c r="I15" i="162"/>
  <c r="I202" i="184" s="1"/>
  <c r="H2177" i="184"/>
  <c r="H83" i="162"/>
  <c r="H2214" i="184"/>
  <c r="J2144" i="184"/>
  <c r="J83" i="167"/>
  <c r="J2218" i="184" s="1"/>
  <c r="D1619" i="184"/>
  <c r="K2200" i="184"/>
  <c r="K83" i="112"/>
  <c r="K2237" i="184" s="1"/>
  <c r="K729" i="184"/>
  <c r="M2582" i="184"/>
  <c r="L107" i="195"/>
  <c r="F83" i="102"/>
  <c r="F2229" i="184"/>
  <c r="M60" i="162"/>
  <c r="B36" i="161"/>
  <c r="F78" i="167"/>
  <c r="F2105" i="184" s="1"/>
  <c r="O36" i="207"/>
  <c r="C6" i="141" s="1"/>
  <c r="AC12" i="213"/>
  <c r="P10" i="214" s="1"/>
  <c r="D263" i="191"/>
  <c r="T65" i="117"/>
  <c r="H226" i="191" s="1"/>
  <c r="E83" i="117"/>
  <c r="E2238" i="184" s="1"/>
  <c r="F1270" i="184"/>
  <c r="L116" i="117"/>
  <c r="D26" i="116"/>
  <c r="D18" i="117"/>
  <c r="D265" i="184" s="1"/>
  <c r="O65" i="117"/>
  <c r="C226" i="191" s="1"/>
  <c r="G226" i="191" s="1"/>
  <c r="D40" i="116"/>
  <c r="F78" i="117"/>
  <c r="F2125" i="184" s="1"/>
  <c r="T67" i="117"/>
  <c r="D42" i="116"/>
  <c r="O67" i="117"/>
  <c r="C300" i="191" s="1"/>
  <c r="Q33" i="212"/>
  <c r="Z17" i="209"/>
  <c r="W18" i="214"/>
  <c r="U66" i="137"/>
  <c r="I259" i="191"/>
  <c r="D66" i="136"/>
  <c r="U61" i="137"/>
  <c r="I74" i="191" s="1"/>
  <c r="I78" i="137"/>
  <c r="I2121" i="184" s="1"/>
  <c r="E83" i="137"/>
  <c r="E2234" i="184" s="1"/>
  <c r="U19" i="229"/>
  <c r="O61" i="137"/>
  <c r="R61" i="137"/>
  <c r="L18" i="137"/>
  <c r="L261" i="184" s="1"/>
  <c r="F1973" i="184"/>
  <c r="T19" i="210"/>
  <c r="E18" i="167"/>
  <c r="E245" i="184" s="1"/>
  <c r="U62" i="167"/>
  <c r="I78" i="167"/>
  <c r="I2105" i="184" s="1"/>
  <c r="D169" i="191"/>
  <c r="D206" i="191"/>
  <c r="O66" i="167"/>
  <c r="C243" i="191" s="1"/>
  <c r="I29" i="167"/>
  <c r="I652" i="184"/>
  <c r="T66" i="167"/>
  <c r="K83" i="167"/>
  <c r="K2218" i="184"/>
  <c r="F1994" i="184"/>
  <c r="D66" i="194"/>
  <c r="U60" i="195"/>
  <c r="I44" i="191" s="1"/>
  <c r="D266" i="191"/>
  <c r="D81" i="191"/>
  <c r="E78" i="195"/>
  <c r="E2128" i="184"/>
  <c r="AE45" i="213"/>
  <c r="H83" i="195"/>
  <c r="H2241" i="184" s="1"/>
  <c r="D281" i="191"/>
  <c r="D133" i="191"/>
  <c r="T63" i="132"/>
  <c r="H133" i="191" s="1"/>
  <c r="E15" i="132"/>
  <c r="E207" i="184" s="1"/>
  <c r="D83" i="162"/>
  <c r="D2214" i="184" s="1"/>
  <c r="G18" i="162"/>
  <c r="G241" i="184" s="1"/>
  <c r="H42" i="162"/>
  <c r="H1093" i="184" s="1"/>
  <c r="L15" i="162"/>
  <c r="L202" i="184"/>
  <c r="J18" i="162"/>
  <c r="J241" i="184" s="1"/>
  <c r="E56" i="162"/>
  <c r="E1431" i="184"/>
  <c r="D11" i="161"/>
  <c r="D165" i="191"/>
  <c r="G15" i="162"/>
  <c r="G202" i="184" s="1"/>
  <c r="M20" i="162"/>
  <c r="M315" i="184" s="1"/>
  <c r="U60" i="162"/>
  <c r="I17" i="191" s="1"/>
  <c r="F128" i="184"/>
  <c r="H15" i="162"/>
  <c r="H202" i="184" s="1"/>
  <c r="G29" i="162"/>
  <c r="G648" i="184" s="1"/>
  <c r="E31" i="162"/>
  <c r="E686" i="184"/>
  <c r="E1170" i="184"/>
  <c r="J1618" i="184"/>
  <c r="E78" i="162"/>
  <c r="K15" i="162"/>
  <c r="K202" i="184" s="1"/>
  <c r="B27" i="163"/>
  <c r="M66" i="162"/>
  <c r="M1729" i="184"/>
  <c r="D18" i="162"/>
  <c r="D241" i="184" s="1"/>
  <c r="L83" i="162"/>
  <c r="L2214" i="184"/>
  <c r="L128" i="184"/>
  <c r="O62" i="162"/>
  <c r="C91" i="191" s="1"/>
  <c r="AE20" i="231"/>
  <c r="V38" i="220"/>
  <c r="E1714" i="184"/>
  <c r="D1793" i="184"/>
  <c r="O67" i="195"/>
  <c r="C303" i="191"/>
  <c r="T67" i="195"/>
  <c r="J760" i="184"/>
  <c r="J31" i="162"/>
  <c r="J686" i="184"/>
  <c r="J945" i="184"/>
  <c r="F1803" i="184"/>
  <c r="D66" i="161"/>
  <c r="I2177" i="184"/>
  <c r="I83" i="162"/>
  <c r="I2214" i="184" s="1"/>
  <c r="D38" i="166"/>
  <c r="E66" i="166" s="1"/>
  <c r="F71" i="167"/>
  <c r="F1918" i="184" s="1"/>
  <c r="F1585" i="184"/>
  <c r="V46" i="214"/>
  <c r="T47" i="229"/>
  <c r="E1571" i="184"/>
  <c r="T61" i="195"/>
  <c r="O61" i="195"/>
  <c r="F537" i="184"/>
  <c r="F29" i="162"/>
  <c r="D18" i="161" s="1"/>
  <c r="I1283" i="184"/>
  <c r="I56" i="162"/>
  <c r="I1431" i="184" s="1"/>
  <c r="H1320" i="184"/>
  <c r="D31" i="161"/>
  <c r="F1394" i="184"/>
  <c r="D41" i="161"/>
  <c r="F1692" i="184"/>
  <c r="D1766" i="184"/>
  <c r="O67" i="162"/>
  <c r="C276" i="191" s="1"/>
  <c r="H1953" i="184"/>
  <c r="H78" i="162"/>
  <c r="H2101" i="184" s="1"/>
  <c r="F2027" i="184"/>
  <c r="D52" i="161"/>
  <c r="L115" i="162"/>
  <c r="B23" i="163"/>
  <c r="K2140" i="184"/>
  <c r="K83" i="162"/>
  <c r="K2214" i="184"/>
  <c r="G1213" i="184"/>
  <c r="D1844" i="184"/>
  <c r="M69" i="167"/>
  <c r="G1994" i="184"/>
  <c r="G78" i="167"/>
  <c r="G2105" i="184" s="1"/>
  <c r="E2031" i="184"/>
  <c r="M76" i="167"/>
  <c r="H2144" i="184"/>
  <c r="H83" i="167"/>
  <c r="H2218" i="184"/>
  <c r="G2181" i="184"/>
  <c r="G83" i="167"/>
  <c r="G2218" i="184" s="1"/>
  <c r="F2442" i="184"/>
  <c r="J1524" i="184"/>
  <c r="D83" i="132"/>
  <c r="D2145" i="184"/>
  <c r="D202" i="191"/>
  <c r="AD29" i="213"/>
  <c r="D28" i="2"/>
  <c r="F1276" i="184"/>
  <c r="G2036" i="184"/>
  <c r="G33" i="184"/>
  <c r="I42" i="162"/>
  <c r="I1093" i="184" s="1"/>
  <c r="K1070" i="184"/>
  <c r="H1977" i="184"/>
  <c r="D40" i="131"/>
  <c r="E1771" i="184"/>
  <c r="T67" i="132"/>
  <c r="J37" i="184"/>
  <c r="F557" i="184"/>
  <c r="I817" i="184"/>
  <c r="F891" i="184"/>
  <c r="L965" i="184"/>
  <c r="L42" i="137"/>
  <c r="L1113" i="184" s="1"/>
  <c r="H1076" i="184"/>
  <c r="F1229" i="184"/>
  <c r="D26" i="136"/>
  <c r="E1266" i="184"/>
  <c r="E56" i="137"/>
  <c r="K37" i="191"/>
  <c r="E1601" i="184"/>
  <c r="E1712" i="184"/>
  <c r="O65" i="137"/>
  <c r="R65" i="137"/>
  <c r="G1973" i="184"/>
  <c r="G78" i="137"/>
  <c r="G2121" i="184"/>
  <c r="D51" i="136"/>
  <c r="F2384" i="184"/>
  <c r="D2458" i="184"/>
  <c r="G23" i="184"/>
  <c r="G15" i="142"/>
  <c r="G208" i="184" s="1"/>
  <c r="J284" i="184"/>
  <c r="J18" i="142"/>
  <c r="J247" i="184"/>
  <c r="E469" i="184"/>
  <c r="D877" i="184"/>
  <c r="D42" i="142"/>
  <c r="D1099" i="184"/>
  <c r="D23" i="141"/>
  <c r="F1176" i="184"/>
  <c r="D1686" i="184"/>
  <c r="L2134" i="184"/>
  <c r="J416" i="184"/>
  <c r="J1273" i="184"/>
  <c r="E1384" i="184"/>
  <c r="E56" i="195"/>
  <c r="E1458" i="184" s="1"/>
  <c r="D352" i="184"/>
  <c r="L352" i="184"/>
  <c r="L18" i="162"/>
  <c r="L241" i="184" s="1"/>
  <c r="I426" i="184"/>
  <c r="I18" i="162"/>
  <c r="I241" i="184"/>
  <c r="I29" i="162"/>
  <c r="F908" i="184"/>
  <c r="F42" i="162"/>
  <c r="D945" i="184"/>
  <c r="L945" i="184"/>
  <c r="L42" i="162"/>
  <c r="L1093" i="184"/>
  <c r="K1246" i="184"/>
  <c r="K56" i="162"/>
  <c r="K1431" i="184"/>
  <c r="E71" i="162"/>
  <c r="E1914" i="184" s="1"/>
  <c r="T60" i="162"/>
  <c r="H17" i="191" s="1"/>
  <c r="O60" i="162"/>
  <c r="R60" i="162" s="1"/>
  <c r="L1507" i="184"/>
  <c r="L71" i="162"/>
  <c r="L1914" i="184"/>
  <c r="D1618" i="184"/>
  <c r="T63" i="162"/>
  <c r="H128" i="191" s="1"/>
  <c r="O63" i="162"/>
  <c r="D40" i="161"/>
  <c r="E986" i="184"/>
  <c r="H1213" i="184"/>
  <c r="H56" i="167"/>
  <c r="H1435" i="184" s="1"/>
  <c r="D1361" i="184"/>
  <c r="D1972" i="184"/>
  <c r="L1270" i="184"/>
  <c r="F129" i="184"/>
  <c r="D13" i="41"/>
  <c r="D861" i="184"/>
  <c r="F1056" i="184"/>
  <c r="D2064" i="184"/>
  <c r="D78" i="162"/>
  <c r="D2101" i="184" s="1"/>
  <c r="L430" i="184"/>
  <c r="L18" i="167"/>
  <c r="L245" i="184" s="1"/>
  <c r="I1733" i="184"/>
  <c r="G43" i="231"/>
  <c r="F1716" i="184"/>
  <c r="D41" i="116"/>
  <c r="D45" i="131"/>
  <c r="F2182" i="184"/>
  <c r="D58" i="131"/>
  <c r="F1601" i="184"/>
  <c r="D38" i="136"/>
  <c r="E66" i="136"/>
  <c r="L1675" i="184"/>
  <c r="H1973" i="184"/>
  <c r="D1000" i="184"/>
  <c r="D57" i="146"/>
  <c r="F2158" i="184"/>
  <c r="AF20" i="231"/>
  <c r="U38" i="229"/>
  <c r="AF20" i="213"/>
  <c r="Y21" i="230"/>
  <c r="T21" i="210"/>
  <c r="D22" i="191"/>
  <c r="H10" i="215"/>
  <c r="D53" i="2"/>
  <c r="F2057" i="184"/>
  <c r="Z31" i="209"/>
  <c r="L83" i="203"/>
  <c r="L2228" i="184"/>
  <c r="J83" i="137"/>
  <c r="J2234" i="184"/>
  <c r="G78" i="162"/>
  <c r="G2101" i="184"/>
  <c r="D123" i="191"/>
  <c r="U63" i="16"/>
  <c r="I123" i="191"/>
  <c r="E1724" i="184"/>
  <c r="J14" i="191"/>
  <c r="L115" i="67"/>
  <c r="B23" i="68"/>
  <c r="F1560" i="184"/>
  <c r="D37" i="71"/>
  <c r="F2193" i="184"/>
  <c r="D58" i="71"/>
  <c r="U63" i="78"/>
  <c r="I138" i="191" s="1"/>
  <c r="M34" i="82"/>
  <c r="M810" i="184"/>
  <c r="D43" i="91"/>
  <c r="F1794" i="184"/>
  <c r="J2018" i="184"/>
  <c r="J78" i="92"/>
  <c r="J2129" i="184" s="1"/>
  <c r="AE26" i="231"/>
  <c r="S33" i="210"/>
  <c r="Y31" i="209"/>
  <c r="I26" i="184"/>
  <c r="F991" i="184"/>
  <c r="F42" i="97"/>
  <c r="E1028" i="184"/>
  <c r="E1679" i="184"/>
  <c r="I2014" i="184"/>
  <c r="D2201" i="184"/>
  <c r="D83" i="117"/>
  <c r="D2238" i="184" s="1"/>
  <c r="D1586" i="184"/>
  <c r="T62" i="132"/>
  <c r="H96" i="191"/>
  <c r="F1882" i="184"/>
  <c r="D46" i="131"/>
  <c r="H298" i="184"/>
  <c r="H18" i="137"/>
  <c r="H261" i="184" s="1"/>
  <c r="D446" i="184"/>
  <c r="H42" i="215"/>
  <c r="U18" i="214"/>
  <c r="X17" i="209"/>
  <c r="U19" i="220"/>
  <c r="Q37" i="212"/>
  <c r="S19" i="229"/>
  <c r="AD18" i="213"/>
  <c r="T21" i="229"/>
  <c r="Y19" i="209"/>
  <c r="V20" i="214"/>
  <c r="X21" i="230"/>
  <c r="S11" i="210"/>
  <c r="S21" i="210"/>
  <c r="V21" i="220"/>
  <c r="L1984" i="184"/>
  <c r="L78" i="152"/>
  <c r="L2095" i="184"/>
  <c r="D1980" i="184"/>
  <c r="F15" i="162"/>
  <c r="F202" i="184" s="1"/>
  <c r="E54" i="184"/>
  <c r="E15" i="162"/>
  <c r="E202" i="184" s="1"/>
  <c r="D15" i="162"/>
  <c r="J165" i="184"/>
  <c r="J15" i="162"/>
  <c r="J202" i="184"/>
  <c r="M22" i="162"/>
  <c r="E18" i="162"/>
  <c r="K426" i="184"/>
  <c r="J463" i="184"/>
  <c r="J29" i="162"/>
  <c r="G1209" i="184"/>
  <c r="G56" i="162"/>
  <c r="F56" i="162"/>
  <c r="F1431" i="184" s="1"/>
  <c r="T66" i="162"/>
  <c r="O66" i="162"/>
  <c r="C239" i="191" s="1"/>
  <c r="K356" i="184"/>
  <c r="K18" i="167"/>
  <c r="K245" i="184"/>
  <c r="F504" i="184"/>
  <c r="J727" i="184"/>
  <c r="J31" i="167"/>
  <c r="J690" i="184" s="1"/>
  <c r="K875" i="184"/>
  <c r="K31" i="167"/>
  <c r="K690" i="184" s="1"/>
  <c r="I56" i="167"/>
  <c r="I1435" i="184"/>
  <c r="D1511" i="184"/>
  <c r="E1622" i="184"/>
  <c r="U63" i="167"/>
  <c r="D132" i="191"/>
  <c r="D2007" i="184"/>
  <c r="G2194" i="184"/>
  <c r="G83" i="172"/>
  <c r="G2231" i="184" s="1"/>
  <c r="D38" i="176"/>
  <c r="E66" i="176" s="1"/>
  <c r="AD13" i="231"/>
  <c r="S35" i="229"/>
  <c r="H12" i="215"/>
  <c r="U35" i="220"/>
  <c r="AD34" i="213"/>
  <c r="X33" i="209"/>
  <c r="H2148" i="184"/>
  <c r="D69" i="61"/>
  <c r="F1369" i="184"/>
  <c r="D38" i="106"/>
  <c r="E66" i="106" s="1"/>
  <c r="F1603" i="184"/>
  <c r="G1080" i="184"/>
  <c r="G1608" i="184"/>
  <c r="T62" i="195"/>
  <c r="H118" i="191" s="1"/>
  <c r="O62" i="195"/>
  <c r="C118" i="191"/>
  <c r="I1756" i="184"/>
  <c r="U61" i="162"/>
  <c r="I54" i="191" s="1"/>
  <c r="D54" i="191"/>
  <c r="O64" i="162"/>
  <c r="C165" i="191" s="1"/>
  <c r="T64" i="162"/>
  <c r="X64" i="162" s="1"/>
  <c r="L165" i="191" s="1"/>
  <c r="E1692" i="184"/>
  <c r="O65" i="162"/>
  <c r="T65" i="162"/>
  <c r="E2027" i="184"/>
  <c r="M76" i="162"/>
  <c r="D1770" i="184"/>
  <c r="K42" i="162"/>
  <c r="Y21" i="209"/>
  <c r="R22" i="212"/>
  <c r="T23" i="229"/>
  <c r="I23" i="215"/>
  <c r="R21" i="212"/>
  <c r="V23" i="220"/>
  <c r="V22" i="214"/>
  <c r="F1887" i="184"/>
  <c r="D46" i="76"/>
  <c r="G2145" i="184"/>
  <c r="G83" i="132"/>
  <c r="G2219" i="184"/>
  <c r="E1562" i="184"/>
  <c r="L115" i="13"/>
  <c r="T67" i="167"/>
  <c r="D2134" i="184"/>
  <c r="S27" i="212"/>
  <c r="F1731" i="184"/>
  <c r="AE37" i="213"/>
  <c r="D10" i="41"/>
  <c r="R35" i="210"/>
  <c r="F83" i="72"/>
  <c r="F2230" i="184" s="1"/>
  <c r="U61" i="147"/>
  <c r="I72" i="191" s="1"/>
  <c r="G71" i="162"/>
  <c r="G1914" i="184"/>
  <c r="D42" i="15"/>
  <c r="D1531" i="184"/>
  <c r="O60" i="117"/>
  <c r="L1531" i="184"/>
  <c r="L111" i="117"/>
  <c r="Q69" i="117"/>
  <c r="E374" i="191" s="1"/>
  <c r="D37" i="161"/>
  <c r="H2012" i="184"/>
  <c r="D56" i="117"/>
  <c r="D1455" i="184" s="1"/>
  <c r="D1605" i="184"/>
  <c r="D152" i="191"/>
  <c r="W35" i="230"/>
  <c r="J1645" i="184"/>
  <c r="J71" i="195"/>
  <c r="J1941" i="184"/>
  <c r="O63" i="195"/>
  <c r="R63" i="195" s="1"/>
  <c r="F1990" i="184"/>
  <c r="D51" i="161"/>
  <c r="J2140" i="184"/>
  <c r="J83" i="162"/>
  <c r="J2214" i="184" s="1"/>
  <c r="E58" i="184"/>
  <c r="G356" i="184"/>
  <c r="G18" i="167"/>
  <c r="G245" i="184" s="1"/>
  <c r="D430" i="184"/>
  <c r="D29" i="167"/>
  <c r="D652" i="184" s="1"/>
  <c r="H1511" i="184"/>
  <c r="D41" i="166"/>
  <c r="F1696" i="184"/>
  <c r="F78" i="162"/>
  <c r="F2101" i="184"/>
  <c r="D409" i="184"/>
  <c r="M22" i="137"/>
  <c r="G891" i="184"/>
  <c r="F2047" i="184"/>
  <c r="D52" i="136"/>
  <c r="K2160" i="184"/>
  <c r="K83" i="137"/>
  <c r="K2234" i="184"/>
  <c r="D224" i="191"/>
  <c r="J41" i="191"/>
  <c r="X28" i="209"/>
  <c r="T67" i="162"/>
  <c r="H276" i="191" s="1"/>
  <c r="M276" i="191" s="1"/>
  <c r="O67" i="167"/>
  <c r="C280" i="191" s="1"/>
  <c r="Z37" i="209"/>
  <c r="Q13" i="212"/>
  <c r="F70" i="184"/>
  <c r="U35" i="214"/>
  <c r="J1362" i="184"/>
  <c r="F1586" i="184"/>
  <c r="D38" i="131"/>
  <c r="E66" i="131" s="1"/>
  <c r="F37" i="184"/>
  <c r="D10" i="136"/>
  <c r="E74" i="184"/>
  <c r="E15" i="137"/>
  <c r="E222" i="184"/>
  <c r="I335" i="184"/>
  <c r="I18" i="137"/>
  <c r="I261" i="184" s="1"/>
  <c r="F1326" i="184"/>
  <c r="D29" i="141"/>
  <c r="Q69" i="142"/>
  <c r="E356" i="191" s="1"/>
  <c r="F1772" i="184"/>
  <c r="D43" i="141"/>
  <c r="J2033" i="184"/>
  <c r="D35" i="184"/>
  <c r="T35" i="229"/>
  <c r="F2078" i="184"/>
  <c r="D53" i="202"/>
  <c r="D77" i="191"/>
  <c r="U61" i="112"/>
  <c r="I77" i="191"/>
  <c r="E2163" i="184"/>
  <c r="E83" i="112"/>
  <c r="E2237" i="184"/>
  <c r="L2163" i="184"/>
  <c r="L83" i="112"/>
  <c r="L2237" i="184" s="1"/>
  <c r="E189" i="184"/>
  <c r="L302" i="184"/>
  <c r="J376" i="184"/>
  <c r="J18" i="117"/>
  <c r="J265" i="184" s="1"/>
  <c r="H450" i="184"/>
  <c r="H18" i="117"/>
  <c r="H265" i="184" s="1"/>
  <c r="J870" i="184"/>
  <c r="E1681" i="184"/>
  <c r="T64" i="157"/>
  <c r="H191" i="191" s="1"/>
  <c r="D302" i="191"/>
  <c r="U67" i="157"/>
  <c r="I302" i="191" s="1"/>
  <c r="I81" i="184"/>
  <c r="D379" i="184"/>
  <c r="H278" i="184"/>
  <c r="H18" i="162"/>
  <c r="H241" i="184" s="1"/>
  <c r="M19" i="162"/>
  <c r="F43" i="231"/>
  <c r="F315" i="184"/>
  <c r="F18" i="162"/>
  <c r="F241" i="184" s="1"/>
  <c r="H451" i="184"/>
  <c r="E562" i="184"/>
  <c r="E29" i="122"/>
  <c r="E673" i="184" s="1"/>
  <c r="G950" i="184"/>
  <c r="F1904" i="184"/>
  <c r="D46" i="194"/>
  <c r="G2091" i="184"/>
  <c r="G78" i="195"/>
  <c r="G2128" i="184" s="1"/>
  <c r="D50" i="171"/>
  <c r="F1970" i="184"/>
  <c r="V35" i="220"/>
  <c r="F1977" i="184"/>
  <c r="D50" i="116"/>
  <c r="E2014" i="184"/>
  <c r="L2051" i="184"/>
  <c r="L78" i="117"/>
  <c r="L2125" i="184" s="1"/>
  <c r="K2088" i="184"/>
  <c r="F42" i="184"/>
  <c r="D10" i="121"/>
  <c r="F1828" i="184"/>
  <c r="D66" i="121"/>
  <c r="J11" i="184"/>
  <c r="J15" i="152"/>
  <c r="J196" i="184" s="1"/>
  <c r="L346" i="184"/>
  <c r="H1645" i="184"/>
  <c r="D1719" i="184"/>
  <c r="O65" i="195"/>
  <c r="D50" i="194"/>
  <c r="F1980" i="184"/>
  <c r="D2081" i="184"/>
  <c r="M77" i="172"/>
  <c r="B53" i="171" s="1"/>
  <c r="H1605" i="184"/>
  <c r="D51" i="116"/>
  <c r="F2014" i="184"/>
  <c r="J83" i="117"/>
  <c r="J2238" i="184"/>
  <c r="F1271" i="184"/>
  <c r="D27" i="121"/>
  <c r="F133" i="184"/>
  <c r="D13" i="131"/>
  <c r="F1755" i="184"/>
  <c r="J2031" i="184"/>
  <c r="J78" i="167"/>
  <c r="J2105" i="184" s="1"/>
  <c r="L2181" i="184"/>
  <c r="L83" i="167"/>
  <c r="L2218" i="184" s="1"/>
  <c r="G2405" i="184"/>
  <c r="M90" i="167"/>
  <c r="H46" i="215"/>
  <c r="F1507" i="184"/>
  <c r="D36" i="161"/>
  <c r="F1567" i="184"/>
  <c r="F1569" i="184"/>
  <c r="D37" i="121"/>
  <c r="D28" i="156"/>
  <c r="F1309" i="184"/>
  <c r="L29" i="132"/>
  <c r="L653" i="184" s="1"/>
  <c r="K56" i="97"/>
  <c r="K1440" i="184" s="1"/>
  <c r="F1282" i="184"/>
  <c r="D28" i="126"/>
  <c r="D46" i="166"/>
  <c r="F1881" i="184"/>
  <c r="D37" i="171"/>
  <c r="F1561" i="184"/>
  <c r="T65" i="42"/>
  <c r="G83" i="42"/>
  <c r="G2215" i="184" s="1"/>
  <c r="D36" i="111"/>
  <c r="F1530" i="184"/>
  <c r="F1643" i="184"/>
  <c r="D39" i="121"/>
  <c r="F1624" i="184"/>
  <c r="D39" i="141"/>
  <c r="D29" i="203"/>
  <c r="D662" i="184" s="1"/>
  <c r="J83" i="107"/>
  <c r="J2236" i="184" s="1"/>
  <c r="T67" i="87"/>
  <c r="F78" i="112"/>
  <c r="F2124" i="184" s="1"/>
  <c r="D78" i="152"/>
  <c r="D2095" i="184" s="1"/>
  <c r="F15" i="167"/>
  <c r="F206" i="184"/>
  <c r="D83" i="82"/>
  <c r="D2227" i="184" s="1"/>
  <c r="R13" i="210"/>
  <c r="F56" i="147"/>
  <c r="F1449" i="184"/>
  <c r="H55" i="215"/>
  <c r="W20" i="230"/>
  <c r="L113" i="162"/>
  <c r="D83" i="47"/>
  <c r="D2217" i="184" s="1"/>
  <c r="O65" i="102"/>
  <c r="U45" i="220"/>
  <c r="X18" i="209"/>
  <c r="D29" i="176"/>
  <c r="I71" i="177"/>
  <c r="I1933" i="184" s="1"/>
  <c r="D39" i="176"/>
  <c r="Q69" i="177"/>
  <c r="E369" i="191" s="1"/>
  <c r="E184" i="191"/>
  <c r="F1600" i="184"/>
  <c r="D219" i="191"/>
  <c r="L107" i="172"/>
  <c r="T62" i="172"/>
  <c r="H108" i="191" s="1"/>
  <c r="F1187" i="184"/>
  <c r="F1820" i="184"/>
  <c r="D145" i="191"/>
  <c r="B27" i="173"/>
  <c r="M63" i="172"/>
  <c r="B39" i="171" s="1"/>
  <c r="I78" i="172"/>
  <c r="I2118" i="184" s="1"/>
  <c r="L83" i="172"/>
  <c r="L2231" i="184" s="1"/>
  <c r="O62" i="172"/>
  <c r="C108" i="191" s="1"/>
  <c r="F1411" i="184"/>
  <c r="H31" i="157"/>
  <c r="H712" i="184" s="1"/>
  <c r="D15" i="157"/>
  <c r="D228" i="184" s="1"/>
  <c r="E15" i="157"/>
  <c r="F154" i="184"/>
  <c r="D38" i="156"/>
  <c r="E66" i="156" s="1"/>
  <c r="T62" i="157"/>
  <c r="H117" i="191" s="1"/>
  <c r="J42" i="152"/>
  <c r="F31" i="152"/>
  <c r="F680" i="184"/>
  <c r="L71" i="152"/>
  <c r="L1908" i="184" s="1"/>
  <c r="F18" i="152"/>
  <c r="F235" i="184" s="1"/>
  <c r="G83" i="152"/>
  <c r="G2208" i="184" s="1"/>
  <c r="D270" i="191"/>
  <c r="G56" i="152"/>
  <c r="G1425" i="184" s="1"/>
  <c r="H83" i="152"/>
  <c r="H2208" i="184" s="1"/>
  <c r="F29" i="152"/>
  <c r="D18" i="151"/>
  <c r="D122" i="191"/>
  <c r="J56" i="152"/>
  <c r="J1425" i="184" s="1"/>
  <c r="F42" i="152"/>
  <c r="F1087" i="184" s="1"/>
  <c r="T64" i="152"/>
  <c r="J83" i="152"/>
  <c r="J2208" i="184" s="1"/>
  <c r="J18" i="147"/>
  <c r="J259" i="184" s="1"/>
  <c r="I15" i="147"/>
  <c r="I220" i="184" s="1"/>
  <c r="F2195" i="184"/>
  <c r="D35" i="191"/>
  <c r="O66" i="147"/>
  <c r="C257" i="191"/>
  <c r="U60" i="147"/>
  <c r="I35" i="191" s="1"/>
  <c r="U62" i="147"/>
  <c r="I109" i="191" s="1"/>
  <c r="I31" i="147"/>
  <c r="I704" i="184" s="1"/>
  <c r="D2158" i="184"/>
  <c r="F15" i="147"/>
  <c r="I78" i="147"/>
  <c r="I2119" i="184" s="1"/>
  <c r="L107" i="147"/>
  <c r="F2082" i="184"/>
  <c r="F1747" i="184"/>
  <c r="I83" i="147"/>
  <c r="I2232" i="184" s="1"/>
  <c r="G78" i="147"/>
  <c r="G2119" i="184" s="1"/>
  <c r="D183" i="191"/>
  <c r="B23" i="148"/>
  <c r="D83" i="147"/>
  <c r="I18" i="147"/>
  <c r="I259" i="184" s="1"/>
  <c r="J83" i="147"/>
  <c r="J2232" i="184" s="1"/>
  <c r="H15" i="147"/>
  <c r="H220" i="184" s="1"/>
  <c r="F183" i="184"/>
  <c r="F1412" i="184"/>
  <c r="L56" i="142"/>
  <c r="L1437" i="184" s="1"/>
  <c r="F1809" i="184"/>
  <c r="D27" i="141"/>
  <c r="D97" i="191"/>
  <c r="B27" i="143"/>
  <c r="H42" i="142"/>
  <c r="H1099" i="184" s="1"/>
  <c r="F1252" i="184"/>
  <c r="R21" i="210"/>
  <c r="W21" i="230"/>
  <c r="B23" i="143"/>
  <c r="D208" i="191"/>
  <c r="R11" i="210"/>
  <c r="S21" i="229"/>
  <c r="O63" i="142"/>
  <c r="H31" i="142"/>
  <c r="H692" i="184" s="1"/>
  <c r="T62" i="142"/>
  <c r="AD20" i="213"/>
  <c r="E15" i="142"/>
  <c r="E208" i="184" s="1"/>
  <c r="G31" i="142"/>
  <c r="G692" i="184" s="1"/>
  <c r="Z12" i="209"/>
  <c r="D26" i="126"/>
  <c r="D23" i="126"/>
  <c r="D275" i="191"/>
  <c r="Q69" i="127"/>
  <c r="E349" i="191" s="1"/>
  <c r="F1728" i="184"/>
  <c r="B23" i="128"/>
  <c r="D40" i="126"/>
  <c r="B27" i="128"/>
  <c r="G1282" i="184"/>
  <c r="T62" i="127"/>
  <c r="H90" i="191" s="1"/>
  <c r="J83" i="127"/>
  <c r="J2213" i="184" s="1"/>
  <c r="D290" i="191"/>
  <c r="B27" i="204"/>
  <c r="F15" i="203"/>
  <c r="F216" i="184" s="1"/>
  <c r="D10" i="202"/>
  <c r="F18" i="203"/>
  <c r="F255" i="184"/>
  <c r="G56" i="203"/>
  <c r="G1445" i="184" s="1"/>
  <c r="E15" i="203"/>
  <c r="E216" i="184" s="1"/>
  <c r="H31" i="203"/>
  <c r="H700" i="184" s="1"/>
  <c r="L31" i="203"/>
  <c r="L700" i="184" s="1"/>
  <c r="K56" i="203"/>
  <c r="K1445" i="184" s="1"/>
  <c r="E83" i="203"/>
  <c r="E2228" i="184" s="1"/>
  <c r="S30" i="212"/>
  <c r="J31" i="215"/>
  <c r="G42" i="203"/>
  <c r="G1107" i="184"/>
  <c r="Z45" i="209"/>
  <c r="O61" i="199"/>
  <c r="T61" i="199"/>
  <c r="H65" i="191" s="1"/>
  <c r="K15" i="199"/>
  <c r="K213" i="184"/>
  <c r="U62" i="199"/>
  <c r="I102" i="191" s="1"/>
  <c r="E176" i="191"/>
  <c r="O64" i="199"/>
  <c r="K83" i="199"/>
  <c r="K2225" i="184" s="1"/>
  <c r="R65" i="102"/>
  <c r="H23" i="216" s="1"/>
  <c r="C217" i="191"/>
  <c r="D441" i="184"/>
  <c r="T65" i="102"/>
  <c r="D37" i="101"/>
  <c r="D40" i="101"/>
  <c r="F56" i="102"/>
  <c r="F1446" i="184" s="1"/>
  <c r="W44" i="230"/>
  <c r="D291" i="191"/>
  <c r="J78" i="102"/>
  <c r="J2116" i="184"/>
  <c r="E1335" i="184"/>
  <c r="O63" i="102"/>
  <c r="C143" i="191" s="1"/>
  <c r="AD43" i="213"/>
  <c r="K32" i="191"/>
  <c r="T60" i="102"/>
  <c r="X60" i="102" s="1"/>
  <c r="L32" i="191" s="1"/>
  <c r="U43" i="214"/>
  <c r="D29" i="101"/>
  <c r="H83" i="102"/>
  <c r="H2229" i="184" s="1"/>
  <c r="D180" i="191"/>
  <c r="H29" i="215"/>
  <c r="K78" i="102"/>
  <c r="K2116" i="184" s="1"/>
  <c r="D32" i="191"/>
  <c r="O60" i="102"/>
  <c r="C32" i="191" s="1"/>
  <c r="V43" i="214"/>
  <c r="R44" i="210"/>
  <c r="U44" i="229"/>
  <c r="F1516" i="184"/>
  <c r="T62" i="97"/>
  <c r="J18" i="97"/>
  <c r="J250" i="184"/>
  <c r="D45" i="96"/>
  <c r="L42" i="97"/>
  <c r="L1102" i="184"/>
  <c r="F83" i="97"/>
  <c r="F2223" i="184" s="1"/>
  <c r="H31" i="97"/>
  <c r="H695" i="184"/>
  <c r="O64" i="97"/>
  <c r="T67" i="97"/>
  <c r="H285" i="191" s="1"/>
  <c r="H18" i="97"/>
  <c r="H250" i="184" s="1"/>
  <c r="M88" i="97"/>
  <c r="AN75" i="218"/>
  <c r="K15" i="97"/>
  <c r="K211" i="184" s="1"/>
  <c r="K1292" i="184"/>
  <c r="M76" i="97"/>
  <c r="B52" i="96" s="1"/>
  <c r="F52" i="96" s="1"/>
  <c r="T63" i="97"/>
  <c r="H78" i="97"/>
  <c r="H2110" i="184" s="1"/>
  <c r="B23" i="98"/>
  <c r="H29" i="97"/>
  <c r="H657" i="184" s="1"/>
  <c r="J56" i="97"/>
  <c r="J1440" i="184" s="1"/>
  <c r="B27" i="98"/>
  <c r="J1329" i="184"/>
  <c r="J31" i="97"/>
  <c r="J695" i="184" s="1"/>
  <c r="F1348" i="184"/>
  <c r="G31" i="92"/>
  <c r="G714" i="184" s="1"/>
  <c r="I18" i="92"/>
  <c r="I269" i="184" s="1"/>
  <c r="O65" i="92"/>
  <c r="U61" i="92"/>
  <c r="I82" i="191" s="1"/>
  <c r="Q69" i="92"/>
  <c r="E378" i="191" s="1"/>
  <c r="G78" i="92"/>
  <c r="G2129" i="184" s="1"/>
  <c r="B27" i="93"/>
  <c r="T65" i="92"/>
  <c r="F45" i="184"/>
  <c r="D45" i="191"/>
  <c r="Q26" i="212"/>
  <c r="F2205" i="184"/>
  <c r="F1646" i="184"/>
  <c r="M91" i="92"/>
  <c r="E899" i="184"/>
  <c r="R33" i="210"/>
  <c r="T64" i="92"/>
  <c r="H193" i="191" s="1"/>
  <c r="D156" i="191"/>
  <c r="X31" i="209"/>
  <c r="F1422" i="184"/>
  <c r="L31" i="92"/>
  <c r="L714" i="184" s="1"/>
  <c r="K15" i="92"/>
  <c r="K230" i="184" s="1"/>
  <c r="E78" i="92"/>
  <c r="E2129" i="184" s="1"/>
  <c r="U33" i="220"/>
  <c r="D267" i="191"/>
  <c r="E193" i="191"/>
  <c r="F1905" i="184"/>
  <c r="AD32" i="213"/>
  <c r="W33" i="230"/>
  <c r="M65" i="92"/>
  <c r="G83" i="87"/>
  <c r="G2221" i="184" s="1"/>
  <c r="AE33" i="213"/>
  <c r="D10" i="86"/>
  <c r="D78" i="87"/>
  <c r="D2108" i="184"/>
  <c r="F2034" i="184"/>
  <c r="D51" i="86"/>
  <c r="Q69" i="87"/>
  <c r="E357" i="191" s="1"/>
  <c r="D50" i="86"/>
  <c r="D26" i="86"/>
  <c r="V34" i="220"/>
  <c r="T65" i="87"/>
  <c r="H209" i="191"/>
  <c r="E172" i="191"/>
  <c r="D15" i="87"/>
  <c r="D209" i="184" s="1"/>
  <c r="D28" i="81"/>
  <c r="D39" i="81"/>
  <c r="K18" i="82"/>
  <c r="K254" i="184"/>
  <c r="F71" i="82"/>
  <c r="F1927" i="184" s="1"/>
  <c r="G42" i="82"/>
  <c r="G1106" i="184" s="1"/>
  <c r="J83" i="82"/>
  <c r="J2227" i="184" s="1"/>
  <c r="H78" i="82"/>
  <c r="H2114" i="184"/>
  <c r="D29" i="81"/>
  <c r="D2153" i="184"/>
  <c r="E178" i="191"/>
  <c r="K29" i="82"/>
  <c r="K661" i="184" s="1"/>
  <c r="D23" i="81"/>
  <c r="D51" i="81"/>
  <c r="I25" i="215"/>
  <c r="S25" i="210"/>
  <c r="D178" i="191"/>
  <c r="G1032" i="184"/>
  <c r="F1517" i="184"/>
  <c r="D15" i="78"/>
  <c r="S23" i="212"/>
  <c r="W38" i="214"/>
  <c r="D26" i="76"/>
  <c r="AD38" i="213"/>
  <c r="D13" i="76"/>
  <c r="L83" i="78"/>
  <c r="L2224" i="184" s="1"/>
  <c r="T64" i="78"/>
  <c r="D11" i="76"/>
  <c r="U38" i="214"/>
  <c r="D27" i="76"/>
  <c r="H83" i="78"/>
  <c r="H2224" i="184" s="1"/>
  <c r="AF38" i="213"/>
  <c r="O64" i="78"/>
  <c r="H24" i="215"/>
  <c r="U39" i="220"/>
  <c r="S39" i="229"/>
  <c r="D13" i="71"/>
  <c r="E15" i="72"/>
  <c r="E218" i="184" s="1"/>
  <c r="D14" i="71"/>
  <c r="D43" i="71"/>
  <c r="F1373" i="184"/>
  <c r="E181" i="191"/>
  <c r="D10" i="71"/>
  <c r="F33" i="184"/>
  <c r="Q69" i="72"/>
  <c r="E366" i="191" s="1"/>
  <c r="Q21" i="212"/>
  <c r="AD22" i="213"/>
  <c r="D19" i="191"/>
  <c r="D167" i="191"/>
  <c r="F1583" i="184"/>
  <c r="D45" i="66"/>
  <c r="F1211" i="184"/>
  <c r="F1509" i="184"/>
  <c r="J83" i="67"/>
  <c r="J2216" i="184"/>
  <c r="S20" i="212"/>
  <c r="Z36" i="209"/>
  <c r="AD37" i="213"/>
  <c r="U38" i="220"/>
  <c r="S38" i="229"/>
  <c r="R38" i="210"/>
  <c r="U37" i="214"/>
  <c r="F56" i="62"/>
  <c r="F1443" i="184" s="1"/>
  <c r="E83" i="62"/>
  <c r="E2226" i="184"/>
  <c r="W38" i="230"/>
  <c r="Q20" i="212"/>
  <c r="T67" i="62"/>
  <c r="H288" i="191" s="1"/>
  <c r="X36" i="209"/>
  <c r="D83" i="62"/>
  <c r="D2226" i="184" s="1"/>
  <c r="F1630" i="184"/>
  <c r="H21" i="215"/>
  <c r="D251" i="191"/>
  <c r="F1258" i="184"/>
  <c r="F1889" i="184"/>
  <c r="R20" i="212"/>
  <c r="I1965" i="184"/>
  <c r="B23" i="58"/>
  <c r="AF23" i="213"/>
  <c r="W24" i="220"/>
  <c r="Y24" i="230"/>
  <c r="T24" i="210"/>
  <c r="J20" i="215"/>
  <c r="D2148" i="184"/>
  <c r="AE23" i="213"/>
  <c r="D45" i="56"/>
  <c r="L83" i="57"/>
  <c r="L2222" i="184" s="1"/>
  <c r="Y22" i="209"/>
  <c r="X24" i="230"/>
  <c r="L115" i="122"/>
  <c r="B27" i="123"/>
  <c r="D15" i="122"/>
  <c r="D227" i="184" s="1"/>
  <c r="Q69" i="122"/>
  <c r="E375" i="191" s="1"/>
  <c r="E31" i="122"/>
  <c r="E711" i="184" s="1"/>
  <c r="L15" i="122"/>
  <c r="L227" i="184" s="1"/>
  <c r="L31" i="122"/>
  <c r="L711" i="184" s="1"/>
  <c r="G83" i="122"/>
  <c r="G2239" i="184" s="1"/>
  <c r="E42" i="122"/>
  <c r="E1118" i="184" s="1"/>
  <c r="G18" i="122"/>
  <c r="G266" i="184" s="1"/>
  <c r="T66" i="122"/>
  <c r="H264" i="191"/>
  <c r="H153" i="191"/>
  <c r="D301" i="191"/>
  <c r="K42" i="122"/>
  <c r="K1118" i="184"/>
  <c r="K83" i="122"/>
  <c r="K2239" i="184" s="1"/>
  <c r="F2202" i="184"/>
  <c r="E190" i="191"/>
  <c r="D83" i="122"/>
  <c r="D2239" i="184" s="1"/>
  <c r="K18" i="122"/>
  <c r="K266" i="184" s="1"/>
  <c r="L42" i="122"/>
  <c r="L1118" i="184" s="1"/>
  <c r="L83" i="122"/>
  <c r="L2239" i="184" s="1"/>
  <c r="H15" i="112"/>
  <c r="H225" i="184" s="1"/>
  <c r="M77" i="112"/>
  <c r="D225" i="191"/>
  <c r="L15" i="112"/>
  <c r="L225" i="184" s="1"/>
  <c r="K42" i="112"/>
  <c r="K1116" i="184"/>
  <c r="T63" i="112"/>
  <c r="H151" i="191" s="1"/>
  <c r="M92" i="112"/>
  <c r="I18" i="112"/>
  <c r="I264" i="184" s="1"/>
  <c r="T65" i="112"/>
  <c r="H225" i="191"/>
  <c r="F1306" i="184"/>
  <c r="E42" i="112"/>
  <c r="E1116" i="184" s="1"/>
  <c r="J78" i="112"/>
  <c r="J2124" i="184"/>
  <c r="F2013" i="184"/>
  <c r="G15" i="112"/>
  <c r="G225" i="184" s="1"/>
  <c r="F1900" i="184"/>
  <c r="E31" i="112"/>
  <c r="E709" i="184" s="1"/>
  <c r="F1752" i="184"/>
  <c r="K31" i="107"/>
  <c r="K708" i="184" s="1"/>
  <c r="F1192" i="184"/>
  <c r="E83" i="107"/>
  <c r="E2236" i="184"/>
  <c r="S31" i="212"/>
  <c r="U66" i="107"/>
  <c r="I18" i="107"/>
  <c r="I263" i="184" s="1"/>
  <c r="Z27" i="209"/>
  <c r="D27" i="106"/>
  <c r="D149" i="191"/>
  <c r="D46" i="51"/>
  <c r="D2161" i="184"/>
  <c r="D57" i="51"/>
  <c r="D59" i="51" s="1"/>
  <c r="F1974" i="184"/>
  <c r="F2161" i="184"/>
  <c r="D37" i="51"/>
  <c r="F2198" i="184"/>
  <c r="D38" i="191"/>
  <c r="D45" i="51"/>
  <c r="F1378" i="184"/>
  <c r="I56" i="52"/>
  <c r="I1452" i="184" s="1"/>
  <c r="E83" i="52"/>
  <c r="E2235" i="184" s="1"/>
  <c r="E15" i="52"/>
  <c r="E223" i="184" s="1"/>
  <c r="J15" i="52"/>
  <c r="J223" i="184" s="1"/>
  <c r="D50" i="46"/>
  <c r="H83" i="47"/>
  <c r="H2217" i="184" s="1"/>
  <c r="T37" i="229"/>
  <c r="D2143" i="184"/>
  <c r="D37" i="46"/>
  <c r="D242" i="191"/>
  <c r="D10" i="46"/>
  <c r="S37" i="210"/>
  <c r="U60" i="36"/>
  <c r="I13" i="191" s="1"/>
  <c r="D39" i="35"/>
  <c r="D13" i="35"/>
  <c r="U62" i="36"/>
  <c r="I87" i="191" s="1"/>
  <c r="D50" i="35"/>
  <c r="H31" i="42"/>
  <c r="H687" i="184" s="1"/>
  <c r="D51" i="41"/>
  <c r="D203" i="191"/>
  <c r="I18" i="42"/>
  <c r="I242" i="184" s="1"/>
  <c r="D42" i="41"/>
  <c r="D50" i="41"/>
  <c r="D92" i="191"/>
  <c r="O67" i="42"/>
  <c r="C277" i="191" s="1"/>
  <c r="Z30" i="209"/>
  <c r="S14" i="212"/>
  <c r="D126" i="191"/>
  <c r="D274" i="191"/>
  <c r="D52" i="191"/>
  <c r="S13" i="212"/>
  <c r="Z33" i="209"/>
  <c r="F2174" i="184"/>
  <c r="D27" i="20"/>
  <c r="D58" i="20"/>
  <c r="F1578" i="184"/>
  <c r="D45" i="20"/>
  <c r="G83" i="21"/>
  <c r="G2211" i="184"/>
  <c r="I83" i="16"/>
  <c r="I2209" i="184" s="1"/>
  <c r="F1872" i="184"/>
  <c r="J11" i="215"/>
  <c r="L29" i="162"/>
  <c r="R30" i="210"/>
  <c r="L578" i="184"/>
  <c r="U30" i="220"/>
  <c r="S30" i="229"/>
  <c r="W30" i="230"/>
  <c r="L579" i="184"/>
  <c r="U60" i="13"/>
  <c r="I10" i="191" s="1"/>
  <c r="Q11" i="212"/>
  <c r="R38" i="212"/>
  <c r="AE38" i="231"/>
  <c r="F1358" i="184"/>
  <c r="D69" i="41"/>
  <c r="F75" i="184"/>
  <c r="D11" i="51"/>
  <c r="D13" i="51"/>
  <c r="F149" i="184"/>
  <c r="H2391" i="184"/>
  <c r="AF33" i="231"/>
  <c r="J36" i="215"/>
  <c r="S33" i="212"/>
  <c r="Z40" i="209"/>
  <c r="D84" i="191"/>
  <c r="U62" i="13"/>
  <c r="F1523" i="184"/>
  <c r="D36" i="71"/>
  <c r="B42" i="161"/>
  <c r="D39" i="15"/>
  <c r="F1613" i="184"/>
  <c r="F572" i="184"/>
  <c r="J1015" i="184"/>
  <c r="F1577" i="184"/>
  <c r="D38" i="35"/>
  <c r="E66" i="35" s="1"/>
  <c r="G1523" i="184"/>
  <c r="D1708" i="184"/>
  <c r="T65" i="72"/>
  <c r="J31" i="184"/>
  <c r="I68" i="184"/>
  <c r="I15" i="203"/>
  <c r="I216" i="184" s="1"/>
  <c r="H1558" i="184"/>
  <c r="K1595" i="184"/>
  <c r="F1632" i="184"/>
  <c r="D39" i="202"/>
  <c r="D1817" i="184"/>
  <c r="D1967" i="184"/>
  <c r="E1576" i="184"/>
  <c r="G1321" i="184"/>
  <c r="G56" i="42"/>
  <c r="G1432" i="184" s="1"/>
  <c r="D1508" i="184"/>
  <c r="D2478" i="184"/>
  <c r="BP45" i="218"/>
  <c r="B39" i="161"/>
  <c r="J1046" i="184"/>
  <c r="E2167" i="184"/>
  <c r="J2317" i="184"/>
  <c r="G2428" i="184"/>
  <c r="AF36" i="231"/>
  <c r="AF41" i="231"/>
  <c r="S36" i="212"/>
  <c r="J51" i="215"/>
  <c r="S41" i="212"/>
  <c r="W15" i="214"/>
  <c r="D1542" i="184"/>
  <c r="D33" i="191"/>
  <c r="I132" i="191"/>
  <c r="I327" i="184"/>
  <c r="I18" i="62"/>
  <c r="I253" i="184" s="1"/>
  <c r="D475" i="184"/>
  <c r="K475" i="184"/>
  <c r="K29" i="62"/>
  <c r="K660" i="184" s="1"/>
  <c r="D36" i="61"/>
  <c r="F1519" i="184"/>
  <c r="O62" i="62"/>
  <c r="C103" i="191" s="1"/>
  <c r="U63" i="62"/>
  <c r="I140" i="191" s="1"/>
  <c r="D140" i="191"/>
  <c r="K2179" i="184"/>
  <c r="K83" i="67"/>
  <c r="K2216" i="184" s="1"/>
  <c r="I442" i="184"/>
  <c r="F590" i="184"/>
  <c r="J924" i="184"/>
  <c r="E998" i="184"/>
  <c r="L2204" i="184"/>
  <c r="L83" i="195"/>
  <c r="L2241" i="184" s="1"/>
  <c r="AF24" i="231"/>
  <c r="Z23" i="209"/>
  <c r="S24" i="212"/>
  <c r="F161" i="184"/>
  <c r="D14" i="35"/>
  <c r="D2043" i="184"/>
  <c r="D78" i="72"/>
  <c r="D2117" i="184" s="1"/>
  <c r="D29" i="2"/>
  <c r="F1313" i="184"/>
  <c r="M1618" i="184"/>
  <c r="I744" i="184"/>
  <c r="G78" i="52"/>
  <c r="G2122" i="184" s="1"/>
  <c r="D51" i="51"/>
  <c r="L29" i="184"/>
  <c r="L15" i="62"/>
  <c r="L214" i="184" s="1"/>
  <c r="E140" i="184"/>
  <c r="E15" i="62"/>
  <c r="E214" i="184" s="1"/>
  <c r="K290" i="184"/>
  <c r="K18" i="62"/>
  <c r="K253" i="184" s="1"/>
  <c r="G56" i="62"/>
  <c r="G1443" i="184"/>
  <c r="D28" i="61"/>
  <c r="F1295" i="184"/>
  <c r="D1583" i="184"/>
  <c r="D887" i="184"/>
  <c r="D31" i="72"/>
  <c r="D702" i="184" s="1"/>
  <c r="L1360" i="184"/>
  <c r="G38" i="184"/>
  <c r="AF15" i="231"/>
  <c r="S15" i="212"/>
  <c r="Z43" i="209"/>
  <c r="AE11" i="231"/>
  <c r="I10" i="215"/>
  <c r="R11" i="212"/>
  <c r="F1969" i="184"/>
  <c r="D50" i="71"/>
  <c r="G20" i="184"/>
  <c r="B27" i="48"/>
  <c r="K2143" i="184"/>
  <c r="F38" i="184"/>
  <c r="D10" i="51"/>
  <c r="F15" i="52"/>
  <c r="F223" i="184" s="1"/>
  <c r="D892" i="184"/>
  <c r="F1602" i="184"/>
  <c r="D38" i="51"/>
  <c r="E66" i="51" s="1"/>
  <c r="D13" i="61"/>
  <c r="F15" i="62"/>
  <c r="F214" i="184" s="1"/>
  <c r="I1396" i="184"/>
  <c r="F1879" i="184"/>
  <c r="M2560" i="184"/>
  <c r="L107" i="132"/>
  <c r="K37" i="184"/>
  <c r="H185" i="184"/>
  <c r="G298" i="184"/>
  <c r="G18" i="137"/>
  <c r="G261" i="184" s="1"/>
  <c r="D2082" i="184"/>
  <c r="AE39" i="231"/>
  <c r="Y25" i="209"/>
  <c r="R39" i="212"/>
  <c r="X27" i="230"/>
  <c r="I46" i="215"/>
  <c r="V27" i="220"/>
  <c r="S27" i="210"/>
  <c r="T27" i="229"/>
  <c r="AE26" i="213"/>
  <c r="H2091" i="184"/>
  <c r="T36" i="210"/>
  <c r="AF16" i="231"/>
  <c r="W35" i="214"/>
  <c r="S16" i="212"/>
  <c r="AF34" i="231"/>
  <c r="Z41" i="209"/>
  <c r="S34" i="212"/>
  <c r="AF42" i="231"/>
  <c r="AF44" i="231"/>
  <c r="S42" i="212"/>
  <c r="W45" i="214"/>
  <c r="Z46" i="209"/>
  <c r="D162" i="191"/>
  <c r="B23" i="103"/>
  <c r="F1202" i="184"/>
  <c r="O64" i="52"/>
  <c r="C186" i="191" s="1"/>
  <c r="L56" i="92"/>
  <c r="L1459" i="184"/>
  <c r="L115" i="16"/>
  <c r="D46" i="25"/>
  <c r="D336" i="184"/>
  <c r="F1328" i="184"/>
  <c r="D29" i="56"/>
  <c r="D1626" i="184"/>
  <c r="T63" i="57"/>
  <c r="H136" i="191" s="1"/>
  <c r="L836" i="184"/>
  <c r="D50" i="66"/>
  <c r="F1955" i="184"/>
  <c r="D2029" i="184"/>
  <c r="F1597" i="184"/>
  <c r="D38" i="71"/>
  <c r="E66" i="71"/>
  <c r="I439" i="184"/>
  <c r="J1966" i="184"/>
  <c r="J78" i="82"/>
  <c r="J2114" i="184" s="1"/>
  <c r="D53" i="81"/>
  <c r="F78" i="82"/>
  <c r="F2114" i="184" s="1"/>
  <c r="D322" i="184"/>
  <c r="J989" i="184"/>
  <c r="G1997" i="184"/>
  <c r="G78" i="87"/>
  <c r="G2108" i="184"/>
  <c r="E82" i="184"/>
  <c r="E15" i="92"/>
  <c r="E230" i="184" s="1"/>
  <c r="J343" i="184"/>
  <c r="J18" i="92"/>
  <c r="J269" i="184" s="1"/>
  <c r="I380" i="184"/>
  <c r="L491" i="184"/>
  <c r="L29" i="92"/>
  <c r="L676" i="184"/>
  <c r="G936" i="184"/>
  <c r="G42" i="92"/>
  <c r="E1010" i="184"/>
  <c r="E42" i="92"/>
  <c r="E1121" i="184" s="1"/>
  <c r="G1757" i="184"/>
  <c r="T66" i="92"/>
  <c r="H267" i="191" s="1"/>
  <c r="J1794" i="184"/>
  <c r="L287" i="184"/>
  <c r="L18" i="97"/>
  <c r="L250" i="184" s="1"/>
  <c r="F472" i="184"/>
  <c r="L843" i="184"/>
  <c r="K880" i="184"/>
  <c r="J917" i="184"/>
  <c r="J42" i="97"/>
  <c r="J1102" i="184" s="1"/>
  <c r="I954" i="184"/>
  <c r="H991" i="184"/>
  <c r="H42" i="97"/>
  <c r="H1102" i="184" s="1"/>
  <c r="G1028" i="184"/>
  <c r="F190" i="184"/>
  <c r="G1518" i="184"/>
  <c r="D1592" i="184"/>
  <c r="G1629" i="184"/>
  <c r="D50" i="198"/>
  <c r="F1964" i="184"/>
  <c r="L2038" i="184"/>
  <c r="L78" i="199"/>
  <c r="L2112" i="184"/>
  <c r="I2182" i="184"/>
  <c r="I83" i="132"/>
  <c r="I2219" i="184" s="1"/>
  <c r="G2332" i="184"/>
  <c r="D38" i="146"/>
  <c r="E66" i="146"/>
  <c r="F1599" i="184"/>
  <c r="D1784" i="184"/>
  <c r="H925" i="184"/>
  <c r="L962" i="184"/>
  <c r="D1857" i="184"/>
  <c r="J1894" i="184"/>
  <c r="G1970" i="184"/>
  <c r="E2007" i="184"/>
  <c r="E78" i="172"/>
  <c r="E2118" i="184" s="1"/>
  <c r="F2194" i="184"/>
  <c r="J2381" i="184"/>
  <c r="AD45" i="231"/>
  <c r="S26" i="229"/>
  <c r="J334" i="184"/>
  <c r="H408" i="184"/>
  <c r="H18" i="177"/>
  <c r="H260" i="184" s="1"/>
  <c r="D556" i="184"/>
  <c r="J630" i="184"/>
  <c r="F1038" i="184"/>
  <c r="E1339" i="184"/>
  <c r="D1376" i="184"/>
  <c r="H317" i="184"/>
  <c r="L365" i="184"/>
  <c r="L18" i="82"/>
  <c r="L254" i="184" s="1"/>
  <c r="D773" i="184"/>
  <c r="D31" i="82"/>
  <c r="D699" i="184" s="1"/>
  <c r="F730" i="184"/>
  <c r="D862" i="184"/>
  <c r="H936" i="184"/>
  <c r="F997" i="184"/>
  <c r="F1707" i="184"/>
  <c r="D41" i="101"/>
  <c r="D1580" i="184"/>
  <c r="O62" i="127"/>
  <c r="C90" i="191" s="1"/>
  <c r="I1623" i="184"/>
  <c r="Y30" i="230"/>
  <c r="AF11" i="231"/>
  <c r="W30" i="220"/>
  <c r="AF29" i="213"/>
  <c r="D283" i="191"/>
  <c r="D62" i="191"/>
  <c r="B23" i="88"/>
  <c r="S11" i="212"/>
  <c r="F140" i="184"/>
  <c r="D51" i="20"/>
  <c r="K15" i="112"/>
  <c r="K225" i="184" s="1"/>
  <c r="D10" i="20"/>
  <c r="F14" i="184"/>
  <c r="AD16" i="213"/>
  <c r="G2035" i="184"/>
  <c r="K2148" i="184"/>
  <c r="K83" i="57"/>
  <c r="K2222" i="184"/>
  <c r="K167" i="184"/>
  <c r="L1293" i="184"/>
  <c r="F1702" i="184"/>
  <c r="D41" i="76"/>
  <c r="D1776" i="184"/>
  <c r="T67" i="78"/>
  <c r="H286" i="191" s="1"/>
  <c r="H1963" i="184"/>
  <c r="H78" i="78"/>
  <c r="H2111" i="184" s="1"/>
  <c r="D53" i="91"/>
  <c r="F2092" i="184"/>
  <c r="L2168" i="184"/>
  <c r="L83" i="92"/>
  <c r="L2242" i="184" s="1"/>
  <c r="K2205" i="184"/>
  <c r="K83" i="92"/>
  <c r="K2242" i="184" s="1"/>
  <c r="H2392" i="184"/>
  <c r="D2503" i="184"/>
  <c r="G26" i="184"/>
  <c r="G633" i="184"/>
  <c r="J782" i="184"/>
  <c r="G856" i="184"/>
  <c r="D26" i="106"/>
  <c r="F1231" i="184"/>
  <c r="I1379" i="184"/>
  <c r="G1751" i="184"/>
  <c r="J1788" i="184"/>
  <c r="I1641" i="184"/>
  <c r="O64" i="112"/>
  <c r="T64" i="112"/>
  <c r="E1715" i="184"/>
  <c r="O65" i="112"/>
  <c r="C225" i="191" s="1"/>
  <c r="I1900" i="184"/>
  <c r="E2087" i="184"/>
  <c r="E78" i="112"/>
  <c r="E2124" i="184" s="1"/>
  <c r="G2164" i="184"/>
  <c r="D58" i="116"/>
  <c r="F2201" i="184"/>
  <c r="G2462" i="184"/>
  <c r="I79" i="184"/>
  <c r="H340" i="184"/>
  <c r="D722" i="184"/>
  <c r="G981" i="184"/>
  <c r="L1319" i="184"/>
  <c r="J987" i="184"/>
  <c r="D31" i="131"/>
  <c r="F1399" i="184"/>
  <c r="T64" i="132"/>
  <c r="F81" i="184"/>
  <c r="D11" i="194"/>
  <c r="K305" i="184"/>
  <c r="G760" i="184"/>
  <c r="G31" i="162"/>
  <c r="G686" i="184" s="1"/>
  <c r="M33" i="162"/>
  <c r="L797" i="184"/>
  <c r="L105" i="162"/>
  <c r="L31" i="162"/>
  <c r="L686" i="184"/>
  <c r="D1394" i="184"/>
  <c r="D56" i="162"/>
  <c r="D38" i="161"/>
  <c r="E66" i="161" s="1"/>
  <c r="F1581" i="184"/>
  <c r="M62" i="162"/>
  <c r="U62" i="162"/>
  <c r="I91" i="191"/>
  <c r="P69" i="162"/>
  <c r="D350" i="191" s="1"/>
  <c r="I1655" i="184"/>
  <c r="M64" i="162"/>
  <c r="K1692" i="184"/>
  <c r="I1766" i="184"/>
  <c r="M67" i="162"/>
  <c r="D1803" i="184"/>
  <c r="M68" i="162"/>
  <c r="B44" i="161" s="1"/>
  <c r="M69" i="162"/>
  <c r="BP51" i="218" s="1"/>
  <c r="D46" i="161"/>
  <c r="F1877" i="184"/>
  <c r="M70" i="162"/>
  <c r="B46" i="161" s="1"/>
  <c r="E1953" i="184"/>
  <c r="M74" i="162"/>
  <c r="L1953" i="184"/>
  <c r="L78" i="162"/>
  <c r="L2101" i="184" s="1"/>
  <c r="K1990" i="184"/>
  <c r="K78" i="162"/>
  <c r="K2101" i="184" s="1"/>
  <c r="M75" i="162"/>
  <c r="J2027" i="184"/>
  <c r="J78" i="162"/>
  <c r="I2064" i="184"/>
  <c r="M77" i="162"/>
  <c r="B53" i="161"/>
  <c r="I78" i="162"/>
  <c r="I2101" i="184" s="1"/>
  <c r="G2140" i="184"/>
  <c r="G83" i="162"/>
  <c r="G2214" i="184" s="1"/>
  <c r="M81" i="162"/>
  <c r="F2177" i="184"/>
  <c r="D58" i="161"/>
  <c r="M82" i="162"/>
  <c r="H578" i="184"/>
  <c r="H615" i="184"/>
  <c r="G727" i="184"/>
  <c r="D764" i="184"/>
  <c r="D31" i="167"/>
  <c r="D690" i="184" s="1"/>
  <c r="F517" i="184"/>
  <c r="D554" i="184"/>
  <c r="K29" i="172"/>
  <c r="K665" i="184" s="1"/>
  <c r="J740" i="184"/>
  <c r="H1027" i="184"/>
  <c r="F1365" i="184"/>
  <c r="D69" i="56"/>
  <c r="D52" i="61"/>
  <c r="F2039" i="184"/>
  <c r="D58" i="76"/>
  <c r="D59" i="76"/>
  <c r="F83" i="78"/>
  <c r="F2224" i="184" s="1"/>
  <c r="G841" i="184"/>
  <c r="G1773" i="184"/>
  <c r="O67" i="87"/>
  <c r="C283" i="191" s="1"/>
  <c r="D2482" i="184"/>
  <c r="D11" i="91"/>
  <c r="F15" i="92"/>
  <c r="F230" i="184" s="1"/>
  <c r="K862" i="184"/>
  <c r="K31" i="92"/>
  <c r="K714" i="184" s="1"/>
  <c r="D1572" i="184"/>
  <c r="D31" i="97"/>
  <c r="D1071" i="184"/>
  <c r="L1372" i="184"/>
  <c r="D52" i="106"/>
  <c r="D53" i="106"/>
  <c r="H2200" i="184"/>
  <c r="H83" i="112"/>
  <c r="H2237" i="184"/>
  <c r="H944" i="184"/>
  <c r="G1734" i="184"/>
  <c r="U13" i="229"/>
  <c r="AF27" i="231"/>
  <c r="W13" i="220"/>
  <c r="J28" i="215"/>
  <c r="W12" i="214"/>
  <c r="AF12" i="213"/>
  <c r="Z11" i="209"/>
  <c r="AF29" i="231"/>
  <c r="S29" i="212"/>
  <c r="Z28" i="209"/>
  <c r="Z34" i="209"/>
  <c r="D38" i="101"/>
  <c r="E66" i="101" s="1"/>
  <c r="H56" i="92"/>
  <c r="H1459" i="184" s="1"/>
  <c r="D11" i="35"/>
  <c r="F50" i="184"/>
  <c r="I2178" i="184"/>
  <c r="G1341" i="184"/>
  <c r="J1811" i="184"/>
  <c r="D1519" i="184"/>
  <c r="F56" i="97"/>
  <c r="F1440" i="184" s="1"/>
  <c r="F1218" i="184"/>
  <c r="O60" i="97"/>
  <c r="C26" i="191" s="1"/>
  <c r="E1738" i="184"/>
  <c r="T66" i="97"/>
  <c r="H248" i="191" s="1"/>
  <c r="L2149" i="184"/>
  <c r="L83" i="97"/>
  <c r="L2223" i="184"/>
  <c r="K2186" i="184"/>
  <c r="M90" i="97"/>
  <c r="M2410" i="184" s="1"/>
  <c r="E143" i="184"/>
  <c r="G367" i="184"/>
  <c r="G18" i="102"/>
  <c r="G256" i="184" s="1"/>
  <c r="E441" i="184"/>
  <c r="G812" i="184"/>
  <c r="K886" i="184"/>
  <c r="K31" i="102"/>
  <c r="K701" i="184"/>
  <c r="L111" i="102"/>
  <c r="Q69" i="102"/>
  <c r="E365" i="191" s="1"/>
  <c r="L111" i="203"/>
  <c r="I1967" i="184"/>
  <c r="L110" i="112"/>
  <c r="M2579" i="184"/>
  <c r="L107" i="117"/>
  <c r="T61" i="157"/>
  <c r="H80" i="191" s="1"/>
  <c r="K1755" i="184"/>
  <c r="K1979" i="184"/>
  <c r="M74" i="157"/>
  <c r="J2016" i="184"/>
  <c r="I2053" i="184"/>
  <c r="I78" i="157"/>
  <c r="I2127" i="184" s="1"/>
  <c r="D2203" i="184"/>
  <c r="D83" i="157"/>
  <c r="D2240" i="184"/>
  <c r="I1761" i="184"/>
  <c r="L1541" i="184"/>
  <c r="D10" i="25"/>
  <c r="F15" i="184"/>
  <c r="K55" i="184"/>
  <c r="F878" i="184"/>
  <c r="D1385" i="184"/>
  <c r="D41" i="91"/>
  <c r="F1720" i="184"/>
  <c r="D2049" i="184"/>
  <c r="J301" i="184"/>
  <c r="J18" i="112"/>
  <c r="J264" i="184" s="1"/>
  <c r="F981" i="184"/>
  <c r="W40" i="220"/>
  <c r="S18" i="212"/>
  <c r="Y20" i="230"/>
  <c r="J55" i="215"/>
  <c r="T20" i="210"/>
  <c r="Z18" i="209"/>
  <c r="W19" i="214"/>
  <c r="D223" i="191"/>
  <c r="F1759" i="184"/>
  <c r="K83" i="82"/>
  <c r="K2227" i="184" s="1"/>
  <c r="M20" i="112"/>
  <c r="E2135" i="184"/>
  <c r="E83" i="16"/>
  <c r="E2209" i="184" s="1"/>
  <c r="D275" i="184"/>
  <c r="D41" i="25"/>
  <c r="F1690" i="184"/>
  <c r="D40" i="41"/>
  <c r="E2067" i="184"/>
  <c r="K186" i="184"/>
  <c r="G1898" i="184"/>
  <c r="L438" i="184"/>
  <c r="D26" i="61"/>
  <c r="F1221" i="184"/>
  <c r="K2189" i="184"/>
  <c r="K83" i="62"/>
  <c r="K2226" i="184" s="1"/>
  <c r="G2376" i="184"/>
  <c r="G19" i="184"/>
  <c r="E1523" i="184"/>
  <c r="F31" i="78"/>
  <c r="F696" i="184" s="1"/>
  <c r="D40" i="76"/>
  <c r="L111" i="78"/>
  <c r="Q69" i="78"/>
  <c r="E360" i="191" s="1"/>
  <c r="V26" i="214"/>
  <c r="D13" i="202"/>
  <c r="F142" i="184"/>
  <c r="D29" i="202"/>
  <c r="F1334" i="184"/>
  <c r="D1632" i="184"/>
  <c r="T63" i="203"/>
  <c r="D23" i="121"/>
  <c r="F1195" i="184"/>
  <c r="D27" i="131"/>
  <c r="F1251" i="184"/>
  <c r="D28" i="146"/>
  <c r="F1301" i="184"/>
  <c r="I834" i="184"/>
  <c r="M35" i="162"/>
  <c r="U43" i="231" s="1"/>
  <c r="I319" i="184"/>
  <c r="F727" i="184"/>
  <c r="J801" i="184"/>
  <c r="E912" i="184"/>
  <c r="E42" i="167"/>
  <c r="G443" i="184"/>
  <c r="J888" i="184"/>
  <c r="J31" i="172"/>
  <c r="J703" i="184" s="1"/>
  <c r="D86" i="191"/>
  <c r="D27" i="198"/>
  <c r="F2051" i="184"/>
  <c r="D52" i="116"/>
  <c r="E463" i="184"/>
  <c r="E29" i="162"/>
  <c r="H1283" i="184"/>
  <c r="H56" i="162"/>
  <c r="H1431" i="184"/>
  <c r="F1357" i="184"/>
  <c r="D69" i="161"/>
  <c r="K29" i="167"/>
  <c r="K652" i="184" s="1"/>
  <c r="L1709" i="184"/>
  <c r="D1820" i="184"/>
  <c r="L2046" i="184"/>
  <c r="AE46" i="231"/>
  <c r="I57" i="215"/>
  <c r="F1529" i="184"/>
  <c r="M2578" i="184"/>
  <c r="L107" i="112"/>
  <c r="F1749" i="184"/>
  <c r="D42" i="136"/>
  <c r="D356" i="184"/>
  <c r="D18" i="167"/>
  <c r="D245" i="184" s="1"/>
  <c r="G29" i="167"/>
  <c r="G652" i="184" s="1"/>
  <c r="D27" i="166"/>
  <c r="F1250" i="184"/>
  <c r="E2144" i="184"/>
  <c r="E83" i="167"/>
  <c r="E2218" i="184"/>
  <c r="T25" i="229"/>
  <c r="AE24" i="231"/>
  <c r="F1297" i="184"/>
  <c r="F1408" i="184"/>
  <c r="D31" i="202"/>
  <c r="D52" i="146"/>
  <c r="F2045" i="184"/>
  <c r="F1793" i="184"/>
  <c r="D43" i="194"/>
  <c r="D51" i="176"/>
  <c r="F2009" i="184"/>
  <c r="AD46" i="231"/>
  <c r="AD27" i="213"/>
  <c r="V37" i="220"/>
  <c r="AE17" i="231"/>
  <c r="F1715" i="184"/>
  <c r="D53" i="111"/>
  <c r="F1531" i="184"/>
  <c r="D36" i="116"/>
  <c r="F1164" i="184"/>
  <c r="F1310" i="184"/>
  <c r="D28" i="194"/>
  <c r="D28" i="166"/>
  <c r="F1287" i="184"/>
  <c r="S23" i="229"/>
  <c r="AD21" i="231"/>
  <c r="AD22" i="231"/>
  <c r="D40" i="111"/>
  <c r="F1377" i="184"/>
  <c r="D69" i="136"/>
  <c r="F1786" i="184"/>
  <c r="D43" i="136"/>
  <c r="D58" i="136"/>
  <c r="F2197" i="184"/>
  <c r="F1215" i="184"/>
  <c r="D26" i="141"/>
  <c r="D45" i="161"/>
  <c r="X29" i="209"/>
  <c r="AD12" i="231"/>
  <c r="AE14" i="231"/>
  <c r="X23" i="230"/>
  <c r="AE22" i="231"/>
  <c r="AE21" i="231"/>
  <c r="D40" i="121"/>
  <c r="F1791" i="184"/>
  <c r="D43" i="121"/>
  <c r="D10" i="194"/>
  <c r="F44" i="184"/>
  <c r="L112" i="162"/>
  <c r="F71" i="162"/>
  <c r="D58" i="166"/>
  <c r="F2181" i="184"/>
  <c r="J15" i="203"/>
  <c r="J216" i="184" s="1"/>
  <c r="D31" i="166"/>
  <c r="F1398" i="184"/>
  <c r="D52" i="166"/>
  <c r="F2031" i="184"/>
  <c r="D43" i="171"/>
  <c r="F1783" i="184"/>
  <c r="AE45" i="231"/>
  <c r="Y24" i="209"/>
  <c r="D36" i="166"/>
  <c r="F1511" i="184"/>
  <c r="M61" i="92"/>
  <c r="L42" i="102"/>
  <c r="L1108" i="184" s="1"/>
  <c r="I42" i="203"/>
  <c r="I1107" i="184" s="1"/>
  <c r="T65" i="203"/>
  <c r="H216" i="191" s="1"/>
  <c r="F83" i="203"/>
  <c r="F2228" i="184" s="1"/>
  <c r="V47" i="220"/>
  <c r="AE30" i="231"/>
  <c r="W41" i="230"/>
  <c r="AD32" i="231"/>
  <c r="I31" i="117"/>
  <c r="I710" i="184" s="1"/>
  <c r="R19" i="210"/>
  <c r="AD37" i="231"/>
  <c r="U41" i="229"/>
  <c r="AF32" i="231"/>
  <c r="U31" i="229"/>
  <c r="AF12" i="231"/>
  <c r="U24" i="229"/>
  <c r="AF19" i="231"/>
  <c r="W19" i="220"/>
  <c r="AF37" i="231"/>
  <c r="U26" i="229"/>
  <c r="AF45" i="231"/>
  <c r="AE36" i="231"/>
  <c r="AD44" i="231"/>
  <c r="AD42" i="231"/>
  <c r="AF25" i="213"/>
  <c r="W23" i="214"/>
  <c r="Y26" i="230"/>
  <c r="T31" i="210"/>
  <c r="T61" i="127"/>
  <c r="H53" i="191"/>
  <c r="W25" i="214"/>
  <c r="AF30" i="213"/>
  <c r="T26" i="210"/>
  <c r="U39" i="229"/>
  <c r="AF23" i="231"/>
  <c r="D23" i="2"/>
  <c r="F1163" i="184"/>
  <c r="H2136" i="184"/>
  <c r="L985" i="184"/>
  <c r="I17" i="215"/>
  <c r="V39" i="214"/>
  <c r="R18" i="212"/>
  <c r="Y38" i="209"/>
  <c r="G1741" i="184"/>
  <c r="O66" i="62"/>
  <c r="C251" i="191" s="1"/>
  <c r="T66" i="62"/>
  <c r="H251" i="191"/>
  <c r="J993" i="184"/>
  <c r="I357" i="184"/>
  <c r="E505" i="184"/>
  <c r="I913" i="184"/>
  <c r="D1325" i="184"/>
  <c r="T66" i="142"/>
  <c r="X66" i="142" s="1"/>
  <c r="L245" i="191" s="1"/>
  <c r="G1772" i="184"/>
  <c r="J1809" i="184"/>
  <c r="D1996" i="184"/>
  <c r="K1996" i="184"/>
  <c r="K78" i="142"/>
  <c r="K2107" i="184"/>
  <c r="E2146" i="184"/>
  <c r="E83" i="142"/>
  <c r="E2220" i="184" s="1"/>
  <c r="K333" i="184"/>
  <c r="K18" i="147"/>
  <c r="K259" i="184" s="1"/>
  <c r="L444" i="184"/>
  <c r="I629" i="184"/>
  <c r="K1636" i="184"/>
  <c r="Q69" i="147"/>
  <c r="E368" i="191" s="1"/>
  <c r="L111" i="147"/>
  <c r="L15" i="97"/>
  <c r="L211" i="184" s="1"/>
  <c r="J42" i="203"/>
  <c r="J1107" i="184" s="1"/>
  <c r="E485" i="184"/>
  <c r="J1529" i="184"/>
  <c r="E2049" i="184"/>
  <c r="J277" i="184"/>
  <c r="I1076" i="184"/>
  <c r="L1303" i="184"/>
  <c r="K134" i="184"/>
  <c r="K15" i="142"/>
  <c r="K208" i="184"/>
  <c r="G358" i="184"/>
  <c r="G18" i="142"/>
  <c r="G247" i="184" s="1"/>
  <c r="E36" i="184"/>
  <c r="K73" i="184"/>
  <c r="E371" i="184"/>
  <c r="B23" i="225"/>
  <c r="L122" i="224"/>
  <c r="U62" i="52"/>
  <c r="I112" i="191" s="1"/>
  <c r="D112" i="191"/>
  <c r="H2039" i="184"/>
  <c r="D15" i="199"/>
  <c r="D213" i="184"/>
  <c r="K363" i="184"/>
  <c r="L919" i="184"/>
  <c r="J499" i="184"/>
  <c r="K283" i="184"/>
  <c r="K18" i="132"/>
  <c r="K246" i="184"/>
  <c r="K1061" i="184"/>
  <c r="K2182" i="184"/>
  <c r="K83" i="132"/>
  <c r="K2219" i="184" s="1"/>
  <c r="D2183" i="184"/>
  <c r="D444" i="184"/>
  <c r="D18" i="147"/>
  <c r="D40" i="146"/>
  <c r="D2383" i="184"/>
  <c r="T60" i="36"/>
  <c r="G1503" i="184"/>
  <c r="I1422" i="184"/>
  <c r="I56" i="92"/>
  <c r="I1459" i="184" s="1"/>
  <c r="D174" i="184"/>
  <c r="D15" i="97"/>
  <c r="D211" i="184" s="1"/>
  <c r="H589" i="184"/>
  <c r="H29" i="102"/>
  <c r="H663" i="184" s="1"/>
  <c r="L812" i="184"/>
  <c r="K1034" i="184"/>
  <c r="U66" i="102"/>
  <c r="I254" i="191" s="1"/>
  <c r="D254" i="191"/>
  <c r="F65" i="184"/>
  <c r="D11" i="198"/>
  <c r="I811" i="184"/>
  <c r="M34" i="203"/>
  <c r="I1033" i="184"/>
  <c r="D1521" i="184"/>
  <c r="O60" i="203"/>
  <c r="R60" i="203" s="1"/>
  <c r="E1669" i="184"/>
  <c r="L2004" i="184"/>
  <c r="L1788" i="184"/>
  <c r="K2086" i="184"/>
  <c r="I1791" i="184"/>
  <c r="G388" i="184"/>
  <c r="G1229" i="184"/>
  <c r="G56" i="137"/>
  <c r="G1451" i="184"/>
  <c r="E554" i="184"/>
  <c r="E183" i="191"/>
  <c r="D111" i="191"/>
  <c r="B23" i="63"/>
  <c r="K10" i="191"/>
  <c r="J13" i="184"/>
  <c r="H1304" i="184"/>
  <c r="K2178" i="184"/>
  <c r="K83" i="42"/>
  <c r="K2215" i="184" s="1"/>
  <c r="L1704" i="184"/>
  <c r="J1778" i="184"/>
  <c r="G474" i="184"/>
  <c r="F882" i="184"/>
  <c r="K462" i="184"/>
  <c r="G170" i="184"/>
  <c r="J320" i="184"/>
  <c r="F468" i="184"/>
  <c r="H1214" i="184"/>
  <c r="I2033" i="184"/>
  <c r="I78" i="142"/>
  <c r="I2107" i="184" s="1"/>
  <c r="D296" i="184"/>
  <c r="K481" i="184"/>
  <c r="H592" i="184"/>
  <c r="H64" i="184"/>
  <c r="H15" i="78"/>
  <c r="H212" i="184"/>
  <c r="K287" i="184"/>
  <c r="D42" i="101"/>
  <c r="F1744" i="184"/>
  <c r="F885" i="184"/>
  <c r="U64" i="203"/>
  <c r="I179" i="191" s="1"/>
  <c r="D179" i="191"/>
  <c r="K2191" i="184"/>
  <c r="G448" i="184"/>
  <c r="E1566" i="184"/>
  <c r="T61" i="107"/>
  <c r="H76" i="191"/>
  <c r="L1978" i="184"/>
  <c r="L78" i="122"/>
  <c r="L2126" i="184" s="1"/>
  <c r="E127" i="184"/>
  <c r="D1303" i="184"/>
  <c r="D56" i="137"/>
  <c r="D1451" i="184" s="1"/>
  <c r="J1377" i="184"/>
  <c r="K469" i="184"/>
  <c r="G480" i="184"/>
  <c r="J925" i="184"/>
  <c r="J42" i="172"/>
  <c r="J1110" i="184" s="1"/>
  <c r="J445" i="184"/>
  <c r="H1354" i="184"/>
  <c r="L116" i="21"/>
  <c r="B27" i="22"/>
  <c r="D11" i="25"/>
  <c r="F52" i="184"/>
  <c r="D28" i="25"/>
  <c r="F1281" i="184"/>
  <c r="U64" i="26"/>
  <c r="I163" i="191" s="1"/>
  <c r="D163" i="191"/>
  <c r="E2062" i="184"/>
  <c r="L115" i="26"/>
  <c r="J2138" i="184"/>
  <c r="D1230" i="184"/>
  <c r="D56" i="52"/>
  <c r="E948" i="184"/>
  <c r="I400" i="184"/>
  <c r="D919" i="184"/>
  <c r="I59" i="184"/>
  <c r="I543" i="184"/>
  <c r="F1883" i="184"/>
  <c r="D46" i="141"/>
  <c r="J29" i="147"/>
  <c r="J666" i="184" s="1"/>
  <c r="AE39" i="213"/>
  <c r="I552" i="184"/>
  <c r="H738" i="184"/>
  <c r="D997" i="184"/>
  <c r="D42" i="102"/>
  <c r="K1707" i="184"/>
  <c r="D45" i="101"/>
  <c r="E922" i="184"/>
  <c r="H1070" i="184"/>
  <c r="E1408" i="184"/>
  <c r="E56" i="203"/>
  <c r="E1445" i="184" s="1"/>
  <c r="G1706" i="184"/>
  <c r="O65" i="203"/>
  <c r="C216" i="191" s="1"/>
  <c r="M65" i="203"/>
  <c r="F1754" i="184"/>
  <c r="D42" i="121"/>
  <c r="D1828" i="184"/>
  <c r="K2015" i="184"/>
  <c r="F1266" i="184"/>
  <c r="D27" i="136"/>
  <c r="J171" i="184"/>
  <c r="F395" i="184"/>
  <c r="L432" i="184"/>
  <c r="L29" i="142"/>
  <c r="L654" i="184" s="1"/>
  <c r="D408" i="184"/>
  <c r="M63" i="137"/>
  <c r="D757" i="184"/>
  <c r="E2137" i="184"/>
  <c r="I535" i="184"/>
  <c r="J1207" i="184"/>
  <c r="D40" i="25"/>
  <c r="D53" i="25"/>
  <c r="F2062" i="184"/>
  <c r="I2175" i="184"/>
  <c r="I83" i="26"/>
  <c r="I2212" i="184" s="1"/>
  <c r="L800" i="184"/>
  <c r="L31" i="47"/>
  <c r="L689" i="184" s="1"/>
  <c r="K410" i="184"/>
  <c r="J447" i="184"/>
  <c r="H484" i="184"/>
  <c r="E162" i="184"/>
  <c r="K29" i="184"/>
  <c r="D15" i="62"/>
  <c r="D214" i="184"/>
  <c r="K2156" i="184"/>
  <c r="H2193" i="184"/>
  <c r="H83" i="72"/>
  <c r="H2230" i="184" s="1"/>
  <c r="L1259" i="184"/>
  <c r="F973" i="184"/>
  <c r="L1047" i="184"/>
  <c r="D28" i="91"/>
  <c r="F1311" i="184"/>
  <c r="F737" i="184"/>
  <c r="D774" i="184"/>
  <c r="D31" i="203"/>
  <c r="D700" i="184" s="1"/>
  <c r="G562" i="184"/>
  <c r="K748" i="184"/>
  <c r="K31" i="122"/>
  <c r="K711" i="184"/>
  <c r="D896" i="184"/>
  <c r="D42" i="122"/>
  <c r="J1419" i="184"/>
  <c r="J56" i="122"/>
  <c r="J1456" i="184" s="1"/>
  <c r="H1532" i="184"/>
  <c r="H71" i="122"/>
  <c r="H1939" i="184" s="1"/>
  <c r="J1569" i="184"/>
  <c r="E1606" i="184"/>
  <c r="D1717" i="184"/>
  <c r="I1865" i="184"/>
  <c r="F1978" i="184"/>
  <c r="D50" i="121"/>
  <c r="K277" i="184"/>
  <c r="L22" i="184"/>
  <c r="H780" i="184"/>
  <c r="H31" i="137"/>
  <c r="H706" i="184" s="1"/>
  <c r="L854" i="184"/>
  <c r="J928" i="184"/>
  <c r="D1039" i="184"/>
  <c r="K1039" i="184"/>
  <c r="G1060" i="184"/>
  <c r="E182" i="184"/>
  <c r="F369" i="184"/>
  <c r="L406" i="184"/>
  <c r="J443" i="184"/>
  <c r="L1711" i="184"/>
  <c r="J90" i="224"/>
  <c r="K42" i="191"/>
  <c r="M89" i="112"/>
  <c r="L1724" i="184"/>
  <c r="F2060" i="184"/>
  <c r="E2367" i="184"/>
  <c r="H961" i="184"/>
  <c r="D30" i="184"/>
  <c r="K402" i="184"/>
  <c r="F507" i="184"/>
  <c r="L841" i="184"/>
  <c r="K878" i="184"/>
  <c r="F1026" i="184"/>
  <c r="H1253" i="184"/>
  <c r="H1773" i="184"/>
  <c r="D13" i="91"/>
  <c r="F156" i="184"/>
  <c r="G825" i="184"/>
  <c r="G1794" i="184"/>
  <c r="D38" i="15"/>
  <c r="E66" i="15" s="1"/>
  <c r="F1576" i="184"/>
  <c r="G176" i="184"/>
  <c r="G1964" i="184"/>
  <c r="D2075" i="184"/>
  <c r="G2452" i="184"/>
  <c r="K1899" i="184"/>
  <c r="L2350" i="184"/>
  <c r="I41" i="184"/>
  <c r="L821" i="184"/>
  <c r="L595" i="184"/>
  <c r="G42" i="167"/>
  <c r="G1761" i="184"/>
  <c r="O67" i="16"/>
  <c r="C271" i="191"/>
  <c r="T67" i="16"/>
  <c r="H271" i="191" s="1"/>
  <c r="D1593" i="184"/>
  <c r="T62" i="62"/>
  <c r="H103" i="191" s="1"/>
  <c r="D873" i="184"/>
  <c r="J947" i="184"/>
  <c r="T66" i="82"/>
  <c r="X66" i="82"/>
  <c r="L252" i="191" s="1"/>
  <c r="K2040" i="184"/>
  <c r="K78" i="82"/>
  <c r="K2114" i="184" s="1"/>
  <c r="Q24" i="212"/>
  <c r="I24" i="184"/>
  <c r="I15" i="87"/>
  <c r="I209" i="184" s="1"/>
  <c r="G172" i="184"/>
  <c r="G15" i="87"/>
  <c r="G209" i="184" s="1"/>
  <c r="I433" i="184"/>
  <c r="I29" i="87"/>
  <c r="I655" i="184" s="1"/>
  <c r="I27" i="215"/>
  <c r="X33" i="230"/>
  <c r="V32" i="214"/>
  <c r="T33" i="229"/>
  <c r="AE32" i="213"/>
  <c r="V33" i="220"/>
  <c r="R26" i="212"/>
  <c r="G63" i="184"/>
  <c r="E583" i="184"/>
  <c r="E29" i="97"/>
  <c r="F620" i="184"/>
  <c r="K732" i="184"/>
  <c r="I2416" i="184"/>
  <c r="L1955" i="184"/>
  <c r="E2038" i="184"/>
  <c r="E78" i="199"/>
  <c r="E2112" i="184"/>
  <c r="I2151" i="184"/>
  <c r="D821" i="184"/>
  <c r="F56" i="92"/>
  <c r="F1459" i="184" s="1"/>
  <c r="H731" i="184"/>
  <c r="F768" i="184"/>
  <c r="H438" i="184"/>
  <c r="L42" i="62"/>
  <c r="I1031" i="184"/>
  <c r="I42" i="62"/>
  <c r="I1105" i="184" s="1"/>
  <c r="F1294" i="184"/>
  <c r="D28" i="198"/>
  <c r="H2188" i="184"/>
  <c r="H83" i="199"/>
  <c r="H2225" i="184" s="1"/>
  <c r="H337" i="184"/>
  <c r="J1975" i="184"/>
  <c r="H2424" i="184"/>
  <c r="G152" i="184"/>
  <c r="D561" i="184"/>
  <c r="E153" i="184"/>
  <c r="D15" i="132"/>
  <c r="D207" i="184" s="1"/>
  <c r="K42" i="92"/>
  <c r="D83" i="42"/>
  <c r="D2141" i="184"/>
  <c r="J2060" i="184"/>
  <c r="J985" i="184"/>
  <c r="D23" i="46"/>
  <c r="E1360" i="184"/>
  <c r="J966" i="184"/>
  <c r="J1676" i="184"/>
  <c r="S40" i="229"/>
  <c r="R40" i="210"/>
  <c r="H17" i="215"/>
  <c r="H920" i="184"/>
  <c r="H366" i="184"/>
  <c r="H18" i="203"/>
  <c r="H255" i="184" s="1"/>
  <c r="H562" i="184"/>
  <c r="H29" i="122"/>
  <c r="D1419" i="184"/>
  <c r="I1532" i="184"/>
  <c r="L114" i="122"/>
  <c r="I126" i="184"/>
  <c r="F83" i="82"/>
  <c r="F2227" i="184" s="1"/>
  <c r="I819" i="184"/>
  <c r="K967" i="184"/>
  <c r="G2313" i="184"/>
  <c r="T41" i="229"/>
  <c r="G2425" i="184"/>
  <c r="D1400" i="184"/>
  <c r="D56" i="142"/>
  <c r="D1437" i="184" s="1"/>
  <c r="D1550" i="184"/>
  <c r="O61" i="142"/>
  <c r="R61" i="142" s="1"/>
  <c r="I1624" i="184"/>
  <c r="J2146" i="184"/>
  <c r="J83" i="142"/>
  <c r="J2220" i="184" s="1"/>
  <c r="E741" i="184"/>
  <c r="I815" i="184"/>
  <c r="F889" i="184"/>
  <c r="F31" i="147"/>
  <c r="E926" i="184"/>
  <c r="L926" i="184"/>
  <c r="J1000" i="184"/>
  <c r="J42" i="147"/>
  <c r="I1037" i="184"/>
  <c r="H1074" i="184"/>
  <c r="D26" i="146"/>
  <c r="F1227" i="184"/>
  <c r="D1301" i="184"/>
  <c r="J1375" i="184"/>
  <c r="D378" i="184"/>
  <c r="K415" i="184"/>
  <c r="G1383" i="184"/>
  <c r="E1533" i="184"/>
  <c r="E1644" i="184"/>
  <c r="H1681" i="184"/>
  <c r="L1357" i="184"/>
  <c r="L56" i="162"/>
  <c r="L1431" i="184" s="1"/>
  <c r="J1394" i="184"/>
  <c r="J56" i="162"/>
  <c r="J1431" i="184"/>
  <c r="H1507" i="184"/>
  <c r="H71" i="162"/>
  <c r="I1544" i="184"/>
  <c r="D1581" i="184"/>
  <c r="T62" i="162"/>
  <c r="K1581" i="184"/>
  <c r="K71" i="162"/>
  <c r="K1914" i="184"/>
  <c r="U63" i="162"/>
  <c r="L110" i="162"/>
  <c r="G1226" i="184"/>
  <c r="D27" i="171"/>
  <c r="F1263" i="184"/>
  <c r="D1300" i="184"/>
  <c r="L1300" i="184"/>
  <c r="K1337" i="184"/>
  <c r="K56" i="172"/>
  <c r="K1448" i="184" s="1"/>
  <c r="J1374" i="184"/>
  <c r="J56" i="172"/>
  <c r="J1448" i="184" s="1"/>
  <c r="H1411" i="184"/>
  <c r="K1598" i="184"/>
  <c r="D39" i="171"/>
  <c r="F1635" i="184"/>
  <c r="I1672" i="184"/>
  <c r="I71" i="172"/>
  <c r="I1931" i="184" s="1"/>
  <c r="F1526" i="184"/>
  <c r="D36" i="176"/>
  <c r="U60" i="177"/>
  <c r="I36" i="191" s="1"/>
  <c r="K2154" i="184"/>
  <c r="K83" i="203"/>
  <c r="K2228" i="184" s="1"/>
  <c r="I2191" i="184"/>
  <c r="I83" i="203"/>
  <c r="I2228" i="184" s="1"/>
  <c r="F187" i="184"/>
  <c r="D14" i="106"/>
  <c r="F474" i="184"/>
  <c r="F2375" i="184"/>
  <c r="I2412" i="184"/>
  <c r="D366" i="184"/>
  <c r="D18" i="203"/>
  <c r="D255" i="184" s="1"/>
  <c r="K16" i="184"/>
  <c r="K15" i="127"/>
  <c r="K201" i="184" s="1"/>
  <c r="G462" i="184"/>
  <c r="G1802" i="184"/>
  <c r="H1952" i="184"/>
  <c r="E2026" i="184"/>
  <c r="E78" i="127"/>
  <c r="E2100" i="184" s="1"/>
  <c r="H605" i="184"/>
  <c r="L717" i="184"/>
  <c r="D1792" i="184"/>
  <c r="T67" i="157"/>
  <c r="H1979" i="184"/>
  <c r="H78" i="157"/>
  <c r="H2127" i="184" s="1"/>
  <c r="D2090" i="184"/>
  <c r="D78" i="157"/>
  <c r="D2127" i="184" s="1"/>
  <c r="E972" i="184"/>
  <c r="K972" i="184"/>
  <c r="K42" i="195"/>
  <c r="K21" i="184"/>
  <c r="K15" i="167"/>
  <c r="K206" i="184" s="1"/>
  <c r="D69" i="166"/>
  <c r="F56" i="167"/>
  <c r="F1435" i="184" s="1"/>
  <c r="L29" i="203"/>
  <c r="L662" i="184" s="1"/>
  <c r="D69" i="202"/>
  <c r="F1371" i="184"/>
  <c r="H2183" i="184"/>
  <c r="H83" i="142"/>
  <c r="H2220" i="184" s="1"/>
  <c r="H815" i="184"/>
  <c r="E889" i="184"/>
  <c r="J963" i="184"/>
  <c r="I1000" i="184"/>
  <c r="H1037" i="184"/>
  <c r="G1074" i="184"/>
  <c r="E1599" i="184"/>
  <c r="H638" i="184"/>
  <c r="I824" i="184"/>
  <c r="I393" i="184"/>
  <c r="H430" i="184"/>
  <c r="G467" i="184"/>
  <c r="H764" i="184"/>
  <c r="D838" i="184"/>
  <c r="D1023" i="184"/>
  <c r="K1023" i="184"/>
  <c r="K42" i="167"/>
  <c r="E1808" i="184"/>
  <c r="E483" i="184"/>
  <c r="I29" i="137"/>
  <c r="I668" i="184" s="1"/>
  <c r="D965" i="184"/>
  <c r="D42" i="137"/>
  <c r="D1113" i="184" s="1"/>
  <c r="F729" i="184"/>
  <c r="F31" i="142"/>
  <c r="F692" i="184" s="1"/>
  <c r="L914" i="184"/>
  <c r="L42" i="142"/>
  <c r="K951" i="184"/>
  <c r="K42" i="142"/>
  <c r="K1099" i="184" s="1"/>
  <c r="I988" i="184"/>
  <c r="G1363" i="184"/>
  <c r="G56" i="142"/>
  <c r="G1437" i="184" s="1"/>
  <c r="K2146" i="184"/>
  <c r="K83" i="142"/>
  <c r="K2220" i="184" s="1"/>
  <c r="D10" i="146"/>
  <c r="F35" i="184"/>
  <c r="E72" i="184"/>
  <c r="E18" i="147"/>
  <c r="E259" i="184"/>
  <c r="F592" i="184"/>
  <c r="F29" i="147"/>
  <c r="F666" i="184" s="1"/>
  <c r="G629" i="184"/>
  <c r="D778" i="184"/>
  <c r="G351" i="184"/>
  <c r="D425" i="184"/>
  <c r="F833" i="184"/>
  <c r="G394" i="184"/>
  <c r="L1288" i="184"/>
  <c r="H1399" i="184"/>
  <c r="G185" i="184"/>
  <c r="G15" i="137"/>
  <c r="G222" i="184" s="1"/>
  <c r="D335" i="184"/>
  <c r="J18" i="137"/>
  <c r="J261" i="184" s="1"/>
  <c r="F1638" i="184"/>
  <c r="D39" i="136"/>
  <c r="I1675" i="184"/>
  <c r="E1973" i="184"/>
  <c r="E78" i="137"/>
  <c r="E2121" i="184" s="1"/>
  <c r="G2197" i="184"/>
  <c r="E2347" i="184"/>
  <c r="F1760" i="184"/>
  <c r="D43" i="151"/>
  <c r="G1947" i="184"/>
  <c r="G78" i="152"/>
  <c r="G2095" i="184" s="1"/>
  <c r="E2021" i="184"/>
  <c r="E2134" i="184"/>
  <c r="E83" i="152"/>
  <c r="E2208" i="184" s="1"/>
  <c r="K2171" i="184"/>
  <c r="K83" i="152"/>
  <c r="K2208" i="184" s="1"/>
  <c r="F2395" i="184"/>
  <c r="E1756" i="184"/>
  <c r="H1793" i="184"/>
  <c r="K1904" i="184"/>
  <c r="H2017" i="184"/>
  <c r="L2054" i="184"/>
  <c r="D537" i="184"/>
  <c r="H723" i="184"/>
  <c r="H31" i="162"/>
  <c r="H686" i="184" s="1"/>
  <c r="D797" i="184"/>
  <c r="D31" i="162"/>
  <c r="J982" i="184"/>
  <c r="G1019" i="184"/>
  <c r="G42" i="162"/>
  <c r="D57" i="161"/>
  <c r="F2140" i="184"/>
  <c r="E2177" i="184"/>
  <c r="E83" i="162"/>
  <c r="J2290" i="184"/>
  <c r="M87" i="162"/>
  <c r="H2364" i="184"/>
  <c r="M89" i="162"/>
  <c r="F1400" i="184"/>
  <c r="D31" i="141"/>
  <c r="D10" i="156"/>
  <c r="F43" i="184"/>
  <c r="D57" i="194"/>
  <c r="F2167" i="184"/>
  <c r="K78" i="78"/>
  <c r="K2111" i="184" s="1"/>
  <c r="D42" i="97"/>
  <c r="D1102" i="184" s="1"/>
  <c r="D38" i="111"/>
  <c r="E66" i="111"/>
  <c r="D39" i="111"/>
  <c r="D39" i="151"/>
  <c r="F1612" i="184"/>
  <c r="F2021" i="184"/>
  <c r="D52" i="151"/>
  <c r="F155" i="184"/>
  <c r="D13" i="194"/>
  <c r="D27" i="161"/>
  <c r="F1246" i="184"/>
  <c r="F1953" i="184"/>
  <c r="D50" i="161"/>
  <c r="H15" i="26"/>
  <c r="H200" i="184"/>
  <c r="D46" i="146"/>
  <c r="F1895" i="184"/>
  <c r="I78" i="92"/>
  <c r="I2129" i="184" s="1"/>
  <c r="K56" i="112"/>
  <c r="K1454" i="184" s="1"/>
  <c r="F1383" i="184"/>
  <c r="D69" i="156"/>
  <c r="F1302" i="184"/>
  <c r="D28" i="176"/>
  <c r="K18" i="112"/>
  <c r="K264" i="184"/>
  <c r="F78" i="122"/>
  <c r="F1533" i="184"/>
  <c r="D36" i="156"/>
  <c r="F1719" i="184"/>
  <c r="D41" i="194"/>
  <c r="F1170" i="184"/>
  <c r="D23" i="161"/>
  <c r="W17" i="220"/>
  <c r="J14" i="215"/>
  <c r="T17" i="210"/>
  <c r="Y17" i="230"/>
  <c r="T25" i="210"/>
  <c r="W24" i="214"/>
  <c r="Y25" i="230"/>
  <c r="W25" i="220"/>
  <c r="U42" i="229"/>
  <c r="W41" i="214"/>
  <c r="T42" i="210"/>
  <c r="T16" i="210"/>
  <c r="U16" i="229"/>
  <c r="W16" i="220"/>
  <c r="Z14" i="209"/>
  <c r="I31" i="78"/>
  <c r="I696" i="184"/>
  <c r="M76" i="82"/>
  <c r="J83" i="102"/>
  <c r="J2229" i="184" s="1"/>
  <c r="E526" i="184"/>
  <c r="V15" i="220"/>
  <c r="S15" i="210"/>
  <c r="I48" i="215"/>
  <c r="V14" i="214"/>
  <c r="AE14" i="213"/>
  <c r="Y13" i="209"/>
  <c r="R43" i="212"/>
  <c r="D43" i="161"/>
  <c r="F1766" i="184"/>
  <c r="D50" i="166"/>
  <c r="F1957" i="184"/>
  <c r="F2157" i="184"/>
  <c r="D57" i="171"/>
  <c r="F1748" i="184"/>
  <c r="D42" i="176"/>
  <c r="F1283" i="184"/>
  <c r="D28" i="161"/>
  <c r="K18" i="172"/>
  <c r="K258" i="184" s="1"/>
  <c r="D28" i="171"/>
  <c r="F1300" i="184"/>
  <c r="F36" i="184"/>
  <c r="D10" i="176"/>
  <c r="L90" i="224"/>
  <c r="Q76" i="224"/>
  <c r="L118" i="224"/>
  <c r="F1729" i="184"/>
  <c r="D42" i="161"/>
  <c r="D66" i="176"/>
  <c r="H29" i="157"/>
  <c r="H674" i="184" s="1"/>
  <c r="Y31" i="230"/>
  <c r="I90" i="224"/>
  <c r="D13" i="2"/>
  <c r="D10" i="2"/>
  <c r="D11" i="2"/>
  <c r="D14" i="2"/>
  <c r="F121" i="184"/>
  <c r="E2133" i="184"/>
  <c r="E83" i="13"/>
  <c r="E2207" i="184" s="1"/>
  <c r="E1420" i="184"/>
  <c r="K1533" i="184"/>
  <c r="J80" i="191"/>
  <c r="M2581" i="184"/>
  <c r="L107" i="157"/>
  <c r="J898" i="184"/>
  <c r="L1310" i="184"/>
  <c r="I443" i="184"/>
  <c r="I18" i="172"/>
  <c r="I258" i="184" s="1"/>
  <c r="H890" i="184"/>
  <c r="M2551" i="184"/>
  <c r="L107" i="36"/>
  <c r="AT63" i="218"/>
  <c r="I176" i="184"/>
  <c r="D326" i="184"/>
  <c r="K845" i="184"/>
  <c r="F1368" i="184"/>
  <c r="D69" i="198"/>
  <c r="L1703" i="184"/>
  <c r="J329" i="184"/>
  <c r="X45" i="209"/>
  <c r="J150" i="184"/>
  <c r="D337" i="184"/>
  <c r="H2461" i="184"/>
  <c r="K635" i="184"/>
  <c r="G2314" i="184"/>
  <c r="D2406" i="184"/>
  <c r="G2480" i="184"/>
  <c r="I37" i="184"/>
  <c r="L921" i="184"/>
  <c r="H995" i="184"/>
  <c r="D57" i="91"/>
  <c r="D59" i="91" s="1"/>
  <c r="F83" i="92"/>
  <c r="F2242" i="184" s="1"/>
  <c r="F2168" i="184"/>
  <c r="E1553" i="184"/>
  <c r="O61" i="97"/>
  <c r="M61" i="97"/>
  <c r="AN43" i="218"/>
  <c r="H1590" i="184"/>
  <c r="J1627" i="184"/>
  <c r="O63" i="97"/>
  <c r="D32" i="184"/>
  <c r="F1522" i="184"/>
  <c r="D36" i="101"/>
  <c r="M70" i="102"/>
  <c r="D2005" i="184"/>
  <c r="G2305" i="184"/>
  <c r="D26" i="41"/>
  <c r="F1210" i="184"/>
  <c r="F1619" i="184"/>
  <c r="D39" i="41"/>
  <c r="L113" i="42"/>
  <c r="K203" i="191"/>
  <c r="U67" i="62"/>
  <c r="I288" i="191" s="1"/>
  <c r="D288" i="191"/>
  <c r="D51" i="61"/>
  <c r="F2002" i="184"/>
  <c r="L391" i="184"/>
  <c r="F502" i="184"/>
  <c r="J613" i="184"/>
  <c r="F984" i="184"/>
  <c r="F42" i="67"/>
  <c r="D19" i="66" s="1"/>
  <c r="J288" i="184"/>
  <c r="G362" i="184"/>
  <c r="K436" i="184"/>
  <c r="I473" i="184"/>
  <c r="Y37" i="209"/>
  <c r="J30" i="184"/>
  <c r="G141" i="184"/>
  <c r="G15" i="82"/>
  <c r="D14" i="81"/>
  <c r="F178" i="184"/>
  <c r="L624" i="184"/>
  <c r="L29" i="82"/>
  <c r="L661" i="184" s="1"/>
  <c r="J736" i="184"/>
  <c r="H773" i="184"/>
  <c r="G810" i="184"/>
  <c r="I1346" i="184"/>
  <c r="D1533" i="184"/>
  <c r="O60" i="157"/>
  <c r="F1570" i="184"/>
  <c r="H1672" i="184"/>
  <c r="E1075" i="184"/>
  <c r="I1228" i="184"/>
  <c r="J34" i="191"/>
  <c r="I2170" i="184"/>
  <c r="I83" i="13"/>
  <c r="I2207" i="184"/>
  <c r="E18" i="172"/>
  <c r="E258" i="184" s="1"/>
  <c r="G460" i="184"/>
  <c r="G289" i="184"/>
  <c r="G18" i="199"/>
  <c r="G252" i="184" s="1"/>
  <c r="L734" i="184"/>
  <c r="J882" i="184"/>
  <c r="J31" i="199"/>
  <c r="J697" i="184" s="1"/>
  <c r="O66" i="199"/>
  <c r="C250" i="191" s="1"/>
  <c r="G300" i="184"/>
  <c r="K1995" i="184"/>
  <c r="T18" i="229"/>
  <c r="X18" i="230"/>
  <c r="V18" i="220"/>
  <c r="Y16" i="209"/>
  <c r="AE17" i="213"/>
  <c r="S18" i="210"/>
  <c r="V17" i="214"/>
  <c r="I41" i="215"/>
  <c r="M2163" i="184"/>
  <c r="J847" i="184"/>
  <c r="F1032" i="184"/>
  <c r="F42" i="82"/>
  <c r="F1106" i="184" s="1"/>
  <c r="K1069" i="184"/>
  <c r="F78" i="92"/>
  <c r="F2129" i="184" s="1"/>
  <c r="F1981" i="184"/>
  <c r="D50" i="91"/>
  <c r="F324" i="184"/>
  <c r="D361" i="184"/>
  <c r="D18" i="97"/>
  <c r="D250" i="184" s="1"/>
  <c r="U61" i="97"/>
  <c r="D63" i="191"/>
  <c r="F1738" i="184"/>
  <c r="D42" i="96"/>
  <c r="U66" i="97"/>
  <c r="D248" i="191"/>
  <c r="I1335" i="184"/>
  <c r="G1409" i="184"/>
  <c r="G56" i="102"/>
  <c r="G1446" i="184"/>
  <c r="U63" i="102"/>
  <c r="D143" i="191"/>
  <c r="L1781" i="184"/>
  <c r="F1818" i="184"/>
  <c r="D66" i="101"/>
  <c r="I1855" i="184"/>
  <c r="L2005" i="184"/>
  <c r="L78" i="102"/>
  <c r="L2116" i="184" s="1"/>
  <c r="G2079" i="184"/>
  <c r="G78" i="102"/>
  <c r="G2116" i="184" s="1"/>
  <c r="E2155" i="184"/>
  <c r="E83" i="102"/>
  <c r="E2229" i="184" s="1"/>
  <c r="M82" i="102"/>
  <c r="B58" i="101" s="1"/>
  <c r="F58" i="101" s="1"/>
  <c r="G2379" i="184"/>
  <c r="I28" i="191"/>
  <c r="E158" i="191"/>
  <c r="L111" i="13"/>
  <c r="F497" i="184"/>
  <c r="D534" i="184"/>
  <c r="J571" i="184"/>
  <c r="F648" i="184"/>
  <c r="K144" i="184"/>
  <c r="L887" i="184"/>
  <c r="L31" i="72"/>
  <c r="L702" i="184" s="1"/>
  <c r="L1523" i="184"/>
  <c r="L1268" i="184"/>
  <c r="H1603" i="184"/>
  <c r="D2497" i="184"/>
  <c r="E40" i="184"/>
  <c r="E15" i="112"/>
  <c r="E225" i="184" s="1"/>
  <c r="D14" i="111"/>
  <c r="D301" i="184"/>
  <c r="M19" i="112"/>
  <c r="F412" i="184"/>
  <c r="F18" i="112"/>
  <c r="F264" i="184"/>
  <c r="D449" i="184"/>
  <c r="D18" i="112"/>
  <c r="D264" i="184"/>
  <c r="K449" i="184"/>
  <c r="H486" i="184"/>
  <c r="F560" i="184"/>
  <c r="F29" i="112"/>
  <c r="D746" i="184"/>
  <c r="M32" i="112"/>
  <c r="R32" i="231" s="1"/>
  <c r="L746" i="184"/>
  <c r="L31" i="112"/>
  <c r="L709" i="184" s="1"/>
  <c r="H783" i="184"/>
  <c r="K857" i="184"/>
  <c r="K31" i="112"/>
  <c r="K709" i="184" s="1"/>
  <c r="I42" i="112"/>
  <c r="G931" i="184"/>
  <c r="D968" i="184"/>
  <c r="L968" i="184"/>
  <c r="L42" i="112"/>
  <c r="E1193" i="184"/>
  <c r="D1232" i="184"/>
  <c r="L1232" i="184"/>
  <c r="I1306" i="184"/>
  <c r="E1417" i="184"/>
  <c r="D1567" i="184"/>
  <c r="T61" i="112"/>
  <c r="O61" i="112"/>
  <c r="K71" i="112"/>
  <c r="K1937" i="184" s="1"/>
  <c r="L1604" i="184"/>
  <c r="L71" i="112"/>
  <c r="L1937" i="184" s="1"/>
  <c r="O66" i="112"/>
  <c r="C262" i="191" s="1"/>
  <c r="E1789" i="184"/>
  <c r="M67" i="112"/>
  <c r="O67" i="112"/>
  <c r="C299" i="191" s="1"/>
  <c r="G1826" i="184"/>
  <c r="M68" i="112"/>
  <c r="F488" i="184"/>
  <c r="I748" i="184"/>
  <c r="I31" i="122"/>
  <c r="I711" i="184"/>
  <c r="I1308" i="184"/>
  <c r="I56" i="122"/>
  <c r="I1456" i="184" s="1"/>
  <c r="G1345" i="184"/>
  <c r="E2052" i="184"/>
  <c r="D2089" i="184"/>
  <c r="J2165" i="184"/>
  <c r="I2202" i="184"/>
  <c r="G2315" i="184"/>
  <c r="S43" i="210"/>
  <c r="T43" i="229"/>
  <c r="I37" i="215"/>
  <c r="V42" i="214"/>
  <c r="V43" i="220"/>
  <c r="G53" i="184"/>
  <c r="L425" i="184"/>
  <c r="F536" i="184"/>
  <c r="G1989" i="184"/>
  <c r="L2026" i="184"/>
  <c r="H2139" i="184"/>
  <c r="G2474" i="184"/>
  <c r="M2554" i="184"/>
  <c r="L107" i="127"/>
  <c r="G133" i="184"/>
  <c r="I48" i="184"/>
  <c r="G122" i="184"/>
  <c r="G15" i="152"/>
  <c r="G196" i="184" s="1"/>
  <c r="E159" i="184"/>
  <c r="L976" i="184"/>
  <c r="L42" i="152"/>
  <c r="L1087" i="184" s="1"/>
  <c r="L1050" i="184"/>
  <c r="I1203" i="184"/>
  <c r="D1314" i="184"/>
  <c r="L1314" i="184"/>
  <c r="K1351" i="184"/>
  <c r="K56" i="152"/>
  <c r="K1425" i="184" s="1"/>
  <c r="H1501" i="184"/>
  <c r="H71" i="152"/>
  <c r="H1908" i="184" s="1"/>
  <c r="J1538" i="184"/>
  <c r="U66" i="152"/>
  <c r="I233" i="191"/>
  <c r="D233" i="191"/>
  <c r="D45" i="151"/>
  <c r="I1947" i="184"/>
  <c r="G191" i="184"/>
  <c r="E897" i="184"/>
  <c r="J934" i="184"/>
  <c r="D1008" i="184"/>
  <c r="L1008" i="184"/>
  <c r="G750" i="184"/>
  <c r="I56" i="195"/>
  <c r="I1458" i="184" s="1"/>
  <c r="I1622" i="184"/>
  <c r="I71" i="167"/>
  <c r="I1918" i="184" s="1"/>
  <c r="O64" i="167"/>
  <c r="T64" i="167"/>
  <c r="H169" i="191" s="1"/>
  <c r="F2044" i="184"/>
  <c r="D52" i="171"/>
  <c r="B23" i="178"/>
  <c r="H2420" i="184"/>
  <c r="S28" i="229"/>
  <c r="R28" i="210"/>
  <c r="H57" i="215"/>
  <c r="Q46" i="212"/>
  <c r="X26" i="209"/>
  <c r="D508" i="184"/>
  <c r="D2142" i="184"/>
  <c r="D618" i="184"/>
  <c r="D29" i="97"/>
  <c r="D509" i="184"/>
  <c r="D2154" i="184"/>
  <c r="D83" i="203"/>
  <c r="D2228" i="184" s="1"/>
  <c r="J15" i="13"/>
  <c r="J195" i="184"/>
  <c r="L1983" i="184"/>
  <c r="L78" i="13"/>
  <c r="L2094" i="184" s="1"/>
  <c r="T30" i="229"/>
  <c r="V30" i="220"/>
  <c r="V29" i="214"/>
  <c r="X30" i="230"/>
  <c r="S30" i="210"/>
  <c r="T67" i="112"/>
  <c r="E887" i="184"/>
  <c r="D11" i="15"/>
  <c r="F49" i="184"/>
  <c r="I758" i="184"/>
  <c r="G27" i="184"/>
  <c r="F992" i="184"/>
  <c r="F71" i="78"/>
  <c r="F1924" i="184" s="1"/>
  <c r="D37" i="76"/>
  <c r="F105" i="82"/>
  <c r="D13" i="81"/>
  <c r="D15" i="81" s="1"/>
  <c r="F141" i="184"/>
  <c r="F31" i="82"/>
  <c r="F699" i="184" s="1"/>
  <c r="H31" i="82"/>
  <c r="H699" i="184" s="1"/>
  <c r="E1032" i="184"/>
  <c r="D1069" i="184"/>
  <c r="J1069" i="184"/>
  <c r="J42" i="82"/>
  <c r="D26" i="81"/>
  <c r="G1370" i="184"/>
  <c r="D31" i="81"/>
  <c r="F1407" i="184"/>
  <c r="E1520" i="184"/>
  <c r="M60" i="82"/>
  <c r="M1520" i="184" s="1"/>
  <c r="G1594" i="184"/>
  <c r="T62" i="82"/>
  <c r="H104" i="191" s="1"/>
  <c r="G1853" i="184"/>
  <c r="I285" i="184"/>
  <c r="G359" i="184"/>
  <c r="D23" i="86"/>
  <c r="F1177" i="184"/>
  <c r="L1216" i="184"/>
  <c r="L56" i="87"/>
  <c r="L1438" i="184" s="1"/>
  <c r="J1253" i="184"/>
  <c r="G1327" i="184"/>
  <c r="J24" i="191"/>
  <c r="H1551" i="184"/>
  <c r="E2071" i="184"/>
  <c r="K2408" i="184"/>
  <c r="D45" i="184"/>
  <c r="J15" i="92"/>
  <c r="J230" i="184" s="1"/>
  <c r="J82" i="184"/>
  <c r="I565" i="184"/>
  <c r="H602" i="184"/>
  <c r="J973" i="184"/>
  <c r="I1010" i="184"/>
  <c r="E1385" i="184"/>
  <c r="E56" i="92"/>
  <c r="E1459" i="184" s="1"/>
  <c r="H1535" i="184"/>
  <c r="J1572" i="184"/>
  <c r="O61" i="92"/>
  <c r="R61" i="92" s="1"/>
  <c r="E1609" i="184"/>
  <c r="O62" i="92"/>
  <c r="C119" i="191" s="1"/>
  <c r="U64" i="92"/>
  <c r="I193" i="191" s="1"/>
  <c r="L110" i="92"/>
  <c r="L1831" i="184"/>
  <c r="I1868" i="184"/>
  <c r="F188" i="184"/>
  <c r="D46" i="106"/>
  <c r="H375" i="184"/>
  <c r="E449" i="184"/>
  <c r="E18" i="112"/>
  <c r="E264" i="184" s="1"/>
  <c r="L449" i="184"/>
  <c r="G560" i="184"/>
  <c r="L1005" i="184"/>
  <c r="D23" i="111"/>
  <c r="F1193" i="184"/>
  <c r="E1232" i="184"/>
  <c r="E56" i="112"/>
  <c r="E1454" i="184" s="1"/>
  <c r="J1306" i="184"/>
  <c r="J56" i="112"/>
  <c r="J1454" i="184" s="1"/>
  <c r="G1380" i="184"/>
  <c r="H1678" i="184"/>
  <c r="G858" i="184"/>
  <c r="F895" i="184"/>
  <c r="E932" i="184"/>
  <c r="J969" i="184"/>
  <c r="J1344" i="184"/>
  <c r="J56" i="117"/>
  <c r="J1455" i="184" s="1"/>
  <c r="E1531" i="184"/>
  <c r="T60" i="117"/>
  <c r="K1531" i="184"/>
  <c r="F1568" i="184"/>
  <c r="D37" i="116"/>
  <c r="K263" i="191"/>
  <c r="I1790" i="184"/>
  <c r="G42" i="184"/>
  <c r="M19" i="122"/>
  <c r="M303" i="184" s="1"/>
  <c r="E18" i="122"/>
  <c r="E266" i="184" s="1"/>
  <c r="F377" i="184"/>
  <c r="F18" i="122"/>
  <c r="L414" i="184"/>
  <c r="L105" i="122"/>
  <c r="L18" i="122"/>
  <c r="L266" i="184" s="1"/>
  <c r="J451" i="184"/>
  <c r="K636" i="184"/>
  <c r="H933" i="184"/>
  <c r="F970" i="184"/>
  <c r="E1902" i="184"/>
  <c r="M70" i="122"/>
  <c r="J1978" i="184"/>
  <c r="H2015" i="184"/>
  <c r="H78" i="122"/>
  <c r="H2126" i="184" s="1"/>
  <c r="M75" i="122"/>
  <c r="M2015" i="184"/>
  <c r="M90" i="122"/>
  <c r="M2426" i="184" s="1"/>
  <c r="M2580" i="184"/>
  <c r="L107" i="122"/>
  <c r="D13" i="126"/>
  <c r="F127" i="184"/>
  <c r="D11" i="184"/>
  <c r="D15" i="152"/>
  <c r="L11" i="184"/>
  <c r="F1723" i="184"/>
  <c r="D42" i="151"/>
  <c r="H1984" i="184"/>
  <c r="H78" i="152"/>
  <c r="H2095" i="184" s="1"/>
  <c r="E2432" i="184"/>
  <c r="L80" i="184"/>
  <c r="L15" i="157"/>
  <c r="L228" i="184" s="1"/>
  <c r="G489" i="184"/>
  <c r="K1607" i="184"/>
  <c r="F1644" i="184"/>
  <c r="D39" i="156"/>
  <c r="K191" i="191"/>
  <c r="I1718" i="184"/>
  <c r="I2166" i="184"/>
  <c r="I83" i="157"/>
  <c r="I2240" i="184" s="1"/>
  <c r="D2353" i="184"/>
  <c r="G2427" i="184"/>
  <c r="L453" i="184"/>
  <c r="I42" i="195"/>
  <c r="I1120" i="184" s="1"/>
  <c r="J1083" i="184"/>
  <c r="F1236" i="184"/>
  <c r="D26" i="194"/>
  <c r="H611" i="184"/>
  <c r="E723" i="184"/>
  <c r="M32" i="162"/>
  <c r="K723" i="184"/>
  <c r="K31" i="162"/>
  <c r="K686" i="184" s="1"/>
  <c r="I760" i="184"/>
  <c r="I31" i="162"/>
  <c r="I686" i="184" s="1"/>
  <c r="F105" i="162"/>
  <c r="M34" i="162"/>
  <c r="T43" i="231" s="1"/>
  <c r="F31" i="162"/>
  <c r="F686" i="184" s="1"/>
  <c r="E871" i="184"/>
  <c r="E42" i="162"/>
  <c r="D908" i="184"/>
  <c r="D42" i="162"/>
  <c r="D1544" i="184"/>
  <c r="D71" i="162"/>
  <c r="D1914" i="184" s="1"/>
  <c r="M61" i="162"/>
  <c r="T61" i="162"/>
  <c r="H54" i="191" s="1"/>
  <c r="O61" i="162"/>
  <c r="C54" i="191" s="1"/>
  <c r="J2327" i="184"/>
  <c r="M88" i="162"/>
  <c r="G2401" i="184"/>
  <c r="M90" i="162"/>
  <c r="G105" i="162"/>
  <c r="J2438" i="184"/>
  <c r="M91" i="162"/>
  <c r="J169" i="184"/>
  <c r="I430" i="184"/>
  <c r="I18" i="167"/>
  <c r="J541" i="184"/>
  <c r="J29" i="167"/>
  <c r="J652" i="184" s="1"/>
  <c r="I42" i="167"/>
  <c r="I1097" i="184" s="1"/>
  <c r="L912" i="184"/>
  <c r="J949" i="184"/>
  <c r="J42" i="167"/>
  <c r="F1023" i="184"/>
  <c r="E1213" i="184"/>
  <c r="E56" i="167"/>
  <c r="J1250" i="184"/>
  <c r="J56" i="167"/>
  <c r="J1435" i="184" s="1"/>
  <c r="G1287" i="184"/>
  <c r="D1324" i="184"/>
  <c r="K1324" i="184"/>
  <c r="J1511" i="184"/>
  <c r="E1548" i="184"/>
  <c r="L110" i="167"/>
  <c r="U61" i="167"/>
  <c r="I58" i="191" s="1"/>
  <c r="P69" i="167"/>
  <c r="P70" i="167" s="1"/>
  <c r="I38" i="221" s="1"/>
  <c r="D58" i="191"/>
  <c r="G1585" i="184"/>
  <c r="O62" i="167"/>
  <c r="C95" i="191" s="1"/>
  <c r="T62" i="167"/>
  <c r="M62" i="167"/>
  <c r="K2068" i="184"/>
  <c r="K78" i="167"/>
  <c r="K2105" i="184" s="1"/>
  <c r="M77" i="167"/>
  <c r="D2331" i="184"/>
  <c r="M88" i="167"/>
  <c r="BR75" i="218" s="1"/>
  <c r="J145" i="184"/>
  <c r="G182" i="184"/>
  <c r="D814" i="184"/>
  <c r="F888" i="184"/>
  <c r="F31" i="172"/>
  <c r="F703" i="184" s="1"/>
  <c r="E999" i="184"/>
  <c r="K42" i="172"/>
  <c r="K1110" i="184"/>
  <c r="L147" i="184"/>
  <c r="L15" i="177"/>
  <c r="L221" i="184"/>
  <c r="D1896" i="184"/>
  <c r="H78" i="177"/>
  <c r="H2120" i="184" s="1"/>
  <c r="X28" i="230"/>
  <c r="V28" i="220"/>
  <c r="R46" i="212"/>
  <c r="AE27" i="213"/>
  <c r="D2163" i="184"/>
  <c r="D83" i="112"/>
  <c r="D2237" i="184" s="1"/>
  <c r="D83" i="137"/>
  <c r="D2160" i="184"/>
  <c r="D510" i="184"/>
  <c r="D2147" i="184"/>
  <c r="D526" i="184"/>
  <c r="W33" i="220"/>
  <c r="S26" i="212"/>
  <c r="T14" i="210"/>
  <c r="S35" i="212"/>
  <c r="AF14" i="213"/>
  <c r="Z13" i="209"/>
  <c r="D53" i="191"/>
  <c r="J864" i="184"/>
  <c r="H83" i="13"/>
  <c r="H2207" i="184" s="1"/>
  <c r="H2133" i="184"/>
  <c r="U61" i="107"/>
  <c r="I171" i="191"/>
  <c r="Q69" i="13"/>
  <c r="E343" i="191" s="1"/>
  <c r="D236" i="191"/>
  <c r="D76" i="191"/>
  <c r="Y28" i="209"/>
  <c r="AB63" i="162"/>
  <c r="T60" i="82"/>
  <c r="I162" i="184"/>
  <c r="I15" i="21"/>
  <c r="I199" i="184" s="1"/>
  <c r="D232" i="191"/>
  <c r="U66" i="13"/>
  <c r="O60" i="82"/>
  <c r="F29" i="167"/>
  <c r="F160" i="184"/>
  <c r="D14" i="15"/>
  <c r="J724" i="184"/>
  <c r="E2476" i="184"/>
  <c r="D168" i="184"/>
  <c r="K168" i="184"/>
  <c r="H577" i="184"/>
  <c r="F31" i="62"/>
  <c r="F698" i="184" s="1"/>
  <c r="D1601" i="184"/>
  <c r="T62" i="137"/>
  <c r="H111" i="191" s="1"/>
  <c r="O62" i="137"/>
  <c r="C111" i="191" s="1"/>
  <c r="K1749" i="184"/>
  <c r="K71" i="137"/>
  <c r="K1934" i="184" s="1"/>
  <c r="J543" i="184"/>
  <c r="G580" i="184"/>
  <c r="J914" i="184"/>
  <c r="I951" i="184"/>
  <c r="I42" i="142"/>
  <c r="I1099" i="184" s="1"/>
  <c r="F1025" i="184"/>
  <c r="H174" i="191"/>
  <c r="E1295" i="184"/>
  <c r="K1332" i="184"/>
  <c r="I1369" i="184"/>
  <c r="I56" i="62"/>
  <c r="I1443" i="184" s="1"/>
  <c r="I1519" i="184"/>
  <c r="J19" i="191"/>
  <c r="I1546" i="184"/>
  <c r="U67" i="67"/>
  <c r="I278" i="191" s="1"/>
  <c r="D278" i="191"/>
  <c r="D28" i="15"/>
  <c r="F1278" i="184"/>
  <c r="L111" i="16"/>
  <c r="E160" i="191"/>
  <c r="J1053" i="184"/>
  <c r="F1206" i="184"/>
  <c r="D26" i="20"/>
  <c r="G1763" i="184"/>
  <c r="D52" i="20"/>
  <c r="D2061" i="184"/>
  <c r="H2137" i="184"/>
  <c r="D27" i="25"/>
  <c r="F1244" i="184"/>
  <c r="R15" i="212"/>
  <c r="D42" i="61"/>
  <c r="F1741" i="184"/>
  <c r="D57" i="61"/>
  <c r="F2152" i="184"/>
  <c r="T38" i="229"/>
  <c r="S38" i="210"/>
  <c r="V37" i="214"/>
  <c r="Y36" i="209"/>
  <c r="I21" i="215"/>
  <c r="X38" i="230"/>
  <c r="E428" i="184"/>
  <c r="L539" i="184"/>
  <c r="E456" i="184"/>
  <c r="E29" i="13"/>
  <c r="D69" i="2"/>
  <c r="F1350" i="184"/>
  <c r="E1500" i="184"/>
  <c r="D623" i="184"/>
  <c r="D26" i="15"/>
  <c r="F1204" i="184"/>
  <c r="G1616" i="184"/>
  <c r="O63" i="26"/>
  <c r="I1316" i="184"/>
  <c r="D2066" i="184"/>
  <c r="E2366" i="184"/>
  <c r="K442" i="184"/>
  <c r="D739" i="184"/>
  <c r="H776" i="184"/>
  <c r="G1373" i="184"/>
  <c r="L437" i="184"/>
  <c r="J2004" i="184"/>
  <c r="E2378" i="184"/>
  <c r="M90" i="203"/>
  <c r="L83" i="117"/>
  <c r="L2238" i="184" s="1"/>
  <c r="J1643" i="184"/>
  <c r="O63" i="122"/>
  <c r="M63" i="122"/>
  <c r="AX45" i="218" s="1"/>
  <c r="L1680" i="184"/>
  <c r="F1717" i="184"/>
  <c r="D41" i="121"/>
  <c r="F71" i="122"/>
  <c r="L110" i="122"/>
  <c r="U65" i="122"/>
  <c r="D227" i="191"/>
  <c r="D542" i="184"/>
  <c r="H631" i="184"/>
  <c r="H29" i="137"/>
  <c r="H668" i="184" s="1"/>
  <c r="D780" i="184"/>
  <c r="L780" i="184"/>
  <c r="J817" i="184"/>
  <c r="H1786" i="184"/>
  <c r="J1823" i="184"/>
  <c r="G1860" i="184"/>
  <c r="M69" i="137"/>
  <c r="L2010" i="184"/>
  <c r="L78" i="137"/>
  <c r="K2047" i="184"/>
  <c r="K78" i="137"/>
  <c r="K2121" i="184" s="1"/>
  <c r="J2084" i="184"/>
  <c r="H2160" i="184"/>
  <c r="H15" i="142"/>
  <c r="H208" i="184" s="1"/>
  <c r="D321" i="184"/>
  <c r="F506" i="184"/>
  <c r="J617" i="184"/>
  <c r="H1249" i="184"/>
  <c r="J410" i="184"/>
  <c r="L508" i="184"/>
  <c r="T24" i="229"/>
  <c r="S24" i="210"/>
  <c r="V24" i="220"/>
  <c r="V23" i="214"/>
  <c r="I20" i="215"/>
  <c r="R19" i="212"/>
  <c r="H1745" i="184"/>
  <c r="L116" i="72"/>
  <c r="B27" i="73"/>
  <c r="K1219" i="184"/>
  <c r="H1293" i="184"/>
  <c r="D328" i="184"/>
  <c r="L884" i="184"/>
  <c r="L42" i="82"/>
  <c r="L1106" i="184" s="1"/>
  <c r="L31" i="82"/>
  <c r="L699" i="184" s="1"/>
  <c r="D2004" i="184"/>
  <c r="D78" i="203"/>
  <c r="D2115" i="184" s="1"/>
  <c r="J2163" i="184"/>
  <c r="J83" i="112"/>
  <c r="J2237" i="184" s="1"/>
  <c r="G302" i="184"/>
  <c r="D376" i="184"/>
  <c r="J1568" i="184"/>
  <c r="E1691" i="184"/>
  <c r="O65" i="127"/>
  <c r="T65" i="127"/>
  <c r="H201" i="191"/>
  <c r="I1765" i="184"/>
  <c r="E357" i="184"/>
  <c r="G468" i="184"/>
  <c r="E2032" i="184"/>
  <c r="L2295" i="184"/>
  <c r="H2369" i="184"/>
  <c r="K446" i="184"/>
  <c r="L23" i="184"/>
  <c r="L15" i="142"/>
  <c r="D1412" i="184"/>
  <c r="D56" i="147"/>
  <c r="K1525" i="184"/>
  <c r="L1710" i="184"/>
  <c r="G1747" i="184"/>
  <c r="T66" i="147"/>
  <c r="I1784" i="184"/>
  <c r="D1821" i="184"/>
  <c r="M68" i="147"/>
  <c r="D67" i="146" s="1"/>
  <c r="G1858" i="184"/>
  <c r="E2008" i="184"/>
  <c r="E78" i="147"/>
  <c r="E2119" i="184" s="1"/>
  <c r="L2008" i="184"/>
  <c r="F2382" i="184"/>
  <c r="G2493" i="184"/>
  <c r="D1760" i="184"/>
  <c r="G1871" i="184"/>
  <c r="K191" i="184"/>
  <c r="I341" i="184"/>
  <c r="H378" i="184"/>
  <c r="H18" i="157"/>
  <c r="H267" i="184" s="1"/>
  <c r="H1008" i="184"/>
  <c r="L2166" i="184"/>
  <c r="F490" i="184"/>
  <c r="J564" i="184"/>
  <c r="J29" i="195"/>
  <c r="J675" i="184"/>
  <c r="H1236" i="184"/>
  <c r="H56" i="195"/>
  <c r="H1458" i="184" s="1"/>
  <c r="D1421" i="184"/>
  <c r="J1534" i="184"/>
  <c r="E1411" i="184"/>
  <c r="I2083" i="184"/>
  <c r="D525" i="184"/>
  <c r="D522" i="184"/>
  <c r="D622" i="184"/>
  <c r="D518" i="184"/>
  <c r="T67" i="224"/>
  <c r="X67" i="224" s="1"/>
  <c r="H202" i="191"/>
  <c r="D499" i="184"/>
  <c r="K273" i="184"/>
  <c r="D535" i="184"/>
  <c r="E1503" i="184"/>
  <c r="E1540" i="184"/>
  <c r="I2060" i="184"/>
  <c r="G929" i="184"/>
  <c r="F323" i="184"/>
  <c r="F18" i="57"/>
  <c r="F249" i="184" s="1"/>
  <c r="F471" i="184"/>
  <c r="J805" i="184"/>
  <c r="G916" i="184"/>
  <c r="E953" i="184"/>
  <c r="D990" i="184"/>
  <c r="F1993" i="184"/>
  <c r="D51" i="46"/>
  <c r="E336" i="184"/>
  <c r="E18" i="52"/>
  <c r="E262" i="184" s="1"/>
  <c r="E966" i="184"/>
  <c r="J29" i="184"/>
  <c r="J1782" i="184"/>
  <c r="I83" i="72"/>
  <c r="I2230" i="184" s="1"/>
  <c r="I2193" i="184"/>
  <c r="H399" i="184"/>
  <c r="H18" i="78"/>
  <c r="H251" i="184" s="1"/>
  <c r="G587" i="184"/>
  <c r="E958" i="184"/>
  <c r="L115" i="203"/>
  <c r="B23" i="204"/>
  <c r="J1566" i="184"/>
  <c r="O61" i="107"/>
  <c r="U62" i="107"/>
  <c r="I113" i="191" s="1"/>
  <c r="D113" i="191"/>
  <c r="K2013" i="184"/>
  <c r="K78" i="112"/>
  <c r="K2124" i="184"/>
  <c r="G2200" i="184"/>
  <c r="G83" i="112"/>
  <c r="G2237" i="184" s="1"/>
  <c r="F339" i="184"/>
  <c r="K376" i="184"/>
  <c r="K18" i="117"/>
  <c r="K265" i="184" s="1"/>
  <c r="D1864" i="184"/>
  <c r="D1802" i="184"/>
  <c r="H431" i="184"/>
  <c r="F505" i="184"/>
  <c r="E446" i="184"/>
  <c r="E18" i="137"/>
  <c r="E29" i="137"/>
  <c r="E668" i="184" s="1"/>
  <c r="U65" i="137"/>
  <c r="P69" i="137"/>
  <c r="G1749" i="184"/>
  <c r="D23" i="184"/>
  <c r="D15" i="142"/>
  <c r="G469" i="184"/>
  <c r="G29" i="142"/>
  <c r="G654" i="184"/>
  <c r="E31" i="142"/>
  <c r="E692" i="184"/>
  <c r="J840" i="184"/>
  <c r="L1412" i="184"/>
  <c r="D37" i="146"/>
  <c r="H1599" i="184"/>
  <c r="D1710" i="184"/>
  <c r="T65" i="147"/>
  <c r="H220" i="191" s="1"/>
  <c r="I1723" i="184"/>
  <c r="E1797" i="184"/>
  <c r="E1947" i="184"/>
  <c r="G415" i="184"/>
  <c r="F749" i="184"/>
  <c r="F31" i="157"/>
  <c r="F712" i="184" s="1"/>
  <c r="G786" i="184"/>
  <c r="I971" i="184"/>
  <c r="G379" i="184"/>
  <c r="D564" i="184"/>
  <c r="E1785" i="184"/>
  <c r="B23" i="77"/>
  <c r="D1574" i="184"/>
  <c r="O62" i="13"/>
  <c r="C84" i="191"/>
  <c r="D158" i="191"/>
  <c r="U64" i="13"/>
  <c r="D26" i="51"/>
  <c r="H1956" i="184"/>
  <c r="D501" i="184"/>
  <c r="E1991" i="184"/>
  <c r="E78" i="42"/>
  <c r="E2102" i="184"/>
  <c r="H168" i="184"/>
  <c r="D429" i="184"/>
  <c r="G781" i="184"/>
  <c r="H2348" i="184"/>
  <c r="K1961" i="184"/>
  <c r="L2035" i="184"/>
  <c r="F2185" i="184"/>
  <c r="D66" i="25"/>
  <c r="F1503" i="184"/>
  <c r="L1503" i="184"/>
  <c r="J464" i="184"/>
  <c r="H946" i="184"/>
  <c r="H42" i="42"/>
  <c r="H1094" i="184" s="1"/>
  <c r="D1582" i="184"/>
  <c r="I726" i="184"/>
  <c r="D1059" i="184"/>
  <c r="L1304" i="184"/>
  <c r="L56" i="52"/>
  <c r="L1452" i="184" s="1"/>
  <c r="D66" i="51"/>
  <c r="E2311" i="184"/>
  <c r="F25" i="184"/>
  <c r="D10" i="56"/>
  <c r="F549" i="184"/>
  <c r="I623" i="184"/>
  <c r="E883" i="184"/>
  <c r="J920" i="184"/>
  <c r="F2037" i="184"/>
  <c r="D52" i="76"/>
  <c r="J476" i="184"/>
  <c r="J29" i="82"/>
  <c r="J661" i="184" s="1"/>
  <c r="I513" i="184"/>
  <c r="O66" i="82"/>
  <c r="C252" i="191"/>
  <c r="G1742" i="184"/>
  <c r="E61" i="184"/>
  <c r="H581" i="184"/>
  <c r="I1884" i="184"/>
  <c r="K639" i="184"/>
  <c r="J1311" i="184"/>
  <c r="J56" i="92"/>
  <c r="J1459" i="184" s="1"/>
  <c r="E1572" i="184"/>
  <c r="T61" i="92"/>
  <c r="H82" i="191" s="1"/>
  <c r="D1794" i="184"/>
  <c r="H917" i="184"/>
  <c r="E1255" i="184"/>
  <c r="E56" i="97"/>
  <c r="E1440" i="184"/>
  <c r="D1516" i="184"/>
  <c r="M63" i="97"/>
  <c r="I1886" i="184"/>
  <c r="G1522" i="184"/>
  <c r="E1781" i="184"/>
  <c r="H2079" i="184"/>
  <c r="H78" i="102"/>
  <c r="H2116" i="184"/>
  <c r="F2155" i="184"/>
  <c r="D57" i="101"/>
  <c r="D59" i="101" s="1"/>
  <c r="L2155" i="184"/>
  <c r="L83" i="102"/>
  <c r="L2229" i="184" s="1"/>
  <c r="L575" i="184"/>
  <c r="D35" i="30"/>
  <c r="E1949" i="184"/>
  <c r="I2173" i="184"/>
  <c r="M81" i="42"/>
  <c r="B57" i="41" s="1"/>
  <c r="E1778" i="184"/>
  <c r="O67" i="62"/>
  <c r="C288" i="191" s="1"/>
  <c r="I2152" i="184"/>
  <c r="I83" i="62"/>
  <c r="I2226" i="184" s="1"/>
  <c r="D354" i="184"/>
  <c r="K1509" i="184"/>
  <c r="I621" i="184"/>
  <c r="I1517" i="184"/>
  <c r="K1739" i="184"/>
  <c r="G291" i="184"/>
  <c r="D1179" i="184"/>
  <c r="D1329" i="184"/>
  <c r="I1366" i="184"/>
  <c r="I56" i="97"/>
  <c r="I1440" i="184" s="1"/>
  <c r="J2373" i="184"/>
  <c r="H15" i="102"/>
  <c r="H217" i="184"/>
  <c r="H330" i="184"/>
  <c r="F404" i="184"/>
  <c r="D478" i="184"/>
  <c r="J552" i="184"/>
  <c r="J29" i="102"/>
  <c r="J663" i="184" s="1"/>
  <c r="D69" i="15"/>
  <c r="F1352" i="184"/>
  <c r="G2061" i="184"/>
  <c r="R32" i="210"/>
  <c r="S32" i="229"/>
  <c r="D830" i="184"/>
  <c r="D43" i="61"/>
  <c r="F1778" i="184"/>
  <c r="F495" i="184"/>
  <c r="H2138" i="184"/>
  <c r="I78" i="78"/>
  <c r="I2111" i="184" s="1"/>
  <c r="D59" i="41"/>
  <c r="I275" i="184"/>
  <c r="I18" i="21"/>
  <c r="I238" i="184"/>
  <c r="L348" i="184"/>
  <c r="T34" i="229"/>
  <c r="X34" i="230"/>
  <c r="E1670" i="184"/>
  <c r="K2038" i="184"/>
  <c r="K78" i="199"/>
  <c r="K2112" i="184" s="1"/>
  <c r="F2188" i="184"/>
  <c r="D58" i="198"/>
  <c r="F83" i="199"/>
  <c r="F2225" i="184" s="1"/>
  <c r="E2449" i="184"/>
  <c r="M2566" i="184"/>
  <c r="L107" i="199"/>
  <c r="I292" i="184"/>
  <c r="I1669" i="184"/>
  <c r="D42" i="202"/>
  <c r="F1743" i="184"/>
  <c r="F71" i="203"/>
  <c r="F1928" i="184" s="1"/>
  <c r="X65" i="152"/>
  <c r="L196" i="191"/>
  <c r="X60" i="162"/>
  <c r="L17" i="191" s="1"/>
  <c r="D54" i="96"/>
  <c r="H50" i="184"/>
  <c r="E941" i="184"/>
  <c r="W17" i="230"/>
  <c r="L2198" i="184"/>
  <c r="L83" i="52"/>
  <c r="L2235" i="184" s="1"/>
  <c r="E511" i="184"/>
  <c r="E29" i="199"/>
  <c r="G882" i="184"/>
  <c r="E919" i="184"/>
  <c r="I1405" i="184"/>
  <c r="E1629" i="184"/>
  <c r="O63" i="199"/>
  <c r="R63" i="199" s="1"/>
  <c r="F139" i="191" s="1"/>
  <c r="I1703" i="184"/>
  <c r="D31" i="184"/>
  <c r="D15" i="203"/>
  <c r="L31" i="184"/>
  <c r="L15" i="203"/>
  <c r="L216" i="184" s="1"/>
  <c r="J68" i="184"/>
  <c r="H15" i="203"/>
  <c r="E366" i="184"/>
  <c r="F848" i="184"/>
  <c r="F31" i="203"/>
  <c r="F700" i="184" s="1"/>
  <c r="I1223" i="184"/>
  <c r="I56" i="203"/>
  <c r="I1445" i="184"/>
  <c r="H1260" i="184"/>
  <c r="E1595" i="184"/>
  <c r="D1706" i="184"/>
  <c r="X65" i="195"/>
  <c r="L229" i="191" s="1"/>
  <c r="R36" i="210"/>
  <c r="S36" i="229"/>
  <c r="D1964" i="184"/>
  <c r="D1854" i="184"/>
  <c r="E559" i="184"/>
  <c r="G839" i="184"/>
  <c r="H1002" i="184"/>
  <c r="E1340" i="184"/>
  <c r="H1527" i="184"/>
  <c r="H71" i="137"/>
  <c r="H1934" i="184"/>
  <c r="J754" i="184"/>
  <c r="T63" i="26"/>
  <c r="H126" i="191"/>
  <c r="J139" i="184"/>
  <c r="E548" i="184"/>
  <c r="K1030" i="184"/>
  <c r="F893" i="184"/>
  <c r="U42" i="220"/>
  <c r="S42" i="229"/>
  <c r="R42" i="210"/>
  <c r="W42" i="230"/>
  <c r="H36" i="215"/>
  <c r="U41" i="214"/>
  <c r="X40" i="209"/>
  <c r="I42" i="184"/>
  <c r="D69" i="146"/>
  <c r="F1375" i="184"/>
  <c r="D51" i="146"/>
  <c r="F2008" i="184"/>
  <c r="M87" i="92"/>
  <c r="D23" i="116"/>
  <c r="F1194" i="184"/>
  <c r="F2166" i="184"/>
  <c r="D57" i="156"/>
  <c r="D29" i="152"/>
  <c r="X12" i="209"/>
  <c r="S14" i="229"/>
  <c r="D26" i="166"/>
  <c r="F1213" i="184"/>
  <c r="U25" i="214"/>
  <c r="W26" i="230"/>
  <c r="U26" i="220"/>
  <c r="Q45" i="212"/>
  <c r="H56" i="215"/>
  <c r="AD25" i="213"/>
  <c r="X24" i="209"/>
  <c r="R26" i="210"/>
  <c r="G83" i="78"/>
  <c r="G2224" i="184" s="1"/>
  <c r="F2026" i="184"/>
  <c r="D52" i="126"/>
  <c r="D13" i="151"/>
  <c r="F122" i="184"/>
  <c r="D40" i="156"/>
  <c r="D37" i="194"/>
  <c r="D10" i="161"/>
  <c r="F17" i="184"/>
  <c r="D14" i="198"/>
  <c r="D66" i="198"/>
  <c r="F1814" i="184"/>
  <c r="D29" i="116"/>
  <c r="F1344" i="184"/>
  <c r="F1618" i="184"/>
  <c r="D39" i="161"/>
  <c r="F39" i="161" s="1"/>
  <c r="K39" i="161" s="1"/>
  <c r="L39" i="161" s="1"/>
  <c r="X13" i="209"/>
  <c r="H48" i="215"/>
  <c r="Q43" i="212"/>
  <c r="D51" i="151"/>
  <c r="F1984" i="184"/>
  <c r="D40" i="171"/>
  <c r="D53" i="171"/>
  <c r="F2081" i="184"/>
  <c r="D52" i="111"/>
  <c r="L112" i="122"/>
  <c r="L110" i="137"/>
  <c r="D50" i="156"/>
  <c r="F1979" i="184"/>
  <c r="D13" i="171"/>
  <c r="F145" i="184"/>
  <c r="F2046" i="184"/>
  <c r="W32" i="220"/>
  <c r="Y32" i="230"/>
  <c r="J13" i="215"/>
  <c r="J22" i="215"/>
  <c r="W28" i="214"/>
  <c r="J34" i="215"/>
  <c r="T27" i="210"/>
  <c r="U27" i="229"/>
  <c r="W26" i="214"/>
  <c r="AF26" i="213"/>
  <c r="W27" i="220"/>
  <c r="F1272" i="184"/>
  <c r="D27" i="156"/>
  <c r="F2064" i="184"/>
  <c r="D53" i="161"/>
  <c r="J24" i="215"/>
  <c r="T39" i="210"/>
  <c r="Y39" i="230"/>
  <c r="F1501" i="184"/>
  <c r="F1351" i="184"/>
  <c r="D69" i="151"/>
  <c r="F1196" i="184"/>
  <c r="D23" i="156"/>
  <c r="D39" i="166"/>
  <c r="F1622" i="184"/>
  <c r="D69" i="171"/>
  <c r="F1374" i="184"/>
  <c r="L112" i="152"/>
  <c r="AF42" i="213"/>
  <c r="Y43" i="230"/>
  <c r="U36" i="229"/>
  <c r="U30" i="229"/>
  <c r="J15" i="224"/>
  <c r="H42" i="224"/>
  <c r="I62" i="224"/>
  <c r="L112" i="167"/>
  <c r="H31" i="224"/>
  <c r="J85" i="224"/>
  <c r="L114" i="162"/>
  <c r="J275" i="184"/>
  <c r="J18" i="21"/>
  <c r="J238" i="184" s="1"/>
  <c r="K608" i="184"/>
  <c r="K29" i="21"/>
  <c r="K645" i="184" s="1"/>
  <c r="I1878" i="184"/>
  <c r="K1991" i="184"/>
  <c r="K78" i="42"/>
  <c r="K2102" i="184" s="1"/>
  <c r="J2178" i="184"/>
  <c r="J83" i="42"/>
  <c r="J2215" i="184" s="1"/>
  <c r="E1732" i="184"/>
  <c r="L1963" i="184"/>
  <c r="G1640" i="184"/>
  <c r="O63" i="107"/>
  <c r="R63" i="107" s="1"/>
  <c r="I11" i="184"/>
  <c r="D2320" i="184"/>
  <c r="E1230" i="184"/>
  <c r="U62" i="62"/>
  <c r="I103" i="191" s="1"/>
  <c r="D103" i="191"/>
  <c r="J1965" i="184"/>
  <c r="F1805" i="184"/>
  <c r="I70" i="184"/>
  <c r="E770" i="184"/>
  <c r="F2070" i="184"/>
  <c r="D53" i="141"/>
  <c r="F78" i="142"/>
  <c r="F2107" i="184" s="1"/>
  <c r="D309" i="184"/>
  <c r="S38" i="212"/>
  <c r="G1276" i="184"/>
  <c r="D1313" i="184"/>
  <c r="H60" i="191"/>
  <c r="I83" i="142"/>
  <c r="I2220" i="184" s="1"/>
  <c r="K126" i="191"/>
  <c r="E1875" i="184"/>
  <c r="D763" i="184"/>
  <c r="D1173" i="184"/>
  <c r="E1040" i="184"/>
  <c r="L2011" i="184"/>
  <c r="F953" i="184"/>
  <c r="H528" i="184"/>
  <c r="I152" i="184"/>
  <c r="J339" i="184"/>
  <c r="G896" i="184"/>
  <c r="J1007" i="184"/>
  <c r="H56" i="122"/>
  <c r="H1456" i="184"/>
  <c r="E1382" i="184"/>
  <c r="J2052" i="184"/>
  <c r="J78" i="122"/>
  <c r="J2126" i="184" s="1"/>
  <c r="G2089" i="184"/>
  <c r="G78" i="122"/>
  <c r="G2126" i="184"/>
  <c r="K2500" i="184"/>
  <c r="D1214" i="184"/>
  <c r="G1288" i="184"/>
  <c r="I729" i="184"/>
  <c r="L766" i="184"/>
  <c r="M33" i="142"/>
  <c r="E1326" i="184"/>
  <c r="E56" i="142"/>
  <c r="E1437" i="184"/>
  <c r="I1513" i="184"/>
  <c r="K23" i="191"/>
  <c r="F2345" i="184"/>
  <c r="D2456" i="184"/>
  <c r="G272" i="184"/>
  <c r="G18" i="152"/>
  <c r="G235" i="184"/>
  <c r="F2144" i="184"/>
  <c r="D57" i="166"/>
  <c r="F83" i="167"/>
  <c r="F2218" i="184" s="1"/>
  <c r="M81" i="167"/>
  <c r="J295" i="184"/>
  <c r="D41" i="171"/>
  <c r="F1709" i="184"/>
  <c r="K2007" i="184"/>
  <c r="L2044" i="184"/>
  <c r="L78" i="172"/>
  <c r="L2118" i="184" s="1"/>
  <c r="J2157" i="184"/>
  <c r="J83" i="172"/>
  <c r="J2231" i="184" s="1"/>
  <c r="H2194" i="184"/>
  <c r="H83" i="172"/>
  <c r="H2231" i="184" s="1"/>
  <c r="D2344" i="184"/>
  <c r="J147" i="184"/>
  <c r="J15" i="177"/>
  <c r="J221" i="184" s="1"/>
  <c r="L297" i="184"/>
  <c r="G445" i="184"/>
  <c r="G18" i="177"/>
  <c r="G260" i="184" s="1"/>
  <c r="K593" i="184"/>
  <c r="D779" i="184"/>
  <c r="J816" i="184"/>
  <c r="D890" i="184"/>
  <c r="H927" i="184"/>
  <c r="J271" i="184"/>
  <c r="J10" i="191"/>
  <c r="L112" i="13"/>
  <c r="L1539" i="184"/>
  <c r="H419" i="184"/>
  <c r="F1796" i="184"/>
  <c r="D66" i="2"/>
  <c r="F312" i="184"/>
  <c r="G277" i="184"/>
  <c r="G18" i="127"/>
  <c r="G240" i="184" s="1"/>
  <c r="E2070" i="184"/>
  <c r="D1202" i="184"/>
  <c r="D56" i="13"/>
  <c r="D1424" i="184" s="1"/>
  <c r="R31" i="210"/>
  <c r="S31" i="229"/>
  <c r="U31" i="220"/>
  <c r="H11" i="215"/>
  <c r="AD30" i="213"/>
  <c r="Q12" i="212"/>
  <c r="W31" i="230"/>
  <c r="U30" i="214"/>
  <c r="D58" i="61"/>
  <c r="F83" i="62"/>
  <c r="F2226" i="184" s="1"/>
  <c r="F2189" i="184"/>
  <c r="L331" i="184"/>
  <c r="H807" i="184"/>
  <c r="F588" i="184"/>
  <c r="F29" i="203"/>
  <c r="F56" i="203"/>
  <c r="F1445" i="184"/>
  <c r="F1223" i="184"/>
  <c r="D26" i="202"/>
  <c r="F189" i="184"/>
  <c r="D14" i="116"/>
  <c r="L127" i="184"/>
  <c r="K29" i="152"/>
  <c r="K642" i="184" s="1"/>
  <c r="U12" i="229"/>
  <c r="W12" i="220"/>
  <c r="Y12" i="230"/>
  <c r="W11" i="214"/>
  <c r="J47" i="215"/>
  <c r="AF11" i="213"/>
  <c r="Z10" i="209"/>
  <c r="S40" i="212"/>
  <c r="E1207" i="184"/>
  <c r="T62" i="13"/>
  <c r="H84" i="191" s="1"/>
  <c r="L15" i="13"/>
  <c r="L195" i="184"/>
  <c r="D31" i="2"/>
  <c r="F1387" i="184"/>
  <c r="G2057" i="184"/>
  <c r="G2170" i="184"/>
  <c r="E1451" i="184"/>
  <c r="G2065" i="184"/>
  <c r="K360" i="184"/>
  <c r="H2072" i="184"/>
  <c r="J2000" i="184"/>
  <c r="G2077" i="184"/>
  <c r="J1406" i="184"/>
  <c r="J56" i="62"/>
  <c r="J1443" i="184" s="1"/>
  <c r="D19" i="184"/>
  <c r="F625" i="184"/>
  <c r="K774" i="184"/>
  <c r="L1223" i="184"/>
  <c r="D1772" i="184"/>
  <c r="F2296" i="184"/>
  <c r="K568" i="184"/>
  <c r="D865" i="184"/>
  <c r="D42" i="152"/>
  <c r="D1087" i="184" s="1"/>
  <c r="D83" i="177"/>
  <c r="D2233" i="184"/>
  <c r="Y41" i="230"/>
  <c r="W41" i="220"/>
  <c r="T41" i="210"/>
  <c r="W40" i="214"/>
  <c r="J35" i="215"/>
  <c r="Z39" i="209"/>
  <c r="S32" i="212"/>
  <c r="AF40" i="213"/>
  <c r="I901" i="184"/>
  <c r="J1387" i="184"/>
  <c r="J56" i="13"/>
  <c r="J1424" i="184" s="1"/>
  <c r="D23" i="25"/>
  <c r="F1168" i="184"/>
  <c r="I229" i="191"/>
  <c r="I115" i="191"/>
  <c r="E1239" i="184"/>
  <c r="E2020" i="184"/>
  <c r="G71" i="42"/>
  <c r="G1915" i="184" s="1"/>
  <c r="L1750" i="184"/>
  <c r="D784" i="184"/>
  <c r="I2370" i="184"/>
  <c r="G2444" i="184"/>
  <c r="H15" i="21"/>
  <c r="H199" i="184" s="1"/>
  <c r="D844" i="184"/>
  <c r="F1330" i="184"/>
  <c r="D29" i="76"/>
  <c r="L967" i="184"/>
  <c r="H15" i="117"/>
  <c r="H226" i="184" s="1"/>
  <c r="E635" i="184"/>
  <c r="K784" i="184"/>
  <c r="H2033" i="184"/>
  <c r="H78" i="142"/>
  <c r="H2107" i="184" s="1"/>
  <c r="D2333" i="184"/>
  <c r="M88" i="142"/>
  <c r="BF75" i="218"/>
  <c r="I630" i="184"/>
  <c r="J2046" i="184"/>
  <c r="W22" i="214"/>
  <c r="S22" i="212"/>
  <c r="E56" i="52"/>
  <c r="E1452" i="184" s="1"/>
  <c r="I256" i="191"/>
  <c r="G419" i="184"/>
  <c r="J567" i="184"/>
  <c r="L31" i="13"/>
  <c r="L679" i="184"/>
  <c r="L790" i="184"/>
  <c r="E1796" i="184"/>
  <c r="K10" i="184"/>
  <c r="D2133" i="184"/>
  <c r="D83" i="13"/>
  <c r="D2207" i="184" s="1"/>
  <c r="K271" i="184"/>
  <c r="K83" i="13"/>
  <c r="K2207" i="184"/>
  <c r="D1207" i="184"/>
  <c r="H2062" i="184"/>
  <c r="L1813" i="184"/>
  <c r="F899" i="184"/>
  <c r="F843" i="184"/>
  <c r="E10" i="184"/>
  <c r="H1202" i="184"/>
  <c r="D39" i="2"/>
  <c r="F977" i="184"/>
  <c r="K1053" i="184"/>
  <c r="E1354" i="184"/>
  <c r="E56" i="21"/>
  <c r="E1428" i="184" s="1"/>
  <c r="D50" i="20"/>
  <c r="D1987" i="184"/>
  <c r="K1017" i="184"/>
  <c r="J1542" i="184"/>
  <c r="G716" i="184"/>
  <c r="D50" i="2"/>
  <c r="J2170" i="184"/>
  <c r="J83" i="13"/>
  <c r="J2207" i="184" s="1"/>
  <c r="K866" i="184"/>
  <c r="H940" i="184"/>
  <c r="K312" i="184"/>
  <c r="K18" i="21"/>
  <c r="K238" i="184" s="1"/>
  <c r="T66" i="21"/>
  <c r="H236" i="191" s="1"/>
  <c r="H42" i="13"/>
  <c r="H1086" i="184" s="1"/>
  <c r="H864" i="184"/>
  <c r="L12" i="184"/>
  <c r="D13" i="15"/>
  <c r="D15" i="15" s="1"/>
  <c r="F15" i="16"/>
  <c r="F197" i="184"/>
  <c r="D421" i="184"/>
  <c r="I606" i="184"/>
  <c r="L866" i="184"/>
  <c r="E1613" i="184"/>
  <c r="D40" i="15"/>
  <c r="L1985" i="184"/>
  <c r="D11" i="20"/>
  <c r="D524" i="184"/>
  <c r="J123" i="191"/>
  <c r="D719" i="184"/>
  <c r="K719" i="184"/>
  <c r="H1205" i="184"/>
  <c r="D1836" i="184"/>
  <c r="D316" i="184"/>
  <c r="F1813" i="184"/>
  <c r="D66" i="76"/>
  <c r="L45" i="184"/>
  <c r="G193" i="184"/>
  <c r="G15" i="92"/>
  <c r="G230" i="184" s="1"/>
  <c r="F306" i="184"/>
  <c r="F18" i="92"/>
  <c r="F269" i="184" s="1"/>
  <c r="F29" i="92"/>
  <c r="D18" i="91" s="1"/>
  <c r="E491" i="184"/>
  <c r="H2301" i="184"/>
  <c r="I2338" i="184"/>
  <c r="E2489" i="184"/>
  <c r="J1677" i="184"/>
  <c r="L114" i="107"/>
  <c r="I2386" i="184"/>
  <c r="D15" i="112"/>
  <c r="D225" i="184" s="1"/>
  <c r="J151" i="184"/>
  <c r="I188" i="184"/>
  <c r="I15" i="112"/>
  <c r="I225" i="184" s="1"/>
  <c r="D1356" i="184"/>
  <c r="D56" i="127"/>
  <c r="G1393" i="184"/>
  <c r="E1543" i="184"/>
  <c r="O61" i="127"/>
  <c r="F1989" i="184"/>
  <c r="D51" i="126"/>
  <c r="G2176" i="184"/>
  <c r="G83" i="127"/>
  <c r="G2213" i="184"/>
  <c r="K2289" i="184"/>
  <c r="E2363" i="184"/>
  <c r="L765" i="184"/>
  <c r="H802" i="184"/>
  <c r="L1235" i="184"/>
  <c r="K1272" i="184"/>
  <c r="H1309" i="184"/>
  <c r="L1681" i="184"/>
  <c r="F1718" i="184"/>
  <c r="D41" i="156"/>
  <c r="Y14" i="209"/>
  <c r="I51" i="215"/>
  <c r="AE15" i="213"/>
  <c r="J44" i="184"/>
  <c r="J15" i="195"/>
  <c r="D1310" i="184"/>
  <c r="F1347" i="184"/>
  <c r="D29" i="194"/>
  <c r="F56" i="195"/>
  <c r="F1458" i="184" s="1"/>
  <c r="E1994" i="184"/>
  <c r="E78" i="167"/>
  <c r="L1994" i="184"/>
  <c r="D50" i="176"/>
  <c r="F1972" i="184"/>
  <c r="D310" i="184"/>
  <c r="M20" i="16"/>
  <c r="G12" i="231" s="1"/>
  <c r="K1204" i="184"/>
  <c r="H1389" i="184"/>
  <c r="E1502" i="184"/>
  <c r="O60" i="16"/>
  <c r="C12" i="191" s="1"/>
  <c r="T60" i="16"/>
  <c r="X60" i="16" s="1"/>
  <c r="L12" i="191" s="1"/>
  <c r="L313" i="184"/>
  <c r="D51" i="25"/>
  <c r="F78" i="26"/>
  <c r="F2099" i="184" s="1"/>
  <c r="F1988" i="184"/>
  <c r="I533" i="184"/>
  <c r="D50" i="191"/>
  <c r="U61" i="36"/>
  <c r="I50" i="191"/>
  <c r="H427" i="184"/>
  <c r="F285" i="184"/>
  <c r="E1699" i="184"/>
  <c r="K2034" i="184"/>
  <c r="L2147" i="184"/>
  <c r="K2184" i="184"/>
  <c r="K83" i="87"/>
  <c r="K2221" i="184"/>
  <c r="L599" i="184"/>
  <c r="D2139" i="184"/>
  <c r="H49" i="184"/>
  <c r="H1051" i="184"/>
  <c r="D23" i="15"/>
  <c r="E1204" i="184"/>
  <c r="U67" i="16"/>
  <c r="D271" i="191"/>
  <c r="D1016" i="184"/>
  <c r="D42" i="21"/>
  <c r="D1090" i="184" s="1"/>
  <c r="H1578" i="184"/>
  <c r="H2287" i="184"/>
  <c r="G2435" i="184"/>
  <c r="D43" i="25"/>
  <c r="F1764" i="184"/>
  <c r="D52" i="25"/>
  <c r="F2025" i="184"/>
  <c r="K50" i="184"/>
  <c r="J756" i="184"/>
  <c r="J31" i="36"/>
  <c r="J682" i="184" s="1"/>
  <c r="J1367" i="184"/>
  <c r="G1404" i="184"/>
  <c r="E1517" i="184"/>
  <c r="O60" i="78"/>
  <c r="T60" i="78"/>
  <c r="H27" i="191" s="1"/>
  <c r="J135" i="184"/>
  <c r="L590" i="184"/>
  <c r="D1014" i="184"/>
  <c r="G979" i="184"/>
  <c r="I1167" i="184"/>
  <c r="K1987" i="184"/>
  <c r="E2361" i="184"/>
  <c r="I1951" i="184"/>
  <c r="E1390" i="184"/>
  <c r="F947" i="184"/>
  <c r="J18" i="72"/>
  <c r="J257" i="184"/>
  <c r="L1177" i="184"/>
  <c r="I273" i="184"/>
  <c r="D903" i="184"/>
  <c r="L1241" i="184"/>
  <c r="H721" i="184"/>
  <c r="K1355" i="184"/>
  <c r="J311" i="184"/>
  <c r="L111" i="36"/>
  <c r="E161" i="191"/>
  <c r="K872" i="184"/>
  <c r="K42" i="42"/>
  <c r="K1094" i="184" s="1"/>
  <c r="H1030" i="184"/>
  <c r="T64" i="199"/>
  <c r="H176" i="191" s="1"/>
  <c r="E1814" i="184"/>
  <c r="F347" i="184"/>
  <c r="F350" i="184"/>
  <c r="L124" i="184"/>
  <c r="J18" i="184"/>
  <c r="J15" i="42"/>
  <c r="J1993" i="184"/>
  <c r="E1341" i="184"/>
  <c r="J1378" i="184"/>
  <c r="H751" i="184"/>
  <c r="K1981" i="184"/>
  <c r="K78" i="92"/>
  <c r="K2129" i="184" s="1"/>
  <c r="F956" i="184"/>
  <c r="F1181" i="184"/>
  <c r="D23" i="198"/>
  <c r="D36" i="198"/>
  <c r="F1518" i="184"/>
  <c r="F71" i="199"/>
  <c r="F1925" i="184" s="1"/>
  <c r="L1518" i="184"/>
  <c r="F1592" i="184"/>
  <c r="D38" i="198"/>
  <c r="G2151" i="184"/>
  <c r="G83" i="199"/>
  <c r="G2225" i="184" s="1"/>
  <c r="F2341" i="184"/>
  <c r="I2378" i="184"/>
  <c r="D1539" i="184"/>
  <c r="E1353" i="184"/>
  <c r="I1991" i="184"/>
  <c r="G466" i="184"/>
  <c r="K1286" i="184"/>
  <c r="G1956" i="184"/>
  <c r="D809" i="184"/>
  <c r="J1219" i="184"/>
  <c r="J56" i="78"/>
  <c r="J1441" i="184" s="1"/>
  <c r="H1256" i="184"/>
  <c r="E78" i="78"/>
  <c r="E2111" i="184" s="1"/>
  <c r="E1963" i="184"/>
  <c r="K1963" i="184"/>
  <c r="E2150" i="184"/>
  <c r="E83" i="78"/>
  <c r="E2224" i="184" s="1"/>
  <c r="G2300" i="184"/>
  <c r="I989" i="184"/>
  <c r="J639" i="184"/>
  <c r="J29" i="92"/>
  <c r="J676" i="184" s="1"/>
  <c r="J404" i="184"/>
  <c r="L2042" i="184"/>
  <c r="J2486" i="184"/>
  <c r="H31" i="16"/>
  <c r="H681" i="184" s="1"/>
  <c r="D51" i="15"/>
  <c r="D1578" i="184"/>
  <c r="L832" i="184"/>
  <c r="E943" i="184"/>
  <c r="K1207" i="184"/>
  <c r="J2175" i="184"/>
  <c r="E131" i="184"/>
  <c r="I1961" i="184"/>
  <c r="K809" i="184"/>
  <c r="E1597" i="184"/>
  <c r="G2037" i="184"/>
  <c r="J2184" i="184"/>
  <c r="J83" i="87"/>
  <c r="J2221" i="184" s="1"/>
  <c r="M20" i="92"/>
  <c r="G26" i="231" s="1"/>
  <c r="E380" i="184"/>
  <c r="E18" i="92"/>
  <c r="E269" i="184" s="1"/>
  <c r="D491" i="184"/>
  <c r="I31" i="97"/>
  <c r="I695" i="184"/>
  <c r="G1292" i="184"/>
  <c r="G56" i="97"/>
  <c r="G1440" i="184"/>
  <c r="I330" i="184"/>
  <c r="G923" i="184"/>
  <c r="K1335" i="184"/>
  <c r="J1372" i="184"/>
  <c r="H56" i="102"/>
  <c r="H1446" i="184" s="1"/>
  <c r="F1703" i="184"/>
  <c r="D58" i="111"/>
  <c r="F2200" i="184"/>
  <c r="F469" i="184"/>
  <c r="G1215" i="184"/>
  <c r="F1826" i="184"/>
  <c r="D66" i="111"/>
  <c r="F2041" i="184"/>
  <c r="D52" i="202"/>
  <c r="F1379" i="184"/>
  <c r="D69" i="106"/>
  <c r="K176" i="184"/>
  <c r="F1305" i="184"/>
  <c r="D28" i="106"/>
  <c r="D26" i="156"/>
  <c r="F1235" i="184"/>
  <c r="F1807" i="184"/>
  <c r="D66" i="166"/>
  <c r="H526" i="184"/>
  <c r="H500" i="184"/>
  <c r="E760" i="184"/>
  <c r="E105" i="162"/>
  <c r="F1331" i="184"/>
  <c r="D29" i="198"/>
  <c r="F1751" i="184"/>
  <c r="D42" i="106"/>
  <c r="F1788" i="184"/>
  <c r="D43" i="106"/>
  <c r="F1825" i="184"/>
  <c r="D66" i="106"/>
  <c r="D57" i="121"/>
  <c r="D59" i="121" s="1"/>
  <c r="F2165" i="184"/>
  <c r="F1356" i="184"/>
  <c r="D69" i="126"/>
  <c r="K1394" i="184"/>
  <c r="D53" i="166"/>
  <c r="F2068" i="184"/>
  <c r="I408" i="184"/>
  <c r="O73" i="224"/>
  <c r="T73" i="224"/>
  <c r="D64" i="223"/>
  <c r="E139" i="184"/>
  <c r="H474" i="184"/>
  <c r="F1220" i="184"/>
  <c r="D26" i="198"/>
  <c r="F2154" i="184"/>
  <c r="D57" i="202"/>
  <c r="M2569" i="184"/>
  <c r="F1902" i="184"/>
  <c r="D46" i="121"/>
  <c r="F1527" i="184"/>
  <c r="D36" i="136"/>
  <c r="H321" i="184"/>
  <c r="D42" i="198"/>
  <c r="F1740" i="184"/>
  <c r="D52" i="121"/>
  <c r="F2052" i="184"/>
  <c r="J35" i="184"/>
  <c r="I72" i="184"/>
  <c r="D13" i="146"/>
  <c r="F146" i="184"/>
  <c r="F1629" i="184"/>
  <c r="D39" i="198"/>
  <c r="D40" i="198"/>
  <c r="F1777" i="184"/>
  <c r="D43" i="198"/>
  <c r="D36" i="202"/>
  <c r="F1521" i="184"/>
  <c r="F1595" i="184"/>
  <c r="D38" i="202"/>
  <c r="E66" i="202" s="1"/>
  <c r="F2176" i="184"/>
  <c r="D58" i="126"/>
  <c r="D45" i="136"/>
  <c r="F2146" i="184"/>
  <c r="D57" i="141"/>
  <c r="K1253" i="184"/>
  <c r="L112" i="97"/>
  <c r="R30" i="212"/>
  <c r="D13" i="116"/>
  <c r="D11" i="106"/>
  <c r="AE46" i="213"/>
  <c r="F1897" i="184"/>
  <c r="L113" i="112"/>
  <c r="R41" i="210"/>
  <c r="X39" i="209"/>
  <c r="Q32" i="212"/>
  <c r="H303" i="184"/>
  <c r="H272" i="184"/>
  <c r="D40" i="166"/>
  <c r="I777" i="184"/>
  <c r="D29" i="171"/>
  <c r="Y45" i="209"/>
  <c r="I31" i="215"/>
  <c r="X47" i="230"/>
  <c r="D41" i="202"/>
  <c r="F1706" i="184"/>
  <c r="F2004" i="184"/>
  <c r="D51" i="202"/>
  <c r="D57" i="111"/>
  <c r="F2163" i="184"/>
  <c r="F1532" i="184"/>
  <c r="D36" i="121"/>
  <c r="D26" i="131"/>
  <c r="F1608" i="184"/>
  <c r="D38" i="194"/>
  <c r="E66" i="194" s="1"/>
  <c r="M92" i="62"/>
  <c r="D1588" i="184"/>
  <c r="F1558" i="184"/>
  <c r="D37" i="202"/>
  <c r="D11" i="111"/>
  <c r="F77" i="184"/>
  <c r="D50" i="111"/>
  <c r="F1976" i="184"/>
  <c r="K394" i="184"/>
  <c r="F2160" i="184"/>
  <c r="D57" i="136"/>
  <c r="D59" i="136" s="1"/>
  <c r="F1587" i="184"/>
  <c r="D38" i="141"/>
  <c r="M2561" i="184"/>
  <c r="L107" i="142"/>
  <c r="U46" i="220"/>
  <c r="U45" i="214"/>
  <c r="W46" i="230"/>
  <c r="S46" i="229"/>
  <c r="X46" i="209"/>
  <c r="Q42" i="212"/>
  <c r="AD45" i="213"/>
  <c r="H52" i="215"/>
  <c r="R46" i="210"/>
  <c r="I282" i="184"/>
  <c r="E56" i="78"/>
  <c r="S47" i="210"/>
  <c r="F1343" i="184"/>
  <c r="AD26" i="213"/>
  <c r="Q44" i="212"/>
  <c r="X14" i="209"/>
  <c r="U16" i="220"/>
  <c r="L112" i="82"/>
  <c r="P69" i="92"/>
  <c r="Q35" i="212"/>
  <c r="D11" i="126"/>
  <c r="U13" i="214"/>
  <c r="V40" i="214"/>
  <c r="S43" i="229"/>
  <c r="R43" i="210"/>
  <c r="D14" i="166"/>
  <c r="F169" i="184"/>
  <c r="D10" i="171"/>
  <c r="D15" i="171" s="1"/>
  <c r="F34" i="184"/>
  <c r="M35" i="97"/>
  <c r="U27" i="231" s="1"/>
  <c r="D38" i="116"/>
  <c r="E66" i="116" s="1"/>
  <c r="F1888" i="184"/>
  <c r="D46" i="198"/>
  <c r="F68" i="184"/>
  <c r="D11" i="202"/>
  <c r="D27" i="111"/>
  <c r="F1269" i="184"/>
  <c r="F1642" i="184"/>
  <c r="D39" i="116"/>
  <c r="AE42" i="213"/>
  <c r="Y41" i="209"/>
  <c r="X43" i="230"/>
  <c r="R34" i="212"/>
  <c r="F1512" i="184"/>
  <c r="D36" i="131"/>
  <c r="S18" i="229"/>
  <c r="D41" i="146"/>
  <c r="F1710" i="184"/>
  <c r="D11" i="166"/>
  <c r="F58" i="184"/>
  <c r="R14" i="210"/>
  <c r="H40" i="215"/>
  <c r="F1712" i="184"/>
  <c r="D41" i="136"/>
  <c r="D45" i="166"/>
  <c r="L112" i="92"/>
  <c r="D28" i="151"/>
  <c r="F1277" i="184"/>
  <c r="F1197" i="184"/>
  <c r="D23" i="194"/>
  <c r="D26" i="171"/>
  <c r="F1226" i="184"/>
  <c r="F159" i="184"/>
  <c r="D14" i="151"/>
  <c r="T26" i="229"/>
  <c r="V25" i="214"/>
  <c r="V26" i="220"/>
  <c r="R45" i="212"/>
  <c r="D57" i="176"/>
  <c r="F2159" i="184"/>
  <c r="T35" i="210"/>
  <c r="Y35" i="230"/>
  <c r="AF34" i="213"/>
  <c r="J12" i="215"/>
  <c r="U35" i="229"/>
  <c r="W35" i="220"/>
  <c r="W34" i="214"/>
  <c r="W37" i="214"/>
  <c r="Y38" i="230"/>
  <c r="J21" i="215"/>
  <c r="W38" i="220"/>
  <c r="T38" i="210"/>
  <c r="AF37" i="213"/>
  <c r="W46" i="214"/>
  <c r="U47" i="229"/>
  <c r="AF46" i="213"/>
  <c r="T47" i="210"/>
  <c r="W47" i="220"/>
  <c r="Y47" i="230"/>
  <c r="U21" i="229"/>
  <c r="T11" i="210"/>
  <c r="W20" i="214"/>
  <c r="W21" i="220"/>
  <c r="J43" i="215"/>
  <c r="Z19" i="209"/>
  <c r="F1420" i="184"/>
  <c r="D31" i="156"/>
  <c r="F2016" i="184"/>
  <c r="D43" i="166"/>
  <c r="F1770" i="184"/>
  <c r="Y36" i="230"/>
  <c r="W36" i="220"/>
  <c r="AF35" i="213"/>
  <c r="J15" i="215"/>
  <c r="U34" i="229"/>
  <c r="Y34" i="230"/>
  <c r="W33" i="214"/>
  <c r="T34" i="210"/>
  <c r="T43" i="210"/>
  <c r="W43" i="220"/>
  <c r="W42" i="214"/>
  <c r="J37" i="215"/>
  <c r="U43" i="229"/>
  <c r="U46" i="229"/>
  <c r="AF45" i="213"/>
  <c r="W46" i="220"/>
  <c r="T46" i="210"/>
  <c r="Y46" i="230"/>
  <c r="J52" i="215"/>
  <c r="S44" i="212"/>
  <c r="U27" i="214"/>
  <c r="W28" i="230"/>
  <c r="U28" i="220"/>
  <c r="AF32" i="213"/>
  <c r="W32" i="214"/>
  <c r="U14" i="229"/>
  <c r="Y14" i="230"/>
  <c r="U15" i="229"/>
  <c r="W15" i="220"/>
  <c r="W14" i="214"/>
  <c r="S43" i="212"/>
  <c r="D42" i="171"/>
  <c r="F1746" i="184"/>
  <c r="T28" i="229"/>
  <c r="S28" i="210"/>
  <c r="V27" i="214"/>
  <c r="Y26" i="209"/>
  <c r="Y45" i="230"/>
  <c r="J30" i="215"/>
  <c r="AF44" i="213"/>
  <c r="U45" i="229"/>
  <c r="K62" i="224"/>
  <c r="U17" i="229"/>
  <c r="W16" i="214"/>
  <c r="AF24" i="213"/>
  <c r="U25" i="229"/>
  <c r="J25" i="215"/>
  <c r="Y42" i="230"/>
  <c r="W42" i="220"/>
  <c r="AF41" i="213"/>
  <c r="Y16" i="230"/>
  <c r="AF15" i="213"/>
  <c r="M82" i="224"/>
  <c r="B58" i="223"/>
  <c r="B27" i="225"/>
  <c r="L123" i="224"/>
  <c r="AF16" i="213"/>
  <c r="AF28" i="213"/>
  <c r="W29" i="220"/>
  <c r="U29" i="229"/>
  <c r="U20" i="229"/>
  <c r="AF19" i="213"/>
  <c r="F85" i="224"/>
  <c r="E85" i="224"/>
  <c r="L85" i="224"/>
  <c r="K90" i="224"/>
  <c r="Y27" i="230"/>
  <c r="J46" i="215"/>
  <c r="D2439" i="184"/>
  <c r="L20" i="184"/>
  <c r="J57" i="191"/>
  <c r="E1402" i="184"/>
  <c r="U64" i="57"/>
  <c r="I173" i="191"/>
  <c r="D173" i="191"/>
  <c r="G66" i="184"/>
  <c r="H177" i="184"/>
  <c r="H15" i="62"/>
  <c r="K1211" i="184"/>
  <c r="F294" i="184"/>
  <c r="G2043" i="184"/>
  <c r="D750" i="184"/>
  <c r="G1504" i="184"/>
  <c r="L2024" i="184"/>
  <c r="I83" i="21"/>
  <c r="I2211" i="184"/>
  <c r="K276" i="184"/>
  <c r="J496" i="184"/>
  <c r="G570" i="184"/>
  <c r="D1762" i="184"/>
  <c r="O67" i="36"/>
  <c r="C272" i="191" s="1"/>
  <c r="L2173" i="184"/>
  <c r="L83" i="36"/>
  <c r="L2210" i="184"/>
  <c r="G1700" i="184"/>
  <c r="J1299" i="184"/>
  <c r="I1782" i="184"/>
  <c r="K433" i="184"/>
  <c r="K18" i="87"/>
  <c r="K248" i="184" s="1"/>
  <c r="F2484" i="184"/>
  <c r="G1780" i="184"/>
  <c r="O67" i="203"/>
  <c r="C290" i="191" s="1"/>
  <c r="T67" i="203"/>
  <c r="G1041" i="184"/>
  <c r="E1342" i="184"/>
  <c r="G1976" i="184"/>
  <c r="G78" i="112"/>
  <c r="G2124" i="184" s="1"/>
  <c r="E47" i="184"/>
  <c r="E15" i="13"/>
  <c r="I271" i="184"/>
  <c r="J1012" i="184"/>
  <c r="J42" i="13"/>
  <c r="J1086" i="184" s="1"/>
  <c r="E1049" i="184"/>
  <c r="I1049" i="184"/>
  <c r="M82" i="21"/>
  <c r="M2174" i="184" s="1"/>
  <c r="D1993" i="184"/>
  <c r="G768" i="184"/>
  <c r="L327" i="184"/>
  <c r="K18" i="78"/>
  <c r="K251" i="184"/>
  <c r="K14" i="191"/>
  <c r="K1726" i="184"/>
  <c r="L731" i="184"/>
  <c r="E1885" i="184"/>
  <c r="K292" i="191"/>
  <c r="L1743" i="184"/>
  <c r="J1231" i="184"/>
  <c r="K416" i="184"/>
  <c r="K18" i="195"/>
  <c r="K268" i="184" s="1"/>
  <c r="J530" i="184"/>
  <c r="D45" i="2"/>
  <c r="D158" i="184"/>
  <c r="J1284" i="184"/>
  <c r="J56" i="42"/>
  <c r="J1432" i="184" s="1"/>
  <c r="G18" i="62"/>
  <c r="G253" i="184" s="1"/>
  <c r="L421" i="184"/>
  <c r="L29" i="16"/>
  <c r="L643" i="184" s="1"/>
  <c r="G1577" i="184"/>
  <c r="I2148" i="184"/>
  <c r="L32" i="184"/>
  <c r="G2078" i="184"/>
  <c r="G78" i="203"/>
  <c r="J1004" i="184"/>
  <c r="I2050" i="184"/>
  <c r="L1685" i="184"/>
  <c r="F1700" i="184"/>
  <c r="D41" i="56"/>
  <c r="G391" i="184"/>
  <c r="K613" i="184"/>
  <c r="H910" i="184"/>
  <c r="D1285" i="184"/>
  <c r="E436" i="184"/>
  <c r="F527" i="184"/>
  <c r="K1576" i="184"/>
  <c r="J1798" i="184"/>
  <c r="L1243" i="184"/>
  <c r="H1950" i="184"/>
  <c r="H78" i="21"/>
  <c r="H2098" i="184" s="1"/>
  <c r="G385" i="184"/>
  <c r="G18" i="36"/>
  <c r="G237" i="184" s="1"/>
  <c r="D1614" i="184"/>
  <c r="I1365" i="184"/>
  <c r="F1626" i="184"/>
  <c r="E1373" i="184"/>
  <c r="I1560" i="184"/>
  <c r="J152" i="184"/>
  <c r="I638" i="184"/>
  <c r="F42" i="13"/>
  <c r="D19" i="2" s="1"/>
  <c r="F938" i="184"/>
  <c r="I1574" i="184"/>
  <c r="H308" i="184"/>
  <c r="H18" i="13"/>
  <c r="H234" i="184" s="1"/>
  <c r="L938" i="184"/>
  <c r="I1276" i="184"/>
  <c r="G12" i="184"/>
  <c r="D160" i="184"/>
  <c r="E421" i="184"/>
  <c r="E18" i="16"/>
  <c r="E236" i="184" s="1"/>
  <c r="D10" i="30"/>
  <c r="D48" i="30"/>
  <c r="E161" i="184"/>
  <c r="G1688" i="184"/>
  <c r="T65" i="36"/>
  <c r="F2173" i="184"/>
  <c r="D58" i="35"/>
  <c r="E62" i="184"/>
  <c r="I136" i="184"/>
  <c r="D323" i="184"/>
  <c r="H508" i="184"/>
  <c r="F1027" i="184"/>
  <c r="I1178" i="184"/>
  <c r="Q69" i="57"/>
  <c r="E358" i="191" s="1"/>
  <c r="E173" i="191"/>
  <c r="J2152" i="184"/>
  <c r="J83" i="62"/>
  <c r="J2226" i="184" s="1"/>
  <c r="I1694" i="184"/>
  <c r="L1180" i="184"/>
  <c r="F1404" i="184"/>
  <c r="D31" i="76"/>
  <c r="J2447" i="184"/>
  <c r="J848" i="184"/>
  <c r="E996" i="184"/>
  <c r="E42" i="203"/>
  <c r="E1107" i="184" s="1"/>
  <c r="H1743" i="184"/>
  <c r="K2041" i="184"/>
  <c r="J2154" i="184"/>
  <c r="J83" i="203"/>
  <c r="D1004" i="184"/>
  <c r="D1416" i="184"/>
  <c r="D56" i="107"/>
  <c r="D1453" i="184" s="1"/>
  <c r="E523" i="184"/>
  <c r="H634" i="184"/>
  <c r="J2352" i="184"/>
  <c r="I610" i="184"/>
  <c r="J722" i="184"/>
  <c r="D1055" i="184"/>
  <c r="L1506" i="184"/>
  <c r="L71" i="127"/>
  <c r="L1913" i="184" s="1"/>
  <c r="K1580" i="184"/>
  <c r="J1617" i="184"/>
  <c r="F74" i="184"/>
  <c r="D11" i="136"/>
  <c r="F15" i="137"/>
  <c r="F222" i="184" s="1"/>
  <c r="D15" i="137"/>
  <c r="D222" i="184" s="1"/>
  <c r="G531" i="184"/>
  <c r="J828" i="184"/>
  <c r="J31" i="152"/>
  <c r="J680" i="184" s="1"/>
  <c r="E2321" i="184"/>
  <c r="D2358" i="184"/>
  <c r="F2469" i="184"/>
  <c r="V12" i="220"/>
  <c r="S12" i="210"/>
  <c r="X12" i="230"/>
  <c r="V11" i="214"/>
  <c r="I47" i="215"/>
  <c r="T12" i="229"/>
  <c r="AE11" i="213"/>
  <c r="Y10" i="209"/>
  <c r="R40" i="212"/>
  <c r="L304" i="184"/>
  <c r="U60" i="157"/>
  <c r="I43" i="191" s="1"/>
  <c r="D43" i="191"/>
  <c r="L2390" i="184"/>
  <c r="G2501" i="184"/>
  <c r="K456" i="184"/>
  <c r="K29" i="13"/>
  <c r="K641" i="184" s="1"/>
  <c r="H716" i="184"/>
  <c r="F946" i="184"/>
  <c r="G1286" i="184"/>
  <c r="G2198" i="184"/>
  <c r="I1630" i="184"/>
  <c r="J762" i="184"/>
  <c r="K64" i="184"/>
  <c r="K15" i="78"/>
  <c r="G175" i="184"/>
  <c r="G15" i="78"/>
  <c r="D42" i="78"/>
  <c r="D1103" i="184" s="1"/>
  <c r="D1029" i="184"/>
  <c r="E513" i="184"/>
  <c r="H71" i="97"/>
  <c r="H1923" i="184" s="1"/>
  <c r="H1664" i="184"/>
  <c r="F1701" i="184"/>
  <c r="D41" i="96"/>
  <c r="I71" i="97"/>
  <c r="I1923" i="184" s="1"/>
  <c r="E1999" i="184"/>
  <c r="L1080" i="184"/>
  <c r="D2051" i="184"/>
  <c r="J42" i="184"/>
  <c r="J15" i="122"/>
  <c r="J468" i="184"/>
  <c r="J469" i="184"/>
  <c r="J29" i="142"/>
  <c r="J654" i="184" s="1"/>
  <c r="D729" i="184"/>
  <c r="G121" i="184"/>
  <c r="D419" i="184"/>
  <c r="D29" i="13"/>
  <c r="D641" i="184" s="1"/>
  <c r="F530" i="184"/>
  <c r="E827" i="184"/>
  <c r="D938" i="184"/>
  <c r="K1276" i="184"/>
  <c r="D493" i="184"/>
  <c r="D37" i="2"/>
  <c r="F1537" i="184"/>
  <c r="I296" i="191"/>
  <c r="G835" i="184"/>
  <c r="D909" i="184"/>
  <c r="D42" i="42"/>
  <c r="F948" i="184"/>
  <c r="H818" i="184"/>
  <c r="H31" i="52"/>
  <c r="H707" i="184" s="1"/>
  <c r="H2085" i="184"/>
  <c r="K805" i="184"/>
  <c r="E1254" i="184"/>
  <c r="D327" i="184"/>
  <c r="D18" i="62"/>
  <c r="G586" i="184"/>
  <c r="H613" i="184"/>
  <c r="H2306" i="184"/>
  <c r="O63" i="82"/>
  <c r="G1631" i="184"/>
  <c r="T63" i="82"/>
  <c r="G71" i="82"/>
  <c r="G1927" i="184" s="1"/>
  <c r="M63" i="82"/>
  <c r="G2149" i="184"/>
  <c r="G83" i="97"/>
  <c r="G2223" i="184" s="1"/>
  <c r="G105" i="97"/>
  <c r="K969" i="184"/>
  <c r="F1080" i="184"/>
  <c r="J1864" i="184"/>
  <c r="J71" i="117"/>
  <c r="J1938" i="184" s="1"/>
  <c r="D1195" i="184"/>
  <c r="D2463" i="184"/>
  <c r="M91" i="122"/>
  <c r="M2463" i="184" s="1"/>
  <c r="I1215" i="184"/>
  <c r="I56" i="142"/>
  <c r="D29" i="195"/>
  <c r="D308" i="184"/>
  <c r="L724" i="184"/>
  <c r="J909" i="184"/>
  <c r="E2365" i="184"/>
  <c r="J540" i="184"/>
  <c r="H1217" i="184"/>
  <c r="D40" i="56"/>
  <c r="H290" i="184"/>
  <c r="H18" i="62"/>
  <c r="H253" i="184" s="1"/>
  <c r="G957" i="184"/>
  <c r="E1258" i="184"/>
  <c r="E56" i="62"/>
  <c r="E1443" i="184" s="1"/>
  <c r="U64" i="62"/>
  <c r="I177" i="191" s="1"/>
  <c r="D177" i="191"/>
  <c r="D45" i="61"/>
  <c r="G2076" i="184"/>
  <c r="G78" i="62"/>
  <c r="G2113" i="184" s="1"/>
  <c r="L115" i="72"/>
  <c r="B23" i="73"/>
  <c r="K736" i="184"/>
  <c r="U62" i="82"/>
  <c r="I104" i="191" s="1"/>
  <c r="L110" i="82"/>
  <c r="H1705" i="184"/>
  <c r="G2088" i="184"/>
  <c r="D785" i="184"/>
  <c r="D31" i="122"/>
  <c r="D1345" i="184"/>
  <c r="E1288" i="184"/>
  <c r="K284" i="184"/>
  <c r="K18" i="142"/>
  <c r="K247" i="184" s="1"/>
  <c r="D2204" i="184"/>
  <c r="E2170" i="184"/>
  <c r="AB65" i="92"/>
  <c r="F10" i="184"/>
  <c r="F15" i="13"/>
  <c r="F195" i="184" s="1"/>
  <c r="L47" i="184"/>
  <c r="E1574" i="184"/>
  <c r="H47" i="184"/>
  <c r="G456" i="184"/>
  <c r="E604" i="184"/>
  <c r="F1500" i="184"/>
  <c r="T64" i="13"/>
  <c r="H158" i="191" s="1"/>
  <c r="I78" i="13"/>
  <c r="I2094" i="184" s="1"/>
  <c r="I1946" i="184"/>
  <c r="D1983" i="184"/>
  <c r="I47" i="184"/>
  <c r="I15" i="13"/>
  <c r="L419" i="184"/>
  <c r="L29" i="13"/>
  <c r="L18" i="13"/>
  <c r="L234" i="184" s="1"/>
  <c r="F864" i="184"/>
  <c r="E901" i="184"/>
  <c r="F158" i="184"/>
  <c r="D40" i="2"/>
  <c r="D506" i="184"/>
  <c r="J866" i="184"/>
  <c r="D45" i="15"/>
  <c r="K1985" i="184"/>
  <c r="L2172" i="184"/>
  <c r="D1615" i="184"/>
  <c r="G2138" i="184"/>
  <c r="D2288" i="184"/>
  <c r="D941" i="184"/>
  <c r="F47" i="184"/>
  <c r="D758" i="184"/>
  <c r="K795" i="184"/>
  <c r="J211" i="184"/>
  <c r="D212" i="184"/>
  <c r="L1279" i="184"/>
  <c r="K50" i="191"/>
  <c r="J2136" i="184"/>
  <c r="J83" i="36"/>
  <c r="J2210" i="184" s="1"/>
  <c r="F1620" i="184"/>
  <c r="D39" i="66"/>
  <c r="O63" i="78"/>
  <c r="D1628" i="184"/>
  <c r="D2187" i="184"/>
  <c r="I2003" i="184"/>
  <c r="H2190" i="184"/>
  <c r="H83" i="82"/>
  <c r="M82" i="82"/>
  <c r="K163" i="184"/>
  <c r="J461" i="184"/>
  <c r="I1392" i="184"/>
  <c r="G1505" i="184"/>
  <c r="T60" i="26"/>
  <c r="O60" i="26"/>
  <c r="D2436" i="184"/>
  <c r="I161" i="184"/>
  <c r="E316" i="184"/>
  <c r="D390" i="184"/>
  <c r="D1210" i="184"/>
  <c r="K1804" i="184"/>
  <c r="H2028" i="184"/>
  <c r="F18" i="47"/>
  <c r="F244" i="184" s="1"/>
  <c r="L429" i="184"/>
  <c r="G948" i="184"/>
  <c r="L78" i="47"/>
  <c r="L2104" i="184" s="1"/>
  <c r="E25" i="184"/>
  <c r="I776" i="184"/>
  <c r="K2043" i="184"/>
  <c r="I770" i="184"/>
  <c r="K71" i="82"/>
  <c r="K1927" i="184" s="1"/>
  <c r="K1742" i="184"/>
  <c r="L1779" i="184"/>
  <c r="L2153" i="184"/>
  <c r="L83" i="82"/>
  <c r="L2227" i="184" s="1"/>
  <c r="D1364" i="184"/>
  <c r="U65" i="87"/>
  <c r="X65" i="87" s="1"/>
  <c r="L209" i="191" s="1"/>
  <c r="F1736" i="184"/>
  <c r="D42" i="86"/>
  <c r="I2147" i="184"/>
  <c r="H2184" i="184"/>
  <c r="H83" i="87"/>
  <c r="H2221" i="184" s="1"/>
  <c r="L1198" i="184"/>
  <c r="K1422" i="184"/>
  <c r="K56" i="92"/>
  <c r="K1459" i="184" s="1"/>
  <c r="L1646" i="184"/>
  <c r="D523" i="184"/>
  <c r="L601" i="184"/>
  <c r="L29" i="195"/>
  <c r="F1914" i="184"/>
  <c r="L792" i="184"/>
  <c r="F866" i="184"/>
  <c r="D197" i="191"/>
  <c r="U65" i="16"/>
  <c r="D1948" i="184"/>
  <c r="I2059" i="184"/>
  <c r="I78" i="16"/>
  <c r="I2096" i="184" s="1"/>
  <c r="K349" i="184"/>
  <c r="D15" i="184"/>
  <c r="D15" i="26"/>
  <c r="J15" i="184"/>
  <c r="D424" i="184"/>
  <c r="G795" i="184"/>
  <c r="E1318" i="184"/>
  <c r="H15" i="42"/>
  <c r="H203" i="184" s="1"/>
  <c r="E872" i="184"/>
  <c r="L983" i="184"/>
  <c r="F1171" i="184"/>
  <c r="D23" i="41"/>
  <c r="H1730" i="184"/>
  <c r="D2291" i="184"/>
  <c r="J2328" i="184"/>
  <c r="E1621" i="184"/>
  <c r="T63" i="47"/>
  <c r="D1695" i="184"/>
  <c r="T66" i="47"/>
  <c r="G1732" i="184"/>
  <c r="G1769" i="184"/>
  <c r="H447" i="184"/>
  <c r="L484" i="184"/>
  <c r="H1378" i="184"/>
  <c r="G2011" i="184"/>
  <c r="E368" i="184"/>
  <c r="J776" i="184"/>
  <c r="D1035" i="184"/>
  <c r="G621" i="184"/>
  <c r="H992" i="184"/>
  <c r="H42" i="78"/>
  <c r="L1066" i="184"/>
  <c r="H476" i="184"/>
  <c r="D29" i="82"/>
  <c r="J1296" i="184"/>
  <c r="L1668" i="184"/>
  <c r="L71" i="82"/>
  <c r="L1927" i="184" s="1"/>
  <c r="T65" i="82"/>
  <c r="D1705" i="184"/>
  <c r="D1093" i="184"/>
  <c r="T64" i="16"/>
  <c r="E2059" i="184"/>
  <c r="J2172" i="184"/>
  <c r="J83" i="16"/>
  <c r="J2209" i="184" s="1"/>
  <c r="D1763" i="184"/>
  <c r="T67" i="21"/>
  <c r="H273" i="191" s="1"/>
  <c r="F553" i="184"/>
  <c r="L29" i="112"/>
  <c r="L671" i="184" s="1"/>
  <c r="F1689" i="184"/>
  <c r="D41" i="20"/>
  <c r="F1205" i="184"/>
  <c r="E2286" i="184"/>
  <c r="O65" i="42"/>
  <c r="R65" i="42" s="1"/>
  <c r="G2178" i="184"/>
  <c r="E466" i="184"/>
  <c r="E726" i="184"/>
  <c r="E31" i="47"/>
  <c r="E689" i="184" s="1"/>
  <c r="I763" i="184"/>
  <c r="L2180" i="184"/>
  <c r="L83" i="47"/>
  <c r="L2217" i="184" s="1"/>
  <c r="K484" i="184"/>
  <c r="D929" i="184"/>
  <c r="K2048" i="184"/>
  <c r="K83" i="52"/>
  <c r="K2235" i="184" s="1"/>
  <c r="K2161" i="184"/>
  <c r="F62" i="184"/>
  <c r="G360" i="184"/>
  <c r="E29" i="62"/>
  <c r="E660" i="184" s="1"/>
  <c r="E623" i="184"/>
  <c r="L1556" i="184"/>
  <c r="E1593" i="184"/>
  <c r="M62" i="62"/>
  <c r="AB62" i="62" s="1"/>
  <c r="H1630" i="184"/>
  <c r="J2039" i="184"/>
  <c r="D53" i="61"/>
  <c r="F78" i="62"/>
  <c r="F2113" i="184" s="1"/>
  <c r="F2076" i="184"/>
  <c r="L2189" i="184"/>
  <c r="L83" i="62"/>
  <c r="L2226" i="184"/>
  <c r="H167" i="184"/>
  <c r="F317" i="184"/>
  <c r="U62" i="67"/>
  <c r="D43" i="66"/>
  <c r="H2142" i="184"/>
  <c r="H83" i="67"/>
  <c r="H2216" i="184" s="1"/>
  <c r="M2557" i="184"/>
  <c r="L107" i="67"/>
  <c r="J70" i="184"/>
  <c r="D52" i="71"/>
  <c r="H621" i="184"/>
  <c r="J733" i="184"/>
  <c r="H18" i="82"/>
  <c r="H254" i="184" s="1"/>
  <c r="M19" i="82"/>
  <c r="M291" i="184" s="1"/>
  <c r="E1407" i="184"/>
  <c r="I1890" i="184"/>
  <c r="M70" i="82"/>
  <c r="L1966" i="184"/>
  <c r="L78" i="82"/>
  <c r="L2114" i="184" s="1"/>
  <c r="D2092" i="184"/>
  <c r="G2168" i="184"/>
  <c r="G83" i="92"/>
  <c r="G2242" i="184" s="1"/>
  <c r="M90" i="92"/>
  <c r="F287" i="184"/>
  <c r="M19" i="97"/>
  <c r="F27" i="231" s="1"/>
  <c r="F18" i="97"/>
  <c r="F250" i="184" s="1"/>
  <c r="I435" i="184"/>
  <c r="I18" i="97"/>
  <c r="I250" i="184"/>
  <c r="K472" i="184"/>
  <c r="K29" i="97"/>
  <c r="L1701" i="184"/>
  <c r="D1775" i="184"/>
  <c r="M67" i="97"/>
  <c r="AN49" i="218" s="1"/>
  <c r="O67" i="97"/>
  <c r="C285" i="191" s="1"/>
  <c r="D2073" i="184"/>
  <c r="D78" i="97"/>
  <c r="D2110" i="184" s="1"/>
  <c r="J2073" i="184"/>
  <c r="J78" i="97"/>
  <c r="J2110" i="184" s="1"/>
  <c r="E2447" i="184"/>
  <c r="L589" i="184"/>
  <c r="E241" i="184"/>
  <c r="K12" i="184"/>
  <c r="E569" i="184"/>
  <c r="D755" i="184"/>
  <c r="H755" i="184"/>
  <c r="J125" i="184"/>
  <c r="D460" i="184"/>
  <c r="F757" i="184"/>
  <c r="F31" i="21"/>
  <c r="F683" i="184" s="1"/>
  <c r="E31" i="21"/>
  <c r="E683" i="184"/>
  <c r="H979" i="184"/>
  <c r="F1053" i="184"/>
  <c r="H313" i="184"/>
  <c r="D1764" i="184"/>
  <c r="D1838" i="184"/>
  <c r="E124" i="184"/>
  <c r="K15" i="36"/>
  <c r="K198" i="184"/>
  <c r="E533" i="184"/>
  <c r="H756" i="184"/>
  <c r="G793" i="184"/>
  <c r="E1284" i="184"/>
  <c r="D2028" i="184"/>
  <c r="L2141" i="184"/>
  <c r="H985" i="184"/>
  <c r="I1059" i="184"/>
  <c r="F1360" i="184"/>
  <c r="D1397" i="184"/>
  <c r="F186" i="184"/>
  <c r="G484" i="184"/>
  <c r="J1787" i="184"/>
  <c r="J1861" i="184"/>
  <c r="F2048" i="184"/>
  <c r="D52" i="51"/>
  <c r="E1064" i="184"/>
  <c r="D846" i="184"/>
  <c r="D31" i="62"/>
  <c r="I31" i="62"/>
  <c r="I698" i="184" s="1"/>
  <c r="I994" i="184"/>
  <c r="G1332" i="184"/>
  <c r="H71" i="62"/>
  <c r="H1926" i="184" s="1"/>
  <c r="L110" i="62"/>
  <c r="P69" i="62"/>
  <c r="E762" i="184"/>
  <c r="G1620" i="184"/>
  <c r="D1694" i="184"/>
  <c r="D2440" i="184"/>
  <c r="L1708" i="184"/>
  <c r="I325" i="184"/>
  <c r="U61" i="78"/>
  <c r="I64" i="191" s="1"/>
  <c r="H2074" i="184"/>
  <c r="K380" i="184"/>
  <c r="L454" i="184"/>
  <c r="E565" i="184"/>
  <c r="F751" i="184"/>
  <c r="F31" i="92"/>
  <c r="D42" i="92"/>
  <c r="G1422" i="184"/>
  <c r="G56" i="92"/>
  <c r="O64" i="92"/>
  <c r="C193" i="191" s="1"/>
  <c r="F31" i="102"/>
  <c r="F701" i="184" s="1"/>
  <c r="E886" i="184"/>
  <c r="D28" i="101"/>
  <c r="D495" i="184"/>
  <c r="L29" i="157"/>
  <c r="L674" i="184" s="1"/>
  <c r="L600" i="184"/>
  <c r="J532" i="184"/>
  <c r="I718" i="184"/>
  <c r="G829" i="184"/>
  <c r="D1576" i="184"/>
  <c r="T31" i="229"/>
  <c r="X31" i="230"/>
  <c r="S31" i="210"/>
  <c r="Y29" i="209"/>
  <c r="R12" i="212"/>
  <c r="I11" i="215"/>
  <c r="L2174" i="184"/>
  <c r="F18" i="26"/>
  <c r="F239" i="184"/>
  <c r="I313" i="184"/>
  <c r="K609" i="184"/>
  <c r="H1653" i="184"/>
  <c r="J1951" i="184"/>
  <c r="J78" i="26"/>
  <c r="J2099" i="184" s="1"/>
  <c r="G2025" i="184"/>
  <c r="I756" i="184"/>
  <c r="L1284" i="184"/>
  <c r="F1582" i="184"/>
  <c r="D38" i="41"/>
  <c r="E66" i="41" s="1"/>
  <c r="K1619" i="184"/>
  <c r="I1323" i="184"/>
  <c r="E1397" i="184"/>
  <c r="L929" i="184"/>
  <c r="L42" i="52"/>
  <c r="F1003" i="184"/>
  <c r="E1974" i="184"/>
  <c r="G805" i="184"/>
  <c r="E2298" i="184"/>
  <c r="D290" i="184"/>
  <c r="D401" i="184"/>
  <c r="H1815" i="184"/>
  <c r="E2302" i="184"/>
  <c r="K725" i="184"/>
  <c r="D18" i="78"/>
  <c r="K1180" i="184"/>
  <c r="G1776" i="184"/>
  <c r="D50" i="76"/>
  <c r="L2037" i="184"/>
  <c r="G2337" i="184"/>
  <c r="H884" i="184"/>
  <c r="H42" i="82"/>
  <c r="H1106" i="184" s="1"/>
  <c r="H1259" i="184"/>
  <c r="I1333" i="184"/>
  <c r="I56" i="82"/>
  <c r="I1444" i="184" s="1"/>
  <c r="J1370" i="184"/>
  <c r="O62" i="82"/>
  <c r="C104" i="191" s="1"/>
  <c r="M66" i="82"/>
  <c r="D42" i="81"/>
  <c r="I15" i="16"/>
  <c r="I197" i="184" s="1"/>
  <c r="I49" i="184"/>
  <c r="E51" i="184"/>
  <c r="I423" i="184"/>
  <c r="E534" i="184"/>
  <c r="K1016" i="184"/>
  <c r="K52" i="184"/>
  <c r="H424" i="184"/>
  <c r="G572" i="184"/>
  <c r="D795" i="184"/>
  <c r="D869" i="184"/>
  <c r="D42" i="26"/>
  <c r="L906" i="184"/>
  <c r="D37" i="25"/>
  <c r="G1873" i="184"/>
  <c r="F1247" i="184"/>
  <c r="E577" i="184"/>
  <c r="I15" i="52"/>
  <c r="L336" i="184"/>
  <c r="L18" i="52"/>
  <c r="L262" i="184"/>
  <c r="T64" i="52"/>
  <c r="T66" i="52"/>
  <c r="H260" i="191" s="1"/>
  <c r="E78" i="57"/>
  <c r="E2109" i="184" s="1"/>
  <c r="H772" i="184"/>
  <c r="D1556" i="184"/>
  <c r="L1021" i="184"/>
  <c r="F1396" i="184"/>
  <c r="D31" i="66"/>
  <c r="L1396" i="184"/>
  <c r="L1546" i="184"/>
  <c r="E2491" i="184"/>
  <c r="L844" i="184"/>
  <c r="L31" i="78"/>
  <c r="L696" i="184" s="1"/>
  <c r="L918" i="184"/>
  <c r="L42" i="78"/>
  <c r="I56" i="78"/>
  <c r="I1441" i="184" s="1"/>
  <c r="I2187" i="184"/>
  <c r="D2374" i="184"/>
  <c r="F2451" i="184"/>
  <c r="G2488" i="184"/>
  <c r="D804" i="184"/>
  <c r="F532" i="184"/>
  <c r="D52" i="15"/>
  <c r="F720" i="184"/>
  <c r="H2174" i="184"/>
  <c r="H83" i="21"/>
  <c r="H2211" i="184"/>
  <c r="F1052" i="184"/>
  <c r="I57" i="184"/>
  <c r="K42" i="47"/>
  <c r="K911" i="184"/>
  <c r="J595" i="184"/>
  <c r="K1230" i="184"/>
  <c r="J619" i="184"/>
  <c r="D1365" i="184"/>
  <c r="J83" i="57"/>
  <c r="J2222" i="184" s="1"/>
  <c r="K883" i="184"/>
  <c r="K42" i="62"/>
  <c r="K1105" i="184" s="1"/>
  <c r="J78" i="62"/>
  <c r="J2113" i="184" s="1"/>
  <c r="D1819" i="184"/>
  <c r="F915" i="184"/>
  <c r="J142" i="184"/>
  <c r="K625" i="184"/>
  <c r="R29" i="210"/>
  <c r="W29" i="230"/>
  <c r="S29" i="229"/>
  <c r="H34" i="215"/>
  <c r="U29" i="220"/>
  <c r="U28" i="214"/>
  <c r="X27" i="209"/>
  <c r="Q31" i="212"/>
  <c r="AD28" i="213"/>
  <c r="E718" i="184"/>
  <c r="L1650" i="184"/>
  <c r="K2135" i="184"/>
  <c r="K83" i="16"/>
  <c r="K2209" i="184"/>
  <c r="I1950" i="184"/>
  <c r="G52" i="184"/>
  <c r="D906" i="184"/>
  <c r="D1017" i="184"/>
  <c r="D867" i="184"/>
  <c r="I55" i="184"/>
  <c r="I15" i="42"/>
  <c r="I203" i="184" s="1"/>
  <c r="J538" i="184"/>
  <c r="D2441" i="184"/>
  <c r="T40" i="229"/>
  <c r="X40" i="230"/>
  <c r="V40" i="220"/>
  <c r="S40" i="210"/>
  <c r="I434" i="184"/>
  <c r="I177" i="184"/>
  <c r="I15" i="62"/>
  <c r="I214" i="184" s="1"/>
  <c r="G881" i="184"/>
  <c r="K30" i="184"/>
  <c r="K15" i="82"/>
  <c r="H67" i="184"/>
  <c r="F2334" i="184"/>
  <c r="L82" i="184"/>
  <c r="L15" i="92"/>
  <c r="L230" i="184" s="1"/>
  <c r="G956" i="184"/>
  <c r="J1964" i="184"/>
  <c r="E2304" i="184"/>
  <c r="H1613" i="184"/>
  <c r="E2061" i="184"/>
  <c r="G387" i="184"/>
  <c r="D13" i="184"/>
  <c r="K422" i="184"/>
  <c r="K798" i="184"/>
  <c r="K1395" i="184"/>
  <c r="E2180" i="184"/>
  <c r="E2330" i="184"/>
  <c r="F595" i="184"/>
  <c r="K892" i="184"/>
  <c r="H2161" i="184"/>
  <c r="F2417" i="184"/>
  <c r="D2037" i="184"/>
  <c r="D78" i="78"/>
  <c r="D2111" i="184" s="1"/>
  <c r="E2448" i="184"/>
  <c r="W39" i="230"/>
  <c r="R39" i="210"/>
  <c r="G2340" i="184"/>
  <c r="H433" i="184"/>
  <c r="H29" i="87"/>
  <c r="J12" i="184"/>
  <c r="G903" i="184"/>
  <c r="D940" i="184"/>
  <c r="H78" i="16"/>
  <c r="H2096" i="184" s="1"/>
  <c r="H1948" i="184"/>
  <c r="D2398" i="184"/>
  <c r="L15" i="184"/>
  <c r="J276" i="184"/>
  <c r="E832" i="184"/>
  <c r="I1505" i="184"/>
  <c r="H1951" i="184"/>
  <c r="E2325" i="184"/>
  <c r="E2173" i="184"/>
  <c r="S17" i="210"/>
  <c r="D2065" i="184"/>
  <c r="J2065" i="184"/>
  <c r="E1022" i="184"/>
  <c r="I521" i="184"/>
  <c r="E434" i="184"/>
  <c r="G1630" i="184"/>
  <c r="E2450" i="184"/>
  <c r="J1963" i="184"/>
  <c r="D1816" i="184"/>
  <c r="M68" i="82"/>
  <c r="F2377" i="184"/>
  <c r="I767" i="184"/>
  <c r="G477" i="184"/>
  <c r="G822" i="184"/>
  <c r="H462" i="184"/>
  <c r="D45" i="198"/>
  <c r="E42" i="184"/>
  <c r="E486" i="184"/>
  <c r="D31" i="111"/>
  <c r="F1417" i="184"/>
  <c r="K1715" i="184"/>
  <c r="I283" i="184"/>
  <c r="F1190" i="184"/>
  <c r="D23" i="136"/>
  <c r="I2197" i="184"/>
  <c r="H187" i="184"/>
  <c r="F598" i="184"/>
  <c r="D38" i="121"/>
  <c r="F1606" i="184"/>
  <c r="U41" i="220"/>
  <c r="S41" i="229"/>
  <c r="U40" i="214"/>
  <c r="H35" i="215"/>
  <c r="AD40" i="213"/>
  <c r="F1307" i="184"/>
  <c r="D28" i="116"/>
  <c r="D45" i="202"/>
  <c r="D41" i="106"/>
  <c r="F39" i="184"/>
  <c r="D10" i="106"/>
  <c r="R12" i="210"/>
  <c r="U11" i="214"/>
  <c r="D40" i="202"/>
  <c r="F2049" i="184"/>
  <c r="H30" i="215"/>
  <c r="U44" i="214"/>
  <c r="W45" i="230"/>
  <c r="AD44" i="213"/>
  <c r="R45" i="210"/>
  <c r="X44" i="209"/>
  <c r="Q29" i="212"/>
  <c r="S45" i="229"/>
  <c r="D43" i="202"/>
  <c r="F1780" i="184"/>
  <c r="F79" i="184"/>
  <c r="D11" i="121"/>
  <c r="F1419" i="184"/>
  <c r="D31" i="121"/>
  <c r="F2191" i="184"/>
  <c r="D58" i="202"/>
  <c r="D53" i="156"/>
  <c r="F2017" i="184"/>
  <c r="D51" i="194"/>
  <c r="F1555" i="184"/>
  <c r="D37" i="198"/>
  <c r="F2171" i="184"/>
  <c r="D58" i="151"/>
  <c r="F1240" i="184"/>
  <c r="D27" i="151"/>
  <c r="F11" i="184"/>
  <c r="D10" i="151"/>
  <c r="D37" i="156"/>
  <c r="F1203" i="184"/>
  <c r="D26" i="151"/>
  <c r="D40" i="151"/>
  <c r="D10" i="166"/>
  <c r="F21" i="184"/>
  <c r="W15" i="230"/>
  <c r="U14" i="214"/>
  <c r="AD14" i="213"/>
  <c r="U15" i="220"/>
  <c r="S15" i="229"/>
  <c r="Y40" i="230"/>
  <c r="U40" i="229"/>
  <c r="J17" i="215"/>
  <c r="W39" i="214"/>
  <c r="AF39" i="213"/>
  <c r="T18" i="210"/>
  <c r="W18" i="220"/>
  <c r="Y18" i="230"/>
  <c r="J10" i="215"/>
  <c r="T32" i="210"/>
  <c r="U32" i="229"/>
  <c r="W31" i="214"/>
  <c r="AF31" i="213"/>
  <c r="T29" i="210"/>
  <c r="Y29" i="230"/>
  <c r="E31" i="224"/>
  <c r="H18" i="224"/>
  <c r="D32" i="223"/>
  <c r="D26" i="30"/>
  <c r="D10" i="223"/>
  <c r="H15" i="224"/>
  <c r="D62" i="224"/>
  <c r="T68" i="224"/>
  <c r="O68" i="224"/>
  <c r="O70" i="224"/>
  <c r="R70" i="224" s="1"/>
  <c r="F52" i="216" s="1"/>
  <c r="T70" i="224"/>
  <c r="E90" i="224"/>
  <c r="W29" i="214"/>
  <c r="W20" i="220"/>
  <c r="Y37" i="230"/>
  <c r="U33" i="229"/>
  <c r="J27" i="215"/>
  <c r="T33" i="210"/>
  <c r="Y33" i="230"/>
  <c r="W14" i="220"/>
  <c r="W13" i="214"/>
  <c r="J40" i="215"/>
  <c r="AF13" i="213"/>
  <c r="T15" i="210"/>
  <c r="Y15" i="230"/>
  <c r="J48" i="215"/>
  <c r="J42" i="215"/>
  <c r="T13" i="210"/>
  <c r="T45" i="210"/>
  <c r="W44" i="214"/>
  <c r="W45" i="220"/>
  <c r="E78" i="224"/>
  <c r="F78" i="224"/>
  <c r="D45" i="223"/>
  <c r="M10" i="224"/>
  <c r="B10" i="223"/>
  <c r="D15" i="224"/>
  <c r="T72" i="224"/>
  <c r="O72" i="224"/>
  <c r="M72" i="224"/>
  <c r="B48" i="223" s="1"/>
  <c r="G15" i="224"/>
  <c r="T74" i="224"/>
  <c r="X74" i="224" s="1"/>
  <c r="M35" i="224"/>
  <c r="O67" i="224"/>
  <c r="R67" i="224" s="1"/>
  <c r="E52" i="216" s="1"/>
  <c r="H85" i="224"/>
  <c r="G90" i="224"/>
  <c r="M75" i="224"/>
  <c r="B51" i="223" s="1"/>
  <c r="D57" i="223"/>
  <c r="M98" i="224"/>
  <c r="J1087" i="184"/>
  <c r="AB60" i="162"/>
  <c r="P71" i="122"/>
  <c r="B45" i="161"/>
  <c r="X62" i="157"/>
  <c r="L117" i="191" s="1"/>
  <c r="P70" i="162"/>
  <c r="I37" i="221" s="1"/>
  <c r="W42" i="162"/>
  <c r="H44" i="162"/>
  <c r="BT59" i="218"/>
  <c r="M2081" i="184"/>
  <c r="W29" i="162"/>
  <c r="M1507" i="184"/>
  <c r="B57" i="161"/>
  <c r="F57" i="161" s="1"/>
  <c r="BP63" i="218"/>
  <c r="H134" i="191"/>
  <c r="D105" i="160"/>
  <c r="H280" i="191"/>
  <c r="X67" i="167"/>
  <c r="L280" i="191" s="1"/>
  <c r="AB66" i="162"/>
  <c r="BP48" i="218"/>
  <c r="G44" i="167"/>
  <c r="G1135" i="184" s="1"/>
  <c r="H300" i="191"/>
  <c r="D59" i="166"/>
  <c r="X66" i="167"/>
  <c r="L243" i="191" s="1"/>
  <c r="H243" i="191"/>
  <c r="G1097" i="184"/>
  <c r="M2064" i="184"/>
  <c r="M1803" i="184"/>
  <c r="M2140" i="184"/>
  <c r="AB68" i="162"/>
  <c r="BP59" i="218"/>
  <c r="BP50" i="218"/>
  <c r="D67" i="161"/>
  <c r="P71" i="162"/>
  <c r="M278" i="184"/>
  <c r="H165" i="191"/>
  <c r="M67" i="42"/>
  <c r="M67" i="82"/>
  <c r="AD49" i="218" s="1"/>
  <c r="BP49" i="218"/>
  <c r="J648" i="184"/>
  <c r="AB70" i="162"/>
  <c r="BP77" i="218"/>
  <c r="G32" i="231"/>
  <c r="M338" i="184"/>
  <c r="R64" i="162"/>
  <c r="D202" i="184"/>
  <c r="M15" i="162"/>
  <c r="I648" i="184"/>
  <c r="I44" i="162"/>
  <c r="I57" i="162" s="1"/>
  <c r="H281" i="191"/>
  <c r="M2031" i="184"/>
  <c r="BR58" i="218"/>
  <c r="B52" i="166"/>
  <c r="F52" i="166" s="1"/>
  <c r="R61" i="195"/>
  <c r="C81" i="191"/>
  <c r="H239" i="191"/>
  <c r="X66" i="162"/>
  <c r="L239" i="191" s="1"/>
  <c r="H303" i="191"/>
  <c r="D54" i="161"/>
  <c r="E657" i="184"/>
  <c r="H283" i="191"/>
  <c r="X67" i="87"/>
  <c r="L283" i="191" s="1"/>
  <c r="D1431" i="184"/>
  <c r="AN77" i="218"/>
  <c r="E2214" i="184"/>
  <c r="AL47" i="218"/>
  <c r="M1720" i="184"/>
  <c r="B41" i="91"/>
  <c r="D19" i="151"/>
  <c r="X65" i="112"/>
  <c r="L225" i="191"/>
  <c r="M225" i="191" s="1"/>
  <c r="C17" i="191"/>
  <c r="F42" i="161"/>
  <c r="K42" i="161"/>
  <c r="N42" i="161" s="1"/>
  <c r="D108" i="160"/>
  <c r="R64" i="78"/>
  <c r="G18" i="216" s="1"/>
  <c r="C175" i="191"/>
  <c r="M2027" i="184"/>
  <c r="BP58" i="218"/>
  <c r="B52" i="161"/>
  <c r="D54" i="116"/>
  <c r="I43" i="231"/>
  <c r="M389" i="184"/>
  <c r="R65" i="162"/>
  <c r="C202" i="191"/>
  <c r="R63" i="162"/>
  <c r="F38" i="216" s="1"/>
  <c r="C128" i="191"/>
  <c r="D19" i="161"/>
  <c r="F1093" i="184"/>
  <c r="F44" i="152"/>
  <c r="F1125" i="184"/>
  <c r="F642" i="184"/>
  <c r="C134" i="191"/>
  <c r="R64" i="199"/>
  <c r="G24" i="216" s="1"/>
  <c r="C176" i="191"/>
  <c r="D1108" i="184"/>
  <c r="R64" i="97"/>
  <c r="G22" i="216" s="1"/>
  <c r="C174" i="191"/>
  <c r="M2036" i="184"/>
  <c r="AN58" i="218"/>
  <c r="AB70" i="97"/>
  <c r="X67" i="62"/>
  <c r="L288" i="191" s="1"/>
  <c r="AT79" i="218"/>
  <c r="M2498" i="184"/>
  <c r="AB67" i="162"/>
  <c r="B43" i="161"/>
  <c r="M1766" i="184"/>
  <c r="E65" i="161"/>
  <c r="BP44" i="218"/>
  <c r="M760" i="184"/>
  <c r="S43" i="231"/>
  <c r="E648" i="184"/>
  <c r="H218" i="191"/>
  <c r="J2101" i="184"/>
  <c r="M2364" i="184"/>
  <c r="BP76" i="218"/>
  <c r="G1093" i="184"/>
  <c r="G44" i="162"/>
  <c r="G1131" i="184" s="1"/>
  <c r="H673" i="184"/>
  <c r="M834" i="184"/>
  <c r="AB61" i="92"/>
  <c r="M1990" i="184"/>
  <c r="B51" i="161"/>
  <c r="BP57" i="218"/>
  <c r="M1655" i="184"/>
  <c r="BP46" i="218"/>
  <c r="B40" i="161"/>
  <c r="AB64" i="162"/>
  <c r="R64" i="52"/>
  <c r="G13" i="216" s="1"/>
  <c r="M766" i="184"/>
  <c r="S38" i="231"/>
  <c r="D54" i="146"/>
  <c r="AT76" i="218"/>
  <c r="M2387" i="184"/>
  <c r="H216" i="184"/>
  <c r="H13" i="191"/>
  <c r="D2234" i="184"/>
  <c r="L208" i="184"/>
  <c r="L2121" i="184"/>
  <c r="D59" i="161"/>
  <c r="K44" i="167"/>
  <c r="K1097" i="184"/>
  <c r="J1111" i="184"/>
  <c r="E66" i="198"/>
  <c r="F45" i="161"/>
  <c r="K45" i="161" s="1"/>
  <c r="O45" i="161" s="1"/>
  <c r="M2290" i="184"/>
  <c r="BP74" i="218"/>
  <c r="D259" i="184"/>
  <c r="B37" i="161"/>
  <c r="F37" i="161"/>
  <c r="M1544" i="184"/>
  <c r="E1435" i="184"/>
  <c r="D111" i="160"/>
  <c r="I227" i="191"/>
  <c r="X63" i="162"/>
  <c r="L128" i="191"/>
  <c r="I128" i="191"/>
  <c r="X62" i="162"/>
  <c r="L91" i="191" s="1"/>
  <c r="H91" i="191"/>
  <c r="C60" i="191"/>
  <c r="D1449" i="184"/>
  <c r="AT50" i="218"/>
  <c r="B44" i="111"/>
  <c r="AB68" i="112"/>
  <c r="M1826" i="184"/>
  <c r="D67" i="111"/>
  <c r="R61" i="107"/>
  <c r="E26" i="216" s="1"/>
  <c r="C76" i="191"/>
  <c r="H299" i="191"/>
  <c r="D208" i="184"/>
  <c r="R63" i="97"/>
  <c r="F22" i="216" s="1"/>
  <c r="C137" i="191"/>
  <c r="R63" i="26"/>
  <c r="F9" i="216" s="1"/>
  <c r="C126" i="191"/>
  <c r="H77" i="191"/>
  <c r="X61" i="112"/>
  <c r="I1116" i="184"/>
  <c r="AB70" i="203"/>
  <c r="M2415" i="184"/>
  <c r="E65" i="166"/>
  <c r="BR44" i="218"/>
  <c r="M1585" i="184"/>
  <c r="AB62" i="167"/>
  <c r="B38" i="166"/>
  <c r="M1902" i="184"/>
  <c r="AX52" i="218"/>
  <c r="B46" i="121"/>
  <c r="F46" i="121" s="1"/>
  <c r="K46" i="121" s="1"/>
  <c r="O46" i="121" s="1"/>
  <c r="F1939" i="184"/>
  <c r="H257" i="191"/>
  <c r="AH77" i="218"/>
  <c r="AX77" i="218"/>
  <c r="F266" i="184"/>
  <c r="B36" i="81"/>
  <c r="AD42" i="218"/>
  <c r="AB60" i="82"/>
  <c r="I245" i="184"/>
  <c r="BP78" i="218"/>
  <c r="M2438" i="184"/>
  <c r="M301" i="184"/>
  <c r="I248" i="191"/>
  <c r="I63" i="191"/>
  <c r="M23" i="152"/>
  <c r="BJ18" i="218"/>
  <c r="H95" i="191"/>
  <c r="R63" i="122"/>
  <c r="C153" i="191"/>
  <c r="G153" i="191" s="1"/>
  <c r="I76" i="191"/>
  <c r="I143" i="191"/>
  <c r="R61" i="162"/>
  <c r="E1093" i="184"/>
  <c r="E44" i="162"/>
  <c r="E57" i="162" s="1"/>
  <c r="E1468" i="184" s="1"/>
  <c r="R64" i="167"/>
  <c r="F169" i="191" s="1"/>
  <c r="G169" i="191" s="1"/>
  <c r="C169" i="191"/>
  <c r="D18" i="111"/>
  <c r="F671" i="184"/>
  <c r="E261" i="184"/>
  <c r="B51" i="121"/>
  <c r="F51" i="121"/>
  <c r="M66" i="78"/>
  <c r="AB48" i="218" s="1"/>
  <c r="AD48" i="218"/>
  <c r="M66" i="92"/>
  <c r="AL48" i="218" s="1"/>
  <c r="M66" i="112"/>
  <c r="AT48" i="218" s="1"/>
  <c r="M66" i="137"/>
  <c r="M66" i="152"/>
  <c r="BJ48" i="218"/>
  <c r="M66" i="172"/>
  <c r="BT48" i="218" s="1"/>
  <c r="R60" i="82"/>
  <c r="C30" i="191"/>
  <c r="X61" i="92"/>
  <c r="D27" i="192" s="1"/>
  <c r="AB61" i="162"/>
  <c r="M2401" i="184"/>
  <c r="M2318" i="184"/>
  <c r="AL74" i="218"/>
  <c r="P70" i="137"/>
  <c r="I31" i="221" s="1"/>
  <c r="D370" i="191"/>
  <c r="P71" i="167"/>
  <c r="D354" i="191"/>
  <c r="M797" i="184"/>
  <c r="B37" i="96"/>
  <c r="D103" i="95"/>
  <c r="D59" i="111"/>
  <c r="BP43" i="218"/>
  <c r="M1627" i="184"/>
  <c r="AN45" i="218"/>
  <c r="B39" i="96"/>
  <c r="AB63" i="97"/>
  <c r="I222" i="191"/>
  <c r="H30" i="191"/>
  <c r="X60" i="82"/>
  <c r="BP75" i="218"/>
  <c r="AA69" i="162"/>
  <c r="M2327" i="184"/>
  <c r="R61" i="97"/>
  <c r="F63" i="191" s="1"/>
  <c r="G63" i="191" s="1"/>
  <c r="C63" i="191"/>
  <c r="R61" i="127"/>
  <c r="E30" i="216" s="1"/>
  <c r="C53" i="191"/>
  <c r="C27" i="191"/>
  <c r="I271" i="191"/>
  <c r="X67" i="16"/>
  <c r="L271" i="191" s="1"/>
  <c r="M343" i="184"/>
  <c r="E2105" i="184"/>
  <c r="F676" i="184"/>
  <c r="D18" i="202"/>
  <c r="F662" i="184"/>
  <c r="H12" i="191"/>
  <c r="E66" i="141"/>
  <c r="J229" i="184"/>
  <c r="M843" i="184"/>
  <c r="P71" i="92"/>
  <c r="D378" i="191"/>
  <c r="H57" i="162"/>
  <c r="H1131" i="184"/>
  <c r="F714" i="184"/>
  <c r="G2115" i="184"/>
  <c r="G212" i="184"/>
  <c r="AD64" i="218"/>
  <c r="M2190" i="184"/>
  <c r="B58" i="81"/>
  <c r="F58" i="81"/>
  <c r="J227" i="184"/>
  <c r="H214" i="184"/>
  <c r="E66" i="121"/>
  <c r="K215" i="184"/>
  <c r="L1103" i="184"/>
  <c r="M287" i="184"/>
  <c r="I93" i="191"/>
  <c r="H2227" i="184"/>
  <c r="X63" i="82"/>
  <c r="L141" i="191" s="1"/>
  <c r="H141" i="191"/>
  <c r="K212" i="184"/>
  <c r="E195" i="184"/>
  <c r="C15" i="191"/>
  <c r="V44" i="218"/>
  <c r="M1593" i="184"/>
  <c r="E65" i="61"/>
  <c r="B38" i="61"/>
  <c r="L675" i="184"/>
  <c r="M202" i="184"/>
  <c r="D675" i="184"/>
  <c r="C203" i="191"/>
  <c r="H131" i="191"/>
  <c r="X62" i="82"/>
  <c r="L104" i="191" s="1"/>
  <c r="I1437" i="184"/>
  <c r="R63" i="82"/>
  <c r="C141" i="191"/>
  <c r="D67" i="81"/>
  <c r="AD50" i="218"/>
  <c r="M1816" i="184"/>
  <c r="AB68" i="82"/>
  <c r="B44" i="81"/>
  <c r="I197" i="191"/>
  <c r="H655" i="184"/>
  <c r="D251" i="184"/>
  <c r="D711" i="184"/>
  <c r="J2228" i="184"/>
  <c r="F1086" i="184"/>
  <c r="B58" i="20"/>
  <c r="H186" i="191"/>
  <c r="G1459" i="184"/>
  <c r="K657" i="184"/>
  <c r="AD45" i="218"/>
  <c r="H1103" i="184"/>
  <c r="R64" i="92"/>
  <c r="D698" i="184"/>
  <c r="K1096" i="184"/>
  <c r="D1121" i="184"/>
  <c r="D44" i="92"/>
  <c r="D1159" i="184" s="1"/>
  <c r="I195" i="184"/>
  <c r="H290" i="191"/>
  <c r="F175" i="191"/>
  <c r="H38" i="216"/>
  <c r="F202" i="191"/>
  <c r="I1131" i="184"/>
  <c r="F52" i="161"/>
  <c r="E37" i="216"/>
  <c r="F81" i="191"/>
  <c r="G81" i="191"/>
  <c r="F174" i="191"/>
  <c r="F186" i="191"/>
  <c r="D109" i="160"/>
  <c r="K1135" i="184"/>
  <c r="F51" i="161"/>
  <c r="F40" i="161"/>
  <c r="K40" i="161" s="1"/>
  <c r="M40" i="161" s="1"/>
  <c r="D106" i="160"/>
  <c r="F29" i="216"/>
  <c r="F153" i="191"/>
  <c r="E38" i="166"/>
  <c r="D104" i="165"/>
  <c r="AB69" i="162"/>
  <c r="AA71" i="162"/>
  <c r="E1131" i="184"/>
  <c r="D112" i="120"/>
  <c r="F137" i="191"/>
  <c r="G137" i="191" s="1"/>
  <c r="G39" i="216"/>
  <c r="D44" i="111"/>
  <c r="F44" i="111"/>
  <c r="F37" i="96"/>
  <c r="K37" i="96" s="1"/>
  <c r="L37" i="96" s="1"/>
  <c r="F24" i="216"/>
  <c r="H1468" i="184"/>
  <c r="D44" i="81"/>
  <c r="F44" i="81" s="1"/>
  <c r="D110" i="80"/>
  <c r="F19" i="216"/>
  <c r="F141" i="191"/>
  <c r="G141" i="191"/>
  <c r="T63" i="107"/>
  <c r="M65" i="107"/>
  <c r="D78" i="107"/>
  <c r="D2123" i="184" s="1"/>
  <c r="T66" i="107"/>
  <c r="H261" i="191"/>
  <c r="O66" i="107"/>
  <c r="C261" i="191"/>
  <c r="L56" i="107"/>
  <c r="L1453" i="184"/>
  <c r="D58" i="106"/>
  <c r="D59" i="106" s="1"/>
  <c r="L15" i="107"/>
  <c r="F83" i="107"/>
  <c r="F2236" i="184" s="1"/>
  <c r="G42" i="107"/>
  <c r="D37" i="106"/>
  <c r="J448" i="184"/>
  <c r="D42" i="36"/>
  <c r="G15" i="36"/>
  <c r="G198" i="184" s="1"/>
  <c r="D10" i="35"/>
  <c r="T67" i="36"/>
  <c r="H272" i="191" s="1"/>
  <c r="G161" i="184"/>
  <c r="F13" i="184"/>
  <c r="I83" i="36"/>
  <c r="I2210" i="184"/>
  <c r="H42" i="36"/>
  <c r="H1089" i="184" s="1"/>
  <c r="U65" i="36"/>
  <c r="I198" i="191" s="1"/>
  <c r="M198" i="191" s="1"/>
  <c r="K1836" i="184"/>
  <c r="D31" i="36"/>
  <c r="D682" i="184" s="1"/>
  <c r="O65" i="36"/>
  <c r="C198" i="191" s="1"/>
  <c r="O62" i="36"/>
  <c r="C87" i="191" s="1"/>
  <c r="J18" i="36"/>
  <c r="J237" i="184" s="1"/>
  <c r="D51" i="35"/>
  <c r="D54" i="35" s="1"/>
  <c r="M64" i="36"/>
  <c r="AB64" i="36"/>
  <c r="K1205" i="184"/>
  <c r="D235" i="191"/>
  <c r="H198" i="191"/>
  <c r="K29" i="36"/>
  <c r="K644" i="184" s="1"/>
  <c r="T62" i="36"/>
  <c r="T64" i="36"/>
  <c r="H161" i="191" s="1"/>
  <c r="F42" i="36"/>
  <c r="F1089" i="184" s="1"/>
  <c r="D28" i="35"/>
  <c r="D56" i="36"/>
  <c r="D1427" i="184" s="1"/>
  <c r="H83" i="36"/>
  <c r="H2210" i="184" s="1"/>
  <c r="F29" i="13"/>
  <c r="D18" i="2" s="1"/>
  <c r="D20" i="2" s="1"/>
  <c r="G42" i="13"/>
  <c r="D51" i="2"/>
  <c r="D54" i="2" s="1"/>
  <c r="D29" i="21"/>
  <c r="D645" i="184" s="1"/>
  <c r="D195" i="191"/>
  <c r="D753" i="184"/>
  <c r="G1685" i="184"/>
  <c r="H2170" i="184"/>
  <c r="I42" i="13"/>
  <c r="K18" i="13"/>
  <c r="K234" i="184" s="1"/>
  <c r="F56" i="13"/>
  <c r="F1424" i="184" s="1"/>
  <c r="G56" i="13"/>
  <c r="G1424" i="184" s="1"/>
  <c r="F1239" i="184"/>
  <c r="J31" i="13"/>
  <c r="J679" i="184" s="1"/>
  <c r="T61" i="13"/>
  <c r="H47" i="191"/>
  <c r="D78" i="13"/>
  <c r="D18" i="13"/>
  <c r="H29" i="13"/>
  <c r="H44" i="13" s="1"/>
  <c r="H1124" i="184" s="1"/>
  <c r="E56" i="13"/>
  <c r="E1424" i="184" s="1"/>
  <c r="J78" i="13"/>
  <c r="J2094" i="184" s="1"/>
  <c r="I419" i="184"/>
  <c r="L83" i="13"/>
  <c r="L2207" i="184"/>
  <c r="K31" i="13"/>
  <c r="K679" i="184" s="1"/>
  <c r="G1946" i="184"/>
  <c r="O61" i="13"/>
  <c r="F1722" i="184"/>
  <c r="L29" i="78"/>
  <c r="M61" i="13"/>
  <c r="B37" i="2"/>
  <c r="I71" i="13"/>
  <c r="I1907" i="184" s="1"/>
  <c r="E1759" i="184"/>
  <c r="M90" i="13"/>
  <c r="T65" i="13"/>
  <c r="G29" i="13"/>
  <c r="G641" i="184" s="1"/>
  <c r="F18" i="13"/>
  <c r="F234" i="184"/>
  <c r="G83" i="13"/>
  <c r="G2207" i="184" s="1"/>
  <c r="D1639" i="184"/>
  <c r="D40" i="51"/>
  <c r="F71" i="52"/>
  <c r="F1935" i="184" s="1"/>
  <c r="L111" i="52"/>
  <c r="E186" i="191"/>
  <c r="Q69" i="52"/>
  <c r="E371" i="191" s="1"/>
  <c r="T67" i="52"/>
  <c r="E1787" i="184"/>
  <c r="U67" i="52"/>
  <c r="D297" i="191"/>
  <c r="L110" i="52"/>
  <c r="P69" i="52"/>
  <c r="H434" i="184"/>
  <c r="F545" i="184"/>
  <c r="K1870" i="184"/>
  <c r="I355" i="184"/>
  <c r="F466" i="184"/>
  <c r="E540" i="184"/>
  <c r="H1993" i="184"/>
  <c r="K1410" i="184"/>
  <c r="D105" i="13"/>
  <c r="D10" i="184"/>
  <c r="D15" i="13"/>
  <c r="D195" i="184" s="1"/>
  <c r="I716" i="184"/>
  <c r="H753" i="184"/>
  <c r="H31" i="13"/>
  <c r="H679" i="184" s="1"/>
  <c r="G790" i="184"/>
  <c r="M34" i="13"/>
  <c r="F827" i="184"/>
  <c r="F31" i="13"/>
  <c r="F679" i="184" s="1"/>
  <c r="E864" i="184"/>
  <c r="E42" i="13"/>
  <c r="D901" i="184"/>
  <c r="D42" i="13"/>
  <c r="L901" i="184"/>
  <c r="L42" i="13"/>
  <c r="K938" i="184"/>
  <c r="K42" i="13"/>
  <c r="I1759" i="184"/>
  <c r="H1796" i="184"/>
  <c r="G1833" i="184"/>
  <c r="D1870" i="184"/>
  <c r="D350" i="184"/>
  <c r="J424" i="184"/>
  <c r="J18" i="26"/>
  <c r="J239" i="184" s="1"/>
  <c r="F15" i="47"/>
  <c r="F205" i="184"/>
  <c r="F57" i="184"/>
  <c r="D11" i="46"/>
  <c r="F131" i="184"/>
  <c r="D13" i="46"/>
  <c r="E168" i="184"/>
  <c r="E442" i="184"/>
  <c r="F704" i="184"/>
  <c r="I1053" i="184"/>
  <c r="I42" i="21"/>
  <c r="I1090" i="184"/>
  <c r="G1206" i="184"/>
  <c r="E1280" i="184"/>
  <c r="D1317" i="184"/>
  <c r="D56" i="21"/>
  <c r="D1428" i="184" s="1"/>
  <c r="L1317" i="184"/>
  <c r="L56" i="21"/>
  <c r="L1428" i="184" s="1"/>
  <c r="K1354" i="184"/>
  <c r="J1391" i="184"/>
  <c r="I1504" i="184"/>
  <c r="M60" i="21"/>
  <c r="AB60" i="21" s="1"/>
  <c r="T61" i="21"/>
  <c r="H51" i="191" s="1"/>
  <c r="M51" i="191" s="1"/>
  <c r="D1541" i="184"/>
  <c r="O61" i="21"/>
  <c r="G1578" i="184"/>
  <c r="M62" i="21"/>
  <c r="B38" i="20"/>
  <c r="K88" i="191"/>
  <c r="L113" i="21"/>
  <c r="I1615" i="184"/>
  <c r="K71" i="21"/>
  <c r="K1911" i="184" s="1"/>
  <c r="K1652" i="184"/>
  <c r="D1689" i="184"/>
  <c r="O65" i="21"/>
  <c r="R65" i="21" s="1"/>
  <c r="H8" i="216" s="1"/>
  <c r="T65" i="21"/>
  <c r="G1726" i="184"/>
  <c r="O66" i="21"/>
  <c r="C236" i="191" s="1"/>
  <c r="J1763" i="184"/>
  <c r="O67" i="21"/>
  <c r="C273" i="191" s="1"/>
  <c r="E1800" i="184"/>
  <c r="I1874" i="184"/>
  <c r="D798" i="184"/>
  <c r="J835" i="184"/>
  <c r="G909" i="184"/>
  <c r="G42" i="42"/>
  <c r="G1094" i="184"/>
  <c r="E1097" i="184"/>
  <c r="AA69" i="97"/>
  <c r="M2336" i="184"/>
  <c r="D2232" i="184"/>
  <c r="D105" i="112"/>
  <c r="D29" i="112"/>
  <c r="L594" i="184"/>
  <c r="L29" i="137"/>
  <c r="I118" i="191"/>
  <c r="X62" i="195"/>
  <c r="L118" i="191" s="1"/>
  <c r="D2359" i="184"/>
  <c r="E1873" i="184"/>
  <c r="E71" i="36"/>
  <c r="E1910" i="184" s="1"/>
  <c r="J1949" i="184"/>
  <c r="I1986" i="184"/>
  <c r="G2023" i="184"/>
  <c r="D53" i="35"/>
  <c r="L116" i="36"/>
  <c r="B27" i="37"/>
  <c r="H1248" i="184"/>
  <c r="E1322" i="184"/>
  <c r="D1359" i="184"/>
  <c r="D46" i="66"/>
  <c r="F71" i="67"/>
  <c r="F1916" i="184"/>
  <c r="K78" i="152"/>
  <c r="K2095" i="184" s="1"/>
  <c r="K78" i="87"/>
  <c r="K2108" i="184" s="1"/>
  <c r="K78" i="97"/>
  <c r="K2110" i="184" s="1"/>
  <c r="K78" i="172"/>
  <c r="K2118" i="184" s="1"/>
  <c r="K78" i="52"/>
  <c r="K2122" i="184" s="1"/>
  <c r="K1992" i="184"/>
  <c r="I2029" i="184"/>
  <c r="H2066" i="184"/>
  <c r="F2142" i="184"/>
  <c r="D57" i="66"/>
  <c r="D59" i="66" s="1"/>
  <c r="F83" i="67"/>
  <c r="AL78" i="218"/>
  <c r="M2466" i="184"/>
  <c r="D32" i="30"/>
  <c r="I29" i="36"/>
  <c r="I644" i="184" s="1"/>
  <c r="H459" i="184"/>
  <c r="E570" i="184"/>
  <c r="F607" i="184"/>
  <c r="E719" i="184"/>
  <c r="E31" i="36"/>
  <c r="L1577" i="184"/>
  <c r="H31" i="62"/>
  <c r="H698" i="184" s="1"/>
  <c r="H883" i="184"/>
  <c r="G920" i="184"/>
  <c r="G42" i="62"/>
  <c r="G1105" i="184" s="1"/>
  <c r="F957" i="184"/>
  <c r="F42" i="62"/>
  <c r="D19" i="61"/>
  <c r="E994" i="184"/>
  <c r="E105" i="62"/>
  <c r="E42" i="62"/>
  <c r="M2567" i="184"/>
  <c r="L107" i="62"/>
  <c r="J19" i="184"/>
  <c r="J15" i="67"/>
  <c r="H56" i="184"/>
  <c r="H15" i="67"/>
  <c r="H204" i="184" s="1"/>
  <c r="D14" i="66"/>
  <c r="F167" i="184"/>
  <c r="F166" i="184"/>
  <c r="F179" i="184"/>
  <c r="G1121" i="184"/>
  <c r="D1589" i="184"/>
  <c r="T62" i="57"/>
  <c r="H99" i="191" s="1"/>
  <c r="K1589" i="184"/>
  <c r="D39" i="56"/>
  <c r="I1663" i="184"/>
  <c r="K1121" i="184"/>
  <c r="BP64" i="218"/>
  <c r="B50" i="161"/>
  <c r="BP56" i="218"/>
  <c r="M1953" i="184"/>
  <c r="B38" i="161"/>
  <c r="AB62" i="162"/>
  <c r="M1581" i="184"/>
  <c r="X67" i="78"/>
  <c r="L286" i="191" s="1"/>
  <c r="J1764" i="184"/>
  <c r="L545" i="184"/>
  <c r="AE30" i="213"/>
  <c r="V31" i="220"/>
  <c r="V30" i="214"/>
  <c r="AE12" i="231"/>
  <c r="F125" i="184"/>
  <c r="D13" i="20"/>
  <c r="U63" i="36"/>
  <c r="I124" i="191"/>
  <c r="D124" i="191"/>
  <c r="L115" i="36"/>
  <c r="B23" i="37"/>
  <c r="U64" i="52"/>
  <c r="X64" i="52" s="1"/>
  <c r="L186" i="191" s="1"/>
  <c r="D186" i="191"/>
  <c r="L116" i="52"/>
  <c r="B27" i="53"/>
  <c r="U63" i="57"/>
  <c r="D136" i="191"/>
  <c r="D59" i="61"/>
  <c r="X34" i="209"/>
  <c r="AD16" i="231"/>
  <c r="AD35" i="213"/>
  <c r="Q16" i="212"/>
  <c r="U36" i="220"/>
  <c r="W36" i="230"/>
  <c r="J1552" i="184"/>
  <c r="G1626" i="184"/>
  <c r="O63" i="57"/>
  <c r="C136" i="191" s="1"/>
  <c r="D29" i="66"/>
  <c r="F1322" i="184"/>
  <c r="F1336" i="184"/>
  <c r="D29" i="71"/>
  <c r="L107" i="26"/>
  <c r="M2553" i="184"/>
  <c r="D166" i="191"/>
  <c r="U64" i="42"/>
  <c r="I166" i="191" s="1"/>
  <c r="U63" i="47"/>
  <c r="D131" i="191"/>
  <c r="D28" i="56"/>
  <c r="F1291" i="184"/>
  <c r="H1058" i="184"/>
  <c r="U61" i="42"/>
  <c r="I55" i="191" s="1"/>
  <c r="L111" i="42"/>
  <c r="E166" i="191"/>
  <c r="Q69" i="42"/>
  <c r="E351" i="191" s="1"/>
  <c r="U60" i="47"/>
  <c r="I20" i="191"/>
  <c r="D66" i="15"/>
  <c r="F1798" i="184"/>
  <c r="D69" i="35"/>
  <c r="F1353" i="184"/>
  <c r="D29" i="41"/>
  <c r="F1321" i="184"/>
  <c r="D836" i="184"/>
  <c r="D49" i="191"/>
  <c r="U61" i="16"/>
  <c r="I49" i="191" s="1"/>
  <c r="U67" i="57"/>
  <c r="I284" i="191"/>
  <c r="D284" i="191"/>
  <c r="D2185" i="184"/>
  <c r="D83" i="57"/>
  <c r="G1519" i="184"/>
  <c r="D58" i="25"/>
  <c r="F2175" i="184"/>
  <c r="D40" i="35"/>
  <c r="D161" i="191"/>
  <c r="U64" i="36"/>
  <c r="F2085" i="184"/>
  <c r="D53" i="51"/>
  <c r="L115" i="52"/>
  <c r="B23" i="53"/>
  <c r="J2198" i="184"/>
  <c r="J83" i="52"/>
  <c r="J2235" i="184"/>
  <c r="D43" i="56"/>
  <c r="F1774" i="184"/>
  <c r="D1704" i="184"/>
  <c r="O65" i="62"/>
  <c r="R65" i="62" s="1"/>
  <c r="H15" i="216" s="1"/>
  <c r="G31" i="26"/>
  <c r="G684" i="184" s="1"/>
  <c r="D13" i="30"/>
  <c r="U61" i="47"/>
  <c r="I57" i="191"/>
  <c r="L114" i="97"/>
  <c r="L112" i="112"/>
  <c r="L114" i="142"/>
  <c r="M25" i="224"/>
  <c r="M28" i="224"/>
  <c r="M59" i="224"/>
  <c r="B35" i="223" s="1"/>
  <c r="G78" i="117"/>
  <c r="M89" i="137"/>
  <c r="BD76" i="218" s="1"/>
  <c r="K47" i="184"/>
  <c r="K15" i="13"/>
  <c r="G15" i="13"/>
  <c r="G158" i="184"/>
  <c r="L493" i="184"/>
  <c r="E1202" i="184"/>
  <c r="L1202" i="184"/>
  <c r="L56" i="13"/>
  <c r="K1239" i="184"/>
  <c r="K56" i="13"/>
  <c r="K1424" i="184"/>
  <c r="H1313" i="184"/>
  <c r="D38" i="2"/>
  <c r="E66" i="2"/>
  <c r="F71" i="13"/>
  <c r="F1574" i="184"/>
  <c r="M62" i="13"/>
  <c r="E1611" i="184"/>
  <c r="E71" i="13"/>
  <c r="E1907" i="184" s="1"/>
  <c r="O63" i="13"/>
  <c r="J2431" i="184"/>
  <c r="M91" i="13"/>
  <c r="D78" i="218" s="1"/>
  <c r="K84" i="191"/>
  <c r="L113" i="13"/>
  <c r="L29" i="87"/>
  <c r="L581" i="184"/>
  <c r="H15" i="16"/>
  <c r="H197" i="184" s="1"/>
  <c r="G49" i="184"/>
  <c r="G15" i="16"/>
  <c r="G197" i="184" s="1"/>
  <c r="L384" i="184"/>
  <c r="K421" i="184"/>
  <c r="K18" i="16"/>
  <c r="K236" i="184" s="1"/>
  <c r="I1278" i="184"/>
  <c r="J271" i="191"/>
  <c r="L112" i="16"/>
  <c r="H942" i="184"/>
  <c r="H105" i="21"/>
  <c r="F1016" i="184"/>
  <c r="K1167" i="184"/>
  <c r="H1280" i="184"/>
  <c r="G1317" i="184"/>
  <c r="F1354" i="184"/>
  <c r="I1054" i="184"/>
  <c r="D43" i="30"/>
  <c r="D43" i="35"/>
  <c r="F1762" i="184"/>
  <c r="D57" i="35"/>
  <c r="D59" i="35" s="1"/>
  <c r="F83" i="36"/>
  <c r="F2136" i="184"/>
  <c r="E18" i="184"/>
  <c r="E15" i="42"/>
  <c r="E203" i="184" s="1"/>
  <c r="D166" i="184"/>
  <c r="I1321" i="184"/>
  <c r="U66" i="42"/>
  <c r="I240" i="191" s="1"/>
  <c r="D240" i="191"/>
  <c r="P69" i="42"/>
  <c r="P71" i="42" s="1"/>
  <c r="I131" i="184"/>
  <c r="I15" i="47"/>
  <c r="I205" i="184" s="1"/>
  <c r="G168" i="184"/>
  <c r="G15" i="47"/>
  <c r="L318" i="184"/>
  <c r="G1212" i="184"/>
  <c r="I1040" i="184"/>
  <c r="H1077" i="184"/>
  <c r="L805" i="184"/>
  <c r="K140" i="184"/>
  <c r="K15" i="62"/>
  <c r="K214" i="184" s="1"/>
  <c r="J177" i="184"/>
  <c r="J15" i="62"/>
  <c r="J214" i="184"/>
  <c r="I475" i="184"/>
  <c r="I29" i="62"/>
  <c r="I105" i="62"/>
  <c r="I512" i="184"/>
  <c r="H29" i="62"/>
  <c r="H549" i="184"/>
  <c r="G29" i="62"/>
  <c r="G623" i="184"/>
  <c r="M32" i="62"/>
  <c r="F735" i="184"/>
  <c r="J883" i="184"/>
  <c r="J42" i="62"/>
  <c r="J1105" i="184" s="1"/>
  <c r="D1369" i="184"/>
  <c r="D56" i="62"/>
  <c r="D105" i="62"/>
  <c r="L1369" i="184"/>
  <c r="L56" i="62"/>
  <c r="K1406" i="184"/>
  <c r="K56" i="62"/>
  <c r="K1443" i="184" s="1"/>
  <c r="J1519" i="184"/>
  <c r="J71" i="62"/>
  <c r="J1926" i="184"/>
  <c r="O61" i="62"/>
  <c r="E1556" i="184"/>
  <c r="M61" i="62"/>
  <c r="V43" i="218" s="1"/>
  <c r="T61" i="62"/>
  <c r="D2039" i="184"/>
  <c r="D78" i="62"/>
  <c r="M76" i="62"/>
  <c r="V58" i="218" s="1"/>
  <c r="J2376" i="184"/>
  <c r="M89" i="62"/>
  <c r="I2413" i="184"/>
  <c r="M90" i="62"/>
  <c r="V77" i="218"/>
  <c r="E539" i="184"/>
  <c r="L873" i="184"/>
  <c r="K910" i="184"/>
  <c r="H1322" i="184"/>
  <c r="G1359" i="184"/>
  <c r="K1396" i="184"/>
  <c r="J1509" i="184"/>
  <c r="O60" i="67"/>
  <c r="J130" i="191"/>
  <c r="L2029" i="184"/>
  <c r="J2066" i="184"/>
  <c r="K850" i="184"/>
  <c r="H1560" i="184"/>
  <c r="E175" i="184"/>
  <c r="F1293" i="184"/>
  <c r="D28" i="76"/>
  <c r="F56" i="78"/>
  <c r="F1441" i="184" s="1"/>
  <c r="E1739" i="184"/>
  <c r="O66" i="78"/>
  <c r="C249" i="191" s="1"/>
  <c r="T66" i="78"/>
  <c r="H249" i="191" s="1"/>
  <c r="G1813" i="184"/>
  <c r="E476" i="184"/>
  <c r="E29" i="82"/>
  <c r="E661" i="184" s="1"/>
  <c r="K1370" i="184"/>
  <c r="K56" i="82"/>
  <c r="J1407" i="184"/>
  <c r="J56" i="82"/>
  <c r="J1444" i="184"/>
  <c r="H396" i="184"/>
  <c r="K1997" i="184"/>
  <c r="O66" i="92"/>
  <c r="C267" i="191" s="1"/>
  <c r="J71" i="92"/>
  <c r="J1942" i="184" s="1"/>
  <c r="E1794" i="184"/>
  <c r="T67" i="92"/>
  <c r="O67" i="92"/>
  <c r="C304" i="191" s="1"/>
  <c r="L1794" i="184"/>
  <c r="E1831" i="184"/>
  <c r="M68" i="92"/>
  <c r="D11" i="96"/>
  <c r="D15" i="96" s="1"/>
  <c r="F15" i="97"/>
  <c r="F63" i="184"/>
  <c r="F105" i="97"/>
  <c r="G137" i="184"/>
  <c r="G15" i="97"/>
  <c r="L1962" i="184"/>
  <c r="M74" i="97"/>
  <c r="L78" i="97"/>
  <c r="K1999" i="184"/>
  <c r="M75" i="97"/>
  <c r="M1999" i="184" s="1"/>
  <c r="D367" i="184"/>
  <c r="L367" i="184"/>
  <c r="L18" i="102"/>
  <c r="L256" i="184" s="1"/>
  <c r="G1071" i="184"/>
  <c r="G105" i="102"/>
  <c r="G42" i="102"/>
  <c r="G1108" i="184" s="1"/>
  <c r="D23" i="101"/>
  <c r="F1185" i="184"/>
  <c r="D56" i="102"/>
  <c r="D1446" i="184" s="1"/>
  <c r="J511" i="184"/>
  <c r="I548" i="184"/>
  <c r="G2075" i="184"/>
  <c r="G78" i="199"/>
  <c r="G2112" i="184" s="1"/>
  <c r="B27" i="200"/>
  <c r="K440" i="184"/>
  <c r="K29" i="203"/>
  <c r="K662" i="184" s="1"/>
  <c r="J477" i="184"/>
  <c r="J29" i="203"/>
  <c r="J44" i="203" s="1"/>
  <c r="J105" i="203"/>
  <c r="J514" i="184"/>
  <c r="I29" i="203"/>
  <c r="I551" i="184"/>
  <c r="H588" i="184"/>
  <c r="H29" i="203"/>
  <c r="J1371" i="184"/>
  <c r="J56" i="203"/>
  <c r="I2041" i="184"/>
  <c r="H2078" i="184"/>
  <c r="H78" i="203"/>
  <c r="H2115" i="184" s="1"/>
  <c r="I2452" i="184"/>
  <c r="M91" i="203"/>
  <c r="AH78" i="218" s="1"/>
  <c r="M92" i="203"/>
  <c r="AH79" i="218"/>
  <c r="D39" i="184"/>
  <c r="D15" i="107"/>
  <c r="D224" i="184" s="1"/>
  <c r="K39" i="184"/>
  <c r="K15" i="107"/>
  <c r="H1004" i="184"/>
  <c r="G1603" i="184"/>
  <c r="G1588" i="184"/>
  <c r="M62" i="107"/>
  <c r="AR44" i="218" s="1"/>
  <c r="I1640" i="184"/>
  <c r="I2012" i="184"/>
  <c r="H2049" i="184"/>
  <c r="F2086" i="184"/>
  <c r="L116" i="107"/>
  <c r="B27" i="108"/>
  <c r="L2162" i="184"/>
  <c r="K2199" i="184"/>
  <c r="K83" i="107"/>
  <c r="J2312" i="184"/>
  <c r="I2349" i="184"/>
  <c r="I783" i="184"/>
  <c r="I105" i="112"/>
  <c r="M33" i="112"/>
  <c r="W36" i="112" s="1"/>
  <c r="I31" i="112"/>
  <c r="I709" i="184" s="1"/>
  <c r="H820" i="184"/>
  <c r="H31" i="112"/>
  <c r="H709" i="184" s="1"/>
  <c r="H105" i="112"/>
  <c r="M34" i="112"/>
  <c r="F857" i="184"/>
  <c r="F31" i="112"/>
  <c r="F709" i="184" s="1"/>
  <c r="M35" i="112"/>
  <c r="F105" i="112"/>
  <c r="H968" i="184"/>
  <c r="H42" i="112"/>
  <c r="J1232" i="184"/>
  <c r="J105" i="112"/>
  <c r="I56" i="112"/>
  <c r="I1454" i="184" s="1"/>
  <c r="G1306" i="184"/>
  <c r="G56" i="112"/>
  <c r="G1454" i="184" s="1"/>
  <c r="F56" i="112"/>
  <c r="D29" i="111"/>
  <c r="G1752" i="184"/>
  <c r="T66" i="112"/>
  <c r="H262" i="191" s="1"/>
  <c r="G71" i="112"/>
  <c r="K2425" i="184"/>
  <c r="K42" i="184"/>
  <c r="K15" i="122"/>
  <c r="J79" i="184"/>
  <c r="I153" i="184"/>
  <c r="I15" i="122"/>
  <c r="I105" i="122"/>
  <c r="H190" i="184"/>
  <c r="G636" i="184"/>
  <c r="G29" i="122"/>
  <c r="J31" i="122"/>
  <c r="J711" i="184" s="1"/>
  <c r="G785" i="184"/>
  <c r="G31" i="122"/>
  <c r="I1754" i="184"/>
  <c r="H1393" i="184"/>
  <c r="H56" i="127"/>
  <c r="H1430" i="184" s="1"/>
  <c r="H56" i="152"/>
  <c r="H1425" i="184" s="1"/>
  <c r="H56" i="42"/>
  <c r="H1432" i="184"/>
  <c r="H56" i="132"/>
  <c r="H1436" i="184" s="1"/>
  <c r="H56" i="82"/>
  <c r="H1444" i="184" s="1"/>
  <c r="H56" i="52"/>
  <c r="H1452" i="184" s="1"/>
  <c r="G2026" i="184"/>
  <c r="H728" i="184"/>
  <c r="H31" i="132"/>
  <c r="H691" i="184" s="1"/>
  <c r="G1995" i="184"/>
  <c r="G78" i="132"/>
  <c r="G2106" i="184" s="1"/>
  <c r="D52" i="131"/>
  <c r="I185" i="184"/>
  <c r="I105" i="137"/>
  <c r="I15" i="137"/>
  <c r="I222" i="184" s="1"/>
  <c r="E854" i="184"/>
  <c r="M35" i="137"/>
  <c r="U37" i="231"/>
  <c r="E31" i="137"/>
  <c r="E706" i="184" s="1"/>
  <c r="G2495" i="184"/>
  <c r="M92" i="137"/>
  <c r="M2495" i="184" s="1"/>
  <c r="AE37" i="231"/>
  <c r="V18" i="214"/>
  <c r="V19" i="220"/>
  <c r="X19" i="230"/>
  <c r="S19" i="210"/>
  <c r="R37" i="212"/>
  <c r="I42" i="215"/>
  <c r="T19" i="229"/>
  <c r="Y17" i="209"/>
  <c r="I60" i="184"/>
  <c r="I15" i="142"/>
  <c r="D13" i="141"/>
  <c r="F134" i="184"/>
  <c r="D543" i="184"/>
  <c r="D29" i="142"/>
  <c r="D44" i="142" s="1"/>
  <c r="G1062" i="184"/>
  <c r="G42" i="142"/>
  <c r="D1176" i="184"/>
  <c r="I1735" i="184"/>
  <c r="I71" i="142"/>
  <c r="I1920" i="184" s="1"/>
  <c r="K183" i="184"/>
  <c r="K15" i="147"/>
  <c r="K220" i="184" s="1"/>
  <c r="H555" i="184"/>
  <c r="D1599" i="184"/>
  <c r="D71" i="147"/>
  <c r="D105" i="147"/>
  <c r="K1599" i="184"/>
  <c r="F71" i="147"/>
  <c r="F1932" i="184" s="1"/>
  <c r="L15" i="152"/>
  <c r="L196" i="184" s="1"/>
  <c r="J272" i="184"/>
  <c r="J18" i="152"/>
  <c r="J235" i="184" s="1"/>
  <c r="I1501" i="184"/>
  <c r="L2171" i="184"/>
  <c r="L83" i="152"/>
  <c r="L2208" i="184" s="1"/>
  <c r="E341" i="184"/>
  <c r="E18" i="157"/>
  <c r="E267" i="184"/>
  <c r="D1045" i="184"/>
  <c r="J1045" i="184"/>
  <c r="H1082" i="184"/>
  <c r="L1196" i="184"/>
  <c r="J1272" i="184"/>
  <c r="J56" i="157"/>
  <c r="J1457" i="184" s="1"/>
  <c r="I1309" i="184"/>
  <c r="I56" i="157"/>
  <c r="I1457" i="184" s="1"/>
  <c r="E2464" i="184"/>
  <c r="D2501" i="184"/>
  <c r="E81" i="184"/>
  <c r="E15" i="195"/>
  <c r="D15" i="195"/>
  <c r="D229" i="184"/>
  <c r="L155" i="184"/>
  <c r="L15" i="195"/>
  <c r="K192" i="184"/>
  <c r="K15" i="195"/>
  <c r="K229" i="184" s="1"/>
  <c r="J305" i="184"/>
  <c r="J18" i="195"/>
  <c r="J268" i="184" s="1"/>
  <c r="J105" i="195"/>
  <c r="H342" i="184"/>
  <c r="D416" i="184"/>
  <c r="D18" i="195"/>
  <c r="D268" i="184" s="1"/>
  <c r="L416" i="184"/>
  <c r="L18" i="195"/>
  <c r="L268" i="184" s="1"/>
  <c r="H2054" i="184"/>
  <c r="H78" i="195"/>
  <c r="H2128" i="184" s="1"/>
  <c r="F2091" i="184"/>
  <c r="D53" i="194"/>
  <c r="L115" i="195"/>
  <c r="B23" i="196"/>
  <c r="I2167" i="184"/>
  <c r="I83" i="195"/>
  <c r="I2241" i="184" s="1"/>
  <c r="G2204" i="184"/>
  <c r="G83" i="195"/>
  <c r="F2317" i="184"/>
  <c r="D2354" i="184"/>
  <c r="K352" i="184"/>
  <c r="K18" i="162"/>
  <c r="M21" i="162"/>
  <c r="K105" i="162"/>
  <c r="J1056" i="184"/>
  <c r="J42" i="162"/>
  <c r="J105" i="162"/>
  <c r="H105" i="162"/>
  <c r="I1692" i="184"/>
  <c r="M65" i="162"/>
  <c r="I71" i="162"/>
  <c r="I105" i="162"/>
  <c r="J2475" i="184"/>
  <c r="M92" i="162"/>
  <c r="E21" i="184"/>
  <c r="E15" i="167"/>
  <c r="E206" i="184" s="1"/>
  <c r="E105" i="167"/>
  <c r="I58" i="184"/>
  <c r="I15" i="167"/>
  <c r="I105" i="167"/>
  <c r="G132" i="184"/>
  <c r="G15" i="167"/>
  <c r="G206" i="184"/>
  <c r="G105" i="167"/>
  <c r="D169" i="184"/>
  <c r="D105" i="167"/>
  <c r="D15" i="167"/>
  <c r="D56" i="167"/>
  <c r="G801" i="184"/>
  <c r="G31" i="167"/>
  <c r="M34" i="167"/>
  <c r="D23" i="166"/>
  <c r="F105" i="167"/>
  <c r="F1174" i="184"/>
  <c r="D1213" i="184"/>
  <c r="L1213" i="184"/>
  <c r="L56" i="167"/>
  <c r="L1435" i="184" s="1"/>
  <c r="L105" i="167"/>
  <c r="K1250" i="184"/>
  <c r="K105" i="167"/>
  <c r="K56" i="167"/>
  <c r="K1435" i="184" s="1"/>
  <c r="O63" i="167"/>
  <c r="J1622" i="184"/>
  <c r="J105" i="167"/>
  <c r="J71" i="167"/>
  <c r="J1918" i="184" s="1"/>
  <c r="M63" i="167"/>
  <c r="K71" i="184"/>
  <c r="H15" i="172"/>
  <c r="H219" i="184" s="1"/>
  <c r="H182" i="184"/>
  <c r="F295" i="184"/>
  <c r="F18" i="172"/>
  <c r="F258" i="184" s="1"/>
  <c r="L295" i="184"/>
  <c r="I851" i="184"/>
  <c r="I31" i="172"/>
  <c r="I703" i="184" s="1"/>
  <c r="J2007" i="184"/>
  <c r="J78" i="172"/>
  <c r="J2118" i="184" s="1"/>
  <c r="H2044" i="184"/>
  <c r="D1001" i="184"/>
  <c r="L1001" i="184"/>
  <c r="D13" i="223"/>
  <c r="F112" i="224"/>
  <c r="F15" i="224"/>
  <c r="L18" i="224"/>
  <c r="M20" i="224"/>
  <c r="K18" i="224"/>
  <c r="J18" i="224"/>
  <c r="I18" i="224"/>
  <c r="H29" i="224"/>
  <c r="H44" i="224"/>
  <c r="M27" i="224"/>
  <c r="G29" i="224"/>
  <c r="F29" i="224"/>
  <c r="D18" i="223" s="1"/>
  <c r="E29" i="224"/>
  <c r="J31" i="224"/>
  <c r="I31" i="224"/>
  <c r="F31" i="224"/>
  <c r="M36" i="224"/>
  <c r="Q26" i="224" s="1"/>
  <c r="I42" i="224"/>
  <c r="M56" i="224"/>
  <c r="B32" i="223" s="1"/>
  <c r="D61" i="222" s="1"/>
  <c r="E62" i="224"/>
  <c r="M2550" i="184"/>
  <c r="L107" i="16"/>
  <c r="D162" i="184"/>
  <c r="D37" i="20"/>
  <c r="F1541" i="184"/>
  <c r="U67" i="13"/>
  <c r="D269" i="191"/>
  <c r="R65" i="92"/>
  <c r="H21" i="216" s="1"/>
  <c r="C230" i="191"/>
  <c r="M60" i="13"/>
  <c r="M1500" i="184" s="1"/>
  <c r="D1500" i="184"/>
  <c r="G1759" i="184"/>
  <c r="O67" i="13"/>
  <c r="C269" i="191"/>
  <c r="J2283" i="184"/>
  <c r="D2146" i="184"/>
  <c r="D83" i="142"/>
  <c r="D1687" i="184"/>
  <c r="F2137" i="184"/>
  <c r="D57" i="20"/>
  <c r="F83" i="21"/>
  <c r="D15" i="20"/>
  <c r="J2024" i="184"/>
  <c r="E2138" i="184"/>
  <c r="E83" i="26"/>
  <c r="E2212" i="184" s="1"/>
  <c r="L1689" i="184"/>
  <c r="H1387" i="184"/>
  <c r="H1206" i="184"/>
  <c r="D51" i="191"/>
  <c r="U61" i="21"/>
  <c r="X15" i="209"/>
  <c r="AD38" i="231"/>
  <c r="Q38" i="212"/>
  <c r="I13" i="184"/>
  <c r="D15" i="136"/>
  <c r="D15" i="101"/>
  <c r="D15" i="76"/>
  <c r="D39" i="131"/>
  <c r="D53" i="121"/>
  <c r="F2089" i="184"/>
  <c r="F83" i="52"/>
  <c r="F2235" i="184" s="1"/>
  <c r="K105" i="82"/>
  <c r="E15" i="117"/>
  <c r="L56" i="82"/>
  <c r="L1444" i="184" s="1"/>
  <c r="F1314" i="184"/>
  <c r="D29" i="151"/>
  <c r="L114" i="137"/>
  <c r="L114" i="82"/>
  <c r="M91" i="82"/>
  <c r="D42" i="91"/>
  <c r="F1421" i="184"/>
  <c r="D31" i="194"/>
  <c r="M65" i="82"/>
  <c r="F83" i="112"/>
  <c r="F2237" i="184" s="1"/>
  <c r="D105" i="137"/>
  <c r="M61" i="82"/>
  <c r="AD43" i="218"/>
  <c r="F15" i="82"/>
  <c r="E42" i="152"/>
  <c r="T64" i="172"/>
  <c r="M68" i="172"/>
  <c r="F15" i="152"/>
  <c r="K15" i="152"/>
  <c r="F56" i="152"/>
  <c r="F1425" i="184"/>
  <c r="M70" i="152"/>
  <c r="H160" i="191"/>
  <c r="H273" i="184"/>
  <c r="H105" i="16"/>
  <c r="D1165" i="184"/>
  <c r="E2470" i="184"/>
  <c r="L110" i="16"/>
  <c r="D2396" i="184"/>
  <c r="H2433" i="184"/>
  <c r="E49" i="184"/>
  <c r="E15" i="16"/>
  <c r="K42" i="16"/>
  <c r="K1088" i="184" s="1"/>
  <c r="K1724" i="184"/>
  <c r="D43" i="15"/>
  <c r="F1761" i="184"/>
  <c r="I2322" i="184"/>
  <c r="E532" i="184"/>
  <c r="E29" i="16"/>
  <c r="I1613" i="184"/>
  <c r="J1650" i="184"/>
  <c r="J71" i="16"/>
  <c r="J1909" i="184" s="1"/>
  <c r="O64" i="16"/>
  <c r="R64" i="16" s="1"/>
  <c r="G2135" i="184"/>
  <c r="D58" i="15"/>
  <c r="F83" i="16"/>
  <c r="F2209" i="184" s="1"/>
  <c r="F2172" i="184"/>
  <c r="D2285" i="184"/>
  <c r="H495" i="184"/>
  <c r="I1576" i="184"/>
  <c r="I71" i="16"/>
  <c r="I1909" i="184" s="1"/>
  <c r="J2059" i="184"/>
  <c r="F829" i="184"/>
  <c r="D866" i="184"/>
  <c r="D42" i="16"/>
  <c r="D1088" i="184" s="1"/>
  <c r="L42" i="16"/>
  <c r="K49" i="191"/>
  <c r="E2022" i="184"/>
  <c r="H234" i="191"/>
  <c r="D29" i="16"/>
  <c r="D458" i="184"/>
  <c r="J792" i="184"/>
  <c r="J31" i="16"/>
  <c r="J681" i="184"/>
  <c r="D27" i="15"/>
  <c r="F1241" i="184"/>
  <c r="E1278" i="184"/>
  <c r="K1278" i="184"/>
  <c r="K56" i="16"/>
  <c r="K1426" i="184" s="1"/>
  <c r="J1315" i="184"/>
  <c r="J56" i="16"/>
  <c r="H1352" i="184"/>
  <c r="G1389" i="184"/>
  <c r="D36" i="15"/>
  <c r="F1502" i="184"/>
  <c r="H1539" i="184"/>
  <c r="J1948" i="184"/>
  <c r="M74" i="16"/>
  <c r="F56" i="218"/>
  <c r="G1985" i="184"/>
  <c r="G78" i="16"/>
  <c r="G2096" i="184" s="1"/>
  <c r="D347" i="184"/>
  <c r="K347" i="184"/>
  <c r="F29" i="16"/>
  <c r="F643" i="184" s="1"/>
  <c r="F18" i="16"/>
  <c r="H606" i="184"/>
  <c r="J1165" i="184"/>
  <c r="H1204" i="184"/>
  <c r="D46" i="15"/>
  <c r="L1114" i="184"/>
  <c r="D558" i="184"/>
  <c r="L558" i="184"/>
  <c r="K1040" i="184"/>
  <c r="K1415" i="184"/>
  <c r="K56" i="52"/>
  <c r="K1452" i="184"/>
  <c r="J1528" i="184"/>
  <c r="E1565" i="184"/>
  <c r="M61" i="52"/>
  <c r="R43" i="218" s="1"/>
  <c r="T61" i="52"/>
  <c r="H75" i="191" s="1"/>
  <c r="E1602" i="184"/>
  <c r="K297" i="191"/>
  <c r="M69" i="52"/>
  <c r="P70" i="52" s="1"/>
  <c r="I12" i="221" s="1"/>
  <c r="J2161" i="184"/>
  <c r="M81" i="52"/>
  <c r="F2311" i="184"/>
  <c r="H297" i="191"/>
  <c r="D1452" i="184"/>
  <c r="G447" i="184"/>
  <c r="G18" i="52"/>
  <c r="G262" i="184" s="1"/>
  <c r="F484" i="184"/>
  <c r="F521" i="184"/>
  <c r="H42" i="52"/>
  <c r="H1114" i="184" s="1"/>
  <c r="H966" i="184"/>
  <c r="E1003" i="184"/>
  <c r="D1040" i="184"/>
  <c r="D42" i="52"/>
  <c r="D1114" i="184" s="1"/>
  <c r="J1341" i="184"/>
  <c r="I71" i="52"/>
  <c r="I1935" i="184"/>
  <c r="I1787" i="184"/>
  <c r="K2496" i="184"/>
  <c r="M92" i="52"/>
  <c r="I38" i="184"/>
  <c r="G75" i="184"/>
  <c r="G15" i="52"/>
  <c r="I410" i="184"/>
  <c r="M22" i="52"/>
  <c r="J929" i="184"/>
  <c r="J42" i="52"/>
  <c r="L892" i="184"/>
  <c r="L31" i="52"/>
  <c r="L707" i="184"/>
  <c r="D1341" i="184"/>
  <c r="K2011" i="184"/>
  <c r="K2422" i="184"/>
  <c r="J2459" i="184"/>
  <c r="I223" i="184"/>
  <c r="E42" i="52"/>
  <c r="E1114" i="184" s="1"/>
  <c r="J781" i="184"/>
  <c r="J31" i="52"/>
  <c r="J707" i="184" s="1"/>
  <c r="I818" i="184"/>
  <c r="M34" i="52"/>
  <c r="M818" i="184" s="1"/>
  <c r="G855" i="184"/>
  <c r="M35" i="52"/>
  <c r="G31" i="52"/>
  <c r="G707" i="184" s="1"/>
  <c r="F892" i="184"/>
  <c r="F42" i="52"/>
  <c r="H1267" i="184"/>
  <c r="G1304" i="184"/>
  <c r="G56" i="52"/>
  <c r="G1452" i="184" s="1"/>
  <c r="O66" i="52"/>
  <c r="C260" i="191" s="1"/>
  <c r="M75" i="52"/>
  <c r="D2011" i="184"/>
  <c r="F2385" i="184"/>
  <c r="M89" i="52"/>
  <c r="M2385" i="184" s="1"/>
  <c r="D371" i="191"/>
  <c r="P71" i="52"/>
  <c r="E1191" i="184"/>
  <c r="L1191" i="184"/>
  <c r="H1713" i="184"/>
  <c r="K299" i="184"/>
  <c r="K18" i="52"/>
  <c r="K262" i="184" s="1"/>
  <c r="J336" i="184"/>
  <c r="J18" i="52"/>
  <c r="J262" i="184" s="1"/>
  <c r="J105" i="52"/>
  <c r="I373" i="184"/>
  <c r="H632" i="184"/>
  <c r="H29" i="52"/>
  <c r="H669" i="184"/>
  <c r="L112" i="52"/>
  <c r="J149" i="191"/>
  <c r="H1676" i="184"/>
  <c r="H71" i="52"/>
  <c r="H1935" i="184" s="1"/>
  <c r="J186" i="191"/>
  <c r="K15" i="52"/>
  <c r="K149" i="184"/>
  <c r="J29" i="52"/>
  <c r="J669" i="184" s="1"/>
  <c r="L1602" i="184"/>
  <c r="L71" i="52"/>
  <c r="L1935" i="184"/>
  <c r="G1639" i="184"/>
  <c r="M63" i="52"/>
  <c r="R45" i="218"/>
  <c r="T63" i="52"/>
  <c r="O63" i="52"/>
  <c r="H1974" i="184"/>
  <c r="M74" i="52"/>
  <c r="M1974" i="184"/>
  <c r="F874" i="184"/>
  <c r="F31" i="47"/>
  <c r="G1993" i="184"/>
  <c r="M75" i="47"/>
  <c r="M1993" i="184" s="1"/>
  <c r="D614" i="184"/>
  <c r="J42" i="47"/>
  <c r="I948" i="184"/>
  <c r="F1584" i="184"/>
  <c r="D38" i="46"/>
  <c r="E66" i="46"/>
  <c r="M62" i="47"/>
  <c r="M1584" i="184" s="1"/>
  <c r="D2067" i="184"/>
  <c r="L56" i="47"/>
  <c r="L1434" i="184"/>
  <c r="L1323" i="184"/>
  <c r="J1880" i="184"/>
  <c r="D52" i="46"/>
  <c r="F2030" i="184"/>
  <c r="H15" i="47"/>
  <c r="H205" i="184" s="1"/>
  <c r="H57" i="184"/>
  <c r="G131" i="184"/>
  <c r="H800" i="184"/>
  <c r="L2367" i="184"/>
  <c r="H2441" i="184"/>
  <c r="I837" i="184"/>
  <c r="I31" i="47"/>
  <c r="I689" i="184" s="1"/>
  <c r="E2478" i="184"/>
  <c r="J20" i="184"/>
  <c r="J763" i="184"/>
  <c r="J31" i="47"/>
  <c r="J689" i="184" s="1"/>
  <c r="E1212" i="184"/>
  <c r="E56" i="47"/>
  <c r="D56" i="47"/>
  <c r="D1434" i="184" s="1"/>
  <c r="K1249" i="184"/>
  <c r="H1732" i="184"/>
  <c r="G78" i="47"/>
  <c r="G2104" i="184"/>
  <c r="J1059" i="184"/>
  <c r="G1695" i="184"/>
  <c r="G1843" i="184"/>
  <c r="L2293" i="184"/>
  <c r="J2330" i="184"/>
  <c r="D29" i="47"/>
  <c r="L29" i="47"/>
  <c r="L651" i="184"/>
  <c r="L540" i="184"/>
  <c r="K577" i="184"/>
  <c r="Q69" i="47"/>
  <c r="E353" i="191"/>
  <c r="D66" i="46"/>
  <c r="F1806" i="184"/>
  <c r="J2180" i="184"/>
  <c r="D911" i="184"/>
  <c r="E1510" i="184"/>
  <c r="T60" i="47"/>
  <c r="H20" i="191" s="1"/>
  <c r="O60" i="47"/>
  <c r="AD36" i="213"/>
  <c r="U36" i="214"/>
  <c r="Q17" i="212"/>
  <c r="AD17" i="231"/>
  <c r="X35" i="209"/>
  <c r="S37" i="229"/>
  <c r="R37" i="210"/>
  <c r="U37" i="220"/>
  <c r="W37" i="230"/>
  <c r="H16" i="215"/>
  <c r="G18" i="47"/>
  <c r="G244" i="184" s="1"/>
  <c r="G281" i="184"/>
  <c r="F318" i="184"/>
  <c r="E355" i="184"/>
  <c r="M21" i="47"/>
  <c r="M355" i="184" s="1"/>
  <c r="K392" i="184"/>
  <c r="J429" i="184"/>
  <c r="I466" i="184"/>
  <c r="H503" i="184"/>
  <c r="G42" i="47"/>
  <c r="G1096" i="184" s="1"/>
  <c r="D94" i="191"/>
  <c r="U62" i="47"/>
  <c r="H1621" i="184"/>
  <c r="D43" i="46"/>
  <c r="F1769" i="184"/>
  <c r="J78" i="47"/>
  <c r="J2104" i="184" s="1"/>
  <c r="J2067" i="184"/>
  <c r="G83" i="47"/>
  <c r="G2217" i="184" s="1"/>
  <c r="G2143" i="184"/>
  <c r="G874" i="184"/>
  <c r="D279" i="191"/>
  <c r="F1212" i="184"/>
  <c r="X37" i="230"/>
  <c r="D36" i="46"/>
  <c r="G353" i="184"/>
  <c r="L390" i="184"/>
  <c r="L18" i="42"/>
  <c r="L242" i="184"/>
  <c r="X36" i="230"/>
  <c r="Y34" i="209"/>
  <c r="R16" i="212"/>
  <c r="V36" i="220"/>
  <c r="I15" i="215"/>
  <c r="AE35" i="213"/>
  <c r="S36" i="210"/>
  <c r="T36" i="229"/>
  <c r="D53" i="41"/>
  <c r="L835" i="184"/>
  <c r="L78" i="42"/>
  <c r="L2102" i="184" s="1"/>
  <c r="H83" i="42"/>
  <c r="H2215" i="184" s="1"/>
  <c r="H2178" i="184"/>
  <c r="G2476" i="184"/>
  <c r="M92" i="42"/>
  <c r="M2476" i="184" s="1"/>
  <c r="E18" i="42"/>
  <c r="G1954" i="184"/>
  <c r="G78" i="42"/>
  <c r="G2102" i="184"/>
  <c r="D2328" i="184"/>
  <c r="J316" i="184"/>
  <c r="J18" i="42"/>
  <c r="J242" i="184"/>
  <c r="E1582" i="184"/>
  <c r="T62" i="42"/>
  <c r="M62" i="42"/>
  <c r="L1582" i="184"/>
  <c r="L105" i="42"/>
  <c r="E1020" i="184"/>
  <c r="F2065" i="184"/>
  <c r="J2439" i="184"/>
  <c r="M91" i="42"/>
  <c r="J203" i="184"/>
  <c r="V35" i="214"/>
  <c r="J798" i="184"/>
  <c r="L56" i="42"/>
  <c r="L1432" i="184" s="1"/>
  <c r="J1508" i="184"/>
  <c r="D1545" i="184"/>
  <c r="M61" i="42"/>
  <c r="T61" i="42"/>
  <c r="O61" i="42"/>
  <c r="G1730" i="184"/>
  <c r="T66" i="42"/>
  <c r="O66" i="42"/>
  <c r="C240" i="191"/>
  <c r="J1991" i="184"/>
  <c r="J78" i="42"/>
  <c r="J2102" i="184"/>
  <c r="I2028" i="184"/>
  <c r="D2402" i="184"/>
  <c r="D14" i="41"/>
  <c r="H538" i="184"/>
  <c r="F575" i="184"/>
  <c r="K612" i="184"/>
  <c r="K29" i="42"/>
  <c r="J31" i="42"/>
  <c r="J687" i="184" s="1"/>
  <c r="F761" i="184"/>
  <c r="I946" i="184"/>
  <c r="I42" i="42"/>
  <c r="F56" i="42"/>
  <c r="F1432" i="184"/>
  <c r="F1395" i="184"/>
  <c r="E1656" i="184"/>
  <c r="M64" i="42"/>
  <c r="O64" i="42"/>
  <c r="AE16" i="231"/>
  <c r="D11" i="41"/>
  <c r="F15" i="42"/>
  <c r="F55" i="184"/>
  <c r="J501" i="184"/>
  <c r="L909" i="184"/>
  <c r="L42" i="42"/>
  <c r="K1247" i="184"/>
  <c r="K56" i="42"/>
  <c r="K1432" i="184" s="1"/>
  <c r="H1284" i="184"/>
  <c r="F909" i="184"/>
  <c r="F42" i="42"/>
  <c r="D56" i="42"/>
  <c r="K15" i="184"/>
  <c r="K15" i="26"/>
  <c r="K200" i="184" s="1"/>
  <c r="J52" i="184"/>
  <c r="J15" i="26"/>
  <c r="D1951" i="184"/>
  <c r="E2436" i="184"/>
  <c r="H572" i="184"/>
  <c r="F721" i="184"/>
  <c r="D31" i="26"/>
  <c r="G980" i="184"/>
  <c r="F1017" i="184"/>
  <c r="H1505" i="184"/>
  <c r="J89" i="191"/>
  <c r="D2175" i="184"/>
  <c r="D2325" i="184"/>
  <c r="D200" i="184"/>
  <c r="I1988" i="184"/>
  <c r="H2025" i="184"/>
  <c r="H78" i="26"/>
  <c r="H2099" i="184" s="1"/>
  <c r="L52" i="184"/>
  <c r="L15" i="26"/>
  <c r="L200" i="184" s="1"/>
  <c r="E461" i="184"/>
  <c r="F832" i="184"/>
  <c r="E869" i="184"/>
  <c r="L869" i="184"/>
  <c r="L42" i="26"/>
  <c r="H1281" i="184"/>
  <c r="D29" i="25"/>
  <c r="D1355" i="184"/>
  <c r="I71" i="26"/>
  <c r="I1912" i="184"/>
  <c r="I1579" i="184"/>
  <c r="F1801" i="184"/>
  <c r="M68" i="26"/>
  <c r="B44" i="25" s="1"/>
  <c r="F2138" i="184"/>
  <c r="E52" i="184"/>
  <c r="I424" i="184"/>
  <c r="I18" i="26"/>
  <c r="I239" i="184" s="1"/>
  <c r="O64" i="26"/>
  <c r="D71" i="26"/>
  <c r="D1912" i="184" s="1"/>
  <c r="D1690" i="184"/>
  <c r="O65" i="26"/>
  <c r="T65" i="26"/>
  <c r="D237" i="191"/>
  <c r="U66" i="26"/>
  <c r="G1764" i="184"/>
  <c r="L1988" i="184"/>
  <c r="D1988" i="184"/>
  <c r="G15" i="184"/>
  <c r="D387" i="184"/>
  <c r="F498" i="184"/>
  <c r="L535" i="184"/>
  <c r="I721" i="184"/>
  <c r="I31" i="26"/>
  <c r="I684" i="184" s="1"/>
  <c r="I1168" i="184"/>
  <c r="K1505" i="184"/>
  <c r="E1542" i="184"/>
  <c r="O61" i="26"/>
  <c r="C52" i="191" s="1"/>
  <c r="T61" i="26"/>
  <c r="H52" i="191" s="1"/>
  <c r="G83" i="26"/>
  <c r="G2212" i="184" s="1"/>
  <c r="G2175" i="184"/>
  <c r="T32" i="229"/>
  <c r="S32" i="210"/>
  <c r="V32" i="220"/>
  <c r="I13" i="215"/>
  <c r="AE31" i="213"/>
  <c r="V31" i="214"/>
  <c r="X32" i="230"/>
  <c r="Y30" i="209"/>
  <c r="D163" i="184"/>
  <c r="J1281" i="184"/>
  <c r="J56" i="26"/>
  <c r="J1429" i="184" s="1"/>
  <c r="D31" i="25"/>
  <c r="F1392" i="184"/>
  <c r="D1091" i="184"/>
  <c r="G126" i="184"/>
  <c r="E424" i="184"/>
  <c r="E18" i="26"/>
  <c r="E239" i="184"/>
  <c r="K1168" i="184"/>
  <c r="E1281" i="184"/>
  <c r="D39" i="25"/>
  <c r="F1616" i="184"/>
  <c r="D276" i="184"/>
  <c r="L276" i="184"/>
  <c r="H350" i="184"/>
  <c r="J869" i="184"/>
  <c r="H906" i="184"/>
  <c r="F943" i="184"/>
  <c r="F42" i="26"/>
  <c r="D19" i="25" s="1"/>
  <c r="E980" i="184"/>
  <c r="E1168" i="184"/>
  <c r="I155" i="191"/>
  <c r="H182" i="191"/>
  <c r="X64" i="172"/>
  <c r="L182" i="191" s="1"/>
  <c r="G18" i="172"/>
  <c r="G258" i="184" s="1"/>
  <c r="F83" i="172"/>
  <c r="I83" i="172"/>
  <c r="G34" i="184"/>
  <c r="L34" i="184"/>
  <c r="I517" i="184"/>
  <c r="F554" i="184"/>
  <c r="I628" i="184"/>
  <c r="H888" i="184"/>
  <c r="D925" i="184"/>
  <c r="I1187" i="184"/>
  <c r="I1970" i="184"/>
  <c r="I2157" i="184"/>
  <c r="J18" i="172"/>
  <c r="J258" i="184" s="1"/>
  <c r="M69" i="172"/>
  <c r="BT51" i="218" s="1"/>
  <c r="M92" i="172"/>
  <c r="D58" i="171"/>
  <c r="D59" i="171" s="1"/>
  <c r="O67" i="172"/>
  <c r="C293" i="191"/>
  <c r="U62" i="172"/>
  <c r="I108" i="191" s="1"/>
  <c r="G15" i="172"/>
  <c r="G219" i="184" s="1"/>
  <c r="M20" i="172"/>
  <c r="E1672" i="184"/>
  <c r="J105" i="172"/>
  <c r="L114" i="172"/>
  <c r="J29" i="172"/>
  <c r="O60" i="172"/>
  <c r="O61" i="172"/>
  <c r="R61" i="172" s="1"/>
  <c r="B23" i="173"/>
  <c r="K71" i="172"/>
  <c r="M90" i="172"/>
  <c r="M2418" i="184" s="1"/>
  <c r="G78" i="172"/>
  <c r="T61" i="172"/>
  <c r="G42" i="172"/>
  <c r="G1110" i="184"/>
  <c r="T60" i="172"/>
  <c r="I15" i="172"/>
  <c r="M91" i="172"/>
  <c r="M2455" i="184" s="1"/>
  <c r="D71" i="191"/>
  <c r="E226" i="184"/>
  <c r="G2125" i="184"/>
  <c r="E1233" i="184"/>
  <c r="F747" i="184"/>
  <c r="L858" i="184"/>
  <c r="G1307" i="184"/>
  <c r="E1605" i="184"/>
  <c r="D1642" i="184"/>
  <c r="U65" i="117"/>
  <c r="I226" i="191" s="1"/>
  <c r="J300" i="191"/>
  <c r="K1977" i="184"/>
  <c r="H2388" i="184"/>
  <c r="R65" i="117"/>
  <c r="F226" i="191" s="1"/>
  <c r="H83" i="117"/>
  <c r="D189" i="191"/>
  <c r="E78" i="184"/>
  <c r="F15" i="117"/>
  <c r="F41" i="184"/>
  <c r="O64" i="117"/>
  <c r="R64" i="117" s="1"/>
  <c r="F189" i="191" s="1"/>
  <c r="K42" i="117"/>
  <c r="K1117" i="184" s="1"/>
  <c r="K31" i="117"/>
  <c r="K710" i="184" s="1"/>
  <c r="O62" i="117"/>
  <c r="C115" i="191"/>
  <c r="J31" i="117"/>
  <c r="J710" i="184" s="1"/>
  <c r="F18" i="117"/>
  <c r="F265" i="184" s="1"/>
  <c r="T62" i="117"/>
  <c r="H115" i="191" s="1"/>
  <c r="L56" i="117"/>
  <c r="L1455" i="184"/>
  <c r="F57" i="111"/>
  <c r="I299" i="191"/>
  <c r="X67" i="112"/>
  <c r="D110" i="110"/>
  <c r="D54" i="111"/>
  <c r="L2184" i="184"/>
  <c r="L83" i="87"/>
  <c r="L2221" i="184"/>
  <c r="L15" i="87"/>
  <c r="L24" i="184"/>
  <c r="K61" i="184"/>
  <c r="K15" i="87"/>
  <c r="K209" i="184" s="1"/>
  <c r="K135" i="184"/>
  <c r="J172" i="184"/>
  <c r="J15" i="87"/>
  <c r="G730" i="184"/>
  <c r="D767" i="184"/>
  <c r="L767" i="184"/>
  <c r="L31" i="87"/>
  <c r="L693" i="184"/>
  <c r="K804" i="184"/>
  <c r="K31" i="87"/>
  <c r="K693" i="184" s="1"/>
  <c r="I841" i="184"/>
  <c r="H878" i="184"/>
  <c r="M36" i="87"/>
  <c r="M878" i="184" s="1"/>
  <c r="G915" i="184"/>
  <c r="G42" i="87"/>
  <c r="F952" i="184"/>
  <c r="F42" i="87"/>
  <c r="E989" i="184"/>
  <c r="E42" i="87"/>
  <c r="D1026" i="184"/>
  <c r="D42" i="87"/>
  <c r="D1100" i="184"/>
  <c r="K1026" i="184"/>
  <c r="E1177" i="184"/>
  <c r="D1216" i="184"/>
  <c r="D56" i="87"/>
  <c r="D1438" i="184" s="1"/>
  <c r="F1625" i="184"/>
  <c r="D39" i="86"/>
  <c r="E2147" i="184"/>
  <c r="F618" i="184"/>
  <c r="F29" i="87"/>
  <c r="D1810" i="184"/>
  <c r="D71" i="87"/>
  <c r="I1847" i="184"/>
  <c r="K1884" i="184"/>
  <c r="J1960" i="184"/>
  <c r="I1997" i="184"/>
  <c r="D2184" i="184"/>
  <c r="D83" i="87"/>
  <c r="O62" i="87"/>
  <c r="C98" i="191" s="1"/>
  <c r="T62" i="87"/>
  <c r="H98" i="191" s="1"/>
  <c r="G1736" i="184"/>
  <c r="U33" i="214"/>
  <c r="U34" i="220"/>
  <c r="AD25" i="231"/>
  <c r="X32" i="209"/>
  <c r="S34" i="229"/>
  <c r="Q25" i="212"/>
  <c r="W34" i="230"/>
  <c r="E1514" i="184"/>
  <c r="T60" i="87"/>
  <c r="O60" i="87"/>
  <c r="C24" i="191" s="1"/>
  <c r="M60" i="87"/>
  <c r="B36" i="86" s="1"/>
  <c r="L1514" i="184"/>
  <c r="L71" i="87"/>
  <c r="L1921" i="184" s="1"/>
  <c r="O61" i="87"/>
  <c r="G71" i="87"/>
  <c r="G1921" i="184" s="1"/>
  <c r="T61" i="87"/>
  <c r="D2445" i="184"/>
  <c r="K2297" i="184"/>
  <c r="AD33" i="213"/>
  <c r="G396" i="184"/>
  <c r="E433" i="184"/>
  <c r="E29" i="87"/>
  <c r="E655" i="184" s="1"/>
  <c r="K470" i="184"/>
  <c r="K507" i="184"/>
  <c r="J544" i="184"/>
  <c r="F1699" i="184"/>
  <c r="D41" i="86"/>
  <c r="F2408" i="184"/>
  <c r="M92" i="87"/>
  <c r="M2482" i="184" s="1"/>
  <c r="R34" i="210"/>
  <c r="E322" i="184"/>
  <c r="D359" i="184"/>
  <c r="M77" i="87"/>
  <c r="M2071" i="184" s="1"/>
  <c r="G285" i="184"/>
  <c r="G18" i="87"/>
  <c r="G248" i="184"/>
  <c r="J1216" i="184"/>
  <c r="H1290" i="184"/>
  <c r="D29" i="86"/>
  <c r="F56" i="87"/>
  <c r="F1438" i="184" s="1"/>
  <c r="F1327" i="184"/>
  <c r="E1364" i="184"/>
  <c r="E56" i="87"/>
  <c r="U63" i="87"/>
  <c r="I135" i="191" s="1"/>
  <c r="L110" i="87"/>
  <c r="P69" i="87"/>
  <c r="P71" i="87" s="1"/>
  <c r="D135" i="191"/>
  <c r="D2371" i="184"/>
  <c r="AB66" i="82"/>
  <c r="B42" i="81"/>
  <c r="F42" i="81" s="1"/>
  <c r="K42" i="81" s="1"/>
  <c r="N42" i="81" s="1"/>
  <c r="M1742" i="184"/>
  <c r="J1106" i="184"/>
  <c r="L30" i="191"/>
  <c r="M1557" i="184"/>
  <c r="AB61" i="82"/>
  <c r="B37" i="81"/>
  <c r="AD58" i="218"/>
  <c r="M2040" i="184"/>
  <c r="B52" i="81"/>
  <c r="F52" i="81" s="1"/>
  <c r="D661" i="184"/>
  <c r="AB63" i="82"/>
  <c r="M1631" i="184"/>
  <c r="B39" i="81"/>
  <c r="L44" i="82"/>
  <c r="L1144" i="184" s="1"/>
  <c r="G215" i="184"/>
  <c r="I42" i="82"/>
  <c r="J18" i="82"/>
  <c r="J254" i="184" s="1"/>
  <c r="F29" i="82"/>
  <c r="F30" i="184"/>
  <c r="D550" i="184"/>
  <c r="K1183" i="184"/>
  <c r="F1370" i="184"/>
  <c r="L1370" i="184"/>
  <c r="D19" i="81"/>
  <c r="I105" i="82"/>
  <c r="M64" i="82"/>
  <c r="M81" i="82"/>
  <c r="P69" i="82"/>
  <c r="M74" i="82"/>
  <c r="I29" i="82"/>
  <c r="I661" i="184" s="1"/>
  <c r="G29" i="82"/>
  <c r="E42" i="82"/>
  <c r="D67" i="191"/>
  <c r="M35" i="82"/>
  <c r="G31" i="82"/>
  <c r="E56" i="82"/>
  <c r="E1444" i="184" s="1"/>
  <c r="L113" i="82"/>
  <c r="X23" i="209"/>
  <c r="T24" i="231"/>
  <c r="U25" i="220"/>
  <c r="F18" i="82"/>
  <c r="F254" i="184" s="1"/>
  <c r="E15" i="82"/>
  <c r="E83" i="82"/>
  <c r="D15" i="82"/>
  <c r="M21" i="82"/>
  <c r="M88" i="82"/>
  <c r="J71" i="82"/>
  <c r="J1927" i="184"/>
  <c r="H71" i="82"/>
  <c r="H1927" i="184" s="1"/>
  <c r="M75" i="82"/>
  <c r="K31" i="82"/>
  <c r="K699" i="184" s="1"/>
  <c r="E78" i="82"/>
  <c r="E2114" i="184" s="1"/>
  <c r="D18" i="82"/>
  <c r="D254" i="184" s="1"/>
  <c r="D105" i="82"/>
  <c r="D42" i="82"/>
  <c r="L105" i="82"/>
  <c r="H15" i="82"/>
  <c r="AD24" i="213"/>
  <c r="T61" i="82"/>
  <c r="T67" i="82"/>
  <c r="H105" i="82"/>
  <c r="M92" i="82"/>
  <c r="M62" i="82"/>
  <c r="I78" i="82"/>
  <c r="I2114" i="184" s="1"/>
  <c r="G18" i="82"/>
  <c r="G254" i="184" s="1"/>
  <c r="M20" i="82"/>
  <c r="M90" i="82"/>
  <c r="AD77" i="218" s="1"/>
  <c r="O61" i="82"/>
  <c r="G56" i="82"/>
  <c r="G1444" i="184" s="1"/>
  <c r="L15" i="82"/>
  <c r="M33" i="82"/>
  <c r="R25" i="210"/>
  <c r="D56" i="82"/>
  <c r="I83" i="82"/>
  <c r="I2227" i="184" s="1"/>
  <c r="O64" i="82"/>
  <c r="I18" i="82"/>
  <c r="I254" i="184"/>
  <c r="T64" i="82"/>
  <c r="H25" i="215"/>
  <c r="U24" i="214"/>
  <c r="H252" i="191"/>
  <c r="M252" i="191" s="1"/>
  <c r="E71" i="82"/>
  <c r="E1927" i="184" s="1"/>
  <c r="O65" i="82"/>
  <c r="J105" i="82"/>
  <c r="H29" i="82"/>
  <c r="H661" i="184" s="1"/>
  <c r="M32" i="82"/>
  <c r="R24" i="231" s="1"/>
  <c r="M87" i="82"/>
  <c r="G78" i="82"/>
  <c r="G2114" i="184" s="1"/>
  <c r="O67" i="82"/>
  <c r="C289" i="191" s="1"/>
  <c r="K42" i="82"/>
  <c r="J15" i="82"/>
  <c r="W25" i="230"/>
  <c r="G83" i="82"/>
  <c r="G2227" i="184" s="1"/>
  <c r="AD24" i="231"/>
  <c r="D38" i="81"/>
  <c r="E66" i="81" s="1"/>
  <c r="M89" i="82"/>
  <c r="E1557" i="184"/>
  <c r="D71" i="82"/>
  <c r="G105" i="82"/>
  <c r="E105" i="82"/>
  <c r="M77" i="82"/>
  <c r="M69" i="82"/>
  <c r="F56" i="82"/>
  <c r="F1444" i="184" s="1"/>
  <c r="J31" i="82"/>
  <c r="J699" i="184"/>
  <c r="E18" i="82"/>
  <c r="M22" i="82"/>
  <c r="I31" i="82"/>
  <c r="I699" i="184" s="1"/>
  <c r="E31" i="82"/>
  <c r="I71" i="82"/>
  <c r="I1927" i="184" s="1"/>
  <c r="I245" i="191"/>
  <c r="K18" i="137"/>
  <c r="K261" i="184" s="1"/>
  <c r="M75" i="137"/>
  <c r="D31" i="137"/>
  <c r="O64" i="137"/>
  <c r="C185" i="191" s="1"/>
  <c r="G185" i="191" s="1"/>
  <c r="M82" i="137"/>
  <c r="I31" i="137"/>
  <c r="I706" i="184" s="1"/>
  <c r="M70" i="137"/>
  <c r="L115" i="137"/>
  <c r="D53" i="136"/>
  <c r="B39" i="136"/>
  <c r="H105" i="137"/>
  <c r="G105" i="137"/>
  <c r="H42" i="137"/>
  <c r="D37" i="184"/>
  <c r="K29" i="137"/>
  <c r="J31" i="137"/>
  <c r="M64" i="137"/>
  <c r="D18" i="137"/>
  <c r="L56" i="137"/>
  <c r="L1451" i="184" s="1"/>
  <c r="D71" i="137"/>
  <c r="M91" i="137"/>
  <c r="M62" i="137"/>
  <c r="J15" i="137"/>
  <c r="T63" i="137"/>
  <c r="T60" i="137"/>
  <c r="M1638" i="184"/>
  <c r="C222" i="191"/>
  <c r="X61" i="137"/>
  <c r="M34" i="137"/>
  <c r="M32" i="137"/>
  <c r="M743" i="184" s="1"/>
  <c r="M61" i="137"/>
  <c r="M88" i="137"/>
  <c r="M20" i="137"/>
  <c r="J42" i="137"/>
  <c r="T64" i="137"/>
  <c r="L15" i="137"/>
  <c r="L222" i="184" s="1"/>
  <c r="F78" i="137"/>
  <c r="F2121" i="184" s="1"/>
  <c r="F1340" i="184"/>
  <c r="BD45" i="218"/>
  <c r="M854" i="184"/>
  <c r="F105" i="137"/>
  <c r="G29" i="137"/>
  <c r="G668" i="184" s="1"/>
  <c r="J105" i="137"/>
  <c r="F31" i="137"/>
  <c r="F706" i="184" s="1"/>
  <c r="I71" i="137"/>
  <c r="I1934" i="184" s="1"/>
  <c r="D29" i="137"/>
  <c r="G71" i="137"/>
  <c r="G1934" i="184" s="1"/>
  <c r="K15" i="137"/>
  <c r="O63" i="137"/>
  <c r="M60" i="137"/>
  <c r="G31" i="137"/>
  <c r="G706" i="184"/>
  <c r="H83" i="137"/>
  <c r="H2234" i="184" s="1"/>
  <c r="M65" i="137"/>
  <c r="M19" i="137"/>
  <c r="G42" i="137"/>
  <c r="M90" i="137"/>
  <c r="L113" i="137"/>
  <c r="F42" i="137"/>
  <c r="F1113" i="184" s="1"/>
  <c r="F29" i="137"/>
  <c r="C74" i="191"/>
  <c r="L112" i="137"/>
  <c r="E105" i="137"/>
  <c r="L105" i="137"/>
  <c r="J71" i="137"/>
  <c r="J1934" i="184" s="1"/>
  <c r="F18" i="137"/>
  <c r="F261" i="184" s="1"/>
  <c r="K56" i="137"/>
  <c r="K1451" i="184" s="1"/>
  <c r="F56" i="137"/>
  <c r="F1451" i="184" s="1"/>
  <c r="L71" i="137"/>
  <c r="L1934" i="184" s="1"/>
  <c r="O60" i="137"/>
  <c r="J29" i="137"/>
  <c r="J668" i="184" s="1"/>
  <c r="K31" i="137"/>
  <c r="K706" i="184" s="1"/>
  <c r="E185" i="191"/>
  <c r="I56" i="137"/>
  <c r="J78" i="137"/>
  <c r="J2121" i="184" s="1"/>
  <c r="K105" i="137"/>
  <c r="J56" i="137"/>
  <c r="J1451" i="184" s="1"/>
  <c r="M87" i="137"/>
  <c r="T65" i="137"/>
  <c r="H222" i="191" s="1"/>
  <c r="E1512" i="184"/>
  <c r="L1958" i="184"/>
  <c r="L78" i="132"/>
  <c r="L2106" i="184" s="1"/>
  <c r="K1325" i="184"/>
  <c r="J2443" i="184"/>
  <c r="G1399" i="184"/>
  <c r="D505" i="184"/>
  <c r="H1251" i="184"/>
  <c r="F1288" i="184"/>
  <c r="F56" i="132"/>
  <c r="F1436" i="184" s="1"/>
  <c r="D28" i="131"/>
  <c r="G1882" i="184"/>
  <c r="H2406" i="184"/>
  <c r="L1512" i="184"/>
  <c r="K1175" i="184"/>
  <c r="K765" i="184"/>
  <c r="F839" i="184"/>
  <c r="E876" i="184"/>
  <c r="E42" i="132"/>
  <c r="E1098" i="184" s="1"/>
  <c r="H42" i="132"/>
  <c r="G1061" i="184"/>
  <c r="E1175" i="184"/>
  <c r="G1808" i="184"/>
  <c r="F542" i="184"/>
  <c r="J616" i="184"/>
  <c r="I728" i="184"/>
  <c r="J1660" i="184"/>
  <c r="O64" i="132"/>
  <c r="O65" i="132"/>
  <c r="C207" i="191" s="1"/>
  <c r="K1697" i="184"/>
  <c r="F1771" i="184"/>
  <c r="D43" i="131"/>
  <c r="F1549" i="184"/>
  <c r="D37" i="131"/>
  <c r="D2219" i="184"/>
  <c r="F357" i="184"/>
  <c r="E18" i="132"/>
  <c r="E246" i="184" s="1"/>
  <c r="J431" i="184"/>
  <c r="H468" i="184"/>
  <c r="H2295" i="184"/>
  <c r="H1362" i="184"/>
  <c r="H1586" i="184"/>
  <c r="K22" i="184"/>
  <c r="K15" i="132"/>
  <c r="J59" i="184"/>
  <c r="J15" i="132"/>
  <c r="D14" i="131"/>
  <c r="L15" i="132"/>
  <c r="J96" i="191"/>
  <c r="J1995" i="184"/>
  <c r="I2032" i="184"/>
  <c r="I78" i="132"/>
  <c r="I2106" i="184" s="1"/>
  <c r="H2069" i="184"/>
  <c r="E2145" i="184"/>
  <c r="M81" i="132"/>
  <c r="J2182" i="184"/>
  <c r="J83" i="132"/>
  <c r="J2219" i="184" s="1"/>
  <c r="H314" i="184"/>
  <c r="F351" i="184"/>
  <c r="M21" i="127"/>
  <c r="M351" i="184" s="1"/>
  <c r="J610" i="184"/>
  <c r="M28" i="127"/>
  <c r="O35" i="231" s="1"/>
  <c r="J29" i="127"/>
  <c r="J647" i="184" s="1"/>
  <c r="H722" i="184"/>
  <c r="L1208" i="184"/>
  <c r="L56" i="127"/>
  <c r="L1430" i="184" s="1"/>
  <c r="K1245" i="184"/>
  <c r="K56" i="127"/>
  <c r="K1430" i="184"/>
  <c r="I1282" i="184"/>
  <c r="I56" i="127"/>
  <c r="I1430" i="184" s="1"/>
  <c r="E1356" i="184"/>
  <c r="E56" i="127"/>
  <c r="E1430" i="184" s="1"/>
  <c r="D1393" i="184"/>
  <c r="I1839" i="184"/>
  <c r="H1654" i="184"/>
  <c r="N43" i="218"/>
  <c r="BD43" i="218"/>
  <c r="L462" i="184"/>
  <c r="L29" i="127"/>
  <c r="L647" i="184" s="1"/>
  <c r="H536" i="184"/>
  <c r="G1617" i="184"/>
  <c r="T63" i="127"/>
  <c r="E462" i="184"/>
  <c r="E29" i="127"/>
  <c r="E647" i="184" s="1"/>
  <c r="G1055" i="184"/>
  <c r="J90" i="191"/>
  <c r="E573" i="184"/>
  <c r="I275" i="191"/>
  <c r="E833" i="184"/>
  <c r="H870" i="184"/>
  <c r="H42" i="127"/>
  <c r="H1092" i="184" s="1"/>
  <c r="G907" i="184"/>
  <c r="G42" i="127"/>
  <c r="E944" i="184"/>
  <c r="E42" i="127"/>
  <c r="E1092" i="184" s="1"/>
  <c r="L944" i="184"/>
  <c r="L42" i="127"/>
  <c r="L1092" i="184"/>
  <c r="J981" i="184"/>
  <c r="F1543" i="184"/>
  <c r="J53" i="191"/>
  <c r="H1580" i="184"/>
  <c r="D41" i="126"/>
  <c r="F1691" i="184"/>
  <c r="J201" i="191"/>
  <c r="I2400" i="184"/>
  <c r="J16" i="184"/>
  <c r="J15" i="127"/>
  <c r="J201" i="184" s="1"/>
  <c r="H53" i="184"/>
  <c r="J388" i="184"/>
  <c r="J18" i="127"/>
  <c r="J240" i="184" s="1"/>
  <c r="H425" i="184"/>
  <c r="I796" i="184"/>
  <c r="I31" i="127"/>
  <c r="I685" i="184" s="1"/>
  <c r="U64" i="127"/>
  <c r="I164" i="191" s="1"/>
  <c r="D164" i="191"/>
  <c r="L110" i="127"/>
  <c r="G2326" i="184"/>
  <c r="F2363" i="184"/>
  <c r="E16" i="184"/>
  <c r="E15" i="127"/>
  <c r="G127" i="184"/>
  <c r="G15" i="127"/>
  <c r="G201" i="184" s="1"/>
  <c r="J1169" i="184"/>
  <c r="D1430" i="184"/>
  <c r="L18" i="127"/>
  <c r="L240" i="184" s="1"/>
  <c r="L351" i="184"/>
  <c r="D31" i="127"/>
  <c r="D685" i="184" s="1"/>
  <c r="D759" i="184"/>
  <c r="K759" i="184"/>
  <c r="D46" i="126"/>
  <c r="D1952" i="184"/>
  <c r="L1952" i="184"/>
  <c r="K1989" i="184"/>
  <c r="I2026" i="184"/>
  <c r="H2063" i="184"/>
  <c r="H78" i="127"/>
  <c r="H2100" i="184" s="1"/>
  <c r="E2139" i="184"/>
  <c r="E83" i="127"/>
  <c r="E2213" i="184" s="1"/>
  <c r="D2176" i="184"/>
  <c r="L2176" i="184"/>
  <c r="D83" i="127"/>
  <c r="D2213" i="184" s="1"/>
  <c r="D196" i="184"/>
  <c r="K196" i="184"/>
  <c r="E71" i="152"/>
  <c r="E1908" i="184" s="1"/>
  <c r="K71" i="152"/>
  <c r="K1908" i="184" s="1"/>
  <c r="M22" i="152"/>
  <c r="L29" i="152"/>
  <c r="H47" i="215"/>
  <c r="J105" i="152"/>
  <c r="M32" i="152"/>
  <c r="F1871" i="184"/>
  <c r="M76" i="152"/>
  <c r="E939" i="184"/>
  <c r="Q40" i="212"/>
  <c r="U12" i="220"/>
  <c r="D11" i="151"/>
  <c r="I42" i="152"/>
  <c r="D46" i="151"/>
  <c r="M34" i="152"/>
  <c r="M68" i="152"/>
  <c r="U62" i="152"/>
  <c r="I85" i="191" s="1"/>
  <c r="H42" i="152"/>
  <c r="L31" i="152"/>
  <c r="L680" i="184" s="1"/>
  <c r="K18" i="152"/>
  <c r="K235" i="184" s="1"/>
  <c r="E18" i="152"/>
  <c r="E235" i="184"/>
  <c r="L115" i="152"/>
  <c r="F1388" i="184"/>
  <c r="S12" i="229"/>
  <c r="F48" i="184"/>
  <c r="D31" i="152"/>
  <c r="D680" i="184" s="1"/>
  <c r="O64" i="152"/>
  <c r="L110" i="152"/>
  <c r="I29" i="152"/>
  <c r="I642" i="184" s="1"/>
  <c r="L18" i="152"/>
  <c r="L235" i="184" s="1"/>
  <c r="W12" i="230"/>
  <c r="I105" i="152"/>
  <c r="I71" i="152"/>
  <c r="I1908" i="184" s="1"/>
  <c r="I78" i="152"/>
  <c r="M64" i="152"/>
  <c r="L56" i="152"/>
  <c r="L1425" i="184" s="1"/>
  <c r="L113" i="152"/>
  <c r="H29" i="152"/>
  <c r="H15" i="152"/>
  <c r="T66" i="152"/>
  <c r="M82" i="152"/>
  <c r="X10" i="209"/>
  <c r="K42" i="152"/>
  <c r="M91" i="152"/>
  <c r="P69" i="152"/>
  <c r="P71" i="152" s="1"/>
  <c r="O61" i="152"/>
  <c r="I56" i="152"/>
  <c r="I1425" i="184" s="1"/>
  <c r="T61" i="152"/>
  <c r="E56" i="152"/>
  <c r="E1425" i="184" s="1"/>
  <c r="D38" i="151"/>
  <c r="AD11" i="213"/>
  <c r="M88" i="152"/>
  <c r="BJ75" i="218" s="1"/>
  <c r="G29" i="152"/>
  <c r="H105" i="152"/>
  <c r="J29" i="152"/>
  <c r="J642" i="184" s="1"/>
  <c r="M65" i="152"/>
  <c r="H31" i="152"/>
  <c r="H680" i="184" s="1"/>
  <c r="O60" i="152"/>
  <c r="D15" i="161"/>
  <c r="X67" i="162"/>
  <c r="I276" i="191"/>
  <c r="F31" i="199"/>
  <c r="F697" i="184" s="1"/>
  <c r="F734" i="184"/>
  <c r="S45" i="210"/>
  <c r="T45" i="229"/>
  <c r="V44" i="214"/>
  <c r="V45" i="220"/>
  <c r="X45" i="230"/>
  <c r="AE44" i="213"/>
  <c r="AE29" i="231"/>
  <c r="Y44" i="209"/>
  <c r="S13" i="210"/>
  <c r="R29" i="212"/>
  <c r="H585" i="184"/>
  <c r="K1851" i="184"/>
  <c r="I1888" i="184"/>
  <c r="F2001" i="184"/>
  <c r="D51" i="198"/>
  <c r="I2449" i="184"/>
  <c r="I326" i="184"/>
  <c r="I18" i="199"/>
  <c r="I252" i="184" s="1"/>
  <c r="I1030" i="184"/>
  <c r="I42" i="199"/>
  <c r="J2038" i="184"/>
  <c r="J78" i="199"/>
  <c r="J2112" i="184" s="1"/>
  <c r="G2486" i="184"/>
  <c r="I1368" i="184"/>
  <c r="I56" i="199"/>
  <c r="I1442" i="184" s="1"/>
  <c r="D31" i="198"/>
  <c r="F1405" i="184"/>
  <c r="U67" i="199"/>
  <c r="D287" i="191"/>
  <c r="D1851" i="184"/>
  <c r="H1555" i="184"/>
  <c r="H71" i="199"/>
  <c r="H1925" i="184" s="1"/>
  <c r="J1257" i="184"/>
  <c r="E1331" i="184"/>
  <c r="D2412" i="184"/>
  <c r="I65" i="184"/>
  <c r="I15" i="199"/>
  <c r="K474" i="184"/>
  <c r="E956" i="184"/>
  <c r="K956" i="184"/>
  <c r="H1777" i="184"/>
  <c r="J2151" i="184"/>
  <c r="J83" i="199"/>
  <c r="J2225" i="184" s="1"/>
  <c r="I83" i="199"/>
  <c r="L2301" i="184"/>
  <c r="J2338" i="184"/>
  <c r="I30" i="215"/>
  <c r="E28" i="184"/>
  <c r="L28" i="184"/>
  <c r="L15" i="199"/>
  <c r="E1220" i="184"/>
  <c r="L115" i="199"/>
  <c r="B23" i="200"/>
  <c r="D18" i="199"/>
  <c r="D252" i="184" s="1"/>
  <c r="D400" i="184"/>
  <c r="H437" i="184"/>
  <c r="H18" i="199"/>
  <c r="H252" i="184" s="1"/>
  <c r="I1181" i="184"/>
  <c r="D139" i="191"/>
  <c r="U63" i="199"/>
  <c r="H1666" i="184"/>
  <c r="H1703" i="184"/>
  <c r="K734" i="184"/>
  <c r="H771" i="184"/>
  <c r="H31" i="199"/>
  <c r="H697" i="184" s="1"/>
  <c r="K808" i="184"/>
  <c r="G1067" i="184"/>
  <c r="J65" i="191"/>
  <c r="X61" i="199"/>
  <c r="D40" i="192" s="1"/>
  <c r="H2075" i="184"/>
  <c r="L64" i="184"/>
  <c r="H32" i="191"/>
  <c r="F217" i="191"/>
  <c r="G217" i="191" s="1"/>
  <c r="F27" i="184"/>
  <c r="F15" i="78"/>
  <c r="E138" i="184"/>
  <c r="D733" i="184"/>
  <c r="D31" i="78"/>
  <c r="K138" i="191"/>
  <c r="E2485" i="184"/>
  <c r="L15" i="78"/>
  <c r="G288" i="184"/>
  <c r="G105" i="78"/>
  <c r="F621" i="184"/>
  <c r="F955" i="184"/>
  <c r="F42" i="78"/>
  <c r="E992" i="184"/>
  <c r="I1628" i="184"/>
  <c r="G584" i="184"/>
  <c r="K881" i="184"/>
  <c r="K42" i="78"/>
  <c r="K1103" i="184" s="1"/>
  <c r="I918" i="184"/>
  <c r="U60" i="78"/>
  <c r="I27" i="191"/>
  <c r="D27" i="191"/>
  <c r="P69" i="78"/>
  <c r="R60" i="78"/>
  <c r="H1554" i="184"/>
  <c r="L112" i="78"/>
  <c r="J64" i="191"/>
  <c r="H1591" i="184"/>
  <c r="L114" i="78"/>
  <c r="F2074" i="184"/>
  <c r="I2411" i="184"/>
  <c r="F325" i="184"/>
  <c r="M20" i="78"/>
  <c r="E1066" i="184"/>
  <c r="I1665" i="184"/>
  <c r="I2150" i="184"/>
  <c r="I83" i="78"/>
  <c r="I2224" i="184" s="1"/>
  <c r="D2150" i="184"/>
  <c r="D83" i="78"/>
  <c r="L2000" i="184"/>
  <c r="L78" i="78"/>
  <c r="L2111" i="184" s="1"/>
  <c r="E1441" i="184"/>
  <c r="G436" i="184"/>
  <c r="G29" i="78"/>
  <c r="G658" i="184" s="1"/>
  <c r="G18" i="78"/>
  <c r="G251" i="184" s="1"/>
  <c r="F473" i="184"/>
  <c r="F510" i="184"/>
  <c r="E29" i="78"/>
  <c r="E547" i="184"/>
  <c r="E881" i="184"/>
  <c r="M36" i="78"/>
  <c r="V23" i="231"/>
  <c r="E31" i="78"/>
  <c r="E696" i="184" s="1"/>
  <c r="G1330" i="184"/>
  <c r="E1367" i="184"/>
  <c r="J1404" i="184"/>
  <c r="H1739" i="184"/>
  <c r="G1963" i="184"/>
  <c r="G78" i="78"/>
  <c r="G2111" i="184"/>
  <c r="E2374" i="184"/>
  <c r="E362" i="184"/>
  <c r="M21" i="78"/>
  <c r="H175" i="191"/>
  <c r="J807" i="184"/>
  <c r="J31" i="78"/>
  <c r="J696" i="184" s="1"/>
  <c r="G844" i="184"/>
  <c r="G31" i="78"/>
  <c r="G696" i="184" s="1"/>
  <c r="G1219" i="184"/>
  <c r="G56" i="78"/>
  <c r="G1441" i="184" s="1"/>
  <c r="E1256" i="184"/>
  <c r="K1256" i="184"/>
  <c r="K56" i="78"/>
  <c r="K1441" i="184" s="1"/>
  <c r="J1293" i="184"/>
  <c r="J212" i="191"/>
  <c r="J1887" i="184"/>
  <c r="J2300" i="184"/>
  <c r="H2337" i="184"/>
  <c r="J399" i="184"/>
  <c r="J18" i="78"/>
  <c r="J251" i="184" s="1"/>
  <c r="M22" i="78"/>
  <c r="D807" i="184"/>
  <c r="M34" i="78"/>
  <c r="I1180" i="184"/>
  <c r="H1702" i="184"/>
  <c r="I33" i="184"/>
  <c r="H70" i="184"/>
  <c r="I144" i="184"/>
  <c r="H181" i="184"/>
  <c r="F627" i="184"/>
  <c r="D1523" i="184"/>
  <c r="T60" i="72"/>
  <c r="O60" i="72"/>
  <c r="G1745" i="184"/>
  <c r="J255" i="191"/>
  <c r="G1782" i="184"/>
  <c r="G1893" i="184"/>
  <c r="F1262" i="184"/>
  <c r="D27" i="71"/>
  <c r="F56" i="72"/>
  <c r="H1373" i="184"/>
  <c r="F1410" i="184"/>
  <c r="D31" i="71"/>
  <c r="H553" i="184"/>
  <c r="G29" i="72"/>
  <c r="G664" i="184" s="1"/>
  <c r="G590" i="184"/>
  <c r="I1225" i="184"/>
  <c r="J479" i="184"/>
  <c r="J516" i="184"/>
  <c r="D1186" i="184"/>
  <c r="T64" i="72"/>
  <c r="X64" i="72" s="1"/>
  <c r="L181" i="191" s="1"/>
  <c r="D442" i="184"/>
  <c r="L442" i="184"/>
  <c r="K1035" i="184"/>
  <c r="H1072" i="184"/>
  <c r="J1560" i="184"/>
  <c r="D1597" i="184"/>
  <c r="T62" i="72"/>
  <c r="F1634" i="184"/>
  <c r="D39" i="71"/>
  <c r="I18" i="72"/>
  <c r="I257" i="184" s="1"/>
  <c r="I331" i="184"/>
  <c r="H368" i="184"/>
  <c r="G405" i="184"/>
  <c r="J961" i="184"/>
  <c r="G998" i="184"/>
  <c r="D1560" i="184"/>
  <c r="T61" i="72"/>
  <c r="I2080" i="184"/>
  <c r="E2193" i="184"/>
  <c r="L2193" i="184"/>
  <c r="I739" i="184"/>
  <c r="E776" i="184"/>
  <c r="J813" i="184"/>
  <c r="G850" i="184"/>
  <c r="D924" i="184"/>
  <c r="L924" i="184"/>
  <c r="L2043" i="184"/>
  <c r="K29" i="72"/>
  <c r="K664" i="184" s="1"/>
  <c r="E1969" i="184"/>
  <c r="H2006" i="184"/>
  <c r="E2043" i="184"/>
  <c r="I130" i="191"/>
  <c r="B10" i="30"/>
  <c r="AB75" i="224"/>
  <c r="D54" i="20"/>
  <c r="U29" i="214"/>
  <c r="F78" i="147"/>
  <c r="I83" i="137"/>
  <c r="I2234" i="184" s="1"/>
  <c r="F83" i="162"/>
  <c r="E47" i="166"/>
  <c r="E61" i="166" s="1"/>
  <c r="F38" i="166"/>
  <c r="D668" i="184"/>
  <c r="D44" i="137"/>
  <c r="D57" i="137" s="1"/>
  <c r="D1488" i="184" s="1"/>
  <c r="C188" i="191"/>
  <c r="R64" i="112"/>
  <c r="K1120" i="184"/>
  <c r="B9" i="188"/>
  <c r="B10" i="188"/>
  <c r="AB70" i="167"/>
  <c r="BR77" i="218"/>
  <c r="M2405" i="184"/>
  <c r="I8" i="20"/>
  <c r="I8" i="171"/>
  <c r="B202" i="184"/>
  <c r="B315" i="184"/>
  <c r="B1056" i="184"/>
  <c r="B1507" i="184"/>
  <c r="B1357" i="184"/>
  <c r="B1394" i="184"/>
  <c r="B1283" i="184"/>
  <c r="B2401" i="184"/>
  <c r="B2064" i="184"/>
  <c r="B127" i="184"/>
  <c r="B499" i="184"/>
  <c r="B759" i="184"/>
  <c r="B1130" i="184"/>
  <c r="B722" i="184"/>
  <c r="B1580" i="184"/>
  <c r="B2289" i="184"/>
  <c r="B2437" i="184"/>
  <c r="B2363" i="184"/>
  <c r="B250" i="184"/>
  <c r="B398" i="184"/>
  <c r="B843" i="184"/>
  <c r="B1292" i="184"/>
  <c r="B1028" i="184"/>
  <c r="B1477" i="184"/>
  <c r="B1516" i="184"/>
  <c r="B2336" i="184"/>
  <c r="B1999" i="184"/>
  <c r="B62" i="184"/>
  <c r="B545" i="184"/>
  <c r="B1027" i="184"/>
  <c r="B916" i="184"/>
  <c r="B1291" i="184"/>
  <c r="B1515" i="184"/>
  <c r="B1961" i="184"/>
  <c r="B2148" i="184"/>
  <c r="B2446" i="184"/>
  <c r="P13" i="127"/>
  <c r="C40" i="216"/>
  <c r="I8" i="25"/>
  <c r="I8" i="71"/>
  <c r="I8" i="202"/>
  <c r="I35" i="202" s="1"/>
  <c r="I8" i="126"/>
  <c r="I8" i="151"/>
  <c r="D69" i="20"/>
  <c r="B241" i="184"/>
  <c r="B463" i="184"/>
  <c r="B128" i="184"/>
  <c r="B1170" i="184"/>
  <c r="B537" i="184"/>
  <c r="B1544" i="184"/>
  <c r="B1431" i="184"/>
  <c r="B1655" i="184"/>
  <c r="B2214" i="184"/>
  <c r="B388" i="184"/>
  <c r="B536" i="184"/>
  <c r="B907" i="184"/>
  <c r="B1356" i="184"/>
  <c r="B870" i="184"/>
  <c r="B1617" i="184"/>
  <c r="B2400" i="184"/>
  <c r="B2474" i="184"/>
  <c r="B2511" i="184"/>
  <c r="B435" i="184"/>
  <c r="B657" i="184"/>
  <c r="B991" i="184"/>
  <c r="B1329" i="184"/>
  <c r="B620" i="184"/>
  <c r="B1627" i="184"/>
  <c r="B1553" i="184"/>
  <c r="B1590" i="184"/>
  <c r="B2149" i="184"/>
  <c r="B25" i="184"/>
  <c r="B582" i="184"/>
  <c r="B990" i="184"/>
  <c r="B1064" i="184"/>
  <c r="B1328" i="184"/>
  <c r="B1552" i="184"/>
  <c r="B2260" i="184"/>
  <c r="B2372" i="184"/>
  <c r="B2600" i="184"/>
  <c r="I8" i="41"/>
  <c r="I14" i="41" s="1"/>
  <c r="I8" i="86"/>
  <c r="B54" i="184"/>
  <c r="B760" i="184"/>
  <c r="B278" i="184"/>
  <c r="B1209" i="184"/>
  <c r="B686" i="184"/>
  <c r="B1692" i="184"/>
  <c r="B1581" i="184"/>
  <c r="B1803" i="184"/>
  <c r="B2555" i="184"/>
  <c r="B277" i="184"/>
  <c r="B796" i="184"/>
  <c r="B1055" i="184"/>
  <c r="B1765" i="184"/>
  <c r="B1018" i="184"/>
  <c r="B1654" i="184"/>
  <c r="B1802" i="184"/>
  <c r="B2591" i="184"/>
  <c r="B137" i="184"/>
  <c r="B695" i="184"/>
  <c r="B63" i="184"/>
  <c r="B1440" i="184"/>
  <c r="B769" i="184"/>
  <c r="B1664" i="184"/>
  <c r="B2036" i="184"/>
  <c r="B1738" i="184"/>
  <c r="B2484" i="184"/>
  <c r="B323" i="184"/>
  <c r="B619" i="184"/>
  <c r="B1139" i="184"/>
  <c r="B1476" i="184"/>
  <c r="B1439" i="184"/>
  <c r="B1589" i="184"/>
  <c r="B2409" i="184"/>
  <c r="B2520" i="184"/>
  <c r="C11" i="216"/>
  <c r="AN4" i="218"/>
  <c r="I8" i="46"/>
  <c r="I8" i="116"/>
  <c r="I14" i="116" s="1"/>
  <c r="AL41" i="213" s="1"/>
  <c r="I8" i="176"/>
  <c r="F126" i="184"/>
  <c r="B389" i="184"/>
  <c r="B723" i="184"/>
  <c r="B426" i="184"/>
  <c r="B1246" i="184"/>
  <c r="B834" i="184"/>
  <c r="B1729" i="184"/>
  <c r="B1618" i="184"/>
  <c r="B2252" i="184"/>
  <c r="B2592" i="184"/>
  <c r="B351" i="184"/>
  <c r="B944" i="184"/>
  <c r="B1208" i="184"/>
  <c r="B833" i="184"/>
  <c r="B1506" i="184"/>
  <c r="B1913" i="184"/>
  <c r="B2176" i="184"/>
  <c r="B2213" i="184"/>
  <c r="B174" i="184"/>
  <c r="B732" i="184"/>
  <c r="B211" i="184"/>
  <c r="B1102" i="184"/>
  <c r="B917" i="184"/>
  <c r="B1701" i="184"/>
  <c r="B2110" i="184"/>
  <c r="B1886" i="184"/>
  <c r="B2521" i="184"/>
  <c r="B286" i="184"/>
  <c r="B842" i="184"/>
  <c r="B1178" i="184"/>
  <c r="B1663" i="184"/>
  <c r="B1848" i="184"/>
  <c r="B2222" i="184"/>
  <c r="B1885" i="184"/>
  <c r="B2483" i="184"/>
  <c r="L117" i="97"/>
  <c r="L117" i="162"/>
  <c r="L117" i="57"/>
  <c r="C27" i="216"/>
  <c r="C8" i="216"/>
  <c r="I8" i="76"/>
  <c r="I8" i="106"/>
  <c r="I8" i="156"/>
  <c r="B165" i="184"/>
  <c r="B908" i="184"/>
  <c r="B500" i="184"/>
  <c r="B1468" i="184"/>
  <c r="B982" i="184"/>
  <c r="B1766" i="184"/>
  <c r="B1840" i="184"/>
  <c r="B2512" i="184"/>
  <c r="B2327" i="184"/>
  <c r="B201" i="184"/>
  <c r="B610" i="184"/>
  <c r="B16" i="184"/>
  <c r="B1245" i="184"/>
  <c r="B981" i="184"/>
  <c r="B1876" i="184"/>
  <c r="B1169" i="184"/>
  <c r="B2326" i="184"/>
  <c r="B2554" i="184"/>
  <c r="B26" i="184"/>
  <c r="B472" i="184"/>
  <c r="B361" i="184"/>
  <c r="B1140" i="184"/>
  <c r="B1065" i="184"/>
  <c r="B1812" i="184"/>
  <c r="B2299" i="184"/>
  <c r="B2186" i="184"/>
  <c r="B2410" i="184"/>
  <c r="B136" i="184"/>
  <c r="B434" i="184"/>
  <c r="B879" i="184"/>
  <c r="B1217" i="184"/>
  <c r="B508" i="184"/>
  <c r="B1811" i="184"/>
  <c r="B2335" i="184"/>
  <c r="B1626" i="184"/>
  <c r="B2035" i="184"/>
  <c r="P13" i="97"/>
  <c r="P13" i="162"/>
  <c r="P13" i="57"/>
  <c r="N4" i="218"/>
  <c r="I8" i="35"/>
  <c r="I8" i="91"/>
  <c r="F29" i="102"/>
  <c r="F663" i="184" s="1"/>
  <c r="B17" i="184"/>
  <c r="B574" i="184"/>
  <c r="B871" i="184"/>
  <c r="B797" i="184"/>
  <c r="B1953" i="184"/>
  <c r="B1877" i="184"/>
  <c r="B2101" i="184"/>
  <c r="B2177" i="184"/>
  <c r="B2475" i="184"/>
  <c r="B53" i="184"/>
  <c r="B647" i="184"/>
  <c r="B164" i="184"/>
  <c r="B1282" i="184"/>
  <c r="B1543" i="184"/>
  <c r="B1989" i="184"/>
  <c r="B1319" i="184"/>
  <c r="B1691" i="184"/>
  <c r="B1952" i="184"/>
  <c r="B100" i="184"/>
  <c r="B509" i="184"/>
  <c r="B806" i="184"/>
  <c r="B1179" i="184"/>
  <c r="B1775" i="184"/>
  <c r="B1923" i="184"/>
  <c r="B2373" i="184"/>
  <c r="B2447" i="184"/>
  <c r="B2564" i="184"/>
  <c r="B210" i="184"/>
  <c r="B694" i="184"/>
  <c r="B99" i="184"/>
  <c r="B1737" i="184"/>
  <c r="B656" i="184"/>
  <c r="B1922" i="184"/>
  <c r="B1101" i="184"/>
  <c r="B1774" i="184"/>
  <c r="B2185" i="184"/>
  <c r="BT4" i="218"/>
  <c r="H4" i="218"/>
  <c r="I8" i="51"/>
  <c r="I8" i="66"/>
  <c r="I8" i="198"/>
  <c r="I14" i="198" s="1"/>
  <c r="I8" i="121"/>
  <c r="I14" i="121" s="1"/>
  <c r="I8" i="146"/>
  <c r="B91" i="184"/>
  <c r="B611" i="184"/>
  <c r="B1019" i="184"/>
  <c r="B945" i="184"/>
  <c r="B2027" i="184"/>
  <c r="B1990" i="184"/>
  <c r="B2364" i="184"/>
  <c r="B240" i="184"/>
  <c r="B685" i="184"/>
  <c r="B314" i="184"/>
  <c r="B1393" i="184"/>
  <c r="B1728" i="184"/>
  <c r="B2063" i="184"/>
  <c r="B1467" i="184"/>
  <c r="B1839" i="184"/>
  <c r="B324" i="184"/>
  <c r="B546" i="184"/>
  <c r="B954" i="184"/>
  <c r="B1403" i="184"/>
  <c r="B1962" i="184"/>
  <c r="B1218" i="184"/>
  <c r="B1849" i="184"/>
  <c r="B360" i="184"/>
  <c r="B731" i="184"/>
  <c r="B249" i="184"/>
  <c r="B1700" i="184"/>
  <c r="B805" i="184"/>
  <c r="B1998" i="184"/>
  <c r="B1254" i="184"/>
  <c r="B2072" i="184"/>
  <c r="I8" i="81"/>
  <c r="I14" i="81" s="1"/>
  <c r="AT4" i="218"/>
  <c r="I8" i="194"/>
  <c r="D14" i="202"/>
  <c r="F66" i="229"/>
  <c r="F74" i="229"/>
  <c r="C15" i="216"/>
  <c r="V4" i="218"/>
  <c r="Z59" i="213"/>
  <c r="H150" i="191"/>
  <c r="L224" i="184"/>
  <c r="X62" i="36"/>
  <c r="L87" i="191" s="1"/>
  <c r="H87" i="191"/>
  <c r="D1089" i="184"/>
  <c r="R65" i="36"/>
  <c r="X65" i="36"/>
  <c r="L198" i="191" s="1"/>
  <c r="L658" i="184"/>
  <c r="L44" i="78"/>
  <c r="L1141" i="184"/>
  <c r="H641" i="184"/>
  <c r="C47" i="191"/>
  <c r="R61" i="13"/>
  <c r="D234" i="184"/>
  <c r="I1086" i="184"/>
  <c r="H195" i="191"/>
  <c r="X65" i="13"/>
  <c r="L195" i="191" s="1"/>
  <c r="M195" i="191" s="1"/>
  <c r="M2394" i="184"/>
  <c r="AB70" i="13"/>
  <c r="D77" i="218"/>
  <c r="D2094" i="184"/>
  <c r="G44" i="13"/>
  <c r="G1124" i="184" s="1"/>
  <c r="G1086" i="184"/>
  <c r="E38" i="161"/>
  <c r="D104" i="160"/>
  <c r="I161" i="191"/>
  <c r="F1105" i="184"/>
  <c r="AB69" i="97"/>
  <c r="AA71" i="97"/>
  <c r="H199" i="191"/>
  <c r="I131" i="191"/>
  <c r="X63" i="47"/>
  <c r="L131" i="191" s="1"/>
  <c r="D671" i="184"/>
  <c r="F50" i="161"/>
  <c r="I662" i="184"/>
  <c r="R61" i="21"/>
  <c r="C51" i="191"/>
  <c r="F2216" i="184"/>
  <c r="K1086" i="184"/>
  <c r="E1105" i="184"/>
  <c r="E44" i="62"/>
  <c r="E682" i="184"/>
  <c r="L44" i="137"/>
  <c r="L1151" i="184"/>
  <c r="L668" i="184"/>
  <c r="R63" i="57"/>
  <c r="E1086" i="184"/>
  <c r="C214" i="191"/>
  <c r="I136" i="191"/>
  <c r="J204" i="184"/>
  <c r="H42" i="218"/>
  <c r="L1086" i="184"/>
  <c r="E1087" i="184"/>
  <c r="E229" i="184"/>
  <c r="B42" i="111"/>
  <c r="M1752" i="184"/>
  <c r="AB66" i="112"/>
  <c r="H1116" i="184"/>
  <c r="K224" i="184"/>
  <c r="J1445" i="184"/>
  <c r="G211" i="184"/>
  <c r="R60" i="67"/>
  <c r="C19" i="191"/>
  <c r="M2413" i="184"/>
  <c r="B37" i="61"/>
  <c r="D103" i="60"/>
  <c r="K57" i="167"/>
  <c r="M2431" i="184"/>
  <c r="BR45" i="218"/>
  <c r="M1622" i="184"/>
  <c r="B39" i="166"/>
  <c r="AB63" i="167"/>
  <c r="F2210" i="184"/>
  <c r="H44" i="82"/>
  <c r="H1144" i="184" s="1"/>
  <c r="D54" i="121"/>
  <c r="F2211" i="184"/>
  <c r="BP47" i="218"/>
  <c r="AB65" i="162"/>
  <c r="AB71" i="162" s="1"/>
  <c r="AB72" i="162" s="1"/>
  <c r="J37" i="221" s="1"/>
  <c r="B41" i="161"/>
  <c r="M1692" i="184"/>
  <c r="D654" i="184"/>
  <c r="AB66" i="92"/>
  <c r="B42" i="91"/>
  <c r="M1757" i="184"/>
  <c r="R61" i="62"/>
  <c r="C66" i="191"/>
  <c r="L1443" i="184"/>
  <c r="C121" i="191"/>
  <c r="R63" i="13"/>
  <c r="K195" i="184"/>
  <c r="M71" i="162"/>
  <c r="M1914" i="184" s="1"/>
  <c r="I1914" i="184"/>
  <c r="G660" i="184"/>
  <c r="G44" i="62"/>
  <c r="G1143" i="184" s="1"/>
  <c r="X60" i="78"/>
  <c r="L27" i="191" s="1"/>
  <c r="H43" i="231"/>
  <c r="W41" i="162"/>
  <c r="W43" i="162" s="1"/>
  <c r="L43" i="212" s="1"/>
  <c r="W26" i="162"/>
  <c r="M352" i="184"/>
  <c r="K227" i="184"/>
  <c r="M857" i="184"/>
  <c r="U32" i="231"/>
  <c r="M783" i="184"/>
  <c r="K2236" i="184"/>
  <c r="K241" i="184"/>
  <c r="M18" i="162"/>
  <c r="I208" i="184"/>
  <c r="H662" i="184"/>
  <c r="L2110" i="184"/>
  <c r="F211" i="184"/>
  <c r="M2451" i="184"/>
  <c r="AD78" i="218"/>
  <c r="D1435" i="184"/>
  <c r="G690" i="184"/>
  <c r="G673" i="184"/>
  <c r="I227" i="184"/>
  <c r="F1454" i="184"/>
  <c r="J662" i="184"/>
  <c r="M1962" i="184"/>
  <c r="B50" i="96"/>
  <c r="AN56" i="218"/>
  <c r="L655" i="184"/>
  <c r="I51" i="191"/>
  <c r="X61" i="21"/>
  <c r="D42" i="218"/>
  <c r="G2241" i="184"/>
  <c r="D1932" i="184"/>
  <c r="M820" i="184"/>
  <c r="T32" i="231"/>
  <c r="M735" i="184"/>
  <c r="R20" i="231"/>
  <c r="E65" i="2"/>
  <c r="D44" i="218"/>
  <c r="M1574" i="184"/>
  <c r="B38" i="2"/>
  <c r="AB62" i="13"/>
  <c r="D2220" i="184"/>
  <c r="I269" i="191"/>
  <c r="D206" i="184"/>
  <c r="I206" i="184"/>
  <c r="G1099" i="184"/>
  <c r="G44" i="142"/>
  <c r="G1137" i="184" s="1"/>
  <c r="G711" i="184"/>
  <c r="G1937" i="184"/>
  <c r="D67" i="91"/>
  <c r="X67" i="92"/>
  <c r="L304" i="191" s="1"/>
  <c r="H304" i="191"/>
  <c r="H66" i="191"/>
  <c r="X61" i="62"/>
  <c r="L66" i="191"/>
  <c r="D1443" i="184"/>
  <c r="H660" i="184"/>
  <c r="D351" i="191"/>
  <c r="D643" i="184"/>
  <c r="D44" i="16"/>
  <c r="L1088" i="184"/>
  <c r="L44" i="16"/>
  <c r="B50" i="15"/>
  <c r="F50" i="15" s="1"/>
  <c r="C160" i="191"/>
  <c r="E643" i="184"/>
  <c r="T18" i="231"/>
  <c r="H149" i="191"/>
  <c r="M2496" i="184"/>
  <c r="R79" i="218"/>
  <c r="B39" i="51"/>
  <c r="D105" i="50"/>
  <c r="D19" i="51"/>
  <c r="F1114" i="184"/>
  <c r="J1114" i="184"/>
  <c r="J44" i="52"/>
  <c r="K223" i="184"/>
  <c r="R51" i="218"/>
  <c r="M1861" i="184"/>
  <c r="B45" i="51"/>
  <c r="F45" i="51"/>
  <c r="K45" i="51" s="1"/>
  <c r="O45" i="51" s="1"/>
  <c r="R76" i="218"/>
  <c r="I18" i="231"/>
  <c r="M410" i="184"/>
  <c r="R56" i="218"/>
  <c r="M855" i="184"/>
  <c r="G223" i="184"/>
  <c r="B51" i="51"/>
  <c r="F51" i="51"/>
  <c r="M2011" i="184"/>
  <c r="R57" i="218"/>
  <c r="R63" i="218"/>
  <c r="B57" i="51"/>
  <c r="M2161" i="184"/>
  <c r="X61" i="52"/>
  <c r="L75" i="191" s="1"/>
  <c r="I94" i="191"/>
  <c r="H17" i="231"/>
  <c r="J1096" i="184"/>
  <c r="D651" i="184"/>
  <c r="E65" i="46"/>
  <c r="E68" i="46"/>
  <c r="E71" i="46" s="1"/>
  <c r="E1434" i="184"/>
  <c r="F689" i="184"/>
  <c r="X66" i="42"/>
  <c r="L240" i="191" s="1"/>
  <c r="M240" i="191" s="1"/>
  <c r="H240" i="191"/>
  <c r="M1545" i="184"/>
  <c r="AB61" i="42"/>
  <c r="B37" i="41"/>
  <c r="F37" i="41" s="1"/>
  <c r="H92" i="191"/>
  <c r="X62" i="42"/>
  <c r="L92" i="191"/>
  <c r="N79" i="218"/>
  <c r="F1094" i="184"/>
  <c r="D19" i="41"/>
  <c r="N78" i="218"/>
  <c r="M2439" i="184"/>
  <c r="M1767" i="184"/>
  <c r="B43" i="41"/>
  <c r="R61" i="42"/>
  <c r="C55" i="191"/>
  <c r="D1432" i="184"/>
  <c r="L1094" i="184"/>
  <c r="I1094" i="184"/>
  <c r="K649" i="184"/>
  <c r="K44" i="42"/>
  <c r="E242" i="184"/>
  <c r="F203" i="184"/>
  <c r="N46" i="218"/>
  <c r="M1656" i="184"/>
  <c r="AB64" i="42"/>
  <c r="B40" i="41"/>
  <c r="X61" i="42"/>
  <c r="L55" i="191" s="1"/>
  <c r="H55" i="191"/>
  <c r="AB62" i="42"/>
  <c r="M1582" i="184"/>
  <c r="E65" i="41"/>
  <c r="B38" i="41"/>
  <c r="N44" i="218"/>
  <c r="L1091" i="184"/>
  <c r="J200" i="184"/>
  <c r="H200" i="191"/>
  <c r="J50" i="218"/>
  <c r="D684" i="184"/>
  <c r="X61" i="26"/>
  <c r="D26" i="192" s="1"/>
  <c r="I237" i="191"/>
  <c r="I219" i="184"/>
  <c r="K1931" i="184"/>
  <c r="F2231" i="184"/>
  <c r="H71" i="191"/>
  <c r="M2492" i="184"/>
  <c r="BT79" i="218"/>
  <c r="C34" i="191"/>
  <c r="M1746" i="184"/>
  <c r="M332" i="184"/>
  <c r="G45" i="231"/>
  <c r="F226" i="184"/>
  <c r="H2238" i="184"/>
  <c r="L299" i="191"/>
  <c r="M299" i="191" s="1"/>
  <c r="H61" i="191"/>
  <c r="D19" i="86"/>
  <c r="F1100" i="184"/>
  <c r="D357" i="191"/>
  <c r="H24" i="191"/>
  <c r="J209" i="184"/>
  <c r="C61" i="191"/>
  <c r="R61" i="87"/>
  <c r="G1100" i="184"/>
  <c r="D1921" i="184"/>
  <c r="E44" i="87"/>
  <c r="E1138" i="184" s="1"/>
  <c r="E1100" i="184"/>
  <c r="L209" i="184"/>
  <c r="D2221" i="184"/>
  <c r="O34" i="227"/>
  <c r="AJ79" i="218"/>
  <c r="R60" i="87"/>
  <c r="D20" i="216" s="1"/>
  <c r="D1444" i="184"/>
  <c r="R61" i="82"/>
  <c r="C67" i="191"/>
  <c r="AD74" i="218"/>
  <c r="M2303" i="184"/>
  <c r="B51" i="81"/>
  <c r="M2003" i="184"/>
  <c r="AD57" i="218"/>
  <c r="M1966" i="184"/>
  <c r="AD56" i="218"/>
  <c r="B50" i="81"/>
  <c r="I44" i="82"/>
  <c r="I1106" i="184"/>
  <c r="D105" i="80"/>
  <c r="F39" i="81"/>
  <c r="E699" i="184"/>
  <c r="M1853" i="184"/>
  <c r="W36" i="82"/>
  <c r="M328" i="184"/>
  <c r="G24" i="231"/>
  <c r="E2227" i="184"/>
  <c r="M83" i="82"/>
  <c r="M2227" i="184" s="1"/>
  <c r="F44" i="82"/>
  <c r="M2077" i="184"/>
  <c r="B53" i="81"/>
  <c r="AD59" i="218"/>
  <c r="M1779" i="184"/>
  <c r="AB67" i="82"/>
  <c r="B43" i="81"/>
  <c r="E215" i="184"/>
  <c r="U24" i="231"/>
  <c r="M847" i="184"/>
  <c r="M2153" i="184"/>
  <c r="AD63" i="218"/>
  <c r="AD65" i="218"/>
  <c r="AD66" i="218" s="1"/>
  <c r="B57" i="81"/>
  <c r="M78" i="82"/>
  <c r="M2114" i="184" s="1"/>
  <c r="I24" i="231"/>
  <c r="W42" i="82"/>
  <c r="W29" i="82"/>
  <c r="M402" i="184"/>
  <c r="AD76" i="218"/>
  <c r="M2377" i="184"/>
  <c r="H178" i="191"/>
  <c r="X64" i="82"/>
  <c r="L178" i="191" s="1"/>
  <c r="M178" i="191" s="1"/>
  <c r="M773" i="184"/>
  <c r="S24" i="231"/>
  <c r="X67" i="82"/>
  <c r="L289" i="191"/>
  <c r="H289" i="191"/>
  <c r="D1106" i="184"/>
  <c r="D44" i="82"/>
  <c r="D57" i="82" s="1"/>
  <c r="D1481" i="184" s="1"/>
  <c r="AB64" i="82"/>
  <c r="M1668" i="184"/>
  <c r="AD46" i="218"/>
  <c r="B40" i="81"/>
  <c r="J215" i="184"/>
  <c r="L215" i="184"/>
  <c r="AD44" i="218"/>
  <c r="M1594" i="184"/>
  <c r="AB62" i="82"/>
  <c r="E65" i="81"/>
  <c r="B38" i="81"/>
  <c r="M2340" i="184"/>
  <c r="AD75" i="218"/>
  <c r="AA69" i="82"/>
  <c r="C178" i="191"/>
  <c r="R64" i="82"/>
  <c r="H67" i="191"/>
  <c r="M365" i="184"/>
  <c r="H24" i="231"/>
  <c r="W41" i="82"/>
  <c r="W43" i="82" s="1"/>
  <c r="L24" i="212" s="1"/>
  <c r="W26" i="82"/>
  <c r="E1106" i="184"/>
  <c r="E44" i="82"/>
  <c r="E1144" i="184" s="1"/>
  <c r="AD79" i="218"/>
  <c r="M2488" i="184"/>
  <c r="D18" i="81"/>
  <c r="F661" i="184"/>
  <c r="F37" i="81"/>
  <c r="K37" i="81" s="1"/>
  <c r="D103" i="80"/>
  <c r="I1451" i="184"/>
  <c r="AB70" i="137"/>
  <c r="BD77" i="218"/>
  <c r="M2421" i="184"/>
  <c r="R37" i="231"/>
  <c r="BD78" i="218"/>
  <c r="M2458" i="184"/>
  <c r="K668" i="184"/>
  <c r="D105" i="135"/>
  <c r="F39" i="136"/>
  <c r="B58" i="136"/>
  <c r="M2197" i="184"/>
  <c r="BD64" i="218"/>
  <c r="R64" i="137"/>
  <c r="F185" i="191" s="1"/>
  <c r="G1113" i="184"/>
  <c r="G44" i="137"/>
  <c r="M817" i="184"/>
  <c r="T37" i="231"/>
  <c r="D1934" i="184"/>
  <c r="M2310" i="184"/>
  <c r="BD74" i="218"/>
  <c r="H185" i="191"/>
  <c r="H1113" i="184"/>
  <c r="H44" i="137"/>
  <c r="W33" i="137"/>
  <c r="D706" i="184"/>
  <c r="R60" i="137"/>
  <c r="C37" i="191"/>
  <c r="M335" i="184"/>
  <c r="G37" i="231"/>
  <c r="H37" i="191"/>
  <c r="X60" i="137"/>
  <c r="L37" i="191" s="1"/>
  <c r="B51" i="136"/>
  <c r="BD57" i="218"/>
  <c r="M2010" i="184"/>
  <c r="D18" i="136"/>
  <c r="F668" i="184"/>
  <c r="BD42" i="218"/>
  <c r="AB60" i="137"/>
  <c r="M1527" i="184"/>
  <c r="B36" i="136"/>
  <c r="BD75" i="218"/>
  <c r="AA69" i="137"/>
  <c r="M2347" i="184"/>
  <c r="L74" i="191"/>
  <c r="D13" i="192"/>
  <c r="H148" i="191"/>
  <c r="D261" i="184"/>
  <c r="F44" i="137"/>
  <c r="F1151" i="184" s="1"/>
  <c r="R63" i="137"/>
  <c r="C148" i="191"/>
  <c r="J222" i="184"/>
  <c r="B40" i="136"/>
  <c r="M1675" i="184"/>
  <c r="AB64" i="137"/>
  <c r="BD46" i="218"/>
  <c r="M1897" i="184"/>
  <c r="X65" i="137"/>
  <c r="L222" i="191" s="1"/>
  <c r="K222" i="184"/>
  <c r="AB61" i="137"/>
  <c r="M1564" i="184"/>
  <c r="B37" i="136"/>
  <c r="E65" i="136"/>
  <c r="E68" i="136" s="1"/>
  <c r="E71" i="136" s="1"/>
  <c r="K207" i="184"/>
  <c r="H1098" i="184"/>
  <c r="L207" i="184"/>
  <c r="C170" i="191"/>
  <c r="R64" i="132"/>
  <c r="G31" i="216" s="1"/>
  <c r="B57" i="131"/>
  <c r="M2145" i="184"/>
  <c r="BB63" i="218"/>
  <c r="J207" i="184"/>
  <c r="I281" i="191"/>
  <c r="BJ50" i="218"/>
  <c r="E201" i="184"/>
  <c r="BJ47" i="218"/>
  <c r="G1092" i="184"/>
  <c r="E658" i="184"/>
  <c r="H127" i="191"/>
  <c r="X63" i="127"/>
  <c r="L127" i="191" s="1"/>
  <c r="BJ46" i="218"/>
  <c r="BJ58" i="218"/>
  <c r="M2021" i="184"/>
  <c r="D344" i="191"/>
  <c r="M1797" i="184"/>
  <c r="D67" i="151"/>
  <c r="B44" i="151"/>
  <c r="AB68" i="152"/>
  <c r="G642" i="184"/>
  <c r="T40" i="231"/>
  <c r="M791" i="184"/>
  <c r="M717" i="184"/>
  <c r="R40" i="231"/>
  <c r="B42" i="151"/>
  <c r="AB66" i="152"/>
  <c r="M1723" i="184"/>
  <c r="AB65" i="152"/>
  <c r="M1686" i="184"/>
  <c r="B41" i="151"/>
  <c r="D107" i="150" s="1"/>
  <c r="AA69" i="152"/>
  <c r="AB69" i="152" s="1"/>
  <c r="BJ78" i="218"/>
  <c r="M2432" i="184"/>
  <c r="C159" i="191"/>
  <c r="R64" i="152"/>
  <c r="G35" i="216" s="1"/>
  <c r="M1649" i="184"/>
  <c r="H1087" i="184"/>
  <c r="I40" i="231"/>
  <c r="M383" i="184"/>
  <c r="X66" i="152"/>
  <c r="L233" i="191" s="1"/>
  <c r="M233" i="191" s="1"/>
  <c r="H233" i="191"/>
  <c r="I2095" i="184"/>
  <c r="G12" i="227"/>
  <c r="J40" i="231"/>
  <c r="Q22" i="152"/>
  <c r="M420" i="184"/>
  <c r="K1087" i="184"/>
  <c r="K44" i="152"/>
  <c r="K1125" i="184" s="1"/>
  <c r="H196" i="184"/>
  <c r="E66" i="151"/>
  <c r="R60" i="152"/>
  <c r="C11" i="191"/>
  <c r="R61" i="152"/>
  <c r="C48" i="191"/>
  <c r="B52" i="151"/>
  <c r="L276" i="191"/>
  <c r="I2225" i="184"/>
  <c r="I1104" i="184"/>
  <c r="I139" i="191"/>
  <c r="X63" i="199"/>
  <c r="L139" i="191" s="1"/>
  <c r="M139" i="191" s="1"/>
  <c r="L213" i="184"/>
  <c r="I213" i="184"/>
  <c r="M32" i="191"/>
  <c r="D360" i="191"/>
  <c r="P71" i="78"/>
  <c r="T23" i="231"/>
  <c r="L212" i="184"/>
  <c r="M399" i="184"/>
  <c r="I23" i="231"/>
  <c r="F1103" i="184"/>
  <c r="D19" i="76"/>
  <c r="D18" i="216"/>
  <c r="F27" i="191"/>
  <c r="G27" i="191" s="1"/>
  <c r="D696" i="184"/>
  <c r="F212" i="184"/>
  <c r="M362" i="184"/>
  <c r="H23" i="231"/>
  <c r="AB66" i="78"/>
  <c r="M1739" i="184"/>
  <c r="B42" i="76"/>
  <c r="D2224" i="184"/>
  <c r="F1447" i="184"/>
  <c r="R60" i="72"/>
  <c r="D17" i="216" s="1"/>
  <c r="C33" i="191"/>
  <c r="X60" i="72"/>
  <c r="H33" i="191"/>
  <c r="D54" i="29"/>
  <c r="D33" i="187"/>
  <c r="F2214" i="184"/>
  <c r="M83" i="162"/>
  <c r="F2119" i="184"/>
  <c r="B11" i="188"/>
  <c r="B12" i="188"/>
  <c r="B13" i="188"/>
  <c r="B14" i="188"/>
  <c r="B15" i="188"/>
  <c r="B16" i="188"/>
  <c r="B17" i="188"/>
  <c r="B18" i="188"/>
  <c r="B20" i="188"/>
  <c r="B21" i="188"/>
  <c r="F188" i="191"/>
  <c r="G27" i="216"/>
  <c r="C52" i="219"/>
  <c r="C53" i="219"/>
  <c r="F61" i="230"/>
  <c r="F62" i="230"/>
  <c r="C50" i="212"/>
  <c r="C51" i="212"/>
  <c r="F67" i="229"/>
  <c r="F68" i="229"/>
  <c r="B44" i="216"/>
  <c r="B45" i="216"/>
  <c r="D18" i="101"/>
  <c r="F47" i="191"/>
  <c r="E6" i="216"/>
  <c r="E8" i="216"/>
  <c r="F51" i="191"/>
  <c r="G51" i="191"/>
  <c r="D32" i="192"/>
  <c r="D105" i="165"/>
  <c r="D29" i="192"/>
  <c r="L51" i="191"/>
  <c r="F50" i="96"/>
  <c r="D107" i="160"/>
  <c r="F41" i="161"/>
  <c r="K41" i="161" s="1"/>
  <c r="N41" i="161" s="1"/>
  <c r="K1472" i="184"/>
  <c r="D16" i="216"/>
  <c r="F19" i="191"/>
  <c r="D108" i="110"/>
  <c r="F42" i="111"/>
  <c r="L1126" i="184"/>
  <c r="J1152" i="184"/>
  <c r="F57" i="51"/>
  <c r="F43" i="41"/>
  <c r="K43" i="41" s="1"/>
  <c r="M43" i="41" s="1"/>
  <c r="D109" i="40"/>
  <c r="D106" i="40"/>
  <c r="K1132" i="184"/>
  <c r="D103" i="40"/>
  <c r="E38" i="41"/>
  <c r="D104" i="40"/>
  <c r="D30" i="192"/>
  <c r="F24" i="191"/>
  <c r="G24" i="191" s="1"/>
  <c r="F40" i="81"/>
  <c r="K40" i="81" s="1"/>
  <c r="M40" i="81" s="1"/>
  <c r="D106" i="80"/>
  <c r="F178" i="191"/>
  <c r="G178" i="191" s="1"/>
  <c r="F1144" i="184"/>
  <c r="K39" i="81"/>
  <c r="L39" i="81" s="1"/>
  <c r="F57" i="81"/>
  <c r="F59" i="81"/>
  <c r="B59" i="81"/>
  <c r="F67" i="191"/>
  <c r="G67" i="191" s="1"/>
  <c r="E19" i="216"/>
  <c r="F43" i="81"/>
  <c r="K43" i="81" s="1"/>
  <c r="M43" i="81" s="1"/>
  <c r="D109" i="80"/>
  <c r="F53" i="81"/>
  <c r="N25" i="220" s="1"/>
  <c r="B54" i="81"/>
  <c r="F51" i="81"/>
  <c r="D1144" i="184"/>
  <c r="D23" i="219"/>
  <c r="E57" i="82"/>
  <c r="F37" i="191"/>
  <c r="D32" i="216"/>
  <c r="AB69" i="137"/>
  <c r="AA71" i="137"/>
  <c r="F32" i="216"/>
  <c r="K39" i="136"/>
  <c r="L39" i="136" s="1"/>
  <c r="F36" i="136"/>
  <c r="K36" i="136" s="1"/>
  <c r="L36" i="136" s="1"/>
  <c r="D102" i="135"/>
  <c r="G32" i="216"/>
  <c r="F51" i="136"/>
  <c r="M37" i="191"/>
  <c r="H1151" i="184"/>
  <c r="G1151" i="184"/>
  <c r="G57" i="137"/>
  <c r="F37" i="136"/>
  <c r="K37" i="136" s="1"/>
  <c r="L37" i="136" s="1"/>
  <c r="D103" i="135"/>
  <c r="F58" i="136"/>
  <c r="F170" i="191"/>
  <c r="F42" i="151"/>
  <c r="K42" i="151"/>
  <c r="N42" i="151" s="1"/>
  <c r="D108" i="150"/>
  <c r="E35" i="216"/>
  <c r="F48" i="191"/>
  <c r="G48" i="191" s="1"/>
  <c r="K57" i="152"/>
  <c r="K85" i="152" s="1"/>
  <c r="F42" i="76"/>
  <c r="K42" i="76"/>
  <c r="N42" i="76" s="1"/>
  <c r="D108" i="75"/>
  <c r="F33" i="191"/>
  <c r="G33" i="191" s="1"/>
  <c r="L33" i="191"/>
  <c r="M2214" i="184"/>
  <c r="K42" i="111"/>
  <c r="K37" i="41"/>
  <c r="L37" i="41" s="1"/>
  <c r="E1481" i="184"/>
  <c r="E85" i="82"/>
  <c r="E2265" i="184" s="1"/>
  <c r="L37" i="81"/>
  <c r="G1488" i="184"/>
  <c r="N42" i="111"/>
  <c r="E93" i="82"/>
  <c r="E2525" i="184" s="1"/>
  <c r="F391" i="184"/>
  <c r="D725" i="184"/>
  <c r="D1546" i="184"/>
  <c r="D66" i="66"/>
  <c r="D1955" i="184"/>
  <c r="J18" i="67"/>
  <c r="J243" i="184" s="1"/>
  <c r="J280" i="184"/>
  <c r="G1509" i="184"/>
  <c r="E1583" i="184"/>
  <c r="E1731" i="184"/>
  <c r="F1285" i="184"/>
  <c r="T66" i="67"/>
  <c r="O66" i="67"/>
  <c r="C241" i="191" s="1"/>
  <c r="I1768" i="184"/>
  <c r="D2179" i="184"/>
  <c r="D83" i="67"/>
  <c r="G2403" i="184"/>
  <c r="D167" i="184"/>
  <c r="J465" i="184"/>
  <c r="G31" i="67"/>
  <c r="G688" i="184" s="1"/>
  <c r="G873" i="184"/>
  <c r="E984" i="184"/>
  <c r="J1248" i="184"/>
  <c r="D56" i="191"/>
  <c r="U65" i="67"/>
  <c r="I204" i="191" s="1"/>
  <c r="D204" i="191"/>
  <c r="S22" i="210"/>
  <c r="AE21" i="213"/>
  <c r="X22" i="230"/>
  <c r="Y20" i="209"/>
  <c r="I22" i="215"/>
  <c r="V22" i="220"/>
  <c r="V21" i="214"/>
  <c r="I15" i="67"/>
  <c r="I204" i="184" s="1"/>
  <c r="I130" i="184"/>
  <c r="F354" i="184"/>
  <c r="K354" i="184"/>
  <c r="K18" i="67"/>
  <c r="K243" i="184" s="1"/>
  <c r="F576" i="184"/>
  <c r="T60" i="67"/>
  <c r="D1509" i="184"/>
  <c r="H1546" i="184"/>
  <c r="J2477" i="184"/>
  <c r="H762" i="184"/>
  <c r="L799" i="184"/>
  <c r="L1359" i="184"/>
  <c r="D241" i="191"/>
  <c r="U66" i="67"/>
  <c r="I241" i="191" s="1"/>
  <c r="D2329" i="184"/>
  <c r="I2179" i="184"/>
  <c r="F539" i="184"/>
  <c r="D10" i="66"/>
  <c r="F19" i="184"/>
  <c r="F465" i="184"/>
  <c r="J1657" i="184"/>
  <c r="T65" i="67"/>
  <c r="H204" i="191" s="1"/>
  <c r="D51" i="66"/>
  <c r="F78" i="67"/>
  <c r="F2103" i="184" s="1"/>
  <c r="F1992" i="184"/>
  <c r="D2216" i="184"/>
  <c r="H241" i="191"/>
  <c r="I90" i="191"/>
  <c r="X62" i="127"/>
  <c r="L90" i="191" s="1"/>
  <c r="D833" i="184"/>
  <c r="M2396" i="184"/>
  <c r="F77" i="218"/>
  <c r="AB70" i="16"/>
  <c r="F59" i="218"/>
  <c r="M2059" i="184"/>
  <c r="B53" i="15"/>
  <c r="F53" i="15" s="1"/>
  <c r="N31" i="220" s="1"/>
  <c r="F63" i="218"/>
  <c r="B57" i="15"/>
  <c r="M2135" i="184"/>
  <c r="F1088" i="184"/>
  <c r="D19" i="15"/>
  <c r="F44" i="16"/>
  <c r="I1088" i="184"/>
  <c r="G7" i="216"/>
  <c r="G50" i="216"/>
  <c r="F160" i="191"/>
  <c r="M1948" i="184"/>
  <c r="M60" i="16"/>
  <c r="F42" i="218" s="1"/>
  <c r="D31" i="16"/>
  <c r="D681" i="184" s="1"/>
  <c r="M62" i="16"/>
  <c r="M87" i="16"/>
  <c r="M88" i="16"/>
  <c r="P69" i="16"/>
  <c r="F1051" i="184"/>
  <c r="I940" i="184"/>
  <c r="J29" i="16"/>
  <c r="J643" i="184" s="1"/>
  <c r="D78" i="16"/>
  <c r="D2096" i="184" s="1"/>
  <c r="E1352" i="184"/>
  <c r="L15" i="16"/>
  <c r="F2396" i="184"/>
  <c r="E197" i="184"/>
  <c r="K105" i="16"/>
  <c r="G105" i="16"/>
  <c r="M33" i="16"/>
  <c r="H42" i="16"/>
  <c r="I29" i="16"/>
  <c r="I643" i="184" s="1"/>
  <c r="H18" i="16"/>
  <c r="H236" i="184" s="1"/>
  <c r="I56" i="16"/>
  <c r="I1426" i="184" s="1"/>
  <c r="M76" i="16"/>
  <c r="D15" i="16"/>
  <c r="K15" i="16"/>
  <c r="K197" i="184" s="1"/>
  <c r="J160" i="184"/>
  <c r="G56" i="16"/>
  <c r="G1426" i="184" s="1"/>
  <c r="E78" i="16"/>
  <c r="E2096" i="184" s="1"/>
  <c r="M35" i="16"/>
  <c r="J42" i="16"/>
  <c r="M310" i="184"/>
  <c r="K29" i="16"/>
  <c r="M19" i="16"/>
  <c r="U64" i="16"/>
  <c r="M66" i="16"/>
  <c r="M23" i="16"/>
  <c r="D1798" i="184"/>
  <c r="F1315" i="184"/>
  <c r="D49" i="184"/>
  <c r="M21" i="16"/>
  <c r="M61" i="16"/>
  <c r="F43" i="218" s="1"/>
  <c r="M32" i="16"/>
  <c r="M63" i="16"/>
  <c r="K71" i="16"/>
  <c r="K1909" i="184" s="1"/>
  <c r="F1539" i="184"/>
  <c r="D160" i="191"/>
  <c r="M89" i="16"/>
  <c r="G42" i="16"/>
  <c r="G1088" i="184" s="1"/>
  <c r="U66" i="16"/>
  <c r="D29" i="15"/>
  <c r="D1389" i="184"/>
  <c r="D18" i="15"/>
  <c r="D20" i="15"/>
  <c r="J105" i="16"/>
  <c r="F31" i="16"/>
  <c r="F681" i="184" s="1"/>
  <c r="L113" i="16"/>
  <c r="H29" i="16"/>
  <c r="H643" i="184"/>
  <c r="M82" i="16"/>
  <c r="D37" i="15"/>
  <c r="L31" i="16"/>
  <c r="L681" i="184"/>
  <c r="F78" i="16"/>
  <c r="F2096" i="184" s="1"/>
  <c r="J2135" i="184"/>
  <c r="M22" i="16"/>
  <c r="M75" i="16"/>
  <c r="M34" i="16"/>
  <c r="O66" i="16"/>
  <c r="C234" i="191" s="1"/>
  <c r="T65" i="16"/>
  <c r="J18" i="16"/>
  <c r="J236" i="184" s="1"/>
  <c r="L78" i="16"/>
  <c r="L2096" i="184"/>
  <c r="E42" i="16"/>
  <c r="M42" i="16"/>
  <c r="E68" i="2"/>
  <c r="E71" i="2" s="1"/>
  <c r="AB60" i="13"/>
  <c r="K44" i="13"/>
  <c r="K1124" i="184" s="1"/>
  <c r="H71" i="13"/>
  <c r="H1907" i="184" s="1"/>
  <c r="G1870" i="184"/>
  <c r="G1983" i="184"/>
  <c r="B36" i="2"/>
  <c r="F44" i="13"/>
  <c r="D1759" i="184"/>
  <c r="D71" i="13"/>
  <c r="D1907" i="184" s="1"/>
  <c r="K1611" i="184"/>
  <c r="F382" i="184"/>
  <c r="T66" i="13"/>
  <c r="H232" i="191" s="1"/>
  <c r="O66" i="13"/>
  <c r="C232" i="191"/>
  <c r="E31" i="13"/>
  <c r="E679" i="184" s="1"/>
  <c r="F78" i="13"/>
  <c r="F2094" i="184"/>
  <c r="M92" i="13"/>
  <c r="M66" i="13"/>
  <c r="F641" i="184"/>
  <c r="G71" i="13"/>
  <c r="G1907" i="184" s="1"/>
  <c r="M88" i="13"/>
  <c r="M69" i="13"/>
  <c r="M77" i="13"/>
  <c r="M19" i="13"/>
  <c r="F2170" i="184"/>
  <c r="O60" i="13"/>
  <c r="F2020" i="184"/>
  <c r="M76" i="13"/>
  <c r="T60" i="13"/>
  <c r="D66" i="223"/>
  <c r="T71" i="224"/>
  <c r="T67" i="236"/>
  <c r="E90" i="236"/>
  <c r="T66" i="236"/>
  <c r="M84" i="224"/>
  <c r="B60" i="223"/>
  <c r="M88" i="224"/>
  <c r="B64" i="223" s="1"/>
  <c r="M94" i="224"/>
  <c r="M95" i="224"/>
  <c r="AA76" i="224"/>
  <c r="AB76" i="224" s="1"/>
  <c r="M96" i="224"/>
  <c r="M97" i="224"/>
  <c r="AB77" i="224" s="1"/>
  <c r="M99" i="224"/>
  <c r="G85" i="224"/>
  <c r="M33" i="36"/>
  <c r="M756" i="184" s="1"/>
  <c r="T62" i="47"/>
  <c r="O62" i="203"/>
  <c r="C105" i="191" s="1"/>
  <c r="I105" i="142"/>
  <c r="L78" i="195"/>
  <c r="L2128" i="184"/>
  <c r="M32" i="21"/>
  <c r="R13" i="231" s="1"/>
  <c r="D54" i="25"/>
  <c r="M286" i="191"/>
  <c r="O61" i="147"/>
  <c r="M62" i="147"/>
  <c r="M74" i="195"/>
  <c r="M70" i="172"/>
  <c r="M13" i="16"/>
  <c r="K15" i="72"/>
  <c r="K218" i="184"/>
  <c r="M11" i="78"/>
  <c r="M14" i="82"/>
  <c r="J15" i="102"/>
  <c r="J217" i="184" s="1"/>
  <c r="K15" i="102"/>
  <c r="K217" i="184" s="1"/>
  <c r="L15" i="102"/>
  <c r="L217" i="184" s="1"/>
  <c r="D15" i="102"/>
  <c r="J15" i="117"/>
  <c r="J226" i="184" s="1"/>
  <c r="L15" i="117"/>
  <c r="L226" i="184" s="1"/>
  <c r="D15" i="117"/>
  <c r="D226" i="184" s="1"/>
  <c r="D54" i="136"/>
  <c r="D83" i="36"/>
  <c r="D2210" i="184" s="1"/>
  <c r="J29" i="122"/>
  <c r="J673" i="184" s="1"/>
  <c r="K29" i="122"/>
  <c r="K673" i="184" s="1"/>
  <c r="L29" i="122"/>
  <c r="D29" i="122"/>
  <c r="F29" i="122"/>
  <c r="D29" i="117"/>
  <c r="D672" i="184" s="1"/>
  <c r="F42" i="122"/>
  <c r="I42" i="122"/>
  <c r="H42" i="117"/>
  <c r="H1117" i="184" s="1"/>
  <c r="I42" i="117"/>
  <c r="I1117" i="184" s="1"/>
  <c r="J42" i="107"/>
  <c r="J1115" i="184"/>
  <c r="L42" i="107"/>
  <c r="L1115" i="184" s="1"/>
  <c r="D42" i="107"/>
  <c r="D1115" i="184" s="1"/>
  <c r="F105" i="21"/>
  <c r="L114" i="26"/>
  <c r="F78" i="52"/>
  <c r="F2122" i="184" s="1"/>
  <c r="M81" i="87"/>
  <c r="P69" i="177"/>
  <c r="G29" i="67"/>
  <c r="G650" i="184"/>
  <c r="L15" i="67"/>
  <c r="L204" i="184" s="1"/>
  <c r="E71" i="92"/>
  <c r="E1942" i="184" s="1"/>
  <c r="M22" i="172"/>
  <c r="G105" i="172"/>
  <c r="F29" i="195"/>
  <c r="D18" i="194" s="1"/>
  <c r="J29" i="47"/>
  <c r="E29" i="36"/>
  <c r="E644" i="184" s="1"/>
  <c r="D29" i="26"/>
  <c r="E29" i="21"/>
  <c r="E645" i="184" s="1"/>
  <c r="I105" i="21"/>
  <c r="L42" i="172"/>
  <c r="D31" i="172"/>
  <c r="D703" i="184" s="1"/>
  <c r="E42" i="172"/>
  <c r="I42" i="172"/>
  <c r="I1110" i="184" s="1"/>
  <c r="F42" i="147"/>
  <c r="I42" i="47"/>
  <c r="I1096" i="184" s="1"/>
  <c r="E31" i="26"/>
  <c r="E684" i="184" s="1"/>
  <c r="F42" i="21"/>
  <c r="D19" i="20" s="1"/>
  <c r="G42" i="21"/>
  <c r="G1090" i="184"/>
  <c r="E15" i="36"/>
  <c r="E198" i="184" s="1"/>
  <c r="E15" i="47"/>
  <c r="E205" i="184" s="1"/>
  <c r="K105" i="147"/>
  <c r="E15" i="147"/>
  <c r="E220" i="184" s="1"/>
  <c r="H105" i="195"/>
  <c r="K105" i="172"/>
  <c r="E105" i="172"/>
  <c r="I56" i="21"/>
  <c r="I1428" i="184" s="1"/>
  <c r="K56" i="21"/>
  <c r="K1428" i="184" s="1"/>
  <c r="H56" i="26"/>
  <c r="H1429" i="184" s="1"/>
  <c r="G56" i="36"/>
  <c r="G1427" i="184" s="1"/>
  <c r="G56" i="47"/>
  <c r="G1434" i="184" s="1"/>
  <c r="I56" i="47"/>
  <c r="I1434" i="184" s="1"/>
  <c r="K56" i="47"/>
  <c r="K1434" i="184"/>
  <c r="J56" i="147"/>
  <c r="J1449" i="184"/>
  <c r="L56" i="195"/>
  <c r="L1458" i="184" s="1"/>
  <c r="D56" i="195"/>
  <c r="D1458" i="184"/>
  <c r="D56" i="172"/>
  <c r="E56" i="172"/>
  <c r="E1448" i="184"/>
  <c r="F56" i="172"/>
  <c r="F1448" i="184" s="1"/>
  <c r="G56" i="172"/>
  <c r="G1448" i="184" s="1"/>
  <c r="M64" i="72"/>
  <c r="M74" i="142"/>
  <c r="M81" i="172"/>
  <c r="M2157" i="184" s="1"/>
  <c r="T61" i="16"/>
  <c r="O67" i="47"/>
  <c r="C279" i="191"/>
  <c r="G29" i="36"/>
  <c r="G644" i="184" s="1"/>
  <c r="J15" i="36"/>
  <c r="J198" i="184" s="1"/>
  <c r="I56" i="36"/>
  <c r="I1427" i="184" s="1"/>
  <c r="L56" i="36"/>
  <c r="L1427" i="184" s="1"/>
  <c r="D59" i="20"/>
  <c r="M64" i="87"/>
  <c r="M61" i="142"/>
  <c r="M1550" i="184" s="1"/>
  <c r="G18" i="195"/>
  <c r="G268" i="184" s="1"/>
  <c r="E105" i="195"/>
  <c r="M82" i="195"/>
  <c r="H31" i="172"/>
  <c r="H703" i="184" s="1"/>
  <c r="E49" i="220"/>
  <c r="N49" i="207"/>
  <c r="T61" i="177"/>
  <c r="U61" i="177"/>
  <c r="F1711" i="184"/>
  <c r="D73" i="191"/>
  <c r="B58" i="35"/>
  <c r="L64" i="218"/>
  <c r="M2173" i="184"/>
  <c r="D18" i="36"/>
  <c r="D237" i="184" s="1"/>
  <c r="T17" i="229"/>
  <c r="I14" i="215"/>
  <c r="F1166" i="184"/>
  <c r="H56" i="36"/>
  <c r="H1427" i="184" s="1"/>
  <c r="L1242" i="184"/>
  <c r="I1353" i="184"/>
  <c r="D66" i="35"/>
  <c r="AE16" i="213"/>
  <c r="L46" i="218"/>
  <c r="D19" i="35"/>
  <c r="M75" i="36"/>
  <c r="L78" i="36"/>
  <c r="L2097" i="184" s="1"/>
  <c r="K78" i="36"/>
  <c r="K2097" i="184" s="1"/>
  <c r="P69" i="36"/>
  <c r="F56" i="36"/>
  <c r="T61" i="36"/>
  <c r="M34" i="36"/>
  <c r="E78" i="36"/>
  <c r="E2097" i="184" s="1"/>
  <c r="V17" i="220"/>
  <c r="L29" i="36"/>
  <c r="L644" i="184" s="1"/>
  <c r="F1725" i="184"/>
  <c r="K56" i="36"/>
  <c r="K1427" i="184" s="1"/>
  <c r="B40" i="35"/>
  <c r="I78" i="36"/>
  <c r="I2097" i="184"/>
  <c r="H31" i="36"/>
  <c r="H682" i="184" s="1"/>
  <c r="I42" i="36"/>
  <c r="J42" i="36"/>
  <c r="J1089" i="184" s="1"/>
  <c r="D2136" i="184"/>
  <c r="D78" i="36"/>
  <c r="D2097" i="184"/>
  <c r="F756" i="184"/>
  <c r="O61" i="36"/>
  <c r="D46" i="35"/>
  <c r="M1651" i="184"/>
  <c r="M68" i="36"/>
  <c r="AB68" i="36" s="1"/>
  <c r="L110" i="36"/>
  <c r="E56" i="36"/>
  <c r="E1427" i="184" s="1"/>
  <c r="F31" i="36"/>
  <c r="F682" i="184" s="1"/>
  <c r="M62" i="36"/>
  <c r="J78" i="36"/>
  <c r="J2097" i="184"/>
  <c r="O64" i="36"/>
  <c r="M65" i="36"/>
  <c r="M19" i="36"/>
  <c r="I15" i="36"/>
  <c r="G83" i="36"/>
  <c r="G2210" i="184" s="1"/>
  <c r="Y43" i="209"/>
  <c r="X17" i="230"/>
  <c r="K18" i="36"/>
  <c r="K237" i="184"/>
  <c r="F18" i="36"/>
  <c r="F237" i="184"/>
  <c r="V16" i="214"/>
  <c r="L29" i="172"/>
  <c r="L665" i="184"/>
  <c r="R65" i="112"/>
  <c r="F1090" i="184"/>
  <c r="D104" i="19"/>
  <c r="E38" i="20"/>
  <c r="F38" i="20"/>
  <c r="H44" i="218"/>
  <c r="H56" i="21"/>
  <c r="H1428" i="184" s="1"/>
  <c r="F56" i="21"/>
  <c r="L105" i="21"/>
  <c r="J31" i="21"/>
  <c r="J683" i="184"/>
  <c r="J71" i="21"/>
  <c r="J1911" i="184" s="1"/>
  <c r="O62" i="21"/>
  <c r="C88" i="191" s="1"/>
  <c r="I71" i="21"/>
  <c r="I1911" i="184" s="1"/>
  <c r="H64" i="218"/>
  <c r="I78" i="21"/>
  <c r="I2098" i="184"/>
  <c r="E15" i="21"/>
  <c r="E199" i="184"/>
  <c r="M22" i="21"/>
  <c r="I13" i="231"/>
  <c r="F1391" i="184"/>
  <c r="O60" i="21"/>
  <c r="F979" i="184"/>
  <c r="K1206" i="184"/>
  <c r="M1578" i="184"/>
  <c r="L71" i="21"/>
  <c r="L1911" i="184" s="1"/>
  <c r="L42" i="21"/>
  <c r="L1090" i="184" s="1"/>
  <c r="J720" i="184"/>
  <c r="E78" i="21"/>
  <c r="E2098" i="184" s="1"/>
  <c r="L15" i="21"/>
  <c r="L199" i="184"/>
  <c r="F18" i="21"/>
  <c r="F238" i="184"/>
  <c r="J29" i="21"/>
  <c r="J645" i="184" s="1"/>
  <c r="H31" i="21"/>
  <c r="H683" i="184" s="1"/>
  <c r="E65" i="20"/>
  <c r="E68" i="20"/>
  <c r="E71" i="20" s="1"/>
  <c r="G56" i="21"/>
  <c r="G1428" i="184" s="1"/>
  <c r="M70" i="21"/>
  <c r="D71" i="21"/>
  <c r="D1911" i="184" s="1"/>
  <c r="J56" i="21"/>
  <c r="J1428" i="184" s="1"/>
  <c r="M67" i="21"/>
  <c r="E18" i="21"/>
  <c r="E238" i="184" s="1"/>
  <c r="J15" i="21"/>
  <c r="J199" i="184" s="1"/>
  <c r="M21" i="21"/>
  <c r="H13" i="231" s="1"/>
  <c r="M91" i="21"/>
  <c r="L112" i="21"/>
  <c r="G942" i="184"/>
  <c r="G974" i="184"/>
  <c r="G2656" i="184" s="1"/>
  <c r="D23" i="20"/>
  <c r="AB62" i="21"/>
  <c r="J105" i="21"/>
  <c r="D105" i="21"/>
  <c r="H42" i="21"/>
  <c r="H1090" i="184"/>
  <c r="M20" i="21"/>
  <c r="E423" i="184"/>
  <c r="D88" i="191"/>
  <c r="B36" i="20"/>
  <c r="D102" i="19" s="1"/>
  <c r="C199" i="191"/>
  <c r="P69" i="21"/>
  <c r="M87" i="21"/>
  <c r="M2287" i="184" s="1"/>
  <c r="M92" i="21"/>
  <c r="O64" i="21"/>
  <c r="D51" i="184"/>
  <c r="M1504" i="184"/>
  <c r="J78" i="21"/>
  <c r="J2098" i="184" s="1"/>
  <c r="D44" i="21"/>
  <c r="D1128" i="184" s="1"/>
  <c r="L110" i="21"/>
  <c r="K105" i="21"/>
  <c r="I31" i="21"/>
  <c r="I683" i="184"/>
  <c r="K15" i="21"/>
  <c r="K199" i="184" s="1"/>
  <c r="I1280" i="184"/>
  <c r="M68" i="21"/>
  <c r="AB68" i="21"/>
  <c r="M65" i="21"/>
  <c r="T62" i="21"/>
  <c r="M61" i="21"/>
  <c r="M76" i="21"/>
  <c r="M1801" i="184"/>
  <c r="E56" i="26"/>
  <c r="E1429" i="184" s="1"/>
  <c r="R60" i="26"/>
  <c r="D9" i="216"/>
  <c r="L2138" i="184"/>
  <c r="D67" i="25"/>
  <c r="H42" i="26"/>
  <c r="H1091" i="184"/>
  <c r="M87" i="26"/>
  <c r="L56" i="26"/>
  <c r="L1429" i="184" s="1"/>
  <c r="L110" i="26"/>
  <c r="T62" i="26"/>
  <c r="I42" i="26"/>
  <c r="J105" i="26"/>
  <c r="M34" i="26"/>
  <c r="D89" i="191"/>
  <c r="F163" i="184"/>
  <c r="F1091" i="184"/>
  <c r="I56" i="26"/>
  <c r="I1429" i="184" s="1"/>
  <c r="M69" i="26"/>
  <c r="F126" i="191"/>
  <c r="G126" i="191" s="1"/>
  <c r="J42" i="26"/>
  <c r="J1091" i="184"/>
  <c r="L111" i="26"/>
  <c r="D45" i="25"/>
  <c r="M92" i="26"/>
  <c r="D56" i="26"/>
  <c r="D1429" i="184" s="1"/>
  <c r="L112" i="26"/>
  <c r="M32" i="26"/>
  <c r="H71" i="26"/>
  <c r="H1912" i="184" s="1"/>
  <c r="Q69" i="26"/>
  <c r="E348" i="191" s="1"/>
  <c r="L52" i="191"/>
  <c r="J31" i="26"/>
  <c r="J684" i="184" s="1"/>
  <c r="L31" i="26"/>
  <c r="L684" i="184" s="1"/>
  <c r="M61" i="26"/>
  <c r="K31" i="26"/>
  <c r="K684" i="184" s="1"/>
  <c r="M20" i="26"/>
  <c r="L78" i="26"/>
  <c r="L2099" i="184" s="1"/>
  <c r="M65" i="26"/>
  <c r="F56" i="26"/>
  <c r="F1429" i="184" s="1"/>
  <c r="M60" i="26"/>
  <c r="G29" i="26"/>
  <c r="G646" i="184" s="1"/>
  <c r="B27" i="27"/>
  <c r="H1244" i="184"/>
  <c r="F71" i="26"/>
  <c r="F1912" i="184" s="1"/>
  <c r="D14" i="25"/>
  <c r="D15" i="25" s="1"/>
  <c r="F1505" i="184"/>
  <c r="D15" i="191"/>
  <c r="J651" i="184"/>
  <c r="J44" i="47"/>
  <c r="J1134" i="184"/>
  <c r="X62" i="47"/>
  <c r="L94" i="191" s="1"/>
  <c r="H94" i="191"/>
  <c r="P44" i="218"/>
  <c r="X60" i="47"/>
  <c r="L20" i="191" s="1"/>
  <c r="D41" i="46"/>
  <c r="L57" i="184"/>
  <c r="K1212" i="184"/>
  <c r="G1360" i="184"/>
  <c r="F78" i="47"/>
  <c r="F2104" i="184"/>
  <c r="U37" i="229"/>
  <c r="E20" i="184"/>
  <c r="I911" i="184"/>
  <c r="J15" i="47"/>
  <c r="J205" i="184" s="1"/>
  <c r="M70" i="47"/>
  <c r="H56" i="47"/>
  <c r="H1434" i="184"/>
  <c r="F29" i="47"/>
  <c r="H42" i="47"/>
  <c r="AF36" i="213"/>
  <c r="S17" i="212"/>
  <c r="L107" i="47"/>
  <c r="M87" i="47"/>
  <c r="W36" i="214"/>
  <c r="G1584" i="184"/>
  <c r="B38" i="46"/>
  <c r="E38" i="46" s="1"/>
  <c r="E47" i="46" s="1"/>
  <c r="E61" i="46" s="1"/>
  <c r="L71" i="47"/>
  <c r="L1917" i="184" s="1"/>
  <c r="D53" i="46"/>
  <c r="K78" i="47"/>
  <c r="K2104" i="184" s="1"/>
  <c r="K71" i="47"/>
  <c r="K1917" i="184" s="1"/>
  <c r="T37" i="210"/>
  <c r="AF17" i="231"/>
  <c r="B23" i="48"/>
  <c r="AB62" i="47"/>
  <c r="M92" i="47"/>
  <c r="J16" i="215"/>
  <c r="L113" i="47"/>
  <c r="D15" i="47"/>
  <c r="D205" i="184" s="1"/>
  <c r="Z35" i="209"/>
  <c r="H78" i="47"/>
  <c r="H2104" i="184" s="1"/>
  <c r="M1639" i="184"/>
  <c r="T60" i="52"/>
  <c r="H38" i="191" s="1"/>
  <c r="AB63" i="52"/>
  <c r="D31" i="52"/>
  <c r="D707" i="184"/>
  <c r="D34" i="192"/>
  <c r="F18" i="52"/>
  <c r="F262" i="184"/>
  <c r="F1639" i="184"/>
  <c r="D41" i="51"/>
  <c r="E78" i="52"/>
  <c r="E2122" i="184" s="1"/>
  <c r="F39" i="51"/>
  <c r="K39" i="51" s="1"/>
  <c r="L39" i="51" s="1"/>
  <c r="K83" i="177"/>
  <c r="K2233" i="184"/>
  <c r="F1228" i="184"/>
  <c r="G15" i="177"/>
  <c r="G221" i="184" s="1"/>
  <c r="O64" i="177"/>
  <c r="R64" i="177" s="1"/>
  <c r="D14" i="176"/>
  <c r="J78" i="177"/>
  <c r="J2120" i="184" s="1"/>
  <c r="X63" i="177"/>
  <c r="L147" i="191" s="1"/>
  <c r="F1265" i="184"/>
  <c r="I42" i="177"/>
  <c r="I1112" i="184" s="1"/>
  <c r="G78" i="177"/>
  <c r="G2120" i="184"/>
  <c r="E56" i="177"/>
  <c r="E1450" i="184" s="1"/>
  <c r="H105" i="177"/>
  <c r="I78" i="177"/>
  <c r="I2120" i="184"/>
  <c r="J83" i="177"/>
  <c r="J2233" i="184" s="1"/>
  <c r="H29" i="177"/>
  <c r="H667" i="184" s="1"/>
  <c r="B27" i="178"/>
  <c r="O65" i="177"/>
  <c r="R65" i="177" s="1"/>
  <c r="F78" i="177"/>
  <c r="F2120" i="184" s="1"/>
  <c r="K31" i="177"/>
  <c r="K705" i="184"/>
  <c r="D1448" i="184"/>
  <c r="L1110" i="184"/>
  <c r="L44" i="172"/>
  <c r="L1148" i="184" s="1"/>
  <c r="E1110" i="184"/>
  <c r="BT52" i="218"/>
  <c r="B42" i="171"/>
  <c r="L56" i="172"/>
  <c r="L1448" i="184" s="1"/>
  <c r="D29" i="172"/>
  <c r="D665" i="184" s="1"/>
  <c r="L105" i="172"/>
  <c r="M19" i="172"/>
  <c r="M64" i="172"/>
  <c r="E31" i="172"/>
  <c r="E703" i="184" s="1"/>
  <c r="H1970" i="184"/>
  <c r="E1073" i="184"/>
  <c r="L113" i="172"/>
  <c r="H29" i="172"/>
  <c r="H665" i="184" s="1"/>
  <c r="E83" i="172"/>
  <c r="E2231" i="184" s="1"/>
  <c r="T63" i="172"/>
  <c r="H145" i="191" s="1"/>
  <c r="D71" i="184"/>
  <c r="L57" i="172"/>
  <c r="H18" i="172"/>
  <c r="H258" i="184" s="1"/>
  <c r="M61" i="172"/>
  <c r="G31" i="172"/>
  <c r="G703" i="184"/>
  <c r="D105" i="172"/>
  <c r="M88" i="172"/>
  <c r="M35" i="172"/>
  <c r="O66" i="172"/>
  <c r="C256" i="191" s="1"/>
  <c r="F1337" i="184"/>
  <c r="H56" i="172"/>
  <c r="H1448" i="184" s="1"/>
  <c r="F71" i="172"/>
  <c r="F1931" i="184" s="1"/>
  <c r="M34" i="172"/>
  <c r="E71" i="172"/>
  <c r="E1931" i="184" s="1"/>
  <c r="E15" i="172"/>
  <c r="M62" i="172"/>
  <c r="E2157" i="184"/>
  <c r="K145" i="184"/>
  <c r="G1300" i="184"/>
  <c r="R60" i="172"/>
  <c r="M76" i="172"/>
  <c r="M21" i="172"/>
  <c r="F29" i="172"/>
  <c r="T67" i="172"/>
  <c r="D42" i="172"/>
  <c r="D1110" i="184" s="1"/>
  <c r="K15" i="172"/>
  <c r="K219" i="184" s="1"/>
  <c r="F1598" i="184"/>
  <c r="H777" i="184"/>
  <c r="T65" i="172"/>
  <c r="H219" i="191" s="1"/>
  <c r="D51" i="171"/>
  <c r="D54" i="171" s="1"/>
  <c r="E34" i="184"/>
  <c r="L443" i="184"/>
  <c r="C71" i="191"/>
  <c r="H105" i="172"/>
  <c r="D78" i="172"/>
  <c r="D2118" i="184" s="1"/>
  <c r="M32" i="172"/>
  <c r="F105" i="172"/>
  <c r="L18" i="172"/>
  <c r="L258" i="184" s="1"/>
  <c r="BT45" i="218"/>
  <c r="F78" i="172"/>
  <c r="F2118" i="184" s="1"/>
  <c r="E1894" i="184"/>
  <c r="M67" i="172"/>
  <c r="D34" i="191"/>
  <c r="L888" i="184"/>
  <c r="E1374" i="184"/>
  <c r="AB70" i="172"/>
  <c r="BT78" i="218"/>
  <c r="M65" i="172"/>
  <c r="O64" i="172"/>
  <c r="L31" i="172"/>
  <c r="L703" i="184" s="1"/>
  <c r="M82" i="172"/>
  <c r="H78" i="172"/>
  <c r="H2118" i="184" s="1"/>
  <c r="H406" i="184"/>
  <c r="M33" i="172"/>
  <c r="T66" i="172"/>
  <c r="D71" i="172"/>
  <c r="I56" i="172"/>
  <c r="I1448" i="184" s="1"/>
  <c r="F1524" i="184"/>
  <c r="BT77" i="218"/>
  <c r="L110" i="172"/>
  <c r="D18" i="172"/>
  <c r="K31" i="172"/>
  <c r="K703" i="184" s="1"/>
  <c r="L71" i="172"/>
  <c r="L1931" i="184" s="1"/>
  <c r="I105" i="172"/>
  <c r="AB63" i="172"/>
  <c r="H71" i="172"/>
  <c r="H1931" i="184" s="1"/>
  <c r="L112" i="172"/>
  <c r="O63" i="172"/>
  <c r="M28" i="172"/>
  <c r="AB66" i="172"/>
  <c r="X62" i="172"/>
  <c r="L108" i="191"/>
  <c r="J71" i="172"/>
  <c r="J1931" i="184" s="1"/>
  <c r="M87" i="172"/>
  <c r="M89" i="172"/>
  <c r="P69" i="172"/>
  <c r="M75" i="172"/>
  <c r="M1635" i="184"/>
  <c r="J15" i="172"/>
  <c r="J219" i="184" s="1"/>
  <c r="O65" i="172"/>
  <c r="E29" i="172"/>
  <c r="E665" i="184" s="1"/>
  <c r="G71" i="172"/>
  <c r="G1931" i="184" s="1"/>
  <c r="M60" i="172"/>
  <c r="BP42" i="218"/>
  <c r="F155" i="191"/>
  <c r="G155" i="191" s="1"/>
  <c r="C155" i="191"/>
  <c r="F37" i="216"/>
  <c r="M1980" i="184"/>
  <c r="B50" i="194"/>
  <c r="F50" i="194" s="1"/>
  <c r="BN56" i="218"/>
  <c r="X63" i="195"/>
  <c r="L155" i="191" s="1"/>
  <c r="M155" i="191" s="1"/>
  <c r="F78" i="195"/>
  <c r="F2128" i="184"/>
  <c r="M22" i="195"/>
  <c r="M19" i="195"/>
  <c r="D27" i="194"/>
  <c r="D52" i="194"/>
  <c r="M92" i="195"/>
  <c r="F192" i="184"/>
  <c r="D39" i="194"/>
  <c r="G42" i="195"/>
  <c r="G1120" i="184" s="1"/>
  <c r="M77" i="195"/>
  <c r="O60" i="195"/>
  <c r="K29" i="195"/>
  <c r="K31" i="195"/>
  <c r="K713" i="184" s="1"/>
  <c r="H15" i="195"/>
  <c r="H229" i="184" s="1"/>
  <c r="D14" i="194"/>
  <c r="D15" i="194" s="1"/>
  <c r="J56" i="195"/>
  <c r="J1458" i="184" s="1"/>
  <c r="F18" i="195"/>
  <c r="F268" i="184" s="1"/>
  <c r="F1867" i="184"/>
  <c r="F453" i="184"/>
  <c r="D1347" i="184"/>
  <c r="X67" i="195"/>
  <c r="L303" i="191"/>
  <c r="M303" i="191" s="1"/>
  <c r="H81" i="184"/>
  <c r="T60" i="195"/>
  <c r="X60" i="195" s="1"/>
  <c r="L44" i="191" s="1"/>
  <c r="O66" i="195"/>
  <c r="C266" i="191" s="1"/>
  <c r="M81" i="195"/>
  <c r="M20" i="195"/>
  <c r="G42" i="231" s="1"/>
  <c r="L31" i="195"/>
  <c r="L713" i="184"/>
  <c r="J1980" i="184"/>
  <c r="E42" i="195"/>
  <c r="E1120" i="184" s="1"/>
  <c r="H42" i="195"/>
  <c r="H44" i="195" s="1"/>
  <c r="G342" i="184"/>
  <c r="H601" i="184"/>
  <c r="M88" i="195"/>
  <c r="L112" i="195"/>
  <c r="M75" i="195"/>
  <c r="H31" i="195"/>
  <c r="H713" i="184" s="1"/>
  <c r="I15" i="195"/>
  <c r="I229" i="184" s="1"/>
  <c r="K78" i="195"/>
  <c r="K2128" i="184" s="1"/>
  <c r="H18" i="195"/>
  <c r="H268" i="184" s="1"/>
  <c r="M61" i="195"/>
  <c r="M87" i="195"/>
  <c r="D83" i="195"/>
  <c r="D2241" i="184" s="1"/>
  <c r="T66" i="195"/>
  <c r="H266" i="191" s="1"/>
  <c r="F1111" i="184"/>
  <c r="F44" i="147"/>
  <c r="F1149" i="184"/>
  <c r="D19" i="146"/>
  <c r="R61" i="147"/>
  <c r="E34" i="216"/>
  <c r="C72" i="191"/>
  <c r="M1599" i="184"/>
  <c r="AB62" i="147"/>
  <c r="E65" i="146"/>
  <c r="E68" i="146"/>
  <c r="E71" i="146" s="1"/>
  <c r="B38" i="146"/>
  <c r="BH44" i="218"/>
  <c r="F105" i="147"/>
  <c r="B44" i="146"/>
  <c r="J44" i="147"/>
  <c r="J1149" i="184" s="1"/>
  <c r="L29" i="147"/>
  <c r="R27" i="210"/>
  <c r="H71" i="147"/>
  <c r="H1932" i="184" s="1"/>
  <c r="D29" i="147"/>
  <c r="D666" i="184" s="1"/>
  <c r="L113" i="147"/>
  <c r="J1562" i="184"/>
  <c r="M77" i="147"/>
  <c r="L83" i="147"/>
  <c r="L2232" i="184" s="1"/>
  <c r="AD39" i="231"/>
  <c r="D15" i="147"/>
  <c r="D42" i="147"/>
  <c r="E35" i="184"/>
  <c r="F1636" i="184"/>
  <c r="T62" i="147"/>
  <c r="AB68" i="147"/>
  <c r="M91" i="147"/>
  <c r="I71" i="147"/>
  <c r="I1932" i="184" s="1"/>
  <c r="H56" i="147"/>
  <c r="H1449" i="184" s="1"/>
  <c r="M19" i="147"/>
  <c r="M76" i="147"/>
  <c r="M35" i="147"/>
  <c r="M63" i="147"/>
  <c r="O62" i="147"/>
  <c r="C109" i="191"/>
  <c r="M22" i="147"/>
  <c r="J15" i="147"/>
  <c r="M90" i="147"/>
  <c r="L15" i="147"/>
  <c r="F1784" i="184"/>
  <c r="F1037" i="184"/>
  <c r="L56" i="147"/>
  <c r="L1449" i="184"/>
  <c r="J78" i="147"/>
  <c r="J2119" i="184" s="1"/>
  <c r="I56" i="147"/>
  <c r="I1449" i="184" s="1"/>
  <c r="L42" i="147"/>
  <c r="L1111" i="184" s="1"/>
  <c r="E83" i="147"/>
  <c r="E2232" i="184" s="1"/>
  <c r="E56" i="147"/>
  <c r="E1449" i="184" s="1"/>
  <c r="X25" i="209"/>
  <c r="K71" i="147"/>
  <c r="K1932" i="184" s="1"/>
  <c r="M1821" i="184"/>
  <c r="BH50" i="218"/>
  <c r="D18" i="146"/>
  <c r="X61" i="147"/>
  <c r="M87" i="147"/>
  <c r="M75" i="147"/>
  <c r="M2008" i="184"/>
  <c r="K146" i="184"/>
  <c r="U27" i="220"/>
  <c r="K78" i="147"/>
  <c r="K2119" i="184"/>
  <c r="F1188" i="184"/>
  <c r="G18" i="147"/>
  <c r="G259" i="184" s="1"/>
  <c r="U26" i="214"/>
  <c r="W27" i="230"/>
  <c r="O65" i="147"/>
  <c r="C220" i="191" s="1"/>
  <c r="M20" i="147"/>
  <c r="S27" i="229"/>
  <c r="G105" i="142"/>
  <c r="I18" i="142"/>
  <c r="I247" i="184" s="1"/>
  <c r="G78" i="142"/>
  <c r="G2107" i="184"/>
  <c r="J71" i="142"/>
  <c r="J1920" i="184" s="1"/>
  <c r="E171" i="191"/>
  <c r="K105" i="142"/>
  <c r="M20" i="142"/>
  <c r="T67" i="142"/>
  <c r="H282" i="191" s="1"/>
  <c r="M92" i="142"/>
  <c r="G1959" i="184"/>
  <c r="H1550" i="184"/>
  <c r="I31" i="142"/>
  <c r="I692" i="184" s="1"/>
  <c r="E18" i="142"/>
  <c r="E247" i="184" s="1"/>
  <c r="M63" i="142"/>
  <c r="D23" i="191"/>
  <c r="K71" i="142"/>
  <c r="K1920" i="184" s="1"/>
  <c r="I321" i="184"/>
  <c r="M89" i="142"/>
  <c r="O67" i="142"/>
  <c r="C282" i="191" s="1"/>
  <c r="L18" i="142"/>
  <c r="L247" i="184"/>
  <c r="M82" i="142"/>
  <c r="M60" i="142"/>
  <c r="D40" i="141"/>
  <c r="M75" i="142"/>
  <c r="L113" i="142"/>
  <c r="M2333" i="184"/>
  <c r="E78" i="142"/>
  <c r="E2107" i="184"/>
  <c r="M70" i="142"/>
  <c r="D78" i="142"/>
  <c r="T65" i="142"/>
  <c r="F83" i="142"/>
  <c r="F2220" i="184" s="1"/>
  <c r="AA69" i="142"/>
  <c r="AA71" i="142" s="1"/>
  <c r="M76" i="142"/>
  <c r="B52" i="141" s="1"/>
  <c r="L31" i="142"/>
  <c r="L692" i="184" s="1"/>
  <c r="D58" i="141"/>
  <c r="O66" i="142"/>
  <c r="C245" i="191" s="1"/>
  <c r="D59" i="202"/>
  <c r="M65" i="72"/>
  <c r="F78" i="72"/>
  <c r="F2117" i="184" s="1"/>
  <c r="F44" i="87"/>
  <c r="F1138" i="184" s="1"/>
  <c r="J31" i="72"/>
  <c r="J702" i="184" s="1"/>
  <c r="X60" i="122"/>
  <c r="L42" i="191" s="1"/>
  <c r="E31" i="72"/>
  <c r="E702" i="184"/>
  <c r="L110" i="72"/>
  <c r="D59" i="198"/>
  <c r="L31" i="57"/>
  <c r="L694" i="184" s="1"/>
  <c r="M19" i="72"/>
  <c r="M294" i="184" s="1"/>
  <c r="M30" i="191"/>
  <c r="D71" i="67"/>
  <c r="D1916" i="184"/>
  <c r="M75" i="102"/>
  <c r="M2005" i="184" s="1"/>
  <c r="G83" i="203"/>
  <c r="E31" i="199"/>
  <c r="E697" i="184" s="1"/>
  <c r="I18" i="122"/>
  <c r="I266" i="184" s="1"/>
  <c r="J29" i="117"/>
  <c r="J672" i="184" s="1"/>
  <c r="K29" i="117"/>
  <c r="M26" i="112"/>
  <c r="L29" i="199"/>
  <c r="L659" i="184"/>
  <c r="J42" i="87"/>
  <c r="K42" i="87"/>
  <c r="K42" i="199"/>
  <c r="K1104" i="184" s="1"/>
  <c r="G42" i="199"/>
  <c r="J42" i="67"/>
  <c r="J1095" i="184" s="1"/>
  <c r="F105" i="199"/>
  <c r="E105" i="87"/>
  <c r="G105" i="87"/>
  <c r="E105" i="122"/>
  <c r="H56" i="87"/>
  <c r="H1438" i="184" s="1"/>
  <c r="J56" i="87"/>
  <c r="J1438" i="184"/>
  <c r="K56" i="87"/>
  <c r="K1438" i="184" s="1"/>
  <c r="E56" i="122"/>
  <c r="F56" i="122"/>
  <c r="F1456" i="184" s="1"/>
  <c r="G56" i="122"/>
  <c r="G1456" i="184" s="1"/>
  <c r="T61" i="97"/>
  <c r="H63" i="191"/>
  <c r="I105" i="203"/>
  <c r="F78" i="203"/>
  <c r="F2115" i="184"/>
  <c r="L113" i="117"/>
  <c r="M26" i="167"/>
  <c r="H18" i="102"/>
  <c r="H256" i="184" s="1"/>
  <c r="J105" i="87"/>
  <c r="D29" i="87"/>
  <c r="G29" i="87"/>
  <c r="F18" i="67"/>
  <c r="F243" i="184" s="1"/>
  <c r="J18" i="57"/>
  <c r="J249" i="184" s="1"/>
  <c r="M27" i="47"/>
  <c r="M37" i="137"/>
  <c r="M40" i="102"/>
  <c r="M1034" i="184" s="1"/>
  <c r="M47" i="62"/>
  <c r="B23" i="61" s="1"/>
  <c r="D60" i="60" s="1"/>
  <c r="M53" i="16"/>
  <c r="K18" i="92"/>
  <c r="K269" i="184" s="1"/>
  <c r="K18" i="199"/>
  <c r="K252" i="184" s="1"/>
  <c r="M40" i="82"/>
  <c r="M40" i="52"/>
  <c r="F62" i="236"/>
  <c r="M35" i="87"/>
  <c r="U25" i="231" s="1"/>
  <c r="L114" i="203"/>
  <c r="M24" i="82"/>
  <c r="M36" i="142"/>
  <c r="M47" i="21"/>
  <c r="M55" i="16"/>
  <c r="M50" i="82"/>
  <c r="E83" i="87"/>
  <c r="E2221" i="184" s="1"/>
  <c r="M63" i="117"/>
  <c r="P69" i="117"/>
  <c r="D374" i="191" s="1"/>
  <c r="F83" i="117"/>
  <c r="F2238" i="184" s="1"/>
  <c r="M32" i="122"/>
  <c r="R34" i="231" s="1"/>
  <c r="M26" i="142"/>
  <c r="M28" i="26"/>
  <c r="M37" i="162"/>
  <c r="M41" i="26"/>
  <c r="AA14" i="231" s="1"/>
  <c r="M37" i="26"/>
  <c r="M10" i="26"/>
  <c r="E83" i="157"/>
  <c r="E2240" i="184" s="1"/>
  <c r="M28" i="152"/>
  <c r="M26" i="152"/>
  <c r="M27" i="147"/>
  <c r="M39" i="152"/>
  <c r="M47" i="195"/>
  <c r="M1197" i="184" s="1"/>
  <c r="I71" i="87"/>
  <c r="I1921" i="184" s="1"/>
  <c r="L113" i="122"/>
  <c r="M27" i="13"/>
  <c r="M37" i="36"/>
  <c r="K15" i="177"/>
  <c r="K221" i="184"/>
  <c r="H31" i="117"/>
  <c r="H710" i="184" s="1"/>
  <c r="M50" i="16"/>
  <c r="M55" i="42"/>
  <c r="L15" i="236"/>
  <c r="K90" i="236"/>
  <c r="O72" i="236"/>
  <c r="R72" i="236" s="1"/>
  <c r="H54" i="216" s="1"/>
  <c r="F42" i="236"/>
  <c r="D19" i="235" s="1"/>
  <c r="B47" i="30"/>
  <c r="D106" i="29" s="1"/>
  <c r="Z15" i="209"/>
  <c r="D64" i="30"/>
  <c r="D66" i="30" s="1"/>
  <c r="AF38" i="231"/>
  <c r="U63" i="107"/>
  <c r="G1506" i="184"/>
  <c r="L14" i="227"/>
  <c r="M610" i="184"/>
  <c r="H35" i="231"/>
  <c r="W14" i="230"/>
  <c r="O60" i="127"/>
  <c r="AD35" i="231"/>
  <c r="M748" i="184"/>
  <c r="D673" i="184"/>
  <c r="D18" i="121"/>
  <c r="F673" i="184"/>
  <c r="F1118" i="184"/>
  <c r="D19" i="121"/>
  <c r="F44" i="122"/>
  <c r="F1156" i="184" s="1"/>
  <c r="I1118" i="184"/>
  <c r="D29" i="216"/>
  <c r="F42" i="191"/>
  <c r="J748" i="184"/>
  <c r="M66" i="122"/>
  <c r="AX57" i="218"/>
  <c r="M77" i="122"/>
  <c r="J71" i="122"/>
  <c r="J1939" i="184" s="1"/>
  <c r="H42" i="122"/>
  <c r="M22" i="122"/>
  <c r="G15" i="122"/>
  <c r="K56" i="122"/>
  <c r="K1456" i="184" s="1"/>
  <c r="E15" i="122"/>
  <c r="M62" i="122"/>
  <c r="M67" i="122"/>
  <c r="I29" i="122"/>
  <c r="I673" i="184"/>
  <c r="C42" i="191"/>
  <c r="O67" i="122"/>
  <c r="C301" i="191" s="1"/>
  <c r="M60" i="122"/>
  <c r="X63" i="122"/>
  <c r="L153" i="191"/>
  <c r="M153" i="191" s="1"/>
  <c r="F1308" i="184"/>
  <c r="D562" i="184"/>
  <c r="E1195" i="184"/>
  <c r="E1345" i="184"/>
  <c r="G105" i="122"/>
  <c r="AX78" i="218"/>
  <c r="D105" i="122"/>
  <c r="M65" i="122"/>
  <c r="M87" i="122"/>
  <c r="D78" i="122"/>
  <c r="D2126" i="184"/>
  <c r="M34" i="122"/>
  <c r="M35" i="122"/>
  <c r="T62" i="122"/>
  <c r="H116" i="191" s="1"/>
  <c r="L56" i="122"/>
  <c r="L1456" i="184"/>
  <c r="I451" i="184"/>
  <c r="O64" i="122"/>
  <c r="E71" i="122"/>
  <c r="E1939" i="184" s="1"/>
  <c r="D13" i="121"/>
  <c r="D15" i="121"/>
  <c r="G1271" i="184"/>
  <c r="M23" i="122"/>
  <c r="M13" i="122"/>
  <c r="M54" i="122"/>
  <c r="M50" i="122"/>
  <c r="I71" i="122"/>
  <c r="I1939" i="184" s="1"/>
  <c r="J105" i="122"/>
  <c r="I42" i="191"/>
  <c r="M76" i="122"/>
  <c r="G42" i="122"/>
  <c r="M74" i="122"/>
  <c r="F31" i="122"/>
  <c r="F711" i="184" s="1"/>
  <c r="M69" i="122"/>
  <c r="K78" i="122"/>
  <c r="K2126" i="184" s="1"/>
  <c r="M20" i="122"/>
  <c r="H18" i="122"/>
  <c r="H266" i="184" s="1"/>
  <c r="K599" i="184"/>
  <c r="M1643" i="184"/>
  <c r="D56" i="122"/>
  <c r="D1456" i="184"/>
  <c r="M92" i="122"/>
  <c r="M21" i="122"/>
  <c r="M82" i="122"/>
  <c r="E78" i="122"/>
  <c r="F15" i="122"/>
  <c r="M61" i="122"/>
  <c r="O61" i="122"/>
  <c r="T67" i="122"/>
  <c r="H83" i="122"/>
  <c r="H2239" i="184" s="1"/>
  <c r="F896" i="184"/>
  <c r="M33" i="122"/>
  <c r="H105" i="122"/>
  <c r="K44" i="122"/>
  <c r="AB63" i="122"/>
  <c r="E44" i="122"/>
  <c r="E1156" i="184"/>
  <c r="K105" i="122"/>
  <c r="J18" i="122"/>
  <c r="J266" i="184" s="1"/>
  <c r="F105" i="122"/>
  <c r="T65" i="122"/>
  <c r="G71" i="122"/>
  <c r="G1939" i="184" s="1"/>
  <c r="T64" i="122"/>
  <c r="T61" i="122"/>
  <c r="L562" i="184"/>
  <c r="H15" i="122"/>
  <c r="H227" i="184" s="1"/>
  <c r="B39" i="121"/>
  <c r="M88" i="122"/>
  <c r="J42" i="122"/>
  <c r="M64" i="122"/>
  <c r="M81" i="122"/>
  <c r="K71" i="122"/>
  <c r="K1939" i="184" s="1"/>
  <c r="O65" i="122"/>
  <c r="H31" i="122"/>
  <c r="H711" i="184" s="1"/>
  <c r="M68" i="122"/>
  <c r="I78" i="122"/>
  <c r="I2126" i="184" s="1"/>
  <c r="I1007" i="184"/>
  <c r="O62" i="122"/>
  <c r="C116" i="191" s="1"/>
  <c r="D71" i="122"/>
  <c r="L71" i="122"/>
  <c r="L1939" i="184" s="1"/>
  <c r="M89" i="122"/>
  <c r="G28" i="216"/>
  <c r="P71" i="117"/>
  <c r="X62" i="117"/>
  <c r="L115" i="191" s="1"/>
  <c r="H71" i="117"/>
  <c r="H1938" i="184"/>
  <c r="T64" i="117"/>
  <c r="H189" i="191"/>
  <c r="I18" i="117"/>
  <c r="I265" i="184" s="1"/>
  <c r="L42" i="117"/>
  <c r="D105" i="117"/>
  <c r="I15" i="117"/>
  <c r="I226" i="184" s="1"/>
  <c r="G18" i="117"/>
  <c r="G265" i="184" s="1"/>
  <c r="H747" i="184"/>
  <c r="L29" i="117"/>
  <c r="L672" i="184" s="1"/>
  <c r="K189" i="191"/>
  <c r="D41" i="184"/>
  <c r="K524" i="184"/>
  <c r="H969" i="184"/>
  <c r="M34" i="117"/>
  <c r="M88" i="117"/>
  <c r="L110" i="117"/>
  <c r="M90" i="117"/>
  <c r="E56" i="117"/>
  <c r="E1455" i="184" s="1"/>
  <c r="D57" i="116"/>
  <c r="D59" i="116" s="1"/>
  <c r="M22" i="117"/>
  <c r="I932" i="184"/>
  <c r="I56" i="117"/>
  <c r="I1455" i="184" s="1"/>
  <c r="L114" i="117"/>
  <c r="M67" i="117"/>
  <c r="F2164" i="184"/>
  <c r="M21" i="117"/>
  <c r="F31" i="117"/>
  <c r="F710" i="184" s="1"/>
  <c r="M60" i="117"/>
  <c r="K78" i="117"/>
  <c r="K2125" i="184"/>
  <c r="U63" i="117"/>
  <c r="I152" i="191"/>
  <c r="C189" i="191"/>
  <c r="G42" i="117"/>
  <c r="G1117" i="184" s="1"/>
  <c r="M61" i="117"/>
  <c r="AV43" i="218" s="1"/>
  <c r="D71" i="117"/>
  <c r="D1938" i="184" s="1"/>
  <c r="F56" i="117"/>
  <c r="F1455" i="184" s="1"/>
  <c r="F1381" i="184"/>
  <c r="H56" i="117"/>
  <c r="H1455" i="184" s="1"/>
  <c r="O61" i="117"/>
  <c r="K83" i="117"/>
  <c r="K2238" i="184" s="1"/>
  <c r="G31" i="117"/>
  <c r="G710" i="184" s="1"/>
  <c r="L41" i="184"/>
  <c r="M36" i="117"/>
  <c r="M895" i="184" s="1"/>
  <c r="E18" i="117"/>
  <c r="E265" i="184"/>
  <c r="D78" i="117"/>
  <c r="D2125" i="184"/>
  <c r="T61" i="117"/>
  <c r="H78" i="191"/>
  <c r="C150" i="191"/>
  <c r="D13" i="106"/>
  <c r="D15" i="106" s="1"/>
  <c r="F31" i="107"/>
  <c r="F708" i="184" s="1"/>
  <c r="D31" i="106"/>
  <c r="M1603" i="184"/>
  <c r="J78" i="107"/>
  <c r="J2123" i="184" s="1"/>
  <c r="J56" i="107"/>
  <c r="J1453" i="184" s="1"/>
  <c r="H18" i="107"/>
  <c r="H263" i="184" s="1"/>
  <c r="L31" i="107"/>
  <c r="L708" i="184" s="1"/>
  <c r="O62" i="107"/>
  <c r="C113" i="191" s="1"/>
  <c r="G83" i="107"/>
  <c r="G2236" i="184" s="1"/>
  <c r="M35" i="107"/>
  <c r="J1041" i="184"/>
  <c r="K29" i="107"/>
  <c r="K670" i="184" s="1"/>
  <c r="M66" i="107"/>
  <c r="AR48" i="218" s="1"/>
  <c r="G56" i="107"/>
  <c r="G1453" i="184" s="1"/>
  <c r="K18" i="107"/>
  <c r="K263" i="184" s="1"/>
  <c r="F15" i="107"/>
  <c r="F224" i="184" s="1"/>
  <c r="D50" i="106"/>
  <c r="D54" i="106" s="1"/>
  <c r="F56" i="107"/>
  <c r="F1453" i="184" s="1"/>
  <c r="D31" i="107"/>
  <c r="D708" i="184"/>
  <c r="D40" i="106"/>
  <c r="D25" i="216"/>
  <c r="F31" i="191"/>
  <c r="I44" i="203"/>
  <c r="K78" i="203"/>
  <c r="K2115" i="184" s="1"/>
  <c r="J31" i="203"/>
  <c r="J700" i="184" s="1"/>
  <c r="F105" i="203"/>
  <c r="T60" i="203"/>
  <c r="Q69" i="203"/>
  <c r="E364" i="191"/>
  <c r="G18" i="203"/>
  <c r="G255" i="184" s="1"/>
  <c r="G1595" i="184"/>
  <c r="H105" i="203"/>
  <c r="D253" i="191"/>
  <c r="AD46" i="213"/>
  <c r="M21" i="203"/>
  <c r="R47" i="210"/>
  <c r="M36" i="203"/>
  <c r="M77" i="203"/>
  <c r="H31" i="215"/>
  <c r="D50" i="202"/>
  <c r="T62" i="203"/>
  <c r="J78" i="203"/>
  <c r="J2115" i="184" s="1"/>
  <c r="Q30" i="212"/>
  <c r="M32" i="203"/>
  <c r="H83" i="203"/>
  <c r="H2228" i="184" s="1"/>
  <c r="M28" i="203"/>
  <c r="O30" i="231" s="1"/>
  <c r="M26" i="203"/>
  <c r="K105" i="203"/>
  <c r="S47" i="229"/>
  <c r="F1967" i="184"/>
  <c r="W47" i="230"/>
  <c r="M75" i="203"/>
  <c r="U46" i="214"/>
  <c r="M81" i="203"/>
  <c r="E105" i="203"/>
  <c r="M67" i="203"/>
  <c r="AB67" i="203" s="1"/>
  <c r="M88" i="203"/>
  <c r="J18" i="203"/>
  <c r="J255" i="184" s="1"/>
  <c r="U61" i="203"/>
  <c r="I68" i="191" s="1"/>
  <c r="M2452" i="184"/>
  <c r="I78" i="203"/>
  <c r="I2115" i="184"/>
  <c r="K18" i="203"/>
  <c r="K255" i="184" s="1"/>
  <c r="C31" i="191"/>
  <c r="U47" i="220"/>
  <c r="M19" i="203"/>
  <c r="D105" i="203"/>
  <c r="M20" i="203"/>
  <c r="D15" i="202"/>
  <c r="M76" i="203"/>
  <c r="M60" i="203"/>
  <c r="G31" i="203"/>
  <c r="G700" i="184" s="1"/>
  <c r="G1104" i="184"/>
  <c r="L112" i="199"/>
  <c r="D105" i="199"/>
  <c r="E15" i="199"/>
  <c r="E213" i="184" s="1"/>
  <c r="F56" i="199"/>
  <c r="F1442" i="184"/>
  <c r="J1851" i="184"/>
  <c r="K1067" i="184"/>
  <c r="D71" i="199"/>
  <c r="D1925" i="184" s="1"/>
  <c r="M61" i="199"/>
  <c r="L474" i="184"/>
  <c r="G919" i="184"/>
  <c r="L65" i="191"/>
  <c r="K31" i="199"/>
  <c r="K697" i="184" s="1"/>
  <c r="H15" i="199"/>
  <c r="H213" i="184" s="1"/>
  <c r="G15" i="199"/>
  <c r="G213" i="184" s="1"/>
  <c r="T67" i="199"/>
  <c r="H287" i="191" s="1"/>
  <c r="J56" i="199"/>
  <c r="J1442" i="184"/>
  <c r="H29" i="199"/>
  <c r="H659" i="184"/>
  <c r="E56" i="199"/>
  <c r="E1442" i="184" s="1"/>
  <c r="M89" i="199"/>
  <c r="G31" i="199"/>
  <c r="G697" i="184" s="1"/>
  <c r="M68" i="199"/>
  <c r="K56" i="199"/>
  <c r="K1442" i="184"/>
  <c r="M74" i="199"/>
  <c r="G29" i="199"/>
  <c r="G659" i="184" s="1"/>
  <c r="H78" i="199"/>
  <c r="H2112" i="184" s="1"/>
  <c r="M88" i="199"/>
  <c r="L18" i="199"/>
  <c r="L252" i="184" s="1"/>
  <c r="L83" i="199"/>
  <c r="L2225" i="184" s="1"/>
  <c r="G56" i="199"/>
  <c r="G1442" i="184" s="1"/>
  <c r="E882" i="184"/>
  <c r="M11" i="199"/>
  <c r="M64" i="199"/>
  <c r="E42" i="199"/>
  <c r="E1104" i="184" s="1"/>
  <c r="D52" i="198"/>
  <c r="S44" i="227"/>
  <c r="E105" i="102"/>
  <c r="R63" i="102"/>
  <c r="I83" i="102"/>
  <c r="I2229" i="184" s="1"/>
  <c r="I105" i="102"/>
  <c r="M62" i="102"/>
  <c r="T66" i="102"/>
  <c r="H254" i="191" s="1"/>
  <c r="H441" i="184"/>
  <c r="E56" i="102"/>
  <c r="E1446" i="184"/>
  <c r="L105" i="102"/>
  <c r="J105" i="102"/>
  <c r="F78" i="102"/>
  <c r="F2116" i="184" s="1"/>
  <c r="K71" i="102"/>
  <c r="K1929" i="184"/>
  <c r="R60" i="102"/>
  <c r="K18" i="102"/>
  <c r="K256" i="184"/>
  <c r="G83" i="102"/>
  <c r="G2229" i="184" s="1"/>
  <c r="F18" i="102"/>
  <c r="F256" i="184" s="1"/>
  <c r="J143" i="184"/>
  <c r="J56" i="102"/>
  <c r="J1446" i="184"/>
  <c r="E2005" i="184"/>
  <c r="D50" i="101"/>
  <c r="D54" i="101" s="1"/>
  <c r="P69" i="102"/>
  <c r="M60" i="102"/>
  <c r="AB60" i="102" s="1"/>
  <c r="F105" i="102"/>
  <c r="D29" i="102"/>
  <c r="F42" i="102"/>
  <c r="T63" i="102"/>
  <c r="M61" i="102"/>
  <c r="I180" i="184"/>
  <c r="I1372" i="184"/>
  <c r="M11" i="102"/>
  <c r="D105" i="102"/>
  <c r="L29" i="102"/>
  <c r="E71" i="102"/>
  <c r="E1929" i="184"/>
  <c r="L110" i="102"/>
  <c r="D78" i="102"/>
  <c r="D2116" i="184" s="1"/>
  <c r="K56" i="102"/>
  <c r="K1446" i="184" s="1"/>
  <c r="G31" i="102"/>
  <c r="G701" i="184" s="1"/>
  <c r="D83" i="102"/>
  <c r="D43" i="101"/>
  <c r="K69" i="184"/>
  <c r="L56" i="102"/>
  <c r="L1446" i="184" s="1"/>
  <c r="D18" i="102"/>
  <c r="D256" i="184" s="1"/>
  <c r="J42" i="102"/>
  <c r="J44" i="102"/>
  <c r="I71" i="102"/>
  <c r="I1929" i="184" s="1"/>
  <c r="M90" i="102"/>
  <c r="L31" i="102"/>
  <c r="L701" i="184" s="1"/>
  <c r="O66" i="102"/>
  <c r="C254" i="191"/>
  <c r="L113" i="102"/>
  <c r="M21" i="102"/>
  <c r="H71" i="102"/>
  <c r="H1929" i="184" s="1"/>
  <c r="M66" i="102"/>
  <c r="L71" i="92"/>
  <c r="L1942" i="184" s="1"/>
  <c r="L82" i="191"/>
  <c r="D107" i="90"/>
  <c r="E1535" i="184"/>
  <c r="J83" i="92"/>
  <c r="J2242" i="184" s="1"/>
  <c r="M33" i="92"/>
  <c r="L18" i="92"/>
  <c r="L269" i="184" s="1"/>
  <c r="X64" i="92"/>
  <c r="L193" i="191" s="1"/>
  <c r="M27" i="92"/>
  <c r="J31" i="92"/>
  <c r="J714" i="184" s="1"/>
  <c r="M47" i="92"/>
  <c r="L105" i="92"/>
  <c r="J105" i="92"/>
  <c r="B23" i="93"/>
  <c r="J1100" i="184"/>
  <c r="D655" i="184"/>
  <c r="D44" i="87"/>
  <c r="G655" i="184"/>
  <c r="G44" i="87"/>
  <c r="G1138" i="184"/>
  <c r="B40" i="86"/>
  <c r="AJ46" i="218"/>
  <c r="M1662" i="184"/>
  <c r="AB64" i="87"/>
  <c r="H78" i="87"/>
  <c r="H2108" i="184" s="1"/>
  <c r="M62" i="87"/>
  <c r="F71" i="87"/>
  <c r="F1921" i="184"/>
  <c r="H42" i="87"/>
  <c r="M34" i="87"/>
  <c r="M32" i="87"/>
  <c r="K105" i="87"/>
  <c r="I1662" i="184"/>
  <c r="F18" i="87"/>
  <c r="F248" i="184" s="1"/>
  <c r="L78" i="87"/>
  <c r="L2108" i="184" s="1"/>
  <c r="F83" i="87"/>
  <c r="F2221" i="184" s="1"/>
  <c r="G61" i="184"/>
  <c r="E172" i="184"/>
  <c r="J433" i="184"/>
  <c r="F655" i="184"/>
  <c r="M1514" i="184"/>
  <c r="L113" i="87"/>
  <c r="J29" i="87"/>
  <c r="J655" i="184" s="1"/>
  <c r="M22" i="87"/>
  <c r="M74" i="87"/>
  <c r="M68" i="87"/>
  <c r="F105" i="87"/>
  <c r="H105" i="87"/>
  <c r="L105" i="87"/>
  <c r="E15" i="87"/>
  <c r="F135" i="184"/>
  <c r="D57" i="86"/>
  <c r="D59" i="86" s="1"/>
  <c r="K1216" i="184"/>
  <c r="H1327" i="184"/>
  <c r="M40" i="87"/>
  <c r="M38" i="87"/>
  <c r="M952" i="184" s="1"/>
  <c r="H15" i="87"/>
  <c r="M61" i="87"/>
  <c r="J78" i="87"/>
  <c r="J2108" i="184" s="1"/>
  <c r="H31" i="87"/>
  <c r="H693" i="184"/>
  <c r="K952" i="184"/>
  <c r="E31" i="87"/>
  <c r="E693" i="184" s="1"/>
  <c r="I1588" i="184"/>
  <c r="L42" i="87"/>
  <c r="F15" i="87"/>
  <c r="E2184" i="184"/>
  <c r="AJ42" i="218"/>
  <c r="AJ22" i="218"/>
  <c r="D18" i="86"/>
  <c r="D20" i="86" s="1"/>
  <c r="AB60" i="87"/>
  <c r="D18" i="87"/>
  <c r="D248" i="184" s="1"/>
  <c r="D31" i="86"/>
  <c r="M82" i="87"/>
  <c r="E841" i="184"/>
  <c r="F31" i="87"/>
  <c r="F693" i="184" s="1"/>
  <c r="Q26" i="87"/>
  <c r="B53" i="86"/>
  <c r="F53" i="86"/>
  <c r="N34" i="220"/>
  <c r="I56" i="87"/>
  <c r="I1438" i="184" s="1"/>
  <c r="D105" i="87"/>
  <c r="K29" i="87"/>
  <c r="K655" i="184" s="1"/>
  <c r="M87" i="87"/>
  <c r="T66" i="87"/>
  <c r="M70" i="87"/>
  <c r="I31" i="87"/>
  <c r="I693" i="184" s="1"/>
  <c r="G56" i="87"/>
  <c r="G1438" i="184" s="1"/>
  <c r="I42" i="87"/>
  <c r="I1100" i="184" s="1"/>
  <c r="D45" i="86"/>
  <c r="V25" i="231"/>
  <c r="AJ59" i="218"/>
  <c r="M90" i="87"/>
  <c r="O66" i="87"/>
  <c r="C246" i="191" s="1"/>
  <c r="M75" i="87"/>
  <c r="K71" i="87"/>
  <c r="K1921" i="184" s="1"/>
  <c r="L112" i="87"/>
  <c r="D31" i="87"/>
  <c r="D693" i="184" s="1"/>
  <c r="H18" i="87"/>
  <c r="H248" i="184" s="1"/>
  <c r="J31" i="87"/>
  <c r="J693" i="184" s="1"/>
  <c r="G470" i="184"/>
  <c r="M11" i="87"/>
  <c r="B11" i="86" s="1"/>
  <c r="X61" i="87"/>
  <c r="M89" i="87"/>
  <c r="M20" i="87"/>
  <c r="E18" i="87"/>
  <c r="E248" i="184" s="1"/>
  <c r="M91" i="87"/>
  <c r="E71" i="87"/>
  <c r="E1921" i="184"/>
  <c r="I78" i="87"/>
  <c r="I2108" i="184" s="1"/>
  <c r="M69" i="87"/>
  <c r="M63" i="87"/>
  <c r="I105" i="87"/>
  <c r="M33" i="87"/>
  <c r="D37" i="86"/>
  <c r="M39" i="82"/>
  <c r="M52" i="82"/>
  <c r="AB64" i="72"/>
  <c r="B40" i="71"/>
  <c r="M32" i="72"/>
  <c r="W33" i="72"/>
  <c r="H42" i="72"/>
  <c r="H1109" i="184" s="1"/>
  <c r="D70" i="191"/>
  <c r="J15" i="72"/>
  <c r="J218" i="184" s="1"/>
  <c r="L113" i="72"/>
  <c r="H31" i="72"/>
  <c r="H702" i="184"/>
  <c r="D2193" i="184"/>
  <c r="G42" i="72"/>
  <c r="U61" i="72"/>
  <c r="I70" i="191"/>
  <c r="I15" i="72"/>
  <c r="I218" i="184" s="1"/>
  <c r="K56" i="72"/>
  <c r="K1447" i="184"/>
  <c r="K83" i="72"/>
  <c r="K2230" i="184" s="1"/>
  <c r="D181" i="191"/>
  <c r="H181" i="191"/>
  <c r="M181" i="191" s="1"/>
  <c r="E83" i="72"/>
  <c r="E2230" i="184"/>
  <c r="L18" i="72"/>
  <c r="L257" i="184" s="1"/>
  <c r="T67" i="72"/>
  <c r="H292" i="191" s="1"/>
  <c r="E56" i="72"/>
  <c r="E1447" i="184" s="1"/>
  <c r="J850" i="184"/>
  <c r="D40" i="71"/>
  <c r="H78" i="72"/>
  <c r="H2117" i="184" s="1"/>
  <c r="M82" i="72"/>
  <c r="M22" i="72"/>
  <c r="I56" i="72"/>
  <c r="I1447" i="184" s="1"/>
  <c r="J56" i="72"/>
  <c r="J1447" i="184"/>
  <c r="F2080" i="184"/>
  <c r="M62" i="72"/>
  <c r="O67" i="72"/>
  <c r="C292" i="191" s="1"/>
  <c r="G294" i="184"/>
  <c r="H56" i="72"/>
  <c r="H1447" i="184" s="1"/>
  <c r="E18" i="72"/>
  <c r="E257" i="184"/>
  <c r="D53" i="71"/>
  <c r="D54" i="71" s="1"/>
  <c r="H18" i="72"/>
  <c r="H257" i="184" s="1"/>
  <c r="D46" i="71"/>
  <c r="O65" i="67"/>
  <c r="C204" i="191" s="1"/>
  <c r="M33" i="67"/>
  <c r="M762" i="184" s="1"/>
  <c r="P69" i="67"/>
  <c r="P71" i="67" s="1"/>
  <c r="O62" i="67"/>
  <c r="C93" i="191" s="1"/>
  <c r="O67" i="67"/>
  <c r="C278" i="191" s="1"/>
  <c r="Z20" i="209"/>
  <c r="L1322" i="184"/>
  <c r="O64" i="67"/>
  <c r="C167" i="191" s="1"/>
  <c r="U61" i="67"/>
  <c r="I56" i="191" s="1"/>
  <c r="G19" i="191"/>
  <c r="L78" i="67"/>
  <c r="L2103" i="184"/>
  <c r="G56" i="67"/>
  <c r="G1433" i="184" s="1"/>
  <c r="D56" i="67"/>
  <c r="D1433" i="184"/>
  <c r="T67" i="67"/>
  <c r="H278" i="191" s="1"/>
  <c r="D1879" i="184"/>
  <c r="Q69" i="67"/>
  <c r="E352" i="191" s="1"/>
  <c r="S22" i="229"/>
  <c r="F428" i="184"/>
  <c r="M14" i="67"/>
  <c r="L111" i="67"/>
  <c r="F1248" i="184"/>
  <c r="T62" i="67"/>
  <c r="T22" i="210"/>
  <c r="M20" i="67"/>
  <c r="F31" i="67"/>
  <c r="F688" i="184" s="1"/>
  <c r="W21" i="214"/>
  <c r="D78" i="67"/>
  <c r="D2103" i="184"/>
  <c r="Y22" i="230"/>
  <c r="J1021" i="184"/>
  <c r="G613" i="184"/>
  <c r="L31" i="67"/>
  <c r="L688" i="184" s="1"/>
  <c r="U22" i="229"/>
  <c r="D13" i="66"/>
  <c r="G83" i="67"/>
  <c r="G2216" i="184"/>
  <c r="K1359" i="184"/>
  <c r="X66" i="67"/>
  <c r="L241" i="191" s="1"/>
  <c r="M241" i="191" s="1"/>
  <c r="M22" i="67"/>
  <c r="W22" i="220"/>
  <c r="T64" i="67"/>
  <c r="H167" i="191" s="1"/>
  <c r="AB70" i="62"/>
  <c r="F214" i="191"/>
  <c r="G214" i="191" s="1"/>
  <c r="AB61" i="62"/>
  <c r="M1556" i="184"/>
  <c r="M32" i="57"/>
  <c r="I71" i="57"/>
  <c r="I1922" i="184" s="1"/>
  <c r="E15" i="57"/>
  <c r="E210" i="184" s="1"/>
  <c r="H56" i="57"/>
  <c r="H1439" i="184" s="1"/>
  <c r="D13" i="56"/>
  <c r="F29" i="57"/>
  <c r="F656" i="184" s="1"/>
  <c r="L107" i="57"/>
  <c r="J434" i="184"/>
  <c r="G15" i="57"/>
  <c r="G210" i="184"/>
  <c r="K78" i="57"/>
  <c r="K2109" i="184" s="1"/>
  <c r="D50" i="56"/>
  <c r="I236" i="191"/>
  <c r="X66" i="21"/>
  <c r="L236" i="191" s="1"/>
  <c r="M92" i="191"/>
  <c r="D15" i="51"/>
  <c r="K744" i="184"/>
  <c r="D15" i="30"/>
  <c r="H78" i="13"/>
  <c r="H2094" i="184" s="1"/>
  <c r="E71" i="57"/>
  <c r="E1922" i="184" s="1"/>
  <c r="D15" i="35"/>
  <c r="M69" i="36"/>
  <c r="M21" i="42"/>
  <c r="G31" i="42"/>
  <c r="G687" i="184" s="1"/>
  <c r="M76" i="47"/>
  <c r="M280" i="191"/>
  <c r="M243" i="191"/>
  <c r="K78" i="21"/>
  <c r="K2098" i="184" s="1"/>
  <c r="O62" i="42"/>
  <c r="C92" i="191" s="1"/>
  <c r="U66" i="52"/>
  <c r="M12" i="191"/>
  <c r="F58" i="20"/>
  <c r="O63" i="16"/>
  <c r="L18" i="21"/>
  <c r="L238" i="184" s="1"/>
  <c r="M82" i="42"/>
  <c r="M92" i="199"/>
  <c r="L83" i="107"/>
  <c r="L2236" i="184" s="1"/>
  <c r="J31" i="107"/>
  <c r="J708" i="184" s="1"/>
  <c r="Z38" i="209"/>
  <c r="K85" i="224"/>
  <c r="M24" i="152"/>
  <c r="M38" i="13"/>
  <c r="M10" i="16"/>
  <c r="M10" i="82"/>
  <c r="M14" i="172"/>
  <c r="M51" i="137"/>
  <c r="E18" i="236"/>
  <c r="T70" i="236"/>
  <c r="F1843" i="184"/>
  <c r="L31" i="137"/>
  <c r="L706" i="184" s="1"/>
  <c r="L114" i="152"/>
  <c r="M40" i="147"/>
  <c r="K42" i="97"/>
  <c r="K1102" i="184"/>
  <c r="L42" i="92"/>
  <c r="M13" i="82"/>
  <c r="O13" i="82" s="1"/>
  <c r="M14" i="152"/>
  <c r="M10" i="152"/>
  <c r="M47" i="82"/>
  <c r="M54" i="42"/>
  <c r="E85" i="236"/>
  <c r="T71" i="236"/>
  <c r="X71" i="236"/>
  <c r="M24" i="195"/>
  <c r="M24" i="42"/>
  <c r="M28" i="16"/>
  <c r="M13" i="152"/>
  <c r="M47" i="122"/>
  <c r="M51" i="122"/>
  <c r="H31" i="236"/>
  <c r="E78" i="236"/>
  <c r="M25" i="117"/>
  <c r="M27" i="102"/>
  <c r="M13" i="26"/>
  <c r="M10" i="122"/>
  <c r="M51" i="16"/>
  <c r="M52" i="92"/>
  <c r="M1311" i="184" s="1"/>
  <c r="M37" i="122"/>
  <c r="M41" i="36"/>
  <c r="M10" i="97"/>
  <c r="M51" i="42"/>
  <c r="M52" i="122"/>
  <c r="M28" i="195"/>
  <c r="M24" i="78"/>
  <c r="H39" i="227" s="1"/>
  <c r="M14" i="102"/>
  <c r="M50" i="13"/>
  <c r="M92" i="67"/>
  <c r="M23" i="162"/>
  <c r="M24" i="122"/>
  <c r="M24" i="203"/>
  <c r="M41" i="122"/>
  <c r="M37" i="42"/>
  <c r="M47" i="97"/>
  <c r="M83" i="236"/>
  <c r="B59" i="235" s="1"/>
  <c r="T72" i="236"/>
  <c r="M24" i="172"/>
  <c r="M26" i="122"/>
  <c r="M41" i="137"/>
  <c r="M41" i="42"/>
  <c r="M36" i="16"/>
  <c r="M10" i="13"/>
  <c r="M13" i="97"/>
  <c r="M11" i="172"/>
  <c r="J56" i="67"/>
  <c r="J1433" i="184"/>
  <c r="G56" i="72"/>
  <c r="M54" i="82"/>
  <c r="M54" i="172"/>
  <c r="I85" i="236"/>
  <c r="H15" i="236"/>
  <c r="M33" i="236"/>
  <c r="G19" i="216"/>
  <c r="R65" i="67"/>
  <c r="H16" i="216" s="1"/>
  <c r="B19" i="188"/>
  <c r="B22" i="188"/>
  <c r="B23" i="188"/>
  <c r="B24" i="188"/>
  <c r="B25" i="188"/>
  <c r="B26" i="188"/>
  <c r="B27" i="188"/>
  <c r="B28" i="188"/>
  <c r="B29" i="188"/>
  <c r="B30" i="188"/>
  <c r="B31" i="188"/>
  <c r="B32" i="188"/>
  <c r="B33" i="188"/>
  <c r="B34" i="188"/>
  <c r="B35" i="188"/>
  <c r="B36" i="188"/>
  <c r="B37" i="188"/>
  <c r="B38" i="188"/>
  <c r="B39" i="188"/>
  <c r="B40" i="188"/>
  <c r="B41" i="188"/>
  <c r="B42" i="188"/>
  <c r="M29" i="87"/>
  <c r="AJ74" i="218"/>
  <c r="M2297" i="184"/>
  <c r="E15" i="216"/>
  <c r="F66" i="191"/>
  <c r="G66" i="191" s="1"/>
  <c r="D43" i="218"/>
  <c r="AB61" i="13"/>
  <c r="M1537" i="184"/>
  <c r="B43" i="188"/>
  <c r="D102" i="85"/>
  <c r="F36" i="86"/>
  <c r="K36" i="86"/>
  <c r="L36" i="86" s="1"/>
  <c r="E254" i="184"/>
  <c r="M18" i="82"/>
  <c r="D85" i="82"/>
  <c r="D1927" i="184"/>
  <c r="M71" i="82"/>
  <c r="M1927" i="184"/>
  <c r="M42" i="82"/>
  <c r="K44" i="82"/>
  <c r="K1106" i="184"/>
  <c r="D103" i="1"/>
  <c r="F37" i="2"/>
  <c r="K37" i="2" s="1"/>
  <c r="L37" i="2" s="1"/>
  <c r="T44" i="231"/>
  <c r="M801" i="184"/>
  <c r="BP79" i="218"/>
  <c r="M2475" i="184"/>
  <c r="J1093" i="184"/>
  <c r="J44" i="162"/>
  <c r="M42" i="162"/>
  <c r="F148" i="191"/>
  <c r="G148" i="191" s="1"/>
  <c r="R69" i="137"/>
  <c r="W42" i="52"/>
  <c r="U18" i="231"/>
  <c r="W29" i="52"/>
  <c r="F1124" i="184"/>
  <c r="F57" i="13"/>
  <c r="R65" i="26"/>
  <c r="C200" i="191"/>
  <c r="L47" i="136"/>
  <c r="I158" i="191"/>
  <c r="X64" i="13"/>
  <c r="L158" i="191"/>
  <c r="R60" i="157"/>
  <c r="C43" i="191"/>
  <c r="M1892" i="184"/>
  <c r="B46" i="101"/>
  <c r="AP52" i="218"/>
  <c r="R65" i="122"/>
  <c r="C227" i="191"/>
  <c r="I84" i="191"/>
  <c r="X62" i="13"/>
  <c r="L84" i="191"/>
  <c r="X64" i="152"/>
  <c r="L159" i="191" s="1"/>
  <c r="M159" i="191" s="1"/>
  <c r="H159" i="191"/>
  <c r="E2101" i="184"/>
  <c r="M78" i="162"/>
  <c r="M2101" i="184"/>
  <c r="E85" i="162"/>
  <c r="D47" i="191"/>
  <c r="G47" i="191" s="1"/>
  <c r="U61" i="13"/>
  <c r="L116" i="13"/>
  <c r="B27" i="6"/>
  <c r="E1615" i="184"/>
  <c r="O63" i="21"/>
  <c r="T63" i="21"/>
  <c r="M63" i="21"/>
  <c r="E105" i="21"/>
  <c r="F10" i="30"/>
  <c r="F36" i="81"/>
  <c r="K36" i="81"/>
  <c r="L36" i="81" s="1"/>
  <c r="L47" i="81" s="1"/>
  <c r="D102" i="80"/>
  <c r="P71" i="62"/>
  <c r="D362" i="191"/>
  <c r="M2041" i="184"/>
  <c r="AH58" i="218"/>
  <c r="B52" i="202"/>
  <c r="F52" i="202" s="1"/>
  <c r="J1108" i="184"/>
  <c r="W33" i="122"/>
  <c r="F34" i="231"/>
  <c r="M2548" i="184"/>
  <c r="L107" i="13"/>
  <c r="G794" i="184"/>
  <c r="G31" i="21"/>
  <c r="G683" i="184" s="1"/>
  <c r="M1871" i="184"/>
  <c r="BJ52" i="218"/>
  <c r="D67" i="171"/>
  <c r="B44" i="171"/>
  <c r="BT50" i="218"/>
  <c r="AB65" i="82"/>
  <c r="M1705" i="184"/>
  <c r="B41" i="81"/>
  <c r="D107" i="80" s="1"/>
  <c r="AD47" i="218"/>
  <c r="I297" i="191"/>
  <c r="X67" i="52"/>
  <c r="L297" i="191" s="1"/>
  <c r="D104" i="60"/>
  <c r="E38" i="61"/>
  <c r="G38" i="216"/>
  <c r="F165" i="191"/>
  <c r="G165" i="191" s="1"/>
  <c r="BP65" i="218"/>
  <c r="BP66" i="218" s="1"/>
  <c r="D54" i="202"/>
  <c r="W33" i="162"/>
  <c r="M723" i="184"/>
  <c r="R43" i="231"/>
  <c r="H1118" i="184"/>
  <c r="H44" i="122"/>
  <c r="D686" i="184"/>
  <c r="M31" i="162"/>
  <c r="F220" i="184"/>
  <c r="F57" i="147"/>
  <c r="F1486" i="184" s="1"/>
  <c r="BN43" i="218"/>
  <c r="M1571" i="184"/>
  <c r="B37" i="194"/>
  <c r="E652" i="184"/>
  <c r="E44" i="167"/>
  <c r="F52" i="187"/>
  <c r="F73" i="187"/>
  <c r="K1983" i="184"/>
  <c r="K78" i="13"/>
  <c r="K2094" i="184" s="1"/>
  <c r="F83" i="13"/>
  <c r="M81" i="13"/>
  <c r="F2133" i="184"/>
  <c r="G275" i="184"/>
  <c r="G105" i="21"/>
  <c r="G18" i="21"/>
  <c r="G238" i="184" s="1"/>
  <c r="M52" i="191"/>
  <c r="B46" i="151"/>
  <c r="M64" i="21"/>
  <c r="G21" i="216"/>
  <c r="F193" i="191"/>
  <c r="G193" i="191" s="1"/>
  <c r="D19" i="216"/>
  <c r="F30" i="191"/>
  <c r="G30" i="191" s="1"/>
  <c r="E1456" i="184"/>
  <c r="M2331" i="184"/>
  <c r="AA69" i="167"/>
  <c r="AB69" i="167"/>
  <c r="F2126" i="184"/>
  <c r="B58" i="161"/>
  <c r="M2177" i="184"/>
  <c r="H44" i="191"/>
  <c r="E1983" i="184"/>
  <c r="E78" i="13"/>
  <c r="G2470" i="184"/>
  <c r="M92" i="16"/>
  <c r="E71" i="21"/>
  <c r="E1911" i="184"/>
  <c r="H78" i="218"/>
  <c r="M2435" i="184"/>
  <c r="L44" i="122"/>
  <c r="L673" i="184"/>
  <c r="M814" i="184"/>
  <c r="T45" i="231"/>
  <c r="J2239" i="184"/>
  <c r="M83" i="122"/>
  <c r="M2239" i="184" s="1"/>
  <c r="AT49" i="218"/>
  <c r="AB67" i="112"/>
  <c r="M1789" i="184"/>
  <c r="B43" i="111"/>
  <c r="H1914" i="184"/>
  <c r="H85" i="162"/>
  <c r="I2433" i="184"/>
  <c r="M91" i="16"/>
  <c r="I105" i="16"/>
  <c r="M55" i="191"/>
  <c r="L57" i="137"/>
  <c r="K57" i="13"/>
  <c r="I287" i="191"/>
  <c r="AB69" i="142"/>
  <c r="D35" i="192"/>
  <c r="L77" i="191"/>
  <c r="M77" i="191" s="1"/>
  <c r="F46" i="161"/>
  <c r="K46" i="161" s="1"/>
  <c r="O46" i="161" s="1"/>
  <c r="O47" i="161" s="1"/>
  <c r="D112" i="160"/>
  <c r="R65" i="195"/>
  <c r="C229" i="191"/>
  <c r="E829" i="184"/>
  <c r="E105" i="16"/>
  <c r="E31" i="16"/>
  <c r="M64" i="16"/>
  <c r="L71" i="16"/>
  <c r="L1909" i="184" s="1"/>
  <c r="E1687" i="184"/>
  <c r="O65" i="16"/>
  <c r="G1835" i="184"/>
  <c r="G71" i="16"/>
  <c r="G1909" i="184" s="1"/>
  <c r="M69" i="16"/>
  <c r="G1872" i="184"/>
  <c r="M70" i="16"/>
  <c r="M1820" i="184"/>
  <c r="G13" i="231"/>
  <c r="M312" i="184"/>
  <c r="E66" i="171"/>
  <c r="R61" i="199"/>
  <c r="C65" i="191"/>
  <c r="G1431" i="184"/>
  <c r="M56" i="162"/>
  <c r="M1431" i="184"/>
  <c r="G57" i="162"/>
  <c r="R64" i="157"/>
  <c r="C191" i="191"/>
  <c r="D273" i="184"/>
  <c r="D18" i="16"/>
  <c r="D236" i="184" s="1"/>
  <c r="L273" i="184"/>
  <c r="L18" i="16"/>
  <c r="L236" i="184" s="1"/>
  <c r="L105" i="16"/>
  <c r="AB68" i="172"/>
  <c r="E38" i="216"/>
  <c r="F54" i="191"/>
  <c r="G54" i="191" s="1"/>
  <c r="E68" i="166"/>
  <c r="E71" i="166" s="1"/>
  <c r="E73" i="166" s="1"/>
  <c r="H215" i="191"/>
  <c r="X65" i="82"/>
  <c r="L215" i="191" s="1"/>
  <c r="M215" i="191" s="1"/>
  <c r="D217" i="184"/>
  <c r="D1118" i="184"/>
  <c r="M42" i="122"/>
  <c r="D44" i="122"/>
  <c r="X65" i="102"/>
  <c r="L217" i="191"/>
  <c r="H217" i="191"/>
  <c r="K1093" i="184"/>
  <c r="K44" i="162"/>
  <c r="E105" i="13"/>
  <c r="E345" i="184"/>
  <c r="E18" i="13"/>
  <c r="E234" i="184" s="1"/>
  <c r="I44" i="152"/>
  <c r="L106" i="137"/>
  <c r="W36" i="142"/>
  <c r="M239" i="191"/>
  <c r="I209" i="191"/>
  <c r="B30" i="187"/>
  <c r="C9" i="192"/>
  <c r="B30" i="191"/>
  <c r="B86" i="191"/>
  <c r="A194" i="191"/>
  <c r="D59" i="71"/>
  <c r="I120" i="184"/>
  <c r="I2630" i="184"/>
  <c r="D54" i="41"/>
  <c r="C19" i="216"/>
  <c r="AD4" i="218"/>
  <c r="AZ4" i="218"/>
  <c r="C30" i="216"/>
  <c r="C38" i="216"/>
  <c r="BP4" i="218"/>
  <c r="F1528" i="184"/>
  <c r="D36" i="51"/>
  <c r="J83" i="72"/>
  <c r="J2230" i="184" s="1"/>
  <c r="J2193" i="184"/>
  <c r="D50" i="81"/>
  <c r="F1966" i="184"/>
  <c r="D39" i="191"/>
  <c r="U60" i="107"/>
  <c r="I39" i="191" s="1"/>
  <c r="M118" i="191"/>
  <c r="D103" i="160"/>
  <c r="K44" i="62"/>
  <c r="D15" i="166"/>
  <c r="F40" i="41"/>
  <c r="W36" i="162"/>
  <c r="B40" i="187"/>
  <c r="B12" i="191"/>
  <c r="B54" i="191"/>
  <c r="B164" i="191"/>
  <c r="B197" i="191"/>
  <c r="B239" i="191"/>
  <c r="B289" i="191"/>
  <c r="B313" i="191"/>
  <c r="B363" i="191"/>
  <c r="B2442" i="184"/>
  <c r="B1770" i="184"/>
  <c r="B2068" i="184"/>
  <c r="B1844" i="184"/>
  <c r="B1918" i="184"/>
  <c r="B2294" i="184"/>
  <c r="B1622" i="184"/>
  <c r="B1807" i="184"/>
  <c r="B1733" i="184"/>
  <c r="B949" i="184"/>
  <c r="B2559" i="184"/>
  <c r="B2368" i="184"/>
  <c r="B1585" i="184"/>
  <c r="B1696" i="184"/>
  <c r="B801" i="184"/>
  <c r="B2479" i="184"/>
  <c r="B2331" i="184"/>
  <c r="B1097" i="184"/>
  <c r="B2105" i="184"/>
  <c r="B912" i="184"/>
  <c r="B2596" i="184"/>
  <c r="B2218" i="184"/>
  <c r="B2144" i="184"/>
  <c r="B1957" i="184"/>
  <c r="B1994" i="184"/>
  <c r="F72" i="191"/>
  <c r="G72" i="191" s="1"/>
  <c r="M141" i="191"/>
  <c r="H74" i="218"/>
  <c r="M128" i="191"/>
  <c r="W36" i="67"/>
  <c r="D54" i="166"/>
  <c r="D54" i="46"/>
  <c r="D15" i="71"/>
  <c r="D20" i="161"/>
  <c r="B123" i="191"/>
  <c r="B165" i="191"/>
  <c r="B215" i="191"/>
  <c r="B169" i="184"/>
  <c r="B690" i="184"/>
  <c r="B245" i="184"/>
  <c r="B1174" i="184"/>
  <c r="B1511" i="184"/>
  <c r="B2031" i="184"/>
  <c r="P13" i="203"/>
  <c r="M13" i="203"/>
  <c r="O13" i="203" s="1"/>
  <c r="L117" i="203"/>
  <c r="P13" i="172"/>
  <c r="L117" i="172"/>
  <c r="D59" i="151"/>
  <c r="E68" i="161"/>
  <c r="E71" i="161" s="1"/>
  <c r="B90" i="191"/>
  <c r="B141" i="191"/>
  <c r="B308" i="191"/>
  <c r="A342" i="191"/>
  <c r="L117" i="137"/>
  <c r="L117" i="167"/>
  <c r="B2522" i="184"/>
  <c r="B2300" i="184"/>
  <c r="B1813" i="184"/>
  <c r="B1330" i="184"/>
  <c r="B2037" i="184"/>
  <c r="B1103" i="184"/>
  <c r="B918" i="184"/>
  <c r="B658" i="184"/>
  <c r="B101" i="184"/>
  <c r="B2374" i="184"/>
  <c r="B2224" i="184"/>
  <c r="B2448" i="184"/>
  <c r="B1180" i="184"/>
  <c r="B1367" i="184"/>
  <c r="B992" i="184"/>
  <c r="B547" i="184"/>
  <c r="B621" i="184"/>
  <c r="B138" i="184"/>
  <c r="B2485" i="184"/>
  <c r="B2565" i="184"/>
  <c r="B2187" i="184"/>
  <c r="B2074" i="184"/>
  <c r="B1029" i="184"/>
  <c r="B844" i="184"/>
  <c r="B510" i="184"/>
  <c r="B436" i="184"/>
  <c r="B64" i="184"/>
  <c r="P13" i="78"/>
  <c r="B1963" i="184"/>
  <c r="B2411" i="184"/>
  <c r="B1591" i="184"/>
  <c r="B1441" i="184"/>
  <c r="B1404" i="184"/>
  <c r="B1219" i="184"/>
  <c r="B27" i="184"/>
  <c r="B362" i="184"/>
  <c r="B2337" i="184"/>
  <c r="B1924" i="184"/>
  <c r="B1478" i="184"/>
  <c r="B2150" i="184"/>
  <c r="B1141" i="184"/>
  <c r="B1066" i="184"/>
  <c r="B696" i="184"/>
  <c r="B399" i="184"/>
  <c r="B2497" i="184"/>
  <c r="B2423" i="184"/>
  <c r="B1566" i="184"/>
  <c r="B1490" i="184"/>
  <c r="B1153" i="184"/>
  <c r="B1268" i="184"/>
  <c r="B708" i="184"/>
  <c r="B448" i="184"/>
  <c r="B300" i="184"/>
  <c r="B2349" i="184"/>
  <c r="B2236" i="184"/>
  <c r="B2199" i="184"/>
  <c r="B1342" i="184"/>
  <c r="B1115" i="184"/>
  <c r="B1231" i="184"/>
  <c r="B670" i="184"/>
  <c r="B967" i="184"/>
  <c r="B224" i="184"/>
  <c r="B2312" i="184"/>
  <c r="B2614" i="184"/>
  <c r="B2086" i="184"/>
  <c r="B1192" i="184"/>
  <c r="B1078" i="184"/>
  <c r="B1004" i="184"/>
  <c r="B633" i="184"/>
  <c r="B559" i="184"/>
  <c r="B411" i="184"/>
  <c r="L117" i="107"/>
  <c r="B2534" i="184"/>
  <c r="B2577" i="184"/>
  <c r="B1862" i="184"/>
  <c r="B1788" i="184"/>
  <c r="B1603" i="184"/>
  <c r="B596" i="184"/>
  <c r="B930" i="184"/>
  <c r="B39" i="184"/>
  <c r="B113" i="184"/>
  <c r="B2386" i="184"/>
  <c r="B2460" i="184"/>
  <c r="B1714" i="184"/>
  <c r="B1751" i="184"/>
  <c r="B1529" i="184"/>
  <c r="B1305" i="184"/>
  <c r="B782" i="184"/>
  <c r="B819" i="184"/>
  <c r="B76" i="184"/>
  <c r="J120" i="184"/>
  <c r="J2630" i="184"/>
  <c r="F15" i="191"/>
  <c r="G15" i="191" s="1"/>
  <c r="F675" i="184"/>
  <c r="E68" i="61"/>
  <c r="E71" i="61"/>
  <c r="G31" i="191"/>
  <c r="B49" i="191"/>
  <c r="B91" i="191"/>
  <c r="B234" i="191"/>
  <c r="B275" i="191"/>
  <c r="B349" i="191"/>
  <c r="P13" i="167"/>
  <c r="B1991" i="184"/>
  <c r="B1878" i="184"/>
  <c r="B1767" i="184"/>
  <c r="B1619" i="184"/>
  <c r="B612" i="184"/>
  <c r="B946" i="184"/>
  <c r="B835" i="184"/>
  <c r="B166" i="184"/>
  <c r="B2556" i="184"/>
  <c r="B2593" i="184"/>
  <c r="B1730" i="184"/>
  <c r="B1508" i="184"/>
  <c r="B1545" i="184"/>
  <c r="B1321" i="184"/>
  <c r="B798" i="184"/>
  <c r="B464" i="184"/>
  <c r="B129" i="184"/>
  <c r="B2402" i="184"/>
  <c r="B2476" i="184"/>
  <c r="B1582" i="184"/>
  <c r="B1358" i="184"/>
  <c r="B1171" i="184"/>
  <c r="B1284" i="184"/>
  <c r="B724" i="184"/>
  <c r="B983" i="184"/>
  <c r="B92" i="184"/>
  <c r="B2291" i="184"/>
  <c r="B1954" i="184"/>
  <c r="B2028" i="184"/>
  <c r="B1693" i="184"/>
  <c r="B909" i="184"/>
  <c r="B1395" i="184"/>
  <c r="B203" i="184"/>
  <c r="B390" i="184"/>
  <c r="B18" i="184"/>
  <c r="B2141" i="184"/>
  <c r="B1915" i="184"/>
  <c r="B1841" i="184"/>
  <c r="B1656" i="184"/>
  <c r="B761" i="184"/>
  <c r="B1432" i="184"/>
  <c r="B55" i="184"/>
  <c r="B279" i="184"/>
  <c r="B2451" i="184"/>
  <c r="B2077" i="184"/>
  <c r="B2303" i="184"/>
  <c r="B1333" i="184"/>
  <c r="B1069" i="184"/>
  <c r="B1631" i="184"/>
  <c r="B67" i="184"/>
  <c r="B699" i="184"/>
  <c r="B30" i="184"/>
  <c r="B2153" i="184"/>
  <c r="B2040" i="184"/>
  <c r="B1927" i="184"/>
  <c r="B1966" i="184"/>
  <c r="B921" i="184"/>
  <c r="B1183" i="184"/>
  <c r="B476" i="184"/>
  <c r="B661" i="184"/>
  <c r="B141" i="184"/>
  <c r="B2003" i="184"/>
  <c r="B1890" i="184"/>
  <c r="B1520" i="184"/>
  <c r="B1816" i="184"/>
  <c r="B773" i="184"/>
  <c r="B1144" i="184"/>
  <c r="B810" i="184"/>
  <c r="B402" i="184"/>
  <c r="B328" i="184"/>
  <c r="P13" i="82"/>
  <c r="B2414" i="184"/>
  <c r="B2340" i="184"/>
  <c r="B2377" i="184"/>
  <c r="B1557" i="184"/>
  <c r="B1296" i="184"/>
  <c r="B1032" i="184"/>
  <c r="B365" i="184"/>
  <c r="B847" i="184"/>
  <c r="B439" i="184"/>
  <c r="L117" i="82"/>
  <c r="B2525" i="184"/>
  <c r="B2114" i="184"/>
  <c r="B2227" i="184"/>
  <c r="B1481" i="184"/>
  <c r="B1259" i="184"/>
  <c r="B884" i="184"/>
  <c r="B215" i="184"/>
  <c r="B736" i="184"/>
  <c r="B291" i="184"/>
  <c r="D1685" i="184"/>
  <c r="O65" i="13"/>
  <c r="C195" i="191" s="1"/>
  <c r="L116" i="16"/>
  <c r="B27" i="17"/>
  <c r="D15" i="41"/>
  <c r="D54" i="176"/>
  <c r="D15" i="2"/>
  <c r="D59" i="141"/>
  <c r="B22" i="187"/>
  <c r="C19" i="192"/>
  <c r="B16" i="191"/>
  <c r="B67" i="191"/>
  <c r="B160" i="191"/>
  <c r="B201" i="191"/>
  <c r="B276" i="191"/>
  <c r="B350" i="191"/>
  <c r="B58" i="184"/>
  <c r="B541" i="184"/>
  <c r="B986" i="184"/>
  <c r="B764" i="184"/>
  <c r="B1398" i="184"/>
  <c r="F4" i="218"/>
  <c r="D120" i="184"/>
  <c r="D2630" i="184"/>
  <c r="L120" i="184"/>
  <c r="L2630" i="184"/>
  <c r="B146" i="184"/>
  <c r="B815" i="184"/>
  <c r="B481" i="184"/>
  <c r="B1636" i="184"/>
  <c r="B1037" i="184"/>
  <c r="B1932" i="184"/>
  <c r="B1821" i="184"/>
  <c r="B2573" i="184"/>
  <c r="B2493" i="184"/>
  <c r="P13" i="147"/>
  <c r="L117" i="87"/>
  <c r="T67" i="13"/>
  <c r="L114" i="13"/>
  <c r="G31" i="16"/>
  <c r="G681" i="184" s="1"/>
  <c r="B1449" i="184"/>
  <c r="B1562" i="184"/>
  <c r="B2232" i="184"/>
  <c r="B2382" i="184"/>
  <c r="C25" i="216"/>
  <c r="Z4" i="218"/>
  <c r="I18" i="13"/>
  <c r="I234" i="184" s="1"/>
  <c r="G78" i="13"/>
  <c r="T63" i="13"/>
  <c r="X63" i="13" s="1"/>
  <c r="M196" i="191"/>
  <c r="D83" i="16"/>
  <c r="D2209" i="184"/>
  <c r="F1705" i="184"/>
  <c r="G18" i="16"/>
  <c r="G236" i="184" s="1"/>
  <c r="M68" i="16"/>
  <c r="M1798" i="184" s="1"/>
  <c r="J105" i="72"/>
  <c r="J331" i="184"/>
  <c r="M33" i="191"/>
  <c r="I31" i="16"/>
  <c r="I681" i="184" s="1"/>
  <c r="M33" i="21"/>
  <c r="W36" i="21" s="1"/>
  <c r="L31" i="36"/>
  <c r="L682" i="184" s="1"/>
  <c r="L42" i="36"/>
  <c r="B296" i="184"/>
  <c r="B629" i="184"/>
  <c r="B35" i="184"/>
  <c r="B1149" i="184"/>
  <c r="B592" i="184"/>
  <c r="B1747" i="184"/>
  <c r="B1895" i="184"/>
  <c r="B2045" i="184"/>
  <c r="B2419" i="184"/>
  <c r="M67" i="16"/>
  <c r="L867" i="184"/>
  <c r="B72" i="184"/>
  <c r="B666" i="184"/>
  <c r="B183" i="184"/>
  <c r="B1673" i="184"/>
  <c r="B741" i="184"/>
  <c r="B1784" i="184"/>
  <c r="B2345" i="184"/>
  <c r="B2082" i="184"/>
  <c r="B2456" i="184"/>
  <c r="L117" i="127"/>
  <c r="X63" i="107"/>
  <c r="L150" i="191" s="1"/>
  <c r="H78" i="52"/>
  <c r="H2122" i="184"/>
  <c r="B109" i="184"/>
  <c r="B704" i="184"/>
  <c r="B333" i="184"/>
  <c r="B1525" i="184"/>
  <c r="B889" i="184"/>
  <c r="B2158" i="184"/>
  <c r="B2195" i="184"/>
  <c r="B2308" i="184"/>
  <c r="B2610" i="184"/>
  <c r="K78" i="16"/>
  <c r="K2096" i="184"/>
  <c r="H18" i="52"/>
  <c r="H262" i="184" s="1"/>
  <c r="H410" i="184"/>
  <c r="D15" i="61"/>
  <c r="M88" i="26"/>
  <c r="K105" i="42"/>
  <c r="L78" i="52"/>
  <c r="L2122" i="184" s="1"/>
  <c r="M91" i="72"/>
  <c r="D83" i="21"/>
  <c r="D2211" i="184" s="1"/>
  <c r="L83" i="42"/>
  <c r="L2215" i="184"/>
  <c r="M89" i="47"/>
  <c r="K31" i="57"/>
  <c r="K694" i="184" s="1"/>
  <c r="H71" i="67"/>
  <c r="H1916" i="184" s="1"/>
  <c r="X67" i="67"/>
  <c r="L278" i="191" s="1"/>
  <c r="L114" i="72"/>
  <c r="M67" i="72"/>
  <c r="L114" i="92"/>
  <c r="D59" i="96"/>
  <c r="K31" i="42"/>
  <c r="K687" i="184" s="1"/>
  <c r="H31" i="47"/>
  <c r="H689" i="184" s="1"/>
  <c r="L112" i="62"/>
  <c r="D54" i="61"/>
  <c r="H31" i="67"/>
  <c r="H688" i="184" s="1"/>
  <c r="H715" i="184" s="1"/>
  <c r="M75" i="72"/>
  <c r="L114" i="87"/>
  <c r="M90" i="199"/>
  <c r="U67" i="21"/>
  <c r="M88" i="21"/>
  <c r="L112" i="42"/>
  <c r="J71" i="47"/>
  <c r="J1917" i="184" s="1"/>
  <c r="K83" i="47"/>
  <c r="K2217" i="184" s="1"/>
  <c r="M77" i="52"/>
  <c r="G83" i="52"/>
  <c r="G2235" i="184" s="1"/>
  <c r="E71" i="67"/>
  <c r="X65" i="67"/>
  <c r="L204" i="191" s="1"/>
  <c r="L83" i="67"/>
  <c r="L2216" i="184" s="1"/>
  <c r="M35" i="72"/>
  <c r="M90" i="72"/>
  <c r="D43" i="76"/>
  <c r="I71" i="42"/>
  <c r="I1915" i="184" s="1"/>
  <c r="I78" i="42"/>
  <c r="I2102" i="184" s="1"/>
  <c r="M90" i="42"/>
  <c r="N77" i="218" s="1"/>
  <c r="M88" i="47"/>
  <c r="M91" i="47"/>
  <c r="T62" i="78"/>
  <c r="M34" i="47"/>
  <c r="E78" i="47"/>
  <c r="E2104" i="184"/>
  <c r="E31" i="52"/>
  <c r="K71" i="57"/>
  <c r="K1922" i="184" s="1"/>
  <c r="K78" i="67"/>
  <c r="K2103" i="184" s="1"/>
  <c r="I71" i="72"/>
  <c r="I1930" i="184"/>
  <c r="X65" i="72"/>
  <c r="L218" i="191" s="1"/>
  <c r="M218" i="191" s="1"/>
  <c r="K120" i="184"/>
  <c r="K2630" i="184"/>
  <c r="AB68" i="26"/>
  <c r="L31" i="42"/>
  <c r="L687" i="184"/>
  <c r="L112" i="47"/>
  <c r="M66" i="52"/>
  <c r="L1974" i="184"/>
  <c r="O65" i="57"/>
  <c r="G78" i="57"/>
  <c r="G2109" i="184" s="1"/>
  <c r="J78" i="67"/>
  <c r="J2103" i="184"/>
  <c r="M88" i="67"/>
  <c r="G2454" i="184"/>
  <c r="J881" i="184"/>
  <c r="D15" i="86"/>
  <c r="L114" i="199"/>
  <c r="W26" i="220"/>
  <c r="Z24" i="209"/>
  <c r="F120" i="184"/>
  <c r="F2630" i="184"/>
  <c r="F1617" i="184"/>
  <c r="O64" i="107"/>
  <c r="D54" i="86"/>
  <c r="H78" i="107"/>
  <c r="H2123" i="184" s="1"/>
  <c r="M69" i="92"/>
  <c r="M87" i="107"/>
  <c r="E18" i="107"/>
  <c r="E263" i="184" s="1"/>
  <c r="K78" i="107"/>
  <c r="K2123" i="184" s="1"/>
  <c r="M87" i="117"/>
  <c r="G120" i="184"/>
  <c r="G2630" i="184"/>
  <c r="X65" i="203"/>
  <c r="L216" i="191" s="1"/>
  <c r="F78" i="107"/>
  <c r="F2123" i="184" s="1"/>
  <c r="G78" i="127"/>
  <c r="G2100" i="184"/>
  <c r="AB63" i="137"/>
  <c r="L78" i="72"/>
  <c r="L2117" i="184" s="1"/>
  <c r="T64" i="42"/>
  <c r="M229" i="191"/>
  <c r="O66" i="47"/>
  <c r="C242" i="191" s="1"/>
  <c r="O63" i="132"/>
  <c r="I18" i="132"/>
  <c r="I246" i="184"/>
  <c r="L114" i="132"/>
  <c r="G31" i="147"/>
  <c r="G704" i="184" s="1"/>
  <c r="L78" i="157"/>
  <c r="L2127" i="184" s="1"/>
  <c r="L83" i="157"/>
  <c r="L2240" i="184" s="1"/>
  <c r="M32" i="167"/>
  <c r="AB61" i="195"/>
  <c r="C6" i="15"/>
  <c r="T30" i="213" s="1"/>
  <c r="N69" i="207"/>
  <c r="C6" i="30" s="1"/>
  <c r="M92" i="147"/>
  <c r="C6" i="76"/>
  <c r="C6" i="106"/>
  <c r="I26" i="188" s="1"/>
  <c r="N70" i="207"/>
  <c r="C6" i="235" s="1"/>
  <c r="C6" i="176"/>
  <c r="J83" i="157"/>
  <c r="J2240" i="184" s="1"/>
  <c r="E47" i="209"/>
  <c r="C6" i="46"/>
  <c r="C6" i="86"/>
  <c r="D34" i="210" s="1"/>
  <c r="C6" i="116"/>
  <c r="C6" i="151"/>
  <c r="G10" i="209" s="1"/>
  <c r="M60" i="147"/>
  <c r="L114" i="147"/>
  <c r="M64" i="157"/>
  <c r="D47" i="212"/>
  <c r="M92" i="157"/>
  <c r="BL79" i="218" s="1"/>
  <c r="E33" i="81"/>
  <c r="E33" i="202"/>
  <c r="E33" i="146"/>
  <c r="C6" i="51"/>
  <c r="C57" i="51"/>
  <c r="C6" i="91"/>
  <c r="C42" i="91" s="1"/>
  <c r="C6" i="121"/>
  <c r="G41" i="209" s="1"/>
  <c r="C6" i="156"/>
  <c r="I10" i="188" s="1"/>
  <c r="K10" i="188" s="1"/>
  <c r="M77" i="224"/>
  <c r="B53" i="223" s="1"/>
  <c r="M83" i="224"/>
  <c r="B59" i="223"/>
  <c r="M76" i="224"/>
  <c r="B52" i="223" s="1"/>
  <c r="E39" i="30"/>
  <c r="E33" i="61"/>
  <c r="M62" i="157"/>
  <c r="E65" i="156"/>
  <c r="E68" i="156" s="1"/>
  <c r="E71" i="156" s="1"/>
  <c r="G83" i="157"/>
  <c r="G2240" i="184" s="1"/>
  <c r="M67" i="195"/>
  <c r="E83" i="195"/>
  <c r="E2241" i="184" s="1"/>
  <c r="E33" i="2"/>
  <c r="E33" i="106"/>
  <c r="E33" i="176"/>
  <c r="D31" i="224"/>
  <c r="L31" i="224"/>
  <c r="E33" i="41"/>
  <c r="E33" i="71"/>
  <c r="E33" i="101"/>
  <c r="C6" i="20"/>
  <c r="G35" i="220" s="1"/>
  <c r="C6" i="202"/>
  <c r="C6" i="171"/>
  <c r="I23" i="188" s="1"/>
  <c r="M28" i="137"/>
  <c r="O37" i="231" s="1"/>
  <c r="M37" i="92"/>
  <c r="M36" i="42"/>
  <c r="M55" i="142"/>
  <c r="M51" i="203"/>
  <c r="M55" i="92"/>
  <c r="M53" i="132"/>
  <c r="M50" i="152"/>
  <c r="M50" i="167"/>
  <c r="J42" i="236"/>
  <c r="I15" i="236"/>
  <c r="M41" i="236"/>
  <c r="M32" i="236"/>
  <c r="M98" i="236"/>
  <c r="C6" i="41"/>
  <c r="C6" i="81"/>
  <c r="C57" i="81" s="1"/>
  <c r="C6" i="146"/>
  <c r="BI6" i="218" s="1"/>
  <c r="C6" i="35"/>
  <c r="M6" i="218" s="1"/>
  <c r="N68" i="207"/>
  <c r="C6" i="223" s="1"/>
  <c r="M24" i="162"/>
  <c r="M23" i="137"/>
  <c r="M25" i="122"/>
  <c r="M24" i="117"/>
  <c r="D18" i="107"/>
  <c r="D263" i="184" s="1"/>
  <c r="E29" i="107"/>
  <c r="E670" i="184" s="1"/>
  <c r="G29" i="107"/>
  <c r="G670" i="184"/>
  <c r="M24" i="52"/>
  <c r="G29" i="42"/>
  <c r="G649" i="184" s="1"/>
  <c r="J42" i="132"/>
  <c r="J1098" i="184" s="1"/>
  <c r="K42" i="132"/>
  <c r="M38" i="122"/>
  <c r="M38" i="97"/>
  <c r="X27" i="231"/>
  <c r="J42" i="92"/>
  <c r="M41" i="82"/>
  <c r="E42" i="47"/>
  <c r="M13" i="87"/>
  <c r="M135" i="184"/>
  <c r="M11" i="92"/>
  <c r="E15" i="152"/>
  <c r="M47" i="52"/>
  <c r="M47" i="72"/>
  <c r="M47" i="162"/>
  <c r="M52" i="42"/>
  <c r="M52" i="87"/>
  <c r="M1290" i="184"/>
  <c r="M55" i="117"/>
  <c r="M1418" i="184" s="1"/>
  <c r="M52" i="137"/>
  <c r="M55" i="152"/>
  <c r="E56" i="157"/>
  <c r="E1457" i="184" s="1"/>
  <c r="F56" i="157"/>
  <c r="F1457" i="184" s="1"/>
  <c r="M51" i="162"/>
  <c r="M55" i="172"/>
  <c r="J85" i="236"/>
  <c r="G90" i="236"/>
  <c r="D62" i="236"/>
  <c r="M28" i="167"/>
  <c r="O44" i="231" s="1"/>
  <c r="M26" i="162"/>
  <c r="M23" i="195"/>
  <c r="M25" i="195"/>
  <c r="M27" i="152"/>
  <c r="D29" i="132"/>
  <c r="M23" i="112"/>
  <c r="M24" i="87"/>
  <c r="M23" i="203"/>
  <c r="L29" i="21"/>
  <c r="M27" i="16"/>
  <c r="M41" i="132"/>
  <c r="M39" i="122"/>
  <c r="M38" i="112"/>
  <c r="H42" i="92"/>
  <c r="H1121" i="184" s="1"/>
  <c r="M41" i="87"/>
  <c r="M41" i="62"/>
  <c r="M37" i="47"/>
  <c r="M40" i="21"/>
  <c r="M38" i="16"/>
  <c r="M14" i="16"/>
  <c r="G15" i="42"/>
  <c r="G203" i="184" s="1"/>
  <c r="M14" i="122"/>
  <c r="M13" i="172"/>
  <c r="M145" i="184" s="1"/>
  <c r="M47" i="137"/>
  <c r="M1190" i="184" s="1"/>
  <c r="M53" i="82"/>
  <c r="M55" i="87"/>
  <c r="M53" i="92"/>
  <c r="M55" i="122"/>
  <c r="M55" i="147"/>
  <c r="M52" i="172"/>
  <c r="M50" i="172"/>
  <c r="BT32" i="218" s="1"/>
  <c r="M57" i="236"/>
  <c r="B33" i="235" s="1"/>
  <c r="L119" i="224"/>
  <c r="M27" i="162"/>
  <c r="M24" i="92"/>
  <c r="K26" i="231" s="1"/>
  <c r="M25" i="87"/>
  <c r="E29" i="72"/>
  <c r="E664" i="184" s="1"/>
  <c r="M27" i="72"/>
  <c r="M24" i="62"/>
  <c r="H29" i="57"/>
  <c r="H656" i="184"/>
  <c r="M37" i="172"/>
  <c r="M40" i="162"/>
  <c r="M40" i="152"/>
  <c r="E42" i="137"/>
  <c r="M40" i="122"/>
  <c r="M38" i="203"/>
  <c r="M36" i="82"/>
  <c r="M38" i="78"/>
  <c r="G42" i="67"/>
  <c r="G1095" i="184" s="1"/>
  <c r="I42" i="67"/>
  <c r="M36" i="62"/>
  <c r="M39" i="47"/>
  <c r="M10" i="142"/>
  <c r="BF10" i="218" s="1"/>
  <c r="M11" i="82"/>
  <c r="M10" i="203"/>
  <c r="M14" i="117"/>
  <c r="M189" i="184" s="1"/>
  <c r="I15" i="152"/>
  <c r="I196" i="184" s="1"/>
  <c r="M14" i="162"/>
  <c r="M10" i="172"/>
  <c r="M47" i="42"/>
  <c r="M47" i="78"/>
  <c r="M47" i="117"/>
  <c r="M52" i="142"/>
  <c r="M53" i="42"/>
  <c r="B29" i="41" s="1"/>
  <c r="M54" i="52"/>
  <c r="D70" i="51" s="1"/>
  <c r="F70" i="51" s="1"/>
  <c r="I56" i="57"/>
  <c r="I1439" i="184" s="1"/>
  <c r="L56" i="97"/>
  <c r="L1440" i="184"/>
  <c r="M53" i="117"/>
  <c r="M1344" i="184" s="1"/>
  <c r="M50" i="137"/>
  <c r="M53" i="152"/>
  <c r="M55" i="167"/>
  <c r="B31" i="166" s="1"/>
  <c r="M53" i="172"/>
  <c r="J62" i="236"/>
  <c r="H90" i="236"/>
  <c r="C6" i="56"/>
  <c r="C6" i="96"/>
  <c r="M13" i="230" s="1"/>
  <c r="C6" i="126"/>
  <c r="BA6" i="218" s="1"/>
  <c r="C6" i="194"/>
  <c r="C50" i="194" s="1"/>
  <c r="T69" i="224"/>
  <c r="X69" i="224" s="1"/>
  <c r="M24" i="137"/>
  <c r="M25" i="92"/>
  <c r="M25" i="82"/>
  <c r="J29" i="62"/>
  <c r="M25" i="47"/>
  <c r="M27" i="21"/>
  <c r="K35" i="227"/>
  <c r="M24" i="16"/>
  <c r="M41" i="162"/>
  <c r="M39" i="137"/>
  <c r="M41" i="97"/>
  <c r="M41" i="92"/>
  <c r="T33" i="227" s="1"/>
  <c r="I42" i="72"/>
  <c r="L42" i="67"/>
  <c r="L1095" i="184"/>
  <c r="D42" i="67"/>
  <c r="M39" i="67"/>
  <c r="M40" i="16"/>
  <c r="M13" i="21"/>
  <c r="O13" i="21" s="1"/>
  <c r="M10" i="47"/>
  <c r="B10" i="46" s="1"/>
  <c r="M10" i="107"/>
  <c r="B10" i="106" s="1"/>
  <c r="H15" i="137"/>
  <c r="M51" i="142"/>
  <c r="M53" i="13"/>
  <c r="M50" i="42"/>
  <c r="M55" i="203"/>
  <c r="B31" i="202"/>
  <c r="M53" i="87"/>
  <c r="M51" i="92"/>
  <c r="M50" i="107"/>
  <c r="M1231" i="184" s="1"/>
  <c r="C6" i="131"/>
  <c r="BC6" i="218" s="1"/>
  <c r="M55" i="137"/>
  <c r="M1414" i="184" s="1"/>
  <c r="M53" i="147"/>
  <c r="M54" i="152"/>
  <c r="M52" i="162"/>
  <c r="D56" i="177"/>
  <c r="D1450" i="184" s="1"/>
  <c r="F85" i="236"/>
  <c r="M95" i="236"/>
  <c r="AA76" i="236" s="1"/>
  <c r="M77" i="236"/>
  <c r="B53" i="235" s="1"/>
  <c r="E62" i="236"/>
  <c r="E42" i="236"/>
  <c r="E29" i="236"/>
  <c r="E15" i="236"/>
  <c r="C6" i="61"/>
  <c r="C6" i="101"/>
  <c r="I41" i="188" s="1"/>
  <c r="K41" i="188" s="1"/>
  <c r="C6" i="161"/>
  <c r="C14" i="161" s="1"/>
  <c r="X71" i="224"/>
  <c r="M25" i="137"/>
  <c r="M27" i="122"/>
  <c r="G29" i="92"/>
  <c r="M27" i="87"/>
  <c r="M581" i="184" s="1"/>
  <c r="M26" i="82"/>
  <c r="E29" i="47"/>
  <c r="E651" i="184"/>
  <c r="M25" i="16"/>
  <c r="H42" i="172"/>
  <c r="H42" i="157"/>
  <c r="M41" i="152"/>
  <c r="M1050" i="184" s="1"/>
  <c r="M41" i="147"/>
  <c r="AA39" i="231" s="1"/>
  <c r="M36" i="137"/>
  <c r="M891" i="184"/>
  <c r="M40" i="137"/>
  <c r="S19" i="227" s="1"/>
  <c r="M36" i="122"/>
  <c r="M39" i="203"/>
  <c r="W25" i="203" s="1"/>
  <c r="M37" i="82"/>
  <c r="M39" i="52"/>
  <c r="M37" i="21"/>
  <c r="P35" i="227" s="1"/>
  <c r="M41" i="16"/>
  <c r="M40" i="13"/>
  <c r="M11" i="16"/>
  <c r="M14" i="21"/>
  <c r="M13" i="78"/>
  <c r="M11" i="122"/>
  <c r="M14" i="137"/>
  <c r="M11" i="162"/>
  <c r="M52" i="16"/>
  <c r="M53" i="78"/>
  <c r="M51" i="82"/>
  <c r="H56" i="203"/>
  <c r="H1445" i="184" s="1"/>
  <c r="M52" i="107"/>
  <c r="M1305" i="184"/>
  <c r="M53" i="122"/>
  <c r="G56" i="132"/>
  <c r="G1436" i="184" s="1"/>
  <c r="A120" i="191"/>
  <c r="M51" i="152"/>
  <c r="M55" i="162"/>
  <c r="M51" i="172"/>
  <c r="F56" i="177"/>
  <c r="F1450" i="184" s="1"/>
  <c r="M60" i="236"/>
  <c r="D77" i="235" s="1"/>
  <c r="F77" i="235" s="1"/>
  <c r="I78" i="236"/>
  <c r="I18" i="236"/>
  <c r="M94" i="236"/>
  <c r="M76" i="236"/>
  <c r="B52" i="235" s="1"/>
  <c r="M68" i="236"/>
  <c r="M56" i="236"/>
  <c r="B32" i="235" s="1"/>
  <c r="M35" i="236"/>
  <c r="M24" i="236"/>
  <c r="M11" i="236"/>
  <c r="B11" i="235" s="1"/>
  <c r="O66" i="236"/>
  <c r="R66" i="236" s="1"/>
  <c r="D18" i="236"/>
  <c r="E33" i="131"/>
  <c r="C6" i="2"/>
  <c r="D30" i="210" s="1"/>
  <c r="C6" i="66"/>
  <c r="C6" i="166"/>
  <c r="E42" i="224"/>
  <c r="D42" i="224"/>
  <c r="I8" i="2"/>
  <c r="I8" i="56"/>
  <c r="I14" i="56" s="1"/>
  <c r="I8" i="96"/>
  <c r="I8" i="131"/>
  <c r="P71" i="207"/>
  <c r="I8" i="239" s="1"/>
  <c r="I8" i="161"/>
  <c r="E49" i="230"/>
  <c r="C47" i="231"/>
  <c r="I29" i="172"/>
  <c r="I44" i="172" s="1"/>
  <c r="I1148" i="184" s="1"/>
  <c r="M24" i="157"/>
  <c r="M27" i="142"/>
  <c r="N38" i="231" s="1"/>
  <c r="M26" i="137"/>
  <c r="M26" i="132"/>
  <c r="M36" i="231" s="1"/>
  <c r="M28" i="92"/>
  <c r="M28" i="87"/>
  <c r="M618" i="184"/>
  <c r="M28" i="82"/>
  <c r="H18" i="67"/>
  <c r="H243" i="184"/>
  <c r="M23" i="36"/>
  <c r="J15" i="231" s="1"/>
  <c r="M23" i="13"/>
  <c r="M36" i="172"/>
  <c r="M40" i="172"/>
  <c r="M40" i="117"/>
  <c r="M40" i="107"/>
  <c r="M1041" i="184"/>
  <c r="M36" i="102"/>
  <c r="M36" i="92"/>
  <c r="M40" i="203"/>
  <c r="M38" i="82"/>
  <c r="M40" i="78"/>
  <c r="M14" i="87"/>
  <c r="E15" i="107"/>
  <c r="M47" i="16"/>
  <c r="D105" i="67"/>
  <c r="M47" i="87"/>
  <c r="M51" i="21"/>
  <c r="M54" i="36"/>
  <c r="D70" i="35"/>
  <c r="F70" i="35" s="1"/>
  <c r="M53" i="203"/>
  <c r="M1334" i="184" s="1"/>
  <c r="M51" i="87"/>
  <c r="M1253" i="184" s="1"/>
  <c r="M53" i="97"/>
  <c r="M55" i="132"/>
  <c r="B31" i="131" s="1"/>
  <c r="E105" i="132"/>
  <c r="M53" i="137"/>
  <c r="M52" i="152"/>
  <c r="M50" i="162"/>
  <c r="M52" i="167"/>
  <c r="D66" i="235"/>
  <c r="L31" i="236"/>
  <c r="L29" i="236"/>
  <c r="K29" i="236"/>
  <c r="K15" i="236"/>
  <c r="M72" i="236"/>
  <c r="M74" i="236"/>
  <c r="AB74" i="236" s="1"/>
  <c r="P69" i="207"/>
  <c r="I8" i="30" s="1"/>
  <c r="I8" i="61"/>
  <c r="I8" i="101"/>
  <c r="I8" i="136"/>
  <c r="I14" i="136" s="1"/>
  <c r="I8" i="166"/>
  <c r="AC61" i="230"/>
  <c r="M23" i="172"/>
  <c r="G29" i="172"/>
  <c r="M25" i="152"/>
  <c r="M28" i="142"/>
  <c r="M28" i="122"/>
  <c r="M26" i="117"/>
  <c r="M23" i="87"/>
  <c r="AJ18" i="218"/>
  <c r="M25" i="203"/>
  <c r="M23" i="82"/>
  <c r="L29" i="72"/>
  <c r="L664" i="184" s="1"/>
  <c r="M23" i="47"/>
  <c r="M41" i="172"/>
  <c r="E31" i="107"/>
  <c r="E708" i="184"/>
  <c r="F42" i="107"/>
  <c r="D19" i="106" s="1"/>
  <c r="M37" i="87"/>
  <c r="M915" i="184" s="1"/>
  <c r="F42" i="57"/>
  <c r="M38" i="42"/>
  <c r="M39" i="36"/>
  <c r="M36" i="21"/>
  <c r="M11" i="21"/>
  <c r="M51" i="184" s="1"/>
  <c r="M10" i="36"/>
  <c r="F15" i="67"/>
  <c r="F204" i="184" s="1"/>
  <c r="G15" i="67"/>
  <c r="G204" i="184" s="1"/>
  <c r="M14" i="78"/>
  <c r="M14" i="92"/>
  <c r="M14" i="132"/>
  <c r="B14" i="131" s="1"/>
  <c r="M13" i="132"/>
  <c r="BB13" i="218"/>
  <c r="I15" i="132"/>
  <c r="I207" i="184" s="1"/>
  <c r="M11" i="137"/>
  <c r="H15" i="157"/>
  <c r="K15" i="157"/>
  <c r="L105" i="132"/>
  <c r="M47" i="167"/>
  <c r="M55" i="112"/>
  <c r="B31" i="111" s="1"/>
  <c r="C31" i="111" s="1"/>
  <c r="E56" i="57"/>
  <c r="E1439" i="184" s="1"/>
  <c r="M55" i="82"/>
  <c r="M54" i="92"/>
  <c r="M51" i="132"/>
  <c r="M1251" i="184" s="1"/>
  <c r="M54" i="137"/>
  <c r="B30" i="136" s="1"/>
  <c r="M53" i="162"/>
  <c r="O71" i="236"/>
  <c r="R71" i="236" s="1"/>
  <c r="G54" i="216" s="1"/>
  <c r="M20" i="236"/>
  <c r="W36" i="236" s="1"/>
  <c r="X67" i="236"/>
  <c r="M47" i="236"/>
  <c r="B23" i="235" s="1"/>
  <c r="G29" i="236"/>
  <c r="G15" i="236"/>
  <c r="F18" i="236"/>
  <c r="M39" i="236"/>
  <c r="M28" i="236"/>
  <c r="A268" i="191"/>
  <c r="B41" i="187"/>
  <c r="B51" i="187"/>
  <c r="C12" i="192"/>
  <c r="B59" i="191"/>
  <c r="A83" i="191"/>
  <c r="B133" i="191"/>
  <c r="A157" i="191"/>
  <c r="BB4" i="218"/>
  <c r="B207" i="191"/>
  <c r="A231" i="191"/>
  <c r="B281" i="191"/>
  <c r="A305" i="191"/>
  <c r="B355" i="191"/>
  <c r="C31" i="216"/>
  <c r="B22" i="191"/>
  <c r="A46" i="191"/>
  <c r="BB37" i="218"/>
  <c r="M1399" i="184"/>
  <c r="BB33" i="218"/>
  <c r="B27" i="131"/>
  <c r="C133" i="191"/>
  <c r="R63" i="132"/>
  <c r="BB35" i="218"/>
  <c r="B29" i="131"/>
  <c r="M1325" i="184"/>
  <c r="K1098" i="184"/>
  <c r="AA36" i="231"/>
  <c r="M1061" i="184"/>
  <c r="T18" i="227"/>
  <c r="X67" i="132"/>
  <c r="L281" i="191" s="1"/>
  <c r="M281" i="191" s="1"/>
  <c r="H15" i="132"/>
  <c r="D71" i="132"/>
  <c r="D1919" i="184" s="1"/>
  <c r="L110" i="132"/>
  <c r="M70" i="132"/>
  <c r="M91" i="132"/>
  <c r="K29" i="132"/>
  <c r="K653" i="184"/>
  <c r="D18" i="132"/>
  <c r="D246" i="184"/>
  <c r="B133" i="184"/>
  <c r="B653" i="184"/>
  <c r="B579" i="184"/>
  <c r="B1098" i="184"/>
  <c r="B1399" i="184"/>
  <c r="B1214" i="184"/>
  <c r="B1919" i="184"/>
  <c r="B2257" i="184"/>
  <c r="B2560" i="184"/>
  <c r="M22" i="132"/>
  <c r="M37" i="132"/>
  <c r="H105" i="132"/>
  <c r="M64" i="132"/>
  <c r="I105" i="132"/>
  <c r="J31" i="132"/>
  <c r="J691" i="184"/>
  <c r="O60" i="132"/>
  <c r="R60" i="132" s="1"/>
  <c r="B22" i="184"/>
  <c r="B691" i="184"/>
  <c r="B950" i="184"/>
  <c r="B1136" i="184"/>
  <c r="B1808" i="184"/>
  <c r="B1362" i="184"/>
  <c r="B1958" i="184"/>
  <c r="B2295" i="184"/>
  <c r="L117" i="132"/>
  <c r="K987" i="184"/>
  <c r="M52" i="132"/>
  <c r="J78" i="132"/>
  <c r="J2106" i="184"/>
  <c r="M63" i="132"/>
  <c r="F29" i="132"/>
  <c r="M74" i="132"/>
  <c r="E71" i="132"/>
  <c r="E1919" i="184" s="1"/>
  <c r="B431" i="184"/>
  <c r="B728" i="184"/>
  <c r="B1251" i="184"/>
  <c r="B1175" i="184"/>
  <c r="B2069" i="184"/>
  <c r="B1512" i="184"/>
  <c r="B2443" i="184"/>
  <c r="B2332" i="184"/>
  <c r="P13" i="132"/>
  <c r="F31" i="132"/>
  <c r="F691" i="184"/>
  <c r="L1175" i="184"/>
  <c r="G1325" i="184"/>
  <c r="F78" i="132"/>
  <c r="F2106" i="184" s="1"/>
  <c r="I29" i="132"/>
  <c r="I653" i="184" s="1"/>
  <c r="E83" i="132"/>
  <c r="E2219" i="184" s="1"/>
  <c r="I71" i="132"/>
  <c r="I1919" i="184" s="1"/>
  <c r="L112" i="132"/>
  <c r="L42" i="132"/>
  <c r="I42" i="132"/>
  <c r="D51" i="131"/>
  <c r="D54" i="131"/>
  <c r="E1623" i="184"/>
  <c r="F42" i="132"/>
  <c r="H1061" i="184"/>
  <c r="D1399" i="184"/>
  <c r="M27" i="132"/>
  <c r="M25" i="132"/>
  <c r="H29" i="132"/>
  <c r="M33" i="132"/>
  <c r="K56" i="132"/>
  <c r="K1436" i="184" s="1"/>
  <c r="D56" i="132"/>
  <c r="D1436" i="184" s="1"/>
  <c r="L56" i="132"/>
  <c r="L1436" i="184" s="1"/>
  <c r="O66" i="132"/>
  <c r="C244" i="191"/>
  <c r="B96" i="184"/>
  <c r="B839" i="184"/>
  <c r="B207" i="184"/>
  <c r="B1325" i="184"/>
  <c r="B616" i="184"/>
  <c r="B1473" i="184"/>
  <c r="B1660" i="184"/>
  <c r="B1586" i="184"/>
  <c r="B1995" i="184"/>
  <c r="M92" i="132"/>
  <c r="L18" i="132"/>
  <c r="L246" i="184" s="1"/>
  <c r="B170" i="184"/>
  <c r="B802" i="184"/>
  <c r="B357" i="184"/>
  <c r="B1549" i="184"/>
  <c r="B765" i="184"/>
  <c r="B1771" i="184"/>
  <c r="B1697" i="184"/>
  <c r="B1734" i="184"/>
  <c r="B2145" i="184"/>
  <c r="B23" i="133"/>
  <c r="K31" i="132"/>
  <c r="K691" i="184"/>
  <c r="D42" i="132"/>
  <c r="I31" i="132"/>
  <c r="I691" i="184" s="1"/>
  <c r="M68" i="132"/>
  <c r="F170" i="184"/>
  <c r="G15" i="132"/>
  <c r="G207" i="184" s="1"/>
  <c r="B246" i="184"/>
  <c r="B987" i="184"/>
  <c r="B505" i="184"/>
  <c r="B876" i="184"/>
  <c r="B913" i="184"/>
  <c r="B2032" i="184"/>
  <c r="B2219" i="184"/>
  <c r="B1882" i="184"/>
  <c r="A379" i="191"/>
  <c r="M2312" i="184"/>
  <c r="AR74" i="218"/>
  <c r="R64" i="107"/>
  <c r="C187" i="191"/>
  <c r="B38" i="106"/>
  <c r="M77" i="107"/>
  <c r="T62" i="107"/>
  <c r="H113" i="191"/>
  <c r="J15" i="107"/>
  <c r="J224" i="184"/>
  <c r="F1078" i="184"/>
  <c r="I150" i="191"/>
  <c r="M150" i="191" s="1"/>
  <c r="H300" i="184"/>
  <c r="E337" i="184"/>
  <c r="J745" i="184"/>
  <c r="E1677" i="184"/>
  <c r="K2049" i="184"/>
  <c r="H2086" i="184"/>
  <c r="L2199" i="184"/>
  <c r="G2312" i="184"/>
  <c r="M54" i="107"/>
  <c r="E65" i="106"/>
  <c r="E68" i="106"/>
  <c r="E71" i="106"/>
  <c r="M20" i="107"/>
  <c r="D29" i="106"/>
  <c r="L107" i="107"/>
  <c r="E71" i="107"/>
  <c r="E1936" i="184"/>
  <c r="G15" i="107"/>
  <c r="G224" i="184"/>
  <c r="J39" i="184"/>
  <c r="D448" i="184"/>
  <c r="E633" i="184"/>
  <c r="M91" i="107"/>
  <c r="F71" i="107"/>
  <c r="F1936" i="184" s="1"/>
  <c r="F76" i="191"/>
  <c r="G76" i="191" s="1"/>
  <c r="I83" i="107"/>
  <c r="I2236" i="184" s="1"/>
  <c r="M13" i="107"/>
  <c r="K56" i="107"/>
  <c r="K1453" i="184"/>
  <c r="H56" i="107"/>
  <c r="H1453" i="184" s="1"/>
  <c r="P69" i="107"/>
  <c r="D372" i="191" s="1"/>
  <c r="D187" i="191"/>
  <c r="I105" i="107"/>
  <c r="T64" i="107"/>
  <c r="H187" i="191"/>
  <c r="L110" i="107"/>
  <c r="M34" i="107"/>
  <c r="AB62" i="107"/>
  <c r="H15" i="107"/>
  <c r="H224" i="184" s="1"/>
  <c r="D39" i="106"/>
  <c r="I29" i="107"/>
  <c r="I670" i="184" s="1"/>
  <c r="E893" i="184"/>
  <c r="M53" i="107"/>
  <c r="M1342" i="184" s="1"/>
  <c r="X61" i="127"/>
  <c r="I53" i="191"/>
  <c r="U60" i="127"/>
  <c r="M90" i="191"/>
  <c r="M38" i="127"/>
  <c r="X35" i="231" s="1"/>
  <c r="F53" i="191"/>
  <c r="G53" i="191" s="1"/>
  <c r="G56" i="127"/>
  <c r="G1430" i="184" s="1"/>
  <c r="N72" i="230"/>
  <c r="N77" i="230"/>
  <c r="O72" i="230"/>
  <c r="O77" i="230"/>
  <c r="I8" i="15"/>
  <c r="P49" i="207"/>
  <c r="M2501" i="184"/>
  <c r="M69" i="157"/>
  <c r="K18" i="157"/>
  <c r="K267" i="184"/>
  <c r="M81" i="157"/>
  <c r="B57" i="156" s="1"/>
  <c r="O62" i="157"/>
  <c r="C117" i="191" s="1"/>
  <c r="I1681" i="184"/>
  <c r="L2016" i="184"/>
  <c r="J2166" i="184"/>
  <c r="G2203" i="184"/>
  <c r="L2203" i="184"/>
  <c r="L2501" i="184"/>
  <c r="M33" i="157"/>
  <c r="B23" i="158"/>
  <c r="E78" i="157"/>
  <c r="E2127" i="184"/>
  <c r="D29" i="156"/>
  <c r="L110" i="157"/>
  <c r="L112" i="157"/>
  <c r="O63" i="157"/>
  <c r="I15" i="157"/>
  <c r="I228" i="184" s="1"/>
  <c r="K78" i="157"/>
  <c r="K2127" i="184"/>
  <c r="E1383" i="184"/>
  <c r="M89" i="157"/>
  <c r="F1346" i="184"/>
  <c r="K71" i="157"/>
  <c r="K1940" i="184"/>
  <c r="M75" i="157"/>
  <c r="B51" i="156" s="1"/>
  <c r="O65" i="157"/>
  <c r="J1607" i="184"/>
  <c r="H934" i="184"/>
  <c r="M91" i="157"/>
  <c r="G18" i="157"/>
  <c r="G267" i="184" s="1"/>
  <c r="G78" i="157"/>
  <c r="G2127" i="184" s="1"/>
  <c r="E71" i="157"/>
  <c r="E1940" i="184"/>
  <c r="G31" i="157"/>
  <c r="G712" i="184"/>
  <c r="T65" i="157"/>
  <c r="H105" i="157"/>
  <c r="T63" i="157"/>
  <c r="H154" i="191" s="1"/>
  <c r="D31" i="157"/>
  <c r="D712" i="184"/>
  <c r="E1607" i="184"/>
  <c r="N52" i="207"/>
  <c r="K42" i="181"/>
  <c r="AC6" i="218"/>
  <c r="T38" i="213"/>
  <c r="O39" i="214" s="1"/>
  <c r="G37" i="209"/>
  <c r="G39" i="220"/>
  <c r="D39" i="210"/>
  <c r="C42" i="76"/>
  <c r="I36" i="188"/>
  <c r="G26" i="209"/>
  <c r="Q6" i="218"/>
  <c r="G35" i="209"/>
  <c r="D37" i="210"/>
  <c r="G37" i="220"/>
  <c r="C16" i="181"/>
  <c r="M37" i="230"/>
  <c r="I34" i="188"/>
  <c r="T36" i="213"/>
  <c r="P37" i="214" s="1"/>
  <c r="AW6" i="218"/>
  <c r="AW7" i="218" s="1"/>
  <c r="D42" i="210"/>
  <c r="G40" i="209"/>
  <c r="I39" i="188"/>
  <c r="L39" i="188" s="1"/>
  <c r="C37" i="181"/>
  <c r="M42" i="230"/>
  <c r="G42" i="220"/>
  <c r="T41" i="213"/>
  <c r="C34" i="181"/>
  <c r="AM6" i="218"/>
  <c r="AM47" i="218" s="1"/>
  <c r="T32" i="213"/>
  <c r="P33" i="214" s="1"/>
  <c r="BM6" i="218"/>
  <c r="BM7" i="218" s="1"/>
  <c r="D16" i="210"/>
  <c r="G16" i="220"/>
  <c r="T15" i="213"/>
  <c r="P15" i="214" s="1"/>
  <c r="G14" i="209"/>
  <c r="M41" i="230"/>
  <c r="C43" i="111"/>
  <c r="C42" i="111"/>
  <c r="D41" i="210"/>
  <c r="I38" i="188"/>
  <c r="G39" i="209"/>
  <c r="C44" i="111"/>
  <c r="AU6" i="218"/>
  <c r="G41" i="220"/>
  <c r="C36" i="181"/>
  <c r="C57" i="111"/>
  <c r="T40" i="213"/>
  <c r="M24" i="230"/>
  <c r="G24" i="229" s="1"/>
  <c r="C22" i="181"/>
  <c r="D44" i="210"/>
  <c r="C38" i="146"/>
  <c r="Y6" i="218"/>
  <c r="Y7" i="218" s="1"/>
  <c r="T21" i="213"/>
  <c r="P22" i="214" s="1"/>
  <c r="BS6" i="218"/>
  <c r="G20" i="220"/>
  <c r="T46" i="213"/>
  <c r="P46" i="214" s="1"/>
  <c r="T17" i="213"/>
  <c r="P18" i="214" s="1"/>
  <c r="G16" i="209"/>
  <c r="AA61" i="213"/>
  <c r="H11" i="229"/>
  <c r="G45" i="220"/>
  <c r="I18" i="188"/>
  <c r="C18" i="181"/>
  <c r="T44" i="213"/>
  <c r="O44" i="214" s="1"/>
  <c r="D45" i="210"/>
  <c r="O10" i="214"/>
  <c r="G11" i="229"/>
  <c r="C28" i="181"/>
  <c r="C27" i="131"/>
  <c r="G44" i="209"/>
  <c r="I19" i="188"/>
  <c r="AB61" i="213"/>
  <c r="AE63" i="230"/>
  <c r="M18" i="230"/>
  <c r="H18" i="229" s="1"/>
  <c r="C6" i="25"/>
  <c r="I13" i="188"/>
  <c r="T18" i="213"/>
  <c r="P19" i="214" s="1"/>
  <c r="M45" i="230"/>
  <c r="M39" i="230"/>
  <c r="H39" i="229" s="1"/>
  <c r="C23" i="181"/>
  <c r="X65" i="127"/>
  <c r="L201" i="191" s="1"/>
  <c r="I201" i="191"/>
  <c r="Q14" i="227"/>
  <c r="M944" i="184"/>
  <c r="M81" i="127"/>
  <c r="AZ63" i="218" s="1"/>
  <c r="M75" i="127"/>
  <c r="F1802" i="184"/>
  <c r="F15" i="127"/>
  <c r="D14" i="126"/>
  <c r="D15" i="126"/>
  <c r="K42" i="127"/>
  <c r="K1092" i="184"/>
  <c r="H31" i="127"/>
  <c r="H685" i="184"/>
  <c r="M54" i="127"/>
  <c r="M89" i="127"/>
  <c r="F42" i="127"/>
  <c r="F29" i="127"/>
  <c r="F1506" i="184"/>
  <c r="T67" i="127"/>
  <c r="H275" i="191" s="1"/>
  <c r="M275" i="191" s="1"/>
  <c r="J42" i="127"/>
  <c r="G1356" i="184"/>
  <c r="L83" i="127"/>
  <c r="L2213" i="184" s="1"/>
  <c r="E31" i="127"/>
  <c r="E685" i="184" s="1"/>
  <c r="E71" i="127"/>
  <c r="E1913" i="184" s="1"/>
  <c r="F944" i="184"/>
  <c r="I15" i="127"/>
  <c r="I201" i="184" s="1"/>
  <c r="D57" i="126"/>
  <c r="D59" i="126" s="1"/>
  <c r="M35" i="127"/>
  <c r="E44" i="127"/>
  <c r="L44" i="127"/>
  <c r="L1130" i="184" s="1"/>
  <c r="D78" i="127"/>
  <c r="D2100" i="184" s="1"/>
  <c r="M88" i="127"/>
  <c r="M64" i="127"/>
  <c r="F83" i="127"/>
  <c r="F2213" i="184" s="1"/>
  <c r="I29" i="127"/>
  <c r="I647" i="184"/>
  <c r="I83" i="127"/>
  <c r="I2213" i="184" s="1"/>
  <c r="D201" i="191"/>
  <c r="M37" i="127"/>
  <c r="M907" i="184" s="1"/>
  <c r="M92" i="127"/>
  <c r="G31" i="127"/>
  <c r="G685" i="184" s="1"/>
  <c r="I78" i="127"/>
  <c r="I2100" i="184" s="1"/>
  <c r="M87" i="127"/>
  <c r="P69" i="127"/>
  <c r="E18" i="127"/>
  <c r="E240" i="184" s="1"/>
  <c r="E270" i="184" s="1"/>
  <c r="O67" i="127"/>
  <c r="C275" i="191" s="1"/>
  <c r="C52" i="166"/>
  <c r="O37" i="214"/>
  <c r="T19" i="213"/>
  <c r="G18" i="209"/>
  <c r="I15" i="188"/>
  <c r="K15" i="188" s="1"/>
  <c r="C39" i="166"/>
  <c r="D20" i="210"/>
  <c r="C38" i="166"/>
  <c r="D38" i="210"/>
  <c r="C15" i="181"/>
  <c r="G20" i="209"/>
  <c r="T39" i="213"/>
  <c r="T16" i="213"/>
  <c r="O17" i="214" s="1"/>
  <c r="G38" i="209"/>
  <c r="I17" i="188"/>
  <c r="D22" i="210"/>
  <c r="I42" i="188"/>
  <c r="G17" i="220"/>
  <c r="C9" i="181"/>
  <c r="C40" i="35"/>
  <c r="D17" i="210"/>
  <c r="G22" i="220"/>
  <c r="I39" i="51"/>
  <c r="J39" i="213" s="1"/>
  <c r="M17" i="230"/>
  <c r="M22" i="230"/>
  <c r="M20" i="230"/>
  <c r="H20" i="229" s="1"/>
  <c r="M16" i="230"/>
  <c r="M19" i="230"/>
  <c r="H19" i="229" s="1"/>
  <c r="C17" i="181"/>
  <c r="C32" i="181"/>
  <c r="C39" i="181"/>
  <c r="K41" i="231"/>
  <c r="M489" i="184"/>
  <c r="M88" i="157"/>
  <c r="U66" i="157"/>
  <c r="I265" i="191" s="1"/>
  <c r="I71" i="157"/>
  <c r="I1940" i="184" s="1"/>
  <c r="X64" i="157"/>
  <c r="L191" i="191" s="1"/>
  <c r="M191" i="191" s="1"/>
  <c r="M20" i="157"/>
  <c r="M341" i="184" s="1"/>
  <c r="E2166" i="184"/>
  <c r="G71" i="132"/>
  <c r="G1919" i="184" s="1"/>
  <c r="G1512" i="184"/>
  <c r="M65" i="132"/>
  <c r="T65" i="132"/>
  <c r="D1697" i="184"/>
  <c r="M77" i="132"/>
  <c r="D2069" i="184"/>
  <c r="G2369" i="184"/>
  <c r="M89" i="132"/>
  <c r="J18" i="132"/>
  <c r="J246" i="184" s="1"/>
  <c r="J29" i="132"/>
  <c r="I1214" i="184"/>
  <c r="I56" i="132"/>
  <c r="I1436" i="184" s="1"/>
  <c r="BB56" i="218"/>
  <c r="C22" i="191"/>
  <c r="B44" i="131"/>
  <c r="R65" i="132"/>
  <c r="M19" i="132"/>
  <c r="G105" i="132"/>
  <c r="G283" i="184"/>
  <c r="E31" i="132"/>
  <c r="E691" i="184"/>
  <c r="E765" i="184"/>
  <c r="K96" i="191"/>
  <c r="L113" i="132"/>
  <c r="H71" i="132"/>
  <c r="H1623" i="184"/>
  <c r="L1660" i="184"/>
  <c r="L71" i="132"/>
  <c r="J71" i="132"/>
  <c r="J1919" i="184" s="1"/>
  <c r="J1697" i="184"/>
  <c r="G1771" i="184"/>
  <c r="M67" i="132"/>
  <c r="O67" i="132"/>
  <c r="C281" i="191" s="1"/>
  <c r="E1958" i="184"/>
  <c r="E78" i="132"/>
  <c r="E2106" i="184"/>
  <c r="F2145" i="184"/>
  <c r="D57" i="131"/>
  <c r="D59" i="131" s="1"/>
  <c r="F83" i="132"/>
  <c r="M82" i="132"/>
  <c r="H2182" i="184"/>
  <c r="E29" i="132"/>
  <c r="E653" i="184" s="1"/>
  <c r="E542" i="184"/>
  <c r="C57" i="131"/>
  <c r="AB68" i="132"/>
  <c r="BB50" i="218"/>
  <c r="D78" i="132"/>
  <c r="M21" i="132"/>
  <c r="H18" i="132"/>
  <c r="H246" i="184" s="1"/>
  <c r="H357" i="184"/>
  <c r="G1549" i="184"/>
  <c r="O61" i="132"/>
  <c r="T61" i="132"/>
  <c r="M61" i="132"/>
  <c r="F1697" i="184"/>
  <c r="D41" i="131"/>
  <c r="D66" i="131"/>
  <c r="F1808" i="184"/>
  <c r="G2295" i="184"/>
  <c r="M87" i="132"/>
  <c r="M88" i="132"/>
  <c r="E2332" i="184"/>
  <c r="Z16" i="209"/>
  <c r="J41" i="215"/>
  <c r="AF17" i="213"/>
  <c r="U18" i="229"/>
  <c r="W17" i="214"/>
  <c r="D1098" i="184"/>
  <c r="D11" i="131"/>
  <c r="D15" i="131"/>
  <c r="F15" i="132"/>
  <c r="F105" i="132"/>
  <c r="F59" i="184"/>
  <c r="M11" i="132"/>
  <c r="H170" i="191"/>
  <c r="X64" i="132"/>
  <c r="L170" i="191" s="1"/>
  <c r="M170" i="191" s="1"/>
  <c r="F18" i="132"/>
  <c r="F320" i="184"/>
  <c r="M20" i="132"/>
  <c r="L111" i="132"/>
  <c r="Q69" i="132"/>
  <c r="E355" i="191" s="1"/>
  <c r="E170" i="191"/>
  <c r="G170" i="191" s="1"/>
  <c r="D1734" i="184"/>
  <c r="M66" i="132"/>
  <c r="T66" i="132"/>
  <c r="H2145" i="184"/>
  <c r="H83" i="132"/>
  <c r="H2219" i="184" s="1"/>
  <c r="G18" i="132"/>
  <c r="G246" i="184" s="1"/>
  <c r="G270" i="184" s="1"/>
  <c r="M23" i="132"/>
  <c r="G29" i="132"/>
  <c r="G653" i="184" s="1"/>
  <c r="G431" i="184"/>
  <c r="J1175" i="184"/>
  <c r="J105" i="132"/>
  <c r="E1251" i="184"/>
  <c r="E56" i="132"/>
  <c r="M50" i="132"/>
  <c r="M76" i="132"/>
  <c r="M62" i="132"/>
  <c r="K1586" i="184"/>
  <c r="K133" i="191"/>
  <c r="X63" i="132"/>
  <c r="L133" i="191" s="1"/>
  <c r="M133" i="191" s="1"/>
  <c r="H1958" i="184"/>
  <c r="H78" i="132"/>
  <c r="H2106" i="184"/>
  <c r="M75" i="132"/>
  <c r="E1995" i="184"/>
  <c r="M24" i="132"/>
  <c r="D468" i="184"/>
  <c r="D105" i="132"/>
  <c r="G42" i="132"/>
  <c r="M38" i="132"/>
  <c r="K357" i="184"/>
  <c r="K105" i="132"/>
  <c r="D839" i="184"/>
  <c r="M35" i="132"/>
  <c r="D31" i="132"/>
  <c r="L2182" i="184"/>
  <c r="L83" i="132"/>
  <c r="L2219" i="184" s="1"/>
  <c r="G2406" i="184"/>
  <c r="M90" i="132"/>
  <c r="P18" i="227"/>
  <c r="M913" i="184"/>
  <c r="W36" i="231"/>
  <c r="F2032" i="184"/>
  <c r="G505" i="184"/>
  <c r="L31" i="132"/>
  <c r="L691" i="184" s="1"/>
  <c r="L728" i="184"/>
  <c r="E802" i="184"/>
  <c r="M34" i="132"/>
  <c r="M60" i="132"/>
  <c r="T60" i="132"/>
  <c r="F71" i="132"/>
  <c r="F1623" i="184"/>
  <c r="D42" i="131"/>
  <c r="F1734" i="184"/>
  <c r="K2032" i="184"/>
  <c r="K78" i="132"/>
  <c r="K2106" i="184"/>
  <c r="AD17" i="213"/>
  <c r="R18" i="210"/>
  <c r="X16" i="209"/>
  <c r="H41" i="215"/>
  <c r="U17" i="214"/>
  <c r="U18" i="220"/>
  <c r="M47" i="132"/>
  <c r="I44" i="132"/>
  <c r="I1098" i="184"/>
  <c r="M32" i="132"/>
  <c r="G728" i="184"/>
  <c r="K71" i="132"/>
  <c r="K1919" i="184" s="1"/>
  <c r="K1512" i="184"/>
  <c r="U62" i="132"/>
  <c r="P69" i="132"/>
  <c r="M69" i="132"/>
  <c r="D1845" i="184"/>
  <c r="M28" i="132"/>
  <c r="D616" i="184"/>
  <c r="D1024" i="184"/>
  <c r="J56" i="132"/>
  <c r="J1436" i="184" s="1"/>
  <c r="G31" i="132"/>
  <c r="G691" i="184"/>
  <c r="G876" i="184"/>
  <c r="M40" i="132"/>
  <c r="F1214" i="184"/>
  <c r="G1175" i="184"/>
  <c r="M39" i="132"/>
  <c r="M54" i="132"/>
  <c r="D69" i="131"/>
  <c r="M36" i="132"/>
  <c r="M10" i="132"/>
  <c r="X75" i="218"/>
  <c r="AA69" i="67"/>
  <c r="M2329" i="184"/>
  <c r="X79" i="218"/>
  <c r="M2477" i="184"/>
  <c r="M984" i="184"/>
  <c r="R22" i="227"/>
  <c r="Y21" i="231"/>
  <c r="F204" i="191"/>
  <c r="G204" i="191" s="1"/>
  <c r="E42" i="67"/>
  <c r="D15" i="67"/>
  <c r="D204" i="184" s="1"/>
  <c r="L71" i="67"/>
  <c r="L1916" i="184"/>
  <c r="M74" i="67"/>
  <c r="K15" i="67"/>
  <c r="U21" i="214"/>
  <c r="K278" i="191"/>
  <c r="L130" i="184"/>
  <c r="H725" i="184"/>
  <c r="G984" i="184"/>
  <c r="J204" i="191"/>
  <c r="H1768" i="184"/>
  <c r="J1992" i="184"/>
  <c r="K2029" i="184"/>
  <c r="L2142" i="184"/>
  <c r="E2329" i="184"/>
  <c r="I2477" i="184"/>
  <c r="M55" i="67"/>
  <c r="M1396" i="184" s="1"/>
  <c r="H56" i="67"/>
  <c r="H1433" i="184" s="1"/>
  <c r="E29" i="67"/>
  <c r="E650" i="184"/>
  <c r="E18" i="67"/>
  <c r="E243" i="184"/>
  <c r="E56" i="67"/>
  <c r="E1433" i="184" s="1"/>
  <c r="I56" i="67"/>
  <c r="I1433" i="184" s="1"/>
  <c r="D11" i="66"/>
  <c r="D15" i="66"/>
  <c r="D1172" i="184"/>
  <c r="M38" i="67"/>
  <c r="M11" i="67"/>
  <c r="M60" i="67"/>
  <c r="H78" i="67"/>
  <c r="H2103" i="184" s="1"/>
  <c r="F1095" i="184"/>
  <c r="I29" i="67"/>
  <c r="I650" i="184" s="1"/>
  <c r="H22" i="215"/>
  <c r="AD21" i="213"/>
  <c r="J1211" i="184"/>
  <c r="X64" i="67"/>
  <c r="L167" i="191" s="1"/>
  <c r="M167" i="191" s="1"/>
  <c r="G21" i="231"/>
  <c r="H42" i="67"/>
  <c r="H1095" i="184" s="1"/>
  <c r="D1058" i="184"/>
  <c r="L105" i="67"/>
  <c r="J29" i="67"/>
  <c r="M317" i="184"/>
  <c r="M35" i="67"/>
  <c r="D352" i="191"/>
  <c r="R64" i="67"/>
  <c r="M67" i="67"/>
  <c r="K29" i="67"/>
  <c r="K650" i="184" s="1"/>
  <c r="R22" i="210"/>
  <c r="W22" i="230"/>
  <c r="M21" i="67"/>
  <c r="M354" i="184" s="1"/>
  <c r="X20" i="209"/>
  <c r="M87" i="67"/>
  <c r="AB72" i="236"/>
  <c r="B48" i="235"/>
  <c r="D107" i="238" s="1"/>
  <c r="AB68" i="236"/>
  <c r="B44" i="235"/>
  <c r="D104" i="238" s="1"/>
  <c r="E72" i="235"/>
  <c r="M66" i="236"/>
  <c r="L119" i="236"/>
  <c r="L85" i="236"/>
  <c r="L78" i="236"/>
  <c r="L62" i="236"/>
  <c r="L42" i="236"/>
  <c r="L44" i="236"/>
  <c r="L112" i="236"/>
  <c r="M37" i="236"/>
  <c r="W34" i="236" s="1"/>
  <c r="D61" i="235"/>
  <c r="X66" i="236"/>
  <c r="M88" i="236"/>
  <c r="B64" i="235" s="1"/>
  <c r="M89" i="236"/>
  <c r="B65" i="235" s="1"/>
  <c r="M75" i="236"/>
  <c r="M34" i="236"/>
  <c r="F15" i="236"/>
  <c r="M14" i="236"/>
  <c r="B14" i="235"/>
  <c r="D58" i="238" s="1"/>
  <c r="B36" i="235"/>
  <c r="O68" i="236"/>
  <c r="L121" i="236"/>
  <c r="M99" i="236"/>
  <c r="M84" i="236"/>
  <c r="B60" i="235" s="1"/>
  <c r="G62" i="236"/>
  <c r="M40" i="236"/>
  <c r="G31" i="236"/>
  <c r="G18" i="236"/>
  <c r="M96" i="236"/>
  <c r="O74" i="236"/>
  <c r="T74" i="236"/>
  <c r="X74" i="236" s="1"/>
  <c r="L123" i="236"/>
  <c r="M97" i="236"/>
  <c r="AB77" i="236"/>
  <c r="M82" i="236"/>
  <c r="B58" i="235"/>
  <c r="M71" i="236"/>
  <c r="H62" i="236"/>
  <c r="H42" i="236"/>
  <c r="H29" i="236"/>
  <c r="H18" i="236"/>
  <c r="M81" i="236"/>
  <c r="B57" i="235"/>
  <c r="I62" i="236"/>
  <c r="I31" i="236"/>
  <c r="I29" i="236"/>
  <c r="T68" i="236"/>
  <c r="X68" i="236" s="1"/>
  <c r="M70" i="236"/>
  <c r="AB70" i="236"/>
  <c r="D85" i="236"/>
  <c r="J90" i="236"/>
  <c r="J31" i="236"/>
  <c r="J18" i="236"/>
  <c r="J15" i="236"/>
  <c r="M26" i="236"/>
  <c r="W25" i="236" s="1"/>
  <c r="M22" i="236"/>
  <c r="X72" i="236"/>
  <c r="K85" i="236"/>
  <c r="K62" i="236"/>
  <c r="K42" i="236"/>
  <c r="K44" i="236" s="1"/>
  <c r="K31" i="236"/>
  <c r="K112" i="224"/>
  <c r="M53" i="224"/>
  <c r="B29" i="223" s="1"/>
  <c r="G78" i="236"/>
  <c r="M50" i="224"/>
  <c r="B26" i="223" s="1"/>
  <c r="F26" i="223" s="1"/>
  <c r="J78" i="236"/>
  <c r="K78" i="236"/>
  <c r="K112" i="236"/>
  <c r="O69" i="236"/>
  <c r="R69" i="236" s="1"/>
  <c r="H112" i="236"/>
  <c r="M69" i="224"/>
  <c r="M50" i="236"/>
  <c r="B26" i="235" s="1"/>
  <c r="T69" i="236"/>
  <c r="X69" i="236" s="1"/>
  <c r="L120" i="236"/>
  <c r="P76" i="236"/>
  <c r="F78" i="236"/>
  <c r="F112" i="236"/>
  <c r="O69" i="224"/>
  <c r="D45" i="235"/>
  <c r="J112" i="236"/>
  <c r="M74" i="224"/>
  <c r="D78" i="224"/>
  <c r="L78" i="224"/>
  <c r="X68" i="224"/>
  <c r="X72" i="224"/>
  <c r="M73" i="224"/>
  <c r="M66" i="224"/>
  <c r="P76" i="224"/>
  <c r="P78" i="224" s="1"/>
  <c r="M67" i="224"/>
  <c r="L120" i="224"/>
  <c r="I78" i="224"/>
  <c r="L121" i="224"/>
  <c r="M70" i="224"/>
  <c r="M34" i="224"/>
  <c r="G31" i="224"/>
  <c r="M37" i="224"/>
  <c r="E44" i="224"/>
  <c r="L42" i="224"/>
  <c r="M40" i="224"/>
  <c r="J42" i="224"/>
  <c r="M47" i="224"/>
  <c r="B23" i="223" s="1"/>
  <c r="G62" i="224"/>
  <c r="M58" i="224"/>
  <c r="B34" i="223"/>
  <c r="L62" i="224"/>
  <c r="J62" i="224"/>
  <c r="H62" i="224"/>
  <c r="H63" i="224" s="1"/>
  <c r="D15" i="223"/>
  <c r="M11" i="224"/>
  <c r="B11" i="223" s="1"/>
  <c r="L112" i="224"/>
  <c r="M13" i="224"/>
  <c r="I112" i="224"/>
  <c r="M19" i="224"/>
  <c r="G18" i="224"/>
  <c r="M21" i="224"/>
  <c r="M22" i="224"/>
  <c r="M23" i="224"/>
  <c r="Q22" i="224" s="1"/>
  <c r="Q30" i="224" s="1"/>
  <c r="L29" i="224"/>
  <c r="M24" i="224"/>
  <c r="J29" i="224"/>
  <c r="I29" i="224"/>
  <c r="I44" i="224"/>
  <c r="M32" i="224"/>
  <c r="X70" i="224"/>
  <c r="X73" i="224"/>
  <c r="G78" i="224"/>
  <c r="D61" i="223"/>
  <c r="L71" i="157"/>
  <c r="L1940" i="184"/>
  <c r="E415" i="184"/>
  <c r="M22" i="157"/>
  <c r="E105" i="157"/>
  <c r="M68" i="157"/>
  <c r="L1829" i="184"/>
  <c r="D58" i="156"/>
  <c r="D59" i="156" s="1"/>
  <c r="M82" i="157"/>
  <c r="F2203" i="184"/>
  <c r="F83" i="157"/>
  <c r="K2203" i="184"/>
  <c r="K83" i="157"/>
  <c r="K2240" i="184" s="1"/>
  <c r="K154" i="184"/>
  <c r="K105" i="157"/>
  <c r="I304" i="184"/>
  <c r="I18" i="157"/>
  <c r="I267" i="184"/>
  <c r="M19" i="157"/>
  <c r="M37" i="157"/>
  <c r="W34" i="157" s="1"/>
  <c r="F934" i="184"/>
  <c r="F42" i="157"/>
  <c r="I29" i="157"/>
  <c r="I674" i="184"/>
  <c r="M26" i="157"/>
  <c r="I563" i="184"/>
  <c r="K1235" i="184"/>
  <c r="K56" i="157"/>
  <c r="K1457" i="184"/>
  <c r="K228" i="184"/>
  <c r="E971" i="184"/>
  <c r="E42" i="157"/>
  <c r="I2427" i="184"/>
  <c r="M90" i="157"/>
  <c r="R63" i="157"/>
  <c r="C154" i="191"/>
  <c r="M38" i="157"/>
  <c r="M53" i="157"/>
  <c r="G1346" i="184"/>
  <c r="H228" i="184"/>
  <c r="J1196" i="184"/>
  <c r="J105" i="157"/>
  <c r="F18" i="157"/>
  <c r="F267" i="184"/>
  <c r="F341" i="184"/>
  <c r="H1119" i="184"/>
  <c r="H44" i="157"/>
  <c r="H1157" i="184" s="1"/>
  <c r="BL56" i="218"/>
  <c r="M1979" i="184"/>
  <c r="B50" i="156"/>
  <c r="I31" i="157"/>
  <c r="I712" i="184"/>
  <c r="I749" i="184"/>
  <c r="F105" i="157"/>
  <c r="F15" i="157"/>
  <c r="M11" i="157"/>
  <c r="F80" i="184"/>
  <c r="D11" i="156"/>
  <c r="M32" i="157"/>
  <c r="D749" i="184"/>
  <c r="D1755" i="184"/>
  <c r="O66" i="157"/>
  <c r="C265" i="191" s="1"/>
  <c r="T66" i="157"/>
  <c r="M66" i="157"/>
  <c r="D52" i="156"/>
  <c r="D54" i="156"/>
  <c r="F2053" i="184"/>
  <c r="F78" i="157"/>
  <c r="F2316" i="184"/>
  <c r="M87" i="157"/>
  <c r="J563" i="184"/>
  <c r="J29" i="157"/>
  <c r="J674" i="184" s="1"/>
  <c r="H16" i="227"/>
  <c r="E489" i="184"/>
  <c r="E29" i="157"/>
  <c r="E674" i="184" s="1"/>
  <c r="G934" i="184"/>
  <c r="G42" i="157"/>
  <c r="G15" i="157"/>
  <c r="G80" i="184"/>
  <c r="L56" i="157"/>
  <c r="L1457" i="184"/>
  <c r="M50" i="157"/>
  <c r="D1235" i="184"/>
  <c r="D56" i="157"/>
  <c r="J304" i="184"/>
  <c r="J18" i="157"/>
  <c r="J267" i="184" s="1"/>
  <c r="L18" i="157"/>
  <c r="L267" i="184"/>
  <c r="L452" i="184"/>
  <c r="M23" i="157"/>
  <c r="D452" i="184"/>
  <c r="D18" i="157"/>
  <c r="D29" i="157"/>
  <c r="G29" i="157"/>
  <c r="G674" i="184" s="1"/>
  <c r="G600" i="184"/>
  <c r="M27" i="157"/>
  <c r="I42" i="157"/>
  <c r="I1045" i="184"/>
  <c r="M39" i="157"/>
  <c r="M13" i="157"/>
  <c r="J154" i="184"/>
  <c r="M47" i="157"/>
  <c r="I1196" i="184"/>
  <c r="M54" i="157"/>
  <c r="D1383" i="184"/>
  <c r="G823" i="184"/>
  <c r="M34" i="157"/>
  <c r="J1792" i="184"/>
  <c r="O67" i="157"/>
  <c r="C302" i="191" s="1"/>
  <c r="J71" i="157"/>
  <c r="J1940" i="184"/>
  <c r="J78" i="157"/>
  <c r="J2127" i="184" s="1"/>
  <c r="K29" i="157"/>
  <c r="K674" i="184"/>
  <c r="K452" i="184"/>
  <c r="M28" i="157"/>
  <c r="H1045" i="184"/>
  <c r="M40" i="157"/>
  <c r="H1272" i="184"/>
  <c r="H56" i="157"/>
  <c r="H1457" i="184" s="1"/>
  <c r="J42" i="157"/>
  <c r="M21" i="157"/>
  <c r="H71" i="157"/>
  <c r="H1940" i="184" s="1"/>
  <c r="M63" i="157"/>
  <c r="AB63" i="157" s="1"/>
  <c r="M65" i="157"/>
  <c r="E1903" i="184"/>
  <c r="M70" i="157"/>
  <c r="F2353" i="184"/>
  <c r="E2390" i="184"/>
  <c r="L31" i="157"/>
  <c r="L712" i="184" s="1"/>
  <c r="L897" i="184"/>
  <c r="L42" i="157"/>
  <c r="M36" i="157"/>
  <c r="D897" i="184"/>
  <c r="F1082" i="184"/>
  <c r="M41" i="157"/>
  <c r="G1272" i="184"/>
  <c r="M51" i="157"/>
  <c r="G56" i="157"/>
  <c r="G1457" i="184" s="1"/>
  <c r="M1607" i="184"/>
  <c r="BL44" i="218"/>
  <c r="B38" i="156"/>
  <c r="J860" i="184"/>
  <c r="J31" i="157"/>
  <c r="J712" i="184"/>
  <c r="L113" i="157"/>
  <c r="K117" i="191"/>
  <c r="M117" i="191" s="1"/>
  <c r="AB64" i="157"/>
  <c r="F1792" i="184"/>
  <c r="D43" i="156"/>
  <c r="F71" i="157"/>
  <c r="F1940" i="184"/>
  <c r="M67" i="157"/>
  <c r="Q41" i="212"/>
  <c r="H51" i="215"/>
  <c r="W16" i="230"/>
  <c r="S16" i="229"/>
  <c r="Q36" i="212"/>
  <c r="AD15" i="213"/>
  <c r="AD36" i="231"/>
  <c r="R16" i="210"/>
  <c r="AD41" i="231"/>
  <c r="U15" i="214"/>
  <c r="K897" i="184"/>
  <c r="K31" i="157"/>
  <c r="K712" i="184"/>
  <c r="K42" i="157"/>
  <c r="F191" i="184"/>
  <c r="M14" i="157"/>
  <c r="D14" i="156"/>
  <c r="M52" i="157"/>
  <c r="I105" i="157"/>
  <c r="D105" i="157"/>
  <c r="G105" i="157"/>
  <c r="B40" i="156"/>
  <c r="M1681" i="184"/>
  <c r="BL46" i="218"/>
  <c r="M77" i="157"/>
  <c r="M2166" i="184"/>
  <c r="BL63" i="218"/>
  <c r="J1008" i="184"/>
  <c r="O61" i="157"/>
  <c r="D71" i="157"/>
  <c r="M61" i="157"/>
  <c r="U61" i="157"/>
  <c r="I80" i="191" s="1"/>
  <c r="P69" i="157"/>
  <c r="L114" i="157"/>
  <c r="AB62" i="157"/>
  <c r="AE41" i="231"/>
  <c r="R36" i="212"/>
  <c r="V15" i="214"/>
  <c r="R41" i="212"/>
  <c r="V16" i="220"/>
  <c r="T16" i="229"/>
  <c r="X16" i="230"/>
  <c r="S16" i="210"/>
  <c r="J43" i="184"/>
  <c r="M10" i="157"/>
  <c r="J15" i="157"/>
  <c r="G1420" i="184"/>
  <c r="M55" i="157"/>
  <c r="L1386" i="184"/>
  <c r="L2672" i="184" s="1"/>
  <c r="L105" i="157"/>
  <c r="D42" i="157"/>
  <c r="M786" i="184"/>
  <c r="S41" i="231"/>
  <c r="X67" i="157"/>
  <c r="L302" i="191" s="1"/>
  <c r="H302" i="191"/>
  <c r="E228" i="184"/>
  <c r="E860" i="184"/>
  <c r="E31" i="157"/>
  <c r="E712" i="184" s="1"/>
  <c r="M35" i="157"/>
  <c r="G1533" i="184"/>
  <c r="G71" i="157"/>
  <c r="G1940" i="184" s="1"/>
  <c r="T60" i="157"/>
  <c r="M60" i="157"/>
  <c r="K154" i="191"/>
  <c r="X63" i="157"/>
  <c r="L154" i="191" s="1"/>
  <c r="F1866" i="184"/>
  <c r="D45" i="156"/>
  <c r="E2053" i="184"/>
  <c r="M76" i="157"/>
  <c r="M25" i="157"/>
  <c r="F489" i="184"/>
  <c r="F29" i="157"/>
  <c r="M70" i="177"/>
  <c r="BV52" i="218" s="1"/>
  <c r="M23" i="177"/>
  <c r="Q22" i="177" s="1"/>
  <c r="I29" i="177"/>
  <c r="I667" i="184" s="1"/>
  <c r="L105" i="177"/>
  <c r="I56" i="177"/>
  <c r="I1450" i="184"/>
  <c r="J56" i="177"/>
  <c r="J1450" i="184" s="1"/>
  <c r="M50" i="177"/>
  <c r="M1228" i="184" s="1"/>
  <c r="D1228" i="184"/>
  <c r="L42" i="177"/>
  <c r="L1112" i="184" s="1"/>
  <c r="M13" i="177"/>
  <c r="BV13" i="218" s="1"/>
  <c r="F15" i="177"/>
  <c r="F221" i="184" s="1"/>
  <c r="M87" i="177"/>
  <c r="BV74" i="218" s="1"/>
  <c r="I295" i="191"/>
  <c r="G41" i="216"/>
  <c r="F184" i="191"/>
  <c r="D42" i="177"/>
  <c r="D1112" i="184"/>
  <c r="M76" i="177"/>
  <c r="J31" i="177"/>
  <c r="J705" i="184" s="1"/>
  <c r="M67" i="177"/>
  <c r="AB67" i="177" s="1"/>
  <c r="L83" i="177"/>
  <c r="L2233" i="184" s="1"/>
  <c r="T62" i="177"/>
  <c r="H110" i="191" s="1"/>
  <c r="L1038" i="184"/>
  <c r="G1896" i="184"/>
  <c r="M55" i="177"/>
  <c r="M1413" i="184" s="1"/>
  <c r="H83" i="177"/>
  <c r="H2233" i="184" s="1"/>
  <c r="H147" i="191"/>
  <c r="M147" i="191" s="1"/>
  <c r="C221" i="191"/>
  <c r="D31" i="177"/>
  <c r="D705" i="184" s="1"/>
  <c r="L56" i="177"/>
  <c r="L1450" i="184" s="1"/>
  <c r="M92" i="177"/>
  <c r="D40" i="176"/>
  <c r="T65" i="177"/>
  <c r="H221" i="191"/>
  <c r="H56" i="177"/>
  <c r="H1450" i="184"/>
  <c r="F147" i="184"/>
  <c r="L184" i="184"/>
  <c r="D445" i="184"/>
  <c r="J1265" i="184"/>
  <c r="G1413" i="184"/>
  <c r="M54" i="177"/>
  <c r="B30" i="176"/>
  <c r="M81" i="177"/>
  <c r="I1302" i="184"/>
  <c r="K56" i="177"/>
  <c r="K1450" i="184" s="1"/>
  <c r="F73" i="184"/>
  <c r="D15" i="177"/>
  <c r="E42" i="177"/>
  <c r="E1112" i="184"/>
  <c r="I482" i="184"/>
  <c r="I18" i="177"/>
  <c r="I260" i="184" s="1"/>
  <c r="U66" i="177"/>
  <c r="I258" i="191"/>
  <c r="M62" i="177"/>
  <c r="D295" i="191"/>
  <c r="M14" i="177"/>
  <c r="B14" i="176" s="1"/>
  <c r="M184" i="184"/>
  <c r="L18" i="177"/>
  <c r="L260" i="184" s="1"/>
  <c r="K29" i="177"/>
  <c r="K667" i="184" s="1"/>
  <c r="D11" i="176"/>
  <c r="G83" i="177"/>
  <c r="G2233" i="184" s="1"/>
  <c r="D71" i="177"/>
  <c r="D1933" i="184" s="1"/>
  <c r="K71" i="177"/>
  <c r="K1933" i="184" s="1"/>
  <c r="M68" i="177"/>
  <c r="M10" i="177"/>
  <c r="E15" i="177"/>
  <c r="E221" i="184"/>
  <c r="M52" i="177"/>
  <c r="BV34" i="218" s="1"/>
  <c r="G56" i="177"/>
  <c r="G1450" i="184"/>
  <c r="F83" i="177"/>
  <c r="F2233" i="184" s="1"/>
  <c r="G31" i="177"/>
  <c r="G705" i="184" s="1"/>
  <c r="T64" i="177"/>
  <c r="I15" i="177"/>
  <c r="F1785" i="184"/>
  <c r="E105" i="177"/>
  <c r="T67" i="177"/>
  <c r="H295" i="191" s="1"/>
  <c r="E78" i="177"/>
  <c r="E2120" i="184" s="1"/>
  <c r="G42" i="177"/>
  <c r="G1112" i="184" s="1"/>
  <c r="C184" i="191"/>
  <c r="F1413" i="184"/>
  <c r="H15" i="177"/>
  <c r="H221" i="184" s="1"/>
  <c r="M11" i="177"/>
  <c r="BV11" i="218" s="1"/>
  <c r="M34" i="177"/>
  <c r="O67" i="177"/>
  <c r="C295" i="191" s="1"/>
  <c r="O63" i="177"/>
  <c r="L110" i="177"/>
  <c r="D18" i="177"/>
  <c r="D260" i="184"/>
  <c r="L107" i="177"/>
  <c r="O62" i="177"/>
  <c r="C110" i="191" s="1"/>
  <c r="D78" i="177"/>
  <c r="D2120" i="184" s="1"/>
  <c r="H41" i="216"/>
  <c r="F221" i="191"/>
  <c r="P71" i="177"/>
  <c r="D369" i="191"/>
  <c r="F334" i="184"/>
  <c r="M20" i="177"/>
  <c r="L853" i="184"/>
  <c r="L31" i="177"/>
  <c r="L705" i="184" s="1"/>
  <c r="T60" i="177"/>
  <c r="M60" i="177"/>
  <c r="O60" i="177"/>
  <c r="E71" i="177"/>
  <c r="E1526" i="184"/>
  <c r="O61" i="177"/>
  <c r="J1563" i="184"/>
  <c r="J71" i="177"/>
  <c r="J1933" i="184"/>
  <c r="L113" i="177"/>
  <c r="K110" i="191"/>
  <c r="U28" i="229"/>
  <c r="W27" i="214"/>
  <c r="AF27" i="213"/>
  <c r="T28" i="210"/>
  <c r="W28" i="220"/>
  <c r="J57" i="215"/>
  <c r="Z26" i="209"/>
  <c r="S46" i="212"/>
  <c r="AF46" i="231"/>
  <c r="Y28" i="230"/>
  <c r="J105" i="177"/>
  <c r="J18" i="177"/>
  <c r="J260" i="184" s="1"/>
  <c r="J297" i="184"/>
  <c r="M22" i="177"/>
  <c r="F408" i="184"/>
  <c r="M75" i="177"/>
  <c r="L78" i="177"/>
  <c r="L2120" i="184" s="1"/>
  <c r="L2009" i="184"/>
  <c r="I83" i="177"/>
  <c r="I2159" i="184"/>
  <c r="M91" i="177"/>
  <c r="H2457" i="184"/>
  <c r="F31" i="177"/>
  <c r="F705" i="184" s="1"/>
  <c r="M32" i="177"/>
  <c r="F742" i="184"/>
  <c r="L71" i="177"/>
  <c r="L1933" i="184"/>
  <c r="L1674" i="184"/>
  <c r="M69" i="177"/>
  <c r="D45" i="176"/>
  <c r="F1859" i="184"/>
  <c r="M77" i="177"/>
  <c r="L2083" i="184"/>
  <c r="F482" i="184"/>
  <c r="F29" i="177"/>
  <c r="M24" i="177"/>
  <c r="F42" i="177"/>
  <c r="M37" i="177"/>
  <c r="F927" i="184"/>
  <c r="I221" i="191"/>
  <c r="I779" i="184"/>
  <c r="I31" i="177"/>
  <c r="I705" i="184"/>
  <c r="H31" i="177"/>
  <c r="H705" i="184" s="1"/>
  <c r="H853" i="184"/>
  <c r="M35" i="177"/>
  <c r="M61" i="177"/>
  <c r="AB61" i="177"/>
  <c r="F1563" i="184"/>
  <c r="D37" i="176"/>
  <c r="F71" i="177"/>
  <c r="F1933" i="184" s="1"/>
  <c r="H71" i="177"/>
  <c r="H1933" i="184" s="1"/>
  <c r="M64" i="177"/>
  <c r="H1674" i="184"/>
  <c r="D105" i="177"/>
  <c r="D29" i="177"/>
  <c r="D519" i="184"/>
  <c r="M25" i="177"/>
  <c r="D964" i="184"/>
  <c r="M38" i="177"/>
  <c r="F105" i="177"/>
  <c r="M19" i="177"/>
  <c r="F297" i="184"/>
  <c r="F18" i="177"/>
  <c r="F260" i="184" s="1"/>
  <c r="M21" i="177"/>
  <c r="F371" i="184"/>
  <c r="L112" i="177"/>
  <c r="J36" i="191"/>
  <c r="M63" i="177"/>
  <c r="AB63" i="177" s="1"/>
  <c r="K1637" i="184"/>
  <c r="M74" i="177"/>
  <c r="K78" i="177"/>
  <c r="K1972" i="184"/>
  <c r="M89" i="177"/>
  <c r="E2383" i="184"/>
  <c r="J556" i="184"/>
  <c r="J29" i="177"/>
  <c r="J667" i="184"/>
  <c r="M36" i="177"/>
  <c r="J42" i="177"/>
  <c r="M39" i="177"/>
  <c r="J1001" i="184"/>
  <c r="D221" i="184"/>
  <c r="M90" i="177"/>
  <c r="D2420" i="184"/>
  <c r="G29" i="177"/>
  <c r="M28" i="177"/>
  <c r="G105" i="177"/>
  <c r="M26" i="177"/>
  <c r="M40" i="177"/>
  <c r="H42" i="177"/>
  <c r="H1038" i="184"/>
  <c r="K105" i="177"/>
  <c r="K18" i="177"/>
  <c r="K260" i="184" s="1"/>
  <c r="K408" i="184"/>
  <c r="E31" i="177"/>
  <c r="M33" i="177"/>
  <c r="E779" i="184"/>
  <c r="L114" i="177"/>
  <c r="X62" i="177"/>
  <c r="L110" i="191" s="1"/>
  <c r="M110" i="191" s="1"/>
  <c r="I110" i="191"/>
  <c r="G1748" i="184"/>
  <c r="M66" i="177"/>
  <c r="T66" i="177"/>
  <c r="O66" i="177"/>
  <c r="C258" i="191"/>
  <c r="G71" i="177"/>
  <c r="G1933" i="184" s="1"/>
  <c r="E445" i="184"/>
  <c r="E455" i="184" s="1"/>
  <c r="E2641" i="184" s="1"/>
  <c r="E18" i="177"/>
  <c r="E29" i="177"/>
  <c r="F1075" i="184"/>
  <c r="M41" i="177"/>
  <c r="M73" i="184"/>
  <c r="I1711" i="184"/>
  <c r="M65" i="177"/>
  <c r="M82" i="177"/>
  <c r="D58" i="176"/>
  <c r="D59" i="176"/>
  <c r="M88" i="177"/>
  <c r="E2346" i="184"/>
  <c r="K42" i="177"/>
  <c r="K890" i="184"/>
  <c r="K1228" i="184"/>
  <c r="I184" i="184"/>
  <c r="M53" i="177"/>
  <c r="M51" i="177"/>
  <c r="I105" i="177"/>
  <c r="G1265" i="184"/>
  <c r="I73" i="184"/>
  <c r="M47" i="177"/>
  <c r="G2118" i="184"/>
  <c r="M78" i="172"/>
  <c r="I45" i="231"/>
  <c r="W29" i="172"/>
  <c r="W42" i="172"/>
  <c r="M406" i="184"/>
  <c r="M1300" i="184"/>
  <c r="B28" i="171"/>
  <c r="BT34" i="218"/>
  <c r="B26" i="171"/>
  <c r="I219" i="191"/>
  <c r="X65" i="172"/>
  <c r="L219" i="191" s="1"/>
  <c r="M219" i="191" s="1"/>
  <c r="W45" i="172"/>
  <c r="P26" i="227"/>
  <c r="M925" i="184"/>
  <c r="W45" i="231"/>
  <c r="W34" i="172"/>
  <c r="BT35" i="218"/>
  <c r="B29" i="171"/>
  <c r="M1337" i="184"/>
  <c r="X63" i="172"/>
  <c r="L145" i="191" s="1"/>
  <c r="I145" i="191"/>
  <c r="M1857" i="184"/>
  <c r="B45" i="171"/>
  <c r="P70" i="172"/>
  <c r="I39" i="221" s="1"/>
  <c r="H1110" i="184"/>
  <c r="H44" i="172"/>
  <c r="B10" i="171"/>
  <c r="BT10" i="218"/>
  <c r="M34" i="184"/>
  <c r="F45" i="231"/>
  <c r="M295" i="184"/>
  <c r="Q22" i="172"/>
  <c r="J45" i="231"/>
  <c r="M443" i="184"/>
  <c r="BT18" i="218"/>
  <c r="G26" i="227"/>
  <c r="G44" i="172"/>
  <c r="G665" i="184"/>
  <c r="V45" i="231"/>
  <c r="BT22" i="218"/>
  <c r="O26" i="227"/>
  <c r="M888" i="184"/>
  <c r="Q26" i="172"/>
  <c r="Z45" i="231"/>
  <c r="S26" i="227"/>
  <c r="M1036" i="184"/>
  <c r="H34" i="191"/>
  <c r="J665" i="184"/>
  <c r="J44" i="172"/>
  <c r="D70" i="171"/>
  <c r="F70" i="171"/>
  <c r="M1374" i="184"/>
  <c r="B30" i="171"/>
  <c r="BT36" i="218"/>
  <c r="I2231" i="184"/>
  <c r="M83" i="172"/>
  <c r="BT37" i="218"/>
  <c r="M1411" i="184"/>
  <c r="B31" i="171"/>
  <c r="G591" i="184"/>
  <c r="F1036" i="184"/>
  <c r="D44" i="172"/>
  <c r="F1857" i="184"/>
  <c r="H1226" i="184"/>
  <c r="M27" i="172"/>
  <c r="M47" i="172"/>
  <c r="I554" i="184"/>
  <c r="H999" i="184"/>
  <c r="D1411" i="184"/>
  <c r="M39" i="172"/>
  <c r="M26" i="172"/>
  <c r="D1337" i="184"/>
  <c r="M38" i="172"/>
  <c r="K44" i="172"/>
  <c r="K1148" i="184" s="1"/>
  <c r="M25" i="172"/>
  <c r="D1263" i="184"/>
  <c r="M19" i="167"/>
  <c r="F18" i="167"/>
  <c r="F282" i="184"/>
  <c r="T63" i="167"/>
  <c r="D71" i="167"/>
  <c r="D1622" i="184"/>
  <c r="I2144" i="184"/>
  <c r="I83" i="167"/>
  <c r="L20" i="227"/>
  <c r="M615" i="184"/>
  <c r="L949" i="184"/>
  <c r="L42" i="167"/>
  <c r="D949" i="184"/>
  <c r="D42" i="167"/>
  <c r="M38" i="167"/>
  <c r="D21" i="184"/>
  <c r="M10" i="167"/>
  <c r="B57" i="166"/>
  <c r="X62" i="167"/>
  <c r="L95" i="191"/>
  <c r="I95" i="191"/>
  <c r="L71" i="167"/>
  <c r="L1918" i="184" s="1"/>
  <c r="L1659" i="184"/>
  <c r="B23" i="168"/>
  <c r="L115" i="167"/>
  <c r="M23" i="167"/>
  <c r="H29" i="167"/>
  <c r="H18" i="167"/>
  <c r="H245" i="184" s="1"/>
  <c r="M39" i="167"/>
  <c r="J986" i="184"/>
  <c r="M14" i="167"/>
  <c r="H169" i="184"/>
  <c r="BR37" i="218"/>
  <c r="M1398" i="184"/>
  <c r="K71" i="167"/>
  <c r="K1548" i="184"/>
  <c r="X64" i="167"/>
  <c r="L169" i="191" s="1"/>
  <c r="I169" i="191"/>
  <c r="M67" i="167"/>
  <c r="H1770" i="184"/>
  <c r="H1881" i="184"/>
  <c r="M70" i="167"/>
  <c r="M75" i="167"/>
  <c r="H1994" i="184"/>
  <c r="M87" i="167"/>
  <c r="E2294" i="184"/>
  <c r="G2442" i="184"/>
  <c r="M91" i="167"/>
  <c r="M40" i="167"/>
  <c r="H1023" i="184"/>
  <c r="M54" i="167"/>
  <c r="M20" i="167"/>
  <c r="J18" i="167"/>
  <c r="J245" i="184" s="1"/>
  <c r="J319" i="184"/>
  <c r="M89" i="167"/>
  <c r="H2368" i="184"/>
  <c r="F1060" i="184"/>
  <c r="M41" i="167"/>
  <c r="H15" i="167"/>
  <c r="M11" i="167"/>
  <c r="H105" i="167"/>
  <c r="L106" i="167" s="1"/>
  <c r="H58" i="184"/>
  <c r="M2068" i="184"/>
  <c r="BR59" i="218"/>
  <c r="B53" i="166"/>
  <c r="J1097" i="184"/>
  <c r="J44" i="167"/>
  <c r="I31" i="167"/>
  <c r="I690" i="184" s="1"/>
  <c r="I838" i="184"/>
  <c r="H71" i="167"/>
  <c r="H1918" i="184"/>
  <c r="M64" i="167"/>
  <c r="H1659" i="184"/>
  <c r="L78" i="167"/>
  <c r="L2105" i="184" s="1"/>
  <c r="L1957" i="184"/>
  <c r="M92" i="167"/>
  <c r="F2479" i="184"/>
  <c r="H42" i="167"/>
  <c r="M36" i="167"/>
  <c r="H875" i="184"/>
  <c r="H31" i="167"/>
  <c r="H690" i="184" s="1"/>
  <c r="M24" i="167"/>
  <c r="J467" i="184"/>
  <c r="M53" i="167"/>
  <c r="G1250" i="184"/>
  <c r="G56" i="167"/>
  <c r="L15" i="167"/>
  <c r="F31" i="167"/>
  <c r="F690" i="184" s="1"/>
  <c r="M33" i="167"/>
  <c r="F764" i="184"/>
  <c r="M35" i="167"/>
  <c r="E31" i="167"/>
  <c r="E838" i="184"/>
  <c r="O61" i="167"/>
  <c r="T61" i="167"/>
  <c r="M61" i="167"/>
  <c r="G71" i="167"/>
  <c r="G1918" i="184" s="1"/>
  <c r="G1548" i="184"/>
  <c r="AA71" i="167"/>
  <c r="L114" i="167"/>
  <c r="G1696" i="184"/>
  <c r="O65" i="167"/>
  <c r="M65" i="167"/>
  <c r="T65" i="167"/>
  <c r="E1807" i="184"/>
  <c r="M68" i="167"/>
  <c r="AB68" i="167"/>
  <c r="D78" i="167"/>
  <c r="D2068" i="184"/>
  <c r="D2181" i="184"/>
  <c r="M82" i="167"/>
  <c r="D83" i="167"/>
  <c r="M25" i="167"/>
  <c r="H504" i="184"/>
  <c r="BR34" i="218"/>
  <c r="M1287" i="184"/>
  <c r="B28" i="166"/>
  <c r="F393" i="184"/>
  <c r="M22" i="167"/>
  <c r="L113" i="167"/>
  <c r="K21" i="191"/>
  <c r="H1957" i="184"/>
  <c r="M74" i="167"/>
  <c r="H78" i="167"/>
  <c r="H2105" i="184" s="1"/>
  <c r="J20" i="227"/>
  <c r="W25" i="167"/>
  <c r="M13" i="167"/>
  <c r="D132" i="184"/>
  <c r="D18" i="166"/>
  <c r="F652" i="184"/>
  <c r="BR51" i="218"/>
  <c r="B45" i="166"/>
  <c r="M1844" i="184"/>
  <c r="M21" i="167"/>
  <c r="J356" i="184"/>
  <c r="O60" i="167"/>
  <c r="E71" i="167"/>
  <c r="E1918" i="184" s="1"/>
  <c r="M60" i="167"/>
  <c r="E1511" i="184"/>
  <c r="T60" i="167"/>
  <c r="M66" i="167"/>
  <c r="AB66" i="167" s="1"/>
  <c r="K1733" i="184"/>
  <c r="L107" i="167"/>
  <c r="M2559" i="184"/>
  <c r="D578" i="184"/>
  <c r="M27" i="167"/>
  <c r="F42" i="167"/>
  <c r="M37" i="167"/>
  <c r="F912" i="184"/>
  <c r="M51" i="167"/>
  <c r="M91" i="191"/>
  <c r="BP32" i="218"/>
  <c r="M1209" i="184"/>
  <c r="B26" i="161"/>
  <c r="D38" i="216"/>
  <c r="R69" i="162"/>
  <c r="F350" i="191" s="1"/>
  <c r="F17" i="191"/>
  <c r="G17" i="191" s="1"/>
  <c r="D102" i="160"/>
  <c r="F36" i="161"/>
  <c r="BP35" i="218"/>
  <c r="B29" i="161"/>
  <c r="M1320" i="184"/>
  <c r="M17" i="191"/>
  <c r="K37" i="161"/>
  <c r="L37" i="161" s="1"/>
  <c r="P15" i="227"/>
  <c r="M908" i="184"/>
  <c r="W43" i="231"/>
  <c r="BP33" i="218"/>
  <c r="B27" i="161"/>
  <c r="M1246" i="184"/>
  <c r="K43" i="231"/>
  <c r="W45" i="162"/>
  <c r="W34" i="162"/>
  <c r="W35" i="162" s="1"/>
  <c r="J43" i="212" s="1"/>
  <c r="H15" i="227"/>
  <c r="M463" i="184"/>
  <c r="BP14" i="218"/>
  <c r="M165" i="184"/>
  <c r="B14" i="161"/>
  <c r="B54" i="161"/>
  <c r="F53" i="161"/>
  <c r="N15" i="220" s="1"/>
  <c r="M165" i="191"/>
  <c r="M43" i="231"/>
  <c r="M537" i="184"/>
  <c r="J15" i="227"/>
  <c r="I85" i="162"/>
  <c r="I1468" i="184"/>
  <c r="X65" i="162"/>
  <c r="I202" i="191"/>
  <c r="N43" i="231"/>
  <c r="K15" i="227"/>
  <c r="M574" i="184"/>
  <c r="W28" i="162"/>
  <c r="W30" i="162"/>
  <c r="I43" i="212" s="1"/>
  <c r="S15" i="227"/>
  <c r="M1019" i="184"/>
  <c r="Z43" i="231"/>
  <c r="M54" i="184"/>
  <c r="BP11" i="218"/>
  <c r="B11" i="161"/>
  <c r="M1170" i="184"/>
  <c r="B23" i="161"/>
  <c r="BP29" i="218"/>
  <c r="BP34" i="218"/>
  <c r="M1283" i="184"/>
  <c r="B28" i="161"/>
  <c r="T15" i="227"/>
  <c r="AA43" i="231"/>
  <c r="M1056" i="184"/>
  <c r="BP37" i="218"/>
  <c r="B31" i="161"/>
  <c r="M1394" i="184"/>
  <c r="F463" i="184"/>
  <c r="I574" i="184"/>
  <c r="D1019" i="184"/>
  <c r="H1209" i="184"/>
  <c r="M39" i="162"/>
  <c r="W25" i="162" s="1"/>
  <c r="W27" i="162" s="1"/>
  <c r="D54" i="184"/>
  <c r="K537" i="184"/>
  <c r="I1170" i="184"/>
  <c r="D1320" i="184"/>
  <c r="M28" i="162"/>
  <c r="M36" i="162"/>
  <c r="M38" i="162"/>
  <c r="BP23" i="218"/>
  <c r="BP24" i="218" s="1"/>
  <c r="M13" i="162"/>
  <c r="M10" i="162"/>
  <c r="M54" i="162"/>
  <c r="D1246" i="184"/>
  <c r="L229" i="184"/>
  <c r="BN64" i="218"/>
  <c r="B58" i="194"/>
  <c r="M2204" i="184"/>
  <c r="K44" i="195"/>
  <c r="K675" i="184"/>
  <c r="M342" i="184"/>
  <c r="L105" i="195"/>
  <c r="I18" i="195"/>
  <c r="I268" i="184" s="1"/>
  <c r="I342" i="184"/>
  <c r="L71" i="195"/>
  <c r="L1941" i="184"/>
  <c r="L1608" i="184"/>
  <c r="F1756" i="184"/>
  <c r="D42" i="194"/>
  <c r="M66" i="195"/>
  <c r="I78" i="195"/>
  <c r="I2128" i="184" s="1"/>
  <c r="I2054" i="184"/>
  <c r="F42" i="195"/>
  <c r="M40" i="195"/>
  <c r="F1046" i="184"/>
  <c r="G192" i="184"/>
  <c r="M14" i="195"/>
  <c r="M10" i="195"/>
  <c r="K44" i="184"/>
  <c r="F31" i="195"/>
  <c r="F713" i="184"/>
  <c r="M32" i="195"/>
  <c r="F750" i="184"/>
  <c r="D78" i="195"/>
  <c r="D2054" i="184"/>
  <c r="D1083" i="184"/>
  <c r="M41" i="195"/>
  <c r="M53" i="195"/>
  <c r="G1347" i="184"/>
  <c r="M50" i="195"/>
  <c r="K56" i="195"/>
  <c r="K1458" i="184" s="1"/>
  <c r="G105" i="195"/>
  <c r="M76" i="195"/>
  <c r="M64" i="195"/>
  <c r="E18" i="195"/>
  <c r="E416" i="184"/>
  <c r="E31" i="195"/>
  <c r="E713" i="184" s="1"/>
  <c r="E861" i="184"/>
  <c r="F71" i="195"/>
  <c r="F1941" i="184" s="1"/>
  <c r="D36" i="194"/>
  <c r="F1534" i="184"/>
  <c r="M60" i="195"/>
  <c r="AB60" i="195" s="1"/>
  <c r="H71" i="195"/>
  <c r="H1941" i="184" s="1"/>
  <c r="H1608" i="184"/>
  <c r="M62" i="195"/>
  <c r="I266" i="191"/>
  <c r="X66" i="195"/>
  <c r="L266" i="191"/>
  <c r="D1830" i="184"/>
  <c r="M68" i="195"/>
  <c r="D71" i="195"/>
  <c r="T46" i="229"/>
  <c r="V46" i="220"/>
  <c r="AE42" i="231"/>
  <c r="V45" i="214"/>
  <c r="I52" i="215"/>
  <c r="AE44" i="231"/>
  <c r="X46" i="230"/>
  <c r="R42" i="212"/>
  <c r="R44" i="212"/>
  <c r="Y46" i="209"/>
  <c r="M89" i="195"/>
  <c r="F105" i="195"/>
  <c r="D105" i="195"/>
  <c r="M33" i="195"/>
  <c r="BN79" i="218"/>
  <c r="M2502" i="184"/>
  <c r="K83" i="195"/>
  <c r="K2241" i="184"/>
  <c r="X61" i="195"/>
  <c r="H81" i="191"/>
  <c r="I379" i="184"/>
  <c r="M21" i="195"/>
  <c r="M34" i="195"/>
  <c r="J824" i="184"/>
  <c r="M65" i="195"/>
  <c r="I1719" i="184"/>
  <c r="M69" i="195"/>
  <c r="G71" i="195"/>
  <c r="G1941" i="184"/>
  <c r="G1867" i="184"/>
  <c r="F83" i="195"/>
  <c r="D58" i="194"/>
  <c r="D59" i="194" s="1"/>
  <c r="F2204" i="184"/>
  <c r="M91" i="195"/>
  <c r="F2465" i="184"/>
  <c r="BN18" i="218"/>
  <c r="J42" i="231"/>
  <c r="K42" i="231"/>
  <c r="E490" i="184"/>
  <c r="E29" i="195"/>
  <c r="G15" i="195"/>
  <c r="M11" i="195"/>
  <c r="G81" i="184"/>
  <c r="M54" i="195"/>
  <c r="K1384" i="184"/>
  <c r="K105" i="195"/>
  <c r="O64" i="195"/>
  <c r="T64" i="195"/>
  <c r="E71" i="195"/>
  <c r="E1941" i="184" s="1"/>
  <c r="E1682" i="184"/>
  <c r="J83" i="195"/>
  <c r="J2241" i="184" s="1"/>
  <c r="J2167" i="184"/>
  <c r="I564" i="184"/>
  <c r="I29" i="195"/>
  <c r="M26" i="195"/>
  <c r="B23" i="194"/>
  <c r="BN29" i="218"/>
  <c r="G56" i="195"/>
  <c r="G1273" i="184"/>
  <c r="M51" i="195"/>
  <c r="S46" i="210"/>
  <c r="J31" i="195"/>
  <c r="J713" i="184" s="1"/>
  <c r="J787" i="184"/>
  <c r="D898" i="184"/>
  <c r="D42" i="195"/>
  <c r="M36" i="195"/>
  <c r="D31" i="195"/>
  <c r="P69" i="195"/>
  <c r="L110" i="195"/>
  <c r="U64" i="195"/>
  <c r="I192" i="191" s="1"/>
  <c r="D192" i="191"/>
  <c r="L113" i="195"/>
  <c r="K266" i="191"/>
  <c r="M90" i="195"/>
  <c r="F2428" i="184"/>
  <c r="G29" i="195"/>
  <c r="M27" i="195"/>
  <c r="G601" i="184"/>
  <c r="L935" i="184"/>
  <c r="L42" i="195"/>
  <c r="D935" i="184"/>
  <c r="M37" i="195"/>
  <c r="M13" i="195"/>
  <c r="K155" i="184"/>
  <c r="I105" i="195"/>
  <c r="K1236" i="184"/>
  <c r="L114" i="195"/>
  <c r="M63" i="195"/>
  <c r="I71" i="195"/>
  <c r="I1941" i="184"/>
  <c r="I1645" i="184"/>
  <c r="M70" i="195"/>
  <c r="G1904" i="184"/>
  <c r="J78" i="195"/>
  <c r="J2128" i="184" s="1"/>
  <c r="J2091" i="184"/>
  <c r="M38" i="195"/>
  <c r="J972" i="184"/>
  <c r="J42" i="195"/>
  <c r="G1421" i="184"/>
  <c r="M55" i="195"/>
  <c r="M52" i="195"/>
  <c r="K1310" i="184"/>
  <c r="M35" i="195"/>
  <c r="I31" i="195"/>
  <c r="I713" i="184"/>
  <c r="I861" i="184"/>
  <c r="K71" i="195"/>
  <c r="K1941" i="184" s="1"/>
  <c r="K1867" i="184"/>
  <c r="M39" i="195"/>
  <c r="H1009" i="184"/>
  <c r="I57" i="152"/>
  <c r="I1125" i="184"/>
  <c r="AA71" i="152"/>
  <c r="M2321" i="184"/>
  <c r="M74" i="152"/>
  <c r="J78" i="152"/>
  <c r="J2095" i="184" s="1"/>
  <c r="J1947" i="184"/>
  <c r="G865" i="184"/>
  <c r="G42" i="152"/>
  <c r="M36" i="152"/>
  <c r="D1834" i="184"/>
  <c r="D71" i="152"/>
  <c r="M69" i="152"/>
  <c r="F2058" i="184"/>
  <c r="M77" i="152"/>
  <c r="M2549" i="184"/>
  <c r="L107" i="152"/>
  <c r="F159" i="191"/>
  <c r="G159" i="191"/>
  <c r="I1087" i="184"/>
  <c r="J1501" i="184"/>
  <c r="J71" i="152"/>
  <c r="J1908" i="184" s="1"/>
  <c r="G1575" i="184"/>
  <c r="G71" i="152"/>
  <c r="G1908" i="184"/>
  <c r="T62" i="152"/>
  <c r="M62" i="152"/>
  <c r="O62" i="152"/>
  <c r="C85" i="191" s="1"/>
  <c r="E1723" i="184"/>
  <c r="O66" i="152"/>
  <c r="C233" i="191" s="1"/>
  <c r="M89" i="152"/>
  <c r="L2395" i="184"/>
  <c r="L105" i="152"/>
  <c r="E309" i="184"/>
  <c r="M20" i="152"/>
  <c r="I754" i="184"/>
  <c r="I31" i="152"/>
  <c r="I680" i="184" s="1"/>
  <c r="I2134" i="184"/>
  <c r="M81" i="152"/>
  <c r="I83" i="152"/>
  <c r="J44" i="152"/>
  <c r="G31" i="152"/>
  <c r="G680" i="184" s="1"/>
  <c r="G828" i="184"/>
  <c r="M35" i="152"/>
  <c r="M60" i="152"/>
  <c r="E1501" i="184"/>
  <c r="T60" i="152"/>
  <c r="G1612" i="184"/>
  <c r="O63" i="152"/>
  <c r="M63" i="152"/>
  <c r="T63" i="152"/>
  <c r="J1686" i="184"/>
  <c r="O65" i="152"/>
  <c r="H2395" i="184"/>
  <c r="M90" i="152"/>
  <c r="T12" i="227"/>
  <c r="AA40" i="231"/>
  <c r="D642" i="184"/>
  <c r="D44" i="152"/>
  <c r="F78" i="152"/>
  <c r="F2095" i="184" s="1"/>
  <c r="I272" i="184"/>
  <c r="I18" i="152"/>
  <c r="I235" i="184" s="1"/>
  <c r="H346" i="184"/>
  <c r="H18" i="152"/>
  <c r="H235" i="184"/>
  <c r="L116" i="152"/>
  <c r="B27" i="153"/>
  <c r="D53" i="151"/>
  <c r="D54" i="151" s="1"/>
  <c r="E754" i="184"/>
  <c r="M33" i="152"/>
  <c r="E31" i="152"/>
  <c r="D41" i="151"/>
  <c r="F41" i="151"/>
  <c r="F1686" i="184"/>
  <c r="G1760" i="184"/>
  <c r="T67" i="152"/>
  <c r="O67" i="152"/>
  <c r="C270" i="191"/>
  <c r="M67" i="152"/>
  <c r="E1984" i="184"/>
  <c r="M75" i="152"/>
  <c r="E78" i="152"/>
  <c r="E2284" i="184"/>
  <c r="M87" i="152"/>
  <c r="F105" i="152"/>
  <c r="BJ34" i="218"/>
  <c r="B28" i="151"/>
  <c r="M1277" i="184"/>
  <c r="D20" i="151"/>
  <c r="D272" i="184"/>
  <c r="D105" i="152"/>
  <c r="M19" i="152"/>
  <c r="D18" i="152"/>
  <c r="D346" i="184"/>
  <c r="M21" i="152"/>
  <c r="K865" i="184"/>
  <c r="K105" i="152"/>
  <c r="K31" i="152"/>
  <c r="K680" i="184" s="1"/>
  <c r="D37" i="151"/>
  <c r="F1538" i="184"/>
  <c r="F71" i="152"/>
  <c r="F1908" i="184" s="1"/>
  <c r="M61" i="152"/>
  <c r="G2469" i="184"/>
  <c r="M92" i="152"/>
  <c r="E105" i="152"/>
  <c r="D23" i="151"/>
  <c r="D1277" i="184"/>
  <c r="M47" i="152"/>
  <c r="M38" i="152"/>
  <c r="K494" i="184"/>
  <c r="D1203" i="184"/>
  <c r="D56" i="152"/>
  <c r="E29" i="152"/>
  <c r="I159" i="184"/>
  <c r="M37" i="152"/>
  <c r="M11" i="152"/>
  <c r="G105" i="152"/>
  <c r="D1351" i="184"/>
  <c r="BH42" i="218"/>
  <c r="M1525" i="184"/>
  <c r="B36" i="146"/>
  <c r="M21" i="147"/>
  <c r="H370" i="184"/>
  <c r="M88" i="147"/>
  <c r="I2345" i="184"/>
  <c r="B31" i="146"/>
  <c r="W42" i="147"/>
  <c r="U39" i="231"/>
  <c r="M852" i="184"/>
  <c r="W29" i="147"/>
  <c r="O64" i="147"/>
  <c r="T64" i="147"/>
  <c r="M64" i="147"/>
  <c r="D1673" i="184"/>
  <c r="T67" i="147"/>
  <c r="O67" i="147"/>
  <c r="C294" i="191" s="1"/>
  <c r="E1784" i="184"/>
  <c r="M67" i="147"/>
  <c r="D1895" i="184"/>
  <c r="M70" i="147"/>
  <c r="L78" i="147"/>
  <c r="L2119" i="184" s="1"/>
  <c r="L1971" i="184"/>
  <c r="M38" i="147"/>
  <c r="I963" i="184"/>
  <c r="I42" i="147"/>
  <c r="G39" i="231"/>
  <c r="M333" i="184"/>
  <c r="H444" i="184"/>
  <c r="H18" i="147"/>
  <c r="M23" i="147"/>
  <c r="G42" i="147"/>
  <c r="M39" i="147"/>
  <c r="M2045" i="184"/>
  <c r="BH58" i="218"/>
  <c r="B52" i="146"/>
  <c r="E31" i="147"/>
  <c r="E704" i="184" s="1"/>
  <c r="M34" i="147"/>
  <c r="E815" i="184"/>
  <c r="L31" i="147"/>
  <c r="L704" i="184"/>
  <c r="L852" i="184"/>
  <c r="G1636" i="184"/>
  <c r="T63" i="147"/>
  <c r="O63" i="147"/>
  <c r="G71" i="147"/>
  <c r="G1932" i="184" s="1"/>
  <c r="M65" i="147"/>
  <c r="I1710" i="184"/>
  <c r="D257" i="191"/>
  <c r="U66" i="147"/>
  <c r="M69" i="147"/>
  <c r="I1858" i="184"/>
  <c r="H1971" i="184"/>
  <c r="H78" i="147"/>
  <c r="H2119" i="184" s="1"/>
  <c r="M74" i="147"/>
  <c r="M1037" i="184"/>
  <c r="S27" i="227"/>
  <c r="E1037" i="184"/>
  <c r="E42" i="147"/>
  <c r="M14" i="147"/>
  <c r="T60" i="147"/>
  <c r="O60" i="147"/>
  <c r="E1525" i="184"/>
  <c r="E71" i="147"/>
  <c r="F83" i="147"/>
  <c r="D58" i="146"/>
  <c r="D59" i="146" s="1"/>
  <c r="M82" i="147"/>
  <c r="G1375" i="184"/>
  <c r="M54" i="147"/>
  <c r="K56" i="147"/>
  <c r="K1449" i="184" s="1"/>
  <c r="K1264" i="184"/>
  <c r="G35" i="184"/>
  <c r="G15" i="147"/>
  <c r="M10" i="147"/>
  <c r="G105" i="147"/>
  <c r="G1227" i="184"/>
  <c r="G56" i="147"/>
  <c r="M50" i="147"/>
  <c r="BH59" i="218"/>
  <c r="M2082" i="184"/>
  <c r="B53" i="146"/>
  <c r="H105" i="147"/>
  <c r="H333" i="184"/>
  <c r="J31" i="147"/>
  <c r="J704" i="184" s="1"/>
  <c r="M33" i="147"/>
  <c r="J778" i="184"/>
  <c r="G1000" i="184"/>
  <c r="M66" i="147"/>
  <c r="I1747" i="184"/>
  <c r="L112" i="147"/>
  <c r="J294" i="191"/>
  <c r="D78" i="147"/>
  <c r="D2045" i="184"/>
  <c r="K83" i="147"/>
  <c r="K2232" i="184" s="1"/>
  <c r="K2243" i="184" s="1"/>
  <c r="K2158" i="184"/>
  <c r="M24" i="147"/>
  <c r="K29" i="147"/>
  <c r="K666" i="184" s="1"/>
  <c r="M47" i="147"/>
  <c r="J105" i="147"/>
  <c r="J1188" i="184"/>
  <c r="BH35" i="218"/>
  <c r="M1338" i="184"/>
  <c r="B29" i="146"/>
  <c r="G741" i="184"/>
  <c r="M32" i="147"/>
  <c r="J71" i="147"/>
  <c r="J1932" i="184" s="1"/>
  <c r="J1525" i="184"/>
  <c r="M61" i="147"/>
  <c r="L1562" i="184"/>
  <c r="L71" i="147"/>
  <c r="M81" i="147"/>
  <c r="G83" i="147"/>
  <c r="G2232" i="184" s="1"/>
  <c r="G2158" i="184"/>
  <c r="M89" i="147"/>
  <c r="D2382" i="184"/>
  <c r="I518" i="184"/>
  <c r="M25" i="147"/>
  <c r="I105" i="147"/>
  <c r="I29" i="147"/>
  <c r="I666" i="184" s="1"/>
  <c r="M11" i="147"/>
  <c r="M51" i="147"/>
  <c r="AB60" i="147"/>
  <c r="BH77" i="218"/>
  <c r="M2419" i="184"/>
  <c r="AB70" i="147"/>
  <c r="D31" i="147"/>
  <c r="D852" i="184"/>
  <c r="G29" i="147"/>
  <c r="G666" i="184"/>
  <c r="G555" i="184"/>
  <c r="M26" i="147"/>
  <c r="T27" i="227"/>
  <c r="M1074" i="184"/>
  <c r="G146" i="184"/>
  <c r="M13" i="147"/>
  <c r="G1301" i="184"/>
  <c r="M52" i="147"/>
  <c r="H29" i="147"/>
  <c r="H666" i="184" s="1"/>
  <c r="L18" i="147"/>
  <c r="L259" i="184" s="1"/>
  <c r="L105" i="147"/>
  <c r="L370" i="184"/>
  <c r="K31" i="147"/>
  <c r="K704" i="184" s="1"/>
  <c r="K715" i="184" s="1"/>
  <c r="K741" i="184"/>
  <c r="H42" i="147"/>
  <c r="M36" i="147"/>
  <c r="H889" i="184"/>
  <c r="H31" i="147"/>
  <c r="H704" i="184" s="1"/>
  <c r="D220" i="191"/>
  <c r="P69" i="147"/>
  <c r="U65" i="147"/>
  <c r="L110" i="147"/>
  <c r="M2493" i="184"/>
  <c r="BH79" i="218"/>
  <c r="M28" i="147"/>
  <c r="K629" i="184"/>
  <c r="E105" i="147"/>
  <c r="E29" i="147"/>
  <c r="M37" i="147"/>
  <c r="K926" i="184"/>
  <c r="K42" i="147"/>
  <c r="D803" i="184"/>
  <c r="D31" i="142"/>
  <c r="M34" i="142"/>
  <c r="F1698" i="184"/>
  <c r="F71" i="142"/>
  <c r="F1920" i="184" s="1"/>
  <c r="M65" i="142"/>
  <c r="J1025" i="184"/>
  <c r="M40" i="142"/>
  <c r="J42" i="142"/>
  <c r="F171" i="184"/>
  <c r="D14" i="141"/>
  <c r="M14" i="142"/>
  <c r="M1289" i="184"/>
  <c r="B28" i="141"/>
  <c r="M50" i="142"/>
  <c r="H56" i="142"/>
  <c r="H1437" i="184" s="1"/>
  <c r="H1215" i="184"/>
  <c r="F105" i="142"/>
  <c r="J105" i="142"/>
  <c r="BF58" i="218"/>
  <c r="D2107" i="184"/>
  <c r="D395" i="184"/>
  <c r="D18" i="142"/>
  <c r="M22" i="142"/>
  <c r="M32" i="142"/>
  <c r="J729" i="184"/>
  <c r="J31" i="142"/>
  <c r="J692" i="184" s="1"/>
  <c r="G1513" i="184"/>
  <c r="G71" i="142"/>
  <c r="G1920" i="184" s="1"/>
  <c r="T60" i="142"/>
  <c r="O60" i="142"/>
  <c r="H1772" i="184"/>
  <c r="H71" i="142"/>
  <c r="H1920" i="184" s="1"/>
  <c r="M67" i="142"/>
  <c r="F29" i="142"/>
  <c r="F18" i="142"/>
  <c r="F247" i="184" s="1"/>
  <c r="F432" i="184"/>
  <c r="M580" i="184"/>
  <c r="K21" i="227"/>
  <c r="H1062" i="184"/>
  <c r="M41" i="142"/>
  <c r="B27" i="141"/>
  <c r="M1252" i="184"/>
  <c r="BF33" i="218"/>
  <c r="F15" i="142"/>
  <c r="J15" i="142"/>
  <c r="M90" i="142"/>
  <c r="X62" i="142"/>
  <c r="L97" i="191" s="1"/>
  <c r="H97" i="191"/>
  <c r="J171" i="191"/>
  <c r="L112" i="142"/>
  <c r="J1959" i="184"/>
  <c r="J78" i="142"/>
  <c r="J2107" i="184"/>
  <c r="F1996" i="184"/>
  <c r="D51" i="141"/>
  <c r="G2146" i="184"/>
  <c r="M81" i="142"/>
  <c r="G83" i="142"/>
  <c r="M617" i="184"/>
  <c r="L21" i="227"/>
  <c r="O38" i="231"/>
  <c r="J23" i="184"/>
  <c r="I358" i="184"/>
  <c r="M21" i="142"/>
  <c r="H2296" i="184"/>
  <c r="M87" i="142"/>
  <c r="M23" i="142"/>
  <c r="BF22" i="218"/>
  <c r="V38" i="231"/>
  <c r="Q26" i="142"/>
  <c r="M877" i="184"/>
  <c r="O21" i="227"/>
  <c r="E42" i="142"/>
  <c r="E877" i="184"/>
  <c r="F60" i="184"/>
  <c r="F83" i="184" s="1"/>
  <c r="F2629" i="184" s="1"/>
  <c r="D47" i="181" s="1"/>
  <c r="D11" i="141"/>
  <c r="M11" i="142"/>
  <c r="L1176" i="184"/>
  <c r="L105" i="142"/>
  <c r="M47" i="142"/>
  <c r="D105" i="142"/>
  <c r="B31" i="141"/>
  <c r="M1400" i="184"/>
  <c r="BF37" i="218"/>
  <c r="F1363" i="184"/>
  <c r="D69" i="141"/>
  <c r="J1252" i="184"/>
  <c r="J1275" i="184" s="1"/>
  <c r="J2669" i="184" s="1"/>
  <c r="J56" i="142"/>
  <c r="J1437" i="184"/>
  <c r="M1996" i="184"/>
  <c r="BF57" i="218"/>
  <c r="B51" i="141"/>
  <c r="D1587" i="184"/>
  <c r="M62" i="142"/>
  <c r="D71" i="142"/>
  <c r="O62" i="142"/>
  <c r="C97" i="191"/>
  <c r="D42" i="141"/>
  <c r="F1735" i="184"/>
  <c r="M66" i="142"/>
  <c r="F1846" i="184"/>
  <c r="D45" i="141"/>
  <c r="M69" i="142"/>
  <c r="E2444" i="184"/>
  <c r="M91" i="142"/>
  <c r="G57" i="142"/>
  <c r="BF42" i="218"/>
  <c r="M1513" i="184"/>
  <c r="B36" i="141"/>
  <c r="B37" i="141"/>
  <c r="BF43" i="218"/>
  <c r="AB61" i="142"/>
  <c r="L1099" i="184"/>
  <c r="L44" i="142"/>
  <c r="I60" i="191"/>
  <c r="X61" i="142"/>
  <c r="E1661" i="184"/>
  <c r="M64" i="142"/>
  <c r="T64" i="142"/>
  <c r="O64" i="142"/>
  <c r="E71" i="142"/>
  <c r="E1920" i="184" s="1"/>
  <c r="M77" i="142"/>
  <c r="L78" i="142"/>
  <c r="L2107" i="184" s="1"/>
  <c r="L2070" i="184"/>
  <c r="M24" i="142"/>
  <c r="H469" i="184"/>
  <c r="H29" i="142"/>
  <c r="H914" i="184"/>
  <c r="M37" i="142"/>
  <c r="J134" i="184"/>
  <c r="M13" i="142"/>
  <c r="M54" i="142"/>
  <c r="M1959" i="184"/>
  <c r="BF56" i="218"/>
  <c r="B50" i="141"/>
  <c r="H284" i="184"/>
  <c r="H307" i="184" s="1"/>
  <c r="H2637" i="184" s="1"/>
  <c r="H18" i="142"/>
  <c r="H247" i="184" s="1"/>
  <c r="M19" i="142"/>
  <c r="H105" i="142"/>
  <c r="K840" i="184"/>
  <c r="M35" i="142"/>
  <c r="K31" i="142"/>
  <c r="K692" i="184" s="1"/>
  <c r="AB60" i="142"/>
  <c r="U63" i="142"/>
  <c r="D134" i="191"/>
  <c r="P69" i="142"/>
  <c r="L110" i="142"/>
  <c r="R63" i="142"/>
  <c r="L1809" i="184"/>
  <c r="L71" i="142"/>
  <c r="L1920" i="184" s="1"/>
  <c r="M68" i="142"/>
  <c r="K580" i="184"/>
  <c r="K29" i="142"/>
  <c r="E105" i="142"/>
  <c r="E543" i="184"/>
  <c r="E29" i="142"/>
  <c r="F42" i="142"/>
  <c r="F951" i="184"/>
  <c r="M38" i="142"/>
  <c r="M53" i="142"/>
  <c r="F56" i="142"/>
  <c r="F1289" i="184"/>
  <c r="D41" i="141"/>
  <c r="J1698" i="184"/>
  <c r="O65" i="142"/>
  <c r="F2033" i="184"/>
  <c r="D52" i="141"/>
  <c r="L2146" i="184"/>
  <c r="L83" i="142"/>
  <c r="L2220" i="184"/>
  <c r="I617" i="184"/>
  <c r="I29" i="142"/>
  <c r="M39" i="142"/>
  <c r="D988" i="184"/>
  <c r="BF34" i="218"/>
  <c r="M25" i="142"/>
  <c r="J2019" i="184"/>
  <c r="J2693" i="184" s="1"/>
  <c r="D1151" i="184"/>
  <c r="H32" i="216"/>
  <c r="F222" i="191"/>
  <c r="G222" i="191"/>
  <c r="BD32" i="218"/>
  <c r="B26" i="136"/>
  <c r="M1229" i="184"/>
  <c r="J706" i="184"/>
  <c r="W45" i="137"/>
  <c r="K37" i="231"/>
  <c r="W34" i="137"/>
  <c r="W35" i="137"/>
  <c r="J37" i="212" s="1"/>
  <c r="M483" i="184"/>
  <c r="H19" i="227"/>
  <c r="BD44" i="218"/>
  <c r="M1601" i="184"/>
  <c r="AB62" i="137"/>
  <c r="B38" i="136"/>
  <c r="M409" i="184"/>
  <c r="W29" i="137"/>
  <c r="I37" i="231"/>
  <c r="W42" i="137"/>
  <c r="L37" i="231"/>
  <c r="I19" i="227"/>
  <c r="M520" i="184"/>
  <c r="E1113" i="184"/>
  <c r="E44" i="137"/>
  <c r="D36" i="219" s="1"/>
  <c r="M15" i="137"/>
  <c r="M222" i="184" s="1"/>
  <c r="H222" i="184"/>
  <c r="M1340" i="184"/>
  <c r="BD35" i="218"/>
  <c r="B29" i="136"/>
  <c r="E32" i="216"/>
  <c r="F74" i="191"/>
  <c r="G74" i="191" s="1"/>
  <c r="M557" i="184"/>
  <c r="M37" i="231"/>
  <c r="R19" i="227"/>
  <c r="Y37" i="231"/>
  <c r="M1002" i="184"/>
  <c r="BD14" i="218"/>
  <c r="B14" i="136"/>
  <c r="M185" i="184"/>
  <c r="BD36" i="218"/>
  <c r="D70" i="136"/>
  <c r="F70" i="136"/>
  <c r="M1377" i="184"/>
  <c r="X63" i="137"/>
  <c r="I148" i="191"/>
  <c r="Q26" i="137"/>
  <c r="O19" i="227"/>
  <c r="BD22" i="218"/>
  <c r="V37" i="231"/>
  <c r="M1266" i="184"/>
  <c r="B27" i="136"/>
  <c r="BD33" i="218"/>
  <c r="AB65" i="137"/>
  <c r="B41" i="136"/>
  <c r="BD47" i="218"/>
  <c r="M1712" i="184"/>
  <c r="BD51" i="218"/>
  <c r="M1860" i="184"/>
  <c r="B45" i="136"/>
  <c r="M631" i="184"/>
  <c r="L19" i="227"/>
  <c r="BD11" i="218"/>
  <c r="M74" i="184"/>
  <c r="B11" i="136"/>
  <c r="BD29" i="218"/>
  <c r="B23" i="136"/>
  <c r="B28" i="136"/>
  <c r="BD34" i="218"/>
  <c r="M1303" i="184"/>
  <c r="J1113" i="184"/>
  <c r="J44" i="137"/>
  <c r="BD48" i="218"/>
  <c r="M1749" i="184"/>
  <c r="AB66" i="137"/>
  <c r="B42" i="136"/>
  <c r="M74" i="191"/>
  <c r="X64" i="137"/>
  <c r="L185" i="191" s="1"/>
  <c r="I185" i="191"/>
  <c r="BD18" i="218"/>
  <c r="J37" i="231"/>
  <c r="M446" i="184"/>
  <c r="T66" i="137"/>
  <c r="M76" i="137"/>
  <c r="D631" i="184"/>
  <c r="E71" i="137"/>
  <c r="J1190" i="184"/>
  <c r="M27" i="137"/>
  <c r="M68" i="137"/>
  <c r="M33" i="137"/>
  <c r="D74" i="184"/>
  <c r="D483" i="184"/>
  <c r="E928" i="184"/>
  <c r="G1039" i="184"/>
  <c r="Y19" i="230"/>
  <c r="O66" i="137"/>
  <c r="C259" i="191"/>
  <c r="M21" i="137"/>
  <c r="K42" i="137"/>
  <c r="F71" i="137"/>
  <c r="J446" i="184"/>
  <c r="H557" i="184"/>
  <c r="M13" i="137"/>
  <c r="M10" i="137"/>
  <c r="I42" i="137"/>
  <c r="I1002" i="184"/>
  <c r="D1229" i="184"/>
  <c r="M67" i="137"/>
  <c r="M74" i="137"/>
  <c r="H56" i="137"/>
  <c r="J520" i="184"/>
  <c r="M77" i="137"/>
  <c r="M81" i="137"/>
  <c r="L83" i="137"/>
  <c r="L2234" i="184" s="1"/>
  <c r="M38" i="137"/>
  <c r="W37" i="137" s="1"/>
  <c r="D78" i="137"/>
  <c r="G83" i="137"/>
  <c r="O67" i="137"/>
  <c r="C296" i="191"/>
  <c r="H78" i="137"/>
  <c r="H2121" i="184" s="1"/>
  <c r="T67" i="137"/>
  <c r="H296" i="191" s="1"/>
  <c r="D185" i="184"/>
  <c r="D164" i="184"/>
  <c r="M14" i="127"/>
  <c r="F105" i="127"/>
  <c r="D462" i="184"/>
  <c r="D29" i="127"/>
  <c r="M24" i="127"/>
  <c r="M27" i="127"/>
  <c r="H573" i="184"/>
  <c r="I1506" i="184"/>
  <c r="I71" i="127"/>
  <c r="I1913" i="184"/>
  <c r="M60" i="127"/>
  <c r="M69" i="127"/>
  <c r="G1839" i="184"/>
  <c r="H83" i="127"/>
  <c r="M82" i="127"/>
  <c r="H2176" i="184"/>
  <c r="H15" i="127"/>
  <c r="M10" i="127"/>
  <c r="H16" i="184"/>
  <c r="H105" i="127"/>
  <c r="H796" i="184"/>
  <c r="C16" i="191"/>
  <c r="R60" i="127"/>
  <c r="K18" i="127"/>
  <c r="K240" i="184" s="1"/>
  <c r="K105" i="127"/>
  <c r="K388" i="184"/>
  <c r="I42" i="127"/>
  <c r="I981" i="184"/>
  <c r="G1654" i="184"/>
  <c r="G71" i="127"/>
  <c r="G1913" i="184"/>
  <c r="M67" i="127"/>
  <c r="F1765" i="184"/>
  <c r="D43" i="126"/>
  <c r="M52" i="127"/>
  <c r="W35" i="231"/>
  <c r="P14" i="227"/>
  <c r="M50" i="127"/>
  <c r="J56" i="127"/>
  <c r="J1208" i="184"/>
  <c r="K29" i="127"/>
  <c r="J31" i="127"/>
  <c r="J685" i="184" s="1"/>
  <c r="J105" i="127"/>
  <c r="J759" i="184"/>
  <c r="M33" i="127"/>
  <c r="J71" i="127"/>
  <c r="J1913" i="184" s="1"/>
  <c r="J1802" i="184"/>
  <c r="M70" i="127"/>
  <c r="I1876" i="184"/>
  <c r="L53" i="184"/>
  <c r="L15" i="127"/>
  <c r="L105" i="127"/>
  <c r="D53" i="184"/>
  <c r="D105" i="127"/>
  <c r="D15" i="127"/>
  <c r="M11" i="127"/>
  <c r="I105" i="127"/>
  <c r="M47" i="127"/>
  <c r="I1169" i="184"/>
  <c r="D18" i="127"/>
  <c r="M22" i="127"/>
  <c r="D388" i="184"/>
  <c r="M26" i="127"/>
  <c r="G536" i="184"/>
  <c r="K31" i="127"/>
  <c r="K685" i="184" s="1"/>
  <c r="K722" i="184"/>
  <c r="M39" i="127"/>
  <c r="D42" i="127"/>
  <c r="D981" i="184"/>
  <c r="O64" i="127"/>
  <c r="D1654" i="184"/>
  <c r="T64" i="127"/>
  <c r="L78" i="127"/>
  <c r="L2100" i="184" s="1"/>
  <c r="L2063" i="184"/>
  <c r="F56" i="127"/>
  <c r="D27" i="126"/>
  <c r="F1245" i="184"/>
  <c r="M51" i="127"/>
  <c r="H18" i="127"/>
  <c r="H240" i="184" s="1"/>
  <c r="M23" i="127"/>
  <c r="H29" i="127"/>
  <c r="G1952" i="184"/>
  <c r="M74" i="127"/>
  <c r="M53" i="127"/>
  <c r="D29" i="126"/>
  <c r="M32" i="127"/>
  <c r="F722" i="184"/>
  <c r="F31" i="127"/>
  <c r="M41" i="127"/>
  <c r="I1055" i="184"/>
  <c r="D1617" i="184"/>
  <c r="D71" i="127"/>
  <c r="M63" i="127"/>
  <c r="O63" i="127"/>
  <c r="L112" i="127"/>
  <c r="J127" i="191"/>
  <c r="M127" i="191"/>
  <c r="K71" i="127"/>
  <c r="K1913" i="184" s="1"/>
  <c r="K1691" i="184"/>
  <c r="M65" i="127"/>
  <c r="AB65" i="127" s="1"/>
  <c r="L114" i="127"/>
  <c r="G1728" i="184"/>
  <c r="M66" i="127"/>
  <c r="T66" i="127"/>
  <c r="O66" i="127"/>
  <c r="C238" i="191" s="1"/>
  <c r="M68" i="127"/>
  <c r="AB68" i="127" s="1"/>
  <c r="H71" i="127"/>
  <c r="H1913" i="184" s="1"/>
  <c r="H1802" i="184"/>
  <c r="F78" i="127"/>
  <c r="F2063" i="184"/>
  <c r="D53" i="126"/>
  <c r="D54" i="126"/>
  <c r="M77" i="127"/>
  <c r="K78" i="127"/>
  <c r="K2100" i="184" s="1"/>
  <c r="K2063" i="184"/>
  <c r="M90" i="127"/>
  <c r="D2400" i="184"/>
  <c r="M91" i="127"/>
  <c r="E105" i="127"/>
  <c r="E2437" i="184"/>
  <c r="M34" i="127"/>
  <c r="R65" i="127"/>
  <c r="C201" i="191"/>
  <c r="I18" i="127"/>
  <c r="I240" i="184"/>
  <c r="I277" i="184"/>
  <c r="M19" i="127"/>
  <c r="F314" i="184"/>
  <c r="M20" i="127"/>
  <c r="F18" i="127"/>
  <c r="F240" i="184" s="1"/>
  <c r="G105" i="127"/>
  <c r="M25" i="127"/>
  <c r="G29" i="127"/>
  <c r="G499" i="184"/>
  <c r="D38" i="126"/>
  <c r="E66" i="126" s="1"/>
  <c r="F1580" i="184"/>
  <c r="M62" i="127"/>
  <c r="D2026" i="184"/>
  <c r="M76" i="127"/>
  <c r="H127" i="184"/>
  <c r="M13" i="127"/>
  <c r="D31" i="126"/>
  <c r="M55" i="127"/>
  <c r="F1393" i="184"/>
  <c r="F201" i="184"/>
  <c r="L31" i="127"/>
  <c r="L685" i="184"/>
  <c r="M36" i="127"/>
  <c r="L870" i="184"/>
  <c r="I1018" i="184"/>
  <c r="M40" i="127"/>
  <c r="M61" i="127"/>
  <c r="F71" i="127"/>
  <c r="F1913" i="184" s="1"/>
  <c r="D37" i="126"/>
  <c r="K275" i="191"/>
  <c r="L113" i="127"/>
  <c r="X67" i="127"/>
  <c r="L275" i="191" s="1"/>
  <c r="AZ36" i="218"/>
  <c r="B30" i="126"/>
  <c r="D83" i="191"/>
  <c r="O34" i="231"/>
  <c r="L43" i="227"/>
  <c r="M636" i="184"/>
  <c r="V34" i="231"/>
  <c r="Q26" i="122"/>
  <c r="AX22" i="218"/>
  <c r="O43" i="227"/>
  <c r="M896" i="184"/>
  <c r="J34" i="231"/>
  <c r="AX18" i="218"/>
  <c r="G43" i="227"/>
  <c r="M451" i="184"/>
  <c r="Q22" i="122"/>
  <c r="AX14" i="218"/>
  <c r="M190" i="184"/>
  <c r="B14" i="121"/>
  <c r="AX35" i="218"/>
  <c r="M1345" i="184"/>
  <c r="B29" i="121"/>
  <c r="L34" i="231"/>
  <c r="W37" i="122"/>
  <c r="W46" i="122"/>
  <c r="I43" i="227"/>
  <c r="M525" i="184"/>
  <c r="R24" i="122"/>
  <c r="X66" i="122"/>
  <c r="L264" i="191" s="1"/>
  <c r="I264" i="191"/>
  <c r="AX23" i="218"/>
  <c r="AX24" i="218" s="1"/>
  <c r="Q43" i="227"/>
  <c r="R28" i="122"/>
  <c r="X34" i="231"/>
  <c r="M970" i="184"/>
  <c r="B11" i="121"/>
  <c r="AX11" i="218"/>
  <c r="M79" i="184"/>
  <c r="AX33" i="218"/>
  <c r="B27" i="121"/>
  <c r="M1271" i="184"/>
  <c r="M42" i="191"/>
  <c r="X62" i="122"/>
  <c r="I116" i="191"/>
  <c r="W25" i="122"/>
  <c r="Y34" i="231"/>
  <c r="M1007" i="184"/>
  <c r="R43" i="227"/>
  <c r="M1044" i="184"/>
  <c r="S43" i="227"/>
  <c r="Z34" i="231"/>
  <c r="AX37" i="218"/>
  <c r="B31" i="121"/>
  <c r="M1419" i="184"/>
  <c r="K672" i="184"/>
  <c r="K44" i="117"/>
  <c r="K1155" i="184"/>
  <c r="X60" i="117"/>
  <c r="H41" i="191"/>
  <c r="D15" i="116"/>
  <c r="L339" i="184"/>
  <c r="L18" i="117"/>
  <c r="L105" i="117"/>
  <c r="M20" i="117"/>
  <c r="I1679" i="184"/>
  <c r="I71" i="117"/>
  <c r="I1938" i="184"/>
  <c r="M64" i="117"/>
  <c r="G2201" i="184"/>
  <c r="G83" i="117"/>
  <c r="M82" i="117"/>
  <c r="AV37" i="218"/>
  <c r="B31" i="116"/>
  <c r="M50" i="117"/>
  <c r="K1233" i="184"/>
  <c r="K56" i="117"/>
  <c r="K1455" i="184" s="1"/>
  <c r="AB63" i="117"/>
  <c r="AV45" i="218"/>
  <c r="B39" i="116"/>
  <c r="M1642" i="184"/>
  <c r="J78" i="191"/>
  <c r="L112" i="117"/>
  <c r="X61" i="117"/>
  <c r="J226" i="191"/>
  <c r="X65" i="117"/>
  <c r="L226" i="191"/>
  <c r="I78" i="117"/>
  <c r="I2125" i="184" s="1"/>
  <c r="M75" i="117"/>
  <c r="AE41" i="213"/>
  <c r="R33" i="212"/>
  <c r="Y40" i="209"/>
  <c r="AE33" i="231"/>
  <c r="T42" i="229"/>
  <c r="V42" i="220"/>
  <c r="V41" i="214"/>
  <c r="S42" i="210"/>
  <c r="I36" i="215"/>
  <c r="AV22" i="218"/>
  <c r="Q26" i="117"/>
  <c r="O42" i="227"/>
  <c r="V33" i="231"/>
  <c r="E31" i="117"/>
  <c r="E710" i="184" s="1"/>
  <c r="E42" i="117"/>
  <c r="G78" i="184"/>
  <c r="G15" i="117"/>
  <c r="D747" i="184"/>
  <c r="D31" i="117"/>
  <c r="M32" i="117"/>
  <c r="L784" i="184"/>
  <c r="L31" i="117"/>
  <c r="L710" i="184" s="1"/>
  <c r="M33" i="117"/>
  <c r="H78" i="117"/>
  <c r="H2125" i="184" s="1"/>
  <c r="M74" i="117"/>
  <c r="G1194" i="184"/>
  <c r="G105" i="117"/>
  <c r="M54" i="117"/>
  <c r="K1381" i="184"/>
  <c r="K1386" i="184" s="1"/>
  <c r="K2672" i="184" s="1"/>
  <c r="F302" i="184"/>
  <c r="F105" i="117"/>
  <c r="M19" i="117"/>
  <c r="I1716" i="184"/>
  <c r="M65" i="117"/>
  <c r="M70" i="117"/>
  <c r="F1901" i="184"/>
  <c r="D46" i="116"/>
  <c r="E2164" i="184"/>
  <c r="M81" i="117"/>
  <c r="F2499" i="184"/>
  <c r="M92" i="117"/>
  <c r="G487" i="184"/>
  <c r="G492" i="184"/>
  <c r="G2642" i="184" s="1"/>
  <c r="G29" i="117"/>
  <c r="H932" i="184"/>
  <c r="M37" i="117"/>
  <c r="W45" i="117" s="1"/>
  <c r="W47" i="117" s="1"/>
  <c r="M13" i="117"/>
  <c r="K152" i="184"/>
  <c r="B29" i="116"/>
  <c r="AV35" i="218"/>
  <c r="G56" i="117"/>
  <c r="G1270" i="184"/>
  <c r="L33" i="231"/>
  <c r="M524" i="184"/>
  <c r="I42" i="227"/>
  <c r="E524" i="184"/>
  <c r="E29" i="117"/>
  <c r="E105" i="117"/>
  <c r="Z33" i="231"/>
  <c r="M1043" i="184"/>
  <c r="S42" i="227"/>
  <c r="F969" i="184"/>
  <c r="F42" i="117"/>
  <c r="M38" i="117"/>
  <c r="M11" i="117"/>
  <c r="I1864" i="184"/>
  <c r="M69" i="117"/>
  <c r="L2388" i="184"/>
  <c r="M89" i="117"/>
  <c r="H105" i="117"/>
  <c r="M28" i="117"/>
  <c r="H635" i="184"/>
  <c r="H29" i="117"/>
  <c r="I29" i="117"/>
  <c r="I598" i="184"/>
  <c r="I105" i="117"/>
  <c r="M39" i="117"/>
  <c r="D1006" i="184"/>
  <c r="D42" i="117"/>
  <c r="B23" i="116"/>
  <c r="M1194" i="184"/>
  <c r="AV29" i="218"/>
  <c r="M52" i="117"/>
  <c r="K1307" i="184"/>
  <c r="R60" i="117"/>
  <c r="C41" i="191"/>
  <c r="D858" i="184"/>
  <c r="M35" i="117"/>
  <c r="I189" i="191"/>
  <c r="X64" i="117"/>
  <c r="L189" i="191" s="1"/>
  <c r="M189" i="191" s="1"/>
  <c r="K1827" i="184"/>
  <c r="K71" i="117"/>
  <c r="K1938" i="184" s="1"/>
  <c r="E2088" i="184"/>
  <c r="E78" i="117"/>
  <c r="M77" i="117"/>
  <c r="M2314" i="184"/>
  <c r="AV74" i="218"/>
  <c r="M23" i="117"/>
  <c r="F29" i="117"/>
  <c r="K33" i="231"/>
  <c r="M487" i="184"/>
  <c r="H42" i="227"/>
  <c r="J105" i="117"/>
  <c r="J42" i="117"/>
  <c r="J1043" i="184"/>
  <c r="M10" i="117"/>
  <c r="K15" i="117"/>
  <c r="K105" i="117"/>
  <c r="K41" i="184"/>
  <c r="M51" i="117"/>
  <c r="L1605" i="184"/>
  <c r="M62" i="117"/>
  <c r="L71" i="117"/>
  <c r="T63" i="117"/>
  <c r="E71" i="117"/>
  <c r="O63" i="117"/>
  <c r="E1642" i="184"/>
  <c r="G1753" i="184"/>
  <c r="T66" i="117"/>
  <c r="M66" i="117"/>
  <c r="G71" i="117"/>
  <c r="G1938" i="184" s="1"/>
  <c r="O66" i="117"/>
  <c r="C263" i="191" s="1"/>
  <c r="I300" i="191"/>
  <c r="X67" i="117"/>
  <c r="L300" i="191" s="1"/>
  <c r="M300" i="191" s="1"/>
  <c r="F71" i="117"/>
  <c r="F1938" i="184" s="1"/>
  <c r="D66" i="116"/>
  <c r="F1827" i="184"/>
  <c r="M68" i="117"/>
  <c r="I2051" i="184"/>
  <c r="M76" i="117"/>
  <c r="E2462" i="184"/>
  <c r="M91" i="117"/>
  <c r="H1080" i="184"/>
  <c r="M41" i="117"/>
  <c r="H1573" i="184"/>
  <c r="H2679" i="184" s="1"/>
  <c r="M22" i="112"/>
  <c r="H412" i="184"/>
  <c r="L111" i="112"/>
  <c r="Q69" i="112"/>
  <c r="E373" i="191" s="1"/>
  <c r="E188" i="191"/>
  <c r="G188" i="191" s="1"/>
  <c r="I78" i="112"/>
  <c r="I2124" i="184" s="1"/>
  <c r="I1976" i="184"/>
  <c r="M87" i="112"/>
  <c r="I2313" i="184"/>
  <c r="M91" i="112"/>
  <c r="F2461" i="184"/>
  <c r="M70" i="112"/>
  <c r="L1900" i="184"/>
  <c r="M24" i="112"/>
  <c r="I29" i="112"/>
  <c r="M37" i="112"/>
  <c r="J42" i="112"/>
  <c r="J931" i="184"/>
  <c r="AT37" i="218"/>
  <c r="M1417" i="184"/>
  <c r="G18" i="112"/>
  <c r="G105" i="112"/>
  <c r="G301" i="184"/>
  <c r="M69" i="112"/>
  <c r="D1863" i="184"/>
  <c r="M25" i="112"/>
  <c r="G29" i="112"/>
  <c r="G671" i="184" s="1"/>
  <c r="F1232" i="184"/>
  <c r="F1238" i="184" s="1"/>
  <c r="F2668" i="184" s="1"/>
  <c r="D62" i="181" s="1"/>
  <c r="M50" i="112"/>
  <c r="D26" i="111"/>
  <c r="M64" i="112"/>
  <c r="I1678" i="184"/>
  <c r="H78" i="112"/>
  <c r="H2124" i="184" s="1"/>
  <c r="H2013" i="184"/>
  <c r="H71" i="112"/>
  <c r="H1937" i="184" s="1"/>
  <c r="H1863" i="184"/>
  <c r="H1869" i="184"/>
  <c r="H2687" i="184" s="1"/>
  <c r="J29" i="112"/>
  <c r="J671" i="184" s="1"/>
  <c r="J634" i="184"/>
  <c r="K597" i="184"/>
  <c r="K105" i="112"/>
  <c r="K29" i="112"/>
  <c r="M560" i="184"/>
  <c r="M32" i="231"/>
  <c r="J41" i="227"/>
  <c r="E29" i="112"/>
  <c r="E560" i="184"/>
  <c r="E105" i="112"/>
  <c r="F1005" i="184"/>
  <c r="F42" i="112"/>
  <c r="M39" i="112"/>
  <c r="W25" i="112" s="1"/>
  <c r="M14" i="112"/>
  <c r="D10" i="111"/>
  <c r="F40" i="184"/>
  <c r="F15" i="112"/>
  <c r="M10" i="112"/>
  <c r="M53" i="112"/>
  <c r="F32" i="231"/>
  <c r="W33" i="112"/>
  <c r="U60" i="112"/>
  <c r="I40" i="191" s="1"/>
  <c r="D40" i="191"/>
  <c r="P69" i="112"/>
  <c r="M61" i="112"/>
  <c r="F71" i="112"/>
  <c r="F1937" i="184" s="1"/>
  <c r="D37" i="111"/>
  <c r="X63" i="112"/>
  <c r="L151" i="191" s="1"/>
  <c r="I151" i="191"/>
  <c r="L114" i="112"/>
  <c r="D78" i="112"/>
  <c r="M74" i="112"/>
  <c r="D1976" i="184"/>
  <c r="I83" i="112"/>
  <c r="I2237" i="184" s="1"/>
  <c r="M82" i="112"/>
  <c r="I2200" i="184"/>
  <c r="M90" i="112"/>
  <c r="K2424" i="184"/>
  <c r="H449" i="184"/>
  <c r="H18" i="112"/>
  <c r="H264" i="184"/>
  <c r="H29" i="112"/>
  <c r="D1042" i="184"/>
  <c r="D42" i="112"/>
  <c r="M40" i="112"/>
  <c r="H56" i="112"/>
  <c r="H1454" i="184" s="1"/>
  <c r="M746" i="184"/>
  <c r="X64" i="112"/>
  <c r="L188" i="191" s="1"/>
  <c r="H188" i="191"/>
  <c r="AT59" i="218"/>
  <c r="M2087" i="184"/>
  <c r="B53" i="111"/>
  <c r="D783" i="184"/>
  <c r="D31" i="112"/>
  <c r="O60" i="112"/>
  <c r="M60" i="112"/>
  <c r="T60" i="112"/>
  <c r="D1530" i="184"/>
  <c r="D71" i="112"/>
  <c r="M41" i="112"/>
  <c r="J1079" i="184"/>
  <c r="J77" i="184"/>
  <c r="J15" i="112"/>
  <c r="D1380" i="184"/>
  <c r="M54" i="112"/>
  <c r="M51" i="112"/>
  <c r="G375" i="184"/>
  <c r="M21" i="112"/>
  <c r="L18" i="112"/>
  <c r="L264" i="184"/>
  <c r="L412" i="184"/>
  <c r="I71" i="112"/>
  <c r="I1937" i="184" s="1"/>
  <c r="I1604" i="184"/>
  <c r="M75" i="112"/>
  <c r="D2013" i="184"/>
  <c r="G523" i="184"/>
  <c r="M11" i="112"/>
  <c r="L105" i="112"/>
  <c r="L1193" i="184"/>
  <c r="D1193" i="184"/>
  <c r="M47" i="112"/>
  <c r="R61" i="112"/>
  <c r="C77" i="191"/>
  <c r="O63" i="112"/>
  <c r="M63" i="112"/>
  <c r="J1641" i="184"/>
  <c r="J71" i="112"/>
  <c r="J1937" i="184" s="1"/>
  <c r="M65" i="112"/>
  <c r="D41" i="111"/>
  <c r="M76" i="112"/>
  <c r="L78" i="112"/>
  <c r="L2124" i="184" s="1"/>
  <c r="L2050" i="184"/>
  <c r="M88" i="112"/>
  <c r="D2350" i="184"/>
  <c r="M28" i="112"/>
  <c r="G42" i="112"/>
  <c r="M36" i="112"/>
  <c r="G894" i="184"/>
  <c r="G31" i="112"/>
  <c r="G709" i="184"/>
  <c r="L1306" i="184"/>
  <c r="L56" i="112"/>
  <c r="L1454" i="184" s="1"/>
  <c r="D1306" i="184"/>
  <c r="D56" i="112"/>
  <c r="M52" i="112"/>
  <c r="L44" i="112"/>
  <c r="L1116" i="184"/>
  <c r="M62" i="112"/>
  <c r="T62" i="112"/>
  <c r="E71" i="112"/>
  <c r="E1937" i="184"/>
  <c r="O62" i="112"/>
  <c r="C114" i="191" s="1"/>
  <c r="E1604" i="184"/>
  <c r="E1610" i="184" s="1"/>
  <c r="E2680" i="184" s="1"/>
  <c r="S41" i="210"/>
  <c r="Y39" i="209"/>
  <c r="AE40" i="213"/>
  <c r="R32" i="212"/>
  <c r="X41" i="230"/>
  <c r="I35" i="215"/>
  <c r="AE32" i="231"/>
  <c r="V41" i="220"/>
  <c r="J32" i="231"/>
  <c r="M449" i="184"/>
  <c r="Q22" i="112"/>
  <c r="AT18" i="218"/>
  <c r="G41" i="227"/>
  <c r="D13" i="111"/>
  <c r="F151" i="184"/>
  <c r="M13" i="112"/>
  <c r="D19" i="56"/>
  <c r="F1101" i="184"/>
  <c r="R65" i="57"/>
  <c r="C210" i="191"/>
  <c r="F44" i="57"/>
  <c r="F1139" i="184" s="1"/>
  <c r="H15" i="57"/>
  <c r="H210" i="184" s="1"/>
  <c r="H619" i="184"/>
  <c r="K1700" i="184"/>
  <c r="F1737" i="184"/>
  <c r="K29" i="57"/>
  <c r="K656" i="184" s="1"/>
  <c r="M64" i="57"/>
  <c r="G18" i="57"/>
  <c r="G249" i="184"/>
  <c r="D53" i="56"/>
  <c r="D31" i="57"/>
  <c r="D694" i="184" s="1"/>
  <c r="H78" i="57"/>
  <c r="H2109" i="184" s="1"/>
  <c r="H18" i="57"/>
  <c r="H249" i="184" s="1"/>
  <c r="E1700" i="184"/>
  <c r="B27" i="58"/>
  <c r="M25" i="57"/>
  <c r="M34" i="57"/>
  <c r="M65" i="57"/>
  <c r="AB65" i="57" s="1"/>
  <c r="D27" i="56"/>
  <c r="E1291" i="184"/>
  <c r="E1312" i="184"/>
  <c r="E2670" i="184" s="1"/>
  <c r="K545" i="184"/>
  <c r="K566" i="184" s="1"/>
  <c r="K2644" i="184" s="1"/>
  <c r="F105" i="57"/>
  <c r="M39" i="57"/>
  <c r="M22" i="57"/>
  <c r="X63" i="57"/>
  <c r="L136" i="191" s="1"/>
  <c r="D71" i="57"/>
  <c r="D1922" i="184" s="1"/>
  <c r="M92" i="57"/>
  <c r="H42" i="57"/>
  <c r="H1101" i="184" s="1"/>
  <c r="I83" i="57"/>
  <c r="I2222" i="184" s="1"/>
  <c r="T65" i="57"/>
  <c r="H210" i="191"/>
  <c r="K105" i="57"/>
  <c r="F78" i="57"/>
  <c r="F2109" i="184" s="1"/>
  <c r="M61" i="57"/>
  <c r="AR47" i="218"/>
  <c r="B41" i="106"/>
  <c r="M1714" i="184"/>
  <c r="L411" i="184"/>
  <c r="L18" i="107"/>
  <c r="L263" i="184" s="1"/>
  <c r="L105" i="107"/>
  <c r="L1640" i="184"/>
  <c r="L71" i="107"/>
  <c r="L1936" i="184" s="1"/>
  <c r="M63" i="107"/>
  <c r="I187" i="191"/>
  <c r="X64" i="107"/>
  <c r="L187" i="191" s="1"/>
  <c r="G1788" i="184"/>
  <c r="O67" i="107"/>
  <c r="C298" i="191" s="1"/>
  <c r="T67" i="107"/>
  <c r="M67" i="107"/>
  <c r="H1899" i="184"/>
  <c r="H71" i="107"/>
  <c r="H1936" i="184" s="1"/>
  <c r="F448" i="184"/>
  <c r="F18" i="107"/>
  <c r="F105" i="107"/>
  <c r="M23" i="107"/>
  <c r="F29" i="107"/>
  <c r="H31" i="107"/>
  <c r="H708" i="184" s="1"/>
  <c r="H893" i="184"/>
  <c r="H42" i="107"/>
  <c r="M36" i="107"/>
  <c r="I76" i="184"/>
  <c r="M11" i="107"/>
  <c r="I15" i="107"/>
  <c r="AR32" i="218"/>
  <c r="B26" i="106"/>
  <c r="E1231" i="184"/>
  <c r="E1238" i="184" s="1"/>
  <c r="E2668" i="184" s="1"/>
  <c r="E56" i="107"/>
  <c r="G71" i="107"/>
  <c r="G1936" i="184" s="1"/>
  <c r="G1115" i="184"/>
  <c r="G44" i="107"/>
  <c r="I261" i="191"/>
  <c r="X66" i="107"/>
  <c r="L261" i="191" s="1"/>
  <c r="E224" i="184"/>
  <c r="G1714" i="184"/>
  <c r="O65" i="107"/>
  <c r="T65" i="107"/>
  <c r="J1825" i="184"/>
  <c r="J71" i="107"/>
  <c r="J1936" i="184" s="1"/>
  <c r="G2049" i="184"/>
  <c r="M76" i="107"/>
  <c r="G78" i="107"/>
  <c r="G2123" i="184" s="1"/>
  <c r="L2049" i="184"/>
  <c r="L78" i="107"/>
  <c r="L2123" i="184" s="1"/>
  <c r="M22" i="107"/>
  <c r="I1975" i="184"/>
  <c r="M74" i="107"/>
  <c r="I78" i="107"/>
  <c r="I2123" i="184" s="1"/>
  <c r="E78" i="107"/>
  <c r="M75" i="107"/>
  <c r="E2012" i="184"/>
  <c r="H2386" i="184"/>
  <c r="M89" i="107"/>
  <c r="F2423" i="184"/>
  <c r="M90" i="107"/>
  <c r="G2497" i="184"/>
  <c r="M92" i="107"/>
  <c r="H1192" i="184"/>
  <c r="H105" i="107"/>
  <c r="M47" i="107"/>
  <c r="AR36" i="218"/>
  <c r="D70" i="106"/>
  <c r="F70" i="106"/>
  <c r="M1379" i="184"/>
  <c r="B30" i="106"/>
  <c r="M51" i="107"/>
  <c r="I1268" i="184"/>
  <c r="I56" i="107"/>
  <c r="I1453" i="184" s="1"/>
  <c r="G1529" i="184"/>
  <c r="M60" i="107"/>
  <c r="T60" i="107"/>
  <c r="O60" i="107"/>
  <c r="K113" i="191"/>
  <c r="X62" i="107"/>
  <c r="L113" i="191" s="1"/>
  <c r="J187" i="191"/>
  <c r="L112" i="107"/>
  <c r="K1862" i="184"/>
  <c r="M69" i="107"/>
  <c r="P70" i="107"/>
  <c r="I25" i="221" s="1"/>
  <c r="H2199" i="184"/>
  <c r="H83" i="107"/>
  <c r="H2236" i="184" s="1"/>
  <c r="M82" i="107"/>
  <c r="G2349" i="184"/>
  <c r="M88" i="107"/>
  <c r="D2162" i="184"/>
  <c r="M81" i="107"/>
  <c r="D83" i="107"/>
  <c r="H485" i="184"/>
  <c r="H29" i="107"/>
  <c r="H670" i="184" s="1"/>
  <c r="M24" i="107"/>
  <c r="M37" i="107"/>
  <c r="K930" i="184"/>
  <c r="K105" i="107"/>
  <c r="K42" i="107"/>
  <c r="G31" i="107"/>
  <c r="F26" i="216"/>
  <c r="F150" i="191"/>
  <c r="G150" i="191"/>
  <c r="D300" i="184"/>
  <c r="D105" i="107"/>
  <c r="M19" i="107"/>
  <c r="T31" i="231"/>
  <c r="M819" i="184"/>
  <c r="D1825" i="184"/>
  <c r="D71" i="107"/>
  <c r="M68" i="107"/>
  <c r="F522" i="184"/>
  <c r="M25" i="107"/>
  <c r="I967" i="184"/>
  <c r="M38" i="107"/>
  <c r="I42" i="107"/>
  <c r="I1416" i="184"/>
  <c r="M55" i="107"/>
  <c r="K76" i="191"/>
  <c r="X61" i="107"/>
  <c r="L113" i="107"/>
  <c r="K1677" i="184"/>
  <c r="M64" i="107"/>
  <c r="K71" i="107"/>
  <c r="K1936" i="184" s="1"/>
  <c r="L29" i="107"/>
  <c r="L559" i="184"/>
  <c r="M26" i="107"/>
  <c r="D29" i="107"/>
  <c r="D559" i="184"/>
  <c r="M39" i="107"/>
  <c r="G1004" i="184"/>
  <c r="M14" i="107"/>
  <c r="I187" i="184"/>
  <c r="AB65" i="107"/>
  <c r="G374" i="184"/>
  <c r="G18" i="107"/>
  <c r="G263" i="184"/>
  <c r="M21" i="107"/>
  <c r="G105" i="107"/>
  <c r="J105" i="107"/>
  <c r="J18" i="107"/>
  <c r="J263" i="184" s="1"/>
  <c r="J374" i="184"/>
  <c r="I745" i="184"/>
  <c r="I31" i="107"/>
  <c r="I708" i="184" s="1"/>
  <c r="M32" i="107"/>
  <c r="I1566" i="184"/>
  <c r="I1573" i="184" s="1"/>
  <c r="I2679" i="184" s="1"/>
  <c r="M61" i="107"/>
  <c r="I71" i="107"/>
  <c r="I1936" i="184" s="1"/>
  <c r="L115" i="107"/>
  <c r="B23" i="108"/>
  <c r="J596" i="184"/>
  <c r="J29" i="107"/>
  <c r="M27" i="107"/>
  <c r="M41" i="107"/>
  <c r="K1078" i="184"/>
  <c r="S29" i="227"/>
  <c r="E1041" i="184"/>
  <c r="E42" i="107"/>
  <c r="E105" i="107"/>
  <c r="E39" i="184"/>
  <c r="M33" i="107"/>
  <c r="P71" i="107"/>
  <c r="G1899" i="184"/>
  <c r="M70" i="107"/>
  <c r="V28" i="214"/>
  <c r="S29" i="210"/>
  <c r="V29" i="220"/>
  <c r="R31" i="212"/>
  <c r="AE31" i="231"/>
  <c r="AE28" i="213"/>
  <c r="I34" i="215"/>
  <c r="X29" i="230"/>
  <c r="Y27" i="209"/>
  <c r="T29" i="229"/>
  <c r="M28" i="107"/>
  <c r="H633" i="184"/>
  <c r="B29" i="106"/>
  <c r="AR35" i="218"/>
  <c r="J231" i="191"/>
  <c r="F57" i="235"/>
  <c r="M62" i="236"/>
  <c r="D58" i="234"/>
  <c r="F14" i="235"/>
  <c r="P78" i="236"/>
  <c r="P77" i="236"/>
  <c r="I49" i="221" s="1"/>
  <c r="AB75" i="236"/>
  <c r="B51" i="235"/>
  <c r="D110" i="238" s="1"/>
  <c r="D74" i="235"/>
  <c r="F58" i="235"/>
  <c r="B47" i="235"/>
  <c r="D106" i="238"/>
  <c r="AB71" i="236"/>
  <c r="L63" i="236"/>
  <c r="L92" i="236" s="1"/>
  <c r="L100" i="236" s="1"/>
  <c r="M23" i="236"/>
  <c r="Q22" i="236" s="1"/>
  <c r="M19" i="236"/>
  <c r="W33" i="236" s="1"/>
  <c r="W35" i="236" s="1"/>
  <c r="M58" i="236"/>
  <c r="B34" i="235"/>
  <c r="D63" i="238" s="1"/>
  <c r="O67" i="236"/>
  <c r="R67" i="236" s="1"/>
  <c r="E54" i="216" s="1"/>
  <c r="L18" i="236"/>
  <c r="H85" i="236"/>
  <c r="G42" i="236"/>
  <c r="G44" i="236" s="1"/>
  <c r="G63" i="236" s="1"/>
  <c r="G92" i="236" s="1"/>
  <c r="G100" i="236" s="1"/>
  <c r="D78" i="236"/>
  <c r="I112" i="236"/>
  <c r="E112" i="236"/>
  <c r="M10" i="236"/>
  <c r="B10" i="235" s="1"/>
  <c r="D54" i="238" s="1"/>
  <c r="M59" i="236"/>
  <c r="B35" i="235" s="1"/>
  <c r="D64" i="238" s="1"/>
  <c r="M73" i="236"/>
  <c r="K18" i="236"/>
  <c r="F31" i="236"/>
  <c r="J29" i="236"/>
  <c r="J44" i="236" s="1"/>
  <c r="J63" i="236" s="1"/>
  <c r="J92" i="236" s="1"/>
  <c r="J100" i="236" s="1"/>
  <c r="H78" i="236"/>
  <c r="F29" i="236"/>
  <c r="D18" i="235" s="1"/>
  <c r="D20" i="235" s="1"/>
  <c r="L117" i="236"/>
  <c r="D23" i="235"/>
  <c r="M36" i="236"/>
  <c r="Q26" i="236" s="1"/>
  <c r="Q30" i="236" s="1"/>
  <c r="E31" i="236"/>
  <c r="G85" i="236"/>
  <c r="D42" i="236"/>
  <c r="D73" i="235"/>
  <c r="D43" i="235"/>
  <c r="D10" i="235"/>
  <c r="D15" i="235" s="1"/>
  <c r="M21" i="236"/>
  <c r="M61" i="236"/>
  <c r="B37" i="235" s="1"/>
  <c r="D66" i="238" s="1"/>
  <c r="O73" i="236"/>
  <c r="T73" i="236"/>
  <c r="X73" i="236" s="1"/>
  <c r="U70" i="236"/>
  <c r="X70" i="236" s="1"/>
  <c r="F90" i="236"/>
  <c r="D15" i="236"/>
  <c r="M13" i="236"/>
  <c r="P13" i="236" s="1"/>
  <c r="W45" i="236"/>
  <c r="M38" i="236"/>
  <c r="R28" i="236" s="1"/>
  <c r="O70" i="236"/>
  <c r="R70" i="236" s="1"/>
  <c r="F54" i="216" s="1"/>
  <c r="I42" i="236"/>
  <c r="I44" i="236"/>
  <c r="I63" i="236" s="1"/>
  <c r="G112" i="236"/>
  <c r="B50" i="235"/>
  <c r="D109" i="238" s="1"/>
  <c r="M27" i="236"/>
  <c r="W28" i="236"/>
  <c r="M67" i="236"/>
  <c r="B23" i="237"/>
  <c r="J57" i="203"/>
  <c r="J1145" i="184"/>
  <c r="F31" i="202"/>
  <c r="D66" i="201"/>
  <c r="E848" i="184"/>
  <c r="M35" i="203"/>
  <c r="H1521" i="184"/>
  <c r="H71" i="203"/>
  <c r="H1928" i="184" s="1"/>
  <c r="I216" i="191"/>
  <c r="I1854" i="184"/>
  <c r="I71" i="203"/>
  <c r="M69" i="203"/>
  <c r="L1967" i="184"/>
  <c r="M74" i="203"/>
  <c r="L78" i="203"/>
  <c r="L2115" i="184" s="1"/>
  <c r="H2378" i="184"/>
  <c r="M89" i="203"/>
  <c r="M2489" i="184"/>
  <c r="AH63" i="218"/>
  <c r="B57" i="202"/>
  <c r="M2154" i="184"/>
  <c r="M1521" i="184"/>
  <c r="B36" i="202"/>
  <c r="AB60" i="203"/>
  <c r="AH42" i="218"/>
  <c r="X63" i="203"/>
  <c r="L142" i="191"/>
  <c r="H142" i="191"/>
  <c r="L329" i="184"/>
  <c r="L18" i="203"/>
  <c r="L255" i="184" s="1"/>
  <c r="L105" i="203"/>
  <c r="H1595" i="184"/>
  <c r="M62" i="203"/>
  <c r="M885" i="184"/>
  <c r="AH22" i="218"/>
  <c r="V30" i="231"/>
  <c r="O47" i="227"/>
  <c r="Q26" i="203"/>
  <c r="M142" i="184"/>
  <c r="B13" i="202"/>
  <c r="AH13" i="218"/>
  <c r="B29" i="202"/>
  <c r="AH35" i="218"/>
  <c r="E1423" i="184"/>
  <c r="E2673" i="184" s="1"/>
  <c r="K68" i="191"/>
  <c r="L113" i="203"/>
  <c r="G2228" i="184"/>
  <c r="M83" i="203"/>
  <c r="M2228" i="184" s="1"/>
  <c r="J1558" i="184"/>
  <c r="J71" i="203"/>
  <c r="J1928" i="184" s="1"/>
  <c r="K1743" i="184"/>
  <c r="K71" i="203"/>
  <c r="K1928" i="184" s="1"/>
  <c r="H2304" i="184"/>
  <c r="M87" i="203"/>
  <c r="E292" i="184"/>
  <c r="E18" i="203"/>
  <c r="AH33" i="218"/>
  <c r="M1260" i="184"/>
  <c r="B27" i="202"/>
  <c r="D216" i="184"/>
  <c r="I403" i="184"/>
  <c r="I18" i="203"/>
  <c r="I255" i="184" s="1"/>
  <c r="M22" i="203"/>
  <c r="D1558" i="184"/>
  <c r="T61" i="203"/>
  <c r="M61" i="203"/>
  <c r="D71" i="203"/>
  <c r="O61" i="203"/>
  <c r="J142" i="191"/>
  <c r="L112" i="203"/>
  <c r="F1817" i="184"/>
  <c r="D66" i="202"/>
  <c r="M68" i="203"/>
  <c r="E2078" i="184"/>
  <c r="E78" i="203"/>
  <c r="E477" i="184"/>
  <c r="E29" i="203"/>
  <c r="Q47" i="227"/>
  <c r="M959" i="184"/>
  <c r="X30" i="231"/>
  <c r="I774" i="184"/>
  <c r="I31" i="203"/>
  <c r="I700" i="184" s="1"/>
  <c r="E1743" i="184"/>
  <c r="O66" i="203"/>
  <c r="C253" i="191" s="1"/>
  <c r="M66" i="203"/>
  <c r="T66" i="203"/>
  <c r="H105" i="191"/>
  <c r="H30" i="231"/>
  <c r="W26" i="203"/>
  <c r="M366" i="184"/>
  <c r="W41" i="203"/>
  <c r="M329" i="184"/>
  <c r="G30" i="231"/>
  <c r="M811" i="184"/>
  <c r="T30" i="231"/>
  <c r="E774" i="184"/>
  <c r="E31" i="203"/>
  <c r="M33" i="203"/>
  <c r="W36" i="203" s="1"/>
  <c r="E1632" i="184"/>
  <c r="O63" i="203"/>
  <c r="E71" i="203"/>
  <c r="E1928" i="184" s="1"/>
  <c r="M63" i="203"/>
  <c r="I290" i="191"/>
  <c r="X67" i="203"/>
  <c r="L290" i="191" s="1"/>
  <c r="M290" i="191" s="1"/>
  <c r="G29" i="203"/>
  <c r="M27" i="203"/>
  <c r="G588" i="184"/>
  <c r="Y30" i="231"/>
  <c r="R47" i="227"/>
  <c r="M996" i="184"/>
  <c r="G105" i="203"/>
  <c r="F30" i="231"/>
  <c r="AH47" i="218"/>
  <c r="AB65" i="203"/>
  <c r="M1706" i="184"/>
  <c r="B41" i="202"/>
  <c r="L1521" i="184"/>
  <c r="L71" i="203"/>
  <c r="L1928" i="184" s="1"/>
  <c r="U62" i="203"/>
  <c r="I105" i="191" s="1"/>
  <c r="P69" i="203"/>
  <c r="D105" i="191"/>
  <c r="L110" i="203"/>
  <c r="G2191" i="184"/>
  <c r="M82" i="203"/>
  <c r="G1669" i="184"/>
  <c r="G71" i="203"/>
  <c r="G1928" i="184" s="1"/>
  <c r="O64" i="203"/>
  <c r="M64" i="203"/>
  <c r="T64" i="203"/>
  <c r="H1891" i="184"/>
  <c r="M70" i="203"/>
  <c r="M625" i="184"/>
  <c r="L47" i="227"/>
  <c r="Z30" i="231"/>
  <c r="M1033" i="184"/>
  <c r="S47" i="227"/>
  <c r="AH37" i="218"/>
  <c r="M1408" i="184"/>
  <c r="L56" i="203"/>
  <c r="L1445" i="184" s="1"/>
  <c r="K15" i="203"/>
  <c r="K42" i="203"/>
  <c r="K885" i="184"/>
  <c r="M41" i="203"/>
  <c r="M37" i="203"/>
  <c r="G15" i="203"/>
  <c r="L42" i="203"/>
  <c r="D1408" i="184"/>
  <c r="M14" i="203"/>
  <c r="M11" i="203"/>
  <c r="M47" i="203"/>
  <c r="D56" i="203"/>
  <c r="H42" i="203"/>
  <c r="F42" i="203"/>
  <c r="D42" i="203"/>
  <c r="K142" i="184"/>
  <c r="D959" i="184"/>
  <c r="H1223" i="184"/>
  <c r="D1260" i="184"/>
  <c r="M54" i="203"/>
  <c r="M52" i="203"/>
  <c r="M50" i="203"/>
  <c r="K31" i="203"/>
  <c r="K700" i="184" s="1"/>
  <c r="D1334" i="184"/>
  <c r="K31" i="184"/>
  <c r="M65" i="191"/>
  <c r="J363" i="184"/>
  <c r="J18" i="199"/>
  <c r="J252" i="184"/>
  <c r="I845" i="184"/>
  <c r="M35" i="199"/>
  <c r="K28" i="191"/>
  <c r="L113" i="199"/>
  <c r="F548" i="184"/>
  <c r="F29" i="199"/>
  <c r="M26" i="199"/>
  <c r="M37" i="199"/>
  <c r="H919" i="184"/>
  <c r="H42" i="199"/>
  <c r="L1220" i="184"/>
  <c r="L56" i="199"/>
  <c r="L1442" i="184" s="1"/>
  <c r="M50" i="199"/>
  <c r="D1220" i="184"/>
  <c r="D56" i="199"/>
  <c r="I289" i="184"/>
  <c r="I105" i="199"/>
  <c r="M19" i="199"/>
  <c r="J1518" i="184"/>
  <c r="J71" i="199"/>
  <c r="J1925" i="184" s="1"/>
  <c r="I1629" i="184"/>
  <c r="M63" i="199"/>
  <c r="I71" i="199"/>
  <c r="I1925" i="184"/>
  <c r="U65" i="199"/>
  <c r="I213" i="191" s="1"/>
  <c r="D213" i="191"/>
  <c r="L110" i="199"/>
  <c r="P69" i="199"/>
  <c r="K1888" i="184"/>
  <c r="K71" i="199"/>
  <c r="K1925" i="184"/>
  <c r="F2449" i="184"/>
  <c r="M91" i="199"/>
  <c r="M28" i="199"/>
  <c r="K622" i="184"/>
  <c r="K29" i="199"/>
  <c r="K105" i="199"/>
  <c r="D585" i="184"/>
  <c r="D29" i="199"/>
  <c r="F42" i="199"/>
  <c r="M38" i="199"/>
  <c r="J176" i="184"/>
  <c r="J194" i="184" s="1"/>
  <c r="J2632" i="184" s="1"/>
  <c r="M14" i="199"/>
  <c r="H1331" i="184"/>
  <c r="M53" i="199"/>
  <c r="F363" i="184"/>
  <c r="M21" i="199"/>
  <c r="F18" i="199"/>
  <c r="F252" i="184" s="1"/>
  <c r="D734" i="184"/>
  <c r="M32" i="199"/>
  <c r="I734" i="184"/>
  <c r="I31" i="199"/>
  <c r="I697" i="184" s="1"/>
  <c r="L1592" i="184"/>
  <c r="L71" i="199"/>
  <c r="L1925" i="184" s="1"/>
  <c r="E1888" i="184"/>
  <c r="M70" i="199"/>
  <c r="D53" i="198"/>
  <c r="D54" i="198" s="1"/>
  <c r="M77" i="199"/>
  <c r="F2075" i="184"/>
  <c r="F78" i="199"/>
  <c r="F2112" i="184" s="1"/>
  <c r="I29" i="199"/>
  <c r="I437" i="184"/>
  <c r="M23" i="199"/>
  <c r="M39" i="199"/>
  <c r="D993" i="184"/>
  <c r="F28" i="184"/>
  <c r="D10" i="198"/>
  <c r="M10" i="199"/>
  <c r="F15" i="199"/>
  <c r="O60" i="199"/>
  <c r="E1518" i="184"/>
  <c r="M60" i="199"/>
  <c r="T60" i="199"/>
  <c r="E71" i="199"/>
  <c r="G1592" i="184"/>
  <c r="M62" i="199"/>
  <c r="T62" i="199"/>
  <c r="O62" i="199"/>
  <c r="C102" i="191" s="1"/>
  <c r="G71" i="199"/>
  <c r="G1925" i="184"/>
  <c r="G1703" i="184"/>
  <c r="T65" i="199"/>
  <c r="O65" i="199"/>
  <c r="M65" i="199"/>
  <c r="I2038" i="184"/>
  <c r="I78" i="199"/>
  <c r="I2112" i="184" s="1"/>
  <c r="J2301" i="184"/>
  <c r="M87" i="199"/>
  <c r="E400" i="184"/>
  <c r="M22" i="199"/>
  <c r="J1030" i="184"/>
  <c r="J42" i="199"/>
  <c r="H56" i="199"/>
  <c r="H1442" i="184" s="1"/>
  <c r="M51" i="199"/>
  <c r="H1257" i="184"/>
  <c r="H1067" i="184"/>
  <c r="M41" i="199"/>
  <c r="J65" i="184"/>
  <c r="J15" i="199"/>
  <c r="J105" i="199"/>
  <c r="M54" i="199"/>
  <c r="D1368" i="184"/>
  <c r="E659" i="184"/>
  <c r="E44" i="199"/>
  <c r="D808" i="184"/>
  <c r="M34" i="199"/>
  <c r="K176" i="191"/>
  <c r="X64" i="199"/>
  <c r="L176" i="191" s="1"/>
  <c r="M176" i="191" s="1"/>
  <c r="D2038" i="184"/>
  <c r="M76" i="199"/>
  <c r="M82" i="199"/>
  <c r="E2188" i="184"/>
  <c r="E83" i="199"/>
  <c r="L42" i="199"/>
  <c r="L31" i="199"/>
  <c r="L697" i="184" s="1"/>
  <c r="L882" i="184"/>
  <c r="M36" i="199"/>
  <c r="D882" i="184"/>
  <c r="D42" i="199"/>
  <c r="D31" i="199"/>
  <c r="M65" i="184"/>
  <c r="AF11" i="218"/>
  <c r="B11" i="198"/>
  <c r="L1181" i="184"/>
  <c r="L105" i="199"/>
  <c r="M47" i="199"/>
  <c r="D1181" i="184"/>
  <c r="G400" i="184"/>
  <c r="G105" i="199"/>
  <c r="I771" i="184"/>
  <c r="M33" i="199"/>
  <c r="M67" i="199"/>
  <c r="J1777" i="184"/>
  <c r="O67" i="199"/>
  <c r="C287" i="191" s="1"/>
  <c r="D2001" i="184"/>
  <c r="M75" i="199"/>
  <c r="D78" i="199"/>
  <c r="H2151" i="184"/>
  <c r="M81" i="199"/>
  <c r="J29" i="199"/>
  <c r="J659" i="184" s="1"/>
  <c r="M24" i="199"/>
  <c r="J474" i="184"/>
  <c r="M52" i="199"/>
  <c r="D1294" i="184"/>
  <c r="E326" i="184"/>
  <c r="E105" i="199"/>
  <c r="E18" i="199"/>
  <c r="M20" i="199"/>
  <c r="M66" i="199"/>
  <c r="G1740" i="184"/>
  <c r="T66" i="199"/>
  <c r="D250" i="191"/>
  <c r="U66" i="199"/>
  <c r="I250" i="191" s="1"/>
  <c r="H105" i="199"/>
  <c r="M25" i="199"/>
  <c r="H511" i="184"/>
  <c r="M40" i="199"/>
  <c r="F139" i="184"/>
  <c r="F157" i="184" s="1"/>
  <c r="F2631" i="184" s="1"/>
  <c r="D49" i="181" s="1"/>
  <c r="D13" i="198"/>
  <c r="M13" i="199"/>
  <c r="M55" i="199"/>
  <c r="H1405" i="184"/>
  <c r="D775" i="184"/>
  <c r="M33" i="102"/>
  <c r="D31" i="102"/>
  <c r="E849" i="184"/>
  <c r="E31" i="102"/>
  <c r="E701" i="184" s="1"/>
  <c r="M35" i="102"/>
  <c r="J1559" i="184"/>
  <c r="J71" i="102"/>
  <c r="H2490" i="184"/>
  <c r="M92" i="102"/>
  <c r="I515" i="184"/>
  <c r="M25" i="102"/>
  <c r="O44" i="227"/>
  <c r="Q26" i="102"/>
  <c r="V28" i="231"/>
  <c r="M886" i="184"/>
  <c r="AP22" i="218"/>
  <c r="M38" i="102"/>
  <c r="I960" i="184"/>
  <c r="I42" i="102"/>
  <c r="H1224" i="184"/>
  <c r="M50" i="102"/>
  <c r="J738" i="184"/>
  <c r="M32" i="102"/>
  <c r="J31" i="102"/>
  <c r="J701" i="184"/>
  <c r="T61" i="102"/>
  <c r="D1559" i="184"/>
  <c r="D71" i="102"/>
  <c r="O61" i="102"/>
  <c r="L1596" i="184"/>
  <c r="L71" i="102"/>
  <c r="L1929" i="184" s="1"/>
  <c r="G1781" i="184"/>
  <c r="O67" i="102"/>
  <c r="C291" i="191" s="1"/>
  <c r="T67" i="102"/>
  <c r="H291" i="191"/>
  <c r="M67" i="102"/>
  <c r="G552" i="184"/>
  <c r="G29" i="102"/>
  <c r="M26" i="102"/>
  <c r="G997" i="184"/>
  <c r="M39" i="102"/>
  <c r="AP14" i="218"/>
  <c r="M180" i="184"/>
  <c r="B14" i="101"/>
  <c r="M10" i="102"/>
  <c r="I32" i="184"/>
  <c r="M53" i="102"/>
  <c r="E65" i="101"/>
  <c r="E68" i="101" s="1"/>
  <c r="E71" i="101" s="1"/>
  <c r="M1596" i="184"/>
  <c r="D1855" i="184"/>
  <c r="M69" i="102"/>
  <c r="E2042" i="184"/>
  <c r="E2056" i="184"/>
  <c r="E2694" i="184" s="1"/>
  <c r="E78" i="102"/>
  <c r="M76" i="102"/>
  <c r="M28" i="102"/>
  <c r="K626" i="184"/>
  <c r="W28" i="102"/>
  <c r="N28" i="231"/>
  <c r="K44" i="227"/>
  <c r="M589" i="184"/>
  <c r="E29" i="102"/>
  <c r="E589" i="184"/>
  <c r="M41" i="102"/>
  <c r="K1071" i="184"/>
  <c r="E42" i="102"/>
  <c r="E1034" i="184"/>
  <c r="M2192" i="184"/>
  <c r="AP64" i="218"/>
  <c r="E330" i="184"/>
  <c r="M20" i="102"/>
  <c r="E18" i="102"/>
  <c r="J254" i="191"/>
  <c r="L112" i="102"/>
  <c r="X66" i="102"/>
  <c r="L254" i="191" s="1"/>
  <c r="M81" i="102"/>
  <c r="K2155" i="184"/>
  <c r="K83" i="102"/>
  <c r="K2229" i="184" s="1"/>
  <c r="F2342" i="184"/>
  <c r="M88" i="102"/>
  <c r="F2379" i="184"/>
  <c r="M89" i="102"/>
  <c r="G1559" i="184"/>
  <c r="G71" i="102"/>
  <c r="G1929" i="184"/>
  <c r="F1855" i="184"/>
  <c r="F71" i="102"/>
  <c r="M23" i="102"/>
  <c r="I18" i="102"/>
  <c r="I256" i="184" s="1"/>
  <c r="I29" i="102"/>
  <c r="I663" i="184" s="1"/>
  <c r="M51" i="102"/>
  <c r="D1261" i="184"/>
  <c r="AP57" i="218"/>
  <c r="B51" i="101"/>
  <c r="G1596" i="184"/>
  <c r="T62" i="102"/>
  <c r="O62" i="102"/>
  <c r="C106" i="191" s="1"/>
  <c r="D1818" i="184"/>
  <c r="M68" i="102"/>
  <c r="E2079" i="184"/>
  <c r="M77" i="102"/>
  <c r="H886" i="184"/>
  <c r="H42" i="102"/>
  <c r="H31" i="102"/>
  <c r="H701" i="184" s="1"/>
  <c r="AP11" i="218"/>
  <c r="B11" i="101"/>
  <c r="M69" i="184"/>
  <c r="E69" i="184"/>
  <c r="E15" i="102"/>
  <c r="M54" i="102"/>
  <c r="H1372" i="184"/>
  <c r="J293" i="184"/>
  <c r="M19" i="102"/>
  <c r="J18" i="102"/>
  <c r="J256" i="184" s="1"/>
  <c r="D812" i="184"/>
  <c r="M34" i="102"/>
  <c r="L1633" i="184"/>
  <c r="M63" i="102"/>
  <c r="F2305" i="184"/>
  <c r="M87" i="102"/>
  <c r="H1185" i="184"/>
  <c r="H105" i="102"/>
  <c r="M47" i="102"/>
  <c r="I849" i="184"/>
  <c r="I863" i="184" s="1"/>
  <c r="I2653" i="184" s="1"/>
  <c r="I31" i="102"/>
  <c r="I701" i="184" s="1"/>
  <c r="I1968" i="184"/>
  <c r="M74" i="102"/>
  <c r="I78" i="102"/>
  <c r="I2116" i="184" s="1"/>
  <c r="S28" i="212"/>
  <c r="Y44" i="230"/>
  <c r="AF43" i="213"/>
  <c r="W43" i="214"/>
  <c r="T44" i="210"/>
  <c r="J29" i="215"/>
  <c r="W44" i="220"/>
  <c r="AF28" i="231"/>
  <c r="M13" i="102"/>
  <c r="I143" i="184"/>
  <c r="H1298" i="184"/>
  <c r="H1312" i="184"/>
  <c r="H2670" i="184" s="1"/>
  <c r="M52" i="102"/>
  <c r="D2229" i="184"/>
  <c r="M83" i="102"/>
  <c r="M2229" i="184" s="1"/>
  <c r="AP43" i="218"/>
  <c r="B37" i="101"/>
  <c r="M1559" i="184"/>
  <c r="L114" i="102"/>
  <c r="AB61" i="102"/>
  <c r="L1707" i="184"/>
  <c r="L1721" i="184"/>
  <c r="L2683" i="184" s="1"/>
  <c r="M65" i="102"/>
  <c r="I291" i="191"/>
  <c r="D2453" i="184"/>
  <c r="M91" i="102"/>
  <c r="E404" i="184"/>
  <c r="M22" i="102"/>
  <c r="G1670" i="184"/>
  <c r="M64" i="102"/>
  <c r="T64" i="102"/>
  <c r="O64" i="102"/>
  <c r="M24" i="102"/>
  <c r="K105" i="102"/>
  <c r="K29" i="102"/>
  <c r="K663" i="184"/>
  <c r="K478" i="184"/>
  <c r="M37" i="102"/>
  <c r="K42" i="102"/>
  <c r="K923" i="184"/>
  <c r="M55" i="102"/>
  <c r="D1409" i="184"/>
  <c r="K769" i="184"/>
  <c r="K31" i="97"/>
  <c r="K695" i="184" s="1"/>
  <c r="AN57" i="218"/>
  <c r="K105" i="97"/>
  <c r="M1553" i="184"/>
  <c r="G769" i="184"/>
  <c r="G31" i="97"/>
  <c r="G695" i="184" s="1"/>
  <c r="M33" i="97"/>
  <c r="D1701" i="184"/>
  <c r="O65" i="97"/>
  <c r="M65" i="97"/>
  <c r="T65" i="97"/>
  <c r="D71" i="97"/>
  <c r="E2373" i="184"/>
  <c r="M89" i="97"/>
  <c r="J1738" i="184"/>
  <c r="O66" i="97"/>
  <c r="C248" i="191" s="1"/>
  <c r="M66" i="97"/>
  <c r="G435" i="184"/>
  <c r="G18" i="97"/>
  <c r="G250" i="184" s="1"/>
  <c r="G29" i="97"/>
  <c r="M23" i="97"/>
  <c r="AN10" i="218"/>
  <c r="M26" i="184"/>
  <c r="B10" i="96"/>
  <c r="E15" i="97"/>
  <c r="E26" i="184"/>
  <c r="B43" i="96"/>
  <c r="M92" i="97"/>
  <c r="D657" i="184"/>
  <c r="D44" i="97"/>
  <c r="E324" i="184"/>
  <c r="E18" i="97"/>
  <c r="M20" i="97"/>
  <c r="L1218" i="184"/>
  <c r="L113" i="97"/>
  <c r="K63" i="191"/>
  <c r="X61" i="97"/>
  <c r="U64" i="97"/>
  <c r="L110" i="97"/>
  <c r="P69" i="97"/>
  <c r="D174" i="191"/>
  <c r="G174" i="191" s="1"/>
  <c r="D1886" i="184"/>
  <c r="M70" i="97"/>
  <c r="I2073" i="184"/>
  <c r="I78" i="97"/>
  <c r="I2110" i="184" s="1"/>
  <c r="E2149" i="184"/>
  <c r="E83" i="97"/>
  <c r="E2223" i="184" s="1"/>
  <c r="G2447" i="184"/>
  <c r="M91" i="97"/>
  <c r="M954" i="184"/>
  <c r="Q13" i="227"/>
  <c r="C52" i="96"/>
  <c r="L105" i="97"/>
  <c r="M1775" i="184"/>
  <c r="L806" i="184"/>
  <c r="L31" i="97"/>
  <c r="L695" i="184" s="1"/>
  <c r="K1516" i="184"/>
  <c r="K71" i="97"/>
  <c r="K1923" i="184" s="1"/>
  <c r="K248" i="191"/>
  <c r="X66" i="97"/>
  <c r="L248" i="191" s="1"/>
  <c r="M248" i="191" s="1"/>
  <c r="G1849" i="184"/>
  <c r="M69" i="97"/>
  <c r="F1664" i="184"/>
  <c r="M64" i="97"/>
  <c r="F71" i="97"/>
  <c r="F1923" i="184" s="1"/>
  <c r="D40" i="96"/>
  <c r="M28" i="97"/>
  <c r="F31" i="97"/>
  <c r="F695" i="184" s="1"/>
  <c r="F880" i="184"/>
  <c r="M36" i="97"/>
  <c r="M40" i="97"/>
  <c r="M11" i="97"/>
  <c r="I63" i="184"/>
  <c r="I15" i="97"/>
  <c r="I105" i="97"/>
  <c r="M1329" i="184"/>
  <c r="B29" i="96"/>
  <c r="AN35" i="218"/>
  <c r="H56" i="97"/>
  <c r="M51" i="97"/>
  <c r="H1255" i="184"/>
  <c r="J583" i="184"/>
  <c r="J105" i="97"/>
  <c r="J29" i="97"/>
  <c r="AB67" i="97"/>
  <c r="AB61" i="97"/>
  <c r="J1590" i="184"/>
  <c r="O62" i="97"/>
  <c r="C100" i="191"/>
  <c r="M62" i="97"/>
  <c r="J71" i="97"/>
  <c r="J1923" i="184" s="1"/>
  <c r="M81" i="97"/>
  <c r="D83" i="97"/>
  <c r="D2149" i="184"/>
  <c r="M54" i="97"/>
  <c r="D1366" i="184"/>
  <c r="H100" i="191"/>
  <c r="X62" i="97"/>
  <c r="L100" i="191" s="1"/>
  <c r="G398" i="184"/>
  <c r="M22" i="97"/>
  <c r="K1028" i="184"/>
  <c r="T60" i="97"/>
  <c r="G71" i="97"/>
  <c r="G1923" i="184"/>
  <c r="G1516" i="184"/>
  <c r="M60" i="97"/>
  <c r="E1812" i="184"/>
  <c r="E71" i="97"/>
  <c r="E1923" i="184" s="1"/>
  <c r="M68" i="97"/>
  <c r="G1999" i="184"/>
  <c r="G78" i="97"/>
  <c r="G2110" i="184"/>
  <c r="E2073" i="184"/>
  <c r="M77" i="97"/>
  <c r="E78" i="97"/>
  <c r="F2299" i="184"/>
  <c r="M87" i="97"/>
  <c r="E806" i="184"/>
  <c r="M34" i="97"/>
  <c r="E31" i="97"/>
  <c r="E695" i="184" s="1"/>
  <c r="M24" i="97"/>
  <c r="H472" i="184"/>
  <c r="H105" i="97"/>
  <c r="AN29" i="218"/>
  <c r="M1179" i="184"/>
  <c r="B23" i="96"/>
  <c r="E1179" i="184"/>
  <c r="E105" i="97"/>
  <c r="E42" i="97"/>
  <c r="E991" i="184"/>
  <c r="E1011" i="184" s="1"/>
  <c r="E2657" i="184" s="1"/>
  <c r="M50" i="97"/>
  <c r="D56" i="97"/>
  <c r="D1218" i="184"/>
  <c r="B51" i="96"/>
  <c r="K18" i="97"/>
  <c r="K250" i="184" s="1"/>
  <c r="M21" i="97"/>
  <c r="K361" i="184"/>
  <c r="F29" i="97"/>
  <c r="F44" i="97" s="1"/>
  <c r="M25" i="97"/>
  <c r="I917" i="184"/>
  <c r="M37" i="97"/>
  <c r="I42" i="97"/>
  <c r="M52" i="97"/>
  <c r="D1292" i="184"/>
  <c r="I620" i="184"/>
  <c r="I29" i="97"/>
  <c r="I657" i="184"/>
  <c r="M39" i="97"/>
  <c r="I174" i="184"/>
  <c r="M14" i="97"/>
  <c r="K44" i="97"/>
  <c r="R60" i="97"/>
  <c r="D695" i="184"/>
  <c r="H137" i="191"/>
  <c r="X63" i="97"/>
  <c r="L137" i="191" s="1"/>
  <c r="M137" i="191" s="1"/>
  <c r="F1102" i="184"/>
  <c r="D19" i="96"/>
  <c r="M32" i="97"/>
  <c r="D732" i="184"/>
  <c r="L1590" i="184"/>
  <c r="L71" i="97"/>
  <c r="L1923" i="184"/>
  <c r="D285" i="191"/>
  <c r="U67" i="97"/>
  <c r="J2186" i="184"/>
  <c r="J83" i="97"/>
  <c r="J2223" i="184" s="1"/>
  <c r="M82" i="97"/>
  <c r="L546" i="184"/>
  <c r="L29" i="97"/>
  <c r="M26" i="97"/>
  <c r="D105" i="97"/>
  <c r="D546" i="184"/>
  <c r="H1403" i="184"/>
  <c r="M55" i="97"/>
  <c r="M27" i="97"/>
  <c r="I1535" i="184"/>
  <c r="I71" i="92"/>
  <c r="I1942" i="184" s="1"/>
  <c r="H2055" i="184"/>
  <c r="H78" i="92"/>
  <c r="H2129" i="184" s="1"/>
  <c r="E2205" i="184"/>
  <c r="M82" i="92"/>
  <c r="E83" i="92"/>
  <c r="E2242" i="184" s="1"/>
  <c r="E105" i="92"/>
  <c r="D417" i="184"/>
  <c r="D105" i="92"/>
  <c r="D18" i="92"/>
  <c r="M22" i="92"/>
  <c r="T60" i="92"/>
  <c r="O60" i="92"/>
  <c r="D1535" i="184"/>
  <c r="D71" i="92"/>
  <c r="M60" i="92"/>
  <c r="E1646" i="184"/>
  <c r="M63" i="92"/>
  <c r="O63" i="92"/>
  <c r="T63" i="92"/>
  <c r="I1794" i="184"/>
  <c r="M67" i="92"/>
  <c r="D1981" i="184"/>
  <c r="D78" i="92"/>
  <c r="M74" i="92"/>
  <c r="D2055" i="184"/>
  <c r="M76" i="92"/>
  <c r="H2168" i="184"/>
  <c r="H2169" i="184"/>
  <c r="H2699" i="184" s="1"/>
  <c r="H83" i="92"/>
  <c r="H2242" i="184" s="1"/>
  <c r="G2503" i="184"/>
  <c r="M92" i="92"/>
  <c r="E825" i="184"/>
  <c r="E31" i="92"/>
  <c r="E714" i="184" s="1"/>
  <c r="M34" i="92"/>
  <c r="H18" i="92"/>
  <c r="H269" i="184" s="1"/>
  <c r="V26" i="231"/>
  <c r="O33" i="227"/>
  <c r="Q26" i="92"/>
  <c r="M899" i="184"/>
  <c r="AL22" i="218"/>
  <c r="AL35" i="218"/>
  <c r="B29" i="91"/>
  <c r="M1348" i="184"/>
  <c r="H380" i="184"/>
  <c r="M21" i="92"/>
  <c r="G1905" i="184"/>
  <c r="G71" i="92"/>
  <c r="M70" i="92"/>
  <c r="M1572" i="184"/>
  <c r="B37" i="91"/>
  <c r="AL43" i="218"/>
  <c r="D751" i="184"/>
  <c r="D31" i="92"/>
  <c r="M32" i="92"/>
  <c r="H862" i="184"/>
  <c r="M35" i="92"/>
  <c r="H31" i="92"/>
  <c r="H714" i="184" s="1"/>
  <c r="D1609" i="184"/>
  <c r="T62" i="92"/>
  <c r="M62" i="92"/>
  <c r="K1757" i="184"/>
  <c r="K71" i="92"/>
  <c r="K1942" i="184" s="1"/>
  <c r="E2392" i="184"/>
  <c r="M89" i="92"/>
  <c r="L1121" i="184"/>
  <c r="L44" i="92"/>
  <c r="D2168" i="184"/>
  <c r="M81" i="92"/>
  <c r="D83" i="92"/>
  <c r="H230" i="191"/>
  <c r="X65" i="92"/>
  <c r="L230" i="191" s="1"/>
  <c r="G306" i="184"/>
  <c r="M19" i="92"/>
  <c r="G105" i="92"/>
  <c r="G18" i="92"/>
  <c r="G269" i="184" s="1"/>
  <c r="D37" i="91"/>
  <c r="F105" i="92"/>
  <c r="F71" i="92"/>
  <c r="F1942" i="184" s="1"/>
  <c r="H1683" i="184"/>
  <c r="H71" i="92"/>
  <c r="H1942" i="184" s="1"/>
  <c r="M64" i="92"/>
  <c r="B45" i="91"/>
  <c r="M1868" i="184"/>
  <c r="D2018" i="184"/>
  <c r="M75" i="92"/>
  <c r="H2092" i="184"/>
  <c r="M77" i="92"/>
  <c r="I2355" i="184"/>
  <c r="M88" i="92"/>
  <c r="I417" i="184"/>
  <c r="I105" i="92"/>
  <c r="I267" i="191"/>
  <c r="X66" i="92"/>
  <c r="L267" i="191" s="1"/>
  <c r="D15" i="91"/>
  <c r="K304" i="191"/>
  <c r="M304" i="191" s="1"/>
  <c r="L113" i="92"/>
  <c r="D54" i="91"/>
  <c r="L2055" i="184"/>
  <c r="L78" i="92"/>
  <c r="L2129" i="184" s="1"/>
  <c r="L107" i="92"/>
  <c r="M2583" i="184"/>
  <c r="AA26" i="231"/>
  <c r="M1084" i="184"/>
  <c r="B28" i="91"/>
  <c r="AL34" i="218"/>
  <c r="G565" i="184"/>
  <c r="I899" i="184"/>
  <c r="M40" i="92"/>
  <c r="H105" i="92"/>
  <c r="F42" i="92"/>
  <c r="I29" i="92"/>
  <c r="I676" i="184" s="1"/>
  <c r="D1422" i="184"/>
  <c r="M26" i="92"/>
  <c r="I42" i="92"/>
  <c r="L936" i="184"/>
  <c r="I528" i="184"/>
  <c r="H1010" i="184"/>
  <c r="M23" i="92"/>
  <c r="M39" i="92"/>
  <c r="M13" i="92"/>
  <c r="M10" i="92"/>
  <c r="M50" i="92"/>
  <c r="K491" i="184"/>
  <c r="D15" i="92"/>
  <c r="D56" i="92"/>
  <c r="I31" i="92"/>
  <c r="I714" i="184" s="1"/>
  <c r="D936" i="184"/>
  <c r="D937" i="184" s="1"/>
  <c r="D2655" i="184" s="1"/>
  <c r="D1348" i="184"/>
  <c r="K105" i="92"/>
  <c r="L1085" i="184"/>
  <c r="L2659" i="184" s="1"/>
  <c r="E29" i="92"/>
  <c r="D193" i="184"/>
  <c r="M38" i="92"/>
  <c r="K29" i="92"/>
  <c r="H29" i="92"/>
  <c r="D1084" i="184"/>
  <c r="D82" i="184"/>
  <c r="D1274" i="184"/>
  <c r="L1275" i="184"/>
  <c r="L2669" i="184" s="1"/>
  <c r="K1100" i="184"/>
  <c r="M42" i="87"/>
  <c r="K44" i="87"/>
  <c r="K25" i="231"/>
  <c r="M470" i="184"/>
  <c r="H34" i="227"/>
  <c r="M61" i="184"/>
  <c r="I24" i="191"/>
  <c r="X60" i="87"/>
  <c r="I98" i="191"/>
  <c r="X62" i="87"/>
  <c r="L98" i="191"/>
  <c r="L25" i="231"/>
  <c r="I34" i="227"/>
  <c r="M507" i="184"/>
  <c r="W37" i="87"/>
  <c r="W46" i="87"/>
  <c r="O13" i="87"/>
  <c r="AJ13" i="218"/>
  <c r="B13" i="86"/>
  <c r="AJ35" i="218"/>
  <c r="B29" i="86"/>
  <c r="M1327" i="184"/>
  <c r="E1438" i="184"/>
  <c r="M56" i="87"/>
  <c r="M1438" i="184" s="1"/>
  <c r="M209" i="191"/>
  <c r="K34" i="227"/>
  <c r="W28" i="87"/>
  <c r="N25" i="231"/>
  <c r="P34" i="227"/>
  <c r="B27" i="86"/>
  <c r="AJ33" i="218"/>
  <c r="AJ78" i="218"/>
  <c r="M2445" i="184"/>
  <c r="AJ63" i="218"/>
  <c r="M2147" i="184"/>
  <c r="B57" i="86"/>
  <c r="L34" i="227"/>
  <c r="O25" i="231"/>
  <c r="Q34" i="227"/>
  <c r="X25" i="231"/>
  <c r="M433" i="184"/>
  <c r="AA25" i="231"/>
  <c r="T34" i="227"/>
  <c r="M1063" i="184"/>
  <c r="AJ14" i="218"/>
  <c r="M172" i="184"/>
  <c r="B14" i="86"/>
  <c r="AJ29" i="218"/>
  <c r="B23" i="86"/>
  <c r="M1177" i="184"/>
  <c r="B28" i="86"/>
  <c r="AJ34" i="218"/>
  <c r="M283" i="191"/>
  <c r="AJ37" i="218"/>
  <c r="M1401" i="184"/>
  <c r="B31" i="86"/>
  <c r="D2206" i="184"/>
  <c r="D2700" i="184" s="1"/>
  <c r="I44" i="87"/>
  <c r="M76" i="87"/>
  <c r="W34" i="220"/>
  <c r="S25" i="212"/>
  <c r="O64" i="87"/>
  <c r="D38" i="86"/>
  <c r="G135" i="184"/>
  <c r="M26" i="87"/>
  <c r="M19" i="87"/>
  <c r="J26" i="215"/>
  <c r="Z32" i="209"/>
  <c r="F78" i="87"/>
  <c r="T63" i="87"/>
  <c r="I952" i="184"/>
  <c r="K1177" i="184"/>
  <c r="D581" i="184"/>
  <c r="M39" i="87"/>
  <c r="M10" i="87"/>
  <c r="I83" i="87"/>
  <c r="I2221" i="184" s="1"/>
  <c r="E78" i="87"/>
  <c r="J18" i="87"/>
  <c r="J248" i="184" s="1"/>
  <c r="O63" i="87"/>
  <c r="T64" i="87"/>
  <c r="M54" i="87"/>
  <c r="M50" i="87"/>
  <c r="U64" i="87"/>
  <c r="I172" i="191" s="1"/>
  <c r="O65" i="87"/>
  <c r="AF33" i="213"/>
  <c r="J618" i="184"/>
  <c r="K915" i="184"/>
  <c r="D1401" i="184"/>
  <c r="M88" i="87"/>
  <c r="M65" i="87"/>
  <c r="M21" i="87"/>
  <c r="L18" i="87"/>
  <c r="L248" i="184" s="1"/>
  <c r="F2071" i="184"/>
  <c r="D640" i="184"/>
  <c r="D2646" i="184" s="1"/>
  <c r="F1514" i="184"/>
  <c r="J470" i="184"/>
  <c r="K1063" i="184"/>
  <c r="M67" i="87"/>
  <c r="G31" i="87"/>
  <c r="M66" i="87"/>
  <c r="H71" i="87"/>
  <c r="J71" i="87"/>
  <c r="M104" i="191"/>
  <c r="V24" i="231"/>
  <c r="Q26" i="82"/>
  <c r="AD22" i="218"/>
  <c r="M884" i="184"/>
  <c r="O25" i="227"/>
  <c r="AD14" i="218"/>
  <c r="M178" i="184"/>
  <c r="B14" i="81"/>
  <c r="AD37" i="218"/>
  <c r="M1407" i="184"/>
  <c r="B31" i="81"/>
  <c r="M289" i="191"/>
  <c r="M921" i="184"/>
  <c r="AD23" i="218"/>
  <c r="W45" i="82"/>
  <c r="W34" i="82"/>
  <c r="W24" i="231"/>
  <c r="R28" i="82"/>
  <c r="P25" i="227"/>
  <c r="M958" i="184"/>
  <c r="Q25" i="227"/>
  <c r="X24" i="231"/>
  <c r="AD11" i="218"/>
  <c r="B11" i="81"/>
  <c r="M67" i="184"/>
  <c r="AD35" i="218"/>
  <c r="B29" i="81"/>
  <c r="M1333" i="184"/>
  <c r="M513" i="184"/>
  <c r="I25" i="227"/>
  <c r="L24" i="231"/>
  <c r="W46" i="82"/>
  <c r="W37" i="82"/>
  <c r="W38" i="82" s="1"/>
  <c r="M47" i="81"/>
  <c r="M550" i="184"/>
  <c r="W25" i="82"/>
  <c r="W27" i="82" s="1"/>
  <c r="H24" i="212" s="1"/>
  <c r="M24" i="231"/>
  <c r="J25" i="227"/>
  <c r="Z24" i="231"/>
  <c r="M1032" i="184"/>
  <c r="S25" i="227"/>
  <c r="Y24" i="231"/>
  <c r="R25" i="227"/>
  <c r="M995" i="184"/>
  <c r="I67" i="191"/>
  <c r="X61" i="82"/>
  <c r="O24" i="231"/>
  <c r="L25" i="227"/>
  <c r="M624" i="184"/>
  <c r="T25" i="227"/>
  <c r="AA24" i="231"/>
  <c r="M1069" i="184"/>
  <c r="AD33" i="218"/>
  <c r="M1259" i="184"/>
  <c r="B27" i="81"/>
  <c r="F41" i="81"/>
  <c r="D47" i="81"/>
  <c r="J24" i="231"/>
  <c r="AD18" i="218"/>
  <c r="G25" i="227"/>
  <c r="Q22" i="82"/>
  <c r="M439" i="184"/>
  <c r="F1610" i="184"/>
  <c r="F2680" i="184" s="1"/>
  <c r="D74" i="181" s="1"/>
  <c r="E102" i="181" s="1"/>
  <c r="G1085" i="184"/>
  <c r="G2659" i="184" s="1"/>
  <c r="L640" i="184"/>
  <c r="L2646" i="184" s="1"/>
  <c r="M35" i="78"/>
  <c r="H844" i="184"/>
  <c r="H31" i="78"/>
  <c r="H71" i="78"/>
  <c r="H1924" i="184" s="1"/>
  <c r="M60" i="78"/>
  <c r="H1517" i="184"/>
  <c r="L71" i="78"/>
  <c r="L1924" i="184"/>
  <c r="M64" i="78"/>
  <c r="L1665" i="184"/>
  <c r="L113" i="78"/>
  <c r="X64" i="78"/>
  <c r="L175" i="191" s="1"/>
  <c r="M175" i="191" s="1"/>
  <c r="K175" i="191"/>
  <c r="M67" i="78"/>
  <c r="O67" i="78"/>
  <c r="C286" i="191" s="1"/>
  <c r="J1776" i="184"/>
  <c r="J78" i="78"/>
  <c r="J2111" i="184"/>
  <c r="M76" i="78"/>
  <c r="M88" i="78"/>
  <c r="F2337" i="184"/>
  <c r="K621" i="184"/>
  <c r="K29" i="78"/>
  <c r="D29" i="78"/>
  <c r="D584" i="184"/>
  <c r="D105" i="78"/>
  <c r="G42" i="78"/>
  <c r="G918" i="184"/>
  <c r="G937" i="184"/>
  <c r="G2655" i="184" s="1"/>
  <c r="K23" i="231"/>
  <c r="B13" i="76"/>
  <c r="F105" i="78"/>
  <c r="F362" i="184"/>
  <c r="F18" i="78"/>
  <c r="F251" i="184" s="1"/>
  <c r="I1591" i="184"/>
  <c r="I71" i="78"/>
  <c r="I1924" i="184"/>
  <c r="M62" i="78"/>
  <c r="K71" i="78"/>
  <c r="K1924" i="184" s="1"/>
  <c r="K1850" i="184"/>
  <c r="V38" i="214"/>
  <c r="R23" i="212"/>
  <c r="T39" i="229"/>
  <c r="I24" i="215"/>
  <c r="X39" i="230"/>
  <c r="S39" i="210"/>
  <c r="AE38" i="213"/>
  <c r="AE23" i="231"/>
  <c r="V39" i="220"/>
  <c r="I29" i="78"/>
  <c r="I658" i="184" s="1"/>
  <c r="I436" i="184"/>
  <c r="I18" i="78"/>
  <c r="I251" i="184" s="1"/>
  <c r="E42" i="78"/>
  <c r="E955" i="184"/>
  <c r="M55" i="78"/>
  <c r="L1219" i="184"/>
  <c r="L56" i="78"/>
  <c r="D56" i="78"/>
  <c r="M50" i="78"/>
  <c r="AB22" i="218"/>
  <c r="L18" i="78"/>
  <c r="L251" i="184" s="1"/>
  <c r="L105" i="78"/>
  <c r="L399" i="184"/>
  <c r="M75" i="78"/>
  <c r="H2000" i="184"/>
  <c r="K83" i="78"/>
  <c r="K2150" i="184"/>
  <c r="M81" i="78"/>
  <c r="M90" i="78"/>
  <c r="D2411" i="184"/>
  <c r="I1029" i="184"/>
  <c r="I42" i="78"/>
  <c r="M39" i="78"/>
  <c r="I27" i="184"/>
  <c r="I15" i="78"/>
  <c r="I105" i="78"/>
  <c r="J2037" i="184"/>
  <c r="C138" i="191"/>
  <c r="R63" i="78"/>
  <c r="M473" i="184"/>
  <c r="Q26" i="78"/>
  <c r="H101" i="191"/>
  <c r="X62" i="78"/>
  <c r="L101" i="191" s="1"/>
  <c r="L110" i="78"/>
  <c r="U66" i="78"/>
  <c r="D249" i="191"/>
  <c r="D71" i="78"/>
  <c r="M69" i="78"/>
  <c r="D1850" i="184"/>
  <c r="F2300" i="184"/>
  <c r="M87" i="78"/>
  <c r="M89" i="78"/>
  <c r="H2374" i="184"/>
  <c r="O62" i="78"/>
  <c r="C101" i="191"/>
  <c r="J71" i="78"/>
  <c r="J1924" i="184" s="1"/>
  <c r="J1591" i="184"/>
  <c r="I2485" i="184"/>
  <c r="M92" i="78"/>
  <c r="M23" i="78"/>
  <c r="M41" i="78"/>
  <c r="S39" i="227"/>
  <c r="M1029" i="184"/>
  <c r="Z23" i="231"/>
  <c r="H56" i="78"/>
  <c r="H1441" i="184" s="1"/>
  <c r="O39" i="227"/>
  <c r="M63" i="78"/>
  <c r="T63" i="78"/>
  <c r="G1628" i="184"/>
  <c r="G71" i="78"/>
  <c r="G1924" i="184" s="1"/>
  <c r="M74" i="78"/>
  <c r="F78" i="78"/>
  <c r="F1963" i="184"/>
  <c r="F2448" i="184"/>
  <c r="M91" i="78"/>
  <c r="E18" i="78"/>
  <c r="M19" i="78"/>
  <c r="E288" i="184"/>
  <c r="M28" i="78"/>
  <c r="J29" i="78"/>
  <c r="J473" i="184"/>
  <c r="E64" i="184"/>
  <c r="E105" i="78"/>
  <c r="E15" i="78"/>
  <c r="J1180" i="184"/>
  <c r="J105" i="78"/>
  <c r="D1367" i="184"/>
  <c r="M54" i="78"/>
  <c r="M51" i="78"/>
  <c r="M881" i="184"/>
  <c r="M32" i="78"/>
  <c r="K733" i="184"/>
  <c r="K31" i="78"/>
  <c r="K696" i="184" s="1"/>
  <c r="F770" i="184"/>
  <c r="M33" i="78"/>
  <c r="O61" i="78"/>
  <c r="M61" i="78"/>
  <c r="E71" i="78"/>
  <c r="E1924" i="184"/>
  <c r="E1554" i="184"/>
  <c r="T61" i="78"/>
  <c r="O65" i="78"/>
  <c r="G1702" i="184"/>
  <c r="T65" i="78"/>
  <c r="M65" i="78"/>
  <c r="H1813" i="184"/>
  <c r="M68" i="78"/>
  <c r="D53" i="76"/>
  <c r="D54" i="76" s="1"/>
  <c r="M77" i="78"/>
  <c r="H510" i="184"/>
  <c r="H29" i="78"/>
  <c r="H105" i="78"/>
  <c r="D44" i="78"/>
  <c r="K105" i="78"/>
  <c r="K362" i="184"/>
  <c r="M70" i="78"/>
  <c r="I1887" i="184"/>
  <c r="M82" i="78"/>
  <c r="K2187" i="184"/>
  <c r="F29" i="78"/>
  <c r="F547" i="184"/>
  <c r="M26" i="78"/>
  <c r="M52" i="78"/>
  <c r="E566" i="184"/>
  <c r="E2644" i="184" s="1"/>
  <c r="F1066" i="184"/>
  <c r="G1256" i="184"/>
  <c r="J937" i="184"/>
  <c r="J2655" i="184" s="1"/>
  <c r="I1349" i="184"/>
  <c r="I2671" i="184" s="1"/>
  <c r="H138" i="184"/>
  <c r="M37" i="78"/>
  <c r="W34" i="78"/>
  <c r="L1312" i="184"/>
  <c r="L2670" i="184" s="1"/>
  <c r="M25" i="78"/>
  <c r="H1721" i="184"/>
  <c r="H2683" i="184" s="1"/>
  <c r="J2319" i="184"/>
  <c r="J2705" i="184" s="1"/>
  <c r="J992" i="184"/>
  <c r="M10" i="78"/>
  <c r="G1349" i="184"/>
  <c r="G2671" i="184" s="1"/>
  <c r="L1225" i="184"/>
  <c r="L56" i="72"/>
  <c r="L1447" i="184" s="1"/>
  <c r="D56" i="72"/>
  <c r="M50" i="72"/>
  <c r="D1225" i="184"/>
  <c r="I31" i="72"/>
  <c r="I702" i="184"/>
  <c r="I813" i="184"/>
  <c r="M33" i="72"/>
  <c r="F776" i="184"/>
  <c r="F105" i="72"/>
  <c r="F31" i="72"/>
  <c r="I78" i="72"/>
  <c r="I2117" i="184" s="1"/>
  <c r="M76" i="72"/>
  <c r="I2043" i="184"/>
  <c r="N22" i="231"/>
  <c r="K23" i="227"/>
  <c r="M590" i="184"/>
  <c r="K78" i="72"/>
  <c r="K2117" i="184" s="1"/>
  <c r="K1969" i="184"/>
  <c r="X61" i="72"/>
  <c r="H70" i="191"/>
  <c r="Z44" i="218"/>
  <c r="AB62" i="72"/>
  <c r="M1597" i="184"/>
  <c r="B38" i="71"/>
  <c r="E65" i="71"/>
  <c r="E68" i="71" s="1"/>
  <c r="E71" i="71" s="1"/>
  <c r="D18" i="72"/>
  <c r="D331" i="184"/>
  <c r="M20" i="72"/>
  <c r="D105" i="72"/>
  <c r="M66" i="72"/>
  <c r="O66" i="72"/>
  <c r="C255" i="191" s="1"/>
  <c r="D1745" i="184"/>
  <c r="D71" i="72"/>
  <c r="T66" i="72"/>
  <c r="K1708" i="184"/>
  <c r="K105" i="72"/>
  <c r="D42" i="71"/>
  <c r="F1745" i="184"/>
  <c r="Z47" i="218"/>
  <c r="AB65" i="72"/>
  <c r="M1708" i="184"/>
  <c r="B41" i="71"/>
  <c r="E1560" i="184"/>
  <c r="M61" i="72"/>
  <c r="E71" i="72"/>
  <c r="E1930" i="184" s="1"/>
  <c r="O61" i="72"/>
  <c r="R22" i="231"/>
  <c r="M739" i="184"/>
  <c r="H107" i="191"/>
  <c r="X62" i="72"/>
  <c r="L107" i="191" s="1"/>
  <c r="J70" i="191"/>
  <c r="L112" i="72"/>
  <c r="E78" i="72"/>
  <c r="M77" i="72"/>
  <c r="M87" i="72"/>
  <c r="E2306" i="184"/>
  <c r="M89" i="72"/>
  <c r="E2380" i="184"/>
  <c r="F18" i="72"/>
  <c r="F257" i="184"/>
  <c r="F29" i="72"/>
  <c r="M23" i="72"/>
  <c r="F442" i="184"/>
  <c r="K31" i="72"/>
  <c r="K702" i="184"/>
  <c r="K42" i="72"/>
  <c r="K887" i="184"/>
  <c r="M39" i="72"/>
  <c r="M60" i="72"/>
  <c r="H71" i="72"/>
  <c r="H1930" i="184" s="1"/>
  <c r="H1523" i="184"/>
  <c r="F71" i="72"/>
  <c r="F1930" i="184" s="1"/>
  <c r="O63" i="72"/>
  <c r="T63" i="72"/>
  <c r="M63" i="72"/>
  <c r="I1634" i="184"/>
  <c r="U63" i="72"/>
  <c r="I144" i="191" s="1"/>
  <c r="P69" i="72"/>
  <c r="M74" i="72"/>
  <c r="G78" i="72"/>
  <c r="G2117" i="184" s="1"/>
  <c r="G1969" i="184"/>
  <c r="L83" i="72"/>
  <c r="L2230" i="184" s="1"/>
  <c r="L2156" i="184"/>
  <c r="Z78" i="218"/>
  <c r="M2454" i="184"/>
  <c r="E105" i="72"/>
  <c r="O65" i="72"/>
  <c r="J1708" i="184"/>
  <c r="M13" i="72"/>
  <c r="I105" i="72"/>
  <c r="I294" i="184"/>
  <c r="G739" i="184"/>
  <c r="G31" i="72"/>
  <c r="G702" i="184"/>
  <c r="D41" i="71"/>
  <c r="F1708" i="184"/>
  <c r="D292" i="191"/>
  <c r="U67" i="72"/>
  <c r="M68" i="72"/>
  <c r="F1819" i="184"/>
  <c r="Y23" i="230"/>
  <c r="Z21" i="209"/>
  <c r="AF22" i="213"/>
  <c r="W23" i="220"/>
  <c r="J23" i="215"/>
  <c r="AF22" i="231"/>
  <c r="T23" i="210"/>
  <c r="AF21" i="231"/>
  <c r="U23" i="229"/>
  <c r="S21" i="212"/>
  <c r="H29" i="72"/>
  <c r="M36" i="72"/>
  <c r="F924" i="184"/>
  <c r="F42" i="72"/>
  <c r="M37" i="72"/>
  <c r="H15" i="72"/>
  <c r="H105" i="72"/>
  <c r="H33" i="184"/>
  <c r="M53" i="72"/>
  <c r="L1597" i="184"/>
  <c r="L71" i="72"/>
  <c r="L1930" i="184" s="1"/>
  <c r="D1893" i="184"/>
  <c r="M70" i="72"/>
  <c r="G83" i="72"/>
  <c r="G2156" i="184"/>
  <c r="M81" i="72"/>
  <c r="M2571" i="184"/>
  <c r="L107" i="72"/>
  <c r="F516" i="184"/>
  <c r="M25" i="72"/>
  <c r="M24" i="72"/>
  <c r="L961" i="184"/>
  <c r="L42" i="72"/>
  <c r="M38" i="72"/>
  <c r="D42" i="72"/>
  <c r="D181" i="184"/>
  <c r="M14" i="72"/>
  <c r="M10" i="72"/>
  <c r="Z46" i="218"/>
  <c r="M1671" i="184"/>
  <c r="G105" i="72"/>
  <c r="G18" i="72"/>
  <c r="G257" i="184" s="1"/>
  <c r="H850" i="184"/>
  <c r="K71" i="72"/>
  <c r="K1930" i="184" s="1"/>
  <c r="K1671" i="184"/>
  <c r="J78" i="72"/>
  <c r="J2117" i="184"/>
  <c r="J2080" i="184"/>
  <c r="M88" i="72"/>
  <c r="G2417" i="184"/>
  <c r="J71" i="72"/>
  <c r="J1930" i="184" s="1"/>
  <c r="D553" i="184"/>
  <c r="D29" i="72"/>
  <c r="M26" i="72"/>
  <c r="J42" i="72"/>
  <c r="J998" i="184"/>
  <c r="D1373" i="184"/>
  <c r="M54" i="72"/>
  <c r="M21" i="72"/>
  <c r="F368" i="184"/>
  <c r="M92" i="72"/>
  <c r="G2491" i="184"/>
  <c r="M34" i="72"/>
  <c r="L2080" i="184"/>
  <c r="J29" i="72"/>
  <c r="J664" i="184" s="1"/>
  <c r="J590" i="184"/>
  <c r="J603" i="184" s="1"/>
  <c r="J2645" i="184" s="1"/>
  <c r="I1109" i="184"/>
  <c r="L70" i="184"/>
  <c r="L15" i="72"/>
  <c r="L105" i="72"/>
  <c r="D15" i="72"/>
  <c r="D70" i="184"/>
  <c r="M11" i="72"/>
  <c r="K18" i="72"/>
  <c r="K257" i="184" s="1"/>
  <c r="G71" i="72"/>
  <c r="O62" i="72"/>
  <c r="C107" i="191" s="1"/>
  <c r="G1597" i="184"/>
  <c r="E1671" i="184"/>
  <c r="O64" i="72"/>
  <c r="D45" i="71"/>
  <c r="F1856" i="184"/>
  <c r="M69" i="72"/>
  <c r="F1072" i="184"/>
  <c r="M41" i="72"/>
  <c r="M40" i="72"/>
  <c r="D1299" i="184"/>
  <c r="M52" i="72"/>
  <c r="I29" i="72"/>
  <c r="I664" i="184" s="1"/>
  <c r="F1386" i="184"/>
  <c r="F2672" i="184"/>
  <c r="D105" i="181" s="1"/>
  <c r="G144" i="184"/>
  <c r="J1423" i="184"/>
  <c r="J2673" i="184" s="1"/>
  <c r="I998" i="184"/>
  <c r="M28" i="72"/>
  <c r="M55" i="72"/>
  <c r="M51" i="72"/>
  <c r="E42" i="72"/>
  <c r="G1262" i="184"/>
  <c r="E603" i="184"/>
  <c r="E2645" i="184" s="1"/>
  <c r="K70" i="184"/>
  <c r="E194" i="184"/>
  <c r="E2632" i="184" s="1"/>
  <c r="J1186" i="184"/>
  <c r="U21" i="231"/>
  <c r="M836" i="184"/>
  <c r="D799" i="184"/>
  <c r="D826" i="184"/>
  <c r="D2652" i="184" s="1"/>
  <c r="M34" i="67"/>
  <c r="G2066" i="184"/>
  <c r="G2093" i="184" s="1"/>
  <c r="G2695" i="184" s="1"/>
  <c r="G78" i="67"/>
  <c r="G2103" i="184" s="1"/>
  <c r="M77" i="67"/>
  <c r="K1546" i="184"/>
  <c r="K71" i="67"/>
  <c r="K1916" i="184" s="1"/>
  <c r="B31" i="66"/>
  <c r="D26" i="66"/>
  <c r="F56" i="67"/>
  <c r="M50" i="67"/>
  <c r="E1916" i="184"/>
  <c r="L114" i="67"/>
  <c r="M64" i="67"/>
  <c r="J71" i="67"/>
  <c r="H1731" i="184"/>
  <c r="M66" i="67"/>
  <c r="M69" i="67"/>
  <c r="G1842" i="184"/>
  <c r="F2029" i="184"/>
  <c r="D52" i="66"/>
  <c r="D54" i="66" s="1"/>
  <c r="M76" i="67"/>
  <c r="H2366" i="184"/>
  <c r="M89" i="67"/>
  <c r="I873" i="184"/>
  <c r="I31" i="67"/>
  <c r="I688" i="184" s="1"/>
  <c r="F29" i="67"/>
  <c r="M24" i="67"/>
  <c r="D1095" i="184"/>
  <c r="E1546" i="184"/>
  <c r="O61" i="67"/>
  <c r="M61" i="67"/>
  <c r="T61" i="67"/>
  <c r="E1992" i="184"/>
  <c r="M75" i="67"/>
  <c r="E78" i="67"/>
  <c r="I83" i="67"/>
  <c r="I2216" i="184"/>
  <c r="I2142" i="184"/>
  <c r="M81" i="67"/>
  <c r="M25" i="67"/>
  <c r="D502" i="184"/>
  <c r="X11" i="218"/>
  <c r="M56" i="184"/>
  <c r="B11" i="66"/>
  <c r="E15" i="67"/>
  <c r="E56" i="184"/>
  <c r="E105" i="67"/>
  <c r="M54" i="67"/>
  <c r="D69" i="66"/>
  <c r="I1095" i="184"/>
  <c r="I44" i="67"/>
  <c r="K204" i="184"/>
  <c r="K204" i="191"/>
  <c r="L113" i="67"/>
  <c r="I1955" i="184"/>
  <c r="I78" i="67"/>
  <c r="I2103" i="184" s="1"/>
  <c r="F2440" i="184"/>
  <c r="M91" i="67"/>
  <c r="J539" i="184"/>
  <c r="M26" i="67"/>
  <c r="J105" i="67"/>
  <c r="F105" i="67"/>
  <c r="D23" i="66"/>
  <c r="M47" i="67"/>
  <c r="F1172" i="184"/>
  <c r="M53" i="67"/>
  <c r="G105" i="67"/>
  <c r="G18" i="67"/>
  <c r="G243" i="184"/>
  <c r="G354" i="184"/>
  <c r="M32" i="67"/>
  <c r="D31" i="67"/>
  <c r="K873" i="184"/>
  <c r="K31" i="67"/>
  <c r="K688" i="184" s="1"/>
  <c r="K105" i="67"/>
  <c r="O63" i="67"/>
  <c r="M63" i="67"/>
  <c r="AB63" i="67"/>
  <c r="T63" i="67"/>
  <c r="G71" i="67"/>
  <c r="G1916" i="184" s="1"/>
  <c r="D1805" i="184"/>
  <c r="M68" i="67"/>
  <c r="E2179" i="184"/>
  <c r="E83" i="67"/>
  <c r="M82" i="67"/>
  <c r="H29" i="67"/>
  <c r="H105" i="67"/>
  <c r="M27" i="67"/>
  <c r="H576" i="184"/>
  <c r="M37" i="67"/>
  <c r="I910" i="184"/>
  <c r="H19" i="191"/>
  <c r="G44" i="67"/>
  <c r="K1095" i="184"/>
  <c r="K44" i="67"/>
  <c r="K1133" i="184" s="1"/>
  <c r="I18" i="67"/>
  <c r="I243" i="184" s="1"/>
  <c r="M19" i="67"/>
  <c r="J799" i="184"/>
  <c r="J31" i="67"/>
  <c r="J688" i="184"/>
  <c r="E873" i="184"/>
  <c r="M36" i="67"/>
  <c r="E31" i="67"/>
  <c r="E688" i="184" s="1"/>
  <c r="J93" i="191"/>
  <c r="L112" i="67"/>
  <c r="E1694" i="184"/>
  <c r="M65" i="67"/>
  <c r="F613" i="184"/>
  <c r="M28" i="67"/>
  <c r="D28" i="66"/>
  <c r="M52" i="67"/>
  <c r="M51" i="67"/>
  <c r="H21" i="231"/>
  <c r="L428" i="184"/>
  <c r="L18" i="67"/>
  <c r="L243" i="184" s="1"/>
  <c r="L29" i="67"/>
  <c r="M23" i="67"/>
  <c r="D428" i="184"/>
  <c r="D18" i="67"/>
  <c r="D29" i="67"/>
  <c r="M40" i="67"/>
  <c r="K1021" i="184"/>
  <c r="K1048" i="184" s="1"/>
  <c r="K2658" i="184" s="1"/>
  <c r="M13" i="67"/>
  <c r="I1583" i="184"/>
  <c r="I71" i="67"/>
  <c r="I1916" i="184"/>
  <c r="M62" i="67"/>
  <c r="E1879" i="184"/>
  <c r="M70" i="67"/>
  <c r="L116" i="67"/>
  <c r="B27" i="68"/>
  <c r="D2403" i="184"/>
  <c r="M90" i="67"/>
  <c r="I1058" i="184"/>
  <c r="M41" i="67"/>
  <c r="X14" i="218"/>
  <c r="M167" i="184"/>
  <c r="B14" i="66"/>
  <c r="M10" i="67"/>
  <c r="I105" i="67"/>
  <c r="I19" i="184"/>
  <c r="D268" i="191"/>
  <c r="G640" i="184"/>
  <c r="G2646" i="184" s="1"/>
  <c r="I752" i="184"/>
  <c r="I2650" i="184" s="1"/>
  <c r="K1906" i="184"/>
  <c r="K2688" i="184" s="1"/>
  <c r="R24" i="227"/>
  <c r="Y19" i="231"/>
  <c r="M990" i="184"/>
  <c r="M2483" i="184"/>
  <c r="T79" i="218"/>
  <c r="I24" i="227"/>
  <c r="M508" i="184"/>
  <c r="L19" i="231"/>
  <c r="M1552" i="184"/>
  <c r="T43" i="218"/>
  <c r="AB61" i="57"/>
  <c r="B37" i="56"/>
  <c r="D18" i="56"/>
  <c r="D20" i="56" s="1"/>
  <c r="L78" i="57"/>
  <c r="L2109" i="184"/>
  <c r="D37" i="56"/>
  <c r="F71" i="57"/>
  <c r="F1922" i="184" s="1"/>
  <c r="T47" i="218"/>
  <c r="J56" i="57"/>
  <c r="J1439" i="184" s="1"/>
  <c r="I1291" i="184"/>
  <c r="F1515" i="184"/>
  <c r="K15" i="57"/>
  <c r="K210" i="184" s="1"/>
  <c r="K62" i="184"/>
  <c r="K842" i="184"/>
  <c r="H1064" i="184"/>
  <c r="H1085" i="184"/>
  <c r="H2659" i="184" s="1"/>
  <c r="F1402" i="184"/>
  <c r="U62" i="57"/>
  <c r="J136" i="191"/>
  <c r="U66" i="57"/>
  <c r="I247" i="191"/>
  <c r="D1848" i="184"/>
  <c r="G1961" i="184"/>
  <c r="E2483" i="184"/>
  <c r="E18" i="57"/>
  <c r="E249" i="184" s="1"/>
  <c r="M47" i="57"/>
  <c r="I15" i="57"/>
  <c r="I210" i="184" s="1"/>
  <c r="M89" i="57"/>
  <c r="M74" i="57"/>
  <c r="D15" i="57"/>
  <c r="D210" i="184"/>
  <c r="L15" i="57"/>
  <c r="L210" i="184" s="1"/>
  <c r="I29" i="57"/>
  <c r="I656" i="184" s="1"/>
  <c r="M13" i="57"/>
  <c r="M136" i="184" s="1"/>
  <c r="M54" i="57"/>
  <c r="L112" i="57"/>
  <c r="L29" i="57"/>
  <c r="L656" i="184" s="1"/>
  <c r="F56" i="57"/>
  <c r="F1439" i="184"/>
  <c r="K56" i="57"/>
  <c r="K1439" i="184"/>
  <c r="G83" i="57"/>
  <c r="G2222" i="184" s="1"/>
  <c r="J29" i="57"/>
  <c r="J656" i="184" s="1"/>
  <c r="M69" i="57"/>
  <c r="M10" i="57"/>
  <c r="F1552" i="184"/>
  <c r="B41" i="56"/>
  <c r="E105" i="57"/>
  <c r="G31" i="57"/>
  <c r="G694" i="184" s="1"/>
  <c r="H31" i="57"/>
  <c r="H694" i="184" s="1"/>
  <c r="E31" i="57"/>
  <c r="E694" i="184" s="1"/>
  <c r="M70" i="57"/>
  <c r="D54" i="56"/>
  <c r="M87" i="57"/>
  <c r="E29" i="57"/>
  <c r="E656" i="184" s="1"/>
  <c r="M24" i="57"/>
  <c r="M1700" i="184"/>
  <c r="G42" i="57"/>
  <c r="G1101" i="184"/>
  <c r="M91" i="57"/>
  <c r="K990" i="184"/>
  <c r="G56" i="57"/>
  <c r="G1439" i="184" s="1"/>
  <c r="L1536" i="184"/>
  <c r="L2678" i="184" s="1"/>
  <c r="H2319" i="184"/>
  <c r="H2705" i="184" s="1"/>
  <c r="E42" i="57"/>
  <c r="M66" i="191"/>
  <c r="L364" i="184"/>
  <c r="M21" i="62"/>
  <c r="L105" i="62"/>
  <c r="L18" i="62"/>
  <c r="L253" i="184"/>
  <c r="J772" i="184"/>
  <c r="J31" i="62"/>
  <c r="J698" i="184"/>
  <c r="J105" i="62"/>
  <c r="D2113" i="184"/>
  <c r="H1332" i="184"/>
  <c r="H1349" i="184" s="1"/>
  <c r="H2671" i="184" s="1"/>
  <c r="M53" i="62"/>
  <c r="E57" i="62"/>
  <c r="E1143" i="184"/>
  <c r="M10" i="62"/>
  <c r="G29" i="184"/>
  <c r="G15" i="62"/>
  <c r="G105" i="62"/>
  <c r="I660" i="184"/>
  <c r="I44" i="62"/>
  <c r="H42" i="62"/>
  <c r="H105" i="62"/>
  <c r="H1031" i="184"/>
  <c r="L549" i="184"/>
  <c r="L29" i="62"/>
  <c r="L660" i="184" s="1"/>
  <c r="M26" i="62"/>
  <c r="D29" i="62"/>
  <c r="D549" i="184"/>
  <c r="M475" i="184"/>
  <c r="H38" i="227"/>
  <c r="K20" i="231"/>
  <c r="E1519" i="184"/>
  <c r="E71" i="62"/>
  <c r="E1926" i="184"/>
  <c r="O60" i="62"/>
  <c r="T60" i="62"/>
  <c r="M60" i="62"/>
  <c r="F37" i="61"/>
  <c r="K1704" i="184"/>
  <c r="K71" i="62"/>
  <c r="K1926" i="184" s="1"/>
  <c r="K105" i="62"/>
  <c r="F1667" i="184"/>
  <c r="D40" i="61"/>
  <c r="F71" i="62"/>
  <c r="F1926" i="184" s="1"/>
  <c r="F105" i="62"/>
  <c r="D2002" i="184"/>
  <c r="M75" i="62"/>
  <c r="M39" i="62"/>
  <c r="J994" i="184"/>
  <c r="M50" i="62"/>
  <c r="D1221" i="184"/>
  <c r="F327" i="184"/>
  <c r="M20" i="62"/>
  <c r="D41" i="61"/>
  <c r="M65" i="62"/>
  <c r="AB65" i="62"/>
  <c r="F1704" i="184"/>
  <c r="D1815" i="184"/>
  <c r="M68" i="62"/>
  <c r="G1889" i="184"/>
  <c r="G71" i="62"/>
  <c r="G1926" i="184" s="1"/>
  <c r="M70" i="62"/>
  <c r="G2152" i="184"/>
  <c r="G83" i="62"/>
  <c r="M81" i="62"/>
  <c r="D1667" i="184"/>
  <c r="O64" i="62"/>
  <c r="D71" i="62"/>
  <c r="M64" i="62"/>
  <c r="T64" i="62"/>
  <c r="M25" i="62"/>
  <c r="M14" i="62"/>
  <c r="J290" i="184"/>
  <c r="M19" i="62"/>
  <c r="J18" i="62"/>
  <c r="J253" i="184" s="1"/>
  <c r="E772" i="184"/>
  <c r="M33" i="62"/>
  <c r="E31" i="62"/>
  <c r="X65" i="62"/>
  <c r="L214" i="191" s="1"/>
  <c r="I214" i="191"/>
  <c r="L1778" i="184"/>
  <c r="M67" i="62"/>
  <c r="L71" i="62"/>
  <c r="L1926" i="184"/>
  <c r="H1965" i="184"/>
  <c r="H78" i="62"/>
  <c r="H2113" i="184"/>
  <c r="M51" i="62"/>
  <c r="H1258" i="184"/>
  <c r="H56" i="62"/>
  <c r="D253" i="184"/>
  <c r="M288" i="191"/>
  <c r="M35" i="62"/>
  <c r="G31" i="62"/>
  <c r="G698" i="184"/>
  <c r="G846" i="184"/>
  <c r="J251" i="191"/>
  <c r="J268" i="191" s="1"/>
  <c r="X66" i="62"/>
  <c r="L251" i="191" s="1"/>
  <c r="K2076" i="184"/>
  <c r="K78" i="62"/>
  <c r="K2113" i="184" s="1"/>
  <c r="L2076" i="184"/>
  <c r="L78" i="62"/>
  <c r="L2113" i="184" s="1"/>
  <c r="F438" i="184"/>
  <c r="F18" i="62"/>
  <c r="F253" i="184" s="1"/>
  <c r="F29" i="62"/>
  <c r="M28" i="62"/>
  <c r="AA20" i="231"/>
  <c r="M1068" i="184"/>
  <c r="T38" i="227"/>
  <c r="M54" i="62"/>
  <c r="L809" i="184"/>
  <c r="L31" i="62"/>
  <c r="L698" i="184" s="1"/>
  <c r="M34" i="62"/>
  <c r="K29" i="191"/>
  <c r="L113" i="62"/>
  <c r="I2039" i="184"/>
  <c r="I78" i="62"/>
  <c r="I2113" i="184"/>
  <c r="E2076" i="184"/>
  <c r="M77" i="62"/>
  <c r="E78" i="62"/>
  <c r="E2113" i="184" s="1"/>
  <c r="D2302" i="184"/>
  <c r="M87" i="62"/>
  <c r="D2450" i="184"/>
  <c r="M91" i="62"/>
  <c r="M40" i="62"/>
  <c r="M11" i="62"/>
  <c r="V29" i="218"/>
  <c r="M1182" i="184"/>
  <c r="K31" i="62"/>
  <c r="K698" i="184" s="1"/>
  <c r="K735" i="184"/>
  <c r="I1741" i="184"/>
  <c r="M66" i="62"/>
  <c r="I71" i="62"/>
  <c r="I1926" i="184" s="1"/>
  <c r="D2339" i="184"/>
  <c r="M88" i="62"/>
  <c r="E401" i="184"/>
  <c r="E18" i="62"/>
  <c r="E253" i="184"/>
  <c r="M22" i="62"/>
  <c r="M23" i="62"/>
  <c r="F920" i="184"/>
  <c r="F937" i="184" s="1"/>
  <c r="F2655" i="184" s="1"/>
  <c r="M37" i="62"/>
  <c r="W34" i="62" s="1"/>
  <c r="G140" i="184"/>
  <c r="M13" i="62"/>
  <c r="M52" i="62"/>
  <c r="D1295" i="184"/>
  <c r="M2487" i="184"/>
  <c r="V79" i="218"/>
  <c r="L1105" i="184"/>
  <c r="L44" i="62"/>
  <c r="E1630" i="184"/>
  <c r="O63" i="62"/>
  <c r="T63" i="62"/>
  <c r="M63" i="62"/>
  <c r="L114" i="62"/>
  <c r="D1852" i="184"/>
  <c r="M69" i="62"/>
  <c r="D1965" i="184"/>
  <c r="M74" i="62"/>
  <c r="H2189" i="184"/>
  <c r="M82" i="62"/>
  <c r="H83" i="62"/>
  <c r="H2226" i="184"/>
  <c r="M38" i="62"/>
  <c r="D957" i="184"/>
  <c r="D42" i="62"/>
  <c r="M55" i="62"/>
  <c r="H1406" i="184"/>
  <c r="L381" i="184"/>
  <c r="L2639" i="184" s="1"/>
  <c r="M27" i="62"/>
  <c r="J1982" i="184"/>
  <c r="J2692" i="184" s="1"/>
  <c r="G1811" i="184"/>
  <c r="M68" i="57"/>
  <c r="AB68" i="57" s="1"/>
  <c r="L114" i="57"/>
  <c r="L1328" i="184"/>
  <c r="L1349" i="184" s="1"/>
  <c r="L2671" i="184" s="1"/>
  <c r="L56" i="57"/>
  <c r="L1439" i="184" s="1"/>
  <c r="L105" i="57"/>
  <c r="M53" i="57"/>
  <c r="D1328" i="184"/>
  <c r="D1349" i="184" s="1"/>
  <c r="D2671" i="184" s="1"/>
  <c r="D2222" i="184"/>
  <c r="T66" i="57"/>
  <c r="M66" i="57"/>
  <c r="O66" i="57"/>
  <c r="C247" i="191"/>
  <c r="G1737" i="184"/>
  <c r="D25" i="191"/>
  <c r="L110" i="57"/>
  <c r="P69" i="57"/>
  <c r="U60" i="57"/>
  <c r="I25" i="191"/>
  <c r="H1626" i="184"/>
  <c r="H1647" i="184"/>
  <c r="H2681" i="184" s="1"/>
  <c r="M63" i="57"/>
  <c r="H71" i="57"/>
  <c r="H105" i="57"/>
  <c r="J1589" i="184"/>
  <c r="M62" i="57"/>
  <c r="J71" i="57"/>
  <c r="J1922" i="184" s="1"/>
  <c r="O62" i="57"/>
  <c r="C99" i="191" s="1"/>
  <c r="I916" i="184"/>
  <c r="I937" i="184" s="1"/>
  <c r="I2655" i="184" s="1"/>
  <c r="I42" i="57"/>
  <c r="I105" i="57"/>
  <c r="H14" i="216"/>
  <c r="F210" i="191"/>
  <c r="M136" i="191"/>
  <c r="G286" i="184"/>
  <c r="G105" i="57"/>
  <c r="I78" i="57"/>
  <c r="I2109" i="184" s="1"/>
  <c r="I2035" i="184"/>
  <c r="M76" i="57"/>
  <c r="D2035" i="184"/>
  <c r="D78" i="57"/>
  <c r="D2409" i="184"/>
  <c r="M90" i="57"/>
  <c r="AD19" i="231"/>
  <c r="S24" i="229"/>
  <c r="U24" i="220"/>
  <c r="H20" i="215"/>
  <c r="Q19" i="212"/>
  <c r="AD23" i="213"/>
  <c r="W24" i="230"/>
  <c r="U23" i="214"/>
  <c r="X22" i="209"/>
  <c r="R24" i="210"/>
  <c r="M26" i="57"/>
  <c r="M35" i="57"/>
  <c r="U65" i="57"/>
  <c r="D210" i="191"/>
  <c r="D2298" i="184"/>
  <c r="M28" i="57"/>
  <c r="M40" i="57"/>
  <c r="K99" i="191"/>
  <c r="L113" i="57"/>
  <c r="M82" i="57"/>
  <c r="H2185" i="184"/>
  <c r="H83" i="57"/>
  <c r="H2222" i="184" s="1"/>
  <c r="L18" i="57"/>
  <c r="L249" i="184"/>
  <c r="M23" i="57"/>
  <c r="D434" i="184"/>
  <c r="D18" i="57"/>
  <c r="D29" i="57"/>
  <c r="M38" i="57"/>
  <c r="F173" i="184"/>
  <c r="D14" i="56"/>
  <c r="M14" i="57"/>
  <c r="J15" i="57"/>
  <c r="J25" i="184"/>
  <c r="J46" i="184"/>
  <c r="J2628" i="184" s="1"/>
  <c r="M51" i="57"/>
  <c r="D1254" i="184"/>
  <c r="D1275" i="184" s="1"/>
  <c r="D2669" i="184" s="1"/>
  <c r="D56" i="57"/>
  <c r="E2148" i="184"/>
  <c r="E83" i="57"/>
  <c r="E2222" i="184" s="1"/>
  <c r="M81" i="57"/>
  <c r="F805" i="184"/>
  <c r="F826" i="184" s="1"/>
  <c r="F2652" i="184" s="1"/>
  <c r="F31" i="57"/>
  <c r="G71" i="57"/>
  <c r="M731" i="184"/>
  <c r="R19" i="231"/>
  <c r="M60" i="57"/>
  <c r="O60" i="57"/>
  <c r="T60" i="57"/>
  <c r="E1663" i="184"/>
  <c r="O64" i="57"/>
  <c r="T64" i="57"/>
  <c r="F83" i="57"/>
  <c r="F2222" i="184" s="1"/>
  <c r="F2148" i="184"/>
  <c r="D57" i="56"/>
  <c r="D59" i="56" s="1"/>
  <c r="D2335" i="184"/>
  <c r="M88" i="57"/>
  <c r="F2446" i="184"/>
  <c r="M41" i="57"/>
  <c r="D768" i="184"/>
  <c r="M33" i="57"/>
  <c r="J842" i="184"/>
  <c r="J863" i="184" s="1"/>
  <c r="J2653" i="184" s="1"/>
  <c r="J31" i="57"/>
  <c r="J694" i="184" s="1"/>
  <c r="J715" i="184" s="1"/>
  <c r="L1552" i="184"/>
  <c r="L71" i="57"/>
  <c r="L1922" i="184" s="1"/>
  <c r="D1774" i="184"/>
  <c r="T67" i="57"/>
  <c r="M67" i="57"/>
  <c r="O67" i="57"/>
  <c r="C284" i="191" s="1"/>
  <c r="D1998" i="184"/>
  <c r="M75" i="57"/>
  <c r="M2446" i="184"/>
  <c r="T78" i="218"/>
  <c r="L42" i="57"/>
  <c r="L879" i="184"/>
  <c r="M36" i="57"/>
  <c r="D879" i="184"/>
  <c r="D42" i="57"/>
  <c r="G29" i="57"/>
  <c r="D11" i="56"/>
  <c r="D15" i="56"/>
  <c r="F15" i="57"/>
  <c r="M11" i="57"/>
  <c r="J105" i="57"/>
  <c r="K286" i="184"/>
  <c r="K18" i="57"/>
  <c r="K249" i="184"/>
  <c r="M20" i="57"/>
  <c r="I18" i="57"/>
  <c r="I249" i="184" s="1"/>
  <c r="M21" i="57"/>
  <c r="D105" i="57"/>
  <c r="I31" i="57"/>
  <c r="I694" i="184" s="1"/>
  <c r="D1552" i="184"/>
  <c r="O61" i="57"/>
  <c r="T61" i="57"/>
  <c r="G1885" i="184"/>
  <c r="D2072" i="184"/>
  <c r="M77" i="57"/>
  <c r="J2072" i="184"/>
  <c r="J78" i="57"/>
  <c r="J2109" i="184" s="1"/>
  <c r="M55" i="57"/>
  <c r="D1402" i="184"/>
  <c r="D1423" i="184" s="1"/>
  <c r="D2673" i="184" s="1"/>
  <c r="K42" i="57"/>
  <c r="I2093" i="184"/>
  <c r="I2695" i="184" s="1"/>
  <c r="L937" i="184"/>
  <c r="L2655" i="184" s="1"/>
  <c r="I1684" i="184"/>
  <c r="I2682" i="184" s="1"/>
  <c r="F2319" i="184"/>
  <c r="F2705" i="184" s="1"/>
  <c r="L2319" i="184"/>
  <c r="L2705" i="184" s="1"/>
  <c r="J545" i="184"/>
  <c r="L157" i="184"/>
  <c r="L2631" i="184" s="1"/>
  <c r="M19" i="57"/>
  <c r="M52" i="57"/>
  <c r="M50" i="57"/>
  <c r="E974" i="184"/>
  <c r="E2656" i="184" s="1"/>
  <c r="E1048" i="184"/>
  <c r="E2658" i="184" s="1"/>
  <c r="I25" i="184"/>
  <c r="I46" i="184" s="1"/>
  <c r="I2628" i="184" s="1"/>
  <c r="M27" i="57"/>
  <c r="M37" i="57"/>
  <c r="L1011" i="184"/>
  <c r="L2657" i="184" s="1"/>
  <c r="K46" i="184"/>
  <c r="K2628" i="184" s="1"/>
  <c r="J1312" i="184"/>
  <c r="J2670" i="184" s="1"/>
  <c r="J1824" i="184"/>
  <c r="M68" i="52"/>
  <c r="G1003" i="184"/>
  <c r="G42" i="52"/>
  <c r="M38" i="52"/>
  <c r="L38" i="184"/>
  <c r="L15" i="52"/>
  <c r="L105" i="52"/>
  <c r="D15" i="52"/>
  <c r="D105" i="52"/>
  <c r="D38" i="184"/>
  <c r="M10" i="52"/>
  <c r="D111" i="50"/>
  <c r="E707" i="184"/>
  <c r="M91" i="52"/>
  <c r="G2459" i="184"/>
  <c r="G71" i="52"/>
  <c r="G1935" i="184" s="1"/>
  <c r="O61" i="52"/>
  <c r="G1565" i="184"/>
  <c r="I31" i="52"/>
  <c r="I707" i="184" s="1"/>
  <c r="I42" i="52"/>
  <c r="F1341" i="184"/>
  <c r="D29" i="51"/>
  <c r="M53" i="52"/>
  <c r="J1230" i="184"/>
  <c r="J56" i="52"/>
  <c r="B50" i="51"/>
  <c r="G186" i="191"/>
  <c r="I18" i="52"/>
  <c r="I262" i="184" s="1"/>
  <c r="I299" i="184"/>
  <c r="I105" i="52"/>
  <c r="F744" i="184"/>
  <c r="F31" i="52"/>
  <c r="F707" i="184" s="1"/>
  <c r="M32" i="52"/>
  <c r="O60" i="52"/>
  <c r="J71" i="52"/>
  <c r="J1935" i="184" s="1"/>
  <c r="M60" i="52"/>
  <c r="K112" i="191"/>
  <c r="L113" i="52"/>
  <c r="I149" i="191"/>
  <c r="X63" i="52"/>
  <c r="L149" i="191" s="1"/>
  <c r="M149" i="191" s="1"/>
  <c r="B42" i="51"/>
  <c r="M1750" i="184"/>
  <c r="M87" i="52"/>
  <c r="D2311" i="184"/>
  <c r="M41" i="52"/>
  <c r="M50" i="52"/>
  <c r="M65" i="52"/>
  <c r="I1713" i="184"/>
  <c r="K29" i="52"/>
  <c r="K669" i="184" s="1"/>
  <c r="K521" i="184"/>
  <c r="E484" i="184"/>
  <c r="E29" i="52"/>
  <c r="E669" i="184" s="1"/>
  <c r="M14" i="52"/>
  <c r="H15" i="52"/>
  <c r="H105" i="52"/>
  <c r="H75" i="184"/>
  <c r="J1386" i="184"/>
  <c r="J2672" i="184" s="1"/>
  <c r="M19" i="52"/>
  <c r="D299" i="184"/>
  <c r="T62" i="52"/>
  <c r="M62" i="52"/>
  <c r="D71" i="52"/>
  <c r="O62" i="52"/>
  <c r="C112" i="191" s="1"/>
  <c r="D1602" i="184"/>
  <c r="M64" i="52"/>
  <c r="K1676" i="184"/>
  <c r="K71" i="52"/>
  <c r="K1935" i="184" s="1"/>
  <c r="H83" i="52"/>
  <c r="H2235" i="184"/>
  <c r="H2198" i="184"/>
  <c r="M90" i="52"/>
  <c r="L2422" i="184"/>
  <c r="L107" i="52"/>
  <c r="M2576" i="184"/>
  <c r="I29" i="52"/>
  <c r="I669" i="184" s="1"/>
  <c r="I558" i="184"/>
  <c r="M11" i="52"/>
  <c r="E105" i="52"/>
  <c r="R36" i="218"/>
  <c r="M1378" i="184"/>
  <c r="B30" i="51"/>
  <c r="F56" i="52"/>
  <c r="M51" i="52"/>
  <c r="D27" i="51"/>
  <c r="O67" i="52"/>
  <c r="C297" i="191" s="1"/>
  <c r="M67" i="52"/>
  <c r="E71" i="52"/>
  <c r="E1935" i="184"/>
  <c r="D2348" i="184"/>
  <c r="M88" i="52"/>
  <c r="F632" i="184"/>
  <c r="F105" i="52"/>
  <c r="F29" i="52"/>
  <c r="M28" i="52"/>
  <c r="G595" i="184"/>
  <c r="G29" i="52"/>
  <c r="G669" i="184" s="1"/>
  <c r="G373" i="184"/>
  <c r="G105" i="52"/>
  <c r="M21" i="52"/>
  <c r="L114" i="52"/>
  <c r="X66" i="52"/>
  <c r="L260" i="191"/>
  <c r="I260" i="191"/>
  <c r="M70" i="52"/>
  <c r="D1898" i="184"/>
  <c r="D78" i="52"/>
  <c r="D2048" i="184"/>
  <c r="M76" i="52"/>
  <c r="I78" i="52"/>
  <c r="I2122" i="184"/>
  <c r="I2048" i="184"/>
  <c r="J2085" i="184"/>
  <c r="J78" i="52"/>
  <c r="J2122" i="184" s="1"/>
  <c r="L447" i="184"/>
  <c r="L29" i="52"/>
  <c r="D18" i="52"/>
  <c r="D29" i="52"/>
  <c r="M23" i="52"/>
  <c r="D447" i="184"/>
  <c r="K929" i="184"/>
  <c r="K937" i="184" s="1"/>
  <c r="K2655" i="184" s="1"/>
  <c r="K42" i="52"/>
  <c r="H974" i="184"/>
  <c r="H2656" i="184" s="1"/>
  <c r="D149" i="184"/>
  <c r="M13" i="52"/>
  <c r="D31" i="51"/>
  <c r="M55" i="52"/>
  <c r="F1415" i="184"/>
  <c r="B37" i="51"/>
  <c r="AB61" i="52"/>
  <c r="M1565" i="184"/>
  <c r="K105" i="52"/>
  <c r="M20" i="52"/>
  <c r="K336" i="184"/>
  <c r="I781" i="184"/>
  <c r="M33" i="52"/>
  <c r="X60" i="52"/>
  <c r="J38" i="191"/>
  <c r="M2085" i="184"/>
  <c r="R59" i="218"/>
  <c r="B53" i="51"/>
  <c r="M82" i="52"/>
  <c r="M25" i="52"/>
  <c r="M37" i="52"/>
  <c r="M52" i="52"/>
  <c r="L566" i="184"/>
  <c r="L2644" i="184" s="1"/>
  <c r="D83" i="52"/>
  <c r="F1787" i="184"/>
  <c r="F1011" i="184"/>
  <c r="F2657" i="184" s="1"/>
  <c r="E1906" i="184"/>
  <c r="E2688" i="184" s="1"/>
  <c r="I1304" i="184"/>
  <c r="I1647" i="184"/>
  <c r="I2681" i="184" s="1"/>
  <c r="K268" i="191"/>
  <c r="AF18" i="231"/>
  <c r="J1349" i="184"/>
  <c r="J2671" i="184" s="1"/>
  <c r="F2356" i="184"/>
  <c r="F2706" i="184" s="1"/>
  <c r="I1378" i="184"/>
  <c r="I1386" i="184" s="1"/>
  <c r="I2672" i="184" s="1"/>
  <c r="T65" i="52"/>
  <c r="K1536" i="184"/>
  <c r="K2678" i="184" s="1"/>
  <c r="K2019" i="184"/>
  <c r="K2693" i="184" s="1"/>
  <c r="G2356" i="184"/>
  <c r="G2706" i="184" s="1"/>
  <c r="J2393" i="184"/>
  <c r="J2707" i="184" s="1"/>
  <c r="J1077" i="184"/>
  <c r="J1085" i="184"/>
  <c r="J2659" i="184" s="1"/>
  <c r="M27" i="52"/>
  <c r="O65" i="52"/>
  <c r="F529" i="184"/>
  <c r="F2643" i="184" s="1"/>
  <c r="M36" i="52"/>
  <c r="M26" i="52"/>
  <c r="I1230" i="184"/>
  <c r="F1684" i="184"/>
  <c r="F2682" i="184" s="1"/>
  <c r="D76" i="181" s="1"/>
  <c r="K157" i="184"/>
  <c r="K2631" i="184" s="1"/>
  <c r="F2056" i="184"/>
  <c r="F2694" i="184" s="1"/>
  <c r="D88" i="181" s="1"/>
  <c r="D342" i="191"/>
  <c r="D281" i="184"/>
  <c r="D105" i="47"/>
  <c r="M19" i="47"/>
  <c r="D18" i="47"/>
  <c r="M35" i="47"/>
  <c r="D837" i="184"/>
  <c r="D31" i="47"/>
  <c r="J56" i="47"/>
  <c r="J1212" i="184"/>
  <c r="E73" i="46"/>
  <c r="M82" i="47"/>
  <c r="F2180" i="184"/>
  <c r="D58" i="46"/>
  <c r="D59" i="46" s="1"/>
  <c r="F83" i="47"/>
  <c r="F2217" i="184" s="1"/>
  <c r="F1323" i="184"/>
  <c r="M53" i="47"/>
  <c r="D29" i="46"/>
  <c r="G205" i="184"/>
  <c r="I2143" i="184"/>
  <c r="I83" i="47"/>
  <c r="I2217" i="184" s="1"/>
  <c r="P57" i="218"/>
  <c r="B51" i="46"/>
  <c r="U64" i="47"/>
  <c r="I168" i="191" s="1"/>
  <c r="D168" i="191"/>
  <c r="D194" i="191"/>
  <c r="L110" i="47"/>
  <c r="T65" i="47"/>
  <c r="E1695" i="184"/>
  <c r="E1721" i="184"/>
  <c r="E2683" i="184" s="1"/>
  <c r="M65" i="47"/>
  <c r="E71" i="47"/>
  <c r="O65" i="47"/>
  <c r="P10" i="218"/>
  <c r="M20" i="184"/>
  <c r="F38" i="46"/>
  <c r="C38" i="46"/>
  <c r="D104" i="45"/>
  <c r="L114" i="47"/>
  <c r="M131" i="191"/>
  <c r="L42" i="47"/>
  <c r="L1022" i="184"/>
  <c r="M40" i="47"/>
  <c r="D42" i="47"/>
  <c r="D1022" i="184"/>
  <c r="D1048" i="184" s="1"/>
  <c r="D2658" i="184" s="1"/>
  <c r="G540" i="184"/>
  <c r="G29" i="47"/>
  <c r="G105" i="47"/>
  <c r="L17" i="231"/>
  <c r="I37" i="227"/>
  <c r="M503" i="184"/>
  <c r="J18" i="47"/>
  <c r="J244" i="184"/>
  <c r="J105" i="47"/>
  <c r="E18" i="47"/>
  <c r="E244" i="184" s="1"/>
  <c r="E105" i="47"/>
  <c r="M20" i="47"/>
  <c r="J1547" i="184"/>
  <c r="I71" i="47"/>
  <c r="I1917" i="184"/>
  <c r="D46" i="46"/>
  <c r="F1880" i="184"/>
  <c r="M74" i="47"/>
  <c r="D78" i="47"/>
  <c r="J2143" i="184"/>
  <c r="J83" i="47"/>
  <c r="J2217" i="184" s="1"/>
  <c r="D1658" i="184"/>
  <c r="T64" i="47"/>
  <c r="O64" i="47"/>
  <c r="M64" i="47"/>
  <c r="D71" i="47"/>
  <c r="M26" i="47"/>
  <c r="M50" i="47"/>
  <c r="H18" i="47"/>
  <c r="H244" i="184" s="1"/>
  <c r="H392" i="184"/>
  <c r="M22" i="47"/>
  <c r="H105" i="47"/>
  <c r="P69" i="47"/>
  <c r="D20" i="191"/>
  <c r="O61" i="47"/>
  <c r="T61" i="47"/>
  <c r="M61" i="47"/>
  <c r="J1621" i="184"/>
  <c r="J1647" i="184"/>
  <c r="J2681" i="184" s="1"/>
  <c r="O63" i="47"/>
  <c r="G2030" i="184"/>
  <c r="G2056" i="184"/>
  <c r="G2694" i="184" s="1"/>
  <c r="H2067" i="184"/>
  <c r="M77" i="47"/>
  <c r="E2143" i="184"/>
  <c r="E83" i="47"/>
  <c r="M81" i="47"/>
  <c r="D2404" i="184"/>
  <c r="M90" i="47"/>
  <c r="J1584" i="184"/>
  <c r="O62" i="47"/>
  <c r="C94" i="191" s="1"/>
  <c r="I18" i="47"/>
  <c r="I244" i="184" s="1"/>
  <c r="I429" i="184"/>
  <c r="I105" i="47"/>
  <c r="I29" i="47"/>
  <c r="M28" i="47"/>
  <c r="M41" i="47"/>
  <c r="D15" i="46"/>
  <c r="L18" i="47"/>
  <c r="L244" i="184" s="1"/>
  <c r="L105" i="47"/>
  <c r="K726" i="184"/>
  <c r="K31" i="47"/>
  <c r="K689" i="184"/>
  <c r="M33" i="47"/>
  <c r="J1843" i="184"/>
  <c r="M69" i="47"/>
  <c r="M11" i="47"/>
  <c r="F105" i="47"/>
  <c r="F1173" i="184"/>
  <c r="F1199" i="184" s="1"/>
  <c r="F2665" i="184" s="1"/>
  <c r="D59" i="181" s="1"/>
  <c r="M47" i="47"/>
  <c r="D27" i="46"/>
  <c r="F1249" i="184"/>
  <c r="F1275" i="184" s="1"/>
  <c r="F2669" i="184" s="1"/>
  <c r="D63" i="181" s="1"/>
  <c r="F56" i="47"/>
  <c r="M51" i="47"/>
  <c r="F726" i="184"/>
  <c r="M32" i="47"/>
  <c r="F42" i="47"/>
  <c r="M36" i="47"/>
  <c r="X66" i="47"/>
  <c r="L242" i="191" s="1"/>
  <c r="M242" i="191" s="1"/>
  <c r="H242" i="191"/>
  <c r="G31" i="47"/>
  <c r="G689" i="184" s="1"/>
  <c r="G726" i="184"/>
  <c r="H71" i="47"/>
  <c r="H1917" i="184" s="1"/>
  <c r="M60" i="47"/>
  <c r="D39" i="46"/>
  <c r="F71" i="47"/>
  <c r="F1917" i="184"/>
  <c r="M63" i="47"/>
  <c r="M13" i="47"/>
  <c r="F1397" i="184"/>
  <c r="M55" i="47"/>
  <c r="K318" i="184"/>
  <c r="K344" i="184" s="1"/>
  <c r="K2638" i="184" s="1"/>
  <c r="K18" i="47"/>
  <c r="K244" i="184"/>
  <c r="H837" i="184"/>
  <c r="E1769" i="184"/>
  <c r="T67" i="47"/>
  <c r="M67" i="47"/>
  <c r="I1956" i="184"/>
  <c r="I78" i="47"/>
  <c r="I2104" i="184" s="1"/>
  <c r="K2180" i="184"/>
  <c r="K466" i="184"/>
  <c r="K29" i="47"/>
  <c r="M52" i="47"/>
  <c r="G1806" i="184"/>
  <c r="M68" i="47"/>
  <c r="G71" i="47"/>
  <c r="G1917" i="184" s="1"/>
  <c r="M24" i="47"/>
  <c r="M38" i="47"/>
  <c r="W37" i="47" s="1"/>
  <c r="K15" i="47"/>
  <c r="K105" i="47"/>
  <c r="H429" i="184"/>
  <c r="I1286" i="184"/>
  <c r="M14" i="47"/>
  <c r="M66" i="47"/>
  <c r="E874" i="184"/>
  <c r="F168" i="184"/>
  <c r="F194" i="184" s="1"/>
  <c r="F2632" i="184" s="1"/>
  <c r="D50" i="181" s="1"/>
  <c r="G900" i="184"/>
  <c r="G2654" i="184" s="1"/>
  <c r="J131" i="184"/>
  <c r="J157" i="184" s="1"/>
  <c r="J2631" i="184" s="1"/>
  <c r="L1423" i="184"/>
  <c r="L2673" i="184" s="1"/>
  <c r="E1199" i="184"/>
  <c r="E2665" i="184" s="1"/>
  <c r="E529" i="184"/>
  <c r="E2643" i="184" s="1"/>
  <c r="M54" i="47"/>
  <c r="J466" i="184"/>
  <c r="F38" i="41"/>
  <c r="E47" i="41"/>
  <c r="E61" i="41" s="1"/>
  <c r="K40" i="41"/>
  <c r="M40" i="41" s="1"/>
  <c r="M47" i="41" s="1"/>
  <c r="N49" i="218"/>
  <c r="AB67" i="42"/>
  <c r="K231" i="191"/>
  <c r="L2356" i="184"/>
  <c r="L2706" i="184" s="1"/>
  <c r="F279" i="184"/>
  <c r="M19" i="42"/>
  <c r="F18" i="42"/>
  <c r="F242" i="184" s="1"/>
  <c r="F105" i="42"/>
  <c r="K279" i="184"/>
  <c r="G798" i="184"/>
  <c r="I1508" i="184"/>
  <c r="D46" i="41"/>
  <c r="M70" i="42"/>
  <c r="H2065" i="184"/>
  <c r="M77" i="42"/>
  <c r="K2402" i="184"/>
  <c r="H29" i="42"/>
  <c r="H575" i="184"/>
  <c r="M26" i="42"/>
  <c r="I538" i="184"/>
  <c r="I566" i="184"/>
  <c r="I2644" i="184" s="1"/>
  <c r="I29" i="42"/>
  <c r="L18" i="184"/>
  <c r="L15" i="42"/>
  <c r="M10" i="42"/>
  <c r="D15" i="42"/>
  <c r="D18" i="184"/>
  <c r="D46" i="184"/>
  <c r="D2628" i="184" s="1"/>
  <c r="N35" i="218"/>
  <c r="M1321" i="184"/>
  <c r="I56" i="42"/>
  <c r="I1432" i="184" s="1"/>
  <c r="I1210" i="184"/>
  <c r="G279" i="184"/>
  <c r="G18" i="42"/>
  <c r="G242" i="184" s="1"/>
  <c r="G105" i="42"/>
  <c r="H18" i="42"/>
  <c r="H242" i="184" s="1"/>
  <c r="M20" i="42"/>
  <c r="H390" i="184"/>
  <c r="M22" i="42"/>
  <c r="D761" i="184"/>
  <c r="M33" i="42"/>
  <c r="I1841" i="184"/>
  <c r="M69" i="42"/>
  <c r="P70" i="42" s="1"/>
  <c r="I10" i="221" s="1"/>
  <c r="L29" i="42"/>
  <c r="L427" i="184"/>
  <c r="L455" i="184" s="1"/>
  <c r="L2641" i="184" s="1"/>
  <c r="M23" i="42"/>
  <c r="D29" i="42"/>
  <c r="D44" i="42" s="1"/>
  <c r="D427" i="184"/>
  <c r="D18" i="42"/>
  <c r="G575" i="184"/>
  <c r="M27" i="42"/>
  <c r="M34" i="42"/>
  <c r="K1693" i="184"/>
  <c r="K71" i="42"/>
  <c r="K1915" i="184" s="1"/>
  <c r="M68" i="42"/>
  <c r="F1804" i="184"/>
  <c r="D66" i="41"/>
  <c r="E2178" i="184"/>
  <c r="L2178" i="184"/>
  <c r="M28" i="42"/>
  <c r="AA16" i="231"/>
  <c r="M1057" i="184"/>
  <c r="T36" i="227"/>
  <c r="M40" i="42"/>
  <c r="K18" i="42"/>
  <c r="K242" i="184" s="1"/>
  <c r="G44" i="42"/>
  <c r="E71" i="42"/>
  <c r="E1915" i="184"/>
  <c r="O60" i="42"/>
  <c r="T60" i="42"/>
  <c r="M60" i="42"/>
  <c r="D71" i="42"/>
  <c r="T63" i="42"/>
  <c r="M63" i="42"/>
  <c r="O63" i="42"/>
  <c r="U67" i="42"/>
  <c r="D277" i="191"/>
  <c r="D305" i="191" s="1"/>
  <c r="M76" i="42"/>
  <c r="F78" i="42"/>
  <c r="F2102" i="184" s="1"/>
  <c r="I2141" i="184"/>
  <c r="I2169" i="184" s="1"/>
  <c r="I2699" i="184" s="1"/>
  <c r="I83" i="42"/>
  <c r="I2215" i="184" s="1"/>
  <c r="J872" i="184"/>
  <c r="J42" i="42"/>
  <c r="M14" i="42"/>
  <c r="H105" i="42"/>
  <c r="H55" i="184"/>
  <c r="I105" i="42"/>
  <c r="I1171" i="184"/>
  <c r="I1199" i="184" s="1"/>
  <c r="I2665" i="184" s="1"/>
  <c r="E56" i="42"/>
  <c r="E1247" i="184"/>
  <c r="E1275" i="184" s="1"/>
  <c r="E2669" i="184" s="1"/>
  <c r="D2215" i="184"/>
  <c r="H353" i="184"/>
  <c r="K835" i="184"/>
  <c r="T67" i="42"/>
  <c r="H277" i="191" s="1"/>
  <c r="G1767" i="184"/>
  <c r="G1795" i="184"/>
  <c r="G2685" i="184" s="1"/>
  <c r="H2365" i="184"/>
  <c r="M89" i="42"/>
  <c r="I31" i="42"/>
  <c r="I687" i="184" s="1"/>
  <c r="N29" i="218"/>
  <c r="M1171" i="184"/>
  <c r="B23" i="41"/>
  <c r="D105" i="42"/>
  <c r="E31" i="42"/>
  <c r="E687" i="184" s="1"/>
  <c r="M32" i="42"/>
  <c r="M35" i="42"/>
  <c r="F31" i="42"/>
  <c r="F687" i="184"/>
  <c r="D41" i="41"/>
  <c r="F1693" i="184"/>
  <c r="M65" i="42"/>
  <c r="I1730" i="184"/>
  <c r="I1758" i="184"/>
  <c r="I2684" i="184" s="1"/>
  <c r="M66" i="42"/>
  <c r="H1767" i="184"/>
  <c r="H71" i="42"/>
  <c r="H1915" i="184" s="1"/>
  <c r="H78" i="42"/>
  <c r="H2102" i="184" s="1"/>
  <c r="M74" i="42"/>
  <c r="H1954" i="184"/>
  <c r="H1982" i="184" s="1"/>
  <c r="H2692" i="184" s="1"/>
  <c r="D1991" i="184"/>
  <c r="D78" i="42"/>
  <c r="M75" i="42"/>
  <c r="N36" i="218"/>
  <c r="B30" i="41"/>
  <c r="K83" i="184"/>
  <c r="K2629" i="184" s="1"/>
  <c r="D31" i="42"/>
  <c r="M87" i="42"/>
  <c r="D1094" i="184"/>
  <c r="L798" i="184"/>
  <c r="L826" i="184" s="1"/>
  <c r="L2652" i="184" s="1"/>
  <c r="L1545" i="184"/>
  <c r="L71" i="42"/>
  <c r="L1915" i="184" s="1"/>
  <c r="G1582" i="184"/>
  <c r="U63" i="42"/>
  <c r="I129" i="191" s="1"/>
  <c r="D129" i="191"/>
  <c r="L116" i="42"/>
  <c r="B27" i="43"/>
  <c r="F464" i="184"/>
  <c r="F29" i="42"/>
  <c r="M13" i="42"/>
  <c r="D129" i="184"/>
  <c r="H203" i="191"/>
  <c r="D18" i="191"/>
  <c r="L110" i="42"/>
  <c r="U60" i="42"/>
  <c r="I18" i="191" s="1"/>
  <c r="F71" i="42"/>
  <c r="F1915" i="184" s="1"/>
  <c r="J1656" i="184"/>
  <c r="J1684" i="184"/>
  <c r="J2682" i="184" s="1"/>
  <c r="J71" i="42"/>
  <c r="J1915" i="184"/>
  <c r="L114" i="42"/>
  <c r="E83" i="42"/>
  <c r="E2215" i="184" s="1"/>
  <c r="E2141" i="184"/>
  <c r="M88" i="42"/>
  <c r="G1656" i="184"/>
  <c r="J29" i="42"/>
  <c r="J649" i="184"/>
  <c r="J105" i="42"/>
  <c r="M25" i="42"/>
  <c r="K501" i="184"/>
  <c r="K529" i="184" s="1"/>
  <c r="K2643" i="184" s="1"/>
  <c r="E105" i="42"/>
  <c r="E464" i="184"/>
  <c r="E492" i="184" s="1"/>
  <c r="E2642" i="184" s="1"/>
  <c r="E29" i="42"/>
  <c r="E649" i="184"/>
  <c r="E42" i="42"/>
  <c r="F1020" i="184"/>
  <c r="L1906" i="184"/>
  <c r="L2688" i="184" s="1"/>
  <c r="K157" i="191"/>
  <c r="F455" i="184"/>
  <c r="F2641" i="184" s="1"/>
  <c r="M11" i="42"/>
  <c r="F603" i="184"/>
  <c r="F2645" i="184" s="1"/>
  <c r="H566" i="184"/>
  <c r="H2644" i="184" s="1"/>
  <c r="H2430" i="184"/>
  <c r="H2708" i="184" s="1"/>
  <c r="K2467" i="184"/>
  <c r="K2709" i="184" s="1"/>
  <c r="H1171" i="184"/>
  <c r="M39" i="42"/>
  <c r="L529" i="184"/>
  <c r="L2643" i="184" s="1"/>
  <c r="H826" i="184"/>
  <c r="H2652" i="184" s="1"/>
  <c r="J83" i="191"/>
  <c r="K2504" i="184"/>
  <c r="K2710" i="184" s="1"/>
  <c r="I2504" i="184"/>
  <c r="I2710" i="184" s="1"/>
  <c r="K1423" i="184"/>
  <c r="K2673" i="184" s="1"/>
  <c r="K15" i="42"/>
  <c r="L2430" i="184"/>
  <c r="L2708" i="184" s="1"/>
  <c r="G194" i="184"/>
  <c r="G2632" i="184" s="1"/>
  <c r="D1199" i="184"/>
  <c r="D2665" i="184" s="1"/>
  <c r="K83" i="191"/>
  <c r="K1349" i="184"/>
  <c r="K2671" i="184" s="1"/>
  <c r="M35" i="26"/>
  <c r="H832" i="184"/>
  <c r="H31" i="26"/>
  <c r="H684" i="184" s="1"/>
  <c r="R61" i="26"/>
  <c r="G44" i="26"/>
  <c r="F83" i="26"/>
  <c r="F2212" i="184" s="1"/>
  <c r="D57" i="25"/>
  <c r="D59" i="25"/>
  <c r="G71" i="26"/>
  <c r="G1912" i="184" s="1"/>
  <c r="M64" i="26"/>
  <c r="T64" i="26"/>
  <c r="G1653" i="184"/>
  <c r="K29" i="26"/>
  <c r="K646" i="184" s="1"/>
  <c r="K18" i="26"/>
  <c r="K239" i="184"/>
  <c r="K424" i="184"/>
  <c r="K455" i="184" s="1"/>
  <c r="K2641" i="184" s="1"/>
  <c r="M609" i="184"/>
  <c r="L32" i="227"/>
  <c r="O14" i="231"/>
  <c r="E609" i="184"/>
  <c r="E29" i="26"/>
  <c r="F29" i="26"/>
  <c r="F105" i="26"/>
  <c r="M15" i="184"/>
  <c r="J10" i="218"/>
  <c r="B10" i="25"/>
  <c r="E15" i="184"/>
  <c r="E105" i="26"/>
  <c r="E15" i="26"/>
  <c r="D78" i="26"/>
  <c r="M77" i="26"/>
  <c r="D2062" i="184"/>
  <c r="G1207" i="184"/>
  <c r="M50" i="26"/>
  <c r="G56" i="26"/>
  <c r="L71" i="26"/>
  <c r="L1912" i="184" s="1"/>
  <c r="M63" i="26"/>
  <c r="L1616" i="184"/>
  <c r="L1647" i="184" s="1"/>
  <c r="L2681" i="184" s="1"/>
  <c r="M62" i="26"/>
  <c r="J71" i="26"/>
  <c r="J1912" i="184"/>
  <c r="O62" i="26"/>
  <c r="C89" i="191" s="1"/>
  <c r="J1579" i="184"/>
  <c r="M36" i="26"/>
  <c r="I869" i="184"/>
  <c r="I105" i="26"/>
  <c r="M11" i="26"/>
  <c r="I52" i="184"/>
  <c r="I83" i="184" s="1"/>
  <c r="I2629" i="184" s="1"/>
  <c r="I15" i="26"/>
  <c r="M53" i="26"/>
  <c r="G18" i="26"/>
  <c r="G239" i="184" s="1"/>
  <c r="G276" i="184"/>
  <c r="M19" i="26"/>
  <c r="D313" i="184"/>
  <c r="D18" i="26"/>
  <c r="X63" i="26"/>
  <c r="L126" i="191"/>
  <c r="I126" i="191"/>
  <c r="G1727" i="184"/>
  <c r="M66" i="26"/>
  <c r="O66" i="26"/>
  <c r="C237" i="191" s="1"/>
  <c r="T66" i="26"/>
  <c r="M76" i="26"/>
  <c r="I78" i="26"/>
  <c r="I2099" i="184" s="1"/>
  <c r="I2025" i="184"/>
  <c r="M54" i="26"/>
  <c r="G1355" i="184"/>
  <c r="K56" i="26"/>
  <c r="K1429" i="184" s="1"/>
  <c r="K1244" i="184"/>
  <c r="K1275" i="184" s="1"/>
  <c r="K2669" i="184" s="1"/>
  <c r="L18" i="26"/>
  <c r="L239" i="184"/>
  <c r="L387" i="184"/>
  <c r="L105" i="26"/>
  <c r="L113" i="26"/>
  <c r="K15" i="191"/>
  <c r="P69" i="26"/>
  <c r="U65" i="26"/>
  <c r="D200" i="191"/>
  <c r="M91" i="26"/>
  <c r="G2436" i="184"/>
  <c r="G1168" i="184"/>
  <c r="G105" i="26"/>
  <c r="M47" i="26"/>
  <c r="R64" i="26"/>
  <c r="C163" i="191"/>
  <c r="M75" i="26"/>
  <c r="G78" i="26"/>
  <c r="G2099" i="184" s="1"/>
  <c r="G1988" i="184"/>
  <c r="H83" i="26"/>
  <c r="H2212" i="184" s="1"/>
  <c r="M82" i="26"/>
  <c r="H2175" i="184"/>
  <c r="L29" i="26"/>
  <c r="L461" i="184"/>
  <c r="L492" i="184" s="1"/>
  <c r="L2642" i="184" s="1"/>
  <c r="D461" i="184"/>
  <c r="D492" i="184" s="1"/>
  <c r="D2642" i="184" s="1"/>
  <c r="M24" i="26"/>
  <c r="M38" i="26"/>
  <c r="K943" i="184"/>
  <c r="K42" i="26"/>
  <c r="E42" i="26"/>
  <c r="E906" i="184"/>
  <c r="B13" i="25"/>
  <c r="M126" i="184"/>
  <c r="J13" i="218"/>
  <c r="O13" i="26"/>
  <c r="M51" i="26"/>
  <c r="E2362" i="184"/>
  <c r="M89" i="26"/>
  <c r="K71" i="26"/>
  <c r="K1912" i="184" s="1"/>
  <c r="K1653" i="184"/>
  <c r="M70" i="26"/>
  <c r="G1875" i="184"/>
  <c r="E1951" i="184"/>
  <c r="M74" i="26"/>
  <c r="E78" i="26"/>
  <c r="E2099" i="184" s="1"/>
  <c r="K1951" i="184"/>
  <c r="K78" i="26"/>
  <c r="K2099" i="184"/>
  <c r="K2138" i="184"/>
  <c r="K83" i="26"/>
  <c r="K2212" i="184" s="1"/>
  <c r="M25" i="26"/>
  <c r="J498" i="184"/>
  <c r="J529" i="184" s="1"/>
  <c r="J2643" i="184" s="1"/>
  <c r="J29" i="26"/>
  <c r="M39" i="26"/>
  <c r="I980" i="184"/>
  <c r="I1011" i="184" s="1"/>
  <c r="I2657" i="184" s="1"/>
  <c r="G1281" i="184"/>
  <c r="G1312" i="184" s="1"/>
  <c r="G2670" i="184" s="1"/>
  <c r="M52" i="26"/>
  <c r="M21" i="26"/>
  <c r="K105" i="26"/>
  <c r="K350" i="184"/>
  <c r="M22" i="26"/>
  <c r="H105" i="26"/>
  <c r="H18" i="26"/>
  <c r="H239" i="184" s="1"/>
  <c r="H387" i="184"/>
  <c r="H418" i="184"/>
  <c r="H2640" i="184" s="1"/>
  <c r="F31" i="26"/>
  <c r="M33" i="26"/>
  <c r="F758" i="184"/>
  <c r="E1764" i="184"/>
  <c r="E1795" i="184" s="1"/>
  <c r="E2685" i="184" s="1"/>
  <c r="O67" i="26"/>
  <c r="C274" i="191" s="1"/>
  <c r="T67" i="26"/>
  <c r="H274" i="191"/>
  <c r="M67" i="26"/>
  <c r="E71" i="26"/>
  <c r="I274" i="191"/>
  <c r="F2399" i="184"/>
  <c r="M90" i="26"/>
  <c r="M23" i="26"/>
  <c r="M26" i="26"/>
  <c r="H29" i="26"/>
  <c r="G1017" i="184"/>
  <c r="M40" i="26"/>
  <c r="M14" i="26"/>
  <c r="I163" i="184"/>
  <c r="M55" i="26"/>
  <c r="I1832" i="184"/>
  <c r="I2686" i="184" s="1"/>
  <c r="L1869" i="184"/>
  <c r="L2687" i="184" s="1"/>
  <c r="F1758" i="184"/>
  <c r="F2684" i="184" s="1"/>
  <c r="D78" i="181" s="1"/>
  <c r="J120" i="191"/>
  <c r="E47" i="20"/>
  <c r="E61" i="20" s="1"/>
  <c r="E73" i="20" s="1"/>
  <c r="D18" i="21"/>
  <c r="D312" i="184"/>
  <c r="L720" i="184"/>
  <c r="L752" i="184" s="1"/>
  <c r="L2650" i="184" s="1"/>
  <c r="L31" i="21"/>
  <c r="L683" i="184"/>
  <c r="H71" i="21"/>
  <c r="H1911" i="184" s="1"/>
  <c r="H1504" i="184"/>
  <c r="M90" i="21"/>
  <c r="F608" i="184"/>
  <c r="F640" i="184" s="1"/>
  <c r="F2646" i="184" s="1"/>
  <c r="M28" i="21"/>
  <c r="M39" i="21"/>
  <c r="D1280" i="184"/>
  <c r="M52" i="21"/>
  <c r="L114" i="21"/>
  <c r="F1800" i="184"/>
  <c r="D66" i="20"/>
  <c r="M25" i="21"/>
  <c r="I29" i="21"/>
  <c r="I497" i="184"/>
  <c r="G15" i="21"/>
  <c r="F78" i="21"/>
  <c r="F2098" i="184" s="1"/>
  <c r="M74" i="21"/>
  <c r="L78" i="21"/>
  <c r="L1950" i="184"/>
  <c r="K83" i="21"/>
  <c r="K2211" i="184" s="1"/>
  <c r="K2174" i="184"/>
  <c r="M89" i="21"/>
  <c r="M2552" i="184"/>
  <c r="K1312" i="184"/>
  <c r="K2670" i="184" s="1"/>
  <c r="M34" i="21"/>
  <c r="M26" i="21"/>
  <c r="G29" i="21"/>
  <c r="G534" i="184"/>
  <c r="G566" i="184" s="1"/>
  <c r="G2644" i="184" s="1"/>
  <c r="K942" i="184"/>
  <c r="K42" i="21"/>
  <c r="M757" i="184"/>
  <c r="S13" i="231"/>
  <c r="G78" i="21"/>
  <c r="G2098" i="184"/>
  <c r="G1950" i="184"/>
  <c r="H22" i="218"/>
  <c r="V13" i="231"/>
  <c r="E868" i="184"/>
  <c r="E42" i="21"/>
  <c r="M53" i="21"/>
  <c r="M50" i="21"/>
  <c r="D1206" i="184"/>
  <c r="D1238" i="184" s="1"/>
  <c r="D2668" i="184" s="1"/>
  <c r="K757" i="184"/>
  <c r="K31" i="21"/>
  <c r="K683" i="184" s="1"/>
  <c r="E1652" i="184"/>
  <c r="T64" i="21"/>
  <c r="G1837" i="184"/>
  <c r="G1869" i="184"/>
  <c r="G2687" i="184" s="1"/>
  <c r="M69" i="21"/>
  <c r="J83" i="21"/>
  <c r="J2211" i="184" s="1"/>
  <c r="J2137" i="184"/>
  <c r="J2169" i="184"/>
  <c r="J2699" i="184" s="1"/>
  <c r="M23" i="21"/>
  <c r="H29" i="21"/>
  <c r="H18" i="21"/>
  <c r="H238" i="184"/>
  <c r="H423" i="184"/>
  <c r="H11" i="218"/>
  <c r="B11" i="20"/>
  <c r="F15" i="21"/>
  <c r="M10" i="21"/>
  <c r="U60" i="21"/>
  <c r="I14" i="191"/>
  <c r="E831" i="184"/>
  <c r="M35" i="21"/>
  <c r="F1615" i="184"/>
  <c r="F1647" i="184" s="1"/>
  <c r="F2681" i="184" s="1"/>
  <c r="D75" i="181" s="1"/>
  <c r="D39" i="20"/>
  <c r="L111" i="21"/>
  <c r="Q69" i="21"/>
  <c r="E347" i="191" s="1"/>
  <c r="E379" i="191" s="1"/>
  <c r="E162" i="191"/>
  <c r="U65" i="21"/>
  <c r="D199" i="191"/>
  <c r="E83" i="21"/>
  <c r="M81" i="21"/>
  <c r="F460" i="184"/>
  <c r="F29" i="21"/>
  <c r="M24" i="21"/>
  <c r="D1085" i="184"/>
  <c r="D2659" i="184" s="1"/>
  <c r="M41" i="21"/>
  <c r="M54" i="21"/>
  <c r="F275" i="184"/>
  <c r="F307" i="184" s="1"/>
  <c r="F2637" i="184" s="1"/>
  <c r="M19" i="21"/>
  <c r="L275" i="184"/>
  <c r="F1504" i="184"/>
  <c r="D36" i="20"/>
  <c r="F71" i="21"/>
  <c r="D42" i="20"/>
  <c r="M66" i="21"/>
  <c r="F1987" i="184"/>
  <c r="F2019" i="184" s="1"/>
  <c r="F2693" i="184" s="1"/>
  <c r="D87" i="181" s="1"/>
  <c r="M75" i="21"/>
  <c r="D78" i="21"/>
  <c r="M77" i="21"/>
  <c r="J42" i="21"/>
  <c r="J868" i="184"/>
  <c r="T60" i="21"/>
  <c r="G71" i="21"/>
  <c r="G1911" i="184" s="1"/>
  <c r="M38" i="21"/>
  <c r="M55" i="21"/>
  <c r="D31" i="21"/>
  <c r="K1832" i="184"/>
  <c r="K2686" i="184" s="1"/>
  <c r="J1758" i="184"/>
  <c r="J2684" i="184" s="1"/>
  <c r="G529" i="184"/>
  <c r="G2643" i="184" s="1"/>
  <c r="H157" i="184"/>
  <c r="H2631" i="184" s="1"/>
  <c r="I1085" i="184"/>
  <c r="I2659" i="184" s="1"/>
  <c r="F1280" i="184"/>
  <c r="F1312" i="184"/>
  <c r="F2670" i="184" s="1"/>
  <c r="K603" i="184"/>
  <c r="K2645" i="184" s="1"/>
  <c r="E937" i="184"/>
  <c r="E2655" i="184" s="1"/>
  <c r="J157" i="191"/>
  <c r="K1758" i="184"/>
  <c r="K2684" i="184" s="1"/>
  <c r="K1011" i="184"/>
  <c r="K2657" i="184" s="1"/>
  <c r="L194" i="184"/>
  <c r="L2632" i="184" s="1"/>
  <c r="H381" i="184"/>
  <c r="H2639" i="184" s="1"/>
  <c r="J1906" i="184"/>
  <c r="J2688" i="184" s="1"/>
  <c r="K194" i="184"/>
  <c r="K2632" i="184" s="1"/>
  <c r="H1238" i="184"/>
  <c r="H2668" i="184" s="1"/>
  <c r="G46" i="184"/>
  <c r="G2628" i="184" s="1"/>
  <c r="E344" i="184"/>
  <c r="E2638" i="184" s="1"/>
  <c r="L974" i="184"/>
  <c r="L2656" i="184" s="1"/>
  <c r="H1423" i="184"/>
  <c r="H2673" i="184" s="1"/>
  <c r="K1684" i="184"/>
  <c r="K2682" i="184" s="1"/>
  <c r="L1795" i="184"/>
  <c r="L2685" i="184" s="1"/>
  <c r="J1205" i="184"/>
  <c r="J1238" i="184" s="1"/>
  <c r="J2668" i="184" s="1"/>
  <c r="J56" i="36"/>
  <c r="J1427" i="184" s="1"/>
  <c r="M50" i="36"/>
  <c r="M1688" i="184"/>
  <c r="F58" i="35"/>
  <c r="C58" i="35"/>
  <c r="D161" i="184"/>
  <c r="M14" i="36"/>
  <c r="L10" i="218"/>
  <c r="B10" i="35"/>
  <c r="M13" i="184"/>
  <c r="L71" i="36"/>
  <c r="L1910" i="184" s="1"/>
  <c r="L1540" i="184"/>
  <c r="L1573" i="184"/>
  <c r="L2679" i="184" s="1"/>
  <c r="J161" i="191"/>
  <c r="L112" i="36"/>
  <c r="X64" i="36"/>
  <c r="L161" i="191" s="1"/>
  <c r="F1688" i="184"/>
  <c r="D41" i="35"/>
  <c r="K83" i="36"/>
  <c r="K2210" i="184"/>
  <c r="K2136" i="184"/>
  <c r="K2169" i="184" s="1"/>
  <c r="K2699" i="184" s="1"/>
  <c r="M89" i="36"/>
  <c r="D2360" i="184"/>
  <c r="L18" i="218"/>
  <c r="M422" i="184"/>
  <c r="Q22" i="36"/>
  <c r="G17" i="227"/>
  <c r="G1015" i="184"/>
  <c r="G1048" i="184" s="1"/>
  <c r="G2658" i="184" s="1"/>
  <c r="G42" i="36"/>
  <c r="M978" i="184"/>
  <c r="R17" i="227"/>
  <c r="Y15" i="231"/>
  <c r="G31" i="36"/>
  <c r="G719" i="184"/>
  <c r="M32" i="36"/>
  <c r="G830" i="184"/>
  <c r="M35" i="36"/>
  <c r="E83" i="36"/>
  <c r="M81" i="36"/>
  <c r="E2136" i="184"/>
  <c r="M92" i="36"/>
  <c r="F2471" i="184"/>
  <c r="F2504" i="184"/>
  <c r="F2710" i="184" s="1"/>
  <c r="E1052" i="184"/>
  <c r="E1085" i="184"/>
  <c r="E2659" i="184" s="1"/>
  <c r="E42" i="36"/>
  <c r="F1427" i="184"/>
  <c r="M56" i="36"/>
  <c r="M1427" i="184" s="1"/>
  <c r="F1316" i="184"/>
  <c r="M53" i="36"/>
  <c r="D29" i="35"/>
  <c r="H10" i="216"/>
  <c r="F198" i="191"/>
  <c r="G198" i="191"/>
  <c r="L18" i="36"/>
  <c r="L237" i="184" s="1"/>
  <c r="L274" i="184"/>
  <c r="K105" i="36"/>
  <c r="K31" i="36"/>
  <c r="K682" i="184"/>
  <c r="K830" i="184"/>
  <c r="L114" i="36"/>
  <c r="M74" i="36"/>
  <c r="G78" i="36"/>
  <c r="G1949" i="184"/>
  <c r="Q15" i="212"/>
  <c r="R17" i="210"/>
  <c r="H14" i="215"/>
  <c r="AD15" i="231"/>
  <c r="U16" i="214"/>
  <c r="S17" i="229"/>
  <c r="U17" i="220"/>
  <c r="X43" i="209"/>
  <c r="M22" i="36"/>
  <c r="E385" i="184"/>
  <c r="O66" i="36"/>
  <c r="C235" i="191" s="1"/>
  <c r="D71" i="36"/>
  <c r="T66" i="36"/>
  <c r="M66" i="36"/>
  <c r="D1725" i="184"/>
  <c r="H422" i="184"/>
  <c r="H18" i="36"/>
  <c r="H237" i="184" s="1"/>
  <c r="H29" i="36"/>
  <c r="M28" i="36"/>
  <c r="M38" i="36"/>
  <c r="H15" i="36"/>
  <c r="H105" i="36"/>
  <c r="H13" i="184"/>
  <c r="H46" i="184" s="1"/>
  <c r="H2628" i="184" s="1"/>
  <c r="M77" i="36"/>
  <c r="H2060" i="184"/>
  <c r="M88" i="36"/>
  <c r="H2323" i="184"/>
  <c r="H2356" i="184" s="1"/>
  <c r="H2706" i="184" s="1"/>
  <c r="J105" i="36"/>
  <c r="J459" i="184"/>
  <c r="J29" i="36"/>
  <c r="L15" i="36"/>
  <c r="L105" i="36"/>
  <c r="L50" i="184"/>
  <c r="D50" i="184"/>
  <c r="D105" i="36"/>
  <c r="M11" i="36"/>
  <c r="I18" i="36"/>
  <c r="I237" i="184" s="1"/>
  <c r="I105" i="36"/>
  <c r="I274" i="184"/>
  <c r="I307" i="184"/>
  <c r="I2637" i="184" s="1"/>
  <c r="L1089" i="184"/>
  <c r="L44" i="36"/>
  <c r="L1127" i="184" s="1"/>
  <c r="M61" i="36"/>
  <c r="F71" i="36"/>
  <c r="F1910" i="184" s="1"/>
  <c r="D37" i="35"/>
  <c r="F1540" i="184"/>
  <c r="K71" i="36"/>
  <c r="K1910" i="184"/>
  <c r="K1614" i="184"/>
  <c r="M70" i="36"/>
  <c r="D1873" i="184"/>
  <c r="M91" i="36"/>
  <c r="J2434" i="184"/>
  <c r="I31" i="36"/>
  <c r="I682" i="184" s="1"/>
  <c r="M36" i="36"/>
  <c r="I867" i="184"/>
  <c r="M24" i="36"/>
  <c r="M40" i="36"/>
  <c r="G1166" i="184"/>
  <c r="G105" i="36"/>
  <c r="L36" i="218"/>
  <c r="M1353" i="184"/>
  <c r="B30" i="35"/>
  <c r="M51" i="36"/>
  <c r="D27" i="35"/>
  <c r="E18" i="36"/>
  <c r="M21" i="36"/>
  <c r="E105" i="36"/>
  <c r="E348" i="184"/>
  <c r="H71" i="36"/>
  <c r="H1910" i="184" s="1"/>
  <c r="H1943" i="184" s="1"/>
  <c r="H1725" i="184"/>
  <c r="X67" i="36"/>
  <c r="L272" i="191" s="1"/>
  <c r="J272" i="191"/>
  <c r="M76" i="36"/>
  <c r="H78" i="36"/>
  <c r="H2097" i="184" s="1"/>
  <c r="H2023" i="184"/>
  <c r="H2056" i="184" s="1"/>
  <c r="H2694" i="184" s="1"/>
  <c r="M87" i="36"/>
  <c r="D2286" i="184"/>
  <c r="M90" i="36"/>
  <c r="E2397" i="184"/>
  <c r="F533" i="184"/>
  <c r="F566" i="184"/>
  <c r="F2644" i="184" s="1"/>
  <c r="F29" i="36"/>
  <c r="M26" i="36"/>
  <c r="F105" i="36"/>
  <c r="M47" i="36"/>
  <c r="M63" i="36"/>
  <c r="O63" i="36"/>
  <c r="T63" i="36"/>
  <c r="G71" i="36"/>
  <c r="G1910" i="184" s="1"/>
  <c r="G1614" i="184"/>
  <c r="D570" i="184"/>
  <c r="D603" i="184" s="1"/>
  <c r="D2645" i="184" s="1"/>
  <c r="D29" i="36"/>
  <c r="M27" i="36"/>
  <c r="F1390" i="184"/>
  <c r="D31" i="35"/>
  <c r="M55" i="36"/>
  <c r="M20" i="36"/>
  <c r="I311" i="184"/>
  <c r="O60" i="36"/>
  <c r="M60" i="36"/>
  <c r="J71" i="36"/>
  <c r="J1910" i="184" s="1"/>
  <c r="J1503" i="184"/>
  <c r="J1536" i="184" s="1"/>
  <c r="J2678" i="184" s="1"/>
  <c r="L113" i="36"/>
  <c r="K87" i="191"/>
  <c r="I71" i="36"/>
  <c r="M67" i="36"/>
  <c r="I1762" i="184"/>
  <c r="K42" i="36"/>
  <c r="K941" i="184"/>
  <c r="M13" i="36"/>
  <c r="M52" i="36"/>
  <c r="E752" i="184"/>
  <c r="E2650" i="184" s="1"/>
  <c r="H789" i="184"/>
  <c r="H2651" i="184" s="1"/>
  <c r="J2356" i="184"/>
  <c r="J2706" i="184" s="1"/>
  <c r="I607" i="184"/>
  <c r="I640" i="184" s="1"/>
  <c r="I2646" i="184" s="1"/>
  <c r="H344" i="184"/>
  <c r="H2638" i="184" s="1"/>
  <c r="I459" i="184"/>
  <c r="I492" i="184"/>
  <c r="I2642" i="184" s="1"/>
  <c r="E826" i="184"/>
  <c r="E2652" i="184" s="1"/>
  <c r="I455" i="184"/>
  <c r="I2641" i="184" s="1"/>
  <c r="J789" i="184"/>
  <c r="J2651" i="184" s="1"/>
  <c r="I2019" i="184"/>
  <c r="I2693" i="184" s="1"/>
  <c r="I2467" i="184"/>
  <c r="I2709" i="184" s="1"/>
  <c r="G422" i="184"/>
  <c r="M25" i="36"/>
  <c r="K1795" i="184"/>
  <c r="K2685" i="184" s="1"/>
  <c r="D1011" i="184"/>
  <c r="D2657" i="184" s="1"/>
  <c r="E1349" i="184"/>
  <c r="E2671" i="184" s="1"/>
  <c r="G2206" i="184"/>
  <c r="G2700" i="184" s="1"/>
  <c r="J941" i="184"/>
  <c r="J974" i="184" s="1"/>
  <c r="J2656" i="184" s="1"/>
  <c r="H2504" i="184"/>
  <c r="H2710" i="184" s="1"/>
  <c r="D64" i="222"/>
  <c r="F35" i="223"/>
  <c r="F10" i="223"/>
  <c r="D54" i="222"/>
  <c r="D111" i="222"/>
  <c r="F52" i="223"/>
  <c r="K52" i="223" s="1"/>
  <c r="O52" i="223" s="1"/>
  <c r="F59" i="223"/>
  <c r="F60" i="223"/>
  <c r="F64" i="223"/>
  <c r="B50" i="223"/>
  <c r="AB74" i="224"/>
  <c r="AB73" i="224"/>
  <c r="B49" i="223"/>
  <c r="D51" i="223"/>
  <c r="D54" i="223" s="1"/>
  <c r="D110" i="222"/>
  <c r="F48" i="223"/>
  <c r="D107" i="222"/>
  <c r="AB66" i="224"/>
  <c r="B42" i="223"/>
  <c r="B43" i="223"/>
  <c r="AB67" i="224"/>
  <c r="B46" i="223"/>
  <c r="AB70" i="224"/>
  <c r="D60" i="222"/>
  <c r="D11" i="222"/>
  <c r="F23" i="223"/>
  <c r="F34" i="223"/>
  <c r="D63" i="222"/>
  <c r="F11" i="223"/>
  <c r="D55" i="222"/>
  <c r="B13" i="223"/>
  <c r="O13" i="224"/>
  <c r="W26" i="224"/>
  <c r="W41" i="224"/>
  <c r="W42" i="224"/>
  <c r="W29" i="224"/>
  <c r="W34" i="224"/>
  <c r="W45" i="224"/>
  <c r="E18" i="224"/>
  <c r="L117" i="224"/>
  <c r="M71" i="224"/>
  <c r="U66" i="224"/>
  <c r="D85" i="224"/>
  <c r="M61" i="224"/>
  <c r="B37" i="223" s="1"/>
  <c r="L15" i="224"/>
  <c r="F58" i="223"/>
  <c r="F42" i="224"/>
  <c r="M33" i="224"/>
  <c r="W36" i="224" s="1"/>
  <c r="M26" i="224"/>
  <c r="K31" i="224"/>
  <c r="M31" i="224" s="1"/>
  <c r="P113" i="224" s="1"/>
  <c r="AA78" i="224"/>
  <c r="I85" i="224"/>
  <c r="K29" i="224"/>
  <c r="T66" i="224"/>
  <c r="D29" i="224"/>
  <c r="D112" i="224"/>
  <c r="H78" i="224"/>
  <c r="K78" i="224"/>
  <c r="M89" i="224"/>
  <c r="B65" i="223"/>
  <c r="B66" i="223" s="1"/>
  <c r="R72" i="224"/>
  <c r="H52" i="216" s="1"/>
  <c r="F18" i="224"/>
  <c r="M60" i="224"/>
  <c r="G42" i="224"/>
  <c r="G44" i="224"/>
  <c r="G63" i="224" s="1"/>
  <c r="G92" i="224" s="1"/>
  <c r="G100" i="224" s="1"/>
  <c r="F32" i="223"/>
  <c r="G112" i="224"/>
  <c r="M57" i="224"/>
  <c r="B33" i="223" s="1"/>
  <c r="M41" i="224"/>
  <c r="K42" i="224"/>
  <c r="D18" i="224"/>
  <c r="M81" i="224"/>
  <c r="B57" i="223" s="1"/>
  <c r="O74" i="224"/>
  <c r="O71" i="224"/>
  <c r="R71" i="224" s="1"/>
  <c r="G52" i="216" s="1"/>
  <c r="O66" i="224"/>
  <c r="R66" i="224" s="1"/>
  <c r="E112" i="224"/>
  <c r="H112" i="224"/>
  <c r="F62" i="224"/>
  <c r="M62" i="224" s="1"/>
  <c r="M39" i="224"/>
  <c r="AB72" i="224"/>
  <c r="D74" i="223"/>
  <c r="K15" i="224"/>
  <c r="J78" i="224"/>
  <c r="W28" i="224"/>
  <c r="J112" i="224"/>
  <c r="M14" i="224"/>
  <c r="B14" i="223" s="1"/>
  <c r="B15" i="223" s="1"/>
  <c r="M68" i="224"/>
  <c r="M38" i="224"/>
  <c r="W46" i="224" s="1"/>
  <c r="F90" i="224"/>
  <c r="M90" i="224" s="1"/>
  <c r="I15" i="224"/>
  <c r="E15" i="224"/>
  <c r="F58" i="218"/>
  <c r="M2022" i="184"/>
  <c r="D1126" i="184"/>
  <c r="D57" i="16"/>
  <c r="AB60" i="16"/>
  <c r="M1502" i="184"/>
  <c r="B36" i="15"/>
  <c r="AB61" i="16"/>
  <c r="B37" i="15"/>
  <c r="M1539" i="184"/>
  <c r="B58" i="15"/>
  <c r="F64" i="218"/>
  <c r="M2172" i="184"/>
  <c r="F236" i="184"/>
  <c r="M1872" i="184"/>
  <c r="F52" i="218"/>
  <c r="B46" i="15"/>
  <c r="E681" i="184"/>
  <c r="F32" i="218"/>
  <c r="M1204" i="184"/>
  <c r="B26" i="15"/>
  <c r="J1426" i="184"/>
  <c r="R63" i="16"/>
  <c r="C123" i="191"/>
  <c r="B52" i="15"/>
  <c r="B14" i="15"/>
  <c r="F14" i="218"/>
  <c r="M160" i="184"/>
  <c r="M271" i="191"/>
  <c r="D54" i="15"/>
  <c r="D67" i="15"/>
  <c r="F50" i="218"/>
  <c r="AB68" i="16"/>
  <c r="B44" i="15"/>
  <c r="T62" i="16"/>
  <c r="F105" i="16"/>
  <c r="L83" i="16"/>
  <c r="I1982" i="184"/>
  <c r="I2692" i="184" s="1"/>
  <c r="O61" i="16"/>
  <c r="I18" i="16"/>
  <c r="I236" i="184" s="1"/>
  <c r="D12" i="191"/>
  <c r="K31" i="16"/>
  <c r="K681" i="184" s="1"/>
  <c r="G752" i="184"/>
  <c r="G2650" i="184" s="1"/>
  <c r="G83" i="184"/>
  <c r="G2629" i="184" s="1"/>
  <c r="E157" i="184"/>
  <c r="E2631" i="184" s="1"/>
  <c r="I2319" i="184"/>
  <c r="I2705" i="184" s="1"/>
  <c r="G755" i="184"/>
  <c r="G789" i="184" s="1"/>
  <c r="G2651" i="184" s="1"/>
  <c r="I792" i="184"/>
  <c r="E1539" i="184"/>
  <c r="E1573" i="184" s="1"/>
  <c r="E2679" i="184" s="1"/>
  <c r="D1613" i="184"/>
  <c r="D1647" i="184" s="1"/>
  <c r="D2681" i="184" s="1"/>
  <c r="F1687" i="184"/>
  <c r="H1761" i="184"/>
  <c r="H1795" i="184" s="1"/>
  <c r="H2685" i="184" s="1"/>
  <c r="G1798" i="184"/>
  <c r="K2059" i="184"/>
  <c r="K2093" i="184" s="1"/>
  <c r="K2695" i="184" s="1"/>
  <c r="J1721" i="184"/>
  <c r="J2683" i="184" s="1"/>
  <c r="I900" i="184"/>
  <c r="I2654" i="184" s="1"/>
  <c r="M26" i="16"/>
  <c r="M39" i="16"/>
  <c r="I2393" i="184"/>
  <c r="I2707" i="184" s="1"/>
  <c r="K2356" i="184"/>
  <c r="K2706" i="184" s="1"/>
  <c r="L2504" i="184"/>
  <c r="L2710" i="184" s="1"/>
  <c r="F1982" i="184"/>
  <c r="F2692" i="184" s="1"/>
  <c r="I160" i="184"/>
  <c r="F940" i="184"/>
  <c r="G344" i="184"/>
  <c r="G2638" i="184" s="1"/>
  <c r="G1573" i="184"/>
  <c r="G2679" i="184" s="1"/>
  <c r="K1573" i="184"/>
  <c r="K2679" i="184" s="1"/>
  <c r="K2393" i="184"/>
  <c r="K2707" i="184" s="1"/>
  <c r="R60" i="16"/>
  <c r="J78" i="16"/>
  <c r="F2206" i="184"/>
  <c r="F2700" i="184" s="1"/>
  <c r="O62" i="16"/>
  <c r="C86" i="191" s="1"/>
  <c r="E1869" i="184"/>
  <c r="E2687" i="184" s="1"/>
  <c r="L2467" i="184"/>
  <c r="L2709" i="184" s="1"/>
  <c r="I1275" i="184"/>
  <c r="I2669" i="184" s="1"/>
  <c r="G29" i="16"/>
  <c r="H458" i="184"/>
  <c r="H492" i="184" s="1"/>
  <c r="H2642" i="184" s="1"/>
  <c r="H1165" i="184"/>
  <c r="H1199" i="184"/>
  <c r="H2665" i="184" s="1"/>
  <c r="G1684" i="184"/>
  <c r="G2682" i="184" s="1"/>
  <c r="M37" i="16"/>
  <c r="F863" i="184"/>
  <c r="F2653" i="184" s="1"/>
  <c r="G421" i="184"/>
  <c r="E71" i="16"/>
  <c r="T63" i="16"/>
  <c r="F2059" i="184"/>
  <c r="I826" i="184"/>
  <c r="I2652" i="184" s="1"/>
  <c r="M54" i="16"/>
  <c r="M65" i="16"/>
  <c r="H83" i="16"/>
  <c r="K826" i="184"/>
  <c r="K2652" i="184" s="1"/>
  <c r="F34" i="30"/>
  <c r="D63" i="29"/>
  <c r="I61" i="215"/>
  <c r="D33" i="30"/>
  <c r="L57" i="122"/>
  <c r="L1156" i="184"/>
  <c r="L1488" i="184"/>
  <c r="L85" i="137"/>
  <c r="L1424" i="184"/>
  <c r="L44" i="102"/>
  <c r="L663" i="184"/>
  <c r="M21" i="13"/>
  <c r="G18" i="13"/>
  <c r="G105" i="13"/>
  <c r="G345" i="184"/>
  <c r="G381" i="184"/>
  <c r="G2639" i="184" s="1"/>
  <c r="L648" i="184"/>
  <c r="L44" i="162"/>
  <c r="J308" i="184"/>
  <c r="J105" i="13"/>
  <c r="M20" i="13"/>
  <c r="J18" i="13"/>
  <c r="J234" i="184" s="1"/>
  <c r="E44" i="13"/>
  <c r="E641" i="184"/>
  <c r="F1907" i="184"/>
  <c r="F57" i="41"/>
  <c r="D29" i="162"/>
  <c r="M25" i="162"/>
  <c r="D500" i="184"/>
  <c r="D105" i="162"/>
  <c r="L106" i="162" s="1"/>
  <c r="L118" i="162" s="1"/>
  <c r="L102" i="162" s="1"/>
  <c r="F37" i="221" s="1"/>
  <c r="D44" i="26"/>
  <c r="D646" i="184"/>
  <c r="D31" i="13"/>
  <c r="M33" i="13"/>
  <c r="I1387" i="184"/>
  <c r="I1423" i="184" s="1"/>
  <c r="I2673" i="184" s="1"/>
  <c r="I56" i="13"/>
  <c r="I1424" i="184" s="1"/>
  <c r="H2357" i="184"/>
  <c r="M89" i="13"/>
  <c r="L593" i="184"/>
  <c r="L29" i="177"/>
  <c r="M27" i="177"/>
  <c r="AX19" i="218"/>
  <c r="K43" i="227"/>
  <c r="N34" i="231"/>
  <c r="W28" i="122"/>
  <c r="M599" i="184"/>
  <c r="K1163" i="184"/>
  <c r="K1199" i="184" s="1"/>
  <c r="K2665" i="184" s="1"/>
  <c r="K105" i="13"/>
  <c r="D2283" i="184"/>
  <c r="M87" i="13"/>
  <c r="D121" i="191"/>
  <c r="P69" i="13"/>
  <c r="L110" i="13"/>
  <c r="M81" i="26"/>
  <c r="D83" i="26"/>
  <c r="D2138" i="184"/>
  <c r="D105" i="26"/>
  <c r="M11" i="13"/>
  <c r="H105" i="13"/>
  <c r="H15" i="13"/>
  <c r="N63" i="218"/>
  <c r="M2141" i="184"/>
  <c r="F105" i="13"/>
  <c r="D41" i="2"/>
  <c r="F1685" i="184"/>
  <c r="M65" i="13"/>
  <c r="J1796" i="184"/>
  <c r="J1832" i="184" s="1"/>
  <c r="J2686" i="184" s="1"/>
  <c r="M68" i="13"/>
  <c r="L1946" i="184"/>
  <c r="L1982" i="184" s="1"/>
  <c r="L2692" i="184" s="1"/>
  <c r="M74" i="13"/>
  <c r="M84" i="191"/>
  <c r="L71" i="13"/>
  <c r="L1907" i="184" s="1"/>
  <c r="M63" i="13"/>
  <c r="O64" i="13"/>
  <c r="M64" i="13"/>
  <c r="J71" i="13"/>
  <c r="J1907" i="184" s="1"/>
  <c r="I493" i="184"/>
  <c r="I105" i="13"/>
  <c r="I29" i="13"/>
  <c r="M24" i="13"/>
  <c r="J456" i="184"/>
  <c r="J29" i="13"/>
  <c r="M51" i="13"/>
  <c r="H1239" i="184"/>
  <c r="H1275" i="184"/>
  <c r="H2669" i="184" s="1"/>
  <c r="H56" i="13"/>
  <c r="I232" i="191"/>
  <c r="X66" i="13"/>
  <c r="L232" i="191" s="1"/>
  <c r="M232" i="191" s="1"/>
  <c r="I31" i="13"/>
  <c r="I679" i="184"/>
  <c r="I753" i="184"/>
  <c r="G827" i="184"/>
  <c r="M35" i="13"/>
  <c r="G31" i="13"/>
  <c r="G679" i="184" s="1"/>
  <c r="M25" i="13"/>
  <c r="H493" i="184"/>
  <c r="H529" i="184" s="1"/>
  <c r="H2643" i="184" s="1"/>
  <c r="L105" i="13"/>
  <c r="D1350" i="184"/>
  <c r="M54" i="13"/>
  <c r="F1870" i="184"/>
  <c r="D46" i="2"/>
  <c r="L598" i="184"/>
  <c r="M27" i="117"/>
  <c r="N19" i="218"/>
  <c r="N20" i="218" s="1"/>
  <c r="M27" i="26"/>
  <c r="L572" i="184"/>
  <c r="M41" i="13"/>
  <c r="F1049" i="184"/>
  <c r="M39" i="13"/>
  <c r="M47" i="13"/>
  <c r="L584" i="184"/>
  <c r="M27" i="78"/>
  <c r="M26" i="13"/>
  <c r="M13" i="13"/>
  <c r="M55" i="13"/>
  <c r="M52" i="13"/>
  <c r="M82" i="13"/>
  <c r="R19" i="218"/>
  <c r="M28" i="13"/>
  <c r="J604" i="184"/>
  <c r="J640" i="184" s="1"/>
  <c r="J2646" i="184" s="1"/>
  <c r="L597" i="184"/>
  <c r="M27" i="112"/>
  <c r="M27" i="82"/>
  <c r="M25" i="236"/>
  <c r="D112" i="236"/>
  <c r="D29" i="236"/>
  <c r="H158" i="184"/>
  <c r="M14" i="13"/>
  <c r="M36" i="13"/>
  <c r="M27" i="199"/>
  <c r="M37" i="13"/>
  <c r="M720" i="184"/>
  <c r="AB12" i="231"/>
  <c r="M1088" i="184"/>
  <c r="B19" i="15"/>
  <c r="U12" i="231"/>
  <c r="M829" i="184"/>
  <c r="L197" i="184"/>
  <c r="L57" i="16"/>
  <c r="L1463" i="184" s="1"/>
  <c r="M2285" i="184"/>
  <c r="F74" i="218"/>
  <c r="G2504" i="184"/>
  <c r="G2710" i="184" s="1"/>
  <c r="X65" i="16"/>
  <c r="L197" i="191" s="1"/>
  <c r="H197" i="191"/>
  <c r="AB63" i="16"/>
  <c r="B39" i="15"/>
  <c r="F45" i="218"/>
  <c r="M1613" i="184"/>
  <c r="F48" i="218"/>
  <c r="B42" i="15"/>
  <c r="AB66" i="16"/>
  <c r="M1724" i="184"/>
  <c r="H1088" i="184"/>
  <c r="H44" i="16"/>
  <c r="I44" i="16"/>
  <c r="R12" i="231"/>
  <c r="M718" i="184"/>
  <c r="I160" i="191"/>
  <c r="X64" i="16"/>
  <c r="L160" i="191" s="1"/>
  <c r="W36" i="16"/>
  <c r="M755" i="184"/>
  <c r="S12" i="231"/>
  <c r="M792" i="184"/>
  <c r="T12" i="231"/>
  <c r="I234" i="191"/>
  <c r="X66" i="16"/>
  <c r="L234" i="191" s="1"/>
  <c r="M273" i="184"/>
  <c r="F12" i="231"/>
  <c r="W33" i="16"/>
  <c r="F1126" i="184"/>
  <c r="AB62" i="16"/>
  <c r="E65" i="15"/>
  <c r="E68" i="15" s="1"/>
  <c r="E71" i="15" s="1"/>
  <c r="F44" i="218"/>
  <c r="B38" i="15"/>
  <c r="M1576" i="184"/>
  <c r="F57" i="218"/>
  <c r="F60" i="218"/>
  <c r="M1985" i="184"/>
  <c r="B51" i="15"/>
  <c r="W26" i="16"/>
  <c r="M347" i="184"/>
  <c r="H12" i="231"/>
  <c r="W41" i="16"/>
  <c r="K643" i="184"/>
  <c r="K44" i="16"/>
  <c r="D197" i="184"/>
  <c r="W29" i="16"/>
  <c r="M384" i="184"/>
  <c r="I12" i="231"/>
  <c r="W42" i="16"/>
  <c r="F76" i="218"/>
  <c r="M2359" i="184"/>
  <c r="P71" i="16"/>
  <c r="D345" i="191"/>
  <c r="G160" i="191"/>
  <c r="F18" i="218"/>
  <c r="G31" i="227"/>
  <c r="J12" i="231"/>
  <c r="M421" i="184"/>
  <c r="Q22" i="16"/>
  <c r="E1386" i="184"/>
  <c r="E2672" i="184" s="1"/>
  <c r="E1088" i="184"/>
  <c r="E44" i="16"/>
  <c r="J1088" i="184"/>
  <c r="J44" i="16"/>
  <c r="M2322" i="184"/>
  <c r="AA69" i="16"/>
  <c r="F75" i="218"/>
  <c r="D48" i="218"/>
  <c r="AB66" i="13"/>
  <c r="M1722" i="184"/>
  <c r="B42" i="2"/>
  <c r="F11" i="231"/>
  <c r="M271" i="184"/>
  <c r="D79" i="218"/>
  <c r="M2468" i="184"/>
  <c r="H10" i="191"/>
  <c r="X60" i="13"/>
  <c r="L10" i="191"/>
  <c r="M2057" i="184"/>
  <c r="D59" i="218"/>
  <c r="B53" i="2"/>
  <c r="F53" i="2" s="1"/>
  <c r="N30" i="220" s="1"/>
  <c r="M2020" i="184"/>
  <c r="B52" i="2"/>
  <c r="F52" i="2" s="1"/>
  <c r="D58" i="218"/>
  <c r="D51" i="218"/>
  <c r="M1833" i="184"/>
  <c r="B45" i="2"/>
  <c r="AA69" i="13"/>
  <c r="D75" i="218"/>
  <c r="M2320" i="184"/>
  <c r="D102" i="1"/>
  <c r="F36" i="2"/>
  <c r="K36" i="2" s="1"/>
  <c r="L36" i="2" s="1"/>
  <c r="R60" i="13"/>
  <c r="C10" i="191"/>
  <c r="B46" i="235"/>
  <c r="D105" i="238" s="1"/>
  <c r="W30" i="224"/>
  <c r="M169" i="191"/>
  <c r="M39" i="184"/>
  <c r="F14" i="131"/>
  <c r="J14" i="131" s="1"/>
  <c r="M236" i="191"/>
  <c r="M841" i="184"/>
  <c r="Z28" i="231"/>
  <c r="S15" i="231"/>
  <c r="M151" i="191"/>
  <c r="X61" i="157"/>
  <c r="AR10" i="218"/>
  <c r="D58" i="130"/>
  <c r="F13" i="218"/>
  <c r="B13" i="15"/>
  <c r="M123" i="184"/>
  <c r="L1684" i="184"/>
  <c r="L2682" i="184" s="1"/>
  <c r="F344" i="184"/>
  <c r="F2638" i="184" s="1"/>
  <c r="M170" i="184"/>
  <c r="L106" i="87"/>
  <c r="D20" i="146"/>
  <c r="H49" i="191"/>
  <c r="X61" i="16"/>
  <c r="I1721" i="184"/>
  <c r="I2683" i="184" s="1"/>
  <c r="M44" i="191"/>
  <c r="G2169" i="184"/>
  <c r="G2699" i="184" s="1"/>
  <c r="G2701" i="184" s="1"/>
  <c r="W36" i="157"/>
  <c r="M542" i="184"/>
  <c r="N23" i="218"/>
  <c r="J44" i="87"/>
  <c r="D120" i="191"/>
  <c r="O13" i="16"/>
  <c r="D1832" i="184"/>
  <c r="D2686" i="184" s="1"/>
  <c r="I1610" i="184"/>
  <c r="I2680" i="184" s="1"/>
  <c r="I1048" i="184"/>
  <c r="I2658" i="184" s="1"/>
  <c r="L1832" i="184"/>
  <c r="L2686" i="184" s="1"/>
  <c r="BB14" i="218"/>
  <c r="M297" i="191"/>
  <c r="AB11" i="218"/>
  <c r="M64" i="184"/>
  <c r="B11" i="76"/>
  <c r="C36" i="20"/>
  <c r="BO6" i="218"/>
  <c r="G34" i="220"/>
  <c r="O34" i="220" s="1"/>
  <c r="C40" i="181"/>
  <c r="M35" i="230"/>
  <c r="T45" i="213"/>
  <c r="P45" i="214" s="1"/>
  <c r="G32" i="209"/>
  <c r="T34" i="213"/>
  <c r="P35" i="214" s="1"/>
  <c r="I11" i="188"/>
  <c r="C36" i="86"/>
  <c r="M46" i="230"/>
  <c r="G45" i="229" s="1"/>
  <c r="I32" i="188"/>
  <c r="G33" i="209"/>
  <c r="I36" i="86"/>
  <c r="I33" i="213" s="1"/>
  <c r="M34" i="230"/>
  <c r="H34" i="229" s="1"/>
  <c r="AW22" i="218"/>
  <c r="D35" i="210"/>
  <c r="C10" i="181"/>
  <c r="C20" i="181"/>
  <c r="AK6" i="218"/>
  <c r="AK33" i="218" s="1"/>
  <c r="AW35" i="218"/>
  <c r="AW37" i="218"/>
  <c r="C58" i="20"/>
  <c r="I6" i="218"/>
  <c r="D46" i="210"/>
  <c r="I31" i="188"/>
  <c r="C38" i="20"/>
  <c r="G46" i="209"/>
  <c r="C53" i="86"/>
  <c r="AW45" i="218"/>
  <c r="D18" i="210"/>
  <c r="C39" i="51"/>
  <c r="D40" i="210"/>
  <c r="I37" i="188"/>
  <c r="C37" i="194"/>
  <c r="C51" i="51"/>
  <c r="M40" i="230"/>
  <c r="H40" i="229" s="1"/>
  <c r="C6" i="181"/>
  <c r="S6" i="218"/>
  <c r="C45" i="51"/>
  <c r="G40" i="220"/>
  <c r="O40" i="220" s="1"/>
  <c r="G30" i="220"/>
  <c r="L49" i="81"/>
  <c r="K25" i="210" s="1"/>
  <c r="C35" i="181"/>
  <c r="M36" i="230"/>
  <c r="G27" i="209"/>
  <c r="D29" i="210"/>
  <c r="D26" i="210"/>
  <c r="G29" i="220"/>
  <c r="Q29" i="220" s="1"/>
  <c r="I6" i="188"/>
  <c r="I33" i="188"/>
  <c r="K33" i="188" s="1"/>
  <c r="AS6" i="218"/>
  <c r="AS35" i="218" s="1"/>
  <c r="C30" i="181"/>
  <c r="C40" i="41"/>
  <c r="M29" i="230"/>
  <c r="G29" i="229" s="1"/>
  <c r="T28" i="213"/>
  <c r="O29" i="214" s="1"/>
  <c r="C10" i="106"/>
  <c r="T29" i="230" s="1"/>
  <c r="P77" i="224"/>
  <c r="I48" i="221"/>
  <c r="M445" i="184"/>
  <c r="H73" i="191"/>
  <c r="D15" i="176"/>
  <c r="J566" i="184"/>
  <c r="J2644" i="184" s="1"/>
  <c r="E1536" i="184"/>
  <c r="E2678" i="184" s="1"/>
  <c r="J46" i="191"/>
  <c r="J44" i="224"/>
  <c r="J63" i="224" s="1"/>
  <c r="J92" i="224" s="1"/>
  <c r="J100" i="224" s="1"/>
  <c r="R61" i="36"/>
  <c r="C50" i="191"/>
  <c r="F40" i="35"/>
  <c r="K40" i="35"/>
  <c r="M40" i="35" s="1"/>
  <c r="D106" i="34"/>
  <c r="B41" i="35"/>
  <c r="L47" i="218"/>
  <c r="L44" i="218"/>
  <c r="B38" i="35"/>
  <c r="M1577" i="184"/>
  <c r="E65" i="35"/>
  <c r="E68" i="35" s="1"/>
  <c r="E71" i="35" s="1"/>
  <c r="AB62" i="36"/>
  <c r="D346" i="191"/>
  <c r="P71" i="36"/>
  <c r="M793" i="184"/>
  <c r="T15" i="231"/>
  <c r="J492" i="184"/>
  <c r="J2642" i="184" s="1"/>
  <c r="C161" i="191"/>
  <c r="R64" i="36"/>
  <c r="X61" i="36"/>
  <c r="L50" i="191" s="1"/>
  <c r="H50" i="191"/>
  <c r="F41" i="35"/>
  <c r="I198" i="184"/>
  <c r="L57" i="218"/>
  <c r="B51" i="35"/>
  <c r="M1986" i="184"/>
  <c r="AB65" i="36"/>
  <c r="F15" i="231"/>
  <c r="M274" i="184"/>
  <c r="B44" i="35"/>
  <c r="L50" i="218"/>
  <c r="D67" i="35"/>
  <c r="M1799" i="184"/>
  <c r="I1089" i="184"/>
  <c r="I44" i="36"/>
  <c r="I1127" i="184"/>
  <c r="H121" i="191"/>
  <c r="N13" i="231"/>
  <c r="W28" i="21"/>
  <c r="L106" i="203"/>
  <c r="L118" i="203"/>
  <c r="L102" i="203" s="1"/>
  <c r="F24" i="221" s="1"/>
  <c r="M571" i="184"/>
  <c r="M2139" i="184"/>
  <c r="B57" i="126"/>
  <c r="R65" i="13"/>
  <c r="D46" i="191"/>
  <c r="H27" i="216"/>
  <c r="F225" i="191"/>
  <c r="G225" i="191" s="1"/>
  <c r="I1312" i="184"/>
  <c r="I2670" i="184" s="1"/>
  <c r="R64" i="21"/>
  <c r="C162" i="191"/>
  <c r="F1428" i="184"/>
  <c r="M56" i="21"/>
  <c r="M1428" i="184"/>
  <c r="H23" i="218"/>
  <c r="H24" i="218" s="1"/>
  <c r="H13" i="218"/>
  <c r="M386" i="184"/>
  <c r="H79" i="218"/>
  <c r="M2472" i="184"/>
  <c r="M125" i="184"/>
  <c r="M2024" i="184"/>
  <c r="H58" i="218"/>
  <c r="B52" i="20"/>
  <c r="D83" i="184"/>
  <c r="D2629" i="184" s="1"/>
  <c r="B13" i="20"/>
  <c r="C13" i="20" s="1"/>
  <c r="H43" i="218"/>
  <c r="AB61" i="21"/>
  <c r="B37" i="20"/>
  <c r="M1541" i="184"/>
  <c r="P71" i="21"/>
  <c r="D347" i="191"/>
  <c r="X62" i="21"/>
  <c r="L88" i="191" s="1"/>
  <c r="H88" i="191"/>
  <c r="H49" i="218"/>
  <c r="B43" i="20"/>
  <c r="M1763" i="184"/>
  <c r="AB67" i="21"/>
  <c r="H50" i="218"/>
  <c r="D67" i="20"/>
  <c r="M1800" i="184"/>
  <c r="B44" i="20"/>
  <c r="F1423" i="184"/>
  <c r="F2673" i="184" s="1"/>
  <c r="D67" i="181" s="1"/>
  <c r="M1874" i="184"/>
  <c r="H52" i="218"/>
  <c r="B46" i="20"/>
  <c r="H47" i="218"/>
  <c r="AB65" i="21"/>
  <c r="M1689" i="184"/>
  <c r="B41" i="20"/>
  <c r="C14" i="191"/>
  <c r="R60" i="21"/>
  <c r="M313" i="184"/>
  <c r="G14" i="231"/>
  <c r="M721" i="184"/>
  <c r="R14" i="231"/>
  <c r="I1091" i="184"/>
  <c r="J19" i="218"/>
  <c r="M1838" i="184"/>
  <c r="B45" i="25"/>
  <c r="J51" i="218"/>
  <c r="X62" i="26"/>
  <c r="L89" i="191"/>
  <c r="H89" i="191"/>
  <c r="J43" i="218"/>
  <c r="B37" i="25"/>
  <c r="M1542" i="184"/>
  <c r="AB61" i="26"/>
  <c r="T32" i="227"/>
  <c r="M2473" i="184"/>
  <c r="J79" i="218"/>
  <c r="M1054" i="184"/>
  <c r="J42" i="218"/>
  <c r="M1505" i="184"/>
  <c r="AB60" i="26"/>
  <c r="B36" i="25"/>
  <c r="J74" i="218"/>
  <c r="M2288" i="184"/>
  <c r="J47" i="218"/>
  <c r="M1690" i="184"/>
  <c r="AB65" i="26"/>
  <c r="B41" i="25"/>
  <c r="T14" i="231"/>
  <c r="M795" i="184"/>
  <c r="K863" i="184"/>
  <c r="K2653" i="184" s="1"/>
  <c r="M2402" i="184"/>
  <c r="AB70" i="42"/>
  <c r="F1906" i="184"/>
  <c r="F2688" i="184" s="1"/>
  <c r="D82" i="181" s="1"/>
  <c r="H2093" i="184"/>
  <c r="H2695" i="184" s="1"/>
  <c r="K2206" i="184"/>
  <c r="K2700" i="184" s="1"/>
  <c r="M1880" i="184"/>
  <c r="P52" i="218"/>
  <c r="B46" i="46"/>
  <c r="F46" i="46" s="1"/>
  <c r="K46" i="46" s="1"/>
  <c r="O46" i="46" s="1"/>
  <c r="H455" i="184"/>
  <c r="H2641" i="184" s="1"/>
  <c r="M2293" i="184"/>
  <c r="P74" i="218"/>
  <c r="G1832" i="184"/>
  <c r="G2686" i="184" s="1"/>
  <c r="P79" i="218"/>
  <c r="M2478" i="184"/>
  <c r="H1096" i="184"/>
  <c r="M94" i="191"/>
  <c r="F651" i="184"/>
  <c r="D18" i="46"/>
  <c r="D157" i="184"/>
  <c r="D2631" i="184" s="1"/>
  <c r="F1795" i="184"/>
  <c r="F2685" i="184" s="1"/>
  <c r="D79" i="181" s="1"/>
  <c r="E44" i="172"/>
  <c r="E1148" i="184" s="1"/>
  <c r="BT13" i="218"/>
  <c r="C219" i="191"/>
  <c r="R65" i="172"/>
  <c r="R64" i="172"/>
  <c r="C182" i="191"/>
  <c r="AB64" i="172"/>
  <c r="M1672" i="184"/>
  <c r="BT46" i="218"/>
  <c r="B40" i="171"/>
  <c r="B13" i="171"/>
  <c r="D1931" i="184"/>
  <c r="M71" i="172"/>
  <c r="M1931" i="184" s="1"/>
  <c r="B41" i="171"/>
  <c r="M1709" i="184"/>
  <c r="AB65" i="172"/>
  <c r="BT47" i="218"/>
  <c r="X67" i="172"/>
  <c r="L293" i="191" s="1"/>
  <c r="H293" i="191"/>
  <c r="M1598" i="184"/>
  <c r="AB62" i="172"/>
  <c r="B38" i="171"/>
  <c r="E65" i="171"/>
  <c r="E68" i="171" s="1"/>
  <c r="E71" i="171" s="1"/>
  <c r="BT44" i="218"/>
  <c r="M851" i="184"/>
  <c r="U45" i="231"/>
  <c r="W33" i="172"/>
  <c r="W35" i="172" s="1"/>
  <c r="J45" i="212" s="1"/>
  <c r="F1349" i="184"/>
  <c r="F2671" i="184" s="1"/>
  <c r="M31" i="172"/>
  <c r="O13" i="172"/>
  <c r="H256" i="191"/>
  <c r="X66" i="172"/>
  <c r="L256" i="191" s="1"/>
  <c r="F665" i="184"/>
  <c r="D18" i="171"/>
  <c r="E219" i="184"/>
  <c r="M2344" i="184"/>
  <c r="AA69" i="172"/>
  <c r="BT75" i="218"/>
  <c r="M56" i="172"/>
  <c r="M1448" i="184" s="1"/>
  <c r="I665" i="184"/>
  <c r="M2007" i="184"/>
  <c r="BT57" i="218"/>
  <c r="B51" i="171"/>
  <c r="M628" i="184"/>
  <c r="L26" i="227"/>
  <c r="O45" i="231"/>
  <c r="S45" i="231"/>
  <c r="M777" i="184"/>
  <c r="W36" i="172"/>
  <c r="H45" i="231"/>
  <c r="W26" i="172"/>
  <c r="W41" i="172"/>
  <c r="W43" i="172" s="1"/>
  <c r="M369" i="184"/>
  <c r="L106" i="172"/>
  <c r="L118" i="172" s="1"/>
  <c r="L102" i="172" s="1"/>
  <c r="F39" i="221" s="1"/>
  <c r="BT49" i="218"/>
  <c r="AB67" i="172"/>
  <c r="M1783" i="184"/>
  <c r="B43" i="171"/>
  <c r="L1485" i="184"/>
  <c r="L85" i="172"/>
  <c r="M29" i="172"/>
  <c r="D367" i="191"/>
  <c r="P71" i="172"/>
  <c r="R63" i="172"/>
  <c r="C145" i="191"/>
  <c r="M18" i="172"/>
  <c r="D258" i="184"/>
  <c r="M2044" i="184"/>
  <c r="B52" i="171"/>
  <c r="BT58" i="218"/>
  <c r="M1226" i="184"/>
  <c r="BT42" i="218"/>
  <c r="M1524" i="184"/>
  <c r="AB60" i="172"/>
  <c r="B36" i="171"/>
  <c r="BT76" i="218"/>
  <c r="M2381" i="184"/>
  <c r="M740" i="184"/>
  <c r="R45" i="231"/>
  <c r="D40" i="216"/>
  <c r="F34" i="191"/>
  <c r="G34" i="191"/>
  <c r="M1561" i="184"/>
  <c r="BT43" i="218"/>
  <c r="AB61" i="172"/>
  <c r="B37" i="171"/>
  <c r="D108" i="170"/>
  <c r="F42" i="171"/>
  <c r="K42" i="171" s="1"/>
  <c r="N42" i="171" s="1"/>
  <c r="M2307" i="184"/>
  <c r="BT74" i="218"/>
  <c r="BT64" i="218"/>
  <c r="M2194" i="184"/>
  <c r="B58" i="171"/>
  <c r="J344" i="184"/>
  <c r="J2638" i="184" s="1"/>
  <c r="M2584" i="184"/>
  <c r="H1120" i="184"/>
  <c r="BN63" i="218"/>
  <c r="BO63" i="218"/>
  <c r="M2017" i="184"/>
  <c r="BN57" i="218"/>
  <c r="B51" i="194"/>
  <c r="BN74" i="218"/>
  <c r="M2317" i="184"/>
  <c r="AA69" i="195"/>
  <c r="BN75" i="218"/>
  <c r="M2354" i="184"/>
  <c r="R60" i="195"/>
  <c r="C44" i="191"/>
  <c r="G603" i="184"/>
  <c r="G2645" i="184" s="1"/>
  <c r="M2167" i="184"/>
  <c r="B57" i="194"/>
  <c r="B53" i="194"/>
  <c r="F53" i="194" s="1"/>
  <c r="N46" i="220" s="1"/>
  <c r="M2091" i="184"/>
  <c r="BN59" i="218"/>
  <c r="F42" i="231"/>
  <c r="M305" i="184"/>
  <c r="M416" i="184"/>
  <c r="I42" i="231"/>
  <c r="G826" i="184"/>
  <c r="G2652" i="184" s="1"/>
  <c r="BH57" i="218"/>
  <c r="L220" i="184"/>
  <c r="B51" i="146"/>
  <c r="M2308" i="184"/>
  <c r="BH74" i="218"/>
  <c r="D220" i="184"/>
  <c r="D21" i="192"/>
  <c r="L72" i="191"/>
  <c r="M72" i="191" s="1"/>
  <c r="J220" i="184"/>
  <c r="J57" i="147"/>
  <c r="J1486" i="184" s="1"/>
  <c r="L44" i="147"/>
  <c r="L1149" i="184"/>
  <c r="L666" i="184"/>
  <c r="D1111" i="184"/>
  <c r="D44" i="147"/>
  <c r="D1149" i="184" s="1"/>
  <c r="I39" i="231"/>
  <c r="M407" i="184"/>
  <c r="M2456" i="184"/>
  <c r="BH78" i="218"/>
  <c r="D44" i="146"/>
  <c r="D47" i="146" s="1"/>
  <c r="D110" i="145"/>
  <c r="AB63" i="147"/>
  <c r="M1636" i="184"/>
  <c r="B39" i="146"/>
  <c r="BH45" i="218"/>
  <c r="H109" i="191"/>
  <c r="X62" i="147"/>
  <c r="L109" i="191" s="1"/>
  <c r="M296" i="184"/>
  <c r="F39" i="231"/>
  <c r="G1386" i="184"/>
  <c r="G2672" i="184" s="1"/>
  <c r="R65" i="147"/>
  <c r="G1238" i="184"/>
  <c r="G2668" i="184" s="1"/>
  <c r="K640" i="184"/>
  <c r="K2646" i="184" s="1"/>
  <c r="E38" i="146"/>
  <c r="D104" i="145"/>
  <c r="M2033" i="184"/>
  <c r="M2370" i="184"/>
  <c r="BF76" i="218"/>
  <c r="BF79" i="218"/>
  <c r="M2481" i="184"/>
  <c r="G38" i="231"/>
  <c r="M321" i="184"/>
  <c r="B10" i="141"/>
  <c r="D21" i="187"/>
  <c r="X65" i="142"/>
  <c r="L208" i="191" s="1"/>
  <c r="M208" i="191" s="1"/>
  <c r="H208" i="191"/>
  <c r="M1624" i="184"/>
  <c r="BF45" i="218"/>
  <c r="B39" i="141"/>
  <c r="AB63" i="142"/>
  <c r="X67" i="142"/>
  <c r="L282" i="191" s="1"/>
  <c r="M282" i="191" s="1"/>
  <c r="M23" i="184"/>
  <c r="B58" i="141"/>
  <c r="M2183" i="184"/>
  <c r="BF64" i="218"/>
  <c r="I344" i="184"/>
  <c r="I2638" i="184" s="1"/>
  <c r="BF52" i="218"/>
  <c r="B46" i="141"/>
  <c r="M1883" i="184"/>
  <c r="BD37" i="218"/>
  <c r="B31" i="136"/>
  <c r="M31" i="137"/>
  <c r="M1039" i="184"/>
  <c r="Z37" i="231"/>
  <c r="M42" i="137"/>
  <c r="AB37" i="231" s="1"/>
  <c r="R28" i="172"/>
  <c r="M133" i="184"/>
  <c r="F900" i="184"/>
  <c r="D62" i="219" s="1"/>
  <c r="M40" i="231"/>
  <c r="J12" i="227"/>
  <c r="W25" i="152"/>
  <c r="M531" i="184"/>
  <c r="M38" i="231"/>
  <c r="J21" i="227"/>
  <c r="M543" i="184"/>
  <c r="H29" i="218"/>
  <c r="B23" i="20"/>
  <c r="M1167" i="184"/>
  <c r="L2056" i="184"/>
  <c r="L2694" i="184" s="1"/>
  <c r="G1721" i="184"/>
  <c r="G2683" i="184" s="1"/>
  <c r="M1896" i="184"/>
  <c r="P17" i="227"/>
  <c r="W15" i="231"/>
  <c r="M904" i="184"/>
  <c r="O40" i="231"/>
  <c r="M605" i="184"/>
  <c r="L12" i="227"/>
  <c r="N11" i="231"/>
  <c r="M567" i="184"/>
  <c r="K30" i="227"/>
  <c r="K24" i="231"/>
  <c r="H25" i="227"/>
  <c r="M476" i="184"/>
  <c r="F35" i="218"/>
  <c r="B29" i="15"/>
  <c r="M1315" i="184"/>
  <c r="D11" i="60"/>
  <c r="F23" i="61"/>
  <c r="L2206" i="184"/>
  <c r="L2700" i="184" s="1"/>
  <c r="D20" i="121"/>
  <c r="W14" i="231"/>
  <c r="P32" i="227"/>
  <c r="M906" i="184"/>
  <c r="M217" i="191"/>
  <c r="M928" i="184"/>
  <c r="W37" i="231"/>
  <c r="P19" i="227"/>
  <c r="M541" i="184"/>
  <c r="M44" i="231"/>
  <c r="E418" i="184"/>
  <c r="E2640" i="184" s="1"/>
  <c r="D900" i="184"/>
  <c r="D2654" i="184" s="1"/>
  <c r="L1238" i="184"/>
  <c r="L2668" i="184" s="1"/>
  <c r="Y40" i="231"/>
  <c r="M976" i="184"/>
  <c r="R12" i="227"/>
  <c r="AD32" i="218"/>
  <c r="B26" i="81"/>
  <c r="M1222" i="184"/>
  <c r="Z18" i="231"/>
  <c r="S40" i="227"/>
  <c r="M1040" i="184"/>
  <c r="K37" i="227"/>
  <c r="N17" i="231"/>
  <c r="M577" i="184"/>
  <c r="J1795" i="184"/>
  <c r="J2685" i="184" s="1"/>
  <c r="D2056" i="184"/>
  <c r="D2694" i="184" s="1"/>
  <c r="D1684" i="184"/>
  <c r="D2682" i="184" s="1"/>
  <c r="I1536" i="184"/>
  <c r="I2678" i="184" s="1"/>
  <c r="D15" i="141"/>
  <c r="N37" i="218"/>
  <c r="B31" i="41"/>
  <c r="M1395" i="184"/>
  <c r="N39" i="231"/>
  <c r="M592" i="184"/>
  <c r="K27" i="227"/>
  <c r="F37" i="218"/>
  <c r="B31" i="15"/>
  <c r="M1389" i="184"/>
  <c r="F47" i="30"/>
  <c r="K47" i="30" s="1"/>
  <c r="M47" i="30" s="1"/>
  <c r="H44" i="236"/>
  <c r="K63" i="236"/>
  <c r="F1832" i="184"/>
  <c r="D102" i="181" s="1"/>
  <c r="F974" i="184"/>
  <c r="F2656" i="184" s="1"/>
  <c r="L83" i="184"/>
  <c r="L2629" i="184" s="1"/>
  <c r="D194" i="184"/>
  <c r="D2632" i="184" s="1"/>
  <c r="H34" i="231"/>
  <c r="W41" i="122"/>
  <c r="M377" i="184"/>
  <c r="W26" i="122"/>
  <c r="W27" i="122" s="1"/>
  <c r="H34" i="212" s="1"/>
  <c r="AX76" i="218"/>
  <c r="M2389" i="184"/>
  <c r="M2500" i="184"/>
  <c r="AX79" i="218"/>
  <c r="AX36" i="218"/>
  <c r="M1382" i="184"/>
  <c r="D70" i="121"/>
  <c r="F70" i="121"/>
  <c r="B30" i="121"/>
  <c r="L106" i="122"/>
  <c r="L118" i="122" s="1"/>
  <c r="L102" i="122" s="1"/>
  <c r="F28" i="221" s="1"/>
  <c r="AB60" i="122"/>
  <c r="B36" i="121"/>
  <c r="AX42" i="218"/>
  <c r="M1532" i="184"/>
  <c r="G227" i="184"/>
  <c r="H301" i="191"/>
  <c r="M301" i="191" s="1"/>
  <c r="X67" i="122"/>
  <c r="L301" i="191" s="1"/>
  <c r="AX56" i="218"/>
  <c r="B50" i="121"/>
  <c r="M1978" i="184"/>
  <c r="AX13" i="218"/>
  <c r="B13" i="121"/>
  <c r="M153" i="184"/>
  <c r="I34" i="231"/>
  <c r="M414" i="184"/>
  <c r="W29" i="122"/>
  <c r="W30" i="122" s="1"/>
  <c r="W42" i="122"/>
  <c r="AX32" i="218"/>
  <c r="M1234" i="184"/>
  <c r="B26" i="121"/>
  <c r="D1939" i="184"/>
  <c r="M71" i="122"/>
  <c r="M1939" i="184" s="1"/>
  <c r="M2165" i="184"/>
  <c r="AX63" i="218"/>
  <c r="B57" i="121"/>
  <c r="H79" i="191"/>
  <c r="X61" i="122"/>
  <c r="C79" i="191"/>
  <c r="R61" i="122"/>
  <c r="G1118" i="184"/>
  <c r="G44" i="122"/>
  <c r="G1156" i="184"/>
  <c r="G42" i="191"/>
  <c r="M1717" i="184"/>
  <c r="AB65" i="122"/>
  <c r="B41" i="121"/>
  <c r="AX47" i="218"/>
  <c r="M1680" i="184"/>
  <c r="B40" i="121"/>
  <c r="AX46" i="218"/>
  <c r="AB64" i="122"/>
  <c r="X64" i="122"/>
  <c r="L190" i="191" s="1"/>
  <c r="H190" i="191"/>
  <c r="K1156" i="184"/>
  <c r="K57" i="122"/>
  <c r="AB61" i="122"/>
  <c r="M1569" i="184"/>
  <c r="AX43" i="218"/>
  <c r="B37" i="121"/>
  <c r="M2052" i="184"/>
  <c r="AX58" i="218"/>
  <c r="B52" i="121"/>
  <c r="M859" i="184"/>
  <c r="U34" i="231"/>
  <c r="M29" i="122"/>
  <c r="D105" i="120"/>
  <c r="F39" i="121"/>
  <c r="M1865" i="184"/>
  <c r="P70" i="122"/>
  <c r="I28" i="221" s="1"/>
  <c r="B45" i="121"/>
  <c r="AX51" i="218"/>
  <c r="C190" i="191"/>
  <c r="R64" i="122"/>
  <c r="J1118" i="184"/>
  <c r="J44" i="122"/>
  <c r="F227" i="184"/>
  <c r="F57" i="122"/>
  <c r="O13" i="122"/>
  <c r="M822" i="184"/>
  <c r="T34" i="231"/>
  <c r="AX49" i="218"/>
  <c r="AB67" i="122"/>
  <c r="M1791" i="184"/>
  <c r="B43" i="121"/>
  <c r="M2089" i="184"/>
  <c r="AX59" i="218"/>
  <c r="B53" i="121"/>
  <c r="I44" i="122"/>
  <c r="H227" i="191"/>
  <c r="X65" i="122"/>
  <c r="L227" i="191" s="1"/>
  <c r="M227" i="191" s="1"/>
  <c r="S34" i="231"/>
  <c r="M785" i="184"/>
  <c r="G34" i="231"/>
  <c r="M340" i="184"/>
  <c r="W36" i="122"/>
  <c r="W38" i="122" s="1"/>
  <c r="K34" i="212" s="1"/>
  <c r="E65" i="121"/>
  <c r="E68" i="121"/>
  <c r="E71" i="121" s="1"/>
  <c r="AB62" i="122"/>
  <c r="M1606" i="184"/>
  <c r="AX44" i="218"/>
  <c r="B38" i="121"/>
  <c r="M18" i="122"/>
  <c r="AX48" i="218"/>
  <c r="B42" i="121"/>
  <c r="AB66" i="122"/>
  <c r="M1754" i="184"/>
  <c r="M56" i="122"/>
  <c r="M1456" i="184" s="1"/>
  <c r="AB68" i="122"/>
  <c r="M1828" i="184"/>
  <c r="AX50" i="218"/>
  <c r="D67" i="121"/>
  <c r="B44" i="121"/>
  <c r="M2352" i="184"/>
  <c r="AX75" i="218"/>
  <c r="AA69" i="122"/>
  <c r="M31" i="122"/>
  <c r="M2202" i="184"/>
  <c r="AX64" i="218"/>
  <c r="B58" i="121"/>
  <c r="AX74" i="218"/>
  <c r="M2315" i="184"/>
  <c r="E227" i="184"/>
  <c r="M15" i="122"/>
  <c r="M227" i="184"/>
  <c r="E57" i="122"/>
  <c r="L46" i="184"/>
  <c r="L2628" i="184" s="1"/>
  <c r="L2633" i="184" s="1"/>
  <c r="L106" i="117"/>
  <c r="L118" i="117" s="1"/>
  <c r="L102" i="117" s="1"/>
  <c r="F27" i="221" s="1"/>
  <c r="AV49" i="218"/>
  <c r="M1790" i="184"/>
  <c r="AB67" i="117"/>
  <c r="B43" i="116"/>
  <c r="B37" i="116"/>
  <c r="D103" i="115"/>
  <c r="AA69" i="117"/>
  <c r="M2351" i="184"/>
  <c r="AV75" i="218"/>
  <c r="AB61" i="117"/>
  <c r="B14" i="116"/>
  <c r="R61" i="117"/>
  <c r="C78" i="191"/>
  <c r="M821" i="184"/>
  <c r="T33" i="231"/>
  <c r="F2169" i="184"/>
  <c r="F2699" i="184" s="1"/>
  <c r="D93" i="181" s="1"/>
  <c r="M1568" i="184"/>
  <c r="AV14" i="218"/>
  <c r="AW14" i="218"/>
  <c r="AB60" i="117"/>
  <c r="AV42" i="218"/>
  <c r="M1531" i="184"/>
  <c r="B36" i="116"/>
  <c r="I33" i="231"/>
  <c r="M413" i="184"/>
  <c r="L44" i="117"/>
  <c r="L1117" i="184"/>
  <c r="M2425" i="184"/>
  <c r="AV77" i="218"/>
  <c r="AB70" i="117"/>
  <c r="M376" i="184"/>
  <c r="W26" i="117"/>
  <c r="W41" i="117"/>
  <c r="H33" i="231"/>
  <c r="G189" i="191"/>
  <c r="F1115" i="184"/>
  <c r="M856" i="184"/>
  <c r="U31" i="231"/>
  <c r="H640" i="184"/>
  <c r="H2646" i="184" s="1"/>
  <c r="G1011" i="184"/>
  <c r="G2657" i="184" s="1"/>
  <c r="Z31" i="231"/>
  <c r="B28" i="106"/>
  <c r="C28" i="106" s="1"/>
  <c r="R30" i="231"/>
  <c r="M737" i="184"/>
  <c r="H31" i="191"/>
  <c r="X60" i="203"/>
  <c r="L31" i="191" s="1"/>
  <c r="AH75" i="218"/>
  <c r="AA69" i="203"/>
  <c r="M2341" i="184"/>
  <c r="M292" i="184"/>
  <c r="AH49" i="218"/>
  <c r="M1780" i="184"/>
  <c r="B43" i="202"/>
  <c r="I57" i="203"/>
  <c r="I1482" i="184" s="1"/>
  <c r="I1145" i="184"/>
  <c r="X62" i="203"/>
  <c r="L105" i="191" s="1"/>
  <c r="M551" i="184"/>
  <c r="J47" i="227"/>
  <c r="M30" i="231"/>
  <c r="M2078" i="184"/>
  <c r="AH59" i="218"/>
  <c r="B53" i="202"/>
  <c r="F53" i="202"/>
  <c r="N47" i="220" s="1"/>
  <c r="B51" i="202"/>
  <c r="M2004" i="184"/>
  <c r="AH57" i="218"/>
  <c r="AB68" i="199"/>
  <c r="M1814" i="184"/>
  <c r="B44" i="198"/>
  <c r="AF50" i="218"/>
  <c r="D67" i="198"/>
  <c r="K1085" i="184"/>
  <c r="K2659" i="184" s="1"/>
  <c r="AF76" i="218"/>
  <c r="M2375" i="184"/>
  <c r="AF75" i="218"/>
  <c r="AA69" i="199"/>
  <c r="M2338" i="184"/>
  <c r="X67" i="199"/>
  <c r="L287" i="191"/>
  <c r="M287" i="191" s="1"/>
  <c r="D1386" i="184"/>
  <c r="D2672" i="184" s="1"/>
  <c r="B40" i="198"/>
  <c r="AF46" i="218"/>
  <c r="AB64" i="199"/>
  <c r="M1666" i="184"/>
  <c r="AF43" i="218"/>
  <c r="B37" i="198"/>
  <c r="AB61" i="199"/>
  <c r="M1555" i="184"/>
  <c r="G44" i="199"/>
  <c r="M1964" i="184"/>
  <c r="AF56" i="218"/>
  <c r="B50" i="198"/>
  <c r="F143" i="191"/>
  <c r="G143" i="191" s="1"/>
  <c r="F23" i="216"/>
  <c r="D19" i="101"/>
  <c r="D20" i="101" s="1"/>
  <c r="F44" i="102"/>
  <c r="F1108" i="184"/>
  <c r="D663" i="184"/>
  <c r="D44" i="102"/>
  <c r="M367" i="184"/>
  <c r="H28" i="231"/>
  <c r="B36" i="101"/>
  <c r="M1522" i="184"/>
  <c r="AP42" i="218"/>
  <c r="AP77" i="218"/>
  <c r="M2416" i="184"/>
  <c r="AB70" i="102"/>
  <c r="P71" i="102"/>
  <c r="D365" i="191"/>
  <c r="D23" i="216"/>
  <c r="F32" i="191"/>
  <c r="G32" i="191"/>
  <c r="B38" i="101"/>
  <c r="AP44" i="218"/>
  <c r="AB62" i="102"/>
  <c r="AP48" i="218"/>
  <c r="M1744" i="184"/>
  <c r="B42" i="101"/>
  <c r="AB66" i="102"/>
  <c r="H143" i="191"/>
  <c r="X63" i="102"/>
  <c r="L143" i="191" s="1"/>
  <c r="L1610" i="184"/>
  <c r="L2680" i="184" s="1"/>
  <c r="D1312" i="184"/>
  <c r="D2670" i="184" s="1"/>
  <c r="E2169" i="184"/>
  <c r="E2699" i="184" s="1"/>
  <c r="M788" i="184"/>
  <c r="S26" i="231"/>
  <c r="W36" i="92"/>
  <c r="AL29" i="218"/>
  <c r="M1198" i="184"/>
  <c r="B23" i="91"/>
  <c r="AL19" i="218"/>
  <c r="N26" i="231"/>
  <c r="K33" i="227"/>
  <c r="M602" i="184"/>
  <c r="D2169" i="184"/>
  <c r="D2699" i="184" s="1"/>
  <c r="D2701" i="184" s="1"/>
  <c r="M83" i="87"/>
  <c r="M2221" i="184"/>
  <c r="J25" i="231"/>
  <c r="M2408" i="184"/>
  <c r="AB70" i="87"/>
  <c r="AJ77" i="218"/>
  <c r="H246" i="191"/>
  <c r="X66" i="87"/>
  <c r="L246" i="191" s="1"/>
  <c r="AJ44" i="218"/>
  <c r="AK44" i="218" s="1"/>
  <c r="M1588" i="184"/>
  <c r="AB62" i="87"/>
  <c r="E65" i="86"/>
  <c r="B38" i="86"/>
  <c r="F2093" i="184"/>
  <c r="F2695" i="184" s="1"/>
  <c r="D89" i="181" s="1"/>
  <c r="W34" i="87"/>
  <c r="B37" i="86"/>
  <c r="AJ43" i="218"/>
  <c r="AK43" i="218"/>
  <c r="AB61" i="87"/>
  <c r="M1551" i="184"/>
  <c r="E209" i="184"/>
  <c r="E57" i="87"/>
  <c r="E1475" i="184" s="1"/>
  <c r="M15" i="87"/>
  <c r="M209" i="184" s="1"/>
  <c r="AJ52" i="218"/>
  <c r="AK52" i="218" s="1"/>
  <c r="B46" i="86"/>
  <c r="M1884" i="184"/>
  <c r="AJ23" i="218"/>
  <c r="AJ24" i="218" s="1"/>
  <c r="AJ64" i="218"/>
  <c r="AK64" i="218" s="1"/>
  <c r="B58" i="86"/>
  <c r="M2184" i="184"/>
  <c r="F209" i="184"/>
  <c r="F57" i="87"/>
  <c r="F1475" i="184" s="1"/>
  <c r="H209" i="184"/>
  <c r="G57" i="87"/>
  <c r="AJ51" i="218"/>
  <c r="AK51" i="218" s="1"/>
  <c r="B45" i="86"/>
  <c r="P70" i="87"/>
  <c r="I19" i="221" s="1"/>
  <c r="M1847" i="184"/>
  <c r="W45" i="87"/>
  <c r="W47" i="87" s="1"/>
  <c r="M25" i="212" s="1"/>
  <c r="L1100" i="184"/>
  <c r="L44" i="87"/>
  <c r="D1138" i="184"/>
  <c r="D57" i="87"/>
  <c r="D24" i="219"/>
  <c r="W29" i="87"/>
  <c r="W30" i="87" s="1"/>
  <c r="I25" i="212" s="1"/>
  <c r="I25" i="231"/>
  <c r="W42" i="87"/>
  <c r="M396" i="184"/>
  <c r="Q22" i="87"/>
  <c r="Q30" i="87" s="1"/>
  <c r="S25" i="231"/>
  <c r="M767" i="184"/>
  <c r="G25" i="231"/>
  <c r="M322" i="184"/>
  <c r="W36" i="87"/>
  <c r="S34" i="227"/>
  <c r="Z25" i="231"/>
  <c r="M1026" i="184"/>
  <c r="M730" i="184"/>
  <c r="R25" i="231"/>
  <c r="G34" i="227"/>
  <c r="W25" i="231"/>
  <c r="W38" i="87"/>
  <c r="AJ11" i="218"/>
  <c r="AK11" i="218" s="1"/>
  <c r="M2371" i="184"/>
  <c r="AJ76" i="218"/>
  <c r="AJ50" i="218"/>
  <c r="AK50" i="218" s="1"/>
  <c r="D67" i="86"/>
  <c r="AB68" i="87"/>
  <c r="B44" i="86"/>
  <c r="M1810" i="184"/>
  <c r="M804" i="184"/>
  <c r="T25" i="231"/>
  <c r="AJ45" i="218"/>
  <c r="AK45" i="218" s="1"/>
  <c r="AB63" i="87"/>
  <c r="M1625" i="184"/>
  <c r="B39" i="86"/>
  <c r="L61" i="191"/>
  <c r="M61" i="191" s="1"/>
  <c r="D28" i="192"/>
  <c r="M1997" i="184"/>
  <c r="AJ57" i="218"/>
  <c r="AK57" i="218" s="1"/>
  <c r="B51" i="86"/>
  <c r="AJ56" i="218"/>
  <c r="AK56" i="218" s="1"/>
  <c r="B50" i="86"/>
  <c r="F50" i="86" s="1"/>
  <c r="M1960" i="184"/>
  <c r="H1100" i="184"/>
  <c r="H44" i="87"/>
  <c r="H1138" i="184"/>
  <c r="F40" i="86"/>
  <c r="K40" i="86" s="1"/>
  <c r="M40" i="86" s="1"/>
  <c r="D106" i="85"/>
  <c r="J1138" i="184"/>
  <c r="J57" i="87"/>
  <c r="J1475" i="184" s="1"/>
  <c r="AD34" i="218"/>
  <c r="M1296" i="184"/>
  <c r="B28" i="81"/>
  <c r="D1906" i="184"/>
  <c r="D2688" i="184" s="1"/>
  <c r="G44" i="72"/>
  <c r="G1147" i="184"/>
  <c r="G1109" i="184"/>
  <c r="M405" i="184"/>
  <c r="I22" i="231"/>
  <c r="Z64" i="218"/>
  <c r="B58" i="71"/>
  <c r="M2193" i="184"/>
  <c r="D106" i="70"/>
  <c r="F40" i="71"/>
  <c r="K40" i="71" s="1"/>
  <c r="M40" i="71" s="1"/>
  <c r="M42" i="67"/>
  <c r="H93" i="191"/>
  <c r="X62" i="67"/>
  <c r="L93" i="191"/>
  <c r="I21" i="231"/>
  <c r="M391" i="184"/>
  <c r="S21" i="231"/>
  <c r="J455" i="184"/>
  <c r="J2641" i="184" s="1"/>
  <c r="H44" i="57"/>
  <c r="H1139" i="184"/>
  <c r="G307" i="184"/>
  <c r="G2637" i="184" s="1"/>
  <c r="F1536" i="184"/>
  <c r="F2678" i="184" s="1"/>
  <c r="D72" i="181" s="1"/>
  <c r="J1610" i="184"/>
  <c r="J2680" i="184" s="1"/>
  <c r="T19" i="218"/>
  <c r="X67" i="102"/>
  <c r="L291" i="191" s="1"/>
  <c r="M226" i="191"/>
  <c r="AR34" i="218"/>
  <c r="J18" i="227"/>
  <c r="AN13" i="218"/>
  <c r="B13" i="96"/>
  <c r="M137" i="184"/>
  <c r="D32" i="218"/>
  <c r="M1202" i="184"/>
  <c r="B26" i="2"/>
  <c r="F33" i="218"/>
  <c r="B27" i="15"/>
  <c r="M1241" i="184"/>
  <c r="AX29" i="218"/>
  <c r="M1195" i="184"/>
  <c r="B23" i="121"/>
  <c r="AD29" i="218"/>
  <c r="M1183" i="184"/>
  <c r="B23" i="81"/>
  <c r="X11" i="231"/>
  <c r="Q30" i="227"/>
  <c r="M938" i="184"/>
  <c r="K307" i="184"/>
  <c r="K2637" i="184" s="1"/>
  <c r="M145" i="191"/>
  <c r="D10" i="218"/>
  <c r="M10" i="184"/>
  <c r="B10" i="2"/>
  <c r="AX10" i="218"/>
  <c r="M42" i="184"/>
  <c r="B10" i="121"/>
  <c r="BJ13" i="218"/>
  <c r="M122" i="184"/>
  <c r="B13" i="151"/>
  <c r="BJ10" i="218"/>
  <c r="M11" i="184"/>
  <c r="B10" i="151"/>
  <c r="K40" i="231"/>
  <c r="H12" i="227"/>
  <c r="M457" i="184"/>
  <c r="M353" i="184"/>
  <c r="H16" i="231"/>
  <c r="F22" i="218"/>
  <c r="V12" i="231"/>
  <c r="M866" i="184"/>
  <c r="O31" i="227"/>
  <c r="Q26" i="16"/>
  <c r="W16" i="231"/>
  <c r="P36" i="227"/>
  <c r="M909" i="184"/>
  <c r="AX34" i="218"/>
  <c r="M1308" i="184"/>
  <c r="B28" i="121"/>
  <c r="O12" i="231"/>
  <c r="M606" i="184"/>
  <c r="L31" i="227"/>
  <c r="BJ14" i="218"/>
  <c r="M159" i="184"/>
  <c r="B14" i="151"/>
  <c r="L51" i="218"/>
  <c r="M1836" i="184"/>
  <c r="B45" i="35"/>
  <c r="P70" i="36"/>
  <c r="I9" i="221" s="1"/>
  <c r="O13" i="152"/>
  <c r="O13" i="97"/>
  <c r="G221" i="191"/>
  <c r="M2309" i="184"/>
  <c r="M1081" i="184"/>
  <c r="T43" i="227"/>
  <c r="AA34" i="231"/>
  <c r="O42" i="231"/>
  <c r="M638" i="184"/>
  <c r="L46" i="227"/>
  <c r="N33" i="218"/>
  <c r="M1247" i="184"/>
  <c r="B27" i="41"/>
  <c r="K16" i="231"/>
  <c r="M464" i="184"/>
  <c r="H36" i="227"/>
  <c r="W45" i="42"/>
  <c r="W34" i="42"/>
  <c r="AD13" i="218"/>
  <c r="M141" i="184"/>
  <c r="B13" i="81"/>
  <c r="V19" i="218"/>
  <c r="M18" i="236"/>
  <c r="P112" i="236" s="1"/>
  <c r="D70" i="176"/>
  <c r="F70" i="176" s="1"/>
  <c r="AD36" i="218"/>
  <c r="B30" i="81"/>
  <c r="D70" i="81"/>
  <c r="F70" i="81" s="1"/>
  <c r="M1370" i="184"/>
  <c r="M1076" i="184"/>
  <c r="T19" i="227"/>
  <c r="AA37" i="231"/>
  <c r="K30" i="231"/>
  <c r="M477" i="184"/>
  <c r="H47" i="227"/>
  <c r="M490" i="184"/>
  <c r="H46" i="227"/>
  <c r="G1447" i="184"/>
  <c r="G57" i="72"/>
  <c r="G1484" i="184" s="1"/>
  <c r="J43" i="227"/>
  <c r="M562" i="184"/>
  <c r="M34" i="231"/>
  <c r="K34" i="231"/>
  <c r="W45" i="122"/>
  <c r="W47" i="122" s="1"/>
  <c r="M488" i="184"/>
  <c r="H43" i="227"/>
  <c r="W34" i="122"/>
  <c r="W35" i="122" s="1"/>
  <c r="M1052" i="184"/>
  <c r="AA15" i="231"/>
  <c r="T17" i="227"/>
  <c r="BT14" i="218"/>
  <c r="B14" i="171"/>
  <c r="M182" i="184"/>
  <c r="I44" i="177"/>
  <c r="I1150" i="184" s="1"/>
  <c r="K45" i="231"/>
  <c r="M480" i="184"/>
  <c r="H26" i="227"/>
  <c r="BP18" i="218"/>
  <c r="Q22" i="162"/>
  <c r="G15" i="227"/>
  <c r="M426" i="184"/>
  <c r="J43" i="231"/>
  <c r="P43" i="227"/>
  <c r="M933" i="184"/>
  <c r="W34" i="231"/>
  <c r="Z39" i="231"/>
  <c r="W28" i="147"/>
  <c r="W30" i="147"/>
  <c r="I39" i="212" s="1"/>
  <c r="AD10" i="218"/>
  <c r="B10" i="81"/>
  <c r="M30" i="184"/>
  <c r="AF79" i="218"/>
  <c r="M2486" i="184"/>
  <c r="L106" i="42"/>
  <c r="L106" i="62"/>
  <c r="L118" i="62" s="1"/>
  <c r="L102" i="62" s="1"/>
  <c r="F14" i="221" s="1"/>
  <c r="BT11" i="218"/>
  <c r="M71" i="184"/>
  <c r="B11" i="171"/>
  <c r="D70" i="41"/>
  <c r="F70" i="41" s="1"/>
  <c r="M1358" i="184"/>
  <c r="F10" i="218"/>
  <c r="B10" i="15"/>
  <c r="M12" i="184"/>
  <c r="B58" i="41"/>
  <c r="N64" i="218"/>
  <c r="M2178" i="184"/>
  <c r="P58" i="218"/>
  <c r="M2030" i="184"/>
  <c r="B52" i="46"/>
  <c r="E46" i="184"/>
  <c r="E2628" i="184" s="1"/>
  <c r="F1869" i="184"/>
  <c r="F2687" i="184" s="1"/>
  <c r="D81" i="181" s="1"/>
  <c r="D65" i="238"/>
  <c r="AL36" i="218"/>
  <c r="D70" i="91"/>
  <c r="F70" i="91" s="1"/>
  <c r="M1385" i="184"/>
  <c r="B30" i="91"/>
  <c r="O26" i="231"/>
  <c r="M639" i="184"/>
  <c r="L33" i="227"/>
  <c r="Y17" i="231"/>
  <c r="M985" i="184"/>
  <c r="R37" i="227"/>
  <c r="R29" i="218"/>
  <c r="M1191" i="184"/>
  <c r="B23" i="51"/>
  <c r="BN49" i="218"/>
  <c r="M1793" i="184"/>
  <c r="B43" i="194"/>
  <c r="AB67" i="195"/>
  <c r="AL51" i="218"/>
  <c r="P70" i="92"/>
  <c r="I20" i="221" s="1"/>
  <c r="W26" i="47"/>
  <c r="M800" i="184"/>
  <c r="T17" i="231"/>
  <c r="W41" i="47"/>
  <c r="AB70" i="72"/>
  <c r="Z77" i="218"/>
  <c r="M2417" i="184"/>
  <c r="K1143" i="184"/>
  <c r="K57" i="62"/>
  <c r="K1480" i="184" s="1"/>
  <c r="D54" i="81"/>
  <c r="F50" i="81"/>
  <c r="F54" i="81" s="1"/>
  <c r="K57" i="162"/>
  <c r="K1131" i="184"/>
  <c r="G36" i="216"/>
  <c r="F191" i="191"/>
  <c r="B59" i="161"/>
  <c r="F58" i="161"/>
  <c r="F59" i="161" s="1"/>
  <c r="P106" i="162"/>
  <c r="Q43" i="231"/>
  <c r="M686" i="184"/>
  <c r="D112" i="100"/>
  <c r="F46" i="101"/>
  <c r="K46" i="101" s="1"/>
  <c r="O46" i="101" s="1"/>
  <c r="G157" i="184"/>
  <c r="G2631" i="184" s="1"/>
  <c r="K492" i="184"/>
  <c r="K2642" i="184" s="1"/>
  <c r="H603" i="184"/>
  <c r="H2645" i="184" s="1"/>
  <c r="J752" i="184"/>
  <c r="J2650" i="184" s="1"/>
  <c r="L118" i="167"/>
  <c r="L102" i="167" s="1"/>
  <c r="F38" i="221" s="1"/>
  <c r="BV18" i="218"/>
  <c r="B13" i="176"/>
  <c r="D60" i="238"/>
  <c r="D11" i="238"/>
  <c r="AA45" i="231"/>
  <c r="M1073" i="184"/>
  <c r="T26" i="227"/>
  <c r="AB13" i="218"/>
  <c r="M138" i="184"/>
  <c r="W46" i="16"/>
  <c r="W37" i="16"/>
  <c r="W38" i="16" s="1"/>
  <c r="K12" i="212" s="1"/>
  <c r="I31" i="227"/>
  <c r="L12" i="231"/>
  <c r="M495" i="184"/>
  <c r="Z12" i="231"/>
  <c r="M1014" i="184"/>
  <c r="S31" i="227"/>
  <c r="V22" i="218"/>
  <c r="V20" i="231"/>
  <c r="M883" i="184"/>
  <c r="O38" i="227"/>
  <c r="Q26" i="62"/>
  <c r="M1013" i="184"/>
  <c r="Z40" i="231"/>
  <c r="S12" i="227"/>
  <c r="H33" i="227"/>
  <c r="W34" i="92"/>
  <c r="W45" i="92"/>
  <c r="M491" i="184"/>
  <c r="BJ37" i="218"/>
  <c r="M1388" i="184"/>
  <c r="B31" i="151"/>
  <c r="E196" i="184"/>
  <c r="M15" i="152"/>
  <c r="M196" i="184"/>
  <c r="N22" i="218"/>
  <c r="Q26" i="42"/>
  <c r="M872" i="184"/>
  <c r="O36" i="227"/>
  <c r="V16" i="231"/>
  <c r="U22" i="231"/>
  <c r="M850" i="184"/>
  <c r="W29" i="72"/>
  <c r="W42" i="72"/>
  <c r="J75" i="218"/>
  <c r="AA69" i="26"/>
  <c r="M2325" i="184"/>
  <c r="AB64" i="16"/>
  <c r="B40" i="15"/>
  <c r="M1650" i="184"/>
  <c r="F46" i="218"/>
  <c r="M2433" i="184"/>
  <c r="F78" i="218"/>
  <c r="F79" i="218"/>
  <c r="M2470" i="184"/>
  <c r="E57" i="167"/>
  <c r="E1472" i="184"/>
  <c r="E1135" i="184"/>
  <c r="E47" i="61"/>
  <c r="E61" i="61" s="1"/>
  <c r="E73" i="61" s="1"/>
  <c r="F38" i="61"/>
  <c r="D93" i="82"/>
  <c r="D2265" i="184"/>
  <c r="K44" i="224"/>
  <c r="G1982" i="184"/>
  <c r="G2692" i="184" s="1"/>
  <c r="F2467" i="184"/>
  <c r="F2709" i="184" s="1"/>
  <c r="E1684" i="184"/>
  <c r="E2682" i="184" s="1"/>
  <c r="F2654" i="184"/>
  <c r="M254" i="191"/>
  <c r="L1199" i="184"/>
  <c r="L2665" i="184" s="1"/>
  <c r="J83" i="184"/>
  <c r="J2629" i="184" s="1"/>
  <c r="G28" i="227"/>
  <c r="J307" i="184"/>
  <c r="J2637" i="184" s="1"/>
  <c r="M1785" i="184"/>
  <c r="K1238" i="184"/>
  <c r="K2668" i="184" s="1"/>
  <c r="E2356" i="184"/>
  <c r="E2706" i="184" s="1"/>
  <c r="M29" i="132"/>
  <c r="Q26" i="21"/>
  <c r="O35" i="227"/>
  <c r="M868" i="184"/>
  <c r="P18" i="218"/>
  <c r="Q18" i="218"/>
  <c r="M429" i="184"/>
  <c r="J17" i="231"/>
  <c r="Q22" i="47"/>
  <c r="G37" i="227"/>
  <c r="L40" i="231"/>
  <c r="M494" i="184"/>
  <c r="R24" i="152"/>
  <c r="I12" i="227"/>
  <c r="J19" i="227"/>
  <c r="W25" i="137"/>
  <c r="H14" i="218"/>
  <c r="M162" i="184"/>
  <c r="B14" i="20"/>
  <c r="BJ36" i="218"/>
  <c r="D70" i="151"/>
  <c r="F70" i="151"/>
  <c r="M1351" i="184"/>
  <c r="B30" i="151"/>
  <c r="N32" i="218"/>
  <c r="M1210" i="184"/>
  <c r="B26" i="41"/>
  <c r="K12" i="231"/>
  <c r="M458" i="184"/>
  <c r="H31" i="227"/>
  <c r="BH37" i="218"/>
  <c r="M1412" i="184"/>
  <c r="Q41" i="227"/>
  <c r="M968" i="184"/>
  <c r="X32" i="231"/>
  <c r="AL11" i="218"/>
  <c r="B11" i="91"/>
  <c r="M82" i="184"/>
  <c r="M936" i="184"/>
  <c r="W26" i="231"/>
  <c r="P33" i="227"/>
  <c r="M727" i="184"/>
  <c r="R44" i="231"/>
  <c r="M2441" i="184"/>
  <c r="P78" i="218"/>
  <c r="M2324" i="184"/>
  <c r="H75" i="218"/>
  <c r="AA69" i="21"/>
  <c r="K1461" i="184"/>
  <c r="H1156" i="184"/>
  <c r="H57" i="122"/>
  <c r="D110" i="170"/>
  <c r="D44" i="171"/>
  <c r="D47" i="171" s="1"/>
  <c r="I47" i="191"/>
  <c r="X61" i="13"/>
  <c r="F200" i="191"/>
  <c r="G200" i="191"/>
  <c r="H9" i="216"/>
  <c r="B19" i="161"/>
  <c r="M1093" i="184"/>
  <c r="AB43" i="231"/>
  <c r="P105" i="82"/>
  <c r="E24" i="231"/>
  <c r="M254" i="184"/>
  <c r="F51" i="223"/>
  <c r="L307" i="184"/>
  <c r="L2637" i="184" s="1"/>
  <c r="J2093" i="184"/>
  <c r="J2695" i="184" s="1"/>
  <c r="U43" i="227"/>
  <c r="BD23" i="218"/>
  <c r="BD24" i="218" s="1"/>
  <c r="D54" i="141"/>
  <c r="J46" i="231"/>
  <c r="H1684" i="184"/>
  <c r="H2682" i="184" s="1"/>
  <c r="H863" i="184"/>
  <c r="H2653" i="184" s="1"/>
  <c r="L863" i="184"/>
  <c r="L2653" i="184" s="1"/>
  <c r="BV49" i="218"/>
  <c r="B46" i="176"/>
  <c r="D1758" i="184"/>
  <c r="D2684" i="184" s="1"/>
  <c r="BS45" i="218"/>
  <c r="F31" i="111"/>
  <c r="D66" i="110"/>
  <c r="D18" i="218"/>
  <c r="M419" i="184"/>
  <c r="G30" i="227"/>
  <c r="Q22" i="13"/>
  <c r="J11" i="231"/>
  <c r="BT33" i="218"/>
  <c r="B27" i="171"/>
  <c r="M1263" i="184"/>
  <c r="F11" i="218"/>
  <c r="M49" i="184"/>
  <c r="B11" i="15"/>
  <c r="E44" i="236"/>
  <c r="E63" i="236" s="1"/>
  <c r="E92" i="236" s="1"/>
  <c r="E100" i="236" s="1"/>
  <c r="D35" i="218"/>
  <c r="M1313" i="184"/>
  <c r="B29" i="2"/>
  <c r="N40" i="231"/>
  <c r="M568" i="184"/>
  <c r="K12" i="227"/>
  <c r="W28" i="152"/>
  <c r="G19" i="227"/>
  <c r="Q22" i="137"/>
  <c r="Q30" i="137"/>
  <c r="BR32" i="218"/>
  <c r="BS32" i="218"/>
  <c r="M1213" i="184"/>
  <c r="B26" i="166"/>
  <c r="H166" i="191"/>
  <c r="X64" i="42"/>
  <c r="L166" i="191" s="1"/>
  <c r="AA69" i="47"/>
  <c r="P75" i="218"/>
  <c r="M2330" i="184"/>
  <c r="I273" i="191"/>
  <c r="X67" i="21"/>
  <c r="L273" i="191" s="1"/>
  <c r="P76" i="218"/>
  <c r="M2367" i="184"/>
  <c r="L118" i="137"/>
  <c r="L102" i="137" s="1"/>
  <c r="F31" i="221" s="1"/>
  <c r="G85" i="162"/>
  <c r="G1468" i="184"/>
  <c r="M1835" i="184"/>
  <c r="P70" i="16"/>
  <c r="I5" i="221" s="1"/>
  <c r="B45" i="15"/>
  <c r="F51" i="218"/>
  <c r="H2252" i="184"/>
  <c r="H93" i="162"/>
  <c r="H2512" i="184" s="1"/>
  <c r="E2094" i="184"/>
  <c r="M78" i="13"/>
  <c r="M2094" i="184"/>
  <c r="D103" i="193"/>
  <c r="F37" i="194"/>
  <c r="K37" i="194" s="1"/>
  <c r="L37" i="194" s="1"/>
  <c r="L106" i="21"/>
  <c r="D36" i="216"/>
  <c r="F43" i="191"/>
  <c r="G43" i="191"/>
  <c r="F1461" i="184"/>
  <c r="F85" i="13"/>
  <c r="J57" i="162"/>
  <c r="J1131" i="184"/>
  <c r="M18" i="62"/>
  <c r="Z19" i="218"/>
  <c r="M83" i="112"/>
  <c r="M2237" i="184" s="1"/>
  <c r="L344" i="184"/>
  <c r="L2638" i="184" s="1"/>
  <c r="O13" i="177"/>
  <c r="G1423" i="184"/>
  <c r="G2673" i="184" s="1"/>
  <c r="R24" i="157"/>
  <c r="E2019" i="184"/>
  <c r="E2693" i="184" s="1"/>
  <c r="BS58" i="218"/>
  <c r="AK59" i="218"/>
  <c r="O13" i="132"/>
  <c r="BR29" i="218"/>
  <c r="B23" i="166"/>
  <c r="M1174" i="184"/>
  <c r="AL14" i="218"/>
  <c r="M193" i="184"/>
  <c r="B14" i="91"/>
  <c r="X16" i="231"/>
  <c r="M946" i="184"/>
  <c r="Q36" i="227"/>
  <c r="H33" i="218"/>
  <c r="M1243" i="184"/>
  <c r="B27" i="20"/>
  <c r="AB35" i="218"/>
  <c r="M1330" i="184"/>
  <c r="B29" i="76"/>
  <c r="Z11" i="231"/>
  <c r="W28" i="13"/>
  <c r="M1012" i="184"/>
  <c r="S30" i="227"/>
  <c r="F29" i="41"/>
  <c r="D64" i="40"/>
  <c r="M955" i="184"/>
  <c r="X23" i="231"/>
  <c r="Q39" i="227"/>
  <c r="X12" i="231"/>
  <c r="M940" i="184"/>
  <c r="Q31" i="227"/>
  <c r="L42" i="231"/>
  <c r="I46" i="227"/>
  <c r="M527" i="184"/>
  <c r="BJ32" i="218"/>
  <c r="M1203" i="184"/>
  <c r="B26" i="151"/>
  <c r="R48" i="218"/>
  <c r="AB66" i="52"/>
  <c r="AB70" i="199"/>
  <c r="AF77" i="218"/>
  <c r="M2412" i="184"/>
  <c r="G2094" i="184"/>
  <c r="O13" i="78"/>
  <c r="L118" i="87"/>
  <c r="L102" i="87" s="1"/>
  <c r="F19" i="221" s="1"/>
  <c r="D1156" i="184"/>
  <c r="D33" i="219"/>
  <c r="D57" i="122"/>
  <c r="B40" i="20"/>
  <c r="H46" i="218"/>
  <c r="AB64" i="21"/>
  <c r="M1652" i="184"/>
  <c r="M2133" i="184"/>
  <c r="D63" i="218"/>
  <c r="B57" i="2"/>
  <c r="J57" i="102"/>
  <c r="J1483" i="184" s="1"/>
  <c r="J1146" i="184"/>
  <c r="H45" i="218"/>
  <c r="M1615" i="184"/>
  <c r="B39" i="20"/>
  <c r="D105" i="19" s="1"/>
  <c r="AB63" i="21"/>
  <c r="E93" i="162"/>
  <c r="E2512" i="184" s="1"/>
  <c r="E2252" i="184"/>
  <c r="M158" i="191"/>
  <c r="H2206" i="184"/>
  <c r="H2700" i="184" s="1"/>
  <c r="H2701" i="184" s="1"/>
  <c r="O13" i="57"/>
  <c r="R30" i="122"/>
  <c r="R36" i="122"/>
  <c r="H28" i="221" s="1"/>
  <c r="X67" i="137"/>
  <c r="L296" i="191" s="1"/>
  <c r="M296" i="191" s="1"/>
  <c r="J1011" i="184"/>
  <c r="J2657" i="184" s="1"/>
  <c r="BV37" i="218"/>
  <c r="M147" i="184"/>
  <c r="AK7" i="218"/>
  <c r="G46" i="220"/>
  <c r="AB14" i="218"/>
  <c r="M175" i="184"/>
  <c r="B14" i="76"/>
  <c r="L30" i="231"/>
  <c r="M514" i="184"/>
  <c r="I47" i="227"/>
  <c r="W37" i="203"/>
  <c r="W46" i="203"/>
  <c r="F52" i="235"/>
  <c r="K52" i="235"/>
  <c r="O52" i="235" s="1"/>
  <c r="D111" i="238"/>
  <c r="BJ33" i="218"/>
  <c r="M1240" i="184"/>
  <c r="B27" i="151"/>
  <c r="F34" i="218"/>
  <c r="B28" i="15"/>
  <c r="M1278" i="184"/>
  <c r="AA12" i="231"/>
  <c r="M1051" i="184"/>
  <c r="T31" i="227"/>
  <c r="G676" i="184"/>
  <c r="G44" i="92"/>
  <c r="J660" i="184"/>
  <c r="J44" i="62"/>
  <c r="AH10" i="218"/>
  <c r="B10" i="202"/>
  <c r="M31" i="184"/>
  <c r="Z13" i="231"/>
  <c r="M1016" i="184"/>
  <c r="S35" i="227"/>
  <c r="N12" i="231"/>
  <c r="K31" i="227"/>
  <c r="M569" i="184"/>
  <c r="W28" i="16"/>
  <c r="W30" i="16" s="1"/>
  <c r="I12" i="212" s="1"/>
  <c r="G46" i="227"/>
  <c r="M453" i="184"/>
  <c r="Q22" i="195"/>
  <c r="N34" i="218"/>
  <c r="B28" i="41"/>
  <c r="M1284" i="184"/>
  <c r="E1096" i="184"/>
  <c r="E44" i="47"/>
  <c r="K18" i="231"/>
  <c r="M484" i="184"/>
  <c r="H40" i="227"/>
  <c r="F49" i="218"/>
  <c r="M1761" i="184"/>
  <c r="AB67" i="16"/>
  <c r="B43" i="15"/>
  <c r="AB34" i="231"/>
  <c r="B19" i="121"/>
  <c r="M1118" i="184"/>
  <c r="D109" i="110"/>
  <c r="F43" i="111"/>
  <c r="K43" i="111" s="1"/>
  <c r="M43" i="111" s="1"/>
  <c r="F2207" i="184"/>
  <c r="M83" i="13"/>
  <c r="M2207" i="184" s="1"/>
  <c r="X63" i="21"/>
  <c r="L125" i="191" s="1"/>
  <c r="H125" i="191"/>
  <c r="P71" i="137"/>
  <c r="F370" i="191"/>
  <c r="K57" i="82"/>
  <c r="K1144" i="184"/>
  <c r="L603" i="184"/>
  <c r="L2645" i="184" s="1"/>
  <c r="L118" i="21"/>
  <c r="L102" i="21" s="1"/>
  <c r="F6" i="221" s="1"/>
  <c r="G1275" i="184"/>
  <c r="G2669" i="184" s="1"/>
  <c r="M78" i="142"/>
  <c r="M2107" i="184" s="1"/>
  <c r="H1011" i="184"/>
  <c r="H2657" i="184" s="1"/>
  <c r="B13" i="131"/>
  <c r="C13" i="131" s="1"/>
  <c r="M905" i="184"/>
  <c r="W13" i="231"/>
  <c r="BJ35" i="218"/>
  <c r="M1314" i="184"/>
  <c r="B29" i="151"/>
  <c r="W17" i="231"/>
  <c r="P37" i="227"/>
  <c r="M911" i="184"/>
  <c r="L645" i="184"/>
  <c r="L44" i="21"/>
  <c r="AL37" i="218"/>
  <c r="M1422" i="184"/>
  <c r="B31" i="91"/>
  <c r="C40" i="86"/>
  <c r="C50" i="86"/>
  <c r="T33" i="213"/>
  <c r="Z57" i="218"/>
  <c r="M2006" i="184"/>
  <c r="B51" i="71"/>
  <c r="Z49" i="218"/>
  <c r="B43" i="71"/>
  <c r="AB67" i="72"/>
  <c r="M1782" i="184"/>
  <c r="R65" i="16"/>
  <c r="C197" i="191"/>
  <c r="H37" i="216"/>
  <c r="F229" i="191"/>
  <c r="G229" i="191"/>
  <c r="F46" i="151"/>
  <c r="K46" i="151" s="1"/>
  <c r="O46" i="151" s="1"/>
  <c r="D112" i="150"/>
  <c r="R63" i="21"/>
  <c r="C125" i="191"/>
  <c r="F227" i="191"/>
  <c r="G227" i="191"/>
  <c r="H29" i="216"/>
  <c r="B19" i="81"/>
  <c r="M1106" i="184"/>
  <c r="AB24" i="231"/>
  <c r="B18" i="86"/>
  <c r="P25" i="231"/>
  <c r="M655" i="184"/>
  <c r="M29" i="224"/>
  <c r="B18" i="223" s="1"/>
  <c r="I2056" i="184"/>
  <c r="I2694" i="184" s="1"/>
  <c r="P19" i="218"/>
  <c r="P20" i="218" s="1"/>
  <c r="M260" i="191"/>
  <c r="E2093" i="184"/>
  <c r="E2695" i="184" s="1"/>
  <c r="D566" i="184"/>
  <c r="D2644" i="184" s="1"/>
  <c r="M188" i="191"/>
  <c r="J381" i="184"/>
  <c r="J2639" i="184" s="1"/>
  <c r="H900" i="184"/>
  <c r="H2654" i="184" s="1"/>
  <c r="H63" i="236"/>
  <c r="H92" i="236"/>
  <c r="H100" i="236" s="1"/>
  <c r="M33" i="231"/>
  <c r="M561" i="184"/>
  <c r="J42" i="227"/>
  <c r="F29" i="218"/>
  <c r="M1165" i="184"/>
  <c r="B23" i="15"/>
  <c r="Y18" i="231"/>
  <c r="M1003" i="184"/>
  <c r="R40" i="227"/>
  <c r="AL33" i="218"/>
  <c r="M1274" i="184"/>
  <c r="B27" i="91"/>
  <c r="T13" i="227"/>
  <c r="AA27" i="231"/>
  <c r="M1065" i="184"/>
  <c r="L26" i="231"/>
  <c r="I33" i="227"/>
  <c r="M528" i="184"/>
  <c r="AB29" i="218"/>
  <c r="M1180" i="184"/>
  <c r="B23" i="76"/>
  <c r="AH18" i="218"/>
  <c r="M440" i="184"/>
  <c r="J30" i="231"/>
  <c r="Q22" i="203"/>
  <c r="Q30" i="203" s="1"/>
  <c r="G47" i="227"/>
  <c r="Z29" i="218"/>
  <c r="B23" i="71"/>
  <c r="M1186" i="184"/>
  <c r="J1121" i="184"/>
  <c r="J44" i="92"/>
  <c r="H269" i="191"/>
  <c r="X67" i="13"/>
  <c r="L269" i="191" s="1"/>
  <c r="G191" i="191"/>
  <c r="F65" i="191"/>
  <c r="G65" i="191" s="1"/>
  <c r="E24" i="216"/>
  <c r="O15" i="214"/>
  <c r="F57" i="131"/>
  <c r="S36" i="231"/>
  <c r="M765" i="184"/>
  <c r="H44" i="132"/>
  <c r="H1136" i="184" s="1"/>
  <c r="H653" i="184"/>
  <c r="M1660" i="184"/>
  <c r="AB64" i="132"/>
  <c r="BB46" i="218"/>
  <c r="B40" i="131"/>
  <c r="BB79" i="218"/>
  <c r="M2480" i="184"/>
  <c r="M505" i="184"/>
  <c r="I18" i="227"/>
  <c r="L36" i="231"/>
  <c r="L44" i="132"/>
  <c r="L1098" i="184"/>
  <c r="BB78" i="218"/>
  <c r="M2443" i="184"/>
  <c r="F31" i="216"/>
  <c r="F133" i="191"/>
  <c r="G133" i="191" s="1"/>
  <c r="M1808" i="184"/>
  <c r="D67" i="131"/>
  <c r="K18" i="227"/>
  <c r="M579" i="184"/>
  <c r="N36" i="231"/>
  <c r="BB34" i="218"/>
  <c r="M1288" i="184"/>
  <c r="B28" i="131"/>
  <c r="B46" i="131"/>
  <c r="M1882" i="184"/>
  <c r="BB52" i="218"/>
  <c r="M1623" i="184"/>
  <c r="AB63" i="132"/>
  <c r="BB45" i="218"/>
  <c r="B39" i="131"/>
  <c r="D64" i="130"/>
  <c r="F29" i="131"/>
  <c r="J29" i="131" s="1"/>
  <c r="C29" i="131"/>
  <c r="K44" i="132"/>
  <c r="M394" i="184"/>
  <c r="I36" i="231"/>
  <c r="D62" i="130"/>
  <c r="F27" i="131"/>
  <c r="J27" i="131" s="1"/>
  <c r="F1098" i="184"/>
  <c r="D19" i="131"/>
  <c r="F44" i="132"/>
  <c r="F1136" i="184" s="1"/>
  <c r="B50" i="131"/>
  <c r="M1958" i="184"/>
  <c r="H207" i="184"/>
  <c r="F653" i="184"/>
  <c r="D18" i="131"/>
  <c r="AS7" i="218"/>
  <c r="BM44" i="218"/>
  <c r="Q57" i="218"/>
  <c r="Y14" i="218"/>
  <c r="BO18" i="218"/>
  <c r="Y11" i="218"/>
  <c r="M113" i="191"/>
  <c r="M261" i="191"/>
  <c r="AR78" i="218"/>
  <c r="M2460" i="184"/>
  <c r="B53" i="106"/>
  <c r="M2086" i="184"/>
  <c r="AR59" i="218"/>
  <c r="F10" i="106"/>
  <c r="J10" i="106"/>
  <c r="D39" i="187"/>
  <c r="D54" i="105"/>
  <c r="G31" i="231"/>
  <c r="M337" i="184"/>
  <c r="E38" i="106"/>
  <c r="E47" i="106" s="1"/>
  <c r="E61" i="106" s="1"/>
  <c r="E73" i="106" s="1"/>
  <c r="D104" i="105"/>
  <c r="M187" i="191"/>
  <c r="C38" i="106"/>
  <c r="G26" i="216"/>
  <c r="F187" i="191"/>
  <c r="G187" i="191" s="1"/>
  <c r="AR13" i="218"/>
  <c r="M150" i="184"/>
  <c r="B13" i="106"/>
  <c r="O13" i="107"/>
  <c r="D63" i="105"/>
  <c r="M201" i="191"/>
  <c r="I16" i="191"/>
  <c r="R28" i="127"/>
  <c r="L53" i="191"/>
  <c r="M53" i="191" s="1"/>
  <c r="D8" i="192"/>
  <c r="BS44" i="218"/>
  <c r="BS7" i="218"/>
  <c r="BS51" i="218"/>
  <c r="BS34" i="218"/>
  <c r="BS59" i="218"/>
  <c r="BS37" i="218"/>
  <c r="P44" i="214"/>
  <c r="Q58" i="218"/>
  <c r="BO59" i="218"/>
  <c r="Q7" i="218"/>
  <c r="BO57" i="218"/>
  <c r="Q52" i="218"/>
  <c r="BO7" i="218"/>
  <c r="Q44" i="218"/>
  <c r="BO56" i="218"/>
  <c r="BO49" i="218"/>
  <c r="BO43" i="218"/>
  <c r="I44" i="181"/>
  <c r="K3" i="181" s="1"/>
  <c r="P52" i="207"/>
  <c r="AW43" i="218"/>
  <c r="AW42" i="218"/>
  <c r="AW49" i="218"/>
  <c r="BL78" i="218"/>
  <c r="M2464" i="184"/>
  <c r="M2390" i="184"/>
  <c r="BL76" i="218"/>
  <c r="H228" i="191"/>
  <c r="X65" i="157"/>
  <c r="L228" i="191" s="1"/>
  <c r="R65" i="157"/>
  <c r="C228" i="191"/>
  <c r="B45" i="156"/>
  <c r="F45" i="156" s="1"/>
  <c r="K45" i="156" s="1"/>
  <c r="O45" i="156" s="1"/>
  <c r="BL51" i="218"/>
  <c r="BM51" i="218"/>
  <c r="M1866" i="184"/>
  <c r="H17" i="229"/>
  <c r="G17" i="229"/>
  <c r="AU50" i="218"/>
  <c r="AU7" i="218"/>
  <c r="AU63" i="218"/>
  <c r="H42" i="229"/>
  <c r="G42" i="229"/>
  <c r="G39" i="229"/>
  <c r="G18" i="229"/>
  <c r="AU49" i="218"/>
  <c r="H37" i="229"/>
  <c r="G37" i="229"/>
  <c r="AU37" i="218"/>
  <c r="H35" i="229"/>
  <c r="G35" i="229"/>
  <c r="P41" i="214"/>
  <c r="O41" i="214"/>
  <c r="K6" i="218"/>
  <c r="K10" i="218" s="1"/>
  <c r="C45" i="25"/>
  <c r="C11" i="181"/>
  <c r="T31" i="213"/>
  <c r="P32" i="214" s="1"/>
  <c r="I29" i="188"/>
  <c r="K29" i="188" s="1"/>
  <c r="G32" i="220"/>
  <c r="C44" i="25"/>
  <c r="D32" i="210"/>
  <c r="G30" i="209"/>
  <c r="C36" i="25"/>
  <c r="C41" i="25"/>
  <c r="M32" i="230"/>
  <c r="H32" i="229" s="1"/>
  <c r="O18" i="214"/>
  <c r="AU18" i="218"/>
  <c r="AU59" i="218"/>
  <c r="AU48" i="218"/>
  <c r="H41" i="229"/>
  <c r="G41" i="229"/>
  <c r="O46" i="214"/>
  <c r="O42" i="214"/>
  <c r="P42" i="214"/>
  <c r="AZ75" i="218"/>
  <c r="M2326" i="184"/>
  <c r="AA69" i="127"/>
  <c r="F1092" i="184"/>
  <c r="D19" i="126"/>
  <c r="F44" i="127"/>
  <c r="AZ79" i="218"/>
  <c r="M2474" i="184"/>
  <c r="AZ76" i="218"/>
  <c r="M2363" i="184"/>
  <c r="M1989" i="184"/>
  <c r="B51" i="126"/>
  <c r="AZ57" i="218"/>
  <c r="M1356" i="184"/>
  <c r="D70" i="126"/>
  <c r="F70" i="126"/>
  <c r="F752" i="184"/>
  <c r="F2650" i="184" s="1"/>
  <c r="E57" i="127"/>
  <c r="E1130" i="184"/>
  <c r="L900" i="184"/>
  <c r="L2654" i="184" s="1"/>
  <c r="U35" i="231"/>
  <c r="M833" i="184"/>
  <c r="J1092" i="184"/>
  <c r="J44" i="127"/>
  <c r="J1130" i="184" s="1"/>
  <c r="G1758" i="184"/>
  <c r="G2684" i="184" s="1"/>
  <c r="E2467" i="184"/>
  <c r="E2709" i="184" s="1"/>
  <c r="P71" i="127"/>
  <c r="D349" i="191"/>
  <c r="M2289" i="184"/>
  <c r="AZ74" i="218"/>
  <c r="I1906" i="184"/>
  <c r="I2688" i="184" s="1"/>
  <c r="B40" i="126"/>
  <c r="AB64" i="127"/>
  <c r="M1654" i="184"/>
  <c r="AZ46" i="218"/>
  <c r="D18" i="126"/>
  <c r="F647" i="184"/>
  <c r="O20" i="214"/>
  <c r="P20" i="214"/>
  <c r="O40" i="214"/>
  <c r="P40" i="214"/>
  <c r="H22" i="229"/>
  <c r="G22" i="229"/>
  <c r="G16" i="229"/>
  <c r="H16" i="229"/>
  <c r="L106" i="157"/>
  <c r="L118" i="157" s="1"/>
  <c r="L102" i="157" s="1"/>
  <c r="F35" i="221" s="1"/>
  <c r="M15" i="157"/>
  <c r="M228" i="184" s="1"/>
  <c r="BL75" i="218"/>
  <c r="M2353" i="184"/>
  <c r="AA69" i="157"/>
  <c r="S18" i="227"/>
  <c r="Z36" i="231"/>
  <c r="M1024" i="184"/>
  <c r="B45" i="131"/>
  <c r="M1845" i="184"/>
  <c r="BB51" i="218"/>
  <c r="I1136" i="184"/>
  <c r="I57" i="132"/>
  <c r="T36" i="231"/>
  <c r="M802" i="184"/>
  <c r="W34" i="132"/>
  <c r="K36" i="231"/>
  <c r="W45" i="132"/>
  <c r="M468" i="184"/>
  <c r="R24" i="132"/>
  <c r="H18" i="227"/>
  <c r="E65" i="131"/>
  <c r="E68" i="131"/>
  <c r="E71" i="131" s="1"/>
  <c r="BB44" i="218"/>
  <c r="M1586" i="184"/>
  <c r="AB62" i="132"/>
  <c r="B38" i="131"/>
  <c r="BB48" i="218"/>
  <c r="M1734" i="184"/>
  <c r="AB66" i="132"/>
  <c r="B42" i="131"/>
  <c r="F207" i="184"/>
  <c r="M15" i="132"/>
  <c r="M207" i="184" s="1"/>
  <c r="D2106" i="184"/>
  <c r="M78" i="132"/>
  <c r="M2106" i="184" s="1"/>
  <c r="W33" i="132"/>
  <c r="M283" i="184"/>
  <c r="F36" i="231"/>
  <c r="BB59" i="218"/>
  <c r="B53" i="131"/>
  <c r="M2069" i="184"/>
  <c r="BB10" i="218"/>
  <c r="M22" i="184"/>
  <c r="B10" i="131"/>
  <c r="P70" i="132"/>
  <c r="I30" i="221" s="1"/>
  <c r="D355" i="191"/>
  <c r="P71" i="132"/>
  <c r="BB29" i="218"/>
  <c r="B23" i="131"/>
  <c r="M1175" i="184"/>
  <c r="BB23" i="218"/>
  <c r="M2032" i="184"/>
  <c r="BB58" i="218"/>
  <c r="B52" i="131"/>
  <c r="BB43" i="218"/>
  <c r="M1549" i="184"/>
  <c r="B37" i="131"/>
  <c r="AB61" i="132"/>
  <c r="M653" i="184"/>
  <c r="P36" i="231"/>
  <c r="B18" i="131"/>
  <c r="H1919" i="184"/>
  <c r="H31" i="216"/>
  <c r="F207" i="191"/>
  <c r="G207" i="191"/>
  <c r="W28" i="132"/>
  <c r="BB22" i="218"/>
  <c r="M876" i="184"/>
  <c r="V36" i="231"/>
  <c r="Q26" i="132"/>
  <c r="O18" i="227"/>
  <c r="I96" i="191"/>
  <c r="X62" i="132"/>
  <c r="L96" i="191" s="1"/>
  <c r="BB77" i="218"/>
  <c r="AB70" i="132"/>
  <c r="M2406" i="184"/>
  <c r="M1995" i="184"/>
  <c r="B51" i="131"/>
  <c r="BB57" i="218"/>
  <c r="M2332" i="184"/>
  <c r="AA69" i="132"/>
  <c r="BB75" i="218"/>
  <c r="X61" i="132"/>
  <c r="H59" i="191"/>
  <c r="BB49" i="218"/>
  <c r="AB67" i="132"/>
  <c r="M1771" i="184"/>
  <c r="B43" i="131"/>
  <c r="D110" i="130"/>
  <c r="D44" i="131"/>
  <c r="D47" i="131"/>
  <c r="C44" i="131"/>
  <c r="BB19" i="218"/>
  <c r="H207" i="191"/>
  <c r="X65" i="132"/>
  <c r="L207" i="191" s="1"/>
  <c r="BB18" i="218"/>
  <c r="Q22" i="132"/>
  <c r="J36" i="231"/>
  <c r="M431" i="184"/>
  <c r="G18" i="227"/>
  <c r="BB74" i="218"/>
  <c r="M2295" i="184"/>
  <c r="R61" i="132"/>
  <c r="C59" i="191"/>
  <c r="M2182" i="184"/>
  <c r="BB64" i="218"/>
  <c r="B58" i="131"/>
  <c r="J653" i="184"/>
  <c r="J44" i="132"/>
  <c r="B41" i="131"/>
  <c r="M1697" i="184"/>
  <c r="BB47" i="218"/>
  <c r="AB65" i="132"/>
  <c r="B30" i="131"/>
  <c r="BB36" i="218"/>
  <c r="M1362" i="184"/>
  <c r="D70" i="131"/>
  <c r="F70" i="131"/>
  <c r="Q18" i="227"/>
  <c r="M950" i="184"/>
  <c r="W46" i="132"/>
  <c r="R28" i="132"/>
  <c r="W37" i="132"/>
  <c r="X36" i="231"/>
  <c r="BB32" i="218"/>
  <c r="M1214" i="184"/>
  <c r="B26" i="131"/>
  <c r="M83" i="132"/>
  <c r="M2219" i="184" s="1"/>
  <c r="F2219" i="184"/>
  <c r="E44" i="132"/>
  <c r="M987" i="184"/>
  <c r="Y36" i="231"/>
  <c r="R18" i="227"/>
  <c r="W25" i="132"/>
  <c r="F1919" i="184"/>
  <c r="M71" i="132"/>
  <c r="M1919" i="184"/>
  <c r="G44" i="132"/>
  <c r="G1098" i="184"/>
  <c r="M42" i="132"/>
  <c r="E1436" i="184"/>
  <c r="M56" i="132"/>
  <c r="M1436" i="184" s="1"/>
  <c r="M320" i="184"/>
  <c r="G36" i="231"/>
  <c r="W36" i="132"/>
  <c r="B11" i="131"/>
  <c r="M59" i="184"/>
  <c r="BB11" i="218"/>
  <c r="M2369" i="184"/>
  <c r="BB76" i="218"/>
  <c r="M616" i="184"/>
  <c r="L18" i="227"/>
  <c r="O36" i="231"/>
  <c r="M728" i="184"/>
  <c r="R36" i="231"/>
  <c r="H22" i="191"/>
  <c r="X60" i="132"/>
  <c r="M31" i="132"/>
  <c r="D691" i="184"/>
  <c r="L106" i="132"/>
  <c r="L118" i="132" s="1"/>
  <c r="L102" i="132" s="1"/>
  <c r="F30" i="221" s="1"/>
  <c r="L1919" i="184"/>
  <c r="BB42" i="218"/>
  <c r="M1512" i="184"/>
  <c r="B36" i="131"/>
  <c r="AB60" i="132"/>
  <c r="W42" i="132"/>
  <c r="W29" i="132"/>
  <c r="U36" i="231"/>
  <c r="M839" i="184"/>
  <c r="X66" i="132"/>
  <c r="L244" i="191" s="1"/>
  <c r="H244" i="191"/>
  <c r="M18" i="132"/>
  <c r="F246" i="184"/>
  <c r="H36" i="231"/>
  <c r="M357" i="184"/>
  <c r="W26" i="132"/>
  <c r="W41" i="132"/>
  <c r="M947" i="184"/>
  <c r="X21" i="231"/>
  <c r="Q22" i="227"/>
  <c r="AB21" i="231"/>
  <c r="B19" i="66"/>
  <c r="M1095" i="184"/>
  <c r="X37" i="218"/>
  <c r="Y37" i="218" s="1"/>
  <c r="J650" i="184"/>
  <c r="J44" i="67"/>
  <c r="E1095" i="184"/>
  <c r="E44" i="67"/>
  <c r="E1133" i="184" s="1"/>
  <c r="K900" i="184"/>
  <c r="K2654" i="184" s="1"/>
  <c r="X49" i="218"/>
  <c r="Y49" i="218"/>
  <c r="M1768" i="184"/>
  <c r="B43" i="66"/>
  <c r="AB67" i="67"/>
  <c r="AA71" i="67"/>
  <c r="AB69" i="67"/>
  <c r="G16" i="216"/>
  <c r="F167" i="191"/>
  <c r="G167" i="191"/>
  <c r="M2292" i="184"/>
  <c r="X74" i="218"/>
  <c r="X42" i="218"/>
  <c r="Y42" i="218" s="1"/>
  <c r="AB60" i="67"/>
  <c r="M1509" i="184"/>
  <c r="B36" i="66"/>
  <c r="X56" i="218"/>
  <c r="Y56" i="218" s="1"/>
  <c r="B50" i="66"/>
  <c r="M1955" i="184"/>
  <c r="W29" i="67"/>
  <c r="W42" i="67"/>
  <c r="M15" i="236"/>
  <c r="E44" i="235"/>
  <c r="F44" i="235" s="1"/>
  <c r="D104" i="234"/>
  <c r="AB66" i="236"/>
  <c r="B42" i="235"/>
  <c r="D102" i="238" s="1"/>
  <c r="M85" i="236"/>
  <c r="W42" i="236"/>
  <c r="W29" i="236"/>
  <c r="W30" i="236"/>
  <c r="F64" i="235"/>
  <c r="F48" i="235"/>
  <c r="D107" i="234"/>
  <c r="K92" i="236"/>
  <c r="K100" i="236" s="1"/>
  <c r="D36" i="235"/>
  <c r="D38" i="235" s="1"/>
  <c r="D39" i="235" s="1"/>
  <c r="D65" i="234"/>
  <c r="F26" i="235"/>
  <c r="AB69" i="224"/>
  <c r="E74" i="223"/>
  <c r="B45" i="223"/>
  <c r="H92" i="224"/>
  <c r="H100" i="224" s="1"/>
  <c r="R69" i="224"/>
  <c r="S69" i="224"/>
  <c r="M85" i="224"/>
  <c r="L44" i="224"/>
  <c r="L63" i="224" s="1"/>
  <c r="L92" i="224" s="1"/>
  <c r="L100" i="224" s="1"/>
  <c r="I63" i="224"/>
  <c r="I92" i="224" s="1"/>
  <c r="I100" i="224" s="1"/>
  <c r="K63" i="224"/>
  <c r="W25" i="224"/>
  <c r="W27" i="224" s="1"/>
  <c r="L113" i="224"/>
  <c r="L125" i="224" s="1"/>
  <c r="W33" i="224"/>
  <c r="W35" i="224"/>
  <c r="M42" i="224"/>
  <c r="B19" i="223" s="1"/>
  <c r="M860" i="184"/>
  <c r="U41" i="231"/>
  <c r="I1119" i="184"/>
  <c r="I44" i="157"/>
  <c r="B42" i="156"/>
  <c r="AB66" i="157"/>
  <c r="BL48" i="218"/>
  <c r="BM48" i="218" s="1"/>
  <c r="M1755" i="184"/>
  <c r="BM56" i="218"/>
  <c r="F36" i="216"/>
  <c r="F154" i="191"/>
  <c r="G154" i="191" s="1"/>
  <c r="B44" i="156"/>
  <c r="BL50" i="218"/>
  <c r="BM50" i="218" s="1"/>
  <c r="M1829" i="184"/>
  <c r="AB68" i="157"/>
  <c r="D67" i="156"/>
  <c r="M2427" i="184"/>
  <c r="BL77" i="218"/>
  <c r="AB70" i="157"/>
  <c r="BM63" i="218"/>
  <c r="J1119" i="184"/>
  <c r="J44" i="157"/>
  <c r="J1157" i="184"/>
  <c r="G1119" i="184"/>
  <c r="G44" i="157"/>
  <c r="G1157" i="184" s="1"/>
  <c r="F228" i="184"/>
  <c r="H57" i="157"/>
  <c r="W42" i="157"/>
  <c r="W29" i="157"/>
  <c r="I41" i="231"/>
  <c r="M415" i="184"/>
  <c r="F674" i="184"/>
  <c r="D18" i="156"/>
  <c r="P71" i="157"/>
  <c r="D376" i="191"/>
  <c r="P70" i="157"/>
  <c r="I35" i="221" s="1"/>
  <c r="BL34" i="218"/>
  <c r="BM34" i="218" s="1"/>
  <c r="M1309" i="184"/>
  <c r="B28" i="156"/>
  <c r="T16" i="227"/>
  <c r="AA41" i="231"/>
  <c r="M1082" i="184"/>
  <c r="BL29" i="218"/>
  <c r="B23" i="156"/>
  <c r="M1196" i="184"/>
  <c r="BL74" i="218"/>
  <c r="M2316" i="184"/>
  <c r="E44" i="157"/>
  <c r="E1119" i="184"/>
  <c r="M41" i="231"/>
  <c r="J16" i="227"/>
  <c r="M563" i="184"/>
  <c r="W25" i="157"/>
  <c r="W41" i="231"/>
  <c r="P16" i="227"/>
  <c r="M934" i="184"/>
  <c r="BL23" i="218"/>
  <c r="BL24" i="218" s="1"/>
  <c r="W45" i="157"/>
  <c r="R28" i="157"/>
  <c r="R30" i="157" s="1"/>
  <c r="F2240" i="184"/>
  <c r="M83" i="157"/>
  <c r="M2240" i="184"/>
  <c r="BL33" i="218"/>
  <c r="BM33" i="218"/>
  <c r="B27" i="156"/>
  <c r="M1272" i="184"/>
  <c r="BL19" i="218"/>
  <c r="BL20" i="218" s="1"/>
  <c r="K16" i="227"/>
  <c r="M600" i="184"/>
  <c r="N41" i="231"/>
  <c r="W28" i="157"/>
  <c r="G228" i="184"/>
  <c r="F1119" i="184"/>
  <c r="D19" i="156"/>
  <c r="F44" i="157"/>
  <c r="F1157" i="184" s="1"/>
  <c r="J1199" i="184"/>
  <c r="J2665" i="184" s="1"/>
  <c r="BL42" i="218"/>
  <c r="B36" i="156"/>
  <c r="M1533" i="184"/>
  <c r="AB60" i="157"/>
  <c r="M1420" i="184"/>
  <c r="BL37" i="218"/>
  <c r="BM37" i="218" s="1"/>
  <c r="B31" i="156"/>
  <c r="M2090" i="184"/>
  <c r="BL59" i="218"/>
  <c r="BM59" i="218"/>
  <c r="B53" i="156"/>
  <c r="BL49" i="218"/>
  <c r="BM49" i="218" s="1"/>
  <c r="B43" i="156"/>
  <c r="AB67" i="157"/>
  <c r="M1792" i="184"/>
  <c r="BL52" i="218"/>
  <c r="BM52" i="218" s="1"/>
  <c r="M1903" i="184"/>
  <c r="B46" i="156"/>
  <c r="D674" i="184"/>
  <c r="M29" i="157"/>
  <c r="D1457" i="184"/>
  <c r="M56" i="157"/>
  <c r="M1457" i="184" s="1"/>
  <c r="M304" i="184"/>
  <c r="W33" i="157"/>
  <c r="W35" i="157"/>
  <c r="J41" i="212" s="1"/>
  <c r="F41" i="231"/>
  <c r="H41" i="231"/>
  <c r="W41" i="157"/>
  <c r="M378" i="184"/>
  <c r="W26" i="157"/>
  <c r="H265" i="191"/>
  <c r="X66" i="157"/>
  <c r="L265" i="191" s="1"/>
  <c r="M80" i="184"/>
  <c r="B11" i="156"/>
  <c r="BL11" i="218"/>
  <c r="BM11" i="218" s="1"/>
  <c r="W46" i="157"/>
  <c r="I16" i="227"/>
  <c r="W37" i="157"/>
  <c r="W38" i="157" s="1"/>
  <c r="M526" i="184"/>
  <c r="L41" i="231"/>
  <c r="H43" i="191"/>
  <c r="X60" i="157"/>
  <c r="M302" i="191"/>
  <c r="B37" i="156"/>
  <c r="M1570" i="184"/>
  <c r="BL43" i="218"/>
  <c r="BM43" i="218" s="1"/>
  <c r="AB61" i="157"/>
  <c r="B14" i="156"/>
  <c r="M191" i="184"/>
  <c r="BL14" i="218"/>
  <c r="BM14" i="218" s="1"/>
  <c r="C38" i="156"/>
  <c r="D104" i="155"/>
  <c r="E38" i="156"/>
  <c r="E47" i="156"/>
  <c r="E61" i="156" s="1"/>
  <c r="Z41" i="231"/>
  <c r="M1045" i="184"/>
  <c r="S16" i="227"/>
  <c r="BL13" i="218"/>
  <c r="BM13" i="218" s="1"/>
  <c r="M154" i="184"/>
  <c r="B13" i="156"/>
  <c r="O13" i="157"/>
  <c r="D267" i="184"/>
  <c r="M18" i="157"/>
  <c r="F2127" i="184"/>
  <c r="M78" i="157"/>
  <c r="M2127" i="184" s="1"/>
  <c r="B29" i="156"/>
  <c r="M1346" i="184"/>
  <c r="BL35" i="218"/>
  <c r="BM35" i="218"/>
  <c r="M31" i="157"/>
  <c r="B58" i="156"/>
  <c r="BL64" i="218"/>
  <c r="BM64" i="218" s="1"/>
  <c r="M2203" i="184"/>
  <c r="D44" i="157"/>
  <c r="D1119" i="184"/>
  <c r="M42" i="157"/>
  <c r="L80" i="191"/>
  <c r="M80" i="191" s="1"/>
  <c r="D10" i="192"/>
  <c r="BL36" i="218"/>
  <c r="BM36" i="218" s="1"/>
  <c r="B30" i="156"/>
  <c r="D70" i="156"/>
  <c r="F70" i="156" s="1"/>
  <c r="M1383" i="184"/>
  <c r="BL58" i="218"/>
  <c r="BM58" i="218" s="1"/>
  <c r="B52" i="156"/>
  <c r="B54" i="156"/>
  <c r="M2053" i="184"/>
  <c r="J228" i="184"/>
  <c r="D1940" i="184"/>
  <c r="M71" i="157"/>
  <c r="M1940" i="184"/>
  <c r="O16" i="227"/>
  <c r="BL22" i="218"/>
  <c r="BM22" i="218"/>
  <c r="M897" i="184"/>
  <c r="V41" i="231"/>
  <c r="Q26" i="157"/>
  <c r="B41" i="156"/>
  <c r="M1718" i="184"/>
  <c r="BL47" i="218"/>
  <c r="BM47" i="218" s="1"/>
  <c r="AB65" i="157"/>
  <c r="T41" i="231"/>
  <c r="M823" i="184"/>
  <c r="Y41" i="231"/>
  <c r="R16" i="227"/>
  <c r="M1008" i="184"/>
  <c r="BL32" i="218"/>
  <c r="B26" i="156"/>
  <c r="M1235" i="184"/>
  <c r="M749" i="184"/>
  <c r="R41" i="231"/>
  <c r="C50" i="156"/>
  <c r="F50" i="156"/>
  <c r="X41" i="231"/>
  <c r="M971" i="184"/>
  <c r="Q16" i="227"/>
  <c r="BL10" i="218"/>
  <c r="M43" i="184"/>
  <c r="B10" i="156"/>
  <c r="R61" i="157"/>
  <c r="C80" i="191"/>
  <c r="D106" i="155"/>
  <c r="C40" i="156"/>
  <c r="F40" i="156"/>
  <c r="K40" i="156" s="1"/>
  <c r="M40" i="156" s="1"/>
  <c r="K44" i="157"/>
  <c r="K1119" i="184"/>
  <c r="L1119" i="184"/>
  <c r="L44" i="157"/>
  <c r="BL45" i="218"/>
  <c r="BM45" i="218" s="1"/>
  <c r="M1644" i="184"/>
  <c r="B39" i="156"/>
  <c r="M637" i="184"/>
  <c r="O41" i="231"/>
  <c r="L16" i="227"/>
  <c r="BL18" i="218"/>
  <c r="BM18" i="218" s="1"/>
  <c r="M452" i="184"/>
  <c r="J41" i="231"/>
  <c r="Q22" i="157"/>
  <c r="G16" i="227"/>
  <c r="D15" i="156"/>
  <c r="F51" i="156"/>
  <c r="C51" i="156"/>
  <c r="L1048" i="184"/>
  <c r="L2658" i="184" s="1"/>
  <c r="B26" i="176"/>
  <c r="D61" i="175"/>
  <c r="D974" i="184"/>
  <c r="D2656" i="184" s="1"/>
  <c r="BV32" i="218"/>
  <c r="F492" i="184"/>
  <c r="F2642" i="184" s="1"/>
  <c r="I789" i="184"/>
  <c r="I2651" i="184" s="1"/>
  <c r="F1085" i="184"/>
  <c r="F2659" i="184" s="1"/>
  <c r="F381" i="184"/>
  <c r="F2639" i="184" s="1"/>
  <c r="M1376" i="184"/>
  <c r="B43" i="176"/>
  <c r="F43" i="176" s="1"/>
  <c r="K43" i="176" s="1"/>
  <c r="M43" i="176" s="1"/>
  <c r="R63" i="177"/>
  <c r="C147" i="191"/>
  <c r="D57" i="175"/>
  <c r="F13" i="176"/>
  <c r="G47" i="187"/>
  <c r="BV58" i="218"/>
  <c r="M2046" i="184"/>
  <c r="B52" i="176"/>
  <c r="B31" i="176"/>
  <c r="M2494" i="184"/>
  <c r="BV79" i="218"/>
  <c r="I194" i="184"/>
  <c r="I2632" i="184" s="1"/>
  <c r="J1573" i="184"/>
  <c r="J2679" i="184" s="1"/>
  <c r="E789" i="184"/>
  <c r="E2651" i="184" s="1"/>
  <c r="M15" i="177"/>
  <c r="M221" i="184" s="1"/>
  <c r="BV10" i="218"/>
  <c r="B10" i="176"/>
  <c r="M36" i="184"/>
  <c r="D112" i="175"/>
  <c r="F46" i="176"/>
  <c r="K46" i="176" s="1"/>
  <c r="O46" i="176" s="1"/>
  <c r="BV63" i="218"/>
  <c r="B57" i="176"/>
  <c r="M2159" i="184"/>
  <c r="K1982" i="184"/>
  <c r="K2692" i="184" s="1"/>
  <c r="B28" i="176"/>
  <c r="F28" i="176" s="1"/>
  <c r="I221" i="184"/>
  <c r="I57" i="177"/>
  <c r="I1487" i="184" s="1"/>
  <c r="M1822" i="184"/>
  <c r="AB68" i="177"/>
  <c r="B44" i="176"/>
  <c r="D67" i="176"/>
  <c r="BV50" i="218"/>
  <c r="M56" i="177"/>
  <c r="M1450" i="184" s="1"/>
  <c r="M1302" i="184"/>
  <c r="X65" i="177"/>
  <c r="L221" i="191" s="1"/>
  <c r="M221" i="191" s="1"/>
  <c r="X64" i="177"/>
  <c r="L184" i="191" s="1"/>
  <c r="H184" i="191"/>
  <c r="X67" i="177"/>
  <c r="L295" i="191" s="1"/>
  <c r="BV36" i="218"/>
  <c r="T46" i="231"/>
  <c r="M816" i="184"/>
  <c r="AB62" i="177"/>
  <c r="E65" i="176"/>
  <c r="E68" i="176"/>
  <c r="E71" i="176"/>
  <c r="M1600" i="184"/>
  <c r="BV44" i="218"/>
  <c r="B38" i="176"/>
  <c r="D529" i="184"/>
  <c r="D2643" i="184" s="1"/>
  <c r="H1048" i="184"/>
  <c r="H2658" i="184" s="1"/>
  <c r="BV75" i="218"/>
  <c r="AA69" i="177"/>
  <c r="M2346" i="184"/>
  <c r="W46" i="177"/>
  <c r="L46" i="231"/>
  <c r="W37" i="177"/>
  <c r="M519" i="184"/>
  <c r="I28" i="227"/>
  <c r="F44" i="177"/>
  <c r="D19" i="176"/>
  <c r="F1112" i="184"/>
  <c r="M42" i="177"/>
  <c r="B45" i="176"/>
  <c r="BV51" i="218"/>
  <c r="M1859" i="184"/>
  <c r="W29" i="177"/>
  <c r="M408" i="184"/>
  <c r="I46" i="231"/>
  <c r="W42" i="177"/>
  <c r="C36" i="191"/>
  <c r="R60" i="177"/>
  <c r="M1339" i="184"/>
  <c r="BV35" i="218"/>
  <c r="B29" i="176"/>
  <c r="BV64" i="218"/>
  <c r="M2196" i="184"/>
  <c r="B58" i="176"/>
  <c r="H44" i="177"/>
  <c r="H1112" i="184"/>
  <c r="BV76" i="218"/>
  <c r="M2383" i="184"/>
  <c r="BV45" i="218"/>
  <c r="B39" i="176"/>
  <c r="M1637" i="184"/>
  <c r="D667" i="184"/>
  <c r="D44" i="177"/>
  <c r="BV43" i="218"/>
  <c r="M1563" i="184"/>
  <c r="B37" i="176"/>
  <c r="D65" i="175"/>
  <c r="D30" i="176"/>
  <c r="D32" i="176"/>
  <c r="F667" i="184"/>
  <c r="D18" i="176"/>
  <c r="H36" i="191"/>
  <c r="X60" i="177"/>
  <c r="B41" i="176"/>
  <c r="AB65" i="177"/>
  <c r="M1711" i="184"/>
  <c r="BV47" i="218"/>
  <c r="E44" i="177"/>
  <c r="E667" i="184"/>
  <c r="M1038" i="184"/>
  <c r="S28" i="227"/>
  <c r="Z46" i="231"/>
  <c r="L106" i="177"/>
  <c r="L118" i="177" s="1"/>
  <c r="L102" i="177" s="1"/>
  <c r="F40" i="221" s="1"/>
  <c r="M853" i="184"/>
  <c r="U46" i="231"/>
  <c r="I2233" i="184"/>
  <c r="M83" i="177"/>
  <c r="M2233" i="184"/>
  <c r="E260" i="184"/>
  <c r="M18" i="177"/>
  <c r="X66" i="177"/>
  <c r="L258" i="191" s="1"/>
  <c r="H258" i="191"/>
  <c r="M779" i="184"/>
  <c r="S46" i="231"/>
  <c r="M556" i="184"/>
  <c r="M46" i="231"/>
  <c r="J28" i="227"/>
  <c r="W25" i="177"/>
  <c r="M1001" i="184"/>
  <c r="Y46" i="231"/>
  <c r="R28" i="227"/>
  <c r="M78" i="177"/>
  <c r="M2120" i="184" s="1"/>
  <c r="K2120" i="184"/>
  <c r="R46" i="231"/>
  <c r="M742" i="184"/>
  <c r="B27" i="176"/>
  <c r="BV33" i="218"/>
  <c r="M1265" i="184"/>
  <c r="M1075" i="184"/>
  <c r="T28" i="227"/>
  <c r="AA46" i="231"/>
  <c r="H28" i="227"/>
  <c r="M482" i="184"/>
  <c r="W45" i="177"/>
  <c r="K46" i="231"/>
  <c r="W34" i="177"/>
  <c r="M1189" i="184"/>
  <c r="BV29" i="218"/>
  <c r="B23" i="176"/>
  <c r="BV48" i="218"/>
  <c r="B42" i="176"/>
  <c r="M1748" i="184"/>
  <c r="M31" i="177"/>
  <c r="E705" i="184"/>
  <c r="J44" i="177"/>
  <c r="J1112" i="184"/>
  <c r="M1972" i="184"/>
  <c r="BV56" i="218"/>
  <c r="B50" i="176"/>
  <c r="F14" i="176"/>
  <c r="D58" i="175"/>
  <c r="H47" i="187"/>
  <c r="C14" i="176"/>
  <c r="BV46" i="218"/>
  <c r="AB64" i="177"/>
  <c r="M1674" i="184"/>
  <c r="B40" i="176"/>
  <c r="B53" i="176"/>
  <c r="M2083" i="184"/>
  <c r="BV59" i="218"/>
  <c r="R61" i="177"/>
  <c r="C73" i="191"/>
  <c r="W36" i="177"/>
  <c r="M334" i="184"/>
  <c r="G46" i="231"/>
  <c r="AB70" i="177"/>
  <c r="BV77" i="218"/>
  <c r="M2420" i="184"/>
  <c r="F46" i="231"/>
  <c r="W33" i="177"/>
  <c r="M297" i="184"/>
  <c r="M2457" i="184"/>
  <c r="BV78" i="218"/>
  <c r="BV42" i="218"/>
  <c r="AB60" i="177"/>
  <c r="M1526" i="184"/>
  <c r="B36" i="176"/>
  <c r="E2393" i="184"/>
  <c r="E2707" i="184" s="1"/>
  <c r="K1112" i="184"/>
  <c r="K44" i="177"/>
  <c r="L28" i="227"/>
  <c r="O46" i="231"/>
  <c r="M630" i="184"/>
  <c r="O28" i="227"/>
  <c r="BV22" i="218"/>
  <c r="M890" i="184"/>
  <c r="Q26" i="177"/>
  <c r="Q30" i="177" s="1"/>
  <c r="V46" i="231"/>
  <c r="H46" i="231"/>
  <c r="W41" i="177"/>
  <c r="M371" i="184"/>
  <c r="W26" i="177"/>
  <c r="X46" i="231"/>
  <c r="M964" i="184"/>
  <c r="Q28" i="227"/>
  <c r="M2009" i="184"/>
  <c r="BV57" i="218"/>
  <c r="B51" i="176"/>
  <c r="K1647" i="184"/>
  <c r="K2681" i="184" s="1"/>
  <c r="G667" i="184"/>
  <c r="G44" i="177"/>
  <c r="AB66" i="177"/>
  <c r="P28" i="227"/>
  <c r="W46" i="231"/>
  <c r="M927" i="184"/>
  <c r="BV23" i="218"/>
  <c r="R28" i="177"/>
  <c r="M71" i="177"/>
  <c r="M1933" i="184" s="1"/>
  <c r="E1933" i="184"/>
  <c r="P70" i="177"/>
  <c r="I40" i="221"/>
  <c r="H1148" i="184"/>
  <c r="H57" i="172"/>
  <c r="G46" i="187"/>
  <c r="D57" i="170"/>
  <c r="F13" i="171"/>
  <c r="L45" i="231"/>
  <c r="W37" i="172"/>
  <c r="W38" i="172" s="1"/>
  <c r="W46" i="172"/>
  <c r="M517" i="184"/>
  <c r="I26" i="227"/>
  <c r="R24" i="172"/>
  <c r="R30" i="172" s="1"/>
  <c r="Q45" i="231"/>
  <c r="AI45" i="231" s="1"/>
  <c r="M703" i="184"/>
  <c r="P106" i="172"/>
  <c r="BT38" i="218"/>
  <c r="C246" i="233" s="1"/>
  <c r="D30" i="171"/>
  <c r="D32" i="171" s="1"/>
  <c r="D65" i="170"/>
  <c r="G1148" i="184"/>
  <c r="G57" i="172"/>
  <c r="B32" i="171"/>
  <c r="D12" i="170" s="1"/>
  <c r="D61" i="170"/>
  <c r="F26" i="171"/>
  <c r="M2118" i="184"/>
  <c r="M962" i="184"/>
  <c r="X45" i="231"/>
  <c r="Q26" i="227"/>
  <c r="M1187" i="184"/>
  <c r="BT29" i="218"/>
  <c r="B23" i="171"/>
  <c r="P45" i="231"/>
  <c r="B18" i="171"/>
  <c r="M665" i="184"/>
  <c r="BT19" i="218"/>
  <c r="K26" i="227"/>
  <c r="M591" i="184"/>
  <c r="W28" i="172"/>
  <c r="W30" i="172" s="1"/>
  <c r="N45" i="231"/>
  <c r="D66" i="170"/>
  <c r="F31" i="171"/>
  <c r="Q30" i="172"/>
  <c r="F28" i="171"/>
  <c r="D63" i="170"/>
  <c r="C28" i="171"/>
  <c r="M45" i="231"/>
  <c r="W25" i="172"/>
  <c r="J26" i="227"/>
  <c r="M554" i="184"/>
  <c r="J57" i="172"/>
  <c r="J1148" i="184"/>
  <c r="D111" i="170"/>
  <c r="F45" i="171"/>
  <c r="I57" i="172"/>
  <c r="K57" i="172"/>
  <c r="BT15" i="218"/>
  <c r="BT23" i="218"/>
  <c r="BT24" i="218" s="1"/>
  <c r="R26" i="227"/>
  <c r="M999" i="184"/>
  <c r="Y45" i="231"/>
  <c r="D44" i="219"/>
  <c r="D1148" i="184"/>
  <c r="M2231" i="184"/>
  <c r="B15" i="171"/>
  <c r="D42" i="242" s="1"/>
  <c r="D54" i="170"/>
  <c r="D46" i="187"/>
  <c r="F10" i="171"/>
  <c r="D64" i="170"/>
  <c r="F29" i="171"/>
  <c r="W47" i="172"/>
  <c r="M45" i="212" s="1"/>
  <c r="M393" i="184"/>
  <c r="W29" i="167"/>
  <c r="I44" i="231"/>
  <c r="W42" i="167"/>
  <c r="X65" i="167"/>
  <c r="L206" i="191" s="1"/>
  <c r="H206" i="191"/>
  <c r="BR76" i="218"/>
  <c r="M2368" i="184"/>
  <c r="H83" i="184"/>
  <c r="H2629" i="184" s="1"/>
  <c r="C21" i="191"/>
  <c r="R60" i="167"/>
  <c r="D2218" i="184"/>
  <c r="M83" i="167"/>
  <c r="M2218" i="184" s="1"/>
  <c r="M764" i="184"/>
  <c r="S44" i="231"/>
  <c r="M2442" i="184"/>
  <c r="BR78" i="218"/>
  <c r="F245" i="184"/>
  <c r="M18" i="167"/>
  <c r="BR33" i="218"/>
  <c r="M1250" i="184"/>
  <c r="B27" i="166"/>
  <c r="H44" i="231"/>
  <c r="M356" i="184"/>
  <c r="W41" i="167"/>
  <c r="W26" i="167"/>
  <c r="W27" i="167" s="1"/>
  <c r="AB65" i="167"/>
  <c r="BR47" i="218"/>
  <c r="BS47" i="218"/>
  <c r="B41" i="166"/>
  <c r="M1696" i="184"/>
  <c r="H58" i="191"/>
  <c r="X61" i="167"/>
  <c r="L206" i="184"/>
  <c r="V44" i="231"/>
  <c r="Q26" i="167"/>
  <c r="M875" i="184"/>
  <c r="BR22" i="218"/>
  <c r="BS22" i="218" s="1"/>
  <c r="O20" i="227"/>
  <c r="M169" i="184"/>
  <c r="B14" i="166"/>
  <c r="BR14" i="218"/>
  <c r="BS14" i="218" s="1"/>
  <c r="I2218" i="184"/>
  <c r="BR10" i="218"/>
  <c r="B10" i="166"/>
  <c r="M21" i="184"/>
  <c r="H194" i="184"/>
  <c r="H2632" i="184" s="1"/>
  <c r="B42" i="166"/>
  <c r="M1733" i="184"/>
  <c r="BR48" i="218"/>
  <c r="BS48" i="218" s="1"/>
  <c r="F28" i="166"/>
  <c r="D63" i="165"/>
  <c r="C28" i="166"/>
  <c r="C206" i="191"/>
  <c r="R65" i="167"/>
  <c r="R61" i="167"/>
  <c r="C58" i="191"/>
  <c r="G1435" i="184"/>
  <c r="G57" i="167"/>
  <c r="M56" i="167"/>
  <c r="M1435" i="184"/>
  <c r="H1097" i="184"/>
  <c r="H44" i="167"/>
  <c r="H1135" i="184" s="1"/>
  <c r="BR74" i="218"/>
  <c r="M2294" i="184"/>
  <c r="M949" i="184"/>
  <c r="X44" i="231"/>
  <c r="Q20" i="227"/>
  <c r="E85" i="167"/>
  <c r="BR13" i="218"/>
  <c r="BS13" i="218" s="1"/>
  <c r="O13" i="167"/>
  <c r="M132" i="184"/>
  <c r="B13" i="166"/>
  <c r="W44" i="231"/>
  <c r="M912" i="184"/>
  <c r="BR23" i="218"/>
  <c r="BR24" i="218" s="1"/>
  <c r="P20" i="227"/>
  <c r="R28" i="167"/>
  <c r="X60" i="167"/>
  <c r="H21" i="191"/>
  <c r="F45" i="166"/>
  <c r="K45" i="166" s="1"/>
  <c r="O45" i="166" s="1"/>
  <c r="D111" i="165"/>
  <c r="C45" i="166"/>
  <c r="M78" i="167"/>
  <c r="M2105" i="184" s="1"/>
  <c r="D2105" i="184"/>
  <c r="BR11" i="218"/>
  <c r="BS11" i="218" s="1"/>
  <c r="B11" i="166"/>
  <c r="M58" i="184"/>
  <c r="G44" i="231"/>
  <c r="W36" i="167"/>
  <c r="M319" i="184"/>
  <c r="Y44" i="231"/>
  <c r="M986" i="184"/>
  <c r="R20" i="227"/>
  <c r="M95" i="191"/>
  <c r="D1097" i="184"/>
  <c r="D44" i="167"/>
  <c r="M42" i="167"/>
  <c r="BR49" i="218"/>
  <c r="BS49" i="218" s="1"/>
  <c r="AB67" i="167"/>
  <c r="M1770" i="184"/>
  <c r="B43" i="166"/>
  <c r="D19" i="166"/>
  <c r="D20" i="166"/>
  <c r="F44" i="167"/>
  <c r="F1097" i="184"/>
  <c r="B50" i="166"/>
  <c r="BR56" i="218"/>
  <c r="M1957" i="184"/>
  <c r="E690" i="184"/>
  <c r="M31" i="167"/>
  <c r="B29" i="166"/>
  <c r="M1324" i="184"/>
  <c r="BR35" i="218"/>
  <c r="BS35" i="218" s="1"/>
  <c r="BR79" i="218"/>
  <c r="M2479" i="184"/>
  <c r="J1135" i="184"/>
  <c r="J57" i="167"/>
  <c r="H206" i="184"/>
  <c r="M15" i="167"/>
  <c r="M206" i="184" s="1"/>
  <c r="BR36" i="218"/>
  <c r="BS36" i="218" s="1"/>
  <c r="M1361" i="184"/>
  <c r="B30" i="166"/>
  <c r="D70" i="166"/>
  <c r="F70" i="166" s="1"/>
  <c r="BR57" i="218"/>
  <c r="BS57" i="218" s="1"/>
  <c r="M1994" i="184"/>
  <c r="B51" i="166"/>
  <c r="K1918" i="184"/>
  <c r="K85" i="167"/>
  <c r="D1918" i="184"/>
  <c r="M71" i="167"/>
  <c r="M1918" i="184" s="1"/>
  <c r="G2467" i="184"/>
  <c r="G2709" i="184" s="1"/>
  <c r="BR19" i="218"/>
  <c r="BS19" i="218" s="1"/>
  <c r="W28" i="167"/>
  <c r="N44" i="231"/>
  <c r="M578" i="184"/>
  <c r="K20" i="227"/>
  <c r="BR42" i="218"/>
  <c r="B36" i="166"/>
  <c r="M1511" i="184"/>
  <c r="AB60" i="167"/>
  <c r="M1807" i="184"/>
  <c r="D67" i="166"/>
  <c r="B44" i="166"/>
  <c r="BR50" i="218"/>
  <c r="BS50" i="218" s="1"/>
  <c r="M838" i="184"/>
  <c r="U44" i="231"/>
  <c r="T20" i="227"/>
  <c r="AA44" i="231"/>
  <c r="M1060" i="184"/>
  <c r="M1881" i="184"/>
  <c r="BR52" i="218"/>
  <c r="BS52" i="218" s="1"/>
  <c r="B46" i="166"/>
  <c r="H652" i="184"/>
  <c r="M29" i="167"/>
  <c r="F57" i="166"/>
  <c r="C57" i="166"/>
  <c r="L44" i="167"/>
  <c r="L1135" i="184" s="1"/>
  <c r="L1097" i="184"/>
  <c r="H132" i="191"/>
  <c r="X63" i="167"/>
  <c r="L132" i="191"/>
  <c r="BR64" i="218"/>
  <c r="M2181" i="184"/>
  <c r="B58" i="166"/>
  <c r="B59" i="166" s="1"/>
  <c r="BR43" i="218"/>
  <c r="BS43" i="218" s="1"/>
  <c r="M1548" i="184"/>
  <c r="AB61" i="167"/>
  <c r="B37" i="166"/>
  <c r="M1659" i="184"/>
  <c r="BR46" i="218"/>
  <c r="BS46" i="218" s="1"/>
  <c r="B40" i="166"/>
  <c r="AB64" i="167"/>
  <c r="F44" i="231"/>
  <c r="M282" i="184"/>
  <c r="W33" i="167"/>
  <c r="I20" i="227"/>
  <c r="M504" i="184"/>
  <c r="W46" i="167"/>
  <c r="W37" i="167"/>
  <c r="L44" i="231"/>
  <c r="H20" i="227"/>
  <c r="W45" i="167"/>
  <c r="W34" i="167"/>
  <c r="M467" i="184"/>
  <c r="K44" i="231"/>
  <c r="R24" i="167"/>
  <c r="F53" i="166"/>
  <c r="N20" i="220" s="1"/>
  <c r="C53" i="166"/>
  <c r="S20" i="227"/>
  <c r="M1023" i="184"/>
  <c r="Z44" i="231"/>
  <c r="BR18" i="218"/>
  <c r="BS18" i="218" s="1"/>
  <c r="J44" i="231"/>
  <c r="Q22" i="167"/>
  <c r="M430" i="184"/>
  <c r="G20" i="227"/>
  <c r="H43" i="212"/>
  <c r="W31" i="162"/>
  <c r="D64" i="160"/>
  <c r="F29" i="161"/>
  <c r="F54" i="161"/>
  <c r="M1357" i="184"/>
  <c r="D70" i="161"/>
  <c r="BP36" i="218"/>
  <c r="B30" i="161"/>
  <c r="B32" i="161" s="1"/>
  <c r="D12" i="160" s="1"/>
  <c r="D66" i="160"/>
  <c r="F31" i="161"/>
  <c r="C231" i="233"/>
  <c r="BP30" i="218"/>
  <c r="I2252" i="184"/>
  <c r="I93" i="162"/>
  <c r="I2512" i="184" s="1"/>
  <c r="F26" i="161"/>
  <c r="D61" i="160"/>
  <c r="BP10" i="218"/>
  <c r="M17" i="184"/>
  <c r="B10" i="161"/>
  <c r="F23" i="161"/>
  <c r="D11" i="160"/>
  <c r="D60" i="160"/>
  <c r="H22" i="187"/>
  <c r="F14" i="161"/>
  <c r="J14" i="161"/>
  <c r="D58" i="160"/>
  <c r="M128" i="184"/>
  <c r="B13" i="161"/>
  <c r="O13" i="162"/>
  <c r="BP13" i="218"/>
  <c r="R15" i="227"/>
  <c r="M982" i="184"/>
  <c r="Y43" i="231"/>
  <c r="D62" i="160"/>
  <c r="F27" i="161"/>
  <c r="K36" i="161"/>
  <c r="X43" i="231"/>
  <c r="M945" i="184"/>
  <c r="Q15" i="227"/>
  <c r="D55" i="160"/>
  <c r="E22" i="187"/>
  <c r="F11" i="161"/>
  <c r="Q26" i="162"/>
  <c r="Q30" i="162" s="1"/>
  <c r="O15" i="227"/>
  <c r="U15" i="227" s="1"/>
  <c r="M871" i="184"/>
  <c r="BP22" i="218"/>
  <c r="V43" i="231"/>
  <c r="M611" i="184"/>
  <c r="O43" i="231"/>
  <c r="L15" i="227"/>
  <c r="F28" i="161"/>
  <c r="D63" i="160"/>
  <c r="R28" i="162"/>
  <c r="L202" i="191"/>
  <c r="M202" i="191" s="1"/>
  <c r="D11" i="193"/>
  <c r="F23" i="194"/>
  <c r="D60" i="193"/>
  <c r="C23" i="194"/>
  <c r="X64" i="195"/>
  <c r="L192" i="191" s="1"/>
  <c r="H192" i="191"/>
  <c r="E44" i="195"/>
  <c r="M29" i="195"/>
  <c r="E675" i="184"/>
  <c r="BN78" i="218"/>
  <c r="M2465" i="184"/>
  <c r="M1719" i="184"/>
  <c r="B41" i="194"/>
  <c r="AB65" i="195"/>
  <c r="BN47" i="218"/>
  <c r="BO47" i="218"/>
  <c r="M71" i="195"/>
  <c r="M1941" i="184" s="1"/>
  <c r="D1941" i="184"/>
  <c r="M1534" i="184"/>
  <c r="B36" i="194"/>
  <c r="BN42" i="218"/>
  <c r="B40" i="194"/>
  <c r="BN46" i="218"/>
  <c r="BO46" i="218" s="1"/>
  <c r="M1682" i="184"/>
  <c r="AB64" i="195"/>
  <c r="BN14" i="218"/>
  <c r="BO14" i="218" s="1"/>
  <c r="M192" i="184"/>
  <c r="B14" i="194"/>
  <c r="BN34" i="218"/>
  <c r="BO34" i="218" s="1"/>
  <c r="B28" i="194"/>
  <c r="M1310" i="184"/>
  <c r="N42" i="231"/>
  <c r="W28" i="195"/>
  <c r="K46" i="227"/>
  <c r="M601" i="184"/>
  <c r="M42" i="231"/>
  <c r="M564" i="184"/>
  <c r="R24" i="195"/>
  <c r="W25" i="195"/>
  <c r="J46" i="227"/>
  <c r="R64" i="195"/>
  <c r="C192" i="191"/>
  <c r="D67" i="194"/>
  <c r="M1830" i="184"/>
  <c r="BN50" i="218"/>
  <c r="BO50" i="218" s="1"/>
  <c r="AB68" i="195"/>
  <c r="B44" i="194"/>
  <c r="B52" i="194"/>
  <c r="M2054" i="184"/>
  <c r="BN58" i="218"/>
  <c r="Y42" i="231"/>
  <c r="M1009" i="184"/>
  <c r="R46" i="227"/>
  <c r="M1421" i="184"/>
  <c r="B31" i="194"/>
  <c r="BN37" i="218"/>
  <c r="BO37" i="218"/>
  <c r="BN52" i="218"/>
  <c r="BO52" i="218" s="1"/>
  <c r="M1904" i="184"/>
  <c r="B46" i="194"/>
  <c r="G675" i="184"/>
  <c r="G44" i="195"/>
  <c r="G1158" i="184" s="1"/>
  <c r="P71" i="195"/>
  <c r="D377" i="191"/>
  <c r="P70" i="195"/>
  <c r="I36" i="221" s="1"/>
  <c r="H57" i="195"/>
  <c r="H1158" i="184"/>
  <c r="I675" i="184"/>
  <c r="I44" i="195"/>
  <c r="M824" i="184"/>
  <c r="T42" i="231"/>
  <c r="M787" i="184"/>
  <c r="S42" i="231"/>
  <c r="D2128" i="184"/>
  <c r="M78" i="195"/>
  <c r="M2128" i="184" s="1"/>
  <c r="BN13" i="218"/>
  <c r="BO13" i="218"/>
  <c r="M155" i="184"/>
  <c r="B13" i="194"/>
  <c r="O13" i="195"/>
  <c r="D713" i="184"/>
  <c r="M31" i="195"/>
  <c r="BN19" i="218"/>
  <c r="BO19" i="218" s="1"/>
  <c r="BO20" i="218" s="1"/>
  <c r="F2241" i="184"/>
  <c r="M83" i="195"/>
  <c r="M2241" i="184" s="1"/>
  <c r="H42" i="231"/>
  <c r="M379" i="184"/>
  <c r="W41" i="195"/>
  <c r="W26" i="195"/>
  <c r="L106" i="195"/>
  <c r="L118" i="195" s="1"/>
  <c r="L102" i="195" s="1"/>
  <c r="F36" i="221" s="1"/>
  <c r="Z42" i="231"/>
  <c r="S46" i="227"/>
  <c r="M1046" i="184"/>
  <c r="K57" i="195"/>
  <c r="K1158" i="184"/>
  <c r="F58" i="194"/>
  <c r="C58" i="194"/>
  <c r="J1120" i="184"/>
  <c r="J44" i="195"/>
  <c r="BN23" i="218"/>
  <c r="BN24" i="218" s="1"/>
  <c r="R28" i="195"/>
  <c r="W42" i="231"/>
  <c r="P46" i="227"/>
  <c r="W34" i="195"/>
  <c r="M935" i="184"/>
  <c r="AB70" i="195"/>
  <c r="M2428" i="184"/>
  <c r="BN77" i="218"/>
  <c r="V42" i="231"/>
  <c r="M898" i="184"/>
  <c r="O46" i="227"/>
  <c r="Q26" i="195"/>
  <c r="BN22" i="218"/>
  <c r="BO22" i="218" s="1"/>
  <c r="BN33" i="218"/>
  <c r="BO33" i="218" s="1"/>
  <c r="M1273" i="184"/>
  <c r="B27" i="194"/>
  <c r="BN36" i="218"/>
  <c r="BO36" i="218" s="1"/>
  <c r="D70" i="194"/>
  <c r="F70" i="194" s="1"/>
  <c r="B30" i="194"/>
  <c r="M1384" i="184"/>
  <c r="W45" i="195"/>
  <c r="M266" i="191"/>
  <c r="BN32" i="218"/>
  <c r="M1236" i="184"/>
  <c r="B26" i="194"/>
  <c r="R42" i="231"/>
  <c r="M750" i="184"/>
  <c r="W33" i="195"/>
  <c r="W35" i="195" s="1"/>
  <c r="J42" i="212" s="1"/>
  <c r="F1120" i="184"/>
  <c r="D19" i="194"/>
  <c r="D20" i="194"/>
  <c r="F44" i="195"/>
  <c r="BO64" i="218"/>
  <c r="BO65" i="218" s="1"/>
  <c r="BN65" i="218"/>
  <c r="BN45" i="218"/>
  <c r="BO45" i="218"/>
  <c r="AB63" i="195"/>
  <c r="B39" i="194"/>
  <c r="M1645" i="184"/>
  <c r="D1120" i="184"/>
  <c r="D44" i="195"/>
  <c r="M42" i="195"/>
  <c r="M2391" i="184"/>
  <c r="BN76" i="218"/>
  <c r="BN44" i="218"/>
  <c r="BO44" i="218" s="1"/>
  <c r="AB62" i="195"/>
  <c r="M1608" i="184"/>
  <c r="E65" i="194"/>
  <c r="E68" i="194" s="1"/>
  <c r="E71" i="194" s="1"/>
  <c r="B38" i="194"/>
  <c r="X42" i="231"/>
  <c r="M972" i="184"/>
  <c r="Q46" i="227"/>
  <c r="W37" i="195"/>
  <c r="W46" i="195"/>
  <c r="L1120" i="184"/>
  <c r="L44" i="195"/>
  <c r="G1458" i="184"/>
  <c r="M56" i="195"/>
  <c r="M1458" i="184" s="1"/>
  <c r="BN11" i="218"/>
  <c r="BO11" i="218" s="1"/>
  <c r="M81" i="184"/>
  <c r="B11" i="194"/>
  <c r="B45" i="194"/>
  <c r="BN51" i="218"/>
  <c r="BO51" i="218"/>
  <c r="M1867" i="184"/>
  <c r="L81" i="191"/>
  <c r="M81" i="191" s="1"/>
  <c r="D42" i="192"/>
  <c r="BN35" i="218"/>
  <c r="BO35" i="218" s="1"/>
  <c r="M1347" i="184"/>
  <c r="B29" i="194"/>
  <c r="U42" i="231"/>
  <c r="M861" i="184"/>
  <c r="W42" i="195"/>
  <c r="W29" i="195"/>
  <c r="BO29" i="218"/>
  <c r="C224" i="233"/>
  <c r="BN30" i="218"/>
  <c r="G229" i="184"/>
  <c r="M15" i="195"/>
  <c r="M229" i="184" s="1"/>
  <c r="G57" i="195"/>
  <c r="E268" i="184"/>
  <c r="M18" i="195"/>
  <c r="AA42" i="231"/>
  <c r="M1083" i="184"/>
  <c r="T46" i="227"/>
  <c r="BN10" i="218"/>
  <c r="M44" i="184"/>
  <c r="B10" i="194"/>
  <c r="AB66" i="195"/>
  <c r="B42" i="194"/>
  <c r="BN48" i="218"/>
  <c r="BO48" i="218" s="1"/>
  <c r="M1756" i="184"/>
  <c r="W36" i="195"/>
  <c r="M2284" i="184"/>
  <c r="BJ74" i="218"/>
  <c r="D57" i="152"/>
  <c r="D1125" i="184"/>
  <c r="BJ77" i="218"/>
  <c r="AB70" i="152"/>
  <c r="M2395" i="184"/>
  <c r="X60" i="152"/>
  <c r="H11" i="191"/>
  <c r="W36" i="152"/>
  <c r="G40" i="231"/>
  <c r="M309" i="184"/>
  <c r="P70" i="152"/>
  <c r="I34" i="221" s="1"/>
  <c r="B45" i="151"/>
  <c r="BJ51" i="218"/>
  <c r="M1834" i="184"/>
  <c r="E642" i="184"/>
  <c r="M29" i="152"/>
  <c r="E65" i="151"/>
  <c r="E68" i="151" s="1"/>
  <c r="E71" i="151" s="1"/>
  <c r="BJ44" i="218"/>
  <c r="M1575" i="184"/>
  <c r="B38" i="151"/>
  <c r="AB62" i="152"/>
  <c r="D1908" i="184"/>
  <c r="M71" i="152"/>
  <c r="M1908" i="184" s="1"/>
  <c r="D1425" i="184"/>
  <c r="M56" i="152"/>
  <c r="M1425" i="184" s="1"/>
  <c r="M2469" i="184"/>
  <c r="BJ79" i="218"/>
  <c r="E2095" i="184"/>
  <c r="M78" i="152"/>
  <c r="M2095" i="184" s="1"/>
  <c r="I41" i="151"/>
  <c r="K11" i="213" s="1"/>
  <c r="K41" i="151"/>
  <c r="N41" i="151"/>
  <c r="N47" i="151" s="1"/>
  <c r="E44" i="152"/>
  <c r="D39" i="219"/>
  <c r="R65" i="152"/>
  <c r="C196" i="191"/>
  <c r="AB60" i="152"/>
  <c r="BJ42" i="218"/>
  <c r="B36" i="151"/>
  <c r="M1501" i="184"/>
  <c r="X62" i="152"/>
  <c r="L85" i="191"/>
  <c r="H85" i="191"/>
  <c r="BJ56" i="218"/>
  <c r="M1947" i="184"/>
  <c r="B50" i="151"/>
  <c r="I1462" i="184"/>
  <c r="I85" i="152"/>
  <c r="M346" i="184"/>
  <c r="W26" i="152"/>
  <c r="W27" i="152"/>
  <c r="W41" i="152"/>
  <c r="H40" i="231"/>
  <c r="BJ57" i="218"/>
  <c r="B51" i="151"/>
  <c r="M1984" i="184"/>
  <c r="E680" i="184"/>
  <c r="M31" i="152"/>
  <c r="M828" i="184"/>
  <c r="W42" i="152"/>
  <c r="W29" i="152"/>
  <c r="W30" i="152" s="1"/>
  <c r="I40" i="212" s="1"/>
  <c r="U40" i="231"/>
  <c r="I2208" i="184"/>
  <c r="M83" i="152"/>
  <c r="M2208" i="184" s="1"/>
  <c r="V40" i="231"/>
  <c r="BJ22" i="218"/>
  <c r="O12" i="227"/>
  <c r="Q26" i="152"/>
  <c r="Q30" i="152" s="1"/>
  <c r="M865" i="184"/>
  <c r="BJ43" i="218"/>
  <c r="M1538" i="184"/>
  <c r="B37" i="151"/>
  <c r="AB61" i="152"/>
  <c r="D63" i="150"/>
  <c r="F28" i="151"/>
  <c r="M754" i="184"/>
  <c r="S40" i="231"/>
  <c r="H122" i="191"/>
  <c r="X63" i="152"/>
  <c r="L122" i="191" s="1"/>
  <c r="BJ63" i="218"/>
  <c r="B57" i="151"/>
  <c r="M2134" i="184"/>
  <c r="G1087" i="184"/>
  <c r="M42" i="152"/>
  <c r="G44" i="152"/>
  <c r="W46" i="152"/>
  <c r="X40" i="231"/>
  <c r="Q12" i="227"/>
  <c r="M939" i="184"/>
  <c r="W37" i="152"/>
  <c r="D235" i="184"/>
  <c r="M18" i="152"/>
  <c r="BJ49" i="218"/>
  <c r="M1760" i="184"/>
  <c r="B43" i="151"/>
  <c r="AB67" i="152"/>
  <c r="B39" i="151"/>
  <c r="AB63" i="152"/>
  <c r="BJ45" i="218"/>
  <c r="M1612" i="184"/>
  <c r="M2358" i="184"/>
  <c r="BJ76" i="218"/>
  <c r="BJ11" i="218"/>
  <c r="M48" i="184"/>
  <c r="B11" i="151"/>
  <c r="B23" i="151"/>
  <c r="BJ29" i="218"/>
  <c r="M1164" i="184"/>
  <c r="M272" i="184"/>
  <c r="F40" i="231"/>
  <c r="W33" i="152"/>
  <c r="R63" i="152"/>
  <c r="C122" i="191"/>
  <c r="J1125" i="184"/>
  <c r="J57" i="152"/>
  <c r="B53" i="151"/>
  <c r="M2058" i="184"/>
  <c r="BJ59" i="218"/>
  <c r="BJ23" i="218"/>
  <c r="P12" i="227"/>
  <c r="R28" i="152"/>
  <c r="W45" i="152"/>
  <c r="M902" i="184"/>
  <c r="W34" i="152"/>
  <c r="W40" i="231"/>
  <c r="L106" i="152"/>
  <c r="L118" i="152" s="1"/>
  <c r="L102" i="152" s="1"/>
  <c r="F34" i="221" s="1"/>
  <c r="H270" i="191"/>
  <c r="X67" i="152"/>
  <c r="L270" i="191" s="1"/>
  <c r="L106" i="147"/>
  <c r="L118" i="147" s="1"/>
  <c r="L102" i="147" s="1"/>
  <c r="F33" i="221" s="1"/>
  <c r="P71" i="147"/>
  <c r="D368" i="191"/>
  <c r="P70" i="147"/>
  <c r="I33" i="221"/>
  <c r="W37" i="147"/>
  <c r="W46" i="147"/>
  <c r="L39" i="231"/>
  <c r="I27" i="227"/>
  <c r="M518" i="184"/>
  <c r="M778" i="184"/>
  <c r="S39" i="231"/>
  <c r="M56" i="147"/>
  <c r="M1449" i="184" s="1"/>
  <c r="G1449" i="184"/>
  <c r="M1375" i="184"/>
  <c r="D70" i="146"/>
  <c r="F70" i="146" s="1"/>
  <c r="B30" i="146"/>
  <c r="BH36" i="218"/>
  <c r="X60" i="147"/>
  <c r="H35" i="191"/>
  <c r="G44" i="147"/>
  <c r="G1149" i="184" s="1"/>
  <c r="G1111" i="184"/>
  <c r="F36" i="146"/>
  <c r="D102" i="145"/>
  <c r="C36" i="146"/>
  <c r="M1562" i="184"/>
  <c r="B37" i="146"/>
  <c r="AB61" i="147"/>
  <c r="BH43" i="218"/>
  <c r="D2119" i="184"/>
  <c r="M78" i="147"/>
  <c r="M2119" i="184" s="1"/>
  <c r="J39" i="231"/>
  <c r="BH18" i="218"/>
  <c r="Q22" i="147"/>
  <c r="M444" i="184"/>
  <c r="G27" i="227"/>
  <c r="Q27" i="227"/>
  <c r="X39" i="231"/>
  <c r="M963" i="184"/>
  <c r="H294" i="191"/>
  <c r="X67" i="147"/>
  <c r="L294" i="191"/>
  <c r="O39" i="231"/>
  <c r="M629" i="184"/>
  <c r="L27" i="227"/>
  <c r="M555" i="184"/>
  <c r="M39" i="231"/>
  <c r="W25" i="147"/>
  <c r="J27" i="227"/>
  <c r="M2195" i="184"/>
  <c r="BH64" i="218"/>
  <c r="B58" i="146"/>
  <c r="BH56" i="218"/>
  <c r="B50" i="146"/>
  <c r="M1971" i="184"/>
  <c r="BH47" i="218"/>
  <c r="M1710" i="184"/>
  <c r="B41" i="146"/>
  <c r="AB65" i="147"/>
  <c r="T39" i="231"/>
  <c r="M815" i="184"/>
  <c r="H259" i="184"/>
  <c r="M18" i="147"/>
  <c r="F31" i="146"/>
  <c r="D66" i="145"/>
  <c r="M2382" i="184"/>
  <c r="BH76" i="218"/>
  <c r="BH29" i="218"/>
  <c r="M1188" i="184"/>
  <c r="B23" i="146"/>
  <c r="B10" i="146"/>
  <c r="M35" i="184"/>
  <c r="BH10" i="218"/>
  <c r="F51" i="146"/>
  <c r="M1673" i="184"/>
  <c r="BH46" i="218"/>
  <c r="B40" i="146"/>
  <c r="AB64" i="147"/>
  <c r="K1111" i="184"/>
  <c r="K44" i="147"/>
  <c r="Q26" i="147"/>
  <c r="V39" i="231"/>
  <c r="M889" i="184"/>
  <c r="BH22" i="218"/>
  <c r="O27" i="227"/>
  <c r="BH34" i="218"/>
  <c r="M1301" i="184"/>
  <c r="B28" i="146"/>
  <c r="BH33" i="218"/>
  <c r="B27" i="146"/>
  <c r="M1264" i="184"/>
  <c r="M741" i="184"/>
  <c r="R39" i="231"/>
  <c r="W33" i="147"/>
  <c r="F53" i="146"/>
  <c r="N27" i="220" s="1"/>
  <c r="G220" i="184"/>
  <c r="M15" i="147"/>
  <c r="M220" i="184" s="1"/>
  <c r="F2232" i="184"/>
  <c r="F85" i="147"/>
  <c r="M83" i="147"/>
  <c r="M2232" i="184"/>
  <c r="R63" i="147"/>
  <c r="C146" i="191"/>
  <c r="F52" i="146"/>
  <c r="B46" i="146"/>
  <c r="M1895" i="184"/>
  <c r="BH52" i="218"/>
  <c r="X64" i="147"/>
  <c r="L183" i="191" s="1"/>
  <c r="H183" i="191"/>
  <c r="J85" i="147"/>
  <c r="H1111" i="184"/>
  <c r="H44" i="147"/>
  <c r="BH11" i="218"/>
  <c r="M72" i="184"/>
  <c r="B11" i="146"/>
  <c r="K39" i="231"/>
  <c r="BH19" i="218"/>
  <c r="BH20" i="218" s="1"/>
  <c r="W34" i="147"/>
  <c r="H27" i="227"/>
  <c r="W45" i="147"/>
  <c r="R24" i="147"/>
  <c r="M481" i="184"/>
  <c r="AB66" i="147"/>
  <c r="BH48" i="218"/>
  <c r="M1747" i="184"/>
  <c r="B42" i="146"/>
  <c r="E1932" i="184"/>
  <c r="M71" i="147"/>
  <c r="M1932" i="184" s="1"/>
  <c r="BH14" i="218"/>
  <c r="B14" i="146"/>
  <c r="M183" i="184"/>
  <c r="H146" i="191"/>
  <c r="X63" i="147"/>
  <c r="L146" i="191"/>
  <c r="W36" i="147"/>
  <c r="W38" i="147" s="1"/>
  <c r="R64" i="147"/>
  <c r="C183" i="191"/>
  <c r="BH75" i="218"/>
  <c r="M2345" i="184"/>
  <c r="AA69" i="147"/>
  <c r="BH23" i="218"/>
  <c r="R28" i="147"/>
  <c r="W39" i="231"/>
  <c r="M926" i="184"/>
  <c r="P27" i="227"/>
  <c r="I220" i="191"/>
  <c r="X65" i="147"/>
  <c r="L220" i="191" s="1"/>
  <c r="B13" i="146"/>
  <c r="O13" i="147"/>
  <c r="BH13" i="218"/>
  <c r="M146" i="184"/>
  <c r="D704" i="184"/>
  <c r="M31" i="147"/>
  <c r="M2158" i="184"/>
  <c r="BH63" i="218"/>
  <c r="B57" i="146"/>
  <c r="D64" i="145"/>
  <c r="F29" i="146"/>
  <c r="J29" i="146"/>
  <c r="E44" i="147"/>
  <c r="E1111" i="184"/>
  <c r="M42" i="147"/>
  <c r="M1858" i="184"/>
  <c r="BH51" i="218"/>
  <c r="B45" i="146"/>
  <c r="BH49" i="218"/>
  <c r="AB67" i="147"/>
  <c r="B43" i="146"/>
  <c r="M1784" i="184"/>
  <c r="E666" i="184"/>
  <c r="M29" i="147"/>
  <c r="F220" i="191"/>
  <c r="G220" i="191" s="1"/>
  <c r="H34" i="216"/>
  <c r="L1932" i="184"/>
  <c r="BH32" i="218"/>
  <c r="M1227" i="184"/>
  <c r="B26" i="146"/>
  <c r="R60" i="147"/>
  <c r="C35" i="191"/>
  <c r="X66" i="147"/>
  <c r="L257" i="191" s="1"/>
  <c r="I257" i="191"/>
  <c r="R27" i="227"/>
  <c r="M1000" i="184"/>
  <c r="Y39" i="231"/>
  <c r="I44" i="147"/>
  <c r="I1111" i="184"/>
  <c r="H39" i="231"/>
  <c r="M370" i="184"/>
  <c r="W41" i="147"/>
  <c r="W43" i="147"/>
  <c r="W26" i="147"/>
  <c r="AA38" i="231"/>
  <c r="M1062" i="184"/>
  <c r="T21" i="227"/>
  <c r="L38" i="231"/>
  <c r="W46" i="142"/>
  <c r="M506" i="184"/>
  <c r="W37" i="142"/>
  <c r="W38" i="142" s="1"/>
  <c r="I21" i="227"/>
  <c r="BF35" i="218"/>
  <c r="M1326" i="184"/>
  <c r="B29" i="141"/>
  <c r="I134" i="191"/>
  <c r="X63" i="142"/>
  <c r="L134" i="191" s="1"/>
  <c r="R64" i="142"/>
  <c r="C171" i="191"/>
  <c r="M2444" i="184"/>
  <c r="BF78" i="218"/>
  <c r="BF29" i="218"/>
  <c r="B23" i="141"/>
  <c r="M1176" i="184"/>
  <c r="M358" i="184"/>
  <c r="W41" i="142"/>
  <c r="H38" i="231"/>
  <c r="W26" i="142"/>
  <c r="M2146" i="184"/>
  <c r="BF63" i="218"/>
  <c r="B57" i="141"/>
  <c r="M97" i="191"/>
  <c r="F27" i="141"/>
  <c r="D62" i="140"/>
  <c r="D18" i="141"/>
  <c r="F654" i="184"/>
  <c r="M1215" i="184"/>
  <c r="B26" i="141"/>
  <c r="BF32" i="218"/>
  <c r="S21" i="227"/>
  <c r="Z38" i="231"/>
  <c r="M1025" i="184"/>
  <c r="W28" i="142"/>
  <c r="B40" i="141"/>
  <c r="M1661" i="184"/>
  <c r="BF46" i="218"/>
  <c r="AB64" i="142"/>
  <c r="D103" i="140"/>
  <c r="F37" i="141"/>
  <c r="D1920" i="184"/>
  <c r="M71" i="142"/>
  <c r="M1920" i="184" s="1"/>
  <c r="BF77" i="218"/>
  <c r="M2407" i="184"/>
  <c r="AB70" i="142"/>
  <c r="M729" i="184"/>
  <c r="R38" i="231"/>
  <c r="M1698" i="184"/>
  <c r="AB65" i="142"/>
  <c r="BF47" i="218"/>
  <c r="B41" i="141"/>
  <c r="AB68" i="142"/>
  <c r="B44" i="141"/>
  <c r="D67" i="141"/>
  <c r="M1809" i="184"/>
  <c r="BF50" i="218"/>
  <c r="R65" i="142"/>
  <c r="C208" i="191"/>
  <c r="D19" i="141"/>
  <c r="F1099" i="184"/>
  <c r="F44" i="142"/>
  <c r="F1137" i="184"/>
  <c r="U38" i="231"/>
  <c r="M840" i="184"/>
  <c r="H21" i="227"/>
  <c r="BF19" i="218"/>
  <c r="BF20" i="218" s="1"/>
  <c r="M469" i="184"/>
  <c r="W34" i="142"/>
  <c r="K38" i="231"/>
  <c r="W45" i="142"/>
  <c r="R24" i="142"/>
  <c r="D102" i="140"/>
  <c r="F36" i="141"/>
  <c r="BF51" i="218"/>
  <c r="M1846" i="184"/>
  <c r="B45" i="141"/>
  <c r="BF44" i="218"/>
  <c r="E65" i="141"/>
  <c r="E68" i="141"/>
  <c r="E71" i="141" s="1"/>
  <c r="AB62" i="142"/>
  <c r="B38" i="141"/>
  <c r="M1587" i="184"/>
  <c r="B11" i="141"/>
  <c r="M60" i="184"/>
  <c r="BF11" i="218"/>
  <c r="J208" i="184"/>
  <c r="I38" i="231"/>
  <c r="M395" i="184"/>
  <c r="W29" i="142"/>
  <c r="W42" i="142"/>
  <c r="F50" i="141"/>
  <c r="F52" i="141"/>
  <c r="R21" i="227"/>
  <c r="M988" i="184"/>
  <c r="Y38" i="231"/>
  <c r="W25" i="142"/>
  <c r="E654" i="184"/>
  <c r="M29" i="142"/>
  <c r="F134" i="191"/>
  <c r="G134" i="191"/>
  <c r="F33" i="216"/>
  <c r="M1363" i="184"/>
  <c r="D70" i="141"/>
  <c r="F70" i="141" s="1"/>
  <c r="BF36" i="218"/>
  <c r="B30" i="141"/>
  <c r="L60" i="191"/>
  <c r="M60" i="191" s="1"/>
  <c r="D15" i="192"/>
  <c r="F208" i="184"/>
  <c r="M15" i="142"/>
  <c r="M208" i="184" s="1"/>
  <c r="F57" i="142"/>
  <c r="R60" i="142"/>
  <c r="C23" i="191"/>
  <c r="M18" i="142"/>
  <c r="D247" i="184"/>
  <c r="B14" i="141"/>
  <c r="M171" i="184"/>
  <c r="BF14" i="218"/>
  <c r="BF49" i="218"/>
  <c r="M1772" i="184"/>
  <c r="B43" i="141"/>
  <c r="AB67" i="142"/>
  <c r="I44" i="142"/>
  <c r="I654" i="184"/>
  <c r="BF13" i="218"/>
  <c r="O13" i="142"/>
  <c r="M134" i="184"/>
  <c r="B13" i="141"/>
  <c r="F51" i="141"/>
  <c r="G21" i="227"/>
  <c r="M432" i="184"/>
  <c r="Q22" i="142"/>
  <c r="Q30" i="142" s="1"/>
  <c r="J38" i="231"/>
  <c r="BF18" i="218"/>
  <c r="X60" i="142"/>
  <c r="H23" i="191"/>
  <c r="M803" i="184"/>
  <c r="T38" i="231"/>
  <c r="M951" i="184"/>
  <c r="Q21" i="227"/>
  <c r="X38" i="231"/>
  <c r="H44" i="142"/>
  <c r="H654" i="184"/>
  <c r="F28" i="141"/>
  <c r="D63" i="140"/>
  <c r="J1048" i="184"/>
  <c r="J2658" i="184" s="1"/>
  <c r="P71" i="142"/>
  <c r="P70" i="142"/>
  <c r="I32" i="221" s="1"/>
  <c r="D356" i="191"/>
  <c r="M284" i="184"/>
  <c r="F38" i="231"/>
  <c r="W33" i="142"/>
  <c r="B53" i="141"/>
  <c r="M2070" i="184"/>
  <c r="BF59" i="218"/>
  <c r="L57" i="142"/>
  <c r="L1137" i="184"/>
  <c r="G1474" i="184"/>
  <c r="G85" i="142"/>
  <c r="BF48" i="218"/>
  <c r="AB66" i="142"/>
  <c r="B42" i="141"/>
  <c r="M1735" i="184"/>
  <c r="F31" i="141"/>
  <c r="D66" i="140"/>
  <c r="BF74" i="218"/>
  <c r="M2296" i="184"/>
  <c r="D692" i="184"/>
  <c r="M31" i="142"/>
  <c r="H171" i="191"/>
  <c r="X64" i="142"/>
  <c r="L171" i="191" s="1"/>
  <c r="F1437" i="184"/>
  <c r="M56" i="142"/>
  <c r="M1437" i="184" s="1"/>
  <c r="K654" i="184"/>
  <c r="K44" i="142"/>
  <c r="W38" i="231"/>
  <c r="BF23" i="218"/>
  <c r="BF24" i="218" s="1"/>
  <c r="P21" i="227"/>
  <c r="R28" i="142"/>
  <c r="M914" i="184"/>
  <c r="L106" i="142"/>
  <c r="L118" i="142"/>
  <c r="L102" i="142" s="1"/>
  <c r="F32" i="221" s="1"/>
  <c r="E44" i="142"/>
  <c r="E1099" i="184"/>
  <c r="M42" i="142"/>
  <c r="G2220" i="184"/>
  <c r="M83" i="142"/>
  <c r="M2220" i="184"/>
  <c r="J44" i="142"/>
  <c r="J1137" i="184"/>
  <c r="J1099" i="184"/>
  <c r="B19" i="136"/>
  <c r="B13" i="136"/>
  <c r="BD13" i="218"/>
  <c r="O13" i="137"/>
  <c r="M148" i="184"/>
  <c r="M71" i="137"/>
  <c r="M1934" i="184" s="1"/>
  <c r="E1934" i="184"/>
  <c r="D107" i="135"/>
  <c r="F41" i="136"/>
  <c r="H1451" i="184"/>
  <c r="H57" i="137"/>
  <c r="M56" i="137"/>
  <c r="M1451" i="184" s="1"/>
  <c r="F14" i="136"/>
  <c r="D58" i="135"/>
  <c r="H42" i="187"/>
  <c r="F31" i="136"/>
  <c r="D66" i="135"/>
  <c r="G2234" i="184"/>
  <c r="M83" i="137"/>
  <c r="M2234" i="184" s="1"/>
  <c r="G85" i="137"/>
  <c r="M1973" i="184"/>
  <c r="BD56" i="218"/>
  <c r="B50" i="136"/>
  <c r="B52" i="136"/>
  <c r="M2047" i="184"/>
  <c r="BD58" i="218"/>
  <c r="D108" i="135"/>
  <c r="F42" i="136"/>
  <c r="C42" i="136"/>
  <c r="D64" i="135"/>
  <c r="F29" i="136"/>
  <c r="D2121" i="184"/>
  <c r="M78" i="137"/>
  <c r="M2121" i="184" s="1"/>
  <c r="D85" i="137"/>
  <c r="AB67" i="137"/>
  <c r="M1786" i="184"/>
  <c r="BD49" i="218"/>
  <c r="B43" i="136"/>
  <c r="F1934" i="184"/>
  <c r="X66" i="137"/>
  <c r="L259" i="191" s="1"/>
  <c r="H259" i="191"/>
  <c r="F28" i="136"/>
  <c r="D63" i="135"/>
  <c r="C28" i="136"/>
  <c r="D111" i="135"/>
  <c r="F45" i="136"/>
  <c r="K45" i="136" s="1"/>
  <c r="O45" i="136" s="1"/>
  <c r="F27" i="136"/>
  <c r="D62" i="135"/>
  <c r="Q37" i="231"/>
  <c r="M706" i="184"/>
  <c r="P106" i="137"/>
  <c r="R28" i="137"/>
  <c r="M965" i="184"/>
  <c r="X37" i="231"/>
  <c r="Q19" i="227"/>
  <c r="U19" i="227" s="1"/>
  <c r="K1113" i="184"/>
  <c r="K44" i="137"/>
  <c r="M780" i="184"/>
  <c r="S37" i="231"/>
  <c r="W36" i="137"/>
  <c r="W38" i="137" s="1"/>
  <c r="F23" i="136"/>
  <c r="D60" i="135"/>
  <c r="D11" i="135"/>
  <c r="L148" i="191"/>
  <c r="M148" i="191" s="1"/>
  <c r="C38" i="136"/>
  <c r="D104" i="135"/>
  <c r="E38" i="136"/>
  <c r="E47" i="136" s="1"/>
  <c r="E61" i="136" s="1"/>
  <c r="E73" i="136" s="1"/>
  <c r="W41" i="137"/>
  <c r="W43" i="137" s="1"/>
  <c r="M372" i="184"/>
  <c r="W26" i="137"/>
  <c r="W27" i="137" s="1"/>
  <c r="H37" i="231"/>
  <c r="BD50" i="218"/>
  <c r="M1823" i="184"/>
  <c r="AB68" i="137"/>
  <c r="D67" i="136"/>
  <c r="B44" i="136"/>
  <c r="C189" i="233"/>
  <c r="BD30" i="218"/>
  <c r="M2160" i="184"/>
  <c r="BD63" i="218"/>
  <c r="B57" i="136"/>
  <c r="I44" i="137"/>
  <c r="I1113" i="184"/>
  <c r="BD19" i="218"/>
  <c r="M594" i="184"/>
  <c r="W28" i="137"/>
  <c r="W30" i="137" s="1"/>
  <c r="I37" i="212" s="1"/>
  <c r="N37" i="231"/>
  <c r="K19" i="227"/>
  <c r="M19" i="227" s="1"/>
  <c r="R24" i="137"/>
  <c r="D55" i="135"/>
  <c r="F11" i="136"/>
  <c r="E42" i="187"/>
  <c r="F26" i="136"/>
  <c r="D61" i="135"/>
  <c r="M2084" i="184"/>
  <c r="BD59" i="218"/>
  <c r="B53" i="136"/>
  <c r="M37" i="184"/>
  <c r="B10" i="136"/>
  <c r="BD10" i="218"/>
  <c r="M185" i="191"/>
  <c r="J1151" i="184"/>
  <c r="J57" i="137"/>
  <c r="E1151" i="184"/>
  <c r="E57" i="137"/>
  <c r="W46" i="137"/>
  <c r="W47" i="137" s="1"/>
  <c r="M37" i="212" s="1"/>
  <c r="BD38" i="218"/>
  <c r="C190" i="233" s="1"/>
  <c r="AZ48" i="218"/>
  <c r="AB66" i="127"/>
  <c r="M1728" i="184"/>
  <c r="B42" i="126"/>
  <c r="W25" i="127"/>
  <c r="M536" i="184"/>
  <c r="M35" i="231"/>
  <c r="J14" i="227"/>
  <c r="B23" i="126"/>
  <c r="AZ29" i="218"/>
  <c r="M1169" i="184"/>
  <c r="B45" i="126"/>
  <c r="P70" i="127"/>
  <c r="I29" i="221" s="1"/>
  <c r="M1839" i="184"/>
  <c r="AZ51" i="218"/>
  <c r="M1393" i="184"/>
  <c r="AZ37" i="218"/>
  <c r="B31" i="126"/>
  <c r="M277" i="184"/>
  <c r="W33" i="127"/>
  <c r="F35" i="231"/>
  <c r="C127" i="191"/>
  <c r="R63" i="127"/>
  <c r="R35" i="231"/>
  <c r="M722" i="184"/>
  <c r="AZ33" i="218"/>
  <c r="M1245" i="184"/>
  <c r="B27" i="126"/>
  <c r="C164" i="191"/>
  <c r="R64" i="127"/>
  <c r="AZ23" i="218"/>
  <c r="I44" i="127"/>
  <c r="I1092" i="184"/>
  <c r="B36" i="126"/>
  <c r="M1506" i="184"/>
  <c r="AZ42" i="218"/>
  <c r="AB60" i="127"/>
  <c r="O14" i="227"/>
  <c r="Q26" i="127"/>
  <c r="M870" i="184"/>
  <c r="AZ22" i="218"/>
  <c r="V35" i="231"/>
  <c r="M2437" i="184"/>
  <c r="AZ78" i="218"/>
  <c r="F2100" i="184"/>
  <c r="M78" i="127"/>
  <c r="M2100" i="184" s="1"/>
  <c r="M1617" i="184"/>
  <c r="AZ45" i="218"/>
  <c r="B39" i="126"/>
  <c r="AB63" i="127"/>
  <c r="W42" i="127"/>
  <c r="M388" i="184"/>
  <c r="I35" i="231"/>
  <c r="W29" i="127"/>
  <c r="AZ11" i="218"/>
  <c r="B11" i="126"/>
  <c r="M53" i="184"/>
  <c r="M1876" i="184"/>
  <c r="AZ52" i="218"/>
  <c r="B46" i="126"/>
  <c r="K647" i="184"/>
  <c r="K44" i="127"/>
  <c r="B28" i="126"/>
  <c r="AZ34" i="218"/>
  <c r="M1282" i="184"/>
  <c r="M16" i="184"/>
  <c r="AZ10" i="218"/>
  <c r="B10" i="126"/>
  <c r="B13" i="126"/>
  <c r="AZ13" i="218"/>
  <c r="O13" i="127"/>
  <c r="M127" i="184"/>
  <c r="G647" i="184"/>
  <c r="G44" i="127"/>
  <c r="D1913" i="184"/>
  <c r="M71" i="127"/>
  <c r="M1913" i="184" s="1"/>
  <c r="B29" i="126"/>
  <c r="M1319" i="184"/>
  <c r="AZ35" i="218"/>
  <c r="D44" i="127"/>
  <c r="M42" i="127"/>
  <c r="D1092" i="184"/>
  <c r="M18" i="127"/>
  <c r="D240" i="184"/>
  <c r="D201" i="184"/>
  <c r="M15" i="127"/>
  <c r="M201" i="184" s="1"/>
  <c r="H201" i="184"/>
  <c r="AZ14" i="218"/>
  <c r="B14" i="126"/>
  <c r="M164" i="184"/>
  <c r="L35" i="231"/>
  <c r="I14" i="227"/>
  <c r="M499" i="184"/>
  <c r="W46" i="127"/>
  <c r="W37" i="127"/>
  <c r="AZ77" i="218"/>
  <c r="M2400" i="184"/>
  <c r="AB70" i="127"/>
  <c r="M1691" i="184"/>
  <c r="B41" i="126"/>
  <c r="AZ47" i="218"/>
  <c r="B50" i="126"/>
  <c r="M1952" i="184"/>
  <c r="AZ56" i="218"/>
  <c r="F1430" i="184"/>
  <c r="M56" i="127"/>
  <c r="M1430" i="184" s="1"/>
  <c r="R14" i="227"/>
  <c r="Y35" i="231"/>
  <c r="M981" i="184"/>
  <c r="L106" i="127"/>
  <c r="L118" i="127" s="1"/>
  <c r="L102" i="127" s="1"/>
  <c r="F29" i="221" s="1"/>
  <c r="J57" i="127"/>
  <c r="J1430" i="184"/>
  <c r="B52" i="126"/>
  <c r="AZ58" i="218"/>
  <c r="M2026" i="184"/>
  <c r="D67" i="126"/>
  <c r="AZ50" i="218"/>
  <c r="M1802" i="184"/>
  <c r="B44" i="126"/>
  <c r="F57" i="126"/>
  <c r="M1208" i="184"/>
  <c r="AZ32" i="218"/>
  <c r="B26" i="126"/>
  <c r="AZ49" i="218"/>
  <c r="B43" i="126"/>
  <c r="M1765" i="184"/>
  <c r="AB67" i="127"/>
  <c r="F16" i="191"/>
  <c r="G16" i="191" s="1"/>
  <c r="D30" i="216"/>
  <c r="B58" i="126"/>
  <c r="B59" i="126" s="1"/>
  <c r="AZ64" i="218"/>
  <c r="M2176" i="184"/>
  <c r="K14" i="227"/>
  <c r="M573" i="184"/>
  <c r="W28" i="127"/>
  <c r="N35" i="231"/>
  <c r="AB61" i="127"/>
  <c r="M1543" i="184"/>
  <c r="AZ43" i="218"/>
  <c r="B37" i="126"/>
  <c r="H30" i="216"/>
  <c r="F201" i="191"/>
  <c r="G201" i="191" s="1"/>
  <c r="AA35" i="231"/>
  <c r="T14" i="227"/>
  <c r="M1055" i="184"/>
  <c r="H647" i="184"/>
  <c r="H44" i="127"/>
  <c r="H1130" i="184" s="1"/>
  <c r="S35" i="231"/>
  <c r="M759" i="184"/>
  <c r="H2213" i="184"/>
  <c r="M83" i="127"/>
  <c r="M2213" i="184" s="1"/>
  <c r="AZ19" i="218"/>
  <c r="W34" i="127"/>
  <c r="W45" i="127"/>
  <c r="M462" i="184"/>
  <c r="H14" i="227"/>
  <c r="R24" i="127"/>
  <c r="R30" i="127"/>
  <c r="K35" i="231"/>
  <c r="D65" i="125"/>
  <c r="D30" i="126"/>
  <c r="D32" i="126" s="1"/>
  <c r="M1018" i="184"/>
  <c r="Z35" i="231"/>
  <c r="S14" i="227"/>
  <c r="B38" i="126"/>
  <c r="AB62" i="127"/>
  <c r="M1580" i="184"/>
  <c r="AZ44" i="218"/>
  <c r="E65" i="126"/>
  <c r="E68" i="126" s="1"/>
  <c r="E71" i="126" s="1"/>
  <c r="W36" i="127"/>
  <c r="M314" i="184"/>
  <c r="G35" i="231"/>
  <c r="W41" i="127"/>
  <c r="W43" i="127" s="1"/>
  <c r="W26" i="127"/>
  <c r="T35" i="231"/>
  <c r="M796" i="184"/>
  <c r="B53" i="126"/>
  <c r="M2063" i="184"/>
  <c r="AZ59" i="218"/>
  <c r="H238" i="191"/>
  <c r="X66" i="127"/>
  <c r="L238" i="191" s="1"/>
  <c r="F685" i="184"/>
  <c r="M31" i="127"/>
  <c r="M425" i="184"/>
  <c r="J35" i="231"/>
  <c r="G14" i="227"/>
  <c r="AZ18" i="218"/>
  <c r="Q22" i="127"/>
  <c r="H164" i="191"/>
  <c r="X64" i="127"/>
  <c r="L201" i="184"/>
  <c r="L57" i="127"/>
  <c r="D647" i="184"/>
  <c r="M29" i="127"/>
  <c r="D58" i="120"/>
  <c r="F14" i="121"/>
  <c r="H19" i="187"/>
  <c r="F11" i="121"/>
  <c r="B15" i="121"/>
  <c r="D55" i="120"/>
  <c r="E19" i="187"/>
  <c r="M264" i="191"/>
  <c r="Q30" i="122"/>
  <c r="L116" i="191"/>
  <c r="M116" i="191" s="1"/>
  <c r="X68" i="122"/>
  <c r="AX38" i="218"/>
  <c r="C169" i="233" s="1"/>
  <c r="D62" i="120"/>
  <c r="F27" i="121"/>
  <c r="B32" i="121"/>
  <c r="D12" i="120" s="1"/>
  <c r="D64" i="120"/>
  <c r="F29" i="121"/>
  <c r="D66" i="120"/>
  <c r="F31" i="121"/>
  <c r="AX15" i="218"/>
  <c r="X66" i="117"/>
  <c r="L263" i="191" s="1"/>
  <c r="H263" i="191"/>
  <c r="AV10" i="218"/>
  <c r="M41" i="184"/>
  <c r="B10" i="116"/>
  <c r="D18" i="116"/>
  <c r="F672" i="184"/>
  <c r="AV34" i="218"/>
  <c r="AW34" i="218" s="1"/>
  <c r="M1307" i="184"/>
  <c r="B28" i="116"/>
  <c r="AV51" i="218"/>
  <c r="AW51" i="218" s="1"/>
  <c r="B45" i="116"/>
  <c r="P70" i="117"/>
  <c r="I27" i="221" s="1"/>
  <c r="M1864" i="184"/>
  <c r="AV57" i="218"/>
  <c r="AW57" i="218" s="1"/>
  <c r="B51" i="116"/>
  <c r="M2014" i="184"/>
  <c r="D105" i="115"/>
  <c r="C39" i="116"/>
  <c r="F39" i="116"/>
  <c r="AV64" i="218"/>
  <c r="AW64" i="218"/>
  <c r="B58" i="116"/>
  <c r="M2201" i="184"/>
  <c r="L265" i="184"/>
  <c r="M18" i="117"/>
  <c r="AV52" i="218"/>
  <c r="AW52" i="218" s="1"/>
  <c r="M1901" i="184"/>
  <c r="B46" i="116"/>
  <c r="E1117" i="184"/>
  <c r="E44" i="117"/>
  <c r="J44" i="117"/>
  <c r="J1117" i="184"/>
  <c r="H672" i="184"/>
  <c r="H44" i="117"/>
  <c r="M78" i="184"/>
  <c r="B11" i="116"/>
  <c r="AV11" i="218"/>
  <c r="AW11" i="218"/>
  <c r="E672" i="184"/>
  <c r="M29" i="117"/>
  <c r="G1455" i="184"/>
  <c r="M56" i="117"/>
  <c r="M1455" i="184" s="1"/>
  <c r="AV47" i="218"/>
  <c r="AW47" i="218" s="1"/>
  <c r="AB65" i="117"/>
  <c r="M1716" i="184"/>
  <c r="B41" i="116"/>
  <c r="AV36" i="218"/>
  <c r="AW36" i="218" s="1"/>
  <c r="B30" i="116"/>
  <c r="M1381" i="184"/>
  <c r="D70" i="116"/>
  <c r="F70" i="116"/>
  <c r="M747" i="184"/>
  <c r="R33" i="231"/>
  <c r="G2238" i="184"/>
  <c r="M83" i="117"/>
  <c r="M2238" i="184" s="1"/>
  <c r="M2462" i="184"/>
  <c r="AV78" i="218"/>
  <c r="C152" i="191"/>
  <c r="R63" i="117"/>
  <c r="R69" i="117" s="1"/>
  <c r="F374" i="191" s="1"/>
  <c r="W42" i="117"/>
  <c r="W43" i="117" s="1"/>
  <c r="U33" i="231"/>
  <c r="M858" i="184"/>
  <c r="W29" i="117"/>
  <c r="D11" i="115"/>
  <c r="D60" i="115"/>
  <c r="F23" i="116"/>
  <c r="C23" i="116"/>
  <c r="Q42" i="227"/>
  <c r="X33" i="231"/>
  <c r="M969" i="184"/>
  <c r="M2499" i="184"/>
  <c r="AV79" i="218"/>
  <c r="D710" i="184"/>
  <c r="M31" i="117"/>
  <c r="AV46" i="218"/>
  <c r="AW46" i="218" s="1"/>
  <c r="AB64" i="117"/>
  <c r="B40" i="116"/>
  <c r="M1679" i="184"/>
  <c r="E1938" i="184"/>
  <c r="M71" i="117"/>
  <c r="M1938" i="184"/>
  <c r="AV33" i="218"/>
  <c r="AW33" i="218" s="1"/>
  <c r="B27" i="116"/>
  <c r="M1270" i="184"/>
  <c r="B53" i="116"/>
  <c r="AV59" i="218"/>
  <c r="AW59" i="218" s="1"/>
  <c r="M2088" i="184"/>
  <c r="D44" i="117"/>
  <c r="D1117" i="184"/>
  <c r="M42" i="117"/>
  <c r="O33" i="231"/>
  <c r="M635" i="184"/>
  <c r="L42" i="227"/>
  <c r="D19" i="116"/>
  <c r="F1117" i="184"/>
  <c r="F44" i="117"/>
  <c r="F29" i="116"/>
  <c r="J29" i="116" s="1"/>
  <c r="D64" i="115"/>
  <c r="C29" i="116"/>
  <c r="F33" i="231"/>
  <c r="W33" i="117"/>
  <c r="M302" i="184"/>
  <c r="D36" i="192"/>
  <c r="L78" i="191"/>
  <c r="M78" i="191" s="1"/>
  <c r="L41" i="191"/>
  <c r="M41" i="191" s="1"/>
  <c r="T42" i="227"/>
  <c r="M1080" i="184"/>
  <c r="AA33" i="231"/>
  <c r="AV18" i="218"/>
  <c r="AW18" i="218" s="1"/>
  <c r="G42" i="227"/>
  <c r="Q22" i="117"/>
  <c r="Q30" i="117" s="1"/>
  <c r="M450" i="184"/>
  <c r="J33" i="231"/>
  <c r="AV30" i="218"/>
  <c r="C161" i="233"/>
  <c r="AW29" i="218"/>
  <c r="I44" i="117"/>
  <c r="I672" i="184"/>
  <c r="G44" i="117"/>
  <c r="G1155" i="184" s="1"/>
  <c r="G672" i="184"/>
  <c r="M2051" i="184"/>
  <c r="AV58" i="218"/>
  <c r="AW58" i="218" s="1"/>
  <c r="B52" i="116"/>
  <c r="X63" i="117"/>
  <c r="L152" i="191" s="1"/>
  <c r="H152" i="191"/>
  <c r="E2125" i="184"/>
  <c r="M78" i="117"/>
  <c r="M2125" i="184" s="1"/>
  <c r="W46" i="117"/>
  <c r="B57" i="116"/>
  <c r="AV63" i="218"/>
  <c r="M2164" i="184"/>
  <c r="M1977" i="184"/>
  <c r="B50" i="116"/>
  <c r="AV56" i="218"/>
  <c r="M15" i="117"/>
  <c r="M226" i="184" s="1"/>
  <c r="G226" i="184"/>
  <c r="M1233" i="184"/>
  <c r="AV32" i="218"/>
  <c r="B26" i="116"/>
  <c r="L1938" i="184"/>
  <c r="F41" i="191"/>
  <c r="G41" i="191"/>
  <c r="D28" i="216"/>
  <c r="R42" i="227"/>
  <c r="M1006" i="184"/>
  <c r="Y33" i="231"/>
  <c r="W25" i="117"/>
  <c r="M2388" i="184"/>
  <c r="AV76" i="218"/>
  <c r="M152" i="184"/>
  <c r="AV13" i="218"/>
  <c r="AW13" i="218" s="1"/>
  <c r="B13" i="116"/>
  <c r="O13" i="117"/>
  <c r="F31" i="116"/>
  <c r="D66" i="115"/>
  <c r="C31" i="116"/>
  <c r="W36" i="117"/>
  <c r="G33" i="231"/>
  <c r="M339" i="184"/>
  <c r="M1827" i="184"/>
  <c r="D67" i="116"/>
  <c r="AV50" i="218"/>
  <c r="AW50" i="218" s="1"/>
  <c r="AB68" i="117"/>
  <c r="B44" i="116"/>
  <c r="AV48" i="218"/>
  <c r="AW48" i="218" s="1"/>
  <c r="M1753" i="184"/>
  <c r="AB66" i="117"/>
  <c r="B42" i="116"/>
  <c r="AV44" i="218"/>
  <c r="E65" i="116"/>
  <c r="E68" i="116" s="1"/>
  <c r="E71" i="116" s="1"/>
  <c r="AB62" i="117"/>
  <c r="M1605" i="184"/>
  <c r="B38" i="116"/>
  <c r="K226" i="184"/>
  <c r="K57" i="117"/>
  <c r="W37" i="117"/>
  <c r="AV23" i="218"/>
  <c r="AW23" i="218" s="1"/>
  <c r="R28" i="117"/>
  <c r="W34" i="117"/>
  <c r="W33" i="231"/>
  <c r="P42" i="227"/>
  <c r="M932" i="184"/>
  <c r="M784" i="184"/>
  <c r="S33" i="231"/>
  <c r="F14" i="116"/>
  <c r="J14" i="116" s="1"/>
  <c r="H18" i="187"/>
  <c r="D58" i="115"/>
  <c r="C14" i="116"/>
  <c r="D1454" i="184"/>
  <c r="M56" i="112"/>
  <c r="M1454" i="184" s="1"/>
  <c r="M634" i="184"/>
  <c r="L41" i="227"/>
  <c r="O32" i="231"/>
  <c r="D709" i="184"/>
  <c r="M31" i="112"/>
  <c r="AB70" i="112"/>
  <c r="M2424" i="184"/>
  <c r="AT77" i="218"/>
  <c r="E44" i="112"/>
  <c r="E671" i="184"/>
  <c r="M29" i="112"/>
  <c r="H41" i="227"/>
  <c r="K32" i="231"/>
  <c r="W34" i="112"/>
  <c r="W35" i="112" s="1"/>
  <c r="J32" i="212" s="1"/>
  <c r="M486" i="184"/>
  <c r="W45" i="112"/>
  <c r="Z32" i="231"/>
  <c r="M1042" i="184"/>
  <c r="S41" i="227"/>
  <c r="D15" i="111"/>
  <c r="B26" i="111"/>
  <c r="M1232" i="184"/>
  <c r="AT32" i="218"/>
  <c r="G264" i="184"/>
  <c r="M18" i="112"/>
  <c r="X62" i="112"/>
  <c r="L114" i="191" s="1"/>
  <c r="H114" i="191"/>
  <c r="M2350" i="184"/>
  <c r="AA69" i="112"/>
  <c r="AT75" i="218"/>
  <c r="AB63" i="112"/>
  <c r="AT45" i="218"/>
  <c r="AU45" i="218" s="1"/>
  <c r="M1641" i="184"/>
  <c r="B39" i="111"/>
  <c r="AT11" i="218"/>
  <c r="AU11" i="218" s="1"/>
  <c r="M77" i="184"/>
  <c r="B11" i="111"/>
  <c r="M375" i="184"/>
  <c r="H32" i="231"/>
  <c r="W26" i="112"/>
  <c r="W41" i="112"/>
  <c r="AA32" i="231"/>
  <c r="T41" i="227"/>
  <c r="M1079" i="184"/>
  <c r="C53" i="111"/>
  <c r="F53" i="111"/>
  <c r="N41" i="220"/>
  <c r="O41" i="220" s="1"/>
  <c r="D1116" i="184"/>
  <c r="D44" i="112"/>
  <c r="M42" i="112"/>
  <c r="AT64" i="218"/>
  <c r="B58" i="111"/>
  <c r="M2200" i="184"/>
  <c r="B14" i="111"/>
  <c r="AT14" i="218"/>
  <c r="AU14" i="218"/>
  <c r="M188" i="184"/>
  <c r="M1900" i="184"/>
  <c r="AT52" i="218"/>
  <c r="AU52" i="218" s="1"/>
  <c r="B46" i="111"/>
  <c r="AT44" i="218"/>
  <c r="AU44" i="218" s="1"/>
  <c r="E65" i="111"/>
  <c r="E68" i="111"/>
  <c r="E71" i="111" s="1"/>
  <c r="AB62" i="112"/>
  <c r="B38" i="111"/>
  <c r="M1604" i="184"/>
  <c r="R63" i="112"/>
  <c r="C151" i="191"/>
  <c r="D1937" i="184"/>
  <c r="M71" i="112"/>
  <c r="M1937" i="184" s="1"/>
  <c r="D47" i="111"/>
  <c r="Y32" i="231"/>
  <c r="M1005" i="184"/>
  <c r="R41" i="227"/>
  <c r="L418" i="184"/>
  <c r="L2640" i="184" s="1"/>
  <c r="AT33" i="218"/>
  <c r="AU33" i="218" s="1"/>
  <c r="B27" i="111"/>
  <c r="M1269" i="184"/>
  <c r="M1275" i="184" s="1"/>
  <c r="M2669" i="184" s="1"/>
  <c r="B63" i="181" s="1"/>
  <c r="H671" i="184"/>
  <c r="H44" i="112"/>
  <c r="D19" i="111"/>
  <c r="D20" i="111" s="1"/>
  <c r="F44" i="112"/>
  <c r="F1154" i="184"/>
  <c r="F1116" i="184"/>
  <c r="I41" i="227"/>
  <c r="M523" i="184"/>
  <c r="W37" i="112"/>
  <c r="W38" i="112" s="1"/>
  <c r="K32" i="212" s="1"/>
  <c r="W46" i="112"/>
  <c r="L32" i="231"/>
  <c r="AT78" i="218"/>
  <c r="M2461" i="184"/>
  <c r="F46" i="184"/>
  <c r="F2628" i="184" s="1"/>
  <c r="B52" i="111"/>
  <c r="AT58" i="218"/>
  <c r="AU58" i="218" s="1"/>
  <c r="M2050" i="184"/>
  <c r="F77" i="191"/>
  <c r="G77" i="191"/>
  <c r="E27" i="216"/>
  <c r="M2013" i="184"/>
  <c r="AT57" i="218"/>
  <c r="B51" i="111"/>
  <c r="AT36" i="218"/>
  <c r="AU36" i="218"/>
  <c r="D70" i="111"/>
  <c r="F70" i="111" s="1"/>
  <c r="B30" i="111"/>
  <c r="M1380" i="184"/>
  <c r="H40" i="191"/>
  <c r="X60" i="112"/>
  <c r="M1976" i="184"/>
  <c r="AT56" i="218"/>
  <c r="B50" i="111"/>
  <c r="M1567" i="184"/>
  <c r="AB61" i="112"/>
  <c r="AT43" i="218"/>
  <c r="AU43" i="218"/>
  <c r="B37" i="111"/>
  <c r="AT35" i="218"/>
  <c r="AU35" i="218"/>
  <c r="B29" i="111"/>
  <c r="M1343" i="184"/>
  <c r="K671" i="184"/>
  <c r="K44" i="112"/>
  <c r="J1116" i="184"/>
  <c r="J44" i="112"/>
  <c r="J1154" i="184" s="1"/>
  <c r="M412" i="184"/>
  <c r="I32" i="231"/>
  <c r="W29" i="112"/>
  <c r="W42" i="112"/>
  <c r="L1154" i="184"/>
  <c r="L57" i="112"/>
  <c r="V32" i="231"/>
  <c r="O41" i="227"/>
  <c r="AT22" i="218"/>
  <c r="AU22" i="218"/>
  <c r="M894" i="184"/>
  <c r="Q26" i="112"/>
  <c r="Q30" i="112" s="1"/>
  <c r="AT29" i="218"/>
  <c r="M1193" i="184"/>
  <c r="B23" i="111"/>
  <c r="M1530" i="184"/>
  <c r="AB60" i="112"/>
  <c r="B36" i="111"/>
  <c r="AT42" i="218"/>
  <c r="D2124" i="184"/>
  <c r="M78" i="112"/>
  <c r="M2124" i="184"/>
  <c r="D373" i="191"/>
  <c r="P70" i="112"/>
  <c r="I26" i="221" s="1"/>
  <c r="P71" i="112"/>
  <c r="M40" i="184"/>
  <c r="B10" i="111"/>
  <c r="AT10" i="218"/>
  <c r="L106" i="112"/>
  <c r="L118" i="112" s="1"/>
  <c r="L102" i="112" s="1"/>
  <c r="F26" i="221" s="1"/>
  <c r="B45" i="111"/>
  <c r="AT51" i="218"/>
  <c r="AU51" i="218" s="1"/>
  <c r="M1863" i="184"/>
  <c r="M931" i="184"/>
  <c r="AT23" i="218"/>
  <c r="AU23" i="218" s="1"/>
  <c r="AU24" i="218" s="1"/>
  <c r="W32" i="231"/>
  <c r="P41" i="227"/>
  <c r="R28" i="112"/>
  <c r="M2313" i="184"/>
  <c r="AT74" i="218"/>
  <c r="M151" i="184"/>
  <c r="B13" i="111"/>
  <c r="O13" i="112"/>
  <c r="AT13" i="218"/>
  <c r="AU13" i="218" s="1"/>
  <c r="AT34" i="218"/>
  <c r="AU34" i="218" s="1"/>
  <c r="B28" i="111"/>
  <c r="M1306" i="184"/>
  <c r="G44" i="112"/>
  <c r="G1116" i="184"/>
  <c r="M1715" i="184"/>
  <c r="B41" i="111"/>
  <c r="AT47" i="218"/>
  <c r="AU47" i="218" s="1"/>
  <c r="J225" i="184"/>
  <c r="C40" i="191"/>
  <c r="R60" i="112"/>
  <c r="AB65" i="112"/>
  <c r="M15" i="112"/>
  <c r="M225" i="184"/>
  <c r="F225" i="184"/>
  <c r="B40" i="111"/>
  <c r="AT46" i="218"/>
  <c r="AU46" i="218"/>
  <c r="M1678" i="184"/>
  <c r="AB64" i="112"/>
  <c r="I671" i="184"/>
  <c r="I44" i="112"/>
  <c r="F1573" i="184"/>
  <c r="F2679" i="184" s="1"/>
  <c r="D2019" i="184"/>
  <c r="D2693" i="184" s="1"/>
  <c r="K1721" i="184"/>
  <c r="K2683" i="184" s="1"/>
  <c r="B13" i="56"/>
  <c r="D2356" i="184"/>
  <c r="D2706" i="184" s="1"/>
  <c r="T13" i="218"/>
  <c r="H57" i="57"/>
  <c r="H1476" i="184" s="1"/>
  <c r="L106" i="57"/>
  <c r="L118" i="57" s="1"/>
  <c r="L102" i="57" s="1"/>
  <c r="F13" i="221" s="1"/>
  <c r="M805" i="184"/>
  <c r="T19" i="231"/>
  <c r="I19" i="231"/>
  <c r="M397" i="184"/>
  <c r="T46" i="218"/>
  <c r="B40" i="56"/>
  <c r="AB64" i="57"/>
  <c r="M1663" i="184"/>
  <c r="AA31" i="231"/>
  <c r="T29" i="227"/>
  <c r="M1078" i="184"/>
  <c r="W26" i="107"/>
  <c r="W27" i="107" s="1"/>
  <c r="H31" i="212" s="1"/>
  <c r="M374" i="184"/>
  <c r="H31" i="231"/>
  <c r="W41" i="107"/>
  <c r="M522" i="184"/>
  <c r="W46" i="107"/>
  <c r="W37" i="107"/>
  <c r="L31" i="231"/>
  <c r="I29" i="227"/>
  <c r="M29" i="227" s="1"/>
  <c r="L106" i="107"/>
  <c r="L118" i="107" s="1"/>
  <c r="L102" i="107" s="1"/>
  <c r="F25" i="221" s="1"/>
  <c r="M930" i="184"/>
  <c r="AR23" i="218"/>
  <c r="AS23" i="218" s="1"/>
  <c r="W31" i="231"/>
  <c r="P29" i="227"/>
  <c r="R28" i="107"/>
  <c r="B27" i="106"/>
  <c r="M1268" i="184"/>
  <c r="AR33" i="218"/>
  <c r="AS33" i="218" s="1"/>
  <c r="AR79" i="218"/>
  <c r="M2497" i="184"/>
  <c r="E2123" i="184"/>
  <c r="M78" i="107"/>
  <c r="M2123" i="184" s="1"/>
  <c r="M2049" i="184"/>
  <c r="AR58" i="218"/>
  <c r="B52" i="106"/>
  <c r="D61" i="105"/>
  <c r="F26" i="106"/>
  <c r="C26" i="106"/>
  <c r="B43" i="106"/>
  <c r="M1788" i="184"/>
  <c r="AB67" i="107"/>
  <c r="AR49" i="218"/>
  <c r="AR19" i="218"/>
  <c r="AS19" i="218" s="1"/>
  <c r="W28" i="107"/>
  <c r="K29" i="227"/>
  <c r="M596" i="184"/>
  <c r="N31" i="231"/>
  <c r="M745" i="184"/>
  <c r="R31" i="231"/>
  <c r="D670" i="184"/>
  <c r="M29" i="107"/>
  <c r="D44" i="107"/>
  <c r="D23" i="192"/>
  <c r="L76" i="191"/>
  <c r="M76" i="191" s="1"/>
  <c r="H29" i="227"/>
  <c r="M485" i="184"/>
  <c r="R24" i="107"/>
  <c r="W34" i="107"/>
  <c r="K31" i="231"/>
  <c r="W45" i="107"/>
  <c r="B58" i="106"/>
  <c r="M2199" i="184"/>
  <c r="AR64" i="218"/>
  <c r="D30" i="106"/>
  <c r="D32" i="106" s="1"/>
  <c r="C30" i="106"/>
  <c r="D65" i="105"/>
  <c r="F44" i="107"/>
  <c r="F670" i="184"/>
  <c r="D18" i="106"/>
  <c r="D20" i="106"/>
  <c r="X67" i="107"/>
  <c r="L298" i="191" s="1"/>
  <c r="H298" i="191"/>
  <c r="B46" i="106"/>
  <c r="M1899" i="184"/>
  <c r="AR52" i="218"/>
  <c r="J670" i="184"/>
  <c r="J44" i="107"/>
  <c r="J29" i="227"/>
  <c r="M559" i="184"/>
  <c r="W25" i="107"/>
  <c r="M31" i="231"/>
  <c r="AR50" i="218"/>
  <c r="B44" i="106"/>
  <c r="D67" i="106"/>
  <c r="AB68" i="107"/>
  <c r="M1825" i="184"/>
  <c r="R60" i="107"/>
  <c r="C39" i="191"/>
  <c r="AB70" i="107"/>
  <c r="AR77" i="218"/>
  <c r="M2423" i="184"/>
  <c r="AR56" i="218"/>
  <c r="M1975" i="184"/>
  <c r="B50" i="106"/>
  <c r="I224" i="184"/>
  <c r="M15" i="107"/>
  <c r="M224" i="184"/>
  <c r="J31" i="231"/>
  <c r="G29" i="227"/>
  <c r="Q22" i="107"/>
  <c r="M448" i="184"/>
  <c r="AR18" i="218"/>
  <c r="E44" i="107"/>
  <c r="E1115" i="184"/>
  <c r="M42" i="107"/>
  <c r="M1416" i="184"/>
  <c r="B31" i="106"/>
  <c r="AR37" i="218"/>
  <c r="D1936" i="184"/>
  <c r="M71" i="107"/>
  <c r="M1936" i="184" s="1"/>
  <c r="X60" i="107"/>
  <c r="H39" i="191"/>
  <c r="G1153" i="184"/>
  <c r="G57" i="107"/>
  <c r="B11" i="106"/>
  <c r="AR11" i="218"/>
  <c r="M76" i="184"/>
  <c r="L670" i="184"/>
  <c r="L44" i="107"/>
  <c r="G708" i="184"/>
  <c r="M31" i="107"/>
  <c r="D2236" i="184"/>
  <c r="M83" i="107"/>
  <c r="M2236" i="184" s="1"/>
  <c r="B45" i="106"/>
  <c r="M1862" i="184"/>
  <c r="AR51" i="218"/>
  <c r="AR42" i="218"/>
  <c r="AB60" i="107"/>
  <c r="B36" i="106"/>
  <c r="M1529" i="184"/>
  <c r="AR76" i="218"/>
  <c r="M2386" i="184"/>
  <c r="M411" i="184"/>
  <c r="W42" i="107"/>
  <c r="I31" i="231"/>
  <c r="W29" i="107"/>
  <c r="X65" i="107"/>
  <c r="H224" i="191"/>
  <c r="F263" i="184"/>
  <c r="M18" i="107"/>
  <c r="C29" i="106"/>
  <c r="F29" i="106"/>
  <c r="J29" i="106" s="1"/>
  <c r="D64" i="105"/>
  <c r="M187" i="184"/>
  <c r="AR14" i="218"/>
  <c r="B14" i="106"/>
  <c r="I1115" i="184"/>
  <c r="I44" i="107"/>
  <c r="I1153" i="184"/>
  <c r="K1115" i="184"/>
  <c r="K44" i="107"/>
  <c r="M2162" i="184"/>
  <c r="AR63" i="218"/>
  <c r="AS63" i="218" s="1"/>
  <c r="B57" i="106"/>
  <c r="AR29" i="218"/>
  <c r="B23" i="106"/>
  <c r="M1192" i="184"/>
  <c r="C224" i="191"/>
  <c r="R65" i="107"/>
  <c r="AR22" i="218"/>
  <c r="M893" i="184"/>
  <c r="O29" i="227"/>
  <c r="Q26" i="107"/>
  <c r="V31" i="231"/>
  <c r="C41" i="106"/>
  <c r="D107" i="105"/>
  <c r="F41" i="106"/>
  <c r="S31" i="231"/>
  <c r="M782" i="184"/>
  <c r="W36" i="107"/>
  <c r="W38" i="107" s="1"/>
  <c r="M1677" i="184"/>
  <c r="AB64" i="107"/>
  <c r="AR46" i="218"/>
  <c r="B40" i="106"/>
  <c r="X31" i="231"/>
  <c r="Q29" i="227"/>
  <c r="M967" i="184"/>
  <c r="M56" i="107"/>
  <c r="M1453" i="184" s="1"/>
  <c r="E1453" i="184"/>
  <c r="H1115" i="184"/>
  <c r="H44" i="107"/>
  <c r="B39" i="106"/>
  <c r="AR45" i="218"/>
  <c r="M1640" i="184"/>
  <c r="AB63" i="107"/>
  <c r="L29" i="227"/>
  <c r="M633" i="184"/>
  <c r="O31" i="231"/>
  <c r="M1566" i="184"/>
  <c r="AR43" i="218"/>
  <c r="AS43" i="218" s="1"/>
  <c r="B37" i="106"/>
  <c r="AB61" i="107"/>
  <c r="M1004" i="184"/>
  <c r="R29" i="227"/>
  <c r="Y31" i="231"/>
  <c r="M300" i="184"/>
  <c r="F31" i="231"/>
  <c r="W33" i="107"/>
  <c r="AA69" i="107"/>
  <c r="M2349" i="184"/>
  <c r="M2356" i="184" s="1"/>
  <c r="M2706" i="184" s="1"/>
  <c r="AR75" i="218"/>
  <c r="B51" i="106"/>
  <c r="AR57" i="218"/>
  <c r="M2012" i="184"/>
  <c r="D66" i="234"/>
  <c r="F37" i="235"/>
  <c r="D63" i="234"/>
  <c r="F34" i="235"/>
  <c r="B13" i="235"/>
  <c r="D57" i="238"/>
  <c r="AB73" i="236"/>
  <c r="B49" i="235"/>
  <c r="D108" i="238"/>
  <c r="W26" i="236"/>
  <c r="W27" i="236" s="1"/>
  <c r="W31" i="236" s="1"/>
  <c r="W41" i="236"/>
  <c r="W43" i="236" s="1"/>
  <c r="F50" i="235"/>
  <c r="K50" i="235" s="1"/>
  <c r="M50" i="235" s="1"/>
  <c r="D109" i="234"/>
  <c r="D51" i="235"/>
  <c r="D54" i="235"/>
  <c r="D68" i="235" s="1"/>
  <c r="D110" i="234"/>
  <c r="D64" i="234"/>
  <c r="F35" i="235"/>
  <c r="AB67" i="236"/>
  <c r="B43" i="235"/>
  <c r="D103" i="238" s="1"/>
  <c r="D54" i="234"/>
  <c r="B15" i="235"/>
  <c r="F10" i="235"/>
  <c r="F44" i="236"/>
  <c r="F63" i="236" s="1"/>
  <c r="F92" i="236" s="1"/>
  <c r="L113" i="236"/>
  <c r="L125" i="236" s="1"/>
  <c r="L109" i="236" s="1"/>
  <c r="F49" i="221" s="1"/>
  <c r="M42" i="236"/>
  <c r="B19" i="235" s="1"/>
  <c r="D105" i="234"/>
  <c r="F46" i="235"/>
  <c r="Q36" i="236"/>
  <c r="G49" i="221" s="1"/>
  <c r="Q35" i="236"/>
  <c r="D106" i="234"/>
  <c r="F47" i="235"/>
  <c r="AH36" i="218"/>
  <c r="M1371" i="184"/>
  <c r="B30" i="202"/>
  <c r="D70" i="202"/>
  <c r="F70" i="202"/>
  <c r="D1445" i="184"/>
  <c r="M56" i="203"/>
  <c r="M1445" i="184" s="1"/>
  <c r="M1070" i="184"/>
  <c r="AA30" i="231"/>
  <c r="T47" i="227"/>
  <c r="R64" i="203"/>
  <c r="C179" i="191"/>
  <c r="AB61" i="203"/>
  <c r="B37" i="202"/>
  <c r="AH43" i="218"/>
  <c r="M1558" i="184"/>
  <c r="AH74" i="218"/>
  <c r="M2304" i="184"/>
  <c r="D57" i="201"/>
  <c r="F13" i="202"/>
  <c r="G25" i="187"/>
  <c r="F36" i="202"/>
  <c r="D102" i="201"/>
  <c r="B23" i="202"/>
  <c r="M1184" i="184"/>
  <c r="AH29" i="218"/>
  <c r="B44" i="202"/>
  <c r="AH50" i="218"/>
  <c r="D67" i="202"/>
  <c r="AB68" i="203"/>
  <c r="M1817" i="184"/>
  <c r="X61" i="203"/>
  <c r="H68" i="191"/>
  <c r="F27" i="202"/>
  <c r="D62" i="201"/>
  <c r="AH56" i="218"/>
  <c r="B50" i="202"/>
  <c r="M1967" i="184"/>
  <c r="M848" i="184"/>
  <c r="U30" i="231"/>
  <c r="M68" i="184"/>
  <c r="B11" i="202"/>
  <c r="AH11" i="218"/>
  <c r="K1107" i="184"/>
  <c r="K44" i="203"/>
  <c r="K1145" i="184" s="1"/>
  <c r="B39" i="202"/>
  <c r="AH45" i="218"/>
  <c r="AB63" i="203"/>
  <c r="M1632" i="184"/>
  <c r="M105" i="191"/>
  <c r="M179" i="184"/>
  <c r="M194" i="184" s="1"/>
  <c r="M2632" i="184" s="1"/>
  <c r="B50" i="181" s="1"/>
  <c r="AH14" i="218"/>
  <c r="B14" i="202"/>
  <c r="K216" i="184"/>
  <c r="K57" i="203"/>
  <c r="AH64" i="218"/>
  <c r="B58" i="202"/>
  <c r="B59" i="202" s="1"/>
  <c r="M2191" i="184"/>
  <c r="D107" i="201"/>
  <c r="F41" i="202"/>
  <c r="W29" i="203"/>
  <c r="M403" i="184"/>
  <c r="I30" i="231"/>
  <c r="W42" i="203"/>
  <c r="F57" i="202"/>
  <c r="M1854" i="184"/>
  <c r="AH51" i="218"/>
  <c r="B45" i="202"/>
  <c r="M1891" i="184"/>
  <c r="AH52" i="218"/>
  <c r="B46" i="202"/>
  <c r="R63" i="203"/>
  <c r="C142" i="191"/>
  <c r="X66" i="203"/>
  <c r="L253" i="191"/>
  <c r="H253" i="191"/>
  <c r="M142" i="191"/>
  <c r="I1928" i="184"/>
  <c r="I85" i="203"/>
  <c r="AC45" i="209"/>
  <c r="D44" i="203"/>
  <c r="D1107" i="184"/>
  <c r="M42" i="203"/>
  <c r="L1107" i="184"/>
  <c r="L1122" i="184" s="1"/>
  <c r="L44" i="203"/>
  <c r="AB66" i="203"/>
  <c r="M1743" i="184"/>
  <c r="B42" i="202"/>
  <c r="AH48" i="218"/>
  <c r="E662" i="184"/>
  <c r="E44" i="203"/>
  <c r="M29" i="203"/>
  <c r="F29" i="202"/>
  <c r="D64" i="201"/>
  <c r="B26" i="202"/>
  <c r="AH32" i="218"/>
  <c r="M1223" i="184"/>
  <c r="F1107" i="184"/>
  <c r="F44" i="203"/>
  <c r="D19" i="202"/>
  <c r="D20" i="202"/>
  <c r="G216" i="184"/>
  <c r="H179" i="191"/>
  <c r="X64" i="203"/>
  <c r="L179" i="191" s="1"/>
  <c r="AH19" i="218"/>
  <c r="W28" i="203"/>
  <c r="W30" i="203" s="1"/>
  <c r="R24" i="203"/>
  <c r="M588" i="184"/>
  <c r="K47" i="227"/>
  <c r="M47" i="227" s="1"/>
  <c r="N30" i="231"/>
  <c r="S30" i="231"/>
  <c r="M774" i="184"/>
  <c r="W43" i="203"/>
  <c r="R61" i="203"/>
  <c r="C68" i="191"/>
  <c r="M15" i="203"/>
  <c r="M216" i="184" s="1"/>
  <c r="E255" i="184"/>
  <c r="M18" i="203"/>
  <c r="AH76" i="218"/>
  <c r="M2378" i="184"/>
  <c r="J1482" i="184"/>
  <c r="J85" i="203"/>
  <c r="AH34" i="218"/>
  <c r="M1297" i="184"/>
  <c r="B28" i="202"/>
  <c r="H1107" i="184"/>
  <c r="H44" i="203"/>
  <c r="W30" i="231"/>
  <c r="R28" i="203"/>
  <c r="P47" i="227"/>
  <c r="U47" i="227"/>
  <c r="AH23" i="218"/>
  <c r="AH24" i="218" s="1"/>
  <c r="W34" i="203"/>
  <c r="W45" i="203"/>
  <c r="W47" i="203" s="1"/>
  <c r="M30" i="212" s="1"/>
  <c r="M922" i="184"/>
  <c r="AH46" i="218"/>
  <c r="M1669" i="184"/>
  <c r="AB64" i="203"/>
  <c r="B40" i="202"/>
  <c r="P70" i="203"/>
  <c r="I24" i="221" s="1"/>
  <c r="P71" i="203"/>
  <c r="D364" i="191"/>
  <c r="G44" i="203"/>
  <c r="G662" i="184"/>
  <c r="E700" i="184"/>
  <c r="M31" i="203"/>
  <c r="E2115" i="184"/>
  <c r="M78" i="203"/>
  <c r="M2115" i="184" s="1"/>
  <c r="M71" i="203"/>
  <c r="M1928" i="184" s="1"/>
  <c r="D1928" i="184"/>
  <c r="M1595" i="184"/>
  <c r="AH44" i="218"/>
  <c r="B38" i="202"/>
  <c r="AB62" i="203"/>
  <c r="E65" i="202"/>
  <c r="E68" i="202" s="1"/>
  <c r="E71" i="202" s="1"/>
  <c r="X66" i="199"/>
  <c r="L250" i="191" s="1"/>
  <c r="M250" i="191" s="1"/>
  <c r="H250" i="191"/>
  <c r="B28" i="198"/>
  <c r="AF34" i="218"/>
  <c r="M1294" i="184"/>
  <c r="E2225" i="184"/>
  <c r="M83" i="199"/>
  <c r="M2225" i="184" s="1"/>
  <c r="AA29" i="231"/>
  <c r="T45" i="227"/>
  <c r="M1067" i="184"/>
  <c r="AB60" i="199"/>
  <c r="AF42" i="218"/>
  <c r="B36" i="198"/>
  <c r="M1518" i="184"/>
  <c r="Y29" i="231"/>
  <c r="M993" i="184"/>
  <c r="R45" i="227"/>
  <c r="AF52" i="218"/>
  <c r="M1888" i="184"/>
  <c r="B46" i="198"/>
  <c r="X29" i="231"/>
  <c r="M956" i="184"/>
  <c r="Q45" i="227"/>
  <c r="M2449" i="184"/>
  <c r="AF78" i="218"/>
  <c r="D1442" i="184"/>
  <c r="M56" i="199"/>
  <c r="M1442" i="184" s="1"/>
  <c r="M29" i="231"/>
  <c r="J45" i="227"/>
  <c r="W25" i="199"/>
  <c r="M548" i="184"/>
  <c r="D697" i="184"/>
  <c r="M31" i="199"/>
  <c r="E1142" i="184"/>
  <c r="E57" i="199"/>
  <c r="AF74" i="218"/>
  <c r="M2301" i="184"/>
  <c r="J29" i="231"/>
  <c r="M437" i="184"/>
  <c r="Q22" i="199"/>
  <c r="Q30" i="199" s="1"/>
  <c r="AF18" i="218"/>
  <c r="G45" i="227"/>
  <c r="W26" i="199"/>
  <c r="H29" i="231"/>
  <c r="M363" i="184"/>
  <c r="W41" i="199"/>
  <c r="D19" i="198"/>
  <c r="F1104" i="184"/>
  <c r="F44" i="199"/>
  <c r="F1142" i="184" s="1"/>
  <c r="AF45" i="218"/>
  <c r="M1629" i="184"/>
  <c r="AB63" i="199"/>
  <c r="B39" i="198"/>
  <c r="F659" i="184"/>
  <c r="D18" i="198"/>
  <c r="D20" i="198" s="1"/>
  <c r="S45" i="227"/>
  <c r="Z29" i="231"/>
  <c r="M1030" i="184"/>
  <c r="AF48" i="218"/>
  <c r="AB66" i="199"/>
  <c r="M1740" i="184"/>
  <c r="B42" i="198"/>
  <c r="H45" i="227"/>
  <c r="M474" i="184"/>
  <c r="K29" i="231"/>
  <c r="W34" i="199"/>
  <c r="W45" i="199"/>
  <c r="D1104" i="184"/>
  <c r="M42" i="199"/>
  <c r="D44" i="199"/>
  <c r="AF64" i="218"/>
  <c r="M2188" i="184"/>
  <c r="B58" i="198"/>
  <c r="C28" i="191"/>
  <c r="R60" i="199"/>
  <c r="M29" i="199"/>
  <c r="D659" i="184"/>
  <c r="AF32" i="218"/>
  <c r="B26" i="198"/>
  <c r="M1220" i="184"/>
  <c r="M326" i="184"/>
  <c r="G29" i="231"/>
  <c r="W36" i="199"/>
  <c r="AF49" i="218"/>
  <c r="M1777" i="184"/>
  <c r="B43" i="198"/>
  <c r="AB67" i="199"/>
  <c r="AF29" i="218"/>
  <c r="M1181" i="184"/>
  <c r="B23" i="198"/>
  <c r="B52" i="198"/>
  <c r="AF58" i="218"/>
  <c r="M2038" i="184"/>
  <c r="B27" i="198"/>
  <c r="AF33" i="218"/>
  <c r="M1257" i="184"/>
  <c r="H102" i="191"/>
  <c r="X62" i="199"/>
  <c r="L102" i="191" s="1"/>
  <c r="M102" i="191" s="1"/>
  <c r="F213" i="184"/>
  <c r="M15" i="199"/>
  <c r="M213" i="184" s="1"/>
  <c r="I659" i="184"/>
  <c r="I44" i="199"/>
  <c r="L29" i="231"/>
  <c r="W37" i="199"/>
  <c r="W46" i="199"/>
  <c r="I45" i="227"/>
  <c r="M45" i="227" s="1"/>
  <c r="M511" i="184"/>
  <c r="E252" i="184"/>
  <c r="M18" i="199"/>
  <c r="B57" i="198"/>
  <c r="M2151" i="184"/>
  <c r="AF63" i="218"/>
  <c r="AF22" i="218"/>
  <c r="V29" i="231"/>
  <c r="AJ29" i="231" s="1"/>
  <c r="M882" i="184"/>
  <c r="Q26" i="199"/>
  <c r="O45" i="227"/>
  <c r="AF36" i="218"/>
  <c r="M1368" i="184"/>
  <c r="D70" i="198"/>
  <c r="F70" i="198"/>
  <c r="B30" i="198"/>
  <c r="AF44" i="218"/>
  <c r="E65" i="198"/>
  <c r="E68" i="198"/>
  <c r="E71" i="198" s="1"/>
  <c r="B38" i="198"/>
  <c r="AB62" i="199"/>
  <c r="M1592" i="184"/>
  <c r="M28" i="184"/>
  <c r="B10" i="198"/>
  <c r="AF10" i="218"/>
  <c r="AF35" i="218"/>
  <c r="M1331" i="184"/>
  <c r="B29" i="198"/>
  <c r="P71" i="199"/>
  <c r="D361" i="191"/>
  <c r="L106" i="199"/>
  <c r="L118" i="199" s="1"/>
  <c r="L102" i="199" s="1"/>
  <c r="F23" i="221" s="1"/>
  <c r="M771" i="184"/>
  <c r="S29" i="231"/>
  <c r="J1104" i="184"/>
  <c r="J44" i="199"/>
  <c r="J1142" i="184"/>
  <c r="AF47" i="218"/>
  <c r="B41" i="198"/>
  <c r="AB65" i="199"/>
  <c r="M1703" i="184"/>
  <c r="D15" i="198"/>
  <c r="K44" i="199"/>
  <c r="K659" i="184"/>
  <c r="F29" i="231"/>
  <c r="M289" i="184"/>
  <c r="W33" i="199"/>
  <c r="H1104" i="184"/>
  <c r="H44" i="199"/>
  <c r="U29" i="231"/>
  <c r="M845" i="184"/>
  <c r="AF37" i="218"/>
  <c r="M1405" i="184"/>
  <c r="B31" i="198"/>
  <c r="D2112" i="184"/>
  <c r="M78" i="199"/>
  <c r="M2112" i="184" s="1"/>
  <c r="C11" i="198"/>
  <c r="D55" i="197"/>
  <c r="F11" i="198"/>
  <c r="J11" i="198" s="1"/>
  <c r="E24" i="187"/>
  <c r="J213" i="184"/>
  <c r="R65" i="199"/>
  <c r="C213" i="191"/>
  <c r="E1925" i="184"/>
  <c r="M71" i="199"/>
  <c r="M1925" i="184" s="1"/>
  <c r="AF59" i="218"/>
  <c r="B53" i="198"/>
  <c r="M2075" i="184"/>
  <c r="M734" i="184"/>
  <c r="R29" i="231"/>
  <c r="AF14" i="218"/>
  <c r="M176" i="184"/>
  <c r="B14" i="198"/>
  <c r="O13" i="199"/>
  <c r="B13" i="198"/>
  <c r="AF13" i="218"/>
  <c r="M139" i="184"/>
  <c r="M157" i="184" s="1"/>
  <c r="M2631" i="184" s="1"/>
  <c r="B49" i="181" s="1"/>
  <c r="B51" i="198"/>
  <c r="AF57" i="218"/>
  <c r="M2001" i="184"/>
  <c r="L1104" i="184"/>
  <c r="L44" i="199"/>
  <c r="M808" i="184"/>
  <c r="T29" i="231"/>
  <c r="M400" i="184"/>
  <c r="I29" i="231"/>
  <c r="W42" i="199"/>
  <c r="W29" i="199"/>
  <c r="X65" i="199"/>
  <c r="L213" i="191"/>
  <c r="H213" i="191"/>
  <c r="H28" i="191"/>
  <c r="X60" i="199"/>
  <c r="O29" i="231"/>
  <c r="M622" i="184"/>
  <c r="L45" i="227"/>
  <c r="W29" i="231"/>
  <c r="P45" i="227"/>
  <c r="M919" i="184"/>
  <c r="R28" i="199"/>
  <c r="AF23" i="218"/>
  <c r="D1573" i="184"/>
  <c r="D2679" i="184" s="1"/>
  <c r="AP23" i="218"/>
  <c r="M923" i="184"/>
  <c r="P44" i="227"/>
  <c r="W28" i="231"/>
  <c r="R28" i="102"/>
  <c r="M1298" i="184"/>
  <c r="B28" i="101"/>
  <c r="AP34" i="218"/>
  <c r="E217" i="184"/>
  <c r="M15" i="102"/>
  <c r="M217" i="184" s="1"/>
  <c r="AP59" i="218"/>
  <c r="B53" i="101"/>
  <c r="M2079" i="184"/>
  <c r="F51" i="101"/>
  <c r="E2116" i="184"/>
  <c r="M78" i="102"/>
  <c r="M2116" i="184" s="1"/>
  <c r="AP10" i="218"/>
  <c r="B10" i="101"/>
  <c r="M32" i="184"/>
  <c r="D1929" i="184"/>
  <c r="M71" i="102"/>
  <c r="M1929" i="184" s="1"/>
  <c r="I1108" i="184"/>
  <c r="I44" i="102"/>
  <c r="L28" i="231"/>
  <c r="I44" i="227"/>
  <c r="W37" i="102"/>
  <c r="W46" i="102"/>
  <c r="M515" i="184"/>
  <c r="U28" i="231"/>
  <c r="M849" i="184"/>
  <c r="W42" i="102"/>
  <c r="W29" i="102"/>
  <c r="M404" i="184"/>
  <c r="I28" i="231"/>
  <c r="T28" i="231"/>
  <c r="M812" i="184"/>
  <c r="W41" i="102"/>
  <c r="W43" i="102" s="1"/>
  <c r="W26" i="102"/>
  <c r="B57" i="101"/>
  <c r="AP63" i="218"/>
  <c r="M2155" i="184"/>
  <c r="AP29" i="218"/>
  <c r="M1185" i="184"/>
  <c r="B23" i="101"/>
  <c r="AB68" i="102"/>
  <c r="M1818" i="184"/>
  <c r="B44" i="101"/>
  <c r="AP50" i="218"/>
  <c r="D67" i="101"/>
  <c r="AP51" i="218"/>
  <c r="M1855" i="184"/>
  <c r="B45" i="101"/>
  <c r="P70" i="102"/>
  <c r="I22" i="221" s="1"/>
  <c r="M291" i="191"/>
  <c r="H69" i="191"/>
  <c r="X61" i="102"/>
  <c r="X28" i="231"/>
  <c r="M960" i="184"/>
  <c r="Q44" i="227"/>
  <c r="M2490" i="184"/>
  <c r="M2504" i="184" s="1"/>
  <c r="M2710" i="184" s="1"/>
  <c r="AP79" i="218"/>
  <c r="AP49" i="218"/>
  <c r="AB67" i="102"/>
  <c r="M1781" i="184"/>
  <c r="B43" i="101"/>
  <c r="I529" i="184"/>
  <c r="I2643" i="184" s="1"/>
  <c r="AP78" i="218"/>
  <c r="M2453" i="184"/>
  <c r="M2467" i="184" s="1"/>
  <c r="M2709" i="184" s="1"/>
  <c r="B13" i="101"/>
  <c r="AP13" i="218"/>
  <c r="M143" i="184"/>
  <c r="O13" i="102"/>
  <c r="L106" i="102"/>
  <c r="L118" i="102" s="1"/>
  <c r="L102" i="102" s="1"/>
  <c r="F22" i="221" s="1"/>
  <c r="F11" i="101"/>
  <c r="D55" i="100"/>
  <c r="E16" i="187"/>
  <c r="AP33" i="218"/>
  <c r="B27" i="101"/>
  <c r="M1261" i="184"/>
  <c r="M2379" i="184"/>
  <c r="AP76" i="218"/>
  <c r="E1108" i="184"/>
  <c r="E44" i="102"/>
  <c r="E57" i="102" s="1"/>
  <c r="M42" i="102"/>
  <c r="W30" i="102"/>
  <c r="I28" i="212" s="1"/>
  <c r="D701" i="184"/>
  <c r="M31" i="102"/>
  <c r="C14" i="101"/>
  <c r="H16" i="187"/>
  <c r="F14" i="101"/>
  <c r="D58" i="100"/>
  <c r="M478" i="184"/>
  <c r="H44" i="227"/>
  <c r="W34" i="102"/>
  <c r="K28" i="231"/>
  <c r="W45" i="102"/>
  <c r="R24" i="102"/>
  <c r="D103" i="100"/>
  <c r="F37" i="101"/>
  <c r="F28" i="231"/>
  <c r="W33" i="102"/>
  <c r="M293" i="184"/>
  <c r="AP19" i="218"/>
  <c r="Y28" i="231"/>
  <c r="M997" i="184"/>
  <c r="R44" i="227"/>
  <c r="M738" i="184"/>
  <c r="R28" i="231"/>
  <c r="S28" i="231"/>
  <c r="M775" i="184"/>
  <c r="E83" i="184"/>
  <c r="E2629" i="184" s="1"/>
  <c r="AP37" i="218"/>
  <c r="M1409" i="184"/>
  <c r="B31" i="101"/>
  <c r="R64" i="102"/>
  <c r="C180" i="191"/>
  <c r="B50" i="101"/>
  <c r="M1968" i="184"/>
  <c r="AP56" i="218"/>
  <c r="M2305" i="184"/>
  <c r="M2319" i="184" s="1"/>
  <c r="M2705" i="184" s="1"/>
  <c r="AP74" i="218"/>
  <c r="H106" i="191"/>
  <c r="X62" i="102"/>
  <c r="L106" i="191" s="1"/>
  <c r="M106" i="191" s="1"/>
  <c r="M2342" i="184"/>
  <c r="AP75" i="218"/>
  <c r="AA69" i="102"/>
  <c r="M18" i="102"/>
  <c r="E256" i="184"/>
  <c r="AA28" i="231"/>
  <c r="T44" i="227"/>
  <c r="M1071" i="184"/>
  <c r="X64" i="102"/>
  <c r="L180" i="191" s="1"/>
  <c r="H180" i="191"/>
  <c r="AP47" i="218"/>
  <c r="B41" i="101"/>
  <c r="M1707" i="184"/>
  <c r="H1108" i="184"/>
  <c r="H44" i="102"/>
  <c r="AP18" i="218"/>
  <c r="M441" i="184"/>
  <c r="G44" i="227"/>
  <c r="J28" i="231"/>
  <c r="Q22" i="102"/>
  <c r="Q30" i="102" s="1"/>
  <c r="M330" i="184"/>
  <c r="G28" i="231"/>
  <c r="W36" i="102"/>
  <c r="M626" i="184"/>
  <c r="O28" i="231"/>
  <c r="L44" i="227"/>
  <c r="AP35" i="218"/>
  <c r="M1335" i="184"/>
  <c r="B29" i="101"/>
  <c r="M552" i="184"/>
  <c r="M28" i="231"/>
  <c r="W25" i="102"/>
  <c r="J44" i="227"/>
  <c r="AP32" i="218"/>
  <c r="M1224" i="184"/>
  <c r="B26" i="101"/>
  <c r="J1929" i="184"/>
  <c r="J85" i="102"/>
  <c r="I974" i="184"/>
  <c r="I2656" i="184" s="1"/>
  <c r="K1108" i="184"/>
  <c r="K44" i="102"/>
  <c r="M1670" i="184"/>
  <c r="AB64" i="102"/>
  <c r="AP46" i="218"/>
  <c r="B40" i="101"/>
  <c r="AB65" i="102"/>
  <c r="M1633" i="184"/>
  <c r="AP45" i="218"/>
  <c r="AB63" i="102"/>
  <c r="B39" i="101"/>
  <c r="AP36" i="218"/>
  <c r="M1372" i="184"/>
  <c r="D70" i="101"/>
  <c r="F70" i="101" s="1"/>
  <c r="B30" i="101"/>
  <c r="F1929" i="184"/>
  <c r="E663" i="184"/>
  <c r="M29" i="102"/>
  <c r="M2042" i="184"/>
  <c r="AP58" i="218"/>
  <c r="B52" i="101"/>
  <c r="G663" i="184"/>
  <c r="G44" i="102"/>
  <c r="R61" i="102"/>
  <c r="C69" i="191"/>
  <c r="L657" i="184"/>
  <c r="L44" i="97"/>
  <c r="M31" i="97"/>
  <c r="E1102" i="184"/>
  <c r="E44" i="97"/>
  <c r="E1140" i="184"/>
  <c r="M42" i="97"/>
  <c r="K27" i="231"/>
  <c r="W34" i="97"/>
  <c r="H13" i="227"/>
  <c r="W45" i="97"/>
  <c r="R24" i="97"/>
  <c r="M472" i="184"/>
  <c r="AN36" i="218"/>
  <c r="M1366" i="184"/>
  <c r="B30" i="96"/>
  <c r="D70" i="96"/>
  <c r="F70" i="96" s="1"/>
  <c r="B27" i="96"/>
  <c r="AN33" i="218"/>
  <c r="M1255" i="184"/>
  <c r="AN11" i="218"/>
  <c r="M63" i="184"/>
  <c r="B11" i="96"/>
  <c r="M1664" i="184"/>
  <c r="AN46" i="218"/>
  <c r="AB64" i="97"/>
  <c r="B40" i="96"/>
  <c r="P70" i="97"/>
  <c r="I21" i="221" s="1"/>
  <c r="D359" i="191"/>
  <c r="P71" i="97"/>
  <c r="E250" i="184"/>
  <c r="M18" i="97"/>
  <c r="F10" i="96"/>
  <c r="D54" i="95"/>
  <c r="D38" i="187"/>
  <c r="W41" i="97"/>
  <c r="W26" i="97"/>
  <c r="M361" i="184"/>
  <c r="H27" i="231"/>
  <c r="X60" i="97"/>
  <c r="H26" i="191"/>
  <c r="H1440" i="184"/>
  <c r="Z27" i="231"/>
  <c r="S13" i="227"/>
  <c r="M1028" i="184"/>
  <c r="S27" i="231"/>
  <c r="M769" i="184"/>
  <c r="D752" i="184"/>
  <c r="D2650" i="184" s="1"/>
  <c r="AN19" i="218"/>
  <c r="N27" i="231"/>
  <c r="W28" i="97"/>
  <c r="K13" i="227"/>
  <c r="M583" i="184"/>
  <c r="B58" i="96"/>
  <c r="M2186" i="184"/>
  <c r="AN64" i="218"/>
  <c r="M732" i="184"/>
  <c r="R27" i="231"/>
  <c r="W33" i="97"/>
  <c r="W35" i="97" s="1"/>
  <c r="J27" i="212" s="1"/>
  <c r="D22" i="216"/>
  <c r="F26" i="191"/>
  <c r="G26" i="191"/>
  <c r="AN34" i="218"/>
  <c r="B28" i="96"/>
  <c r="M1292" i="184"/>
  <c r="T27" i="231"/>
  <c r="M806" i="184"/>
  <c r="D2223" i="184"/>
  <c r="M83" i="97"/>
  <c r="M2223" i="184" s="1"/>
  <c r="V27" i="231"/>
  <c r="M880" i="184"/>
  <c r="O13" i="227"/>
  <c r="Q26" i="97"/>
  <c r="AN22" i="218"/>
  <c r="AN51" i="218"/>
  <c r="B45" i="96"/>
  <c r="M1849" i="184"/>
  <c r="X64" i="97"/>
  <c r="L174" i="191"/>
  <c r="M174" i="191" s="1"/>
  <c r="I174" i="191"/>
  <c r="D57" i="97"/>
  <c r="D1140" i="184"/>
  <c r="AN76" i="218"/>
  <c r="M2373" i="184"/>
  <c r="B31" i="96"/>
  <c r="M1403" i="184"/>
  <c r="AN37" i="218"/>
  <c r="F1140" i="184"/>
  <c r="F57" i="97"/>
  <c r="K1140" i="184"/>
  <c r="K57" i="97"/>
  <c r="I1102" i="184"/>
  <c r="I44" i="97"/>
  <c r="F51" i="96"/>
  <c r="D60" i="95"/>
  <c r="D11" i="95"/>
  <c r="F23" i="96"/>
  <c r="M1812" i="184"/>
  <c r="AB68" i="97"/>
  <c r="AN50" i="218"/>
  <c r="B44" i="96"/>
  <c r="D67" i="96"/>
  <c r="I27" i="231"/>
  <c r="M398" i="184"/>
  <c r="W42" i="97"/>
  <c r="W29" i="97"/>
  <c r="W30" i="97" s="1"/>
  <c r="I27" i="212" s="1"/>
  <c r="M2149" i="184"/>
  <c r="AN63" i="218"/>
  <c r="B57" i="96"/>
  <c r="F29" i="96"/>
  <c r="J29" i="96" s="1"/>
  <c r="D64" i="95"/>
  <c r="D7" i="192"/>
  <c r="L63" i="191"/>
  <c r="M63" i="191" s="1"/>
  <c r="J27" i="231"/>
  <c r="Q22" i="97"/>
  <c r="M435" i="184"/>
  <c r="G13" i="227"/>
  <c r="AN18" i="218"/>
  <c r="AN14" i="218"/>
  <c r="B14" i="96"/>
  <c r="M174" i="184"/>
  <c r="W27" i="231"/>
  <c r="AN23" i="218"/>
  <c r="P13" i="227"/>
  <c r="M917" i="184"/>
  <c r="R28" i="97"/>
  <c r="R30" i="97" s="1"/>
  <c r="AN74" i="218"/>
  <c r="M2299" i="184"/>
  <c r="J657" i="184"/>
  <c r="J44" i="97"/>
  <c r="M2484" i="184"/>
  <c r="AN79" i="218"/>
  <c r="G657" i="184"/>
  <c r="G44" i="97"/>
  <c r="G57" i="97" s="1"/>
  <c r="D1923" i="184"/>
  <c r="M71" i="97"/>
  <c r="M1923" i="184" s="1"/>
  <c r="X67" i="97"/>
  <c r="L285" i="191"/>
  <c r="I285" i="191"/>
  <c r="D1440" i="184"/>
  <c r="M56" i="97"/>
  <c r="M1440" i="184" s="1"/>
  <c r="C133" i="233"/>
  <c r="AN30" i="218"/>
  <c r="M1590" i="184"/>
  <c r="B38" i="96"/>
  <c r="AB62" i="97"/>
  <c r="AN44" i="218"/>
  <c r="E65" i="96"/>
  <c r="E68" i="96" s="1"/>
  <c r="E71" i="96" s="1"/>
  <c r="L13" i="227"/>
  <c r="M620" i="184"/>
  <c r="O27" i="231"/>
  <c r="M1886" i="184"/>
  <c r="AN52" i="218"/>
  <c r="B46" i="96"/>
  <c r="F43" i="96"/>
  <c r="K43" i="96"/>
  <c r="M43" i="96" s="1"/>
  <c r="D109" i="95"/>
  <c r="X65" i="97"/>
  <c r="L211" i="191"/>
  <c r="H211" i="191"/>
  <c r="L106" i="97"/>
  <c r="L118" i="97" s="1"/>
  <c r="L102" i="97" s="1"/>
  <c r="F21" i="221" s="1"/>
  <c r="R13" i="227"/>
  <c r="Y27" i="231"/>
  <c r="M991" i="184"/>
  <c r="W46" i="97"/>
  <c r="M509" i="184"/>
  <c r="L27" i="231"/>
  <c r="W37" i="97"/>
  <c r="I13" i="227"/>
  <c r="AN32" i="218"/>
  <c r="B26" i="96"/>
  <c r="M1218" i="184"/>
  <c r="E2110" i="184"/>
  <c r="M78" i="97"/>
  <c r="M2110" i="184"/>
  <c r="B36" i="96"/>
  <c r="M1516" i="184"/>
  <c r="AN42" i="218"/>
  <c r="AB60" i="97"/>
  <c r="M100" i="191"/>
  <c r="I211" i="184"/>
  <c r="M1701" i="184"/>
  <c r="AN47" i="218"/>
  <c r="AB65" i="97"/>
  <c r="B41" i="96"/>
  <c r="M27" i="231"/>
  <c r="M546" i="184"/>
  <c r="J13" i="227"/>
  <c r="W25" i="97"/>
  <c r="F657" i="184"/>
  <c r="D18" i="96"/>
  <c r="D20" i="96" s="1"/>
  <c r="M29" i="97"/>
  <c r="AN59" i="218"/>
  <c r="M2073" i="184"/>
  <c r="B53" i="96"/>
  <c r="M2447" i="184"/>
  <c r="AN78" i="218"/>
  <c r="G27" i="231"/>
  <c r="AG27" i="231" s="1"/>
  <c r="W36" i="97"/>
  <c r="M324" i="184"/>
  <c r="E211" i="184"/>
  <c r="M15" i="97"/>
  <c r="M211" i="184"/>
  <c r="AB66" i="97"/>
  <c r="AN48" i="218"/>
  <c r="M1738" i="184"/>
  <c r="B42" i="96"/>
  <c r="R65" i="97"/>
  <c r="R69" i="97" s="1"/>
  <c r="F359" i="191" s="1"/>
  <c r="C211" i="191"/>
  <c r="K676" i="184"/>
  <c r="K44" i="92"/>
  <c r="J26" i="231"/>
  <c r="AL18" i="218"/>
  <c r="Q22" i="92"/>
  <c r="Q30" i="92"/>
  <c r="M454" i="184"/>
  <c r="G33" i="227"/>
  <c r="M2055" i="184"/>
  <c r="AL58" i="218"/>
  <c r="B52" i="91"/>
  <c r="C156" i="191"/>
  <c r="R63" i="92"/>
  <c r="W29" i="92"/>
  <c r="M417" i="184"/>
  <c r="I26" i="231"/>
  <c r="W42" i="92"/>
  <c r="Q33" i="227"/>
  <c r="X26" i="231"/>
  <c r="M973" i="184"/>
  <c r="W46" i="92"/>
  <c r="W47" i="92" s="1"/>
  <c r="M26" i="212" s="1"/>
  <c r="W37" i="92"/>
  <c r="W38" i="92" s="1"/>
  <c r="X39" i="92" s="1"/>
  <c r="R28" i="92"/>
  <c r="D1459" i="184"/>
  <c r="M56" i="92"/>
  <c r="M1459" i="184" s="1"/>
  <c r="M42" i="92"/>
  <c r="F1121" i="184"/>
  <c r="F44" i="92"/>
  <c r="D19" i="91"/>
  <c r="C28" i="91"/>
  <c r="D63" i="90"/>
  <c r="F28" i="91"/>
  <c r="AL76" i="218"/>
  <c r="M2392" i="184"/>
  <c r="M862" i="184"/>
  <c r="U26" i="231"/>
  <c r="D64" i="90"/>
  <c r="F29" i="91"/>
  <c r="J29" i="91" s="1"/>
  <c r="M825" i="184"/>
  <c r="T26" i="231"/>
  <c r="M1646" i="184"/>
  <c r="AB63" i="92"/>
  <c r="B39" i="91"/>
  <c r="AL45" i="218"/>
  <c r="D269" i="184"/>
  <c r="M18" i="92"/>
  <c r="D230" i="184"/>
  <c r="M15" i="92"/>
  <c r="M230" i="184"/>
  <c r="D57" i="92"/>
  <c r="D111" i="90"/>
  <c r="F45" i="91"/>
  <c r="K45" i="91" s="1"/>
  <c r="O45" i="91" s="1"/>
  <c r="C45" i="91"/>
  <c r="M1905" i="184"/>
  <c r="B46" i="91"/>
  <c r="AL52" i="218"/>
  <c r="B50" i="91"/>
  <c r="AL56" i="218"/>
  <c r="M1981" i="184"/>
  <c r="L106" i="92"/>
  <c r="L118" i="92" s="1"/>
  <c r="E676" i="184"/>
  <c r="M29" i="92"/>
  <c r="E44" i="92"/>
  <c r="Z26" i="231"/>
  <c r="M1047" i="184"/>
  <c r="S33" i="227"/>
  <c r="W28" i="92"/>
  <c r="M2355" i="184"/>
  <c r="AL75" i="218"/>
  <c r="AA69" i="92"/>
  <c r="AB64" i="92"/>
  <c r="AL46" i="218"/>
  <c r="M1683" i="184"/>
  <c r="B40" i="91"/>
  <c r="F26" i="231"/>
  <c r="W33" i="92"/>
  <c r="W35" i="92" s="1"/>
  <c r="J26" i="212" s="1"/>
  <c r="M306" i="184"/>
  <c r="D2242" i="184"/>
  <c r="M83" i="92"/>
  <c r="M2242" i="184" s="1"/>
  <c r="M751" i="184"/>
  <c r="R26" i="231"/>
  <c r="G1942" i="184"/>
  <c r="D2129" i="184"/>
  <c r="M78" i="92"/>
  <c r="M2129" i="184" s="1"/>
  <c r="AB60" i="92"/>
  <c r="AL42" i="218"/>
  <c r="M1535" i="184"/>
  <c r="B36" i="91"/>
  <c r="M1237" i="184"/>
  <c r="B26" i="91"/>
  <c r="AL32" i="218"/>
  <c r="I1121" i="184"/>
  <c r="I44" i="92"/>
  <c r="M2168" i="184"/>
  <c r="AL63" i="218"/>
  <c r="B57" i="91"/>
  <c r="D714" i="184"/>
  <c r="M31" i="92"/>
  <c r="AL79" i="218"/>
  <c r="M2503" i="184"/>
  <c r="D1942" i="184"/>
  <c r="M71" i="92"/>
  <c r="M1942" i="184"/>
  <c r="AL10" i="218"/>
  <c r="M45" i="184"/>
  <c r="B10" i="91"/>
  <c r="M26" i="231"/>
  <c r="J33" i="227"/>
  <c r="M565" i="184"/>
  <c r="W25" i="92"/>
  <c r="R24" i="92"/>
  <c r="M2092" i="184"/>
  <c r="AL59" i="218"/>
  <c r="B53" i="91"/>
  <c r="AL44" i="218"/>
  <c r="M1609" i="184"/>
  <c r="AB62" i="92"/>
  <c r="B38" i="91"/>
  <c r="E65" i="91"/>
  <c r="E68" i="91" s="1"/>
  <c r="E71" i="91" s="1"/>
  <c r="H26" i="231"/>
  <c r="M380" i="184"/>
  <c r="W26" i="92"/>
  <c r="W41" i="92"/>
  <c r="AL49" i="218"/>
  <c r="AM49" i="218"/>
  <c r="M1794" i="184"/>
  <c r="B43" i="91"/>
  <c r="AB67" i="92"/>
  <c r="M156" i="184"/>
  <c r="AL13" i="218"/>
  <c r="B13" i="91"/>
  <c r="O13" i="92"/>
  <c r="M230" i="191"/>
  <c r="AL23" i="218"/>
  <c r="AL24" i="218" s="1"/>
  <c r="H119" i="191"/>
  <c r="X62" i="92"/>
  <c r="C45" i="191"/>
  <c r="R60" i="92"/>
  <c r="B58" i="91"/>
  <c r="M2205" i="184"/>
  <c r="AL64" i="218"/>
  <c r="AM64" i="218" s="1"/>
  <c r="H676" i="184"/>
  <c r="H44" i="92"/>
  <c r="Y26" i="231"/>
  <c r="M1010" i="184"/>
  <c r="R33" i="227"/>
  <c r="U33" i="227" s="1"/>
  <c r="M2018" i="184"/>
  <c r="AL57" i="218"/>
  <c r="AM57" i="218"/>
  <c r="B51" i="91"/>
  <c r="L1159" i="184"/>
  <c r="L57" i="92"/>
  <c r="F37" i="91"/>
  <c r="D103" i="90"/>
  <c r="X63" i="92"/>
  <c r="L156" i="191"/>
  <c r="H156" i="191"/>
  <c r="X60" i="92"/>
  <c r="H45" i="191"/>
  <c r="AJ49" i="218"/>
  <c r="AK49" i="218" s="1"/>
  <c r="B43" i="86"/>
  <c r="M1773" i="184"/>
  <c r="AB67" i="87"/>
  <c r="B41" i="86"/>
  <c r="AB65" i="87"/>
  <c r="M1699" i="184"/>
  <c r="AJ47" i="218"/>
  <c r="M1216" i="184"/>
  <c r="B26" i="86"/>
  <c r="AJ32" i="218"/>
  <c r="B10" i="86"/>
  <c r="AJ10" i="218"/>
  <c r="M24" i="184"/>
  <c r="AK63" i="218"/>
  <c r="AK65" i="218" s="1"/>
  <c r="AJ65" i="218"/>
  <c r="AJ66" i="218"/>
  <c r="L24" i="191"/>
  <c r="M24" i="191"/>
  <c r="X64" i="87"/>
  <c r="L172" i="191" s="1"/>
  <c r="H172" i="191"/>
  <c r="F25" i="231"/>
  <c r="M285" i="184"/>
  <c r="W33" i="87"/>
  <c r="AJ58" i="218"/>
  <c r="B52" i="86"/>
  <c r="M2034" i="184"/>
  <c r="D63" i="85"/>
  <c r="F28" i="86"/>
  <c r="C28" i="86"/>
  <c r="K25" i="212"/>
  <c r="J1921" i="184"/>
  <c r="J85" i="87"/>
  <c r="R63" i="87"/>
  <c r="C135" i="191"/>
  <c r="I57" i="87"/>
  <c r="I1138" i="184"/>
  <c r="D55" i="85"/>
  <c r="F11" i="86"/>
  <c r="J11" i="86" s="1"/>
  <c r="E14" i="187"/>
  <c r="C11" i="86"/>
  <c r="K1138" i="184"/>
  <c r="K57" i="87"/>
  <c r="H1921" i="184"/>
  <c r="M71" i="87"/>
  <c r="M1921" i="184"/>
  <c r="M25" i="231"/>
  <c r="AH25" i="231"/>
  <c r="J34" i="227"/>
  <c r="W25" i="87"/>
  <c r="M544" i="184"/>
  <c r="D11" i="85"/>
  <c r="D60" i="85"/>
  <c r="F23" i="86"/>
  <c r="C23" i="86"/>
  <c r="D64" i="85"/>
  <c r="F29" i="86"/>
  <c r="J29" i="86" s="1"/>
  <c r="C29" i="86"/>
  <c r="M1100" i="184"/>
  <c r="B19" i="86"/>
  <c r="AB25" i="231"/>
  <c r="AJ75" i="218"/>
  <c r="B75" i="218" s="1"/>
  <c r="M2334" i="184"/>
  <c r="AA69" i="87"/>
  <c r="M1736" i="184"/>
  <c r="AB66" i="87"/>
  <c r="AJ48" i="218"/>
  <c r="AK48" i="218" s="1"/>
  <c r="B42" i="86"/>
  <c r="M78" i="87"/>
  <c r="M2108" i="184" s="1"/>
  <c r="E2108" i="184"/>
  <c r="E85" i="87"/>
  <c r="F31" i="86"/>
  <c r="D66" i="85"/>
  <c r="C31" i="86"/>
  <c r="AK29" i="218"/>
  <c r="D119" i="233" s="1"/>
  <c r="C119" i="233"/>
  <c r="AJ30" i="218"/>
  <c r="Q35" i="87"/>
  <c r="Q36" i="87"/>
  <c r="G19" i="221" s="1"/>
  <c r="C27" i="86"/>
  <c r="F27" i="86"/>
  <c r="J27" i="86" s="1"/>
  <c r="D62" i="85"/>
  <c r="Y25" i="231"/>
  <c r="R34" i="227"/>
  <c r="U34" i="227" s="1"/>
  <c r="W34" i="227" s="1"/>
  <c r="M989" i="184"/>
  <c r="R65" i="87"/>
  <c r="C209" i="191"/>
  <c r="X63" i="87"/>
  <c r="L135" i="191" s="1"/>
  <c r="H135" i="191"/>
  <c r="E66" i="86"/>
  <c r="E68" i="86" s="1"/>
  <c r="E71" i="86" s="1"/>
  <c r="E73" i="86" s="1"/>
  <c r="E38" i="86"/>
  <c r="E47" i="86"/>
  <c r="E61" i="86" s="1"/>
  <c r="F14" i="86"/>
  <c r="J14" i="86" s="1"/>
  <c r="C14" i="86"/>
  <c r="D58" i="85"/>
  <c r="H14" i="187"/>
  <c r="M34" i="227"/>
  <c r="F57" i="86"/>
  <c r="B59" i="86"/>
  <c r="C57" i="86"/>
  <c r="R28" i="87"/>
  <c r="AJ19" i="218"/>
  <c r="AJ20" i="218" s="1"/>
  <c r="G14" i="187"/>
  <c r="D57" i="85"/>
  <c r="F13" i="86"/>
  <c r="C13" i="86"/>
  <c r="D70" i="86"/>
  <c r="F70" i="86"/>
  <c r="AJ36" i="218"/>
  <c r="AK36" i="218"/>
  <c r="M1364" i="184"/>
  <c r="B30" i="86"/>
  <c r="G693" i="184"/>
  <c r="M31" i="87"/>
  <c r="W41" i="87"/>
  <c r="W26" i="87"/>
  <c r="H25" i="231"/>
  <c r="M359" i="184"/>
  <c r="F2108" i="184"/>
  <c r="R64" i="87"/>
  <c r="C172" i="191"/>
  <c r="M98" i="191"/>
  <c r="R24" i="87"/>
  <c r="K24" i="212"/>
  <c r="W47" i="82"/>
  <c r="F11" i="81"/>
  <c r="E37" i="187"/>
  <c r="D55" i="80"/>
  <c r="B15" i="81"/>
  <c r="B32" i="81"/>
  <c r="D12" i="80" s="1"/>
  <c r="D62" i="80"/>
  <c r="F27" i="81"/>
  <c r="U25" i="227"/>
  <c r="L67" i="191"/>
  <c r="M67" i="191"/>
  <c r="D19" i="192"/>
  <c r="X68" i="82"/>
  <c r="F31" i="81"/>
  <c r="C31" i="81"/>
  <c r="D66" i="80"/>
  <c r="AD38" i="218"/>
  <c r="C99" i="233" s="1"/>
  <c r="Q30" i="82"/>
  <c r="D64" i="80"/>
  <c r="F29" i="81"/>
  <c r="AJ24" i="231"/>
  <c r="I41" i="81"/>
  <c r="K24" i="213" s="1"/>
  <c r="K41" i="81"/>
  <c r="F14" i="81"/>
  <c r="D58" i="80"/>
  <c r="H37" i="187"/>
  <c r="AB34" i="218"/>
  <c r="B28" i="76"/>
  <c r="M1293" i="184"/>
  <c r="K194" i="191"/>
  <c r="M1887" i="184"/>
  <c r="AB52" i="218"/>
  <c r="B46" i="76"/>
  <c r="C212" i="191"/>
  <c r="R65" i="78"/>
  <c r="F18" i="216"/>
  <c r="F138" i="191"/>
  <c r="G138" i="191" s="1"/>
  <c r="I1103" i="184"/>
  <c r="I44" i="78"/>
  <c r="I1141" i="184"/>
  <c r="AB57" i="218"/>
  <c r="AC57" i="218" s="1"/>
  <c r="M2000" i="184"/>
  <c r="B51" i="76"/>
  <c r="G36" i="187"/>
  <c r="F13" i="76"/>
  <c r="C13" i="76"/>
  <c r="D57" i="75"/>
  <c r="K44" i="78"/>
  <c r="K658" i="184"/>
  <c r="M1776" i="184"/>
  <c r="AB49" i="218"/>
  <c r="AB67" i="78"/>
  <c r="B43" i="76"/>
  <c r="M1517" i="184"/>
  <c r="AB42" i="218"/>
  <c r="B36" i="76"/>
  <c r="AB60" i="78"/>
  <c r="M23" i="231"/>
  <c r="J39" i="227"/>
  <c r="W25" i="78"/>
  <c r="M547" i="184"/>
  <c r="R23" i="231"/>
  <c r="M733" i="184"/>
  <c r="E212" i="184"/>
  <c r="M15" i="78"/>
  <c r="M212" i="184" s="1"/>
  <c r="E251" i="184"/>
  <c r="M18" i="78"/>
  <c r="H138" i="191"/>
  <c r="X63" i="78"/>
  <c r="L138" i="191" s="1"/>
  <c r="T39" i="227"/>
  <c r="AA23" i="231"/>
  <c r="M1066" i="184"/>
  <c r="AB76" i="218"/>
  <c r="M2374" i="184"/>
  <c r="AB62" i="78"/>
  <c r="AB44" i="218"/>
  <c r="B38" i="76"/>
  <c r="E65" i="76"/>
  <c r="E68" i="76" s="1"/>
  <c r="E71" i="76" s="1"/>
  <c r="M1591" i="184"/>
  <c r="H696" i="184"/>
  <c r="M31" i="78"/>
  <c r="H64" i="191"/>
  <c r="X61" i="78"/>
  <c r="M288" i="184"/>
  <c r="W33" i="78"/>
  <c r="W35" i="78" s="1"/>
  <c r="F23" i="231"/>
  <c r="I249" i="191"/>
  <c r="X66" i="78"/>
  <c r="L249" i="191" s="1"/>
  <c r="M249" i="191" s="1"/>
  <c r="K381" i="184"/>
  <c r="K2639" i="184" s="1"/>
  <c r="D1141" i="184"/>
  <c r="D57" i="78"/>
  <c r="AB50" i="218"/>
  <c r="AB68" i="78"/>
  <c r="B44" i="76"/>
  <c r="D67" i="76"/>
  <c r="M1813" i="184"/>
  <c r="M2448" i="184"/>
  <c r="AB78" i="218"/>
  <c r="M1628" i="184"/>
  <c r="AB63" i="78"/>
  <c r="AB45" i="218"/>
  <c r="B39" i="76"/>
  <c r="AB18" i="218"/>
  <c r="J23" i="231"/>
  <c r="Q22" i="78"/>
  <c r="Q30" i="78" s="1"/>
  <c r="G39" i="227"/>
  <c r="M436" i="184"/>
  <c r="M2300" i="184"/>
  <c r="AB74" i="218"/>
  <c r="AB77" i="218"/>
  <c r="AB70" i="78"/>
  <c r="M2411" i="184"/>
  <c r="E1103" i="184"/>
  <c r="E1122" i="184" s="1"/>
  <c r="E44" i="78"/>
  <c r="E1141" i="184" s="1"/>
  <c r="M42" i="78"/>
  <c r="M2337" i="184"/>
  <c r="AA69" i="78"/>
  <c r="AB75" i="218"/>
  <c r="L23" i="231"/>
  <c r="W37" i="78"/>
  <c r="I39" i="227"/>
  <c r="M510" i="184"/>
  <c r="W46" i="78"/>
  <c r="D18" i="76"/>
  <c r="D20" i="76"/>
  <c r="F658" i="184"/>
  <c r="F44" i="78"/>
  <c r="AB43" i="218"/>
  <c r="AB61" i="78"/>
  <c r="B37" i="76"/>
  <c r="M1554" i="184"/>
  <c r="M2485" i="184"/>
  <c r="AB79" i="218"/>
  <c r="AB63" i="218"/>
  <c r="M2150" i="184"/>
  <c r="B57" i="76"/>
  <c r="G1103" i="184"/>
  <c r="G44" i="78"/>
  <c r="AB58" i="218"/>
  <c r="B52" i="76"/>
  <c r="M2037" i="184"/>
  <c r="U23" i="231"/>
  <c r="M844" i="184"/>
  <c r="W42" i="78"/>
  <c r="W29" i="78"/>
  <c r="G1647" i="184"/>
  <c r="G2681" i="184" s="1"/>
  <c r="AB65" i="78"/>
  <c r="M1702" i="184"/>
  <c r="AB47" i="218"/>
  <c r="B41" i="76"/>
  <c r="C64" i="191"/>
  <c r="R61" i="78"/>
  <c r="AB33" i="218"/>
  <c r="M1256" i="184"/>
  <c r="B27" i="76"/>
  <c r="I212" i="184"/>
  <c r="I57" i="78"/>
  <c r="AB32" i="218"/>
  <c r="M1219" i="184"/>
  <c r="B26" i="76"/>
  <c r="L106" i="78"/>
  <c r="L118" i="78" s="1"/>
  <c r="L102" i="78" s="1"/>
  <c r="F17" i="221" s="1"/>
  <c r="M1665" i="184"/>
  <c r="AB46" i="218"/>
  <c r="B40" i="76"/>
  <c r="AB64" i="78"/>
  <c r="AB37" i="218"/>
  <c r="M1404" i="184"/>
  <c r="B31" i="76"/>
  <c r="M2187" i="184"/>
  <c r="AB64" i="218"/>
  <c r="B58" i="76"/>
  <c r="H212" i="191"/>
  <c r="X65" i="78"/>
  <c r="L212" i="191" s="1"/>
  <c r="M770" i="184"/>
  <c r="S23" i="231"/>
  <c r="W36" i="78"/>
  <c r="W38" i="78" s="1"/>
  <c r="AB36" i="218"/>
  <c r="M1367" i="184"/>
  <c r="B30" i="76"/>
  <c r="D70" i="76"/>
  <c r="F70" i="76" s="1"/>
  <c r="J658" i="184"/>
  <c r="J44" i="78"/>
  <c r="F2111" i="184"/>
  <c r="M78" i="78"/>
  <c r="M2111" i="184" s="1"/>
  <c r="AB51" i="218"/>
  <c r="B45" i="76"/>
  <c r="P70" i="78"/>
  <c r="I17" i="221" s="1"/>
  <c r="M1850" i="184"/>
  <c r="K2224" i="184"/>
  <c r="M83" i="78"/>
  <c r="M2224" i="184"/>
  <c r="D1441" i="184"/>
  <c r="M56" i="78"/>
  <c r="M1441" i="184" s="1"/>
  <c r="M2074" i="184"/>
  <c r="B53" i="76"/>
  <c r="AB59" i="218"/>
  <c r="H2393" i="184"/>
  <c r="H2707" i="184" s="1"/>
  <c r="K752" i="184"/>
  <c r="K2650" i="184" s="1"/>
  <c r="AB10" i="218"/>
  <c r="B10" i="76"/>
  <c r="M27" i="184"/>
  <c r="AB23" i="218"/>
  <c r="AB24" i="218" s="1"/>
  <c r="M918" i="184"/>
  <c r="M937" i="184" s="1"/>
  <c r="M2655" i="184" s="1"/>
  <c r="P39" i="227"/>
  <c r="R28" i="78"/>
  <c r="W23" i="231"/>
  <c r="W45" i="78"/>
  <c r="W47" i="78" s="1"/>
  <c r="M23" i="212" s="1"/>
  <c r="H658" i="184"/>
  <c r="H44" i="78"/>
  <c r="M621" i="184"/>
  <c r="L39" i="227"/>
  <c r="O23" i="231"/>
  <c r="M1963" i="184"/>
  <c r="B50" i="76"/>
  <c r="AB56" i="218"/>
  <c r="D1924" i="184"/>
  <c r="M71" i="78"/>
  <c r="M1924" i="184" s="1"/>
  <c r="Y23" i="231"/>
  <c r="R39" i="227"/>
  <c r="M992" i="184"/>
  <c r="L1441" i="184"/>
  <c r="L57" i="78"/>
  <c r="D658" i="184"/>
  <c r="M29" i="78"/>
  <c r="Z37" i="218"/>
  <c r="B31" i="71"/>
  <c r="M1410" i="184"/>
  <c r="G1930" i="184"/>
  <c r="G85" i="72"/>
  <c r="D1109" i="184"/>
  <c r="M42" i="72"/>
  <c r="D44" i="72"/>
  <c r="D57" i="72" s="1"/>
  <c r="Z35" i="218"/>
  <c r="B29" i="71"/>
  <c r="M1336" i="184"/>
  <c r="H664" i="184"/>
  <c r="H44" i="72"/>
  <c r="H1147" i="184" s="1"/>
  <c r="R65" i="72"/>
  <c r="C218" i="191"/>
  <c r="Z56" i="218"/>
  <c r="M1969" i="184"/>
  <c r="B50" i="71"/>
  <c r="Q22" i="72"/>
  <c r="G23" i="227"/>
  <c r="J22" i="231"/>
  <c r="M442" i="184"/>
  <c r="Z18" i="218"/>
  <c r="E2117" i="184"/>
  <c r="M78" i="72"/>
  <c r="M2117" i="184" s="1"/>
  <c r="L106" i="72"/>
  <c r="L118" i="72" s="1"/>
  <c r="L102" i="72" s="1"/>
  <c r="F16" i="221" s="1"/>
  <c r="S22" i="231"/>
  <c r="M776" i="184"/>
  <c r="B45" i="71"/>
  <c r="M1856" i="184"/>
  <c r="Z51" i="218"/>
  <c r="I44" i="72"/>
  <c r="H22" i="231"/>
  <c r="W26" i="72"/>
  <c r="M368" i="184"/>
  <c r="W41" i="72"/>
  <c r="W43" i="72" s="1"/>
  <c r="M961" i="184"/>
  <c r="X22" i="231"/>
  <c r="Q23" i="227"/>
  <c r="Z63" i="218"/>
  <c r="B57" i="71"/>
  <c r="M2156" i="184"/>
  <c r="P71" i="72"/>
  <c r="P70" i="72"/>
  <c r="I16" i="221" s="1"/>
  <c r="D366" i="191"/>
  <c r="D18" i="71"/>
  <c r="F664" i="184"/>
  <c r="Z43" i="218"/>
  <c r="AB61" i="72"/>
  <c r="B37" i="71"/>
  <c r="M1560" i="184"/>
  <c r="G22" i="231"/>
  <c r="M331" i="184"/>
  <c r="W36" i="72"/>
  <c r="K2633" i="184"/>
  <c r="L23" i="227"/>
  <c r="M23" i="227" s="1"/>
  <c r="M627" i="184"/>
  <c r="O22" i="231"/>
  <c r="Z34" i="218"/>
  <c r="B28" i="71"/>
  <c r="M1299" i="184"/>
  <c r="Z11" i="218"/>
  <c r="B11" i="71"/>
  <c r="M70" i="184"/>
  <c r="Z36" i="218"/>
  <c r="B30" i="71"/>
  <c r="M1373" i="184"/>
  <c r="D70" i="71"/>
  <c r="F70" i="71" s="1"/>
  <c r="L1109" i="184"/>
  <c r="L44" i="72"/>
  <c r="B36" i="71"/>
  <c r="Z42" i="218"/>
  <c r="AB60" i="72"/>
  <c r="M1523" i="184"/>
  <c r="AA69" i="72"/>
  <c r="Z75" i="218"/>
  <c r="M2343" i="184"/>
  <c r="G2230" i="184"/>
  <c r="M83" i="72"/>
  <c r="M2230" i="184"/>
  <c r="H218" i="184"/>
  <c r="M998" i="184"/>
  <c r="Y22" i="231"/>
  <c r="R23" i="227"/>
  <c r="D107" i="70"/>
  <c r="F41" i="71"/>
  <c r="X66" i="72"/>
  <c r="L255" i="191" s="1"/>
  <c r="M255" i="191" s="1"/>
  <c r="H255" i="191"/>
  <c r="D257" i="184"/>
  <c r="M18" i="72"/>
  <c r="D17" i="192"/>
  <c r="L70" i="191"/>
  <c r="M70" i="191"/>
  <c r="Z58" i="218"/>
  <c r="B52" i="71"/>
  <c r="M2043" i="184"/>
  <c r="E1109" i="184"/>
  <c r="E44" i="72"/>
  <c r="R64" i="72"/>
  <c r="C181" i="191"/>
  <c r="D218" i="184"/>
  <c r="M15" i="72"/>
  <c r="M218" i="184"/>
  <c r="K22" i="231"/>
  <c r="W45" i="72"/>
  <c r="H23" i="227"/>
  <c r="M479" i="184"/>
  <c r="W34" i="72"/>
  <c r="W35" i="72" s="1"/>
  <c r="R24" i="72"/>
  <c r="Z52" i="218"/>
  <c r="M1893" i="184"/>
  <c r="B46" i="71"/>
  <c r="P23" i="227"/>
  <c r="M924" i="184"/>
  <c r="Z23" i="218"/>
  <c r="R28" i="72"/>
  <c r="R30" i="72" s="1"/>
  <c r="W22" i="231"/>
  <c r="B44" i="71"/>
  <c r="AB68" i="72"/>
  <c r="Z50" i="218"/>
  <c r="D67" i="71"/>
  <c r="M1819" i="184"/>
  <c r="Z45" i="218"/>
  <c r="AB63" i="72"/>
  <c r="M1634" i="184"/>
  <c r="B39" i="71"/>
  <c r="Z76" i="218"/>
  <c r="M2380" i="184"/>
  <c r="D1930" i="184"/>
  <c r="M71" i="72"/>
  <c r="M1930" i="184"/>
  <c r="Z32" i="218"/>
  <c r="B26" i="71"/>
  <c r="M1225" i="184"/>
  <c r="M813" i="184"/>
  <c r="T22" i="231"/>
  <c r="J1109" i="184"/>
  <c r="J44" i="72"/>
  <c r="Z10" i="218"/>
  <c r="M33" i="184"/>
  <c r="B10" i="71"/>
  <c r="L22" i="231"/>
  <c r="I23" i="227"/>
  <c r="M516" i="184"/>
  <c r="W37" i="72"/>
  <c r="W46" i="72"/>
  <c r="F1109" i="184"/>
  <c r="D19" i="71"/>
  <c r="F44" i="72"/>
  <c r="I292" i="191"/>
  <c r="X67" i="72"/>
  <c r="L292" i="191" s="1"/>
  <c r="H144" i="191"/>
  <c r="X63" i="72"/>
  <c r="L144" i="191"/>
  <c r="K1109" i="184"/>
  <c r="K1122" i="184" s="1"/>
  <c r="K44" i="72"/>
  <c r="F702" i="184"/>
  <c r="M31" i="72"/>
  <c r="D1447" i="184"/>
  <c r="M56" i="72"/>
  <c r="M1447" i="184" s="1"/>
  <c r="Z22" i="231"/>
  <c r="M1035" i="184"/>
  <c r="S23" i="227"/>
  <c r="W28" i="72"/>
  <c r="W30" i="72"/>
  <c r="I22" i="212" s="1"/>
  <c r="L218" i="184"/>
  <c r="M553" i="184"/>
  <c r="J23" i="227"/>
  <c r="W25" i="72"/>
  <c r="W27" i="72"/>
  <c r="M22" i="231"/>
  <c r="Z14" i="218"/>
  <c r="B14" i="71"/>
  <c r="M181" i="184"/>
  <c r="Z13" i="218"/>
  <c r="O13" i="72"/>
  <c r="B13" i="71"/>
  <c r="M144" i="184"/>
  <c r="C144" i="191"/>
  <c r="R63" i="72"/>
  <c r="M2306" i="184"/>
  <c r="Z74" i="218"/>
  <c r="D104" i="70"/>
  <c r="E38" i="71"/>
  <c r="Z33" i="218"/>
  <c r="M1262" i="184"/>
  <c r="B27" i="71"/>
  <c r="M1072" i="184"/>
  <c r="AA22" i="231"/>
  <c r="T23" i="227"/>
  <c r="Z79" i="218"/>
  <c r="M2491" i="184"/>
  <c r="D664" i="184"/>
  <c r="M29" i="72"/>
  <c r="V22" i="231"/>
  <c r="Z22" i="218"/>
  <c r="Q26" i="72"/>
  <c r="Q30" i="72" s="1"/>
  <c r="O23" i="227"/>
  <c r="M887" i="184"/>
  <c r="Z59" i="218"/>
  <c r="M2080" i="184"/>
  <c r="B53" i="71"/>
  <c r="R61" i="72"/>
  <c r="C70" i="191"/>
  <c r="Z48" i="218"/>
  <c r="B42" i="71"/>
  <c r="M1745" i="184"/>
  <c r="AB66" i="72"/>
  <c r="X13" i="218"/>
  <c r="Y13" i="218" s="1"/>
  <c r="M130" i="184"/>
  <c r="B13" i="66"/>
  <c r="O13" i="67"/>
  <c r="E2216" i="184"/>
  <c r="M83" i="67"/>
  <c r="M2216" i="184" s="1"/>
  <c r="X35" i="218"/>
  <c r="Y35" i="218" s="1"/>
  <c r="M1322" i="184"/>
  <c r="B29" i="66"/>
  <c r="I57" i="67"/>
  <c r="I1133" i="184"/>
  <c r="F11" i="66"/>
  <c r="J11" i="66" s="1"/>
  <c r="C11" i="66"/>
  <c r="E12" i="187"/>
  <c r="D55" i="65"/>
  <c r="B10" i="66"/>
  <c r="M19" i="184"/>
  <c r="X10" i="218"/>
  <c r="M1992" i="184"/>
  <c r="X57" i="218"/>
  <c r="B51" i="66"/>
  <c r="W34" i="67"/>
  <c r="R24" i="67"/>
  <c r="K21" i="231"/>
  <c r="H22" i="227"/>
  <c r="W45" i="67"/>
  <c r="M465" i="184"/>
  <c r="O21" i="231"/>
  <c r="M613" i="184"/>
  <c r="L22" i="227"/>
  <c r="M2440" i="184"/>
  <c r="X78" i="218"/>
  <c r="E2103" i="184"/>
  <c r="M78" i="67"/>
  <c r="M2103" i="184" s="1"/>
  <c r="E900" i="184"/>
  <c r="E2654" i="184" s="1"/>
  <c r="D2430" i="184"/>
  <c r="D2708" i="184" s="1"/>
  <c r="C14" i="66"/>
  <c r="H12" i="187"/>
  <c r="D58" i="65"/>
  <c r="F14" i="66"/>
  <c r="J14" i="66"/>
  <c r="Z21" i="231"/>
  <c r="M1021" i="184"/>
  <c r="S22" i="227"/>
  <c r="X47" i="218"/>
  <c r="Y47" i="218" s="1"/>
  <c r="AB65" i="67"/>
  <c r="M1694" i="184"/>
  <c r="B41" i="66"/>
  <c r="W21" i="231"/>
  <c r="M910" i="184"/>
  <c r="X23" i="218"/>
  <c r="Y23" i="218" s="1"/>
  <c r="P22" i="227"/>
  <c r="R28" i="67"/>
  <c r="R30" i="67" s="1"/>
  <c r="X50" i="218"/>
  <c r="Y50" i="218" s="1"/>
  <c r="AB68" i="67"/>
  <c r="B44" i="66"/>
  <c r="M1805" i="184"/>
  <c r="D67" i="66"/>
  <c r="M1172" i="184"/>
  <c r="M1199" i="184" s="1"/>
  <c r="M2665" i="184" s="1"/>
  <c r="N2665" i="184" s="1"/>
  <c r="B23" i="66"/>
  <c r="X29" i="218"/>
  <c r="F650" i="184"/>
  <c r="F44" i="67"/>
  <c r="D18" i="66"/>
  <c r="D20" i="66" s="1"/>
  <c r="X52" i="218"/>
  <c r="Y52" i="218" s="1"/>
  <c r="B46" i="66"/>
  <c r="C46" i="66" s="1"/>
  <c r="M1879" i="184"/>
  <c r="D650" i="184"/>
  <c r="M29" i="67"/>
  <c r="W33" i="67"/>
  <c r="F21" i="231"/>
  <c r="M280" i="184"/>
  <c r="M31" i="67"/>
  <c r="D688" i="184"/>
  <c r="H56" i="191"/>
  <c r="X61" i="67"/>
  <c r="X51" i="218"/>
  <c r="Y51" i="218"/>
  <c r="M1842" i="184"/>
  <c r="B45" i="66"/>
  <c r="P70" i="67"/>
  <c r="I15" i="221" s="1"/>
  <c r="B26" i="66"/>
  <c r="M1211" i="184"/>
  <c r="X32" i="218"/>
  <c r="X59" i="218"/>
  <c r="Y59" i="218" s="1"/>
  <c r="M2066" i="184"/>
  <c r="B53" i="66"/>
  <c r="D243" i="184"/>
  <c r="M18" i="67"/>
  <c r="X19" i="218"/>
  <c r="Y19" i="218" s="1"/>
  <c r="N21" i="231"/>
  <c r="K22" i="227"/>
  <c r="W28" i="67"/>
  <c r="W30" i="67" s="1"/>
  <c r="I21" i="212" s="1"/>
  <c r="M576" i="184"/>
  <c r="M725" i="184"/>
  <c r="R21" i="231"/>
  <c r="AI21" i="231" s="1"/>
  <c r="B30" i="66"/>
  <c r="D70" i="66"/>
  <c r="F70" i="66" s="1"/>
  <c r="M1359" i="184"/>
  <c r="X36" i="218"/>
  <c r="Y36" i="218" s="1"/>
  <c r="I22" i="227"/>
  <c r="L21" i="231"/>
  <c r="W37" i="67"/>
  <c r="W38" i="67"/>
  <c r="K21" i="212" s="1"/>
  <c r="M502" i="184"/>
  <c r="W46" i="67"/>
  <c r="X43" i="218"/>
  <c r="M1546" i="184"/>
  <c r="B37" i="66"/>
  <c r="AB61" i="67"/>
  <c r="X48" i="218"/>
  <c r="Y48" i="218"/>
  <c r="AB66" i="67"/>
  <c r="M1731" i="184"/>
  <c r="B42" i="66"/>
  <c r="F1433" i="184"/>
  <c r="M56" i="67"/>
  <c r="M1433" i="184" s="1"/>
  <c r="T22" i="227"/>
  <c r="M1058" i="184"/>
  <c r="AA21" i="231"/>
  <c r="AJ21" i="231" s="1"/>
  <c r="X44" i="218"/>
  <c r="Y44" i="218" s="1"/>
  <c r="AB62" i="67"/>
  <c r="M1583" i="184"/>
  <c r="B38" i="66"/>
  <c r="E65" i="66"/>
  <c r="E68" i="66" s="1"/>
  <c r="E71" i="66" s="1"/>
  <c r="X33" i="218"/>
  <c r="Y33" i="218" s="1"/>
  <c r="B27" i="66"/>
  <c r="M1248" i="184"/>
  <c r="H130" i="191"/>
  <c r="X63" i="67"/>
  <c r="L130" i="191" s="1"/>
  <c r="M130" i="191" s="1"/>
  <c r="L106" i="67"/>
  <c r="L118" i="67" s="1"/>
  <c r="L102" i="67" s="1"/>
  <c r="F15" i="221" s="1"/>
  <c r="B57" i="66"/>
  <c r="X63" i="218"/>
  <c r="M2142" i="184"/>
  <c r="R61" i="67"/>
  <c r="C56" i="191"/>
  <c r="M2366" i="184"/>
  <c r="X76" i="218"/>
  <c r="X18" i="218"/>
  <c r="Y18" i="218" s="1"/>
  <c r="J21" i="231"/>
  <c r="G22" i="227"/>
  <c r="G49" i="227" s="1"/>
  <c r="Q22" i="67"/>
  <c r="M428" i="184"/>
  <c r="X34" i="218"/>
  <c r="Y34" i="218" s="1"/>
  <c r="M1285" i="184"/>
  <c r="B28" i="66"/>
  <c r="H650" i="184"/>
  <c r="H44" i="67"/>
  <c r="X45" i="218"/>
  <c r="M1620" i="184"/>
  <c r="B39" i="66"/>
  <c r="M21" i="231"/>
  <c r="J22" i="227"/>
  <c r="M539" i="184"/>
  <c r="W25" i="67"/>
  <c r="K57" i="67"/>
  <c r="J1916" i="184"/>
  <c r="T21" i="231"/>
  <c r="M799" i="184"/>
  <c r="W41" i="67"/>
  <c r="W43" i="67" s="1"/>
  <c r="L21" i="212" s="1"/>
  <c r="W26" i="67"/>
  <c r="M2403" i="184"/>
  <c r="AB70" i="67"/>
  <c r="X77" i="218"/>
  <c r="L650" i="184"/>
  <c r="L44" i="67"/>
  <c r="M873" i="184"/>
  <c r="O22" i="227"/>
  <c r="V21" i="231"/>
  <c r="X22" i="218"/>
  <c r="Y22" i="218"/>
  <c r="Q26" i="67"/>
  <c r="G57" i="67"/>
  <c r="G1133" i="184"/>
  <c r="B58" i="66"/>
  <c r="X64" i="218"/>
  <c r="Y64" i="218"/>
  <c r="M2179" i="184"/>
  <c r="R63" i="67"/>
  <c r="C130" i="191"/>
  <c r="E204" i="184"/>
  <c r="M15" i="67"/>
  <c r="M204" i="184" s="1"/>
  <c r="E57" i="67"/>
  <c r="D44" i="67"/>
  <c r="M2029" i="184"/>
  <c r="X58" i="218"/>
  <c r="Y58" i="218" s="1"/>
  <c r="B52" i="66"/>
  <c r="X46" i="218"/>
  <c r="Y46" i="218" s="1"/>
  <c r="AB64" i="67"/>
  <c r="B40" i="66"/>
  <c r="M1657" i="184"/>
  <c r="D66" i="65"/>
  <c r="F31" i="66"/>
  <c r="C31" i="66"/>
  <c r="M71" i="67"/>
  <c r="M1916" i="184" s="1"/>
  <c r="D455" i="184"/>
  <c r="M2298" i="184"/>
  <c r="T74" i="218"/>
  <c r="J44" i="57"/>
  <c r="J1139" i="184" s="1"/>
  <c r="T10" i="218"/>
  <c r="B10" i="56"/>
  <c r="M25" i="184"/>
  <c r="M1885" i="184"/>
  <c r="T52" i="218"/>
  <c r="B46" i="56"/>
  <c r="B45" i="56"/>
  <c r="T51" i="218"/>
  <c r="M1848" i="184"/>
  <c r="M1961" i="184"/>
  <c r="B50" i="56"/>
  <c r="T56" i="218"/>
  <c r="D103" i="55"/>
  <c r="F37" i="56"/>
  <c r="K37" i="56" s="1"/>
  <c r="L37" i="56" s="1"/>
  <c r="T76" i="218"/>
  <c r="M2372" i="184"/>
  <c r="D1869" i="184"/>
  <c r="D2687" i="184" s="1"/>
  <c r="X62" i="57"/>
  <c r="L99" i="191" s="1"/>
  <c r="I99" i="191"/>
  <c r="I120" i="191"/>
  <c r="E1101" i="184"/>
  <c r="E44" i="57"/>
  <c r="T36" i="218"/>
  <c r="D70" i="56"/>
  <c r="F70" i="56" s="1"/>
  <c r="M1365" i="184"/>
  <c r="B30" i="56"/>
  <c r="T29" i="218"/>
  <c r="M1178" i="184"/>
  <c r="B23" i="56"/>
  <c r="K19" i="231"/>
  <c r="H24" i="227"/>
  <c r="M471" i="184"/>
  <c r="F41" i="56"/>
  <c r="D107" i="55"/>
  <c r="X20" i="231"/>
  <c r="M957" i="184"/>
  <c r="Q38" i="227"/>
  <c r="J20" i="231"/>
  <c r="V18" i="218"/>
  <c r="G38" i="227"/>
  <c r="Q22" i="62"/>
  <c r="Q30" i="62" s="1"/>
  <c r="M438" i="184"/>
  <c r="V78" i="218"/>
  <c r="M2450" i="184"/>
  <c r="E20" i="231"/>
  <c r="M253" i="184"/>
  <c r="P105" i="62"/>
  <c r="M1778" i="184"/>
  <c r="AB67" i="62"/>
  <c r="B43" i="61"/>
  <c r="V49" i="218"/>
  <c r="F20" i="231"/>
  <c r="M290" i="184"/>
  <c r="W33" i="62"/>
  <c r="W35" i="62" s="1"/>
  <c r="J20" i="212" s="1"/>
  <c r="M401" i="184"/>
  <c r="W42" i="62"/>
  <c r="W29" i="62"/>
  <c r="I20" i="231"/>
  <c r="B57" i="61"/>
  <c r="M2152" i="184"/>
  <c r="V63" i="218"/>
  <c r="Y20" i="231"/>
  <c r="M994" i="184"/>
  <c r="R38" i="227"/>
  <c r="H44" i="62"/>
  <c r="H1105" i="184"/>
  <c r="H1122" i="184" s="1"/>
  <c r="E85" i="62"/>
  <c r="E1480" i="184"/>
  <c r="B58" i="61"/>
  <c r="V64" i="218"/>
  <c r="M2189" i="184"/>
  <c r="V45" i="218"/>
  <c r="AB63" i="62"/>
  <c r="B39" i="61"/>
  <c r="M1630" i="184"/>
  <c r="M2302" i="184"/>
  <c r="V74" i="218"/>
  <c r="L38" i="227"/>
  <c r="M623" i="184"/>
  <c r="O20" i="231"/>
  <c r="H1443" i="184"/>
  <c r="M56" i="62"/>
  <c r="M1443" i="184" s="1"/>
  <c r="V14" i="218"/>
  <c r="B14" i="61"/>
  <c r="M177" i="184"/>
  <c r="G2226" i="184"/>
  <c r="G2243" i="184" s="1"/>
  <c r="M83" i="62"/>
  <c r="M2226" i="184" s="1"/>
  <c r="V47" i="218"/>
  <c r="M1704" i="184"/>
  <c r="B41" i="61"/>
  <c r="M2002" i="184"/>
  <c r="B51" i="61"/>
  <c r="V57" i="218"/>
  <c r="D660" i="184"/>
  <c r="M29" i="62"/>
  <c r="I1143" i="184"/>
  <c r="I57" i="62"/>
  <c r="X63" i="62"/>
  <c r="L140" i="191" s="1"/>
  <c r="H140" i="191"/>
  <c r="B28" i="61"/>
  <c r="V34" i="218"/>
  <c r="M1295" i="184"/>
  <c r="M809" i="184"/>
  <c r="T20" i="231"/>
  <c r="D18" i="61"/>
  <c r="D20" i="61" s="1"/>
  <c r="F660" i="184"/>
  <c r="F44" i="62"/>
  <c r="M251" i="191"/>
  <c r="W46" i="62"/>
  <c r="M512" i="184"/>
  <c r="L20" i="231"/>
  <c r="I38" i="227"/>
  <c r="W37" i="62"/>
  <c r="K37" i="61"/>
  <c r="L37" i="61" s="1"/>
  <c r="R24" i="62"/>
  <c r="M20" i="231"/>
  <c r="J38" i="227"/>
  <c r="W25" i="62"/>
  <c r="M549" i="184"/>
  <c r="V35" i="218"/>
  <c r="M1332" i="184"/>
  <c r="B29" i="61"/>
  <c r="K38" i="227"/>
  <c r="M586" i="184"/>
  <c r="W28" i="62"/>
  <c r="W30" i="62" s="1"/>
  <c r="I20" i="212" s="1"/>
  <c r="N20" i="231"/>
  <c r="V56" i="218"/>
  <c r="B50" i="61"/>
  <c r="M1965" i="184"/>
  <c r="R63" i="62"/>
  <c r="C140" i="191"/>
  <c r="V13" i="218"/>
  <c r="O13" i="62"/>
  <c r="M140" i="184"/>
  <c r="B13" i="61"/>
  <c r="V75" i="218"/>
  <c r="AA69" i="62"/>
  <c r="M2339" i="184"/>
  <c r="M1258" i="184"/>
  <c r="B27" i="61"/>
  <c r="V33" i="218"/>
  <c r="E698" i="184"/>
  <c r="M31" i="62"/>
  <c r="X64" i="62"/>
  <c r="L177" i="191"/>
  <c r="H177" i="191"/>
  <c r="V52" i="218"/>
  <c r="M1889" i="184"/>
  <c r="B46" i="61"/>
  <c r="G20" i="231"/>
  <c r="M327" i="184"/>
  <c r="W36" i="62"/>
  <c r="V37" i="218"/>
  <c r="M1406" i="184"/>
  <c r="B31" i="61"/>
  <c r="C70" i="233"/>
  <c r="V30" i="218"/>
  <c r="B53" i="61"/>
  <c r="V59" i="218"/>
  <c r="M2076" i="184"/>
  <c r="M772" i="184"/>
  <c r="S20" i="231"/>
  <c r="AB64" i="62"/>
  <c r="B40" i="61"/>
  <c r="V46" i="218"/>
  <c r="M1667" i="184"/>
  <c r="B36" i="61"/>
  <c r="V42" i="218"/>
  <c r="AB60" i="62"/>
  <c r="M1519" i="184"/>
  <c r="G57" i="62"/>
  <c r="M15" i="62"/>
  <c r="M214" i="184" s="1"/>
  <c r="G214" i="184"/>
  <c r="H20" i="231"/>
  <c r="M364" i="184"/>
  <c r="W41" i="62"/>
  <c r="W43" i="62" s="1"/>
  <c r="W26" i="62"/>
  <c r="D1105" i="184"/>
  <c r="D44" i="62"/>
  <c r="M42" i="62"/>
  <c r="V51" i="218"/>
  <c r="B45" i="61"/>
  <c r="M1852" i="184"/>
  <c r="P70" i="62"/>
  <c r="I14" i="221"/>
  <c r="L1143" i="184"/>
  <c r="L57" i="62"/>
  <c r="M920" i="184"/>
  <c r="R28" i="62"/>
  <c r="P38" i="227"/>
  <c r="V23" i="218"/>
  <c r="W20" i="231"/>
  <c r="V11" i="218"/>
  <c r="M66" i="184"/>
  <c r="B11" i="61"/>
  <c r="V36" i="218"/>
  <c r="M1369" i="184"/>
  <c r="D70" i="61"/>
  <c r="F70" i="61"/>
  <c r="B30" i="61"/>
  <c r="M846" i="184"/>
  <c r="U20" i="231"/>
  <c r="D1926" i="184"/>
  <c r="M71" i="62"/>
  <c r="M1926" i="184" s="1"/>
  <c r="X60" i="62"/>
  <c r="H29" i="191"/>
  <c r="M78" i="62"/>
  <c r="M2113" i="184" s="1"/>
  <c r="M1741" i="184"/>
  <c r="V48" i="218"/>
  <c r="AB66" i="62"/>
  <c r="B42" i="61"/>
  <c r="S38" i="227"/>
  <c r="Z20" i="231"/>
  <c r="M1031" i="184"/>
  <c r="M1048" i="184" s="1"/>
  <c r="M2658" i="184" s="1"/>
  <c r="R64" i="62"/>
  <c r="C177" i="191"/>
  <c r="M1815" i="184"/>
  <c r="D67" i="61"/>
  <c r="AB68" i="62"/>
  <c r="B44" i="61"/>
  <c r="V50" i="218"/>
  <c r="M1221" i="184"/>
  <c r="M1238" i="184" s="1"/>
  <c r="M2668" i="184" s="1"/>
  <c r="B62" i="181" s="1"/>
  <c r="F62" i="181" s="1"/>
  <c r="V32" i="218"/>
  <c r="B26" i="61"/>
  <c r="C29" i="191"/>
  <c r="R60" i="62"/>
  <c r="W45" i="62"/>
  <c r="W47" i="62" s="1"/>
  <c r="M20" i="212" s="1"/>
  <c r="B10" i="61"/>
  <c r="M29" i="184"/>
  <c r="V10" i="218"/>
  <c r="K85" i="62"/>
  <c r="M2072" i="184"/>
  <c r="B53" i="56"/>
  <c r="T59" i="218"/>
  <c r="H19" i="231"/>
  <c r="W41" i="57"/>
  <c r="M360" i="184"/>
  <c r="W26" i="57"/>
  <c r="F57" i="57"/>
  <c r="F210" i="184"/>
  <c r="M15" i="57"/>
  <c r="M210" i="184" s="1"/>
  <c r="T75" i="218"/>
  <c r="AA69" i="57"/>
  <c r="M2335" i="184"/>
  <c r="H25" i="191"/>
  <c r="X60" i="57"/>
  <c r="F694" i="184"/>
  <c r="M31" i="57"/>
  <c r="Z19" i="231"/>
  <c r="M1027" i="184"/>
  <c r="S24" i="227"/>
  <c r="T48" i="218"/>
  <c r="M1737" i="184"/>
  <c r="AB66" i="57"/>
  <c r="B42" i="56"/>
  <c r="R60" i="57"/>
  <c r="C25" i="191"/>
  <c r="J57" i="57"/>
  <c r="J210" i="184"/>
  <c r="T18" i="218"/>
  <c r="J19" i="231"/>
  <c r="G24" i="227"/>
  <c r="Q22" i="57"/>
  <c r="M434" i="184"/>
  <c r="M619" i="184"/>
  <c r="L24" i="227"/>
  <c r="O19" i="231"/>
  <c r="X66" i="57"/>
  <c r="L247" i="191"/>
  <c r="H247" i="191"/>
  <c r="T37" i="218"/>
  <c r="M1402" i="184"/>
  <c r="B31" i="56"/>
  <c r="G19" i="231"/>
  <c r="W36" i="57"/>
  <c r="M323" i="184"/>
  <c r="G656" i="184"/>
  <c r="G44" i="57"/>
  <c r="T57" i="218"/>
  <c r="M1998" i="184"/>
  <c r="B51" i="56"/>
  <c r="AB60" i="57"/>
  <c r="M1515" i="184"/>
  <c r="B36" i="56"/>
  <c r="T42" i="218"/>
  <c r="M2148" i="184"/>
  <c r="T63" i="218"/>
  <c r="B57" i="56"/>
  <c r="T14" i="218"/>
  <c r="M173" i="184"/>
  <c r="B14" i="56"/>
  <c r="AB70" i="57"/>
  <c r="M2409" i="184"/>
  <c r="T77" i="218"/>
  <c r="H1922" i="184"/>
  <c r="H85" i="57"/>
  <c r="M83" i="57"/>
  <c r="M2222" i="184" s="1"/>
  <c r="H62" i="191"/>
  <c r="X61" i="57"/>
  <c r="D1101" i="184"/>
  <c r="D44" i="57"/>
  <c r="M42" i="57"/>
  <c r="I44" i="57"/>
  <c r="I1101" i="184"/>
  <c r="AB63" i="57"/>
  <c r="T45" i="218"/>
  <c r="M1626" i="184"/>
  <c r="B39" i="56"/>
  <c r="T32" i="218"/>
  <c r="B32" i="218" s="1"/>
  <c r="B26" i="56"/>
  <c r="M1217" i="184"/>
  <c r="C62" i="191"/>
  <c r="R61" i="57"/>
  <c r="M768" i="184"/>
  <c r="S19" i="231"/>
  <c r="I210" i="191"/>
  <c r="X65" i="57"/>
  <c r="L210" i="191" s="1"/>
  <c r="M78" i="57"/>
  <c r="M2109" i="184" s="1"/>
  <c r="D2109" i="184"/>
  <c r="B28" i="56"/>
  <c r="M1291" i="184"/>
  <c r="T34" i="218"/>
  <c r="T22" i="218"/>
  <c r="V19" i="231"/>
  <c r="O24" i="227"/>
  <c r="Q26" i="57"/>
  <c r="Q30" i="57"/>
  <c r="M879" i="184"/>
  <c r="T49" i="218"/>
  <c r="AB67" i="57"/>
  <c r="M1774" i="184"/>
  <c r="B43" i="56"/>
  <c r="X64" i="57"/>
  <c r="L173" i="191"/>
  <c r="H173" i="191"/>
  <c r="D1439" i="184"/>
  <c r="M56" i="57"/>
  <c r="M1439" i="184" s="1"/>
  <c r="Q24" i="227"/>
  <c r="W46" i="57"/>
  <c r="X19" i="231"/>
  <c r="W37" i="57"/>
  <c r="M953" i="184"/>
  <c r="T64" i="218"/>
  <c r="B58" i="56"/>
  <c r="M2185" i="184"/>
  <c r="M842" i="184"/>
  <c r="U19" i="231"/>
  <c r="W29" i="57"/>
  <c r="W42" i="57"/>
  <c r="D67" i="56"/>
  <c r="M1811" i="184"/>
  <c r="B44" i="56"/>
  <c r="T50" i="218"/>
  <c r="P24" i="227"/>
  <c r="T23" i="218"/>
  <c r="W45" i="57"/>
  <c r="W19" i="231"/>
  <c r="W47" i="231" s="1"/>
  <c r="W68" i="231" s="1"/>
  <c r="M916" i="184"/>
  <c r="R28" i="57"/>
  <c r="W34" i="57"/>
  <c r="H284" i="191"/>
  <c r="X67" i="57"/>
  <c r="L284" i="191" s="1"/>
  <c r="M284" i="191" s="1"/>
  <c r="AA19" i="231"/>
  <c r="M1064" i="184"/>
  <c r="M1085" i="184" s="1"/>
  <c r="M2659" i="184" s="1"/>
  <c r="T24" i="227"/>
  <c r="C173" i="191"/>
  <c r="R64" i="57"/>
  <c r="D656" i="184"/>
  <c r="M29" i="57"/>
  <c r="M2035" i="184"/>
  <c r="B52" i="56"/>
  <c r="T58" i="218"/>
  <c r="G210" i="191"/>
  <c r="P70" i="57"/>
  <c r="I13" i="221" s="1"/>
  <c r="D358" i="191"/>
  <c r="P71" i="57"/>
  <c r="T35" i="218"/>
  <c r="B29" i="56"/>
  <c r="M1328" i="184"/>
  <c r="N19" i="231"/>
  <c r="M582" i="184"/>
  <c r="K24" i="227"/>
  <c r="W28" i="57"/>
  <c r="F19" i="231"/>
  <c r="M286" i="184"/>
  <c r="W33" i="57"/>
  <c r="K1101" i="184"/>
  <c r="K44" i="57"/>
  <c r="T11" i="218"/>
  <c r="B11" i="56"/>
  <c r="M62" i="184"/>
  <c r="L1101" i="184"/>
  <c r="L44" i="57"/>
  <c r="G1922" i="184"/>
  <c r="G1943" i="184" s="1"/>
  <c r="M71" i="57"/>
  <c r="M1922" i="184" s="1"/>
  <c r="T33" i="218"/>
  <c r="M1254" i="184"/>
  <c r="B27" i="56"/>
  <c r="D249" i="184"/>
  <c r="M18" i="57"/>
  <c r="M19" i="231"/>
  <c r="M545" i="184"/>
  <c r="R24" i="57"/>
  <c r="J24" i="227"/>
  <c r="W25" i="57"/>
  <c r="W27" i="57"/>
  <c r="AB62" i="57"/>
  <c r="B38" i="56"/>
  <c r="T44" i="218"/>
  <c r="M1589" i="184"/>
  <c r="E65" i="56"/>
  <c r="E68" i="56" s="1"/>
  <c r="E71" i="56" s="1"/>
  <c r="K1114" i="184"/>
  <c r="K44" i="52"/>
  <c r="R52" i="218"/>
  <c r="B46" i="51"/>
  <c r="M1898" i="184"/>
  <c r="AB67" i="52"/>
  <c r="M1787" i="184"/>
  <c r="B43" i="51"/>
  <c r="R49" i="218"/>
  <c r="B40" i="51"/>
  <c r="M1676" i="184"/>
  <c r="AB64" i="52"/>
  <c r="R46" i="218"/>
  <c r="C42" i="51"/>
  <c r="F42" i="51"/>
  <c r="K42" i="51"/>
  <c r="N42" i="51" s="1"/>
  <c r="D108" i="50"/>
  <c r="M744" i="184"/>
  <c r="R18" i="231"/>
  <c r="J1452" i="184"/>
  <c r="J57" i="52"/>
  <c r="R61" i="52"/>
  <c r="C75" i="191"/>
  <c r="M1304" i="184"/>
  <c r="R34" i="218"/>
  <c r="B28" i="51"/>
  <c r="L38" i="191"/>
  <c r="M38" i="191" s="1"/>
  <c r="C37" i="51"/>
  <c r="F37" i="51"/>
  <c r="D103" i="50"/>
  <c r="L40" i="227"/>
  <c r="M632" i="184"/>
  <c r="O18" i="231"/>
  <c r="L106" i="52"/>
  <c r="L118" i="52"/>
  <c r="L102" i="52" s="1"/>
  <c r="F12" i="221" s="1"/>
  <c r="D67" i="51"/>
  <c r="AB68" i="52"/>
  <c r="M1824" i="184"/>
  <c r="R50" i="218"/>
  <c r="B44" i="51"/>
  <c r="W18" i="231"/>
  <c r="R23" i="218"/>
  <c r="P40" i="227"/>
  <c r="M929" i="184"/>
  <c r="R28" i="52"/>
  <c r="W34" i="52"/>
  <c r="W45" i="52"/>
  <c r="S18" i="231"/>
  <c r="M781" i="184"/>
  <c r="F44" i="52"/>
  <c r="D18" i="51"/>
  <c r="D20" i="51" s="1"/>
  <c r="F669" i="184"/>
  <c r="AB65" i="52"/>
  <c r="M1713" i="184"/>
  <c r="R47" i="218"/>
  <c r="B41" i="51"/>
  <c r="M1341" i="184"/>
  <c r="R35" i="218"/>
  <c r="B29" i="51"/>
  <c r="D223" i="184"/>
  <c r="M15" i="52"/>
  <c r="M223" i="184" s="1"/>
  <c r="I40" i="227"/>
  <c r="M521" i="184"/>
  <c r="W46" i="52"/>
  <c r="W37" i="52"/>
  <c r="L18" i="231"/>
  <c r="R24" i="52"/>
  <c r="B31" i="51"/>
  <c r="M1415" i="184"/>
  <c r="R37" i="218"/>
  <c r="R18" i="218"/>
  <c r="J18" i="231"/>
  <c r="Q22" i="52"/>
  <c r="M447" i="184"/>
  <c r="M455" i="184" s="1"/>
  <c r="M2641" i="184" s="1"/>
  <c r="G40" i="227"/>
  <c r="M2422" i="184"/>
  <c r="AB70" i="52"/>
  <c r="R77" i="218"/>
  <c r="D1935" i="184"/>
  <c r="M71" i="52"/>
  <c r="M1935" i="184" s="1"/>
  <c r="H223" i="184"/>
  <c r="B26" i="51"/>
  <c r="R32" i="218"/>
  <c r="M1230" i="184"/>
  <c r="R78" i="218"/>
  <c r="M2459" i="184"/>
  <c r="R65" i="52"/>
  <c r="C223" i="191"/>
  <c r="X65" i="52"/>
  <c r="L223" i="191" s="1"/>
  <c r="M223" i="191" s="1"/>
  <c r="H223" i="191"/>
  <c r="M2198" i="184"/>
  <c r="R64" i="218"/>
  <c r="B58" i="51"/>
  <c r="D669" i="184"/>
  <c r="D44" i="52"/>
  <c r="D57" i="52" s="1"/>
  <c r="M29" i="52"/>
  <c r="R58" i="218"/>
  <c r="M2048" i="184"/>
  <c r="B52" i="51"/>
  <c r="B54" i="51" s="1"/>
  <c r="H18" i="231"/>
  <c r="W41" i="52"/>
  <c r="W43" i="52" s="1"/>
  <c r="W26" i="52"/>
  <c r="W27" i="52" s="1"/>
  <c r="M373" i="184"/>
  <c r="E65" i="51"/>
  <c r="E68" i="51" s="1"/>
  <c r="E71" i="51" s="1"/>
  <c r="R44" i="218"/>
  <c r="AB62" i="52"/>
  <c r="M1602" i="184"/>
  <c r="B38" i="51"/>
  <c r="R14" i="218"/>
  <c r="M186" i="184"/>
  <c r="B14" i="51"/>
  <c r="M1077" i="184"/>
  <c r="T40" i="227"/>
  <c r="AA18" i="231"/>
  <c r="L223" i="184"/>
  <c r="M558" i="184"/>
  <c r="M18" i="231"/>
  <c r="J40" i="227"/>
  <c r="W25" i="52"/>
  <c r="M595" i="184"/>
  <c r="N18" i="231"/>
  <c r="K40" i="227"/>
  <c r="W28" i="52"/>
  <c r="W30" i="52"/>
  <c r="I18" i="212"/>
  <c r="F53" i="51"/>
  <c r="N40" i="220"/>
  <c r="C53" i="51"/>
  <c r="M336" i="184"/>
  <c r="G18" i="231"/>
  <c r="W36" i="52"/>
  <c r="R13" i="218"/>
  <c r="O13" i="52"/>
  <c r="M149" i="184"/>
  <c r="B13" i="51"/>
  <c r="D262" i="184"/>
  <c r="M18" i="52"/>
  <c r="M2348" i="184"/>
  <c r="R75" i="218"/>
  <c r="AA69" i="52"/>
  <c r="R33" i="218"/>
  <c r="B27" i="51"/>
  <c r="M1267" i="184"/>
  <c r="R11" i="218"/>
  <c r="B11" i="51"/>
  <c r="M75" i="184"/>
  <c r="X62" i="52"/>
  <c r="L112" i="191" s="1"/>
  <c r="M112" i="191" s="1"/>
  <c r="H112" i="191"/>
  <c r="R42" i="218"/>
  <c r="M1528" i="184"/>
  <c r="B36" i="51"/>
  <c r="AB60" i="52"/>
  <c r="I1114" i="184"/>
  <c r="I44" i="52"/>
  <c r="M31" i="52"/>
  <c r="M892" i="184"/>
  <c r="R22" i="218"/>
  <c r="O40" i="227"/>
  <c r="Q26" i="52"/>
  <c r="V18" i="231"/>
  <c r="D2235" i="184"/>
  <c r="M83" i="52"/>
  <c r="M2235" i="184" s="1"/>
  <c r="L669" i="184"/>
  <c r="L44" i="52"/>
  <c r="L1152" i="184"/>
  <c r="D2122" i="184"/>
  <c r="M78" i="52"/>
  <c r="M2122" i="184" s="1"/>
  <c r="F1452" i="184"/>
  <c r="M56" i="52"/>
  <c r="M1452" i="184" s="1"/>
  <c r="M2311" i="184"/>
  <c r="R74" i="218"/>
  <c r="X18" i="231"/>
  <c r="M966" i="184"/>
  <c r="Q40" i="227"/>
  <c r="D65" i="50"/>
  <c r="D30" i="51"/>
  <c r="D32" i="51"/>
  <c r="C30" i="51"/>
  <c r="F18" i="231"/>
  <c r="W33" i="52"/>
  <c r="W35" i="52"/>
  <c r="J18" i="212" s="1"/>
  <c r="M299" i="184"/>
  <c r="R60" i="52"/>
  <c r="C38" i="191"/>
  <c r="C50" i="51"/>
  <c r="F50" i="51"/>
  <c r="R10" i="218"/>
  <c r="M38" i="184"/>
  <c r="B10" i="51"/>
  <c r="G1114" i="184"/>
  <c r="G44" i="52"/>
  <c r="M42" i="52"/>
  <c r="M1769" i="184"/>
  <c r="B43" i="46"/>
  <c r="AB67" i="47"/>
  <c r="P49" i="218"/>
  <c r="Q49" i="218" s="1"/>
  <c r="P13" i="218"/>
  <c r="Q13" i="218" s="1"/>
  <c r="O13" i="47"/>
  <c r="M131" i="184"/>
  <c r="B13" i="46"/>
  <c r="F1434" i="184"/>
  <c r="M56" i="47"/>
  <c r="M1434" i="184"/>
  <c r="O17" i="231"/>
  <c r="L37" i="227"/>
  <c r="M614" i="184"/>
  <c r="H168" i="191"/>
  <c r="X64" i="47"/>
  <c r="L168" i="191" s="1"/>
  <c r="Z17" i="231"/>
  <c r="S37" i="227"/>
  <c r="W28" i="47"/>
  <c r="M1022" i="184"/>
  <c r="X65" i="47"/>
  <c r="L205" i="191" s="1"/>
  <c r="H205" i="191"/>
  <c r="U17" i="231"/>
  <c r="M837" i="184"/>
  <c r="P48" i="218"/>
  <c r="Q48" i="218" s="1"/>
  <c r="AB66" i="47"/>
  <c r="M1732" i="184"/>
  <c r="B42" i="46"/>
  <c r="P34" i="218"/>
  <c r="Q34" i="218" s="1"/>
  <c r="M1286" i="184"/>
  <c r="B28" i="46"/>
  <c r="P45" i="218"/>
  <c r="Q45" i="218"/>
  <c r="M1621" i="184"/>
  <c r="B39" i="46"/>
  <c r="AB63" i="47"/>
  <c r="B57" i="46"/>
  <c r="M2143" i="184"/>
  <c r="P63" i="218"/>
  <c r="D244" i="184"/>
  <c r="M18" i="47"/>
  <c r="L2647" i="184"/>
  <c r="H270" i="184"/>
  <c r="P23" i="218"/>
  <c r="E2217" i="184"/>
  <c r="M83" i="47"/>
  <c r="M2217" i="184" s="1"/>
  <c r="H57" i="191"/>
  <c r="X61" i="47"/>
  <c r="P32" i="218"/>
  <c r="M1212" i="184"/>
  <c r="B26" i="46"/>
  <c r="W36" i="47"/>
  <c r="W38" i="47" s="1"/>
  <c r="M318" i="184"/>
  <c r="G17" i="231"/>
  <c r="L1096" i="184"/>
  <c r="L44" i="47"/>
  <c r="M281" i="184"/>
  <c r="F17" i="231"/>
  <c r="W33" i="47"/>
  <c r="D70" i="46"/>
  <c r="F70" i="46"/>
  <c r="M1360" i="184"/>
  <c r="P36" i="218"/>
  <c r="Q36" i="218"/>
  <c r="B30" i="46"/>
  <c r="P14" i="218"/>
  <c r="Q14" i="218" s="1"/>
  <c r="B14" i="46"/>
  <c r="M168" i="184"/>
  <c r="K205" i="184"/>
  <c r="K651" i="184"/>
  <c r="K44" i="47"/>
  <c r="K1134" i="184" s="1"/>
  <c r="Q26" i="47"/>
  <c r="Q30" i="47" s="1"/>
  <c r="P22" i="218"/>
  <c r="Q22" i="218" s="1"/>
  <c r="M874" i="184"/>
  <c r="V17" i="231"/>
  <c r="O37" i="227"/>
  <c r="M1173" i="184"/>
  <c r="P29" i="218"/>
  <c r="B23" i="46"/>
  <c r="R61" i="47"/>
  <c r="C57" i="191"/>
  <c r="M540" i="184"/>
  <c r="M17" i="231"/>
  <c r="W25" i="47"/>
  <c r="W27" i="47" s="1"/>
  <c r="J37" i="227"/>
  <c r="Q10" i="218"/>
  <c r="L106" i="47"/>
  <c r="L118" i="47"/>
  <c r="L102" i="47" s="1"/>
  <c r="F11" i="221" s="1"/>
  <c r="I44" i="47"/>
  <c r="I651" i="184"/>
  <c r="P43" i="218"/>
  <c r="Q43" i="218" s="1"/>
  <c r="M1547" i="184"/>
  <c r="B37" i="46"/>
  <c r="B58" i="46"/>
  <c r="M2180" i="184"/>
  <c r="P64" i="218"/>
  <c r="Q64" i="218" s="1"/>
  <c r="X17" i="231"/>
  <c r="M948" i="184"/>
  <c r="R28" i="47"/>
  <c r="Q37" i="227"/>
  <c r="P42" i="218"/>
  <c r="M1510" i="184"/>
  <c r="B36" i="46"/>
  <c r="AB60" i="47"/>
  <c r="D19" i="46"/>
  <c r="D20" i="46"/>
  <c r="F1096" i="184"/>
  <c r="F44" i="47"/>
  <c r="M2067" i="184"/>
  <c r="M2093" i="184" s="1"/>
  <c r="M2695" i="184" s="1"/>
  <c r="B89" i="181" s="1"/>
  <c r="P59" i="218"/>
  <c r="Q59" i="218"/>
  <c r="B53" i="46"/>
  <c r="D2104" i="184"/>
  <c r="M78" i="47"/>
  <c r="M2104" i="184" s="1"/>
  <c r="C205" i="191"/>
  <c r="R65" i="47"/>
  <c r="F51" i="46"/>
  <c r="C51" i="46"/>
  <c r="M1323" i="184"/>
  <c r="P35" i="218"/>
  <c r="Q35" i="218" s="1"/>
  <c r="B29" i="46"/>
  <c r="W34" i="47"/>
  <c r="K17" i="231"/>
  <c r="M466" i="184"/>
  <c r="H37" i="227"/>
  <c r="W45" i="47"/>
  <c r="R24" i="47"/>
  <c r="R17" i="231"/>
  <c r="M726" i="184"/>
  <c r="D353" i="191"/>
  <c r="P70" i="47"/>
  <c r="I11" i="221"/>
  <c r="P71" i="47"/>
  <c r="M71" i="47"/>
  <c r="M1917" i="184" s="1"/>
  <c r="D1917" i="184"/>
  <c r="B50" i="46"/>
  <c r="M1956" i="184"/>
  <c r="P56" i="218"/>
  <c r="G651" i="184"/>
  <c r="G44" i="47"/>
  <c r="AB61" i="47"/>
  <c r="E1917" i="184"/>
  <c r="J1434" i="184"/>
  <c r="J57" i="47"/>
  <c r="H279" i="191"/>
  <c r="X67" i="47"/>
  <c r="L279" i="191" s="1"/>
  <c r="M763" i="184"/>
  <c r="S17" i="231"/>
  <c r="B31" i="46"/>
  <c r="P37" i="218"/>
  <c r="Q37" i="218" s="1"/>
  <c r="M1397" i="184"/>
  <c r="P11" i="218"/>
  <c r="Q11" i="218" s="1"/>
  <c r="M57" i="184"/>
  <c r="B11" i="46"/>
  <c r="M1658" i="184"/>
  <c r="B40" i="46"/>
  <c r="AB64" i="47"/>
  <c r="P46" i="218"/>
  <c r="Q46" i="218" s="1"/>
  <c r="M1695" i="184"/>
  <c r="AB65" i="47"/>
  <c r="B41" i="46"/>
  <c r="P47" i="218"/>
  <c r="Q47" i="218"/>
  <c r="M31" i="47"/>
  <c r="D689" i="184"/>
  <c r="M1806" i="184"/>
  <c r="AB68" i="47"/>
  <c r="D67" i="46"/>
  <c r="P50" i="218"/>
  <c r="Q50" i="218" s="1"/>
  <c r="B44" i="46"/>
  <c r="M1249" i="184"/>
  <c r="P33" i="218"/>
  <c r="Q33" i="218" s="1"/>
  <c r="B27" i="46"/>
  <c r="P51" i="218"/>
  <c r="Q51" i="218" s="1"/>
  <c r="B45" i="46"/>
  <c r="M1843" i="184"/>
  <c r="M1059" i="184"/>
  <c r="AA17" i="231"/>
  <c r="AA47" i="231" s="1"/>
  <c r="AA68" i="231" s="1"/>
  <c r="T37" i="227"/>
  <c r="M2404" i="184"/>
  <c r="AB70" i="47"/>
  <c r="P77" i="218"/>
  <c r="R63" i="47"/>
  <c r="C131" i="191"/>
  <c r="W42" i="47"/>
  <c r="W43" i="47"/>
  <c r="M392" i="184"/>
  <c r="I17" i="231"/>
  <c r="W29" i="47"/>
  <c r="C168" i="191"/>
  <c r="R64" i="47"/>
  <c r="W46" i="47"/>
  <c r="D1096" i="184"/>
  <c r="D44" i="47"/>
  <c r="M42" i="47"/>
  <c r="D1132" i="184"/>
  <c r="D2102" i="184"/>
  <c r="M78" i="42"/>
  <c r="M2102" i="184" s="1"/>
  <c r="D1915" i="184"/>
  <c r="M71" i="42"/>
  <c r="M1915" i="184" s="1"/>
  <c r="M1804" i="184"/>
  <c r="N50" i="218"/>
  <c r="B44" i="41"/>
  <c r="AB68" i="42"/>
  <c r="D67" i="41"/>
  <c r="N16" i="231"/>
  <c r="M575" i="184"/>
  <c r="K36" i="227"/>
  <c r="W28" i="42"/>
  <c r="W30" i="42" s="1"/>
  <c r="I16" i="212" s="1"/>
  <c r="N51" i="218"/>
  <c r="M1841" i="184"/>
  <c r="B45" i="41"/>
  <c r="D203" i="184"/>
  <c r="D57" i="42"/>
  <c r="M15" i="42"/>
  <c r="M203" i="184" s="1"/>
  <c r="H649" i="184"/>
  <c r="H44" i="42"/>
  <c r="M44" i="42" s="1"/>
  <c r="W21" i="42" s="1"/>
  <c r="M55" i="184"/>
  <c r="N11" i="218"/>
  <c r="B11" i="41"/>
  <c r="M2328" i="184"/>
  <c r="AA69" i="42"/>
  <c r="N75" i="218"/>
  <c r="AB65" i="42"/>
  <c r="B41" i="41"/>
  <c r="N47" i="218"/>
  <c r="M1693" i="184"/>
  <c r="L118" i="42"/>
  <c r="L102" i="42" s="1"/>
  <c r="F10" i="221" s="1"/>
  <c r="B36" i="41"/>
  <c r="N42" i="218"/>
  <c r="M1508" i="184"/>
  <c r="AB60" i="42"/>
  <c r="N10" i="218"/>
  <c r="M18" i="184"/>
  <c r="B10" i="41"/>
  <c r="M2291" i="184"/>
  <c r="N74" i="218"/>
  <c r="D11" i="40"/>
  <c r="D60" i="40"/>
  <c r="F23" i="41"/>
  <c r="N58" i="218"/>
  <c r="M2028" i="184"/>
  <c r="B52" i="41"/>
  <c r="X60" i="42"/>
  <c r="H18" i="191"/>
  <c r="D242" i="184"/>
  <c r="M18" i="42"/>
  <c r="S16" i="231"/>
  <c r="M761" i="184"/>
  <c r="L203" i="184"/>
  <c r="N59" i="218"/>
  <c r="M2065" i="184"/>
  <c r="B53" i="41"/>
  <c r="K203" i="184"/>
  <c r="K57" i="42"/>
  <c r="D687" i="184"/>
  <c r="M31" i="42"/>
  <c r="M1954" i="184"/>
  <c r="B50" i="41"/>
  <c r="N56" i="218"/>
  <c r="R60" i="42"/>
  <c r="C18" i="191"/>
  <c r="L36" i="227"/>
  <c r="M612" i="184"/>
  <c r="O16" i="231"/>
  <c r="M279" i="184"/>
  <c r="W33" i="42"/>
  <c r="W35" i="42" s="1"/>
  <c r="J16" i="212" s="1"/>
  <c r="F16" i="231"/>
  <c r="C42" i="233"/>
  <c r="N30" i="218"/>
  <c r="M83" i="42"/>
  <c r="N14" i="218"/>
  <c r="M166" i="184"/>
  <c r="B14" i="41"/>
  <c r="X67" i="42"/>
  <c r="L277" i="191"/>
  <c r="I277" i="191"/>
  <c r="I305" i="191"/>
  <c r="D649" i="184"/>
  <c r="M29" i="42"/>
  <c r="I16" i="231"/>
  <c r="W42" i="42"/>
  <c r="M390" i="184"/>
  <c r="W29" i="42"/>
  <c r="I649" i="184"/>
  <c r="I44" i="42"/>
  <c r="B46" i="41"/>
  <c r="N52" i="218"/>
  <c r="M1878" i="184"/>
  <c r="Y16" i="231"/>
  <c r="M983" i="184"/>
  <c r="R36" i="227"/>
  <c r="R28" i="42"/>
  <c r="M501" i="184"/>
  <c r="W46" i="42"/>
  <c r="W47" i="42" s="1"/>
  <c r="M16" i="212" s="1"/>
  <c r="R24" i="42"/>
  <c r="W37" i="42"/>
  <c r="I36" i="227"/>
  <c r="L16" i="231"/>
  <c r="N13" i="218"/>
  <c r="M129" i="184"/>
  <c r="B13" i="41"/>
  <c r="O13" i="42"/>
  <c r="D65" i="40"/>
  <c r="D30" i="41"/>
  <c r="D32" i="41" s="1"/>
  <c r="B32" i="41"/>
  <c r="D12" i="40"/>
  <c r="M835" i="184"/>
  <c r="U16" i="231"/>
  <c r="J1094" i="184"/>
  <c r="J44" i="42"/>
  <c r="R63" i="42"/>
  <c r="C129" i="191"/>
  <c r="G57" i="42"/>
  <c r="G1132" i="184"/>
  <c r="W41" i="42"/>
  <c r="T16" i="231"/>
  <c r="W26" i="42"/>
  <c r="M798" i="184"/>
  <c r="N18" i="218"/>
  <c r="M427" i="184"/>
  <c r="G36" i="227"/>
  <c r="Q22" i="42"/>
  <c r="Q30" i="42"/>
  <c r="J16" i="231"/>
  <c r="D18" i="41"/>
  <c r="D20" i="41" s="1"/>
  <c r="F649" i="184"/>
  <c r="F44" i="42"/>
  <c r="R16" i="231"/>
  <c r="M724" i="184"/>
  <c r="M2365" i="184"/>
  <c r="N76" i="218"/>
  <c r="AB63" i="42"/>
  <c r="M1619" i="184"/>
  <c r="N45" i="218"/>
  <c r="B39" i="41"/>
  <c r="M316" i="184"/>
  <c r="G16" i="231"/>
  <c r="W36" i="42"/>
  <c r="J36" i="227"/>
  <c r="M16" i="231"/>
  <c r="W25" i="42"/>
  <c r="M538" i="184"/>
  <c r="M42" i="42"/>
  <c r="E1094" i="184"/>
  <c r="E44" i="42"/>
  <c r="M1991" i="184"/>
  <c r="N57" i="218"/>
  <c r="B51" i="41"/>
  <c r="N48" i="218"/>
  <c r="M1730" i="184"/>
  <c r="B42" i="41"/>
  <c r="AB66" i="42"/>
  <c r="E1432" i="184"/>
  <c r="M56" i="42"/>
  <c r="M1432" i="184" s="1"/>
  <c r="H129" i="191"/>
  <c r="X63" i="42"/>
  <c r="L129" i="191" s="1"/>
  <c r="Z16" i="231"/>
  <c r="S36" i="227"/>
  <c r="M1020" i="184"/>
  <c r="N38" i="218"/>
  <c r="C43" i="233" s="1"/>
  <c r="L649" i="184"/>
  <c r="L44" i="42"/>
  <c r="L1132" i="184" s="1"/>
  <c r="J18" i="218"/>
  <c r="Q22" i="26"/>
  <c r="G32" i="227"/>
  <c r="M424" i="184"/>
  <c r="J14" i="231"/>
  <c r="M387" i="184"/>
  <c r="I14" i="231"/>
  <c r="W29" i="26"/>
  <c r="W42" i="26"/>
  <c r="J44" i="26"/>
  <c r="J646" i="184"/>
  <c r="B50" i="25"/>
  <c r="M1951" i="184"/>
  <c r="J56" i="218"/>
  <c r="J33" i="218"/>
  <c r="M1244" i="184"/>
  <c r="B27" i="25"/>
  <c r="K44" i="26"/>
  <c r="K1091" i="184"/>
  <c r="J64" i="218"/>
  <c r="B58" i="25"/>
  <c r="M2175" i="184"/>
  <c r="B23" i="25"/>
  <c r="M1168" i="184"/>
  <c r="J29" i="218"/>
  <c r="K46" i="191"/>
  <c r="D2099" i="184"/>
  <c r="M78" i="26"/>
  <c r="M2099" i="184" s="1"/>
  <c r="J77" i="218"/>
  <c r="M2399" i="184"/>
  <c r="AB70" i="26"/>
  <c r="O32" i="227"/>
  <c r="M869" i="184"/>
  <c r="Q26" i="26"/>
  <c r="J22" i="218"/>
  <c r="V14" i="231"/>
  <c r="E200" i="184"/>
  <c r="M15" i="26"/>
  <c r="M200" i="184" s="1"/>
  <c r="I32" i="227"/>
  <c r="W37" i="26"/>
  <c r="M498" i="184"/>
  <c r="W46" i="26"/>
  <c r="L14" i="231"/>
  <c r="X14" i="231"/>
  <c r="M943" i="184"/>
  <c r="R28" i="26"/>
  <c r="Q32" i="227"/>
  <c r="G1129" i="184"/>
  <c r="G57" i="26"/>
  <c r="J37" i="218"/>
  <c r="B31" i="25"/>
  <c r="M1392" i="184"/>
  <c r="L106" i="26"/>
  <c r="L118" i="26" s="1"/>
  <c r="L102" i="26" s="1"/>
  <c r="F7" i="221" s="1"/>
  <c r="J14" i="218"/>
  <c r="M163" i="184"/>
  <c r="B14" i="25"/>
  <c r="M758" i="184"/>
  <c r="S14" i="231"/>
  <c r="W36" i="26"/>
  <c r="M350" i="184"/>
  <c r="H14" i="231"/>
  <c r="W26" i="26"/>
  <c r="W41" i="26"/>
  <c r="B46" i="25"/>
  <c r="M1875" i="184"/>
  <c r="J52" i="218"/>
  <c r="W34" i="26"/>
  <c r="M461" i="184"/>
  <c r="W45" i="26"/>
  <c r="H32" i="227"/>
  <c r="K14" i="231"/>
  <c r="J36" i="218"/>
  <c r="B30" i="25"/>
  <c r="M1355" i="184"/>
  <c r="D70" i="25"/>
  <c r="F70" i="25" s="1"/>
  <c r="J35" i="218"/>
  <c r="B29" i="25"/>
  <c r="M1318" i="184"/>
  <c r="G1429" i="184"/>
  <c r="M56" i="26"/>
  <c r="M1429" i="184" s="1"/>
  <c r="F44" i="26"/>
  <c r="D18" i="25"/>
  <c r="D20" i="25"/>
  <c r="F646" i="184"/>
  <c r="G1199" i="184"/>
  <c r="G2665" i="184" s="1"/>
  <c r="Z14" i="231"/>
  <c r="M1017" i="184"/>
  <c r="S32" i="227"/>
  <c r="X67" i="26"/>
  <c r="L274" i="191" s="1"/>
  <c r="M274" i="191" s="1"/>
  <c r="F684" i="184"/>
  <c r="M31" i="26"/>
  <c r="B28" i="25"/>
  <c r="J34" i="218"/>
  <c r="M1281" i="184"/>
  <c r="G32" i="187"/>
  <c r="F13" i="25"/>
  <c r="D57" i="24"/>
  <c r="C13" i="25"/>
  <c r="M1988" i="184"/>
  <c r="J57" i="218"/>
  <c r="B51" i="25"/>
  <c r="M2436" i="184"/>
  <c r="J78" i="218"/>
  <c r="I200" i="184"/>
  <c r="J32" i="218"/>
  <c r="M1207" i="184"/>
  <c r="B26" i="25"/>
  <c r="D32" i="187"/>
  <c r="D54" i="24"/>
  <c r="F10" i="25"/>
  <c r="C10" i="25"/>
  <c r="T32" i="230" s="1"/>
  <c r="E646" i="184"/>
  <c r="E677" i="184" s="1"/>
  <c r="E9" i="216"/>
  <c r="R69" i="26"/>
  <c r="F348" i="191"/>
  <c r="F52" i="191"/>
  <c r="G52" i="191" s="1"/>
  <c r="B42" i="25"/>
  <c r="M1727" i="184"/>
  <c r="J48" i="218"/>
  <c r="AB66" i="26"/>
  <c r="E1912" i="184"/>
  <c r="M71" i="26"/>
  <c r="M1912" i="184" s="1"/>
  <c r="D239" i="184"/>
  <c r="M18" i="26"/>
  <c r="M1579" i="184"/>
  <c r="J44" i="218"/>
  <c r="B38" i="25"/>
  <c r="AB62" i="26"/>
  <c r="E65" i="25"/>
  <c r="E68" i="25" s="1"/>
  <c r="E71" i="25" s="1"/>
  <c r="X64" i="26"/>
  <c r="L163" i="191" s="1"/>
  <c r="H163" i="191"/>
  <c r="H44" i="26"/>
  <c r="H646" i="184"/>
  <c r="J49" i="218"/>
  <c r="K49" i="218" s="1"/>
  <c r="B43" i="25"/>
  <c r="M1764" i="184"/>
  <c r="AB67" i="26"/>
  <c r="M2362" i="184"/>
  <c r="J76" i="218"/>
  <c r="M42" i="26"/>
  <c r="E1091" i="184"/>
  <c r="E44" i="26"/>
  <c r="E1129" i="184" s="1"/>
  <c r="L646" i="184"/>
  <c r="L44" i="26"/>
  <c r="G9" i="216"/>
  <c r="F163" i="191"/>
  <c r="G163" i="191"/>
  <c r="I200" i="191"/>
  <c r="X65" i="26"/>
  <c r="L200" i="191" s="1"/>
  <c r="M2025" i="184"/>
  <c r="B52" i="25"/>
  <c r="J58" i="218"/>
  <c r="J11" i="218"/>
  <c r="B11" i="25"/>
  <c r="B15" i="25" s="1"/>
  <c r="D11" i="242" s="1"/>
  <c r="M52" i="184"/>
  <c r="AB64" i="26"/>
  <c r="M1653" i="184"/>
  <c r="B40" i="25"/>
  <c r="J46" i="218"/>
  <c r="K974" i="184"/>
  <c r="K2656" i="184" s="1"/>
  <c r="M14" i="231"/>
  <c r="M535" i="184"/>
  <c r="W25" i="26"/>
  <c r="W27" i="26" s="1"/>
  <c r="H14" i="212" s="1"/>
  <c r="J32" i="227"/>
  <c r="Y14" i="231"/>
  <c r="R32" i="227"/>
  <c r="M980" i="184"/>
  <c r="J23" i="218"/>
  <c r="J24" i="218" s="1"/>
  <c r="P71" i="26"/>
  <c r="D348" i="191"/>
  <c r="P70" i="26"/>
  <c r="I7" i="221" s="1"/>
  <c r="H237" i="191"/>
  <c r="X66" i="26"/>
  <c r="L237" i="191" s="1"/>
  <c r="M276" i="184"/>
  <c r="W33" i="26"/>
  <c r="W35" i="26"/>
  <c r="J14" i="212" s="1"/>
  <c r="F14" i="231"/>
  <c r="M1616" i="184"/>
  <c r="B39" i="25"/>
  <c r="J45" i="218"/>
  <c r="K45" i="218" s="1"/>
  <c r="AB63" i="26"/>
  <c r="M2062" i="184"/>
  <c r="B53" i="25"/>
  <c r="J59" i="218"/>
  <c r="U14" i="231"/>
  <c r="M832" i="184"/>
  <c r="H37" i="218"/>
  <c r="M1391" i="184"/>
  <c r="B31" i="20"/>
  <c r="M2061" i="184"/>
  <c r="H59" i="218"/>
  <c r="B53" i="20"/>
  <c r="K13" i="231"/>
  <c r="H35" i="227"/>
  <c r="W34" i="21"/>
  <c r="W35" i="21" s="1"/>
  <c r="J13" i="212" s="1"/>
  <c r="W45" i="21"/>
  <c r="M460" i="184"/>
  <c r="R24" i="21"/>
  <c r="H19" i="218"/>
  <c r="I199" i="191"/>
  <c r="X65" i="21"/>
  <c r="L199" i="191" s="1"/>
  <c r="H645" i="184"/>
  <c r="H44" i="21"/>
  <c r="M1950" i="184"/>
  <c r="H56" i="218"/>
  <c r="B50" i="20"/>
  <c r="Q35" i="227"/>
  <c r="X13" i="231"/>
  <c r="R28" i="21"/>
  <c r="R30" i="21" s="1"/>
  <c r="M942" i="184"/>
  <c r="M974" i="184" s="1"/>
  <c r="M2656" i="184" s="1"/>
  <c r="D2098" i="184"/>
  <c r="M78" i="21"/>
  <c r="M2098" i="184" s="1"/>
  <c r="F645" i="184"/>
  <c r="F44" i="21"/>
  <c r="F1128" i="184" s="1"/>
  <c r="D18" i="20"/>
  <c r="D20" i="20" s="1"/>
  <c r="E194" i="191"/>
  <c r="H18" i="218"/>
  <c r="M423" i="184"/>
  <c r="Q22" i="21"/>
  <c r="Q30" i="21"/>
  <c r="G35" i="227"/>
  <c r="J13" i="231"/>
  <c r="AB70" i="21"/>
  <c r="M2398" i="184"/>
  <c r="H77" i="218"/>
  <c r="M1987" i="184"/>
  <c r="H57" i="218"/>
  <c r="B51" i="20"/>
  <c r="M275" i="184"/>
  <c r="F13" i="231"/>
  <c r="W33" i="21"/>
  <c r="B10" i="20"/>
  <c r="H10" i="218"/>
  <c r="M14" i="184"/>
  <c r="K1090" i="184"/>
  <c r="K44" i="21"/>
  <c r="G199" i="184"/>
  <c r="H34" i="218"/>
  <c r="M1280" i="184"/>
  <c r="B28" i="20"/>
  <c r="X60" i="21"/>
  <c r="H14" i="191"/>
  <c r="F199" i="184"/>
  <c r="H76" i="218"/>
  <c r="M2361" i="184"/>
  <c r="D64" i="181"/>
  <c r="M1726" i="184"/>
  <c r="AB66" i="21"/>
  <c r="H48" i="218"/>
  <c r="B42" i="20"/>
  <c r="F11" i="20"/>
  <c r="J11" i="20"/>
  <c r="C11" i="20"/>
  <c r="D55" i="19"/>
  <c r="E31" i="187"/>
  <c r="H51" i="218"/>
  <c r="M1837" i="184"/>
  <c r="B45" i="20"/>
  <c r="P70" i="21"/>
  <c r="I6" i="221"/>
  <c r="H32" i="218"/>
  <c r="B26" i="20"/>
  <c r="M1206" i="184"/>
  <c r="H36" i="218"/>
  <c r="D70" i="20"/>
  <c r="F70" i="20" s="1"/>
  <c r="B30" i="20"/>
  <c r="M1354" i="184"/>
  <c r="M2137" i="184"/>
  <c r="H63" i="218"/>
  <c r="B57" i="20"/>
  <c r="H35" i="218"/>
  <c r="B29" i="20"/>
  <c r="M1317" i="184"/>
  <c r="G645" i="184"/>
  <c r="G44" i="21"/>
  <c r="G1128" i="184" s="1"/>
  <c r="I645" i="184"/>
  <c r="I44" i="21"/>
  <c r="F13" i="20"/>
  <c r="M29" i="21"/>
  <c r="M71" i="21"/>
  <c r="M1911" i="184"/>
  <c r="F1911" i="184"/>
  <c r="T35" i="227"/>
  <c r="M1053" i="184"/>
  <c r="AA13" i="231"/>
  <c r="E2211" i="184"/>
  <c r="M83" i="21"/>
  <c r="M2211" i="184" s="1"/>
  <c r="M831" i="184"/>
  <c r="U13" i="231"/>
  <c r="W29" i="21"/>
  <c r="W30" i="21" s="1"/>
  <c r="I13" i="212" s="1"/>
  <c r="W42" i="21"/>
  <c r="X64" i="21"/>
  <c r="L162" i="191" s="1"/>
  <c r="H162" i="191"/>
  <c r="E44" i="21"/>
  <c r="E1090" i="184"/>
  <c r="M42" i="21"/>
  <c r="M13" i="231"/>
  <c r="J35" i="227"/>
  <c r="W25" i="21"/>
  <c r="M534" i="184"/>
  <c r="L13" i="231"/>
  <c r="W37" i="21"/>
  <c r="W38" i="21"/>
  <c r="I35" i="227"/>
  <c r="M497" i="184"/>
  <c r="W46" i="21"/>
  <c r="W47" i="21" s="1"/>
  <c r="M13" i="212" s="1"/>
  <c r="M979" i="184"/>
  <c r="R35" i="227"/>
  <c r="Y13" i="231"/>
  <c r="M31" i="21"/>
  <c r="D683" i="184"/>
  <c r="J1090" i="184"/>
  <c r="J44" i="21"/>
  <c r="F36" i="20"/>
  <c r="D231" i="191"/>
  <c r="M794" i="184"/>
  <c r="T13" i="231"/>
  <c r="W41" i="21"/>
  <c r="W43" i="21" s="1"/>
  <c r="W26" i="21"/>
  <c r="L2098" i="184"/>
  <c r="M608" i="184"/>
  <c r="L35" i="227"/>
  <c r="O13" i="231"/>
  <c r="D238" i="184"/>
  <c r="M18" i="21"/>
  <c r="L32" i="218"/>
  <c r="M1205" i="184"/>
  <c r="B26" i="35"/>
  <c r="G455" i="184"/>
  <c r="G2641" i="184" s="1"/>
  <c r="L19" i="218"/>
  <c r="L20" i="218" s="1"/>
  <c r="N15" i="231"/>
  <c r="K17" i="227"/>
  <c r="W28" i="36"/>
  <c r="M570" i="184"/>
  <c r="M2397" i="184"/>
  <c r="AB70" i="36"/>
  <c r="L77" i="218"/>
  <c r="L78" i="218"/>
  <c r="M2434" i="184"/>
  <c r="L43" i="218"/>
  <c r="AB61" i="36"/>
  <c r="M1540" i="184"/>
  <c r="B37" i="35"/>
  <c r="H198" i="184"/>
  <c r="H235" i="191"/>
  <c r="X66" i="36"/>
  <c r="L235" i="191" s="1"/>
  <c r="M2136" i="184"/>
  <c r="L63" i="218"/>
  <c r="B57" i="35"/>
  <c r="M15" i="36"/>
  <c r="M198" i="184" s="1"/>
  <c r="AB60" i="36"/>
  <c r="L42" i="218"/>
  <c r="B36" i="35"/>
  <c r="M1503" i="184"/>
  <c r="X15" i="231"/>
  <c r="M941" i="184"/>
  <c r="Q17" i="227"/>
  <c r="R28" i="36"/>
  <c r="D1910" i="184"/>
  <c r="M71" i="36"/>
  <c r="M1910" i="184" s="1"/>
  <c r="L49" i="218"/>
  <c r="M1762" i="184"/>
  <c r="AB67" i="36"/>
  <c r="B43" i="35"/>
  <c r="L74" i="218"/>
  <c r="M2286" i="184"/>
  <c r="H17" i="227"/>
  <c r="M17" i="227" s="1"/>
  <c r="R24" i="36"/>
  <c r="W34" i="36"/>
  <c r="W45" i="36"/>
  <c r="K15" i="231"/>
  <c r="M459" i="184"/>
  <c r="L75" i="218"/>
  <c r="M2323" i="184"/>
  <c r="AA69" i="36"/>
  <c r="H644" i="184"/>
  <c r="H44" i="36"/>
  <c r="H1127" i="184" s="1"/>
  <c r="E1089" i="184"/>
  <c r="M42" i="36"/>
  <c r="E44" i="36"/>
  <c r="M830" i="184"/>
  <c r="U15" i="231"/>
  <c r="U47" i="231" s="1"/>
  <c r="U68" i="231" s="1"/>
  <c r="K1089" i="184"/>
  <c r="K44" i="36"/>
  <c r="D44" i="36"/>
  <c r="D644" i="184"/>
  <c r="M29" i="36"/>
  <c r="E2210" i="184"/>
  <c r="M83" i="36"/>
  <c r="M2210" i="184" s="1"/>
  <c r="L29" i="218"/>
  <c r="M1166" i="184"/>
  <c r="B23" i="35"/>
  <c r="O15" i="231"/>
  <c r="L17" i="227"/>
  <c r="M607" i="184"/>
  <c r="I1910" i="184"/>
  <c r="I1943" i="184" s="1"/>
  <c r="G15" i="231"/>
  <c r="W36" i="36"/>
  <c r="M311" i="184"/>
  <c r="M15" i="231"/>
  <c r="W25" i="36"/>
  <c r="M533" i="184"/>
  <c r="J17" i="227"/>
  <c r="B27" i="35"/>
  <c r="L33" i="218"/>
  <c r="M1242" i="184"/>
  <c r="I15" i="231"/>
  <c r="M385" i="184"/>
  <c r="W29" i="36"/>
  <c r="W42" i="36"/>
  <c r="J194" i="191"/>
  <c r="M161" i="191"/>
  <c r="F10" i="35"/>
  <c r="D54" i="34"/>
  <c r="D8" i="187"/>
  <c r="C10" i="35"/>
  <c r="T17" i="230" s="1"/>
  <c r="C13" i="191"/>
  <c r="R60" i="36"/>
  <c r="L106" i="36"/>
  <c r="L118" i="36" s="1"/>
  <c r="L102" i="36" s="1"/>
  <c r="F9" i="221" s="1"/>
  <c r="L34" i="218"/>
  <c r="M1279" i="184"/>
  <c r="B28" i="35"/>
  <c r="M87" i="191"/>
  <c r="K120" i="191"/>
  <c r="L37" i="218"/>
  <c r="M1390" i="184"/>
  <c r="B31" i="35"/>
  <c r="H124" i="191"/>
  <c r="H157" i="191" s="1"/>
  <c r="X63" i="36"/>
  <c r="F644" i="184"/>
  <c r="F44" i="36"/>
  <c r="D18" i="35"/>
  <c r="D20" i="35"/>
  <c r="H15" i="231"/>
  <c r="W26" i="36"/>
  <c r="W41" i="36"/>
  <c r="W43" i="36" s="1"/>
  <c r="L15" i="212" s="1"/>
  <c r="M348" i="184"/>
  <c r="D65" i="34"/>
  <c r="D30" i="35"/>
  <c r="D32" i="35" s="1"/>
  <c r="C30" i="35"/>
  <c r="V15" i="231"/>
  <c r="L22" i="218"/>
  <c r="O17" i="227"/>
  <c r="Q26" i="36"/>
  <c r="Q30" i="36" s="1"/>
  <c r="M867" i="184"/>
  <c r="M2060" i="184"/>
  <c r="L59" i="218"/>
  <c r="B53" i="35"/>
  <c r="W33" i="36"/>
  <c r="W35" i="36" s="1"/>
  <c r="J15" i="212" s="1"/>
  <c r="M719" i="184"/>
  <c r="R15" i="231"/>
  <c r="M2360" i="184"/>
  <c r="L76" i="218"/>
  <c r="M10" i="218"/>
  <c r="Z15" i="231"/>
  <c r="M1015" i="184"/>
  <c r="S17" i="227"/>
  <c r="F1721" i="184"/>
  <c r="F2683" i="184" s="1"/>
  <c r="D77" i="181" s="1"/>
  <c r="L13" i="218"/>
  <c r="O13" i="36"/>
  <c r="M124" i="184"/>
  <c r="B13" i="35"/>
  <c r="C124" i="191"/>
  <c r="R63" i="36"/>
  <c r="M2023" i="184"/>
  <c r="B52" i="35"/>
  <c r="L58" i="218"/>
  <c r="E237" i="184"/>
  <c r="M18" i="36"/>
  <c r="L198" i="184"/>
  <c r="L57" i="36"/>
  <c r="G2097" i="184"/>
  <c r="G2130" i="184"/>
  <c r="M78" i="36"/>
  <c r="M2097" i="184" s="1"/>
  <c r="M2471" i="184"/>
  <c r="L79" i="218"/>
  <c r="G1089" i="184"/>
  <c r="G1122" i="184" s="1"/>
  <c r="G44" i="36"/>
  <c r="L14" i="218"/>
  <c r="M161" i="184"/>
  <c r="B14" i="35"/>
  <c r="B15" i="35" s="1"/>
  <c r="L11" i="218"/>
  <c r="B11" i="35"/>
  <c r="M50" i="184"/>
  <c r="B46" i="35"/>
  <c r="M1873" i="184"/>
  <c r="L52" i="218"/>
  <c r="D2319" i="184"/>
  <c r="D2705" i="184" s="1"/>
  <c r="L15" i="231"/>
  <c r="I17" i="227"/>
  <c r="M496" i="184"/>
  <c r="W46" i="36"/>
  <c r="W37" i="36"/>
  <c r="L23" i="218"/>
  <c r="L24" i="218" s="1"/>
  <c r="AB63" i="36"/>
  <c r="M1614" i="184"/>
  <c r="L45" i="218"/>
  <c r="B39" i="35"/>
  <c r="M272" i="191"/>
  <c r="J305" i="191"/>
  <c r="J644" i="184"/>
  <c r="J44" i="36"/>
  <c r="L48" i="218"/>
  <c r="M1725" i="184"/>
  <c r="B42" i="35"/>
  <c r="AB66" i="36"/>
  <c r="B50" i="35"/>
  <c r="L56" i="218"/>
  <c r="M1949" i="184"/>
  <c r="B29" i="35"/>
  <c r="M1316" i="184"/>
  <c r="M1349" i="184" s="1"/>
  <c r="M2671" i="184" s="1"/>
  <c r="B65" i="181" s="1"/>
  <c r="D64" i="180" s="1"/>
  <c r="L35" i="218"/>
  <c r="M31" i="36"/>
  <c r="G682" i="184"/>
  <c r="I41" i="35"/>
  <c r="K16" i="213" s="1"/>
  <c r="K41" i="35"/>
  <c r="N41" i="35"/>
  <c r="D9" i="222"/>
  <c r="E72" i="223"/>
  <c r="E75" i="223" s="1"/>
  <c r="E78" i="223" s="1"/>
  <c r="B44" i="223"/>
  <c r="F57" i="223"/>
  <c r="F61" i="223"/>
  <c r="B61" i="223"/>
  <c r="B36" i="223"/>
  <c r="D77" i="223"/>
  <c r="F77" i="223" s="1"/>
  <c r="X66" i="224"/>
  <c r="X75" i="224" s="1"/>
  <c r="V77" i="224" s="1"/>
  <c r="F46" i="223"/>
  <c r="D105" i="222"/>
  <c r="F49" i="223"/>
  <c r="K49" i="223"/>
  <c r="N49" i="223" s="1"/>
  <c r="D108" i="222"/>
  <c r="D58" i="222"/>
  <c r="F14" i="223"/>
  <c r="AB68" i="224"/>
  <c r="D44" i="224"/>
  <c r="G11" i="223"/>
  <c r="R24" i="224"/>
  <c r="R28" i="224"/>
  <c r="F43" i="223"/>
  <c r="K43" i="223" s="1"/>
  <c r="L43" i="223" s="1"/>
  <c r="D103" i="222"/>
  <c r="K48" i="223"/>
  <c r="N48" i="223" s="1"/>
  <c r="F65" i="223"/>
  <c r="F66" i="223" s="1"/>
  <c r="D66" i="222"/>
  <c r="F37" i="223"/>
  <c r="W47" i="224"/>
  <c r="F13" i="223"/>
  <c r="D57" i="222"/>
  <c r="E63" i="224"/>
  <c r="E92" i="224" s="1"/>
  <c r="E100" i="224" s="1"/>
  <c r="M15" i="224"/>
  <c r="D62" i="222"/>
  <c r="F33" i="223"/>
  <c r="F50" i="223"/>
  <c r="K50" i="223" s="1"/>
  <c r="M50" i="223" s="1"/>
  <c r="D109" i="222"/>
  <c r="K92" i="224"/>
  <c r="K100" i="224" s="1"/>
  <c r="D52" i="216"/>
  <c r="R76" i="224"/>
  <c r="W31" i="224"/>
  <c r="M78" i="224"/>
  <c r="W37" i="224"/>
  <c r="W38" i="224" s="1"/>
  <c r="X39" i="224" s="1"/>
  <c r="B47" i="223"/>
  <c r="B54" i="223"/>
  <c r="AB71" i="224"/>
  <c r="D102" i="222"/>
  <c r="F42" i="223"/>
  <c r="B20" i="223"/>
  <c r="F18" i="223"/>
  <c r="D19" i="223"/>
  <c r="D20" i="223"/>
  <c r="F44" i="224"/>
  <c r="F63" i="224" s="1"/>
  <c r="F92" i="224" s="1"/>
  <c r="W43" i="224"/>
  <c r="X63" i="16"/>
  <c r="L123" i="191" s="1"/>
  <c r="M123" i="191" s="1"/>
  <c r="H123" i="191"/>
  <c r="G643" i="184"/>
  <c r="M29" i="16"/>
  <c r="G44" i="16"/>
  <c r="D7" i="216"/>
  <c r="F12" i="191"/>
  <c r="G12" i="191" s="1"/>
  <c r="D50" i="216"/>
  <c r="L2209" i="184"/>
  <c r="F123" i="191"/>
  <c r="F50" i="216"/>
  <c r="F7" i="216"/>
  <c r="D112" i="14"/>
  <c r="C46" i="15"/>
  <c r="F46" i="15"/>
  <c r="K46" i="15"/>
  <c r="O46" i="15" s="1"/>
  <c r="F65" i="218"/>
  <c r="F36" i="15"/>
  <c r="D102" i="14"/>
  <c r="C36" i="15"/>
  <c r="H2209" i="184"/>
  <c r="H2243" i="184" s="1"/>
  <c r="M83" i="16"/>
  <c r="M2209" i="184" s="1"/>
  <c r="E1909" i="184"/>
  <c r="M18" i="16"/>
  <c r="C58" i="15"/>
  <c r="B59" i="15"/>
  <c r="F58" i="15"/>
  <c r="B41" i="15"/>
  <c r="M1687" i="184"/>
  <c r="AB65" i="16"/>
  <c r="F47" i="218"/>
  <c r="H86" i="191"/>
  <c r="X62" i="16"/>
  <c r="M31" i="16"/>
  <c r="F36" i="218"/>
  <c r="M1352" i="184"/>
  <c r="B30" i="15"/>
  <c r="D70" i="15"/>
  <c r="F70" i="15" s="1"/>
  <c r="D110" i="14"/>
  <c r="C44" i="15"/>
  <c r="D44" i="15"/>
  <c r="F52" i="15"/>
  <c r="C52" i="15"/>
  <c r="B54" i="15"/>
  <c r="F37" i="15"/>
  <c r="C37" i="15"/>
  <c r="D103" i="14"/>
  <c r="F23" i="218"/>
  <c r="F24" i="218" s="1"/>
  <c r="P31" i="227"/>
  <c r="W12" i="231"/>
  <c r="W45" i="16"/>
  <c r="W47" i="16" s="1"/>
  <c r="W34" i="16"/>
  <c r="R28" i="16"/>
  <c r="M903" i="184"/>
  <c r="Y12" i="231"/>
  <c r="Y47" i="231" s="1"/>
  <c r="Y68" i="231" s="1"/>
  <c r="R31" i="227"/>
  <c r="M977" i="184"/>
  <c r="D1463" i="184"/>
  <c r="M12" i="231"/>
  <c r="J31" i="227"/>
  <c r="M31" i="227" s="1"/>
  <c r="M532" i="184"/>
  <c r="R24" i="16"/>
  <c r="W25" i="16"/>
  <c r="W27" i="16" s="1"/>
  <c r="R61" i="16"/>
  <c r="C49" i="191"/>
  <c r="F14" i="15"/>
  <c r="D58" i="14"/>
  <c r="H30" i="187"/>
  <c r="C14" i="15"/>
  <c r="B15" i="15"/>
  <c r="C26" i="15"/>
  <c r="D61" i="14"/>
  <c r="F26" i="15"/>
  <c r="F15" i="218"/>
  <c r="J2096" i="184"/>
  <c r="M78" i="16"/>
  <c r="M2096" i="184" s="1"/>
  <c r="F19" i="218"/>
  <c r="AD19" i="218"/>
  <c r="AD20" i="218" s="1"/>
  <c r="N24" i="231"/>
  <c r="M587" i="184"/>
  <c r="K25" i="227"/>
  <c r="R24" i="82"/>
  <c r="R30" i="82" s="1"/>
  <c r="W28" i="82"/>
  <c r="W30" i="82" s="1"/>
  <c r="M2170" i="184"/>
  <c r="D64" i="218"/>
  <c r="B58" i="2"/>
  <c r="AV19" i="218"/>
  <c r="N33" i="231"/>
  <c r="AH33" i="231" s="1"/>
  <c r="W28" i="117"/>
  <c r="M598" i="184"/>
  <c r="R24" i="117"/>
  <c r="R30" i="117" s="1"/>
  <c r="K42" i="227"/>
  <c r="I268" i="191"/>
  <c r="I641" i="184"/>
  <c r="I44" i="13"/>
  <c r="L106" i="13"/>
  <c r="L118" i="13" s="1"/>
  <c r="L102" i="13" s="1"/>
  <c r="F4" i="221" s="1"/>
  <c r="L93" i="137"/>
  <c r="L2272" i="184"/>
  <c r="AT19" i="218"/>
  <c r="AU19" i="218" s="1"/>
  <c r="AU20" i="218" s="1"/>
  <c r="N32" i="231"/>
  <c r="M597" i="184"/>
  <c r="W28" i="112"/>
  <c r="W30" i="112" s="1"/>
  <c r="K41" i="227"/>
  <c r="M41" i="227" s="1"/>
  <c r="R24" i="112"/>
  <c r="R30" i="112" s="1"/>
  <c r="D34" i="218"/>
  <c r="M1276" i="184"/>
  <c r="B28" i="2"/>
  <c r="D29" i="218"/>
  <c r="M1163" i="184"/>
  <c r="B23" i="2"/>
  <c r="L11" i="231"/>
  <c r="M493" i="184"/>
  <c r="W46" i="13"/>
  <c r="I30" i="227"/>
  <c r="W37" i="13"/>
  <c r="H1424" i="184"/>
  <c r="M56" i="13"/>
  <c r="M1424" i="184" s="1"/>
  <c r="M1946" i="184"/>
  <c r="B50" i="2"/>
  <c r="D56" i="218"/>
  <c r="M83" i="26"/>
  <c r="M2212" i="184" s="1"/>
  <c r="D2212" i="184"/>
  <c r="M2357" i="184"/>
  <c r="D76" i="218"/>
  <c r="D1129" i="184"/>
  <c r="D11" i="219"/>
  <c r="D57" i="26"/>
  <c r="D14" i="218"/>
  <c r="M158" i="184"/>
  <c r="B14" i="2"/>
  <c r="D37" i="218"/>
  <c r="B31" i="2"/>
  <c r="M1387" i="184"/>
  <c r="M975" i="184"/>
  <c r="M1011" i="184" s="1"/>
  <c r="M2657" i="184" s="1"/>
  <c r="Y11" i="231"/>
  <c r="R30" i="227"/>
  <c r="N65" i="218"/>
  <c r="B57" i="25"/>
  <c r="M2138" i="184"/>
  <c r="J63" i="218"/>
  <c r="L57" i="162"/>
  <c r="L1131" i="184"/>
  <c r="D13" i="218"/>
  <c r="M121" i="184"/>
  <c r="B13" i="2"/>
  <c r="O13" i="13"/>
  <c r="M827" i="184"/>
  <c r="U11" i="231"/>
  <c r="D33" i="218"/>
  <c r="B27" i="2"/>
  <c r="M1239" i="184"/>
  <c r="B44" i="2"/>
  <c r="M1796" i="184"/>
  <c r="D50" i="218"/>
  <c r="AB68" i="13"/>
  <c r="D67" i="2"/>
  <c r="M29" i="13"/>
  <c r="W11" i="231"/>
  <c r="P30" i="227"/>
  <c r="D23" i="218"/>
  <c r="D24" i="218" s="1"/>
  <c r="R28" i="13"/>
  <c r="M901" i="184"/>
  <c r="O11" i="231"/>
  <c r="O47" i="231" s="1"/>
  <c r="O68" i="231" s="1"/>
  <c r="L30" i="227"/>
  <c r="M604" i="184"/>
  <c r="M11" i="231"/>
  <c r="M530" i="184"/>
  <c r="W25" i="13"/>
  <c r="J30" i="227"/>
  <c r="M1049" i="184"/>
  <c r="T30" i="227"/>
  <c r="T49" i="227" s="1"/>
  <c r="AA11" i="231"/>
  <c r="AB64" i="13"/>
  <c r="D46" i="218"/>
  <c r="M1648" i="184"/>
  <c r="B40" i="2"/>
  <c r="H57" i="13"/>
  <c r="H195" i="184"/>
  <c r="M15" i="13"/>
  <c r="M195" i="184" s="1"/>
  <c r="P70" i="13"/>
  <c r="I4" i="221" s="1"/>
  <c r="P71" i="13"/>
  <c r="D343" i="191"/>
  <c r="E57" i="13"/>
  <c r="E1124" i="184"/>
  <c r="AF19" i="218"/>
  <c r="R24" i="199"/>
  <c r="R30" i="199" s="1"/>
  <c r="N29" i="231"/>
  <c r="M585" i="184"/>
  <c r="W28" i="199"/>
  <c r="W30" i="199"/>
  <c r="K45" i="227"/>
  <c r="M29" i="236"/>
  <c r="B18" i="235" s="1"/>
  <c r="D44" i="236"/>
  <c r="D36" i="218"/>
  <c r="M1350" i="184"/>
  <c r="D70" i="2"/>
  <c r="F70" i="2"/>
  <c r="B30" i="2"/>
  <c r="J641" i="184"/>
  <c r="J44" i="13"/>
  <c r="R64" i="13"/>
  <c r="C158" i="191"/>
  <c r="D47" i="218"/>
  <c r="M1685" i="184"/>
  <c r="AB65" i="13"/>
  <c r="B41" i="2"/>
  <c r="D157" i="191"/>
  <c r="AX20" i="218"/>
  <c r="D22" i="218"/>
  <c r="M864" i="184"/>
  <c r="V11" i="231"/>
  <c r="O30" i="227"/>
  <c r="Q26" i="13"/>
  <c r="Q30" i="13" s="1"/>
  <c r="AB19" i="218"/>
  <c r="K39" i="227"/>
  <c r="N23" i="231"/>
  <c r="M584" i="184"/>
  <c r="W28" i="78"/>
  <c r="W30" i="78" s="1"/>
  <c r="R24" i="78"/>
  <c r="R30" i="78"/>
  <c r="W28" i="26"/>
  <c r="W30" i="26" s="1"/>
  <c r="K32" i="227"/>
  <c r="R24" i="26"/>
  <c r="R30" i="26" s="1"/>
  <c r="M572" i="184"/>
  <c r="N14" i="231"/>
  <c r="M1611" i="184"/>
  <c r="AB63" i="13"/>
  <c r="B39" i="2"/>
  <c r="D45" i="218"/>
  <c r="D11" i="218"/>
  <c r="M47" i="184"/>
  <c r="B11" i="2"/>
  <c r="M2283" i="184"/>
  <c r="D74" i="218"/>
  <c r="F195" i="191"/>
  <c r="H6" i="216"/>
  <c r="BV19" i="218"/>
  <c r="N46" i="231"/>
  <c r="M593" i="184"/>
  <c r="K28" i="227"/>
  <c r="W28" i="177"/>
  <c r="W30" i="177"/>
  <c r="R24" i="177"/>
  <c r="M753" i="184"/>
  <c r="S11" i="231"/>
  <c r="W37" i="162"/>
  <c r="W38" i="162" s="1"/>
  <c r="I15" i="227"/>
  <c r="R24" i="162"/>
  <c r="R30" i="162" s="1"/>
  <c r="W46" i="162"/>
  <c r="W47" i="162"/>
  <c r="L43" i="231"/>
  <c r="BP19" i="218"/>
  <c r="M500" i="184"/>
  <c r="G11" i="231"/>
  <c r="W36" i="13"/>
  <c r="W38" i="13" s="1"/>
  <c r="M308" i="184"/>
  <c r="G234" i="184"/>
  <c r="M18" i="13"/>
  <c r="L1146" i="184"/>
  <c r="L57" i="102"/>
  <c r="W37" i="236"/>
  <c r="W38" i="236" s="1"/>
  <c r="W46" i="236"/>
  <c r="W47" i="236" s="1"/>
  <c r="R24" i="236"/>
  <c r="R30" i="236" s="1"/>
  <c r="L121" i="191"/>
  <c r="X68" i="13"/>
  <c r="D19" i="218"/>
  <c r="D20" i="218" s="1"/>
  <c r="M456" i="184"/>
  <c r="M492" i="184" s="1"/>
  <c r="M2642" i="184" s="1"/>
  <c r="W45" i="13"/>
  <c r="W34" i="13"/>
  <c r="H30" i="227"/>
  <c r="K11" i="231"/>
  <c r="R24" i="13"/>
  <c r="L44" i="177"/>
  <c r="M29" i="177"/>
  <c r="L667" i="184"/>
  <c r="D679" i="184"/>
  <c r="M31" i="13"/>
  <c r="M29" i="162"/>
  <c r="D44" i="162"/>
  <c r="D648" i="184"/>
  <c r="M345" i="184"/>
  <c r="H11" i="231"/>
  <c r="H47" i="231" s="1"/>
  <c r="W41" i="13"/>
  <c r="W26" i="13"/>
  <c r="L85" i="122"/>
  <c r="L1493" i="184"/>
  <c r="K1126" i="184"/>
  <c r="K57" i="16"/>
  <c r="W35" i="16"/>
  <c r="H1126" i="184"/>
  <c r="H57" i="16"/>
  <c r="F39" i="15"/>
  <c r="D105" i="14"/>
  <c r="C39" i="15"/>
  <c r="L85" i="16"/>
  <c r="J1126" i="184"/>
  <c r="W43" i="16"/>
  <c r="L12" i="212"/>
  <c r="D104" i="14"/>
  <c r="E38" i="15"/>
  <c r="C38" i="15"/>
  <c r="M160" i="191"/>
  <c r="AA71" i="16"/>
  <c r="AB69" i="16"/>
  <c r="AB71" i="16"/>
  <c r="AB72" i="16" s="1"/>
  <c r="J5" i="221" s="1"/>
  <c r="I1126" i="184"/>
  <c r="I57" i="16"/>
  <c r="Q30" i="16"/>
  <c r="E1126" i="184"/>
  <c r="D9" i="219"/>
  <c r="M234" i="191"/>
  <c r="F19" i="15"/>
  <c r="J19" i="15"/>
  <c r="C19" i="15"/>
  <c r="F42" i="15"/>
  <c r="K42" i="15" s="1"/>
  <c r="N42" i="15" s="1"/>
  <c r="D108" i="14"/>
  <c r="C42" i="15"/>
  <c r="F51" i="15"/>
  <c r="F54" i="15"/>
  <c r="C51" i="15"/>
  <c r="F10" i="191"/>
  <c r="G10" i="191" s="1"/>
  <c r="D6" i="216"/>
  <c r="D111" i="1"/>
  <c r="F45" i="2"/>
  <c r="K45" i="2" s="1"/>
  <c r="O45" i="2" s="1"/>
  <c r="F42" i="2"/>
  <c r="K42" i="2" s="1"/>
  <c r="N42" i="2" s="1"/>
  <c r="D108" i="1"/>
  <c r="C52" i="2"/>
  <c r="AB69" i="13"/>
  <c r="AA71" i="13"/>
  <c r="M31" i="191"/>
  <c r="F44" i="146"/>
  <c r="L109" i="224"/>
  <c r="F48" i="221" s="1"/>
  <c r="BT53" i="218"/>
  <c r="BT54" i="218" s="1"/>
  <c r="D25" i="192"/>
  <c r="L49" i="191"/>
  <c r="M49" i="191" s="1"/>
  <c r="F13" i="15"/>
  <c r="J13" i="15"/>
  <c r="G30" i="187"/>
  <c r="D57" i="14"/>
  <c r="C13" i="15"/>
  <c r="U26" i="227"/>
  <c r="F57" i="132"/>
  <c r="W30" i="167"/>
  <c r="I44" i="212"/>
  <c r="I57" i="36"/>
  <c r="W38" i="195"/>
  <c r="M190" i="191"/>
  <c r="M256" i="191"/>
  <c r="M88" i="191"/>
  <c r="F11" i="76"/>
  <c r="J11" i="76" s="1"/>
  <c r="D55" i="75"/>
  <c r="E36" i="187"/>
  <c r="C11" i="76"/>
  <c r="I43" i="218"/>
  <c r="H45" i="229"/>
  <c r="I36" i="218"/>
  <c r="O35" i="214"/>
  <c r="G34" i="229"/>
  <c r="AK46" i="218"/>
  <c r="AK42" i="218"/>
  <c r="H29" i="229"/>
  <c r="S44" i="218"/>
  <c r="S18" i="218"/>
  <c r="S48" i="218"/>
  <c r="AS46" i="218"/>
  <c r="AS37" i="218"/>
  <c r="AS52" i="218"/>
  <c r="AS32" i="218"/>
  <c r="AS59" i="218"/>
  <c r="AS50" i="218"/>
  <c r="AS49" i="218"/>
  <c r="AS58" i="218"/>
  <c r="AS34" i="218"/>
  <c r="AS57" i="218"/>
  <c r="AS13" i="218"/>
  <c r="AS64" i="218"/>
  <c r="AS22" i="218"/>
  <c r="AS48" i="218"/>
  <c r="AS47" i="218"/>
  <c r="AS45" i="218"/>
  <c r="AS51" i="218"/>
  <c r="AS18" i="218"/>
  <c r="AS10" i="218"/>
  <c r="AS44" i="218"/>
  <c r="AS36" i="218"/>
  <c r="D66" i="175"/>
  <c r="R30" i="177"/>
  <c r="D110" i="34"/>
  <c r="D44" i="35"/>
  <c r="C44" i="35"/>
  <c r="D107" i="34"/>
  <c r="C41" i="35"/>
  <c r="M50" i="191"/>
  <c r="F161" i="191"/>
  <c r="G161" i="191"/>
  <c r="G10" i="216"/>
  <c r="F51" i="35"/>
  <c r="C51" i="35"/>
  <c r="E10" i="216"/>
  <c r="F50" i="191"/>
  <c r="G50" i="191" s="1"/>
  <c r="D104" i="34"/>
  <c r="E38" i="35"/>
  <c r="E47" i="35" s="1"/>
  <c r="E61" i="35" s="1"/>
  <c r="E73" i="35" s="1"/>
  <c r="C38" i="35"/>
  <c r="R30" i="152"/>
  <c r="W22" i="122"/>
  <c r="G34" i="212"/>
  <c r="R35" i="122"/>
  <c r="U35" i="227"/>
  <c r="D57" i="19"/>
  <c r="F52" i="20"/>
  <c r="C52" i="20"/>
  <c r="F46" i="20"/>
  <c r="K46" i="20"/>
  <c r="O46" i="20" s="1"/>
  <c r="D112" i="19"/>
  <c r="C46" i="20"/>
  <c r="D8" i="216"/>
  <c r="F14" i="191"/>
  <c r="G14" i="191" s="1"/>
  <c r="F37" i="20"/>
  <c r="K37" i="20" s="1"/>
  <c r="L37" i="20" s="1"/>
  <c r="D103" i="19"/>
  <c r="C37" i="20"/>
  <c r="G31" i="187"/>
  <c r="D109" i="19"/>
  <c r="F43" i="20"/>
  <c r="K43" i="20" s="1"/>
  <c r="M43" i="20" s="1"/>
  <c r="C43" i="20"/>
  <c r="G8" i="216"/>
  <c r="F162" i="191"/>
  <c r="G162" i="191" s="1"/>
  <c r="F41" i="20"/>
  <c r="D107" i="19"/>
  <c r="C41" i="20"/>
  <c r="D110" i="19"/>
  <c r="D44" i="20"/>
  <c r="D47" i="20" s="1"/>
  <c r="C44" i="20"/>
  <c r="D107" i="24"/>
  <c r="F41" i="25"/>
  <c r="F37" i="25"/>
  <c r="K37" i="25" s="1"/>
  <c r="D103" i="24"/>
  <c r="M89" i="191"/>
  <c r="D111" i="24"/>
  <c r="F45" i="25"/>
  <c r="K45" i="25" s="1"/>
  <c r="O45" i="25" s="1"/>
  <c r="D102" i="24"/>
  <c r="F36" i="25"/>
  <c r="C37" i="25"/>
  <c r="D112" i="45"/>
  <c r="C46" i="46"/>
  <c r="M37" i="227"/>
  <c r="E45" i="231"/>
  <c r="AG45" i="231"/>
  <c r="M258" i="184"/>
  <c r="P105" i="172"/>
  <c r="F43" i="171"/>
  <c r="K43" i="171" s="1"/>
  <c r="M43" i="171" s="1"/>
  <c r="D109" i="170"/>
  <c r="E57" i="172"/>
  <c r="D106" i="170"/>
  <c r="F40" i="171"/>
  <c r="K40" i="171" s="1"/>
  <c r="M40" i="171" s="1"/>
  <c r="F219" i="191"/>
  <c r="G219" i="191" s="1"/>
  <c r="H40" i="216"/>
  <c r="F145" i="191"/>
  <c r="G145" i="191" s="1"/>
  <c r="F40" i="216"/>
  <c r="F51" i="171"/>
  <c r="D103" i="170"/>
  <c r="F37" i="171"/>
  <c r="K37" i="171" s="1"/>
  <c r="L37" i="171" s="1"/>
  <c r="C37" i="171"/>
  <c r="M293" i="191"/>
  <c r="F2686" i="184"/>
  <c r="W27" i="172"/>
  <c r="F58" i="171"/>
  <c r="D107" i="170"/>
  <c r="F41" i="171"/>
  <c r="C41" i="171"/>
  <c r="F52" i="171"/>
  <c r="D102" i="170"/>
  <c r="F36" i="171"/>
  <c r="G40" i="216"/>
  <c r="F182" i="191"/>
  <c r="G182" i="191" s="1"/>
  <c r="D104" i="170"/>
  <c r="E38" i="171"/>
  <c r="E47" i="171" s="1"/>
  <c r="E61" i="171" s="1"/>
  <c r="E73" i="171" s="1"/>
  <c r="L2269" i="184"/>
  <c r="L93" i="172"/>
  <c r="L2529" i="184" s="1"/>
  <c r="AA71" i="172"/>
  <c r="AB69" i="172"/>
  <c r="AB71" i="172" s="1"/>
  <c r="AB72" i="172" s="1"/>
  <c r="J39" i="221" s="1"/>
  <c r="X68" i="195"/>
  <c r="F57" i="194"/>
  <c r="C57" i="194"/>
  <c r="C53" i="194"/>
  <c r="F51" i="194"/>
  <c r="C51" i="194"/>
  <c r="Q30" i="195"/>
  <c r="B59" i="194"/>
  <c r="D37" i="216"/>
  <c r="F44" i="191"/>
  <c r="G44" i="191"/>
  <c r="F59" i="194"/>
  <c r="BN66" i="218"/>
  <c r="AB69" i="195"/>
  <c r="AB71" i="195" s="1"/>
  <c r="AB72" i="195" s="1"/>
  <c r="J36" i="221" s="1"/>
  <c r="AA71" i="195"/>
  <c r="J57" i="157"/>
  <c r="D57" i="147"/>
  <c r="M109" i="191"/>
  <c r="E47" i="146"/>
  <c r="E61" i="146" s="1"/>
  <c r="E73" i="146" s="1"/>
  <c r="F38" i="146"/>
  <c r="D105" i="145"/>
  <c r="F39" i="146"/>
  <c r="C39" i="146"/>
  <c r="L57" i="147"/>
  <c r="F10" i="141"/>
  <c r="D54" i="140"/>
  <c r="F39" i="141"/>
  <c r="D105" i="140"/>
  <c r="D112" i="140"/>
  <c r="F46" i="141"/>
  <c r="K46" i="141" s="1"/>
  <c r="O46" i="141" s="1"/>
  <c r="F58" i="141"/>
  <c r="M1113" i="184"/>
  <c r="M789" i="184"/>
  <c r="M2651" i="184" s="1"/>
  <c r="M44" i="102"/>
  <c r="F57" i="112"/>
  <c r="W47" i="147"/>
  <c r="M39" i="212" s="1"/>
  <c r="M228" i="191"/>
  <c r="W43" i="122"/>
  <c r="L34" i="212" s="1"/>
  <c r="F23" i="20"/>
  <c r="D11" i="19"/>
  <c r="D60" i="19"/>
  <c r="C23" i="20"/>
  <c r="D61" i="80"/>
  <c r="F26" i="81"/>
  <c r="L38" i="229"/>
  <c r="L37" i="214"/>
  <c r="J23" i="61"/>
  <c r="H38" i="210" s="1"/>
  <c r="K36" i="209"/>
  <c r="C21" i="233"/>
  <c r="H30" i="218"/>
  <c r="AJ34" i="231"/>
  <c r="M183" i="191"/>
  <c r="D109" i="175"/>
  <c r="D66" i="40"/>
  <c r="F31" i="41"/>
  <c r="F51" i="235"/>
  <c r="C39" i="20"/>
  <c r="F29" i="15"/>
  <c r="J29" i="15" s="1"/>
  <c r="D64" i="14"/>
  <c r="C29" i="15"/>
  <c r="F39" i="20"/>
  <c r="F31" i="15"/>
  <c r="D66" i="14"/>
  <c r="C31" i="15"/>
  <c r="F38" i="86"/>
  <c r="M220" i="191"/>
  <c r="M93" i="191"/>
  <c r="X39" i="236"/>
  <c r="Q30" i="107"/>
  <c r="AZ65" i="218"/>
  <c r="W31" i="122"/>
  <c r="I34" i="212"/>
  <c r="F79" i="191"/>
  <c r="G79" i="191" s="1"/>
  <c r="E29" i="216"/>
  <c r="E85" i="122"/>
  <c r="E1493" i="184"/>
  <c r="M711" i="184"/>
  <c r="P106" i="122"/>
  <c r="Q34" i="231"/>
  <c r="AI34" i="231"/>
  <c r="F53" i="121"/>
  <c r="N43" i="220" s="1"/>
  <c r="C53" i="121"/>
  <c r="K85" i="122"/>
  <c r="K1493" i="184"/>
  <c r="D30" i="121"/>
  <c r="D32" i="121"/>
  <c r="D33" i="121" s="1"/>
  <c r="D65" i="120"/>
  <c r="C30" i="121"/>
  <c r="I1156" i="184"/>
  <c r="I57" i="122"/>
  <c r="AA71" i="122"/>
  <c r="AB69" i="122"/>
  <c r="E34" i="231"/>
  <c r="AG34" i="231" s="1"/>
  <c r="M266" i="184"/>
  <c r="P105" i="122"/>
  <c r="D111" i="120"/>
  <c r="F45" i="121"/>
  <c r="K45" i="121" s="1"/>
  <c r="O45" i="121" s="1"/>
  <c r="O47" i="121" s="1"/>
  <c r="O49" i="121" s="1"/>
  <c r="N43" i="210" s="1"/>
  <c r="C45" i="121"/>
  <c r="F52" i="121"/>
  <c r="C52" i="121"/>
  <c r="F41" i="121"/>
  <c r="D107" i="120"/>
  <c r="C41" i="121"/>
  <c r="L79" i="191"/>
  <c r="M79" i="191" s="1"/>
  <c r="D37" i="192"/>
  <c r="F26" i="121"/>
  <c r="J26" i="121" s="1"/>
  <c r="D61" i="120"/>
  <c r="C26" i="121"/>
  <c r="F13" i="121"/>
  <c r="J13" i="121" s="1"/>
  <c r="D57" i="120"/>
  <c r="G19" i="187"/>
  <c r="C13" i="121"/>
  <c r="G57" i="122"/>
  <c r="R69" i="122"/>
  <c r="F375" i="191"/>
  <c r="D104" i="120"/>
  <c r="E38" i="121"/>
  <c r="E47" i="121" s="1"/>
  <c r="E61" i="121" s="1"/>
  <c r="E73" i="121" s="1"/>
  <c r="C38" i="121"/>
  <c r="F85" i="122"/>
  <c r="F1493" i="184"/>
  <c r="M43" i="227"/>
  <c r="F43" i="121"/>
  <c r="K43" i="121" s="1"/>
  <c r="M43" i="121" s="1"/>
  <c r="D109" i="120"/>
  <c r="C43" i="121"/>
  <c r="B59" i="121"/>
  <c r="F57" i="121"/>
  <c r="C57" i="121"/>
  <c r="C44" i="121"/>
  <c r="D110" i="120"/>
  <c r="D44" i="121"/>
  <c r="J1156" i="184"/>
  <c r="J57" i="122"/>
  <c r="K39" i="121"/>
  <c r="L39" i="121"/>
  <c r="I39" i="121"/>
  <c r="J42" i="213" s="1"/>
  <c r="D103" i="120"/>
  <c r="F37" i="121"/>
  <c r="C37" i="121"/>
  <c r="AX65" i="218"/>
  <c r="AX66" i="218"/>
  <c r="F50" i="121"/>
  <c r="C50" i="121"/>
  <c r="B54" i="121"/>
  <c r="AX53" i="218"/>
  <c r="AX54" i="218" s="1"/>
  <c r="W43" i="227"/>
  <c r="F58" i="121"/>
  <c r="C58" i="121"/>
  <c r="AX60" i="218"/>
  <c r="B47" i="121"/>
  <c r="D102" i="120"/>
  <c r="F36" i="121"/>
  <c r="C36" i="121"/>
  <c r="M44" i="122"/>
  <c r="F42" i="121"/>
  <c r="K42" i="121" s="1"/>
  <c r="N42" i="121" s="1"/>
  <c r="D108" i="120"/>
  <c r="C42" i="121"/>
  <c r="G29" i="216"/>
  <c r="F190" i="191"/>
  <c r="G190" i="191" s="1"/>
  <c r="M673" i="184"/>
  <c r="B18" i="121"/>
  <c r="P34" i="231"/>
  <c r="AH34" i="231" s="1"/>
  <c r="D106" i="120"/>
  <c r="F40" i="121"/>
  <c r="K40" i="121" s="1"/>
  <c r="M40" i="121" s="1"/>
  <c r="C40" i="121"/>
  <c r="C37" i="116"/>
  <c r="F43" i="116"/>
  <c r="K43" i="116" s="1"/>
  <c r="M43" i="116" s="1"/>
  <c r="D109" i="115"/>
  <c r="C43" i="116"/>
  <c r="AB69" i="117"/>
  <c r="AB71" i="117" s="1"/>
  <c r="AB72" i="117" s="1"/>
  <c r="J27" i="221" s="1"/>
  <c r="AA71" i="117"/>
  <c r="W27" i="117"/>
  <c r="H33" i="212" s="1"/>
  <c r="F37" i="116"/>
  <c r="E28" i="216"/>
  <c r="F78" i="191"/>
  <c r="G78" i="191" s="1"/>
  <c r="E1943" i="184"/>
  <c r="F36" i="116"/>
  <c r="D102" i="115"/>
  <c r="C36" i="116"/>
  <c r="L1155" i="184"/>
  <c r="L57" i="117"/>
  <c r="M263" i="191"/>
  <c r="F677" i="184"/>
  <c r="W35" i="107"/>
  <c r="J31" i="212" s="1"/>
  <c r="B32" i="106"/>
  <c r="D12" i="105" s="1"/>
  <c r="F38" i="106"/>
  <c r="F28" i="106"/>
  <c r="F51" i="202"/>
  <c r="AB69" i="203"/>
  <c r="AA71" i="203"/>
  <c r="F43" i="202"/>
  <c r="K43" i="202" s="1"/>
  <c r="M43" i="202" s="1"/>
  <c r="D109" i="201"/>
  <c r="G57" i="199"/>
  <c r="G1142" i="184"/>
  <c r="F40" i="198"/>
  <c r="K40" i="198" s="1"/>
  <c r="M40" i="198" s="1"/>
  <c r="D106" i="197"/>
  <c r="C40" i="198"/>
  <c r="F57" i="199"/>
  <c r="D103" i="197"/>
  <c r="F37" i="198"/>
  <c r="K37" i="198" s="1"/>
  <c r="L37" i="198" s="1"/>
  <c r="C37" i="198"/>
  <c r="AA71" i="199"/>
  <c r="AB69" i="199"/>
  <c r="D44" i="198"/>
  <c r="D47" i="198"/>
  <c r="D110" i="197"/>
  <c r="C44" i="198"/>
  <c r="F50" i="198"/>
  <c r="C50" i="198"/>
  <c r="D1146" i="184"/>
  <c r="D57" i="102"/>
  <c r="W38" i="102"/>
  <c r="M143" i="191"/>
  <c r="D104" i="100"/>
  <c r="E38" i="101"/>
  <c r="E47" i="101" s="1"/>
  <c r="E61" i="101" s="1"/>
  <c r="E73" i="101" s="1"/>
  <c r="D108" i="100"/>
  <c r="F42" i="101"/>
  <c r="K42" i="101" s="1"/>
  <c r="N42" i="101" s="1"/>
  <c r="F1146" i="184"/>
  <c r="F57" i="102"/>
  <c r="F36" i="101"/>
  <c r="D102" i="100"/>
  <c r="D60" i="90"/>
  <c r="D11" i="90"/>
  <c r="F23" i="91"/>
  <c r="AL30" i="218"/>
  <c r="C126" i="233"/>
  <c r="D44" i="86"/>
  <c r="D47" i="86"/>
  <c r="D110" i="85"/>
  <c r="C44" i="86"/>
  <c r="M246" i="191"/>
  <c r="F85" i="87"/>
  <c r="D105" i="85"/>
  <c r="F39" i="86"/>
  <c r="C39" i="86"/>
  <c r="F45" i="86"/>
  <c r="K45" i="86" s="1"/>
  <c r="O45" i="86" s="1"/>
  <c r="D111" i="85"/>
  <c r="C45" i="86"/>
  <c r="F58" i="86"/>
  <c r="C58" i="86"/>
  <c r="C59" i="86" s="1"/>
  <c r="D104" i="85"/>
  <c r="C38" i="86"/>
  <c r="W35" i="87"/>
  <c r="J25" i="212"/>
  <c r="D85" i="87"/>
  <c r="D1475" i="184"/>
  <c r="F51" i="86"/>
  <c r="C51" i="86"/>
  <c r="G85" i="87"/>
  <c r="G1475" i="184"/>
  <c r="M44" i="87"/>
  <c r="L1138" i="184"/>
  <c r="L57" i="87"/>
  <c r="W43" i="87"/>
  <c r="H57" i="87"/>
  <c r="D112" i="85"/>
  <c r="F46" i="86"/>
  <c r="K46" i="86" s="1"/>
  <c r="O46" i="86" s="1"/>
  <c r="C46" i="86"/>
  <c r="F37" i="86"/>
  <c r="K37" i="86" s="1"/>
  <c r="L37" i="86" s="1"/>
  <c r="D103" i="85"/>
  <c r="C37" i="86"/>
  <c r="F28" i="81"/>
  <c r="D63" i="80"/>
  <c r="AD15" i="218"/>
  <c r="H57" i="72"/>
  <c r="F58" i="71"/>
  <c r="D270" i="184"/>
  <c r="R30" i="57"/>
  <c r="H305" i="191"/>
  <c r="X48" i="122"/>
  <c r="M34" i="212"/>
  <c r="C96" i="233"/>
  <c r="J34" i="212"/>
  <c r="X39" i="122"/>
  <c r="M211" i="191"/>
  <c r="Q30" i="147"/>
  <c r="F31" i="176"/>
  <c r="D54" i="150"/>
  <c r="C10" i="151"/>
  <c r="T12" i="230" s="1"/>
  <c r="F10" i="151"/>
  <c r="J10" i="151" s="1"/>
  <c r="D20" i="187"/>
  <c r="AX30" i="218"/>
  <c r="C168" i="233"/>
  <c r="G38" i="187"/>
  <c r="D57" i="95"/>
  <c r="F13" i="96"/>
  <c r="AI37" i="231"/>
  <c r="D29" i="187"/>
  <c r="D54" i="1"/>
  <c r="F10" i="2"/>
  <c r="J10" i="2" s="1"/>
  <c r="C10" i="2"/>
  <c r="T30" i="230" s="1"/>
  <c r="U38" i="227"/>
  <c r="AB71" i="137"/>
  <c r="AB72" i="137" s="1"/>
  <c r="J31" i="221" s="1"/>
  <c r="W47" i="152"/>
  <c r="M40" i="212" s="1"/>
  <c r="M122" i="191"/>
  <c r="W38" i="177"/>
  <c r="F11" i="171"/>
  <c r="D55" i="170"/>
  <c r="E46" i="187"/>
  <c r="F14" i="171"/>
  <c r="H46" i="187"/>
  <c r="D58" i="170"/>
  <c r="F27" i="15"/>
  <c r="J27" i="15"/>
  <c r="D62" i="14"/>
  <c r="C27" i="15"/>
  <c r="R30" i="36"/>
  <c r="R35" i="36"/>
  <c r="U42" i="227"/>
  <c r="W19" i="227"/>
  <c r="M269" i="191"/>
  <c r="D65" i="80"/>
  <c r="D30" i="81"/>
  <c r="D32" i="81" s="1"/>
  <c r="D57" i="80"/>
  <c r="G37" i="187"/>
  <c r="F13" i="81"/>
  <c r="D62" i="40"/>
  <c r="F27" i="41"/>
  <c r="Q35" i="16"/>
  <c r="Q36" i="16"/>
  <c r="G5" i="221" s="1"/>
  <c r="G20" i="187"/>
  <c r="D57" i="150"/>
  <c r="F13" i="151"/>
  <c r="C13" i="151"/>
  <c r="D60" i="80"/>
  <c r="D11" i="80"/>
  <c r="F23" i="81"/>
  <c r="W38" i="132"/>
  <c r="B59" i="41"/>
  <c r="F58" i="41"/>
  <c r="F59" i="41" s="1"/>
  <c r="D111" i="34"/>
  <c r="F45" i="35"/>
  <c r="K45" i="35" s="1"/>
  <c r="O45" i="35"/>
  <c r="C45" i="35"/>
  <c r="F26" i="2"/>
  <c r="J26" i="2"/>
  <c r="D61" i="1"/>
  <c r="W27" i="199"/>
  <c r="H29" i="212" s="1"/>
  <c r="D63" i="120"/>
  <c r="C28" i="121"/>
  <c r="F28" i="121"/>
  <c r="C98" i="233"/>
  <c r="AD30" i="218"/>
  <c r="M125" i="191"/>
  <c r="D54" i="14"/>
  <c r="D30" i="187"/>
  <c r="F10" i="15"/>
  <c r="J10" i="15" s="1"/>
  <c r="C10" i="15"/>
  <c r="T31" i="230" s="1"/>
  <c r="D37" i="187"/>
  <c r="F10" i="81"/>
  <c r="J10" i="81" s="1"/>
  <c r="D54" i="80"/>
  <c r="F10" i="121"/>
  <c r="J10" i="121" s="1"/>
  <c r="D54" i="120"/>
  <c r="D19" i="187"/>
  <c r="C10" i="121"/>
  <c r="T43" i="230" s="1"/>
  <c r="F23" i="121"/>
  <c r="D60" i="120"/>
  <c r="D11" i="120"/>
  <c r="C23" i="121"/>
  <c r="U44" i="227"/>
  <c r="B15" i="141"/>
  <c r="D35" i="242" s="1"/>
  <c r="F38" i="156"/>
  <c r="F52" i="46"/>
  <c r="C52" i="46"/>
  <c r="C14" i="171"/>
  <c r="H20" i="187"/>
  <c r="D58" i="150"/>
  <c r="F14" i="151"/>
  <c r="J14" i="151" s="1"/>
  <c r="C14" i="151"/>
  <c r="Q35" i="203"/>
  <c r="Q36" i="203"/>
  <c r="G24" i="221" s="1"/>
  <c r="Q35" i="137"/>
  <c r="Q36" i="137"/>
  <c r="G31" i="221" s="1"/>
  <c r="W43" i="42"/>
  <c r="W38" i="52"/>
  <c r="M21" i="227"/>
  <c r="AB71" i="142"/>
  <c r="AB72" i="142" s="1"/>
  <c r="J32" i="221" s="1"/>
  <c r="W43" i="167"/>
  <c r="D20" i="176"/>
  <c r="D33" i="176" s="1"/>
  <c r="F19" i="81"/>
  <c r="C19" i="81"/>
  <c r="F31" i="91"/>
  <c r="D66" i="90"/>
  <c r="D85" i="122"/>
  <c r="D1493" i="184"/>
  <c r="BJ38" i="218"/>
  <c r="C211" i="233" s="1"/>
  <c r="C238" i="233"/>
  <c r="BR30" i="218"/>
  <c r="BS29" i="218"/>
  <c r="F29" i="2"/>
  <c r="J29" i="2" s="1"/>
  <c r="D64" i="1"/>
  <c r="C29" i="2"/>
  <c r="D62" i="170"/>
  <c r="F27" i="171"/>
  <c r="D58" i="19"/>
  <c r="F14" i="20"/>
  <c r="J14" i="20" s="1"/>
  <c r="H31" i="187"/>
  <c r="I31" i="187" s="1"/>
  <c r="C14" i="20"/>
  <c r="D2525" i="184"/>
  <c r="D109" i="193"/>
  <c r="F43" i="194"/>
  <c r="K43" i="194" s="1"/>
  <c r="M43" i="194" s="1"/>
  <c r="C43" i="194"/>
  <c r="W47" i="36"/>
  <c r="W47" i="26"/>
  <c r="M14" i="212" s="1"/>
  <c r="M144" i="191"/>
  <c r="AJ25" i="231"/>
  <c r="AN60" i="218"/>
  <c r="AN61" i="218" s="1"/>
  <c r="W38" i="117"/>
  <c r="D9" i="120"/>
  <c r="D31" i="242"/>
  <c r="U21" i="227"/>
  <c r="M171" i="191"/>
  <c r="W38" i="152"/>
  <c r="K40" i="212"/>
  <c r="J1159" i="184"/>
  <c r="J57" i="92"/>
  <c r="F51" i="71"/>
  <c r="F29" i="151"/>
  <c r="J29" i="151" s="1"/>
  <c r="D64" i="150"/>
  <c r="C29" i="151"/>
  <c r="B32" i="151"/>
  <c r="D12" i="150"/>
  <c r="D109" i="14"/>
  <c r="F43" i="15"/>
  <c r="K43" i="15" s="1"/>
  <c r="M43" i="15" s="1"/>
  <c r="C43" i="15"/>
  <c r="G57" i="92"/>
  <c r="G1159" i="184"/>
  <c r="D62" i="150"/>
  <c r="F27" i="151"/>
  <c r="J27" i="151" s="1"/>
  <c r="C27" i="151"/>
  <c r="F57" i="2"/>
  <c r="C57" i="2"/>
  <c r="AC39" i="209"/>
  <c r="J31" i="111"/>
  <c r="F19" i="161"/>
  <c r="J19" i="161" s="1"/>
  <c r="C19" i="161"/>
  <c r="F44" i="171"/>
  <c r="F26" i="41"/>
  <c r="D61" i="40"/>
  <c r="D66" i="150"/>
  <c r="F31" i="151"/>
  <c r="C31" i="151"/>
  <c r="K1468" i="184"/>
  <c r="K85" i="162"/>
  <c r="K1481" i="184"/>
  <c r="K85" i="82"/>
  <c r="E57" i="47"/>
  <c r="E1134" i="184"/>
  <c r="D25" i="187"/>
  <c r="F10" i="202"/>
  <c r="D54" i="201"/>
  <c r="D64" i="75"/>
  <c r="F29" i="76"/>
  <c r="J29" i="76" s="1"/>
  <c r="C29" i="76"/>
  <c r="J1468" i="184"/>
  <c r="J85" i="162"/>
  <c r="AB69" i="26"/>
  <c r="AA71" i="26"/>
  <c r="X39" i="87"/>
  <c r="W43" i="92"/>
  <c r="W30" i="92"/>
  <c r="W35" i="199"/>
  <c r="J29" i="212"/>
  <c r="W47" i="127"/>
  <c r="M35" i="212" s="1"/>
  <c r="M259" i="191"/>
  <c r="W27" i="142"/>
  <c r="AB71" i="167"/>
  <c r="AB72" i="167" s="1"/>
  <c r="J38" i="221" s="1"/>
  <c r="M207" i="191"/>
  <c r="F23" i="76"/>
  <c r="D11" i="75"/>
  <c r="D60" i="75"/>
  <c r="C23" i="76"/>
  <c r="F23" i="15"/>
  <c r="D11" i="14"/>
  <c r="D60" i="14"/>
  <c r="C23" i="15"/>
  <c r="L1128" i="184"/>
  <c r="L57" i="21"/>
  <c r="D58" i="75"/>
  <c r="F14" i="76"/>
  <c r="H36" i="187"/>
  <c r="I36" i="187"/>
  <c r="C14" i="76"/>
  <c r="F14" i="91"/>
  <c r="D58" i="90"/>
  <c r="H15" i="187"/>
  <c r="F93" i="13"/>
  <c r="F2505" i="184" s="1"/>
  <c r="D65" i="2"/>
  <c r="D68" i="2" s="1"/>
  <c r="D71" i="2" s="1"/>
  <c r="F2245" i="184"/>
  <c r="G93" i="162"/>
  <c r="G2512" i="184" s="1"/>
  <c r="G2252" i="184"/>
  <c r="AB69" i="47"/>
  <c r="AA71" i="47"/>
  <c r="D60" i="50"/>
  <c r="D11" i="50"/>
  <c r="F23" i="51"/>
  <c r="C23" i="51"/>
  <c r="W47" i="13"/>
  <c r="M11" i="212" s="1"/>
  <c r="R30" i="47"/>
  <c r="Q30" i="52"/>
  <c r="M177" i="191"/>
  <c r="E57" i="78"/>
  <c r="W27" i="97"/>
  <c r="H27" i="212" s="1"/>
  <c r="AN15" i="218"/>
  <c r="J57" i="199"/>
  <c r="AB71" i="203"/>
  <c r="AB72" i="203" s="1"/>
  <c r="J24" i="221" s="1"/>
  <c r="D9" i="234"/>
  <c r="D9" i="238"/>
  <c r="B47" i="141"/>
  <c r="F23" i="71"/>
  <c r="D60" i="70"/>
  <c r="D11" i="70"/>
  <c r="C23" i="71"/>
  <c r="F18" i="86"/>
  <c r="J18" i="86" s="1"/>
  <c r="C18" i="86"/>
  <c r="H50" i="216"/>
  <c r="H7" i="216"/>
  <c r="F197" i="191"/>
  <c r="G197" i="191" s="1"/>
  <c r="P34" i="214"/>
  <c r="O34" i="214"/>
  <c r="F13" i="131"/>
  <c r="D57" i="130"/>
  <c r="G41" i="187"/>
  <c r="M166" i="191"/>
  <c r="F11" i="15"/>
  <c r="E30" i="187"/>
  <c r="I30" i="187"/>
  <c r="D55" i="14"/>
  <c r="C11" i="15"/>
  <c r="D24" i="192"/>
  <c r="L47" i="191"/>
  <c r="M47" i="191"/>
  <c r="H1493" i="184"/>
  <c r="H85" i="122"/>
  <c r="AB69" i="21"/>
  <c r="AB71" i="21" s="1"/>
  <c r="AB72" i="21" s="1"/>
  <c r="J6" i="221" s="1"/>
  <c r="AA71" i="21"/>
  <c r="D65" i="150"/>
  <c r="D30" i="151"/>
  <c r="C30" i="151"/>
  <c r="W27" i="36"/>
  <c r="H57" i="36"/>
  <c r="W38" i="72"/>
  <c r="D20" i="71"/>
  <c r="R30" i="137"/>
  <c r="W22" i="137" s="1"/>
  <c r="G37" i="212" s="1"/>
  <c r="Z30" i="218"/>
  <c r="C84" i="233"/>
  <c r="AB30" i="218"/>
  <c r="C91" i="233"/>
  <c r="F27" i="91"/>
  <c r="D62" i="90"/>
  <c r="F30" i="218"/>
  <c r="C14" i="233"/>
  <c r="F125" i="191"/>
  <c r="G125" i="191" s="1"/>
  <c r="F8" i="216"/>
  <c r="R69" i="21"/>
  <c r="F347" i="191" s="1"/>
  <c r="D63" i="40"/>
  <c r="F28" i="41"/>
  <c r="F27" i="20"/>
  <c r="J27" i="20" s="1"/>
  <c r="D62" i="19"/>
  <c r="C27" i="20"/>
  <c r="M12" i="227"/>
  <c r="R30" i="218"/>
  <c r="C56" i="233"/>
  <c r="D15" i="219"/>
  <c r="W47" i="52"/>
  <c r="M18" i="212" s="1"/>
  <c r="M44" i="78"/>
  <c r="Q30" i="97"/>
  <c r="M294" i="191"/>
  <c r="F26" i="176"/>
  <c r="W35" i="132"/>
  <c r="J36" i="212"/>
  <c r="J1143" i="184"/>
  <c r="J57" i="62"/>
  <c r="D61" i="150"/>
  <c r="F26" i="151"/>
  <c r="C26" i="151"/>
  <c r="D30" i="91"/>
  <c r="D32" i="91"/>
  <c r="D65" i="90"/>
  <c r="F30" i="35"/>
  <c r="J30" i="35" s="1"/>
  <c r="E57" i="97"/>
  <c r="M213" i="191"/>
  <c r="W47" i="107"/>
  <c r="M31" i="212"/>
  <c r="W47" i="142"/>
  <c r="M38" i="212" s="1"/>
  <c r="W43" i="142"/>
  <c r="M146" i="191"/>
  <c r="W27" i="147"/>
  <c r="H39" i="212" s="1"/>
  <c r="M26" i="227"/>
  <c r="W26" i="227" s="1"/>
  <c r="F36" i="235"/>
  <c r="F43" i="71"/>
  <c r="K43" i="71" s="1"/>
  <c r="M43" i="71" s="1"/>
  <c r="M47" i="71" s="1"/>
  <c r="M49" i="71" s="1"/>
  <c r="L23" i="210" s="1"/>
  <c r="D109" i="70"/>
  <c r="F19" i="121"/>
  <c r="B20" i="121"/>
  <c r="C19" i="121"/>
  <c r="F28" i="15"/>
  <c r="D63" i="14"/>
  <c r="C28" i="15"/>
  <c r="F40" i="20"/>
  <c r="K40" i="20" s="1"/>
  <c r="M40" i="20" s="1"/>
  <c r="M47" i="20" s="1"/>
  <c r="M49" i="20" s="1"/>
  <c r="L35" i="210" s="1"/>
  <c r="D106" i="19"/>
  <c r="C40" i="20"/>
  <c r="D60" i="165"/>
  <c r="F23" i="166"/>
  <c r="D11" i="165"/>
  <c r="C23" i="166"/>
  <c r="F45" i="15"/>
  <c r="K45" i="15" s="1"/>
  <c r="O45" i="15" s="1"/>
  <c r="O47" i="15" s="1"/>
  <c r="O49" i="15" s="1"/>
  <c r="N31" i="210" s="1"/>
  <c r="D111" i="14"/>
  <c r="C45" i="15"/>
  <c r="M273" i="191"/>
  <c r="D61" i="165"/>
  <c r="F26" i="166"/>
  <c r="J26" i="166"/>
  <c r="C26" i="166"/>
  <c r="F11" i="91"/>
  <c r="J11" i="91" s="1"/>
  <c r="D55" i="90"/>
  <c r="E15" i="187"/>
  <c r="F40" i="15"/>
  <c r="K40" i="15" s="1"/>
  <c r="M40" i="15" s="1"/>
  <c r="M47" i="15" s="1"/>
  <c r="M49" i="15" s="1"/>
  <c r="L31" i="210" s="1"/>
  <c r="D106" i="14"/>
  <c r="C40" i="15"/>
  <c r="D20" i="131"/>
  <c r="F30" i="106"/>
  <c r="J30" i="106" s="1"/>
  <c r="L1136" i="184"/>
  <c r="L57" i="132"/>
  <c r="F50" i="131"/>
  <c r="C50" i="131"/>
  <c r="K57" i="132"/>
  <c r="K1136" i="184"/>
  <c r="F46" i="131"/>
  <c r="K46" i="131" s="1"/>
  <c r="O46" i="131" s="1"/>
  <c r="D112" i="130"/>
  <c r="C46" i="131"/>
  <c r="D715" i="184"/>
  <c r="H231" i="191"/>
  <c r="F39" i="131"/>
  <c r="D105" i="130"/>
  <c r="C39" i="131"/>
  <c r="D63" i="130"/>
  <c r="F28" i="131"/>
  <c r="C28" i="131"/>
  <c r="H57" i="132"/>
  <c r="W30" i="132"/>
  <c r="I36" i="212" s="1"/>
  <c r="D106" i="130"/>
  <c r="F40" i="131"/>
  <c r="K40" i="131" s="1"/>
  <c r="M40" i="131" s="1"/>
  <c r="C40" i="131"/>
  <c r="F44" i="131"/>
  <c r="F270" i="184"/>
  <c r="F13" i="106"/>
  <c r="J13" i="106" s="1"/>
  <c r="D57" i="105"/>
  <c r="G39" i="187"/>
  <c r="C13" i="106"/>
  <c r="F53" i="106"/>
  <c r="N29" i="220" s="1"/>
  <c r="C53" i="106"/>
  <c r="D2243" i="184"/>
  <c r="I57" i="107"/>
  <c r="M1536" i="184"/>
  <c r="M2678" i="184" s="1"/>
  <c r="B72" i="181" s="1"/>
  <c r="P29" i="220"/>
  <c r="J28" i="106"/>
  <c r="R69" i="127"/>
  <c r="F349" i="191" s="1"/>
  <c r="F228" i="191"/>
  <c r="G228" i="191" s="1"/>
  <c r="H36" i="216"/>
  <c r="W43" i="157"/>
  <c r="L41" i="212" s="1"/>
  <c r="D111" i="155"/>
  <c r="C45" i="156"/>
  <c r="K36" i="218"/>
  <c r="K37" i="218"/>
  <c r="K48" i="218"/>
  <c r="K14" i="218"/>
  <c r="K59" i="218"/>
  <c r="K11" i="218"/>
  <c r="K33" i="218"/>
  <c r="K58" i="218"/>
  <c r="K34" i="218"/>
  <c r="K35" i="218"/>
  <c r="K46" i="218"/>
  <c r="K57" i="218"/>
  <c r="K13" i="218"/>
  <c r="K52" i="218"/>
  <c r="K22" i="218"/>
  <c r="K64" i="218"/>
  <c r="K42" i="218"/>
  <c r="K43" i="218"/>
  <c r="K7" i="218"/>
  <c r="K47" i="218"/>
  <c r="K50" i="218"/>
  <c r="K51" i="218"/>
  <c r="D106" i="125"/>
  <c r="F40" i="126"/>
  <c r="K40" i="126"/>
  <c r="M40" i="126" s="1"/>
  <c r="C40" i="126"/>
  <c r="M238" i="191"/>
  <c r="F1130" i="184"/>
  <c r="F57" i="127"/>
  <c r="W38" i="127"/>
  <c r="D20" i="126"/>
  <c r="D33" i="126" s="1"/>
  <c r="F51" i="126"/>
  <c r="C51" i="126"/>
  <c r="M566" i="184"/>
  <c r="M2644" i="184" s="1"/>
  <c r="AB69" i="127"/>
  <c r="AB71" i="127" s="1"/>
  <c r="AB72" i="127" s="1"/>
  <c r="J29" i="221" s="1"/>
  <c r="AA71" i="127"/>
  <c r="W30" i="127"/>
  <c r="I35" i="212" s="1"/>
  <c r="F30" i="126"/>
  <c r="J30" i="126"/>
  <c r="E1467" i="184"/>
  <c r="E85" i="127"/>
  <c r="BM65" i="218"/>
  <c r="AB69" i="157"/>
  <c r="AB71" i="157" s="1"/>
  <c r="AB72" i="157" s="1"/>
  <c r="J35" i="221" s="1"/>
  <c r="AA71" i="157"/>
  <c r="M16" i="227"/>
  <c r="W47" i="157"/>
  <c r="M41" i="212" s="1"/>
  <c r="Q30" i="157"/>
  <c r="G57" i="157"/>
  <c r="G85" i="157"/>
  <c r="J1136" i="184"/>
  <c r="J57" i="132"/>
  <c r="I1473" i="184"/>
  <c r="I85" i="132"/>
  <c r="E36" i="231"/>
  <c r="AG36" i="231"/>
  <c r="M246" i="184"/>
  <c r="P105" i="132"/>
  <c r="F36" i="131"/>
  <c r="B47" i="131"/>
  <c r="D102" i="130"/>
  <c r="C36" i="131"/>
  <c r="B19" i="131"/>
  <c r="B20" i="131"/>
  <c r="M1098" i="184"/>
  <c r="AB36" i="231"/>
  <c r="AJ36" i="231" s="1"/>
  <c r="C58" i="131"/>
  <c r="C59" i="131" s="1"/>
  <c r="F58" i="131"/>
  <c r="F59" i="131" s="1"/>
  <c r="B59" i="131"/>
  <c r="M18" i="227"/>
  <c r="C37" i="131"/>
  <c r="F37" i="131"/>
  <c r="D103" i="130"/>
  <c r="BB38" i="218"/>
  <c r="C183" i="233" s="1"/>
  <c r="C10" i="131"/>
  <c r="T18" i="230" s="1"/>
  <c r="D41" i="187"/>
  <c r="D54" i="130"/>
  <c r="F10" i="131"/>
  <c r="B15" i="131"/>
  <c r="M244" i="191"/>
  <c r="M691" i="184"/>
  <c r="Q36" i="231"/>
  <c r="AI36" i="231" s="1"/>
  <c r="P106" i="132"/>
  <c r="E57" i="132"/>
  <c r="E1136" i="184"/>
  <c r="C30" i="131"/>
  <c r="D30" i="131"/>
  <c r="D32" i="131"/>
  <c r="D33" i="131" s="1"/>
  <c r="D61" i="131" s="1"/>
  <c r="D65" i="130"/>
  <c r="BB65" i="218"/>
  <c r="BB66" i="218" s="1"/>
  <c r="L59" i="191"/>
  <c r="M59" i="191" s="1"/>
  <c r="D12" i="192"/>
  <c r="M96" i="191"/>
  <c r="BC10" i="218"/>
  <c r="BB15" i="218"/>
  <c r="C38" i="131"/>
  <c r="E38" i="131"/>
  <c r="E47" i="131" s="1"/>
  <c r="E61" i="131" s="1"/>
  <c r="E73" i="131" s="1"/>
  <c r="D104" i="130"/>
  <c r="W47" i="132"/>
  <c r="M36" i="212" s="1"/>
  <c r="W43" i="132"/>
  <c r="BB53" i="218"/>
  <c r="BB54" i="218" s="1"/>
  <c r="BC42" i="218"/>
  <c r="L22" i="191"/>
  <c r="M22" i="191" s="1"/>
  <c r="X68" i="132"/>
  <c r="F11" i="131"/>
  <c r="J11" i="131" s="1"/>
  <c r="E41" i="187"/>
  <c r="D55" i="130"/>
  <c r="C11" i="131"/>
  <c r="G1136" i="184"/>
  <c r="G57" i="132"/>
  <c r="R30" i="132"/>
  <c r="U18" i="227"/>
  <c r="D60" i="130"/>
  <c r="F23" i="131"/>
  <c r="D11" i="130"/>
  <c r="C23" i="131"/>
  <c r="F85" i="132"/>
  <c r="F1473" i="184"/>
  <c r="C45" i="131"/>
  <c r="D111" i="130"/>
  <c r="F45" i="131"/>
  <c r="K45" i="131" s="1"/>
  <c r="O45" i="131" s="1"/>
  <c r="K36" i="212"/>
  <c r="X39" i="132"/>
  <c r="AA71" i="132"/>
  <c r="AB69" i="132"/>
  <c r="AB71" i="132"/>
  <c r="AB72" i="132" s="1"/>
  <c r="J30" i="221" s="1"/>
  <c r="C51" i="131"/>
  <c r="F51" i="131"/>
  <c r="B54" i="131"/>
  <c r="Q30" i="132"/>
  <c r="C182" i="233"/>
  <c r="BB30" i="218"/>
  <c r="F53" i="131"/>
  <c r="N18" i="220"/>
  <c r="C53" i="131"/>
  <c r="E31" i="216"/>
  <c r="F59" i="191"/>
  <c r="G59" i="191" s="1"/>
  <c r="R69" i="132"/>
  <c r="F355" i="191" s="1"/>
  <c r="C43" i="131"/>
  <c r="F43" i="131"/>
  <c r="K43" i="131" s="1"/>
  <c r="M43" i="131" s="1"/>
  <c r="D109" i="130"/>
  <c r="F18" i="131"/>
  <c r="C18" i="131"/>
  <c r="BB60" i="218"/>
  <c r="BB61" i="218" s="1"/>
  <c r="W27" i="132"/>
  <c r="C26" i="131"/>
  <c r="D61" i="130"/>
  <c r="B32" i="131"/>
  <c r="D12" i="130"/>
  <c r="F26" i="131"/>
  <c r="D107" i="130"/>
  <c r="C41" i="131"/>
  <c r="F41" i="131"/>
  <c r="AH36" i="231"/>
  <c r="F52" i="131"/>
  <c r="C52" i="131"/>
  <c r="C42" i="131"/>
  <c r="D108" i="130"/>
  <c r="F42" i="131"/>
  <c r="K42" i="131"/>
  <c r="N42" i="131" s="1"/>
  <c r="D109" i="65"/>
  <c r="F43" i="66"/>
  <c r="K43" i="66"/>
  <c r="M43" i="66" s="1"/>
  <c r="C43" i="66"/>
  <c r="M1573" i="184"/>
  <c r="M2679" i="184" s="1"/>
  <c r="B73" i="181" s="1"/>
  <c r="F19" i="66"/>
  <c r="J19" i="66" s="1"/>
  <c r="C19" i="66"/>
  <c r="C50" i="66"/>
  <c r="F50" i="66"/>
  <c r="C36" i="66"/>
  <c r="F36" i="66"/>
  <c r="D102" i="65"/>
  <c r="J1133" i="184"/>
  <c r="J57" i="67"/>
  <c r="K48" i="235"/>
  <c r="N48" i="235" s="1"/>
  <c r="F42" i="235"/>
  <c r="D102" i="234"/>
  <c r="AB78" i="224"/>
  <c r="AB79" i="224" s="1"/>
  <c r="J48" i="221" s="1"/>
  <c r="D113" i="222"/>
  <c r="E45" i="223"/>
  <c r="F45" i="223" s="1"/>
  <c r="R30" i="224"/>
  <c r="D61" i="155"/>
  <c r="B32" i="156"/>
  <c r="D12" i="155" s="1"/>
  <c r="F26" i="156"/>
  <c r="C26" i="156"/>
  <c r="D1157" i="184"/>
  <c r="D40" i="219"/>
  <c r="M44" i="157"/>
  <c r="D57" i="157"/>
  <c r="F29" i="156"/>
  <c r="J29" i="156" s="1"/>
  <c r="C29" i="156"/>
  <c r="D64" i="155"/>
  <c r="L43" i="191"/>
  <c r="M43" i="191" s="1"/>
  <c r="X68" i="157"/>
  <c r="D55" i="155"/>
  <c r="F11" i="156"/>
  <c r="J11" i="156" s="1"/>
  <c r="C11" i="156"/>
  <c r="E44" i="187"/>
  <c r="R36" i="157"/>
  <c r="H35" i="221" s="1"/>
  <c r="R35" i="157"/>
  <c r="W22" i="157"/>
  <c r="G41" i="212"/>
  <c r="BM29" i="218"/>
  <c r="C217" i="233"/>
  <c r="BL30" i="218"/>
  <c r="BL65" i="218"/>
  <c r="BL66" i="218" s="1"/>
  <c r="BM32" i="218"/>
  <c r="BL38" i="218"/>
  <c r="C218" i="233" s="1"/>
  <c r="X39" i="157"/>
  <c r="K41" i="212"/>
  <c r="D66" i="155"/>
  <c r="F31" i="156"/>
  <c r="C31" i="156"/>
  <c r="H85" i="157"/>
  <c r="H1494" i="184"/>
  <c r="C44" i="156"/>
  <c r="D110" i="155"/>
  <c r="D44" i="156"/>
  <c r="D47" i="156" s="1"/>
  <c r="D108" i="155"/>
  <c r="C42" i="156"/>
  <c r="F42" i="156"/>
  <c r="K42" i="156" s="1"/>
  <c r="N42" i="156" s="1"/>
  <c r="L1157" i="184"/>
  <c r="L57" i="157"/>
  <c r="E36" i="216"/>
  <c r="F80" i="191"/>
  <c r="G80" i="191"/>
  <c r="R69" i="157"/>
  <c r="F376" i="191" s="1"/>
  <c r="D107" i="155"/>
  <c r="F41" i="156"/>
  <c r="C41" i="156"/>
  <c r="C30" i="156"/>
  <c r="D30" i="156"/>
  <c r="D32" i="156" s="1"/>
  <c r="D65" i="155"/>
  <c r="H44" i="187"/>
  <c r="D58" i="155"/>
  <c r="C14" i="156"/>
  <c r="F14" i="156"/>
  <c r="J14" i="156" s="1"/>
  <c r="D20" i="156"/>
  <c r="F57" i="157"/>
  <c r="I1157" i="184"/>
  <c r="I57" i="157"/>
  <c r="B15" i="156"/>
  <c r="D38" i="242" s="1"/>
  <c r="D44" i="187"/>
  <c r="C10" i="156"/>
  <c r="T16" i="230" s="1"/>
  <c r="D54" i="155"/>
  <c r="F10" i="156"/>
  <c r="Q35" i="157"/>
  <c r="Q36" i="157"/>
  <c r="G35" i="221" s="1"/>
  <c r="E41" i="231"/>
  <c r="M267" i="184"/>
  <c r="P105" i="157"/>
  <c r="M265" i="191"/>
  <c r="E57" i="157"/>
  <c r="E1157" i="184"/>
  <c r="J85" i="157"/>
  <c r="J1494" i="184"/>
  <c r="C58" i="156"/>
  <c r="F58" i="156"/>
  <c r="B59" i="156"/>
  <c r="D109" i="155"/>
  <c r="C43" i="156"/>
  <c r="F43" i="156"/>
  <c r="K43" i="156" s="1"/>
  <c r="M43" i="156" s="1"/>
  <c r="M47" i="156" s="1"/>
  <c r="M49" i="156" s="1"/>
  <c r="L16" i="210" s="1"/>
  <c r="F27" i="156"/>
  <c r="J27" i="156" s="1"/>
  <c r="D62" i="155"/>
  <c r="C27" i="156"/>
  <c r="C28" i="156"/>
  <c r="F28" i="156"/>
  <c r="D63" i="155"/>
  <c r="K1157" i="184"/>
  <c r="K57" i="157"/>
  <c r="BM10" i="218"/>
  <c r="BL15" i="218"/>
  <c r="P106" i="157"/>
  <c r="M712" i="184"/>
  <c r="Q41" i="231"/>
  <c r="AI41" i="231" s="1"/>
  <c r="P41" i="231"/>
  <c r="AH41" i="231" s="1"/>
  <c r="B18" i="156"/>
  <c r="M674" i="184"/>
  <c r="F52" i="156"/>
  <c r="C52" i="156"/>
  <c r="M1119" i="184"/>
  <c r="B19" i="156"/>
  <c r="AB41" i="231"/>
  <c r="AJ41" i="231" s="1"/>
  <c r="C13" i="156"/>
  <c r="D57" i="155"/>
  <c r="F13" i="156"/>
  <c r="G44" i="187"/>
  <c r="F37" i="156"/>
  <c r="D103" i="155"/>
  <c r="C37" i="156"/>
  <c r="C53" i="156"/>
  <c r="F53" i="156"/>
  <c r="N16" i="220" s="1"/>
  <c r="O16" i="220" s="1"/>
  <c r="D102" i="155"/>
  <c r="B47" i="156"/>
  <c r="C36" i="156"/>
  <c r="F36" i="156"/>
  <c r="W30" i="157"/>
  <c r="I41" i="212"/>
  <c r="W27" i="157"/>
  <c r="D105" i="155"/>
  <c r="C39" i="156"/>
  <c r="F39" i="156"/>
  <c r="U16" i="227"/>
  <c r="F46" i="156"/>
  <c r="K46" i="156" s="1"/>
  <c r="O46" i="156" s="1"/>
  <c r="O47" i="156" s="1"/>
  <c r="O49" i="156" s="1"/>
  <c r="N16" i="210" s="1"/>
  <c r="D112" i="155"/>
  <c r="C46" i="156"/>
  <c r="BL53" i="218"/>
  <c r="BL54" i="218" s="1"/>
  <c r="BM42" i="218"/>
  <c r="D60" i="155"/>
  <c r="D11" i="155"/>
  <c r="F23" i="156"/>
  <c r="C23" i="156"/>
  <c r="BM30" i="218" s="1"/>
  <c r="Z47" i="231"/>
  <c r="Z68" i="231" s="1"/>
  <c r="Q49" i="227"/>
  <c r="U28" i="227"/>
  <c r="I85" i="177"/>
  <c r="I2271" i="184" s="1"/>
  <c r="D63" i="175"/>
  <c r="W43" i="177"/>
  <c r="L46" i="212" s="1"/>
  <c r="W47" i="177"/>
  <c r="M46" i="212" s="1"/>
  <c r="E38" i="176"/>
  <c r="E47" i="176" s="1"/>
  <c r="E61" i="176" s="1"/>
  <c r="E73" i="176" s="1"/>
  <c r="D104" i="175"/>
  <c r="D54" i="175"/>
  <c r="D47" i="187"/>
  <c r="F10" i="176"/>
  <c r="D110" i="175"/>
  <c r="D44" i="176"/>
  <c r="D47" i="176" s="1"/>
  <c r="M640" i="184"/>
  <c r="M2646" i="184" s="1"/>
  <c r="M184" i="191"/>
  <c r="F57" i="176"/>
  <c r="W35" i="177"/>
  <c r="J46" i="212" s="1"/>
  <c r="F52" i="176"/>
  <c r="F41" i="216"/>
  <c r="F147" i="191"/>
  <c r="G147" i="191" s="1"/>
  <c r="M28" i="227"/>
  <c r="B32" i="176"/>
  <c r="D12" i="175"/>
  <c r="F30" i="176"/>
  <c r="AC26" i="209"/>
  <c r="K57" i="177"/>
  <c r="K1150" i="184"/>
  <c r="D106" i="175"/>
  <c r="F40" i="176"/>
  <c r="K40" i="176" s="1"/>
  <c r="M40" i="176" s="1"/>
  <c r="M47" i="176" s="1"/>
  <c r="F50" i="176"/>
  <c r="B54" i="176"/>
  <c r="D108" i="175"/>
  <c r="F42" i="176"/>
  <c r="K42" i="176" s="1"/>
  <c r="N42" i="176" s="1"/>
  <c r="M258" i="191"/>
  <c r="B59" i="176"/>
  <c r="F58" i="176"/>
  <c r="F36" i="191"/>
  <c r="G36" i="191" s="1"/>
  <c r="R69" i="177"/>
  <c r="F369" i="191" s="1"/>
  <c r="D41" i="216"/>
  <c r="F45" i="176"/>
  <c r="K45" i="176" s="1"/>
  <c r="O45" i="176" s="1"/>
  <c r="O47" i="176" s="1"/>
  <c r="D111" i="175"/>
  <c r="Q36" i="177"/>
  <c r="G40" i="221" s="1"/>
  <c r="Q35" i="177"/>
  <c r="BV60" i="218"/>
  <c r="BV61" i="218" s="1"/>
  <c r="D105" i="175"/>
  <c r="F39" i="176"/>
  <c r="AB46" i="231"/>
  <c r="AJ46" i="231"/>
  <c r="M1112" i="184"/>
  <c r="B19" i="176"/>
  <c r="F51" i="176"/>
  <c r="K46" i="212"/>
  <c r="X39" i="177"/>
  <c r="D11" i="175"/>
  <c r="F23" i="176"/>
  <c r="D60" i="175"/>
  <c r="W27" i="177"/>
  <c r="H46" i="212" s="1"/>
  <c r="P105" i="177"/>
  <c r="M260" i="184"/>
  <c r="E46" i="231"/>
  <c r="AG46" i="231" s="1"/>
  <c r="F41" i="176"/>
  <c r="D107" i="175"/>
  <c r="BV65" i="218"/>
  <c r="BV66" i="218" s="1"/>
  <c r="BV38" i="218"/>
  <c r="C253" i="233" s="1"/>
  <c r="G1150" i="184"/>
  <c r="G57" i="177"/>
  <c r="B47" i="176"/>
  <c r="D102" i="175"/>
  <c r="F36" i="176"/>
  <c r="C252" i="233"/>
  <c r="BV30" i="218"/>
  <c r="L36" i="191"/>
  <c r="M36" i="191" s="1"/>
  <c r="F37" i="176"/>
  <c r="D103" i="175"/>
  <c r="D64" i="175"/>
  <c r="F29" i="176"/>
  <c r="J29" i="176" s="1"/>
  <c r="E41" i="216"/>
  <c r="F73" i="191"/>
  <c r="G73" i="191"/>
  <c r="J1150" i="184"/>
  <c r="J57" i="177"/>
  <c r="F57" i="177"/>
  <c r="F1150" i="184"/>
  <c r="AB69" i="177"/>
  <c r="AB71" i="177" s="1"/>
  <c r="AB72" i="177" s="1"/>
  <c r="J40" i="221" s="1"/>
  <c r="AA71" i="177"/>
  <c r="BV53" i="218"/>
  <c r="BV54" i="218" s="1"/>
  <c r="Q46" i="231"/>
  <c r="AI46" i="231"/>
  <c r="M705" i="184"/>
  <c r="P106" i="177"/>
  <c r="E1150" i="184"/>
  <c r="E57" i="177"/>
  <c r="D1150" i="184"/>
  <c r="D45" i="219"/>
  <c r="D57" i="177"/>
  <c r="P28" i="220"/>
  <c r="J28" i="176"/>
  <c r="F53" i="176"/>
  <c r="N28" i="220" s="1"/>
  <c r="G14" i="176"/>
  <c r="D62" i="175"/>
  <c r="F27" i="176"/>
  <c r="H57" i="177"/>
  <c r="H1150" i="184"/>
  <c r="R35" i="172"/>
  <c r="R36" i="172"/>
  <c r="H39" i="221" s="1"/>
  <c r="W22" i="172"/>
  <c r="G45" i="212" s="1"/>
  <c r="K45" i="171"/>
  <c r="O45" i="171" s="1"/>
  <c r="H45" i="212"/>
  <c r="AC24" i="209"/>
  <c r="J13" i="171"/>
  <c r="G14" i="171"/>
  <c r="D9" i="170"/>
  <c r="C243" i="233"/>
  <c r="F18" i="171"/>
  <c r="AH45" i="231"/>
  <c r="F30" i="171"/>
  <c r="H85" i="172"/>
  <c r="H1485" i="184"/>
  <c r="K1485" i="184"/>
  <c r="K85" i="172"/>
  <c r="P26" i="220"/>
  <c r="G11" i="171"/>
  <c r="I1485" i="184"/>
  <c r="I85" i="172"/>
  <c r="J1485" i="184"/>
  <c r="J85" i="172"/>
  <c r="D60" i="170"/>
  <c r="D11" i="170"/>
  <c r="F23" i="171"/>
  <c r="J26" i="171"/>
  <c r="G85" i="172"/>
  <c r="G1485" i="184"/>
  <c r="Q35" i="172"/>
  <c r="Q36" i="172"/>
  <c r="G39" i="221" s="1"/>
  <c r="BT30" i="218"/>
  <c r="C245" i="233"/>
  <c r="H44" i="212"/>
  <c r="W31" i="167"/>
  <c r="BS64" i="218"/>
  <c r="B18" i="166"/>
  <c r="M652" i="184"/>
  <c r="P44" i="231"/>
  <c r="P106" i="167"/>
  <c r="M690" i="184"/>
  <c r="Q44" i="231"/>
  <c r="AI44" i="231" s="1"/>
  <c r="F43" i="166"/>
  <c r="K43" i="166" s="1"/>
  <c r="M43" i="166" s="1"/>
  <c r="C43" i="166"/>
  <c r="D109" i="165"/>
  <c r="R30" i="167"/>
  <c r="B15" i="166"/>
  <c r="F10" i="166"/>
  <c r="D45" i="187"/>
  <c r="D54" i="165"/>
  <c r="C10" i="166"/>
  <c r="T20" i="230" s="1"/>
  <c r="BS10" i="218"/>
  <c r="BR15" i="218"/>
  <c r="M900" i="184"/>
  <c r="M2654" i="184" s="1"/>
  <c r="F37" i="166"/>
  <c r="D103" i="165"/>
  <c r="C37" i="166"/>
  <c r="M132" i="191"/>
  <c r="BR53" i="218"/>
  <c r="BR54" i="218" s="1"/>
  <c r="BS42" i="218"/>
  <c r="G85" i="167"/>
  <c r="G1472" i="184"/>
  <c r="J28" i="166"/>
  <c r="P20" i="220"/>
  <c r="Q20" i="220"/>
  <c r="Q30" i="167"/>
  <c r="M206" i="191"/>
  <c r="F41" i="166"/>
  <c r="D107" i="165"/>
  <c r="C41" i="166"/>
  <c r="D2130" i="184"/>
  <c r="W47" i="167"/>
  <c r="M44" i="212" s="1"/>
  <c r="W35" i="167"/>
  <c r="J44" i="212" s="1"/>
  <c r="D112" i="165"/>
  <c r="F46" i="166"/>
  <c r="K46" i="166" s="1"/>
  <c r="O46" i="166" s="1"/>
  <c r="O47" i="166" s="1"/>
  <c r="O49" i="166" s="1"/>
  <c r="N20" i="210" s="1"/>
  <c r="C46" i="166"/>
  <c r="D65" i="165"/>
  <c r="D30" i="166"/>
  <c r="D32" i="166"/>
  <c r="D33" i="166" s="1"/>
  <c r="C30" i="166"/>
  <c r="BR60" i="218"/>
  <c r="BR61" i="218"/>
  <c r="BS56" i="218"/>
  <c r="BS60" i="218" s="1"/>
  <c r="BS33" i="218"/>
  <c r="BR38" i="218"/>
  <c r="C239" i="233" s="1"/>
  <c r="B32" i="166"/>
  <c r="D12" i="165" s="1"/>
  <c r="F27" i="166"/>
  <c r="D62" i="165"/>
  <c r="C27" i="166"/>
  <c r="C44" i="166"/>
  <c r="D110" i="165"/>
  <c r="D44" i="166"/>
  <c r="D47" i="166"/>
  <c r="B54" i="166"/>
  <c r="F50" i="166"/>
  <c r="C50" i="166"/>
  <c r="B19" i="166"/>
  <c r="M1097" i="184"/>
  <c r="AB44" i="231"/>
  <c r="AJ44" i="231" s="1"/>
  <c r="W38" i="167"/>
  <c r="L57" i="167"/>
  <c r="E44" i="231"/>
  <c r="AG44" i="231" s="1"/>
  <c r="M245" i="184"/>
  <c r="P105" i="167"/>
  <c r="J85" i="167"/>
  <c r="J1472" i="184"/>
  <c r="E93" i="167"/>
  <c r="E2516" i="184" s="1"/>
  <c r="E2256" i="184"/>
  <c r="M20" i="227"/>
  <c r="K2256" i="184"/>
  <c r="K93" i="167"/>
  <c r="K2516" i="184" s="1"/>
  <c r="D43" i="219"/>
  <c r="D57" i="167"/>
  <c r="D1135" i="184"/>
  <c r="F13" i="166"/>
  <c r="D57" i="165"/>
  <c r="G45" i="187"/>
  <c r="C13" i="166"/>
  <c r="E39" i="216"/>
  <c r="F58" i="191"/>
  <c r="G58" i="191"/>
  <c r="D108" i="165"/>
  <c r="F42" i="166"/>
  <c r="K42" i="166" s="1"/>
  <c r="N42" i="166" s="1"/>
  <c r="C42" i="166"/>
  <c r="F14" i="166"/>
  <c r="J14" i="166" s="1"/>
  <c r="D58" i="165"/>
  <c r="H45" i="187"/>
  <c r="C14" i="166"/>
  <c r="F21" i="191"/>
  <c r="G21" i="191" s="1"/>
  <c r="D39" i="216"/>
  <c r="D102" i="165"/>
  <c r="F36" i="166"/>
  <c r="C36" i="166"/>
  <c r="B47" i="166"/>
  <c r="F58" i="166"/>
  <c r="F59" i="166" s="1"/>
  <c r="C58" i="166"/>
  <c r="C59" i="166" s="1"/>
  <c r="F57" i="167"/>
  <c r="F1135" i="184"/>
  <c r="H39" i="216"/>
  <c r="F206" i="191"/>
  <c r="G206" i="191"/>
  <c r="D14" i="192"/>
  <c r="L58" i="191"/>
  <c r="M58" i="191" s="1"/>
  <c r="L44" i="212"/>
  <c r="F40" i="166"/>
  <c r="K40" i="166" s="1"/>
  <c r="M40" i="166" s="1"/>
  <c r="D106" i="165"/>
  <c r="C40" i="166"/>
  <c r="F51" i="166"/>
  <c r="C51" i="166"/>
  <c r="D64" i="165"/>
  <c r="C29" i="166"/>
  <c r="F29" i="166"/>
  <c r="J29" i="166"/>
  <c r="C11" i="166"/>
  <c r="F11" i="166"/>
  <c r="J11" i="166" s="1"/>
  <c r="D55" i="165"/>
  <c r="E45" i="187"/>
  <c r="L21" i="191"/>
  <c r="M21" i="191"/>
  <c r="X68" i="167"/>
  <c r="U20" i="227"/>
  <c r="AI43" i="231"/>
  <c r="AJ43" i="231"/>
  <c r="L36" i="161"/>
  <c r="L47" i="161" s="1"/>
  <c r="L49" i="161" s="1"/>
  <c r="K15" i="210" s="1"/>
  <c r="AC13" i="209"/>
  <c r="J31" i="161"/>
  <c r="C13" i="161"/>
  <c r="F13" i="161"/>
  <c r="D57" i="160"/>
  <c r="G22" i="187"/>
  <c r="I22" i="187"/>
  <c r="L15" i="229"/>
  <c r="K13" i="209"/>
  <c r="L14" i="214"/>
  <c r="J23" i="161"/>
  <c r="H15" i="210" s="1"/>
  <c r="J26" i="161"/>
  <c r="P15" i="220"/>
  <c r="J28" i="161"/>
  <c r="Q35" i="162"/>
  <c r="Q36" i="162"/>
  <c r="G37" i="221" s="1"/>
  <c r="D30" i="161"/>
  <c r="D32" i="161"/>
  <c r="D33" i="161" s="1"/>
  <c r="C30" i="161"/>
  <c r="D65" i="160"/>
  <c r="D22" i="187"/>
  <c r="C10" i="161"/>
  <c r="T15" i="230" s="1"/>
  <c r="F10" i="161"/>
  <c r="D54" i="160"/>
  <c r="B15" i="161"/>
  <c r="F70" i="161"/>
  <c r="BP38" i="218"/>
  <c r="C232" i="233"/>
  <c r="BP15" i="218"/>
  <c r="F11" i="194"/>
  <c r="J11" i="194"/>
  <c r="C11" i="194"/>
  <c r="E23" i="187"/>
  <c r="D55" i="193"/>
  <c r="W47" i="195"/>
  <c r="M42" i="212" s="1"/>
  <c r="P106" i="195"/>
  <c r="M713" i="184"/>
  <c r="Q42" i="231"/>
  <c r="AI42" i="231" s="1"/>
  <c r="H1495" i="184"/>
  <c r="H85" i="195"/>
  <c r="G37" i="216"/>
  <c r="F192" i="191"/>
  <c r="G192" i="191" s="1"/>
  <c r="R69" i="195"/>
  <c r="F377" i="191"/>
  <c r="W30" i="195"/>
  <c r="I42" i="212"/>
  <c r="P42" i="231"/>
  <c r="B18" i="194"/>
  <c r="M675" i="184"/>
  <c r="D224" i="233"/>
  <c r="F39" i="194"/>
  <c r="D105" i="193"/>
  <c r="C39" i="194"/>
  <c r="Q35" i="195"/>
  <c r="Q36" i="195"/>
  <c r="G36" i="221" s="1"/>
  <c r="C52" i="194"/>
  <c r="F52" i="194"/>
  <c r="F54" i="194" s="1"/>
  <c r="B54" i="194"/>
  <c r="M46" i="227"/>
  <c r="E1158" i="184"/>
  <c r="E57" i="195"/>
  <c r="F2243" i="184"/>
  <c r="F42" i="194"/>
  <c r="K42" i="194" s="1"/>
  <c r="N42" i="194" s="1"/>
  <c r="D108" i="193"/>
  <c r="C42" i="194"/>
  <c r="M268" i="184"/>
  <c r="E42" i="231"/>
  <c r="AG42" i="231"/>
  <c r="P105" i="195"/>
  <c r="D65" i="193"/>
  <c r="D30" i="194"/>
  <c r="D32" i="194" s="1"/>
  <c r="D33" i="194" s="1"/>
  <c r="C30" i="194"/>
  <c r="U46" i="227"/>
  <c r="W43" i="195"/>
  <c r="D66" i="193"/>
  <c r="F31" i="194"/>
  <c r="C31" i="194"/>
  <c r="C44" i="194"/>
  <c r="D110" i="193"/>
  <c r="D44" i="194"/>
  <c r="D47" i="194" s="1"/>
  <c r="W27" i="195"/>
  <c r="M192" i="191"/>
  <c r="G23" i="187"/>
  <c r="F13" i="194"/>
  <c r="C13" i="194"/>
  <c r="D57" i="193"/>
  <c r="C28" i="194"/>
  <c r="F28" i="194"/>
  <c r="D63" i="193"/>
  <c r="F40" i="194"/>
  <c r="C40" i="194"/>
  <c r="D106" i="193"/>
  <c r="F41" i="194"/>
  <c r="D107" i="193"/>
  <c r="C41" i="194"/>
  <c r="D23" i="187"/>
  <c r="C10" i="194"/>
  <c r="T46" i="230" s="1"/>
  <c r="B15" i="194"/>
  <c r="D39" i="242" s="1"/>
  <c r="F10" i="194"/>
  <c r="D54" i="193"/>
  <c r="G1495" i="184"/>
  <c r="G85" i="195"/>
  <c r="V70" i="195"/>
  <c r="L340" i="191"/>
  <c r="E42" i="192"/>
  <c r="E38" i="194"/>
  <c r="E47" i="194" s="1"/>
  <c r="E61" i="194" s="1"/>
  <c r="E73" i="194" s="1"/>
  <c r="D104" i="193"/>
  <c r="C38" i="194"/>
  <c r="C26" i="194"/>
  <c r="D61" i="193"/>
  <c r="B32" i="194"/>
  <c r="D12" i="193" s="1"/>
  <c r="F26" i="194"/>
  <c r="R30" i="195"/>
  <c r="K1495" i="184"/>
  <c r="K85" i="195"/>
  <c r="BO42" i="218"/>
  <c r="BN53" i="218"/>
  <c r="BN54" i="218"/>
  <c r="L1158" i="184"/>
  <c r="L57" i="195"/>
  <c r="AB42" i="231"/>
  <c r="AJ42" i="231" s="1"/>
  <c r="B19" i="194"/>
  <c r="M1120" i="184"/>
  <c r="C27" i="194"/>
  <c r="D62" i="193"/>
  <c r="F27" i="194"/>
  <c r="J27" i="194"/>
  <c r="I1158" i="184"/>
  <c r="I57" i="195"/>
  <c r="H23" i="187"/>
  <c r="D58" i="193"/>
  <c r="F14" i="194"/>
  <c r="J14" i="194"/>
  <c r="C14" i="194"/>
  <c r="D102" i="193"/>
  <c r="C36" i="194"/>
  <c r="B47" i="194"/>
  <c r="F36" i="194"/>
  <c r="BO10" i="218"/>
  <c r="BO15" i="218" s="1"/>
  <c r="BN15" i="218"/>
  <c r="D1158" i="184"/>
  <c r="M44" i="195"/>
  <c r="D57" i="195"/>
  <c r="D41" i="219"/>
  <c r="F57" i="195"/>
  <c r="F1158" i="184"/>
  <c r="BO32" i="218"/>
  <c r="BN38" i="218"/>
  <c r="C225" i="233" s="1"/>
  <c r="J1158" i="184"/>
  <c r="J57" i="195"/>
  <c r="D112" i="193"/>
  <c r="F46" i="194"/>
  <c r="K46" i="194"/>
  <c r="O46" i="194" s="1"/>
  <c r="C46" i="194"/>
  <c r="L46" i="229"/>
  <c r="J23" i="194"/>
  <c r="H46" i="210" s="1"/>
  <c r="L45" i="214"/>
  <c r="K46" i="209"/>
  <c r="C29" i="194"/>
  <c r="F29" i="194"/>
  <c r="J29" i="194" s="1"/>
  <c r="D64" i="193"/>
  <c r="C45" i="194"/>
  <c r="F45" i="194"/>
  <c r="K45" i="194"/>
  <c r="O45" i="194" s="1"/>
  <c r="D111" i="193"/>
  <c r="BO58" i="218"/>
  <c r="BN60" i="218"/>
  <c r="BN61" i="218" s="1"/>
  <c r="G57" i="152"/>
  <c r="G1125" i="184"/>
  <c r="D102" i="150"/>
  <c r="F36" i="151"/>
  <c r="C36" i="151"/>
  <c r="C50" i="151"/>
  <c r="B54" i="151"/>
  <c r="F50" i="151"/>
  <c r="F53" i="151"/>
  <c r="N12" i="220" s="1"/>
  <c r="C53" i="151"/>
  <c r="E40" i="231"/>
  <c r="AG40" i="231" s="1"/>
  <c r="P105" i="152"/>
  <c r="M235" i="184"/>
  <c r="M1087" i="184"/>
  <c r="B19" i="151"/>
  <c r="AB40" i="231"/>
  <c r="AJ40" i="231" s="1"/>
  <c r="BJ60" i="218"/>
  <c r="BJ61" i="218" s="1"/>
  <c r="BJ53" i="218"/>
  <c r="BJ54" i="218" s="1"/>
  <c r="P40" i="231"/>
  <c r="M642" i="184"/>
  <c r="B18" i="151"/>
  <c r="W22" i="152"/>
  <c r="G40" i="212"/>
  <c r="R36" i="152"/>
  <c r="H34" i="221" s="1"/>
  <c r="R35" i="152"/>
  <c r="J1462" i="184"/>
  <c r="J85" i="152"/>
  <c r="C210" i="233"/>
  <c r="BJ30" i="218"/>
  <c r="P12" i="220"/>
  <c r="J28" i="151"/>
  <c r="Q35" i="152"/>
  <c r="Q36" i="152"/>
  <c r="G34" i="221" s="1"/>
  <c r="W43" i="152"/>
  <c r="D11" i="150"/>
  <c r="F23" i="151"/>
  <c r="C23" i="151"/>
  <c r="D60" i="150"/>
  <c r="U12" i="227"/>
  <c r="W12" i="227"/>
  <c r="H40" i="212"/>
  <c r="W31" i="152"/>
  <c r="D1462" i="184"/>
  <c r="D85" i="152"/>
  <c r="F51" i="151"/>
  <c r="C51" i="151"/>
  <c r="D55" i="150"/>
  <c r="F11" i="151"/>
  <c r="E20" i="187"/>
  <c r="I20" i="187" s="1"/>
  <c r="C11" i="151"/>
  <c r="B15" i="151"/>
  <c r="D37" i="242" s="1"/>
  <c r="F39" i="151"/>
  <c r="D105" i="150"/>
  <c r="C39" i="151"/>
  <c r="C57" i="151"/>
  <c r="F57" i="151"/>
  <c r="Q40" i="231"/>
  <c r="AI40" i="231" s="1"/>
  <c r="P106" i="152"/>
  <c r="M680" i="184"/>
  <c r="M85" i="191"/>
  <c r="F196" i="191"/>
  <c r="G196" i="191" s="1"/>
  <c r="H35" i="216"/>
  <c r="C38" i="151"/>
  <c r="D104" i="150"/>
  <c r="E38" i="151"/>
  <c r="E47" i="151" s="1"/>
  <c r="E61" i="151" s="1"/>
  <c r="E73" i="151" s="1"/>
  <c r="L11" i="191"/>
  <c r="M11" i="191"/>
  <c r="F35" i="216"/>
  <c r="F122" i="191"/>
  <c r="G122" i="191" s="1"/>
  <c r="R69" i="152"/>
  <c r="F344" i="191" s="1"/>
  <c r="I2246" i="184"/>
  <c r="I93" i="152"/>
  <c r="I2506" i="184" s="1"/>
  <c r="E1125" i="184"/>
  <c r="E57" i="152"/>
  <c r="W35" i="152"/>
  <c r="J40" i="212" s="1"/>
  <c r="BJ15" i="218"/>
  <c r="D109" i="150"/>
  <c r="F43" i="151"/>
  <c r="K43" i="151" s="1"/>
  <c r="M43" i="151" s="1"/>
  <c r="C43" i="151"/>
  <c r="D103" i="150"/>
  <c r="F37" i="151"/>
  <c r="C37" i="151"/>
  <c r="D111" i="150"/>
  <c r="C45" i="151"/>
  <c r="F45" i="151"/>
  <c r="K45" i="151" s="1"/>
  <c r="O45" i="151" s="1"/>
  <c r="O47" i="151" s="1"/>
  <c r="O49" i="151" s="1"/>
  <c r="N12" i="210" s="1"/>
  <c r="P106" i="147"/>
  <c r="M704" i="184"/>
  <c r="Q39" i="231"/>
  <c r="AI39" i="231" s="1"/>
  <c r="H1149" i="184"/>
  <c r="H57" i="147"/>
  <c r="C46" i="146"/>
  <c r="F46" i="146"/>
  <c r="K46" i="146" s="1"/>
  <c r="O46" i="146" s="1"/>
  <c r="D112" i="145"/>
  <c r="C203" i="233"/>
  <c r="BH30" i="218"/>
  <c r="AC25" i="209"/>
  <c r="J31" i="146"/>
  <c r="D30" i="146"/>
  <c r="D32" i="146"/>
  <c r="D65" i="145"/>
  <c r="C30" i="146"/>
  <c r="BH38" i="218"/>
  <c r="C204" i="233" s="1"/>
  <c r="F43" i="146"/>
  <c r="K43" i="146" s="1"/>
  <c r="M43" i="146" s="1"/>
  <c r="D109" i="145"/>
  <c r="C43" i="146"/>
  <c r="E1149" i="184"/>
  <c r="E57" i="147"/>
  <c r="D38" i="219"/>
  <c r="M44" i="147"/>
  <c r="G34" i="216"/>
  <c r="F183" i="191"/>
  <c r="G183" i="191" s="1"/>
  <c r="G57" i="147"/>
  <c r="F27" i="146"/>
  <c r="J27" i="146" s="1"/>
  <c r="D62" i="145"/>
  <c r="C27" i="146"/>
  <c r="E39" i="231"/>
  <c r="AG39" i="231" s="1"/>
  <c r="M259" i="184"/>
  <c r="P105" i="147"/>
  <c r="K39" i="212"/>
  <c r="F42" i="146"/>
  <c r="K42" i="146" s="1"/>
  <c r="N42" i="146" s="1"/>
  <c r="C42" i="146"/>
  <c r="D108" i="145"/>
  <c r="Q36" i="147"/>
  <c r="G33" i="221" s="1"/>
  <c r="Q35" i="147"/>
  <c r="B54" i="146"/>
  <c r="F50" i="146"/>
  <c r="F54" i="146" s="1"/>
  <c r="C50" i="146"/>
  <c r="K36" i="146"/>
  <c r="I36" i="146"/>
  <c r="I26" i="213" s="1"/>
  <c r="L39" i="212"/>
  <c r="X48" i="147"/>
  <c r="M257" i="191"/>
  <c r="R30" i="147"/>
  <c r="J93" i="147"/>
  <c r="J2530" i="184" s="1"/>
  <c r="J2270" i="184"/>
  <c r="D63" i="145"/>
  <c r="F28" i="146"/>
  <c r="C28" i="146"/>
  <c r="K1149" i="184"/>
  <c r="K57" i="147"/>
  <c r="BH15" i="218"/>
  <c r="BH60" i="218"/>
  <c r="BH61" i="218" s="1"/>
  <c r="M27" i="227"/>
  <c r="F45" i="146"/>
  <c r="K45" i="146"/>
  <c r="O45" i="146" s="1"/>
  <c r="O47" i="146" s="1"/>
  <c r="O49" i="146" s="1"/>
  <c r="N27" i="210" s="1"/>
  <c r="D111" i="145"/>
  <c r="C45" i="146"/>
  <c r="F34" i="216"/>
  <c r="F146" i="191"/>
  <c r="G146" i="191" s="1"/>
  <c r="BH53" i="218"/>
  <c r="BH54" i="218"/>
  <c r="C58" i="146"/>
  <c r="F58" i="146"/>
  <c r="F57" i="146"/>
  <c r="C57" i="146"/>
  <c r="B59" i="146"/>
  <c r="F13" i="146"/>
  <c r="G43" i="187"/>
  <c r="D57" i="145"/>
  <c r="C13" i="146"/>
  <c r="AB69" i="147"/>
  <c r="AB71" i="147"/>
  <c r="AB72" i="147" s="1"/>
  <c r="J33" i="221" s="1"/>
  <c r="AA71" i="147"/>
  <c r="D55" i="145"/>
  <c r="F11" i="146"/>
  <c r="J11" i="146" s="1"/>
  <c r="C11" i="146"/>
  <c r="E43" i="187"/>
  <c r="W35" i="147"/>
  <c r="J39" i="212" s="1"/>
  <c r="D54" i="145"/>
  <c r="D43" i="187"/>
  <c r="C10" i="146"/>
  <c r="T27" i="230" s="1"/>
  <c r="B15" i="146"/>
  <c r="D36" i="242" s="1"/>
  <c r="F10" i="146"/>
  <c r="C37" i="146"/>
  <c r="F37" i="146"/>
  <c r="D103" i="145"/>
  <c r="D34" i="216"/>
  <c r="F35" i="191"/>
  <c r="G35" i="191" s="1"/>
  <c r="R69" i="147"/>
  <c r="F368" i="191"/>
  <c r="P39" i="231"/>
  <c r="M666" i="184"/>
  <c r="B18" i="146"/>
  <c r="BH65" i="218"/>
  <c r="BH66" i="218" s="1"/>
  <c r="H43" i="187"/>
  <c r="C14" i="146"/>
  <c r="F14" i="146"/>
  <c r="J14" i="146" s="1"/>
  <c r="D58" i="145"/>
  <c r="F93" i="147"/>
  <c r="F2530" i="184" s="1"/>
  <c r="F2270" i="184"/>
  <c r="D65" i="146"/>
  <c r="D68" i="146" s="1"/>
  <c r="D71" i="146" s="1"/>
  <c r="U27" i="227"/>
  <c r="C40" i="146"/>
  <c r="F40" i="146"/>
  <c r="K40" i="146"/>
  <c r="M40" i="146" s="1"/>
  <c r="D106" i="145"/>
  <c r="C23" i="146"/>
  <c r="D60" i="145"/>
  <c r="F23" i="146"/>
  <c r="D11" i="145"/>
  <c r="F41" i="146"/>
  <c r="D107" i="145"/>
  <c r="C41" i="146"/>
  <c r="L35" i="191"/>
  <c r="M35" i="191"/>
  <c r="X68" i="147"/>
  <c r="I1149" i="184"/>
  <c r="I57" i="147"/>
  <c r="F26" i="146"/>
  <c r="D61" i="145"/>
  <c r="C26" i="146"/>
  <c r="B32" i="146"/>
  <c r="D12" i="145"/>
  <c r="M1111" i="184"/>
  <c r="AB39" i="231"/>
  <c r="AJ39" i="231" s="1"/>
  <c r="B19" i="146"/>
  <c r="B47" i="146"/>
  <c r="Q35" i="142"/>
  <c r="Q36" i="142"/>
  <c r="G32" i="221" s="1"/>
  <c r="D9" i="140"/>
  <c r="Q38" i="231"/>
  <c r="AI38" i="231" s="1"/>
  <c r="M692" i="184"/>
  <c r="P106" i="142"/>
  <c r="D108" i="140"/>
  <c r="F42" i="141"/>
  <c r="K42" i="141" s="1"/>
  <c r="N42" i="141" s="1"/>
  <c r="G33" i="216"/>
  <c r="F171" i="191"/>
  <c r="G171" i="191" s="1"/>
  <c r="M1099" i="184"/>
  <c r="B19" i="141"/>
  <c r="AB38" i="231"/>
  <c r="AJ38" i="231" s="1"/>
  <c r="F53" i="141"/>
  <c r="E38" i="141"/>
  <c r="E47" i="141" s="1"/>
  <c r="E61" i="141" s="1"/>
  <c r="E73" i="141" s="1"/>
  <c r="D104" i="140"/>
  <c r="K36" i="141"/>
  <c r="H33" i="216"/>
  <c r="F208" i="191"/>
  <c r="G208" i="191" s="1"/>
  <c r="BF38" i="218"/>
  <c r="C197" i="233"/>
  <c r="K1137" i="184"/>
  <c r="K57" i="142"/>
  <c r="W35" i="142"/>
  <c r="L23" i="191"/>
  <c r="M23" i="191" s="1"/>
  <c r="X68" i="142"/>
  <c r="H21" i="187"/>
  <c r="F14" i="141"/>
  <c r="D58" i="140"/>
  <c r="J57" i="142"/>
  <c r="D106" i="140"/>
  <c r="F40" i="141"/>
  <c r="K40" i="141" s="1"/>
  <c r="M40" i="141" s="1"/>
  <c r="D61" i="140"/>
  <c r="F26" i="141"/>
  <c r="B32" i="141"/>
  <c r="D12" i="140" s="1"/>
  <c r="F57" i="141"/>
  <c r="F59" i="141" s="1"/>
  <c r="B59" i="141"/>
  <c r="M134" i="191"/>
  <c r="I157" i="191"/>
  <c r="E57" i="142"/>
  <c r="E1137" i="184"/>
  <c r="M44" i="142"/>
  <c r="D37" i="219"/>
  <c r="G93" i="142"/>
  <c r="G2518" i="184" s="1"/>
  <c r="G2258" i="184"/>
  <c r="P21" i="220"/>
  <c r="BF53" i="218"/>
  <c r="BF54" i="218" s="1"/>
  <c r="I1137" i="184"/>
  <c r="I57" i="142"/>
  <c r="M654" i="184"/>
  <c r="B18" i="141"/>
  <c r="P38" i="231"/>
  <c r="B54" i="141"/>
  <c r="BF60" i="218"/>
  <c r="BF61" i="218" s="1"/>
  <c r="BF65" i="218"/>
  <c r="BF66" i="218" s="1"/>
  <c r="D11" i="140"/>
  <c r="D60" i="140"/>
  <c r="F23" i="141"/>
  <c r="D64" i="140"/>
  <c r="F29" i="141"/>
  <c r="E38" i="231"/>
  <c r="AG38" i="231" s="1"/>
  <c r="P105" i="142"/>
  <c r="M247" i="184"/>
  <c r="K37" i="141"/>
  <c r="L37" i="141"/>
  <c r="C196" i="233"/>
  <c r="BF30" i="218"/>
  <c r="F13" i="141"/>
  <c r="G21" i="187"/>
  <c r="D57" i="140"/>
  <c r="F43" i="141"/>
  <c r="K43" i="141"/>
  <c r="M43" i="141" s="1"/>
  <c r="D109" i="140"/>
  <c r="D30" i="141"/>
  <c r="D32" i="141" s="1"/>
  <c r="D65" i="140"/>
  <c r="H38" i="212"/>
  <c r="BF15" i="218"/>
  <c r="F45" i="141"/>
  <c r="K45" i="141" s="1"/>
  <c r="O45" i="141" s="1"/>
  <c r="O47" i="141" s="1"/>
  <c r="D111" i="140"/>
  <c r="D44" i="141"/>
  <c r="D47" i="141"/>
  <c r="D110" i="140"/>
  <c r="W30" i="142"/>
  <c r="I38" i="212" s="1"/>
  <c r="D20" i="141"/>
  <c r="R30" i="142"/>
  <c r="AC19" i="209"/>
  <c r="L85" i="142"/>
  <c r="L1474" i="184"/>
  <c r="H1137" i="184"/>
  <c r="H57" i="142"/>
  <c r="F23" i="191"/>
  <c r="G23" i="191" s="1"/>
  <c r="D33" i="216"/>
  <c r="R69" i="142"/>
  <c r="F356" i="191" s="1"/>
  <c r="F85" i="142"/>
  <c r="F1474" i="184"/>
  <c r="E21" i="187"/>
  <c r="F11" i="141"/>
  <c r="D55" i="140"/>
  <c r="F41" i="141"/>
  <c r="D107" i="140"/>
  <c r="L38" i="212"/>
  <c r="K38" i="212"/>
  <c r="F57" i="136"/>
  <c r="F59" i="136" s="1"/>
  <c r="B59" i="136"/>
  <c r="D44" i="136"/>
  <c r="D47" i="136" s="1"/>
  <c r="C44" i="136"/>
  <c r="D110" i="135"/>
  <c r="L37" i="212"/>
  <c r="X48" i="137"/>
  <c r="K1151" i="184"/>
  <c r="K57" i="137"/>
  <c r="BD15" i="218"/>
  <c r="BD65" i="218"/>
  <c r="BD66" i="218" s="1"/>
  <c r="D54" i="135"/>
  <c r="F10" i="136"/>
  <c r="B15" i="136"/>
  <c r="D42" i="187"/>
  <c r="P19" i="220"/>
  <c r="F52" i="136"/>
  <c r="C52" i="136"/>
  <c r="H1488" i="184"/>
  <c r="H85" i="137"/>
  <c r="E1488" i="184"/>
  <c r="E85" i="137"/>
  <c r="D2272" i="184"/>
  <c r="D93" i="137"/>
  <c r="D2532" i="184" s="1"/>
  <c r="C50" i="136"/>
  <c r="F50" i="136"/>
  <c r="B54" i="136"/>
  <c r="AC17" i="209"/>
  <c r="F53" i="136"/>
  <c r="N19" i="220" s="1"/>
  <c r="F38" i="136"/>
  <c r="L18" i="214"/>
  <c r="L19" i="229"/>
  <c r="K17" i="209"/>
  <c r="BD60" i="218"/>
  <c r="BD61" i="218"/>
  <c r="G42" i="187"/>
  <c r="I42" i="187" s="1"/>
  <c r="D57" i="135"/>
  <c r="F13" i="136"/>
  <c r="X39" i="137"/>
  <c r="K37" i="212"/>
  <c r="K41" i="136"/>
  <c r="J85" i="137"/>
  <c r="J1488" i="184"/>
  <c r="H37" i="212"/>
  <c r="W31" i="137"/>
  <c r="K42" i="136"/>
  <c r="N42" i="136"/>
  <c r="G2272" i="184"/>
  <c r="G93" i="137"/>
  <c r="G2532" i="184" s="1"/>
  <c r="I1151" i="184"/>
  <c r="I57" i="137"/>
  <c r="M44" i="137"/>
  <c r="D109" i="135"/>
  <c r="F43" i="136"/>
  <c r="K43" i="136" s="1"/>
  <c r="M43" i="136" s="1"/>
  <c r="AJ37" i="231"/>
  <c r="R35" i="127"/>
  <c r="R36" i="127"/>
  <c r="H29" i="221" s="1"/>
  <c r="W22" i="127"/>
  <c r="G35" i="212" s="1"/>
  <c r="C53" i="126"/>
  <c r="F53" i="126"/>
  <c r="N14" i="220" s="1"/>
  <c r="C28" i="126"/>
  <c r="F28" i="126"/>
  <c r="D63" i="125"/>
  <c r="Q30" i="127"/>
  <c r="F127" i="191"/>
  <c r="G127" i="191" s="1"/>
  <c r="F30" i="216"/>
  <c r="L85" i="127"/>
  <c r="L1467" i="184"/>
  <c r="K57" i="127"/>
  <c r="K1130" i="184"/>
  <c r="U14" i="227"/>
  <c r="G30" i="216"/>
  <c r="F164" i="191"/>
  <c r="G164" i="191" s="1"/>
  <c r="M685" i="184"/>
  <c r="Q35" i="231"/>
  <c r="AI35" i="231" s="1"/>
  <c r="P106" i="127"/>
  <c r="C52" i="126"/>
  <c r="F52" i="126"/>
  <c r="C29" i="126"/>
  <c r="F29" i="126"/>
  <c r="J29" i="126" s="1"/>
  <c r="D64" i="125"/>
  <c r="C13" i="126"/>
  <c r="G40" i="187"/>
  <c r="D57" i="125"/>
  <c r="F13" i="126"/>
  <c r="W27" i="127"/>
  <c r="L164" i="191"/>
  <c r="M164" i="191" s="1"/>
  <c r="AZ66" i="218"/>
  <c r="AZ60" i="218"/>
  <c r="AZ61" i="218" s="1"/>
  <c r="C14" i="126"/>
  <c r="F14" i="126"/>
  <c r="J14" i="126" s="1"/>
  <c r="D58" i="125"/>
  <c r="H40" i="187"/>
  <c r="P105" i="127"/>
  <c r="M240" i="184"/>
  <c r="E35" i="231"/>
  <c r="AG35" i="231"/>
  <c r="C10" i="126"/>
  <c r="T14" i="230" s="1"/>
  <c r="D40" i="187"/>
  <c r="F10" i="126"/>
  <c r="D54" i="125"/>
  <c r="B15" i="126"/>
  <c r="D32" i="242" s="1"/>
  <c r="C46" i="126"/>
  <c r="F46" i="126"/>
  <c r="K46" i="126" s="1"/>
  <c r="O46" i="126" s="1"/>
  <c r="D112" i="125"/>
  <c r="AZ53" i="218"/>
  <c r="AZ54" i="218" s="1"/>
  <c r="C27" i="126"/>
  <c r="D62" i="125"/>
  <c r="F27" i="126"/>
  <c r="J27" i="126" s="1"/>
  <c r="W35" i="127"/>
  <c r="J35" i="212" s="1"/>
  <c r="C45" i="126"/>
  <c r="D111" i="125"/>
  <c r="F45" i="126"/>
  <c r="K45" i="126" s="1"/>
  <c r="O45" i="126" s="1"/>
  <c r="F42" i="126"/>
  <c r="K42" i="126"/>
  <c r="N42" i="126" s="1"/>
  <c r="D108" i="125"/>
  <c r="C42" i="126"/>
  <c r="X48" i="127"/>
  <c r="L35" i="212"/>
  <c r="C38" i="126"/>
  <c r="D104" i="125"/>
  <c r="E38" i="126"/>
  <c r="E47" i="126" s="1"/>
  <c r="E61" i="126" s="1"/>
  <c r="E73" i="126" s="1"/>
  <c r="C37" i="126"/>
  <c r="F37" i="126"/>
  <c r="D103" i="125"/>
  <c r="F43" i="126"/>
  <c r="K43" i="126" s="1"/>
  <c r="M43" i="126" s="1"/>
  <c r="C43" i="126"/>
  <c r="D109" i="125"/>
  <c r="C44" i="126"/>
  <c r="D44" i="126"/>
  <c r="D47" i="126" s="1"/>
  <c r="D110" i="125"/>
  <c r="J1467" i="184"/>
  <c r="J85" i="127"/>
  <c r="AZ15" i="218"/>
  <c r="C50" i="126"/>
  <c r="B54" i="126"/>
  <c r="F50" i="126"/>
  <c r="H57" i="127"/>
  <c r="B19" i="126"/>
  <c r="AB35" i="231"/>
  <c r="AJ35" i="231" s="1"/>
  <c r="M1092" i="184"/>
  <c r="G57" i="127"/>
  <c r="G1130" i="184"/>
  <c r="C36" i="126"/>
  <c r="F36" i="126"/>
  <c r="D102" i="125"/>
  <c r="B47" i="126"/>
  <c r="C31" i="126"/>
  <c r="D66" i="125"/>
  <c r="F31" i="126"/>
  <c r="AZ30" i="218"/>
  <c r="C175" i="233"/>
  <c r="C58" i="126"/>
  <c r="F58" i="126"/>
  <c r="F59" i="126" s="1"/>
  <c r="C26" i="126"/>
  <c r="F26" i="126"/>
  <c r="B32" i="126"/>
  <c r="D12" i="125" s="1"/>
  <c r="D61" i="125"/>
  <c r="D1130" i="184"/>
  <c r="M44" i="127"/>
  <c r="D34" i="219"/>
  <c r="C39" i="126"/>
  <c r="D105" i="125"/>
  <c r="F39" i="126"/>
  <c r="C23" i="126"/>
  <c r="D11" i="125"/>
  <c r="F23" i="126"/>
  <c r="D60" i="125"/>
  <c r="P35" i="231"/>
  <c r="AH35" i="231"/>
  <c r="B18" i="126"/>
  <c r="M647" i="184"/>
  <c r="M14" i="227"/>
  <c r="K35" i="212"/>
  <c r="X39" i="127"/>
  <c r="AZ38" i="218"/>
  <c r="C176" i="233" s="1"/>
  <c r="C41" i="126"/>
  <c r="D107" i="125"/>
  <c r="F41" i="126"/>
  <c r="D57" i="127"/>
  <c r="C11" i="126"/>
  <c r="E40" i="187"/>
  <c r="D55" i="125"/>
  <c r="F11" i="126"/>
  <c r="J11" i="126" s="1"/>
  <c r="I57" i="127"/>
  <c r="I1130" i="184"/>
  <c r="C166" i="233"/>
  <c r="AX16" i="218"/>
  <c r="Q35" i="122"/>
  <c r="Q36" i="122"/>
  <c r="G28" i="221" s="1"/>
  <c r="AC41" i="209"/>
  <c r="J31" i="121"/>
  <c r="I19" i="187"/>
  <c r="J14" i="121"/>
  <c r="G14" i="121"/>
  <c r="J27" i="121"/>
  <c r="E37" i="192"/>
  <c r="V70" i="122"/>
  <c r="L338" i="191"/>
  <c r="G11" i="121"/>
  <c r="J11" i="121"/>
  <c r="F15" i="121"/>
  <c r="D58" i="219"/>
  <c r="F58" i="219" s="1"/>
  <c r="AV65" i="218"/>
  <c r="AV66" i="218"/>
  <c r="AW63" i="218"/>
  <c r="F1155" i="184"/>
  <c r="F57" i="117"/>
  <c r="D1155" i="184"/>
  <c r="D57" i="117"/>
  <c r="M44" i="117"/>
  <c r="D32" i="219"/>
  <c r="Q33" i="231"/>
  <c r="AI33" i="231" s="1"/>
  <c r="P106" i="117"/>
  <c r="M710" i="184"/>
  <c r="L42" i="229"/>
  <c r="K40" i="209"/>
  <c r="L41" i="214"/>
  <c r="J23" i="116"/>
  <c r="H42" i="210" s="1"/>
  <c r="H57" i="117"/>
  <c r="H1155" i="184"/>
  <c r="C46" i="116"/>
  <c r="F46" i="116"/>
  <c r="K46" i="116" s="1"/>
  <c r="O46" i="116" s="1"/>
  <c r="D112" i="115"/>
  <c r="K39" i="116"/>
  <c r="L39" i="116" s="1"/>
  <c r="I39" i="116"/>
  <c r="J41" i="213" s="1"/>
  <c r="D111" i="115"/>
  <c r="C45" i="116"/>
  <c r="F45" i="116"/>
  <c r="K45" i="116" s="1"/>
  <c r="O45" i="116"/>
  <c r="K1492" i="184"/>
  <c r="K85" i="117"/>
  <c r="G18" i="187"/>
  <c r="F13" i="116"/>
  <c r="D57" i="115"/>
  <c r="C13" i="116"/>
  <c r="F52" i="116"/>
  <c r="C52" i="116"/>
  <c r="K37" i="116"/>
  <c r="F28" i="216"/>
  <c r="F152" i="191"/>
  <c r="G152" i="191" s="1"/>
  <c r="C10" i="116"/>
  <c r="T42" i="230" s="1"/>
  <c r="D18" i="187"/>
  <c r="D54" i="115"/>
  <c r="F10" i="116"/>
  <c r="B15" i="116"/>
  <c r="D30" i="242" s="1"/>
  <c r="M83" i="184"/>
  <c r="M2629" i="184" s="1"/>
  <c r="B47" i="181" s="1"/>
  <c r="M42" i="227"/>
  <c r="D104" i="115"/>
  <c r="E38" i="116"/>
  <c r="E47" i="116" s="1"/>
  <c r="E61" i="116"/>
  <c r="E73" i="116" s="1"/>
  <c r="C38" i="116"/>
  <c r="K33" i="212"/>
  <c r="G57" i="117"/>
  <c r="F57" i="116"/>
  <c r="B59" i="116"/>
  <c r="C57" i="116"/>
  <c r="B47" i="116"/>
  <c r="AW10" i="218"/>
  <c r="AW15" i="218" s="1"/>
  <c r="AV15" i="218"/>
  <c r="C28" i="116"/>
  <c r="D63" i="115"/>
  <c r="F28" i="116"/>
  <c r="C44" i="116"/>
  <c r="D110" i="115"/>
  <c r="D44" i="116"/>
  <c r="D47" i="116" s="1"/>
  <c r="F53" i="116"/>
  <c r="N42" i="220" s="1"/>
  <c r="O42" i="220" s="1"/>
  <c r="C53" i="116"/>
  <c r="C30" i="116"/>
  <c r="D65" i="115"/>
  <c r="D30" i="116"/>
  <c r="D32" i="116"/>
  <c r="E33" i="231"/>
  <c r="AG33" i="231" s="1"/>
  <c r="P105" i="117"/>
  <c r="M265" i="184"/>
  <c r="M1386" i="184"/>
  <c r="M2672" i="184" s="1"/>
  <c r="W30" i="117"/>
  <c r="I33" i="212" s="1"/>
  <c r="AC40" i="209"/>
  <c r="J31" i="116"/>
  <c r="AV60" i="218"/>
  <c r="AV61" i="218" s="1"/>
  <c r="AW56" i="218"/>
  <c r="AW60" i="218" s="1"/>
  <c r="D106" i="115"/>
  <c r="C40" i="116"/>
  <c r="F40" i="116"/>
  <c r="K40" i="116" s="1"/>
  <c r="J57" i="117"/>
  <c r="J1155" i="184"/>
  <c r="F51" i="116"/>
  <c r="C51" i="116"/>
  <c r="AW44" i="218"/>
  <c r="AV53" i="218"/>
  <c r="AV54" i="218" s="1"/>
  <c r="C26" i="116"/>
  <c r="F26" i="116"/>
  <c r="D61" i="115"/>
  <c r="B32" i="116"/>
  <c r="D12" i="115" s="1"/>
  <c r="B54" i="116"/>
  <c r="F50" i="116"/>
  <c r="C50" i="116"/>
  <c r="M152" i="191"/>
  <c r="I1155" i="184"/>
  <c r="I57" i="117"/>
  <c r="X68" i="117"/>
  <c r="D62" i="115"/>
  <c r="C27" i="116"/>
  <c r="F27" i="116"/>
  <c r="J27" i="116" s="1"/>
  <c r="C41" i="116"/>
  <c r="F41" i="116"/>
  <c r="D107" i="115"/>
  <c r="W35" i="117"/>
  <c r="J33" i="212" s="1"/>
  <c r="M672" i="184"/>
  <c r="B18" i="116"/>
  <c r="P33" i="231"/>
  <c r="G1460" i="184"/>
  <c r="F42" i="116"/>
  <c r="K42" i="116" s="1"/>
  <c r="N42" i="116" s="1"/>
  <c r="C42" i="116"/>
  <c r="D108" i="115"/>
  <c r="AW32" i="218"/>
  <c r="AV38" i="218"/>
  <c r="C162" i="233" s="1"/>
  <c r="AB33" i="231"/>
  <c r="AJ33" i="231" s="1"/>
  <c r="M1117" i="184"/>
  <c r="B19" i="116"/>
  <c r="L33" i="212"/>
  <c r="F11" i="116"/>
  <c r="J11" i="116" s="1"/>
  <c r="E18" i="187"/>
  <c r="I18" i="187" s="1"/>
  <c r="D55" i="115"/>
  <c r="C11" i="116"/>
  <c r="E1155" i="184"/>
  <c r="E57" i="117"/>
  <c r="F58" i="116"/>
  <c r="C58" i="116"/>
  <c r="D20" i="116"/>
  <c r="D33" i="116" s="1"/>
  <c r="C23" i="111"/>
  <c r="L85" i="112"/>
  <c r="L1491" i="184"/>
  <c r="D30" i="111"/>
  <c r="D32" i="111" s="1"/>
  <c r="D33" i="111" s="1"/>
  <c r="C30" i="111"/>
  <c r="D65" i="110"/>
  <c r="X39" i="112"/>
  <c r="D27" i="216"/>
  <c r="F40" i="191"/>
  <c r="R69" i="112"/>
  <c r="F373" i="191" s="1"/>
  <c r="G1154" i="184"/>
  <c r="G57" i="112"/>
  <c r="K1154" i="184"/>
  <c r="K57" i="112"/>
  <c r="C58" i="111"/>
  <c r="C59" i="111" s="1"/>
  <c r="F58" i="111"/>
  <c r="F59" i="111"/>
  <c r="B59" i="111"/>
  <c r="M114" i="191"/>
  <c r="Q32" i="231"/>
  <c r="M709" i="184"/>
  <c r="P106" i="112"/>
  <c r="F46" i="111"/>
  <c r="K46" i="111" s="1"/>
  <c r="O46" i="111" s="1"/>
  <c r="C45" i="111"/>
  <c r="AU29" i="218"/>
  <c r="C154" i="233"/>
  <c r="AT30" i="218"/>
  <c r="F50" i="111"/>
  <c r="C50" i="111"/>
  <c r="F52" i="111"/>
  <c r="C27" i="111"/>
  <c r="F27" i="111"/>
  <c r="J27" i="111" s="1"/>
  <c r="D62" i="110"/>
  <c r="D112" i="110"/>
  <c r="C46" i="111"/>
  <c r="AU64" i="218"/>
  <c r="AU65" i="218" s="1"/>
  <c r="AT65" i="218"/>
  <c r="AT66" i="218" s="1"/>
  <c r="F39" i="111"/>
  <c r="C39" i="111"/>
  <c r="D105" i="110"/>
  <c r="J57" i="112"/>
  <c r="Q35" i="112"/>
  <c r="Q36" i="112"/>
  <c r="G26" i="221" s="1"/>
  <c r="AU56" i="218"/>
  <c r="F51" i="111"/>
  <c r="C51" i="111"/>
  <c r="AB32" i="231"/>
  <c r="B19" i="111"/>
  <c r="M1116" i="184"/>
  <c r="W43" i="112"/>
  <c r="M264" i="184"/>
  <c r="P105" i="112"/>
  <c r="E32" i="231"/>
  <c r="AG32" i="231" s="1"/>
  <c r="B18" i="111"/>
  <c r="M671" i="184"/>
  <c r="P32" i="231"/>
  <c r="AH32" i="231" s="1"/>
  <c r="F40" i="111"/>
  <c r="K40" i="111" s="1"/>
  <c r="M40" i="111" s="1"/>
  <c r="M47" i="111" s="1"/>
  <c r="M49" i="111" s="1"/>
  <c r="L41" i="210" s="1"/>
  <c r="C40" i="111"/>
  <c r="D106" i="110"/>
  <c r="AT15" i="218"/>
  <c r="AU10" i="218"/>
  <c r="AU42" i="218"/>
  <c r="AU53" i="218" s="1"/>
  <c r="AT53" i="218"/>
  <c r="AT54" i="218" s="1"/>
  <c r="F29" i="111"/>
  <c r="J29" i="111" s="1"/>
  <c r="D64" i="110"/>
  <c r="C29" i="111"/>
  <c r="F151" i="191"/>
  <c r="G151" i="191" s="1"/>
  <c r="F27" i="216"/>
  <c r="M44" i="112"/>
  <c r="D1154" i="184"/>
  <c r="D57" i="112"/>
  <c r="D31" i="219"/>
  <c r="F1491" i="184"/>
  <c r="F85" i="112"/>
  <c r="D17" i="187"/>
  <c r="D54" i="110"/>
  <c r="F10" i="111"/>
  <c r="C10" i="111"/>
  <c r="T41" i="230" s="1"/>
  <c r="B15" i="111"/>
  <c r="D29" i="242" s="1"/>
  <c r="F36" i="111"/>
  <c r="C36" i="111"/>
  <c r="D102" i="110"/>
  <c r="L40" i="191"/>
  <c r="AU32" i="218"/>
  <c r="AU38" i="218" s="1"/>
  <c r="D155" i="233" s="1"/>
  <c r="AT38" i="218"/>
  <c r="C155" i="233" s="1"/>
  <c r="W47" i="112"/>
  <c r="M32" i="212" s="1"/>
  <c r="E1154" i="184"/>
  <c r="E57" i="112"/>
  <c r="C41" i="111"/>
  <c r="D107" i="110"/>
  <c r="F41" i="111"/>
  <c r="U41" i="227"/>
  <c r="D103" i="110"/>
  <c r="C37" i="111"/>
  <c r="F37" i="111"/>
  <c r="E38" i="111"/>
  <c r="E47" i="111"/>
  <c r="E61" i="111" s="1"/>
  <c r="E73" i="111" s="1"/>
  <c r="D104" i="110"/>
  <c r="C38" i="111"/>
  <c r="I57" i="112"/>
  <c r="I1154" i="184"/>
  <c r="G17" i="187"/>
  <c r="D57" i="110"/>
  <c r="C13" i="111"/>
  <c r="F13" i="111"/>
  <c r="H57" i="112"/>
  <c r="H1154" i="184"/>
  <c r="F14" i="111"/>
  <c r="J14" i="111" s="1"/>
  <c r="C14" i="111"/>
  <c r="H17" i="187"/>
  <c r="D58" i="110"/>
  <c r="E17" i="187"/>
  <c r="D55" i="110"/>
  <c r="C11" i="111"/>
  <c r="F11" i="111"/>
  <c r="J11" i="111" s="1"/>
  <c r="AB69" i="112"/>
  <c r="AB71" i="112" s="1"/>
  <c r="AB72" i="112" s="1"/>
  <c r="J26" i="221" s="1"/>
  <c r="AA71" i="112"/>
  <c r="F26" i="111"/>
  <c r="C26" i="111"/>
  <c r="D61" i="110"/>
  <c r="W30" i="57"/>
  <c r="I19" i="212"/>
  <c r="D106" i="55"/>
  <c r="F40" i="56"/>
  <c r="K40" i="56" s="1"/>
  <c r="M40" i="56" s="1"/>
  <c r="C51" i="106"/>
  <c r="F51" i="106"/>
  <c r="K31" i="212"/>
  <c r="X39" i="107"/>
  <c r="U29" i="227"/>
  <c r="C57" i="106"/>
  <c r="F57" i="106"/>
  <c r="B59" i="106"/>
  <c r="G1490" i="184"/>
  <c r="G85" i="107"/>
  <c r="F1153" i="184"/>
  <c r="F57" i="107"/>
  <c r="AR65" i="218"/>
  <c r="AR66" i="218" s="1"/>
  <c r="P106" i="107"/>
  <c r="F58" i="106"/>
  <c r="C58" i="106"/>
  <c r="W43" i="107"/>
  <c r="AR38" i="218"/>
  <c r="C148" i="233" s="1"/>
  <c r="D30" i="219"/>
  <c r="D1153" i="184"/>
  <c r="D57" i="107"/>
  <c r="M44" i="107"/>
  <c r="W30" i="107"/>
  <c r="I31" i="212" s="1"/>
  <c r="J26" i="106"/>
  <c r="AB69" i="107"/>
  <c r="AA71" i="107"/>
  <c r="F37" i="106"/>
  <c r="D103" i="105"/>
  <c r="C37" i="106"/>
  <c r="I41" i="106"/>
  <c r="K28" i="213" s="1"/>
  <c r="K41" i="106"/>
  <c r="N41" i="106" s="1"/>
  <c r="F224" i="191"/>
  <c r="G224" i="191" s="1"/>
  <c r="H26" i="216"/>
  <c r="K1153" i="184"/>
  <c r="K57" i="107"/>
  <c r="AS42" i="218"/>
  <c r="AR53" i="218"/>
  <c r="AR54" i="218" s="1"/>
  <c r="L1153" i="184"/>
  <c r="L57" i="107"/>
  <c r="L39" i="191"/>
  <c r="M39" i="191" s="1"/>
  <c r="E1153" i="184"/>
  <c r="E57" i="107"/>
  <c r="I1490" i="184"/>
  <c r="I85" i="107"/>
  <c r="R69" i="107"/>
  <c r="F372" i="191"/>
  <c r="D26" i="216"/>
  <c r="F39" i="191"/>
  <c r="G39" i="191" s="1"/>
  <c r="P31" i="231"/>
  <c r="AH31" i="231" s="1"/>
  <c r="B18" i="106"/>
  <c r="M670" i="184"/>
  <c r="D105" i="105"/>
  <c r="F39" i="106"/>
  <c r="C39" i="106"/>
  <c r="C40" i="106"/>
  <c r="D106" i="105"/>
  <c r="F40" i="106"/>
  <c r="K40" i="106" s="1"/>
  <c r="M40" i="106" s="1"/>
  <c r="B54" i="106"/>
  <c r="F50" i="106"/>
  <c r="C50" i="106"/>
  <c r="M298" i="191"/>
  <c r="C52" i="106"/>
  <c r="F52" i="106"/>
  <c r="H1153" i="184"/>
  <c r="H57" i="107"/>
  <c r="C27" i="106"/>
  <c r="D62" i="105"/>
  <c r="F27" i="106"/>
  <c r="J27" i="106" s="1"/>
  <c r="F23" i="106"/>
  <c r="D11" i="105"/>
  <c r="D60" i="105"/>
  <c r="C23" i="106"/>
  <c r="M263" i="184"/>
  <c r="P105" i="107"/>
  <c r="E31" i="231"/>
  <c r="AG31" i="231" s="1"/>
  <c r="C45" i="106"/>
  <c r="D111" i="105"/>
  <c r="F45" i="106"/>
  <c r="K45" i="106" s="1"/>
  <c r="O45" i="106" s="1"/>
  <c r="AS11" i="218"/>
  <c r="AS56" i="218"/>
  <c r="AR60" i="218"/>
  <c r="AR61" i="218" s="1"/>
  <c r="J1153" i="184"/>
  <c r="J57" i="107"/>
  <c r="Q35" i="107"/>
  <c r="Q36" i="107"/>
  <c r="G25" i="221" s="1"/>
  <c r="C147" i="233"/>
  <c r="AS29" i="218"/>
  <c r="D147" i="233" s="1"/>
  <c r="AR30" i="218"/>
  <c r="F14" i="106"/>
  <c r="D58" i="105"/>
  <c r="H39" i="187"/>
  <c r="C14" i="106"/>
  <c r="C11" i="106"/>
  <c r="D55" i="105"/>
  <c r="F11" i="106"/>
  <c r="B15" i="106"/>
  <c r="D28" i="242" s="1"/>
  <c r="E39" i="187"/>
  <c r="D66" i="105"/>
  <c r="F31" i="106"/>
  <c r="C31" i="106"/>
  <c r="C44" i="106"/>
  <c r="D110" i="105"/>
  <c r="D44" i="106"/>
  <c r="D47" i="106" s="1"/>
  <c r="C43" i="106"/>
  <c r="F43" i="106"/>
  <c r="K43" i="106" s="1"/>
  <c r="M43" i="106" s="1"/>
  <c r="D109" i="105"/>
  <c r="D72" i="235"/>
  <c r="D75" i="235"/>
  <c r="D78" i="235" s="1"/>
  <c r="D80" i="235" s="1"/>
  <c r="F100" i="236"/>
  <c r="F49" i="235"/>
  <c r="K49" i="235" s="1"/>
  <c r="N49" i="235" s="1"/>
  <c r="N54" i="235" s="1"/>
  <c r="D108" i="234"/>
  <c r="K46" i="235"/>
  <c r="L46" i="235" s="1"/>
  <c r="K47" i="235"/>
  <c r="M47" i="235"/>
  <c r="M54" i="235" s="1"/>
  <c r="F13" i="235"/>
  <c r="D57" i="234"/>
  <c r="F19" i="235"/>
  <c r="F43" i="235"/>
  <c r="D103" i="234"/>
  <c r="E30" i="231"/>
  <c r="AG30" i="231" s="1"/>
  <c r="M255" i="184"/>
  <c r="P105" i="203"/>
  <c r="D108" i="201"/>
  <c r="F42" i="202"/>
  <c r="K42" i="202" s="1"/>
  <c r="N42" i="202" s="1"/>
  <c r="N47" i="202" s="1"/>
  <c r="M253" i="191"/>
  <c r="K85" i="203"/>
  <c r="K1482" i="184"/>
  <c r="AH30" i="218"/>
  <c r="C112" i="233"/>
  <c r="F40" i="202"/>
  <c r="K40" i="202" s="1"/>
  <c r="D106" i="201"/>
  <c r="C40" i="202"/>
  <c r="J2266" i="184"/>
  <c r="J93" i="203"/>
  <c r="J2526" i="184" s="1"/>
  <c r="I2266" i="184"/>
  <c r="I93" i="203"/>
  <c r="I2526" i="184"/>
  <c r="D58" i="201"/>
  <c r="H25" i="187"/>
  <c r="C14" i="202"/>
  <c r="F14" i="202"/>
  <c r="D41" i="192"/>
  <c r="L68" i="191"/>
  <c r="M68" i="191"/>
  <c r="X68" i="203"/>
  <c r="D11" i="201"/>
  <c r="D60" i="201"/>
  <c r="F23" i="202"/>
  <c r="Q30" i="231"/>
  <c r="AI30" i="231" s="1"/>
  <c r="P106" i="203"/>
  <c r="M700" i="184"/>
  <c r="R30" i="203"/>
  <c r="F1145" i="184"/>
  <c r="F57" i="203"/>
  <c r="L1145" i="184"/>
  <c r="L57" i="203"/>
  <c r="K41" i="202"/>
  <c r="N41" i="202"/>
  <c r="F39" i="202"/>
  <c r="D105" i="201"/>
  <c r="C30" i="202"/>
  <c r="D65" i="201"/>
  <c r="D30" i="202"/>
  <c r="D32" i="202" s="1"/>
  <c r="D33" i="202" s="1"/>
  <c r="D1460" i="184"/>
  <c r="D104" i="201"/>
  <c r="E38" i="202"/>
  <c r="E47" i="202" s="1"/>
  <c r="E61" i="202" s="1"/>
  <c r="E73" i="202" s="1"/>
  <c r="B18" i="202"/>
  <c r="F46" i="202"/>
  <c r="K46" i="202"/>
  <c r="O46" i="202" s="1"/>
  <c r="D112" i="201"/>
  <c r="F50" i="202"/>
  <c r="F54" i="202" s="1"/>
  <c r="B54" i="202"/>
  <c r="G25" i="216"/>
  <c r="F179" i="191"/>
  <c r="G179" i="191"/>
  <c r="H57" i="203"/>
  <c r="H1145" i="184"/>
  <c r="L30" i="212"/>
  <c r="X48" i="203"/>
  <c r="E1145" i="184"/>
  <c r="E57" i="203"/>
  <c r="AB30" i="231"/>
  <c r="M1107" i="184"/>
  <c r="B19" i="202"/>
  <c r="AH60" i="218"/>
  <c r="AH61" i="218" s="1"/>
  <c r="F58" i="202"/>
  <c r="C58" i="202"/>
  <c r="B47" i="202"/>
  <c r="F28" i="202"/>
  <c r="D63" i="201"/>
  <c r="M179" i="191"/>
  <c r="D61" i="201"/>
  <c r="F26" i="202"/>
  <c r="B32" i="202"/>
  <c r="D12" i="201" s="1"/>
  <c r="D1145" i="184"/>
  <c r="D29" i="219"/>
  <c r="D57" i="203"/>
  <c r="D111" i="201"/>
  <c r="F45" i="202"/>
  <c r="K45" i="202" s="1"/>
  <c r="O45" i="202" s="1"/>
  <c r="E25" i="187"/>
  <c r="D55" i="201"/>
  <c r="F11" i="202"/>
  <c r="B15" i="202"/>
  <c r="D27" i="242"/>
  <c r="D44" i="202"/>
  <c r="D47" i="202" s="1"/>
  <c r="D110" i="201"/>
  <c r="C44" i="202"/>
  <c r="D103" i="201"/>
  <c r="F37" i="202"/>
  <c r="AF60" i="218"/>
  <c r="AF61" i="218"/>
  <c r="C105" i="233"/>
  <c r="AF30" i="218"/>
  <c r="C51" i="198"/>
  <c r="B54" i="198"/>
  <c r="F51" i="198"/>
  <c r="F41" i="198"/>
  <c r="D107" i="197"/>
  <c r="C41" i="198"/>
  <c r="F57" i="198"/>
  <c r="C57" i="198"/>
  <c r="B59" i="198"/>
  <c r="I1142" i="184"/>
  <c r="I57" i="199"/>
  <c r="C26" i="198"/>
  <c r="F26" i="198"/>
  <c r="D61" i="197"/>
  <c r="J85" i="199"/>
  <c r="J1479" i="184"/>
  <c r="U45" i="227"/>
  <c r="P105" i="199"/>
  <c r="E29" i="231"/>
  <c r="AG29" i="231"/>
  <c r="M252" i="184"/>
  <c r="C27" i="198"/>
  <c r="D62" i="197"/>
  <c r="F27" i="198"/>
  <c r="J27" i="198" s="1"/>
  <c r="C43" i="198"/>
  <c r="D109" i="197"/>
  <c r="F43" i="198"/>
  <c r="K43" i="198" s="1"/>
  <c r="AF38" i="218"/>
  <c r="C106" i="233" s="1"/>
  <c r="C42" i="198"/>
  <c r="W43" i="199"/>
  <c r="F29" i="198"/>
  <c r="J29" i="198" s="1"/>
  <c r="D64" i="197"/>
  <c r="C29" i="198"/>
  <c r="C38" i="198"/>
  <c r="D104" i="197"/>
  <c r="E38" i="198"/>
  <c r="E47" i="198" s="1"/>
  <c r="E61" i="198" s="1"/>
  <c r="E73" i="198" s="1"/>
  <c r="F1479" i="184"/>
  <c r="F85" i="199"/>
  <c r="AB29" i="231"/>
  <c r="B19" i="198"/>
  <c r="M1104" i="184"/>
  <c r="D105" i="197"/>
  <c r="F39" i="198"/>
  <c r="C39" i="198"/>
  <c r="C36" i="198"/>
  <c r="D102" i="197"/>
  <c r="F36" i="198"/>
  <c r="C13" i="198"/>
  <c r="F13" i="198"/>
  <c r="D57" i="197"/>
  <c r="G24" i="187"/>
  <c r="F53" i="198"/>
  <c r="N45" i="220" s="1"/>
  <c r="O45" i="220" s="1"/>
  <c r="C53" i="198"/>
  <c r="P29" i="231"/>
  <c r="M659" i="184"/>
  <c r="B18" i="198"/>
  <c r="F46" i="198"/>
  <c r="K46" i="198" s="1"/>
  <c r="O46" i="198" s="1"/>
  <c r="D112" i="197"/>
  <c r="C46" i="198"/>
  <c r="L1142" i="184"/>
  <c r="L57" i="199"/>
  <c r="K57" i="199"/>
  <c r="K1142" i="184"/>
  <c r="F52" i="198"/>
  <c r="C52" i="198"/>
  <c r="W38" i="199"/>
  <c r="F28" i="191"/>
  <c r="G28" i="191" s="1"/>
  <c r="D24" i="216"/>
  <c r="W47" i="199"/>
  <c r="M29" i="212" s="1"/>
  <c r="E1479" i="184"/>
  <c r="E85" i="199"/>
  <c r="AB71" i="199"/>
  <c r="AB72" i="199" s="1"/>
  <c r="J23" i="221" s="1"/>
  <c r="D63" i="197"/>
  <c r="C14" i="198"/>
  <c r="F14" i="198"/>
  <c r="J14" i="198" s="1"/>
  <c r="D58" i="197"/>
  <c r="H24" i="187"/>
  <c r="AF15" i="218"/>
  <c r="D65" i="197"/>
  <c r="D30" i="198"/>
  <c r="D32" i="198" s="1"/>
  <c r="C30" i="198"/>
  <c r="D60" i="197"/>
  <c r="D11" i="197"/>
  <c r="F23" i="198"/>
  <c r="C23" i="198"/>
  <c r="H1142" i="184"/>
  <c r="H57" i="199"/>
  <c r="C10" i="198"/>
  <c r="T45" i="230" s="1"/>
  <c r="D54" i="197"/>
  <c r="D24" i="187"/>
  <c r="B15" i="198"/>
  <c r="F10" i="198"/>
  <c r="AF65" i="218"/>
  <c r="AF66" i="218" s="1"/>
  <c r="F58" i="198"/>
  <c r="C58" i="198"/>
  <c r="P106" i="199"/>
  <c r="M697" i="184"/>
  <c r="Q29" i="231"/>
  <c r="AI29" i="231"/>
  <c r="E1483" i="184"/>
  <c r="E85" i="102"/>
  <c r="G1146" i="184"/>
  <c r="G57" i="102"/>
  <c r="W27" i="102"/>
  <c r="W47" i="102"/>
  <c r="M28" i="212" s="1"/>
  <c r="D109" i="100"/>
  <c r="F43" i="101"/>
  <c r="K43" i="101" s="1"/>
  <c r="M43" i="101" s="1"/>
  <c r="F53" i="101"/>
  <c r="N44" i="220" s="1"/>
  <c r="R30" i="102"/>
  <c r="C140" i="233"/>
  <c r="AP30" i="218"/>
  <c r="D65" i="100"/>
  <c r="D30" i="101"/>
  <c r="D32" i="101"/>
  <c r="D33" i="101" s="1"/>
  <c r="J93" i="102"/>
  <c r="J2527" i="184" s="1"/>
  <c r="J2267" i="184"/>
  <c r="K28" i="212"/>
  <c r="H57" i="102"/>
  <c r="H1146" i="184"/>
  <c r="AP53" i="218"/>
  <c r="W35" i="102"/>
  <c r="J28" i="212"/>
  <c r="M701" i="184"/>
  <c r="P106" i="102"/>
  <c r="Q28" i="231"/>
  <c r="D38" i="192"/>
  <c r="X68" i="102"/>
  <c r="L69" i="191"/>
  <c r="AP65" i="218"/>
  <c r="AP66" i="218"/>
  <c r="B15" i="101"/>
  <c r="D25" i="242" s="1"/>
  <c r="D16" i="187"/>
  <c r="D54" i="100"/>
  <c r="F10" i="101"/>
  <c r="F52" i="101"/>
  <c r="D106" i="100"/>
  <c r="F40" i="101"/>
  <c r="K40" i="101" s="1"/>
  <c r="D62" i="100"/>
  <c r="F27" i="101"/>
  <c r="J27" i="101"/>
  <c r="M69" i="191"/>
  <c r="D110" i="100"/>
  <c r="D44" i="101"/>
  <c r="D47" i="101" s="1"/>
  <c r="B59" i="101"/>
  <c r="F57" i="101"/>
  <c r="F59" i="101"/>
  <c r="C57" i="101"/>
  <c r="AP15" i="218"/>
  <c r="R69" i="102"/>
  <c r="F365" i="191" s="1"/>
  <c r="E23" i="216"/>
  <c r="F69" i="191"/>
  <c r="G69" i="191" s="1"/>
  <c r="F29" i="101"/>
  <c r="D64" i="100"/>
  <c r="C29" i="101"/>
  <c r="F180" i="191"/>
  <c r="G180" i="191" s="1"/>
  <c r="G23" i="216"/>
  <c r="I1146" i="184"/>
  <c r="D61" i="100"/>
  <c r="F26" i="101"/>
  <c r="D66" i="100"/>
  <c r="C31" i="101"/>
  <c r="F31" i="101"/>
  <c r="AB28" i="231"/>
  <c r="AJ28" i="231" s="1"/>
  <c r="B19" i="101"/>
  <c r="M1108" i="184"/>
  <c r="F13" i="101"/>
  <c r="G16" i="187"/>
  <c r="I16" i="187"/>
  <c r="D57" i="100"/>
  <c r="F50" i="101"/>
  <c r="B54" i="101"/>
  <c r="P28" i="231"/>
  <c r="AH28" i="231" s="1"/>
  <c r="M256" i="184"/>
  <c r="AP60" i="218"/>
  <c r="AP61" i="218" s="1"/>
  <c r="K37" i="101"/>
  <c r="D27" i="219"/>
  <c r="E1146" i="184"/>
  <c r="D111" i="100"/>
  <c r="F23" i="101"/>
  <c r="D60" i="100"/>
  <c r="D11" i="100"/>
  <c r="K1146" i="184"/>
  <c r="K57" i="102"/>
  <c r="M44" i="227"/>
  <c r="W44" i="227" s="1"/>
  <c r="M180" i="191"/>
  <c r="AB69" i="102"/>
  <c r="AB71" i="102"/>
  <c r="AB72" i="102" s="1"/>
  <c r="J22" i="221" s="1"/>
  <c r="AA71" i="102"/>
  <c r="F53" i="96"/>
  <c r="N13" i="220" s="1"/>
  <c r="G1140" i="184"/>
  <c r="K1477" i="184"/>
  <c r="K85" i="97"/>
  <c r="F58" i="96"/>
  <c r="E1477" i="184"/>
  <c r="E85" i="97"/>
  <c r="C131" i="233"/>
  <c r="AN16" i="218"/>
  <c r="P105" i="97"/>
  <c r="M250" i="184"/>
  <c r="E27" i="231"/>
  <c r="F85" i="97"/>
  <c r="F1477" i="184"/>
  <c r="D111" i="95"/>
  <c r="F45" i="96"/>
  <c r="K45" i="96" s="1"/>
  <c r="O45" i="96" s="1"/>
  <c r="D55" i="95"/>
  <c r="M1102" i="184"/>
  <c r="AB27" i="231"/>
  <c r="AJ27" i="231" s="1"/>
  <c r="B19" i="96"/>
  <c r="H22" i="216"/>
  <c r="F211" i="191"/>
  <c r="G211" i="191" s="1"/>
  <c r="P27" i="231"/>
  <c r="M657" i="184"/>
  <c r="B18" i="96"/>
  <c r="F26" i="96"/>
  <c r="D61" i="95"/>
  <c r="B32" i="96"/>
  <c r="D12" i="95" s="1"/>
  <c r="B59" i="96"/>
  <c r="F57" i="96"/>
  <c r="F59" i="96" s="1"/>
  <c r="D110" i="95"/>
  <c r="D44" i="96"/>
  <c r="D47" i="96" s="1"/>
  <c r="W43" i="97"/>
  <c r="D108" i="95"/>
  <c r="C42" i="96"/>
  <c r="F42" i="96"/>
  <c r="K42" i="96" s="1"/>
  <c r="N42" i="96" s="1"/>
  <c r="F41" i="96"/>
  <c r="D107" i="95"/>
  <c r="D112" i="95"/>
  <c r="F46" i="96"/>
  <c r="K46" i="96"/>
  <c r="O46" i="96" s="1"/>
  <c r="M285" i="191"/>
  <c r="AN65" i="218"/>
  <c r="AN66" i="218" s="1"/>
  <c r="B54" i="96"/>
  <c r="AN53" i="218"/>
  <c r="AN54" i="218" s="1"/>
  <c r="D104" i="95"/>
  <c r="E38" i="96"/>
  <c r="E47" i="96" s="1"/>
  <c r="E61" i="96" s="1"/>
  <c r="E73" i="96" s="1"/>
  <c r="C38" i="96"/>
  <c r="J1140" i="184"/>
  <c r="J57" i="97"/>
  <c r="D85" i="97"/>
  <c r="D1477" i="184"/>
  <c r="Q36" i="97"/>
  <c r="G21" i="221" s="1"/>
  <c r="Q35" i="97"/>
  <c r="P106" i="97"/>
  <c r="M695" i="184"/>
  <c r="Q27" i="231"/>
  <c r="AI27" i="231" s="1"/>
  <c r="F31" i="96"/>
  <c r="D66" i="95"/>
  <c r="D26" i="219"/>
  <c r="U13" i="227"/>
  <c r="F40" i="96"/>
  <c r="D106" i="95"/>
  <c r="W47" i="97"/>
  <c r="M27" i="212" s="1"/>
  <c r="L57" i="97"/>
  <c r="L1140" i="184"/>
  <c r="F36" i="96"/>
  <c r="B47" i="96"/>
  <c r="D102" i="95"/>
  <c r="F14" i="96"/>
  <c r="H38" i="187"/>
  <c r="D58" i="95"/>
  <c r="L13" i="229"/>
  <c r="L12" i="214"/>
  <c r="J23" i="96"/>
  <c r="H13" i="210" s="1"/>
  <c r="K11" i="209"/>
  <c r="L26" i="191"/>
  <c r="M26" i="191" s="1"/>
  <c r="X68" i="97"/>
  <c r="D62" i="95"/>
  <c r="F27" i="96"/>
  <c r="D21" i="216"/>
  <c r="F45" i="191"/>
  <c r="G45" i="191" s="1"/>
  <c r="I1159" i="184"/>
  <c r="I57" i="92"/>
  <c r="AB69" i="92"/>
  <c r="AA71" i="92"/>
  <c r="M676" i="184"/>
  <c r="B18" i="91"/>
  <c r="P26" i="231"/>
  <c r="K26" i="212"/>
  <c r="K37" i="91"/>
  <c r="L37" i="91" s="1"/>
  <c r="F13" i="91"/>
  <c r="G15" i="187"/>
  <c r="I15" i="187"/>
  <c r="D57" i="90"/>
  <c r="L26" i="212"/>
  <c r="X48" i="92"/>
  <c r="Q26" i="231"/>
  <c r="AI26" i="231"/>
  <c r="P106" i="92"/>
  <c r="M714" i="184"/>
  <c r="AL38" i="218"/>
  <c r="C127" i="233" s="1"/>
  <c r="D105" i="90"/>
  <c r="F39" i="91"/>
  <c r="F57" i="92"/>
  <c r="F1159" i="184"/>
  <c r="H1159" i="184"/>
  <c r="H57" i="92"/>
  <c r="F53" i="91"/>
  <c r="N33" i="220" s="1"/>
  <c r="B15" i="91"/>
  <c r="D23" i="242" s="1"/>
  <c r="F10" i="91"/>
  <c r="D15" i="187"/>
  <c r="D54" i="90"/>
  <c r="F26" i="91"/>
  <c r="D61" i="90"/>
  <c r="B32" i="91"/>
  <c r="D12" i="90" s="1"/>
  <c r="I26" i="212"/>
  <c r="L45" i="191"/>
  <c r="M45" i="191" s="1"/>
  <c r="F40" i="91"/>
  <c r="K40" i="91" s="1"/>
  <c r="D106" i="90"/>
  <c r="AL60" i="218"/>
  <c r="AL61" i="218" s="1"/>
  <c r="AM56" i="218"/>
  <c r="D1496" i="184"/>
  <c r="D85" i="92"/>
  <c r="K1159" i="184"/>
  <c r="K57" i="92"/>
  <c r="F21" i="216"/>
  <c r="F156" i="191"/>
  <c r="G156" i="191" s="1"/>
  <c r="I1122" i="184"/>
  <c r="M156" i="191"/>
  <c r="F51" i="91"/>
  <c r="AL65" i="218"/>
  <c r="AL66" i="218" s="1"/>
  <c r="D102" i="90"/>
  <c r="Q35" i="92"/>
  <c r="Q36" i="92"/>
  <c r="G20" i="221" s="1"/>
  <c r="C43" i="91"/>
  <c r="D109" i="90"/>
  <c r="F43" i="91"/>
  <c r="K43" i="91" s="1"/>
  <c r="M43" i="91" s="1"/>
  <c r="P33" i="220"/>
  <c r="F58" i="91"/>
  <c r="E38" i="91"/>
  <c r="E47" i="91" s="1"/>
  <c r="E61" i="91" s="1"/>
  <c r="E73" i="91" s="1"/>
  <c r="D104" i="90"/>
  <c r="W27" i="92"/>
  <c r="H26" i="212" s="1"/>
  <c r="E57" i="92"/>
  <c r="D25" i="219"/>
  <c r="M44" i="92"/>
  <c r="E1159" i="184"/>
  <c r="F46" i="91"/>
  <c r="K46" i="91" s="1"/>
  <c r="O46" i="91" s="1"/>
  <c r="O47" i="91" s="1"/>
  <c r="O49" i="91" s="1"/>
  <c r="N33" i="210" s="1"/>
  <c r="D112" i="90"/>
  <c r="M269" i="184"/>
  <c r="E26" i="231"/>
  <c r="P105" i="92"/>
  <c r="M33" i="227"/>
  <c r="W33" i="227"/>
  <c r="C10" i="86"/>
  <c r="T34" i="230" s="1"/>
  <c r="F10" i="86"/>
  <c r="D54" i="85"/>
  <c r="B15" i="86"/>
  <c r="D14" i="187"/>
  <c r="F42" i="86"/>
  <c r="D108" i="85"/>
  <c r="C42" i="86"/>
  <c r="F19" i="86"/>
  <c r="C19" i="86"/>
  <c r="C20" i="86" s="1"/>
  <c r="B20" i="86"/>
  <c r="AJ38" i="218"/>
  <c r="C120" i="233"/>
  <c r="AK32" i="218"/>
  <c r="C52" i="86"/>
  <c r="B54" i="86"/>
  <c r="F52" i="86"/>
  <c r="F54" i="86" s="1"/>
  <c r="X68" i="87"/>
  <c r="F26" i="86"/>
  <c r="D61" i="85"/>
  <c r="B32" i="86"/>
  <c r="D12" i="85" s="1"/>
  <c r="C26" i="86"/>
  <c r="F43" i="86"/>
  <c r="K43" i="86" s="1"/>
  <c r="M43" i="86" s="1"/>
  <c r="M47" i="86" s="1"/>
  <c r="M49" i="86" s="1"/>
  <c r="L34" i="210" s="1"/>
  <c r="D109" i="85"/>
  <c r="C43" i="86"/>
  <c r="L25" i="212"/>
  <c r="X48" i="87"/>
  <c r="G14" i="86"/>
  <c r="J13" i="86"/>
  <c r="W21" i="87"/>
  <c r="AC25" i="231"/>
  <c r="AK25" i="231" s="1"/>
  <c r="M1138" i="184"/>
  <c r="AK58" i="218"/>
  <c r="AK60" i="218" s="1"/>
  <c r="AJ60" i="218"/>
  <c r="W27" i="87"/>
  <c r="K1475" i="184"/>
  <c r="K85" i="87"/>
  <c r="I85" i="87"/>
  <c r="I1475" i="184"/>
  <c r="M57" i="87"/>
  <c r="M1475" i="184" s="1"/>
  <c r="G20" i="216"/>
  <c r="F172" i="191"/>
  <c r="G172" i="191"/>
  <c r="AC32" i="209"/>
  <c r="J31" i="86"/>
  <c r="AA71" i="87"/>
  <c r="AB69" i="87"/>
  <c r="AB71" i="87" s="1"/>
  <c r="AB72" i="87" s="1"/>
  <c r="J19" i="221" s="1"/>
  <c r="D65" i="86"/>
  <c r="D68" i="86" s="1"/>
  <c r="D71" i="86" s="1"/>
  <c r="F2259" i="184"/>
  <c r="F93" i="87"/>
  <c r="F2519" i="184" s="1"/>
  <c r="C30" i="86"/>
  <c r="D65" i="85"/>
  <c r="D30" i="86"/>
  <c r="D32" i="86"/>
  <c r="D33" i="86" s="1"/>
  <c r="D61" i="86" s="1"/>
  <c r="E93" i="87"/>
  <c r="E2259" i="184"/>
  <c r="F135" i="191"/>
  <c r="G135" i="191" s="1"/>
  <c r="F20" i="216"/>
  <c r="R69" i="87"/>
  <c r="F357" i="191"/>
  <c r="R30" i="87"/>
  <c r="F209" i="191"/>
  <c r="G209" i="191" s="1"/>
  <c r="H20" i="216"/>
  <c r="I14" i="187"/>
  <c r="J2259" i="184"/>
  <c r="J93" i="87"/>
  <c r="J2519" i="184"/>
  <c r="P34" i="220"/>
  <c r="Q34" i="220" s="1"/>
  <c r="J28" i="86"/>
  <c r="M172" i="191"/>
  <c r="AK10" i="218"/>
  <c r="AJ15" i="218"/>
  <c r="C41" i="86"/>
  <c r="B47" i="86"/>
  <c r="F41" i="86"/>
  <c r="D107" i="85"/>
  <c r="AC23" i="209"/>
  <c r="N41" i="81"/>
  <c r="N47" i="81" s="1"/>
  <c r="Q36" i="82"/>
  <c r="G18" i="221" s="1"/>
  <c r="Q35" i="82"/>
  <c r="X48" i="82"/>
  <c r="M24" i="212"/>
  <c r="I37" i="187"/>
  <c r="F15" i="81"/>
  <c r="G11" i="81"/>
  <c r="J14" i="81"/>
  <c r="G14" i="81"/>
  <c r="E19" i="192"/>
  <c r="L326" i="191"/>
  <c r="V70" i="82"/>
  <c r="M1141" i="184"/>
  <c r="AC23" i="231"/>
  <c r="W21" i="78"/>
  <c r="F23" i="212" s="1"/>
  <c r="F27" i="76"/>
  <c r="J27" i="76" s="1"/>
  <c r="D62" i="75"/>
  <c r="C27" i="76"/>
  <c r="AB65" i="218"/>
  <c r="AB66" i="218" s="1"/>
  <c r="C39" i="76"/>
  <c r="F39" i="76"/>
  <c r="D105" i="75"/>
  <c r="D110" i="75"/>
  <c r="D44" i="76"/>
  <c r="D47" i="76" s="1"/>
  <c r="C44" i="76"/>
  <c r="C46" i="76"/>
  <c r="D112" i="75"/>
  <c r="F46" i="76"/>
  <c r="K46" i="76" s="1"/>
  <c r="O46" i="76" s="1"/>
  <c r="K23" i="212"/>
  <c r="M658" i="184"/>
  <c r="B18" i="76"/>
  <c r="P23" i="231"/>
  <c r="AH23" i="231"/>
  <c r="D36" i="187"/>
  <c r="F10" i="76"/>
  <c r="D54" i="75"/>
  <c r="B15" i="76"/>
  <c r="D20" i="242" s="1"/>
  <c r="C10" i="76"/>
  <c r="F52" i="76"/>
  <c r="C52" i="76"/>
  <c r="D102" i="75"/>
  <c r="F36" i="76"/>
  <c r="C36" i="76"/>
  <c r="K57" i="78"/>
  <c r="K1141" i="184"/>
  <c r="F26" i="76"/>
  <c r="D61" i="75"/>
  <c r="C26" i="76"/>
  <c r="AB60" i="218"/>
  <c r="AB61" i="218" s="1"/>
  <c r="AB15" i="218"/>
  <c r="J1141" i="184"/>
  <c r="J57" i="78"/>
  <c r="AB38" i="218"/>
  <c r="C92" i="233" s="1"/>
  <c r="E18" i="216"/>
  <c r="F64" i="191"/>
  <c r="G64" i="191" s="1"/>
  <c r="R69" i="78"/>
  <c r="F360" i="191" s="1"/>
  <c r="AB23" i="231"/>
  <c r="AJ23" i="231" s="1"/>
  <c r="B19" i="76"/>
  <c r="M1103" i="184"/>
  <c r="C38" i="76"/>
  <c r="D104" i="75"/>
  <c r="E38" i="76"/>
  <c r="E47" i="76"/>
  <c r="E61" i="76" s="1"/>
  <c r="L1478" i="184"/>
  <c r="L85" i="78"/>
  <c r="F50" i="76"/>
  <c r="C50" i="76"/>
  <c r="G57" i="78"/>
  <c r="G1141" i="184"/>
  <c r="D103" i="75"/>
  <c r="F37" i="76"/>
  <c r="C37" i="76"/>
  <c r="D22" i="219"/>
  <c r="M138" i="191"/>
  <c r="AB69" i="78"/>
  <c r="AB71" i="78" s="1"/>
  <c r="AB72" i="78" s="1"/>
  <c r="J17" i="221" s="1"/>
  <c r="AA71" i="78"/>
  <c r="K677" i="184"/>
  <c r="M212" i="191"/>
  <c r="C41" i="76"/>
  <c r="L64" i="191"/>
  <c r="M64" i="191" s="1"/>
  <c r="X68" i="78"/>
  <c r="D33" i="192"/>
  <c r="M251" i="184"/>
  <c r="P105" i="78"/>
  <c r="E23" i="231"/>
  <c r="F43" i="76"/>
  <c r="K43" i="76" s="1"/>
  <c r="M43" i="76" s="1"/>
  <c r="D109" i="75"/>
  <c r="C43" i="76"/>
  <c r="J13" i="76"/>
  <c r="D65" i="75"/>
  <c r="F57" i="76"/>
  <c r="F212" i="191"/>
  <c r="G212" i="191" s="1"/>
  <c r="H18" i="216"/>
  <c r="F28" i="76"/>
  <c r="D63" i="75"/>
  <c r="C28" i="76"/>
  <c r="H57" i="78"/>
  <c r="H1141" i="184"/>
  <c r="D66" i="75"/>
  <c r="F31" i="76"/>
  <c r="C31" i="76"/>
  <c r="E231" i="184"/>
  <c r="F45" i="76"/>
  <c r="K45" i="76" s="1"/>
  <c r="O45" i="76" s="1"/>
  <c r="O47" i="76" s="1"/>
  <c r="O49" i="76" s="1"/>
  <c r="N39" i="210" s="1"/>
  <c r="D111" i="75"/>
  <c r="C45" i="76"/>
  <c r="F1141" i="184"/>
  <c r="F57" i="78"/>
  <c r="Q23" i="231"/>
  <c r="AI23" i="231" s="1"/>
  <c r="P106" i="78"/>
  <c r="M696" i="184"/>
  <c r="E85" i="78"/>
  <c r="E1478" i="184"/>
  <c r="F51" i="76"/>
  <c r="C51" i="76"/>
  <c r="E57" i="72"/>
  <c r="E1147" i="184"/>
  <c r="P105" i="72"/>
  <c r="M257" i="184"/>
  <c r="E22" i="231"/>
  <c r="AA71" i="72"/>
  <c r="AB69" i="72"/>
  <c r="F28" i="71"/>
  <c r="D63" i="70"/>
  <c r="D111" i="70"/>
  <c r="F45" i="71"/>
  <c r="K45" i="71" s="1"/>
  <c r="O45" i="71" s="1"/>
  <c r="G93" i="72"/>
  <c r="G2528" i="184" s="1"/>
  <c r="G2268" i="184"/>
  <c r="W47" i="72"/>
  <c r="M22" i="212" s="1"/>
  <c r="L22" i="212"/>
  <c r="D57" i="70"/>
  <c r="G13" i="187"/>
  <c r="F13" i="71"/>
  <c r="C46" i="71"/>
  <c r="D112" i="70"/>
  <c r="F46" i="71"/>
  <c r="K46" i="71" s="1"/>
  <c r="O46" i="71" s="1"/>
  <c r="D30" i="71"/>
  <c r="D32" i="71" s="1"/>
  <c r="D33" i="71" s="1"/>
  <c r="D65" i="70"/>
  <c r="U23" i="227"/>
  <c r="M292" i="191"/>
  <c r="F52" i="71"/>
  <c r="H85" i="72"/>
  <c r="H1484" i="184"/>
  <c r="AB71" i="72"/>
  <c r="AB72" i="72" s="1"/>
  <c r="J16" i="221" s="1"/>
  <c r="F37" i="71"/>
  <c r="D103" i="70"/>
  <c r="F29" i="71"/>
  <c r="J29" i="71" s="1"/>
  <c r="F31" i="71"/>
  <c r="D66" i="70"/>
  <c r="Q36" i="72"/>
  <c r="G16" i="221" s="1"/>
  <c r="Q35" i="72"/>
  <c r="M702" i="184"/>
  <c r="P106" i="72"/>
  <c r="Q22" i="231"/>
  <c r="AI22" i="231"/>
  <c r="F57" i="72"/>
  <c r="F1147" i="184"/>
  <c r="D13" i="187"/>
  <c r="D54" i="70"/>
  <c r="F10" i="71"/>
  <c r="D105" i="70"/>
  <c r="F39" i="71"/>
  <c r="D44" i="71"/>
  <c r="D47" i="71"/>
  <c r="D110" i="70"/>
  <c r="B59" i="71"/>
  <c r="F57" i="71"/>
  <c r="F59" i="71"/>
  <c r="X68" i="72"/>
  <c r="D102" i="70"/>
  <c r="F36" i="71"/>
  <c r="E13" i="187"/>
  <c r="Z60" i="218"/>
  <c r="Z61" i="218" s="1"/>
  <c r="D1147" i="184"/>
  <c r="D21" i="219"/>
  <c r="E17" i="216"/>
  <c r="F70" i="191"/>
  <c r="G70" i="191" s="1"/>
  <c r="R69" i="72"/>
  <c r="F366" i="191" s="1"/>
  <c r="F27" i="71"/>
  <c r="D62" i="70"/>
  <c r="H13" i="187"/>
  <c r="F14" i="71"/>
  <c r="D58" i="70"/>
  <c r="K1147" i="184"/>
  <c r="K57" i="72"/>
  <c r="C26" i="71"/>
  <c r="D61" i="70"/>
  <c r="F26" i="71"/>
  <c r="M1109" i="184"/>
  <c r="AB22" i="231"/>
  <c r="AJ22" i="231" s="1"/>
  <c r="B19" i="71"/>
  <c r="F53" i="71"/>
  <c r="N23" i="220"/>
  <c r="C53" i="71"/>
  <c r="P22" i="231"/>
  <c r="AH22" i="231" s="1"/>
  <c r="B18" i="71"/>
  <c r="M664" i="184"/>
  <c r="F144" i="191"/>
  <c r="G144" i="191"/>
  <c r="F17" i="216"/>
  <c r="J1147" i="184"/>
  <c r="J57" i="72"/>
  <c r="Z38" i="218"/>
  <c r="C85" i="233" s="1"/>
  <c r="F181" i="191"/>
  <c r="G181" i="191" s="1"/>
  <c r="G17" i="216"/>
  <c r="K22" i="212"/>
  <c r="F218" i="191"/>
  <c r="G218" i="191" s="1"/>
  <c r="H17" i="216"/>
  <c r="E1470" i="184"/>
  <c r="E85" i="67"/>
  <c r="F57" i="66"/>
  <c r="C57" i="66"/>
  <c r="B59" i="66"/>
  <c r="C38" i="66"/>
  <c r="E38" i="66"/>
  <c r="E47" i="66" s="1"/>
  <c r="E61" i="66" s="1"/>
  <c r="E73" i="66" s="1"/>
  <c r="D104" i="65"/>
  <c r="D16" i="192"/>
  <c r="L56" i="191"/>
  <c r="M56" i="191" s="1"/>
  <c r="D44" i="66"/>
  <c r="D47" i="66" s="1"/>
  <c r="D110" i="65"/>
  <c r="C44" i="66"/>
  <c r="D107" i="65"/>
  <c r="C41" i="66"/>
  <c r="F41" i="66"/>
  <c r="Y43" i="218"/>
  <c r="Y32" i="218"/>
  <c r="X38" i="218"/>
  <c r="C78" i="233" s="1"/>
  <c r="P21" i="231"/>
  <c r="B18" i="66"/>
  <c r="M650" i="184"/>
  <c r="F1133" i="184"/>
  <c r="F57" i="67"/>
  <c r="Q30" i="67"/>
  <c r="C39" i="66"/>
  <c r="F39" i="66"/>
  <c r="D105" i="65"/>
  <c r="F42" i="66"/>
  <c r="K42" i="66" s="1"/>
  <c r="N42" i="66" s="1"/>
  <c r="D108" i="65"/>
  <c r="C42" i="66"/>
  <c r="D30" i="66"/>
  <c r="D32" i="66"/>
  <c r="D33" i="66" s="1"/>
  <c r="D61" i="66" s="1"/>
  <c r="D65" i="65"/>
  <c r="C30" i="66"/>
  <c r="M243" i="184"/>
  <c r="E21" i="231"/>
  <c r="AG21" i="231" s="1"/>
  <c r="P105" i="67"/>
  <c r="C51" i="66"/>
  <c r="F51" i="66"/>
  <c r="B54" i="66"/>
  <c r="B32" i="66"/>
  <c r="D12" i="65" s="1"/>
  <c r="Q21" i="231"/>
  <c r="P106" i="67"/>
  <c r="M688" i="184"/>
  <c r="Y29" i="218"/>
  <c r="D77" i="233" s="1"/>
  <c r="C77" i="233"/>
  <c r="X30" i="218"/>
  <c r="W22" i="67"/>
  <c r="G21" i="212" s="1"/>
  <c r="R36" i="67"/>
  <c r="H15" i="221"/>
  <c r="R35" i="67"/>
  <c r="M47" i="231"/>
  <c r="M68" i="231" s="1"/>
  <c r="F52" i="66"/>
  <c r="C52" i="66"/>
  <c r="F16" i="216"/>
  <c r="F130" i="191"/>
  <c r="M22" i="227"/>
  <c r="D112" i="65"/>
  <c r="F46" i="66"/>
  <c r="K46" i="66" s="1"/>
  <c r="O46" i="66" s="1"/>
  <c r="D60" i="65"/>
  <c r="C23" i="66"/>
  <c r="D11" i="65"/>
  <c r="F23" i="66"/>
  <c r="C40" i="66"/>
  <c r="D106" i="65"/>
  <c r="F40" i="66"/>
  <c r="K40" i="66" s="1"/>
  <c r="M40" i="66" s="1"/>
  <c r="M47" i="66" s="1"/>
  <c r="M49" i="66" s="1"/>
  <c r="L22" i="210" s="1"/>
  <c r="M1610" i="184"/>
  <c r="M2680" i="184" s="1"/>
  <c r="B74" i="181" s="1"/>
  <c r="K85" i="67"/>
  <c r="K1470" i="184"/>
  <c r="H57" i="67"/>
  <c r="H1133" i="184"/>
  <c r="E16" i="216"/>
  <c r="F56" i="191"/>
  <c r="G56" i="191" s="1"/>
  <c r="R69" i="67"/>
  <c r="F352" i="191" s="1"/>
  <c r="D62" i="65"/>
  <c r="F27" i="66"/>
  <c r="J27" i="66" s="1"/>
  <c r="C27" i="66"/>
  <c r="C45" i="66"/>
  <c r="D111" i="65"/>
  <c r="F45" i="66"/>
  <c r="K45" i="66" s="1"/>
  <c r="O45" i="66" s="1"/>
  <c r="W47" i="67"/>
  <c r="M21" i="212" s="1"/>
  <c r="Y10" i="218"/>
  <c r="X15" i="218"/>
  <c r="D57" i="65"/>
  <c r="F13" i="66"/>
  <c r="G12" i="187"/>
  <c r="I12" i="187" s="1"/>
  <c r="C13" i="66"/>
  <c r="G85" i="67"/>
  <c r="G1470" i="184"/>
  <c r="L49" i="227"/>
  <c r="AC20" i="209"/>
  <c r="J31" i="66"/>
  <c r="W27" i="67"/>
  <c r="AB71" i="67"/>
  <c r="AB72" i="67" s="1"/>
  <c r="J15" i="221" s="1"/>
  <c r="C53" i="66"/>
  <c r="F53" i="66"/>
  <c r="N22" i="220" s="1"/>
  <c r="O22" i="220" s="1"/>
  <c r="W35" i="67"/>
  <c r="J21" i="212" s="1"/>
  <c r="I1470" i="184"/>
  <c r="I85" i="67"/>
  <c r="M44" i="67"/>
  <c r="D20" i="219"/>
  <c r="D1133" i="184"/>
  <c r="D57" i="67"/>
  <c r="F58" i="66"/>
  <c r="C58" i="66"/>
  <c r="C59" i="66" s="1"/>
  <c r="L1133" i="184"/>
  <c r="L57" i="67"/>
  <c r="F28" i="66"/>
  <c r="D63" i="65"/>
  <c r="C28" i="66"/>
  <c r="Y63" i="218"/>
  <c r="Y65" i="218" s="1"/>
  <c r="X65" i="218"/>
  <c r="X66" i="218" s="1"/>
  <c r="D103" i="65"/>
  <c r="F37" i="66"/>
  <c r="C37" i="66"/>
  <c r="B47" i="66"/>
  <c r="D54" i="65"/>
  <c r="D12" i="187"/>
  <c r="C10" i="66"/>
  <c r="T22" i="230" s="1"/>
  <c r="F10" i="66"/>
  <c r="B15" i="66"/>
  <c r="D18" i="242" s="1"/>
  <c r="D64" i="65"/>
  <c r="F29" i="66"/>
  <c r="J29" i="66" s="1"/>
  <c r="C29" i="66"/>
  <c r="F50" i="56"/>
  <c r="D35" i="187"/>
  <c r="F10" i="56"/>
  <c r="J10" i="56" s="1"/>
  <c r="D54" i="55"/>
  <c r="E57" i="57"/>
  <c r="E1139" i="184"/>
  <c r="F23" i="56"/>
  <c r="D60" i="55"/>
  <c r="D11" i="55"/>
  <c r="D111" i="55"/>
  <c r="F45" i="56"/>
  <c r="K45" i="56" s="1"/>
  <c r="O45" i="56" s="1"/>
  <c r="W47" i="57"/>
  <c r="M19" i="212" s="1"/>
  <c r="K41" i="56"/>
  <c r="N41" i="56" s="1"/>
  <c r="N47" i="56" s="1"/>
  <c r="T30" i="218"/>
  <c r="C63" i="233"/>
  <c r="F46" i="56"/>
  <c r="K46" i="56" s="1"/>
  <c r="O46" i="56" s="1"/>
  <c r="D112" i="55"/>
  <c r="D30" i="56"/>
  <c r="D32" i="56" s="1"/>
  <c r="D33" i="56" s="1"/>
  <c r="D65" i="55"/>
  <c r="M99" i="191"/>
  <c r="M210" i="191"/>
  <c r="M247" i="191"/>
  <c r="F26" i="61"/>
  <c r="B32" i="61"/>
  <c r="D12" i="60" s="1"/>
  <c r="D61" i="60"/>
  <c r="D65" i="60"/>
  <c r="D30" i="61"/>
  <c r="D32" i="61" s="1"/>
  <c r="D33" i="61" s="1"/>
  <c r="V24" i="218"/>
  <c r="F45" i="61"/>
  <c r="K45" i="61" s="1"/>
  <c r="O45" i="61" s="1"/>
  <c r="O47" i="61" s="1"/>
  <c r="D111" i="60"/>
  <c r="F53" i="61"/>
  <c r="N38" i="220" s="1"/>
  <c r="W27" i="62"/>
  <c r="P20" i="231"/>
  <c r="B18" i="61"/>
  <c r="M660" i="184"/>
  <c r="M38" i="227"/>
  <c r="W38" i="227" s="1"/>
  <c r="K93" i="62"/>
  <c r="K2524" i="184"/>
  <c r="K2264" i="184"/>
  <c r="V38" i="218"/>
  <c r="C71" i="233" s="1"/>
  <c r="G15" i="216"/>
  <c r="F177" i="191"/>
  <c r="G177" i="191" s="1"/>
  <c r="V15" i="218"/>
  <c r="AB20" i="231"/>
  <c r="AJ20" i="231"/>
  <c r="B19" i="61"/>
  <c r="M1105" i="184"/>
  <c r="D106" i="60"/>
  <c r="C40" i="61"/>
  <c r="F40" i="61"/>
  <c r="F46" i="61"/>
  <c r="K46" i="61" s="1"/>
  <c r="O46" i="61" s="1"/>
  <c r="D112" i="60"/>
  <c r="F27" i="61"/>
  <c r="D62" i="60"/>
  <c r="C27" i="61"/>
  <c r="F58" i="61"/>
  <c r="AG20" i="231"/>
  <c r="L29" i="191"/>
  <c r="M29" i="191" s="1"/>
  <c r="D1143" i="184"/>
  <c r="M44" i="62"/>
  <c r="D19" i="219"/>
  <c r="D57" i="62"/>
  <c r="G85" i="62"/>
  <c r="G1480" i="184"/>
  <c r="R30" i="62"/>
  <c r="F28" i="61"/>
  <c r="D63" i="60"/>
  <c r="F51" i="61"/>
  <c r="H11" i="187"/>
  <c r="D58" i="60"/>
  <c r="F14" i="61"/>
  <c r="V65" i="218"/>
  <c r="V66" i="218" s="1"/>
  <c r="D11" i="187"/>
  <c r="F10" i="61"/>
  <c r="D54" i="60"/>
  <c r="B15" i="61"/>
  <c r="D17" i="242" s="1"/>
  <c r="D44" i="61"/>
  <c r="D47" i="61" s="1"/>
  <c r="D110" i="60"/>
  <c r="F11" i="61"/>
  <c r="E11" i="187"/>
  <c r="D55" i="60"/>
  <c r="L1480" i="184"/>
  <c r="L85" i="62"/>
  <c r="F31" i="61"/>
  <c r="D66" i="60"/>
  <c r="F15" i="216"/>
  <c r="F140" i="191"/>
  <c r="G140" i="191" s="1"/>
  <c r="F29" i="61"/>
  <c r="D64" i="60"/>
  <c r="F57" i="62"/>
  <c r="F1143" i="184"/>
  <c r="M140" i="191"/>
  <c r="D108" i="60"/>
  <c r="F42" i="61"/>
  <c r="K42" i="61" s="1"/>
  <c r="N42" i="61" s="1"/>
  <c r="AB69" i="62"/>
  <c r="AB71" i="62" s="1"/>
  <c r="AB72" i="62" s="1"/>
  <c r="J14" i="221" s="1"/>
  <c r="AA71" i="62"/>
  <c r="D107" i="60"/>
  <c r="F41" i="61"/>
  <c r="D105" i="60"/>
  <c r="F39" i="61"/>
  <c r="E93" i="62"/>
  <c r="E2524" i="184" s="1"/>
  <c r="E2264" i="184"/>
  <c r="F57" i="61"/>
  <c r="F59" i="61" s="1"/>
  <c r="B59" i="61"/>
  <c r="D15" i="216"/>
  <c r="F29" i="191"/>
  <c r="G29" i="191"/>
  <c r="R69" i="62"/>
  <c r="F362" i="191"/>
  <c r="X48" i="62"/>
  <c r="L20" i="212"/>
  <c r="V53" i="218"/>
  <c r="V54" i="218" s="1"/>
  <c r="F50" i="61"/>
  <c r="I1480" i="184"/>
  <c r="I85" i="62"/>
  <c r="D109" i="60"/>
  <c r="F43" i="61"/>
  <c r="K43" i="61" s="1"/>
  <c r="M43" i="61" s="1"/>
  <c r="D102" i="60"/>
  <c r="F36" i="61"/>
  <c r="B47" i="61"/>
  <c r="W38" i="62"/>
  <c r="Q20" i="231"/>
  <c r="AI20" i="231"/>
  <c r="P106" i="62"/>
  <c r="M698" i="184"/>
  <c r="F13" i="61"/>
  <c r="G11" i="187"/>
  <c r="D57" i="60"/>
  <c r="V60" i="218"/>
  <c r="V61" i="218" s="1"/>
  <c r="H1143" i="184"/>
  <c r="H57" i="62"/>
  <c r="Q35" i="62"/>
  <c r="Q36" i="62"/>
  <c r="G14" i="221" s="1"/>
  <c r="H19" i="212"/>
  <c r="T15" i="218"/>
  <c r="M173" i="191"/>
  <c r="U24" i="227"/>
  <c r="F62" i="191"/>
  <c r="G62" i="191" s="1"/>
  <c r="E14" i="216"/>
  <c r="L62" i="191"/>
  <c r="M62" i="191" s="1"/>
  <c r="D18" i="192"/>
  <c r="D58" i="55"/>
  <c r="H35" i="187"/>
  <c r="F14" i="56"/>
  <c r="W38" i="57"/>
  <c r="K57" i="57"/>
  <c r="K1139" i="184"/>
  <c r="W43" i="57"/>
  <c r="R35" i="57"/>
  <c r="W22" i="57"/>
  <c r="G19" i="212" s="1"/>
  <c r="R36" i="57"/>
  <c r="H13" i="221" s="1"/>
  <c r="F43" i="56"/>
  <c r="K43" i="56"/>
  <c r="M43" i="56"/>
  <c r="D109" i="55"/>
  <c r="F51" i="56"/>
  <c r="B54" i="56"/>
  <c r="F31" i="56"/>
  <c r="D66" i="55"/>
  <c r="J85" i="57"/>
  <c r="J1476" i="184"/>
  <c r="AB69" i="57"/>
  <c r="AB71" i="57" s="1"/>
  <c r="AB72" i="57" s="1"/>
  <c r="J13" i="221" s="1"/>
  <c r="AA71" i="57"/>
  <c r="W35" i="57"/>
  <c r="J19" i="212"/>
  <c r="F52" i="56"/>
  <c r="H93" i="57"/>
  <c r="H2520" i="184" s="1"/>
  <c r="H2260" i="184"/>
  <c r="B59" i="56"/>
  <c r="F57" i="56"/>
  <c r="L57" i="57"/>
  <c r="L1139" i="184"/>
  <c r="F29" i="56"/>
  <c r="D64" i="55"/>
  <c r="C29" i="56"/>
  <c r="I1139" i="184"/>
  <c r="I57" i="57"/>
  <c r="T65" i="218"/>
  <c r="T66" i="218"/>
  <c r="T60" i="218"/>
  <c r="T61" i="218"/>
  <c r="F25" i="191"/>
  <c r="G25" i="191" s="1"/>
  <c r="D14" i="216"/>
  <c r="R69" i="57"/>
  <c r="F358" i="191" s="1"/>
  <c r="F53" i="56"/>
  <c r="N24" i="220" s="1"/>
  <c r="E19" i="231"/>
  <c r="M249" i="184"/>
  <c r="P105" i="57"/>
  <c r="M656" i="184"/>
  <c r="B18" i="56"/>
  <c r="P19" i="231"/>
  <c r="D63" i="55"/>
  <c r="F28" i="56"/>
  <c r="D61" i="55"/>
  <c r="F26" i="56"/>
  <c r="B32" i="56"/>
  <c r="D12" i="55" s="1"/>
  <c r="AB19" i="231"/>
  <c r="AJ19" i="231" s="1"/>
  <c r="M1101" i="184"/>
  <c r="B19" i="56"/>
  <c r="G57" i="57"/>
  <c r="G1139" i="184"/>
  <c r="Q19" i="231"/>
  <c r="AI19" i="231" s="1"/>
  <c r="P106" i="57"/>
  <c r="M694" i="184"/>
  <c r="D104" i="55"/>
  <c r="E38" i="56"/>
  <c r="E47" i="56" s="1"/>
  <c r="E61" i="56" s="1"/>
  <c r="E73" i="56" s="1"/>
  <c r="D110" i="55"/>
  <c r="D44" i="56"/>
  <c r="D47" i="56"/>
  <c r="F58" i="56"/>
  <c r="T38" i="218"/>
  <c r="C64" i="233" s="1"/>
  <c r="M44" i="57"/>
  <c r="D57" i="57"/>
  <c r="D18" i="219"/>
  <c r="D1139" i="184"/>
  <c r="T53" i="218"/>
  <c r="T54" i="218"/>
  <c r="M24" i="227"/>
  <c r="F42" i="56"/>
  <c r="D108" i="55"/>
  <c r="F85" i="57"/>
  <c r="F1476" i="184"/>
  <c r="D62" i="55"/>
  <c r="F27" i="56"/>
  <c r="J27" i="56" s="1"/>
  <c r="E35" i="187"/>
  <c r="B15" i="56"/>
  <c r="D16" i="242" s="1"/>
  <c r="D55" i="55"/>
  <c r="F11" i="56"/>
  <c r="F173" i="191"/>
  <c r="G173" i="191" s="1"/>
  <c r="G14" i="216"/>
  <c r="Q35" i="57"/>
  <c r="Q36" i="57"/>
  <c r="G13" i="221" s="1"/>
  <c r="D105" i="55"/>
  <c r="F39" i="56"/>
  <c r="F36" i="56"/>
  <c r="D102" i="55"/>
  <c r="C36" i="56"/>
  <c r="B47" i="56"/>
  <c r="AG19" i="231"/>
  <c r="L25" i="191"/>
  <c r="M25" i="191" s="1"/>
  <c r="X68" i="57"/>
  <c r="I1152" i="184"/>
  <c r="I57" i="52"/>
  <c r="H18" i="212"/>
  <c r="W31" i="52"/>
  <c r="R65" i="218"/>
  <c r="R66" i="218" s="1"/>
  <c r="D107" i="50"/>
  <c r="C41" i="51"/>
  <c r="F41" i="51"/>
  <c r="D109" i="50"/>
  <c r="F43" i="51"/>
  <c r="K43" i="51" s="1"/>
  <c r="M43" i="51" s="1"/>
  <c r="C43" i="51"/>
  <c r="F30" i="51"/>
  <c r="J30" i="51" s="1"/>
  <c r="F11" i="51"/>
  <c r="J11" i="51" s="1"/>
  <c r="D55" i="50"/>
  <c r="E10" i="187"/>
  <c r="C11" i="51"/>
  <c r="E18" i="231"/>
  <c r="P105" i="52"/>
  <c r="M262" i="184"/>
  <c r="F52" i="51"/>
  <c r="F54" i="51" s="1"/>
  <c r="C52" i="51"/>
  <c r="R38" i="218"/>
  <c r="C57" i="233" s="1"/>
  <c r="D44" i="51"/>
  <c r="D47" i="51" s="1"/>
  <c r="D110" i="50"/>
  <c r="C44" i="51"/>
  <c r="AB18" i="231"/>
  <c r="AJ18" i="231" s="1"/>
  <c r="B19" i="51"/>
  <c r="M1114" i="184"/>
  <c r="D58" i="50"/>
  <c r="H10" i="187"/>
  <c r="F14" i="51"/>
  <c r="J14" i="51" s="1"/>
  <c r="C14" i="51"/>
  <c r="F26" i="51"/>
  <c r="C26" i="51"/>
  <c r="D61" i="50"/>
  <c r="B32" i="51"/>
  <c r="D12" i="50" s="1"/>
  <c r="D1489" i="184"/>
  <c r="D85" i="52"/>
  <c r="G57" i="52"/>
  <c r="G1152" i="184"/>
  <c r="Q35" i="52"/>
  <c r="Q36" i="52"/>
  <c r="G12" i="221"/>
  <c r="F36" i="51"/>
  <c r="B47" i="51"/>
  <c r="D102" i="50"/>
  <c r="C36" i="51"/>
  <c r="F13" i="51"/>
  <c r="D57" i="50"/>
  <c r="C13" i="51"/>
  <c r="G10" i="187"/>
  <c r="R60" i="218"/>
  <c r="R61" i="218" s="1"/>
  <c r="D66" i="50"/>
  <c r="F31" i="51"/>
  <c r="C31" i="51"/>
  <c r="K37" i="51"/>
  <c r="L37" i="51" s="1"/>
  <c r="E13" i="216"/>
  <c r="F75" i="191"/>
  <c r="G75" i="191"/>
  <c r="F38" i="191"/>
  <c r="G38" i="191" s="1"/>
  <c r="D13" i="216"/>
  <c r="U40" i="227"/>
  <c r="D62" i="50"/>
  <c r="F27" i="51"/>
  <c r="J27" i="51" s="1"/>
  <c r="C27" i="51"/>
  <c r="M669" i="184"/>
  <c r="B18" i="51"/>
  <c r="P18" i="231"/>
  <c r="AH18" i="231"/>
  <c r="M40" i="227"/>
  <c r="R30" i="52"/>
  <c r="J1489" i="184"/>
  <c r="J85" i="52"/>
  <c r="F46" i="51"/>
  <c r="K46" i="51" s="1"/>
  <c r="O46" i="51" s="1"/>
  <c r="O47" i="51" s="1"/>
  <c r="O49" i="51" s="1"/>
  <c r="N40" i="210" s="1"/>
  <c r="D112" i="50"/>
  <c r="C46" i="51"/>
  <c r="C10" i="51"/>
  <c r="T40" i="230" s="1"/>
  <c r="D54" i="50"/>
  <c r="B15" i="51"/>
  <c r="D10" i="187"/>
  <c r="F10" i="51"/>
  <c r="R53" i="218"/>
  <c r="R54" i="218"/>
  <c r="L57" i="52"/>
  <c r="C38" i="51"/>
  <c r="D104" i="50"/>
  <c r="E38" i="51"/>
  <c r="E47" i="51"/>
  <c r="E61" i="51" s="1"/>
  <c r="E73" i="51" s="1"/>
  <c r="D1152" i="184"/>
  <c r="H13" i="216"/>
  <c r="F223" i="191"/>
  <c r="G223" i="191" s="1"/>
  <c r="C29" i="51"/>
  <c r="D64" i="50"/>
  <c r="F29" i="51"/>
  <c r="J29" i="51" s="1"/>
  <c r="X68" i="52"/>
  <c r="AB69" i="52"/>
  <c r="AB71" i="52" s="1"/>
  <c r="AB72" i="52" s="1"/>
  <c r="J12" i="221" s="1"/>
  <c r="AA71" i="52"/>
  <c r="D33" i="51"/>
  <c r="F40" i="51"/>
  <c r="K40" i="51"/>
  <c r="M40" i="51" s="1"/>
  <c r="M47" i="51" s="1"/>
  <c r="M49" i="51" s="1"/>
  <c r="L40" i="210" s="1"/>
  <c r="D106" i="50"/>
  <c r="C40" i="51"/>
  <c r="K1152" i="184"/>
  <c r="K57" i="52"/>
  <c r="R15" i="218"/>
  <c r="Q18" i="231"/>
  <c r="AI18" i="231" s="1"/>
  <c r="M707" i="184"/>
  <c r="P106" i="52"/>
  <c r="K18" i="212"/>
  <c r="X39" i="52"/>
  <c r="L18" i="212"/>
  <c r="X48" i="52"/>
  <c r="F58" i="51"/>
  <c r="F59" i="51" s="1"/>
  <c r="C58" i="51"/>
  <c r="B59" i="51"/>
  <c r="AG18" i="231"/>
  <c r="F57" i="52"/>
  <c r="F1152" i="184"/>
  <c r="R24" i="218"/>
  <c r="C28" i="51"/>
  <c r="D63" i="50"/>
  <c r="F28" i="51"/>
  <c r="F12" i="216"/>
  <c r="F131" i="191"/>
  <c r="G131" i="191" s="1"/>
  <c r="C45" i="46"/>
  <c r="D111" i="45"/>
  <c r="F45" i="46"/>
  <c r="K45" i="46" s="1"/>
  <c r="O45" i="46" s="1"/>
  <c r="O47" i="46" s="1"/>
  <c r="O49" i="46" s="1"/>
  <c r="N37" i="210" s="1"/>
  <c r="G1134" i="184"/>
  <c r="G57" i="47"/>
  <c r="H17" i="212"/>
  <c r="U37" i="227"/>
  <c r="W37" i="227" s="1"/>
  <c r="K57" i="47"/>
  <c r="Q63" i="218"/>
  <c r="Q65" i="218" s="1"/>
  <c r="P65" i="218"/>
  <c r="P66" i="218" s="1"/>
  <c r="M205" i="191"/>
  <c r="F168" i="191"/>
  <c r="G168" i="191" s="1"/>
  <c r="G12" i="216"/>
  <c r="H12" i="216"/>
  <c r="F205" i="191"/>
  <c r="G205" i="191" s="1"/>
  <c r="F1134" i="184"/>
  <c r="F57" i="47"/>
  <c r="W22" i="47"/>
  <c r="G17" i="212" s="1"/>
  <c r="R36" i="47"/>
  <c r="H11" i="221" s="1"/>
  <c r="R35" i="47"/>
  <c r="K17" i="212"/>
  <c r="M1096" i="184"/>
  <c r="B19" i="46"/>
  <c r="AB17" i="231"/>
  <c r="AJ17" i="231" s="1"/>
  <c r="F27" i="46"/>
  <c r="J27" i="46" s="1"/>
  <c r="D62" i="45"/>
  <c r="C27" i="46"/>
  <c r="M279" i="191"/>
  <c r="W35" i="47"/>
  <c r="J17" i="212" s="1"/>
  <c r="F26" i="46"/>
  <c r="D61" i="45"/>
  <c r="C26" i="46"/>
  <c r="B32" i="46"/>
  <c r="D12" i="45"/>
  <c r="B59" i="46"/>
  <c r="C57" i="46"/>
  <c r="F57" i="46"/>
  <c r="C42" i="46"/>
  <c r="F42" i="46"/>
  <c r="K42" i="46"/>
  <c r="N42" i="46" s="1"/>
  <c r="D108" i="45"/>
  <c r="D1134" i="184"/>
  <c r="D57" i="47"/>
  <c r="D16" i="219"/>
  <c r="J1471" i="184"/>
  <c r="J85" i="47"/>
  <c r="P60" i="218"/>
  <c r="P61" i="218"/>
  <c r="Q56" i="218"/>
  <c r="I1134" i="184"/>
  <c r="I57" i="47"/>
  <c r="D58" i="45"/>
  <c r="H34" i="187"/>
  <c r="F14" i="46"/>
  <c r="J14" i="46" s="1"/>
  <c r="C14" i="46"/>
  <c r="W30" i="47"/>
  <c r="I17" i="212" s="1"/>
  <c r="C43" i="46"/>
  <c r="D109" i="45"/>
  <c r="F43" i="46"/>
  <c r="K43" i="46" s="1"/>
  <c r="M43" i="46" s="1"/>
  <c r="D106" i="45"/>
  <c r="F40" i="46"/>
  <c r="K40" i="46" s="1"/>
  <c r="M40" i="46" s="1"/>
  <c r="M47" i="46" s="1"/>
  <c r="M49" i="46" s="1"/>
  <c r="L37" i="210" s="1"/>
  <c r="C40" i="46"/>
  <c r="F31" i="46"/>
  <c r="D66" i="45"/>
  <c r="C31" i="46"/>
  <c r="D64" i="45"/>
  <c r="C29" i="46"/>
  <c r="F29" i="46"/>
  <c r="J29" i="46"/>
  <c r="AB71" i="47"/>
  <c r="AB72" i="47"/>
  <c r="J11" i="221" s="1"/>
  <c r="E12" i="216"/>
  <c r="F57" i="191"/>
  <c r="G57" i="191" s="1"/>
  <c r="Q35" i="47"/>
  <c r="Q36" i="47"/>
  <c r="G11" i="221" s="1"/>
  <c r="Q32" i="218"/>
  <c r="P38" i="218"/>
  <c r="C50" i="233"/>
  <c r="F39" i="46"/>
  <c r="D105" i="45"/>
  <c r="C39" i="46"/>
  <c r="C44" i="46"/>
  <c r="D110" i="45"/>
  <c r="D44" i="46"/>
  <c r="D47" i="46" s="1"/>
  <c r="Q17" i="231"/>
  <c r="AI17" i="231" s="1"/>
  <c r="M689" i="184"/>
  <c r="P106" i="47"/>
  <c r="F50" i="46"/>
  <c r="B54" i="46"/>
  <c r="C50" i="46"/>
  <c r="F36" i="46"/>
  <c r="D102" i="45"/>
  <c r="B47" i="46"/>
  <c r="C36" i="46"/>
  <c r="P15" i="218"/>
  <c r="D11" i="45"/>
  <c r="D60" i="45"/>
  <c r="F23" i="46"/>
  <c r="C23" i="46"/>
  <c r="D65" i="45"/>
  <c r="D30" i="46"/>
  <c r="D32" i="46"/>
  <c r="D33" i="46" s="1"/>
  <c r="C30" i="46"/>
  <c r="L1134" i="184"/>
  <c r="L57" i="191"/>
  <c r="M57" i="191" s="1"/>
  <c r="D31" i="192"/>
  <c r="X68" i="47"/>
  <c r="D57" i="45"/>
  <c r="G34" i="187"/>
  <c r="F13" i="46"/>
  <c r="C13" i="46"/>
  <c r="L17" i="212"/>
  <c r="W47" i="47"/>
  <c r="M17" i="212" s="1"/>
  <c r="F53" i="46"/>
  <c r="N37" i="220" s="1"/>
  <c r="C53" i="46"/>
  <c r="C58" i="46"/>
  <c r="F58" i="46"/>
  <c r="Q29" i="218"/>
  <c r="C49" i="233"/>
  <c r="P30" i="218"/>
  <c r="E17" i="231"/>
  <c r="AG17" i="231" s="1"/>
  <c r="M244" i="184"/>
  <c r="P105" i="47"/>
  <c r="D107" i="45"/>
  <c r="F41" i="46"/>
  <c r="C41" i="46"/>
  <c r="C11" i="46"/>
  <c r="F11" i="46"/>
  <c r="E34" i="187"/>
  <c r="D55" i="45"/>
  <c r="B15" i="46"/>
  <c r="D14" i="242" s="1"/>
  <c r="P53" i="218"/>
  <c r="P54" i="218" s="1"/>
  <c r="Q42" i="218"/>
  <c r="C37" i="46"/>
  <c r="F37" i="46"/>
  <c r="D103" i="45"/>
  <c r="F28" i="46"/>
  <c r="C28" i="46"/>
  <c r="D63" i="45"/>
  <c r="M168" i="191"/>
  <c r="M1132" i="184"/>
  <c r="L35" i="214"/>
  <c r="L36" i="229"/>
  <c r="K34" i="209"/>
  <c r="J1122" i="184"/>
  <c r="K1469" i="184"/>
  <c r="K85" i="42"/>
  <c r="F10" i="41"/>
  <c r="D9" i="187"/>
  <c r="B15" i="41"/>
  <c r="D13" i="242" s="1"/>
  <c r="D54" i="40"/>
  <c r="D55" i="40"/>
  <c r="F11" i="41"/>
  <c r="E9" i="187"/>
  <c r="F1132" i="184"/>
  <c r="F57" i="42"/>
  <c r="M129" i="191"/>
  <c r="W27" i="42"/>
  <c r="J57" i="42"/>
  <c r="J1132" i="184"/>
  <c r="F30" i="41"/>
  <c r="D58" i="40"/>
  <c r="H9" i="187"/>
  <c r="F14" i="41"/>
  <c r="B54" i="41"/>
  <c r="C50" i="41"/>
  <c r="F50" i="41"/>
  <c r="F53" i="41"/>
  <c r="N36" i="220" s="1"/>
  <c r="N15" i="218"/>
  <c r="D110" i="40"/>
  <c r="D44" i="41"/>
  <c r="D47" i="41" s="1"/>
  <c r="F11" i="216"/>
  <c r="F129" i="191"/>
  <c r="G129" i="191" s="1"/>
  <c r="F41" i="41"/>
  <c r="D107" i="40"/>
  <c r="F39" i="41"/>
  <c r="D105" i="40"/>
  <c r="C39" i="41"/>
  <c r="D111" i="40"/>
  <c r="F45" i="41"/>
  <c r="K45" i="41" s="1"/>
  <c r="O45" i="41" s="1"/>
  <c r="O47" i="41" s="1"/>
  <c r="M1721" i="184"/>
  <c r="M2683" i="184" s="1"/>
  <c r="B77" i="181" s="1"/>
  <c r="D107" i="180" s="1"/>
  <c r="E1132" i="184"/>
  <c r="E57" i="42"/>
  <c r="G9" i="187"/>
  <c r="F13" i="41"/>
  <c r="D57" i="40"/>
  <c r="P16" i="231"/>
  <c r="AH16" i="231"/>
  <c r="B18" i="41"/>
  <c r="M649" i="184"/>
  <c r="Q16" i="231"/>
  <c r="AI16" i="231" s="1"/>
  <c r="M687" i="184"/>
  <c r="P106" i="42"/>
  <c r="L18" i="191"/>
  <c r="M18" i="191" s="1"/>
  <c r="H1132" i="184"/>
  <c r="H57" i="42"/>
  <c r="W38" i="42"/>
  <c r="L16" i="212"/>
  <c r="X48" i="42"/>
  <c r="R30" i="42"/>
  <c r="D112" i="40"/>
  <c r="F46" i="41"/>
  <c r="K46" i="41" s="1"/>
  <c r="O46" i="41" s="1"/>
  <c r="L57" i="42"/>
  <c r="F52" i="41"/>
  <c r="N53" i="218"/>
  <c r="N54" i="218" s="1"/>
  <c r="F51" i="41"/>
  <c r="N60" i="218"/>
  <c r="N61" i="218" s="1"/>
  <c r="D108" i="40"/>
  <c r="F42" i="41"/>
  <c r="AB16" i="231"/>
  <c r="AJ16" i="231" s="1"/>
  <c r="M1094" i="184"/>
  <c r="B19" i="41"/>
  <c r="Q36" i="42"/>
  <c r="G10" i="221" s="1"/>
  <c r="Q35" i="42"/>
  <c r="U36" i="227"/>
  <c r="I1132" i="184"/>
  <c r="I57" i="42"/>
  <c r="B47" i="41"/>
  <c r="F36" i="41"/>
  <c r="D102" i="40"/>
  <c r="AB69" i="42"/>
  <c r="AB71" i="42" s="1"/>
  <c r="AB72" i="42" s="1"/>
  <c r="J10" i="221" s="1"/>
  <c r="AA71" i="42"/>
  <c r="E16" i="231"/>
  <c r="AG16" i="231" s="1"/>
  <c r="M242" i="184"/>
  <c r="P105" i="42"/>
  <c r="G85" i="42"/>
  <c r="G1469" i="184"/>
  <c r="F18" i="191"/>
  <c r="G18" i="191"/>
  <c r="D11" i="216"/>
  <c r="D85" i="42"/>
  <c r="D1469" i="184"/>
  <c r="D9" i="24"/>
  <c r="L1129" i="184"/>
  <c r="L57" i="26"/>
  <c r="K44" i="218"/>
  <c r="B44" i="218"/>
  <c r="J53" i="218"/>
  <c r="J54" i="218" s="1"/>
  <c r="J10" i="25"/>
  <c r="J13" i="25"/>
  <c r="D112" i="24"/>
  <c r="C46" i="25"/>
  <c r="F46" i="25"/>
  <c r="K46" i="25"/>
  <c r="O46" i="25" s="1"/>
  <c r="O47" i="25" s="1"/>
  <c r="O49" i="25" s="1"/>
  <c r="N32" i="210" s="1"/>
  <c r="H32" i="187"/>
  <c r="C14" i="25"/>
  <c r="D58" i="24"/>
  <c r="F14" i="25"/>
  <c r="J14" i="25" s="1"/>
  <c r="K56" i="218"/>
  <c r="J60" i="218"/>
  <c r="J61" i="218" s="1"/>
  <c r="C42" i="25"/>
  <c r="F42" i="25"/>
  <c r="K42" i="25" s="1"/>
  <c r="N42" i="25" s="1"/>
  <c r="D108" i="24"/>
  <c r="G1466" i="184"/>
  <c r="G85" i="26"/>
  <c r="E14" i="231"/>
  <c r="AG14" i="231"/>
  <c r="P105" i="26"/>
  <c r="M239" i="184"/>
  <c r="F50" i="25"/>
  <c r="B54" i="25"/>
  <c r="C50" i="25"/>
  <c r="X47" i="231"/>
  <c r="X68" i="231" s="1"/>
  <c r="C43" i="25"/>
  <c r="D109" i="24"/>
  <c r="F43" i="25"/>
  <c r="K43" i="25"/>
  <c r="M43" i="25" s="1"/>
  <c r="F58" i="25"/>
  <c r="C58" i="25"/>
  <c r="M863" i="184"/>
  <c r="M2653" i="184" s="1"/>
  <c r="L37" i="25"/>
  <c r="J15" i="218"/>
  <c r="C51" i="25"/>
  <c r="F51" i="25"/>
  <c r="F29" i="25"/>
  <c r="J29" i="25" s="1"/>
  <c r="D64" i="24"/>
  <c r="C29" i="25"/>
  <c r="Q30" i="26"/>
  <c r="B78" i="218"/>
  <c r="F53" i="25"/>
  <c r="N32" i="220" s="1"/>
  <c r="C53" i="25"/>
  <c r="B19" i="25"/>
  <c r="AB14" i="231"/>
  <c r="AJ14" i="231" s="1"/>
  <c r="M1091" i="184"/>
  <c r="H57" i="26"/>
  <c r="H1129" i="184"/>
  <c r="D61" i="24"/>
  <c r="B32" i="25"/>
  <c r="D12" i="24"/>
  <c r="C26" i="25"/>
  <c r="F26" i="25"/>
  <c r="F28" i="25"/>
  <c r="D63" i="24"/>
  <c r="C28" i="25"/>
  <c r="K1129" i="184"/>
  <c r="K57" i="26"/>
  <c r="J1129" i="184"/>
  <c r="J57" i="26"/>
  <c r="F52" i="25"/>
  <c r="C52" i="25"/>
  <c r="D106" i="24"/>
  <c r="C40" i="25"/>
  <c r="F40" i="25"/>
  <c r="K47" i="231"/>
  <c r="M32" i="227"/>
  <c r="J49" i="227"/>
  <c r="D55" i="24"/>
  <c r="C11" i="25"/>
  <c r="F11" i="25"/>
  <c r="J11" i="25" s="1"/>
  <c r="E32" i="187"/>
  <c r="M200" i="191"/>
  <c r="M684" i="184"/>
  <c r="Q14" i="231"/>
  <c r="AI14" i="231" s="1"/>
  <c r="P106" i="26"/>
  <c r="W38" i="26"/>
  <c r="U32" i="227"/>
  <c r="C28" i="233"/>
  <c r="J30" i="218"/>
  <c r="K29" i="218"/>
  <c r="F27" i="25"/>
  <c r="J27" i="25" s="1"/>
  <c r="D62" i="24"/>
  <c r="C27" i="25"/>
  <c r="AB71" i="26"/>
  <c r="AB72" i="26" s="1"/>
  <c r="J7" i="221" s="1"/>
  <c r="J38" i="218"/>
  <c r="C29" i="233" s="1"/>
  <c r="K32" i="218"/>
  <c r="C39" i="25"/>
  <c r="D105" i="24"/>
  <c r="F39" i="25"/>
  <c r="M1647" i="184"/>
  <c r="M2681" i="184" s="1"/>
  <c r="B75" i="181" s="1"/>
  <c r="S49" i="227"/>
  <c r="E38" i="25"/>
  <c r="E47" i="25" s="1"/>
  <c r="E61" i="25" s="1"/>
  <c r="E73" i="25" s="1"/>
  <c r="D104" i="24"/>
  <c r="C38" i="25"/>
  <c r="B47" i="25"/>
  <c r="F1129" i="184"/>
  <c r="F57" i="26"/>
  <c r="C30" i="25"/>
  <c r="D65" i="24"/>
  <c r="D30" i="25"/>
  <c r="D32" i="25" s="1"/>
  <c r="D33" i="25" s="1"/>
  <c r="D66" i="24"/>
  <c r="F31" i="25"/>
  <c r="C31" i="25"/>
  <c r="E57" i="26"/>
  <c r="D60" i="24"/>
  <c r="D11" i="24"/>
  <c r="F23" i="25"/>
  <c r="C23" i="25"/>
  <c r="P105" i="21"/>
  <c r="E13" i="231"/>
  <c r="AG13" i="231"/>
  <c r="M238" i="184"/>
  <c r="X48" i="21"/>
  <c r="L13" i="212"/>
  <c r="W27" i="21"/>
  <c r="P13" i="231"/>
  <c r="AH13" i="231" s="1"/>
  <c r="B18" i="20"/>
  <c r="M645" i="184"/>
  <c r="D30" i="20"/>
  <c r="D32" i="20" s="1"/>
  <c r="D33" i="20" s="1"/>
  <c r="D61" i="20" s="1"/>
  <c r="D65" i="19"/>
  <c r="C30" i="20"/>
  <c r="K57" i="21"/>
  <c r="K1128" i="184"/>
  <c r="B18" i="218"/>
  <c r="F26" i="20"/>
  <c r="B32" i="20"/>
  <c r="D12" i="19" s="1"/>
  <c r="D61" i="19"/>
  <c r="C26" i="20"/>
  <c r="X68" i="21"/>
  <c r="L14" i="191"/>
  <c r="M14" i="191"/>
  <c r="F51" i="20"/>
  <c r="C51" i="20"/>
  <c r="C50" i="20"/>
  <c r="B54" i="20"/>
  <c r="F50" i="20"/>
  <c r="Q13" i="231"/>
  <c r="AI13" i="231"/>
  <c r="P106" i="21"/>
  <c r="M683" i="184"/>
  <c r="F29" i="20"/>
  <c r="J29" i="20" s="1"/>
  <c r="D64" i="19"/>
  <c r="C29" i="20"/>
  <c r="H38" i="218"/>
  <c r="C22" i="233"/>
  <c r="W22" i="21"/>
  <c r="G13" i="212" s="1"/>
  <c r="R35" i="21"/>
  <c r="R36" i="21"/>
  <c r="H6" i="221" s="1"/>
  <c r="H60" i="218"/>
  <c r="H61" i="218" s="1"/>
  <c r="M199" i="191"/>
  <c r="F53" i="20"/>
  <c r="N35" i="220" s="1"/>
  <c r="C53" i="20"/>
  <c r="B19" i="20"/>
  <c r="AB13" i="231"/>
  <c r="AJ13" i="231" s="1"/>
  <c r="M1090" i="184"/>
  <c r="J13" i="20"/>
  <c r="G14" i="20"/>
  <c r="F28" i="20"/>
  <c r="D63" i="19"/>
  <c r="C28" i="20"/>
  <c r="H20" i="218"/>
  <c r="M35" i="227"/>
  <c r="W35" i="227"/>
  <c r="B59" i="20"/>
  <c r="C57" i="20"/>
  <c r="C59" i="20" s="1"/>
  <c r="F57" i="20"/>
  <c r="F59" i="20" s="1"/>
  <c r="F45" i="20"/>
  <c r="K45" i="20" s="1"/>
  <c r="O45" i="20" s="1"/>
  <c r="O47" i="20" s="1"/>
  <c r="O49" i="20" s="1"/>
  <c r="N35" i="210" s="1"/>
  <c r="D111" i="19"/>
  <c r="C45" i="20"/>
  <c r="H15" i="218"/>
  <c r="B10" i="218"/>
  <c r="J47" i="231"/>
  <c r="K13" i="212"/>
  <c r="X39" i="21"/>
  <c r="D10" i="219"/>
  <c r="E1128" i="184"/>
  <c r="E57" i="21"/>
  <c r="M44" i="21"/>
  <c r="I1128" i="184"/>
  <c r="I57" i="21"/>
  <c r="I63" i="218"/>
  <c r="H65" i="218"/>
  <c r="H66" i="218" s="1"/>
  <c r="D108" i="19"/>
  <c r="B47" i="20"/>
  <c r="F42" i="20"/>
  <c r="C42" i="20"/>
  <c r="D31" i="187"/>
  <c r="D54" i="19"/>
  <c r="F10" i="20"/>
  <c r="C10" i="20"/>
  <c r="B15" i="20"/>
  <c r="D10" i="242" s="1"/>
  <c r="D66" i="19"/>
  <c r="F31" i="20"/>
  <c r="C31" i="20"/>
  <c r="K36" i="20"/>
  <c r="I36" i="20"/>
  <c r="I34" i="213" s="1"/>
  <c r="M162" i="191"/>
  <c r="H53" i="218"/>
  <c r="H54" i="218" s="1"/>
  <c r="Q35" i="21"/>
  <c r="Q36" i="21"/>
  <c r="G6" i="221" s="1"/>
  <c r="J1128" i="184"/>
  <c r="J57" i="21"/>
  <c r="G57" i="21"/>
  <c r="H1128" i="184"/>
  <c r="H57" i="21"/>
  <c r="D64" i="34"/>
  <c r="C29" i="35"/>
  <c r="F29" i="35"/>
  <c r="J29" i="35" s="1"/>
  <c r="J57" i="36"/>
  <c r="J1127" i="184"/>
  <c r="Q36" i="36"/>
  <c r="G9" i="221"/>
  <c r="Q35" i="36"/>
  <c r="C35" i="233"/>
  <c r="L30" i="218"/>
  <c r="K1127" i="184"/>
  <c r="K57" i="36"/>
  <c r="AB15" i="231"/>
  <c r="B19" i="35"/>
  <c r="M1089" i="184"/>
  <c r="C43" i="35"/>
  <c r="F43" i="35"/>
  <c r="K43" i="35" s="1"/>
  <c r="M43" i="35" s="1"/>
  <c r="M47" i="35" s="1"/>
  <c r="M49" i="35" s="1"/>
  <c r="L17" i="210" s="1"/>
  <c r="D109" i="34"/>
  <c r="M235" i="191"/>
  <c r="X48" i="36"/>
  <c r="M15" i="212"/>
  <c r="L60" i="218"/>
  <c r="L61" i="218"/>
  <c r="L85" i="36"/>
  <c r="L1464" i="184"/>
  <c r="F50" i="35"/>
  <c r="C50" i="35"/>
  <c r="B54" i="35"/>
  <c r="D57" i="34"/>
  <c r="F13" i="35"/>
  <c r="C13" i="35"/>
  <c r="G8" i="187"/>
  <c r="D103" i="34"/>
  <c r="F37" i="35"/>
  <c r="C37" i="35"/>
  <c r="H1464" i="184"/>
  <c r="H85" i="36"/>
  <c r="D105" i="34"/>
  <c r="F39" i="35"/>
  <c r="C39" i="35"/>
  <c r="G57" i="36"/>
  <c r="G1127" i="184"/>
  <c r="E15" i="231"/>
  <c r="AG15" i="231" s="1"/>
  <c r="M237" i="184"/>
  <c r="P105" i="36"/>
  <c r="L15" i="218"/>
  <c r="F53" i="35"/>
  <c r="N17" i="220" s="1"/>
  <c r="O17" i="220" s="1"/>
  <c r="C53" i="35"/>
  <c r="D33" i="35"/>
  <c r="W38" i="36"/>
  <c r="AB69" i="36"/>
  <c r="AB71" i="36" s="1"/>
  <c r="AB72" i="36" s="1"/>
  <c r="J9" i="221" s="1"/>
  <c r="AA71" i="36"/>
  <c r="B59" i="35"/>
  <c r="F57" i="35"/>
  <c r="F59" i="35"/>
  <c r="C57" i="35"/>
  <c r="C59" i="35" s="1"/>
  <c r="J677" i="184"/>
  <c r="Q15" i="231"/>
  <c r="AI15" i="231" s="1"/>
  <c r="M682" i="184"/>
  <c r="P106" i="36"/>
  <c r="D108" i="34"/>
  <c r="C42" i="35"/>
  <c r="F42" i="35"/>
  <c r="K42" i="35"/>
  <c r="N42" i="35" s="1"/>
  <c r="N47" i="35" s="1"/>
  <c r="N49" i="35" s="1"/>
  <c r="M17" i="210" s="1"/>
  <c r="C46" i="35"/>
  <c r="F46" i="35"/>
  <c r="K46" i="35" s="1"/>
  <c r="O46" i="35" s="1"/>
  <c r="O47" i="35" s="1"/>
  <c r="O49" i="35" s="1"/>
  <c r="N17" i="210" s="1"/>
  <c r="D112" i="34"/>
  <c r="B59" i="218"/>
  <c r="M59" i="218"/>
  <c r="F57" i="36"/>
  <c r="F1127" i="184"/>
  <c r="J10" i="35"/>
  <c r="P15" i="231"/>
  <c r="AH15" i="231" s="1"/>
  <c r="M644" i="184"/>
  <c r="B18" i="35"/>
  <c r="F36" i="35"/>
  <c r="D102" i="34"/>
  <c r="C36" i="35"/>
  <c r="B47" i="35"/>
  <c r="L65" i="218"/>
  <c r="L66" i="218" s="1"/>
  <c r="W30" i="36"/>
  <c r="I15" i="212"/>
  <c r="B32" i="35"/>
  <c r="D12" i="34" s="1"/>
  <c r="D61" i="34"/>
  <c r="C26" i="35"/>
  <c r="F26" i="35"/>
  <c r="D58" i="34"/>
  <c r="F14" i="35"/>
  <c r="J14" i="35" s="1"/>
  <c r="C14" i="35"/>
  <c r="F10" i="216"/>
  <c r="F124" i="191"/>
  <c r="G124" i="191" s="1"/>
  <c r="U17" i="227"/>
  <c r="W17" i="227"/>
  <c r="D66" i="34"/>
  <c r="F31" i="35"/>
  <c r="C31" i="35"/>
  <c r="H15" i="212"/>
  <c r="B35" i="218"/>
  <c r="B58" i="218"/>
  <c r="D63" i="34"/>
  <c r="F28" i="35"/>
  <c r="C28" i="35"/>
  <c r="F13" i="191"/>
  <c r="R69" i="36"/>
  <c r="F346" i="191" s="1"/>
  <c r="D10" i="216"/>
  <c r="F27" i="35"/>
  <c r="J27" i="35" s="1"/>
  <c r="D62" i="34"/>
  <c r="C27" i="35"/>
  <c r="F23" i="35"/>
  <c r="C23" i="35"/>
  <c r="D60" i="34"/>
  <c r="D11" i="34"/>
  <c r="L53" i="218"/>
  <c r="L54" i="218" s="1"/>
  <c r="B42" i="218"/>
  <c r="B43" i="218"/>
  <c r="B48" i="218"/>
  <c r="C11" i="35"/>
  <c r="D55" i="34"/>
  <c r="E8" i="187"/>
  <c r="F11" i="35"/>
  <c r="J11" i="35" s="1"/>
  <c r="C52" i="35"/>
  <c r="F52" i="35"/>
  <c r="L124" i="191"/>
  <c r="L157" i="191"/>
  <c r="D1127" i="184"/>
  <c r="D13" i="219"/>
  <c r="M44" i="36"/>
  <c r="D57" i="36"/>
  <c r="E1127" i="184"/>
  <c r="E57" i="36"/>
  <c r="L38" i="218"/>
  <c r="C36" i="233"/>
  <c r="K46" i="223"/>
  <c r="L46" i="223" s="1"/>
  <c r="K42" i="223"/>
  <c r="M44" i="224"/>
  <c r="W21" i="224" s="1"/>
  <c r="X23" i="224" s="1"/>
  <c r="X49" i="224" s="1"/>
  <c r="D63" i="224"/>
  <c r="D92" i="224" s="1"/>
  <c r="X48" i="224"/>
  <c r="F100" i="224"/>
  <c r="D72" i="223"/>
  <c r="D75" i="223" s="1"/>
  <c r="D78" i="223" s="1"/>
  <c r="D36" i="223"/>
  <c r="D38" i="223"/>
  <c r="D39" i="223" s="1"/>
  <c r="D68" i="223" s="1"/>
  <c r="D65" i="222"/>
  <c r="G14" i="223"/>
  <c r="G40" i="223"/>
  <c r="R35" i="224"/>
  <c r="R36" i="224"/>
  <c r="H48" i="221" s="1"/>
  <c r="W22" i="224"/>
  <c r="F19" i="223"/>
  <c r="F15" i="223"/>
  <c r="F47" i="223"/>
  <c r="K47" i="223" s="1"/>
  <c r="D106" i="222"/>
  <c r="D10" i="222"/>
  <c r="D59" i="222"/>
  <c r="N54" i="223"/>
  <c r="E44" i="223"/>
  <c r="E54" i="223" s="1"/>
  <c r="E68" i="223" s="1"/>
  <c r="E80" i="223" s="1"/>
  <c r="D104" i="222"/>
  <c r="B38" i="223"/>
  <c r="D12" i="222" s="1"/>
  <c r="J26" i="15"/>
  <c r="J14" i="15"/>
  <c r="G14" i="15"/>
  <c r="J12" i="212"/>
  <c r="X39" i="16"/>
  <c r="H120" i="191"/>
  <c r="F66" i="218"/>
  <c r="G57" i="16"/>
  <c r="G1126" i="184"/>
  <c r="M44" i="16"/>
  <c r="E50" i="216"/>
  <c r="E7" i="216"/>
  <c r="F49" i="191"/>
  <c r="AJ12" i="231"/>
  <c r="G123" i="191"/>
  <c r="P12" i="231"/>
  <c r="B18" i="15"/>
  <c r="M643" i="184"/>
  <c r="W31" i="16"/>
  <c r="H12" i="212"/>
  <c r="U31" i="227"/>
  <c r="W31" i="227" s="1"/>
  <c r="K37" i="15"/>
  <c r="L37" i="15" s="1"/>
  <c r="I46" i="15"/>
  <c r="L30" i="213" s="1"/>
  <c r="P105" i="16"/>
  <c r="M236" i="184"/>
  <c r="E12" i="231"/>
  <c r="AG12" i="231"/>
  <c r="L93" i="16"/>
  <c r="L2507" i="184"/>
  <c r="L2247" i="184"/>
  <c r="D65" i="14"/>
  <c r="C30" i="15"/>
  <c r="D30" i="15"/>
  <c r="D32" i="15" s="1"/>
  <c r="D33" i="15" s="1"/>
  <c r="D107" i="14"/>
  <c r="D114" i="14"/>
  <c r="C41" i="15"/>
  <c r="F41" i="15"/>
  <c r="M12" i="212"/>
  <c r="X48" i="16"/>
  <c r="F53" i="218"/>
  <c r="F61" i="218"/>
  <c r="P106" i="16"/>
  <c r="Q12" i="231"/>
  <c r="AI12" i="231" s="1"/>
  <c r="M681" i="184"/>
  <c r="R69" i="16"/>
  <c r="F345" i="191" s="1"/>
  <c r="B47" i="15"/>
  <c r="C12" i="233"/>
  <c r="R30" i="16"/>
  <c r="X68" i="16"/>
  <c r="L86" i="191"/>
  <c r="K36" i="15"/>
  <c r="I36" i="15"/>
  <c r="I30" i="213" s="1"/>
  <c r="F38" i="218"/>
  <c r="C15" i="233" s="1"/>
  <c r="D1131" i="184"/>
  <c r="D57" i="162"/>
  <c r="D42" i="219"/>
  <c r="L85" i="102"/>
  <c r="L1483" i="184"/>
  <c r="W22" i="177"/>
  <c r="G46" i="212" s="1"/>
  <c r="R36" i="177"/>
  <c r="H40" i="221" s="1"/>
  <c r="R35" i="177"/>
  <c r="B74" i="218"/>
  <c r="D105" i="1"/>
  <c r="C39" i="2"/>
  <c r="F39" i="2"/>
  <c r="F18" i="235"/>
  <c r="B20" i="235"/>
  <c r="H1461" i="184"/>
  <c r="H85" i="13"/>
  <c r="R30" i="13"/>
  <c r="C44" i="2"/>
  <c r="D44" i="2"/>
  <c r="D47" i="2" s="1"/>
  <c r="D110" i="1"/>
  <c r="D63" i="1"/>
  <c r="F28" i="2"/>
  <c r="C28" i="2"/>
  <c r="R35" i="117"/>
  <c r="W22" i="117"/>
  <c r="R36" i="117"/>
  <c r="H27" i="221" s="1"/>
  <c r="F58" i="2"/>
  <c r="C58" i="2"/>
  <c r="C59" i="2" s="1"/>
  <c r="B59" i="2"/>
  <c r="P43" i="231"/>
  <c r="M648" i="184"/>
  <c r="B18" i="161"/>
  <c r="V70" i="13"/>
  <c r="L306" i="191"/>
  <c r="E24" i="192"/>
  <c r="I46" i="212"/>
  <c r="W31" i="177"/>
  <c r="I14" i="212"/>
  <c r="W31" i="26"/>
  <c r="M121" i="191"/>
  <c r="F41" i="2"/>
  <c r="C41" i="2"/>
  <c r="D107" i="1"/>
  <c r="D65" i="1"/>
  <c r="C30" i="2"/>
  <c r="D30" i="2"/>
  <c r="D32" i="2" s="1"/>
  <c r="D33" i="2" s="1"/>
  <c r="D61" i="2" s="1"/>
  <c r="D73" i="2" s="1"/>
  <c r="D106" i="1"/>
  <c r="C40" i="2"/>
  <c r="F40" i="2"/>
  <c r="W27" i="13"/>
  <c r="D65" i="218"/>
  <c r="D66" i="218" s="1"/>
  <c r="L2277" i="184"/>
  <c r="L93" i="122"/>
  <c r="Q11" i="231"/>
  <c r="M679" i="184"/>
  <c r="P106" i="13"/>
  <c r="M30" i="227"/>
  <c r="H49" i="227"/>
  <c r="E11" i="231"/>
  <c r="P105" i="13"/>
  <c r="M234" i="184"/>
  <c r="X48" i="162"/>
  <c r="M43" i="212"/>
  <c r="E29" i="187"/>
  <c r="B15" i="2"/>
  <c r="D8" i="242"/>
  <c r="C11" i="2"/>
  <c r="F11" i="2"/>
  <c r="D55" i="1"/>
  <c r="R35" i="78"/>
  <c r="R36" i="78"/>
  <c r="H17" i="221" s="1"/>
  <c r="W22" i="78"/>
  <c r="Q35" i="13"/>
  <c r="Q36" i="13"/>
  <c r="G4" i="221" s="1"/>
  <c r="I29" i="212"/>
  <c r="E85" i="13"/>
  <c r="E1461" i="184"/>
  <c r="D62" i="1"/>
  <c r="F27" i="2"/>
  <c r="B32" i="2"/>
  <c r="D12" i="1" s="1"/>
  <c r="C27" i="2"/>
  <c r="D1466" i="184"/>
  <c r="D85" i="26"/>
  <c r="B34" i="218"/>
  <c r="R35" i="236"/>
  <c r="R36" i="236"/>
  <c r="H49" i="221" s="1"/>
  <c r="W22" i="236"/>
  <c r="R36" i="162"/>
  <c r="H37" i="221" s="1"/>
  <c r="W22" i="162"/>
  <c r="G43" i="212" s="1"/>
  <c r="R35" i="162"/>
  <c r="I23" i="212"/>
  <c r="O49" i="227"/>
  <c r="U30" i="227"/>
  <c r="B46" i="218"/>
  <c r="D38" i="218"/>
  <c r="C8" i="233" s="1"/>
  <c r="B33" i="218"/>
  <c r="C13" i="2"/>
  <c r="D57" i="1"/>
  <c r="F13" i="2"/>
  <c r="G29" i="187"/>
  <c r="M529" i="184"/>
  <c r="M2643" i="184" s="1"/>
  <c r="R36" i="112"/>
  <c r="H26" i="221"/>
  <c r="R35" i="112"/>
  <c r="W22" i="112"/>
  <c r="I1124" i="184"/>
  <c r="I57" i="13"/>
  <c r="I24" i="212"/>
  <c r="W31" i="82"/>
  <c r="M15" i="227"/>
  <c r="I49" i="227"/>
  <c r="B11" i="218"/>
  <c r="D15" i="218"/>
  <c r="V47" i="231"/>
  <c r="V68" i="231" s="1"/>
  <c r="B47" i="218"/>
  <c r="B36" i="218"/>
  <c r="B18" i="2"/>
  <c r="P11" i="231"/>
  <c r="M641" i="184"/>
  <c r="L1468" i="184"/>
  <c r="L85" i="162"/>
  <c r="K63" i="218"/>
  <c r="J65" i="218"/>
  <c r="J66" i="218" s="1"/>
  <c r="C50" i="2"/>
  <c r="F50" i="2"/>
  <c r="L47" i="231"/>
  <c r="W22" i="82"/>
  <c r="R35" i="82"/>
  <c r="R36" i="82"/>
  <c r="H18" i="221" s="1"/>
  <c r="P46" i="231"/>
  <c r="B18" i="176"/>
  <c r="M667" i="184"/>
  <c r="K11" i="212"/>
  <c r="X39" i="162"/>
  <c r="K43" i="212"/>
  <c r="BV20" i="218"/>
  <c r="N47" i="231"/>
  <c r="N68" i="231" s="1"/>
  <c r="R35" i="199"/>
  <c r="W22" i="199"/>
  <c r="R36" i="199"/>
  <c r="H23" i="221" s="1"/>
  <c r="B13" i="218"/>
  <c r="F31" i="2"/>
  <c r="C31" i="2"/>
  <c r="D66" i="1"/>
  <c r="C23" i="2"/>
  <c r="D11" i="1"/>
  <c r="D60" i="1"/>
  <c r="F23" i="2"/>
  <c r="I32" i="212"/>
  <c r="M25" i="227"/>
  <c r="W25" i="227" s="1"/>
  <c r="K49" i="227"/>
  <c r="L57" i="177"/>
  <c r="M44" i="177"/>
  <c r="L1150" i="184"/>
  <c r="M603" i="184"/>
  <c r="M2645" i="184" s="1"/>
  <c r="B22" i="218"/>
  <c r="F158" i="191"/>
  <c r="G6" i="216"/>
  <c r="R69" i="13"/>
  <c r="F343" i="191" s="1"/>
  <c r="B59" i="25"/>
  <c r="C57" i="25"/>
  <c r="F57" i="25"/>
  <c r="F59" i="25" s="1"/>
  <c r="B37" i="218"/>
  <c r="L2532" i="184"/>
  <c r="AC28" i="231"/>
  <c r="AK28" i="231"/>
  <c r="W21" i="102"/>
  <c r="M1146" i="184"/>
  <c r="G195" i="191"/>
  <c r="B45" i="218"/>
  <c r="R36" i="26"/>
  <c r="H7" i="221" s="1"/>
  <c r="W22" i="26"/>
  <c r="G14" i="212" s="1"/>
  <c r="R35" i="26"/>
  <c r="J1124" i="184"/>
  <c r="J57" i="13"/>
  <c r="D63" i="236"/>
  <c r="D92" i="236"/>
  <c r="M44" i="236"/>
  <c r="C14" i="2"/>
  <c r="F14" i="2"/>
  <c r="J14" i="2" s="1"/>
  <c r="D58" i="1"/>
  <c r="H8" i="187"/>
  <c r="H29" i="187"/>
  <c r="C7" i="233"/>
  <c r="D30" i="218"/>
  <c r="B29" i="218"/>
  <c r="F38" i="15"/>
  <c r="E47" i="15"/>
  <c r="E61" i="15" s="1"/>
  <c r="E73" i="15" s="1"/>
  <c r="K39" i="15"/>
  <c r="L39" i="15" s="1"/>
  <c r="I39" i="15"/>
  <c r="J30" i="213" s="1"/>
  <c r="I1463" i="184"/>
  <c r="I85" i="16"/>
  <c r="H1463" i="184"/>
  <c r="H85" i="16"/>
  <c r="K85" i="16"/>
  <c r="K1463" i="184"/>
  <c r="AC16" i="231"/>
  <c r="R36" i="36"/>
  <c r="H9" i="221" s="1"/>
  <c r="W22" i="36"/>
  <c r="G15" i="212" s="1"/>
  <c r="W31" i="57"/>
  <c r="F59" i="2"/>
  <c r="F38" i="76"/>
  <c r="X48" i="47"/>
  <c r="I1464" i="184"/>
  <c r="I85" i="36"/>
  <c r="D47" i="35"/>
  <c r="D61" i="35" s="1"/>
  <c r="F44" i="35"/>
  <c r="F38" i="35"/>
  <c r="K41" i="20"/>
  <c r="N41" i="20" s="1"/>
  <c r="I41" i="20"/>
  <c r="K34" i="213" s="1"/>
  <c r="K41" i="25"/>
  <c r="N41" i="25" s="1"/>
  <c r="I41" i="25"/>
  <c r="K31" i="213" s="1"/>
  <c r="K36" i="25"/>
  <c r="L36" i="25" s="1"/>
  <c r="I36" i="25"/>
  <c r="I31" i="213" s="1"/>
  <c r="I34" i="187"/>
  <c r="F38" i="171"/>
  <c r="D58" i="180"/>
  <c r="K36" i="171"/>
  <c r="L36" i="171" s="1"/>
  <c r="I46" i="187"/>
  <c r="K41" i="171"/>
  <c r="N41" i="171" s="1"/>
  <c r="N47" i="171" s="1"/>
  <c r="E85" i="172"/>
  <c r="E1485" i="184"/>
  <c r="K39" i="146"/>
  <c r="L39" i="146" s="1"/>
  <c r="I39" i="146"/>
  <c r="J26" i="213" s="1"/>
  <c r="L1486" i="184"/>
  <c r="L85" i="147"/>
  <c r="D1486" i="184"/>
  <c r="D85" i="147"/>
  <c r="X48" i="142"/>
  <c r="K39" i="141"/>
  <c r="L39" i="141" s="1"/>
  <c r="L47" i="141" s="1"/>
  <c r="I43" i="187"/>
  <c r="I93" i="177"/>
  <c r="I2531" i="184" s="1"/>
  <c r="W16" i="227"/>
  <c r="M47" i="121"/>
  <c r="M49" i="121" s="1"/>
  <c r="L43" i="210" s="1"/>
  <c r="F30" i="121"/>
  <c r="L34" i="214"/>
  <c r="L35" i="229"/>
  <c r="K33" i="209"/>
  <c r="J23" i="20"/>
  <c r="H35" i="210" s="1"/>
  <c r="F38" i="66"/>
  <c r="F30" i="161"/>
  <c r="J30" i="161"/>
  <c r="W31" i="107"/>
  <c r="X48" i="177"/>
  <c r="F44" i="86"/>
  <c r="M47" i="146"/>
  <c r="M49" i="146" s="1"/>
  <c r="L27" i="210" s="1"/>
  <c r="D61" i="166"/>
  <c r="F30" i="141"/>
  <c r="F38" i="101"/>
  <c r="AC29" i="209"/>
  <c r="J31" i="15"/>
  <c r="AC34" i="209"/>
  <c r="J31" i="41"/>
  <c r="F59" i="121"/>
  <c r="K39" i="20"/>
  <c r="L39" i="20" s="1"/>
  <c r="I39" i="20"/>
  <c r="J34" i="213" s="1"/>
  <c r="D33" i="141"/>
  <c r="D61" i="141" s="1"/>
  <c r="F54" i="156"/>
  <c r="F44" i="198"/>
  <c r="L194" i="191"/>
  <c r="K36" i="121"/>
  <c r="I36" i="121"/>
  <c r="I42" i="213" s="1"/>
  <c r="C59" i="121"/>
  <c r="G1493" i="184"/>
  <c r="G85" i="122"/>
  <c r="M57" i="122"/>
  <c r="M1493" i="184" s="1"/>
  <c r="K93" i="122"/>
  <c r="K2537" i="184" s="1"/>
  <c r="K2277" i="184"/>
  <c r="D114" i="120"/>
  <c r="F2277" i="184"/>
  <c r="F93" i="122"/>
  <c r="F2537" i="184"/>
  <c r="D65" i="121"/>
  <c r="D68" i="121" s="1"/>
  <c r="D71" i="121" s="1"/>
  <c r="I85" i="122"/>
  <c r="I1493" i="184"/>
  <c r="J85" i="122"/>
  <c r="J1493" i="184"/>
  <c r="F38" i="121"/>
  <c r="I41" i="121"/>
  <c r="K42" i="213" s="1"/>
  <c r="K41" i="121"/>
  <c r="N41" i="121" s="1"/>
  <c r="N47" i="121" s="1"/>
  <c r="N49" i="121" s="1"/>
  <c r="M43" i="210" s="1"/>
  <c r="F44" i="121"/>
  <c r="D47" i="121"/>
  <c r="D61" i="121" s="1"/>
  <c r="F18" i="121"/>
  <c r="J18" i="121" s="1"/>
  <c r="C18" i="121"/>
  <c r="C20" i="121" s="1"/>
  <c r="W21" i="122"/>
  <c r="M1156" i="184"/>
  <c r="AC34" i="231"/>
  <c r="AK34" i="231" s="1"/>
  <c r="F54" i="121"/>
  <c r="I46" i="121"/>
  <c r="L42" i="213" s="1"/>
  <c r="K37" i="121"/>
  <c r="L37" i="121"/>
  <c r="E2277" i="184"/>
  <c r="E93" i="122"/>
  <c r="E2537" i="184" s="1"/>
  <c r="L1492" i="184"/>
  <c r="L85" i="117"/>
  <c r="W31" i="117"/>
  <c r="B129" i="181"/>
  <c r="D26" i="187"/>
  <c r="W42" i="227"/>
  <c r="K36" i="116"/>
  <c r="L36" i="116"/>
  <c r="I36" i="116"/>
  <c r="I41" i="213" s="1"/>
  <c r="W29" i="227"/>
  <c r="I25" i="187"/>
  <c r="W31" i="199"/>
  <c r="G1479" i="184"/>
  <c r="G85" i="199"/>
  <c r="F1483" i="184"/>
  <c r="F85" i="102"/>
  <c r="D1483" i="184"/>
  <c r="D85" i="102"/>
  <c r="K36" i="101"/>
  <c r="L36" i="101"/>
  <c r="D102" i="180"/>
  <c r="F54" i="96"/>
  <c r="K31" i="209"/>
  <c r="J23" i="91"/>
  <c r="H33" i="210" s="1"/>
  <c r="L32" i="214"/>
  <c r="L33" i="229"/>
  <c r="G93" i="87"/>
  <c r="G2519" i="184"/>
  <c r="G2259" i="184"/>
  <c r="K39" i="86"/>
  <c r="L39" i="86" s="1"/>
  <c r="L47" i="86" s="1"/>
  <c r="L49" i="86" s="1"/>
  <c r="K34" i="210" s="1"/>
  <c r="I39" i="86"/>
  <c r="J33" i="213" s="1"/>
  <c r="H1475" i="184"/>
  <c r="H85" i="87"/>
  <c r="L85" i="87"/>
  <c r="L1475" i="184"/>
  <c r="D2259" i="184"/>
  <c r="D93" i="87"/>
  <c r="D2519" i="184" s="1"/>
  <c r="O47" i="86"/>
  <c r="O49" i="86" s="1"/>
  <c r="N34" i="210" s="1"/>
  <c r="P25" i="220"/>
  <c r="J28" i="81"/>
  <c r="F44" i="76"/>
  <c r="D103" i="180"/>
  <c r="X39" i="102"/>
  <c r="F15" i="15"/>
  <c r="W31" i="36"/>
  <c r="W23" i="227"/>
  <c r="X48" i="167"/>
  <c r="F38" i="51"/>
  <c r="F30" i="66"/>
  <c r="J30" i="66" s="1"/>
  <c r="F44" i="71"/>
  <c r="F44" i="101"/>
  <c r="W31" i="142"/>
  <c r="K23" i="209"/>
  <c r="L25" i="229"/>
  <c r="L24" i="214"/>
  <c r="J23" i="81"/>
  <c r="H25" i="210" s="1"/>
  <c r="F30" i="81"/>
  <c r="L42" i="214"/>
  <c r="K41" i="209"/>
  <c r="L43" i="229"/>
  <c r="J23" i="121"/>
  <c r="H43" i="210" s="1"/>
  <c r="P43" i="220"/>
  <c r="J28" i="121"/>
  <c r="F30" i="116"/>
  <c r="J30" i="116"/>
  <c r="D33" i="156"/>
  <c r="D61" i="156" s="1"/>
  <c r="F30" i="46"/>
  <c r="J30" i="46" s="1"/>
  <c r="W21" i="227"/>
  <c r="F30" i="25"/>
  <c r="J30" i="25" s="1"/>
  <c r="F30" i="101"/>
  <c r="F59" i="146"/>
  <c r="F44" i="194"/>
  <c r="W28" i="227"/>
  <c r="G14" i="151"/>
  <c r="J13" i="151"/>
  <c r="D9" i="50"/>
  <c r="D15" i="242"/>
  <c r="D10" i="238"/>
  <c r="D59" i="238"/>
  <c r="W40" i="227"/>
  <c r="F30" i="61"/>
  <c r="I24" i="187"/>
  <c r="F44" i="126"/>
  <c r="F38" i="151"/>
  <c r="F54" i="166"/>
  <c r="H93" i="122"/>
  <c r="H2537" i="184" s="1"/>
  <c r="H2277" i="184"/>
  <c r="L39" i="214"/>
  <c r="L40" i="229"/>
  <c r="K38" i="209"/>
  <c r="J23" i="51"/>
  <c r="H40" i="210" s="1"/>
  <c r="K93" i="162"/>
  <c r="K2512" i="184"/>
  <c r="K2252" i="184"/>
  <c r="D9" i="197"/>
  <c r="D26" i="242"/>
  <c r="F59" i="116"/>
  <c r="L23" i="229"/>
  <c r="L22" i="214"/>
  <c r="K21" i="209"/>
  <c r="C273" i="233"/>
  <c r="D9" i="85"/>
  <c r="D22" i="242"/>
  <c r="F38" i="91"/>
  <c r="O47" i="116"/>
  <c r="O49" i="116" s="1"/>
  <c r="N42" i="210" s="1"/>
  <c r="R35" i="137"/>
  <c r="W31" i="147"/>
  <c r="D9" i="160"/>
  <c r="D40" i="242"/>
  <c r="D9" i="165"/>
  <c r="D41" i="242"/>
  <c r="P31" i="220"/>
  <c r="J28" i="15"/>
  <c r="L31" i="229"/>
  <c r="K29" i="209"/>
  <c r="L30" i="214"/>
  <c r="J23" i="15"/>
  <c r="H31" i="210" s="1"/>
  <c r="K2265" i="184"/>
  <c r="K93" i="82"/>
  <c r="F59" i="106"/>
  <c r="R36" i="137"/>
  <c r="H31" i="221"/>
  <c r="K18" i="209"/>
  <c r="L20" i="229"/>
  <c r="L19" i="214"/>
  <c r="J23" i="166"/>
  <c r="H20" i="210" s="1"/>
  <c r="AC31" i="209"/>
  <c r="G11" i="15"/>
  <c r="J11" i="15"/>
  <c r="F15" i="35"/>
  <c r="F30" i="20"/>
  <c r="J30" i="20"/>
  <c r="M57" i="42"/>
  <c r="M1469" i="184" s="1"/>
  <c r="F44" i="96"/>
  <c r="F59" i="198"/>
  <c r="D114" i="201"/>
  <c r="I17" i="187"/>
  <c r="F54" i="116"/>
  <c r="D9" i="135"/>
  <c r="D34" i="242"/>
  <c r="D114" i="140"/>
  <c r="O47" i="194"/>
  <c r="O49" i="194" s="1"/>
  <c r="N46" i="210" s="1"/>
  <c r="X48" i="157"/>
  <c r="G1494" i="184"/>
  <c r="B33" i="121"/>
  <c r="D10" i="120"/>
  <c r="D59" i="120"/>
  <c r="D67" i="120" s="1"/>
  <c r="J31" i="151"/>
  <c r="AC10" i="209"/>
  <c r="G1496" i="184"/>
  <c r="G85" i="92"/>
  <c r="E1471" i="184"/>
  <c r="E85" i="47"/>
  <c r="G26" i="187"/>
  <c r="F15" i="25"/>
  <c r="F44" i="41"/>
  <c r="F59" i="46"/>
  <c r="W31" i="97"/>
  <c r="F38" i="96"/>
  <c r="F38" i="198"/>
  <c r="F44" i="116"/>
  <c r="X39" i="152"/>
  <c r="M47" i="166"/>
  <c r="M49" i="166" s="1"/>
  <c r="L20" i="210" s="1"/>
  <c r="D9" i="130"/>
  <c r="D33" i="242"/>
  <c r="J19" i="121"/>
  <c r="P36" i="220"/>
  <c r="F30" i="151"/>
  <c r="J30" i="151" s="1"/>
  <c r="D32" i="151"/>
  <c r="J13" i="131"/>
  <c r="G14" i="131"/>
  <c r="L1465" i="184"/>
  <c r="L85" i="21"/>
  <c r="D93" i="122"/>
  <c r="D2537" i="184" s="1"/>
  <c r="D2277" i="184"/>
  <c r="J85" i="62"/>
  <c r="J1480" i="184"/>
  <c r="F44" i="66"/>
  <c r="F44" i="202"/>
  <c r="F30" i="146"/>
  <c r="J30" i="146" s="1"/>
  <c r="F38" i="194"/>
  <c r="I45" i="187"/>
  <c r="J26" i="151"/>
  <c r="K37" i="209"/>
  <c r="L38" i="214"/>
  <c r="L39" i="229"/>
  <c r="J23" i="76"/>
  <c r="H39" i="210" s="1"/>
  <c r="J2252" i="184"/>
  <c r="J93" i="162"/>
  <c r="J2512" i="184" s="1"/>
  <c r="J19" i="81"/>
  <c r="G11" i="141"/>
  <c r="F30" i="166"/>
  <c r="J30" i="166" s="1"/>
  <c r="F30" i="91"/>
  <c r="J1496" i="184"/>
  <c r="J85" i="92"/>
  <c r="BS30" i="218"/>
  <c r="D238" i="233"/>
  <c r="F54" i="106"/>
  <c r="K39" i="131"/>
  <c r="L39" i="131" s="1"/>
  <c r="I39" i="131"/>
  <c r="J17" i="213" s="1"/>
  <c r="K1473" i="184"/>
  <c r="K85" i="132"/>
  <c r="H1473" i="184"/>
  <c r="H85" i="132"/>
  <c r="L1473" i="184"/>
  <c r="L85" i="132"/>
  <c r="F77" i="181"/>
  <c r="W18" i="227"/>
  <c r="P18" i="220"/>
  <c r="J28" i="131"/>
  <c r="K1160" i="184"/>
  <c r="F44" i="106"/>
  <c r="T39" i="230"/>
  <c r="C15" i="20"/>
  <c r="Q35" i="230" s="1"/>
  <c r="T35" i="230"/>
  <c r="F38" i="126"/>
  <c r="F47" i="126" s="1"/>
  <c r="M47" i="126"/>
  <c r="M49" i="126"/>
  <c r="L14" i="210" s="1"/>
  <c r="D61" i="126"/>
  <c r="I40" i="187"/>
  <c r="K60" i="218"/>
  <c r="C59" i="25"/>
  <c r="E2251" i="184"/>
  <c r="E93" i="127"/>
  <c r="E2511" i="184" s="1"/>
  <c r="F1467" i="184"/>
  <c r="F85" i="127"/>
  <c r="C54" i="126"/>
  <c r="C54" i="106"/>
  <c r="X48" i="132"/>
  <c r="L36" i="212"/>
  <c r="H36" i="212"/>
  <c r="W31" i="132"/>
  <c r="E85" i="132"/>
  <c r="E1473" i="184"/>
  <c r="G11" i="131"/>
  <c r="F15" i="131"/>
  <c r="J10" i="131"/>
  <c r="I93" i="132"/>
  <c r="I2517" i="184" s="1"/>
  <c r="I2257" i="184"/>
  <c r="I41" i="131"/>
  <c r="K17" i="213" s="1"/>
  <c r="K41" i="131"/>
  <c r="N41" i="131" s="1"/>
  <c r="N47" i="131" s="1"/>
  <c r="N49" i="131" s="1"/>
  <c r="M18" i="210" s="1"/>
  <c r="I46" i="131"/>
  <c r="L17" i="213" s="1"/>
  <c r="K37" i="131"/>
  <c r="L37" i="131" s="1"/>
  <c r="K36" i="131"/>
  <c r="I36" i="131"/>
  <c r="I17" i="213" s="1"/>
  <c r="J85" i="132"/>
  <c r="J1473" i="184"/>
  <c r="D114" i="130"/>
  <c r="E102" i="130" s="1"/>
  <c r="F89" i="181"/>
  <c r="N48" i="220" s="1"/>
  <c r="F93" i="132"/>
  <c r="F2517" i="184" s="1"/>
  <c r="F2257" i="184"/>
  <c r="D65" i="131"/>
  <c r="D68" i="131" s="1"/>
  <c r="D71" i="131" s="1"/>
  <c r="D73" i="131" s="1"/>
  <c r="E12" i="192"/>
  <c r="L318" i="191"/>
  <c r="V70" i="132"/>
  <c r="B33" i="131"/>
  <c r="D10" i="130"/>
  <c r="D59" i="130"/>
  <c r="Q35" i="132"/>
  <c r="Q36" i="132"/>
  <c r="G30" i="221" s="1"/>
  <c r="R36" i="132"/>
  <c r="H30" i="221" s="1"/>
  <c r="R35" i="132"/>
  <c r="W22" i="132"/>
  <c r="G36" i="212" s="1"/>
  <c r="F38" i="131"/>
  <c r="F47" i="131" s="1"/>
  <c r="F30" i="131"/>
  <c r="J30" i="131"/>
  <c r="J26" i="131"/>
  <c r="J18" i="131"/>
  <c r="G85" i="132"/>
  <c r="G1473" i="184"/>
  <c r="C180" i="233"/>
  <c r="BB16" i="218"/>
  <c r="F54" i="131"/>
  <c r="L18" i="229"/>
  <c r="L17" i="214"/>
  <c r="J23" i="131"/>
  <c r="H18" i="210" s="1"/>
  <c r="K16" i="209"/>
  <c r="F19" i="131"/>
  <c r="J19" i="131"/>
  <c r="J20" i="131" s="1"/>
  <c r="F18" i="210" s="1"/>
  <c r="C19" i="131"/>
  <c r="C15" i="66"/>
  <c r="U21" i="213" s="1"/>
  <c r="J1470" i="184"/>
  <c r="J85" i="67"/>
  <c r="X39" i="67"/>
  <c r="K36" i="66"/>
  <c r="L36" i="66"/>
  <c r="I36" i="66"/>
  <c r="I21" i="213" s="1"/>
  <c r="K42" i="235"/>
  <c r="L42" i="235" s="1"/>
  <c r="F36" i="223"/>
  <c r="B39" i="223"/>
  <c r="B68" i="223" s="1"/>
  <c r="F20" i="223"/>
  <c r="L16" i="229"/>
  <c r="L15" i="214"/>
  <c r="K14" i="209"/>
  <c r="J23" i="156"/>
  <c r="H16" i="210" s="1"/>
  <c r="K37" i="156"/>
  <c r="L37" i="156" s="1"/>
  <c r="I46" i="156"/>
  <c r="L15" i="213" s="1"/>
  <c r="G93" i="157"/>
  <c r="G2538" i="184" s="1"/>
  <c r="G2278" i="184"/>
  <c r="L1494" i="184"/>
  <c r="L85" i="157"/>
  <c r="D217" i="233"/>
  <c r="V70" i="157"/>
  <c r="E10" i="192"/>
  <c r="L339" i="191"/>
  <c r="K39" i="156"/>
  <c r="L39" i="156" s="1"/>
  <c r="I39" i="156"/>
  <c r="J15" i="213" s="1"/>
  <c r="D114" i="155"/>
  <c r="E102" i="155" s="1"/>
  <c r="J93" i="157"/>
  <c r="J2538" i="184" s="1"/>
  <c r="J2278" i="184"/>
  <c r="D9" i="155"/>
  <c r="C32" i="156"/>
  <c r="G14" i="156"/>
  <c r="J13" i="156"/>
  <c r="P16" i="220"/>
  <c r="Q16" i="220"/>
  <c r="J28" i="156"/>
  <c r="I1494" i="184"/>
  <c r="I85" i="157"/>
  <c r="J26" i="156"/>
  <c r="K41" i="156"/>
  <c r="N41" i="156" s="1"/>
  <c r="N47" i="156" s="1"/>
  <c r="N49" i="156" s="1"/>
  <c r="M16" i="210" s="1"/>
  <c r="I41" i="156"/>
  <c r="K15" i="213" s="1"/>
  <c r="H93" i="157"/>
  <c r="H2538" i="184"/>
  <c r="H2278" i="184"/>
  <c r="W31" i="157"/>
  <c r="H41" i="212"/>
  <c r="BL16" i="218"/>
  <c r="C215" i="233"/>
  <c r="F1494" i="184"/>
  <c r="F85" i="157"/>
  <c r="I44" i="187"/>
  <c r="E85" i="157"/>
  <c r="E1494" i="184"/>
  <c r="F15" i="156"/>
  <c r="G11" i="156"/>
  <c r="J10" i="156"/>
  <c r="F44" i="156"/>
  <c r="F47" i="156"/>
  <c r="AC14" i="209"/>
  <c r="J31" i="156"/>
  <c r="D1494" i="184"/>
  <c r="D85" i="157"/>
  <c r="M57" i="157"/>
  <c r="M1494" i="184" s="1"/>
  <c r="I36" i="156"/>
  <c r="I15" i="213" s="1"/>
  <c r="K36" i="156"/>
  <c r="F19" i="156"/>
  <c r="J19" i="156" s="1"/>
  <c r="C19" i="156"/>
  <c r="B20" i="156"/>
  <c r="F18" i="156"/>
  <c r="C18" i="156"/>
  <c r="K1494" i="184"/>
  <c r="K85" i="157"/>
  <c r="F30" i="156"/>
  <c r="J30" i="156" s="1"/>
  <c r="M1157" i="184"/>
  <c r="W21" i="157"/>
  <c r="AC41" i="231"/>
  <c r="AK41" i="231" s="1"/>
  <c r="D61" i="176"/>
  <c r="F59" i="176"/>
  <c r="M157" i="191"/>
  <c r="F38" i="176"/>
  <c r="F44" i="176"/>
  <c r="D61" i="180"/>
  <c r="F32" i="176"/>
  <c r="F85" i="177"/>
  <c r="F1487" i="184"/>
  <c r="K36" i="176"/>
  <c r="H85" i="177"/>
  <c r="H1487" i="184"/>
  <c r="J85" i="177"/>
  <c r="J1487" i="184"/>
  <c r="D114" i="175"/>
  <c r="E102" i="175" s="1"/>
  <c r="K37" i="176"/>
  <c r="L37" i="176" s="1"/>
  <c r="I46" i="176"/>
  <c r="L27" i="213" s="1"/>
  <c r="K1487" i="184"/>
  <c r="K85" i="177"/>
  <c r="D1487" i="184"/>
  <c r="D85" i="177"/>
  <c r="C19" i="176"/>
  <c r="F19" i="176"/>
  <c r="L28" i="220"/>
  <c r="N28" i="229"/>
  <c r="G34" i="176"/>
  <c r="J27" i="214"/>
  <c r="F19" i="217"/>
  <c r="I26" i="209"/>
  <c r="E25" i="188"/>
  <c r="L28" i="229"/>
  <c r="J23" i="176"/>
  <c r="H28" i="210" s="1"/>
  <c r="K26" i="209"/>
  <c r="L27" i="214"/>
  <c r="F54" i="176"/>
  <c r="E1487" i="184"/>
  <c r="E85" i="177"/>
  <c r="G1487" i="184"/>
  <c r="G85" i="177"/>
  <c r="K41" i="176"/>
  <c r="N41" i="176"/>
  <c r="N47" i="176" s="1"/>
  <c r="K39" i="176"/>
  <c r="L39" i="176"/>
  <c r="G93" i="172"/>
  <c r="G2529" i="184" s="1"/>
  <c r="G2269" i="184"/>
  <c r="I93" i="172"/>
  <c r="I2529" i="184" s="1"/>
  <c r="I2269" i="184"/>
  <c r="J25" i="214"/>
  <c r="I24" i="209"/>
  <c r="L26" i="220"/>
  <c r="E23" i="188"/>
  <c r="N26" i="229"/>
  <c r="G34" i="171"/>
  <c r="F21" i="217"/>
  <c r="F32" i="171"/>
  <c r="K93" i="172"/>
  <c r="K2529" i="184" s="1"/>
  <c r="K2269" i="184"/>
  <c r="L25" i="214"/>
  <c r="K24" i="209"/>
  <c r="L26" i="229"/>
  <c r="K26" i="229"/>
  <c r="H24" i="209"/>
  <c r="D23" i="188"/>
  <c r="I25" i="214"/>
  <c r="I14" i="171"/>
  <c r="H26" i="230" s="1"/>
  <c r="H2269" i="184"/>
  <c r="H93" i="172"/>
  <c r="H2529" i="184" s="1"/>
  <c r="J2269" i="184"/>
  <c r="J93" i="172"/>
  <c r="J2529" i="184" s="1"/>
  <c r="W20" i="227"/>
  <c r="L85" i="167"/>
  <c r="L1472" i="184"/>
  <c r="F1472" i="184"/>
  <c r="F85" i="167"/>
  <c r="D114" i="165"/>
  <c r="E109" i="165" s="1"/>
  <c r="G14" i="166"/>
  <c r="J13" i="166"/>
  <c r="J27" i="166"/>
  <c r="G11" i="166"/>
  <c r="F15" i="166"/>
  <c r="J10" i="166"/>
  <c r="D1472" i="184"/>
  <c r="D85" i="167"/>
  <c r="K44" i="212"/>
  <c r="X39" i="167"/>
  <c r="K41" i="166"/>
  <c r="N41" i="166" s="1"/>
  <c r="N47" i="166" s="1"/>
  <c r="N49" i="166" s="1"/>
  <c r="M20" i="210" s="1"/>
  <c r="I41" i="166"/>
  <c r="K19" i="213" s="1"/>
  <c r="G2256" i="184"/>
  <c r="G93" i="167"/>
  <c r="G2516" i="184" s="1"/>
  <c r="K37" i="166"/>
  <c r="L37" i="166"/>
  <c r="I46" i="166"/>
  <c r="L19" i="213" s="1"/>
  <c r="AH44" i="231"/>
  <c r="R35" i="167"/>
  <c r="R36" i="167"/>
  <c r="H38" i="221"/>
  <c r="W22" i="167"/>
  <c r="G44" i="212"/>
  <c r="J2256" i="184"/>
  <c r="J93" i="167"/>
  <c r="J2516" i="184" s="1"/>
  <c r="F44" i="166"/>
  <c r="Q36" i="167"/>
  <c r="G38" i="221" s="1"/>
  <c r="Q35" i="167"/>
  <c r="C236" i="233"/>
  <c r="BR16" i="218"/>
  <c r="C18" i="166"/>
  <c r="B20" i="166"/>
  <c r="F18" i="166"/>
  <c r="V70" i="167"/>
  <c r="E14" i="192"/>
  <c r="L317" i="191"/>
  <c r="C47" i="166"/>
  <c r="F19" i="166"/>
  <c r="J19" i="166" s="1"/>
  <c r="C19" i="166"/>
  <c r="I36" i="166"/>
  <c r="I19" i="213" s="1"/>
  <c r="K36" i="166"/>
  <c r="C15" i="166"/>
  <c r="G14" i="161"/>
  <c r="J13" i="161"/>
  <c r="BP16" i="218"/>
  <c r="C229" i="233"/>
  <c r="G11" i="161"/>
  <c r="J10" i="161"/>
  <c r="F15" i="161"/>
  <c r="G2279" i="184"/>
  <c r="G93" i="195"/>
  <c r="G2539" i="184" s="1"/>
  <c r="F18" i="194"/>
  <c r="C18" i="194"/>
  <c r="B20" i="194"/>
  <c r="B33" i="194" s="1"/>
  <c r="K93" i="195"/>
  <c r="K2539" i="184" s="1"/>
  <c r="K2279" i="184"/>
  <c r="K41" i="194"/>
  <c r="N41" i="194" s="1"/>
  <c r="N47" i="194" s="1"/>
  <c r="N49" i="194" s="1"/>
  <c r="M46" i="210" s="1"/>
  <c r="I41" i="194"/>
  <c r="K45" i="213" s="1"/>
  <c r="AH42" i="231"/>
  <c r="F85" i="195"/>
  <c r="F1495" i="184"/>
  <c r="K36" i="194"/>
  <c r="F47" i="194"/>
  <c r="I36" i="194"/>
  <c r="I45" i="213" s="1"/>
  <c r="I85" i="195"/>
  <c r="I1495" i="184"/>
  <c r="G14" i="194"/>
  <c r="J13" i="194"/>
  <c r="E85" i="195"/>
  <c r="E1495" i="184"/>
  <c r="F19" i="194"/>
  <c r="J19" i="194" s="1"/>
  <c r="C19" i="194"/>
  <c r="W22" i="195"/>
  <c r="G42" i="212" s="1"/>
  <c r="R36" i="195"/>
  <c r="H36" i="221" s="1"/>
  <c r="R35" i="195"/>
  <c r="F15" i="194"/>
  <c r="G11" i="194"/>
  <c r="J10" i="194"/>
  <c r="J31" i="194"/>
  <c r="AC46" i="209"/>
  <c r="D1495" i="184"/>
  <c r="D85" i="195"/>
  <c r="M57" i="195"/>
  <c r="M1495" i="184" s="1"/>
  <c r="D9" i="193"/>
  <c r="K40" i="194"/>
  <c r="M40" i="194"/>
  <c r="M47" i="194" s="1"/>
  <c r="M49" i="194" s="1"/>
  <c r="L46" i="210" s="1"/>
  <c r="I46" i="194"/>
  <c r="L45" i="213" s="1"/>
  <c r="K39" i="194"/>
  <c r="L39" i="194" s="1"/>
  <c r="I39" i="194"/>
  <c r="J45" i="213" s="1"/>
  <c r="J1495" i="184"/>
  <c r="J85" i="195"/>
  <c r="W21" i="195"/>
  <c r="AC42" i="231"/>
  <c r="AK42" i="231"/>
  <c r="M1158" i="184"/>
  <c r="D114" i="193"/>
  <c r="L85" i="195"/>
  <c r="L1495" i="184"/>
  <c r="J26" i="194"/>
  <c r="C15" i="194"/>
  <c r="H42" i="212"/>
  <c r="W31" i="195"/>
  <c r="X48" i="195"/>
  <c r="L42" i="212"/>
  <c r="I23" i="187"/>
  <c r="J28" i="194"/>
  <c r="P46" i="220"/>
  <c r="Q46" i="220" s="1"/>
  <c r="W46" i="227"/>
  <c r="H2279" i="184"/>
  <c r="H93" i="195"/>
  <c r="H2539" i="184" s="1"/>
  <c r="C222" i="233"/>
  <c r="BN16" i="218"/>
  <c r="F30" i="194"/>
  <c r="J30" i="194" s="1"/>
  <c r="K10" i="209"/>
  <c r="L11" i="214"/>
  <c r="L12" i="229"/>
  <c r="J23" i="151"/>
  <c r="H12" i="210" s="1"/>
  <c r="K36" i="151"/>
  <c r="I36" i="151"/>
  <c r="I11" i="213" s="1"/>
  <c r="K37" i="151"/>
  <c r="L37" i="151" s="1"/>
  <c r="E85" i="152"/>
  <c r="E1462" i="184"/>
  <c r="J11" i="151"/>
  <c r="F15" i="151"/>
  <c r="G11" i="151"/>
  <c r="D2246" i="184"/>
  <c r="D93" i="152"/>
  <c r="C18" i="151"/>
  <c r="F18" i="151"/>
  <c r="B20" i="151"/>
  <c r="B33" i="151"/>
  <c r="F19" i="151"/>
  <c r="J19" i="151" s="1"/>
  <c r="C19" i="151"/>
  <c r="AH40" i="231"/>
  <c r="G1462" i="184"/>
  <c r="G85" i="152"/>
  <c r="L40" i="212"/>
  <c r="X48" i="152"/>
  <c r="J93" i="152"/>
  <c r="J2506" i="184" s="1"/>
  <c r="J2246" i="184"/>
  <c r="K39" i="151"/>
  <c r="L39" i="151" s="1"/>
  <c r="I39" i="151"/>
  <c r="J11" i="213" s="1"/>
  <c r="C208" i="233"/>
  <c r="BJ16" i="218"/>
  <c r="D9" i="150"/>
  <c r="F32" i="146"/>
  <c r="J26" i="146"/>
  <c r="X39" i="147"/>
  <c r="I1486" i="184"/>
  <c r="I85" i="147"/>
  <c r="L27" i="229"/>
  <c r="J23" i="146"/>
  <c r="H27" i="210" s="1"/>
  <c r="L26" i="214"/>
  <c r="K25" i="209"/>
  <c r="F18" i="146"/>
  <c r="B20" i="146"/>
  <c r="B33" i="146" s="1"/>
  <c r="C18" i="146"/>
  <c r="K37" i="146"/>
  <c r="L37" i="146" s="1"/>
  <c r="I46" i="146"/>
  <c r="L26" i="213" s="1"/>
  <c r="J28" i="146"/>
  <c r="P27" i="220"/>
  <c r="F19" i="146"/>
  <c r="J19" i="146" s="1"/>
  <c r="C19" i="146"/>
  <c r="W21" i="147"/>
  <c r="M1149" i="184"/>
  <c r="AC39" i="231"/>
  <c r="AK39" i="231" s="1"/>
  <c r="H85" i="147"/>
  <c r="H1486" i="184"/>
  <c r="V70" i="147"/>
  <c r="E21" i="192"/>
  <c r="L331" i="191"/>
  <c r="AH39" i="231"/>
  <c r="J13" i="146"/>
  <c r="G14" i="146"/>
  <c r="G11" i="146"/>
  <c r="J10" i="146"/>
  <c r="F15" i="146"/>
  <c r="D114" i="145"/>
  <c r="E107" i="145" s="1"/>
  <c r="M57" i="147"/>
  <c r="M1486" i="184" s="1"/>
  <c r="E85" i="147"/>
  <c r="E1486" i="184"/>
  <c r="D9" i="145"/>
  <c r="C201" i="233"/>
  <c r="BH16" i="218"/>
  <c r="F47" i="146"/>
  <c r="C15" i="146"/>
  <c r="U26" i="213" s="1"/>
  <c r="K1486" i="184"/>
  <c r="K85" i="147"/>
  <c r="L36" i="146"/>
  <c r="K41" i="146"/>
  <c r="N41" i="146"/>
  <c r="N47" i="146" s="1"/>
  <c r="N49" i="146" s="1"/>
  <c r="M27" i="210" s="1"/>
  <c r="I41" i="146"/>
  <c r="K26" i="213" s="1"/>
  <c r="W27" i="227"/>
  <c r="W22" i="147"/>
  <c r="G39" i="212" s="1"/>
  <c r="R36" i="147"/>
  <c r="H33" i="221" s="1"/>
  <c r="R35" i="147"/>
  <c r="G1486" i="184"/>
  <c r="G85" i="147"/>
  <c r="E105" i="140"/>
  <c r="A136" i="140"/>
  <c r="E112" i="140"/>
  <c r="E102" i="140"/>
  <c r="E103" i="140"/>
  <c r="H1474" i="184"/>
  <c r="H85" i="142"/>
  <c r="C194" i="233"/>
  <c r="BF16" i="218"/>
  <c r="F19" i="141"/>
  <c r="D65" i="141"/>
  <c r="D68" i="141" s="1"/>
  <c r="D71" i="141" s="1"/>
  <c r="F2258" i="184"/>
  <c r="F93" i="142"/>
  <c r="F2518" i="184"/>
  <c r="F44" i="141"/>
  <c r="E109" i="140"/>
  <c r="I85" i="142"/>
  <c r="I1474" i="184"/>
  <c r="AC38" i="231"/>
  <c r="AK38" i="231" s="1"/>
  <c r="W21" i="142"/>
  <c r="M1137" i="184"/>
  <c r="J85" i="142"/>
  <c r="J1474" i="184"/>
  <c r="E107" i="140"/>
  <c r="F32" i="141"/>
  <c r="E104" i="140"/>
  <c r="K41" i="141"/>
  <c r="N41" i="141" s="1"/>
  <c r="N47" i="141" s="1"/>
  <c r="L2258" i="184"/>
  <c r="L93" i="142"/>
  <c r="L2518" i="184" s="1"/>
  <c r="E110" i="140"/>
  <c r="E1474" i="184"/>
  <c r="E85" i="142"/>
  <c r="K1474" i="184"/>
  <c r="K85" i="142"/>
  <c r="K19" i="209"/>
  <c r="L21" i="229"/>
  <c r="L20" i="214"/>
  <c r="E111" i="140"/>
  <c r="M47" i="141"/>
  <c r="W22" i="142"/>
  <c r="G38" i="212" s="1"/>
  <c r="R36" i="142"/>
  <c r="H32" i="221" s="1"/>
  <c r="R35" i="142"/>
  <c r="F15" i="141"/>
  <c r="AH38" i="231"/>
  <c r="E108" i="140"/>
  <c r="G14" i="141"/>
  <c r="H19" i="209"/>
  <c r="I14" i="141"/>
  <c r="I20" i="214"/>
  <c r="D16" i="188"/>
  <c r="K21" i="229"/>
  <c r="B20" i="141"/>
  <c r="F18" i="141"/>
  <c r="E106" i="140"/>
  <c r="V70" i="142"/>
  <c r="E15" i="192"/>
  <c r="L319" i="191"/>
  <c r="L36" i="141"/>
  <c r="M1151" i="184"/>
  <c r="W21" i="137"/>
  <c r="AC37" i="231"/>
  <c r="F44" i="136"/>
  <c r="I85" i="137"/>
  <c r="I1488" i="184"/>
  <c r="N41" i="136"/>
  <c r="N47" i="136" s="1"/>
  <c r="E2272" i="184"/>
  <c r="E93" i="137"/>
  <c r="C187" i="233"/>
  <c r="BD16" i="218"/>
  <c r="G14" i="136"/>
  <c r="F54" i="136"/>
  <c r="H93" i="137"/>
  <c r="H2532" i="184" s="1"/>
  <c r="H2272" i="184"/>
  <c r="K85" i="137"/>
  <c r="K1488" i="184"/>
  <c r="G11" i="136"/>
  <c r="F15" i="136"/>
  <c r="J93" i="137"/>
  <c r="J2532" i="184" s="1"/>
  <c r="J2272" i="184"/>
  <c r="I1467" i="184"/>
  <c r="I85" i="127"/>
  <c r="D9" i="125"/>
  <c r="W21" i="127"/>
  <c r="AC35" i="231"/>
  <c r="AK35" i="231" s="1"/>
  <c r="M1130" i="184"/>
  <c r="L13" i="214"/>
  <c r="J23" i="126"/>
  <c r="H14" i="210" s="1"/>
  <c r="K12" i="209"/>
  <c r="L14" i="229"/>
  <c r="D114" i="125"/>
  <c r="E102" i="125" s="1"/>
  <c r="C19" i="126"/>
  <c r="F19" i="126"/>
  <c r="J19" i="126" s="1"/>
  <c r="C173" i="233"/>
  <c r="AZ16" i="218"/>
  <c r="G11" i="126"/>
  <c r="J10" i="126"/>
  <c r="F15" i="126"/>
  <c r="H35" i="212"/>
  <c r="W31" i="127"/>
  <c r="K36" i="126"/>
  <c r="I36" i="126"/>
  <c r="I13" i="213" s="1"/>
  <c r="H1467" i="184"/>
  <c r="H85" i="127"/>
  <c r="W14" i="227"/>
  <c r="F54" i="126"/>
  <c r="J93" i="127"/>
  <c r="J2511" i="184" s="1"/>
  <c r="J2251" i="184"/>
  <c r="O47" i="126"/>
  <c r="O49" i="126" s="1"/>
  <c r="N14" i="210" s="1"/>
  <c r="G14" i="126"/>
  <c r="J13" i="126"/>
  <c r="Q36" i="127"/>
  <c r="G29" i="221" s="1"/>
  <c r="Q35" i="127"/>
  <c r="D1467" i="184"/>
  <c r="D85" i="127"/>
  <c r="M57" i="127"/>
  <c r="M1467" i="184" s="1"/>
  <c r="K39" i="126"/>
  <c r="L39" i="126" s="1"/>
  <c r="I39" i="126"/>
  <c r="J13" i="213" s="1"/>
  <c r="F32" i="126"/>
  <c r="J26" i="126"/>
  <c r="E103" i="125"/>
  <c r="K1467" i="184"/>
  <c r="K85" i="127"/>
  <c r="I41" i="126"/>
  <c r="K13" i="213" s="1"/>
  <c r="K41" i="126"/>
  <c r="N41" i="126"/>
  <c r="N47" i="126" s="1"/>
  <c r="N49" i="126" s="1"/>
  <c r="M14" i="210" s="1"/>
  <c r="AC12" i="209"/>
  <c r="J31" i="126"/>
  <c r="K37" i="126"/>
  <c r="L37" i="126" s="1"/>
  <c r="I46" i="126"/>
  <c r="L13" i="213" s="1"/>
  <c r="P14" i="220"/>
  <c r="J28" i="126"/>
  <c r="C18" i="126"/>
  <c r="F18" i="126"/>
  <c r="B20" i="126"/>
  <c r="G85" i="127"/>
  <c r="G1467" i="184"/>
  <c r="L93" i="127"/>
  <c r="L2511" i="184" s="1"/>
  <c r="L2251" i="184"/>
  <c r="G34" i="121"/>
  <c r="I41" i="209"/>
  <c r="E40" i="188"/>
  <c r="N43" i="229"/>
  <c r="J42" i="214"/>
  <c r="F32" i="217"/>
  <c r="L43" i="220"/>
  <c r="I11" i="121"/>
  <c r="H41" i="209"/>
  <c r="I42" i="214"/>
  <c r="K43" i="229"/>
  <c r="D40" i="188"/>
  <c r="V70" i="117"/>
  <c r="L337" i="191"/>
  <c r="E36" i="192"/>
  <c r="F38" i="116"/>
  <c r="F47" i="116"/>
  <c r="G11" i="116"/>
  <c r="F15" i="116"/>
  <c r="J10" i="116"/>
  <c r="L37" i="116"/>
  <c r="L47" i="116" s="1"/>
  <c r="L49" i="116" s="1"/>
  <c r="K42" i="210" s="1"/>
  <c r="E85" i="117"/>
  <c r="E1492" i="184"/>
  <c r="F19" i="116"/>
  <c r="J19" i="116"/>
  <c r="C19" i="116"/>
  <c r="I1492" i="184"/>
  <c r="I85" i="117"/>
  <c r="J26" i="116"/>
  <c r="F32" i="116"/>
  <c r="P42" i="220"/>
  <c r="Q42" i="220" s="1"/>
  <c r="J28" i="116"/>
  <c r="D114" i="115"/>
  <c r="E111" i="115" s="1"/>
  <c r="C32" i="116"/>
  <c r="H1492" i="184"/>
  <c r="H85" i="117"/>
  <c r="K41" i="116"/>
  <c r="N41" i="116" s="1"/>
  <c r="I41" i="116"/>
  <c r="K41" i="213" s="1"/>
  <c r="AC33" i="231"/>
  <c r="AK33" i="231" s="1"/>
  <c r="M1155" i="184"/>
  <c r="W21" i="117"/>
  <c r="F33" i="212" s="1"/>
  <c r="J85" i="117"/>
  <c r="J1492" i="184"/>
  <c r="G1492" i="184"/>
  <c r="G85" i="117"/>
  <c r="M57" i="117"/>
  <c r="M1492" i="184" s="1"/>
  <c r="D85" i="117"/>
  <c r="D1492" i="184"/>
  <c r="C159" i="233"/>
  <c r="AV16" i="218"/>
  <c r="G14" i="116"/>
  <c r="J13" i="116"/>
  <c r="D159" i="233"/>
  <c r="X39" i="117"/>
  <c r="F85" i="117"/>
  <c r="F1492" i="184"/>
  <c r="B20" i="116"/>
  <c r="F18" i="116"/>
  <c r="C18" i="116"/>
  <c r="D9" i="115"/>
  <c r="B33" i="116"/>
  <c r="I46" i="116"/>
  <c r="L41" i="213" s="1"/>
  <c r="K2276" i="184"/>
  <c r="K93" i="117"/>
  <c r="K2536" i="184" s="1"/>
  <c r="B59" i="181"/>
  <c r="I36" i="111"/>
  <c r="I40" i="213" s="1"/>
  <c r="K36" i="111"/>
  <c r="F19" i="111"/>
  <c r="J19" i="111"/>
  <c r="C19" i="111"/>
  <c r="E26" i="187"/>
  <c r="C15" i="111"/>
  <c r="B20" i="111"/>
  <c r="F18" i="111"/>
  <c r="C18" i="111"/>
  <c r="K1491" i="184"/>
  <c r="K85" i="112"/>
  <c r="L2275" i="184"/>
  <c r="L93" i="112"/>
  <c r="L2535" i="184"/>
  <c r="M57" i="112"/>
  <c r="M1491" i="184"/>
  <c r="D85" i="112"/>
  <c r="D1491" i="184"/>
  <c r="J26" i="111"/>
  <c r="K41" i="111"/>
  <c r="N41" i="111" s="1"/>
  <c r="N47" i="111" s="1"/>
  <c r="N49" i="111" s="1"/>
  <c r="M41" i="210" s="1"/>
  <c r="I41" i="111"/>
  <c r="K40" i="213" s="1"/>
  <c r="J10" i="111"/>
  <c r="F15" i="111"/>
  <c r="G11" i="111"/>
  <c r="W21" i="112"/>
  <c r="F32" i="212" s="1"/>
  <c r="M1154" i="184"/>
  <c r="AC32" i="231"/>
  <c r="AK32" i="231" s="1"/>
  <c r="J85" i="112"/>
  <c r="J1491" i="184"/>
  <c r="K37" i="111"/>
  <c r="L37" i="111" s="1"/>
  <c r="C152" i="233"/>
  <c r="AT16" i="218"/>
  <c r="F54" i="111"/>
  <c r="G1491" i="184"/>
  <c r="G85" i="112"/>
  <c r="F30" i="111"/>
  <c r="J30" i="111" s="1"/>
  <c r="G14" i="111"/>
  <c r="J13" i="111"/>
  <c r="D9" i="110"/>
  <c r="I85" i="112"/>
  <c r="I1491" i="184"/>
  <c r="E85" i="112"/>
  <c r="E1491" i="184"/>
  <c r="D65" i="111"/>
  <c r="D68" i="111" s="1"/>
  <c r="D71" i="111" s="1"/>
  <c r="F93" i="112"/>
  <c r="F2535" i="184" s="1"/>
  <c r="F2275" i="184"/>
  <c r="L32" i="212"/>
  <c r="X48" i="112"/>
  <c r="H85" i="112"/>
  <c r="H1491" i="184"/>
  <c r="F38" i="111"/>
  <c r="C47" i="111"/>
  <c r="I39" i="111"/>
  <c r="J40" i="213" s="1"/>
  <c r="K39" i="111"/>
  <c r="L39" i="111" s="1"/>
  <c r="D154" i="233"/>
  <c r="AU30" i="218"/>
  <c r="F30" i="56"/>
  <c r="J30" i="56" s="1"/>
  <c r="H85" i="107"/>
  <c r="H1490" i="184"/>
  <c r="D1490" i="184"/>
  <c r="M57" i="107"/>
  <c r="M1490" i="184" s="1"/>
  <c r="D85" i="107"/>
  <c r="E1490" i="184"/>
  <c r="E85" i="107"/>
  <c r="K85" i="107"/>
  <c r="K1490" i="184"/>
  <c r="K37" i="106"/>
  <c r="L37" i="106" s="1"/>
  <c r="AC27" i="209"/>
  <c r="J31" i="106"/>
  <c r="F1490" i="184"/>
  <c r="F85" i="107"/>
  <c r="C59" i="106"/>
  <c r="L29" i="229"/>
  <c r="L28" i="214"/>
  <c r="J23" i="106"/>
  <c r="H29" i="210" s="1"/>
  <c r="K27" i="209"/>
  <c r="I39" i="187"/>
  <c r="J14" i="106"/>
  <c r="G14" i="106"/>
  <c r="J85" i="107"/>
  <c r="J1490" i="184"/>
  <c r="C18" i="106"/>
  <c r="F18" i="106"/>
  <c r="D9" i="105"/>
  <c r="L1490" i="184"/>
  <c r="L85" i="107"/>
  <c r="F32" i="106"/>
  <c r="G2274" i="184"/>
  <c r="G93" i="107"/>
  <c r="G2534" i="184" s="1"/>
  <c r="G11" i="106"/>
  <c r="F15" i="106"/>
  <c r="J11" i="106"/>
  <c r="AS30" i="218"/>
  <c r="K39" i="106"/>
  <c r="L39" i="106" s="1"/>
  <c r="I39" i="106"/>
  <c r="J28" i="213" s="1"/>
  <c r="I2274" i="184"/>
  <c r="I93" i="107"/>
  <c r="I2534" i="184" s="1"/>
  <c r="W21" i="107"/>
  <c r="AC31" i="231"/>
  <c r="M1153" i="184"/>
  <c r="L31" i="212"/>
  <c r="X48" i="107"/>
  <c r="G14" i="235"/>
  <c r="G40" i="235" s="1"/>
  <c r="K43" i="235"/>
  <c r="A136" i="201"/>
  <c r="E109" i="201"/>
  <c r="E102" i="201"/>
  <c r="E107" i="201"/>
  <c r="K37" i="202"/>
  <c r="L37" i="202" s="1"/>
  <c r="D9" i="201"/>
  <c r="E85" i="203"/>
  <c r="E1482" i="184"/>
  <c r="G14" i="202"/>
  <c r="E103" i="201"/>
  <c r="F15" i="202"/>
  <c r="G11" i="202"/>
  <c r="F18" i="202"/>
  <c r="C18" i="202"/>
  <c r="B20" i="202"/>
  <c r="B33" i="202" s="1"/>
  <c r="E104" i="201"/>
  <c r="E105" i="201"/>
  <c r="L1482" i="184"/>
  <c r="L85" i="203"/>
  <c r="E108" i="201"/>
  <c r="P47" i="220"/>
  <c r="F38" i="202"/>
  <c r="E110" i="201"/>
  <c r="I30" i="212"/>
  <c r="K39" i="202"/>
  <c r="L39" i="202" s="1"/>
  <c r="F1482" i="184"/>
  <c r="F85" i="203"/>
  <c r="L47" i="229"/>
  <c r="L46" i="214"/>
  <c r="K45" i="209"/>
  <c r="J23" i="202"/>
  <c r="H47" i="210" s="1"/>
  <c r="F19" i="202"/>
  <c r="J19" i="202" s="1"/>
  <c r="F30" i="202"/>
  <c r="E106" i="201"/>
  <c r="E111" i="201"/>
  <c r="E112" i="201"/>
  <c r="W22" i="203"/>
  <c r="G30" i="212" s="1"/>
  <c r="R36" i="203"/>
  <c r="H24" i="221" s="1"/>
  <c r="R35" i="203"/>
  <c r="K2266" i="184"/>
  <c r="K93" i="203"/>
  <c r="K2526" i="184"/>
  <c r="D85" i="203"/>
  <c r="D1482" i="184"/>
  <c r="H85" i="203"/>
  <c r="H1482" i="184"/>
  <c r="V70" i="203"/>
  <c r="L327" i="191"/>
  <c r="E41" i="192"/>
  <c r="G11" i="198"/>
  <c r="F15" i="198"/>
  <c r="J10" i="198"/>
  <c r="C103" i="233"/>
  <c r="AF16" i="218"/>
  <c r="L1479" i="184"/>
  <c r="L85" i="199"/>
  <c r="F18" i="198"/>
  <c r="B20" i="198"/>
  <c r="C18" i="198"/>
  <c r="G14" i="198"/>
  <c r="J13" i="198"/>
  <c r="C59" i="198"/>
  <c r="L44" i="214"/>
  <c r="L45" i="229"/>
  <c r="K44" i="209"/>
  <c r="J23" i="198"/>
  <c r="H45" i="210" s="1"/>
  <c r="I39" i="198"/>
  <c r="J44" i="213" s="1"/>
  <c r="K39" i="198"/>
  <c r="L39" i="198"/>
  <c r="K29" i="212"/>
  <c r="X39" i="199"/>
  <c r="J26" i="198"/>
  <c r="E93" i="199"/>
  <c r="E2523" i="184"/>
  <c r="E2263" i="184"/>
  <c r="C19" i="198"/>
  <c r="F19" i="198"/>
  <c r="J19" i="198"/>
  <c r="I41" i="198"/>
  <c r="K44" i="213" s="1"/>
  <c r="K41" i="198"/>
  <c r="N41" i="198" s="1"/>
  <c r="H1479" i="184"/>
  <c r="H85" i="199"/>
  <c r="K36" i="198"/>
  <c r="I36" i="198"/>
  <c r="I44" i="213" s="1"/>
  <c r="I1479" i="184"/>
  <c r="I85" i="199"/>
  <c r="F30" i="198"/>
  <c r="J30" i="198" s="1"/>
  <c r="F93" i="199"/>
  <c r="F2523" i="184"/>
  <c r="F2263" i="184"/>
  <c r="D65" i="198"/>
  <c r="D68" i="198" s="1"/>
  <c r="D71" i="198" s="1"/>
  <c r="L29" i="212"/>
  <c r="X48" i="199"/>
  <c r="J93" i="199"/>
  <c r="J2523" i="184"/>
  <c r="J2263" i="184"/>
  <c r="E101" i="181"/>
  <c r="E104" i="181" s="1"/>
  <c r="E107" i="181" s="1"/>
  <c r="K1479" i="184"/>
  <c r="K85" i="199"/>
  <c r="F54" i="198"/>
  <c r="AH29" i="231"/>
  <c r="G14" i="101"/>
  <c r="R35" i="102"/>
  <c r="R36" i="102"/>
  <c r="H22" i="221" s="1"/>
  <c r="W22" i="102"/>
  <c r="G28" i="212"/>
  <c r="W31" i="102"/>
  <c r="H28" i="212"/>
  <c r="C138" i="233"/>
  <c r="AP16" i="218"/>
  <c r="G85" i="102"/>
  <c r="G1483" i="184"/>
  <c r="L44" i="229"/>
  <c r="L43" i="214"/>
  <c r="K42" i="209"/>
  <c r="F19" i="101"/>
  <c r="F15" i="101"/>
  <c r="G11" i="101"/>
  <c r="J10" i="101"/>
  <c r="E38" i="192"/>
  <c r="V70" i="102"/>
  <c r="L328" i="191"/>
  <c r="H85" i="102"/>
  <c r="H1483" i="184"/>
  <c r="K1483" i="184"/>
  <c r="K85" i="102"/>
  <c r="L28" i="212"/>
  <c r="X48" i="102"/>
  <c r="F54" i="101"/>
  <c r="L37" i="101"/>
  <c r="AC42" i="209"/>
  <c r="E2267" i="184"/>
  <c r="E93" i="102"/>
  <c r="E2527" i="184" s="1"/>
  <c r="D9" i="100"/>
  <c r="L1477" i="184"/>
  <c r="L85" i="97"/>
  <c r="AC11" i="209"/>
  <c r="J1477" i="184"/>
  <c r="J85" i="97"/>
  <c r="K41" i="96"/>
  <c r="N41" i="96"/>
  <c r="N47" i="96" s="1"/>
  <c r="V70" i="97"/>
  <c r="E7" i="192"/>
  <c r="L322" i="191"/>
  <c r="F19" i="96"/>
  <c r="G1477" i="184"/>
  <c r="G85" i="97"/>
  <c r="E2261" i="184"/>
  <c r="E93" i="97"/>
  <c r="E2521" i="184" s="1"/>
  <c r="K40" i="96"/>
  <c r="M40" i="96" s="1"/>
  <c r="M47" i="96" s="1"/>
  <c r="C18" i="96"/>
  <c r="B20" i="96"/>
  <c r="F18" i="96"/>
  <c r="K36" i="96"/>
  <c r="D2261" i="184"/>
  <c r="D93" i="97"/>
  <c r="AH27" i="231"/>
  <c r="D65" i="96"/>
  <c r="D68" i="96"/>
  <c r="D71" i="96" s="1"/>
  <c r="F93" i="97"/>
  <c r="F2521" i="184" s="1"/>
  <c r="F2261" i="184"/>
  <c r="G14" i="96"/>
  <c r="L27" i="212"/>
  <c r="X48" i="97"/>
  <c r="K93" i="97"/>
  <c r="K2521" i="184" s="1"/>
  <c r="K2261" i="184"/>
  <c r="F32" i="91"/>
  <c r="H85" i="92"/>
  <c r="H1496" i="184"/>
  <c r="K85" i="92"/>
  <c r="K1496" i="184"/>
  <c r="W31" i="92"/>
  <c r="I1496" i="184"/>
  <c r="I85" i="92"/>
  <c r="K39" i="91"/>
  <c r="L39" i="91" s="1"/>
  <c r="F15" i="91"/>
  <c r="G11" i="91"/>
  <c r="J10" i="91"/>
  <c r="AH26" i="231"/>
  <c r="D9" i="90"/>
  <c r="G14" i="91"/>
  <c r="E1496" i="184"/>
  <c r="E85" i="92"/>
  <c r="M57" i="92"/>
  <c r="M1496" i="184" s="1"/>
  <c r="W21" i="92"/>
  <c r="M1159" i="184"/>
  <c r="AC26" i="231"/>
  <c r="D2280" i="184"/>
  <c r="D93" i="92"/>
  <c r="F85" i="92"/>
  <c r="F1496" i="184"/>
  <c r="K2259" i="184"/>
  <c r="K93" i="87"/>
  <c r="K2519" i="184"/>
  <c r="J33" i="214"/>
  <c r="F28" i="217"/>
  <c r="N34" i="229"/>
  <c r="E31" i="188"/>
  <c r="G34" i="86"/>
  <c r="L34" i="220"/>
  <c r="M34" i="220" s="1"/>
  <c r="I32" i="209"/>
  <c r="F20" i="86"/>
  <c r="J19" i="86"/>
  <c r="J10" i="86"/>
  <c r="G11" i="86"/>
  <c r="F15" i="86"/>
  <c r="J26" i="86"/>
  <c r="D114" i="85"/>
  <c r="E109" i="85"/>
  <c r="R35" i="87"/>
  <c r="W22" i="87"/>
  <c r="G25" i="212" s="1"/>
  <c r="R36" i="87"/>
  <c r="H19" i="221" s="1"/>
  <c r="H25" i="212"/>
  <c r="W31" i="87"/>
  <c r="E28" i="192"/>
  <c r="L320" i="191"/>
  <c r="V70" i="87"/>
  <c r="K41" i="86"/>
  <c r="I41" i="86"/>
  <c r="K33" i="213" s="1"/>
  <c r="F30" i="86"/>
  <c r="J30" i="86" s="1"/>
  <c r="K42" i="86"/>
  <c r="N42" i="86" s="1"/>
  <c r="I46" i="86"/>
  <c r="L33" i="213" s="1"/>
  <c r="F25" i="212"/>
  <c r="C117" i="233"/>
  <c r="AJ16" i="218"/>
  <c r="E2519" i="184"/>
  <c r="C32" i="86"/>
  <c r="B33" i="86"/>
  <c r="D59" i="85"/>
  <c r="D10" i="85"/>
  <c r="I93" i="87"/>
  <c r="I2519" i="184" s="1"/>
  <c r="I2259" i="184"/>
  <c r="F47" i="86"/>
  <c r="I24" i="214"/>
  <c r="H23" i="209"/>
  <c r="D21" i="188"/>
  <c r="K25" i="229"/>
  <c r="L25" i="220"/>
  <c r="G34" i="81"/>
  <c r="N25" i="229"/>
  <c r="F26" i="217"/>
  <c r="J24" i="214"/>
  <c r="I23" i="209"/>
  <c r="E21" i="188"/>
  <c r="F1478" i="184"/>
  <c r="F85" i="78"/>
  <c r="J28" i="76"/>
  <c r="P39" i="220"/>
  <c r="Q39" i="220" s="1"/>
  <c r="K37" i="76"/>
  <c r="L37" i="76" s="1"/>
  <c r="K1478" i="184"/>
  <c r="K85" i="78"/>
  <c r="D9" i="75"/>
  <c r="M57" i="78"/>
  <c r="M1478" i="184" s="1"/>
  <c r="L2262" i="184"/>
  <c r="L93" i="78"/>
  <c r="L2522" i="184" s="1"/>
  <c r="AC37" i="209"/>
  <c r="J31" i="76"/>
  <c r="G11" i="76"/>
  <c r="F15" i="76"/>
  <c r="J10" i="76"/>
  <c r="G85" i="78"/>
  <c r="G1478" i="184"/>
  <c r="K36" i="76"/>
  <c r="I36" i="76"/>
  <c r="I38" i="213" s="1"/>
  <c r="E93" i="78"/>
  <c r="E2522" i="184" s="1"/>
  <c r="E2262" i="184"/>
  <c r="J85" i="78"/>
  <c r="J1478" i="184"/>
  <c r="K39" i="76"/>
  <c r="L39" i="76" s="1"/>
  <c r="I39" i="76"/>
  <c r="J38" i="213" s="1"/>
  <c r="H85" i="78"/>
  <c r="H1478" i="184"/>
  <c r="V70" i="78"/>
  <c r="E33" i="192"/>
  <c r="L323" i="191"/>
  <c r="C19" i="76"/>
  <c r="F19" i="76"/>
  <c r="J19" i="76" s="1"/>
  <c r="C18" i="76"/>
  <c r="F18" i="76"/>
  <c r="B20" i="76"/>
  <c r="C89" i="233"/>
  <c r="AB16" i="218"/>
  <c r="J26" i="76"/>
  <c r="AK23" i="231"/>
  <c r="J1484" i="184"/>
  <c r="J85" i="72"/>
  <c r="E17" i="192"/>
  <c r="L329" i="191"/>
  <c r="V70" i="72"/>
  <c r="P23" i="220"/>
  <c r="X48" i="72"/>
  <c r="C19" i="71"/>
  <c r="F19" i="71"/>
  <c r="K39" i="71"/>
  <c r="L39" i="71" s="1"/>
  <c r="H93" i="72"/>
  <c r="H2528" i="184" s="1"/>
  <c r="H2268" i="184"/>
  <c r="F85" i="72"/>
  <c r="F1484" i="184"/>
  <c r="K36" i="71"/>
  <c r="F18" i="71"/>
  <c r="B20" i="71"/>
  <c r="F30" i="71"/>
  <c r="G14" i="71"/>
  <c r="AC21" i="209"/>
  <c r="K85" i="72"/>
  <c r="K1484" i="184"/>
  <c r="I13" i="187"/>
  <c r="K37" i="71"/>
  <c r="L37" i="71" s="1"/>
  <c r="E85" i="72"/>
  <c r="E1484" i="184"/>
  <c r="D9" i="65"/>
  <c r="D114" i="65"/>
  <c r="E103" i="65" s="1"/>
  <c r="I93" i="67"/>
  <c r="I2514" i="184" s="1"/>
  <c r="I2254" i="184"/>
  <c r="C75" i="233"/>
  <c r="X16" i="218"/>
  <c r="F18" i="66"/>
  <c r="B20" i="66"/>
  <c r="C18" i="66"/>
  <c r="F15" i="66"/>
  <c r="G11" i="66"/>
  <c r="J10" i="66"/>
  <c r="H1470" i="184"/>
  <c r="H85" i="67"/>
  <c r="L21" i="214"/>
  <c r="L22" i="229"/>
  <c r="J23" i="66"/>
  <c r="H22" i="210" s="1"/>
  <c r="K20" i="209"/>
  <c r="Y30" i="218"/>
  <c r="I41" i="66"/>
  <c r="K21" i="213" s="1"/>
  <c r="K41" i="66"/>
  <c r="N41" i="66" s="1"/>
  <c r="M57" i="67"/>
  <c r="M1470" i="184" s="1"/>
  <c r="D85" i="67"/>
  <c r="D1470" i="184"/>
  <c r="I39" i="66"/>
  <c r="J21" i="213" s="1"/>
  <c r="K39" i="66"/>
  <c r="L39" i="66" s="1"/>
  <c r="G2254" i="184"/>
  <c r="G93" i="67"/>
  <c r="G2514" i="184" s="1"/>
  <c r="K93" i="67"/>
  <c r="K2514" i="184" s="1"/>
  <c r="K2254" i="184"/>
  <c r="F59" i="66"/>
  <c r="Q36" i="67"/>
  <c r="G15" i="221"/>
  <c r="Q35" i="67"/>
  <c r="P22" i="220"/>
  <c r="Q22" i="220" s="1"/>
  <c r="J28" i="66"/>
  <c r="M1133" i="184"/>
  <c r="AC21" i="231"/>
  <c r="AK21" i="231"/>
  <c r="W21" i="67"/>
  <c r="F54" i="66"/>
  <c r="F1470" i="184"/>
  <c r="F85" i="67"/>
  <c r="X48" i="67"/>
  <c r="L85" i="67"/>
  <c r="L1470" i="184"/>
  <c r="H21" i="212"/>
  <c r="W31" i="67"/>
  <c r="J13" i="66"/>
  <c r="G14" i="66"/>
  <c r="E2254" i="184"/>
  <c r="E93" i="67"/>
  <c r="E2514" i="184"/>
  <c r="K37" i="66"/>
  <c r="I46" i="66"/>
  <c r="L21" i="213" s="1"/>
  <c r="F47" i="66"/>
  <c r="F38" i="56"/>
  <c r="E1476" i="184"/>
  <c r="E85" i="57"/>
  <c r="F44" i="56"/>
  <c r="L24" i="229"/>
  <c r="K22" i="209"/>
  <c r="L23" i="214"/>
  <c r="G14" i="61"/>
  <c r="D114" i="60"/>
  <c r="E102" i="60" s="1"/>
  <c r="K39" i="61"/>
  <c r="L39" i="61" s="1"/>
  <c r="D9" i="60"/>
  <c r="R35" i="62"/>
  <c r="R36" i="62"/>
  <c r="H14" i="221" s="1"/>
  <c r="W22" i="62"/>
  <c r="G20" i="212"/>
  <c r="F19" i="61"/>
  <c r="J19" i="61"/>
  <c r="W31" i="62"/>
  <c r="H20" i="212"/>
  <c r="H85" i="62"/>
  <c r="H1480" i="184"/>
  <c r="I11" i="187"/>
  <c r="K41" i="61"/>
  <c r="N41" i="61" s="1"/>
  <c r="N47" i="61" s="1"/>
  <c r="N49" i="61" s="1"/>
  <c r="M38" i="210" s="1"/>
  <c r="I41" i="61"/>
  <c r="K37" i="213" s="1"/>
  <c r="G11" i="61"/>
  <c r="F15" i="61"/>
  <c r="K20" i="212"/>
  <c r="X39" i="62"/>
  <c r="F44" i="61"/>
  <c r="F47" i="61" s="1"/>
  <c r="G2264" i="184"/>
  <c r="G93" i="62"/>
  <c r="G2524" i="184" s="1"/>
  <c r="K40" i="61"/>
  <c r="M40" i="61" s="1"/>
  <c r="M47" i="61" s="1"/>
  <c r="C68" i="233"/>
  <c r="V16" i="218"/>
  <c r="I2264" i="184"/>
  <c r="I93" i="62"/>
  <c r="I2524" i="184"/>
  <c r="F1480" i="184"/>
  <c r="F85" i="62"/>
  <c r="AC36" i="209"/>
  <c r="M57" i="62"/>
  <c r="M1480" i="184"/>
  <c r="D1480" i="184"/>
  <c r="D85" i="62"/>
  <c r="L93" i="62"/>
  <c r="L2524" i="184"/>
  <c r="L2264" i="184"/>
  <c r="F18" i="61"/>
  <c r="B20" i="61"/>
  <c r="K36" i="61"/>
  <c r="P38" i="220"/>
  <c r="AC20" i="231"/>
  <c r="AK20" i="231" s="1"/>
  <c r="W21" i="62"/>
  <c r="M1143" i="184"/>
  <c r="AH20" i="231"/>
  <c r="J26" i="61"/>
  <c r="F32" i="61"/>
  <c r="D65" i="56"/>
  <c r="D68" i="56"/>
  <c r="D71" i="56" s="1"/>
  <c r="F2260" i="184"/>
  <c r="F93" i="57"/>
  <c r="F2520" i="184" s="1"/>
  <c r="F32" i="56"/>
  <c r="J26" i="56"/>
  <c r="F54" i="56"/>
  <c r="X39" i="57"/>
  <c r="K19" i="212"/>
  <c r="D9" i="55"/>
  <c r="D1476" i="184"/>
  <c r="M57" i="57"/>
  <c r="M1476" i="184" s="1"/>
  <c r="D85" i="57"/>
  <c r="AC19" i="231"/>
  <c r="AK19" i="231" s="1"/>
  <c r="M1139" i="184"/>
  <c r="W21" i="57"/>
  <c r="J93" i="57"/>
  <c r="J2520" i="184" s="1"/>
  <c r="J2260" i="184"/>
  <c r="D114" i="55"/>
  <c r="E110" i="55" s="1"/>
  <c r="K42" i="56"/>
  <c r="N42" i="56"/>
  <c r="I46" i="56"/>
  <c r="L23" i="213" s="1"/>
  <c r="G85" i="57"/>
  <c r="G1476" i="184"/>
  <c r="P24" i="220"/>
  <c r="L1476" i="184"/>
  <c r="L85" i="57"/>
  <c r="C61" i="233"/>
  <c r="T16" i="218"/>
  <c r="K36" i="56"/>
  <c r="W24" i="227"/>
  <c r="F19" i="56"/>
  <c r="AC22" i="209"/>
  <c r="K1476" i="184"/>
  <c r="K85" i="57"/>
  <c r="E18" i="192"/>
  <c r="L321" i="191"/>
  <c r="V70" i="57"/>
  <c r="I85" i="57"/>
  <c r="I1476" i="184"/>
  <c r="I39" i="56"/>
  <c r="J23" i="213" s="1"/>
  <c r="K39" i="56"/>
  <c r="L39" i="56" s="1"/>
  <c r="G11" i="56"/>
  <c r="F59" i="56"/>
  <c r="AH19" i="231"/>
  <c r="C18" i="56"/>
  <c r="B20" i="56"/>
  <c r="F18" i="56"/>
  <c r="L19" i="212"/>
  <c r="X48" i="57"/>
  <c r="P40" i="220"/>
  <c r="Q40" i="220"/>
  <c r="J28" i="51"/>
  <c r="R36" i="52"/>
  <c r="H12" i="221" s="1"/>
  <c r="W22" i="52"/>
  <c r="G18" i="212"/>
  <c r="R35" i="52"/>
  <c r="L1489" i="184"/>
  <c r="L85" i="52"/>
  <c r="AC38" i="209"/>
  <c r="J31" i="51"/>
  <c r="R16" i="218"/>
  <c r="C54" i="233"/>
  <c r="C18" i="51"/>
  <c r="F18" i="51"/>
  <c r="B20" i="51"/>
  <c r="G14" i="51"/>
  <c r="J13" i="51"/>
  <c r="F44" i="51"/>
  <c r="F47" i="51" s="1"/>
  <c r="G1489" i="184"/>
  <c r="G85" i="52"/>
  <c r="I10" i="187"/>
  <c r="I1489" i="184"/>
  <c r="I85" i="52"/>
  <c r="K85" i="52"/>
  <c r="K1489" i="184"/>
  <c r="V70" i="52"/>
  <c r="L334" i="191"/>
  <c r="E34" i="192"/>
  <c r="F15" i="51"/>
  <c r="G11" i="51"/>
  <c r="J10" i="51"/>
  <c r="D114" i="50"/>
  <c r="E112" i="50" s="1"/>
  <c r="I41" i="51"/>
  <c r="K39" i="213" s="1"/>
  <c r="K41" i="51"/>
  <c r="N41" i="51" s="1"/>
  <c r="N47" i="51" s="1"/>
  <c r="N49" i="51" s="1"/>
  <c r="M40" i="210" s="1"/>
  <c r="F1489" i="184"/>
  <c r="F85" i="52"/>
  <c r="J2273" i="184"/>
  <c r="J93" i="52"/>
  <c r="J2533" i="184"/>
  <c r="J26" i="51"/>
  <c r="F32" i="51"/>
  <c r="C19" i="51"/>
  <c r="F19" i="51"/>
  <c r="J19" i="51"/>
  <c r="I46" i="51"/>
  <c r="L39" i="213" s="1"/>
  <c r="K36" i="51"/>
  <c r="I36" i="51"/>
  <c r="I39" i="213" s="1"/>
  <c r="D93" i="52"/>
  <c r="D2273" i="184"/>
  <c r="D49" i="233"/>
  <c r="L36" i="214"/>
  <c r="K35" i="209"/>
  <c r="L37" i="229"/>
  <c r="J23" i="46"/>
  <c r="H37" i="210" s="1"/>
  <c r="F19" i="46"/>
  <c r="J19" i="46" s="1"/>
  <c r="C19" i="46"/>
  <c r="F85" i="47"/>
  <c r="F1471" i="184"/>
  <c r="G85" i="47"/>
  <c r="G1471" i="184"/>
  <c r="J11" i="46"/>
  <c r="F54" i="46"/>
  <c r="F44" i="46"/>
  <c r="F47" i="46"/>
  <c r="C59" i="46"/>
  <c r="K37" i="46"/>
  <c r="L37" i="46"/>
  <c r="I46" i="46"/>
  <c r="L36" i="213" s="1"/>
  <c r="G14" i="46"/>
  <c r="J13" i="46"/>
  <c r="C47" i="233"/>
  <c r="D1471" i="184"/>
  <c r="D85" i="47"/>
  <c r="X39" i="47"/>
  <c r="C47" i="46"/>
  <c r="J31" i="46"/>
  <c r="AC35" i="209"/>
  <c r="K1471" i="184"/>
  <c r="K85" i="47"/>
  <c r="I1471" i="184"/>
  <c r="I85" i="47"/>
  <c r="K41" i="46"/>
  <c r="N41" i="46"/>
  <c r="I41" i="46"/>
  <c r="K36" i="213" s="1"/>
  <c r="E31" i="192"/>
  <c r="L316" i="191"/>
  <c r="V70" i="47"/>
  <c r="D114" i="45"/>
  <c r="E111" i="45" s="1"/>
  <c r="K39" i="46"/>
  <c r="L39" i="46"/>
  <c r="I39" i="46"/>
  <c r="J36" i="213" s="1"/>
  <c r="P37" i="220"/>
  <c r="J28" i="46"/>
  <c r="F32" i="46"/>
  <c r="J26" i="46"/>
  <c r="D9" i="45"/>
  <c r="K36" i="46"/>
  <c r="I36" i="46"/>
  <c r="I36" i="213" s="1"/>
  <c r="J2255" i="184"/>
  <c r="J93" i="47"/>
  <c r="J2515" i="184" s="1"/>
  <c r="W31" i="47"/>
  <c r="G14" i="41"/>
  <c r="J13" i="41"/>
  <c r="K41" i="41"/>
  <c r="N41" i="41" s="1"/>
  <c r="J30" i="41"/>
  <c r="F32" i="41"/>
  <c r="F85" i="42"/>
  <c r="F1469" i="184"/>
  <c r="D9" i="40"/>
  <c r="D114" i="40"/>
  <c r="E108" i="40" s="1"/>
  <c r="R36" i="42"/>
  <c r="H10" i="221" s="1"/>
  <c r="R35" i="42"/>
  <c r="W22" i="42"/>
  <c r="G16" i="212"/>
  <c r="F54" i="41"/>
  <c r="G2253" i="184"/>
  <c r="G93" i="42"/>
  <c r="G2513" i="184" s="1"/>
  <c r="E1469" i="184"/>
  <c r="E85" i="42"/>
  <c r="J1469" i="184"/>
  <c r="J85" i="42"/>
  <c r="I9" i="187"/>
  <c r="G11" i="41"/>
  <c r="F15" i="41"/>
  <c r="F47" i="41"/>
  <c r="K36" i="41"/>
  <c r="F19" i="41"/>
  <c r="C19" i="41"/>
  <c r="H16" i="212"/>
  <c r="W31" i="42"/>
  <c r="K93" i="42"/>
  <c r="K2513" i="184"/>
  <c r="K2253" i="184"/>
  <c r="D93" i="42"/>
  <c r="D2253" i="184"/>
  <c r="H85" i="42"/>
  <c r="H1469" i="184"/>
  <c r="B20" i="41"/>
  <c r="B33" i="41"/>
  <c r="C18" i="41"/>
  <c r="F18" i="41"/>
  <c r="C40" i="233"/>
  <c r="N16" i="218"/>
  <c r="L85" i="42"/>
  <c r="L1469" i="184"/>
  <c r="K16" i="212"/>
  <c r="X39" i="42"/>
  <c r="K39" i="41"/>
  <c r="L39" i="41" s="1"/>
  <c r="I39" i="41"/>
  <c r="J35" i="213" s="1"/>
  <c r="AK16" i="231"/>
  <c r="I85" i="42"/>
  <c r="I1469" i="184"/>
  <c r="K42" i="41"/>
  <c r="N42" i="41" s="1"/>
  <c r="I46" i="41"/>
  <c r="L35" i="213" s="1"/>
  <c r="F16" i="212"/>
  <c r="AC30" i="209"/>
  <c r="J31" i="25"/>
  <c r="X39" i="26"/>
  <c r="K14" i="212"/>
  <c r="I32" i="187"/>
  <c r="H85" i="26"/>
  <c r="H1466" i="184"/>
  <c r="K30" i="209"/>
  <c r="L32" i="229"/>
  <c r="J23" i="25"/>
  <c r="H32" i="210" s="1"/>
  <c r="L31" i="214"/>
  <c r="K39" i="25"/>
  <c r="I39" i="25"/>
  <c r="J31" i="213" s="1"/>
  <c r="J28" i="25"/>
  <c r="P32" i="220"/>
  <c r="Q32" i="220" s="1"/>
  <c r="C26" i="233"/>
  <c r="J16" i="218"/>
  <c r="C54" i="25"/>
  <c r="J1466" i="184"/>
  <c r="J85" i="26"/>
  <c r="F32" i="25"/>
  <c r="J26" i="25"/>
  <c r="L1466" i="184"/>
  <c r="L85" i="26"/>
  <c r="F38" i="25"/>
  <c r="W32" i="227"/>
  <c r="F19" i="25"/>
  <c r="J19" i="25" s="1"/>
  <c r="C19" i="25"/>
  <c r="Q36" i="26"/>
  <c r="G7" i="221" s="1"/>
  <c r="Q35" i="26"/>
  <c r="F54" i="25"/>
  <c r="G14" i="25"/>
  <c r="E85" i="26"/>
  <c r="E1466" i="184"/>
  <c r="F1466" i="184"/>
  <c r="F85" i="26"/>
  <c r="D28" i="233"/>
  <c r="K30" i="218"/>
  <c r="K1466" i="184"/>
  <c r="K85" i="26"/>
  <c r="D104" i="180"/>
  <c r="E74" i="181"/>
  <c r="E83" i="181" s="1"/>
  <c r="E97" i="181" s="1"/>
  <c r="G93" i="26"/>
  <c r="G2510" i="184" s="1"/>
  <c r="G2250" i="184"/>
  <c r="K40" i="25"/>
  <c r="M40" i="25" s="1"/>
  <c r="M47" i="25" s="1"/>
  <c r="M49" i="25" s="1"/>
  <c r="L32" i="210" s="1"/>
  <c r="I46" i="25"/>
  <c r="L31" i="213" s="1"/>
  <c r="G11" i="25"/>
  <c r="L36" i="20"/>
  <c r="E85" i="21"/>
  <c r="E1465" i="184"/>
  <c r="F54" i="20"/>
  <c r="F19" i="20"/>
  <c r="J19" i="20" s="1"/>
  <c r="C19" i="20"/>
  <c r="J26" i="20"/>
  <c r="H13" i="212"/>
  <c r="W31" i="21"/>
  <c r="H1465" i="184"/>
  <c r="H85" i="21"/>
  <c r="AC33" i="209"/>
  <c r="J31" i="20"/>
  <c r="C19" i="233"/>
  <c r="G85" i="21"/>
  <c r="G1465" i="184"/>
  <c r="I46" i="20"/>
  <c r="L34" i="213" s="1"/>
  <c r="K42" i="20"/>
  <c r="N42" i="20" s="1"/>
  <c r="I1465" i="184"/>
  <c r="I85" i="21"/>
  <c r="P35" i="220"/>
  <c r="Q35" i="220" s="1"/>
  <c r="J28" i="20"/>
  <c r="J1465" i="184"/>
  <c r="J85" i="21"/>
  <c r="L35" i="220"/>
  <c r="M35" i="220" s="1"/>
  <c r="G34" i="20"/>
  <c r="N35" i="229"/>
  <c r="I33" i="209"/>
  <c r="F38" i="217"/>
  <c r="J34" i="214"/>
  <c r="E32" i="188"/>
  <c r="L310" i="191"/>
  <c r="E29" i="192"/>
  <c r="V70" i="21"/>
  <c r="K85" i="21"/>
  <c r="K1465" i="184"/>
  <c r="J10" i="20"/>
  <c r="J15" i="20" s="1"/>
  <c r="G11" i="20"/>
  <c r="F15" i="20"/>
  <c r="D9" i="19"/>
  <c r="D114" i="19"/>
  <c r="E108" i="19" s="1"/>
  <c r="M1128" i="184"/>
  <c r="W21" i="21"/>
  <c r="AC13" i="231"/>
  <c r="AK13" i="231" s="1"/>
  <c r="C18" i="20"/>
  <c r="C20" i="20" s="1"/>
  <c r="F18" i="20"/>
  <c r="B20" i="20"/>
  <c r="B33" i="20" s="1"/>
  <c r="E85" i="36"/>
  <c r="E1464" i="184"/>
  <c r="C33" i="233"/>
  <c r="L16" i="218"/>
  <c r="L2248" i="184"/>
  <c r="L93" i="36"/>
  <c r="L2508" i="184" s="1"/>
  <c r="M124" i="191"/>
  <c r="M57" i="36"/>
  <c r="M1464" i="184" s="1"/>
  <c r="D1464" i="184"/>
  <c r="D85" i="36"/>
  <c r="G11" i="35"/>
  <c r="G14" i="35"/>
  <c r="J13" i="35"/>
  <c r="AJ15" i="231"/>
  <c r="M1127" i="184"/>
  <c r="AC15" i="231"/>
  <c r="AK15" i="231" s="1"/>
  <c r="W21" i="36"/>
  <c r="H2248" i="184"/>
  <c r="H93" i="36"/>
  <c r="H2508" i="184"/>
  <c r="K85" i="36"/>
  <c r="K1464" i="184"/>
  <c r="L17" i="229"/>
  <c r="K43" i="209"/>
  <c r="L16" i="214"/>
  <c r="J23" i="35"/>
  <c r="H17" i="210" s="1"/>
  <c r="G13" i="191"/>
  <c r="AC43" i="209"/>
  <c r="J31" i="35"/>
  <c r="J26" i="35"/>
  <c r="F32" i="35"/>
  <c r="K15" i="212"/>
  <c r="X39" i="36"/>
  <c r="C32" i="35"/>
  <c r="D114" i="34"/>
  <c r="E108" i="34"/>
  <c r="G1464" i="184"/>
  <c r="G85" i="36"/>
  <c r="J28" i="35"/>
  <c r="P17" i="220"/>
  <c r="Q17" i="220"/>
  <c r="K36" i="35"/>
  <c r="I36" i="35"/>
  <c r="I16" i="213" s="1"/>
  <c r="F47" i="35"/>
  <c r="F1464" i="184"/>
  <c r="F85" i="36"/>
  <c r="K37" i="35"/>
  <c r="L37" i="35"/>
  <c r="I46" i="35"/>
  <c r="L16" i="213" s="1"/>
  <c r="F54" i="35"/>
  <c r="J85" i="36"/>
  <c r="J1464" i="184"/>
  <c r="C19" i="35"/>
  <c r="F19" i="35"/>
  <c r="J19" i="35" s="1"/>
  <c r="F18" i="35"/>
  <c r="B20" i="35"/>
  <c r="C18" i="35"/>
  <c r="K39" i="35"/>
  <c r="L39" i="35" s="1"/>
  <c r="I39" i="35"/>
  <c r="J16" i="213" s="1"/>
  <c r="F44" i="223"/>
  <c r="M63" i="224"/>
  <c r="L42" i="223"/>
  <c r="D68" i="222"/>
  <c r="F38" i="223"/>
  <c r="E106" i="14"/>
  <c r="E108" i="14"/>
  <c r="E109" i="14"/>
  <c r="A136" i="14"/>
  <c r="E104" i="14"/>
  <c r="E111" i="14"/>
  <c r="E105" i="14"/>
  <c r="E103" i="14"/>
  <c r="E110" i="14"/>
  <c r="E102" i="14"/>
  <c r="E112" i="14"/>
  <c r="L36" i="15"/>
  <c r="W22" i="16"/>
  <c r="G12" i="212"/>
  <c r="R35" i="16"/>
  <c r="R36" i="16"/>
  <c r="H5" i="221" s="1"/>
  <c r="C18" i="15"/>
  <c r="C20" i="15" s="1"/>
  <c r="F18" i="15"/>
  <c r="B20" i="15"/>
  <c r="I29" i="209"/>
  <c r="F10" i="217"/>
  <c r="E28" i="188"/>
  <c r="J30" i="214"/>
  <c r="L31" i="220"/>
  <c r="N31" i="229"/>
  <c r="G34" i="15"/>
  <c r="I41" i="15"/>
  <c r="K30" i="213" s="1"/>
  <c r="K41" i="15"/>
  <c r="N41" i="15" s="1"/>
  <c r="N47" i="15" s="1"/>
  <c r="N49" i="15" s="1"/>
  <c r="M31" i="210" s="1"/>
  <c r="W21" i="16"/>
  <c r="M1126" i="184"/>
  <c r="AC12" i="231"/>
  <c r="E107" i="14"/>
  <c r="G85" i="16"/>
  <c r="G1463" i="184"/>
  <c r="L308" i="191"/>
  <c r="E25" i="192"/>
  <c r="V70" i="16"/>
  <c r="M86" i="191"/>
  <c r="F30" i="15"/>
  <c r="G49" i="191"/>
  <c r="AH12" i="231"/>
  <c r="AK12" i="231"/>
  <c r="F18" i="2"/>
  <c r="C18" i="2"/>
  <c r="G14" i="2"/>
  <c r="J13" i="2"/>
  <c r="AH43" i="231"/>
  <c r="P30" i="220"/>
  <c r="Q30" i="220" s="1"/>
  <c r="J28" i="2"/>
  <c r="F44" i="2"/>
  <c r="G24" i="212"/>
  <c r="I85" i="13"/>
  <c r="I1461" i="184"/>
  <c r="F75" i="181"/>
  <c r="D105" i="180"/>
  <c r="F63" i="181"/>
  <c r="D62" i="180"/>
  <c r="L2267" i="184"/>
  <c r="L93" i="102"/>
  <c r="G158" i="191"/>
  <c r="W15" i="227"/>
  <c r="W30" i="227"/>
  <c r="J27" i="2"/>
  <c r="W21" i="236"/>
  <c r="X23" i="236" s="1"/>
  <c r="J11" i="2"/>
  <c r="G11" i="2"/>
  <c r="F15" i="2"/>
  <c r="K41" i="2"/>
  <c r="N41" i="2" s="1"/>
  <c r="N47" i="2" s="1"/>
  <c r="N49" i="2" s="1"/>
  <c r="M30" i="210" s="1"/>
  <c r="I41" i="2"/>
  <c r="K29" i="213" s="1"/>
  <c r="R35" i="13"/>
  <c r="W22" i="13"/>
  <c r="G11" i="212" s="1"/>
  <c r="R36" i="13"/>
  <c r="H4" i="221" s="1"/>
  <c r="I8" i="187"/>
  <c r="H26" i="187"/>
  <c r="D100" i="236"/>
  <c r="F28" i="212"/>
  <c r="X23" i="102"/>
  <c r="G29" i="212"/>
  <c r="F18" i="176"/>
  <c r="C18" i="176"/>
  <c r="B20" i="176"/>
  <c r="E93" i="13"/>
  <c r="E2245" i="184"/>
  <c r="H93" i="13"/>
  <c r="H2505" i="184" s="1"/>
  <c r="H2245" i="184"/>
  <c r="K39" i="2"/>
  <c r="I39" i="2"/>
  <c r="J29" i="213" s="1"/>
  <c r="D1468" i="184"/>
  <c r="D85" i="162"/>
  <c r="J85" i="13"/>
  <c r="J1461" i="184"/>
  <c r="M1150" i="184"/>
  <c r="AC46" i="231"/>
  <c r="AK46" i="231"/>
  <c r="W21" i="177"/>
  <c r="AH46" i="231"/>
  <c r="G23" i="212"/>
  <c r="X23" i="78"/>
  <c r="D9" i="1"/>
  <c r="F30" i="2"/>
  <c r="J30" i="2" s="1"/>
  <c r="D59" i="234"/>
  <c r="D10" i="234"/>
  <c r="M57" i="177"/>
  <c r="M1487" i="184" s="1"/>
  <c r="L1487" i="184"/>
  <c r="L85" i="177"/>
  <c r="L29" i="214"/>
  <c r="L30" i="229"/>
  <c r="K28" i="209"/>
  <c r="J23" i="2"/>
  <c r="H30" i="210" s="1"/>
  <c r="AC28" i="209"/>
  <c r="J31" i="2"/>
  <c r="C5" i="233"/>
  <c r="D16" i="218"/>
  <c r="D2250" i="184"/>
  <c r="D93" i="26"/>
  <c r="I29" i="187"/>
  <c r="H11" i="212"/>
  <c r="F18" i="161"/>
  <c r="C18" i="161"/>
  <c r="C20" i="161" s="1"/>
  <c r="U15" i="230" s="1"/>
  <c r="B20" i="161"/>
  <c r="F20" i="235"/>
  <c r="L2252" i="184"/>
  <c r="L93" i="162"/>
  <c r="L2512" i="184"/>
  <c r="AH11" i="231"/>
  <c r="G32" i="212"/>
  <c r="X23" i="112"/>
  <c r="X49" i="112" s="1"/>
  <c r="N32" i="212" s="1"/>
  <c r="F47" i="181"/>
  <c r="B127" i="181"/>
  <c r="D55" i="180"/>
  <c r="L2537" i="184"/>
  <c r="K40" i="2"/>
  <c r="M40" i="2" s="1"/>
  <c r="G33" i="212"/>
  <c r="H2247" i="184"/>
  <c r="H93" i="16"/>
  <c r="H2507" i="184" s="1"/>
  <c r="K2247" i="184"/>
  <c r="K93" i="16"/>
  <c r="K2507" i="184" s="1"/>
  <c r="I93" i="16"/>
  <c r="I2507" i="184"/>
  <c r="I2247" i="184"/>
  <c r="K47" i="141"/>
  <c r="I93" i="36"/>
  <c r="I2508" i="184" s="1"/>
  <c r="I2248" i="184"/>
  <c r="E111" i="175"/>
  <c r="K77" i="181"/>
  <c r="N77" i="181" s="1"/>
  <c r="E93" i="172"/>
  <c r="E2529" i="184" s="1"/>
  <c r="E2269" i="184"/>
  <c r="F32" i="161"/>
  <c r="D93" i="147"/>
  <c r="D2530" i="184" s="1"/>
  <c r="D2270" i="184"/>
  <c r="L93" i="147"/>
  <c r="L2530" i="184" s="1"/>
  <c r="L2270" i="184"/>
  <c r="J30" i="121"/>
  <c r="F32" i="121"/>
  <c r="E111" i="40"/>
  <c r="X23" i="42"/>
  <c r="X49" i="42"/>
  <c r="N16" i="212" s="1"/>
  <c r="O16" i="212" s="1"/>
  <c r="E103" i="165"/>
  <c r="F47" i="121"/>
  <c r="O41" i="209" s="1"/>
  <c r="X23" i="87"/>
  <c r="X49" i="87" s="1"/>
  <c r="N25" i="212" s="1"/>
  <c r="E107" i="125"/>
  <c r="G40" i="188"/>
  <c r="I48" i="121"/>
  <c r="F20" i="121"/>
  <c r="J43" i="229" s="1"/>
  <c r="G93" i="122"/>
  <c r="G2277" i="184"/>
  <c r="M85" i="122"/>
  <c r="E107" i="120"/>
  <c r="E106" i="120"/>
  <c r="E102" i="120"/>
  <c r="E104" i="120"/>
  <c r="E105" i="120"/>
  <c r="E112" i="120"/>
  <c r="E110" i="120"/>
  <c r="E108" i="120"/>
  <c r="E111" i="120"/>
  <c r="E103" i="120"/>
  <c r="A136" i="120"/>
  <c r="E109" i="120"/>
  <c r="F34" i="212"/>
  <c r="X23" i="122"/>
  <c r="X49" i="122" s="1"/>
  <c r="N34" i="212" s="1"/>
  <c r="O34" i="212" s="1"/>
  <c r="J93" i="122"/>
  <c r="J2537" i="184" s="1"/>
  <c r="J2277" i="184"/>
  <c r="L36" i="121"/>
  <c r="L47" i="121"/>
  <c r="L49" i="121" s="1"/>
  <c r="K43" i="210" s="1"/>
  <c r="K47" i="121"/>
  <c r="K49" i="121" s="1"/>
  <c r="J43" i="210" s="1"/>
  <c r="I2277" i="184"/>
  <c r="I93" i="122"/>
  <c r="I2537" i="184" s="1"/>
  <c r="E106" i="115"/>
  <c r="E112" i="115"/>
  <c r="L2276" i="184"/>
  <c r="L93" i="117"/>
  <c r="L2536" i="184"/>
  <c r="G2263" i="184"/>
  <c r="G93" i="199"/>
  <c r="G2523" i="184" s="1"/>
  <c r="D2267" i="184"/>
  <c r="D93" i="102"/>
  <c r="D2527" i="184" s="1"/>
  <c r="F93" i="102"/>
  <c r="F2527" i="184"/>
  <c r="D65" i="101"/>
  <c r="D68" i="101"/>
  <c r="D71" i="101" s="1"/>
  <c r="F2267" i="184"/>
  <c r="L2259" i="184"/>
  <c r="L93" i="87"/>
  <c r="L2519" i="184" s="1"/>
  <c r="H2259" i="184"/>
  <c r="H93" i="87"/>
  <c r="H2519" i="184" s="1"/>
  <c r="M85" i="87"/>
  <c r="F47" i="56"/>
  <c r="E109" i="34"/>
  <c r="E110" i="65"/>
  <c r="E105" i="125"/>
  <c r="E106" i="165"/>
  <c r="E108" i="165"/>
  <c r="F47" i="202"/>
  <c r="E106" i="45"/>
  <c r="F47" i="176"/>
  <c r="I48" i="176" s="1"/>
  <c r="E107" i="85"/>
  <c r="E108" i="145"/>
  <c r="E106" i="175"/>
  <c r="F32" i="81"/>
  <c r="E107" i="40"/>
  <c r="E105" i="60"/>
  <c r="E112" i="145"/>
  <c r="E111" i="145"/>
  <c r="E112" i="155"/>
  <c r="E105" i="155"/>
  <c r="G34" i="151"/>
  <c r="I10" i="209"/>
  <c r="F30" i="217"/>
  <c r="N12" i="229"/>
  <c r="J11" i="214"/>
  <c r="E6" i="188"/>
  <c r="L12" i="220"/>
  <c r="E109" i="145"/>
  <c r="B61" i="41"/>
  <c r="E13" i="242"/>
  <c r="E37" i="242"/>
  <c r="G37" i="242" s="1"/>
  <c r="B61" i="121"/>
  <c r="E31" i="242"/>
  <c r="G31" i="242" s="1"/>
  <c r="D60" i="180"/>
  <c r="E108" i="55"/>
  <c r="E107" i="115"/>
  <c r="E108" i="115"/>
  <c r="E102" i="165"/>
  <c r="J93" i="92"/>
  <c r="J2540" i="184" s="1"/>
  <c r="J2280" i="184"/>
  <c r="L2249" i="184"/>
  <c r="L93" i="21"/>
  <c r="L2509" i="184" s="1"/>
  <c r="E102" i="40"/>
  <c r="E108" i="85"/>
  <c r="F32" i="202"/>
  <c r="E108" i="155"/>
  <c r="F32" i="151"/>
  <c r="G2280" i="184"/>
  <c r="G93" i="92"/>
  <c r="G2540" i="184" s="1"/>
  <c r="E110" i="60"/>
  <c r="E107" i="165"/>
  <c r="E107" i="155"/>
  <c r="L18" i="220"/>
  <c r="G34" i="131"/>
  <c r="F18" i="217"/>
  <c r="I16" i="209"/>
  <c r="N18" i="229"/>
  <c r="J17" i="214"/>
  <c r="E13" i="188"/>
  <c r="B61" i="86"/>
  <c r="E22" i="242"/>
  <c r="G22" i="242" s="1"/>
  <c r="B61" i="116"/>
  <c r="E30" i="242"/>
  <c r="G30" i="242" s="1"/>
  <c r="B61" i="131"/>
  <c r="E33" i="242"/>
  <c r="G33" i="242"/>
  <c r="D28" i="188"/>
  <c r="F28" i="188" s="1"/>
  <c r="H29" i="209"/>
  <c r="K31" i="229"/>
  <c r="I30" i="214"/>
  <c r="I11" i="15"/>
  <c r="O30" i="213" s="1"/>
  <c r="I14" i="15"/>
  <c r="H31" i="230" s="1"/>
  <c r="E103" i="34"/>
  <c r="E105" i="34"/>
  <c r="E105" i="40"/>
  <c r="E110" i="40"/>
  <c r="E112" i="165"/>
  <c r="K2525" i="184"/>
  <c r="X23" i="117"/>
  <c r="K47" i="15"/>
  <c r="K49" i="15" s="1"/>
  <c r="J31" i="210" s="1"/>
  <c r="E104" i="50"/>
  <c r="F21" i="188"/>
  <c r="C20" i="111"/>
  <c r="U41" i="230" s="1"/>
  <c r="E109" i="155"/>
  <c r="F32" i="20"/>
  <c r="M85" i="42"/>
  <c r="J93" i="62"/>
  <c r="J2524" i="184" s="1"/>
  <c r="J2264" i="184"/>
  <c r="E2255" i="184"/>
  <c r="E93" i="47"/>
  <c r="E2515" i="184"/>
  <c r="D14" i="120"/>
  <c r="E10" i="120" s="1"/>
  <c r="H2257" i="184"/>
  <c r="H93" i="132"/>
  <c r="H2517" i="184" s="1"/>
  <c r="K2257" i="184"/>
  <c r="K93" i="132"/>
  <c r="K2517" i="184" s="1"/>
  <c r="L2257" i="184"/>
  <c r="L93" i="132"/>
  <c r="L2517" i="184" s="1"/>
  <c r="E109" i="130"/>
  <c r="E103" i="130"/>
  <c r="E107" i="130"/>
  <c r="E110" i="125"/>
  <c r="E112" i="125"/>
  <c r="E111" i="125"/>
  <c r="E104" i="125"/>
  <c r="F93" i="127"/>
  <c r="F2511" i="184" s="1"/>
  <c r="F2251" i="184"/>
  <c r="D65" i="126"/>
  <c r="D68" i="126" s="1"/>
  <c r="D71" i="126" s="1"/>
  <c r="D73" i="126" s="1"/>
  <c r="E109" i="125"/>
  <c r="C20" i="116"/>
  <c r="C20" i="166"/>
  <c r="U20" i="230" s="1"/>
  <c r="J15" i="194"/>
  <c r="G46" i="210" s="1"/>
  <c r="F32" i="156"/>
  <c r="M15" i="214" s="1"/>
  <c r="A136" i="130"/>
  <c r="E105" i="130"/>
  <c r="E106" i="130"/>
  <c r="E112" i="130"/>
  <c r="E110" i="130"/>
  <c r="F20" i="131"/>
  <c r="J2257" i="184"/>
  <c r="J93" i="132"/>
  <c r="J2517" i="184" s="1"/>
  <c r="H16" i="209"/>
  <c r="I17" i="214"/>
  <c r="I11" i="131"/>
  <c r="I14" i="131"/>
  <c r="D13" i="188"/>
  <c r="F13" i="188" s="1"/>
  <c r="K18" i="229"/>
  <c r="D14" i="130"/>
  <c r="E10" i="130" s="1"/>
  <c r="E108" i="130"/>
  <c r="E93" i="132"/>
  <c r="E2517" i="184" s="1"/>
  <c r="E2257" i="184"/>
  <c r="L36" i="131"/>
  <c r="K47" i="131"/>
  <c r="K49" i="131"/>
  <c r="J18" i="210" s="1"/>
  <c r="E104" i="130"/>
  <c r="G93" i="132"/>
  <c r="G2517" i="184" s="1"/>
  <c r="G2257" i="184"/>
  <c r="E111" i="130"/>
  <c r="E108" i="65"/>
  <c r="E105" i="65"/>
  <c r="E106" i="65"/>
  <c r="E112" i="65"/>
  <c r="J93" i="67"/>
  <c r="J2514" i="184" s="1"/>
  <c r="J2254" i="184"/>
  <c r="E111" i="65"/>
  <c r="E107" i="65"/>
  <c r="E104" i="65"/>
  <c r="G10" i="188"/>
  <c r="I48" i="156"/>
  <c r="O14" i="209"/>
  <c r="D59" i="155"/>
  <c r="D10" i="155"/>
  <c r="D14" i="155" s="1"/>
  <c r="E9" i="155" s="1"/>
  <c r="D2278" i="184"/>
  <c r="D93" i="157"/>
  <c r="M85" i="157"/>
  <c r="I2278" i="184"/>
  <c r="I93" i="157"/>
  <c r="I2538" i="184" s="1"/>
  <c r="B33" i="156"/>
  <c r="E93" i="157"/>
  <c r="E2538" i="184" s="1"/>
  <c r="E2278" i="184"/>
  <c r="F2278" i="184"/>
  <c r="D65" i="156"/>
  <c r="D68" i="156" s="1"/>
  <c r="D71" i="156" s="1"/>
  <c r="D73" i="156" s="1"/>
  <c r="F93" i="157"/>
  <c r="F2538" i="184" s="1"/>
  <c r="K93" i="157"/>
  <c r="K2538" i="184" s="1"/>
  <c r="K2278" i="184"/>
  <c r="K47" i="156"/>
  <c r="K49" i="156" s="1"/>
  <c r="J16" i="210" s="1"/>
  <c r="L36" i="156"/>
  <c r="I14" i="209"/>
  <c r="G34" i="156"/>
  <c r="F16" i="217"/>
  <c r="J15" i="214"/>
  <c r="N16" i="229"/>
  <c r="E10" i="188"/>
  <c r="L16" i="220"/>
  <c r="M16" i="220" s="1"/>
  <c r="E111" i="155"/>
  <c r="A136" i="155"/>
  <c r="E106" i="155"/>
  <c r="E104" i="155"/>
  <c r="E110" i="155"/>
  <c r="E103" i="155"/>
  <c r="X23" i="157"/>
  <c r="X49" i="157" s="1"/>
  <c r="N41" i="212" s="1"/>
  <c r="F41" i="212"/>
  <c r="I11" i="156"/>
  <c r="I15" i="214"/>
  <c r="I14" i="156"/>
  <c r="AL15" i="213" s="1"/>
  <c r="K16" i="229"/>
  <c r="D10" i="188"/>
  <c r="H14" i="209"/>
  <c r="J18" i="156"/>
  <c r="J20" i="156" s="1"/>
  <c r="F16" i="210" s="1"/>
  <c r="F20" i="156"/>
  <c r="L2278" i="184"/>
  <c r="L93" i="157"/>
  <c r="L2538" i="184" s="1"/>
  <c r="E107" i="175"/>
  <c r="E105" i="175"/>
  <c r="B131" i="181"/>
  <c r="F59" i="181"/>
  <c r="D11" i="180"/>
  <c r="G2271" i="184"/>
  <c r="G93" i="177"/>
  <c r="G2531" i="184" s="1"/>
  <c r="G25" i="188"/>
  <c r="O26" i="209"/>
  <c r="D93" i="177"/>
  <c r="D2531" i="184"/>
  <c r="D2271" i="184"/>
  <c r="E104" i="175"/>
  <c r="E110" i="175"/>
  <c r="A136" i="175"/>
  <c r="E112" i="175"/>
  <c r="E109" i="175"/>
  <c r="E103" i="175"/>
  <c r="L36" i="176"/>
  <c r="L47" i="176" s="1"/>
  <c r="L49" i="176" s="1"/>
  <c r="K28" i="210" s="1"/>
  <c r="K47" i="176"/>
  <c r="K2271" i="184"/>
  <c r="K93" i="177"/>
  <c r="K2531" i="184" s="1"/>
  <c r="E93" i="177"/>
  <c r="E2531" i="184" s="1"/>
  <c r="E2271" i="184"/>
  <c r="J2271" i="184"/>
  <c r="J93" i="177"/>
  <c r="J2531" i="184" s="1"/>
  <c r="E108" i="175"/>
  <c r="H93" i="177"/>
  <c r="H2531" i="184"/>
  <c r="H2271" i="184"/>
  <c r="F93" i="177"/>
  <c r="F2531" i="184"/>
  <c r="F2271" i="184"/>
  <c r="D65" i="176"/>
  <c r="D68" i="176" s="1"/>
  <c r="D71" i="176" s="1"/>
  <c r="D73" i="176" s="1"/>
  <c r="L26" i="209"/>
  <c r="H28" i="220"/>
  <c r="M27" i="214"/>
  <c r="M28" i="229"/>
  <c r="M26" i="229"/>
  <c r="H26" i="220"/>
  <c r="L24" i="209"/>
  <c r="M25" i="214"/>
  <c r="L36" i="166"/>
  <c r="D59" i="165"/>
  <c r="B33" i="166"/>
  <c r="D10" i="165"/>
  <c r="G34" i="166"/>
  <c r="E15" i="188"/>
  <c r="J19" i="214"/>
  <c r="N20" i="229"/>
  <c r="I18" i="209"/>
  <c r="F23" i="217"/>
  <c r="L20" i="220"/>
  <c r="I19" i="214"/>
  <c r="H18" i="209"/>
  <c r="I11" i="166"/>
  <c r="G20" i="230" s="1"/>
  <c r="K20" i="229"/>
  <c r="D15" i="188"/>
  <c r="I14" i="166"/>
  <c r="A136" i="165"/>
  <c r="E105" i="165"/>
  <c r="E104" i="165"/>
  <c r="E111" i="165"/>
  <c r="D2256" i="184"/>
  <c r="D93" i="167"/>
  <c r="D65" i="166"/>
  <c r="D68" i="166" s="1"/>
  <c r="D71" i="166" s="1"/>
  <c r="D73" i="166" s="1"/>
  <c r="F2256" i="184"/>
  <c r="F93" i="167"/>
  <c r="F2516" i="184" s="1"/>
  <c r="U19" i="213"/>
  <c r="L2256" i="184"/>
  <c r="L93" i="167"/>
  <c r="L2516" i="184" s="1"/>
  <c r="F20" i="166"/>
  <c r="J18" i="166"/>
  <c r="E110" i="165"/>
  <c r="N15" i="229"/>
  <c r="F31" i="217"/>
  <c r="L15" i="220"/>
  <c r="G34" i="161"/>
  <c r="E9" i="188"/>
  <c r="I13" i="209"/>
  <c r="J14" i="214"/>
  <c r="D9" i="188"/>
  <c r="K15" i="229"/>
  <c r="I11" i="161"/>
  <c r="I14" i="214"/>
  <c r="I14" i="161"/>
  <c r="AL14" i="213" s="1"/>
  <c r="H13" i="209"/>
  <c r="H15" i="220"/>
  <c r="L13" i="209"/>
  <c r="M14" i="214"/>
  <c r="M15" i="229"/>
  <c r="N46" i="229"/>
  <c r="I46" i="209"/>
  <c r="E11" i="188"/>
  <c r="J45" i="214"/>
  <c r="F33" i="217"/>
  <c r="G34" i="194"/>
  <c r="L46" i="220"/>
  <c r="M46" i="220" s="1"/>
  <c r="L36" i="194"/>
  <c r="K47" i="194"/>
  <c r="K49" i="194" s="1"/>
  <c r="J46" i="210" s="1"/>
  <c r="A136" i="193"/>
  <c r="E103" i="193"/>
  <c r="E109" i="193"/>
  <c r="E102" i="193"/>
  <c r="F93" i="195"/>
  <c r="F2539" i="184" s="1"/>
  <c r="F2279" i="184"/>
  <c r="D65" i="194"/>
  <c r="D68" i="194" s="1"/>
  <c r="D71" i="194" s="1"/>
  <c r="D59" i="193"/>
  <c r="D67" i="193" s="1"/>
  <c r="D10" i="193"/>
  <c r="D14" i="193" s="1"/>
  <c r="E9" i="193" s="1"/>
  <c r="Q46" i="230"/>
  <c r="U45" i="213"/>
  <c r="E111" i="193"/>
  <c r="F32" i="194"/>
  <c r="D2279" i="184"/>
  <c r="D93" i="195"/>
  <c r="M85" i="195"/>
  <c r="K46" i="229"/>
  <c r="I45" i="214"/>
  <c r="D11" i="188"/>
  <c r="H46" i="209"/>
  <c r="I14" i="194"/>
  <c r="I11" i="194"/>
  <c r="J18" i="194"/>
  <c r="J20" i="194" s="1"/>
  <c r="F46" i="210" s="1"/>
  <c r="F20" i="194"/>
  <c r="F42" i="212"/>
  <c r="X23" i="195"/>
  <c r="E93" i="195"/>
  <c r="E2539" i="184" s="1"/>
  <c r="E2279" i="184"/>
  <c r="I93" i="195"/>
  <c r="I2539" i="184" s="1"/>
  <c r="I2279" i="184"/>
  <c r="E110" i="193"/>
  <c r="E106" i="193"/>
  <c r="E108" i="193"/>
  <c r="J2279" i="184"/>
  <c r="J93" i="195"/>
  <c r="J2539" i="184" s="1"/>
  <c r="E112" i="193"/>
  <c r="E104" i="193"/>
  <c r="L2279" i="184"/>
  <c r="L93" i="195"/>
  <c r="L2539" i="184"/>
  <c r="E105" i="193"/>
  <c r="I48" i="194"/>
  <c r="M45" i="213" s="1"/>
  <c r="O46" i="209"/>
  <c r="G11" i="188"/>
  <c r="L11" i="188"/>
  <c r="E107" i="193"/>
  <c r="I14" i="151"/>
  <c r="K12" i="229"/>
  <c r="I11" i="214"/>
  <c r="H10" i="209"/>
  <c r="D6" i="188"/>
  <c r="F6" i="188" s="1"/>
  <c r="I11" i="151"/>
  <c r="AK11" i="213" s="1"/>
  <c r="D59" i="150"/>
  <c r="D10" i="150"/>
  <c r="F20" i="151"/>
  <c r="J18" i="151"/>
  <c r="G2246" i="184"/>
  <c r="G93" i="152"/>
  <c r="G2506" i="184" s="1"/>
  <c r="E2246" i="184"/>
  <c r="E93" i="152"/>
  <c r="E2506" i="184"/>
  <c r="L36" i="151"/>
  <c r="D2506" i="184"/>
  <c r="E105" i="145"/>
  <c r="E110" i="145"/>
  <c r="E104" i="145"/>
  <c r="A136" i="145"/>
  <c r="E102" i="145"/>
  <c r="E106" i="145"/>
  <c r="G34" i="146"/>
  <c r="L27" i="220"/>
  <c r="E24" i="188"/>
  <c r="N27" i="229"/>
  <c r="I25" i="209"/>
  <c r="J26" i="214"/>
  <c r="F14" i="217"/>
  <c r="D59" i="145"/>
  <c r="D10" i="145"/>
  <c r="F20" i="146"/>
  <c r="F33" i="146" s="1"/>
  <c r="J18" i="146"/>
  <c r="H2270" i="184"/>
  <c r="H93" i="147"/>
  <c r="H2530" i="184"/>
  <c r="G93" i="147"/>
  <c r="G2530" i="184" s="1"/>
  <c r="G2270" i="184"/>
  <c r="K93" i="147"/>
  <c r="K2530" i="184" s="1"/>
  <c r="K2270" i="184"/>
  <c r="E103" i="145"/>
  <c r="E93" i="147"/>
  <c r="E2270" i="184"/>
  <c r="M85" i="147"/>
  <c r="F39" i="212"/>
  <c r="X23" i="147"/>
  <c r="X49" i="147" s="1"/>
  <c r="N39" i="212" s="1"/>
  <c r="K47" i="146"/>
  <c r="K49" i="146" s="1"/>
  <c r="J27" i="210" s="1"/>
  <c r="I48" i="146"/>
  <c r="O25" i="209"/>
  <c r="G24" i="188"/>
  <c r="D24" i="188"/>
  <c r="I11" i="146"/>
  <c r="O26" i="213" s="1"/>
  <c r="I14" i="146"/>
  <c r="H25" i="209"/>
  <c r="I26" i="214"/>
  <c r="K27" i="229"/>
  <c r="I2270" i="184"/>
  <c r="I93" i="147"/>
  <c r="I2530" i="184" s="1"/>
  <c r="H27" i="220"/>
  <c r="M27" i="229"/>
  <c r="L25" i="209"/>
  <c r="M26" i="214"/>
  <c r="D59" i="140"/>
  <c r="D10" i="140"/>
  <c r="B33" i="141"/>
  <c r="K93" i="142"/>
  <c r="K2518" i="184" s="1"/>
  <c r="K2258" i="184"/>
  <c r="G34" i="141"/>
  <c r="F34" i="217"/>
  <c r="L21" i="220"/>
  <c r="J20" i="214"/>
  <c r="I19" i="209"/>
  <c r="E16" i="188"/>
  <c r="F16" i="188" s="1"/>
  <c r="N21" i="229"/>
  <c r="I93" i="142"/>
  <c r="I2518" i="184" s="1"/>
  <c r="I2258" i="184"/>
  <c r="E114" i="140"/>
  <c r="J2258" i="184"/>
  <c r="J93" i="142"/>
  <c r="J2518" i="184" s="1"/>
  <c r="E93" i="142"/>
  <c r="E2258" i="184"/>
  <c r="F20" i="141"/>
  <c r="F33" i="141" s="1"/>
  <c r="AL20" i="213"/>
  <c r="H21" i="230"/>
  <c r="M21" i="229"/>
  <c r="M20" i="214"/>
  <c r="L19" i="209"/>
  <c r="H21" i="220"/>
  <c r="F38" i="212"/>
  <c r="X23" i="142"/>
  <c r="H93" i="142"/>
  <c r="H2518" i="184" s="1"/>
  <c r="H2258" i="184"/>
  <c r="E2532" i="184"/>
  <c r="K93" i="137"/>
  <c r="K2532" i="184"/>
  <c r="K2272" i="184"/>
  <c r="E14" i="188"/>
  <c r="G34" i="136"/>
  <c r="J18" i="214"/>
  <c r="F15" i="217"/>
  <c r="N19" i="229"/>
  <c r="L19" i="220"/>
  <c r="I17" i="209"/>
  <c r="X23" i="137"/>
  <c r="X49" i="137"/>
  <c r="N37" i="212" s="1"/>
  <c r="F37" i="212"/>
  <c r="D14" i="188"/>
  <c r="I18" i="214"/>
  <c r="H17" i="209"/>
  <c r="K19" i="229"/>
  <c r="I93" i="137"/>
  <c r="I2532" i="184" s="1"/>
  <c r="I2272" i="184"/>
  <c r="G93" i="127"/>
  <c r="G2511" i="184" s="1"/>
  <c r="G2251" i="184"/>
  <c r="L12" i="209"/>
  <c r="M13" i="214"/>
  <c r="M14" i="229"/>
  <c r="H14" i="220"/>
  <c r="K2251" i="184"/>
  <c r="K93" i="127"/>
  <c r="K2511" i="184" s="1"/>
  <c r="J13" i="214"/>
  <c r="E8" i="188"/>
  <c r="L14" i="220"/>
  <c r="N14" i="229"/>
  <c r="F20" i="217"/>
  <c r="G34" i="126"/>
  <c r="I12" i="209"/>
  <c r="D59" i="125"/>
  <c r="D10" i="125"/>
  <c r="D14" i="125" s="1"/>
  <c r="F20" i="126"/>
  <c r="F33" i="126" s="1"/>
  <c r="J18" i="126"/>
  <c r="J20" i="126" s="1"/>
  <c r="F14" i="210" s="1"/>
  <c r="H93" i="127"/>
  <c r="H2511" i="184" s="1"/>
  <c r="H2251" i="184"/>
  <c r="D2251" i="184"/>
  <c r="D93" i="127"/>
  <c r="M85" i="127"/>
  <c r="B33" i="126"/>
  <c r="X23" i="127"/>
  <c r="X49" i="127" s="1"/>
  <c r="N35" i="212" s="1"/>
  <c r="F35" i="212"/>
  <c r="L36" i="126"/>
  <c r="K47" i="126"/>
  <c r="K49" i="126" s="1"/>
  <c r="J14" i="210" s="1"/>
  <c r="H12" i="209"/>
  <c r="I13" i="214"/>
  <c r="I11" i="126"/>
  <c r="D8" i="188"/>
  <c r="K14" i="229"/>
  <c r="I14" i="126"/>
  <c r="H14" i="230" s="1"/>
  <c r="E106" i="125"/>
  <c r="A136" i="125"/>
  <c r="I2251" i="184"/>
  <c r="I93" i="127"/>
  <c r="I2511" i="184" s="1"/>
  <c r="E108" i="125"/>
  <c r="F40" i="188"/>
  <c r="AK42" i="213"/>
  <c r="O42" i="213"/>
  <c r="G43" i="230"/>
  <c r="E110" i="115"/>
  <c r="F93" i="117"/>
  <c r="F2536" i="184" s="1"/>
  <c r="F2276" i="184"/>
  <c r="D65" i="116"/>
  <c r="D68" i="116"/>
  <c r="D71" i="116" s="1"/>
  <c r="E102" i="115"/>
  <c r="E109" i="115"/>
  <c r="A136" i="115"/>
  <c r="E105" i="115"/>
  <c r="E103" i="115"/>
  <c r="D39" i="188"/>
  <c r="H40" i="209"/>
  <c r="I41" i="214"/>
  <c r="K42" i="229"/>
  <c r="I11" i="116"/>
  <c r="O41" i="213" s="1"/>
  <c r="J93" i="117"/>
  <c r="J2536" i="184"/>
  <c r="J2276" i="184"/>
  <c r="J18" i="116"/>
  <c r="F20" i="116"/>
  <c r="F33" i="116" s="1"/>
  <c r="G39" i="188"/>
  <c r="O40" i="209"/>
  <c r="I48" i="116"/>
  <c r="M41" i="213" s="1"/>
  <c r="D10" i="115"/>
  <c r="D14" i="115" s="1"/>
  <c r="D59" i="115"/>
  <c r="D67" i="115" s="1"/>
  <c r="M85" i="117"/>
  <c r="D93" i="117"/>
  <c r="D2276" i="184"/>
  <c r="H2276" i="184"/>
  <c r="H93" i="117"/>
  <c r="H2536" i="184"/>
  <c r="M41" i="214"/>
  <c r="H42" i="220"/>
  <c r="I42" i="220" s="1"/>
  <c r="M42" i="229"/>
  <c r="L40" i="209"/>
  <c r="E2276" i="184"/>
  <c r="E93" i="117"/>
  <c r="E2536" i="184" s="1"/>
  <c r="G93" i="117"/>
  <c r="G2536" i="184" s="1"/>
  <c r="G2276" i="184"/>
  <c r="E39" i="188"/>
  <c r="L42" i="220"/>
  <c r="M42" i="220" s="1"/>
  <c r="J41" i="214"/>
  <c r="F25" i="217"/>
  <c r="G34" i="116"/>
  <c r="I40" i="209"/>
  <c r="N42" i="229"/>
  <c r="E104" i="115"/>
  <c r="I93" i="117"/>
  <c r="I2536" i="184" s="1"/>
  <c r="I2276" i="184"/>
  <c r="I40" i="214"/>
  <c r="D38" i="188"/>
  <c r="I11" i="111"/>
  <c r="H39" i="209"/>
  <c r="K41" i="229"/>
  <c r="D59" i="110"/>
  <c r="D10" i="110"/>
  <c r="L36" i="111"/>
  <c r="L47" i="111" s="1"/>
  <c r="L49" i="111" s="1"/>
  <c r="K41" i="210" s="1"/>
  <c r="E93" i="112"/>
  <c r="E2535" i="184"/>
  <c r="E2275" i="184"/>
  <c r="J93" i="112"/>
  <c r="J2535" i="184"/>
  <c r="J2275" i="184"/>
  <c r="K93" i="112"/>
  <c r="K2535" i="184" s="1"/>
  <c r="K2275" i="184"/>
  <c r="U40" i="213"/>
  <c r="Q41" i="230"/>
  <c r="H93" i="112"/>
  <c r="H2535" i="184" s="1"/>
  <c r="H2275" i="184"/>
  <c r="D2275" i="184"/>
  <c r="D93" i="112"/>
  <c r="M85" i="112"/>
  <c r="F27" i="217"/>
  <c r="G34" i="111"/>
  <c r="I39" i="209"/>
  <c r="N41" i="229"/>
  <c r="E38" i="188"/>
  <c r="L41" i="220"/>
  <c r="M41" i="220" s="1"/>
  <c r="J40" i="214"/>
  <c r="G93" i="112"/>
  <c r="G2535" i="184" s="1"/>
  <c r="G2275" i="184"/>
  <c r="I2275" i="184"/>
  <c r="I93" i="112"/>
  <c r="I2535" i="184" s="1"/>
  <c r="J18" i="111"/>
  <c r="J20" i="111" s="1"/>
  <c r="F41" i="210" s="1"/>
  <c r="F20" i="111"/>
  <c r="E105" i="55"/>
  <c r="I28" i="214"/>
  <c r="H27" i="209"/>
  <c r="D26" i="188"/>
  <c r="K29" i="229"/>
  <c r="I11" i="106"/>
  <c r="I14" i="106"/>
  <c r="J18" i="106"/>
  <c r="H29" i="220"/>
  <c r="I29" i="220" s="1"/>
  <c r="L27" i="209"/>
  <c r="M28" i="214"/>
  <c r="M29" i="229"/>
  <c r="L2274" i="184"/>
  <c r="L93" i="107"/>
  <c r="L2534" i="184"/>
  <c r="H93" i="107"/>
  <c r="H2534" i="184" s="1"/>
  <c r="H2274" i="184"/>
  <c r="J2274" i="184"/>
  <c r="J93" i="107"/>
  <c r="J2534" i="184" s="1"/>
  <c r="K2274" i="184"/>
  <c r="K93" i="107"/>
  <c r="K2534" i="184" s="1"/>
  <c r="J28" i="214"/>
  <c r="L29" i="220"/>
  <c r="M29" i="220" s="1"/>
  <c r="E26" i="188"/>
  <c r="G34" i="106"/>
  <c r="F13" i="217"/>
  <c r="N29" i="229"/>
  <c r="I27" i="209"/>
  <c r="E93" i="107"/>
  <c r="E2534" i="184" s="1"/>
  <c r="E2274" i="184"/>
  <c r="M85" i="107"/>
  <c r="D93" i="107"/>
  <c r="D2274" i="184"/>
  <c r="F31" i="212"/>
  <c r="D65" i="106"/>
  <c r="D68" i="106" s="1"/>
  <c r="D71" i="106" s="1"/>
  <c r="F2274" i="184"/>
  <c r="F93" i="107"/>
  <c r="F2534" i="184" s="1"/>
  <c r="L43" i="235"/>
  <c r="L45" i="209"/>
  <c r="M46" i="214"/>
  <c r="M47" i="229"/>
  <c r="H47" i="220"/>
  <c r="D65" i="202"/>
  <c r="D68" i="202" s="1"/>
  <c r="D71" i="202" s="1"/>
  <c r="F2266" i="184"/>
  <c r="F93" i="203"/>
  <c r="F2526" i="184" s="1"/>
  <c r="L93" i="203"/>
  <c r="L2526" i="184" s="1"/>
  <c r="L2266" i="184"/>
  <c r="D59" i="201"/>
  <c r="D10" i="201"/>
  <c r="E93" i="203"/>
  <c r="E2526" i="184" s="1"/>
  <c r="E2266" i="184"/>
  <c r="H93" i="203"/>
  <c r="H2526" i="184"/>
  <c r="H2266" i="184"/>
  <c r="F20" i="202"/>
  <c r="F33" i="202" s="1"/>
  <c r="J18" i="202"/>
  <c r="J20" i="202" s="1"/>
  <c r="F47" i="210" s="1"/>
  <c r="O45" i="209"/>
  <c r="G22" i="188"/>
  <c r="I46" i="214"/>
  <c r="I14" i="202"/>
  <c r="AL46" i="213" s="1"/>
  <c r="D22" i="188"/>
  <c r="H45" i="209"/>
  <c r="K47" i="229"/>
  <c r="D93" i="203"/>
  <c r="D2266" i="184"/>
  <c r="E114" i="201"/>
  <c r="E22" i="188"/>
  <c r="J46" i="214"/>
  <c r="I45" i="209"/>
  <c r="G34" i="202"/>
  <c r="N47" i="229"/>
  <c r="F43" i="217"/>
  <c r="L47" i="220"/>
  <c r="K2263" i="184"/>
  <c r="K93" i="199"/>
  <c r="K2523" i="184" s="1"/>
  <c r="I2263" i="184"/>
  <c r="I93" i="199"/>
  <c r="I2523" i="184" s="1"/>
  <c r="F42" i="217"/>
  <c r="I44" i="209"/>
  <c r="J44" i="214"/>
  <c r="G34" i="198"/>
  <c r="E19" i="188"/>
  <c r="L45" i="220"/>
  <c r="M45" i="220"/>
  <c r="N45" i="229"/>
  <c r="L36" i="198"/>
  <c r="L47" i="198" s="1"/>
  <c r="L49" i="198" s="1"/>
  <c r="K45" i="210" s="1"/>
  <c r="D10" i="197"/>
  <c r="D59" i="197"/>
  <c r="K45" i="229"/>
  <c r="D19" i="188"/>
  <c r="I44" i="214"/>
  <c r="I11" i="198"/>
  <c r="O44" i="213" s="1"/>
  <c r="H44" i="209"/>
  <c r="F20" i="198"/>
  <c r="J18" i="198"/>
  <c r="H93" i="199"/>
  <c r="H2523" i="184" s="1"/>
  <c r="H2263" i="184"/>
  <c r="L93" i="199"/>
  <c r="L2523" i="184"/>
  <c r="L2263" i="184"/>
  <c r="X49" i="102"/>
  <c r="N28" i="212" s="1"/>
  <c r="O28" i="212" s="1"/>
  <c r="K2267" i="184"/>
  <c r="K93" i="102"/>
  <c r="K2527" i="184" s="1"/>
  <c r="I14" i="101"/>
  <c r="H44" i="230" s="1"/>
  <c r="I43" i="214"/>
  <c r="I11" i="101"/>
  <c r="AK43" i="213" s="1"/>
  <c r="K44" i="229"/>
  <c r="H42" i="209"/>
  <c r="D41" i="188"/>
  <c r="G34" i="101"/>
  <c r="F35" i="217"/>
  <c r="L44" i="220"/>
  <c r="I42" i="209"/>
  <c r="E41" i="188"/>
  <c r="J43" i="214"/>
  <c r="N44" i="229"/>
  <c r="H2267" i="184"/>
  <c r="H93" i="102"/>
  <c r="H2527" i="184" s="1"/>
  <c r="G2267" i="184"/>
  <c r="G93" i="102"/>
  <c r="G2527" i="184" s="1"/>
  <c r="G2261" i="184"/>
  <c r="G93" i="97"/>
  <c r="G2521" i="184" s="1"/>
  <c r="D2521" i="184"/>
  <c r="F20" i="96"/>
  <c r="L93" i="97"/>
  <c r="L2521" i="184" s="1"/>
  <c r="L2261" i="184"/>
  <c r="D10" i="95"/>
  <c r="D59" i="95"/>
  <c r="G34" i="96"/>
  <c r="I11" i="209"/>
  <c r="J12" i="214"/>
  <c r="N13" i="229"/>
  <c r="L13" i="220"/>
  <c r="E7" i="188"/>
  <c r="F24" i="217"/>
  <c r="J2261" i="184"/>
  <c r="J93" i="97"/>
  <c r="J2521" i="184"/>
  <c r="L36" i="96"/>
  <c r="K33" i="229"/>
  <c r="I32" i="214"/>
  <c r="H31" i="209"/>
  <c r="I14" i="91"/>
  <c r="H33" i="230" s="1"/>
  <c r="D30" i="188"/>
  <c r="M33" i="229"/>
  <c r="M32" i="214"/>
  <c r="L31" i="209"/>
  <c r="H33" i="220"/>
  <c r="I93" i="92"/>
  <c r="I2540" i="184" s="1"/>
  <c r="I2280" i="184"/>
  <c r="K93" i="92"/>
  <c r="K2540" i="184" s="1"/>
  <c r="K2280" i="184"/>
  <c r="N33" i="229"/>
  <c r="F29" i="217"/>
  <c r="J32" i="214"/>
  <c r="G34" i="91"/>
  <c r="E30" i="188"/>
  <c r="I31" i="209"/>
  <c r="L33" i="220"/>
  <c r="F93" i="92"/>
  <c r="F2540" i="184" s="1"/>
  <c r="F2280" i="184"/>
  <c r="D65" i="91"/>
  <c r="D68" i="91" s="1"/>
  <c r="D71" i="91" s="1"/>
  <c r="E2280" i="184"/>
  <c r="E93" i="92"/>
  <c r="E2540" i="184" s="1"/>
  <c r="F26" i="212"/>
  <c r="D2540" i="184"/>
  <c r="H93" i="92"/>
  <c r="H2540" i="184" s="1"/>
  <c r="H2280" i="184"/>
  <c r="E102" i="85"/>
  <c r="E105" i="85"/>
  <c r="E111" i="85"/>
  <c r="E103" i="85"/>
  <c r="A136" i="85"/>
  <c r="E112" i="85"/>
  <c r="E106" i="85"/>
  <c r="E104" i="85"/>
  <c r="E110" i="85"/>
  <c r="I33" i="214"/>
  <c r="H32" i="209"/>
  <c r="K34" i="229"/>
  <c r="D31" i="188"/>
  <c r="F31" i="188" s="1"/>
  <c r="I11" i="86"/>
  <c r="O33" i="213" s="1"/>
  <c r="I14" i="86"/>
  <c r="AL33" i="213" s="1"/>
  <c r="O25" i="212"/>
  <c r="N41" i="86"/>
  <c r="N47" i="86" s="1"/>
  <c r="N49" i="86" s="1"/>
  <c r="M34" i="210" s="1"/>
  <c r="K47" i="86"/>
  <c r="K49" i="86" s="1"/>
  <c r="J34" i="210" s="1"/>
  <c r="K33" i="214"/>
  <c r="J32" i="209"/>
  <c r="J34" i="229"/>
  <c r="O32" i="209"/>
  <c r="I48" i="86"/>
  <c r="M33" i="213" s="1"/>
  <c r="G31" i="188"/>
  <c r="L31" i="188" s="1"/>
  <c r="D67" i="85"/>
  <c r="E59" i="85"/>
  <c r="M93" i="87"/>
  <c r="F32" i="86"/>
  <c r="F33" i="86" s="1"/>
  <c r="F74" i="181"/>
  <c r="D10" i="75"/>
  <c r="D59" i="75"/>
  <c r="J18" i="76"/>
  <c r="F20" i="76"/>
  <c r="J2262" i="184"/>
  <c r="J93" i="78"/>
  <c r="J2522" i="184" s="1"/>
  <c r="L36" i="76"/>
  <c r="H2262" i="184"/>
  <c r="H93" i="78"/>
  <c r="H2522" i="184" s="1"/>
  <c r="K93" i="78"/>
  <c r="K2522" i="184" s="1"/>
  <c r="K2262" i="184"/>
  <c r="F2262" i="184"/>
  <c r="F93" i="78"/>
  <c r="F2522" i="184"/>
  <c r="D65" i="76"/>
  <c r="D68" i="76"/>
  <c r="D71" i="76" s="1"/>
  <c r="I38" i="214"/>
  <c r="K39" i="229"/>
  <c r="H37" i="209"/>
  <c r="I14" i="76"/>
  <c r="I11" i="76"/>
  <c r="O38" i="213" s="1"/>
  <c r="D36" i="188"/>
  <c r="G2262" i="184"/>
  <c r="G93" i="78"/>
  <c r="G2522" i="184" s="1"/>
  <c r="K93" i="72"/>
  <c r="K2528" i="184" s="1"/>
  <c r="K2268" i="184"/>
  <c r="D65" i="71"/>
  <c r="D68" i="71" s="1"/>
  <c r="D71" i="71" s="1"/>
  <c r="F2268" i="184"/>
  <c r="F93" i="72"/>
  <c r="F2528" i="184"/>
  <c r="D59" i="70"/>
  <c r="D10" i="70"/>
  <c r="E2268" i="184"/>
  <c r="E93" i="72"/>
  <c r="E2528" i="184" s="1"/>
  <c r="F20" i="71"/>
  <c r="L36" i="71"/>
  <c r="E18" i="188"/>
  <c r="N23" i="229"/>
  <c r="J22" i="214"/>
  <c r="F41" i="217"/>
  <c r="G34" i="71"/>
  <c r="I21" i="209"/>
  <c r="L23" i="220"/>
  <c r="F32" i="71"/>
  <c r="J93" i="72"/>
  <c r="J2528" i="184" s="1"/>
  <c r="J2268" i="184"/>
  <c r="G17" i="188"/>
  <c r="L17" i="188" s="1"/>
  <c r="O20" i="209"/>
  <c r="I48" i="66"/>
  <c r="M85" i="67"/>
  <c r="D93" i="67"/>
  <c r="D2254" i="184"/>
  <c r="H2254" i="184"/>
  <c r="H93" i="67"/>
  <c r="H2514" i="184" s="1"/>
  <c r="L93" i="67"/>
  <c r="L2514" i="184" s="1"/>
  <c r="L2254" i="184"/>
  <c r="F21" i="212"/>
  <c r="X23" i="67"/>
  <c r="X49" i="67" s="1"/>
  <c r="N21" i="212" s="1"/>
  <c r="L37" i="66"/>
  <c r="L47" i="66"/>
  <c r="L49" i="66" s="1"/>
  <c r="K22" i="210" s="1"/>
  <c r="K47" i="66"/>
  <c r="K49" i="66" s="1"/>
  <c r="J22" i="210" s="1"/>
  <c r="D10" i="65"/>
  <c r="D14" i="65" s="1"/>
  <c r="D59" i="65"/>
  <c r="F17" i="217"/>
  <c r="E17" i="188"/>
  <c r="L22" i="220"/>
  <c r="M22" i="220" s="1"/>
  <c r="I20" i="209"/>
  <c r="G34" i="66"/>
  <c r="N22" i="229"/>
  <c r="J21" i="214"/>
  <c r="J18" i="66"/>
  <c r="J20" i="66" s="1"/>
  <c r="F20" i="66"/>
  <c r="A136" i="65"/>
  <c r="E102" i="65"/>
  <c r="E109" i="65"/>
  <c r="B33" i="66"/>
  <c r="D65" i="66"/>
  <c r="D68" i="66" s="1"/>
  <c r="F93" i="67"/>
  <c r="F2514" i="184" s="1"/>
  <c r="F2254" i="184"/>
  <c r="I11" i="66"/>
  <c r="I14" i="66"/>
  <c r="K22" i="229"/>
  <c r="I21" i="214"/>
  <c r="D17" i="188"/>
  <c r="H20" i="209"/>
  <c r="E104" i="55"/>
  <c r="E102" i="55"/>
  <c r="E109" i="55"/>
  <c r="E2260" i="184"/>
  <c r="E93" i="57"/>
  <c r="E2520" i="184" s="1"/>
  <c r="D10" i="60"/>
  <c r="D14" i="60"/>
  <c r="D59" i="60"/>
  <c r="D67" i="60" s="1"/>
  <c r="F93" i="62"/>
  <c r="F2524" i="184" s="1"/>
  <c r="F2264" i="184"/>
  <c r="D65" i="61"/>
  <c r="D68" i="61" s="1"/>
  <c r="D71" i="61" s="1"/>
  <c r="E109" i="60"/>
  <c r="E108" i="60"/>
  <c r="B33" i="61"/>
  <c r="F20" i="61"/>
  <c r="F33" i="61" s="1"/>
  <c r="D93" i="62"/>
  <c r="M85" i="62"/>
  <c r="D2264" i="184"/>
  <c r="E106" i="60"/>
  <c r="L36" i="61"/>
  <c r="K47" i="61"/>
  <c r="E111" i="60"/>
  <c r="E112" i="60"/>
  <c r="I48" i="61"/>
  <c r="I38" i="230" s="1"/>
  <c r="O36" i="209"/>
  <c r="G35" i="188"/>
  <c r="H93" i="62"/>
  <c r="H2524" i="184" s="1"/>
  <c r="H2264" i="184"/>
  <c r="E103" i="60"/>
  <c r="E104" i="60"/>
  <c r="A136" i="60"/>
  <c r="X23" i="62"/>
  <c r="X49" i="62" s="1"/>
  <c r="N20" i="212" s="1"/>
  <c r="O20" i="212" s="1"/>
  <c r="F20" i="212"/>
  <c r="H38" i="220"/>
  <c r="M38" i="229"/>
  <c r="L36" i="209"/>
  <c r="M37" i="214"/>
  <c r="H36" i="209"/>
  <c r="I11" i="61"/>
  <c r="I37" i="214"/>
  <c r="K38" i="229"/>
  <c r="I14" i="61"/>
  <c r="H38" i="230" s="1"/>
  <c r="D35" i="188"/>
  <c r="E35" i="188"/>
  <c r="F46" i="217"/>
  <c r="L38" i="220"/>
  <c r="N38" i="229"/>
  <c r="G34" i="61"/>
  <c r="I36" i="209"/>
  <c r="J37" i="214"/>
  <c r="L36" i="56"/>
  <c r="L47" i="56" s="1"/>
  <c r="L49" i="56" s="1"/>
  <c r="K24" i="210" s="1"/>
  <c r="K47" i="56"/>
  <c r="F20" i="56"/>
  <c r="D10" i="55"/>
  <c r="D14" i="55" s="1"/>
  <c r="D59" i="55"/>
  <c r="G93" i="57"/>
  <c r="G2520" i="184" s="1"/>
  <c r="G2260" i="184"/>
  <c r="D93" i="57"/>
  <c r="D2260" i="184"/>
  <c r="M85" i="57"/>
  <c r="X23" i="57"/>
  <c r="X49" i="57" s="1"/>
  <c r="N19" i="212" s="1"/>
  <c r="F19" i="212"/>
  <c r="I2260" i="184"/>
  <c r="I93" i="57"/>
  <c r="I2520" i="184" s="1"/>
  <c r="K2260" i="184"/>
  <c r="K93" i="57"/>
  <c r="K2520" i="184" s="1"/>
  <c r="H24" i="220"/>
  <c r="M24" i="229"/>
  <c r="M23" i="214"/>
  <c r="L22" i="209"/>
  <c r="G20" i="188"/>
  <c r="O22" i="209"/>
  <c r="L2260" i="184"/>
  <c r="L93" i="57"/>
  <c r="L2520" i="184" s="1"/>
  <c r="I23" i="214"/>
  <c r="K24" i="229"/>
  <c r="H22" i="209"/>
  <c r="I11" i="56"/>
  <c r="O23" i="213" s="1"/>
  <c r="D20" i="188"/>
  <c r="A136" i="55"/>
  <c r="E111" i="55"/>
  <c r="E106" i="55"/>
  <c r="E112" i="55"/>
  <c r="E107" i="55"/>
  <c r="E103" i="55"/>
  <c r="B33" i="56"/>
  <c r="E109" i="50"/>
  <c r="E106" i="50"/>
  <c r="K47" i="51"/>
  <c r="K49" i="51"/>
  <c r="J40" i="210" s="1"/>
  <c r="L36" i="51"/>
  <c r="L47" i="51" s="1"/>
  <c r="L49" i="51" s="1"/>
  <c r="K40" i="210" s="1"/>
  <c r="G93" i="52"/>
  <c r="G2533" i="184" s="1"/>
  <c r="G2273" i="184"/>
  <c r="O38" i="209"/>
  <c r="I48" i="51"/>
  <c r="G37" i="188"/>
  <c r="L37" i="188" s="1"/>
  <c r="M39" i="214"/>
  <c r="H40" i="220"/>
  <c r="I40" i="220" s="1"/>
  <c r="L38" i="209"/>
  <c r="M40" i="229"/>
  <c r="I39" i="214"/>
  <c r="H38" i="209"/>
  <c r="D37" i="188"/>
  <c r="K40" i="229"/>
  <c r="I14" i="51"/>
  <c r="I11" i="51"/>
  <c r="L2273" i="184"/>
  <c r="L93" i="52"/>
  <c r="L2533" i="184"/>
  <c r="E107" i="50"/>
  <c r="K2273" i="184"/>
  <c r="K93" i="52"/>
  <c r="K2533" i="184" s="1"/>
  <c r="I38" i="209"/>
  <c r="F45" i="217"/>
  <c r="J39" i="214"/>
  <c r="E37" i="188"/>
  <c r="G34" i="51"/>
  <c r="N40" i="229"/>
  <c r="L40" i="220"/>
  <c r="M40" i="220" s="1"/>
  <c r="I93" i="52"/>
  <c r="I2533" i="184"/>
  <c r="I2273" i="184"/>
  <c r="A136" i="50"/>
  <c r="E105" i="50"/>
  <c r="E111" i="50"/>
  <c r="E103" i="50"/>
  <c r="E108" i="50"/>
  <c r="B33" i="51"/>
  <c r="D59" i="50"/>
  <c r="D10" i="50"/>
  <c r="E110" i="50"/>
  <c r="D2533" i="184"/>
  <c r="F93" i="52"/>
  <c r="F2533" i="184" s="1"/>
  <c r="F2273" i="184"/>
  <c r="D65" i="51"/>
  <c r="D68" i="51" s="1"/>
  <c r="D71" i="51" s="1"/>
  <c r="E102" i="50"/>
  <c r="F20" i="51"/>
  <c r="F33" i="51" s="1"/>
  <c r="J18" i="51"/>
  <c r="J20" i="51" s="1"/>
  <c r="F40" i="210" s="1"/>
  <c r="K2255" i="184"/>
  <c r="K93" i="47"/>
  <c r="K2515" i="184" s="1"/>
  <c r="A136" i="45"/>
  <c r="E112" i="45"/>
  <c r="E104" i="45"/>
  <c r="I93" i="47"/>
  <c r="I2515" i="184"/>
  <c r="I2255" i="184"/>
  <c r="G93" i="47"/>
  <c r="G2515" i="184" s="1"/>
  <c r="G2255" i="184"/>
  <c r="E102" i="45"/>
  <c r="I48" i="46"/>
  <c r="M36" i="213" s="1"/>
  <c r="O35" i="209"/>
  <c r="G34" i="188"/>
  <c r="L34" i="188" s="1"/>
  <c r="E105" i="45"/>
  <c r="F40" i="217"/>
  <c r="J36" i="214"/>
  <c r="G34" i="46"/>
  <c r="E34" i="188"/>
  <c r="L37" i="220"/>
  <c r="I35" i="209"/>
  <c r="N37" i="229"/>
  <c r="F2255" i="184"/>
  <c r="F93" i="47"/>
  <c r="F2515" i="184" s="1"/>
  <c r="D65" i="46"/>
  <c r="D68" i="46" s="1"/>
  <c r="D71" i="46" s="1"/>
  <c r="L35" i="209"/>
  <c r="M37" i="229"/>
  <c r="M36" i="214"/>
  <c r="H37" i="220"/>
  <c r="L36" i="46"/>
  <c r="L47" i="46" s="1"/>
  <c r="L49" i="46" s="1"/>
  <c r="K37" i="210" s="1"/>
  <c r="K47" i="46"/>
  <c r="K49" i="46" s="1"/>
  <c r="J37" i="210" s="1"/>
  <c r="E110" i="45"/>
  <c r="D93" i="47"/>
  <c r="D2255" i="184"/>
  <c r="E108" i="45"/>
  <c r="E103" i="45"/>
  <c r="E107" i="45"/>
  <c r="E109" i="45"/>
  <c r="B65" i="41"/>
  <c r="B68" i="41" s="1"/>
  <c r="R76" i="42"/>
  <c r="B21" i="43"/>
  <c r="O75" i="42"/>
  <c r="M2253" i="184"/>
  <c r="D10" i="40"/>
  <c r="D14" i="40" s="1"/>
  <c r="D59" i="40"/>
  <c r="G33" i="188"/>
  <c r="O34" i="209"/>
  <c r="I48" i="41"/>
  <c r="L2253" i="184"/>
  <c r="L93" i="42"/>
  <c r="L2513" i="184" s="1"/>
  <c r="H2253" i="184"/>
  <c r="H93" i="42"/>
  <c r="H2513" i="184" s="1"/>
  <c r="H34" i="209"/>
  <c r="K36" i="229"/>
  <c r="I35" i="214"/>
  <c r="D33" i="188"/>
  <c r="I11" i="41"/>
  <c r="L36" i="220"/>
  <c r="E33" i="188"/>
  <c r="N36" i="229"/>
  <c r="I34" i="209"/>
  <c r="G34" i="41"/>
  <c r="F44" i="217"/>
  <c r="J35" i="214"/>
  <c r="D2513" i="184"/>
  <c r="D65" i="41"/>
  <c r="D68" i="41" s="1"/>
  <c r="D71" i="41" s="1"/>
  <c r="F2253" i="184"/>
  <c r="F93" i="42"/>
  <c r="F2513" i="184"/>
  <c r="E112" i="40"/>
  <c r="I2253" i="184"/>
  <c r="I93" i="42"/>
  <c r="I2513" i="184"/>
  <c r="L34" i="209"/>
  <c r="H36" i="220"/>
  <c r="M35" i="214"/>
  <c r="M36" i="229"/>
  <c r="E93" i="42"/>
  <c r="E2513" i="184" s="1"/>
  <c r="E2253" i="184"/>
  <c r="F20" i="41"/>
  <c r="J18" i="41"/>
  <c r="J2253" i="184"/>
  <c r="J93" i="42"/>
  <c r="J2513" i="184" s="1"/>
  <c r="L36" i="41"/>
  <c r="L47" i="41" s="1"/>
  <c r="K47" i="41"/>
  <c r="K49" i="41" s="1"/>
  <c r="J36" i="210" s="1"/>
  <c r="A136" i="40"/>
  <c r="E109" i="40"/>
  <c r="E106" i="40"/>
  <c r="E103" i="40"/>
  <c r="E104" i="40"/>
  <c r="N47" i="41"/>
  <c r="J2250" i="184"/>
  <c r="J93" i="26"/>
  <c r="J2510" i="184" s="1"/>
  <c r="K2250" i="184"/>
  <c r="K93" i="26"/>
  <c r="K2510" i="184" s="1"/>
  <c r="F93" i="26"/>
  <c r="F2510" i="184" s="1"/>
  <c r="F2250" i="184"/>
  <c r="D65" i="25"/>
  <c r="D68" i="25" s="1"/>
  <c r="D71" i="25" s="1"/>
  <c r="L2250" i="184"/>
  <c r="L93" i="26"/>
  <c r="L2510" i="184" s="1"/>
  <c r="E93" i="26"/>
  <c r="E2510" i="184" s="1"/>
  <c r="E2250" i="184"/>
  <c r="L39" i="25"/>
  <c r="L47" i="25" s="1"/>
  <c r="L49" i="25" s="1"/>
  <c r="K32" i="210" s="1"/>
  <c r="K47" i="25"/>
  <c r="K49" i="25" s="1"/>
  <c r="J32" i="210" s="1"/>
  <c r="H30" i="209"/>
  <c r="I14" i="25"/>
  <c r="I11" i="25"/>
  <c r="G32" i="230" s="1"/>
  <c r="K32" i="229"/>
  <c r="I31" i="214"/>
  <c r="D29" i="188"/>
  <c r="F39" i="217"/>
  <c r="G34" i="25"/>
  <c r="L32" i="220"/>
  <c r="M32" i="220" s="1"/>
  <c r="I30" i="209"/>
  <c r="N32" i="229"/>
  <c r="J31" i="214"/>
  <c r="E29" i="188"/>
  <c r="M31" i="214"/>
  <c r="M32" i="229"/>
  <c r="H32" i="220"/>
  <c r="L30" i="209"/>
  <c r="H2250" i="184"/>
  <c r="H93" i="26"/>
  <c r="H2510" i="184"/>
  <c r="J18" i="20"/>
  <c r="F20" i="20"/>
  <c r="E109" i="19"/>
  <c r="E105" i="19"/>
  <c r="E107" i="19"/>
  <c r="E103" i="19"/>
  <c r="E112" i="19"/>
  <c r="E106" i="19"/>
  <c r="E110" i="19"/>
  <c r="E102" i="19"/>
  <c r="E104" i="19"/>
  <c r="A136" i="19"/>
  <c r="K2249" i="184"/>
  <c r="K93" i="21"/>
  <c r="K2509" i="184" s="1"/>
  <c r="G2249" i="184"/>
  <c r="G93" i="21"/>
  <c r="G2509" i="184"/>
  <c r="H2249" i="184"/>
  <c r="H93" i="21"/>
  <c r="H2509" i="184" s="1"/>
  <c r="I93" i="21"/>
  <c r="I2509" i="184" s="1"/>
  <c r="I2249" i="184"/>
  <c r="E111" i="19"/>
  <c r="J93" i="21"/>
  <c r="J2509" i="184" s="1"/>
  <c r="J2249" i="184"/>
  <c r="F13" i="212"/>
  <c r="X23" i="21"/>
  <c r="X49" i="21" s="1"/>
  <c r="N13" i="212" s="1"/>
  <c r="O13" i="212" s="1"/>
  <c r="D32" i="188"/>
  <c r="F32" i="188" s="1"/>
  <c r="I34" i="214"/>
  <c r="K35" i="229"/>
  <c r="I14" i="20"/>
  <c r="I11" i="20"/>
  <c r="H33" i="209"/>
  <c r="K47" i="20"/>
  <c r="K49" i="20" s="1"/>
  <c r="J35" i="210" s="1"/>
  <c r="G35" i="210"/>
  <c r="M34" i="214"/>
  <c r="H35" i="220"/>
  <c r="I35" i="220" s="1"/>
  <c r="M35" i="229"/>
  <c r="L33" i="209"/>
  <c r="D10" i="19"/>
  <c r="D59" i="19"/>
  <c r="D67" i="19"/>
  <c r="E93" i="21"/>
  <c r="E2249" i="184"/>
  <c r="K2248" i="184"/>
  <c r="K93" i="36"/>
  <c r="K2508" i="184"/>
  <c r="H43" i="209"/>
  <c r="K17" i="229"/>
  <c r="I16" i="214"/>
  <c r="D42" i="188"/>
  <c r="F42" i="188" s="1"/>
  <c r="I14" i="35"/>
  <c r="I11" i="35"/>
  <c r="G2248" i="184"/>
  <c r="G93" i="36"/>
  <c r="G2508" i="184" s="1"/>
  <c r="M16" i="214"/>
  <c r="M17" i="229"/>
  <c r="L43" i="209"/>
  <c r="H17" i="220"/>
  <c r="I17" i="220" s="1"/>
  <c r="D93" i="36"/>
  <c r="M85" i="36"/>
  <c r="D2248" i="184"/>
  <c r="F2248" i="184"/>
  <c r="F93" i="36"/>
  <c r="F2508" i="184" s="1"/>
  <c r="D65" i="35"/>
  <c r="D68" i="35" s="1"/>
  <c r="D71" i="35" s="1"/>
  <c r="D73" i="35" s="1"/>
  <c r="B33" i="35"/>
  <c r="D10" i="34"/>
  <c r="D59" i="34"/>
  <c r="E110" i="34"/>
  <c r="E104" i="34"/>
  <c r="E111" i="34"/>
  <c r="E106" i="34"/>
  <c r="A137" i="34"/>
  <c r="E107" i="34"/>
  <c r="F20" i="35"/>
  <c r="J18" i="35"/>
  <c r="J93" i="36"/>
  <c r="J2508" i="184" s="1"/>
  <c r="J2248" i="184"/>
  <c r="I48" i="35"/>
  <c r="M16" i="213" s="1"/>
  <c r="O43" i="209"/>
  <c r="G42" i="188"/>
  <c r="E102" i="34"/>
  <c r="F15" i="212"/>
  <c r="X23" i="36"/>
  <c r="X49" i="36" s="1"/>
  <c r="N15" i="212" s="1"/>
  <c r="F36" i="217"/>
  <c r="L17" i="220"/>
  <c r="M17" i="220" s="1"/>
  <c r="G34" i="35"/>
  <c r="I43" i="209"/>
  <c r="J16" i="214"/>
  <c r="E42" i="188"/>
  <c r="N17" i="229"/>
  <c r="L36" i="35"/>
  <c r="L47" i="35"/>
  <c r="L49" i="35" s="1"/>
  <c r="K17" i="210" s="1"/>
  <c r="K47" i="35"/>
  <c r="K49" i="35" s="1"/>
  <c r="J17" i="210" s="1"/>
  <c r="E112" i="34"/>
  <c r="E93" i="36"/>
  <c r="E2508" i="184"/>
  <c r="E2248" i="184"/>
  <c r="A92" i="222"/>
  <c r="E61" i="222"/>
  <c r="E54" i="222"/>
  <c r="E55" i="222"/>
  <c r="E63" i="222"/>
  <c r="E60" i="222"/>
  <c r="E64" i="222"/>
  <c r="E58" i="222"/>
  <c r="E66" i="222"/>
  <c r="E57" i="222"/>
  <c r="E62" i="222"/>
  <c r="E59" i="222"/>
  <c r="E65" i="222"/>
  <c r="F20" i="15"/>
  <c r="J18" i="15"/>
  <c r="J20" i="15" s="1"/>
  <c r="G93" i="16"/>
  <c r="G2247" i="184"/>
  <c r="R31" i="230"/>
  <c r="J30" i="15"/>
  <c r="F32" i="15"/>
  <c r="F12" i="212"/>
  <c r="X23" i="16"/>
  <c r="X49" i="16" s="1"/>
  <c r="N12" i="212" s="1"/>
  <c r="O12" i="212" s="1"/>
  <c r="D59" i="14"/>
  <c r="D67" i="14" s="1"/>
  <c r="D10" i="14"/>
  <c r="E114" i="14"/>
  <c r="J18" i="161"/>
  <c r="J20" i="161" s="1"/>
  <c r="F20" i="161"/>
  <c r="L93" i="177"/>
  <c r="M85" i="177"/>
  <c r="L2271" i="184"/>
  <c r="F32" i="2"/>
  <c r="I28" i="209"/>
  <c r="E27" i="188"/>
  <c r="J29" i="214"/>
  <c r="N30" i="229"/>
  <c r="F37" i="217"/>
  <c r="G34" i="2"/>
  <c r="L30" i="220"/>
  <c r="M30" i="220"/>
  <c r="D2510" i="184"/>
  <c r="L39" i="2"/>
  <c r="L47" i="2" s="1"/>
  <c r="L49" i="2" s="1"/>
  <c r="K30" i="210" s="1"/>
  <c r="E2505" i="184"/>
  <c r="I2245" i="184"/>
  <c r="I93" i="13"/>
  <c r="I2505" i="184" s="1"/>
  <c r="L2527" i="184"/>
  <c r="K75" i="181"/>
  <c r="J18" i="2"/>
  <c r="I11" i="2"/>
  <c r="D27" i="188"/>
  <c r="I14" i="2"/>
  <c r="H28" i="209"/>
  <c r="I29" i="214"/>
  <c r="K30" i="229"/>
  <c r="D10" i="160"/>
  <c r="D59" i="160"/>
  <c r="B33" i="161"/>
  <c r="D93" i="162"/>
  <c r="D2252" i="184"/>
  <c r="D10" i="175"/>
  <c r="D59" i="175"/>
  <c r="J2245" i="184"/>
  <c r="J93" i="13"/>
  <c r="J2505" i="184" s="1"/>
  <c r="X23" i="177"/>
  <c r="X49" i="177" s="1"/>
  <c r="N46" i="212" s="1"/>
  <c r="O46" i="212" s="1"/>
  <c r="F46" i="212"/>
  <c r="F20" i="176"/>
  <c r="J18" i="176"/>
  <c r="F29" i="188"/>
  <c r="F22" i="188"/>
  <c r="M16" i="229"/>
  <c r="R41" i="230"/>
  <c r="V40" i="213"/>
  <c r="F33" i="121"/>
  <c r="J43" i="220" s="1"/>
  <c r="K42" i="214"/>
  <c r="J41" i="209"/>
  <c r="E114" i="40"/>
  <c r="F33" i="188"/>
  <c r="L41" i="209"/>
  <c r="M43" i="229"/>
  <c r="H43" i="220"/>
  <c r="M42" i="214"/>
  <c r="O37" i="212"/>
  <c r="M2277" i="184"/>
  <c r="O75" i="122"/>
  <c r="B21" i="123"/>
  <c r="R76" i="122"/>
  <c r="R78" i="122" s="1"/>
  <c r="B65" i="121"/>
  <c r="B68" i="121" s="1"/>
  <c r="G2537" i="184"/>
  <c r="M93" i="122"/>
  <c r="M42" i="213"/>
  <c r="I43" i="230"/>
  <c r="E114" i="120"/>
  <c r="F41" i="188"/>
  <c r="B21" i="88"/>
  <c r="R76" i="87"/>
  <c r="R78" i="87" s="1"/>
  <c r="B65" i="86"/>
  <c r="B68" i="86"/>
  <c r="M2259" i="184"/>
  <c r="O75" i="87"/>
  <c r="F11" i="188"/>
  <c r="M11" i="188" s="1"/>
  <c r="F14" i="188"/>
  <c r="F33" i="194"/>
  <c r="M25" i="229"/>
  <c r="H25" i="220"/>
  <c r="M24" i="214"/>
  <c r="L23" i="209"/>
  <c r="F38" i="188"/>
  <c r="AL30" i="213"/>
  <c r="G31" i="230"/>
  <c r="E114" i="50"/>
  <c r="B61" i="51"/>
  <c r="E15" i="242"/>
  <c r="G15" i="242" s="1"/>
  <c r="E17" i="242"/>
  <c r="G17" i="242" s="1"/>
  <c r="E114" i="65"/>
  <c r="E114" i="165"/>
  <c r="E40" i="242"/>
  <c r="G40" i="242" s="1"/>
  <c r="B61" i="66"/>
  <c r="E18" i="242"/>
  <c r="G18" i="242" s="1"/>
  <c r="B61" i="141"/>
  <c r="E35" i="242"/>
  <c r="G35" i="242" s="1"/>
  <c r="B61" i="166"/>
  <c r="E41" i="242"/>
  <c r="G41" i="242" s="1"/>
  <c r="B61" i="156"/>
  <c r="E38" i="242"/>
  <c r="G38" i="242" s="1"/>
  <c r="F61" i="121"/>
  <c r="B61" i="126"/>
  <c r="E32" i="242"/>
  <c r="G32" i="242" s="1"/>
  <c r="B61" i="35"/>
  <c r="E12" i="242"/>
  <c r="B61" i="56"/>
  <c r="E16" i="242"/>
  <c r="G16" i="242" s="1"/>
  <c r="O39" i="212"/>
  <c r="F33" i="156"/>
  <c r="H12" i="220"/>
  <c r="M12" i="229"/>
  <c r="M11" i="214"/>
  <c r="L10" i="209"/>
  <c r="F35" i="188"/>
  <c r="F19" i="188"/>
  <c r="K19" i="188" s="1"/>
  <c r="E114" i="175"/>
  <c r="E12" i="120"/>
  <c r="E11" i="120"/>
  <c r="E9" i="120"/>
  <c r="A47" i="120"/>
  <c r="E114" i="130"/>
  <c r="F8" i="188"/>
  <c r="H16" i="220"/>
  <c r="I16" i="220" s="1"/>
  <c r="L47" i="214"/>
  <c r="E114" i="155"/>
  <c r="F10" i="188"/>
  <c r="M10" i="188" s="1"/>
  <c r="E114" i="125"/>
  <c r="O35" i="212"/>
  <c r="R20" i="230"/>
  <c r="V19" i="213"/>
  <c r="L14" i="209"/>
  <c r="O41" i="212"/>
  <c r="J18" i="229"/>
  <c r="J16" i="209"/>
  <c r="K17" i="214"/>
  <c r="K13" i="188"/>
  <c r="H18" i="230"/>
  <c r="AL17" i="213"/>
  <c r="A47" i="130"/>
  <c r="E12" i="130"/>
  <c r="E9" i="130"/>
  <c r="E11" i="130"/>
  <c r="G18" i="230"/>
  <c r="O17" i="213"/>
  <c r="AK17" i="213"/>
  <c r="J16" i="220"/>
  <c r="K16" i="220" s="1"/>
  <c r="G35" i="156"/>
  <c r="O15" i="213"/>
  <c r="E10" i="155"/>
  <c r="A47" i="155"/>
  <c r="E12" i="155"/>
  <c r="E11" i="155"/>
  <c r="B21" i="158"/>
  <c r="O75" i="157"/>
  <c r="R76" i="157"/>
  <c r="R78" i="157" s="1"/>
  <c r="M2278" i="184"/>
  <c r="B65" i="156"/>
  <c r="B68" i="156" s="1"/>
  <c r="M93" i="157"/>
  <c r="D2538" i="184"/>
  <c r="J14" i="209"/>
  <c r="K15" i="214"/>
  <c r="J16" i="229"/>
  <c r="D67" i="155"/>
  <c r="E59" i="155" s="1"/>
  <c r="L49" i="229"/>
  <c r="H16" i="230"/>
  <c r="M15" i="213"/>
  <c r="I16" i="230"/>
  <c r="M27" i="213"/>
  <c r="I28" i="230"/>
  <c r="F15" i="188"/>
  <c r="K19" i="214"/>
  <c r="J18" i="209"/>
  <c r="J20" i="229"/>
  <c r="D2516" i="184"/>
  <c r="D14" i="165"/>
  <c r="E10" i="165" s="1"/>
  <c r="H20" i="230"/>
  <c r="AL19" i="213"/>
  <c r="H15" i="230"/>
  <c r="O14" i="213"/>
  <c r="G15" i="230"/>
  <c r="AK14" i="213"/>
  <c r="F9" i="188"/>
  <c r="E10" i="193"/>
  <c r="K45" i="214"/>
  <c r="J46" i="229"/>
  <c r="J46" i="209"/>
  <c r="B21" i="196"/>
  <c r="R76" i="195"/>
  <c r="R78" i="195" s="1"/>
  <c r="O75" i="195"/>
  <c r="B65" i="194"/>
  <c r="B68" i="194"/>
  <c r="M2279" i="184"/>
  <c r="E59" i="193"/>
  <c r="A92" i="193"/>
  <c r="E60" i="193"/>
  <c r="E57" i="193"/>
  <c r="E65" i="193"/>
  <c r="E55" i="193"/>
  <c r="E58" i="193"/>
  <c r="E66" i="193"/>
  <c r="E64" i="193"/>
  <c r="E54" i="193"/>
  <c r="E63" i="193"/>
  <c r="E62" i="193"/>
  <c r="E61" i="193"/>
  <c r="D2539" i="184"/>
  <c r="M93" i="195"/>
  <c r="G46" i="230"/>
  <c r="AK45" i="213"/>
  <c r="O45" i="213"/>
  <c r="H46" i="230"/>
  <c r="AL45" i="213"/>
  <c r="H46" i="220"/>
  <c r="I46" i="220" s="1"/>
  <c r="M46" i="229"/>
  <c r="M45" i="214"/>
  <c r="L46" i="209"/>
  <c r="A47" i="193"/>
  <c r="E11" i="193"/>
  <c r="E12" i="193"/>
  <c r="J46" i="220"/>
  <c r="K46" i="220" s="1"/>
  <c r="F61" i="194"/>
  <c r="G35" i="194"/>
  <c r="E114" i="193"/>
  <c r="D67" i="150"/>
  <c r="E59" i="150" s="1"/>
  <c r="AL11" i="213"/>
  <c r="H12" i="230"/>
  <c r="K11" i="214"/>
  <c r="J12" i="229"/>
  <c r="J10" i="209"/>
  <c r="D14" i="150"/>
  <c r="E10" i="150" s="1"/>
  <c r="F33" i="151"/>
  <c r="K6" i="188"/>
  <c r="G35" i="146"/>
  <c r="F61" i="146"/>
  <c r="J27" i="220"/>
  <c r="H27" i="230"/>
  <c r="AL26" i="213"/>
  <c r="E114" i="145"/>
  <c r="F24" i="188"/>
  <c r="D67" i="145"/>
  <c r="D14" i="145"/>
  <c r="E10" i="145" s="1"/>
  <c r="B65" i="146"/>
  <c r="B68" i="146" s="1"/>
  <c r="M2270" i="184"/>
  <c r="O75" i="147"/>
  <c r="B21" i="148"/>
  <c r="R76" i="147"/>
  <c r="R78" i="147" s="1"/>
  <c r="M26" i="213"/>
  <c r="I27" i="230"/>
  <c r="E2530" i="184"/>
  <c r="M93" i="147"/>
  <c r="J25" i="209"/>
  <c r="M25" i="209" s="1"/>
  <c r="N25" i="209" s="1"/>
  <c r="P25" i="209" s="1"/>
  <c r="Q25" i="209" s="1"/>
  <c r="K26" i="214"/>
  <c r="J27" i="229"/>
  <c r="D14" i="140"/>
  <c r="J21" i="229"/>
  <c r="K20" i="214"/>
  <c r="J19" i="209"/>
  <c r="M19" i="209"/>
  <c r="N19" i="209" s="1"/>
  <c r="D67" i="140"/>
  <c r="E59" i="140" s="1"/>
  <c r="J21" i="220"/>
  <c r="G35" i="141"/>
  <c r="E2518" i="184"/>
  <c r="A47" i="125"/>
  <c r="E12" i="125"/>
  <c r="E11" i="125"/>
  <c r="E9" i="125"/>
  <c r="F61" i="126"/>
  <c r="J14" i="220"/>
  <c r="G35" i="126"/>
  <c r="B21" i="128"/>
  <c r="R76" i="127"/>
  <c r="R78" i="127" s="1"/>
  <c r="M2251" i="184"/>
  <c r="B65" i="126"/>
  <c r="B68" i="126"/>
  <c r="O75" i="127"/>
  <c r="D2511" i="184"/>
  <c r="M93" i="127"/>
  <c r="E10" i="125"/>
  <c r="G14" i="230"/>
  <c r="AK13" i="213"/>
  <c r="O13" i="213"/>
  <c r="D67" i="125"/>
  <c r="E59" i="125"/>
  <c r="J12" i="209"/>
  <c r="M12" i="209"/>
  <c r="N12" i="209"/>
  <c r="K13" i="214"/>
  <c r="J14" i="229"/>
  <c r="M40" i="188"/>
  <c r="G35" i="116"/>
  <c r="F61" i="116"/>
  <c r="J42" i="220"/>
  <c r="K42" i="220"/>
  <c r="E10" i="115"/>
  <c r="E11" i="115"/>
  <c r="E9" i="115"/>
  <c r="A47" i="115"/>
  <c r="E12" i="115"/>
  <c r="E114" i="115"/>
  <c r="J40" i="209"/>
  <c r="M40" i="209"/>
  <c r="N40" i="209" s="1"/>
  <c r="P40" i="209" s="1"/>
  <c r="Q40" i="209" s="1"/>
  <c r="J42" i="229"/>
  <c r="K41" i="214"/>
  <c r="D2536" i="184"/>
  <c r="M93" i="117"/>
  <c r="F39" i="188"/>
  <c r="O75" i="117"/>
  <c r="R76" i="117"/>
  <c r="R78" i="117"/>
  <c r="M2276" i="184"/>
  <c r="B65" i="116"/>
  <c r="B68" i="116" s="1"/>
  <c r="B21" i="118"/>
  <c r="E59" i="115"/>
  <c r="E66" i="115"/>
  <c r="E62" i="115"/>
  <c r="E57" i="115"/>
  <c r="E63" i="115"/>
  <c r="E58" i="115"/>
  <c r="E65" i="115"/>
  <c r="A92" i="115"/>
  <c r="E60" i="115"/>
  <c r="E64" i="115"/>
  <c r="E55" i="115"/>
  <c r="E54" i="115"/>
  <c r="E61" i="115"/>
  <c r="H42" i="230"/>
  <c r="AK40" i="213"/>
  <c r="G41" i="230"/>
  <c r="O40" i="213"/>
  <c r="B65" i="111"/>
  <c r="B68" i="111" s="1"/>
  <c r="R76" i="112"/>
  <c r="R78" i="112"/>
  <c r="M2275" i="184"/>
  <c r="B21" i="113"/>
  <c r="O75" i="112"/>
  <c r="K38" i="188"/>
  <c r="M93" i="112"/>
  <c r="D2535" i="184"/>
  <c r="K40" i="214"/>
  <c r="J41" i="229"/>
  <c r="J39" i="209"/>
  <c r="AL40" i="213"/>
  <c r="H41" i="230"/>
  <c r="E114" i="55"/>
  <c r="M93" i="107"/>
  <c r="D2534" i="184"/>
  <c r="M2274" i="184"/>
  <c r="B65" i="106"/>
  <c r="B68" i="106" s="1"/>
  <c r="B21" i="108"/>
  <c r="R76" i="107"/>
  <c r="O75" i="107"/>
  <c r="H29" i="230"/>
  <c r="AL28" i="213"/>
  <c r="G29" i="230"/>
  <c r="AK28" i="213"/>
  <c r="O28" i="213"/>
  <c r="F26" i="188"/>
  <c r="J47" i="220"/>
  <c r="G35" i="202"/>
  <c r="D67" i="201"/>
  <c r="E59" i="201"/>
  <c r="M22" i="188"/>
  <c r="D2526" i="184"/>
  <c r="K46" i="214"/>
  <c r="J47" i="229"/>
  <c r="J45" i="209"/>
  <c r="M45" i="209" s="1"/>
  <c r="N45" i="209" s="1"/>
  <c r="P45" i="209" s="1"/>
  <c r="Q45" i="209" s="1"/>
  <c r="H45" i="230"/>
  <c r="AL44" i="213"/>
  <c r="AK44" i="213"/>
  <c r="K44" i="214"/>
  <c r="J45" i="229"/>
  <c r="J44" i="209"/>
  <c r="AL43" i="213"/>
  <c r="K12" i="214"/>
  <c r="J13" i="229"/>
  <c r="J11" i="209"/>
  <c r="F30" i="188"/>
  <c r="AL32" i="213"/>
  <c r="M2519" i="184"/>
  <c r="P107" i="87"/>
  <c r="M101" i="87"/>
  <c r="M2599" i="184" s="1"/>
  <c r="M102" i="87"/>
  <c r="E19" i="221" s="1"/>
  <c r="AK33" i="213"/>
  <c r="G34" i="230"/>
  <c r="G35" i="86"/>
  <c r="J34" i="220"/>
  <c r="K34" i="220"/>
  <c r="A92" i="85"/>
  <c r="E62" i="85"/>
  <c r="E60" i="85"/>
  <c r="E55" i="85"/>
  <c r="E57" i="85"/>
  <c r="E66" i="85"/>
  <c r="E64" i="85"/>
  <c r="E63" i="85"/>
  <c r="E58" i="85"/>
  <c r="E54" i="85"/>
  <c r="E61" i="85"/>
  <c r="E65" i="85"/>
  <c r="H34" i="220"/>
  <c r="I34" i="220"/>
  <c r="M33" i="214"/>
  <c r="M34" i="229"/>
  <c r="L32" i="209"/>
  <c r="E114" i="85"/>
  <c r="K38" i="214"/>
  <c r="J39" i="229"/>
  <c r="J37" i="209"/>
  <c r="D67" i="75"/>
  <c r="AL38" i="213"/>
  <c r="H39" i="230"/>
  <c r="M23" i="229"/>
  <c r="M22" i="214"/>
  <c r="L21" i="209"/>
  <c r="H23" i="220"/>
  <c r="J23" i="229"/>
  <c r="K22" i="214"/>
  <c r="J21" i="209"/>
  <c r="M21" i="213"/>
  <c r="I22" i="230"/>
  <c r="J20" i="209"/>
  <c r="J22" i="229"/>
  <c r="K21" i="214"/>
  <c r="AL21" i="213"/>
  <c r="H22" i="230"/>
  <c r="G22" i="230"/>
  <c r="O21" i="213"/>
  <c r="AK21" i="213"/>
  <c r="E10" i="65"/>
  <c r="E11" i="65"/>
  <c r="A47" i="65"/>
  <c r="E12" i="65"/>
  <c r="E9" i="65"/>
  <c r="M93" i="67"/>
  <c r="D2514" i="184"/>
  <c r="R76" i="67"/>
  <c r="R78" i="67" s="1"/>
  <c r="B65" i="66"/>
  <c r="B68" i="66"/>
  <c r="B21" i="68"/>
  <c r="M2254" i="184"/>
  <c r="O75" i="67"/>
  <c r="G38" i="230"/>
  <c r="O37" i="213"/>
  <c r="AK37" i="213"/>
  <c r="R76" i="62"/>
  <c r="R78" i="62"/>
  <c r="B21" i="63"/>
  <c r="M2264" i="184"/>
  <c r="B65" i="61"/>
  <c r="B68" i="61" s="1"/>
  <c r="O75" i="62"/>
  <c r="E10" i="60"/>
  <c r="A47" i="60"/>
  <c r="E11" i="60"/>
  <c r="E12" i="60"/>
  <c r="J38" i="220"/>
  <c r="G35" i="61"/>
  <c r="D2524" i="184"/>
  <c r="M93" i="62"/>
  <c r="E9" i="60"/>
  <c r="J36" i="209"/>
  <c r="M36" i="209" s="1"/>
  <c r="N36" i="209" s="1"/>
  <c r="P36" i="209" s="1"/>
  <c r="Q36" i="209" s="1"/>
  <c r="K37" i="214"/>
  <c r="J38" i="229"/>
  <c r="B21" i="58"/>
  <c r="B65" i="56"/>
  <c r="B68" i="56" s="1"/>
  <c r="R76" i="57"/>
  <c r="R78" i="57"/>
  <c r="M2260" i="184"/>
  <c r="O75" i="57"/>
  <c r="J24" i="229"/>
  <c r="J22" i="209"/>
  <c r="K23" i="214"/>
  <c r="AL23" i="213"/>
  <c r="H24" i="230"/>
  <c r="D2520" i="184"/>
  <c r="M93" i="57"/>
  <c r="D67" i="50"/>
  <c r="E59" i="50"/>
  <c r="H40" i="230"/>
  <c r="AL39" i="213"/>
  <c r="F37" i="188"/>
  <c r="I40" i="230"/>
  <c r="M39" i="213"/>
  <c r="J38" i="209"/>
  <c r="M38" i="209" s="1"/>
  <c r="N38" i="209" s="1"/>
  <c r="P38" i="209" s="1"/>
  <c r="Q38" i="209" s="1"/>
  <c r="K39" i="214"/>
  <c r="J40" i="229"/>
  <c r="D14" i="50"/>
  <c r="E10" i="50" s="1"/>
  <c r="G40" i="230"/>
  <c r="AK39" i="213"/>
  <c r="O39" i="213"/>
  <c r="E114" i="45"/>
  <c r="D2515" i="184"/>
  <c r="J34" i="209"/>
  <c r="M34" i="209" s="1"/>
  <c r="N34" i="209" s="1"/>
  <c r="P34" i="209" s="1"/>
  <c r="Q34" i="209" s="1"/>
  <c r="J36" i="229"/>
  <c r="K35" i="214"/>
  <c r="G36" i="230"/>
  <c r="O35" i="213"/>
  <c r="AK35" i="213"/>
  <c r="M33" i="188"/>
  <c r="M35" i="213"/>
  <c r="I36" i="230"/>
  <c r="M93" i="42"/>
  <c r="F33" i="41"/>
  <c r="D67" i="40"/>
  <c r="R78" i="42"/>
  <c r="O31" i="213"/>
  <c r="H32" i="230"/>
  <c r="AL31" i="213"/>
  <c r="E59" i="19"/>
  <c r="E60" i="19"/>
  <c r="E58" i="19"/>
  <c r="E62" i="19"/>
  <c r="A92" i="19"/>
  <c r="E57" i="19"/>
  <c r="E55" i="19"/>
  <c r="E66" i="19"/>
  <c r="E54" i="19"/>
  <c r="E63" i="19"/>
  <c r="E61" i="19"/>
  <c r="E64" i="19"/>
  <c r="E65" i="19"/>
  <c r="D14" i="19"/>
  <c r="E10" i="19" s="1"/>
  <c r="E114" i="19"/>
  <c r="F33" i="20"/>
  <c r="J35" i="229"/>
  <c r="K34" i="214"/>
  <c r="J33" i="209"/>
  <c r="M33" i="209" s="1"/>
  <c r="N33" i="209" s="1"/>
  <c r="E2509" i="184"/>
  <c r="AK34" i="213"/>
  <c r="O34" i="213"/>
  <c r="G35" i="230"/>
  <c r="B65" i="35"/>
  <c r="B68" i="35" s="1"/>
  <c r="M2248" i="184"/>
  <c r="O75" i="36"/>
  <c r="R76" i="36"/>
  <c r="R78" i="36" s="1"/>
  <c r="B21" i="37"/>
  <c r="D2508" i="184"/>
  <c r="M93" i="36"/>
  <c r="K16" i="214"/>
  <c r="J17" i="229"/>
  <c r="J43" i="209"/>
  <c r="M43" i="209" s="1"/>
  <c r="N43" i="209" s="1"/>
  <c r="P43" i="209" s="1"/>
  <c r="Q43" i="209" s="1"/>
  <c r="F33" i="35"/>
  <c r="AK16" i="213"/>
  <c r="O16" i="213"/>
  <c r="G17" i="230"/>
  <c r="E114" i="34"/>
  <c r="H17" i="230"/>
  <c r="AL16" i="213"/>
  <c r="D67" i="34"/>
  <c r="E59" i="34" s="1"/>
  <c r="E67" i="34" s="1"/>
  <c r="E68" i="222"/>
  <c r="G2507" i="184"/>
  <c r="M30" i="214"/>
  <c r="L29" i="209"/>
  <c r="H31" i="220"/>
  <c r="M31" i="229"/>
  <c r="F33" i="15"/>
  <c r="J31" i="229"/>
  <c r="K30" i="214"/>
  <c r="J29" i="209"/>
  <c r="M29" i="209" s="1"/>
  <c r="N29" i="209" s="1"/>
  <c r="J26" i="209"/>
  <c r="K27" i="214"/>
  <c r="J28" i="229"/>
  <c r="D67" i="160"/>
  <c r="E59" i="160"/>
  <c r="D14" i="160"/>
  <c r="E10" i="160" s="1"/>
  <c r="AL29" i="213"/>
  <c r="H30" i="230"/>
  <c r="B65" i="176"/>
  <c r="B68" i="176" s="1"/>
  <c r="R76" i="177"/>
  <c r="R78" i="177" s="1"/>
  <c r="O75" i="177"/>
  <c r="M2271" i="184"/>
  <c r="B21" i="178"/>
  <c r="F27" i="188"/>
  <c r="L2531" i="184"/>
  <c r="M93" i="177"/>
  <c r="O29" i="213"/>
  <c r="AK29" i="213"/>
  <c r="G30" i="230"/>
  <c r="L75" i="181"/>
  <c r="L28" i="209"/>
  <c r="H30" i="220"/>
  <c r="I30" i="220" s="1"/>
  <c r="M29" i="214"/>
  <c r="M30" i="229"/>
  <c r="D2512" i="184"/>
  <c r="J13" i="209"/>
  <c r="K14" i="214"/>
  <c r="F33" i="161"/>
  <c r="J15" i="229"/>
  <c r="M41" i="209"/>
  <c r="N41" i="209" s="1"/>
  <c r="P41" i="209" s="1"/>
  <c r="Q41" i="209" s="1"/>
  <c r="K11" i="188"/>
  <c r="M46" i="209"/>
  <c r="N46" i="209" s="1"/>
  <c r="P46" i="209" s="1"/>
  <c r="Q46" i="209" s="1"/>
  <c r="M102" i="122"/>
  <c r="E28" i="221" s="1"/>
  <c r="P107" i="122"/>
  <c r="G59" i="122" s="1"/>
  <c r="M2537" i="184"/>
  <c r="M101" i="122"/>
  <c r="M2617" i="184" s="1"/>
  <c r="B71" i="86"/>
  <c r="B73" i="86"/>
  <c r="F68" i="86"/>
  <c r="F71" i="86" s="1"/>
  <c r="M35" i="188"/>
  <c r="E14" i="193"/>
  <c r="E14" i="120"/>
  <c r="E14" i="60"/>
  <c r="M10" i="209"/>
  <c r="N10" i="209" s="1"/>
  <c r="M14" i="209"/>
  <c r="N14" i="209"/>
  <c r="P14" i="209"/>
  <c r="Q14" i="209" s="1"/>
  <c r="E14" i="155"/>
  <c r="E14" i="130"/>
  <c r="E14" i="65"/>
  <c r="A92" i="155"/>
  <c r="E64" i="155"/>
  <c r="E65" i="155"/>
  <c r="E60" i="155"/>
  <c r="E61" i="155"/>
  <c r="E63" i="155"/>
  <c r="E55" i="155"/>
  <c r="E54" i="155"/>
  <c r="E57" i="155"/>
  <c r="E58" i="155"/>
  <c r="E62" i="155"/>
  <c r="E66" i="155"/>
  <c r="M102" i="157"/>
  <c r="E35" i="221" s="1"/>
  <c r="M101" i="157"/>
  <c r="M2618" i="184"/>
  <c r="M2538" i="184"/>
  <c r="P107" i="157"/>
  <c r="G59" i="157" s="1"/>
  <c r="I35" i="156"/>
  <c r="L16" i="230" s="1"/>
  <c r="I33" i="156"/>
  <c r="AM15" i="213" s="1"/>
  <c r="I16" i="229"/>
  <c r="N15" i="214"/>
  <c r="E11" i="165"/>
  <c r="E9" i="165"/>
  <c r="A47" i="165"/>
  <c r="E12" i="165"/>
  <c r="I46" i="229"/>
  <c r="N45" i="214"/>
  <c r="I35" i="194"/>
  <c r="I33" i="194"/>
  <c r="AM45" i="213" s="1"/>
  <c r="M102" i="195"/>
  <c r="E36" i="221" s="1"/>
  <c r="P107" i="195"/>
  <c r="G59" i="195" s="1"/>
  <c r="M101" i="195"/>
  <c r="M2619" i="184" s="1"/>
  <c r="M2539" i="184"/>
  <c r="E67" i="193"/>
  <c r="B71" i="194"/>
  <c r="F68" i="194"/>
  <c r="F71" i="194"/>
  <c r="F73" i="194" s="1"/>
  <c r="F74" i="194" s="1"/>
  <c r="D36" i="221" s="1"/>
  <c r="G35" i="151"/>
  <c r="J12" i="220"/>
  <c r="E9" i="150"/>
  <c r="A47" i="150"/>
  <c r="E12" i="150"/>
  <c r="E11" i="150"/>
  <c r="A92" i="150"/>
  <c r="E62" i="150"/>
  <c r="E64" i="150"/>
  <c r="E65" i="150"/>
  <c r="E66" i="150"/>
  <c r="E57" i="150"/>
  <c r="E58" i="150"/>
  <c r="E61" i="150"/>
  <c r="E54" i="150"/>
  <c r="E63" i="150"/>
  <c r="E55" i="150"/>
  <c r="E60" i="150"/>
  <c r="M24" i="188"/>
  <c r="P107" i="147"/>
  <c r="G59" i="147" s="1"/>
  <c r="M2530" i="184"/>
  <c r="M102" i="147"/>
  <c r="E33" i="221"/>
  <c r="M101" i="147"/>
  <c r="M2610" i="184" s="1"/>
  <c r="A47" i="145"/>
  <c r="E11" i="145"/>
  <c r="E12" i="145"/>
  <c r="E9" i="145"/>
  <c r="A92" i="145"/>
  <c r="E64" i="145"/>
  <c r="E66" i="145"/>
  <c r="E63" i="145"/>
  <c r="E55" i="145"/>
  <c r="E58" i="145"/>
  <c r="E62" i="145"/>
  <c r="E57" i="145"/>
  <c r="E65" i="145"/>
  <c r="E61" i="145"/>
  <c r="E54" i="145"/>
  <c r="E60" i="145"/>
  <c r="E59" i="145"/>
  <c r="N26" i="214"/>
  <c r="I27" i="229"/>
  <c r="I33" i="146"/>
  <c r="AM26" i="213" s="1"/>
  <c r="I35" i="146"/>
  <c r="N20" i="214"/>
  <c r="I21" i="229"/>
  <c r="I35" i="141"/>
  <c r="AN20" i="213" s="1"/>
  <c r="A47" i="140"/>
  <c r="E12" i="140"/>
  <c r="E9" i="140"/>
  <c r="E11" i="140"/>
  <c r="E10" i="140"/>
  <c r="A92" i="140"/>
  <c r="E62" i="140"/>
  <c r="E63" i="140"/>
  <c r="E54" i="140"/>
  <c r="E66" i="140"/>
  <c r="E61" i="140"/>
  <c r="E55" i="140"/>
  <c r="E58" i="140"/>
  <c r="E57" i="140"/>
  <c r="E65" i="140"/>
  <c r="E60" i="140"/>
  <c r="E64" i="140"/>
  <c r="I35" i="126"/>
  <c r="L14" i="230" s="1"/>
  <c r="I14" i="229"/>
  <c r="N13" i="214"/>
  <c r="I33" i="126"/>
  <c r="F68" i="126"/>
  <c r="F71" i="126" s="1"/>
  <c r="F73" i="126" s="1"/>
  <c r="F74" i="126" s="1"/>
  <c r="D29" i="221" s="1"/>
  <c r="B71" i="126"/>
  <c r="B73" i="126" s="1"/>
  <c r="M2511" i="184"/>
  <c r="M102" i="127"/>
  <c r="E29" i="221" s="1"/>
  <c r="P107" i="127"/>
  <c r="G59" i="127" s="1"/>
  <c r="M101" i="127"/>
  <c r="M2591" i="184" s="1"/>
  <c r="E14" i="125"/>
  <c r="A92" i="125"/>
  <c r="E65" i="125"/>
  <c r="E64" i="125"/>
  <c r="E62" i="125"/>
  <c r="E60" i="125"/>
  <c r="E54" i="125"/>
  <c r="E58" i="125"/>
  <c r="E55" i="125"/>
  <c r="E57" i="125"/>
  <c r="E66" i="125"/>
  <c r="E61" i="125"/>
  <c r="E63" i="125"/>
  <c r="K39" i="188"/>
  <c r="M39" i="188"/>
  <c r="M102" i="117"/>
  <c r="E27" i="221"/>
  <c r="P107" i="117"/>
  <c r="G59" i="117" s="1"/>
  <c r="M2536" i="184"/>
  <c r="M101" i="117"/>
  <c r="M2616" i="184"/>
  <c r="E14" i="115"/>
  <c r="B25" i="118"/>
  <c r="R82" i="117"/>
  <c r="E67" i="115"/>
  <c r="N41" i="214"/>
  <c r="I33" i="116"/>
  <c r="K42" i="230" s="1"/>
  <c r="I42" i="229"/>
  <c r="I35" i="116"/>
  <c r="AN41" i="213" s="1"/>
  <c r="M101" i="112"/>
  <c r="M2615" i="184" s="1"/>
  <c r="M2535" i="184"/>
  <c r="P107" i="112"/>
  <c r="G59" i="112" s="1"/>
  <c r="M102" i="112"/>
  <c r="E26" i="221" s="1"/>
  <c r="R82" i="112"/>
  <c r="B29" i="113" s="1"/>
  <c r="B9" i="113" s="1"/>
  <c r="B25" i="113"/>
  <c r="K26" i="188"/>
  <c r="R78" i="107"/>
  <c r="B25" i="108" s="1"/>
  <c r="M2534" i="184"/>
  <c r="M102" i="107"/>
  <c r="E25" i="221"/>
  <c r="M101" i="107"/>
  <c r="M2614" i="184" s="1"/>
  <c r="P107" i="107"/>
  <c r="G59" i="107" s="1"/>
  <c r="I47" i="229"/>
  <c r="N46" i="214"/>
  <c r="I33" i="202"/>
  <c r="K47" i="230" s="1"/>
  <c r="A92" i="201"/>
  <c r="E54" i="201"/>
  <c r="E66" i="201"/>
  <c r="E62" i="201"/>
  <c r="E64" i="201"/>
  <c r="E57" i="201"/>
  <c r="E63" i="201"/>
  <c r="E60" i="201"/>
  <c r="E58" i="201"/>
  <c r="E55" i="201"/>
  <c r="E61" i="201"/>
  <c r="E65" i="201"/>
  <c r="E67" i="85"/>
  <c r="I35" i="86"/>
  <c r="AN33" i="213" s="1"/>
  <c r="I34" i="229"/>
  <c r="N33" i="214"/>
  <c r="I33" i="86"/>
  <c r="E58" i="75"/>
  <c r="E55" i="75"/>
  <c r="E64" i="75"/>
  <c r="E60" i="75"/>
  <c r="A92" i="75"/>
  <c r="E57" i="75"/>
  <c r="E54" i="75"/>
  <c r="E61" i="75"/>
  <c r="E65" i="75"/>
  <c r="E62" i="75"/>
  <c r="E66" i="75"/>
  <c r="E63" i="75"/>
  <c r="E59" i="75"/>
  <c r="M102" i="67"/>
  <c r="E15" i="221" s="1"/>
  <c r="M2514" i="184"/>
  <c r="M101" i="67"/>
  <c r="M2594" i="184" s="1"/>
  <c r="P107" i="67"/>
  <c r="G59" i="67" s="1"/>
  <c r="B71" i="66"/>
  <c r="B73" i="66" s="1"/>
  <c r="N37" i="214"/>
  <c r="I35" i="61"/>
  <c r="L38" i="230" s="1"/>
  <c r="I38" i="229"/>
  <c r="I33" i="61"/>
  <c r="K38" i="230" s="1"/>
  <c r="B25" i="63"/>
  <c r="R82" i="62"/>
  <c r="M101" i="62"/>
  <c r="M2604" i="184" s="1"/>
  <c r="M2524" i="184"/>
  <c r="M102" i="62"/>
  <c r="E14" i="221"/>
  <c r="P107" i="62"/>
  <c r="G59" i="62" s="1"/>
  <c r="M2520" i="184"/>
  <c r="M101" i="57"/>
  <c r="M2600" i="184" s="1"/>
  <c r="P107" i="57"/>
  <c r="G59" i="57" s="1"/>
  <c r="M102" i="57"/>
  <c r="E13" i="221" s="1"/>
  <c r="R82" i="57"/>
  <c r="B25" i="58"/>
  <c r="A92" i="50"/>
  <c r="E60" i="50"/>
  <c r="E65" i="50"/>
  <c r="E54" i="50"/>
  <c r="E57" i="50"/>
  <c r="E64" i="50"/>
  <c r="E58" i="50"/>
  <c r="E66" i="50"/>
  <c r="E55" i="50"/>
  <c r="E62" i="50"/>
  <c r="E63" i="50"/>
  <c r="E61" i="50"/>
  <c r="E9" i="50"/>
  <c r="E11" i="50"/>
  <c r="A47" i="50"/>
  <c r="E12" i="50"/>
  <c r="M37" i="188"/>
  <c r="K37" i="188"/>
  <c r="B25" i="43"/>
  <c r="R82" i="42"/>
  <c r="E63" i="40"/>
  <c r="E64" i="40"/>
  <c r="A92" i="40"/>
  <c r="E62" i="40"/>
  <c r="E61" i="40"/>
  <c r="E66" i="40"/>
  <c r="E60" i="40"/>
  <c r="E65" i="40"/>
  <c r="E55" i="40"/>
  <c r="E57" i="40"/>
  <c r="E58" i="40"/>
  <c r="E54" i="40"/>
  <c r="E59" i="40"/>
  <c r="J36" i="220"/>
  <c r="G35" i="41"/>
  <c r="F61" i="41"/>
  <c r="M101" i="42"/>
  <c r="M2593" i="184" s="1"/>
  <c r="M2513" i="184"/>
  <c r="P107" i="42"/>
  <c r="G59" i="42" s="1"/>
  <c r="M102" i="42"/>
  <c r="E10" i="221" s="1"/>
  <c r="G35" i="20"/>
  <c r="J35" i="220"/>
  <c r="K35" i="220" s="1"/>
  <c r="E11" i="19"/>
  <c r="A47" i="19"/>
  <c r="E12" i="19"/>
  <c r="E9" i="19"/>
  <c r="E67" i="19"/>
  <c r="P107" i="36"/>
  <c r="G59" i="36"/>
  <c r="M102" i="36"/>
  <c r="E9" i="221" s="1"/>
  <c r="M2508" i="184"/>
  <c r="M101" i="36"/>
  <c r="M2588" i="184" s="1"/>
  <c r="E54" i="34"/>
  <c r="A93" i="34"/>
  <c r="E65" i="34"/>
  <c r="E66" i="34"/>
  <c r="E63" i="34"/>
  <c r="E62" i="34"/>
  <c r="E64" i="34"/>
  <c r="E58" i="34"/>
  <c r="E55" i="34"/>
  <c r="E60" i="34"/>
  <c r="E57" i="34"/>
  <c r="E61" i="34"/>
  <c r="F61" i="35"/>
  <c r="G35" i="35"/>
  <c r="J17" i="220"/>
  <c r="K17" i="220" s="1"/>
  <c r="J31" i="220"/>
  <c r="G35" i="15"/>
  <c r="N30" i="214" s="1"/>
  <c r="M101" i="177"/>
  <c r="M2611" i="184" s="1"/>
  <c r="P107" i="177"/>
  <c r="G59" i="177" s="1"/>
  <c r="M2531" i="184"/>
  <c r="M102" i="177"/>
  <c r="E40" i="221" s="1"/>
  <c r="E57" i="160"/>
  <c r="E58" i="160"/>
  <c r="E66" i="160"/>
  <c r="E60" i="160"/>
  <c r="E55" i="160"/>
  <c r="E62" i="160"/>
  <c r="E64" i="160"/>
  <c r="E54" i="160"/>
  <c r="E61" i="160"/>
  <c r="E65" i="160"/>
  <c r="A92" i="160"/>
  <c r="E63" i="160"/>
  <c r="G35" i="161"/>
  <c r="N14" i="214" s="1"/>
  <c r="J15" i="220"/>
  <c r="E12" i="160"/>
  <c r="E9" i="160"/>
  <c r="A47" i="160"/>
  <c r="E11" i="160"/>
  <c r="M13" i="209"/>
  <c r="N13" i="209" s="1"/>
  <c r="E67" i="145"/>
  <c r="E67" i="125"/>
  <c r="I33" i="151"/>
  <c r="K12" i="230" s="1"/>
  <c r="I35" i="151"/>
  <c r="AN11" i="213" s="1"/>
  <c r="N11" i="214"/>
  <c r="I12" i="229"/>
  <c r="L27" i="230"/>
  <c r="AN26" i="213"/>
  <c r="E14" i="140"/>
  <c r="R84" i="117"/>
  <c r="B29" i="118"/>
  <c r="B9" i="118"/>
  <c r="R84" i="112"/>
  <c r="R82" i="107"/>
  <c r="R84" i="107" s="1"/>
  <c r="E67" i="201"/>
  <c r="AM33" i="213"/>
  <c r="K34" i="230"/>
  <c r="E67" i="75"/>
  <c r="B29" i="63"/>
  <c r="B9" i="63" s="1"/>
  <c r="R84" i="62"/>
  <c r="R84" i="57"/>
  <c r="B29" i="58"/>
  <c r="B9" i="58" s="1"/>
  <c r="E67" i="50"/>
  <c r="I36" i="229"/>
  <c r="N35" i="214"/>
  <c r="I33" i="41"/>
  <c r="K36" i="230" s="1"/>
  <c r="R84" i="42"/>
  <c r="B29" i="43"/>
  <c r="B9" i="43" s="1"/>
  <c r="I35" i="20"/>
  <c r="L35" i="230" s="1"/>
  <c r="N34" i="214"/>
  <c r="I35" i="229"/>
  <c r="I33" i="20"/>
  <c r="K35" i="230" s="1"/>
  <c r="I17" i="229"/>
  <c r="I35" i="35"/>
  <c r="N16" i="214"/>
  <c r="I33" i="35"/>
  <c r="K17" i="230" s="1"/>
  <c r="I31" i="229"/>
  <c r="I35" i="15"/>
  <c r="AN30" i="213" s="1"/>
  <c r="I33" i="15"/>
  <c r="K31" i="230" s="1"/>
  <c r="I35" i="161"/>
  <c r="AN14" i="213" s="1"/>
  <c r="I15" i="229"/>
  <c r="B29" i="108"/>
  <c r="AK41" i="213" l="1"/>
  <c r="B38" i="218"/>
  <c r="C15" i="198"/>
  <c r="C32" i="106"/>
  <c r="G42" i="230"/>
  <c r="C32" i="194"/>
  <c r="C54" i="66"/>
  <c r="AL13" i="213"/>
  <c r="I46" i="230"/>
  <c r="AS60" i="218"/>
  <c r="C54" i="86"/>
  <c r="AM46" i="213"/>
  <c r="AM41" i="213"/>
  <c r="K16" i="230"/>
  <c r="C54" i="156"/>
  <c r="C32" i="20"/>
  <c r="C33" i="20" s="1"/>
  <c r="AV24" i="218"/>
  <c r="AU26" i="218"/>
  <c r="AT20" i="218"/>
  <c r="BR20" i="218"/>
  <c r="BR26" i="218" s="1"/>
  <c r="H25" i="230"/>
  <c r="AL24" i="213"/>
  <c r="AL35" i="213"/>
  <c r="H36" i="230"/>
  <c r="AL18" i="213"/>
  <c r="H19" i="230"/>
  <c r="H13" i="229"/>
  <c r="G13" i="229"/>
  <c r="U35" i="230"/>
  <c r="V34" i="213"/>
  <c r="U44" i="213"/>
  <c r="Q45" i="230"/>
  <c r="H43" i="230"/>
  <c r="AL42" i="213"/>
  <c r="L47" i="230"/>
  <c r="AN46" i="213"/>
  <c r="I35" i="41"/>
  <c r="AK31" i="213"/>
  <c r="O43" i="213"/>
  <c r="AK30" i="213"/>
  <c r="AK48" i="213" s="1"/>
  <c r="J13" i="71"/>
  <c r="I46" i="96"/>
  <c r="L12" i="213" s="1"/>
  <c r="C19" i="96"/>
  <c r="I11" i="171"/>
  <c r="J23" i="171"/>
  <c r="H26" i="210" s="1"/>
  <c r="J27" i="71"/>
  <c r="C36" i="71"/>
  <c r="C37" i="71"/>
  <c r="C13" i="71"/>
  <c r="J27" i="81"/>
  <c r="C53" i="91"/>
  <c r="AM32" i="218"/>
  <c r="J27" i="96"/>
  <c r="J10" i="96"/>
  <c r="C43" i="101"/>
  <c r="C13" i="136"/>
  <c r="J10" i="171"/>
  <c r="J30" i="171"/>
  <c r="C51" i="71"/>
  <c r="C27" i="171"/>
  <c r="J11" i="171"/>
  <c r="C58" i="71"/>
  <c r="C40" i="171"/>
  <c r="AS65" i="218"/>
  <c r="AM45" i="218"/>
  <c r="C51" i="96"/>
  <c r="C26" i="136"/>
  <c r="C10" i="171"/>
  <c r="C45" i="171"/>
  <c r="C26" i="171"/>
  <c r="C32" i="171" s="1"/>
  <c r="C13" i="171"/>
  <c r="O33" i="214"/>
  <c r="C39" i="171"/>
  <c r="C53" i="81"/>
  <c r="C39" i="136"/>
  <c r="C58" i="101"/>
  <c r="C59" i="101" s="1"/>
  <c r="T12" i="213"/>
  <c r="M33" i="230"/>
  <c r="G23" i="220"/>
  <c r="Q23" i="220" s="1"/>
  <c r="G19" i="220"/>
  <c r="M19" i="220" s="1"/>
  <c r="C40" i="71"/>
  <c r="J31" i="101"/>
  <c r="J30" i="101"/>
  <c r="C44" i="71"/>
  <c r="J11" i="81"/>
  <c r="N49" i="81"/>
  <c r="M25" i="210" s="1"/>
  <c r="C58" i="91"/>
  <c r="C36" i="96"/>
  <c r="C58" i="96"/>
  <c r="J29" i="101"/>
  <c r="C27" i="101"/>
  <c r="C10" i="101"/>
  <c r="C30" i="101"/>
  <c r="C19" i="136"/>
  <c r="J28" i="136"/>
  <c r="C57" i="136"/>
  <c r="J31" i="171"/>
  <c r="C27" i="91"/>
  <c r="J27" i="171"/>
  <c r="C36" i="101"/>
  <c r="C38" i="101"/>
  <c r="O45" i="214"/>
  <c r="C29" i="81"/>
  <c r="C27" i="81"/>
  <c r="C37" i="91"/>
  <c r="AM44" i="218"/>
  <c r="C10" i="96"/>
  <c r="T13" i="230" s="1"/>
  <c r="C23" i="136"/>
  <c r="J14" i="136"/>
  <c r="G19" i="229"/>
  <c r="P17" i="214"/>
  <c r="C51" i="136"/>
  <c r="I39" i="136"/>
  <c r="J18" i="213" s="1"/>
  <c r="C26" i="181"/>
  <c r="C39" i="96"/>
  <c r="C41" i="91"/>
  <c r="J30" i="71"/>
  <c r="M49" i="96"/>
  <c r="L13" i="210" s="1"/>
  <c r="M37" i="213"/>
  <c r="G44" i="230"/>
  <c r="J18" i="71"/>
  <c r="Q20" i="230"/>
  <c r="AL25" i="213"/>
  <c r="J10" i="71"/>
  <c r="J28" i="71"/>
  <c r="I11" i="81"/>
  <c r="C18" i="91"/>
  <c r="I39" i="91"/>
  <c r="J32" i="213" s="1"/>
  <c r="J31" i="96"/>
  <c r="C19" i="101"/>
  <c r="J18" i="171"/>
  <c r="J23" i="71"/>
  <c r="H23" i="210" s="1"/>
  <c r="C47" i="35"/>
  <c r="C47" i="25"/>
  <c r="C10" i="71"/>
  <c r="T23" i="230" s="1"/>
  <c r="C45" i="71"/>
  <c r="J31" i="81"/>
  <c r="C40" i="91"/>
  <c r="C27" i="96"/>
  <c r="C46" i="96"/>
  <c r="C23" i="101"/>
  <c r="C26" i="101"/>
  <c r="I41" i="136"/>
  <c r="K18" i="213" s="1"/>
  <c r="C53" i="136"/>
  <c r="J26" i="136"/>
  <c r="J28" i="171"/>
  <c r="C18" i="171"/>
  <c r="C14" i="91"/>
  <c r="C13" i="81"/>
  <c r="C58" i="171"/>
  <c r="C51" i="171"/>
  <c r="C38" i="71"/>
  <c r="C14" i="81"/>
  <c r="J29" i="81"/>
  <c r="AM13" i="218"/>
  <c r="C27" i="136"/>
  <c r="J29" i="171"/>
  <c r="G24" i="209"/>
  <c r="BU6" i="218"/>
  <c r="T25" i="213"/>
  <c r="T24" i="213"/>
  <c r="P25" i="214" s="1"/>
  <c r="C37" i="136"/>
  <c r="C58" i="136"/>
  <c r="L49" i="136"/>
  <c r="K19" i="210" s="1"/>
  <c r="D19" i="210"/>
  <c r="C46" i="101"/>
  <c r="AQ6" i="218"/>
  <c r="AQ23" i="218" s="1"/>
  <c r="D13" i="210"/>
  <c r="G33" i="220"/>
  <c r="O33" i="220" s="1"/>
  <c r="J30" i="81"/>
  <c r="J14" i="96"/>
  <c r="K46" i="230"/>
  <c r="O19" i="213"/>
  <c r="I11" i="136"/>
  <c r="O18" i="213" s="1"/>
  <c r="J15" i="86"/>
  <c r="G34" i="210" s="1"/>
  <c r="J13" i="91"/>
  <c r="J26" i="91"/>
  <c r="I36" i="96"/>
  <c r="I12" i="213" s="1"/>
  <c r="J19" i="101"/>
  <c r="N49" i="136"/>
  <c r="M19" i="210" s="1"/>
  <c r="I41" i="171"/>
  <c r="K25" i="213" s="1"/>
  <c r="C15" i="25"/>
  <c r="Q32" i="230" s="1"/>
  <c r="J14" i="71"/>
  <c r="C30" i="71"/>
  <c r="C14" i="96"/>
  <c r="C31" i="96"/>
  <c r="C44" i="96"/>
  <c r="C26" i="96"/>
  <c r="C44" i="101"/>
  <c r="C40" i="101"/>
  <c r="AW65" i="218"/>
  <c r="J31" i="136"/>
  <c r="C10" i="136"/>
  <c r="T19" i="230" s="1"/>
  <c r="C23" i="171"/>
  <c r="C30" i="91"/>
  <c r="J27" i="91"/>
  <c r="J32" i="91" s="1"/>
  <c r="I33" i="210" s="1"/>
  <c r="J13" i="81"/>
  <c r="C13" i="96"/>
  <c r="AM29" i="218"/>
  <c r="C36" i="171"/>
  <c r="C11" i="81"/>
  <c r="AM59" i="218"/>
  <c r="AM58" i="218"/>
  <c r="C37" i="101"/>
  <c r="C51" i="101"/>
  <c r="C11" i="136"/>
  <c r="J27" i="136"/>
  <c r="C31" i="136"/>
  <c r="C30" i="171"/>
  <c r="G40" i="229"/>
  <c r="G26" i="220"/>
  <c r="M26" i="220" s="1"/>
  <c r="C53" i="171"/>
  <c r="C51" i="81"/>
  <c r="C40" i="136"/>
  <c r="I14" i="188"/>
  <c r="K14" i="188" s="1"/>
  <c r="M44" i="230"/>
  <c r="H44" i="229" s="1"/>
  <c r="G11" i="209"/>
  <c r="G13" i="220"/>
  <c r="O13" i="220" s="1"/>
  <c r="D33" i="210"/>
  <c r="AQ47" i="218"/>
  <c r="I37" i="230"/>
  <c r="AK23" i="213"/>
  <c r="G39" i="230"/>
  <c r="AK19" i="213"/>
  <c r="I11" i="91"/>
  <c r="C18" i="71"/>
  <c r="I39" i="71"/>
  <c r="J22" i="213" s="1"/>
  <c r="N49" i="96"/>
  <c r="M13" i="210" s="1"/>
  <c r="J13" i="101"/>
  <c r="C15" i="126"/>
  <c r="J10" i="136"/>
  <c r="J30" i="91"/>
  <c r="N49" i="171"/>
  <c r="M26" i="210" s="1"/>
  <c r="C14" i="71"/>
  <c r="C31" i="71"/>
  <c r="C28" i="71"/>
  <c r="AM42" i="218"/>
  <c r="J28" i="91"/>
  <c r="AM63" i="218"/>
  <c r="AM65" i="218" s="1"/>
  <c r="C13" i="91"/>
  <c r="C41" i="96"/>
  <c r="AW38" i="218"/>
  <c r="D162" i="233" s="1"/>
  <c r="C43" i="136"/>
  <c r="J23" i="136"/>
  <c r="H19" i="210" s="1"/>
  <c r="C11" i="91"/>
  <c r="C31" i="91"/>
  <c r="J13" i="96"/>
  <c r="C28" i="81"/>
  <c r="C26" i="81"/>
  <c r="AM46" i="218"/>
  <c r="AM52" i="218"/>
  <c r="C43" i="96"/>
  <c r="AO36" i="218"/>
  <c r="C45" i="136"/>
  <c r="C29" i="136"/>
  <c r="C31" i="171"/>
  <c r="P39" i="214"/>
  <c r="AM36" i="218"/>
  <c r="AQ42" i="218"/>
  <c r="M26" i="230"/>
  <c r="G26" i="229" s="1"/>
  <c r="C27" i="181"/>
  <c r="D23" i="210"/>
  <c r="G21" i="209"/>
  <c r="G42" i="209"/>
  <c r="C50" i="96"/>
  <c r="AO6" i="218"/>
  <c r="C41" i="181"/>
  <c r="AQ58" i="218"/>
  <c r="V14" i="213"/>
  <c r="J26" i="71"/>
  <c r="G24" i="230"/>
  <c r="I23" i="220"/>
  <c r="AK38" i="213"/>
  <c r="H47" i="230"/>
  <c r="I42" i="230"/>
  <c r="J18" i="96"/>
  <c r="J26" i="96"/>
  <c r="J26" i="101"/>
  <c r="J23" i="101"/>
  <c r="H44" i="210" s="1"/>
  <c r="J13" i="136"/>
  <c r="I36" i="101"/>
  <c r="I43" i="213" s="1"/>
  <c r="C46" i="91"/>
  <c r="C10" i="91"/>
  <c r="T33" i="230" s="1"/>
  <c r="C39" i="91"/>
  <c r="C40" i="96"/>
  <c r="C57" i="96"/>
  <c r="C50" i="101"/>
  <c r="BS15" i="218"/>
  <c r="D236" i="233" s="1"/>
  <c r="C43" i="71"/>
  <c r="J14" i="91"/>
  <c r="J15" i="91" s="1"/>
  <c r="G33" i="210" s="1"/>
  <c r="C11" i="171"/>
  <c r="C23" i="91"/>
  <c r="J26" i="81"/>
  <c r="C38" i="171"/>
  <c r="C52" i="171"/>
  <c r="C43" i="171"/>
  <c r="C41" i="71"/>
  <c r="AO51" i="218"/>
  <c r="AO11" i="218"/>
  <c r="J14" i="101"/>
  <c r="J15" i="101" s="1"/>
  <c r="G44" i="210" s="1"/>
  <c r="J11" i="101"/>
  <c r="J11" i="136"/>
  <c r="J29" i="136"/>
  <c r="C29" i="171"/>
  <c r="O22" i="214"/>
  <c r="C33" i="181"/>
  <c r="T22" i="213"/>
  <c r="T43" i="213"/>
  <c r="P16" i="214" s="1"/>
  <c r="I7" i="188"/>
  <c r="I30" i="188"/>
  <c r="K30" i="188" s="1"/>
  <c r="AQ35" i="218"/>
  <c r="G27" i="230"/>
  <c r="Q22" i="230"/>
  <c r="J31" i="71"/>
  <c r="I36" i="71"/>
  <c r="I22" i="213" s="1"/>
  <c r="J19" i="71"/>
  <c r="J19" i="96"/>
  <c r="I41" i="96"/>
  <c r="K12" i="213" s="1"/>
  <c r="J31" i="91"/>
  <c r="I36" i="171"/>
  <c r="I25" i="213" s="1"/>
  <c r="Y15" i="218"/>
  <c r="D75" i="233" s="1"/>
  <c r="C27" i="71"/>
  <c r="C57" i="71"/>
  <c r="C39" i="71"/>
  <c r="C52" i="71"/>
  <c r="C38" i="91"/>
  <c r="C51" i="91"/>
  <c r="C26" i="91"/>
  <c r="C45" i="96"/>
  <c r="C53" i="96"/>
  <c r="C13" i="101"/>
  <c r="C52" i="101"/>
  <c r="C53" i="101"/>
  <c r="C10" i="81"/>
  <c r="C23" i="81"/>
  <c r="C30" i="81"/>
  <c r="C42" i="101"/>
  <c r="C29" i="91"/>
  <c r="AO59" i="218"/>
  <c r="AO42" i="218"/>
  <c r="AO18" i="218"/>
  <c r="C29" i="96"/>
  <c r="C23" i="96"/>
  <c r="AO22" i="218"/>
  <c r="AQ46" i="218"/>
  <c r="AQ37" i="218"/>
  <c r="C11" i="101"/>
  <c r="AQ51" i="218"/>
  <c r="AQ59" i="218"/>
  <c r="C14" i="136"/>
  <c r="C41" i="136"/>
  <c r="C42" i="171"/>
  <c r="C44" i="171"/>
  <c r="C37" i="96"/>
  <c r="M23" i="230"/>
  <c r="G17" i="209"/>
  <c r="I36" i="136"/>
  <c r="I18" i="213" s="1"/>
  <c r="G44" i="220"/>
  <c r="O44" i="220" s="1"/>
  <c r="G31" i="209"/>
  <c r="C36" i="136"/>
  <c r="C20" i="156"/>
  <c r="R16" i="230" s="1"/>
  <c r="C15" i="136"/>
  <c r="C54" i="35"/>
  <c r="C20" i="96"/>
  <c r="C32" i="51"/>
  <c r="C54" i="116"/>
  <c r="AW61" i="218" s="1"/>
  <c r="C59" i="116"/>
  <c r="AW66" i="218" s="1"/>
  <c r="C59" i="146"/>
  <c r="C15" i="116"/>
  <c r="AW16" i="218" s="1"/>
  <c r="J15" i="146"/>
  <c r="G27" i="210" s="1"/>
  <c r="C20" i="151"/>
  <c r="C20" i="194"/>
  <c r="J32" i="25"/>
  <c r="I32" i="210" s="1"/>
  <c r="C15" i="35"/>
  <c r="U16" i="213" s="1"/>
  <c r="C54" i="20"/>
  <c r="J15" i="156"/>
  <c r="G16" i="210" s="1"/>
  <c r="C15" i="86"/>
  <c r="C54" i="101"/>
  <c r="C20" i="146"/>
  <c r="J32" i="35"/>
  <c r="I17" i="210" s="1"/>
  <c r="AN15" i="213"/>
  <c r="D161" i="233"/>
  <c r="AW30" i="218"/>
  <c r="AC7" i="218"/>
  <c r="AC43" i="218"/>
  <c r="AC37" i="218"/>
  <c r="AC63" i="218"/>
  <c r="AC10" i="218"/>
  <c r="AC11" i="218"/>
  <c r="AC45" i="218"/>
  <c r="AC58" i="218"/>
  <c r="AC32" i="218"/>
  <c r="AC56" i="218"/>
  <c r="W6" i="218"/>
  <c r="C24" i="181"/>
  <c r="C14" i="61"/>
  <c r="C29" i="61"/>
  <c r="C50" i="61"/>
  <c r="J13" i="61"/>
  <c r="C18" i="61"/>
  <c r="J18" i="61"/>
  <c r="J20" i="61" s="1"/>
  <c r="F38" i="210" s="1"/>
  <c r="C58" i="61"/>
  <c r="C42" i="61"/>
  <c r="C39" i="61"/>
  <c r="C36" i="61"/>
  <c r="C13" i="61"/>
  <c r="G38" i="220"/>
  <c r="K38" i="220" s="1"/>
  <c r="T37" i="213"/>
  <c r="C26" i="61"/>
  <c r="C45" i="61"/>
  <c r="C44" i="61"/>
  <c r="J29" i="61"/>
  <c r="C46" i="61"/>
  <c r="I39" i="61"/>
  <c r="J37" i="213" s="1"/>
  <c r="C19" i="61"/>
  <c r="I36" i="61"/>
  <c r="I37" i="213" s="1"/>
  <c r="C23" i="61"/>
  <c r="C41" i="61"/>
  <c r="C43" i="61"/>
  <c r="J10" i="61"/>
  <c r="C53" i="61"/>
  <c r="J27" i="61"/>
  <c r="C28" i="61"/>
  <c r="C31" i="61"/>
  <c r="I46" i="61"/>
  <c r="L37" i="213" s="1"/>
  <c r="J28" i="61"/>
  <c r="C38" i="61"/>
  <c r="C30" i="61"/>
  <c r="C51" i="61"/>
  <c r="C10" i="61"/>
  <c r="C11" i="61"/>
  <c r="C57" i="61"/>
  <c r="J31" i="61"/>
  <c r="I20" i="188"/>
  <c r="C40" i="56"/>
  <c r="C10" i="56"/>
  <c r="T24" i="230" s="1"/>
  <c r="C45" i="56"/>
  <c r="C14" i="56"/>
  <c r="C58" i="56"/>
  <c r="C27" i="56"/>
  <c r="J31" i="56"/>
  <c r="J18" i="56"/>
  <c r="C46" i="56"/>
  <c r="C28" i="56"/>
  <c r="C37" i="56"/>
  <c r="C51" i="56"/>
  <c r="C57" i="56"/>
  <c r="C59" i="56" s="1"/>
  <c r="C53" i="56"/>
  <c r="C38" i="56"/>
  <c r="C42" i="56"/>
  <c r="C30" i="56"/>
  <c r="C31" i="56"/>
  <c r="C44" i="56"/>
  <c r="C11" i="56"/>
  <c r="I36" i="56"/>
  <c r="I23" i="213" s="1"/>
  <c r="C23" i="56"/>
  <c r="I41" i="56"/>
  <c r="K23" i="213" s="1"/>
  <c r="C39" i="56"/>
  <c r="J11" i="56"/>
  <c r="I48" i="56"/>
  <c r="I24" i="230" s="1"/>
  <c r="C50" i="56"/>
  <c r="C52" i="56"/>
  <c r="C26" i="56"/>
  <c r="J23" i="56"/>
  <c r="H24" i="210" s="1"/>
  <c r="J28" i="56"/>
  <c r="C19" i="56"/>
  <c r="C20" i="56" s="1"/>
  <c r="C41" i="56"/>
  <c r="C43" i="56"/>
  <c r="C37" i="41"/>
  <c r="O6" i="218"/>
  <c r="O14" i="218" s="1"/>
  <c r="C31" i="41"/>
  <c r="C28" i="41"/>
  <c r="C45" i="41"/>
  <c r="C13" i="41"/>
  <c r="J28" i="41"/>
  <c r="I41" i="41"/>
  <c r="K35" i="213" s="1"/>
  <c r="N49" i="41"/>
  <c r="M36" i="210" s="1"/>
  <c r="G36" i="220"/>
  <c r="O36" i="220" s="1"/>
  <c r="C23" i="41"/>
  <c r="C11" i="41"/>
  <c r="C53" i="41"/>
  <c r="C51" i="41"/>
  <c r="C36" i="41"/>
  <c r="D36" i="210"/>
  <c r="C57" i="41"/>
  <c r="C46" i="41"/>
  <c r="C43" i="41"/>
  <c r="J23" i="41"/>
  <c r="H36" i="210" s="1"/>
  <c r="I36" i="41"/>
  <c r="I35" i="213" s="1"/>
  <c r="C14" i="181"/>
  <c r="C58" i="41"/>
  <c r="C26" i="41"/>
  <c r="C14" i="41"/>
  <c r="C41" i="41"/>
  <c r="T35" i="213"/>
  <c r="C38" i="41"/>
  <c r="C30" i="41"/>
  <c r="C44" i="41"/>
  <c r="C52" i="41"/>
  <c r="C42" i="41"/>
  <c r="C29" i="41"/>
  <c r="G34" i="209"/>
  <c r="C27" i="41"/>
  <c r="C10" i="41"/>
  <c r="J10" i="41"/>
  <c r="AI6" i="218"/>
  <c r="AI18" i="218" s="1"/>
  <c r="M47" i="230"/>
  <c r="C23" i="202"/>
  <c r="C26" i="202"/>
  <c r="I46" i="202"/>
  <c r="L46" i="213" s="1"/>
  <c r="J11" i="202"/>
  <c r="J26" i="202"/>
  <c r="G45" i="209"/>
  <c r="C29" i="181"/>
  <c r="J29" i="202"/>
  <c r="C53" i="202"/>
  <c r="I39" i="202"/>
  <c r="J46" i="213" s="1"/>
  <c r="C19" i="202"/>
  <c r="C20" i="202" s="1"/>
  <c r="D47" i="210"/>
  <c r="C13" i="202"/>
  <c r="J31" i="202"/>
  <c r="C29" i="202"/>
  <c r="C46" i="202"/>
  <c r="C37" i="202"/>
  <c r="I22" i="188"/>
  <c r="K22" i="188" s="1"/>
  <c r="C27" i="202"/>
  <c r="C57" i="202"/>
  <c r="C10" i="202"/>
  <c r="T47" i="230" s="1"/>
  <c r="I41" i="202"/>
  <c r="K46" i="213" s="1"/>
  <c r="C28" i="202"/>
  <c r="I11" i="202"/>
  <c r="AK46" i="213" s="1"/>
  <c r="G47" i="220"/>
  <c r="M47" i="220" s="1"/>
  <c r="C43" i="202"/>
  <c r="C42" i="202"/>
  <c r="J13" i="202"/>
  <c r="C50" i="202"/>
  <c r="C11" i="202"/>
  <c r="J28" i="202"/>
  <c r="C31" i="202"/>
  <c r="C36" i="202"/>
  <c r="C41" i="202"/>
  <c r="C51" i="202"/>
  <c r="C39" i="202"/>
  <c r="C38" i="202"/>
  <c r="C52" i="202"/>
  <c r="C45" i="202"/>
  <c r="I48" i="202"/>
  <c r="I25" i="188"/>
  <c r="L25" i="188" s="1"/>
  <c r="C42" i="176"/>
  <c r="C51" i="176"/>
  <c r="C29" i="176"/>
  <c r="C53" i="176"/>
  <c r="I39" i="176"/>
  <c r="J27" i="213" s="1"/>
  <c r="T27" i="213"/>
  <c r="C13" i="176"/>
  <c r="C10" i="176"/>
  <c r="T28" i="230" s="1"/>
  <c r="C57" i="176"/>
  <c r="C40" i="176"/>
  <c r="C45" i="176"/>
  <c r="C39" i="176"/>
  <c r="G28" i="220"/>
  <c r="M28" i="220" s="1"/>
  <c r="C28" i="176"/>
  <c r="J26" i="176"/>
  <c r="J14" i="176"/>
  <c r="D28" i="210"/>
  <c r="M28" i="230"/>
  <c r="C43" i="176"/>
  <c r="J10" i="176"/>
  <c r="C58" i="176"/>
  <c r="C36" i="176"/>
  <c r="I36" i="176"/>
  <c r="I27" i="213" s="1"/>
  <c r="I50" i="213" s="1"/>
  <c r="J13" i="176"/>
  <c r="C26" i="176"/>
  <c r="C27" i="176"/>
  <c r="C46" i="176"/>
  <c r="C38" i="176"/>
  <c r="C52" i="176"/>
  <c r="J31" i="176"/>
  <c r="C50" i="176"/>
  <c r="C41" i="176"/>
  <c r="C37" i="176"/>
  <c r="I41" i="176"/>
  <c r="K27" i="213" s="1"/>
  <c r="BW6" i="218"/>
  <c r="C30" i="176"/>
  <c r="C44" i="176"/>
  <c r="C23" i="176"/>
  <c r="O11" i="213"/>
  <c r="O58" i="213" s="1"/>
  <c r="G12" i="230"/>
  <c r="Q17" i="230"/>
  <c r="Q30" i="218"/>
  <c r="K61" i="218"/>
  <c r="U31" i="213"/>
  <c r="C54" i="46"/>
  <c r="R42" i="230"/>
  <c r="U42" i="230"/>
  <c r="K27" i="230"/>
  <c r="V41" i="213"/>
  <c r="L33" i="188"/>
  <c r="H36" i="229"/>
  <c r="G36" i="229"/>
  <c r="S57" i="218"/>
  <c r="S29" i="218"/>
  <c r="S47" i="218"/>
  <c r="S45" i="218"/>
  <c r="S10" i="218"/>
  <c r="S49" i="218"/>
  <c r="S51" i="218"/>
  <c r="S56" i="218"/>
  <c r="S64" i="218"/>
  <c r="S58" i="218"/>
  <c r="S7" i="218"/>
  <c r="S43" i="218"/>
  <c r="S42" i="218"/>
  <c r="S34" i="218"/>
  <c r="S59" i="218"/>
  <c r="S32" i="218"/>
  <c r="S63" i="218"/>
  <c r="S37" i="218"/>
  <c r="S11" i="218"/>
  <c r="S15" i="218" s="1"/>
  <c r="S50" i="218"/>
  <c r="S13" i="218"/>
  <c r="S36" i="218"/>
  <c r="S46" i="218"/>
  <c r="I44" i="218"/>
  <c r="I42" i="218"/>
  <c r="I45" i="218"/>
  <c r="I32" i="218"/>
  <c r="I51" i="218"/>
  <c r="I37" i="218"/>
  <c r="I52" i="218"/>
  <c r="I35" i="218"/>
  <c r="I18" i="218"/>
  <c r="I57" i="218"/>
  <c r="I48" i="218"/>
  <c r="I7" i="218"/>
  <c r="I59" i="218"/>
  <c r="I33" i="218"/>
  <c r="I13" i="218"/>
  <c r="I49" i="218"/>
  <c r="I29" i="218"/>
  <c r="I10" i="218"/>
  <c r="I47" i="218"/>
  <c r="I14" i="218"/>
  <c r="I50" i="218"/>
  <c r="I22" i="218"/>
  <c r="I11" i="218"/>
  <c r="I46" i="218"/>
  <c r="I64" i="218"/>
  <c r="I65" i="218" s="1"/>
  <c r="I66" i="218" s="1"/>
  <c r="I58" i="218"/>
  <c r="I56" i="218"/>
  <c r="Q37" i="220"/>
  <c r="M37" i="220"/>
  <c r="I37" i="220"/>
  <c r="C20" i="176"/>
  <c r="U31" i="230"/>
  <c r="V30" i="213"/>
  <c r="C54" i="131"/>
  <c r="I32" i="220"/>
  <c r="K49" i="56"/>
  <c r="J24" i="210" s="1"/>
  <c r="K49" i="61"/>
  <c r="J38" i="210" s="1"/>
  <c r="I28" i="220"/>
  <c r="K49" i="176"/>
  <c r="J28" i="210" s="1"/>
  <c r="J19" i="56"/>
  <c r="J30" i="61"/>
  <c r="O32" i="220"/>
  <c r="O37" i="220"/>
  <c r="O19" i="220"/>
  <c r="J27" i="176"/>
  <c r="Q28" i="220"/>
  <c r="AC19" i="218"/>
  <c r="AC20" i="218" s="1"/>
  <c r="AC59" i="218"/>
  <c r="AC47" i="218"/>
  <c r="AC18" i="218"/>
  <c r="AC52" i="218"/>
  <c r="M49" i="41"/>
  <c r="L36" i="210" s="1"/>
  <c r="J14" i="41"/>
  <c r="Q60" i="218"/>
  <c r="J29" i="56"/>
  <c r="J11" i="61"/>
  <c r="N49" i="56"/>
  <c r="M24" i="210" s="1"/>
  <c r="C32" i="91"/>
  <c r="N49" i="202"/>
  <c r="M47" i="210" s="1"/>
  <c r="Q19" i="220"/>
  <c r="J26" i="41"/>
  <c r="J27" i="41"/>
  <c r="BW19" i="218"/>
  <c r="I19" i="218"/>
  <c r="I20" i="218" s="1"/>
  <c r="S22" i="218"/>
  <c r="S33" i="218"/>
  <c r="S14" i="218"/>
  <c r="BW34" i="218"/>
  <c r="L42" i="188"/>
  <c r="M23" i="220"/>
  <c r="M20" i="220"/>
  <c r="G26" i="230"/>
  <c r="J19" i="41"/>
  <c r="J20" i="41" s="1"/>
  <c r="F36" i="210" s="1"/>
  <c r="Q38" i="220"/>
  <c r="M49" i="61"/>
  <c r="L38" i="210" s="1"/>
  <c r="N49" i="176"/>
  <c r="M28" i="210" s="1"/>
  <c r="O38" i="220"/>
  <c r="C47" i="86"/>
  <c r="AM60" i="218"/>
  <c r="J30" i="176"/>
  <c r="I34" i="218"/>
  <c r="AC64" i="218"/>
  <c r="AC46" i="218"/>
  <c r="AW24" i="218"/>
  <c r="J20" i="20"/>
  <c r="I38" i="220"/>
  <c r="J30" i="202"/>
  <c r="C32" i="25"/>
  <c r="J14" i="56"/>
  <c r="J14" i="61"/>
  <c r="M49" i="176"/>
  <c r="L28" i="210" s="1"/>
  <c r="S52" i="218"/>
  <c r="AC51" i="218"/>
  <c r="AC36" i="218"/>
  <c r="J29" i="41"/>
  <c r="O49" i="41"/>
  <c r="N36" i="210" s="1"/>
  <c r="C59" i="51"/>
  <c r="BS20" i="218"/>
  <c r="BS38" i="218"/>
  <c r="D239" i="233" s="1"/>
  <c r="O49" i="176"/>
  <c r="N28" i="210" s="1"/>
  <c r="S35" i="218"/>
  <c r="S23" i="218"/>
  <c r="S24" i="218" s="1"/>
  <c r="AC33" i="218"/>
  <c r="AC50" i="218"/>
  <c r="AC44" i="218"/>
  <c r="O20" i="220"/>
  <c r="O49" i="61"/>
  <c r="N38" i="210" s="1"/>
  <c r="J10" i="202"/>
  <c r="AC49" i="218"/>
  <c r="AC34" i="218"/>
  <c r="J27" i="202"/>
  <c r="C31" i="176"/>
  <c r="L49" i="41"/>
  <c r="K36" i="210" s="1"/>
  <c r="M38" i="220"/>
  <c r="L22" i="188"/>
  <c r="B30" i="218"/>
  <c r="J19" i="176"/>
  <c r="J20" i="176" s="1"/>
  <c r="F28" i="210" s="1"/>
  <c r="J11" i="41"/>
  <c r="J14" i="202"/>
  <c r="AW53" i="218"/>
  <c r="J15" i="131"/>
  <c r="G18" i="210" s="1"/>
  <c r="C23" i="235"/>
  <c r="C48" i="235"/>
  <c r="C51" i="235"/>
  <c r="C47" i="235"/>
  <c r="C42" i="235"/>
  <c r="C13" i="235"/>
  <c r="C18" i="235"/>
  <c r="C20" i="235" s="1"/>
  <c r="J18" i="235"/>
  <c r="C37" i="235"/>
  <c r="C57" i="235"/>
  <c r="C46" i="235"/>
  <c r="C49" i="235"/>
  <c r="J13" i="235"/>
  <c r="C34" i="235"/>
  <c r="C10" i="235"/>
  <c r="J10" i="235"/>
  <c r="C14" i="235"/>
  <c r="C19" i="235"/>
  <c r="I42" i="235"/>
  <c r="C44" i="235"/>
  <c r="C36" i="235"/>
  <c r="I46" i="235"/>
  <c r="C43" i="235"/>
  <c r="C58" i="235"/>
  <c r="C64" i="235"/>
  <c r="C26" i="235"/>
  <c r="J35" i="235"/>
  <c r="I48" i="235"/>
  <c r="J14" i="235"/>
  <c r="C50" i="235"/>
  <c r="C35" i="235"/>
  <c r="C10" i="223"/>
  <c r="I48" i="223"/>
  <c r="C13" i="223"/>
  <c r="C50" i="223"/>
  <c r="I11" i="223"/>
  <c r="C60" i="223"/>
  <c r="C26" i="223"/>
  <c r="C23" i="223"/>
  <c r="C19" i="223"/>
  <c r="J10" i="223"/>
  <c r="C65" i="223"/>
  <c r="J32" i="223"/>
  <c r="J13" i="223"/>
  <c r="J18" i="223"/>
  <c r="C59" i="223"/>
  <c r="C11" i="223"/>
  <c r="C52" i="223"/>
  <c r="C51" i="223"/>
  <c r="C18" i="223"/>
  <c r="C20" i="223" s="1"/>
  <c r="I46" i="223"/>
  <c r="J23" i="223"/>
  <c r="C44" i="223"/>
  <c r="C58" i="223"/>
  <c r="C35" i="223"/>
  <c r="C14" i="223"/>
  <c r="C43" i="223"/>
  <c r="C37" i="223"/>
  <c r="C45" i="223"/>
  <c r="I42" i="223"/>
  <c r="C47" i="223"/>
  <c r="J36" i="223"/>
  <c r="C34" i="223"/>
  <c r="C32" i="223"/>
  <c r="J34" i="223"/>
  <c r="C57" i="223"/>
  <c r="C61" i="223" s="1"/>
  <c r="C46" i="223"/>
  <c r="C36" i="223"/>
  <c r="C48" i="223"/>
  <c r="J35" i="223"/>
  <c r="C64" i="223"/>
  <c r="C66" i="223" s="1"/>
  <c r="C33" i="223"/>
  <c r="C42" i="223"/>
  <c r="J11" i="223"/>
  <c r="C49" i="223"/>
  <c r="J19" i="223"/>
  <c r="J10" i="30"/>
  <c r="I12" i="188"/>
  <c r="G15" i="209"/>
  <c r="C10" i="30"/>
  <c r="C47" i="30"/>
  <c r="C34" i="30"/>
  <c r="M21" i="230"/>
  <c r="C37" i="141"/>
  <c r="C50" i="141"/>
  <c r="C31" i="141"/>
  <c r="C58" i="141"/>
  <c r="C14" i="141"/>
  <c r="J10" i="141"/>
  <c r="C43" i="141"/>
  <c r="I11" i="141"/>
  <c r="T20" i="213"/>
  <c r="C52" i="141"/>
  <c r="I36" i="141"/>
  <c r="I20" i="213" s="1"/>
  <c r="C45" i="141"/>
  <c r="I39" i="141"/>
  <c r="J20" i="213" s="1"/>
  <c r="I41" i="141"/>
  <c r="K20" i="213" s="1"/>
  <c r="J13" i="141"/>
  <c r="I16" i="188"/>
  <c r="K16" i="188" s="1"/>
  <c r="C51" i="141"/>
  <c r="C28" i="141"/>
  <c r="G19" i="209"/>
  <c r="C36" i="141"/>
  <c r="C39" i="141"/>
  <c r="C53" i="141"/>
  <c r="C23" i="141"/>
  <c r="J31" i="141"/>
  <c r="C41" i="141"/>
  <c r="I46" i="141"/>
  <c r="L20" i="213" s="1"/>
  <c r="C18" i="141"/>
  <c r="G21" i="220"/>
  <c r="M21" i="220" s="1"/>
  <c r="C10" i="141"/>
  <c r="C40" i="141"/>
  <c r="C57" i="141"/>
  <c r="C59" i="141" s="1"/>
  <c r="C30" i="141"/>
  <c r="J30" i="141"/>
  <c r="BG6" i="218"/>
  <c r="C42" i="141"/>
  <c r="J28" i="141"/>
  <c r="C29" i="141"/>
  <c r="C13" i="141"/>
  <c r="C19" i="141"/>
  <c r="C19" i="181"/>
  <c r="C27" i="141"/>
  <c r="C44" i="141"/>
  <c r="C11" i="141"/>
  <c r="J26" i="141"/>
  <c r="J32" i="141" s="1"/>
  <c r="I21" i="210" s="1"/>
  <c r="J18" i="141"/>
  <c r="I33" i="141"/>
  <c r="D21" i="210"/>
  <c r="C46" i="141"/>
  <c r="C38" i="141"/>
  <c r="C26" i="141"/>
  <c r="C32" i="141" s="1"/>
  <c r="J23" i="141"/>
  <c r="H21" i="210" s="1"/>
  <c r="K21" i="220"/>
  <c r="N56" i="223"/>
  <c r="M56" i="235"/>
  <c r="J11" i="141"/>
  <c r="J29" i="141"/>
  <c r="J14" i="141"/>
  <c r="J33" i="223"/>
  <c r="J19" i="141"/>
  <c r="Q21" i="220"/>
  <c r="J37" i="223"/>
  <c r="BG59" i="218"/>
  <c r="AK37" i="218"/>
  <c r="C45" i="161"/>
  <c r="C37" i="161"/>
  <c r="C38" i="181"/>
  <c r="I21" i="220"/>
  <c r="J36" i="235"/>
  <c r="J14" i="223"/>
  <c r="J34" i="235"/>
  <c r="BG51" i="218"/>
  <c r="J27" i="141"/>
  <c r="J34" i="30"/>
  <c r="K49" i="141"/>
  <c r="J21" i="210" s="1"/>
  <c r="BG13" i="218"/>
  <c r="BG14" i="218"/>
  <c r="AK35" i="218"/>
  <c r="J19" i="235"/>
  <c r="BG48" i="218"/>
  <c r="BG47" i="218"/>
  <c r="AK22" i="218"/>
  <c r="AK34" i="218"/>
  <c r="AK14" i="218"/>
  <c r="C38" i="161"/>
  <c r="C8" i="181"/>
  <c r="J15" i="66"/>
  <c r="G22" i="210" s="1"/>
  <c r="M49" i="141"/>
  <c r="L21" i="210" s="1"/>
  <c r="N49" i="141"/>
  <c r="M21" i="210" s="1"/>
  <c r="J37" i="235"/>
  <c r="AK13" i="218"/>
  <c r="AK18" i="218"/>
  <c r="G29" i="209"/>
  <c r="AU66" i="218"/>
  <c r="BG35" i="218"/>
  <c r="BM46" i="218"/>
  <c r="BM53" i="218" s="1"/>
  <c r="L49" i="141"/>
  <c r="K21" i="210" s="1"/>
  <c r="N56" i="235"/>
  <c r="O49" i="141"/>
  <c r="N21" i="210" s="1"/>
  <c r="C44" i="161"/>
  <c r="M43" i="230"/>
  <c r="H43" i="229" s="1"/>
  <c r="H26" i="218"/>
  <c r="H27" i="218" s="1"/>
  <c r="I23" i="218"/>
  <c r="C54" i="198"/>
  <c r="C15" i="106"/>
  <c r="Q29" i="230" s="1"/>
  <c r="BO30" i="218"/>
  <c r="L42" i="230"/>
  <c r="L21" i="230"/>
  <c r="C32" i="46"/>
  <c r="C47" i="51"/>
  <c r="C15" i="51"/>
  <c r="U39" i="213" s="1"/>
  <c r="C47" i="66"/>
  <c r="J15" i="81"/>
  <c r="G25" i="210" s="1"/>
  <c r="C15" i="2"/>
  <c r="U29" i="213" s="1"/>
  <c r="BO16" i="218"/>
  <c r="C47" i="194"/>
  <c r="C32" i="15"/>
  <c r="C15" i="76"/>
  <c r="C47" i="156"/>
  <c r="C47" i="131"/>
  <c r="L31" i="230"/>
  <c r="AN37" i="213"/>
  <c r="C54" i="166"/>
  <c r="BS61" i="218" s="1"/>
  <c r="S38" i="218"/>
  <c r="D57" i="233" s="1"/>
  <c r="J15" i="126"/>
  <c r="G14" i="210" s="1"/>
  <c r="AS61" i="218"/>
  <c r="C20" i="198"/>
  <c r="V44" i="213" s="1"/>
  <c r="J15" i="121"/>
  <c r="G43" i="210" s="1"/>
  <c r="AM11" i="213"/>
  <c r="C20" i="35"/>
  <c r="U17" i="230" s="1"/>
  <c r="J15" i="166"/>
  <c r="G20" i="210" s="1"/>
  <c r="J15" i="151"/>
  <c r="G12" i="210" s="1"/>
  <c r="J32" i="46"/>
  <c r="I37" i="210" s="1"/>
  <c r="K14" i="230"/>
  <c r="AM13" i="213"/>
  <c r="U34" i="230"/>
  <c r="V33" i="213"/>
  <c r="R34" i="230"/>
  <c r="BI7" i="218"/>
  <c r="BI58" i="218"/>
  <c r="BI45" i="218"/>
  <c r="BI63" i="218"/>
  <c r="BI44" i="218"/>
  <c r="BI42" i="218"/>
  <c r="BI52" i="218"/>
  <c r="BI57" i="218"/>
  <c r="BI29" i="218"/>
  <c r="BI32" i="218"/>
  <c r="BI59" i="218"/>
  <c r="BI48" i="218"/>
  <c r="BI10" i="218"/>
  <c r="BI50" i="218"/>
  <c r="BI33" i="218"/>
  <c r="BI56" i="218"/>
  <c r="BI47" i="218"/>
  <c r="BI46" i="218"/>
  <c r="P31" i="214"/>
  <c r="O31" i="214"/>
  <c r="AL34" i="213"/>
  <c r="H35" i="230"/>
  <c r="O46" i="213"/>
  <c r="L17" i="230"/>
  <c r="AN16" i="213"/>
  <c r="AK15" i="213"/>
  <c r="G16" i="230"/>
  <c r="V15" i="213"/>
  <c r="AN45" i="213"/>
  <c r="L46" i="230"/>
  <c r="BI49" i="218"/>
  <c r="BI22" i="218"/>
  <c r="BI18" i="218"/>
  <c r="BI37" i="218"/>
  <c r="J32" i="2"/>
  <c r="I30" i="210" s="1"/>
  <c r="C20" i="51"/>
  <c r="V39" i="213" s="1"/>
  <c r="C20" i="71"/>
  <c r="U23" i="230" s="1"/>
  <c r="C15" i="156"/>
  <c r="O32" i="214"/>
  <c r="BI13" i="218"/>
  <c r="C52" i="146"/>
  <c r="J11" i="161"/>
  <c r="J15" i="161" s="1"/>
  <c r="G15" i="210" s="1"/>
  <c r="BW63" i="218"/>
  <c r="BW58" i="218"/>
  <c r="AC22" i="218"/>
  <c r="O19" i="214"/>
  <c r="AI59" i="218"/>
  <c r="AI7" i="218"/>
  <c r="M27" i="230"/>
  <c r="H27" i="229" s="1"/>
  <c r="C57" i="161"/>
  <c r="C40" i="161"/>
  <c r="T13" i="213"/>
  <c r="T51" i="213" s="1"/>
  <c r="D15" i="210"/>
  <c r="C44" i="146"/>
  <c r="C47" i="146" s="1"/>
  <c r="I41" i="161"/>
  <c r="K14" i="213" s="1"/>
  <c r="G43" i="220"/>
  <c r="K43" i="220" s="1"/>
  <c r="C57" i="15"/>
  <c r="C59" i="15" s="1"/>
  <c r="G6" i="218"/>
  <c r="G36" i="218" s="1"/>
  <c r="C20" i="41"/>
  <c r="R36" i="230" s="1"/>
  <c r="C20" i="126"/>
  <c r="R14" i="230" s="1"/>
  <c r="D222" i="233"/>
  <c r="C27" i="121"/>
  <c r="C11" i="121"/>
  <c r="BI51" i="218"/>
  <c r="C26" i="161"/>
  <c r="C29" i="161"/>
  <c r="BW48" i="218"/>
  <c r="G20" i="229"/>
  <c r="AI57" i="218"/>
  <c r="BW18" i="218"/>
  <c r="C26" i="2"/>
  <c r="C32" i="2" s="1"/>
  <c r="G28" i="209"/>
  <c r="C37" i="2"/>
  <c r="C53" i="161"/>
  <c r="I9" i="188"/>
  <c r="K9" i="188" s="1"/>
  <c r="G13" i="209"/>
  <c r="C50" i="161"/>
  <c r="C51" i="121"/>
  <c r="C54" i="121" s="1"/>
  <c r="M31" i="230"/>
  <c r="H31" i="229" s="1"/>
  <c r="L34" i="230"/>
  <c r="C20" i="66"/>
  <c r="C20" i="131"/>
  <c r="C54" i="51"/>
  <c r="G32" i="229"/>
  <c r="O29" i="220"/>
  <c r="AI44" i="218"/>
  <c r="AI63" i="218"/>
  <c r="AI52" i="218"/>
  <c r="AI64" i="218"/>
  <c r="BI19" i="218"/>
  <c r="C53" i="146"/>
  <c r="I36" i="161"/>
  <c r="I14" i="213" s="1"/>
  <c r="C31" i="161"/>
  <c r="J29" i="161"/>
  <c r="BW45" i="218"/>
  <c r="AC14" i="218"/>
  <c r="K15" i="218"/>
  <c r="D26" i="233" s="1"/>
  <c r="AI13" i="218"/>
  <c r="BW52" i="218"/>
  <c r="AC29" i="218"/>
  <c r="D91" i="233" s="1"/>
  <c r="C38" i="2"/>
  <c r="T42" i="213"/>
  <c r="AI47" i="218"/>
  <c r="C51" i="161"/>
  <c r="D14" i="210"/>
  <c r="C41" i="161"/>
  <c r="C52" i="161"/>
  <c r="T26" i="213"/>
  <c r="C46" i="161"/>
  <c r="D43" i="210"/>
  <c r="C50" i="15"/>
  <c r="U34" i="213"/>
  <c r="C15" i="15"/>
  <c r="C47" i="15"/>
  <c r="AK30" i="218"/>
  <c r="AI45" i="218"/>
  <c r="C31" i="121"/>
  <c r="C51" i="146"/>
  <c r="BI43" i="218"/>
  <c r="C27" i="161"/>
  <c r="BW22" i="218"/>
  <c r="BW46" i="218"/>
  <c r="BW35" i="218"/>
  <c r="AC48" i="218"/>
  <c r="G44" i="229"/>
  <c r="AI10" i="218"/>
  <c r="BW13" i="218"/>
  <c r="BW49" i="218"/>
  <c r="C46" i="121"/>
  <c r="I27" i="188"/>
  <c r="K27" i="188" s="1"/>
  <c r="AI37" i="218"/>
  <c r="M15" i="230"/>
  <c r="C39" i="161"/>
  <c r="I8" i="188"/>
  <c r="K8" i="188" s="1"/>
  <c r="C12" i="181"/>
  <c r="I24" i="188"/>
  <c r="K24" i="188" s="1"/>
  <c r="C58" i="161"/>
  <c r="AY6" i="218"/>
  <c r="AY42" i="218" s="1"/>
  <c r="C53" i="15"/>
  <c r="BO60" i="218"/>
  <c r="BM15" i="218"/>
  <c r="C11" i="161"/>
  <c r="C15" i="161" s="1"/>
  <c r="J27" i="161"/>
  <c r="BW59" i="218"/>
  <c r="BW43" i="218"/>
  <c r="AC35" i="218"/>
  <c r="AC13" i="218"/>
  <c r="C42" i="2"/>
  <c r="T29" i="213"/>
  <c r="BI35" i="218"/>
  <c r="C13" i="181"/>
  <c r="M14" i="230"/>
  <c r="G15" i="220"/>
  <c r="Q15" i="220" s="1"/>
  <c r="C43" i="161"/>
  <c r="G25" i="209"/>
  <c r="C42" i="161"/>
  <c r="D31" i="210"/>
  <c r="J32" i="15"/>
  <c r="I31" i="210" s="1"/>
  <c r="J20" i="76"/>
  <c r="AS66" i="218"/>
  <c r="G19" i="218"/>
  <c r="AI42" i="218"/>
  <c r="AI48" i="218"/>
  <c r="AI51" i="218"/>
  <c r="C29" i="121"/>
  <c r="C30" i="126"/>
  <c r="C32" i="126" s="1"/>
  <c r="BI14" i="218"/>
  <c r="BI34" i="218"/>
  <c r="C31" i="146"/>
  <c r="BI64" i="218"/>
  <c r="C28" i="161"/>
  <c r="C23" i="161"/>
  <c r="BW23" i="218"/>
  <c r="BW51" i="218"/>
  <c r="BW50" i="218"/>
  <c r="AI22" i="218"/>
  <c r="BW11" i="218"/>
  <c r="BW37" i="218"/>
  <c r="C45" i="2"/>
  <c r="E6" i="218"/>
  <c r="E35" i="218" s="1"/>
  <c r="C53" i="2"/>
  <c r="C36" i="161"/>
  <c r="T14" i="213"/>
  <c r="O14" i="214" s="1"/>
  <c r="I39" i="161"/>
  <c r="J14" i="213" s="1"/>
  <c r="J58" i="213" s="1"/>
  <c r="G14" i="220"/>
  <c r="Q14" i="220" s="1"/>
  <c r="M30" i="230"/>
  <c r="D27" i="210"/>
  <c r="BQ6" i="218"/>
  <c r="BQ36" i="218" s="1"/>
  <c r="I40" i="188"/>
  <c r="K40" i="188" s="1"/>
  <c r="I28" i="188"/>
  <c r="K28" i="188" s="1"/>
  <c r="G18" i="220"/>
  <c r="Q18" i="220" s="1"/>
  <c r="AM16" i="213"/>
  <c r="I15" i="220"/>
  <c r="C33" i="86"/>
  <c r="C61" i="86" s="1"/>
  <c r="J20" i="86"/>
  <c r="F34" i="210" s="1"/>
  <c r="AI23" i="218"/>
  <c r="AI14" i="218"/>
  <c r="J29" i="121"/>
  <c r="J32" i="121" s="1"/>
  <c r="I43" i="210" s="1"/>
  <c r="C14" i="121"/>
  <c r="C57" i="126"/>
  <c r="C59" i="126" s="1"/>
  <c r="C29" i="146"/>
  <c r="BI11" i="218"/>
  <c r="BI36" i="218"/>
  <c r="BW57" i="218"/>
  <c r="BW33" i="218"/>
  <c r="BW47" i="218"/>
  <c r="BW44" i="218"/>
  <c r="BW36" i="218"/>
  <c r="BW32" i="218"/>
  <c r="AI33" i="218"/>
  <c r="AS38" i="218"/>
  <c r="D148" i="233" s="1"/>
  <c r="C39" i="121"/>
  <c r="C36" i="2"/>
  <c r="C31" i="181"/>
  <c r="G12" i="209"/>
  <c r="G27" i="220"/>
  <c r="K27" i="220" s="1"/>
  <c r="G31" i="220"/>
  <c r="I31" i="220" s="1"/>
  <c r="BA14" i="218"/>
  <c r="BA59" i="218"/>
  <c r="BA29" i="218"/>
  <c r="BA32" i="218"/>
  <c r="BA58" i="218"/>
  <c r="BA36" i="218"/>
  <c r="BA11" i="218"/>
  <c r="BA13" i="218"/>
  <c r="BA10" i="218"/>
  <c r="BA64" i="218"/>
  <c r="BA56" i="218"/>
  <c r="BA7" i="218"/>
  <c r="BA42" i="218"/>
  <c r="J15" i="106"/>
  <c r="G29" i="210" s="1"/>
  <c r="BA33" i="218"/>
  <c r="BA57" i="218"/>
  <c r="L10" i="188"/>
  <c r="C15" i="91"/>
  <c r="Q33" i="230" s="1"/>
  <c r="C47" i="20"/>
  <c r="BA43" i="218"/>
  <c r="BA49" i="218"/>
  <c r="BA50" i="218"/>
  <c r="BA35" i="218"/>
  <c r="BA34" i="218"/>
  <c r="BA22" i="218"/>
  <c r="BA37" i="218"/>
  <c r="BA48" i="218"/>
  <c r="AM35" i="213"/>
  <c r="BA47" i="218"/>
  <c r="BA45" i="218"/>
  <c r="BA46" i="218"/>
  <c r="J32" i="194"/>
  <c r="I46" i="210" s="1"/>
  <c r="C47" i="126"/>
  <c r="J32" i="126"/>
  <c r="I14" i="210" s="1"/>
  <c r="BA44" i="218"/>
  <c r="BA51" i="218"/>
  <c r="BA63" i="218"/>
  <c r="C47" i="116"/>
  <c r="AW54" i="218" s="1"/>
  <c r="K53" i="218"/>
  <c r="BA19" i="218"/>
  <c r="AM30" i="213"/>
  <c r="C20" i="76"/>
  <c r="V38" i="213" s="1"/>
  <c r="K38" i="218"/>
  <c r="D29" i="233" s="1"/>
  <c r="C15" i="151"/>
  <c r="J15" i="15"/>
  <c r="G31" i="210" s="1"/>
  <c r="BA52" i="218"/>
  <c r="O30" i="220"/>
  <c r="J15" i="136"/>
  <c r="G19" i="210" s="1"/>
  <c r="J32" i="156"/>
  <c r="I16" i="210" s="1"/>
  <c r="K65" i="218"/>
  <c r="K66" i="218" s="1"/>
  <c r="Q38" i="218"/>
  <c r="D50" i="233" s="1"/>
  <c r="Q15" i="218"/>
  <c r="D47" i="233" s="1"/>
  <c r="BA18" i="218"/>
  <c r="U36" i="230"/>
  <c r="V35" i="213"/>
  <c r="R35" i="230"/>
  <c r="M23" i="213"/>
  <c r="I34" i="230"/>
  <c r="G45" i="230"/>
  <c r="V16" i="213"/>
  <c r="R15" i="230"/>
  <c r="L12" i="230"/>
  <c r="C33" i="35"/>
  <c r="L20" i="188"/>
  <c r="AG50" i="218"/>
  <c r="AG58" i="218"/>
  <c r="AG57" i="218"/>
  <c r="AG59" i="218"/>
  <c r="AG42" i="218"/>
  <c r="AG36" i="218"/>
  <c r="AG7" i="218"/>
  <c r="AG29" i="218"/>
  <c r="AG10" i="218"/>
  <c r="AG63" i="218"/>
  <c r="AM37" i="213"/>
  <c r="AN13" i="213"/>
  <c r="R17" i="230"/>
  <c r="J20" i="35"/>
  <c r="F17" i="210" s="1"/>
  <c r="J20" i="116"/>
  <c r="F42" i="210" s="1"/>
  <c r="AS53" i="218"/>
  <c r="AA34" i="218"/>
  <c r="AA56" i="218"/>
  <c r="AA32" i="218"/>
  <c r="AA45" i="218"/>
  <c r="AA59" i="218"/>
  <c r="AA29" i="218"/>
  <c r="AA7" i="218"/>
  <c r="AA49" i="218"/>
  <c r="AA64" i="218"/>
  <c r="AA13" i="218"/>
  <c r="BE45" i="218"/>
  <c r="BE48" i="218"/>
  <c r="BE32" i="218"/>
  <c r="BE57" i="218"/>
  <c r="BE43" i="218"/>
  <c r="BE50" i="218"/>
  <c r="BE7" i="218"/>
  <c r="BE35" i="218"/>
  <c r="BE49" i="218"/>
  <c r="BE10" i="218"/>
  <c r="BE46" i="218"/>
  <c r="BE34" i="218"/>
  <c r="BE63" i="218"/>
  <c r="BE56" i="218"/>
  <c r="BE64" i="218"/>
  <c r="BE42" i="218"/>
  <c r="BE29" i="218"/>
  <c r="BE44" i="218"/>
  <c r="H34" i="230"/>
  <c r="J20" i="198"/>
  <c r="F45" i="210" s="1"/>
  <c r="Q27" i="230"/>
  <c r="J20" i="146"/>
  <c r="BC13" i="218"/>
  <c r="BC37" i="218"/>
  <c r="BC32" i="218"/>
  <c r="BC56" i="218"/>
  <c r="BC14" i="218"/>
  <c r="BC64" i="218"/>
  <c r="BC18" i="218"/>
  <c r="BC29" i="218"/>
  <c r="BC50" i="218"/>
  <c r="BC46" i="218"/>
  <c r="BC48" i="218"/>
  <c r="BC22" i="218"/>
  <c r="BC35" i="218"/>
  <c r="BC7" i="218"/>
  <c r="BC63" i="218"/>
  <c r="BC34" i="218"/>
  <c r="BC49" i="218"/>
  <c r="BC36" i="218"/>
  <c r="C54" i="194"/>
  <c r="I17" i="230"/>
  <c r="AL37" i="213"/>
  <c r="Y66" i="218"/>
  <c r="M19" i="218"/>
  <c r="M49" i="218"/>
  <c r="M37" i="218"/>
  <c r="M52" i="218"/>
  <c r="M43" i="218"/>
  <c r="M18" i="218"/>
  <c r="M63" i="218"/>
  <c r="M64" i="218"/>
  <c r="M48" i="218"/>
  <c r="M32" i="218"/>
  <c r="M7" i="218"/>
  <c r="M36" i="218"/>
  <c r="M46" i="218"/>
  <c r="M33" i="218"/>
  <c r="M13" i="218"/>
  <c r="M56" i="218"/>
  <c r="M29" i="218"/>
  <c r="M35" i="218"/>
  <c r="M57" i="218"/>
  <c r="M23" i="218"/>
  <c r="M58" i="218"/>
  <c r="M42" i="218"/>
  <c r="AN34" i="213"/>
  <c r="AK26" i="213"/>
  <c r="W44" i="218"/>
  <c r="W10" i="218"/>
  <c r="W7" i="218"/>
  <c r="W58" i="218"/>
  <c r="W14" i="218"/>
  <c r="W42" i="218"/>
  <c r="W43" i="218"/>
  <c r="W32" i="218"/>
  <c r="W64" i="218"/>
  <c r="W29" i="218"/>
  <c r="W23" i="218"/>
  <c r="W34" i="218"/>
  <c r="W36" i="218"/>
  <c r="W63" i="218"/>
  <c r="W56" i="218"/>
  <c r="J32" i="146"/>
  <c r="I27" i="210" s="1"/>
  <c r="Q53" i="218"/>
  <c r="Q54" i="218" s="1"/>
  <c r="C59" i="202"/>
  <c r="W50" i="218"/>
  <c r="W47" i="218"/>
  <c r="AA48" i="218"/>
  <c r="AG18" i="218"/>
  <c r="AS24" i="218"/>
  <c r="BC43" i="218"/>
  <c r="BC59" i="218"/>
  <c r="BC44" i="218"/>
  <c r="BC45" i="218"/>
  <c r="AM51" i="218"/>
  <c r="AG43" i="218"/>
  <c r="BE37" i="218"/>
  <c r="P29" i="214"/>
  <c r="G12" i="220"/>
  <c r="K12" i="220" s="1"/>
  <c r="I39" i="81"/>
  <c r="J24" i="213" s="1"/>
  <c r="C58" i="81"/>
  <c r="C59" i="81" s="1"/>
  <c r="AA44" i="218"/>
  <c r="BE18" i="218"/>
  <c r="BE51" i="218"/>
  <c r="I35" i="188"/>
  <c r="L35" i="188" s="1"/>
  <c r="M38" i="230"/>
  <c r="H24" i="229"/>
  <c r="AM7" i="218"/>
  <c r="I36" i="81"/>
  <c r="I24" i="213" s="1"/>
  <c r="C44" i="151"/>
  <c r="W51" i="218"/>
  <c r="W46" i="218"/>
  <c r="W45" i="218"/>
  <c r="AA50" i="218"/>
  <c r="AA36" i="218"/>
  <c r="AG13" i="218"/>
  <c r="AG33" i="218"/>
  <c r="BE19" i="218"/>
  <c r="W19" i="218"/>
  <c r="BE22" i="218"/>
  <c r="BE36" i="218"/>
  <c r="BS53" i="218"/>
  <c r="BS54" i="218" s="1"/>
  <c r="C59" i="194"/>
  <c r="BO66" i="218" s="1"/>
  <c r="W33" i="218"/>
  <c r="AA22" i="218"/>
  <c r="AA35" i="218"/>
  <c r="AA37" i="218"/>
  <c r="AG37" i="218"/>
  <c r="AG64" i="218"/>
  <c r="BE58" i="218"/>
  <c r="BO38" i="218"/>
  <c r="D225" i="233" s="1"/>
  <c r="BC58" i="218"/>
  <c r="AM11" i="218"/>
  <c r="W22" i="218"/>
  <c r="M51" i="218"/>
  <c r="AM19" i="218"/>
  <c r="AG56" i="218"/>
  <c r="AM48" i="218"/>
  <c r="AM43" i="218"/>
  <c r="G23" i="209"/>
  <c r="C50" i="81"/>
  <c r="C38" i="81"/>
  <c r="C42" i="81"/>
  <c r="AA46" i="218"/>
  <c r="BE47" i="218"/>
  <c r="C21" i="181"/>
  <c r="G43" i="209"/>
  <c r="W13" i="218"/>
  <c r="W57" i="218"/>
  <c r="W18" i="218"/>
  <c r="Y20" i="218"/>
  <c r="AA52" i="218"/>
  <c r="AA58" i="218"/>
  <c r="AG35" i="218"/>
  <c r="AG32" i="218"/>
  <c r="AS20" i="218"/>
  <c r="BE59" i="218"/>
  <c r="C28" i="151"/>
  <c r="C32" i="151" s="1"/>
  <c r="BC52" i="218"/>
  <c r="AM37" i="218"/>
  <c r="AA19" i="218"/>
  <c r="AG46" i="218"/>
  <c r="K19" i="218"/>
  <c r="BK6" i="218"/>
  <c r="BK23" i="218" s="1"/>
  <c r="D25" i="210"/>
  <c r="M25" i="230"/>
  <c r="C44" i="81"/>
  <c r="C37" i="81"/>
  <c r="AE6" i="218"/>
  <c r="AE19" i="218" s="1"/>
  <c r="AG11" i="218"/>
  <c r="BE11" i="218"/>
  <c r="G22" i="209"/>
  <c r="J32" i="20"/>
  <c r="I35" i="210" s="1"/>
  <c r="AG19" i="218"/>
  <c r="M45" i="218"/>
  <c r="M11" i="218"/>
  <c r="M34" i="218"/>
  <c r="W48" i="218"/>
  <c r="W52" i="218"/>
  <c r="AA14" i="218"/>
  <c r="AA11" i="218"/>
  <c r="AA51" i="218"/>
  <c r="AA18" i="218"/>
  <c r="AG44" i="218"/>
  <c r="BC47" i="218"/>
  <c r="BC23" i="218"/>
  <c r="O46" i="220"/>
  <c r="M44" i="218"/>
  <c r="C7" i="181"/>
  <c r="M12" i="230"/>
  <c r="C46" i="151"/>
  <c r="C41" i="81"/>
  <c r="C40" i="81"/>
  <c r="M49" i="81"/>
  <c r="L25" i="210" s="1"/>
  <c r="BE14" i="218"/>
  <c r="G24" i="220"/>
  <c r="I24" i="220" s="1"/>
  <c r="U6" i="218"/>
  <c r="U18" i="218" s="1"/>
  <c r="BO53" i="218"/>
  <c r="M22" i="218"/>
  <c r="W11" i="218"/>
  <c r="AA33" i="218"/>
  <c r="AG49" i="218"/>
  <c r="AG34" i="218"/>
  <c r="BE13" i="218"/>
  <c r="BC51" i="218"/>
  <c r="P14" i="214"/>
  <c r="AA57" i="218"/>
  <c r="AM14" i="218"/>
  <c r="M50" i="218"/>
  <c r="M47" i="218"/>
  <c r="C41" i="151"/>
  <c r="C42" i="151"/>
  <c r="T11" i="213"/>
  <c r="AM35" i="218"/>
  <c r="C52" i="81"/>
  <c r="G25" i="220"/>
  <c r="BE33" i="218"/>
  <c r="G36" i="209"/>
  <c r="C37" i="61"/>
  <c r="T23" i="213"/>
  <c r="T48" i="213" s="1"/>
  <c r="BC33" i="218"/>
  <c r="W37" i="218"/>
  <c r="AA23" i="218"/>
  <c r="AG14" i="218"/>
  <c r="AG48" i="218"/>
  <c r="N49" i="151"/>
  <c r="M12" i="210" s="1"/>
  <c r="C52" i="151"/>
  <c r="C54" i="151" s="1"/>
  <c r="D12" i="210"/>
  <c r="AM22" i="218"/>
  <c r="AM34" i="218"/>
  <c r="AA47" i="218"/>
  <c r="D24" i="210"/>
  <c r="O35" i="220"/>
  <c r="M14" i="218"/>
  <c r="W59" i="218"/>
  <c r="W35" i="218"/>
  <c r="W49" i="218"/>
  <c r="AG22" i="218"/>
  <c r="AG45" i="218"/>
  <c r="AG52" i="218"/>
  <c r="BC11" i="218"/>
  <c r="BC57" i="218"/>
  <c r="AM33" i="218"/>
  <c r="C25" i="181"/>
  <c r="I21" i="188"/>
  <c r="K21" i="188" s="1"/>
  <c r="C39" i="81"/>
  <c r="C36" i="81"/>
  <c r="C43" i="81"/>
  <c r="O49" i="161"/>
  <c r="N15" i="210" s="1"/>
  <c r="BV24" i="218"/>
  <c r="D26" i="218"/>
  <c r="D39" i="218" s="1"/>
  <c r="BB24" i="218"/>
  <c r="BJ24" i="218"/>
  <c r="BP20" i="218"/>
  <c r="BP26" i="218" s="1"/>
  <c r="AP24" i="218"/>
  <c r="BO23" i="218"/>
  <c r="BO24" i="218" s="1"/>
  <c r="BO26" i="218" s="1"/>
  <c r="F20" i="218"/>
  <c r="F26" i="218" s="1"/>
  <c r="AT24" i="218"/>
  <c r="AT26" i="218" s="1"/>
  <c r="BS23" i="218"/>
  <c r="BS24" i="218" s="1"/>
  <c r="AY23" i="218"/>
  <c r="L26" i="218"/>
  <c r="L39" i="218" s="1"/>
  <c r="L67" i="218" s="1"/>
  <c r="L68" i="218" s="1"/>
  <c r="BM23" i="218"/>
  <c r="BM24" i="218" s="1"/>
  <c r="AJ26" i="218"/>
  <c r="AJ39" i="218" s="1"/>
  <c r="AZ20" i="218"/>
  <c r="BL26" i="218"/>
  <c r="BL39" i="218" s="1"/>
  <c r="BL40" i="218" s="1"/>
  <c r="AK19" i="218"/>
  <c r="AK20" i="218" s="1"/>
  <c r="AX26" i="218"/>
  <c r="AX39" i="218" s="1"/>
  <c r="AX67" i="218" s="1"/>
  <c r="Z20" i="218"/>
  <c r="X24" i="218"/>
  <c r="AN20" i="218"/>
  <c r="AN24" i="218"/>
  <c r="BT20" i="218"/>
  <c r="BT26" i="218" s="1"/>
  <c r="AM23" i="218"/>
  <c r="BU23" i="218"/>
  <c r="BD20" i="218"/>
  <c r="BD26" i="218" s="1"/>
  <c r="X20" i="218"/>
  <c r="AR20" i="218"/>
  <c r="AC23" i="218"/>
  <c r="Q19" i="218"/>
  <c r="Q20" i="218" s="1"/>
  <c r="AF20" i="218"/>
  <c r="T20" i="218"/>
  <c r="BN20" i="218"/>
  <c r="BN26" i="218" s="1"/>
  <c r="BM19" i="218"/>
  <c r="BM20" i="218" s="1"/>
  <c r="N24" i="218"/>
  <c r="N26" i="218" s="1"/>
  <c r="V20" i="218"/>
  <c r="V26" i="218" s="1"/>
  <c r="R82" i="36"/>
  <c r="B25" i="37"/>
  <c r="F68" i="121"/>
  <c r="F71" i="121" s="1"/>
  <c r="F73" i="121" s="1"/>
  <c r="F74" i="121" s="1"/>
  <c r="D28" i="221" s="1"/>
  <c r="B71" i="121"/>
  <c r="B73" i="121" s="1"/>
  <c r="M42" i="188"/>
  <c r="K42" i="188"/>
  <c r="B71" i="146"/>
  <c r="F68" i="146"/>
  <c r="F71" i="146" s="1"/>
  <c r="F73" i="146" s="1"/>
  <c r="F74" i="146" s="1"/>
  <c r="D33" i="221" s="1"/>
  <c r="R82" i="67"/>
  <c r="B25" i="68"/>
  <c r="B25" i="128"/>
  <c r="R82" i="127"/>
  <c r="AN35" i="213"/>
  <c r="L36" i="230"/>
  <c r="F68" i="176"/>
  <c r="F71" i="176" s="1"/>
  <c r="B71" i="176"/>
  <c r="B71" i="116"/>
  <c r="B73" i="116" s="1"/>
  <c r="F68" i="116"/>
  <c r="F71" i="116" s="1"/>
  <c r="F73" i="116" s="1"/>
  <c r="F74" i="116" s="1"/>
  <c r="D27" i="221" s="1"/>
  <c r="B9" i="108"/>
  <c r="AM34" i="213"/>
  <c r="E14" i="50"/>
  <c r="E14" i="150"/>
  <c r="G35" i="121"/>
  <c r="B61" i="194"/>
  <c r="B73" i="194" s="1"/>
  <c r="E39" i="242"/>
  <c r="G39" i="242" s="1"/>
  <c r="X49" i="117"/>
  <c r="N33" i="212" s="1"/>
  <c r="I33" i="161"/>
  <c r="E67" i="160"/>
  <c r="E67" i="40"/>
  <c r="E67" i="140"/>
  <c r="E14" i="145"/>
  <c r="B61" i="202"/>
  <c r="E27" i="242"/>
  <c r="G27" i="242" s="1"/>
  <c r="E67" i="155"/>
  <c r="U22" i="230"/>
  <c r="R22" i="230"/>
  <c r="V21" i="213"/>
  <c r="E14" i="19"/>
  <c r="E67" i="150"/>
  <c r="O15" i="212"/>
  <c r="B61" i="146"/>
  <c r="B73" i="146" s="1"/>
  <c r="E36" i="242"/>
  <c r="G36" i="242" s="1"/>
  <c r="E14" i="160"/>
  <c r="E14" i="165"/>
  <c r="L47" i="194"/>
  <c r="L49" i="194" s="1"/>
  <c r="K46" i="210" s="1"/>
  <c r="L47" i="156"/>
  <c r="L49" i="156" s="1"/>
  <c r="K16" i="210" s="1"/>
  <c r="L47" i="15"/>
  <c r="L49" i="15" s="1"/>
  <c r="K31" i="210" s="1"/>
  <c r="D80" i="223"/>
  <c r="K42" i="212"/>
  <c r="X39" i="195"/>
  <c r="X49" i="195" s="1"/>
  <c r="N42" i="212" s="1"/>
  <c r="D9" i="242"/>
  <c r="D9" i="14"/>
  <c r="Z15" i="218"/>
  <c r="AA10" i="218"/>
  <c r="R36" i="72"/>
  <c r="H16" i="221" s="1"/>
  <c r="W22" i="72"/>
  <c r="G22" i="212" s="1"/>
  <c r="R35" i="72"/>
  <c r="J22" i="212"/>
  <c r="X39" i="72"/>
  <c r="B59" i="76"/>
  <c r="C57" i="76"/>
  <c r="Q35" i="78"/>
  <c r="Q36" i="78"/>
  <c r="G17" i="221" s="1"/>
  <c r="D28" i="219"/>
  <c r="D1142" i="184"/>
  <c r="M44" i="199"/>
  <c r="D57" i="199"/>
  <c r="D108" i="197"/>
  <c r="F42" i="198"/>
  <c r="G35" i="187"/>
  <c r="I35" i="187" s="1"/>
  <c r="C13" i="56"/>
  <c r="F13" i="56"/>
  <c r="D57" i="55"/>
  <c r="F28" i="111"/>
  <c r="D63" i="110"/>
  <c r="C28" i="111"/>
  <c r="C32" i="111" s="1"/>
  <c r="C33" i="111" s="1"/>
  <c r="B32" i="111"/>
  <c r="D12" i="110" s="1"/>
  <c r="L47" i="61"/>
  <c r="L49" i="61" s="1"/>
  <c r="K38" i="210" s="1"/>
  <c r="L47" i="131"/>
  <c r="L49" i="131" s="1"/>
  <c r="K18" i="210" s="1"/>
  <c r="L47" i="146"/>
  <c r="L49" i="146" s="1"/>
  <c r="K27" i="210" s="1"/>
  <c r="J32" i="151"/>
  <c r="I12" i="210" s="1"/>
  <c r="J15" i="2"/>
  <c r="G30" i="210" s="1"/>
  <c r="Q61" i="218"/>
  <c r="W31" i="72"/>
  <c r="H22" i="212"/>
  <c r="F41" i="76"/>
  <c r="D107" i="75"/>
  <c r="D9" i="80"/>
  <c r="D21" i="242"/>
  <c r="Q25" i="231"/>
  <c r="AI25" i="231" s="1"/>
  <c r="M693" i="184"/>
  <c r="P106" i="87"/>
  <c r="AB71" i="97"/>
  <c r="AB72" i="97" s="1"/>
  <c r="J21" i="221" s="1"/>
  <c r="D63" i="95"/>
  <c r="C28" i="96"/>
  <c r="F28" i="96"/>
  <c r="B47" i="101"/>
  <c r="C39" i="101"/>
  <c r="D105" i="100"/>
  <c r="F39" i="101"/>
  <c r="M1684" i="184"/>
  <c r="M2682" i="184" s="1"/>
  <c r="B76" i="181" s="1"/>
  <c r="AP38" i="218"/>
  <c r="C141" i="233" s="1"/>
  <c r="C274" i="233" s="1"/>
  <c r="AQ32" i="218"/>
  <c r="AH53" i="218"/>
  <c r="AH54" i="218" s="1"/>
  <c r="AI46" i="218"/>
  <c r="F68" i="191"/>
  <c r="G68" i="191" s="1"/>
  <c r="E25" i="216"/>
  <c r="P30" i="231"/>
  <c r="M662" i="184"/>
  <c r="M33" i="212"/>
  <c r="O33" i="212" s="1"/>
  <c r="X48" i="117"/>
  <c r="F1943" i="184"/>
  <c r="D61" i="238"/>
  <c r="F32" i="235"/>
  <c r="D61" i="234"/>
  <c r="C32" i="235"/>
  <c r="B38" i="235"/>
  <c r="D73" i="141"/>
  <c r="J15" i="25"/>
  <c r="G13" i="242"/>
  <c r="N47" i="46"/>
  <c r="N49" i="46" s="1"/>
  <c r="M37" i="210" s="1"/>
  <c r="D14" i="201"/>
  <c r="O47" i="106"/>
  <c r="O49" i="106" s="1"/>
  <c r="N29" i="210" s="1"/>
  <c r="M2215" i="184"/>
  <c r="M2243" i="184" s="1"/>
  <c r="N66" i="218"/>
  <c r="B47" i="71"/>
  <c r="D108" i="70"/>
  <c r="C42" i="71"/>
  <c r="F42" i="71"/>
  <c r="E47" i="71"/>
  <c r="E61" i="71" s="1"/>
  <c r="E73" i="71" s="1"/>
  <c r="F38" i="71"/>
  <c r="F47" i="71" s="1"/>
  <c r="I85" i="78"/>
  <c r="I1478" i="184"/>
  <c r="AM18" i="218"/>
  <c r="AL20" i="218"/>
  <c r="AL26" i="218" s="1"/>
  <c r="AL27" i="218" s="1"/>
  <c r="M1423" i="184"/>
  <c r="M2673" i="184" s="1"/>
  <c r="B67" i="181" s="1"/>
  <c r="D66" i="180" s="1"/>
  <c r="M663" i="184"/>
  <c r="B18" i="101"/>
  <c r="G1145" i="184"/>
  <c r="M44" i="203"/>
  <c r="G57" i="203"/>
  <c r="AR15" i="218"/>
  <c r="AS14" i="218"/>
  <c r="AS15" i="218" s="1"/>
  <c r="L224" i="191"/>
  <c r="M224" i="191" s="1"/>
  <c r="X68" i="107"/>
  <c r="C36" i="106"/>
  <c r="F36" i="106"/>
  <c r="D102" i="105"/>
  <c r="Q31" i="231"/>
  <c r="AI31" i="231" s="1"/>
  <c r="M708" i="184"/>
  <c r="M1115" i="184"/>
  <c r="B19" i="106"/>
  <c r="AB31" i="231"/>
  <c r="AJ31" i="231" s="1"/>
  <c r="F46" i="106"/>
  <c r="K46" i="106" s="1"/>
  <c r="O46" i="106" s="1"/>
  <c r="C46" i="106"/>
  <c r="D112" i="105"/>
  <c r="R30" i="107"/>
  <c r="O19" i="212"/>
  <c r="L54" i="223"/>
  <c r="L56" i="223" s="1"/>
  <c r="J20" i="141"/>
  <c r="J20" i="166"/>
  <c r="J20" i="121"/>
  <c r="D61" i="56"/>
  <c r="D73" i="56" s="1"/>
  <c r="J38" i="212"/>
  <c r="X39" i="142"/>
  <c r="X49" i="142" s="1"/>
  <c r="N38" i="212" s="1"/>
  <c r="F54" i="141"/>
  <c r="N21" i="220"/>
  <c r="O21" i="220" s="1"/>
  <c r="M46" i="184"/>
  <c r="M2628" i="184" s="1"/>
  <c r="Y45" i="218"/>
  <c r="Y53" i="218" s="1"/>
  <c r="Y54" i="218" s="1"/>
  <c r="X53" i="218"/>
  <c r="X54" i="218" s="1"/>
  <c r="U39" i="227"/>
  <c r="B54" i="76"/>
  <c r="F53" i="76"/>
  <c r="C53" i="76"/>
  <c r="C54" i="76" s="1"/>
  <c r="D30" i="76"/>
  <c r="B32" i="76"/>
  <c r="C30" i="76"/>
  <c r="C32" i="76" s="1"/>
  <c r="C58" i="76"/>
  <c r="F58" i="76"/>
  <c r="F59" i="76" s="1"/>
  <c r="D106" i="75"/>
  <c r="B47" i="76"/>
  <c r="F40" i="76"/>
  <c r="C40" i="76"/>
  <c r="C47" i="76" s="1"/>
  <c r="AB53" i="218"/>
  <c r="AB54" i="218" s="1"/>
  <c r="AC42" i="218"/>
  <c r="F52" i="91"/>
  <c r="C52" i="91"/>
  <c r="I1140" i="184"/>
  <c r="I57" i="97"/>
  <c r="C30" i="96"/>
  <c r="D65" i="95"/>
  <c r="D30" i="96"/>
  <c r="B32" i="198"/>
  <c r="F28" i="198"/>
  <c r="C28" i="198"/>
  <c r="D14" i="110"/>
  <c r="L47" i="126"/>
  <c r="L49" i="126" s="1"/>
  <c r="K14" i="210" s="1"/>
  <c r="J15" i="35"/>
  <c r="G17" i="210" s="1"/>
  <c r="W36" i="227"/>
  <c r="J15" i="51"/>
  <c r="G40" i="210" s="1"/>
  <c r="J20" i="218"/>
  <c r="J26" i="218" s="1"/>
  <c r="K18" i="218"/>
  <c r="M36" i="227"/>
  <c r="D2641" i="184"/>
  <c r="D55" i="219"/>
  <c r="F55" i="219" s="1"/>
  <c r="F60" i="219" s="1"/>
  <c r="G130" i="191"/>
  <c r="P49" i="227"/>
  <c r="X60" i="218"/>
  <c r="X61" i="218" s="1"/>
  <c r="Y57" i="218"/>
  <c r="Y60" i="218" s="1"/>
  <c r="Y61" i="218" s="1"/>
  <c r="C50" i="71"/>
  <c r="C54" i="71" s="1"/>
  <c r="F50" i="71"/>
  <c r="F54" i="71" s="1"/>
  <c r="B54" i="71"/>
  <c r="C29" i="71"/>
  <c r="D64" i="70"/>
  <c r="B32" i="71"/>
  <c r="D12" i="70" s="1"/>
  <c r="C50" i="91"/>
  <c r="F50" i="91"/>
  <c r="F54" i="91" s="1"/>
  <c r="B54" i="91"/>
  <c r="AB26" i="231"/>
  <c r="AJ26" i="231" s="1"/>
  <c r="B19" i="91"/>
  <c r="M1121" i="184"/>
  <c r="B15" i="96"/>
  <c r="E38" i="187"/>
  <c r="I38" i="187" s="1"/>
  <c r="F11" i="96"/>
  <c r="C11" i="96"/>
  <c r="C15" i="96" s="1"/>
  <c r="C28" i="101"/>
  <c r="F28" i="101"/>
  <c r="D63" i="100"/>
  <c r="B32" i="101"/>
  <c r="D12" i="100" s="1"/>
  <c r="AG23" i="218"/>
  <c r="AF24" i="218"/>
  <c r="L28" i="191"/>
  <c r="M28" i="191" s="1"/>
  <c r="X68" i="199"/>
  <c r="R69" i="199"/>
  <c r="F361" i="191" s="1"/>
  <c r="F213" i="191"/>
  <c r="G213" i="191" s="1"/>
  <c r="H24" i="216"/>
  <c r="F31" i="198"/>
  <c r="C31" i="198"/>
  <c r="D66" i="197"/>
  <c r="AG47" i="218"/>
  <c r="B54" i="111"/>
  <c r="C52" i="111"/>
  <c r="C54" i="111" s="1"/>
  <c r="F17" i="188"/>
  <c r="B33" i="71"/>
  <c r="AK31" i="231"/>
  <c r="L47" i="151"/>
  <c r="L49" i="151" s="1"/>
  <c r="K12" i="210" s="1"/>
  <c r="N47" i="25"/>
  <c r="N49" i="25" s="1"/>
  <c r="M32" i="210" s="1"/>
  <c r="Q66" i="218"/>
  <c r="W22" i="227"/>
  <c r="AU54" i="218"/>
  <c r="J23" i="212"/>
  <c r="X39" i="78"/>
  <c r="AK47" i="218"/>
  <c r="AK53" i="218" s="1"/>
  <c r="AK54" i="218" s="1"/>
  <c r="AJ53" i="218"/>
  <c r="AJ54" i="218" s="1"/>
  <c r="L1496" i="184"/>
  <c r="L85" i="92"/>
  <c r="L119" i="191"/>
  <c r="M119" i="191" s="1"/>
  <c r="X68" i="92"/>
  <c r="AL15" i="218"/>
  <c r="AM10" i="218"/>
  <c r="B59" i="91"/>
  <c r="F57" i="91"/>
  <c r="F59" i="91" s="1"/>
  <c r="C57" i="91"/>
  <c r="C59" i="91" s="1"/>
  <c r="F36" i="91"/>
  <c r="C36" i="91"/>
  <c r="C45" i="101"/>
  <c r="F45" i="101"/>
  <c r="AI36" i="218"/>
  <c r="AH38" i="218"/>
  <c r="C113" i="233" s="1"/>
  <c r="AT60" i="218"/>
  <c r="AT61" i="218" s="1"/>
  <c r="AU57" i="218"/>
  <c r="O21" i="212"/>
  <c r="L47" i="76"/>
  <c r="L49" i="76" s="1"/>
  <c r="K39" i="210" s="1"/>
  <c r="J20" i="151"/>
  <c r="AK26" i="231"/>
  <c r="D73" i="86"/>
  <c r="J14" i="171"/>
  <c r="J15" i="171" s="1"/>
  <c r="G26" i="210" s="1"/>
  <c r="F15" i="171"/>
  <c r="F44" i="15"/>
  <c r="F47" i="15" s="1"/>
  <c r="D47" i="15"/>
  <c r="D61" i="65"/>
  <c r="F26" i="66"/>
  <c r="C26" i="66"/>
  <c r="C32" i="66" s="1"/>
  <c r="C33" i="66" s="1"/>
  <c r="C61" i="66" s="1"/>
  <c r="B15" i="71"/>
  <c r="D55" i="70"/>
  <c r="F11" i="71"/>
  <c r="C11" i="71"/>
  <c r="C15" i="71" s="1"/>
  <c r="AA43" i="218"/>
  <c r="Z53" i="218"/>
  <c r="Z54" i="218" s="1"/>
  <c r="Z65" i="218"/>
  <c r="Z66" i="218" s="1"/>
  <c r="AA63" i="218"/>
  <c r="M44" i="72"/>
  <c r="I1147" i="184"/>
  <c r="I57" i="72"/>
  <c r="D1484" i="184"/>
  <c r="D85" i="72"/>
  <c r="L33" i="214"/>
  <c r="L34" i="229"/>
  <c r="K32" i="209"/>
  <c r="M32" i="209" s="1"/>
  <c r="N32" i="209" s="1"/>
  <c r="P32" i="209" s="1"/>
  <c r="Q32" i="209" s="1"/>
  <c r="J23" i="86"/>
  <c r="R36" i="97"/>
  <c r="H21" i="221" s="1"/>
  <c r="R35" i="97"/>
  <c r="W22" i="97"/>
  <c r="G27" i="212" s="1"/>
  <c r="M13" i="227"/>
  <c r="Q35" i="199"/>
  <c r="Q36" i="199"/>
  <c r="G23" i="221" s="1"/>
  <c r="AI11" i="218"/>
  <c r="AH15" i="218"/>
  <c r="K36" i="202"/>
  <c r="L36" i="202" s="1"/>
  <c r="I36" i="202"/>
  <c r="I46" i="213" s="1"/>
  <c r="D60" i="110"/>
  <c r="F23" i="111"/>
  <c r="D11" i="110"/>
  <c r="L47" i="71"/>
  <c r="L49" i="71" s="1"/>
  <c r="K23" i="210" s="1"/>
  <c r="J32" i="86"/>
  <c r="I34" i="210" s="1"/>
  <c r="N47" i="116"/>
  <c r="N49" i="116" s="1"/>
  <c r="M42" i="210" s="1"/>
  <c r="F23" i="188"/>
  <c r="L47" i="20"/>
  <c r="L49" i="20" s="1"/>
  <c r="K35" i="210" s="1"/>
  <c r="M47" i="106"/>
  <c r="M49" i="106" s="1"/>
  <c r="L29" i="210" s="1"/>
  <c r="J14" i="76"/>
  <c r="J15" i="76" s="1"/>
  <c r="G14" i="76"/>
  <c r="M2660" i="184"/>
  <c r="B55" i="181" s="1"/>
  <c r="D12" i="242"/>
  <c r="G12" i="242" s="1"/>
  <c r="D9" i="34"/>
  <c r="K41" i="71"/>
  <c r="I41" i="71"/>
  <c r="K22" i="213" s="1"/>
  <c r="L1147" i="184"/>
  <c r="L57" i="72"/>
  <c r="D85" i="78"/>
  <c r="D1478" i="184"/>
  <c r="AO32" i="218"/>
  <c r="AN38" i="218"/>
  <c r="C134" i="233" s="1"/>
  <c r="R49" i="227"/>
  <c r="Q36" i="102"/>
  <c r="G22" i="221" s="1"/>
  <c r="Q35" i="102"/>
  <c r="F41" i="101"/>
  <c r="D107" i="100"/>
  <c r="C41" i="101"/>
  <c r="E28" i="231"/>
  <c r="AG28" i="231" s="1"/>
  <c r="P105" i="102"/>
  <c r="F142" i="191"/>
  <c r="G142" i="191" s="1"/>
  <c r="F25" i="216"/>
  <c r="F59" i="202"/>
  <c r="F61" i="202" s="1"/>
  <c r="F45" i="111"/>
  <c r="B47" i="111"/>
  <c r="D111" i="110"/>
  <c r="Y38" i="218"/>
  <c r="D78" i="233" s="1"/>
  <c r="D61" i="71"/>
  <c r="D73" i="71" s="1"/>
  <c r="D33" i="198"/>
  <c r="D61" i="198" s="1"/>
  <c r="F715" i="184"/>
  <c r="W38" i="97"/>
  <c r="M154" i="191"/>
  <c r="F22" i="191"/>
  <c r="G22" i="191" s="1"/>
  <c r="D31" i="216"/>
  <c r="D112" i="222"/>
  <c r="D114" i="222" s="1"/>
  <c r="F53" i="223"/>
  <c r="C53" i="223"/>
  <c r="C54" i="223" s="1"/>
  <c r="AG26" i="231"/>
  <c r="D61" i="101"/>
  <c r="D73" i="101" s="1"/>
  <c r="O47" i="202"/>
  <c r="O49" i="202" s="1"/>
  <c r="N47" i="210" s="1"/>
  <c r="M47" i="56"/>
  <c r="M49" i="56" s="1"/>
  <c r="L24" i="210" s="1"/>
  <c r="M40" i="191"/>
  <c r="AU15" i="218"/>
  <c r="AJ32" i="231"/>
  <c r="F38" i="141"/>
  <c r="F47" i="141" s="1"/>
  <c r="O47" i="131"/>
  <c r="O49" i="131" s="1"/>
  <c r="N18" i="210" s="1"/>
  <c r="AK66" i="218"/>
  <c r="M39" i="227"/>
  <c r="F57" i="21"/>
  <c r="M237" i="191"/>
  <c r="R30" i="92"/>
  <c r="D33" i="106"/>
  <c r="D61" i="106" s="1"/>
  <c r="D73" i="106" s="1"/>
  <c r="E73" i="156"/>
  <c r="D14" i="85"/>
  <c r="O47" i="96"/>
  <c r="O49" i="96" s="1"/>
  <c r="N13" i="210" s="1"/>
  <c r="AP54" i="218"/>
  <c r="J32" i="106"/>
  <c r="I29" i="210" s="1"/>
  <c r="D61" i="116"/>
  <c r="D73" i="116" s="1"/>
  <c r="J15" i="116"/>
  <c r="D33" i="81"/>
  <c r="D61" i="81" s="1"/>
  <c r="F59" i="86"/>
  <c r="F61" i="86" s="1"/>
  <c r="F73" i="86" s="1"/>
  <c r="F74" i="86" s="1"/>
  <c r="D19" i="221" s="1"/>
  <c r="H1460" i="184"/>
  <c r="E2243" i="184"/>
  <c r="W43" i="26"/>
  <c r="M277" i="191"/>
  <c r="AH65" i="218"/>
  <c r="AH66" i="218" s="1"/>
  <c r="L54" i="235"/>
  <c r="L56" i="235" s="1"/>
  <c r="D61" i="111"/>
  <c r="BI65" i="218"/>
  <c r="BI66" i="218" s="1"/>
  <c r="BM38" i="218"/>
  <c r="D218" i="233" s="1"/>
  <c r="D67" i="222"/>
  <c r="F29" i="223"/>
  <c r="F39" i="223" s="1"/>
  <c r="C29" i="223"/>
  <c r="D13" i="222"/>
  <c r="D14" i="222" s="1"/>
  <c r="X75" i="236"/>
  <c r="V77" i="236" s="1"/>
  <c r="AA78" i="236"/>
  <c r="AB76" i="236"/>
  <c r="N47" i="66"/>
  <c r="N49" i="66" s="1"/>
  <c r="M22" i="210" s="1"/>
  <c r="W45" i="227"/>
  <c r="AJ30" i="231"/>
  <c r="J20" i="235"/>
  <c r="AU60" i="218"/>
  <c r="AU61" i="218" s="1"/>
  <c r="G40" i="191"/>
  <c r="J32" i="116"/>
  <c r="I42" i="210" s="1"/>
  <c r="I21" i="187"/>
  <c r="D61" i="161"/>
  <c r="M163" i="191"/>
  <c r="U22" i="227"/>
  <c r="U49" i="227" s="1"/>
  <c r="F2130" i="184"/>
  <c r="M2130" i="184"/>
  <c r="W27" i="112"/>
  <c r="C65" i="235"/>
  <c r="F65" i="235"/>
  <c r="F66" i="235" s="1"/>
  <c r="F57" i="156"/>
  <c r="F59" i="156" s="1"/>
  <c r="F61" i="156" s="1"/>
  <c r="C57" i="156"/>
  <c r="C59" i="156" s="1"/>
  <c r="D54" i="216"/>
  <c r="R76" i="236"/>
  <c r="F31" i="166"/>
  <c r="D66" i="165"/>
  <c r="D67" i="165" s="1"/>
  <c r="C31" i="166"/>
  <c r="C32" i="166" s="1"/>
  <c r="C33" i="166" s="1"/>
  <c r="C61" i="166" s="1"/>
  <c r="AH21" i="231"/>
  <c r="E73" i="76"/>
  <c r="AJ61" i="218"/>
  <c r="AI28" i="231"/>
  <c r="J15" i="198"/>
  <c r="G45" i="210" s="1"/>
  <c r="W41" i="227"/>
  <c r="M47" i="131"/>
  <c r="M49" i="131" s="1"/>
  <c r="L18" i="210" s="1"/>
  <c r="D33" i="41"/>
  <c r="D61" i="41" s="1"/>
  <c r="D73" i="41" s="1"/>
  <c r="W47" i="227"/>
  <c r="Q36" i="224"/>
  <c r="G48" i="221" s="1"/>
  <c r="Q35" i="224"/>
  <c r="C30" i="136"/>
  <c r="C32" i="136" s="1"/>
  <c r="B32" i="136"/>
  <c r="D12" i="135" s="1"/>
  <c r="D30" i="136"/>
  <c r="D65" i="135"/>
  <c r="D62" i="238"/>
  <c r="C33" i="235"/>
  <c r="F33" i="235"/>
  <c r="J33" i="235" s="1"/>
  <c r="D62" i="234"/>
  <c r="AK61" i="218"/>
  <c r="L1460" i="184"/>
  <c r="D54" i="45"/>
  <c r="C10" i="46"/>
  <c r="D34" i="187"/>
  <c r="D49" i="187" s="1"/>
  <c r="D52" i="187" s="1"/>
  <c r="D73" i="187" s="1"/>
  <c r="F10" i="46"/>
  <c r="I2130" i="184"/>
  <c r="K2674" i="184"/>
  <c r="I715" i="184"/>
  <c r="W27" i="203"/>
  <c r="D44" i="132"/>
  <c r="BJ19" i="218"/>
  <c r="BJ20" i="218" s="1"/>
  <c r="L1943" i="184"/>
  <c r="M295" i="191"/>
  <c r="M18" i="224"/>
  <c r="P112" i="224" s="1"/>
  <c r="C305" i="191"/>
  <c r="M126" i="191"/>
  <c r="L2130" i="184"/>
  <c r="G184" i="191"/>
  <c r="B66" i="235"/>
  <c r="D1137" i="184"/>
  <c r="D57" i="142"/>
  <c r="M270" i="191"/>
  <c r="M204" i="191"/>
  <c r="C66" i="235"/>
  <c r="E44" i="52"/>
  <c r="M197" i="191"/>
  <c r="H2130" i="184"/>
  <c r="C120" i="191"/>
  <c r="M107" i="191"/>
  <c r="E715" i="184"/>
  <c r="D35" i="219"/>
  <c r="M10" i="191"/>
  <c r="F76" i="181"/>
  <c r="K76" i="181" s="1"/>
  <c r="M76" i="181" s="1"/>
  <c r="S69" i="236"/>
  <c r="M216" i="191"/>
  <c r="W38" i="203"/>
  <c r="L2674" i="184"/>
  <c r="K2701" i="184"/>
  <c r="G863" i="184"/>
  <c r="G2653" i="184" s="1"/>
  <c r="L715" i="184"/>
  <c r="M101" i="191"/>
  <c r="M278" i="191"/>
  <c r="D44" i="161"/>
  <c r="D47" i="161" s="1"/>
  <c r="D110" i="160"/>
  <c r="F44" i="161"/>
  <c r="N47" i="161"/>
  <c r="N49" i="161" s="1"/>
  <c r="M15" i="210" s="1"/>
  <c r="G37" i="191"/>
  <c r="L305" i="191"/>
  <c r="M20" i="191"/>
  <c r="F176" i="191"/>
  <c r="G176" i="191" s="1"/>
  <c r="F128" i="191"/>
  <c r="G128" i="191" s="1"/>
  <c r="F39" i="166"/>
  <c r="H194" i="191"/>
  <c r="E68" i="41"/>
  <c r="E71" i="41" s="1"/>
  <c r="E73" i="41" s="1"/>
  <c r="F57" i="82"/>
  <c r="E22" i="216"/>
  <c r="D15" i="151"/>
  <c r="D33" i="151" s="1"/>
  <c r="D54" i="194"/>
  <c r="D61" i="194" s="1"/>
  <c r="D73" i="194" s="1"/>
  <c r="E68" i="81"/>
  <c r="E71" i="81" s="1"/>
  <c r="D20" i="81"/>
  <c r="K71" i="13"/>
  <c r="L57" i="82"/>
  <c r="AD60" i="218"/>
  <c r="AD61" i="218" s="1"/>
  <c r="G202" i="191"/>
  <c r="G175" i="191"/>
  <c r="L2243" i="184"/>
  <c r="K231" i="184"/>
  <c r="M32" i="13"/>
  <c r="D71" i="16"/>
  <c r="M1312" i="184"/>
  <c r="M2670" i="184" s="1"/>
  <c r="B64" i="181" s="1"/>
  <c r="M78" i="122"/>
  <c r="M2126" i="184" s="1"/>
  <c r="BP60" i="218"/>
  <c r="BP61" i="218" s="1"/>
  <c r="M82" i="191"/>
  <c r="F44" i="162"/>
  <c r="I2243" i="184"/>
  <c r="M67" i="13"/>
  <c r="M70" i="13"/>
  <c r="L106" i="82"/>
  <c r="L118" i="82" s="1"/>
  <c r="L102" i="82" s="1"/>
  <c r="F18" i="221" s="1"/>
  <c r="D54" i="51"/>
  <c r="F52" i="151"/>
  <c r="F54" i="151" s="1"/>
  <c r="M22" i="13"/>
  <c r="W33" i="203"/>
  <c r="W35" i="203" s="1"/>
  <c r="J30" i="212" s="1"/>
  <c r="X61" i="177"/>
  <c r="J1943" i="184"/>
  <c r="J1460" i="184"/>
  <c r="D15" i="146"/>
  <c r="D33" i="146" s="1"/>
  <c r="D61" i="146" s="1"/>
  <c r="D73" i="146" s="1"/>
  <c r="G57" i="13"/>
  <c r="F43" i="161"/>
  <c r="B47" i="161"/>
  <c r="B61" i="161" s="1"/>
  <c r="I231" i="184"/>
  <c r="M75" i="13"/>
  <c r="I1851" i="184"/>
  <c r="I1869" i="184" s="1"/>
  <c r="I2687" i="184" s="1"/>
  <c r="M69" i="199"/>
  <c r="T60" i="127"/>
  <c r="G861" i="184"/>
  <c r="D14" i="239"/>
  <c r="M14" i="240"/>
  <c r="B14" i="239" s="1"/>
  <c r="E18" i="240"/>
  <c r="M19" i="240"/>
  <c r="E78" i="31"/>
  <c r="H18" i="240"/>
  <c r="J18" i="240"/>
  <c r="M66" i="31"/>
  <c r="B42" i="30" s="1"/>
  <c r="L112" i="240"/>
  <c r="M34" i="240"/>
  <c r="H42" i="240"/>
  <c r="H44" i="240" s="1"/>
  <c r="M40" i="240"/>
  <c r="I62" i="240"/>
  <c r="F15" i="31"/>
  <c r="M56" i="31"/>
  <c r="B32" i="30" s="1"/>
  <c r="F62" i="31"/>
  <c r="I29" i="26"/>
  <c r="D64" i="239"/>
  <c r="D66" i="239" s="1"/>
  <c r="F90" i="240"/>
  <c r="M13" i="31"/>
  <c r="D77" i="239"/>
  <c r="F77" i="239" s="1"/>
  <c r="B36" i="239"/>
  <c r="F15" i="240"/>
  <c r="G29" i="240"/>
  <c r="M24" i="240"/>
  <c r="W45" i="240" s="1"/>
  <c r="F29" i="240"/>
  <c r="D18" i="239" s="1"/>
  <c r="M26" i="240"/>
  <c r="D32" i="239"/>
  <c r="F62" i="240"/>
  <c r="M56" i="240"/>
  <c r="B32" i="239" s="1"/>
  <c r="D59" i="239"/>
  <c r="F85" i="240"/>
  <c r="M11" i="31"/>
  <c r="B11" i="30" s="1"/>
  <c r="J78" i="31"/>
  <c r="K112" i="31"/>
  <c r="L15" i="47"/>
  <c r="M15" i="47" s="1"/>
  <c r="F56" i="16"/>
  <c r="I15" i="240"/>
  <c r="M47" i="240"/>
  <c r="B23" i="239" s="1"/>
  <c r="J85" i="240"/>
  <c r="E15" i="31"/>
  <c r="L15" i="31"/>
  <c r="I112" i="31"/>
  <c r="L29" i="31"/>
  <c r="L44" i="31" s="1"/>
  <c r="J29" i="31"/>
  <c r="J44" i="31" s="1"/>
  <c r="J63" i="31" s="1"/>
  <c r="F31" i="31"/>
  <c r="M34" i="31"/>
  <c r="M39" i="31"/>
  <c r="E62" i="31"/>
  <c r="H62" i="31"/>
  <c r="L78" i="31"/>
  <c r="O70" i="31"/>
  <c r="R70" i="31" s="1"/>
  <c r="T73" i="31"/>
  <c r="X73" i="31" s="1"/>
  <c r="M75" i="31"/>
  <c r="M76" i="31"/>
  <c r="B52" i="30" s="1"/>
  <c r="M77" i="31"/>
  <c r="B53" i="30" s="1"/>
  <c r="H85" i="31"/>
  <c r="M99" i="31"/>
  <c r="M69" i="240"/>
  <c r="M69" i="31"/>
  <c r="M69" i="236"/>
  <c r="M21" i="31"/>
  <c r="F29" i="31"/>
  <c r="D18" i="30" s="1"/>
  <c r="M27" i="31"/>
  <c r="M35" i="31"/>
  <c r="K62" i="31"/>
  <c r="M97" i="31"/>
  <c r="AB77" i="31" s="1"/>
  <c r="I603" i="184"/>
  <c r="I2645" i="184" s="1"/>
  <c r="F1048" i="184"/>
  <c r="F2658" i="184" s="1"/>
  <c r="F2660" i="184" s="1"/>
  <c r="H1906" i="184"/>
  <c r="H2688" i="184" s="1"/>
  <c r="L2093" i="184"/>
  <c r="L2695" i="184" s="1"/>
  <c r="M11" i="240"/>
  <c r="B11" i="239" s="1"/>
  <c r="J15" i="240"/>
  <c r="O70" i="240"/>
  <c r="R70" i="240" s="1"/>
  <c r="F56" i="216" s="1"/>
  <c r="F47" i="239"/>
  <c r="K47" i="239" s="1"/>
  <c r="M47" i="239" s="1"/>
  <c r="D61" i="239"/>
  <c r="L85" i="240"/>
  <c r="M84" i="240"/>
  <c r="B60" i="239" s="1"/>
  <c r="M95" i="240"/>
  <c r="AA76" i="240" s="1"/>
  <c r="AB76" i="240" s="1"/>
  <c r="M96" i="240"/>
  <c r="M97" i="240"/>
  <c r="AB77" i="240" s="1"/>
  <c r="M98" i="240"/>
  <c r="K15" i="31"/>
  <c r="H15" i="31"/>
  <c r="G29" i="31"/>
  <c r="I42" i="31"/>
  <c r="M68" i="31"/>
  <c r="M73" i="31"/>
  <c r="B49" i="30" s="1"/>
  <c r="X69" i="240"/>
  <c r="M22" i="240"/>
  <c r="L18" i="240"/>
  <c r="K29" i="240"/>
  <c r="K44" i="240" s="1"/>
  <c r="H31" i="240"/>
  <c r="I31" i="240"/>
  <c r="M39" i="240"/>
  <c r="W25" i="240" s="1"/>
  <c r="K31" i="31"/>
  <c r="J62" i="31"/>
  <c r="T74" i="31"/>
  <c r="D90" i="31"/>
  <c r="M96" i="31"/>
  <c r="D31" i="236"/>
  <c r="M31" i="236" s="1"/>
  <c r="P113" i="236" s="1"/>
  <c r="S69" i="240"/>
  <c r="G15" i="240"/>
  <c r="M13" i="240"/>
  <c r="L15" i="240"/>
  <c r="M23" i="240"/>
  <c r="Q22" i="240" s="1"/>
  <c r="J31" i="240"/>
  <c r="J78" i="240"/>
  <c r="M70" i="240"/>
  <c r="B46" i="239" s="1"/>
  <c r="C46" i="239" s="1"/>
  <c r="O71" i="240"/>
  <c r="R71" i="240" s="1"/>
  <c r="G56" i="216" s="1"/>
  <c r="M72" i="240"/>
  <c r="M76" i="240"/>
  <c r="B52" i="239" s="1"/>
  <c r="G85" i="240"/>
  <c r="M83" i="240"/>
  <c r="B59" i="239" s="1"/>
  <c r="M25" i="31"/>
  <c r="I15" i="31"/>
  <c r="M22" i="31"/>
  <c r="W29" i="31" s="1"/>
  <c r="F18" i="31"/>
  <c r="F42" i="31"/>
  <c r="D19" i="30" s="1"/>
  <c r="X71" i="31"/>
  <c r="X74" i="31"/>
  <c r="M83" i="31"/>
  <c r="B59" i="30" s="1"/>
  <c r="I85" i="31"/>
  <c r="I56" i="102"/>
  <c r="I90" i="236"/>
  <c r="M90" i="236" s="1"/>
  <c r="M58" i="240"/>
  <c r="B34" i="239" s="1"/>
  <c r="M61" i="240"/>
  <c r="B37" i="239" s="1"/>
  <c r="I18" i="31"/>
  <c r="J31" i="31"/>
  <c r="J15" i="16"/>
  <c r="E62" i="240"/>
  <c r="L120" i="240"/>
  <c r="T71" i="240"/>
  <c r="X71" i="240" s="1"/>
  <c r="D18" i="31"/>
  <c r="K18" i="31"/>
  <c r="J18" i="31"/>
  <c r="H29" i="31"/>
  <c r="K29" i="31"/>
  <c r="M41" i="31"/>
  <c r="G42" i="31"/>
  <c r="M57" i="31"/>
  <c r="B33" i="30" s="1"/>
  <c r="L120" i="31"/>
  <c r="I78" i="31"/>
  <c r="L90" i="31"/>
  <c r="M94" i="31"/>
  <c r="F18" i="91"/>
  <c r="D20" i="91"/>
  <c r="D33" i="91" s="1"/>
  <c r="M2674" i="184"/>
  <c r="F82" i="191"/>
  <c r="R69" i="92"/>
  <c r="F378" i="191" s="1"/>
  <c r="E21" i="216"/>
  <c r="J2674" i="184"/>
  <c r="M267" i="191"/>
  <c r="J2130" i="184"/>
  <c r="H2636" i="184"/>
  <c r="M193" i="191"/>
  <c r="J270" i="184"/>
  <c r="F230" i="191"/>
  <c r="G230" i="191" s="1"/>
  <c r="D54" i="213"/>
  <c r="I2647" i="184"/>
  <c r="J900" i="184"/>
  <c r="J2654" i="184" s="1"/>
  <c r="J2660" i="184" s="1"/>
  <c r="C82" i="191"/>
  <c r="C83" i="191" s="1"/>
  <c r="AM66" i="218"/>
  <c r="C268" i="191"/>
  <c r="J2243" i="184"/>
  <c r="K2130" i="184"/>
  <c r="F41" i="91"/>
  <c r="K270" i="184"/>
  <c r="I26" i="187"/>
  <c r="L270" i="184"/>
  <c r="L102" i="92"/>
  <c r="F20" i="221" s="1"/>
  <c r="B25" i="178"/>
  <c r="R82" i="177"/>
  <c r="E62" i="14"/>
  <c r="A92" i="14"/>
  <c r="E54" i="14"/>
  <c r="E66" i="14"/>
  <c r="E55" i="14"/>
  <c r="E57" i="14"/>
  <c r="E64" i="14"/>
  <c r="E65" i="14"/>
  <c r="E58" i="14"/>
  <c r="E59" i="14"/>
  <c r="E61" i="14"/>
  <c r="E63" i="14"/>
  <c r="E60" i="14"/>
  <c r="K31" i="188"/>
  <c r="M31" i="188"/>
  <c r="B71" i="106"/>
  <c r="F68" i="106"/>
  <c r="F71" i="106" s="1"/>
  <c r="R82" i="195"/>
  <c r="B25" i="196"/>
  <c r="F68" i="156"/>
  <c r="F71" i="156" s="1"/>
  <c r="B71" i="156"/>
  <c r="B73" i="156" s="1"/>
  <c r="B71" i="41"/>
  <c r="B73" i="41" s="1"/>
  <c r="E66" i="60"/>
  <c r="E63" i="60"/>
  <c r="E58" i="60"/>
  <c r="E55" i="60"/>
  <c r="E54" i="60"/>
  <c r="E61" i="60"/>
  <c r="E64" i="60"/>
  <c r="E59" i="60"/>
  <c r="E57" i="60"/>
  <c r="E60" i="60"/>
  <c r="E62" i="60"/>
  <c r="A92" i="60"/>
  <c r="E65" i="60"/>
  <c r="F68" i="111"/>
  <c r="F71" i="111" s="1"/>
  <c r="B71" i="111"/>
  <c r="F15" i="210"/>
  <c r="A47" i="55"/>
  <c r="E11" i="55"/>
  <c r="E12" i="55"/>
  <c r="E9" i="55"/>
  <c r="E10" i="55"/>
  <c r="B71" i="35"/>
  <c r="B73" i="35" s="1"/>
  <c r="F68" i="35"/>
  <c r="F71" i="35" s="1"/>
  <c r="F73" i="35" s="1"/>
  <c r="F74" i="35" s="1"/>
  <c r="D9" i="221" s="1"/>
  <c r="B25" i="158"/>
  <c r="R82" i="157"/>
  <c r="B71" i="56"/>
  <c r="B73" i="56" s="1"/>
  <c r="F68" i="56"/>
  <c r="F71" i="56" s="1"/>
  <c r="F31" i="210"/>
  <c r="E10" i="40"/>
  <c r="E9" i="40"/>
  <c r="A47" i="40"/>
  <c r="E11" i="40"/>
  <c r="E12" i="40"/>
  <c r="F22" i="210"/>
  <c r="K32" i="188"/>
  <c r="F35" i="210"/>
  <c r="M17" i="188"/>
  <c r="K17" i="188"/>
  <c r="D71" i="66"/>
  <c r="D73" i="66" s="1"/>
  <c r="F68" i="66"/>
  <c r="F71" i="66" s="1"/>
  <c r="B25" i="88"/>
  <c r="R82" i="87"/>
  <c r="F39" i="210"/>
  <c r="B71" i="61"/>
  <c r="F68" i="61"/>
  <c r="F71" i="61" s="1"/>
  <c r="R82" i="147"/>
  <c r="B25" i="148"/>
  <c r="B25" i="123"/>
  <c r="R82" i="122"/>
  <c r="J40" i="220"/>
  <c r="K40" i="220" s="1"/>
  <c r="F61" i="51"/>
  <c r="G35" i="51"/>
  <c r="L15" i="230"/>
  <c r="O16" i="209"/>
  <c r="G13" i="188"/>
  <c r="I48" i="131"/>
  <c r="G8" i="188"/>
  <c r="I48" i="126"/>
  <c r="O12" i="209"/>
  <c r="P12" i="209" s="1"/>
  <c r="Q12" i="209" s="1"/>
  <c r="O47" i="56"/>
  <c r="O49" i="56" s="1"/>
  <c r="N24" i="210" s="1"/>
  <c r="M40" i="101"/>
  <c r="M47" i="101" s="1"/>
  <c r="M49" i="101" s="1"/>
  <c r="L44" i="210" s="1"/>
  <c r="M43" i="198"/>
  <c r="M47" i="198" s="1"/>
  <c r="M49" i="198" s="1"/>
  <c r="L45" i="210" s="1"/>
  <c r="AU16" i="218"/>
  <c r="D152" i="233"/>
  <c r="D61" i="46"/>
  <c r="D73" i="46" s="1"/>
  <c r="D61" i="51"/>
  <c r="D73" i="51" s="1"/>
  <c r="B61" i="20"/>
  <c r="E10" i="242"/>
  <c r="G10" i="242" s="1"/>
  <c r="O47" i="71"/>
  <c r="O49" i="71" s="1"/>
  <c r="N23" i="210" s="1"/>
  <c r="D61" i="202"/>
  <c r="D73" i="202" s="1"/>
  <c r="D73" i="111"/>
  <c r="M92" i="224"/>
  <c r="D100" i="224"/>
  <c r="M100" i="224" s="1"/>
  <c r="R18" i="230"/>
  <c r="V17" i="213"/>
  <c r="U18" i="230"/>
  <c r="E60" i="120"/>
  <c r="E58" i="120"/>
  <c r="A92" i="120"/>
  <c r="E65" i="120"/>
  <c r="E57" i="120"/>
  <c r="E61" i="120"/>
  <c r="E62" i="120"/>
  <c r="E55" i="120"/>
  <c r="E63" i="120"/>
  <c r="E54" i="120"/>
  <c r="E64" i="120"/>
  <c r="E66" i="120"/>
  <c r="U43" i="230"/>
  <c r="R43" i="230"/>
  <c r="V42" i="213"/>
  <c r="N47" i="20"/>
  <c r="N49" i="20" s="1"/>
  <c r="M35" i="210" s="1"/>
  <c r="O47" i="66"/>
  <c r="O49" i="66" s="1"/>
  <c r="N22" i="210" s="1"/>
  <c r="M40" i="116"/>
  <c r="M47" i="116" s="1"/>
  <c r="M49" i="116" s="1"/>
  <c r="L42" i="210" s="1"/>
  <c r="K47" i="116"/>
  <c r="K49" i="116" s="1"/>
  <c r="J42" i="210" s="1"/>
  <c r="B61" i="71"/>
  <c r="E19" i="242"/>
  <c r="M2647" i="184"/>
  <c r="M47" i="223"/>
  <c r="M54" i="223" s="1"/>
  <c r="M56" i="223" s="1"/>
  <c r="M40" i="91"/>
  <c r="M47" i="91" s="1"/>
  <c r="M49" i="91" s="1"/>
  <c r="L33" i="210" s="1"/>
  <c r="D73" i="198"/>
  <c r="K47" i="202"/>
  <c r="K49" i="202" s="1"/>
  <c r="J47" i="210" s="1"/>
  <c r="M40" i="202"/>
  <c r="M47" i="202" s="1"/>
  <c r="M49" i="202" s="1"/>
  <c r="L47" i="210" s="1"/>
  <c r="J15" i="111"/>
  <c r="X49" i="236"/>
  <c r="O32" i="212"/>
  <c r="D73" i="121"/>
  <c r="J32" i="51"/>
  <c r="D61" i="61"/>
  <c r="D73" i="61" s="1"/>
  <c r="L47" i="202"/>
  <c r="L49" i="202" s="1"/>
  <c r="K47" i="210" s="1"/>
  <c r="X48" i="236"/>
  <c r="Q36" i="117"/>
  <c r="G27" i="221" s="1"/>
  <c r="Q35" i="117"/>
  <c r="I41" i="187"/>
  <c r="E109" i="181"/>
  <c r="E107" i="60"/>
  <c r="E114" i="60" s="1"/>
  <c r="E59" i="120"/>
  <c r="M135" i="191"/>
  <c r="M47" i="171"/>
  <c r="M49" i="171" s="1"/>
  <c r="L26" i="210" s="1"/>
  <c r="AR24" i="218"/>
  <c r="M214" i="191"/>
  <c r="F44" i="20"/>
  <c r="F47" i="20" s="1"/>
  <c r="AP20" i="218"/>
  <c r="B32" i="15"/>
  <c r="Y24" i="218"/>
  <c r="F2647" i="184"/>
  <c r="D54" i="181" s="1"/>
  <c r="C14" i="131"/>
  <c r="C15" i="131" s="1"/>
  <c r="H41" i="187"/>
  <c r="I36" i="2"/>
  <c r="I29" i="213" s="1"/>
  <c r="H57" i="167"/>
  <c r="J2633" i="184"/>
  <c r="R69" i="172"/>
  <c r="F367" i="191" s="1"/>
  <c r="E2674" i="184"/>
  <c r="F23" i="235"/>
  <c r="J23" i="235" s="1"/>
  <c r="D60" i="234"/>
  <c r="D11" i="234"/>
  <c r="C52" i="235"/>
  <c r="D111" i="234"/>
  <c r="G2660" i="184"/>
  <c r="C31" i="131"/>
  <c r="C32" i="131" s="1"/>
  <c r="D66" i="130"/>
  <c r="F31" i="131"/>
  <c r="M115" i="191"/>
  <c r="H2633" i="184"/>
  <c r="D2674" i="184"/>
  <c r="H937" i="184"/>
  <c r="H2655" i="184" s="1"/>
  <c r="C60" i="235"/>
  <c r="F60" i="235"/>
  <c r="D55" i="238"/>
  <c r="D55" i="234"/>
  <c r="C11" i="235"/>
  <c r="C15" i="235" s="1"/>
  <c r="F11" i="235"/>
  <c r="B61" i="235"/>
  <c r="F59" i="235"/>
  <c r="C59" i="235"/>
  <c r="C61" i="235" s="1"/>
  <c r="AA20" i="218"/>
  <c r="K2647" i="184"/>
  <c r="B47" i="171"/>
  <c r="D112" i="238"/>
  <c r="C53" i="235"/>
  <c r="D112" i="234"/>
  <c r="F53" i="235"/>
  <c r="B11" i="176"/>
  <c r="G41" i="231"/>
  <c r="AG41" i="231" s="1"/>
  <c r="D653" i="184"/>
  <c r="D677" i="184" s="1"/>
  <c r="D56" i="219" s="1"/>
  <c r="G56" i="219" s="1"/>
  <c r="B42" i="106"/>
  <c r="E2126" i="184"/>
  <c r="E2130" i="184" s="1"/>
  <c r="D35" i="216"/>
  <c r="F11" i="191"/>
  <c r="F40" i="136"/>
  <c r="D106" i="135"/>
  <c r="I57" i="82"/>
  <c r="I1144" i="184"/>
  <c r="F61" i="191"/>
  <c r="G61" i="191" s="1"/>
  <c r="E20" i="216"/>
  <c r="E47" i="161"/>
  <c r="E61" i="161" s="1"/>
  <c r="E73" i="161" s="1"/>
  <c r="F38" i="161"/>
  <c r="F47" i="161" s="1"/>
  <c r="M807" i="184"/>
  <c r="W26" i="78"/>
  <c r="W27" i="78" s="1"/>
  <c r="M2171" i="184"/>
  <c r="M2206" i="184" s="1"/>
  <c r="M2700" i="184" s="1"/>
  <c r="B94" i="181" s="1"/>
  <c r="BJ64" i="218"/>
  <c r="B58" i="151"/>
  <c r="H215" i="184"/>
  <c r="H231" i="184" s="1"/>
  <c r="H57" i="82"/>
  <c r="D110" i="24"/>
  <c r="D44" i="25"/>
  <c r="D47" i="25" s="1"/>
  <c r="D61" i="25" s="1"/>
  <c r="D73" i="25" s="1"/>
  <c r="R60" i="47"/>
  <c r="C20" i="191"/>
  <c r="C46" i="191" s="1"/>
  <c r="L44" i="13"/>
  <c r="L641" i="184"/>
  <c r="M27" i="191"/>
  <c r="K2246" i="184"/>
  <c r="K93" i="152"/>
  <c r="K2506" i="184" s="1"/>
  <c r="E38" i="81"/>
  <c r="E47" i="81" s="1"/>
  <c r="E61" i="81" s="1"/>
  <c r="E73" i="81" s="1"/>
  <c r="F55" i="191"/>
  <c r="G55" i="191" s="1"/>
  <c r="E11" i="216"/>
  <c r="E43" i="231"/>
  <c r="AG43" i="231" s="1"/>
  <c r="P105" i="162"/>
  <c r="D108" i="90"/>
  <c r="F42" i="91"/>
  <c r="F136" i="191"/>
  <c r="G136" i="191" s="1"/>
  <c r="F14" i="216"/>
  <c r="H48" i="191"/>
  <c r="X61" i="152"/>
  <c r="L642" i="184"/>
  <c r="L44" i="152"/>
  <c r="M1831" i="184"/>
  <c r="M1832" i="184" s="1"/>
  <c r="AB68" i="92"/>
  <c r="AB71" i="92" s="1"/>
  <c r="AB72" i="92" s="1"/>
  <c r="J20" i="221" s="1"/>
  <c r="AL50" i="218"/>
  <c r="B44" i="91"/>
  <c r="M790" i="184"/>
  <c r="T11" i="231"/>
  <c r="B46" i="81"/>
  <c r="M1890" i="184"/>
  <c r="AD52" i="218"/>
  <c r="BR63" i="218"/>
  <c r="M2144" i="184"/>
  <c r="M2169" i="184" s="1"/>
  <c r="M2699" i="184" s="1"/>
  <c r="AD51" i="218"/>
  <c r="B45" i="81"/>
  <c r="G44" i="82"/>
  <c r="M29" i="82"/>
  <c r="G661" i="184"/>
  <c r="G677" i="184" s="1"/>
  <c r="M75" i="191"/>
  <c r="F1481" i="184"/>
  <c r="F85" i="82"/>
  <c r="C132" i="191"/>
  <c r="R63" i="167"/>
  <c r="D44" i="13"/>
  <c r="M42" i="13"/>
  <c r="D1086" i="184"/>
  <c r="D1122" i="184" s="1"/>
  <c r="D59" i="219" s="1"/>
  <c r="G59" i="219" s="1"/>
  <c r="H15" i="191"/>
  <c r="X60" i="26"/>
  <c r="E33" i="216"/>
  <c r="F60" i="191"/>
  <c r="G60" i="191" s="1"/>
  <c r="M349" i="184"/>
  <c r="M381" i="184" s="1"/>
  <c r="M2639" i="184" s="1"/>
  <c r="F199" i="191"/>
  <c r="E38" i="2"/>
  <c r="D104" i="1"/>
  <c r="F121" i="191"/>
  <c r="F6" i="216"/>
  <c r="H44" i="152"/>
  <c r="H642" i="184"/>
  <c r="AB70" i="92"/>
  <c r="AL77" i="218"/>
  <c r="B77" i="218" s="1"/>
  <c r="M2429" i="184"/>
  <c r="D104" i="80"/>
  <c r="W41" i="78"/>
  <c r="W43" i="78" s="1"/>
  <c r="G195" i="184"/>
  <c r="G231" i="184" s="1"/>
  <c r="M325" i="184"/>
  <c r="M344" i="184" s="1"/>
  <c r="M2638" i="184" s="1"/>
  <c r="G23" i="231"/>
  <c r="V76" i="218"/>
  <c r="B76" i="218" s="1"/>
  <c r="M2376" i="184"/>
  <c r="M2393" i="184" s="1"/>
  <c r="M2707" i="184" s="1"/>
  <c r="BV14" i="218"/>
  <c r="BL57" i="218"/>
  <c r="M1751" i="184"/>
  <c r="M1758" i="184" s="1"/>
  <c r="M2684" i="184" s="1"/>
  <c r="B57" i="171"/>
  <c r="M1894" i="184"/>
  <c r="B46" i="171"/>
  <c r="K1462" i="184"/>
  <c r="K1497" i="184" s="1"/>
  <c r="D44" i="151"/>
  <c r="F44" i="151" s="1"/>
  <c r="D110" i="150"/>
  <c r="D108" i="80"/>
  <c r="R65" i="82"/>
  <c r="C215" i="191"/>
  <c r="C231" i="191" s="1"/>
  <c r="M15" i="82"/>
  <c r="M215" i="184" s="1"/>
  <c r="D215" i="184"/>
  <c r="P70" i="82"/>
  <c r="I18" i="221" s="1"/>
  <c r="M2016" i="184"/>
  <c r="AB66" i="107"/>
  <c r="AB71" i="107" s="1"/>
  <c r="AB72" i="107" s="1"/>
  <c r="J25" i="221" s="1"/>
  <c r="BT63" i="218"/>
  <c r="F22" i="231"/>
  <c r="F57" i="137"/>
  <c r="AB69" i="82"/>
  <c r="AA71" i="82"/>
  <c r="B40" i="151"/>
  <c r="AB64" i="152"/>
  <c r="AB71" i="152" s="1"/>
  <c r="AB72" i="152" s="1"/>
  <c r="J34" i="221" s="1"/>
  <c r="M222" i="191"/>
  <c r="M298" i="184"/>
  <c r="M307" i="184" s="1"/>
  <c r="M2637" i="184" s="1"/>
  <c r="F37" i="231"/>
  <c r="M31" i="82"/>
  <c r="C149" i="191"/>
  <c r="R63" i="52"/>
  <c r="F196" i="184"/>
  <c r="F231" i="184" s="1"/>
  <c r="F57" i="152"/>
  <c r="M241" i="184"/>
  <c r="B46" i="136"/>
  <c r="BD52" i="218"/>
  <c r="R64" i="42"/>
  <c r="C166" i="191"/>
  <c r="C194" i="191" s="1"/>
  <c r="K1444" i="184"/>
  <c r="K1460" i="184" s="1"/>
  <c r="M56" i="82"/>
  <c r="M1444" i="184" s="1"/>
  <c r="D105" i="95"/>
  <c r="F39" i="96"/>
  <c r="F203" i="191"/>
  <c r="G203" i="191" s="1"/>
  <c r="H11" i="216"/>
  <c r="I73" i="191"/>
  <c r="D19" i="136"/>
  <c r="F19" i="136" s="1"/>
  <c r="J19" i="136" s="1"/>
  <c r="P71" i="82"/>
  <c r="W33" i="82"/>
  <c r="W35" i="82" s="1"/>
  <c r="BD79" i="218"/>
  <c r="B79" i="218" s="1"/>
  <c r="X66" i="112"/>
  <c r="AB70" i="82"/>
  <c r="M2384" i="184"/>
  <c r="H245" i="191"/>
  <c r="M1877" i="184"/>
  <c r="M18" i="137"/>
  <c r="M29" i="137"/>
  <c r="M736" i="184"/>
  <c r="S32" i="231"/>
  <c r="S47" i="231" s="1"/>
  <c r="S68" i="231" s="1"/>
  <c r="M2414" i="184"/>
  <c r="M2430" i="184" s="1"/>
  <c r="M2708" i="184" s="1"/>
  <c r="G699" i="184"/>
  <c r="G715" i="184" s="1"/>
  <c r="B52" i="61"/>
  <c r="I186" i="191"/>
  <c r="X62" i="137"/>
  <c r="BP52" i="218"/>
  <c r="F24" i="231"/>
  <c r="AG24" i="231" s="1"/>
  <c r="M1840" i="184"/>
  <c r="X61" i="162"/>
  <c r="X62" i="62"/>
  <c r="H44" i="52"/>
  <c r="M2039" i="184"/>
  <c r="M2056" i="184" s="1"/>
  <c r="M2694" i="184" s="1"/>
  <c r="B88" i="181" s="1"/>
  <c r="F215" i="184"/>
  <c r="J44" i="82"/>
  <c r="H44" i="97"/>
  <c r="C139" i="191"/>
  <c r="G139" i="191" s="1"/>
  <c r="I44" i="167"/>
  <c r="AB70" i="122"/>
  <c r="AB71" i="122" s="1"/>
  <c r="AB72" i="122" s="1"/>
  <c r="J28" i="221" s="1"/>
  <c r="R65" i="203"/>
  <c r="X60" i="36"/>
  <c r="D363" i="191"/>
  <c r="D379" i="191" s="1"/>
  <c r="H28" i="216"/>
  <c r="I203" i="191"/>
  <c r="X65" i="42"/>
  <c r="H1502" i="184"/>
  <c r="H1536" i="184" s="1"/>
  <c r="H2678" i="184" s="1"/>
  <c r="H2689" i="184" s="1"/>
  <c r="D2059" i="184"/>
  <c r="D2093" i="184" s="1"/>
  <c r="D2695" i="184" s="1"/>
  <c r="D382" i="184"/>
  <c r="K1574" i="184"/>
  <c r="K1610" i="184" s="1"/>
  <c r="K2680" i="184" s="1"/>
  <c r="D57" i="15"/>
  <c r="M108" i="191"/>
  <c r="L2137" i="184"/>
  <c r="L2169" i="184" s="1"/>
  <c r="L2699" i="184" s="1"/>
  <c r="L2701" i="184" s="1"/>
  <c r="F53" i="171"/>
  <c r="N26" i="220" s="1"/>
  <c r="O26" i="220" s="1"/>
  <c r="U60" i="67"/>
  <c r="I18" i="87"/>
  <c r="E1982" i="184"/>
  <c r="E2692" i="184" s="1"/>
  <c r="E2696" i="184" s="1"/>
  <c r="J2504" i="184"/>
  <c r="J2710" i="184" s="1"/>
  <c r="E1647" i="184"/>
  <c r="E2681" i="184" s="1"/>
  <c r="I1795" i="184"/>
  <c r="I2685" i="184" s="1"/>
  <c r="I2356" i="184"/>
  <c r="I2706" i="184" s="1"/>
  <c r="J418" i="184"/>
  <c r="J2640" i="184" s="1"/>
  <c r="F2393" i="184"/>
  <c r="F2707" i="184" s="1"/>
  <c r="L2393" i="184"/>
  <c r="L2707" i="184" s="1"/>
  <c r="I2430" i="184"/>
  <c r="I2708" i="184" s="1"/>
  <c r="K789" i="184"/>
  <c r="K2651" i="184" s="1"/>
  <c r="D1795" i="184"/>
  <c r="D2685" i="184" s="1"/>
  <c r="G2393" i="184"/>
  <c r="G2707" i="184" s="1"/>
  <c r="J2430" i="184"/>
  <c r="J2708" i="184" s="1"/>
  <c r="L789" i="184"/>
  <c r="L2651" i="184" s="1"/>
  <c r="H1610" i="184"/>
  <c r="H2680" i="184" s="1"/>
  <c r="E1758" i="184"/>
  <c r="E2684" i="184" s="1"/>
  <c r="D344" i="184"/>
  <c r="D2638" i="184" s="1"/>
  <c r="I381" i="184"/>
  <c r="I2639" i="184" s="1"/>
  <c r="H1832" i="184"/>
  <c r="H2686" i="184" s="1"/>
  <c r="J2467" i="184"/>
  <c r="J2709" i="184" s="1"/>
  <c r="D418" i="184"/>
  <c r="D2640" i="184" s="1"/>
  <c r="K418" i="184"/>
  <c r="K2640" i="184" s="1"/>
  <c r="K2636" i="184" s="1"/>
  <c r="D789" i="184"/>
  <c r="D2651" i="184" s="1"/>
  <c r="G1610" i="184"/>
  <c r="G2680" i="184" s="1"/>
  <c r="E2206" i="184"/>
  <c r="E2700" i="184" s="1"/>
  <c r="E2701" i="184" s="1"/>
  <c r="H29" i="47"/>
  <c r="D105" i="16"/>
  <c r="L106" i="16" s="1"/>
  <c r="L118" i="16" s="1"/>
  <c r="L102" i="16" s="1"/>
  <c r="F5" i="221" s="1"/>
  <c r="E42" i="31"/>
  <c r="E112" i="31"/>
  <c r="M89" i="31"/>
  <c r="B65" i="30" s="1"/>
  <c r="H90" i="31"/>
  <c r="L48" i="214"/>
  <c r="D307" i="184"/>
  <c r="D2637" i="184" s="1"/>
  <c r="F418" i="184"/>
  <c r="F2640" i="184" s="1"/>
  <c r="F2636" i="184" s="1"/>
  <c r="F789" i="184"/>
  <c r="F2651" i="184" s="1"/>
  <c r="F2649" i="184" s="1"/>
  <c r="D863" i="184"/>
  <c r="D2653" i="184" s="1"/>
  <c r="D2649" i="184" s="1"/>
  <c r="D1536" i="184"/>
  <c r="D2678" i="184" s="1"/>
  <c r="D1610" i="184"/>
  <c r="D2680" i="184" s="1"/>
  <c r="K305" i="191"/>
  <c r="M305" i="191" s="1"/>
  <c r="L2019" i="184"/>
  <c r="L2693" i="184" s="1"/>
  <c r="L2696" i="184" s="1"/>
  <c r="E2319" i="184"/>
  <c r="E2705" i="184" s="1"/>
  <c r="K2430" i="184"/>
  <c r="K2708" i="184" s="1"/>
  <c r="D2504" i="184"/>
  <c r="D2710" i="184" s="1"/>
  <c r="E307" i="184"/>
  <c r="E2637" i="184" s="1"/>
  <c r="D381" i="184"/>
  <c r="D2639" i="184" s="1"/>
  <c r="G418" i="184"/>
  <c r="G2640" i="184" s="1"/>
  <c r="G2636" i="184" s="1"/>
  <c r="E863" i="184"/>
  <c r="E2653" i="184" s="1"/>
  <c r="L1758" i="184"/>
  <c r="L2684" i="184" s="1"/>
  <c r="L2689" i="184" s="1"/>
  <c r="J2056" i="184"/>
  <c r="J2694" i="184" s="1"/>
  <c r="J2696" i="184" s="1"/>
  <c r="I2206" i="184"/>
  <c r="I2700" i="184" s="1"/>
  <c r="I2701" i="184" s="1"/>
  <c r="K2319" i="184"/>
  <c r="K2705" i="184" s="1"/>
  <c r="E2430" i="184"/>
  <c r="E2708" i="184" s="1"/>
  <c r="H2467" i="184"/>
  <c r="H2709" i="184" s="1"/>
  <c r="E2504" i="184"/>
  <c r="E2710" i="184" s="1"/>
  <c r="F42" i="172"/>
  <c r="E381" i="184"/>
  <c r="E2639" i="184" s="1"/>
  <c r="J826" i="184"/>
  <c r="J2652" i="184" s="1"/>
  <c r="D1721" i="184"/>
  <c r="D2683" i="184" s="1"/>
  <c r="H1758" i="184"/>
  <c r="H2684" i="184" s="1"/>
  <c r="J1869" i="184"/>
  <c r="J2687" i="184" s="1"/>
  <c r="J2689" i="184" s="1"/>
  <c r="G1906" i="184"/>
  <c r="G2688" i="184" s="1"/>
  <c r="G2019" i="184"/>
  <c r="G2693" i="184" s="1"/>
  <c r="G2696" i="184" s="1"/>
  <c r="K2056" i="184"/>
  <c r="K2694" i="184" s="1"/>
  <c r="K2696" i="184" s="1"/>
  <c r="J2206" i="184"/>
  <c r="J2700" i="184" s="1"/>
  <c r="J2701" i="184" s="1"/>
  <c r="F2430" i="184"/>
  <c r="F2708" i="184" s="1"/>
  <c r="I418" i="184"/>
  <c r="I2640" i="184" s="1"/>
  <c r="H752" i="184"/>
  <c r="H2650" i="184" s="1"/>
  <c r="H2649" i="184" s="1"/>
  <c r="G1536" i="184"/>
  <c r="G2678" i="184" s="1"/>
  <c r="E1832" i="184"/>
  <c r="E2686" i="184" s="1"/>
  <c r="K1869" i="184"/>
  <c r="K2687" i="184" s="1"/>
  <c r="K2689" i="184" s="1"/>
  <c r="M74" i="172"/>
  <c r="H2019" i="184"/>
  <c r="H2693" i="184" s="1"/>
  <c r="H2696" i="184" s="1"/>
  <c r="G2319" i="184"/>
  <c r="G2705" i="184" s="1"/>
  <c r="D2393" i="184"/>
  <c r="D2707" i="184" s="1"/>
  <c r="G2430" i="184"/>
  <c r="G2708" i="184" s="1"/>
  <c r="D2467" i="184"/>
  <c r="D2709" i="184" s="1"/>
  <c r="D15" i="21"/>
  <c r="E640" i="184"/>
  <c r="E2646" i="184" s="1"/>
  <c r="E2647" i="184" s="1"/>
  <c r="M50" i="240"/>
  <c r="B26" i="239" s="1"/>
  <c r="D26" i="239"/>
  <c r="F112" i="240"/>
  <c r="M53" i="240"/>
  <c r="B29" i="239" s="1"/>
  <c r="E112" i="240"/>
  <c r="J112" i="31"/>
  <c r="M53" i="31"/>
  <c r="B29" i="30" s="1"/>
  <c r="W42" i="240"/>
  <c r="W29" i="240"/>
  <c r="O13" i="240"/>
  <c r="B13" i="239"/>
  <c r="D112" i="240"/>
  <c r="T67" i="240"/>
  <c r="X67" i="240" s="1"/>
  <c r="O67" i="240"/>
  <c r="R67" i="240" s="1"/>
  <c r="E56" i="216" s="1"/>
  <c r="M67" i="240"/>
  <c r="E78" i="240"/>
  <c r="P76" i="240"/>
  <c r="U67" i="240"/>
  <c r="L117" i="240"/>
  <c r="T68" i="240"/>
  <c r="X68" i="240" s="1"/>
  <c r="O68" i="240"/>
  <c r="M68" i="240"/>
  <c r="G78" i="240"/>
  <c r="L121" i="240"/>
  <c r="AA78" i="240"/>
  <c r="AB71" i="240"/>
  <c r="AB72" i="240"/>
  <c r="B48" i="239"/>
  <c r="M73" i="240"/>
  <c r="B49" i="239" s="1"/>
  <c r="O73" i="240"/>
  <c r="T73" i="240"/>
  <c r="X73" i="240" s="1"/>
  <c r="M82" i="240"/>
  <c r="B58" i="239" s="1"/>
  <c r="E85" i="240"/>
  <c r="M88" i="240"/>
  <c r="B64" i="239" s="1"/>
  <c r="D90" i="240"/>
  <c r="E56" i="16"/>
  <c r="I63" i="240"/>
  <c r="D15" i="172"/>
  <c r="M53" i="236"/>
  <c r="W34" i="240"/>
  <c r="H78" i="240"/>
  <c r="H15" i="240"/>
  <c r="H63" i="240" s="1"/>
  <c r="G112" i="31"/>
  <c r="M14" i="31"/>
  <c r="B14" i="30" s="1"/>
  <c r="G15" i="31"/>
  <c r="W41" i="31"/>
  <c r="W26" i="31"/>
  <c r="M24" i="31"/>
  <c r="D29" i="31"/>
  <c r="M26" i="31"/>
  <c r="W25" i="31" s="1"/>
  <c r="W27" i="31" s="1"/>
  <c r="H42" i="31"/>
  <c r="H44" i="31" s="1"/>
  <c r="H63" i="31" s="1"/>
  <c r="H92" i="31" s="1"/>
  <c r="H100" i="31" s="1"/>
  <c r="M37" i="31"/>
  <c r="D42" i="31"/>
  <c r="K78" i="31"/>
  <c r="X72" i="31"/>
  <c r="M84" i="31"/>
  <c r="B60" i="30" s="1"/>
  <c r="J90" i="31"/>
  <c r="M88" i="31"/>
  <c r="B64" i="30" s="1"/>
  <c r="M50" i="31"/>
  <c r="B26" i="30" s="1"/>
  <c r="K78" i="240"/>
  <c r="T72" i="240"/>
  <c r="X72" i="240" s="1"/>
  <c r="O72" i="240"/>
  <c r="R72" i="240" s="1"/>
  <c r="H56" i="216" s="1"/>
  <c r="M20" i="31"/>
  <c r="W36" i="31" s="1"/>
  <c r="F63" i="31"/>
  <c r="K44" i="31"/>
  <c r="K63" i="31" s="1"/>
  <c r="K92" i="31" s="1"/>
  <c r="K100" i="31" s="1"/>
  <c r="I44" i="31"/>
  <c r="I63" i="31" s="1"/>
  <c r="I92" i="31" s="1"/>
  <c r="I100" i="31" s="1"/>
  <c r="I62" i="31"/>
  <c r="L121" i="31"/>
  <c r="AB73" i="31"/>
  <c r="R69" i="31"/>
  <c r="S69" i="31"/>
  <c r="I1238" i="184"/>
  <c r="I2668" i="184" s="1"/>
  <c r="I2674" i="184" s="1"/>
  <c r="I112" i="240"/>
  <c r="D18" i="240"/>
  <c r="M20" i="240"/>
  <c r="M27" i="240"/>
  <c r="E31" i="240"/>
  <c r="M36" i="240"/>
  <c r="Q26" i="240" s="1"/>
  <c r="Q30" i="240" s="1"/>
  <c r="E42" i="240"/>
  <c r="E44" i="240" s="1"/>
  <c r="E63" i="240" s="1"/>
  <c r="D42" i="240"/>
  <c r="L42" i="240"/>
  <c r="L44" i="240" s="1"/>
  <c r="L63" i="240" s="1"/>
  <c r="M57" i="240"/>
  <c r="B33" i="239" s="1"/>
  <c r="D62" i="240"/>
  <c r="O66" i="240"/>
  <c r="R66" i="240" s="1"/>
  <c r="M66" i="240"/>
  <c r="T70" i="240"/>
  <c r="X70" i="240" s="1"/>
  <c r="E29" i="31"/>
  <c r="M23" i="31"/>
  <c r="Q22" i="31" s="1"/>
  <c r="E18" i="31"/>
  <c r="M18" i="31" s="1"/>
  <c r="P112" i="31" s="1"/>
  <c r="L31" i="31"/>
  <c r="F78" i="31"/>
  <c r="M72" i="31"/>
  <c r="M95" i="31"/>
  <c r="AA76" i="31" s="1"/>
  <c r="AB76" i="31" s="1"/>
  <c r="I157" i="184"/>
  <c r="I2631" i="184" s="1"/>
  <c r="I2633" i="184" s="1"/>
  <c r="H1386" i="184"/>
  <c r="H2672" i="184" s="1"/>
  <c r="H2674" i="184" s="1"/>
  <c r="M10" i="240"/>
  <c r="B10" i="239" s="1"/>
  <c r="K15" i="240"/>
  <c r="H112" i="240"/>
  <c r="D42" i="239"/>
  <c r="F78" i="240"/>
  <c r="L119" i="240"/>
  <c r="M74" i="240"/>
  <c r="T74" i="240"/>
  <c r="X74" i="240" s="1"/>
  <c r="O74" i="240"/>
  <c r="M75" i="240"/>
  <c r="M81" i="240"/>
  <c r="B57" i="239" s="1"/>
  <c r="I85" i="240"/>
  <c r="M15" i="31"/>
  <c r="F44" i="31"/>
  <c r="M47" i="31"/>
  <c r="B23" i="30" s="1"/>
  <c r="D112" i="31"/>
  <c r="L112" i="31"/>
  <c r="O67" i="31"/>
  <c r="R67" i="31" s="1"/>
  <c r="G78" i="31"/>
  <c r="M67" i="31"/>
  <c r="T67" i="31"/>
  <c r="X67" i="31" s="1"/>
  <c r="D11" i="192" s="1"/>
  <c r="D15" i="240"/>
  <c r="D85" i="240"/>
  <c r="M32" i="240"/>
  <c r="W33" i="240" s="1"/>
  <c r="W35" i="240" s="1"/>
  <c r="G18" i="240"/>
  <c r="M21" i="240"/>
  <c r="J29" i="240"/>
  <c r="M29" i="240" s="1"/>
  <c r="B18" i="239" s="1"/>
  <c r="F31" i="240"/>
  <c r="M33" i="240"/>
  <c r="G42" i="240"/>
  <c r="G44" i="240" s="1"/>
  <c r="F42" i="240"/>
  <c r="M38" i="240"/>
  <c r="W37" i="240" s="1"/>
  <c r="G62" i="240"/>
  <c r="M59" i="240"/>
  <c r="B35" i="239" s="1"/>
  <c r="O68" i="31"/>
  <c r="L119" i="31"/>
  <c r="H78" i="31"/>
  <c r="M82" i="31"/>
  <c r="B58" i="30" s="1"/>
  <c r="D15" i="239"/>
  <c r="J112" i="240"/>
  <c r="M77" i="240"/>
  <c r="B53" i="239" s="1"/>
  <c r="K85" i="240"/>
  <c r="M89" i="240"/>
  <c r="B65" i="239" s="1"/>
  <c r="G90" i="240"/>
  <c r="AB66" i="31"/>
  <c r="E85" i="31"/>
  <c r="M81" i="31"/>
  <c r="B57" i="30" s="1"/>
  <c r="K112" i="240"/>
  <c r="G18" i="31"/>
  <c r="E31" i="31"/>
  <c r="M32" i="31"/>
  <c r="W33" i="31" s="1"/>
  <c r="M40" i="31"/>
  <c r="W28" i="31" s="1"/>
  <c r="M59" i="31"/>
  <c r="B35" i="30" s="1"/>
  <c r="M60" i="31"/>
  <c r="D62" i="31"/>
  <c r="M62" i="31" s="1"/>
  <c r="M61" i="31"/>
  <c r="B37" i="30" s="1"/>
  <c r="U70" i="31"/>
  <c r="L117" i="31"/>
  <c r="O66" i="31"/>
  <c r="R66" i="31" s="1"/>
  <c r="R76" i="31" s="1"/>
  <c r="F112" i="31"/>
  <c r="M74" i="31"/>
  <c r="D78" i="31"/>
  <c r="M36" i="31"/>
  <c r="Q26" i="31" s="1"/>
  <c r="Q30" i="31" s="1"/>
  <c r="D78" i="240"/>
  <c r="J42" i="240"/>
  <c r="J44" i="240" s="1"/>
  <c r="J63" i="240" s="1"/>
  <c r="J92" i="240" s="1"/>
  <c r="J100" i="240" s="1"/>
  <c r="T70" i="31"/>
  <c r="M38" i="31"/>
  <c r="W37" i="31" s="1"/>
  <c r="P76" i="31"/>
  <c r="D85" i="31"/>
  <c r="M85" i="31" s="1"/>
  <c r="M70" i="31"/>
  <c r="B46" i="30" s="1"/>
  <c r="H112" i="31"/>
  <c r="L56" i="214"/>
  <c r="K23" i="218"/>
  <c r="K24" i="218" s="1"/>
  <c r="BF26" i="218"/>
  <c r="BF39" i="218" s="1"/>
  <c r="K48" i="214"/>
  <c r="J51" i="214"/>
  <c r="L50" i="214"/>
  <c r="N54" i="214"/>
  <c r="I48" i="214"/>
  <c r="Z24" i="218"/>
  <c r="K58" i="214"/>
  <c r="AK23" i="218"/>
  <c r="AK24" i="218" s="1"/>
  <c r="K23" i="188"/>
  <c r="K2649" i="184"/>
  <c r="K2660" i="184"/>
  <c r="K2662" i="184" s="1"/>
  <c r="K2675" i="184" s="1"/>
  <c r="H2660" i="184"/>
  <c r="I2689" i="184"/>
  <c r="L45" i="212"/>
  <c r="X48" i="172"/>
  <c r="F2696" i="184"/>
  <c r="D86" i="181"/>
  <c r="D90" i="181" s="1"/>
  <c r="G2649" i="184"/>
  <c r="F50" i="181"/>
  <c r="I45" i="212"/>
  <c r="W31" i="172"/>
  <c r="J2636" i="184"/>
  <c r="J2647" i="184"/>
  <c r="D65" i="181"/>
  <c r="F2674" i="184"/>
  <c r="B66" i="181"/>
  <c r="D106" i="181"/>
  <c r="F106" i="181" s="1"/>
  <c r="D2647" i="184"/>
  <c r="E2660" i="184"/>
  <c r="E2649" i="184"/>
  <c r="F2633" i="184"/>
  <c r="D46" i="181"/>
  <c r="L2649" i="184"/>
  <c r="L2660" i="184"/>
  <c r="L2662" i="184" s="1"/>
  <c r="L2675" i="184" s="1"/>
  <c r="D2660" i="184"/>
  <c r="G2674" i="184"/>
  <c r="F67" i="181"/>
  <c r="F2689" i="184"/>
  <c r="D73" i="181"/>
  <c r="D57" i="180"/>
  <c r="F49" i="181"/>
  <c r="F72" i="181"/>
  <c r="L2636" i="184"/>
  <c r="F62" i="219"/>
  <c r="K45" i="212"/>
  <c r="X39" i="172"/>
  <c r="E2633" i="184"/>
  <c r="I2649" i="184"/>
  <c r="I2660" i="184"/>
  <c r="I2662" i="184" s="1"/>
  <c r="D106" i="180"/>
  <c r="G2647" i="184"/>
  <c r="G2662" i="184" s="1"/>
  <c r="D2633" i="184"/>
  <c r="H2647" i="184"/>
  <c r="D94" i="181"/>
  <c r="F94" i="181" s="1"/>
  <c r="F2701" i="184"/>
  <c r="G2633" i="184"/>
  <c r="I2696" i="184"/>
  <c r="I34" i="191"/>
  <c r="X60" i="172"/>
  <c r="BT56" i="218"/>
  <c r="M1970" i="184"/>
  <c r="M1982" i="184" s="1"/>
  <c r="M2692" i="184" s="1"/>
  <c r="B50" i="171"/>
  <c r="I71" i="191"/>
  <c r="X61" i="172"/>
  <c r="M182" i="191"/>
  <c r="F39" i="171"/>
  <c r="D105" i="170"/>
  <c r="F71" i="191"/>
  <c r="E40" i="216"/>
  <c r="D1970" i="184"/>
  <c r="D1982" i="184" s="1"/>
  <c r="D2692" i="184" s="1"/>
  <c r="D2696" i="184" s="1"/>
  <c r="D56" i="214"/>
  <c r="D53" i="214"/>
  <c r="Q54" i="213"/>
  <c r="O57" i="213"/>
  <c r="J56" i="214"/>
  <c r="R53" i="213"/>
  <c r="M56" i="214"/>
  <c r="J49" i="214"/>
  <c r="I58" i="214"/>
  <c r="O54" i="214"/>
  <c r="D55" i="213"/>
  <c r="I53" i="214"/>
  <c r="J56" i="213"/>
  <c r="J53" i="213"/>
  <c r="Q57" i="213"/>
  <c r="I52" i="214"/>
  <c r="K56" i="213"/>
  <c r="O54" i="213"/>
  <c r="M48" i="214"/>
  <c r="M58" i="214"/>
  <c r="J52" i="214"/>
  <c r="K53" i="213"/>
  <c r="L51" i="214"/>
  <c r="D54" i="214"/>
  <c r="N58" i="214"/>
  <c r="M54" i="213"/>
  <c r="K54" i="214"/>
  <c r="M54" i="214"/>
  <c r="I54" i="214"/>
  <c r="J57" i="214"/>
  <c r="J54" i="213"/>
  <c r="P54" i="214"/>
  <c r="D57" i="213"/>
  <c r="J48" i="213"/>
  <c r="J53" i="214"/>
  <c r="I57" i="214"/>
  <c r="L49" i="214"/>
  <c r="L54" i="213"/>
  <c r="K58" i="213"/>
  <c r="R55" i="213"/>
  <c r="R51" i="213"/>
  <c r="I48" i="213"/>
  <c r="V39" i="218"/>
  <c r="V27" i="218"/>
  <c r="C69" i="233"/>
  <c r="AL52" i="213"/>
  <c r="C125" i="233"/>
  <c r="AE23" i="218"/>
  <c r="AD24" i="218"/>
  <c r="AD26" i="218" s="1"/>
  <c r="O48" i="213"/>
  <c r="AZ24" i="218"/>
  <c r="BA23" i="218"/>
  <c r="BA24" i="218" s="1"/>
  <c r="D17" i="213"/>
  <c r="Q52" i="213"/>
  <c r="L48" i="213"/>
  <c r="AL48" i="213"/>
  <c r="Q48" i="213"/>
  <c r="K48" i="213"/>
  <c r="J49" i="213"/>
  <c r="R48" i="213"/>
  <c r="Q51" i="213"/>
  <c r="AV20" i="218"/>
  <c r="AV26" i="218" s="1"/>
  <c r="AW19" i="218"/>
  <c r="AW20" i="218" s="1"/>
  <c r="Q23" i="218"/>
  <c r="Q24" i="218" s="1"/>
  <c r="P24" i="218"/>
  <c r="P26" i="218" s="1"/>
  <c r="B23" i="218"/>
  <c r="AJ27" i="218"/>
  <c r="AH20" i="218"/>
  <c r="AH26" i="218" s="1"/>
  <c r="AI19" i="218"/>
  <c r="T50" i="213"/>
  <c r="K49" i="213"/>
  <c r="T24" i="218"/>
  <c r="U23" i="218"/>
  <c r="R20" i="218"/>
  <c r="R26" i="218" s="1"/>
  <c r="S19" i="218"/>
  <c r="S20" i="218" s="1"/>
  <c r="J54" i="214"/>
  <c r="L54" i="214"/>
  <c r="J58" i="214"/>
  <c r="L55" i="214"/>
  <c r="D55" i="214"/>
  <c r="L58" i="214"/>
  <c r="D58" i="214"/>
  <c r="D57" i="214"/>
  <c r="L53" i="214"/>
  <c r="K54" i="213"/>
  <c r="K57" i="213"/>
  <c r="I58" i="213"/>
  <c r="J57" i="213"/>
  <c r="I54" i="213"/>
  <c r="I53" i="213"/>
  <c r="AB20" i="218"/>
  <c r="AB26" i="218" s="1"/>
  <c r="BV26" i="218"/>
  <c r="BC19" i="218"/>
  <c r="BC20" i="218" s="1"/>
  <c r="BB20" i="218"/>
  <c r="Q49" i="213"/>
  <c r="BE23" i="218"/>
  <c r="BH24" i="218"/>
  <c r="BH26" i="218" s="1"/>
  <c r="BI23" i="218"/>
  <c r="R58" i="213"/>
  <c r="R54" i="213"/>
  <c r="D58" i="213"/>
  <c r="R52" i="213"/>
  <c r="Q55" i="213"/>
  <c r="D13" i="213"/>
  <c r="D11" i="214"/>
  <c r="D56" i="213"/>
  <c r="R57" i="213"/>
  <c r="Q58" i="213"/>
  <c r="D53" i="213"/>
  <c r="Q53" i="213"/>
  <c r="T49" i="213"/>
  <c r="R50" i="213"/>
  <c r="R49" i="213"/>
  <c r="R56" i="213"/>
  <c r="Q50" i="213"/>
  <c r="Q56" i="213"/>
  <c r="Y26" i="218" l="1"/>
  <c r="H39" i="218"/>
  <c r="C118" i="233"/>
  <c r="C20" i="233"/>
  <c r="AP26" i="218"/>
  <c r="AP27" i="218" s="1"/>
  <c r="BM26" i="218"/>
  <c r="BM39" i="218" s="1"/>
  <c r="BA20" i="218"/>
  <c r="O16" i="214"/>
  <c r="C47" i="61"/>
  <c r="AA65" i="218"/>
  <c r="H26" i="229"/>
  <c r="C61" i="35"/>
  <c r="V22" i="213"/>
  <c r="Q26" i="220"/>
  <c r="AQ49" i="218"/>
  <c r="C32" i="101"/>
  <c r="J32" i="81"/>
  <c r="I25" i="210" s="1"/>
  <c r="J32" i="176"/>
  <c r="I28" i="210" s="1"/>
  <c r="AQ50" i="218"/>
  <c r="AC24" i="218"/>
  <c r="K54" i="218"/>
  <c r="I26" i="220"/>
  <c r="J32" i="171"/>
  <c r="I26" i="210" s="1"/>
  <c r="C59" i="96"/>
  <c r="G47" i="230"/>
  <c r="C54" i="136"/>
  <c r="C32" i="41"/>
  <c r="M33" i="220"/>
  <c r="AW26" i="218"/>
  <c r="BJ26" i="218"/>
  <c r="C209" i="233" s="1"/>
  <c r="AT27" i="218"/>
  <c r="AT39" i="218"/>
  <c r="AT67" i="218" s="1"/>
  <c r="BS26" i="218"/>
  <c r="D237" i="233" s="1"/>
  <c r="D240" i="233" s="1"/>
  <c r="C195" i="233"/>
  <c r="BF27" i="218"/>
  <c r="B19" i="218"/>
  <c r="B20" i="218" s="1"/>
  <c r="T26" i="218"/>
  <c r="T39" i="218" s="1"/>
  <c r="S26" i="218"/>
  <c r="S39" i="218" s="1"/>
  <c r="AX40" i="218"/>
  <c r="AK26" i="218"/>
  <c r="D118" i="233" s="1"/>
  <c r="BP39" i="218"/>
  <c r="BP67" i="218" s="1"/>
  <c r="C230" i="233"/>
  <c r="C167" i="233"/>
  <c r="Z26" i="218"/>
  <c r="C83" i="233" s="1"/>
  <c r="C6" i="233"/>
  <c r="C9" i="233" s="1"/>
  <c r="E6" i="233" s="1"/>
  <c r="L27" i="218"/>
  <c r="BB26" i="218"/>
  <c r="C181" i="233" s="1"/>
  <c r="AX27" i="218"/>
  <c r="R47" i="230"/>
  <c r="U47" i="230"/>
  <c r="V46" i="213"/>
  <c r="U16" i="230"/>
  <c r="C33" i="116"/>
  <c r="C32" i="81"/>
  <c r="AO58" i="218"/>
  <c r="AO57" i="218"/>
  <c r="AO7" i="218"/>
  <c r="AO49" i="218"/>
  <c r="AO10" i="218"/>
  <c r="AO29" i="218"/>
  <c r="AO43" i="218"/>
  <c r="AO14" i="218"/>
  <c r="AO63" i="218"/>
  <c r="AO56" i="218"/>
  <c r="AO60" i="218" s="1"/>
  <c r="AO35" i="218"/>
  <c r="AO13" i="218"/>
  <c r="AO48" i="218"/>
  <c r="AO45" i="218"/>
  <c r="AO64" i="218"/>
  <c r="AO52" i="218"/>
  <c r="M13" i="220"/>
  <c r="O26" i="214"/>
  <c r="P26" i="214"/>
  <c r="AQ13" i="218"/>
  <c r="C59" i="136"/>
  <c r="C47" i="96"/>
  <c r="AO19" i="218"/>
  <c r="AO20" i="218" s="1"/>
  <c r="O23" i="220"/>
  <c r="C47" i="71"/>
  <c r="BW20" i="218"/>
  <c r="G19" i="230"/>
  <c r="O11" i="218"/>
  <c r="C47" i="202"/>
  <c r="AK32" i="213"/>
  <c r="O32" i="213"/>
  <c r="G33" i="230"/>
  <c r="I33" i="220"/>
  <c r="AQ7" i="218"/>
  <c r="AQ10" i="218"/>
  <c r="AQ63" i="218"/>
  <c r="AQ56" i="218"/>
  <c r="AQ11" i="218"/>
  <c r="AQ57" i="218"/>
  <c r="AQ48" i="218"/>
  <c r="AQ64" i="218"/>
  <c r="AQ29" i="218"/>
  <c r="AQ52" i="218"/>
  <c r="AQ14" i="218"/>
  <c r="AQ34" i="218"/>
  <c r="AQ43" i="218"/>
  <c r="AQ22" i="218"/>
  <c r="AQ24" i="218" s="1"/>
  <c r="BU59" i="218"/>
  <c r="BU7" i="218"/>
  <c r="BU50" i="218"/>
  <c r="BU18" i="218"/>
  <c r="BU35" i="218"/>
  <c r="BU64" i="218"/>
  <c r="BU48" i="218"/>
  <c r="BU36" i="218"/>
  <c r="BU44" i="218"/>
  <c r="BU34" i="218"/>
  <c r="BU42" i="218"/>
  <c r="BU57" i="218"/>
  <c r="BU37" i="218"/>
  <c r="BU10" i="218"/>
  <c r="BU45" i="218"/>
  <c r="BU43" i="218"/>
  <c r="BU33" i="218"/>
  <c r="BU46" i="218"/>
  <c r="BU14" i="218"/>
  <c r="BU11" i="218"/>
  <c r="BU47" i="218"/>
  <c r="BU51" i="218"/>
  <c r="BU22" i="218"/>
  <c r="BU24" i="218" s="1"/>
  <c r="BU52" i="218"/>
  <c r="BU49" i="218"/>
  <c r="BU13" i="218"/>
  <c r="BU58" i="218"/>
  <c r="BU32" i="218"/>
  <c r="BU29" i="218"/>
  <c r="AQ33" i="218"/>
  <c r="AK24" i="213"/>
  <c r="G25" i="230"/>
  <c r="O24" i="213"/>
  <c r="AO46" i="218"/>
  <c r="AO37" i="218"/>
  <c r="BI24" i="218"/>
  <c r="AK18" i="213"/>
  <c r="K36" i="220"/>
  <c r="T25" i="230"/>
  <c r="C15" i="81"/>
  <c r="AQ18" i="218"/>
  <c r="Y16" i="218"/>
  <c r="C15" i="56"/>
  <c r="J32" i="71"/>
  <c r="I23" i="210" s="1"/>
  <c r="AQ44" i="218"/>
  <c r="AQ45" i="218"/>
  <c r="AQ19" i="218"/>
  <c r="AO34" i="218"/>
  <c r="G33" i="229"/>
  <c r="H33" i="229"/>
  <c r="AO23" i="218"/>
  <c r="AO24" i="218" s="1"/>
  <c r="O25" i="213"/>
  <c r="AK25" i="213"/>
  <c r="C61" i="116"/>
  <c r="T52" i="213"/>
  <c r="C32" i="71"/>
  <c r="C33" i="71" s="1"/>
  <c r="C61" i="71" s="1"/>
  <c r="J15" i="61"/>
  <c r="Q14" i="230"/>
  <c r="U13" i="213"/>
  <c r="D126" i="233"/>
  <c r="AM30" i="218"/>
  <c r="Q33" i="220"/>
  <c r="BU19" i="218"/>
  <c r="AQ36" i="218"/>
  <c r="AO50" i="218"/>
  <c r="T44" i="230"/>
  <c r="C15" i="101"/>
  <c r="O12" i="214"/>
  <c r="P12" i="214"/>
  <c r="AO33" i="218"/>
  <c r="AO38" i="218" s="1"/>
  <c r="D134" i="233" s="1"/>
  <c r="O19" i="218"/>
  <c r="O23" i="218"/>
  <c r="I53" i="218"/>
  <c r="G23" i="229"/>
  <c r="H23" i="229"/>
  <c r="C59" i="71"/>
  <c r="J20" i="96"/>
  <c r="F13" i="210" s="1"/>
  <c r="AO44" i="218"/>
  <c r="AO47" i="218"/>
  <c r="T26" i="230"/>
  <c r="C15" i="171"/>
  <c r="O25" i="214"/>
  <c r="C54" i="96"/>
  <c r="P23" i="214"/>
  <c r="O23" i="214"/>
  <c r="M44" i="220"/>
  <c r="J20" i="71"/>
  <c r="F23" i="210" s="1"/>
  <c r="BS16" i="218"/>
  <c r="O47" i="220"/>
  <c r="U28" i="213"/>
  <c r="C15" i="202"/>
  <c r="Q47" i="220"/>
  <c r="Q19" i="230"/>
  <c r="U18" i="213"/>
  <c r="U14" i="218"/>
  <c r="C32" i="202"/>
  <c r="AK38" i="218"/>
  <c r="D120" i="233" s="1"/>
  <c r="U13" i="230"/>
  <c r="V12" i="213"/>
  <c r="R13" i="230"/>
  <c r="BA65" i="218"/>
  <c r="BA66" i="218" s="1"/>
  <c r="K16" i="218"/>
  <c r="Q40" i="230"/>
  <c r="O57" i="218"/>
  <c r="I38" i="218"/>
  <c r="D22" i="233" s="1"/>
  <c r="S53" i="218"/>
  <c r="S54" i="218" s="1"/>
  <c r="S60" i="218"/>
  <c r="C59" i="61"/>
  <c r="U27" i="230"/>
  <c r="V26" i="213"/>
  <c r="R27" i="230"/>
  <c r="U46" i="230"/>
  <c r="R46" i="230"/>
  <c r="V45" i="213"/>
  <c r="C33" i="194"/>
  <c r="AG24" i="218"/>
  <c r="J32" i="41"/>
  <c r="I36" i="210" s="1"/>
  <c r="C32" i="56"/>
  <c r="C33" i="56" s="1"/>
  <c r="U12" i="230"/>
  <c r="V11" i="213"/>
  <c r="R12" i="230"/>
  <c r="Q34" i="230"/>
  <c r="U33" i="213"/>
  <c r="AI24" i="218"/>
  <c r="I24" i="218"/>
  <c r="I26" i="218" s="1"/>
  <c r="Q42" i="230"/>
  <c r="U41" i="213"/>
  <c r="AI20" i="218"/>
  <c r="C47" i="176"/>
  <c r="J32" i="202"/>
  <c r="J15" i="41"/>
  <c r="G36" i="210" s="1"/>
  <c r="I52" i="213"/>
  <c r="J32" i="56"/>
  <c r="I24" i="210" s="1"/>
  <c r="C47" i="56"/>
  <c r="C32" i="61"/>
  <c r="AC60" i="218"/>
  <c r="G38" i="210"/>
  <c r="J33" i="15"/>
  <c r="E31" i="210" s="1"/>
  <c r="V27" i="213"/>
  <c r="U28" i="230"/>
  <c r="R28" i="230"/>
  <c r="C54" i="202"/>
  <c r="T36" i="230"/>
  <c r="C15" i="41"/>
  <c r="C33" i="41" s="1"/>
  <c r="O38" i="214"/>
  <c r="P38" i="214"/>
  <c r="C20" i="61"/>
  <c r="BQ52" i="218"/>
  <c r="O28" i="220"/>
  <c r="BW7" i="218"/>
  <c r="BW29" i="218"/>
  <c r="BW10" i="218"/>
  <c r="BW42" i="218"/>
  <c r="BW53" i="218" s="1"/>
  <c r="BW56" i="218"/>
  <c r="BW64" i="218"/>
  <c r="BW65" i="218" s="1"/>
  <c r="J15" i="202"/>
  <c r="G47" i="210" s="1"/>
  <c r="P36" i="214"/>
  <c r="O36" i="214"/>
  <c r="G28" i="229"/>
  <c r="H28" i="229"/>
  <c r="M36" i="220"/>
  <c r="I36" i="220"/>
  <c r="Q36" i="220"/>
  <c r="O7" i="218"/>
  <c r="O58" i="218"/>
  <c r="O52" i="218"/>
  <c r="O29" i="218"/>
  <c r="O64" i="218"/>
  <c r="O47" i="218"/>
  <c r="O22" i="218"/>
  <c r="O36" i="218"/>
  <c r="O51" i="218"/>
  <c r="O35" i="218"/>
  <c r="O13" i="218"/>
  <c r="O56" i="218"/>
  <c r="O50" i="218"/>
  <c r="O43" i="218"/>
  <c r="O37" i="218"/>
  <c r="O10" i="218"/>
  <c r="O44" i="218"/>
  <c r="O33" i="218"/>
  <c r="O34" i="218"/>
  <c r="O49" i="218"/>
  <c r="O32" i="218"/>
  <c r="O48" i="218"/>
  <c r="O63" i="218"/>
  <c r="O42" i="218"/>
  <c r="O45" i="218"/>
  <c r="O46" i="218"/>
  <c r="O59" i="218"/>
  <c r="O18" i="218"/>
  <c r="T38" i="230"/>
  <c r="C15" i="61"/>
  <c r="J32" i="61"/>
  <c r="I38" i="210" s="1"/>
  <c r="I56" i="213"/>
  <c r="BQ23" i="218"/>
  <c r="E23" i="218"/>
  <c r="AC38" i="218"/>
  <c r="D92" i="233" s="1"/>
  <c r="C54" i="15"/>
  <c r="AK15" i="218"/>
  <c r="D117" i="233" s="1"/>
  <c r="C32" i="176"/>
  <c r="C59" i="176"/>
  <c r="C54" i="56"/>
  <c r="I60" i="218"/>
  <c r="I61" i="218" s="1"/>
  <c r="D56" i="233"/>
  <c r="S30" i="218"/>
  <c r="I47" i="220"/>
  <c r="K47" i="220"/>
  <c r="G31" i="229"/>
  <c r="I15" i="218"/>
  <c r="S65" i="218"/>
  <c r="S66" i="218" s="1"/>
  <c r="C54" i="176"/>
  <c r="M46" i="213"/>
  <c r="I47" i="230"/>
  <c r="H46" i="229"/>
  <c r="G46" i="229"/>
  <c r="C59" i="41"/>
  <c r="C47" i="41"/>
  <c r="AC65" i="218"/>
  <c r="AW39" i="218"/>
  <c r="D21" i="233"/>
  <c r="I30" i="218"/>
  <c r="O28" i="214"/>
  <c r="P28" i="214"/>
  <c r="AI58" i="218"/>
  <c r="AI34" i="218"/>
  <c r="AI35" i="218"/>
  <c r="AI49" i="218"/>
  <c r="AI43" i="218"/>
  <c r="AI53" i="218" s="1"/>
  <c r="AI54" i="218" s="1"/>
  <c r="AI50" i="218"/>
  <c r="AI29" i="218"/>
  <c r="AI56" i="218"/>
  <c r="AI32" i="218"/>
  <c r="C54" i="41"/>
  <c r="V23" i="213"/>
  <c r="R24" i="230"/>
  <c r="U24" i="230"/>
  <c r="J20" i="56"/>
  <c r="F24" i="210" s="1"/>
  <c r="BO54" i="218"/>
  <c r="BO61" i="218"/>
  <c r="R23" i="230"/>
  <c r="J32" i="161"/>
  <c r="I15" i="210" s="1"/>
  <c r="G43" i="229"/>
  <c r="Q43" i="220"/>
  <c r="O43" i="220"/>
  <c r="BM54" i="218"/>
  <c r="BC24" i="218"/>
  <c r="T21" i="230"/>
  <c r="C15" i="141"/>
  <c r="E18" i="218"/>
  <c r="C32" i="161"/>
  <c r="C47" i="141"/>
  <c r="J33" i="126"/>
  <c r="E14" i="210" s="1"/>
  <c r="C20" i="141"/>
  <c r="J38" i="223"/>
  <c r="BG10" i="218"/>
  <c r="BG58" i="218"/>
  <c r="BG64" i="218"/>
  <c r="BG42" i="218"/>
  <c r="BG18" i="218"/>
  <c r="BG56" i="218"/>
  <c r="BG44" i="218"/>
  <c r="BG50" i="218"/>
  <c r="BG19" i="218"/>
  <c r="BG57" i="218"/>
  <c r="BG33" i="218"/>
  <c r="BG34" i="218"/>
  <c r="BG7" i="218"/>
  <c r="BG46" i="218"/>
  <c r="BG32" i="218"/>
  <c r="BG37" i="218"/>
  <c r="BG52" i="218"/>
  <c r="BG49" i="218"/>
  <c r="BG11" i="218"/>
  <c r="BG15" i="218" s="1"/>
  <c r="BG43" i="218"/>
  <c r="BG22" i="218"/>
  <c r="BG45" i="218"/>
  <c r="BG36" i="218"/>
  <c r="BG23" i="218"/>
  <c r="BG24" i="218" s="1"/>
  <c r="BG63" i="218"/>
  <c r="BG65" i="218" s="1"/>
  <c r="BG66" i="218" s="1"/>
  <c r="BG29" i="218"/>
  <c r="J20" i="223"/>
  <c r="P21" i="214"/>
  <c r="O21" i="214"/>
  <c r="C38" i="223"/>
  <c r="G21" i="230"/>
  <c r="O20" i="213"/>
  <c r="O52" i="213" s="1"/>
  <c r="AK20" i="213"/>
  <c r="AK52" i="213" s="1"/>
  <c r="G21" i="229"/>
  <c r="H21" i="229"/>
  <c r="J15" i="141"/>
  <c r="G21" i="210" s="1"/>
  <c r="C15" i="223"/>
  <c r="C39" i="223"/>
  <c r="C68" i="223" s="1"/>
  <c r="AM20" i="218"/>
  <c r="AM20" i="213"/>
  <c r="K21" i="230"/>
  <c r="C54" i="141"/>
  <c r="J15" i="223"/>
  <c r="K20" i="218"/>
  <c r="K26" i="218" s="1"/>
  <c r="I54" i="218"/>
  <c r="I27" i="220"/>
  <c r="G51" i="218"/>
  <c r="C47" i="121"/>
  <c r="BW60" i="218"/>
  <c r="AI65" i="218"/>
  <c r="AI66" i="218" s="1"/>
  <c r="W20" i="218"/>
  <c r="U14" i="230"/>
  <c r="C33" i="126"/>
  <c r="C61" i="126" s="1"/>
  <c r="U45" i="230"/>
  <c r="AI15" i="218"/>
  <c r="AI16" i="218" s="1"/>
  <c r="AG20" i="218"/>
  <c r="V13" i="213"/>
  <c r="BK19" i="218"/>
  <c r="BK13" i="218"/>
  <c r="BE20" i="218"/>
  <c r="AM24" i="218"/>
  <c r="AM26" i="218" s="1"/>
  <c r="U34" i="218"/>
  <c r="AA24" i="218"/>
  <c r="AA26" i="218" s="1"/>
  <c r="C33" i="51"/>
  <c r="C61" i="51" s="1"/>
  <c r="C47" i="161"/>
  <c r="AC15" i="218"/>
  <c r="AC16" i="218" s="1"/>
  <c r="AY34" i="218"/>
  <c r="O14" i="220"/>
  <c r="C32" i="121"/>
  <c r="Q39" i="230"/>
  <c r="U38" i="213"/>
  <c r="U32" i="213"/>
  <c r="U40" i="230"/>
  <c r="AC53" i="218"/>
  <c r="AC54" i="218" s="1"/>
  <c r="C42" i="181"/>
  <c r="C94" i="181" s="1"/>
  <c r="R40" i="230"/>
  <c r="C32" i="146"/>
  <c r="C33" i="146" s="1"/>
  <c r="M43" i="220"/>
  <c r="O18" i="220"/>
  <c r="R45" i="230"/>
  <c r="U19" i="218"/>
  <c r="U20" i="218" s="1"/>
  <c r="L40" i="188"/>
  <c r="Q30" i="230"/>
  <c r="U37" i="218"/>
  <c r="U43" i="218"/>
  <c r="I43" i="220"/>
  <c r="C54" i="146"/>
  <c r="AC61" i="218"/>
  <c r="K15" i="220"/>
  <c r="K14" i="220"/>
  <c r="BI53" i="218"/>
  <c r="BI54" i="218" s="1"/>
  <c r="AA53" i="218"/>
  <c r="AA54" i="218" s="1"/>
  <c r="C33" i="151"/>
  <c r="M27" i="220"/>
  <c r="O30" i="214"/>
  <c r="P30" i="214"/>
  <c r="U14" i="213"/>
  <c r="Q15" i="230"/>
  <c r="BI20" i="218"/>
  <c r="BQ13" i="218"/>
  <c r="M15" i="220"/>
  <c r="P13" i="214"/>
  <c r="O13" i="214"/>
  <c r="Q27" i="220"/>
  <c r="D203" i="233"/>
  <c r="BI30" i="218"/>
  <c r="BA26" i="218"/>
  <c r="D174" i="233" s="1"/>
  <c r="J33" i="161"/>
  <c r="E15" i="210" s="1"/>
  <c r="I14" i="220"/>
  <c r="H30" i="229"/>
  <c r="G30" i="229"/>
  <c r="E10" i="218"/>
  <c r="BW24" i="218"/>
  <c r="BQ22" i="218"/>
  <c r="L24" i="188"/>
  <c r="M14" i="220"/>
  <c r="O15" i="220"/>
  <c r="BI60" i="218"/>
  <c r="J33" i="20"/>
  <c r="E35" i="210" s="1"/>
  <c r="M15" i="218"/>
  <c r="D33" i="233" s="1"/>
  <c r="BQ18" i="218"/>
  <c r="AY10" i="218"/>
  <c r="C54" i="161"/>
  <c r="C15" i="121"/>
  <c r="G18" i="218"/>
  <c r="G20" i="218" s="1"/>
  <c r="G35" i="218"/>
  <c r="G10" i="218"/>
  <c r="G11" i="218"/>
  <c r="G56" i="218"/>
  <c r="G13" i="218"/>
  <c r="G34" i="218"/>
  <c r="G48" i="218"/>
  <c r="G64" i="218"/>
  <c r="G52" i="218"/>
  <c r="G45" i="218"/>
  <c r="G22" i="218"/>
  <c r="G44" i="218"/>
  <c r="G46" i="218"/>
  <c r="G50" i="218"/>
  <c r="G14" i="218"/>
  <c r="G33" i="218"/>
  <c r="G58" i="218"/>
  <c r="G57" i="218"/>
  <c r="G63" i="218"/>
  <c r="G59" i="218"/>
  <c r="G7" i="218"/>
  <c r="G37" i="218"/>
  <c r="G32" i="218"/>
  <c r="G23" i="218"/>
  <c r="G49" i="218"/>
  <c r="G29" i="218"/>
  <c r="G43" i="218"/>
  <c r="G42" i="218"/>
  <c r="G47" i="218"/>
  <c r="C59" i="161"/>
  <c r="BM16" i="218"/>
  <c r="D215" i="233"/>
  <c r="G15" i="229"/>
  <c r="H15" i="229"/>
  <c r="P43" i="214"/>
  <c r="O43" i="214"/>
  <c r="Y39" i="218"/>
  <c r="AM15" i="218"/>
  <c r="AM16" i="218" s="1"/>
  <c r="AS26" i="218"/>
  <c r="AS39" i="218" s="1"/>
  <c r="J33" i="194"/>
  <c r="E46" i="210" s="1"/>
  <c r="O31" i="220"/>
  <c r="M31" i="220"/>
  <c r="Q31" i="220"/>
  <c r="BW38" i="218"/>
  <c r="D253" i="233" s="1"/>
  <c r="O27" i="220"/>
  <c r="Q31" i="230"/>
  <c r="C33" i="15"/>
  <c r="U30" i="213"/>
  <c r="O27" i="214"/>
  <c r="P27" i="214"/>
  <c r="U46" i="213"/>
  <c r="Q47" i="230"/>
  <c r="BI15" i="218"/>
  <c r="AG38" i="218"/>
  <c r="D106" i="233" s="1"/>
  <c r="C33" i="161"/>
  <c r="G27" i="229"/>
  <c r="G14" i="229"/>
  <c r="H14" i="229"/>
  <c r="AY33" i="218"/>
  <c r="AY18" i="218"/>
  <c r="AY52" i="218"/>
  <c r="AY47" i="218"/>
  <c r="AY59" i="218"/>
  <c r="AY64" i="218"/>
  <c r="AY37" i="218"/>
  <c r="AY48" i="218"/>
  <c r="AY50" i="218"/>
  <c r="AY56" i="218"/>
  <c r="AY35" i="218"/>
  <c r="AY58" i="218"/>
  <c r="AY57" i="218"/>
  <c r="AY45" i="218"/>
  <c r="AY46" i="218"/>
  <c r="AY19" i="218"/>
  <c r="AY63" i="218"/>
  <c r="AY14" i="218"/>
  <c r="AY51" i="218"/>
  <c r="AY7" i="218"/>
  <c r="AY22" i="218"/>
  <c r="AY24" i="218" s="1"/>
  <c r="AY44" i="218"/>
  <c r="AY11" i="218"/>
  <c r="AY13" i="218"/>
  <c r="AY36" i="218"/>
  <c r="AY43" i="218"/>
  <c r="AY29" i="218"/>
  <c r="AY32" i="218"/>
  <c r="Q16" i="230"/>
  <c r="C33" i="156"/>
  <c r="C61" i="156" s="1"/>
  <c r="U15" i="213"/>
  <c r="BE24" i="218"/>
  <c r="S61" i="218"/>
  <c r="AY49" i="218"/>
  <c r="AC30" i="218"/>
  <c r="K31" i="220"/>
  <c r="M18" i="220"/>
  <c r="BQ43" i="218"/>
  <c r="BQ48" i="218"/>
  <c r="BQ7" i="218"/>
  <c r="BQ63" i="218"/>
  <c r="BQ29" i="218"/>
  <c r="BQ10" i="218"/>
  <c r="BQ42" i="218"/>
  <c r="BQ58" i="218"/>
  <c r="BQ64" i="218"/>
  <c r="BQ45" i="218"/>
  <c r="BQ46" i="218"/>
  <c r="BQ51" i="218"/>
  <c r="BQ50" i="218"/>
  <c r="BQ11" i="218"/>
  <c r="BQ57" i="218"/>
  <c r="BQ37" i="218"/>
  <c r="BQ14" i="218"/>
  <c r="BQ35" i="218"/>
  <c r="BQ34" i="218"/>
  <c r="BQ33" i="218"/>
  <c r="BQ59" i="218"/>
  <c r="BQ44" i="218"/>
  <c r="BQ32" i="218"/>
  <c r="BQ47" i="218"/>
  <c r="BQ49" i="218"/>
  <c r="BQ56" i="218"/>
  <c r="E63" i="218"/>
  <c r="E59" i="218"/>
  <c r="E32" i="218"/>
  <c r="E13" i="218"/>
  <c r="E7" i="218"/>
  <c r="E22" i="218"/>
  <c r="E29" i="218"/>
  <c r="E37" i="218"/>
  <c r="E46" i="218"/>
  <c r="E56" i="218"/>
  <c r="E47" i="218"/>
  <c r="E45" i="218"/>
  <c r="E14" i="218"/>
  <c r="E33" i="218"/>
  <c r="E51" i="218"/>
  <c r="E42" i="218"/>
  <c r="E36" i="218"/>
  <c r="E48" i="218"/>
  <c r="E44" i="218"/>
  <c r="E64" i="218"/>
  <c r="E50" i="218"/>
  <c r="E43" i="218"/>
  <c r="E58" i="218"/>
  <c r="E34" i="218"/>
  <c r="E11" i="218"/>
  <c r="E19" i="218"/>
  <c r="E20" i="218" s="1"/>
  <c r="BQ19" i="218"/>
  <c r="BI38" i="218"/>
  <c r="D204" i="233" s="1"/>
  <c r="BC15" i="218"/>
  <c r="D180" i="233" s="1"/>
  <c r="U58" i="218"/>
  <c r="U64" i="218"/>
  <c r="U13" i="218"/>
  <c r="C61" i="20"/>
  <c r="D48" i="210"/>
  <c r="J33" i="156"/>
  <c r="E16" i="210" s="1"/>
  <c r="D54" i="233"/>
  <c r="S16" i="218"/>
  <c r="AA60" i="218"/>
  <c r="AA61" i="218" s="1"/>
  <c r="R39" i="230"/>
  <c r="BA53" i="218"/>
  <c r="BA54" i="218" s="1"/>
  <c r="G47" i="209"/>
  <c r="U39" i="230"/>
  <c r="BA38" i="218"/>
  <c r="D176" i="233" s="1"/>
  <c r="J33" i="35"/>
  <c r="E17" i="210" s="1"/>
  <c r="M65" i="218"/>
  <c r="M66" i="218" s="1"/>
  <c r="AG15" i="218"/>
  <c r="D103" i="233" s="1"/>
  <c r="Q12" i="230"/>
  <c r="U11" i="213"/>
  <c r="BA60" i="218"/>
  <c r="BA61" i="218" s="1"/>
  <c r="D175" i="233"/>
  <c r="BA30" i="218"/>
  <c r="BC53" i="218"/>
  <c r="BC54" i="218" s="1"/>
  <c r="Q26" i="218"/>
  <c r="D48" i="233" s="1"/>
  <c r="D51" i="233" s="1"/>
  <c r="C33" i="76"/>
  <c r="AM38" i="218"/>
  <c r="D127" i="233" s="1"/>
  <c r="U51" i="218"/>
  <c r="BA15" i="218"/>
  <c r="O24" i="220"/>
  <c r="AE44" i="218"/>
  <c r="AE64" i="218"/>
  <c r="AE43" i="218"/>
  <c r="AE32" i="218"/>
  <c r="AE46" i="218"/>
  <c r="AE58" i="218"/>
  <c r="AE50" i="218"/>
  <c r="AE13" i="218"/>
  <c r="AE14" i="218"/>
  <c r="AE37" i="218"/>
  <c r="AE57" i="218"/>
  <c r="AE59" i="218"/>
  <c r="AE47" i="218"/>
  <c r="AE48" i="218"/>
  <c r="AE33" i="218"/>
  <c r="AE42" i="218"/>
  <c r="AE18" i="218"/>
  <c r="AE36" i="218"/>
  <c r="AE35" i="218"/>
  <c r="AE11" i="218"/>
  <c r="AE49" i="218"/>
  <c r="AE34" i="218"/>
  <c r="AE10" i="218"/>
  <c r="AE7" i="218"/>
  <c r="AE63" i="218"/>
  <c r="AE22" i="218"/>
  <c r="AE24" i="218" s="1"/>
  <c r="AE29" i="218"/>
  <c r="AE45" i="218"/>
  <c r="AE56" i="218"/>
  <c r="U45" i="218"/>
  <c r="U46" i="218"/>
  <c r="U52" i="218"/>
  <c r="W65" i="218"/>
  <c r="W53" i="218"/>
  <c r="W54" i="218" s="1"/>
  <c r="M53" i="218"/>
  <c r="M54" i="218" s="1"/>
  <c r="C6" i="218"/>
  <c r="C23" i="218" s="1"/>
  <c r="Q24" i="220"/>
  <c r="D189" i="233"/>
  <c r="BE30" i="218"/>
  <c r="AA38" i="218"/>
  <c r="D85" i="233" s="1"/>
  <c r="AG65" i="218"/>
  <c r="AG66" i="218" s="1"/>
  <c r="H38" i="229"/>
  <c r="G38" i="229"/>
  <c r="O25" i="220"/>
  <c r="M25" i="220"/>
  <c r="I25" i="220"/>
  <c r="U49" i="218"/>
  <c r="U48" i="218"/>
  <c r="M12" i="220"/>
  <c r="M24" i="218"/>
  <c r="D182" i="233"/>
  <c r="BC30" i="218"/>
  <c r="AG30" i="218"/>
  <c r="D105" i="233"/>
  <c r="I43" i="188"/>
  <c r="H25" i="229"/>
  <c r="G25" i="229"/>
  <c r="C54" i="81"/>
  <c r="W24" i="218"/>
  <c r="K35" i="188"/>
  <c r="F27" i="210"/>
  <c r="J33" i="146"/>
  <c r="E27" i="210" s="1"/>
  <c r="BE60" i="218"/>
  <c r="BE61" i="218" s="1"/>
  <c r="C54" i="91"/>
  <c r="AM61" i="218" s="1"/>
  <c r="U33" i="218"/>
  <c r="U63" i="218"/>
  <c r="U29" i="218"/>
  <c r="U10" i="218"/>
  <c r="U36" i="218"/>
  <c r="U42" i="218"/>
  <c r="U7" i="218"/>
  <c r="U47" i="218"/>
  <c r="U32" i="218"/>
  <c r="U50" i="218"/>
  <c r="U22" i="218"/>
  <c r="U24" i="218" s="1"/>
  <c r="U11" i="218"/>
  <c r="U57" i="218"/>
  <c r="G12" i="229"/>
  <c r="H12" i="229"/>
  <c r="U44" i="218"/>
  <c r="D70" i="233"/>
  <c r="W30" i="218"/>
  <c r="W15" i="218"/>
  <c r="M38" i="218"/>
  <c r="D36" i="233" s="1"/>
  <c r="BC65" i="218"/>
  <c r="BC66" i="218" s="1"/>
  <c r="BE65" i="218"/>
  <c r="BE66" i="218" s="1"/>
  <c r="O12" i="220"/>
  <c r="C61" i="194"/>
  <c r="O11" i="214"/>
  <c r="P11" i="214"/>
  <c r="D56" i="210"/>
  <c r="D57" i="210" s="1"/>
  <c r="C62" i="181"/>
  <c r="J63" i="181"/>
  <c r="BK52" i="218"/>
  <c r="BK59" i="218"/>
  <c r="BK57" i="218"/>
  <c r="BK51" i="218"/>
  <c r="BK32" i="218"/>
  <c r="BK42" i="218"/>
  <c r="BK50" i="218"/>
  <c r="BK44" i="218"/>
  <c r="BK22" i="218"/>
  <c r="BK24" i="218" s="1"/>
  <c r="BK7" i="218"/>
  <c r="BK37" i="218"/>
  <c r="BK48" i="218"/>
  <c r="BK45" i="218"/>
  <c r="BK14" i="218"/>
  <c r="BK29" i="218"/>
  <c r="BK47" i="218"/>
  <c r="BK36" i="218"/>
  <c r="BK34" i="218"/>
  <c r="BK58" i="218"/>
  <c r="BK33" i="218"/>
  <c r="BK35" i="218"/>
  <c r="BK11" i="218"/>
  <c r="BK46" i="218"/>
  <c r="BK43" i="218"/>
  <c r="BK56" i="218"/>
  <c r="BK63" i="218"/>
  <c r="BK10" i="218"/>
  <c r="BK49" i="218"/>
  <c r="BK18" i="218"/>
  <c r="D35" i="233"/>
  <c r="M30" i="218"/>
  <c r="D84" i="233"/>
  <c r="AA30" i="218"/>
  <c r="O24" i="214"/>
  <c r="P24" i="214"/>
  <c r="U56" i="218"/>
  <c r="W38" i="218"/>
  <c r="D71" i="233" s="1"/>
  <c r="M60" i="218"/>
  <c r="M61" i="218" s="1"/>
  <c r="M20" i="218"/>
  <c r="BC60" i="218"/>
  <c r="BC61" i="218" s="1"/>
  <c r="BE38" i="218"/>
  <c r="D190" i="233" s="1"/>
  <c r="AA15" i="218"/>
  <c r="D82" i="233" s="1"/>
  <c r="AE20" i="218"/>
  <c r="D73" i="210"/>
  <c r="U59" i="218"/>
  <c r="U35" i="218"/>
  <c r="W60" i="218"/>
  <c r="Q12" i="220"/>
  <c r="BC38" i="218"/>
  <c r="D183" i="233" s="1"/>
  <c r="BE15" i="218"/>
  <c r="Q25" i="220"/>
  <c r="AG60" i="218"/>
  <c r="AG61" i="218" s="1"/>
  <c r="I12" i="220"/>
  <c r="AZ26" i="218"/>
  <c r="AZ27" i="218" s="1"/>
  <c r="C34" i="233"/>
  <c r="C37" i="233" s="1"/>
  <c r="E34" i="233" s="1"/>
  <c r="C216" i="233"/>
  <c r="C219" i="233" s="1"/>
  <c r="E216" i="233" s="1"/>
  <c r="BO39" i="218"/>
  <c r="BO67" i="218" s="1"/>
  <c r="D223" i="233"/>
  <c r="D226" i="233" s="1"/>
  <c r="BO27" i="218"/>
  <c r="F27" i="218"/>
  <c r="C13" i="233"/>
  <c r="C16" i="233" s="1"/>
  <c r="E13" i="233" s="1"/>
  <c r="F39" i="218"/>
  <c r="F67" i="218" s="1"/>
  <c r="AR26" i="218"/>
  <c r="AR27" i="218" s="1"/>
  <c r="C244" i="233"/>
  <c r="BT39" i="218"/>
  <c r="X26" i="218"/>
  <c r="X39" i="218" s="1"/>
  <c r="BL27" i="218"/>
  <c r="L40" i="218"/>
  <c r="AN26" i="218"/>
  <c r="L80" i="218"/>
  <c r="L81" i="218" s="1"/>
  <c r="BD39" i="218"/>
  <c r="BD27" i="218"/>
  <c r="C188" i="233"/>
  <c r="C191" i="233" s="1"/>
  <c r="E188" i="233" s="1"/>
  <c r="AL39" i="218"/>
  <c r="AL40" i="218" s="1"/>
  <c r="C139" i="233"/>
  <c r="C142" i="233" s="1"/>
  <c r="E139" i="233" s="1"/>
  <c r="C153" i="233"/>
  <c r="BN27" i="218"/>
  <c r="C223" i="233"/>
  <c r="C226" i="233" s="1"/>
  <c r="E223" i="233" s="1"/>
  <c r="BN39" i="218"/>
  <c r="BN40" i="218" s="1"/>
  <c r="N27" i="218"/>
  <c r="C41" i="233"/>
  <c r="C44" i="233" s="1"/>
  <c r="E41" i="233" s="1"/>
  <c r="N39" i="218"/>
  <c r="N67" i="218" s="1"/>
  <c r="AC26" i="218"/>
  <c r="AF26" i="218"/>
  <c r="AF27" i="218" s="1"/>
  <c r="D49" i="213"/>
  <c r="F61" i="141"/>
  <c r="O19" i="209"/>
  <c r="P19" i="209" s="1"/>
  <c r="Q19" i="209" s="1"/>
  <c r="G16" i="188"/>
  <c r="I48" i="141"/>
  <c r="M205" i="184"/>
  <c r="P16" i="218"/>
  <c r="E10" i="222"/>
  <c r="A47" i="222"/>
  <c r="E11" i="222"/>
  <c r="E9" i="222"/>
  <c r="E12" i="222"/>
  <c r="A136" i="222"/>
  <c r="E109" i="222"/>
  <c r="E110" i="222"/>
  <c r="E103" i="222"/>
  <c r="E108" i="222"/>
  <c r="E102" i="222"/>
  <c r="E107" i="222"/>
  <c r="E113" i="222"/>
  <c r="E106" i="222"/>
  <c r="E104" i="222"/>
  <c r="E111" i="222"/>
  <c r="E105" i="222"/>
  <c r="E112" i="222"/>
  <c r="C27" i="233"/>
  <c r="J39" i="218"/>
  <c r="J67" i="218" s="1"/>
  <c r="G41" i="223"/>
  <c r="E62" i="165"/>
  <c r="E65" i="165"/>
  <c r="E61" i="165"/>
  <c r="E58" i="165"/>
  <c r="E60" i="165"/>
  <c r="E54" i="165"/>
  <c r="E64" i="165"/>
  <c r="A92" i="165"/>
  <c r="E63" i="165"/>
  <c r="E55" i="165"/>
  <c r="E57" i="165"/>
  <c r="E59" i="165"/>
  <c r="G39" i="210"/>
  <c r="L1481" i="184"/>
  <c r="L85" i="82"/>
  <c r="E14" i="55"/>
  <c r="G82" i="191"/>
  <c r="F34" i="239"/>
  <c r="J34" i="239" s="1"/>
  <c r="C34" i="239"/>
  <c r="F60" i="239"/>
  <c r="C60" i="239"/>
  <c r="AB75" i="31"/>
  <c r="D74" i="30"/>
  <c r="B51" i="30"/>
  <c r="F32" i="239"/>
  <c r="J32" i="239" s="1"/>
  <c r="C32" i="239"/>
  <c r="F42" i="30"/>
  <c r="D102" i="29"/>
  <c r="C42" i="30"/>
  <c r="G1461" i="184"/>
  <c r="G85" i="13"/>
  <c r="D57" i="132"/>
  <c r="D1136" i="184"/>
  <c r="M44" i="132"/>
  <c r="E11" i="110"/>
  <c r="H34" i="210"/>
  <c r="J33" i="86"/>
  <c r="E34" i="210" s="1"/>
  <c r="M1147" i="184"/>
  <c r="AC22" i="231"/>
  <c r="AK22" i="231" s="1"/>
  <c r="W21" i="72"/>
  <c r="D19" i="242"/>
  <c r="D9" i="70"/>
  <c r="C32" i="198"/>
  <c r="C33" i="198" s="1"/>
  <c r="W39" i="227"/>
  <c r="O38" i="212"/>
  <c r="W22" i="107"/>
  <c r="R35" i="107"/>
  <c r="R36" i="107"/>
  <c r="H25" i="221" s="1"/>
  <c r="G1482" i="184"/>
  <c r="G85" i="203"/>
  <c r="M57" i="203"/>
  <c r="M1482" i="184" s="1"/>
  <c r="C32" i="96"/>
  <c r="C33" i="96" s="1"/>
  <c r="U23" i="213"/>
  <c r="Q24" i="230"/>
  <c r="O42" i="212"/>
  <c r="F1426" i="184"/>
  <c r="F1460" i="184" s="1"/>
  <c r="F57" i="16"/>
  <c r="C32" i="30"/>
  <c r="D61" i="29"/>
  <c r="F32" i="30"/>
  <c r="J32" i="30" s="1"/>
  <c r="H30" i="212"/>
  <c r="W31" i="203"/>
  <c r="E13" i="222"/>
  <c r="K45" i="111"/>
  <c r="F47" i="111"/>
  <c r="I46" i="111"/>
  <c r="L40" i="213" s="1"/>
  <c r="I41" i="101"/>
  <c r="K43" i="213" s="1"/>
  <c r="K52" i="213" s="1"/>
  <c r="K41" i="101"/>
  <c r="N41" i="101" s="1"/>
  <c r="N47" i="101" s="1"/>
  <c r="N49" i="101" s="1"/>
  <c r="M44" i="210" s="1"/>
  <c r="D2262" i="184"/>
  <c r="D93" i="78"/>
  <c r="M85" i="78"/>
  <c r="N39" i="229"/>
  <c r="E36" i="188"/>
  <c r="F36" i="188" s="1"/>
  <c r="F22" i="217"/>
  <c r="L39" i="220"/>
  <c r="M39" i="220" s="1"/>
  <c r="J38" i="214"/>
  <c r="J50" i="214" s="1"/>
  <c r="I37" i="209"/>
  <c r="G34" i="76"/>
  <c r="J23" i="111"/>
  <c r="H41" i="210" s="1"/>
  <c r="K39" i="209"/>
  <c r="L40" i="214"/>
  <c r="L41" i="229"/>
  <c r="L71" i="229" s="1"/>
  <c r="L74" i="229" s="1"/>
  <c r="I36" i="91"/>
  <c r="I32" i="213" s="1"/>
  <c r="K36" i="91"/>
  <c r="L36" i="91" s="1"/>
  <c r="L47" i="91" s="1"/>
  <c r="L49" i="91" s="1"/>
  <c r="K33" i="210" s="1"/>
  <c r="M85" i="92"/>
  <c r="L2280" i="184"/>
  <c r="L93" i="92"/>
  <c r="V70" i="199"/>
  <c r="E40" i="192"/>
  <c r="L324" i="191"/>
  <c r="Q13" i="230"/>
  <c r="U12" i="213"/>
  <c r="F32" i="198"/>
  <c r="P45" i="220"/>
  <c r="Q45" i="220" s="1"/>
  <c r="J28" i="198"/>
  <c r="W21" i="203"/>
  <c r="M1145" i="184"/>
  <c r="AC30" i="231"/>
  <c r="I93" i="78"/>
  <c r="I2522" i="184" s="1"/>
  <c r="I2262" i="184"/>
  <c r="D67" i="95"/>
  <c r="E63" i="95" s="1"/>
  <c r="K41" i="76"/>
  <c r="N41" i="76" s="1"/>
  <c r="N47" i="76" s="1"/>
  <c r="N49" i="76" s="1"/>
  <c r="M39" i="210" s="1"/>
  <c r="I41" i="76"/>
  <c r="K38" i="213" s="1"/>
  <c r="K50" i="213" s="1"/>
  <c r="B29" i="128"/>
  <c r="B9" i="128" s="1"/>
  <c r="R84" i="127"/>
  <c r="K63" i="240"/>
  <c r="L92" i="240"/>
  <c r="L100" i="240" s="1"/>
  <c r="X75" i="240"/>
  <c r="V77" i="240" s="1"/>
  <c r="G44" i="31"/>
  <c r="I1446" i="184"/>
  <c r="I1460" i="184" s="1"/>
  <c r="M56" i="102"/>
  <c r="M1446" i="184" s="1"/>
  <c r="I57" i="102"/>
  <c r="AB69" i="31"/>
  <c r="B45" i="30"/>
  <c r="E74" i="30"/>
  <c r="L205" i="184"/>
  <c r="L231" i="184" s="1"/>
  <c r="L57" i="47"/>
  <c r="D36" i="239"/>
  <c r="D38" i="239" s="1"/>
  <c r="F36" i="239"/>
  <c r="J36" i="239" s="1"/>
  <c r="C36" i="239"/>
  <c r="AF51" i="218"/>
  <c r="M1851" i="184"/>
  <c r="M1869" i="184" s="1"/>
  <c r="M2687" i="184" s="1"/>
  <c r="B81" i="181" s="1"/>
  <c r="B45" i="198"/>
  <c r="P70" i="199"/>
  <c r="I23" i="221" s="1"/>
  <c r="D52" i="218"/>
  <c r="E52" i="218" s="1"/>
  <c r="B46" i="2"/>
  <c r="M1870" i="184"/>
  <c r="D1909" i="184"/>
  <c r="D1943" i="184" s="1"/>
  <c r="M71" i="16"/>
  <c r="D85" i="16"/>
  <c r="K1907" i="184"/>
  <c r="K1943" i="184" s="1"/>
  <c r="K85" i="13"/>
  <c r="M71" i="13"/>
  <c r="M1907" i="184" s="1"/>
  <c r="BM66" i="218"/>
  <c r="I92" i="236"/>
  <c r="G42" i="210"/>
  <c r="J33" i="116"/>
  <c r="E42" i="210" s="1"/>
  <c r="K27" i="212"/>
  <c r="X39" i="97"/>
  <c r="L85" i="72"/>
  <c r="L1484" i="184"/>
  <c r="I47" i="210"/>
  <c r="D67" i="110"/>
  <c r="E60" i="110" s="1"/>
  <c r="M49" i="227"/>
  <c r="W13" i="227"/>
  <c r="W49" i="227" s="1"/>
  <c r="L66" i="229"/>
  <c r="F32" i="66"/>
  <c r="J26" i="66"/>
  <c r="J32" i="66" s="1"/>
  <c r="J11" i="96"/>
  <c r="J15" i="96" s="1"/>
  <c r="G11" i="96"/>
  <c r="F15" i="96"/>
  <c r="D12" i="197"/>
  <c r="B33" i="198"/>
  <c r="F43" i="210"/>
  <c r="J33" i="121"/>
  <c r="E43" i="210" s="1"/>
  <c r="K36" i="106"/>
  <c r="L36" i="106" s="1"/>
  <c r="L47" i="106" s="1"/>
  <c r="L49" i="106" s="1"/>
  <c r="K29" i="210" s="1"/>
  <c r="I36" i="106"/>
  <c r="I28" i="213" s="1"/>
  <c r="G18" i="188"/>
  <c r="L18" i="188" s="1"/>
  <c r="I48" i="71"/>
  <c r="O21" i="209"/>
  <c r="D12" i="234"/>
  <c r="D12" i="238"/>
  <c r="E12" i="110"/>
  <c r="K42" i="198"/>
  <c r="D62" i="29"/>
  <c r="C33" i="30"/>
  <c r="F33" i="30"/>
  <c r="J33" i="30" s="1"/>
  <c r="J92" i="31"/>
  <c r="J100" i="31" s="1"/>
  <c r="M752" i="184"/>
  <c r="M2650" i="184" s="1"/>
  <c r="M2019" i="184"/>
  <c r="M2693" i="184" s="1"/>
  <c r="B87" i="181" s="1"/>
  <c r="B45" i="239"/>
  <c r="AB69" i="240"/>
  <c r="D49" i="218"/>
  <c r="AB67" i="13"/>
  <c r="AB71" i="13" s="1"/>
  <c r="AB72" i="13" s="1"/>
  <c r="J4" i="221" s="1"/>
  <c r="B43" i="2"/>
  <c r="M1759" i="184"/>
  <c r="M1795" i="184" s="1"/>
  <c r="M2685" i="184" s="1"/>
  <c r="B79" i="181" s="1"/>
  <c r="M716" i="184"/>
  <c r="R11" i="231"/>
  <c r="R47" i="231" s="1"/>
  <c r="R68" i="231" s="1"/>
  <c r="W33" i="13"/>
  <c r="W35" i="13" s="1"/>
  <c r="K39" i="166"/>
  <c r="I39" i="166"/>
  <c r="J19" i="213" s="1"/>
  <c r="J51" i="213" s="1"/>
  <c r="F47" i="166"/>
  <c r="D114" i="160"/>
  <c r="E110" i="160" s="1"/>
  <c r="D32" i="136"/>
  <c r="F30" i="136"/>
  <c r="L75" i="214"/>
  <c r="D67" i="65"/>
  <c r="E61" i="65" s="1"/>
  <c r="D67" i="197"/>
  <c r="E66" i="197" s="1"/>
  <c r="D32" i="96"/>
  <c r="D33" i="96" s="1"/>
  <c r="D61" i="96" s="1"/>
  <c r="D73" i="96" s="1"/>
  <c r="F30" i="96"/>
  <c r="J30" i="96" s="1"/>
  <c r="D12" i="75"/>
  <c r="B33" i="76"/>
  <c r="B46" i="181"/>
  <c r="M2633" i="184"/>
  <c r="F20" i="210"/>
  <c r="F18" i="101"/>
  <c r="B20" i="101"/>
  <c r="C18" i="101"/>
  <c r="C20" i="101" s="1"/>
  <c r="E10" i="201"/>
  <c r="A47" i="201"/>
  <c r="E12" i="201"/>
  <c r="E11" i="201"/>
  <c r="E9" i="201"/>
  <c r="E14" i="201" s="1"/>
  <c r="C38" i="235"/>
  <c r="AH30" i="231"/>
  <c r="AK30" i="231"/>
  <c r="F47" i="101"/>
  <c r="K39" i="101"/>
  <c r="I39" i="101"/>
  <c r="J43" i="213" s="1"/>
  <c r="J52" i="213" s="1"/>
  <c r="C61" i="111"/>
  <c r="I33" i="121"/>
  <c r="I35" i="121"/>
  <c r="I43" i="229"/>
  <c r="N42" i="214"/>
  <c r="E1152" i="184"/>
  <c r="E1160" i="184" s="1"/>
  <c r="E57" i="52"/>
  <c r="D17" i="219"/>
  <c r="W30" i="31"/>
  <c r="G63" i="240"/>
  <c r="G92" i="240" s="1"/>
  <c r="G100" i="240" s="1"/>
  <c r="E92" i="240"/>
  <c r="E100" i="240" s="1"/>
  <c r="J2649" i="184"/>
  <c r="J197" i="184"/>
  <c r="J231" i="184" s="1"/>
  <c r="M15" i="16"/>
  <c r="J57" i="16"/>
  <c r="F59" i="30"/>
  <c r="C59" i="30"/>
  <c r="F59" i="239"/>
  <c r="C59" i="239"/>
  <c r="L63" i="31"/>
  <c r="L92" i="31" s="1"/>
  <c r="L100" i="31" s="1"/>
  <c r="O13" i="31"/>
  <c r="B13" i="30"/>
  <c r="B51" i="2"/>
  <c r="M1983" i="184"/>
  <c r="D57" i="218"/>
  <c r="D22" i="192"/>
  <c r="L73" i="191"/>
  <c r="X68" i="177"/>
  <c r="K30" i="212"/>
  <c r="X39" i="203"/>
  <c r="E66" i="165"/>
  <c r="H32" i="212"/>
  <c r="W31" i="112"/>
  <c r="E67" i="222"/>
  <c r="R35" i="92"/>
  <c r="W22" i="92"/>
  <c r="R36" i="92"/>
  <c r="H20" i="221" s="1"/>
  <c r="D93" i="72"/>
  <c r="D2268" i="184"/>
  <c r="B33" i="111"/>
  <c r="M47" i="212"/>
  <c r="M68" i="212" s="1"/>
  <c r="D9" i="95"/>
  <c r="D24" i="242"/>
  <c r="B33" i="96"/>
  <c r="E65" i="95"/>
  <c r="D32" i="76"/>
  <c r="D33" i="76" s="1"/>
  <c r="D61" i="76" s="1"/>
  <c r="D73" i="76" s="1"/>
  <c r="F30" i="76"/>
  <c r="AX61" i="218"/>
  <c r="F21" i="210"/>
  <c r="J33" i="141"/>
  <c r="E21" i="210" s="1"/>
  <c r="E23" i="192"/>
  <c r="V70" i="107"/>
  <c r="L335" i="191"/>
  <c r="K42" i="71"/>
  <c r="N42" i="71" s="1"/>
  <c r="I46" i="71"/>
  <c r="L22" i="213" s="1"/>
  <c r="D114" i="100"/>
  <c r="E107" i="100" s="1"/>
  <c r="E63" i="110"/>
  <c r="C59" i="76"/>
  <c r="AC66" i="218" s="1"/>
  <c r="C82" i="233"/>
  <c r="Z16" i="218"/>
  <c r="B29" i="68"/>
  <c r="B9" i="68" s="1"/>
  <c r="R84" i="67"/>
  <c r="H16" i="191"/>
  <c r="X60" i="127"/>
  <c r="W42" i="31"/>
  <c r="W43" i="31" s="1"/>
  <c r="E2689" i="184"/>
  <c r="G19" i="242"/>
  <c r="F68" i="41"/>
  <c r="F71" i="41" s="1"/>
  <c r="F73" i="41" s="1"/>
  <c r="F74" i="41" s="1"/>
  <c r="D10" i="221" s="1"/>
  <c r="F11" i="30"/>
  <c r="D55" i="29"/>
  <c r="E33" i="187"/>
  <c r="C11" i="30"/>
  <c r="F1131" i="184"/>
  <c r="F57" i="162"/>
  <c r="M44" i="162"/>
  <c r="D1474" i="184"/>
  <c r="D85" i="142"/>
  <c r="M57" i="142"/>
  <c r="M1474" i="184" s="1"/>
  <c r="J10" i="46"/>
  <c r="J15" i="46" s="1"/>
  <c r="G37" i="210" s="1"/>
  <c r="G11" i="46"/>
  <c r="F15" i="46"/>
  <c r="AC18" i="209"/>
  <c r="J31" i="166"/>
  <c r="J32" i="166" s="1"/>
  <c r="I20" i="210" s="1"/>
  <c r="F32" i="166"/>
  <c r="X48" i="26"/>
  <c r="L14" i="212"/>
  <c r="K53" i="223"/>
  <c r="I53" i="223"/>
  <c r="F54" i="223"/>
  <c r="I55" i="223" s="1"/>
  <c r="N41" i="71"/>
  <c r="N47" i="71" s="1"/>
  <c r="N49" i="71" s="1"/>
  <c r="M23" i="210" s="1"/>
  <c r="K47" i="71"/>
  <c r="K49" i="71" s="1"/>
  <c r="J23" i="210" s="1"/>
  <c r="Q23" i="230"/>
  <c r="U22" i="213"/>
  <c r="O29" i="209"/>
  <c r="P29" i="209" s="1"/>
  <c r="Q29" i="209" s="1"/>
  <c r="G28" i="188"/>
  <c r="I48" i="15"/>
  <c r="J31" i="198"/>
  <c r="AC44" i="209"/>
  <c r="K40" i="76"/>
  <c r="F47" i="76"/>
  <c r="I46" i="76"/>
  <c r="L38" i="213" s="1"/>
  <c r="F19" i="106"/>
  <c r="C19" i="106"/>
  <c r="C20" i="106" s="1"/>
  <c r="B20" i="106"/>
  <c r="J32" i="235"/>
  <c r="J38" i="235" s="1"/>
  <c r="F38" i="235"/>
  <c r="C47" i="101"/>
  <c r="F32" i="111"/>
  <c r="P41" i="220"/>
  <c r="Q41" i="220" s="1"/>
  <c r="J28" i="111"/>
  <c r="J32" i="111" s="1"/>
  <c r="I41" i="210" s="1"/>
  <c r="M57" i="199"/>
  <c r="M1479" i="184" s="1"/>
  <c r="D1479" i="184"/>
  <c r="D85" i="199"/>
  <c r="K15" i="230"/>
  <c r="AM14" i="213"/>
  <c r="M78" i="236"/>
  <c r="AB69" i="236"/>
  <c r="AB78" i="236" s="1"/>
  <c r="AB79" i="236" s="1"/>
  <c r="J49" i="221" s="1"/>
  <c r="B45" i="235"/>
  <c r="E74" i="235"/>
  <c r="E75" i="235" s="1"/>
  <c r="E78" i="235" s="1"/>
  <c r="AP39" i="218"/>
  <c r="M31" i="31"/>
  <c r="P113" i="31" s="1"/>
  <c r="M31" i="240"/>
  <c r="P113" i="240" s="1"/>
  <c r="AB70" i="240"/>
  <c r="M1906" i="184"/>
  <c r="M2688" i="184" s="1"/>
  <c r="B82" i="181" s="1"/>
  <c r="F38" i="81"/>
  <c r="F52" i="239"/>
  <c r="K52" i="239" s="1"/>
  <c r="O52" i="239" s="1"/>
  <c r="C52" i="239"/>
  <c r="C49" i="30"/>
  <c r="F49" i="30"/>
  <c r="K49" i="30" s="1"/>
  <c r="N49" i="30" s="1"/>
  <c r="D108" i="29"/>
  <c r="F11" i="239"/>
  <c r="J11" i="239" s="1"/>
  <c r="C11" i="239"/>
  <c r="C53" i="30"/>
  <c r="F53" i="30"/>
  <c r="K53" i="30" s="1"/>
  <c r="O53" i="30" s="1"/>
  <c r="D112" i="29"/>
  <c r="F14" i="239"/>
  <c r="J14" i="239" s="1"/>
  <c r="C14" i="239"/>
  <c r="I11" i="231"/>
  <c r="M382" i="184"/>
  <c r="M418" i="184" s="1"/>
  <c r="M2640" i="184" s="1"/>
  <c r="M2636" i="184" s="1"/>
  <c r="W42" i="13"/>
  <c r="W43" i="13" s="1"/>
  <c r="W29" i="13"/>
  <c r="W30" i="13" s="1"/>
  <c r="F1465" i="184"/>
  <c r="F85" i="21"/>
  <c r="D14" i="34"/>
  <c r="E9" i="34" s="1"/>
  <c r="C110" i="233"/>
  <c r="AH16" i="218"/>
  <c r="I85" i="72"/>
  <c r="I1484" i="184"/>
  <c r="M57" i="72"/>
  <c r="M1484" i="184" s="1"/>
  <c r="J11" i="71"/>
  <c r="J15" i="71" s="1"/>
  <c r="F15" i="71"/>
  <c r="F33" i="71" s="1"/>
  <c r="G11" i="71"/>
  <c r="K45" i="101"/>
  <c r="O45" i="101" s="1"/>
  <c r="O47" i="101" s="1"/>
  <c r="O49" i="101" s="1"/>
  <c r="N44" i="210" s="1"/>
  <c r="I46" i="101"/>
  <c r="L43" i="213" s="1"/>
  <c r="C124" i="233"/>
  <c r="AL16" i="218"/>
  <c r="B20" i="91"/>
  <c r="F19" i="91"/>
  <c r="J19" i="91" s="1"/>
  <c r="C19" i="91"/>
  <c r="C20" i="91" s="1"/>
  <c r="I1477" i="184"/>
  <c r="I85" i="97"/>
  <c r="N39" i="220"/>
  <c r="O39" i="220" s="1"/>
  <c r="F54" i="76"/>
  <c r="D145" i="233"/>
  <c r="AS16" i="218"/>
  <c r="E108" i="70"/>
  <c r="D114" i="70"/>
  <c r="E57" i="55"/>
  <c r="D67" i="55"/>
  <c r="AC29" i="231"/>
  <c r="AK29" i="231" s="1"/>
  <c r="W21" i="199"/>
  <c r="M1142" i="184"/>
  <c r="E42" i="216"/>
  <c r="G63" i="31"/>
  <c r="G92" i="31" s="1"/>
  <c r="G100" i="31" s="1"/>
  <c r="F46" i="239"/>
  <c r="D2689" i="184"/>
  <c r="G2689" i="184"/>
  <c r="D2636" i="184"/>
  <c r="M73" i="191"/>
  <c r="F73" i="156"/>
  <c r="F74" i="156" s="1"/>
  <c r="D35" i="221" s="1"/>
  <c r="F37" i="239"/>
  <c r="J37" i="239" s="1"/>
  <c r="C37" i="239"/>
  <c r="AB68" i="31"/>
  <c r="E72" i="30"/>
  <c r="B44" i="30"/>
  <c r="D20" i="30"/>
  <c r="D111" i="29"/>
  <c r="C52" i="30"/>
  <c r="F52" i="30"/>
  <c r="K52" i="30" s="1"/>
  <c r="O52" i="30" s="1"/>
  <c r="O54" i="30" s="1"/>
  <c r="O56" i="30" s="1"/>
  <c r="F23" i="239"/>
  <c r="J23" i="239" s="1"/>
  <c r="C23" i="239"/>
  <c r="I646" i="184"/>
  <c r="I677" i="184" s="1"/>
  <c r="I44" i="26"/>
  <c r="M29" i="26"/>
  <c r="K43" i="161"/>
  <c r="I46" i="161"/>
  <c r="L14" i="213" s="1"/>
  <c r="T37" i="230"/>
  <c r="C15" i="46"/>
  <c r="E11" i="85"/>
  <c r="E9" i="85"/>
  <c r="E12" i="85"/>
  <c r="E10" i="85"/>
  <c r="A47" i="85"/>
  <c r="D114" i="110"/>
  <c r="E111" i="110"/>
  <c r="D67" i="70"/>
  <c r="F12" i="210"/>
  <c r="J33" i="151"/>
  <c r="E12" i="210" s="1"/>
  <c r="V70" i="92"/>
  <c r="E27" i="192"/>
  <c r="L341" i="191"/>
  <c r="J28" i="101"/>
  <c r="J32" i="101" s="1"/>
  <c r="I44" i="210" s="1"/>
  <c r="F32" i="101"/>
  <c r="P44" i="220"/>
  <c r="Q44" i="220" s="1"/>
  <c r="E9" i="110"/>
  <c r="E14" i="110" s="1"/>
  <c r="E10" i="110"/>
  <c r="A47" i="110"/>
  <c r="D114" i="75"/>
  <c r="E106" i="75"/>
  <c r="C145" i="233"/>
  <c r="AR16" i="218"/>
  <c r="G32" i="210"/>
  <c r="J28" i="96"/>
  <c r="F32" i="96"/>
  <c r="P13" i="220"/>
  <c r="Q13" i="220" s="1"/>
  <c r="F15" i="56"/>
  <c r="F33" i="56" s="1"/>
  <c r="G14" i="56"/>
  <c r="J13" i="56"/>
  <c r="J15" i="56" s="1"/>
  <c r="R84" i="36"/>
  <c r="B29" i="37"/>
  <c r="B9" i="37" s="1"/>
  <c r="D95" i="181"/>
  <c r="E2662" i="184"/>
  <c r="E2675" i="184" s="1"/>
  <c r="J2662" i="184"/>
  <c r="J2675" i="184" s="1"/>
  <c r="K41" i="91"/>
  <c r="N41" i="91" s="1"/>
  <c r="I41" i="91"/>
  <c r="K32" i="213" s="1"/>
  <c r="I2636" i="184"/>
  <c r="F64" i="181"/>
  <c r="D63" i="180"/>
  <c r="C64" i="181"/>
  <c r="E2636" i="184"/>
  <c r="F20" i="91"/>
  <c r="J18" i="91"/>
  <c r="H23" i="212"/>
  <c r="H47" i="212" s="1"/>
  <c r="H68" i="212" s="1"/>
  <c r="W31" i="78"/>
  <c r="F58" i="30"/>
  <c r="C58" i="30"/>
  <c r="M15" i="240"/>
  <c r="F10" i="239"/>
  <c r="B15" i="239"/>
  <c r="C10" i="239"/>
  <c r="M42" i="240"/>
  <c r="B19" i="239" s="1"/>
  <c r="D44" i="240"/>
  <c r="D63" i="240" s="1"/>
  <c r="D92" i="240" s="1"/>
  <c r="H92" i="240"/>
  <c r="H100" i="240" s="1"/>
  <c r="K46" i="239"/>
  <c r="L46" i="239" s="1"/>
  <c r="I46" i="239"/>
  <c r="F29" i="30"/>
  <c r="C29" i="30"/>
  <c r="I231" i="191"/>
  <c r="H1140" i="184"/>
  <c r="M44" i="97"/>
  <c r="H57" i="97"/>
  <c r="K39" i="96"/>
  <c r="I39" i="96"/>
  <c r="J12" i="213" s="1"/>
  <c r="F47" i="96"/>
  <c r="BT65" i="218"/>
  <c r="BT66" i="218" s="1"/>
  <c r="BU63" i="218"/>
  <c r="BU65" i="218" s="1"/>
  <c r="H19" i="216"/>
  <c r="F215" i="191"/>
  <c r="G215" i="191" s="1"/>
  <c r="R69" i="82"/>
  <c r="F363" i="191" s="1"/>
  <c r="B78" i="181"/>
  <c r="L23" i="212"/>
  <c r="X48" i="78"/>
  <c r="X49" i="78" s="1"/>
  <c r="N23" i="212" s="1"/>
  <c r="G121" i="191"/>
  <c r="H46" i="191"/>
  <c r="AE52" i="218"/>
  <c r="B52" i="218"/>
  <c r="M2686" i="184"/>
  <c r="B80" i="181" s="1"/>
  <c r="D103" i="181"/>
  <c r="F44" i="25"/>
  <c r="F47" i="25" s="1"/>
  <c r="E47" i="187"/>
  <c r="D55" i="175"/>
  <c r="F11" i="176"/>
  <c r="C11" i="176"/>
  <c r="C15" i="176" s="1"/>
  <c r="B15" i="176"/>
  <c r="F61" i="235"/>
  <c r="D47" i="151"/>
  <c r="D61" i="151" s="1"/>
  <c r="I48" i="20"/>
  <c r="O33" i="209"/>
  <c r="P33" i="209" s="1"/>
  <c r="Q33" i="209" s="1"/>
  <c r="G32" i="188"/>
  <c r="F61" i="20"/>
  <c r="P114" i="224"/>
  <c r="G65" i="224" s="1"/>
  <c r="M108" i="224"/>
  <c r="M109" i="224"/>
  <c r="E48" i="221" s="1"/>
  <c r="M13" i="213"/>
  <c r="I14" i="230"/>
  <c r="B29" i="88"/>
  <c r="B9" i="88" s="1"/>
  <c r="R84" i="87"/>
  <c r="E14" i="40"/>
  <c r="L2703" i="184"/>
  <c r="L2711" i="184" s="1"/>
  <c r="Q35" i="31"/>
  <c r="Q36" i="31"/>
  <c r="G47" i="221" s="1"/>
  <c r="C37" i="30"/>
  <c r="F37" i="30"/>
  <c r="D66" i="29"/>
  <c r="D44" i="31"/>
  <c r="M42" i="31"/>
  <c r="B19" i="30" s="1"/>
  <c r="E1426" i="184"/>
  <c r="E1460" i="184" s="1"/>
  <c r="M56" i="16"/>
  <c r="M1426" i="184" s="1"/>
  <c r="E57" i="16"/>
  <c r="F49" i="239"/>
  <c r="K49" i="239" s="1"/>
  <c r="N49" i="239" s="1"/>
  <c r="C49" i="239"/>
  <c r="AB67" i="240"/>
  <c r="B43" i="239"/>
  <c r="D199" i="184"/>
  <c r="D57" i="21"/>
  <c r="M15" i="21"/>
  <c r="J57" i="82"/>
  <c r="J1144" i="184"/>
  <c r="J1160" i="184" s="1"/>
  <c r="M668" i="184"/>
  <c r="B18" i="136"/>
  <c r="P37" i="231"/>
  <c r="J24" i="212"/>
  <c r="X39" i="82"/>
  <c r="D114" i="95"/>
  <c r="E105" i="95"/>
  <c r="BP53" i="218"/>
  <c r="BP54" i="218" s="1"/>
  <c r="BM57" i="218"/>
  <c r="BM60" i="218" s="1"/>
  <c r="BM61" i="218" s="1"/>
  <c r="BL60" i="218"/>
  <c r="B57" i="218"/>
  <c r="L1125" i="184"/>
  <c r="L57" i="152"/>
  <c r="K40" i="136"/>
  <c r="K53" i="235"/>
  <c r="AD16" i="218"/>
  <c r="O82" i="224"/>
  <c r="R83" i="224"/>
  <c r="R85" i="224"/>
  <c r="B21" i="225"/>
  <c r="B72" i="223"/>
  <c r="B75" i="223" s="1"/>
  <c r="L8" i="188"/>
  <c r="M8" i="188"/>
  <c r="R84" i="122"/>
  <c r="B29" i="123"/>
  <c r="D105" i="29"/>
  <c r="F46" i="30"/>
  <c r="C46" i="30"/>
  <c r="F65" i="239"/>
  <c r="C65" i="239"/>
  <c r="AB67" i="31"/>
  <c r="B43" i="30"/>
  <c r="AB74" i="240"/>
  <c r="B50" i="239"/>
  <c r="Q36" i="240"/>
  <c r="G50" i="221" s="1"/>
  <c r="Q35" i="240"/>
  <c r="R28" i="31"/>
  <c r="M90" i="240"/>
  <c r="F48" i="239"/>
  <c r="C48" i="239"/>
  <c r="B44" i="239"/>
  <c r="AB68" i="240"/>
  <c r="E72" i="239"/>
  <c r="E75" i="239" s="1"/>
  <c r="E78" i="239" s="1"/>
  <c r="H651" i="184"/>
  <c r="H677" i="184" s="1"/>
  <c r="H44" i="47"/>
  <c r="M29" i="47"/>
  <c r="F57" i="15"/>
  <c r="F59" i="15" s="1"/>
  <c r="F61" i="15" s="1"/>
  <c r="D59" i="15"/>
  <c r="D61" i="15" s="1"/>
  <c r="L111" i="191"/>
  <c r="M111" i="191" s="1"/>
  <c r="X68" i="137"/>
  <c r="M261" i="184"/>
  <c r="E37" i="231"/>
  <c r="AG37" i="231" s="1"/>
  <c r="P105" i="137"/>
  <c r="F1462" i="184"/>
  <c r="F85" i="152"/>
  <c r="F87" i="181"/>
  <c r="BW14" i="218"/>
  <c r="BW15" i="218" s="1"/>
  <c r="BV15" i="218"/>
  <c r="B14" i="218"/>
  <c r="E47" i="2"/>
  <c r="E61" i="2" s="1"/>
  <c r="E73" i="2" s="1"/>
  <c r="F38" i="2"/>
  <c r="AB11" i="231"/>
  <c r="M1086" i="184"/>
  <c r="B19" i="2"/>
  <c r="P24" i="231"/>
  <c r="M661" i="184"/>
  <c r="B18" i="81"/>
  <c r="D112" i="80"/>
  <c r="F46" i="81"/>
  <c r="K46" i="81" s="1"/>
  <c r="O46" i="81" s="1"/>
  <c r="C46" i="81"/>
  <c r="D114" i="24"/>
  <c r="E110" i="24" s="1"/>
  <c r="O13" i="209"/>
  <c r="P13" i="209" s="1"/>
  <c r="Q13" i="209" s="1"/>
  <c r="G9" i="188"/>
  <c r="I48" i="161"/>
  <c r="F61" i="161"/>
  <c r="G11" i="191"/>
  <c r="J11" i="235"/>
  <c r="J15" i="235" s="1"/>
  <c r="J39" i="235" s="1"/>
  <c r="G11" i="235"/>
  <c r="F15" i="235"/>
  <c r="G41" i="210"/>
  <c r="M17" i="213"/>
  <c r="I18" i="230"/>
  <c r="B9" i="123"/>
  <c r="B29" i="158"/>
  <c r="R84" i="157"/>
  <c r="AB74" i="31"/>
  <c r="B50" i="30"/>
  <c r="B36" i="30"/>
  <c r="B38" i="30" s="1"/>
  <c r="D12" i="29" s="1"/>
  <c r="D77" i="30"/>
  <c r="F77" i="30" s="1"/>
  <c r="F18" i="239"/>
  <c r="B20" i="239"/>
  <c r="C18" i="239"/>
  <c r="B42" i="239"/>
  <c r="AB66" i="240"/>
  <c r="M78" i="240"/>
  <c r="D67" i="29"/>
  <c r="F26" i="30"/>
  <c r="C26" i="30"/>
  <c r="D13" i="29"/>
  <c r="B29" i="235"/>
  <c r="M63" i="236"/>
  <c r="B66" i="239"/>
  <c r="F64" i="239"/>
  <c r="C64" i="239"/>
  <c r="C66" i="239" s="1"/>
  <c r="F29" i="239"/>
  <c r="C29" i="239"/>
  <c r="M90" i="31"/>
  <c r="L13" i="191"/>
  <c r="M13" i="191" s="1"/>
  <c r="X68" i="36"/>
  <c r="F88" i="181"/>
  <c r="C88" i="181"/>
  <c r="M186" i="191"/>
  <c r="I194" i="191"/>
  <c r="M194" i="191" s="1"/>
  <c r="F40" i="151"/>
  <c r="D106" i="150"/>
  <c r="C40" i="151"/>
  <c r="C47" i="151" s="1"/>
  <c r="B47" i="151"/>
  <c r="G199" i="191"/>
  <c r="D57" i="13"/>
  <c r="D1124" i="184"/>
  <c r="D1160" i="184" s="1"/>
  <c r="D50" i="219" s="1"/>
  <c r="D60" i="219" s="1"/>
  <c r="D8" i="219"/>
  <c r="D46" i="219" s="1"/>
  <c r="M44" i="13"/>
  <c r="G57" i="82"/>
  <c r="G1144" i="184"/>
  <c r="G1160" i="184" s="1"/>
  <c r="M44" i="82"/>
  <c r="T47" i="231"/>
  <c r="T68" i="231" s="1"/>
  <c r="AI11" i="231"/>
  <c r="D6" i="192"/>
  <c r="L48" i="191"/>
  <c r="M48" i="191" s="1"/>
  <c r="X68" i="152"/>
  <c r="H1481" i="184"/>
  <c r="H85" i="82"/>
  <c r="AC16" i="209"/>
  <c r="J31" i="131"/>
  <c r="J32" i="131" s="1"/>
  <c r="F32" i="131"/>
  <c r="Q18" i="230"/>
  <c r="C33" i="131"/>
  <c r="C61" i="131" s="1"/>
  <c r="U17" i="213"/>
  <c r="I40" i="210"/>
  <c r="J33" i="51"/>
  <c r="E40" i="210" s="1"/>
  <c r="E114" i="222"/>
  <c r="L13" i="188"/>
  <c r="M13" i="188"/>
  <c r="B9" i="158"/>
  <c r="E67" i="60"/>
  <c r="P78" i="31"/>
  <c r="P77" i="31"/>
  <c r="I47" i="221" s="1"/>
  <c r="D64" i="29"/>
  <c r="C35" i="30"/>
  <c r="F35" i="30"/>
  <c r="F57" i="30"/>
  <c r="C57" i="30"/>
  <c r="B61" i="30"/>
  <c r="F53" i="239"/>
  <c r="K53" i="239" s="1"/>
  <c r="O53" i="239" s="1"/>
  <c r="O54" i="239" s="1"/>
  <c r="O56" i="239" s="1"/>
  <c r="C53" i="239"/>
  <c r="F35" i="239"/>
  <c r="J35" i="239" s="1"/>
  <c r="C35" i="239"/>
  <c r="W41" i="240"/>
  <c r="W43" i="240" s="1"/>
  <c r="W26" i="240"/>
  <c r="W27" i="240" s="1"/>
  <c r="AB72" i="31"/>
  <c r="B48" i="30"/>
  <c r="D56" i="216"/>
  <c r="R76" i="240"/>
  <c r="W28" i="240"/>
  <c r="W30" i="240" s="1"/>
  <c r="R24" i="240"/>
  <c r="B66" i="30"/>
  <c r="F64" i="30"/>
  <c r="C64" i="30"/>
  <c r="D58" i="29"/>
  <c r="H33" i="187"/>
  <c r="F14" i="30"/>
  <c r="C14" i="30"/>
  <c r="B15" i="30"/>
  <c r="D219" i="184"/>
  <c r="M15" i="172"/>
  <c r="D57" i="172"/>
  <c r="L113" i="240"/>
  <c r="L125" i="240" s="1"/>
  <c r="L109" i="240" s="1"/>
  <c r="F50" i="221" s="1"/>
  <c r="F65" i="30"/>
  <c r="C65" i="30"/>
  <c r="H25" i="216"/>
  <c r="H42" i="216" s="1"/>
  <c r="I42" i="216" s="1"/>
  <c r="F216" i="191"/>
  <c r="G216" i="191" s="1"/>
  <c r="R69" i="203"/>
  <c r="F364" i="191" s="1"/>
  <c r="H1152" i="184"/>
  <c r="H57" i="52"/>
  <c r="M44" i="52"/>
  <c r="F52" i="61"/>
  <c r="F54" i="61" s="1"/>
  <c r="F61" i="61" s="1"/>
  <c r="F73" i="61" s="1"/>
  <c r="F74" i="61" s="1"/>
  <c r="D14" i="221" s="1"/>
  <c r="C52" i="61"/>
  <c r="C54" i="61" s="1"/>
  <c r="B54" i="61"/>
  <c r="B61" i="61" s="1"/>
  <c r="B73" i="61" s="1"/>
  <c r="M245" i="191"/>
  <c r="H268" i="191"/>
  <c r="F149" i="191"/>
  <c r="G149" i="191" s="1"/>
  <c r="F13" i="216"/>
  <c r="R69" i="52"/>
  <c r="F371" i="191" s="1"/>
  <c r="F132" i="191"/>
  <c r="G132" i="191" s="1"/>
  <c r="F39" i="216"/>
  <c r="R69" i="167"/>
  <c r="F354" i="191" s="1"/>
  <c r="D111" i="80"/>
  <c r="F45" i="81"/>
  <c r="C45" i="81"/>
  <c r="B47" i="81"/>
  <c r="M826" i="184"/>
  <c r="M2652" i="184" s="1"/>
  <c r="M2649" i="184" s="1"/>
  <c r="H83" i="191"/>
  <c r="L677" i="184"/>
  <c r="D68" i="234"/>
  <c r="E55" i="234" s="1"/>
  <c r="D67" i="130"/>
  <c r="E66" i="130" s="1"/>
  <c r="D12" i="14"/>
  <c r="B33" i="15"/>
  <c r="I21" i="230"/>
  <c r="M20" i="213"/>
  <c r="R84" i="147"/>
  <c r="B29" i="148"/>
  <c r="B9" i="148" s="1"/>
  <c r="J2703" i="184"/>
  <c r="J2711" i="184" s="1"/>
  <c r="AB73" i="240"/>
  <c r="M62" i="240"/>
  <c r="W36" i="240"/>
  <c r="W38" i="240" s="1"/>
  <c r="X39" i="240" s="1"/>
  <c r="AA78" i="31"/>
  <c r="F92" i="31"/>
  <c r="W31" i="31"/>
  <c r="I92" i="240"/>
  <c r="I100" i="240" s="1"/>
  <c r="F58" i="239"/>
  <c r="C58" i="239"/>
  <c r="I248" i="184"/>
  <c r="I270" i="184" s="1"/>
  <c r="M18" i="87"/>
  <c r="L103" i="191"/>
  <c r="X68" i="62"/>
  <c r="F166" i="191"/>
  <c r="G11" i="216"/>
  <c r="G42" i="216" s="1"/>
  <c r="R69" i="42"/>
  <c r="F351" i="191" s="1"/>
  <c r="AB71" i="82"/>
  <c r="AB72" i="82" s="1"/>
  <c r="J18" i="221" s="1"/>
  <c r="F46" i="171"/>
  <c r="D112" i="170"/>
  <c r="C46" i="171"/>
  <c r="C47" i="171" s="1"/>
  <c r="G47" i="231"/>
  <c r="G68" i="231" s="1"/>
  <c r="C157" i="191"/>
  <c r="AD53" i="218"/>
  <c r="AD54" i="218" s="1"/>
  <c r="AE51" i="218"/>
  <c r="B51" i="218"/>
  <c r="D110" i="90"/>
  <c r="C44" i="91"/>
  <c r="C47" i="91" s="1"/>
  <c r="D44" i="91"/>
  <c r="D47" i="91" s="1"/>
  <c r="D61" i="91" s="1"/>
  <c r="D73" i="91" s="1"/>
  <c r="B47" i="91"/>
  <c r="L1124" i="184"/>
  <c r="L1160" i="184" s="1"/>
  <c r="L57" i="13"/>
  <c r="F58" i="151"/>
  <c r="F59" i="151" s="1"/>
  <c r="C58" i="151"/>
  <c r="C59" i="151" s="1"/>
  <c r="B59" i="151"/>
  <c r="C42" i="106"/>
  <c r="C47" i="106" s="1"/>
  <c r="D108" i="105"/>
  <c r="F42" i="106"/>
  <c r="B47" i="106"/>
  <c r="D68" i="238"/>
  <c r="E55" i="238"/>
  <c r="AI32" i="231"/>
  <c r="L16" i="188"/>
  <c r="M16" i="188"/>
  <c r="B54" i="181"/>
  <c r="M2662" i="184"/>
  <c r="R84" i="195"/>
  <c r="B29" i="196"/>
  <c r="B9" i="196" s="1"/>
  <c r="E2703" i="184"/>
  <c r="E2711" i="184" s="1"/>
  <c r="X70" i="31"/>
  <c r="X75" i="31" s="1"/>
  <c r="L113" i="31"/>
  <c r="L125" i="31" s="1"/>
  <c r="L109" i="31" s="1"/>
  <c r="F47" i="221" s="1"/>
  <c r="F57" i="239"/>
  <c r="B61" i="239"/>
  <c r="C57" i="239"/>
  <c r="F33" i="239"/>
  <c r="B38" i="239"/>
  <c r="C33" i="239"/>
  <c r="M18" i="240"/>
  <c r="P112" i="240" s="1"/>
  <c r="AB70" i="31"/>
  <c r="AB78" i="31" s="1"/>
  <c r="AB79" i="31" s="1"/>
  <c r="J47" i="221" s="1"/>
  <c r="W38" i="31"/>
  <c r="F60" i="30"/>
  <c r="C60" i="30"/>
  <c r="M29" i="31"/>
  <c r="B18" i="30" s="1"/>
  <c r="W46" i="31"/>
  <c r="R28" i="240"/>
  <c r="F13" i="239"/>
  <c r="C13" i="239"/>
  <c r="F26" i="239"/>
  <c r="C26" i="239"/>
  <c r="E44" i="31"/>
  <c r="E63" i="31" s="1"/>
  <c r="E92" i="31" s="1"/>
  <c r="E100" i="31" s="1"/>
  <c r="I19" i="191"/>
  <c r="X60" i="67"/>
  <c r="I1135" i="184"/>
  <c r="I57" i="167"/>
  <c r="M57" i="167" s="1"/>
  <c r="M1472" i="184" s="1"/>
  <c r="M44" i="167"/>
  <c r="D9" i="192"/>
  <c r="L54" i="191"/>
  <c r="M54" i="191" s="1"/>
  <c r="X68" i="162"/>
  <c r="BE52" i="218"/>
  <c r="BE53" i="218" s="1"/>
  <c r="BD53" i="218"/>
  <c r="P106" i="82"/>
  <c r="M699" i="184"/>
  <c r="M715" i="184" s="1"/>
  <c r="Q24" i="231"/>
  <c r="F1488" i="184"/>
  <c r="F85" i="137"/>
  <c r="M57" i="137"/>
  <c r="H57" i="152"/>
  <c r="H1125" i="184"/>
  <c r="M44" i="152"/>
  <c r="F93" i="82"/>
  <c r="D65" i="81"/>
  <c r="D68" i="81" s="1"/>
  <c r="D71" i="81" s="1"/>
  <c r="D73" i="81" s="1"/>
  <c r="F2265" i="184"/>
  <c r="B93" i="181"/>
  <c r="M2701" i="184"/>
  <c r="N2701" i="184" s="1"/>
  <c r="AM50" i="218"/>
  <c r="AM53" i="218" s="1"/>
  <c r="AL53" i="218"/>
  <c r="AL54" i="218" s="1"/>
  <c r="B50" i="218"/>
  <c r="F47" i="81"/>
  <c r="BJ65" i="218"/>
  <c r="BJ66" i="218" s="1"/>
  <c r="BK64" i="218"/>
  <c r="B64" i="218"/>
  <c r="G60" i="219"/>
  <c r="H1472" i="184"/>
  <c r="H85" i="167"/>
  <c r="E67" i="120"/>
  <c r="I40" i="229"/>
  <c r="N39" i="214"/>
  <c r="I35" i="51"/>
  <c r="I33" i="51"/>
  <c r="B29" i="178"/>
  <c r="B9" i="178" s="1"/>
  <c r="R84" i="177"/>
  <c r="M78" i="31"/>
  <c r="F44" i="240"/>
  <c r="F63" i="240" s="1"/>
  <c r="F92" i="240" s="1"/>
  <c r="D19" i="239"/>
  <c r="D20" i="239" s="1"/>
  <c r="D39" i="239" s="1"/>
  <c r="M85" i="240"/>
  <c r="D11" i="29"/>
  <c r="F23" i="30"/>
  <c r="C23" i="30"/>
  <c r="D60" i="29"/>
  <c r="B51" i="239"/>
  <c r="AB75" i="240"/>
  <c r="D74" i="239"/>
  <c r="K92" i="240"/>
  <c r="K100" i="240" s="1"/>
  <c r="W45" i="31"/>
  <c r="R24" i="31"/>
  <c r="W34" i="31"/>
  <c r="W35" i="31" s="1"/>
  <c r="P78" i="240"/>
  <c r="P77" i="240"/>
  <c r="I50" i="221" s="1"/>
  <c r="W46" i="240"/>
  <c r="W47" i="240" s="1"/>
  <c r="F1110" i="184"/>
  <c r="F1122" i="184" s="1"/>
  <c r="D63" i="219" s="1"/>
  <c r="G63" i="219" s="1"/>
  <c r="D19" i="171"/>
  <c r="D20" i="171" s="1"/>
  <c r="D33" i="171" s="1"/>
  <c r="D61" i="171" s="1"/>
  <c r="M42" i="172"/>
  <c r="F44" i="172"/>
  <c r="L203" i="191"/>
  <c r="L231" i="191" s="1"/>
  <c r="X68" i="42"/>
  <c r="L262" i="191"/>
  <c r="X68" i="112"/>
  <c r="D112" i="135"/>
  <c r="F46" i="136"/>
  <c r="K46" i="136" s="1"/>
  <c r="O46" i="136" s="1"/>
  <c r="O47" i="136" s="1"/>
  <c r="O49" i="136" s="1"/>
  <c r="N19" i="210" s="1"/>
  <c r="C46" i="136"/>
  <c r="C47" i="136" s="1"/>
  <c r="B47" i="136"/>
  <c r="F47" i="231"/>
  <c r="F68" i="231" s="1"/>
  <c r="AG22" i="231"/>
  <c r="C57" i="171"/>
  <c r="C59" i="171" s="1"/>
  <c r="B59" i="171"/>
  <c r="F57" i="171"/>
  <c r="F59" i="171" s="1"/>
  <c r="F42" i="216"/>
  <c r="L15" i="191"/>
  <c r="M15" i="191" s="1"/>
  <c r="X68" i="26"/>
  <c r="BS63" i="218"/>
  <c r="BS65" i="218" s="1"/>
  <c r="BS66" i="218" s="1"/>
  <c r="BR65" i="218"/>
  <c r="BR66" i="218" s="1"/>
  <c r="B63" i="218"/>
  <c r="K42" i="91"/>
  <c r="I46" i="91"/>
  <c r="L32" i="213" s="1"/>
  <c r="D20" i="136"/>
  <c r="D33" i="136" s="1"/>
  <c r="D61" i="136" s="1"/>
  <c r="D12" i="216"/>
  <c r="D42" i="216" s="1"/>
  <c r="F20" i="191"/>
  <c r="G20" i="191" s="1"/>
  <c r="R69" i="47"/>
  <c r="F353" i="191" s="1"/>
  <c r="I1481" i="184"/>
  <c r="I85" i="82"/>
  <c r="E60" i="234"/>
  <c r="I53" i="235"/>
  <c r="AG23" i="231"/>
  <c r="E67" i="14"/>
  <c r="C23" i="233"/>
  <c r="E20" i="233" s="1"/>
  <c r="H67" i="218"/>
  <c r="Z39" i="218"/>
  <c r="BR27" i="218"/>
  <c r="C237" i="233"/>
  <c r="BR39" i="218"/>
  <c r="F50" i="171"/>
  <c r="F54" i="171" s="1"/>
  <c r="C50" i="171"/>
  <c r="C54" i="171" s="1"/>
  <c r="B54" i="171"/>
  <c r="G71" i="191"/>
  <c r="F83" i="191"/>
  <c r="G83" i="191" s="1"/>
  <c r="B86" i="181"/>
  <c r="M2696" i="184"/>
  <c r="K47" i="212"/>
  <c r="K68" i="212" s="1"/>
  <c r="G50" i="181"/>
  <c r="B68" i="181"/>
  <c r="D66" i="181"/>
  <c r="F66" i="181" s="1"/>
  <c r="J66" i="181" s="1"/>
  <c r="B133" i="181"/>
  <c r="D65" i="180"/>
  <c r="H2662" i="184"/>
  <c r="H2675" i="184" s="1"/>
  <c r="H2703" i="184" s="1"/>
  <c r="H2711" i="184" s="1"/>
  <c r="D114" i="170"/>
  <c r="E105" i="170" s="1"/>
  <c r="B56" i="218"/>
  <c r="BU56" i="218"/>
  <c r="BU60" i="218" s="1"/>
  <c r="BT60" i="218"/>
  <c r="D51" i="181"/>
  <c r="F46" i="181"/>
  <c r="K39" i="171"/>
  <c r="I39" i="171"/>
  <c r="J25" i="213" s="1"/>
  <c r="L34" i="191"/>
  <c r="X68" i="172"/>
  <c r="I72" i="181"/>
  <c r="I47" i="213" s="1"/>
  <c r="K72" i="181"/>
  <c r="F47" i="171"/>
  <c r="F65" i="181"/>
  <c r="I46" i="191"/>
  <c r="D55" i="181"/>
  <c r="F2662" i="184"/>
  <c r="F2675" i="184" s="1"/>
  <c r="F2703" i="184" s="1"/>
  <c r="F2711" i="184" s="1"/>
  <c r="I2675" i="184"/>
  <c r="I2703" i="184" s="1"/>
  <c r="I2711" i="184" s="1"/>
  <c r="G2675" i="184"/>
  <c r="G2703" i="184" s="1"/>
  <c r="G2711" i="184" s="1"/>
  <c r="L71" i="191"/>
  <c r="L83" i="191" s="1"/>
  <c r="D20" i="192"/>
  <c r="I83" i="191"/>
  <c r="K2703" i="184"/>
  <c r="K2711" i="184" s="1"/>
  <c r="F73" i="181"/>
  <c r="K73" i="181" s="1"/>
  <c r="L73" i="181" s="1"/>
  <c r="D2662" i="184"/>
  <c r="D2675" i="184" s="1"/>
  <c r="D2703" i="184" s="1"/>
  <c r="D2711" i="184" s="1"/>
  <c r="D50" i="213"/>
  <c r="D160" i="233"/>
  <c r="D163" i="233" s="1"/>
  <c r="AW27" i="218"/>
  <c r="R39" i="218"/>
  <c r="R27" i="218"/>
  <c r="C55" i="233"/>
  <c r="B24" i="218"/>
  <c r="C72" i="233"/>
  <c r="E69" i="233" s="1"/>
  <c r="BV39" i="218"/>
  <c r="BV27" i="218"/>
  <c r="C251" i="233"/>
  <c r="AX80" i="218"/>
  <c r="AX81" i="218" s="1"/>
  <c r="AX68" i="218"/>
  <c r="BF67" i="218"/>
  <c r="BF40" i="218"/>
  <c r="C160" i="233"/>
  <c r="AV39" i="218"/>
  <c r="AV27" i="218"/>
  <c r="C48" i="233"/>
  <c r="P39" i="218"/>
  <c r="C198" i="233"/>
  <c r="E195" i="233" s="1"/>
  <c r="D52" i="214"/>
  <c r="D49" i="214"/>
  <c r="D50" i="214"/>
  <c r="D48" i="214"/>
  <c r="D51" i="214"/>
  <c r="R82" i="213"/>
  <c r="R87" i="213" s="1"/>
  <c r="AD27" i="218"/>
  <c r="AD39" i="218"/>
  <c r="C97" i="233"/>
  <c r="BH39" i="218"/>
  <c r="C202" i="233"/>
  <c r="BH27" i="218"/>
  <c r="AH39" i="218"/>
  <c r="C111" i="233"/>
  <c r="AH27" i="218"/>
  <c r="C156" i="233"/>
  <c r="BJ27" i="218"/>
  <c r="D52" i="213"/>
  <c r="V67" i="218"/>
  <c r="V40" i="218"/>
  <c r="D153" i="233"/>
  <c r="D156" i="233" s="1"/>
  <c r="AU27" i="218"/>
  <c r="AU39" i="218"/>
  <c r="D51" i="213"/>
  <c r="AB39" i="218"/>
  <c r="C90" i="233"/>
  <c r="AB27" i="218"/>
  <c r="C170" i="233"/>
  <c r="E167" i="233" s="1"/>
  <c r="C121" i="233"/>
  <c r="E118" i="233" s="1"/>
  <c r="C233" i="233"/>
  <c r="E230" i="233" s="1"/>
  <c r="D48" i="213"/>
  <c r="AJ67" i="218"/>
  <c r="AJ40" i="218"/>
  <c r="Q82" i="213"/>
  <c r="Q87" i="213" s="1"/>
  <c r="N40" i="218"/>
  <c r="C128" i="233"/>
  <c r="E125" i="233" s="1"/>
  <c r="AT40" i="218" l="1"/>
  <c r="AK39" i="218"/>
  <c r="C174" i="233"/>
  <c r="AK27" i="218"/>
  <c r="BB27" i="218"/>
  <c r="E218" i="233"/>
  <c r="BS27" i="218"/>
  <c r="BB39" i="218"/>
  <c r="BB40" i="218" s="1"/>
  <c r="BJ39" i="218"/>
  <c r="BJ40" i="218" s="1"/>
  <c r="BM27" i="218"/>
  <c r="E35" i="233"/>
  <c r="BS39" i="218"/>
  <c r="BS40" i="218" s="1"/>
  <c r="D216" i="233"/>
  <c r="D219" i="233" s="1"/>
  <c r="W26" i="218"/>
  <c r="AO26" i="218"/>
  <c r="AQ53" i="218"/>
  <c r="S27" i="218"/>
  <c r="E24" i="218"/>
  <c r="E26" i="218" s="1"/>
  <c r="AA66" i="218"/>
  <c r="AQ38" i="218"/>
  <c r="D141" i="233" s="1"/>
  <c r="AQ60" i="218"/>
  <c r="AQ61" i="218" s="1"/>
  <c r="AO15" i="218"/>
  <c r="D55" i="233"/>
  <c r="D58" i="233" s="1"/>
  <c r="C61" i="96"/>
  <c r="AI38" i="218"/>
  <c r="D113" i="233" s="1"/>
  <c r="BW66" i="218"/>
  <c r="BU38" i="218"/>
  <c r="D246" i="233" s="1"/>
  <c r="AQ15" i="218"/>
  <c r="D138" i="233" s="1"/>
  <c r="C33" i="202"/>
  <c r="AO65" i="218"/>
  <c r="AO66" i="218" s="1"/>
  <c r="BK20" i="218"/>
  <c r="BK26" i="218" s="1"/>
  <c r="D209" i="233" s="1"/>
  <c r="BI26" i="218"/>
  <c r="BI27" i="218" s="1"/>
  <c r="Z27" i="218"/>
  <c r="BW26" i="218"/>
  <c r="D251" i="233" s="1"/>
  <c r="E37" i="233"/>
  <c r="E33" i="233"/>
  <c r="AZ39" i="218"/>
  <c r="AZ67" i="218" s="1"/>
  <c r="T27" i="218"/>
  <c r="BC26" i="218"/>
  <c r="D181" i="233" s="1"/>
  <c r="D184" i="233" s="1"/>
  <c r="C62" i="233"/>
  <c r="C65" i="233" s="1"/>
  <c r="E62" i="233" s="1"/>
  <c r="E36" i="233"/>
  <c r="BN67" i="218"/>
  <c r="BN80" i="218" s="1"/>
  <c r="BN81" i="218" s="1"/>
  <c r="AQ54" i="218"/>
  <c r="J33" i="202"/>
  <c r="E47" i="210" s="1"/>
  <c r="T75" i="213"/>
  <c r="M65" i="230"/>
  <c r="J50" i="181"/>
  <c r="O20" i="218"/>
  <c r="Q44" i="230"/>
  <c r="U43" i="213"/>
  <c r="D245" i="233"/>
  <c r="BU30" i="218"/>
  <c r="AQ65" i="218"/>
  <c r="AQ66" i="218" s="1"/>
  <c r="U25" i="213"/>
  <c r="Q26" i="230"/>
  <c r="C66" i="181"/>
  <c r="D76" i="233"/>
  <c r="D79" i="233" s="1"/>
  <c r="C64" i="218"/>
  <c r="C87" i="181"/>
  <c r="C77" i="181"/>
  <c r="BU53" i="218"/>
  <c r="BU54" i="218" s="1"/>
  <c r="AQ30" i="218"/>
  <c r="D140" i="233"/>
  <c r="AO61" i="218"/>
  <c r="AS27" i="218"/>
  <c r="J47" i="181"/>
  <c r="G65" i="220"/>
  <c r="C73" i="181"/>
  <c r="W66" i="218"/>
  <c r="BE26" i="218"/>
  <c r="BE39" i="218" s="1"/>
  <c r="BE67" i="218" s="1"/>
  <c r="BU20" i="218"/>
  <c r="BU26" i="218" s="1"/>
  <c r="AQ20" i="218"/>
  <c r="AQ26" i="218" s="1"/>
  <c r="AQ27" i="218" s="1"/>
  <c r="U24" i="213"/>
  <c r="Q25" i="230"/>
  <c r="J49" i="181"/>
  <c r="I75" i="181"/>
  <c r="J47" i="213" s="1"/>
  <c r="C65" i="181"/>
  <c r="O24" i="218"/>
  <c r="AO53" i="218"/>
  <c r="AO54" i="218" s="1"/>
  <c r="D146" i="233"/>
  <c r="D149" i="233" s="1"/>
  <c r="G48" i="220"/>
  <c r="G76" i="220" s="1"/>
  <c r="L42" i="181"/>
  <c r="C89" i="181"/>
  <c r="D133" i="233"/>
  <c r="AO30" i="218"/>
  <c r="BK65" i="218"/>
  <c r="C59" i="181"/>
  <c r="T47" i="213"/>
  <c r="T82" i="213" s="1"/>
  <c r="T87" i="213" s="1"/>
  <c r="D110" i="233"/>
  <c r="C61" i="202"/>
  <c r="BU15" i="218"/>
  <c r="D20" i="233"/>
  <c r="I39" i="218"/>
  <c r="I40" i="218" s="1"/>
  <c r="I27" i="218"/>
  <c r="AI26" i="218"/>
  <c r="AI27" i="218" s="1"/>
  <c r="AG26" i="218"/>
  <c r="AG39" i="218" s="1"/>
  <c r="AG40" i="218" s="1"/>
  <c r="BW61" i="218"/>
  <c r="AI60" i="218"/>
  <c r="AI61" i="218" s="1"/>
  <c r="BW54" i="218"/>
  <c r="AY20" i="218"/>
  <c r="AY26" i="218" s="1"/>
  <c r="AY27" i="218" s="1"/>
  <c r="C61" i="56"/>
  <c r="BO68" i="218"/>
  <c r="C61" i="15"/>
  <c r="BQ24" i="218"/>
  <c r="O38" i="218"/>
  <c r="D43" i="233" s="1"/>
  <c r="BM67" i="218"/>
  <c r="BM68" i="218" s="1"/>
  <c r="C61" i="146"/>
  <c r="J33" i="41"/>
  <c r="E36" i="210" s="1"/>
  <c r="G24" i="218"/>
  <c r="G26" i="218" s="1"/>
  <c r="G65" i="218"/>
  <c r="G66" i="218" s="1"/>
  <c r="O15" i="218"/>
  <c r="D124" i="233"/>
  <c r="AK16" i="218"/>
  <c r="C63" i="181"/>
  <c r="C68" i="181" s="1"/>
  <c r="C49" i="181"/>
  <c r="M16" i="218"/>
  <c r="C61" i="161"/>
  <c r="C72" i="181"/>
  <c r="C67" i="181"/>
  <c r="C61" i="41"/>
  <c r="P49" i="214"/>
  <c r="P57" i="214"/>
  <c r="O65" i="218"/>
  <c r="O66" i="218" s="1"/>
  <c r="V37" i="213"/>
  <c r="U38" i="230"/>
  <c r="R38" i="230"/>
  <c r="D121" i="233"/>
  <c r="J50" i="213"/>
  <c r="J59" i="181"/>
  <c r="H48" i="210" s="1"/>
  <c r="H73" i="210" s="1"/>
  <c r="C74" i="181"/>
  <c r="M48" i="230"/>
  <c r="M72" i="230" s="1"/>
  <c r="M77" i="230" s="1"/>
  <c r="J62" i="181"/>
  <c r="D112" i="233"/>
  <c r="AI30" i="218"/>
  <c r="O57" i="214"/>
  <c r="O49" i="214"/>
  <c r="C33" i="61"/>
  <c r="U37" i="213"/>
  <c r="Q38" i="230"/>
  <c r="G64" i="209"/>
  <c r="O60" i="218"/>
  <c r="O61" i="218" s="1"/>
  <c r="D42" i="233"/>
  <c r="O30" i="218"/>
  <c r="U35" i="213"/>
  <c r="Q36" i="230"/>
  <c r="C47" i="181"/>
  <c r="C75" i="181"/>
  <c r="K2" i="181"/>
  <c r="C55" i="181"/>
  <c r="D252" i="233"/>
  <c r="BW30" i="218"/>
  <c r="J33" i="61"/>
  <c r="E38" i="210" s="1"/>
  <c r="U65" i="218"/>
  <c r="U66" i="218" s="1"/>
  <c r="D19" i="233"/>
  <c r="I16" i="218"/>
  <c r="O53" i="218"/>
  <c r="O54" i="218" s="1"/>
  <c r="D125" i="233"/>
  <c r="BG53" i="218"/>
  <c r="BG54" i="218" s="1"/>
  <c r="BG16" i="218"/>
  <c r="D194" i="233"/>
  <c r="D196" i="233"/>
  <c r="BG30" i="218"/>
  <c r="Q21" i="230"/>
  <c r="C33" i="141"/>
  <c r="C61" i="141" s="1"/>
  <c r="U20" i="213"/>
  <c r="BG20" i="218"/>
  <c r="BG26" i="218" s="1"/>
  <c r="J39" i="223"/>
  <c r="O53" i="213"/>
  <c r="BG38" i="218"/>
  <c r="D197" i="233" s="1"/>
  <c r="U21" i="230"/>
  <c r="V20" i="213"/>
  <c r="R21" i="230"/>
  <c r="BG60" i="218"/>
  <c r="BG61" i="218" s="1"/>
  <c r="K39" i="218"/>
  <c r="K67" i="218" s="1"/>
  <c r="D27" i="233"/>
  <c r="D30" i="233" s="1"/>
  <c r="D69" i="233"/>
  <c r="E215" i="233"/>
  <c r="E217" i="233"/>
  <c r="E219" i="233"/>
  <c r="Y27" i="218"/>
  <c r="BC16" i="218"/>
  <c r="G72" i="209"/>
  <c r="BQ53" i="218"/>
  <c r="BQ54" i="218" s="1"/>
  <c r="J67" i="181"/>
  <c r="D89" i="233"/>
  <c r="BI61" i="218"/>
  <c r="E65" i="218"/>
  <c r="E66" i="218" s="1"/>
  <c r="C50" i="181"/>
  <c r="BU61" i="218"/>
  <c r="BQ60" i="218"/>
  <c r="BQ61" i="218" s="1"/>
  <c r="I77" i="181"/>
  <c r="K47" i="213" s="1"/>
  <c r="C76" i="181"/>
  <c r="U60" i="218"/>
  <c r="U61" i="218" s="1"/>
  <c r="U15" i="218"/>
  <c r="U16" i="218" s="1"/>
  <c r="AE65" i="218"/>
  <c r="AE66" i="218" s="1"/>
  <c r="U26" i="218"/>
  <c r="U27" i="218" s="1"/>
  <c r="BQ20" i="218"/>
  <c r="AY53" i="218"/>
  <c r="AY54" i="218" s="1"/>
  <c r="G53" i="218"/>
  <c r="G54" i="218" s="1"/>
  <c r="BA27" i="218"/>
  <c r="AY65" i="218"/>
  <c r="AY66" i="218" s="1"/>
  <c r="BM40" i="218"/>
  <c r="AG16" i="218"/>
  <c r="E38" i="218"/>
  <c r="D8" i="233" s="1"/>
  <c r="D231" i="233"/>
  <c r="BQ30" i="218"/>
  <c r="AY38" i="218"/>
  <c r="D169" i="233" s="1"/>
  <c r="BA39" i="218"/>
  <c r="AY60" i="218"/>
  <c r="AY61" i="218" s="1"/>
  <c r="G38" i="218"/>
  <c r="D15" i="233" s="1"/>
  <c r="Q43" i="230"/>
  <c r="U42" i="213"/>
  <c r="C33" i="121"/>
  <c r="C61" i="121" s="1"/>
  <c r="E15" i="218"/>
  <c r="Q39" i="218"/>
  <c r="Q67" i="218" s="1"/>
  <c r="J33" i="166"/>
  <c r="E20" i="210" s="1"/>
  <c r="D7" i="233"/>
  <c r="E30" i="218"/>
  <c r="BQ65" i="218"/>
  <c r="BQ66" i="218" s="1"/>
  <c r="D201" i="233"/>
  <c r="BI16" i="218"/>
  <c r="AY15" i="218"/>
  <c r="P48" i="214"/>
  <c r="P56" i="214"/>
  <c r="D6" i="233"/>
  <c r="G60" i="218"/>
  <c r="G61" i="218" s="1"/>
  <c r="O51" i="214"/>
  <c r="O53" i="214"/>
  <c r="O48" i="214"/>
  <c r="O56" i="214"/>
  <c r="BQ38" i="218"/>
  <c r="D232" i="233" s="1"/>
  <c r="P51" i="214"/>
  <c r="P53" i="214"/>
  <c r="AY30" i="218"/>
  <c r="D168" i="233"/>
  <c r="BW27" i="218"/>
  <c r="BQ15" i="218"/>
  <c r="D14" i="233"/>
  <c r="G30" i="218"/>
  <c r="G15" i="218"/>
  <c r="BK15" i="218"/>
  <c r="AE38" i="218"/>
  <c r="D99" i="233" s="1"/>
  <c r="J55" i="213"/>
  <c r="J32" i="96"/>
  <c r="I13" i="210" s="1"/>
  <c r="C61" i="76"/>
  <c r="BO40" i="218"/>
  <c r="L51" i="213"/>
  <c r="C51" i="218"/>
  <c r="AE53" i="218"/>
  <c r="C19" i="218"/>
  <c r="C52" i="218"/>
  <c r="D173" i="233"/>
  <c r="D177" i="233" s="1"/>
  <c r="BA16" i="218"/>
  <c r="C57" i="218"/>
  <c r="J20" i="91"/>
  <c r="F33" i="210" s="1"/>
  <c r="P52" i="214"/>
  <c r="P58" i="214"/>
  <c r="M26" i="218"/>
  <c r="AE15" i="218"/>
  <c r="BK60" i="218"/>
  <c r="BK61" i="218" s="1"/>
  <c r="O52" i="214"/>
  <c r="O58" i="214"/>
  <c r="D68" i="233"/>
  <c r="W16" i="218"/>
  <c r="C48" i="218"/>
  <c r="C37" i="218"/>
  <c r="C43" i="218"/>
  <c r="C44" i="218"/>
  <c r="C32" i="218"/>
  <c r="C7" i="218"/>
  <c r="C47" i="218"/>
  <c r="C59" i="218"/>
  <c r="C18" i="218"/>
  <c r="C46" i="218"/>
  <c r="C29" i="218"/>
  <c r="C30" i="218" s="1"/>
  <c r="C11" i="218"/>
  <c r="C33" i="218"/>
  <c r="C45" i="218"/>
  <c r="C10" i="218"/>
  <c r="C42" i="218"/>
  <c r="C36" i="218"/>
  <c r="C13" i="218"/>
  <c r="C35" i="218"/>
  <c r="C22" i="218"/>
  <c r="C24" i="218" s="1"/>
  <c r="C34" i="218"/>
  <c r="C58" i="218"/>
  <c r="AA16" i="218"/>
  <c r="D63" i="233"/>
  <c r="U30" i="218"/>
  <c r="AE60" i="218"/>
  <c r="AE61" i="218" s="1"/>
  <c r="D187" i="233"/>
  <c r="BE16" i="218"/>
  <c r="D210" i="233"/>
  <c r="BK30" i="218"/>
  <c r="AE26" i="218"/>
  <c r="D97" i="233" s="1"/>
  <c r="P50" i="214"/>
  <c r="P55" i="214"/>
  <c r="BK53" i="218"/>
  <c r="U38" i="218"/>
  <c r="D98" i="233"/>
  <c r="AE30" i="218"/>
  <c r="O55" i="214"/>
  <c r="O50" i="214"/>
  <c r="BK38" i="218"/>
  <c r="D211" i="233" s="1"/>
  <c r="N59" i="207"/>
  <c r="N60" i="207" s="1"/>
  <c r="U53" i="218"/>
  <c r="U54" i="218" s="1"/>
  <c r="X27" i="218"/>
  <c r="C146" i="233"/>
  <c r="C149" i="233" s="1"/>
  <c r="E146" i="233" s="1"/>
  <c r="AR39" i="218"/>
  <c r="X40" i="218"/>
  <c r="X67" i="218"/>
  <c r="X80" i="218" s="1"/>
  <c r="X81" i="218" s="1"/>
  <c r="C76" i="233"/>
  <c r="C79" i="233" s="1"/>
  <c r="E76" i="233" s="1"/>
  <c r="C247" i="233"/>
  <c r="E244" i="233" s="1"/>
  <c r="C132" i="233"/>
  <c r="C135" i="233" s="1"/>
  <c r="E132" i="233" s="1"/>
  <c r="AN39" i="218"/>
  <c r="AN67" i="218" s="1"/>
  <c r="AN80" i="218" s="1"/>
  <c r="E140" i="233"/>
  <c r="E138" i="233"/>
  <c r="E141" i="233"/>
  <c r="AF39" i="218"/>
  <c r="AF40" i="218" s="1"/>
  <c r="E142" i="233"/>
  <c r="C104" i="233"/>
  <c r="AC27" i="218"/>
  <c r="D90" i="233"/>
  <c r="AC39" i="218"/>
  <c r="D111" i="180"/>
  <c r="F81" i="181"/>
  <c r="K81" i="181" s="1"/>
  <c r="O81" i="181" s="1"/>
  <c r="C81" i="181"/>
  <c r="E14" i="34"/>
  <c r="BE54" i="218"/>
  <c r="B61" i="151"/>
  <c r="M1460" i="184"/>
  <c r="N2674" i="184" s="1"/>
  <c r="E111" i="75"/>
  <c r="E103" i="75"/>
  <c r="E110" i="75"/>
  <c r="E112" i="75"/>
  <c r="E102" i="75"/>
  <c r="A136" i="75"/>
  <c r="E109" i="75"/>
  <c r="E105" i="75"/>
  <c r="E104" i="75"/>
  <c r="E108" i="75"/>
  <c r="M43" i="161"/>
  <c r="M47" i="161" s="1"/>
  <c r="M49" i="161" s="1"/>
  <c r="L15" i="210" s="1"/>
  <c r="K47" i="161"/>
  <c r="K49" i="161" s="1"/>
  <c r="J15" i="210" s="1"/>
  <c r="E102" i="70"/>
  <c r="A136" i="70"/>
  <c r="E112" i="70"/>
  <c r="E110" i="70"/>
  <c r="E103" i="70"/>
  <c r="E107" i="70"/>
  <c r="E105" i="70"/>
  <c r="E104" i="70"/>
  <c r="E109" i="70"/>
  <c r="E111" i="70"/>
  <c r="E106" i="70"/>
  <c r="U33" i="230"/>
  <c r="V32" i="213"/>
  <c r="R33" i="230"/>
  <c r="C33" i="91"/>
  <c r="C61" i="91" s="1"/>
  <c r="I22" i="214"/>
  <c r="I51" i="214" s="1"/>
  <c r="D18" i="188"/>
  <c r="F18" i="188" s="1"/>
  <c r="I11" i="71"/>
  <c r="I14" i="71"/>
  <c r="H21" i="209"/>
  <c r="M21" i="209" s="1"/>
  <c r="N21" i="209" s="1"/>
  <c r="P21" i="209" s="1"/>
  <c r="Q21" i="209" s="1"/>
  <c r="K23" i="229"/>
  <c r="L39" i="209"/>
  <c r="M39" i="209" s="1"/>
  <c r="N39" i="209" s="1"/>
  <c r="P39" i="209" s="1"/>
  <c r="Q39" i="209" s="1"/>
  <c r="M40" i="214"/>
  <c r="M41" i="229"/>
  <c r="H41" i="220"/>
  <c r="I41" i="220" s="1"/>
  <c r="O37" i="209"/>
  <c r="G36" i="188"/>
  <c r="L36" i="188" s="1"/>
  <c r="I48" i="76"/>
  <c r="I36" i="214"/>
  <c r="D34" i="188"/>
  <c r="F34" i="188" s="1"/>
  <c r="K37" i="229"/>
  <c r="I11" i="46"/>
  <c r="I14" i="46"/>
  <c r="H35" i="209"/>
  <c r="B61" i="96"/>
  <c r="E24" i="242"/>
  <c r="G24" i="242" s="1"/>
  <c r="J11" i="212"/>
  <c r="J47" i="212" s="1"/>
  <c r="J68" i="212" s="1"/>
  <c r="X39" i="13"/>
  <c r="F45" i="239"/>
  <c r="C45" i="239"/>
  <c r="M22" i="213"/>
  <c r="I23" i="230"/>
  <c r="D14" i="197"/>
  <c r="L1471" i="184"/>
  <c r="L85" i="47"/>
  <c r="J32" i="198"/>
  <c r="L52" i="214"/>
  <c r="L57" i="214"/>
  <c r="J33" i="111"/>
  <c r="E41" i="210" s="1"/>
  <c r="M13" i="229"/>
  <c r="L11" i="209"/>
  <c r="H13" i="220"/>
  <c r="I13" i="220" s="1"/>
  <c r="M12" i="214"/>
  <c r="P14" i="231"/>
  <c r="AH14" i="231" s="1"/>
  <c r="M646" i="184"/>
  <c r="B18" i="25"/>
  <c r="F29" i="212"/>
  <c r="X23" i="199"/>
  <c r="X49" i="199" s="1"/>
  <c r="N29" i="212" s="1"/>
  <c r="G35" i="71"/>
  <c r="F61" i="71"/>
  <c r="J23" i="220"/>
  <c r="K23" i="220" s="1"/>
  <c r="A48" i="34"/>
  <c r="E12" i="34"/>
  <c r="E11" i="34"/>
  <c r="E10" i="34"/>
  <c r="M40" i="76"/>
  <c r="M47" i="76" s="1"/>
  <c r="M49" i="76" s="1"/>
  <c r="L39" i="210" s="1"/>
  <c r="K47" i="76"/>
  <c r="K49" i="76" s="1"/>
  <c r="J39" i="210" s="1"/>
  <c r="O53" i="223"/>
  <c r="O54" i="223" s="1"/>
  <c r="O56" i="223" s="1"/>
  <c r="K54" i="223"/>
  <c r="K56" i="223" s="1"/>
  <c r="L16" i="191"/>
  <c r="M16" i="191" s="1"/>
  <c r="X68" i="127"/>
  <c r="G26" i="212"/>
  <c r="X23" i="92"/>
  <c r="X49" i="92" s="1"/>
  <c r="N26" i="212" s="1"/>
  <c r="V70" i="177"/>
  <c r="E22" i="192"/>
  <c r="L332" i="191"/>
  <c r="J30" i="136"/>
  <c r="J32" i="136" s="1"/>
  <c r="I19" i="210" s="1"/>
  <c r="F32" i="136"/>
  <c r="F33" i="96"/>
  <c r="K2245" i="184"/>
  <c r="K2281" i="184" s="1"/>
  <c r="K93" i="13"/>
  <c r="K2505" i="184" s="1"/>
  <c r="K2541" i="184" s="1"/>
  <c r="K36" i="188"/>
  <c r="M36" i="188"/>
  <c r="G38" i="188"/>
  <c r="I48" i="111"/>
  <c r="O39" i="209"/>
  <c r="F1463" i="184"/>
  <c r="F85" i="16"/>
  <c r="F68" i="223"/>
  <c r="C61" i="239"/>
  <c r="C66" i="30"/>
  <c r="I1129" i="184"/>
  <c r="I57" i="26"/>
  <c r="M44" i="26"/>
  <c r="D104" i="29"/>
  <c r="E44" i="30"/>
  <c r="F44" i="30" s="1"/>
  <c r="C44" i="30"/>
  <c r="D10" i="90"/>
  <c r="B33" i="91"/>
  <c r="E23" i="242" s="1"/>
  <c r="G23" i="242" s="1"/>
  <c r="D59" i="90"/>
  <c r="G23" i="210"/>
  <c r="J33" i="71"/>
  <c r="E23" i="210" s="1"/>
  <c r="F93" i="21"/>
  <c r="F2509" i="184" s="1"/>
  <c r="F2249" i="184"/>
  <c r="D65" i="20"/>
  <c r="D68" i="20" s="1"/>
  <c r="D71" i="20" s="1"/>
  <c r="D73" i="20" s="1"/>
  <c r="AP67" i="218"/>
  <c r="E105" i="100"/>
  <c r="E9" i="95"/>
  <c r="D14" i="95"/>
  <c r="L39" i="101"/>
  <c r="L47" i="101" s="1"/>
  <c r="L49" i="101" s="1"/>
  <c r="K44" i="210" s="1"/>
  <c r="K47" i="101"/>
  <c r="K49" i="101" s="1"/>
  <c r="J44" i="210" s="1"/>
  <c r="B51" i="181"/>
  <c r="D9" i="180" s="1"/>
  <c r="B126" i="181"/>
  <c r="C46" i="181"/>
  <c r="D54" i="180"/>
  <c r="I49" i="213"/>
  <c r="I57" i="213"/>
  <c r="D7" i="188"/>
  <c r="F7" i="188" s="1"/>
  <c r="K7" i="188" s="1"/>
  <c r="I11" i="96"/>
  <c r="H11" i="209"/>
  <c r="I12" i="214"/>
  <c r="K13" i="229"/>
  <c r="I14" i="96"/>
  <c r="E55" i="110"/>
  <c r="E58" i="110"/>
  <c r="E66" i="110"/>
  <c r="E62" i="110"/>
  <c r="A92" i="110"/>
  <c r="E54" i="110"/>
  <c r="E57" i="110"/>
  <c r="E64" i="110"/>
  <c r="E61" i="110"/>
  <c r="E59" i="110"/>
  <c r="E65" i="110"/>
  <c r="C45" i="198"/>
  <c r="C47" i="198" s="1"/>
  <c r="C61" i="198" s="1"/>
  <c r="F45" i="198"/>
  <c r="D111" i="197"/>
  <c r="B47" i="198"/>
  <c r="E75" i="30"/>
  <c r="E78" i="30" s="1"/>
  <c r="E59" i="95"/>
  <c r="E57" i="95"/>
  <c r="E55" i="95"/>
  <c r="E61" i="95"/>
  <c r="E66" i="95"/>
  <c r="E62" i="95"/>
  <c r="A92" i="95"/>
  <c r="E58" i="95"/>
  <c r="E60" i="95"/>
  <c r="E54" i="95"/>
  <c r="E64" i="95"/>
  <c r="M44" i="214"/>
  <c r="M45" i="229"/>
  <c r="H45" i="220"/>
  <c r="I45" i="220" s="1"/>
  <c r="L44" i="209"/>
  <c r="M44" i="209" s="1"/>
  <c r="N44" i="209" s="1"/>
  <c r="F33" i="198"/>
  <c r="L2540" i="184"/>
  <c r="M93" i="92"/>
  <c r="O45" i="111"/>
  <c r="O47" i="111" s="1"/>
  <c r="O49" i="111" s="1"/>
  <c r="N41" i="210" s="1"/>
  <c r="K47" i="111"/>
  <c r="K49" i="111" s="1"/>
  <c r="J41" i="210" s="1"/>
  <c r="M85" i="203"/>
  <c r="G93" i="203"/>
  <c r="G2266" i="184"/>
  <c r="D14" i="70"/>
  <c r="K42" i="30"/>
  <c r="L42" i="30" s="1"/>
  <c r="I42" i="30"/>
  <c r="E67" i="165"/>
  <c r="I41" i="223"/>
  <c r="I39" i="223"/>
  <c r="E14" i="85"/>
  <c r="E59" i="55"/>
  <c r="E64" i="55"/>
  <c r="E61" i="55"/>
  <c r="E66" i="55"/>
  <c r="E65" i="55"/>
  <c r="A92" i="55"/>
  <c r="E58" i="55"/>
  <c r="E63" i="55"/>
  <c r="E54" i="55"/>
  <c r="E60" i="55"/>
  <c r="E55" i="55"/>
  <c r="E62" i="55"/>
  <c r="M85" i="199"/>
  <c r="D2263" i="184"/>
  <c r="D93" i="199"/>
  <c r="D93" i="142"/>
  <c r="M85" i="142"/>
  <c r="D2258" i="184"/>
  <c r="J11" i="30"/>
  <c r="G11" i="30"/>
  <c r="A136" i="100"/>
  <c r="E103" i="100"/>
  <c r="E109" i="100"/>
  <c r="E104" i="100"/>
  <c r="E111" i="100"/>
  <c r="E108" i="100"/>
  <c r="E112" i="100"/>
  <c r="E102" i="100"/>
  <c r="E106" i="100"/>
  <c r="E110" i="100"/>
  <c r="G41" i="188"/>
  <c r="I48" i="101"/>
  <c r="O42" i="209"/>
  <c r="B61" i="76"/>
  <c r="E20" i="242"/>
  <c r="G20" i="242" s="1"/>
  <c r="D109" i="180"/>
  <c r="F79" i="181"/>
  <c r="K79" i="181" s="1"/>
  <c r="M79" i="181" s="1"/>
  <c r="M83" i="181" s="1"/>
  <c r="M85" i="181" s="1"/>
  <c r="L48" i="210" s="1"/>
  <c r="L73" i="210" s="1"/>
  <c r="C79" i="181"/>
  <c r="N42" i="198"/>
  <c r="N47" i="198" s="1"/>
  <c r="N49" i="198" s="1"/>
  <c r="M45" i="210" s="1"/>
  <c r="G13" i="210"/>
  <c r="D93" i="16"/>
  <c r="D2507" i="184" s="1"/>
  <c r="D2247" i="184"/>
  <c r="C45" i="30"/>
  <c r="E45" i="30"/>
  <c r="D113" i="29"/>
  <c r="F45" i="30"/>
  <c r="F33" i="111"/>
  <c r="B65" i="76"/>
  <c r="B68" i="76" s="1"/>
  <c r="B21" i="77"/>
  <c r="M2262" i="184"/>
  <c r="R76" i="78"/>
  <c r="R78" i="78"/>
  <c r="O75" i="78"/>
  <c r="M1136" i="184"/>
  <c r="AC36" i="231"/>
  <c r="AK36" i="231" s="1"/>
  <c r="W21" i="132"/>
  <c r="F61" i="239"/>
  <c r="E59" i="70"/>
  <c r="E60" i="70"/>
  <c r="A92" i="70"/>
  <c r="E65" i="70"/>
  <c r="E54" i="70"/>
  <c r="E62" i="70"/>
  <c r="E61" i="70"/>
  <c r="E63" i="70"/>
  <c r="E57" i="70"/>
  <c r="E58" i="70"/>
  <c r="E66" i="70"/>
  <c r="I11" i="212"/>
  <c r="I47" i="212" s="1"/>
  <c r="I68" i="212" s="1"/>
  <c r="W31" i="13"/>
  <c r="D10" i="105"/>
  <c r="B33" i="106"/>
  <c r="E28" i="242" s="1"/>
  <c r="G28" i="242" s="1"/>
  <c r="D59" i="105"/>
  <c r="H20" i="220"/>
  <c r="I20" i="220" s="1"/>
  <c r="M20" i="229"/>
  <c r="L18" i="209"/>
  <c r="M18" i="209" s="1"/>
  <c r="N18" i="209" s="1"/>
  <c r="M19" i="214"/>
  <c r="F33" i="166"/>
  <c r="J30" i="76"/>
  <c r="J32" i="76" s="1"/>
  <c r="F32" i="76"/>
  <c r="B61" i="111"/>
  <c r="B73" i="111" s="1"/>
  <c r="E29" i="242"/>
  <c r="G29" i="242" s="1"/>
  <c r="E57" i="218"/>
  <c r="E60" i="218" s="1"/>
  <c r="D60" i="218"/>
  <c r="D61" i="218" s="1"/>
  <c r="AN42" i="213"/>
  <c r="L43" i="230"/>
  <c r="U44" i="230"/>
  <c r="R44" i="230"/>
  <c r="V43" i="213"/>
  <c r="C33" i="101"/>
  <c r="D14" i="75"/>
  <c r="E12" i="75"/>
  <c r="E62" i="197"/>
  <c r="E59" i="197"/>
  <c r="A92" i="197"/>
  <c r="E65" i="197"/>
  <c r="E55" i="197"/>
  <c r="E61" i="197"/>
  <c r="E60" i="197"/>
  <c r="E54" i="197"/>
  <c r="E58" i="197"/>
  <c r="E57" i="197"/>
  <c r="E64" i="197"/>
  <c r="E63" i="197"/>
  <c r="E102" i="160"/>
  <c r="E111" i="160"/>
  <c r="E106" i="160"/>
  <c r="E108" i="160"/>
  <c r="E104" i="160"/>
  <c r="E105" i="160"/>
  <c r="E109" i="160"/>
  <c r="A136" i="160"/>
  <c r="E107" i="160"/>
  <c r="E112" i="160"/>
  <c r="E103" i="160"/>
  <c r="C43" i="2"/>
  <c r="D109" i="1"/>
  <c r="D114" i="1" s="1"/>
  <c r="E104" i="1" s="1"/>
  <c r="F43" i="2"/>
  <c r="B47" i="2"/>
  <c r="I22" i="210"/>
  <c r="J33" i="66"/>
  <c r="E22" i="210" s="1"/>
  <c r="M1909" i="184"/>
  <c r="M1943" i="184" s="1"/>
  <c r="F54" i="218"/>
  <c r="AG51" i="218"/>
  <c r="AG53" i="218" s="1"/>
  <c r="AF53" i="218"/>
  <c r="AF54" i="218" s="1"/>
  <c r="O75" i="92"/>
  <c r="B21" i="93"/>
  <c r="R76" i="92"/>
  <c r="R78" i="92" s="1"/>
  <c r="M2280" i="184"/>
  <c r="B65" i="91"/>
  <c r="B68" i="91" s="1"/>
  <c r="D2522" i="184"/>
  <c r="M93" i="78"/>
  <c r="X23" i="72"/>
  <c r="X49" i="72" s="1"/>
  <c r="N22" i="212" s="1"/>
  <c r="O22" i="212" s="1"/>
  <c r="F22" i="212"/>
  <c r="E14" i="222"/>
  <c r="D114" i="80"/>
  <c r="G24" i="210"/>
  <c r="J33" i="56"/>
  <c r="E24" i="210" s="1"/>
  <c r="H44" i="220"/>
  <c r="I44" i="220" s="1"/>
  <c r="L42" i="209"/>
  <c r="M44" i="229"/>
  <c r="M43" i="214"/>
  <c r="E55" i="70"/>
  <c r="Q16" i="218"/>
  <c r="U36" i="213"/>
  <c r="Q37" i="230"/>
  <c r="I93" i="72"/>
  <c r="I2528" i="184" s="1"/>
  <c r="I2268" i="184"/>
  <c r="L11" i="212"/>
  <c r="L47" i="212" s="1"/>
  <c r="L68" i="212" s="1"/>
  <c r="X48" i="13"/>
  <c r="U29" i="230"/>
  <c r="C33" i="106"/>
  <c r="C61" i="106" s="1"/>
  <c r="R29" i="230"/>
  <c r="V28" i="213"/>
  <c r="I31" i="230"/>
  <c r="M30" i="213"/>
  <c r="M48" i="213" s="1"/>
  <c r="M1131" i="184"/>
  <c r="W21" i="162"/>
  <c r="AC43" i="231"/>
  <c r="AK43" i="231" s="1"/>
  <c r="BP27" i="218"/>
  <c r="M85" i="72"/>
  <c r="K43" i="230"/>
  <c r="AM42" i="213"/>
  <c r="B33" i="101"/>
  <c r="D10" i="100"/>
  <c r="D14" i="100" s="1"/>
  <c r="D59" i="100"/>
  <c r="D67" i="100" s="1"/>
  <c r="G15" i="188"/>
  <c r="O18" i="209"/>
  <c r="I48" i="166"/>
  <c r="L20" i="209"/>
  <c r="M20" i="209" s="1"/>
  <c r="N20" i="209" s="1"/>
  <c r="P20" i="209" s="1"/>
  <c r="Q20" i="209" s="1"/>
  <c r="M21" i="214"/>
  <c r="H22" i="220"/>
  <c r="I22" i="220" s="1"/>
  <c r="M22" i="229"/>
  <c r="F33" i="66"/>
  <c r="I100" i="236"/>
  <c r="M100" i="236" s="1"/>
  <c r="M92" i="236"/>
  <c r="I1483" i="184"/>
  <c r="M57" i="102"/>
  <c r="M1483" i="184" s="1"/>
  <c r="I85" i="102"/>
  <c r="D85" i="132"/>
  <c r="D1473" i="184"/>
  <c r="M57" i="132"/>
  <c r="M1473" i="184" s="1"/>
  <c r="C51" i="30"/>
  <c r="D51" i="30"/>
  <c r="D54" i="30" s="1"/>
  <c r="D110" i="29"/>
  <c r="F51" i="30"/>
  <c r="C30" i="233"/>
  <c r="E27" i="233" s="1"/>
  <c r="C15" i="30"/>
  <c r="J23" i="214"/>
  <c r="I22" i="209"/>
  <c r="M22" i="209" s="1"/>
  <c r="N22" i="209" s="1"/>
  <c r="P22" i="209" s="1"/>
  <c r="Q22" i="209" s="1"/>
  <c r="F11" i="217"/>
  <c r="F47" i="217" s="1"/>
  <c r="F63" i="217" s="1"/>
  <c r="E20" i="188"/>
  <c r="F20" i="188" s="1"/>
  <c r="G34" i="56"/>
  <c r="G35" i="56" s="1"/>
  <c r="N24" i="229"/>
  <c r="L24" i="220"/>
  <c r="M24" i="220" s="1"/>
  <c r="I67" i="218"/>
  <c r="I68" i="218" s="1"/>
  <c r="I93" i="97"/>
  <c r="I2521" i="184" s="1"/>
  <c r="I2261" i="184"/>
  <c r="D112" i="180"/>
  <c r="F82" i="181"/>
  <c r="K82" i="181" s="1"/>
  <c r="O82" i="181" s="1"/>
  <c r="O83" i="181" s="1"/>
  <c r="O85" i="181" s="1"/>
  <c r="N48" i="210" s="1"/>
  <c r="N73" i="210" s="1"/>
  <c r="C82" i="181"/>
  <c r="E45" i="235"/>
  <c r="E54" i="235" s="1"/>
  <c r="E68" i="235" s="1"/>
  <c r="E80" i="235" s="1"/>
  <c r="D113" i="238"/>
  <c r="C45" i="235"/>
  <c r="C54" i="235" s="1"/>
  <c r="D113" i="234"/>
  <c r="D114" i="234" s="1"/>
  <c r="E111" i="234" s="1"/>
  <c r="B54" i="235"/>
  <c r="J19" i="106"/>
  <c r="J20" i="106" s="1"/>
  <c r="F20" i="106"/>
  <c r="L28" i="188"/>
  <c r="M28" i="188"/>
  <c r="F1468" i="184"/>
  <c r="F85" i="162"/>
  <c r="M57" i="162"/>
  <c r="F51" i="2"/>
  <c r="F54" i="2" s="1"/>
  <c r="C51" i="2"/>
  <c r="C54" i="2" s="1"/>
  <c r="B54" i="2"/>
  <c r="J1463" i="184"/>
  <c r="J85" i="16"/>
  <c r="F20" i="101"/>
  <c r="J18" i="101"/>
  <c r="J20" i="101" s="1"/>
  <c r="E58" i="65"/>
  <c r="E54" i="65"/>
  <c r="E59" i="65"/>
  <c r="E65" i="65"/>
  <c r="E55" i="65"/>
  <c r="E62" i="65"/>
  <c r="E66" i="65"/>
  <c r="E64" i="65"/>
  <c r="E63" i="65"/>
  <c r="A92" i="65"/>
  <c r="E57" i="65"/>
  <c r="E60" i="65"/>
  <c r="E49" i="218"/>
  <c r="E53" i="218" s="1"/>
  <c r="D53" i="218"/>
  <c r="B49" i="218"/>
  <c r="C49" i="218" s="1"/>
  <c r="L2268" i="184"/>
  <c r="L93" i="72"/>
  <c r="L2528" i="184" s="1"/>
  <c r="I51" i="213"/>
  <c r="I55" i="213"/>
  <c r="G31" i="212"/>
  <c r="X23" i="107"/>
  <c r="X49" i="107" s="1"/>
  <c r="N31" i="212" s="1"/>
  <c r="G2245" i="184"/>
  <c r="G93" i="13"/>
  <c r="G2505" i="184" s="1"/>
  <c r="I1160" i="184"/>
  <c r="J24" i="220"/>
  <c r="K24" i="220" s="1"/>
  <c r="F61" i="56"/>
  <c r="F73" i="56" s="1"/>
  <c r="F74" i="56" s="1"/>
  <c r="D13" i="221" s="1"/>
  <c r="E109" i="110"/>
  <c r="A136" i="110"/>
  <c r="E102" i="110"/>
  <c r="E108" i="110"/>
  <c r="E110" i="110"/>
  <c r="E106" i="110"/>
  <c r="E105" i="110"/>
  <c r="E107" i="110"/>
  <c r="E112" i="110"/>
  <c r="E104" i="110"/>
  <c r="E103" i="110"/>
  <c r="I47" i="231"/>
  <c r="AG11" i="231"/>
  <c r="E64" i="70"/>
  <c r="D2528" i="184"/>
  <c r="G33" i="187"/>
  <c r="G49" i="187" s="1"/>
  <c r="G52" i="187" s="1"/>
  <c r="G73" i="187" s="1"/>
  <c r="D57" i="29"/>
  <c r="C13" i="30"/>
  <c r="F13" i="30"/>
  <c r="J13" i="30" s="1"/>
  <c r="M197" i="184"/>
  <c r="F16" i="218"/>
  <c r="E1489" i="184"/>
  <c r="E85" i="52"/>
  <c r="L39" i="166"/>
  <c r="L47" i="166" s="1"/>
  <c r="L49" i="166" s="1"/>
  <c r="K20" i="210" s="1"/>
  <c r="K47" i="166"/>
  <c r="K49" i="166" s="1"/>
  <c r="J20" i="210" s="1"/>
  <c r="B61" i="198"/>
  <c r="E26" i="242"/>
  <c r="G26" i="242" s="1"/>
  <c r="D112" i="1"/>
  <c r="F46" i="2"/>
  <c r="K46" i="2" s="1"/>
  <c r="O46" i="2" s="1"/>
  <c r="O47" i="2" s="1"/>
  <c r="O49" i="2" s="1"/>
  <c r="N30" i="210" s="1"/>
  <c r="C46" i="2"/>
  <c r="F30" i="212"/>
  <c r="X23" i="203"/>
  <c r="X49" i="203" s="1"/>
  <c r="N30" i="212" s="1"/>
  <c r="E107" i="75"/>
  <c r="L2265" i="184"/>
  <c r="L93" i="82"/>
  <c r="L2525" i="184" s="1"/>
  <c r="J64" i="181"/>
  <c r="P48" i="220"/>
  <c r="K55" i="213"/>
  <c r="K51" i="213"/>
  <c r="AM54" i="218"/>
  <c r="J31" i="209"/>
  <c r="M31" i="209" s="1"/>
  <c r="N31" i="209" s="1"/>
  <c r="F33" i="91"/>
  <c r="K32" i="214"/>
  <c r="K51" i="214" s="1"/>
  <c r="J33" i="229"/>
  <c r="AL67" i="218"/>
  <c r="AL68" i="218" s="1"/>
  <c r="F44" i="91"/>
  <c r="F47" i="91" s="1"/>
  <c r="O31" i="209" s="1"/>
  <c r="D100" i="240"/>
  <c r="M92" i="240"/>
  <c r="V77" i="31"/>
  <c r="E11" i="192"/>
  <c r="E102" i="80"/>
  <c r="E107" i="80"/>
  <c r="E105" i="80"/>
  <c r="E110" i="80"/>
  <c r="E109" i="80"/>
  <c r="E106" i="80"/>
  <c r="A136" i="80"/>
  <c r="E103" i="80"/>
  <c r="E108" i="80"/>
  <c r="E104" i="80"/>
  <c r="I48" i="91"/>
  <c r="F61" i="91"/>
  <c r="D43" i="192"/>
  <c r="D47" i="192" s="1"/>
  <c r="L40" i="230"/>
  <c r="AN39" i="213"/>
  <c r="BD54" i="218"/>
  <c r="BD67" i="218"/>
  <c r="R30" i="240"/>
  <c r="C38" i="239"/>
  <c r="L120" i="191"/>
  <c r="M120" i="191" s="1"/>
  <c r="M103" i="191"/>
  <c r="E103" i="234"/>
  <c r="E106" i="234"/>
  <c r="A136" i="234"/>
  <c r="E105" i="234"/>
  <c r="E113" i="234"/>
  <c r="E110" i="234"/>
  <c r="E104" i="234"/>
  <c r="E109" i="234"/>
  <c r="E107" i="234"/>
  <c r="E108" i="234"/>
  <c r="E102" i="234"/>
  <c r="W61" i="218"/>
  <c r="C61" i="61"/>
  <c r="J14" i="30"/>
  <c r="G14" i="30"/>
  <c r="F15" i="30"/>
  <c r="D51" i="219"/>
  <c r="K40" i="151"/>
  <c r="I46" i="151"/>
  <c r="L11" i="213" s="1"/>
  <c r="F47" i="151"/>
  <c r="M14" i="213"/>
  <c r="I15" i="230"/>
  <c r="F18" i="81"/>
  <c r="C18" i="81"/>
  <c r="C20" i="81" s="1"/>
  <c r="B20" i="81"/>
  <c r="C14" i="218"/>
  <c r="B15" i="218"/>
  <c r="B18" i="46"/>
  <c r="M651" i="184"/>
  <c r="M677" i="184" s="1"/>
  <c r="P17" i="231"/>
  <c r="Q28" i="230"/>
  <c r="U27" i="213"/>
  <c r="C33" i="176"/>
  <c r="C61" i="176" s="1"/>
  <c r="BU66" i="218"/>
  <c r="H1477" i="184"/>
  <c r="H85" i="97"/>
  <c r="M57" i="97"/>
  <c r="H85" i="152"/>
  <c r="H1462" i="184"/>
  <c r="L19" i="191"/>
  <c r="M19" i="191" s="1"/>
  <c r="X68" i="67"/>
  <c r="C54" i="181"/>
  <c r="C56" i="181" s="1"/>
  <c r="B56" i="181"/>
  <c r="F54" i="181"/>
  <c r="J54" i="181" s="1"/>
  <c r="E25" i="231"/>
  <c r="M248" i="184"/>
  <c r="M270" i="184" s="1"/>
  <c r="P105" i="87"/>
  <c r="G59" i="87" s="1"/>
  <c r="H49" i="187"/>
  <c r="H52" i="187" s="1"/>
  <c r="H73" i="187" s="1"/>
  <c r="L16" i="209"/>
  <c r="M16" i="209" s="1"/>
  <c r="N16" i="209" s="1"/>
  <c r="P16" i="209" s="1"/>
  <c r="Q16" i="209" s="1"/>
  <c r="M17" i="214"/>
  <c r="M18" i="229"/>
  <c r="H18" i="220"/>
  <c r="I18" i="220" s="1"/>
  <c r="F33" i="131"/>
  <c r="L9" i="188"/>
  <c r="M9" i="188"/>
  <c r="C250" i="233"/>
  <c r="C271" i="233" s="1"/>
  <c r="BV16" i="218"/>
  <c r="H1134" i="184"/>
  <c r="H1160" i="184" s="1"/>
  <c r="H57" i="47"/>
  <c r="M44" i="47"/>
  <c r="R30" i="31"/>
  <c r="E106" i="1"/>
  <c r="E105" i="1"/>
  <c r="E103" i="1"/>
  <c r="E111" i="1"/>
  <c r="E112" i="1"/>
  <c r="E107" i="1"/>
  <c r="E109" i="1"/>
  <c r="A136" i="1"/>
  <c r="E110" i="1"/>
  <c r="E102" i="1"/>
  <c r="E108" i="1"/>
  <c r="J85" i="82"/>
  <c r="J1481" i="184"/>
  <c r="J1497" i="184" s="1"/>
  <c r="M57" i="16"/>
  <c r="E1463" i="184"/>
  <c r="E85" i="16"/>
  <c r="J37" i="30"/>
  <c r="AC15" i="209"/>
  <c r="AC47" i="209" s="1"/>
  <c r="L32" i="188"/>
  <c r="M32" i="188"/>
  <c r="G11" i="176"/>
  <c r="J11" i="176"/>
  <c r="J15" i="176" s="1"/>
  <c r="F15" i="176"/>
  <c r="F33" i="176" s="1"/>
  <c r="AC27" i="231"/>
  <c r="AK27" i="231" s="1"/>
  <c r="M1140" i="184"/>
  <c r="W21" i="97"/>
  <c r="AN27" i="218"/>
  <c r="F100" i="240"/>
  <c r="D72" i="239"/>
  <c r="D75" i="239" s="1"/>
  <c r="D78" i="239" s="1"/>
  <c r="L311" i="191"/>
  <c r="V70" i="26"/>
  <c r="E26" i="192"/>
  <c r="D51" i="239"/>
  <c r="D54" i="239" s="1"/>
  <c r="D68" i="239" s="1"/>
  <c r="C51" i="239"/>
  <c r="C93" i="181"/>
  <c r="C95" i="181" s="1"/>
  <c r="B95" i="181"/>
  <c r="F93" i="181"/>
  <c r="F95" i="181" s="1"/>
  <c r="M1488" i="184"/>
  <c r="BD40" i="218"/>
  <c r="F18" i="30"/>
  <c r="C18" i="30"/>
  <c r="B20" i="30"/>
  <c r="B39" i="30" s="1"/>
  <c r="F38" i="239"/>
  <c r="J33" i="239"/>
  <c r="J38" i="239" s="1"/>
  <c r="K46" i="171"/>
  <c r="O46" i="171" s="1"/>
  <c r="O47" i="171" s="1"/>
  <c r="O49" i="171" s="1"/>
  <c r="N26" i="210" s="1"/>
  <c r="I46" i="171"/>
  <c r="L25" i="213" s="1"/>
  <c r="M1152" i="184"/>
  <c r="W21" i="52"/>
  <c r="AC18" i="231"/>
  <c r="AK18" i="231" s="1"/>
  <c r="C48" i="30"/>
  <c r="F48" i="30"/>
  <c r="D107" i="29"/>
  <c r="I18" i="210"/>
  <c r="J33" i="131"/>
  <c r="E18" i="210" s="1"/>
  <c r="D1461" i="184"/>
  <c r="D85" i="13"/>
  <c r="M57" i="13"/>
  <c r="J18" i="239"/>
  <c r="I11" i="235"/>
  <c r="I14" i="235"/>
  <c r="AH24" i="231"/>
  <c r="D250" i="233"/>
  <c r="BW16" i="218"/>
  <c r="O53" i="235"/>
  <c r="O54" i="235" s="1"/>
  <c r="O56" i="235" s="1"/>
  <c r="K54" i="235"/>
  <c r="K56" i="235" s="1"/>
  <c r="E107" i="95"/>
  <c r="A136" i="95"/>
  <c r="E106" i="95"/>
  <c r="E110" i="95"/>
  <c r="E111" i="95"/>
  <c r="E108" i="95"/>
  <c r="E102" i="95"/>
  <c r="E109" i="95"/>
  <c r="E104" i="95"/>
  <c r="E112" i="95"/>
  <c r="E103" i="95"/>
  <c r="M199" i="184"/>
  <c r="H16" i="218"/>
  <c r="D67" i="175"/>
  <c r="E55" i="175" s="1"/>
  <c r="D110" i="180"/>
  <c r="C80" i="181"/>
  <c r="D80" i="181"/>
  <c r="D83" i="181" s="1"/>
  <c r="O23" i="212"/>
  <c r="M44" i="240"/>
  <c r="W21" i="240" s="1"/>
  <c r="L314" i="191"/>
  <c r="E30" i="192"/>
  <c r="V70" i="42"/>
  <c r="BK66" i="218"/>
  <c r="F2272" i="184"/>
  <c r="D65" i="136"/>
  <c r="D68" i="136" s="1"/>
  <c r="D71" i="136" s="1"/>
  <c r="F93" i="137"/>
  <c r="M85" i="137"/>
  <c r="E9" i="192"/>
  <c r="V70" i="162"/>
  <c r="L313" i="191"/>
  <c r="E59" i="238"/>
  <c r="E63" i="238"/>
  <c r="E58" i="238"/>
  <c r="A92" i="238"/>
  <c r="E62" i="238"/>
  <c r="E66" i="238"/>
  <c r="E65" i="238"/>
  <c r="E64" i="238"/>
  <c r="E57" i="238"/>
  <c r="E54" i="238"/>
  <c r="E60" i="238"/>
  <c r="E61" i="238"/>
  <c r="L1461" i="184"/>
  <c r="L85" i="13"/>
  <c r="E59" i="130"/>
  <c r="E64" i="130"/>
  <c r="E65" i="130"/>
  <c r="E58" i="130"/>
  <c r="E57" i="130"/>
  <c r="E55" i="130"/>
  <c r="E63" i="130"/>
  <c r="E61" i="130"/>
  <c r="E62" i="130"/>
  <c r="E60" i="130"/>
  <c r="A92" i="130"/>
  <c r="E54" i="130"/>
  <c r="M57" i="52"/>
  <c r="M1489" i="184" s="1"/>
  <c r="H85" i="52"/>
  <c r="H1489" i="184"/>
  <c r="D85" i="172"/>
  <c r="D1485" i="184"/>
  <c r="C61" i="30"/>
  <c r="F231" i="191"/>
  <c r="G231" i="191" s="1"/>
  <c r="F66" i="239"/>
  <c r="F19" i="2"/>
  <c r="C19" i="2"/>
  <c r="C20" i="2" s="1"/>
  <c r="B20" i="2"/>
  <c r="K46" i="30"/>
  <c r="L46" i="30" s="1"/>
  <c r="I46" i="30"/>
  <c r="F75" i="223"/>
  <c r="F78" i="223" s="1"/>
  <c r="F80" i="223" s="1"/>
  <c r="F81" i="223" s="1"/>
  <c r="D48" i="221" s="1"/>
  <c r="B78" i="223"/>
  <c r="B80" i="223" s="1"/>
  <c r="I46" i="136"/>
  <c r="L18" i="213" s="1"/>
  <c r="D1465" i="184"/>
  <c r="D85" i="21"/>
  <c r="M57" i="21"/>
  <c r="M34" i="213"/>
  <c r="I35" i="230"/>
  <c r="I47" i="187"/>
  <c r="E49" i="187"/>
  <c r="E52" i="187" s="1"/>
  <c r="E73" i="187" s="1"/>
  <c r="M2689" i="184"/>
  <c r="M231" i="191"/>
  <c r="F19" i="239"/>
  <c r="J19" i="239" s="1"/>
  <c r="C19" i="239"/>
  <c r="C20" i="239" s="1"/>
  <c r="D73" i="136"/>
  <c r="F379" i="191"/>
  <c r="C47" i="81"/>
  <c r="AE54" i="218" s="1"/>
  <c r="M219" i="184"/>
  <c r="BT16" i="218"/>
  <c r="F66" i="30"/>
  <c r="W31" i="240"/>
  <c r="F61" i="30"/>
  <c r="W21" i="82"/>
  <c r="AC24" i="231"/>
  <c r="AK24" i="231" s="1"/>
  <c r="M1144" i="184"/>
  <c r="D65" i="29"/>
  <c r="C36" i="30"/>
  <c r="C38" i="30" s="1"/>
  <c r="D36" i="30"/>
  <c r="D38" i="30" s="1"/>
  <c r="D39" i="30" s="1"/>
  <c r="D68" i="30" s="1"/>
  <c r="E112" i="234"/>
  <c r="E106" i="24"/>
  <c r="E104" i="24"/>
  <c r="E105" i="24"/>
  <c r="E102" i="24"/>
  <c r="E111" i="24"/>
  <c r="E109" i="24"/>
  <c r="A136" i="24"/>
  <c r="E107" i="24"/>
  <c r="E103" i="24"/>
  <c r="E108" i="24"/>
  <c r="E112" i="24"/>
  <c r="V70" i="137"/>
  <c r="E13" i="192"/>
  <c r="L333" i="191"/>
  <c r="F50" i="239"/>
  <c r="K50" i="239" s="1"/>
  <c r="M50" i="239" s="1"/>
  <c r="M54" i="239" s="1"/>
  <c r="M56" i="239" s="1"/>
  <c r="C50" i="239"/>
  <c r="F47" i="136"/>
  <c r="D231" i="184"/>
  <c r="AA27" i="218"/>
  <c r="AA39" i="218"/>
  <c r="D83" i="233"/>
  <c r="D86" i="233" s="1"/>
  <c r="C78" i="181"/>
  <c r="D108" i="180"/>
  <c r="B83" i="181"/>
  <c r="F78" i="181"/>
  <c r="K78" i="181" s="1"/>
  <c r="N78" i="181" s="1"/>
  <c r="N83" i="181" s="1"/>
  <c r="N85" i="181" s="1"/>
  <c r="M48" i="210" s="1"/>
  <c r="M73" i="210" s="1"/>
  <c r="G7" i="188"/>
  <c r="O11" i="209"/>
  <c r="F61" i="96"/>
  <c r="I48" i="96"/>
  <c r="M203" i="191"/>
  <c r="C15" i="239"/>
  <c r="L46" i="191"/>
  <c r="M44" i="172"/>
  <c r="F57" i="172"/>
  <c r="M57" i="172" s="1"/>
  <c r="F1148" i="184"/>
  <c r="F1160" i="184" s="1"/>
  <c r="K15" i="209"/>
  <c r="K47" i="209" s="1"/>
  <c r="J23" i="30"/>
  <c r="H93" i="167"/>
  <c r="H2256" i="184"/>
  <c r="I48" i="81"/>
  <c r="G21" i="188"/>
  <c r="O23" i="209"/>
  <c r="AI24" i="231"/>
  <c r="Q47" i="231"/>
  <c r="Q68" i="231" s="1"/>
  <c r="X39" i="31"/>
  <c r="K42" i="106"/>
  <c r="F47" i="106"/>
  <c r="I46" i="106"/>
  <c r="L28" i="213" s="1"/>
  <c r="L57" i="213" s="1"/>
  <c r="A92" i="234"/>
  <c r="E62" i="234"/>
  <c r="E58" i="234"/>
  <c r="E54" i="234"/>
  <c r="E66" i="234"/>
  <c r="E63" i="234"/>
  <c r="E59" i="234"/>
  <c r="E64" i="234"/>
  <c r="E57" i="234"/>
  <c r="E61" i="234"/>
  <c r="E65" i="234"/>
  <c r="K45" i="81"/>
  <c r="I46" i="81"/>
  <c r="L24" i="213" s="1"/>
  <c r="X48" i="240"/>
  <c r="J35" i="30"/>
  <c r="H2265" i="184"/>
  <c r="H93" i="82"/>
  <c r="H2525" i="184" s="1"/>
  <c r="L309" i="191"/>
  <c r="V70" i="36"/>
  <c r="AB78" i="240"/>
  <c r="AB79" i="240" s="1"/>
  <c r="J50" i="221" s="1"/>
  <c r="F50" i="30"/>
  <c r="C50" i="30"/>
  <c r="D109" i="29"/>
  <c r="F46" i="191"/>
  <c r="G46" i="191" s="1"/>
  <c r="AJ11" i="231"/>
  <c r="AB47" i="231"/>
  <c r="AB68" i="231" s="1"/>
  <c r="E44" i="239"/>
  <c r="E54" i="239" s="1"/>
  <c r="E68" i="239" s="1"/>
  <c r="E80" i="239" s="1"/>
  <c r="C44" i="239"/>
  <c r="R89" i="224"/>
  <c r="B25" i="225"/>
  <c r="M40" i="136"/>
  <c r="M47" i="136" s="1"/>
  <c r="M49" i="136" s="1"/>
  <c r="L19" i="210" s="1"/>
  <c r="K47" i="136"/>
  <c r="K49" i="136" s="1"/>
  <c r="J19" i="210" s="1"/>
  <c r="BL61" i="218"/>
  <c r="BL67" i="218"/>
  <c r="AH37" i="231"/>
  <c r="AK37" i="231"/>
  <c r="F43" i="239"/>
  <c r="K43" i="239" s="1"/>
  <c r="L43" i="239" s="1"/>
  <c r="C43" i="239"/>
  <c r="F19" i="30"/>
  <c r="J19" i="30" s="1"/>
  <c r="C19" i="30"/>
  <c r="D114" i="135"/>
  <c r="E112" i="135" s="1"/>
  <c r="B39" i="239"/>
  <c r="M83" i="191"/>
  <c r="N42" i="91"/>
  <c r="N47" i="91" s="1"/>
  <c r="N49" i="91" s="1"/>
  <c r="M33" i="210" s="1"/>
  <c r="K47" i="91"/>
  <c r="K49" i="91" s="1"/>
  <c r="J33" i="210" s="1"/>
  <c r="V70" i="112"/>
  <c r="L336" i="191"/>
  <c r="E35" i="192"/>
  <c r="AB45" i="231"/>
  <c r="M1110" i="184"/>
  <c r="M1122" i="184" s="1"/>
  <c r="B19" i="171"/>
  <c r="W47" i="31"/>
  <c r="X48" i="31" s="1"/>
  <c r="C50" i="218"/>
  <c r="F2525" i="184"/>
  <c r="AC44" i="231"/>
  <c r="AK44" i="231" s="1"/>
  <c r="W21" i="167"/>
  <c r="M1135" i="184"/>
  <c r="D114" i="105"/>
  <c r="E108" i="105"/>
  <c r="G166" i="191"/>
  <c r="F194" i="191"/>
  <c r="G194" i="191" s="1"/>
  <c r="B61" i="15"/>
  <c r="E9" i="242"/>
  <c r="G9" i="242" s="1"/>
  <c r="E111" i="80"/>
  <c r="D9" i="29"/>
  <c r="G1481" i="184"/>
  <c r="G1497" i="184" s="1"/>
  <c r="G85" i="82"/>
  <c r="M57" i="82"/>
  <c r="M1481" i="184" s="1"/>
  <c r="BK54" i="218"/>
  <c r="C61" i="151"/>
  <c r="C29" i="235"/>
  <c r="C39" i="235" s="1"/>
  <c r="C68" i="235" s="1"/>
  <c r="F29" i="235"/>
  <c r="F39" i="235" s="1"/>
  <c r="D13" i="238"/>
  <c r="D67" i="238"/>
  <c r="D67" i="234"/>
  <c r="D13" i="234"/>
  <c r="B39" i="235"/>
  <c r="B68" i="235" s="1"/>
  <c r="F42" i="239"/>
  <c r="B54" i="239"/>
  <c r="C42" i="239"/>
  <c r="M57" i="152"/>
  <c r="M1462" i="184" s="1"/>
  <c r="D103" i="29"/>
  <c r="F43" i="30"/>
  <c r="C43" i="30"/>
  <c r="B54" i="30"/>
  <c r="L1462" i="184"/>
  <c r="L85" i="152"/>
  <c r="B20" i="136"/>
  <c r="F18" i="136"/>
  <c r="C18" i="136"/>
  <c r="C20" i="136" s="1"/>
  <c r="M44" i="31"/>
  <c r="D63" i="31"/>
  <c r="D92" i="31" s="1"/>
  <c r="I48" i="25"/>
  <c r="O30" i="209"/>
  <c r="G29" i="188"/>
  <c r="L39" i="96"/>
  <c r="L47" i="96" s="1"/>
  <c r="L49" i="96" s="1"/>
  <c r="K13" i="210" s="1"/>
  <c r="K47" i="96"/>
  <c r="K49" i="96" s="1"/>
  <c r="J13" i="210" s="1"/>
  <c r="F15" i="239"/>
  <c r="G11" i="239"/>
  <c r="J10" i="239"/>
  <c r="BS67" i="218"/>
  <c r="BS68" i="218" s="1"/>
  <c r="I93" i="82"/>
  <c r="I2525" i="184" s="1"/>
  <c r="I2265" i="184"/>
  <c r="B65" i="218"/>
  <c r="B66" i="218" s="1"/>
  <c r="C63" i="218"/>
  <c r="C65" i="218" s="1"/>
  <c r="M262" i="191"/>
  <c r="L268" i="191"/>
  <c r="M268" i="191" s="1"/>
  <c r="K40" i="230"/>
  <c r="AM39" i="213"/>
  <c r="AC40" i="231"/>
  <c r="AK40" i="231" s="1"/>
  <c r="W21" i="152"/>
  <c r="M1125" i="184"/>
  <c r="I1472" i="184"/>
  <c r="I85" i="167"/>
  <c r="M85" i="167" s="1"/>
  <c r="G14" i="239"/>
  <c r="G40" i="239" s="1"/>
  <c r="J13" i="239"/>
  <c r="M2675" i="184"/>
  <c r="AS54" i="218"/>
  <c r="V70" i="62"/>
  <c r="L325" i="191"/>
  <c r="E32" i="192"/>
  <c r="F100" i="31"/>
  <c r="D72" i="30"/>
  <c r="D75" i="30" s="1"/>
  <c r="D78" i="30" s="1"/>
  <c r="E12" i="14"/>
  <c r="D14" i="14"/>
  <c r="E6" i="192"/>
  <c r="L307" i="191"/>
  <c r="V70" i="152"/>
  <c r="AC11" i="231"/>
  <c r="AK11" i="231" s="1"/>
  <c r="W21" i="13"/>
  <c r="M1124" i="184"/>
  <c r="D27" i="218"/>
  <c r="D114" i="150"/>
  <c r="E106" i="150"/>
  <c r="E112" i="80"/>
  <c r="D65" i="151"/>
  <c r="D68" i="151" s="1"/>
  <c r="D71" i="151" s="1"/>
  <c r="D73" i="151" s="1"/>
  <c r="F93" i="152"/>
  <c r="F2246" i="184"/>
  <c r="K48" i="239"/>
  <c r="N48" i="239" s="1"/>
  <c r="N54" i="239" s="1"/>
  <c r="N56" i="239" s="1"/>
  <c r="I48" i="239"/>
  <c r="D9" i="175"/>
  <c r="D43" i="242"/>
  <c r="B33" i="176"/>
  <c r="D114" i="90"/>
  <c r="F157" i="191"/>
  <c r="G157" i="191" s="1"/>
  <c r="M63" i="240"/>
  <c r="C240" i="233"/>
  <c r="E237" i="233" s="1"/>
  <c r="Z67" i="218"/>
  <c r="Z40" i="218"/>
  <c r="J80" i="218"/>
  <c r="C86" i="233"/>
  <c r="E83" i="233" s="1"/>
  <c r="H80" i="218"/>
  <c r="E19" i="233"/>
  <c r="E23" i="233"/>
  <c r="E22" i="233"/>
  <c r="E21" i="233"/>
  <c r="BR40" i="218"/>
  <c r="BR67" i="218"/>
  <c r="Y67" i="218"/>
  <c r="Y68" i="218" s="1"/>
  <c r="Y40" i="218"/>
  <c r="F68" i="181"/>
  <c r="J65" i="181"/>
  <c r="M71" i="191"/>
  <c r="D68" i="181"/>
  <c r="L330" i="191"/>
  <c r="V70" i="172"/>
  <c r="E20" i="192"/>
  <c r="I82" i="181"/>
  <c r="L47" i="213" s="1"/>
  <c r="I48" i="171"/>
  <c r="O24" i="209"/>
  <c r="G23" i="188"/>
  <c r="BT61" i="218"/>
  <c r="BT67" i="218"/>
  <c r="F55" i="181"/>
  <c r="D56" i="181"/>
  <c r="M46" i="191"/>
  <c r="L39" i="171"/>
  <c r="L47" i="171" s="1"/>
  <c r="L49" i="171" s="1"/>
  <c r="K26" i="210" s="1"/>
  <c r="K47" i="171"/>
  <c r="K49" i="171" s="1"/>
  <c r="J26" i="210" s="1"/>
  <c r="L72" i="181"/>
  <c r="L83" i="181" s="1"/>
  <c r="L85" i="181" s="1"/>
  <c r="K48" i="210" s="1"/>
  <c r="K73" i="210" s="1"/>
  <c r="M34" i="191"/>
  <c r="B60" i="218"/>
  <c r="C56" i="218"/>
  <c r="N2696" i="184"/>
  <c r="G47" i="181"/>
  <c r="F51" i="181"/>
  <c r="J46" i="181"/>
  <c r="J51" i="181" s="1"/>
  <c r="B132" i="181"/>
  <c r="D12" i="180"/>
  <c r="C86" i="181"/>
  <c r="C90" i="181" s="1"/>
  <c r="F86" i="181"/>
  <c r="F90" i="181" s="1"/>
  <c r="B90" i="181"/>
  <c r="E111" i="170"/>
  <c r="E108" i="170"/>
  <c r="E104" i="170"/>
  <c r="A136" i="170"/>
  <c r="E110" i="170"/>
  <c r="E107" i="170"/>
  <c r="E106" i="170"/>
  <c r="E109" i="170"/>
  <c r="E103" i="170"/>
  <c r="E112" i="170"/>
  <c r="E102" i="170"/>
  <c r="F55" i="217"/>
  <c r="G70" i="181"/>
  <c r="J75" i="214"/>
  <c r="N66" i="229"/>
  <c r="J47" i="214"/>
  <c r="N49" i="229"/>
  <c r="N71" i="229" s="1"/>
  <c r="N74" i="229" s="1"/>
  <c r="L48" i="220"/>
  <c r="E46" i="216"/>
  <c r="C93" i="233"/>
  <c r="E90" i="233" s="1"/>
  <c r="AW40" i="218"/>
  <c r="AW67" i="218"/>
  <c r="AW68" i="218" s="1"/>
  <c r="BA67" i="218"/>
  <c r="BA68" i="218" s="1"/>
  <c r="BA40" i="218"/>
  <c r="BJ67" i="218"/>
  <c r="BF68" i="218"/>
  <c r="BF80" i="218"/>
  <c r="E187" i="233"/>
  <c r="E191" i="233"/>
  <c r="E189" i="233"/>
  <c r="E190" i="233"/>
  <c r="E12" i="233"/>
  <c r="E15" i="233"/>
  <c r="E16" i="233"/>
  <c r="E14" i="233"/>
  <c r="V68" i="218"/>
  <c r="V80" i="218"/>
  <c r="V81" i="218" s="1"/>
  <c r="C212" i="233"/>
  <c r="E209" i="233" s="1"/>
  <c r="BP80" i="218"/>
  <c r="C205" i="233"/>
  <c r="E202" i="233" s="1"/>
  <c r="E197" i="233"/>
  <c r="E198" i="233"/>
  <c r="E196" i="233"/>
  <c r="E194" i="233"/>
  <c r="BV67" i="218"/>
  <c r="BV40" i="218"/>
  <c r="S67" i="218"/>
  <c r="S68" i="218" s="1"/>
  <c r="S40" i="218"/>
  <c r="F80" i="218"/>
  <c r="C254" i="233"/>
  <c r="AJ80" i="218"/>
  <c r="AJ81" i="218" s="1"/>
  <c r="AJ68" i="218"/>
  <c r="C177" i="233"/>
  <c r="E174" i="233" s="1"/>
  <c r="E120" i="233"/>
  <c r="E119" i="233"/>
  <c r="E117" i="233"/>
  <c r="E121" i="233"/>
  <c r="BB67" i="218"/>
  <c r="AU40" i="218"/>
  <c r="AU67" i="218"/>
  <c r="AU68" i="218" s="1"/>
  <c r="BH67" i="218"/>
  <c r="BH40" i="218"/>
  <c r="P67" i="218"/>
  <c r="AV40" i="218"/>
  <c r="AV67" i="218"/>
  <c r="C58" i="233"/>
  <c r="E55" i="233" s="1"/>
  <c r="N80" i="218"/>
  <c r="N81" i="218" s="1"/>
  <c r="N68" i="218"/>
  <c r="AT68" i="218"/>
  <c r="AT80" i="218"/>
  <c r="AT81" i="218" s="1"/>
  <c r="E42" i="233"/>
  <c r="E44" i="233"/>
  <c r="E43" i="233"/>
  <c r="E40" i="233"/>
  <c r="E154" i="233"/>
  <c r="E155" i="233"/>
  <c r="E152" i="233"/>
  <c r="E156" i="233"/>
  <c r="C51" i="233"/>
  <c r="C163" i="233"/>
  <c r="E160" i="233" s="1"/>
  <c r="E5" i="233"/>
  <c r="E9" i="233"/>
  <c r="E8" i="233"/>
  <c r="E7" i="233"/>
  <c r="E170" i="233"/>
  <c r="E169" i="233"/>
  <c r="E166" i="233"/>
  <c r="E168" i="233"/>
  <c r="C184" i="233"/>
  <c r="E181" i="233" s="1"/>
  <c r="AS67" i="218"/>
  <c r="E153" i="233"/>
  <c r="T67" i="218"/>
  <c r="T40" i="218"/>
  <c r="C100" i="233"/>
  <c r="E97" i="233" s="1"/>
  <c r="AK67" i="218"/>
  <c r="AK68" i="218" s="1"/>
  <c r="AK40" i="218"/>
  <c r="R40" i="218"/>
  <c r="R67" i="218"/>
  <c r="C114" i="233"/>
  <c r="E111" i="233" s="1"/>
  <c r="E134" i="233"/>
  <c r="AB67" i="218"/>
  <c r="AB40" i="218"/>
  <c r="AH40" i="218"/>
  <c r="AH67" i="218"/>
  <c r="E126" i="233"/>
  <c r="E127" i="233"/>
  <c r="E128" i="233"/>
  <c r="E124" i="233"/>
  <c r="E229" i="233"/>
  <c r="E233" i="233"/>
  <c r="E231" i="233"/>
  <c r="E232" i="233"/>
  <c r="AD67" i="218"/>
  <c r="AD40" i="218"/>
  <c r="E224" i="233"/>
  <c r="E226" i="233"/>
  <c r="E225" i="233"/>
  <c r="E222" i="233"/>
  <c r="E68" i="233"/>
  <c r="E70" i="233"/>
  <c r="E71" i="233"/>
  <c r="E72" i="233"/>
  <c r="B26" i="218"/>
  <c r="AI39" i="218" l="1"/>
  <c r="AI40" i="218" s="1"/>
  <c r="E145" i="233"/>
  <c r="E149" i="233"/>
  <c r="X68" i="218"/>
  <c r="E133" i="233"/>
  <c r="E135" i="233"/>
  <c r="Q48" i="220"/>
  <c r="BC27" i="218"/>
  <c r="O47" i="214"/>
  <c r="O80" i="214" s="1"/>
  <c r="O83" i="214" s="1"/>
  <c r="D131" i="233"/>
  <c r="AO16" i="218"/>
  <c r="P47" i="214"/>
  <c r="G49" i="229"/>
  <c r="G71" i="229" s="1"/>
  <c r="G74" i="229" s="1"/>
  <c r="D104" i="233"/>
  <c r="D107" i="233" s="1"/>
  <c r="AO39" i="218"/>
  <c r="M48" i="220"/>
  <c r="H47" i="229"/>
  <c r="O48" i="220"/>
  <c r="G47" i="229"/>
  <c r="D128" i="233"/>
  <c r="AG27" i="218"/>
  <c r="C60" i="218"/>
  <c r="BC39" i="218"/>
  <c r="BC67" i="218" s="1"/>
  <c r="BC68" i="218" s="1"/>
  <c r="G73" i="220"/>
  <c r="AQ16" i="218"/>
  <c r="D202" i="233"/>
  <c r="BW39" i="218"/>
  <c r="BW67" i="218" s="1"/>
  <c r="BW68" i="218" s="1"/>
  <c r="BI39" i="218"/>
  <c r="AI67" i="218"/>
  <c r="AI68" i="218" s="1"/>
  <c r="E75" i="233"/>
  <c r="D23" i="233"/>
  <c r="AZ40" i="218"/>
  <c r="BN68" i="218"/>
  <c r="E79" i="233"/>
  <c r="D188" i="233"/>
  <c r="D191" i="233" s="1"/>
  <c r="E77" i="233"/>
  <c r="D139" i="233"/>
  <c r="D142" i="233" s="1"/>
  <c r="D111" i="233"/>
  <c r="D244" i="233"/>
  <c r="E78" i="233"/>
  <c r="J82" i="213"/>
  <c r="J87" i="213" s="1"/>
  <c r="E148" i="233"/>
  <c r="C272" i="233"/>
  <c r="C275" i="233" s="1"/>
  <c r="E147" i="233"/>
  <c r="D132" i="233"/>
  <c r="D135" i="233" s="1"/>
  <c r="AO27" i="218"/>
  <c r="B16" i="218"/>
  <c r="O26" i="218"/>
  <c r="D41" i="233" s="1"/>
  <c r="D44" i="233" s="1"/>
  <c r="E131" i="233"/>
  <c r="AQ39" i="218"/>
  <c r="AQ67" i="218" s="1"/>
  <c r="BU16" i="218"/>
  <c r="D243" i="233"/>
  <c r="BU39" i="218"/>
  <c r="BU67" i="218" s="1"/>
  <c r="D114" i="233"/>
  <c r="BQ26" i="218"/>
  <c r="BQ27" i="218" s="1"/>
  <c r="BK27" i="218"/>
  <c r="D62" i="233"/>
  <c r="D40" i="233"/>
  <c r="O16" i="218"/>
  <c r="H49" i="229"/>
  <c r="D61" i="233"/>
  <c r="D167" i="233"/>
  <c r="AM27" i="218"/>
  <c r="J33" i="91"/>
  <c r="E33" i="210" s="1"/>
  <c r="AM39" i="218"/>
  <c r="W27" i="218"/>
  <c r="D93" i="233"/>
  <c r="AS40" i="218"/>
  <c r="D195" i="233"/>
  <c r="D198" i="233" s="1"/>
  <c r="BG27" i="218"/>
  <c r="BG39" i="218"/>
  <c r="W39" i="218"/>
  <c r="D72" i="233"/>
  <c r="D205" i="233"/>
  <c r="C20" i="218"/>
  <c r="C26" i="218" s="1"/>
  <c r="C27" i="218" s="1"/>
  <c r="D12" i="233"/>
  <c r="G16" i="218"/>
  <c r="G39" i="218"/>
  <c r="BQ16" i="218"/>
  <c r="D229" i="233"/>
  <c r="D166" i="233"/>
  <c r="AY16" i="218"/>
  <c r="AY39" i="218"/>
  <c r="D13" i="233"/>
  <c r="G27" i="218"/>
  <c r="B53" i="218"/>
  <c r="B54" i="218" s="1"/>
  <c r="C83" i="181"/>
  <c r="J33" i="96"/>
  <c r="E13" i="210" s="1"/>
  <c r="D5" i="233"/>
  <c r="D9" i="233" s="1"/>
  <c r="E16" i="218"/>
  <c r="E39" i="218"/>
  <c r="E67" i="218" s="1"/>
  <c r="C53" i="218"/>
  <c r="D208" i="233"/>
  <c r="D212" i="233" s="1"/>
  <c r="BK16" i="218"/>
  <c r="C15" i="218"/>
  <c r="D254" i="233"/>
  <c r="J68" i="181"/>
  <c r="I48" i="210" s="1"/>
  <c r="I73" i="210" s="1"/>
  <c r="D96" i="233"/>
  <c r="D100" i="233" s="1"/>
  <c r="AE16" i="218"/>
  <c r="AE39" i="218"/>
  <c r="AE67" i="218" s="1"/>
  <c r="M39" i="218"/>
  <c r="M27" i="218"/>
  <c r="D34" i="233"/>
  <c r="D37" i="233" s="1"/>
  <c r="C38" i="218"/>
  <c r="C66" i="218"/>
  <c r="D273" i="233"/>
  <c r="BK39" i="218"/>
  <c r="AS68" i="218"/>
  <c r="P80" i="214"/>
  <c r="P83" i="214" s="1"/>
  <c r="D64" i="233"/>
  <c r="U39" i="218"/>
  <c r="AR40" i="218"/>
  <c r="AR67" i="218"/>
  <c r="E247" i="233"/>
  <c r="E246" i="233"/>
  <c r="E243" i="233"/>
  <c r="E245" i="233"/>
  <c r="AL80" i="218"/>
  <c r="AL81" i="218" s="1"/>
  <c r="C107" i="233"/>
  <c r="E104" i="233" s="1"/>
  <c r="AC40" i="218"/>
  <c r="AC67" i="218"/>
  <c r="AC68" i="218" s="1"/>
  <c r="L80" i="214"/>
  <c r="L83" i="214" s="1"/>
  <c r="N23" i="214"/>
  <c r="N48" i="214" s="1"/>
  <c r="I24" i="229"/>
  <c r="I33" i="56"/>
  <c r="I35" i="56"/>
  <c r="N2689" i="184"/>
  <c r="M1468" i="184"/>
  <c r="BP40" i="218"/>
  <c r="F45" i="235"/>
  <c r="F54" i="235" s="1"/>
  <c r="I55" i="235" s="1"/>
  <c r="I20" i="230"/>
  <c r="M19" i="213"/>
  <c r="R76" i="72"/>
  <c r="R78" i="72"/>
  <c r="M2268" i="184"/>
  <c r="B65" i="71"/>
  <c r="B68" i="71" s="1"/>
  <c r="B21" i="73"/>
  <c r="O75" i="72"/>
  <c r="E9" i="75"/>
  <c r="E14" i="75" s="1"/>
  <c r="E10" i="75"/>
  <c r="A47" i="75"/>
  <c r="E11" i="75"/>
  <c r="P18" i="209"/>
  <c r="Q18" i="209" s="1"/>
  <c r="R82" i="78"/>
  <c r="B25" i="77"/>
  <c r="E54" i="30"/>
  <c r="E68" i="30" s="1"/>
  <c r="E80" i="30" s="1"/>
  <c r="U48" i="230"/>
  <c r="T48" i="230"/>
  <c r="C51" i="181"/>
  <c r="D67" i="90"/>
  <c r="J13" i="220"/>
  <c r="K13" i="220" s="1"/>
  <c r="G35" i="96"/>
  <c r="O29" i="212"/>
  <c r="E9" i="197"/>
  <c r="E11" i="197"/>
  <c r="E10" i="197"/>
  <c r="A47" i="197"/>
  <c r="M38" i="213"/>
  <c r="I39" i="230"/>
  <c r="K83" i="181"/>
  <c r="K85" i="181" s="1"/>
  <c r="J48" i="210" s="1"/>
  <c r="J73" i="210" s="1"/>
  <c r="E1497" i="184"/>
  <c r="F44" i="210"/>
  <c r="J33" i="101"/>
  <c r="E44" i="210" s="1"/>
  <c r="F2252" i="184"/>
  <c r="D65" i="161"/>
  <c r="D68" i="161" s="1"/>
  <c r="D71" i="161" s="1"/>
  <c r="D73" i="161" s="1"/>
  <c r="F93" i="162"/>
  <c r="M85" i="162"/>
  <c r="B21" i="237"/>
  <c r="R83" i="236"/>
  <c r="R85" i="236" s="1"/>
  <c r="O82" i="236"/>
  <c r="B72" i="235"/>
  <c r="B75" i="235" s="1"/>
  <c r="F47" i="2"/>
  <c r="B71" i="91"/>
  <c r="F68" i="91"/>
  <c r="F71" i="91" s="1"/>
  <c r="C61" i="101"/>
  <c r="E61" i="218"/>
  <c r="B65" i="198"/>
  <c r="B68" i="198" s="1"/>
  <c r="M2263" i="184"/>
  <c r="R76" i="199"/>
  <c r="R78" i="199"/>
  <c r="B21" i="200"/>
  <c r="O75" i="199"/>
  <c r="G2526" i="184"/>
  <c r="M93" i="203"/>
  <c r="E111" i="197"/>
  <c r="D114" i="197"/>
  <c r="E67" i="110"/>
  <c r="I55" i="214"/>
  <c r="AP40" i="218"/>
  <c r="I41" i="230"/>
  <c r="M40" i="213"/>
  <c r="L17" i="209"/>
  <c r="M19" i="229"/>
  <c r="M18" i="214"/>
  <c r="M49" i="214" s="1"/>
  <c r="H19" i="220"/>
  <c r="I19" i="220" s="1"/>
  <c r="G47" i="212"/>
  <c r="G68" i="212" s="1"/>
  <c r="O26" i="212"/>
  <c r="B20" i="25"/>
  <c r="F18" i="25"/>
  <c r="C18" i="25"/>
  <c r="C20" i="25" s="1"/>
  <c r="B61" i="91"/>
  <c r="E12" i="197"/>
  <c r="H23" i="230"/>
  <c r="AL22" i="213"/>
  <c r="AL51" i="213" s="1"/>
  <c r="J15" i="30"/>
  <c r="G30" i="188"/>
  <c r="E114" i="110"/>
  <c r="F33" i="101"/>
  <c r="J42" i="209"/>
  <c r="M42" i="209" s="1"/>
  <c r="N42" i="209" s="1"/>
  <c r="P42" i="209" s="1"/>
  <c r="Q42" i="209" s="1"/>
  <c r="J44" i="229"/>
  <c r="K43" i="214"/>
  <c r="K52" i="214" s="1"/>
  <c r="J55" i="214"/>
  <c r="J48" i="214"/>
  <c r="M109" i="236"/>
  <c r="E49" i="221" s="1"/>
  <c r="P114" i="236"/>
  <c r="G65" i="236" s="1"/>
  <c r="M108" i="236"/>
  <c r="L15" i="188"/>
  <c r="M15" i="188"/>
  <c r="E114" i="160"/>
  <c r="E67" i="70"/>
  <c r="E114" i="100"/>
  <c r="H15" i="209"/>
  <c r="I14" i="30"/>
  <c r="D12" i="188"/>
  <c r="I11" i="30"/>
  <c r="O75" i="203"/>
  <c r="B65" i="202"/>
  <c r="B68" i="202" s="1"/>
  <c r="M2266" i="184"/>
  <c r="R76" i="203"/>
  <c r="R78" i="203" s="1"/>
  <c r="B21" i="204"/>
  <c r="K45" i="198"/>
  <c r="I46" i="198"/>
  <c r="L44" i="213" s="1"/>
  <c r="L52" i="213" s="1"/>
  <c r="F47" i="198"/>
  <c r="M11" i="209"/>
  <c r="N11" i="209" s="1"/>
  <c r="P11" i="209" s="1"/>
  <c r="Q11" i="209" s="1"/>
  <c r="AP80" i="218"/>
  <c r="D14" i="90"/>
  <c r="E10" i="90"/>
  <c r="L38" i="188"/>
  <c r="M38" i="188"/>
  <c r="E8" i="192"/>
  <c r="L312" i="191"/>
  <c r="V70" i="127"/>
  <c r="O22" i="213"/>
  <c r="O51" i="213" s="1"/>
  <c r="AK22" i="213"/>
  <c r="AK51" i="213" s="1"/>
  <c r="G23" i="230"/>
  <c r="B61" i="106"/>
  <c r="B73" i="106" s="1"/>
  <c r="F73" i="91"/>
  <c r="F74" i="91" s="1"/>
  <c r="D20" i="221" s="1"/>
  <c r="D54" i="218"/>
  <c r="D67" i="218"/>
  <c r="D80" i="218" s="1"/>
  <c r="J93" i="16"/>
  <c r="J2507" i="184" s="1"/>
  <c r="J2247" i="184"/>
  <c r="D114" i="238"/>
  <c r="E113" i="238" s="1"/>
  <c r="F61" i="66"/>
  <c r="F73" i="66" s="1"/>
  <c r="F74" i="66" s="1"/>
  <c r="D15" i="221" s="1"/>
  <c r="J22" i="220"/>
  <c r="K22" i="220" s="1"/>
  <c r="G35" i="66"/>
  <c r="E59" i="100"/>
  <c r="E60" i="100"/>
  <c r="E54" i="100"/>
  <c r="E66" i="100"/>
  <c r="E62" i="100"/>
  <c r="E57" i="100"/>
  <c r="E65" i="100"/>
  <c r="A92" i="100"/>
  <c r="E61" i="100"/>
  <c r="E58" i="100"/>
  <c r="E64" i="100"/>
  <c r="E55" i="100"/>
  <c r="E63" i="100"/>
  <c r="F43" i="212"/>
  <c r="X23" i="162"/>
  <c r="X49" i="162" s="1"/>
  <c r="N43" i="212" s="1"/>
  <c r="B25" i="93"/>
  <c r="R82" i="92"/>
  <c r="D67" i="105"/>
  <c r="E59" i="105" s="1"/>
  <c r="AK12" i="213"/>
  <c r="G13" i="230"/>
  <c r="O12" i="213"/>
  <c r="AF67" i="218"/>
  <c r="AL36" i="213"/>
  <c r="AL49" i="213" s="1"/>
  <c r="H37" i="230"/>
  <c r="M18" i="188"/>
  <c r="K18" i="188"/>
  <c r="E114" i="70"/>
  <c r="E114" i="75"/>
  <c r="D93" i="132"/>
  <c r="D2257" i="184"/>
  <c r="M85" i="132"/>
  <c r="E10" i="100"/>
  <c r="A47" i="100"/>
  <c r="E11" i="100"/>
  <c r="E9" i="100"/>
  <c r="E12" i="100"/>
  <c r="M39" i="229"/>
  <c r="M38" i="214"/>
  <c r="H39" i="220"/>
  <c r="I39" i="220" s="1"/>
  <c r="L37" i="209"/>
  <c r="M37" i="209" s="1"/>
  <c r="N37" i="209" s="1"/>
  <c r="P37" i="209" s="1"/>
  <c r="Q37" i="209" s="1"/>
  <c r="F33" i="76"/>
  <c r="F36" i="212"/>
  <c r="X23" i="132"/>
  <c r="X49" i="132" s="1"/>
  <c r="N36" i="212" s="1"/>
  <c r="F68" i="76"/>
  <c r="F71" i="76" s="1"/>
  <c r="B71" i="76"/>
  <c r="B73" i="76" s="1"/>
  <c r="M55" i="214"/>
  <c r="J33" i="198"/>
  <c r="E45" i="210" s="1"/>
  <c r="I45" i="210"/>
  <c r="G37" i="230"/>
  <c r="AK36" i="213"/>
  <c r="AK49" i="213" s="1"/>
  <c r="O36" i="213"/>
  <c r="J38" i="30"/>
  <c r="C61" i="218"/>
  <c r="D69" i="181"/>
  <c r="D97" i="181" s="1"/>
  <c r="C54" i="30"/>
  <c r="F44" i="239"/>
  <c r="I53" i="239" s="1"/>
  <c r="F36" i="30"/>
  <c r="J36" i="30" s="1"/>
  <c r="I33" i="187"/>
  <c r="I49" i="187" s="1"/>
  <c r="I52" i="187" s="1"/>
  <c r="K82" i="213"/>
  <c r="K87" i="213" s="1"/>
  <c r="O30" i="212"/>
  <c r="E2273" i="184"/>
  <c r="E93" i="52"/>
  <c r="E2533" i="184" s="1"/>
  <c r="M93" i="72"/>
  <c r="O31" i="212"/>
  <c r="F33" i="106"/>
  <c r="K28" i="214"/>
  <c r="K57" i="214" s="1"/>
  <c r="J29" i="229"/>
  <c r="J27" i="209"/>
  <c r="M27" i="209" s="1"/>
  <c r="N27" i="209" s="1"/>
  <c r="E30" i="233"/>
  <c r="E26" i="233"/>
  <c r="E28" i="233"/>
  <c r="E29" i="233"/>
  <c r="B61" i="101"/>
  <c r="E25" i="242"/>
  <c r="G25" i="242" s="1"/>
  <c r="K43" i="2"/>
  <c r="I46" i="2"/>
  <c r="L29" i="213" s="1"/>
  <c r="L56" i="213" s="1"/>
  <c r="I39" i="210"/>
  <c r="J33" i="76"/>
  <c r="E39" i="210" s="1"/>
  <c r="D14" i="105"/>
  <c r="E10" i="105"/>
  <c r="J41" i="220"/>
  <c r="K41" i="220" s="1"/>
  <c r="F61" i="111"/>
  <c r="F73" i="111" s="1"/>
  <c r="F74" i="111" s="1"/>
  <c r="D26" i="221" s="1"/>
  <c r="G35" i="111"/>
  <c r="R76" i="142"/>
  <c r="R78" i="142" s="1"/>
  <c r="M2258" i="184"/>
  <c r="B65" i="141"/>
  <c r="B68" i="141" s="1"/>
  <c r="B21" i="143"/>
  <c r="O75" i="142"/>
  <c r="E67" i="55"/>
  <c r="P107" i="92"/>
  <c r="G59" i="92" s="1"/>
  <c r="M102" i="92"/>
  <c r="E20" i="221" s="1"/>
  <c r="M2540" i="184"/>
  <c r="M101" i="92"/>
  <c r="M2620" i="184" s="1"/>
  <c r="E67" i="95"/>
  <c r="E10" i="95"/>
  <c r="A47" i="95"/>
  <c r="E12" i="95"/>
  <c r="E11" i="95"/>
  <c r="E14" i="95" s="1"/>
  <c r="L2255" i="184"/>
  <c r="L93" i="47"/>
  <c r="L2515" i="184" s="1"/>
  <c r="M52" i="214"/>
  <c r="M57" i="214"/>
  <c r="B68" i="239"/>
  <c r="D80" i="239"/>
  <c r="F29" i="210"/>
  <c r="J33" i="106"/>
  <c r="E29" i="210" s="1"/>
  <c r="I93" i="102"/>
  <c r="M85" i="102"/>
  <c r="AP68" i="218" s="1"/>
  <c r="I2267" i="184"/>
  <c r="G35" i="166"/>
  <c r="J20" i="220"/>
  <c r="K20" i="220" s="1"/>
  <c r="F61" i="166"/>
  <c r="M43" i="213"/>
  <c r="I44" i="230"/>
  <c r="D2518" i="184"/>
  <c r="M93" i="142"/>
  <c r="A47" i="70"/>
  <c r="E10" i="70"/>
  <c r="E11" i="70"/>
  <c r="E12" i="70"/>
  <c r="I82" i="213"/>
  <c r="I87" i="213" s="1"/>
  <c r="AC14" i="231"/>
  <c r="AK14" i="231" s="1"/>
  <c r="W21" i="26"/>
  <c r="M1129" i="184"/>
  <c r="J27" i="218"/>
  <c r="D65" i="15"/>
  <c r="D68" i="15" s="1"/>
  <c r="D71" i="15" s="1"/>
  <c r="D73" i="15" s="1"/>
  <c r="F2247" i="184"/>
  <c r="F93" i="16"/>
  <c r="F2507" i="184" s="1"/>
  <c r="I35" i="71"/>
  <c r="I33" i="71"/>
  <c r="I23" i="229"/>
  <c r="N22" i="214"/>
  <c r="M34" i="188"/>
  <c r="K34" i="188"/>
  <c r="E67" i="65"/>
  <c r="K20" i="188"/>
  <c r="M20" i="188"/>
  <c r="M102" i="78"/>
  <c r="E17" i="221" s="1"/>
  <c r="P107" i="78"/>
  <c r="G59" i="78" s="1"/>
  <c r="M101" i="78"/>
  <c r="M2602" i="184" s="1"/>
  <c r="M2522" i="184"/>
  <c r="AG54" i="218"/>
  <c r="AG67" i="218"/>
  <c r="AG68" i="218" s="1"/>
  <c r="C47" i="2"/>
  <c r="E54" i="218" s="1"/>
  <c r="E67" i="197"/>
  <c r="M51" i="214"/>
  <c r="L41" i="188"/>
  <c r="M41" i="188"/>
  <c r="M93" i="199"/>
  <c r="D2523" i="184"/>
  <c r="E9" i="70"/>
  <c r="E14" i="70" s="1"/>
  <c r="J45" i="220"/>
  <c r="K45" i="220" s="1"/>
  <c r="F61" i="198"/>
  <c r="G35" i="198"/>
  <c r="AL12" i="213"/>
  <c r="H13" i="230"/>
  <c r="I85" i="26"/>
  <c r="I1466" i="184"/>
  <c r="I1497" i="184" s="1"/>
  <c r="M57" i="26"/>
  <c r="I56" i="214"/>
  <c r="I49" i="214"/>
  <c r="F80" i="181"/>
  <c r="F83" i="181" s="1"/>
  <c r="I84" i="181" s="1"/>
  <c r="I48" i="230" s="1"/>
  <c r="D114" i="180"/>
  <c r="P31" i="209"/>
  <c r="Q31" i="209" s="1"/>
  <c r="M2703" i="184"/>
  <c r="M2711" i="184" s="1"/>
  <c r="G35" i="91"/>
  <c r="J33" i="220"/>
  <c r="K33" i="220" s="1"/>
  <c r="M1485" i="184"/>
  <c r="BT40" i="218"/>
  <c r="O75" i="167"/>
  <c r="R76" i="167"/>
  <c r="B9" i="168" s="1"/>
  <c r="R78" i="167"/>
  <c r="M2256" i="184"/>
  <c r="B21" i="168"/>
  <c r="B65" i="166"/>
  <c r="B68" i="166" s="1"/>
  <c r="F68" i="235"/>
  <c r="G41" i="235"/>
  <c r="I39" i="235" s="1"/>
  <c r="U59" i="227"/>
  <c r="U60" i="227" s="1"/>
  <c r="N2660" i="184"/>
  <c r="U66" i="227"/>
  <c r="D14" i="175"/>
  <c r="E9" i="175"/>
  <c r="X23" i="152"/>
  <c r="X49" i="152" s="1"/>
  <c r="N40" i="212" s="1"/>
  <c r="F40" i="212"/>
  <c r="U19" i="230"/>
  <c r="C33" i="136"/>
  <c r="V18" i="213"/>
  <c r="R19" i="230"/>
  <c r="BE27" i="218"/>
  <c r="K43" i="30"/>
  <c r="F54" i="30"/>
  <c r="C54" i="239"/>
  <c r="B68" i="30"/>
  <c r="E110" i="105"/>
  <c r="A137" i="105"/>
  <c r="E107" i="105"/>
  <c r="E105" i="105"/>
  <c r="E103" i="105"/>
  <c r="E109" i="105"/>
  <c r="E102" i="105"/>
  <c r="E106" i="105"/>
  <c r="E111" i="105"/>
  <c r="E112" i="105"/>
  <c r="E104" i="105"/>
  <c r="L50" i="213"/>
  <c r="O27" i="209"/>
  <c r="P27" i="209" s="1"/>
  <c r="Q27" i="209" s="1"/>
  <c r="I48" i="106"/>
  <c r="G26" i="188"/>
  <c r="F61" i="106"/>
  <c r="F73" i="106" s="1"/>
  <c r="F74" i="106" s="1"/>
  <c r="D25" i="221" s="1"/>
  <c r="E114" i="24"/>
  <c r="M231" i="184"/>
  <c r="N2633" i="184" s="1"/>
  <c r="M1465" i="184"/>
  <c r="H40" i="218"/>
  <c r="B33" i="2"/>
  <c r="D59" i="1"/>
  <c r="D10" i="1"/>
  <c r="E68" i="238"/>
  <c r="E57" i="175"/>
  <c r="E62" i="175"/>
  <c r="E65" i="175"/>
  <c r="E66" i="175"/>
  <c r="E60" i="175"/>
  <c r="E54" i="175"/>
  <c r="E64" i="175"/>
  <c r="E59" i="175"/>
  <c r="A92" i="175"/>
  <c r="E58" i="175"/>
  <c r="E61" i="175"/>
  <c r="E63" i="175"/>
  <c r="M1461" i="184"/>
  <c r="D40" i="218"/>
  <c r="X23" i="97"/>
  <c r="X49" i="97" s="1"/>
  <c r="N27" i="212" s="1"/>
  <c r="F27" i="212"/>
  <c r="E114" i="1"/>
  <c r="D10" i="180"/>
  <c r="B69" i="181"/>
  <c r="B138" i="181" s="1"/>
  <c r="D59" i="180"/>
  <c r="B130" i="181"/>
  <c r="B134" i="181" s="1"/>
  <c r="M59" i="227"/>
  <c r="M60" i="227" s="1"/>
  <c r="M66" i="227"/>
  <c r="N2647" i="184"/>
  <c r="M40" i="151"/>
  <c r="M47" i="151" s="1"/>
  <c r="M49" i="151" s="1"/>
  <c r="L12" i="210" s="1"/>
  <c r="K47" i="151"/>
  <c r="K49" i="151" s="1"/>
  <c r="J12" i="210" s="1"/>
  <c r="E114" i="234"/>
  <c r="BD68" i="218"/>
  <c r="BD80" i="218"/>
  <c r="I33" i="230"/>
  <c r="M32" i="213"/>
  <c r="F20" i="136"/>
  <c r="J18" i="136"/>
  <c r="J20" i="136" s="1"/>
  <c r="D114" i="29"/>
  <c r="E103" i="29" s="1"/>
  <c r="R91" i="224"/>
  <c r="B29" i="225"/>
  <c r="B9" i="225" s="1"/>
  <c r="O45" i="81"/>
  <c r="O47" i="81" s="1"/>
  <c r="O49" i="81" s="1"/>
  <c r="N25" i="210" s="1"/>
  <c r="K47" i="81"/>
  <c r="K49" i="81" s="1"/>
  <c r="J25" i="210" s="1"/>
  <c r="E68" i="234"/>
  <c r="N42" i="106"/>
  <c r="N47" i="106" s="1"/>
  <c r="N49" i="106" s="1"/>
  <c r="M29" i="210" s="1"/>
  <c r="K47" i="106"/>
  <c r="K49" i="106" s="1"/>
  <c r="J29" i="210" s="1"/>
  <c r="G14" i="188"/>
  <c r="O17" i="209"/>
  <c r="I48" i="136"/>
  <c r="D2249" i="184"/>
  <c r="D93" i="21"/>
  <c r="M85" i="21"/>
  <c r="U30" i="230"/>
  <c r="C33" i="2"/>
  <c r="R30" i="230"/>
  <c r="V29" i="213"/>
  <c r="E27" i="218"/>
  <c r="D2245" i="184"/>
  <c r="D93" i="13"/>
  <c r="M85" i="13"/>
  <c r="D10" i="29"/>
  <c r="D59" i="29"/>
  <c r="V47" i="213"/>
  <c r="R48" i="230"/>
  <c r="B20" i="46"/>
  <c r="F18" i="46"/>
  <c r="C18" i="46"/>
  <c r="C20" i="46" s="1"/>
  <c r="L29" i="188"/>
  <c r="M29" i="188"/>
  <c r="B33" i="136"/>
  <c r="D10" i="135"/>
  <c r="D59" i="135"/>
  <c r="K42" i="239"/>
  <c r="I42" i="239"/>
  <c r="F44" i="212"/>
  <c r="X23" i="167"/>
  <c r="X49" i="167" s="1"/>
  <c r="N44" i="212" s="1"/>
  <c r="B20" i="171"/>
  <c r="C19" i="171"/>
  <c r="C20" i="171" s="1"/>
  <c r="F19" i="171"/>
  <c r="H2516" i="184"/>
  <c r="C39" i="239"/>
  <c r="C68" i="239" s="1"/>
  <c r="J19" i="2"/>
  <c r="J20" i="2" s="1"/>
  <c r="F20" i="2"/>
  <c r="D1497" i="184"/>
  <c r="C20" i="30"/>
  <c r="C39" i="30" s="1"/>
  <c r="C68" i="30" s="1"/>
  <c r="E93" i="16"/>
  <c r="E2247" i="184"/>
  <c r="E2281" i="184" s="1"/>
  <c r="M85" i="16"/>
  <c r="R36" i="31"/>
  <c r="H47" i="221" s="1"/>
  <c r="W22" i="31"/>
  <c r="R35" i="31"/>
  <c r="L315" i="191"/>
  <c r="L342" i="191" s="1"/>
  <c r="E16" i="192"/>
  <c r="E43" i="192" s="1"/>
  <c r="V70" i="67"/>
  <c r="L93" i="152"/>
  <c r="L2506" i="184" s="1"/>
  <c r="L2246" i="184"/>
  <c r="E109" i="29"/>
  <c r="F24" i="212"/>
  <c r="X23" i="82"/>
  <c r="X49" i="82" s="1"/>
  <c r="N24" i="212" s="1"/>
  <c r="F46" i="216"/>
  <c r="L53" i="213"/>
  <c r="D2269" i="184"/>
  <c r="D93" i="172"/>
  <c r="X23" i="52"/>
  <c r="X49" i="52" s="1"/>
  <c r="N18" i="212" s="1"/>
  <c r="F18" i="212"/>
  <c r="F20" i="30"/>
  <c r="J15" i="209" s="1"/>
  <c r="J18" i="30"/>
  <c r="J20" i="30" s="1"/>
  <c r="G35" i="176"/>
  <c r="J28" i="220"/>
  <c r="K28" i="220" s="1"/>
  <c r="F61" i="176"/>
  <c r="F73" i="176" s="1"/>
  <c r="F74" i="176" s="1"/>
  <c r="D40" i="221" s="1"/>
  <c r="M1134" i="184"/>
  <c r="AC17" i="231"/>
  <c r="W21" i="47"/>
  <c r="P27" i="218"/>
  <c r="E114" i="80"/>
  <c r="M85" i="152"/>
  <c r="E105" i="150"/>
  <c r="E109" i="150"/>
  <c r="E112" i="150"/>
  <c r="E107" i="150"/>
  <c r="E102" i="150"/>
  <c r="E114" i="150" s="1"/>
  <c r="E108" i="150"/>
  <c r="A136" i="150"/>
  <c r="E104" i="150"/>
  <c r="E103" i="150"/>
  <c r="E111" i="150"/>
  <c r="E110" i="150"/>
  <c r="I2256" i="184"/>
  <c r="I93" i="167"/>
  <c r="I2516" i="184" s="1"/>
  <c r="D14" i="234"/>
  <c r="AJ45" i="231"/>
  <c r="E108" i="135"/>
  <c r="E103" i="135"/>
  <c r="E105" i="135"/>
  <c r="E109" i="135"/>
  <c r="E110" i="135"/>
  <c r="E107" i="135"/>
  <c r="E102" i="135"/>
  <c r="E104" i="135"/>
  <c r="A136" i="135"/>
  <c r="E111" i="135"/>
  <c r="E106" i="135"/>
  <c r="BL68" i="218"/>
  <c r="BL80" i="218"/>
  <c r="BL81" i="218" s="1"/>
  <c r="F38" i="30"/>
  <c r="L15" i="209" s="1"/>
  <c r="L47" i="209" s="1"/>
  <c r="L72" i="209" s="1"/>
  <c r="K72" i="209"/>
  <c r="K64" i="209"/>
  <c r="M12" i="213"/>
  <c r="I13" i="230"/>
  <c r="L93" i="13"/>
  <c r="L2505" i="184" s="1"/>
  <c r="L2245" i="184"/>
  <c r="G28" i="210"/>
  <c r="J33" i="176"/>
  <c r="E28" i="210" s="1"/>
  <c r="M1463" i="184"/>
  <c r="F40" i="218"/>
  <c r="H1471" i="184"/>
  <c r="H1497" i="184" s="1"/>
  <c r="H85" i="47"/>
  <c r="M57" i="47"/>
  <c r="J18" i="220"/>
  <c r="K18" i="220" s="1"/>
  <c r="G35" i="131"/>
  <c r="F61" i="131"/>
  <c r="I15" i="209"/>
  <c r="G40" i="30"/>
  <c r="E12" i="188"/>
  <c r="E109" i="90"/>
  <c r="A136" i="90"/>
  <c r="E104" i="90"/>
  <c r="E102" i="90"/>
  <c r="E106" i="90"/>
  <c r="E103" i="90"/>
  <c r="E107" i="90"/>
  <c r="E112" i="90"/>
  <c r="E111" i="90"/>
  <c r="E105" i="90"/>
  <c r="E108" i="90"/>
  <c r="J15" i="239"/>
  <c r="M31" i="213"/>
  <c r="I32" i="230"/>
  <c r="E67" i="234"/>
  <c r="G93" i="82"/>
  <c r="G2265" i="184"/>
  <c r="G2281" i="184" s="1"/>
  <c r="M85" i="82"/>
  <c r="K50" i="30"/>
  <c r="M50" i="30" s="1"/>
  <c r="M54" i="30" s="1"/>
  <c r="M56" i="30" s="1"/>
  <c r="I53" i="30"/>
  <c r="G46" i="216"/>
  <c r="AA67" i="218"/>
  <c r="AA68" i="218" s="1"/>
  <c r="AA40" i="218"/>
  <c r="M85" i="52"/>
  <c r="R68" i="218" s="1"/>
  <c r="H93" i="52"/>
  <c r="H2273" i="184"/>
  <c r="L1497" i="184"/>
  <c r="B65" i="136"/>
  <c r="B68" i="136" s="1"/>
  <c r="R76" i="137"/>
  <c r="R78" i="137" s="1"/>
  <c r="O75" i="137"/>
  <c r="B21" i="138"/>
  <c r="M2272" i="184"/>
  <c r="E107" i="29"/>
  <c r="H46" i="216"/>
  <c r="I11" i="176"/>
  <c r="D25" i="188"/>
  <c r="H26" i="209"/>
  <c r="I14" i="176"/>
  <c r="I27" i="214"/>
  <c r="I50" i="214" s="1"/>
  <c r="K28" i="229"/>
  <c r="K66" i="229" s="1"/>
  <c r="AG25" i="231"/>
  <c r="E47" i="231"/>
  <c r="E68" i="231" s="1"/>
  <c r="H2246" i="184"/>
  <c r="H93" i="152"/>
  <c r="H2506" i="184" s="1"/>
  <c r="B33" i="81"/>
  <c r="D10" i="80"/>
  <c r="D59" i="80"/>
  <c r="J39" i="30"/>
  <c r="B61" i="176"/>
  <c r="B73" i="176" s="1"/>
  <c r="E43" i="242"/>
  <c r="F2506" i="184"/>
  <c r="M93" i="152"/>
  <c r="M1160" i="184"/>
  <c r="E11" i="14"/>
  <c r="E9" i="14"/>
  <c r="A47" i="14"/>
  <c r="E10" i="14"/>
  <c r="I14" i="239"/>
  <c r="I11" i="239"/>
  <c r="M92" i="31"/>
  <c r="D100" i="31"/>
  <c r="M100" i="31" s="1"/>
  <c r="L21" i="188"/>
  <c r="M21" i="188"/>
  <c r="F85" i="172"/>
  <c r="M85" i="172" s="1"/>
  <c r="F1485" i="184"/>
  <c r="F1497" i="184" s="1"/>
  <c r="D80" i="30"/>
  <c r="F2532" i="184"/>
  <c r="M93" i="137"/>
  <c r="D46" i="216"/>
  <c r="J20" i="239"/>
  <c r="K48" i="30"/>
  <c r="N48" i="30" s="1"/>
  <c r="N54" i="30" s="1"/>
  <c r="N56" i="30" s="1"/>
  <c r="I48" i="30"/>
  <c r="F51" i="239"/>
  <c r="F54" i="239" s="1"/>
  <c r="I55" i="239" s="1"/>
  <c r="J2265" i="184"/>
  <c r="J2281" i="184" s="1"/>
  <c r="J93" i="82"/>
  <c r="J2525" i="184" s="1"/>
  <c r="J2541" i="184" s="1"/>
  <c r="E110" i="90"/>
  <c r="M1477" i="184"/>
  <c r="AN40" i="218"/>
  <c r="U25" i="230"/>
  <c r="R25" i="230"/>
  <c r="V24" i="213"/>
  <c r="C33" i="81"/>
  <c r="AE27" i="218"/>
  <c r="I48" i="151"/>
  <c r="O10" i="209"/>
  <c r="P10" i="209" s="1"/>
  <c r="Q10" i="209" s="1"/>
  <c r="G6" i="188"/>
  <c r="F61" i="151"/>
  <c r="L30" i="188"/>
  <c r="M30" i="188"/>
  <c r="O82" i="240"/>
  <c r="B21" i="241"/>
  <c r="B72" i="239"/>
  <c r="B75" i="239" s="1"/>
  <c r="R83" i="240"/>
  <c r="G43" i="242"/>
  <c r="D44" i="242"/>
  <c r="F11" i="212"/>
  <c r="X23" i="13"/>
  <c r="X49" i="13" s="1"/>
  <c r="N11" i="212" s="1"/>
  <c r="W21" i="31"/>
  <c r="X23" i="31" s="1"/>
  <c r="X49" i="31" s="1"/>
  <c r="M63" i="31"/>
  <c r="D14" i="238"/>
  <c r="E67" i="238" s="1"/>
  <c r="I25" i="230"/>
  <c r="M24" i="213"/>
  <c r="AC45" i="231"/>
  <c r="AK45" i="231" s="1"/>
  <c r="M1148" i="184"/>
  <c r="W21" i="172"/>
  <c r="BT27" i="218"/>
  <c r="L7" i="188"/>
  <c r="M7" i="188"/>
  <c r="E67" i="130"/>
  <c r="E114" i="95"/>
  <c r="F20" i="239"/>
  <c r="F39" i="239" s="1"/>
  <c r="M50" i="214"/>
  <c r="M53" i="214"/>
  <c r="H2261" i="184"/>
  <c r="M85" i="97"/>
  <c r="H93" i="97"/>
  <c r="AK17" i="231"/>
  <c r="P47" i="231"/>
  <c r="P68" i="231" s="1"/>
  <c r="AH17" i="231"/>
  <c r="J18" i="81"/>
  <c r="J20" i="81" s="1"/>
  <c r="F20" i="81"/>
  <c r="L58" i="213"/>
  <c r="W22" i="240"/>
  <c r="X23" i="240" s="1"/>
  <c r="X49" i="240" s="1"/>
  <c r="R36" i="240"/>
  <c r="H50" i="221" s="1"/>
  <c r="R35" i="240"/>
  <c r="M100" i="240"/>
  <c r="E82" i="233"/>
  <c r="E84" i="233"/>
  <c r="E86" i="233"/>
  <c r="E85" i="233"/>
  <c r="Z80" i="218"/>
  <c r="Z81" i="218" s="1"/>
  <c r="Z68" i="218"/>
  <c r="BR68" i="218"/>
  <c r="BR80" i="218"/>
  <c r="E236" i="233"/>
  <c r="E239" i="233"/>
  <c r="E238" i="233"/>
  <c r="E240" i="233"/>
  <c r="E114" i="170"/>
  <c r="G48" i="210"/>
  <c r="G73" i="210" s="1"/>
  <c r="J55" i="181"/>
  <c r="J56" i="181" s="1"/>
  <c r="F48" i="210" s="1"/>
  <c r="F73" i="210" s="1"/>
  <c r="F56" i="181"/>
  <c r="I26" i="230"/>
  <c r="M25" i="213"/>
  <c r="I75" i="214"/>
  <c r="I50" i="181"/>
  <c r="I47" i="181"/>
  <c r="I47" i="214"/>
  <c r="K49" i="229"/>
  <c r="B61" i="218"/>
  <c r="M49" i="229"/>
  <c r="M71" i="229" s="1"/>
  <c r="M74" i="229" s="1"/>
  <c r="M66" i="229"/>
  <c r="H48" i="220"/>
  <c r="I48" i="220" s="1"/>
  <c r="M47" i="214"/>
  <c r="M75" i="214"/>
  <c r="L64" i="209"/>
  <c r="BT80" i="218"/>
  <c r="L23" i="188"/>
  <c r="M23" i="188"/>
  <c r="D14" i="180"/>
  <c r="E12" i="180" s="1"/>
  <c r="AB68" i="218"/>
  <c r="AB80" i="218"/>
  <c r="AB81" i="218" s="1"/>
  <c r="E110" i="233"/>
  <c r="E113" i="233"/>
  <c r="E114" i="233"/>
  <c r="E112" i="233"/>
  <c r="R80" i="218"/>
  <c r="E184" i="233"/>
  <c r="E180" i="233"/>
  <c r="E183" i="233"/>
  <c r="E182" i="233"/>
  <c r="P80" i="218"/>
  <c r="B27" i="218"/>
  <c r="B39" i="218"/>
  <c r="E96" i="233"/>
  <c r="E100" i="233"/>
  <c r="E98" i="233"/>
  <c r="E99" i="233"/>
  <c r="E201" i="233"/>
  <c r="E204" i="233"/>
  <c r="E205" i="233"/>
  <c r="E203" i="233"/>
  <c r="E61" i="233"/>
  <c r="E63" i="233"/>
  <c r="E65" i="233"/>
  <c r="E64" i="233"/>
  <c r="AH80" i="218"/>
  <c r="AH81" i="218" s="1"/>
  <c r="AH68" i="218"/>
  <c r="E161" i="233"/>
  <c r="E159" i="233"/>
  <c r="E162" i="233"/>
  <c r="E163" i="233"/>
  <c r="E57" i="233"/>
  <c r="E54" i="233"/>
  <c r="E56" i="233"/>
  <c r="E58" i="233"/>
  <c r="BH68" i="218"/>
  <c r="BH80" i="218"/>
  <c r="BH81" i="218" s="1"/>
  <c r="E253" i="233"/>
  <c r="E254" i="233"/>
  <c r="E250" i="233"/>
  <c r="E252" i="233"/>
  <c r="AZ80" i="218"/>
  <c r="AZ81" i="218" s="1"/>
  <c r="AZ68" i="218"/>
  <c r="AD80" i="218"/>
  <c r="T80" i="218"/>
  <c r="T81" i="218" s="1"/>
  <c r="T68" i="218"/>
  <c r="E51" i="233"/>
  <c r="E47" i="233"/>
  <c r="E50" i="233"/>
  <c r="E49" i="233"/>
  <c r="E48" i="233"/>
  <c r="E173" i="233"/>
  <c r="E176" i="233"/>
  <c r="E177" i="233"/>
  <c r="E175" i="233"/>
  <c r="BV68" i="218"/>
  <c r="BV80" i="218"/>
  <c r="BV81" i="218" s="1"/>
  <c r="AV80" i="218"/>
  <c r="AV81" i="218" s="1"/>
  <c r="AV68" i="218"/>
  <c r="BB80" i="218"/>
  <c r="BB68" i="218"/>
  <c r="E251" i="233"/>
  <c r="E212" i="233"/>
  <c r="E211" i="233"/>
  <c r="E208" i="233"/>
  <c r="E210" i="233"/>
  <c r="BJ68" i="218"/>
  <c r="BJ80" i="218"/>
  <c r="BJ81" i="218" s="1"/>
  <c r="E91" i="233"/>
  <c r="E89" i="233"/>
  <c r="E92" i="233"/>
  <c r="E93" i="233"/>
  <c r="BW40" i="218" l="1"/>
  <c r="BC40" i="218"/>
  <c r="H71" i="229"/>
  <c r="H74" i="229" s="1"/>
  <c r="D247" i="233"/>
  <c r="L55" i="213"/>
  <c r="AO40" i="218"/>
  <c r="AO67" i="218"/>
  <c r="AO68" i="218" s="1"/>
  <c r="BI67" i="218"/>
  <c r="BI68" i="218" s="1"/>
  <c r="BI40" i="218"/>
  <c r="AQ40" i="218"/>
  <c r="AQ68" i="218"/>
  <c r="B97" i="181"/>
  <c r="O27" i="218"/>
  <c r="O39" i="218"/>
  <c r="O67" i="218" s="1"/>
  <c r="O68" i="218" s="1"/>
  <c r="C54" i="218"/>
  <c r="D65" i="233"/>
  <c r="D230" i="233"/>
  <c r="D233" i="233" s="1"/>
  <c r="D170" i="233"/>
  <c r="BQ39" i="218"/>
  <c r="BQ40" i="218" s="1"/>
  <c r="M47" i="213"/>
  <c r="AM40" i="218"/>
  <c r="AM67" i="218"/>
  <c r="AM68" i="218" s="1"/>
  <c r="BG40" i="218"/>
  <c r="BG67" i="218"/>
  <c r="BG68" i="218" s="1"/>
  <c r="D272" i="233"/>
  <c r="D16" i="233"/>
  <c r="W67" i="218"/>
  <c r="W68" i="218" s="1"/>
  <c r="W40" i="218"/>
  <c r="L49" i="213"/>
  <c r="L82" i="213" s="1"/>
  <c r="L87" i="213" s="1"/>
  <c r="D274" i="233"/>
  <c r="M51" i="213"/>
  <c r="C39" i="218"/>
  <c r="D279" i="233" s="1"/>
  <c r="D271" i="233"/>
  <c r="AY40" i="218"/>
  <c r="AY67" i="218"/>
  <c r="AY68" i="218" s="1"/>
  <c r="G67" i="218"/>
  <c r="G68" i="218" s="1"/>
  <c r="G40" i="218"/>
  <c r="BK40" i="218"/>
  <c r="BK67" i="218"/>
  <c r="BK68" i="218" s="1"/>
  <c r="O55" i="213"/>
  <c r="U67" i="218"/>
  <c r="U68" i="218" s="1"/>
  <c r="U40" i="218"/>
  <c r="M67" i="218"/>
  <c r="M68" i="218" s="1"/>
  <c r="M40" i="218"/>
  <c r="AR68" i="218"/>
  <c r="AR80" i="218"/>
  <c r="AR81" i="218" s="1"/>
  <c r="J80" i="214"/>
  <c r="J83" i="214" s="1"/>
  <c r="E106" i="233"/>
  <c r="E107" i="233"/>
  <c r="E103" i="233"/>
  <c r="E105" i="233"/>
  <c r="G35" i="106"/>
  <c r="J29" i="220"/>
  <c r="K29" i="220" s="1"/>
  <c r="I48" i="2"/>
  <c r="G27" i="188"/>
  <c r="O28" i="209"/>
  <c r="I93" i="26"/>
  <c r="I2250" i="184"/>
  <c r="M85" i="26"/>
  <c r="M102" i="199"/>
  <c r="E23" i="221" s="1"/>
  <c r="M2523" i="184"/>
  <c r="P107" i="199"/>
  <c r="G59" i="199" s="1"/>
  <c r="M101" i="199"/>
  <c r="M2603" i="184" s="1"/>
  <c r="O36" i="212"/>
  <c r="E110" i="238"/>
  <c r="E107" i="238"/>
  <c r="E112" i="238"/>
  <c r="A136" i="238"/>
  <c r="E102" i="238"/>
  <c r="E109" i="238"/>
  <c r="E108" i="238"/>
  <c r="E111" i="238"/>
  <c r="E105" i="238"/>
  <c r="E104" i="238"/>
  <c r="E106" i="238"/>
  <c r="E103" i="238"/>
  <c r="E11" i="90"/>
  <c r="E12" i="90"/>
  <c r="A47" i="90"/>
  <c r="E9" i="90"/>
  <c r="R82" i="203"/>
  <c r="B25" i="204"/>
  <c r="E102" i="197"/>
  <c r="E109" i="197"/>
  <c r="E107" i="197"/>
  <c r="E106" i="197"/>
  <c r="A136" i="197"/>
  <c r="E110" i="197"/>
  <c r="E112" i="197"/>
  <c r="E103" i="197"/>
  <c r="E104" i="197"/>
  <c r="E105" i="197"/>
  <c r="E108" i="197"/>
  <c r="B78" i="235"/>
  <c r="B80" i="235" s="1"/>
  <c r="F75" i="235"/>
  <c r="F78" i="235" s="1"/>
  <c r="E65" i="90"/>
  <c r="E58" i="90"/>
  <c r="E57" i="90"/>
  <c r="E54" i="90"/>
  <c r="E63" i="90"/>
  <c r="E66" i="90"/>
  <c r="A92" i="90"/>
  <c r="E60" i="90"/>
  <c r="E64" i="90"/>
  <c r="E55" i="90"/>
  <c r="E62" i="90"/>
  <c r="E61" i="90"/>
  <c r="B29" i="77"/>
  <c r="B9" i="77" s="1"/>
  <c r="R84" i="78"/>
  <c r="B71" i="71"/>
  <c r="B73" i="71" s="1"/>
  <c r="F68" i="71"/>
  <c r="F71" i="71" s="1"/>
  <c r="F73" i="71" s="1"/>
  <c r="F74" i="71" s="1"/>
  <c r="D16" i="221" s="1"/>
  <c r="J39" i="239"/>
  <c r="I20" i="229"/>
  <c r="I33" i="166"/>
  <c r="I35" i="166"/>
  <c r="N19" i="214"/>
  <c r="E9" i="105"/>
  <c r="E14" i="105" s="1"/>
  <c r="A48" i="105"/>
  <c r="E12" i="105"/>
  <c r="E11" i="105"/>
  <c r="M101" i="72"/>
  <c r="M2608" i="184" s="1"/>
  <c r="M2528" i="184"/>
  <c r="P107" i="72"/>
  <c r="G59" i="72" s="1"/>
  <c r="M102" i="72"/>
  <c r="E16" i="221" s="1"/>
  <c r="F61" i="76"/>
  <c r="F73" i="76" s="1"/>
  <c r="F74" i="76" s="1"/>
  <c r="D17" i="221" s="1"/>
  <c r="J39" i="220"/>
  <c r="K39" i="220" s="1"/>
  <c r="G35" i="76"/>
  <c r="B73" i="91"/>
  <c r="B71" i="198"/>
  <c r="B73" i="198" s="1"/>
  <c r="F68" i="198"/>
  <c r="F71" i="198" s="1"/>
  <c r="F73" i="198" s="1"/>
  <c r="F74" i="198" s="1"/>
  <c r="D23" i="221" s="1"/>
  <c r="E59" i="90"/>
  <c r="B71" i="141"/>
  <c r="B73" i="141" s="1"/>
  <c r="F68" i="141"/>
  <c r="F71" i="141" s="1"/>
  <c r="F73" i="141" s="1"/>
  <c r="F74" i="141" s="1"/>
  <c r="D32" i="221" s="1"/>
  <c r="E14" i="100"/>
  <c r="E57" i="105"/>
  <c r="E66" i="105"/>
  <c r="A93" i="105"/>
  <c r="E58" i="105"/>
  <c r="E54" i="105"/>
  <c r="E67" i="105" s="1"/>
  <c r="E62" i="105"/>
  <c r="E64" i="105"/>
  <c r="E65" i="105"/>
  <c r="E61" i="105"/>
  <c r="E60" i="105"/>
  <c r="E63" i="105"/>
  <c r="E55" i="105"/>
  <c r="F68" i="202"/>
  <c r="F71" i="202" s="1"/>
  <c r="F73" i="202" s="1"/>
  <c r="F74" i="202" s="1"/>
  <c r="D24" i="221" s="1"/>
  <c r="B71" i="202"/>
  <c r="B73" i="202" s="1"/>
  <c r="U32" i="230"/>
  <c r="V31" i="213"/>
  <c r="R32" i="230"/>
  <c r="C33" i="25"/>
  <c r="K27" i="218"/>
  <c r="M102" i="203"/>
  <c r="E24" i="221" s="1"/>
  <c r="M2526" i="184"/>
  <c r="P107" i="203"/>
  <c r="G59" i="203" s="1"/>
  <c r="M101" i="203"/>
  <c r="M2606" i="184" s="1"/>
  <c r="R89" i="236"/>
  <c r="B25" i="237"/>
  <c r="Q48" i="230"/>
  <c r="U47" i="213"/>
  <c r="C69" i="181"/>
  <c r="C16" i="218"/>
  <c r="R82" i="72"/>
  <c r="B25" i="73"/>
  <c r="N44" i="214"/>
  <c r="I45" i="229"/>
  <c r="I35" i="198"/>
  <c r="I33" i="198"/>
  <c r="X23" i="26"/>
  <c r="X49" i="26" s="1"/>
  <c r="N14" i="212" s="1"/>
  <c r="F14" i="212"/>
  <c r="O14" i="212" s="1"/>
  <c r="M101" i="142"/>
  <c r="M2598" i="184" s="1"/>
  <c r="M2518" i="184"/>
  <c r="P107" i="142"/>
  <c r="G59" i="142" s="1"/>
  <c r="M102" i="142"/>
  <c r="E32" i="221" s="1"/>
  <c r="M2267" i="184"/>
  <c r="B21" i="103"/>
  <c r="R76" i="102"/>
  <c r="O75" i="102"/>
  <c r="B65" i="101"/>
  <c r="B68" i="101" s="1"/>
  <c r="M2257" i="184"/>
  <c r="B21" i="133"/>
  <c r="R76" i="132"/>
  <c r="R78" i="132" s="1"/>
  <c r="O75" i="132"/>
  <c r="B65" i="131"/>
  <c r="B68" i="131" s="1"/>
  <c r="B29" i="93"/>
  <c r="B9" i="93" s="1"/>
  <c r="R84" i="92"/>
  <c r="E67" i="100"/>
  <c r="F20" i="25"/>
  <c r="J18" i="25"/>
  <c r="J20" i="25" s="1"/>
  <c r="L24" i="230"/>
  <c r="AN23" i="213"/>
  <c r="AN48" i="213" s="1"/>
  <c r="BB81" i="218"/>
  <c r="E14" i="14"/>
  <c r="I2281" i="184"/>
  <c r="O24" i="212"/>
  <c r="O44" i="212"/>
  <c r="K23" i="230"/>
  <c r="AM22" i="213"/>
  <c r="I2527" i="184"/>
  <c r="M93" i="102"/>
  <c r="R82" i="142"/>
  <c r="B25" i="143"/>
  <c r="N21" i="214"/>
  <c r="I22" i="229"/>
  <c r="I33" i="66"/>
  <c r="I35" i="66"/>
  <c r="I48" i="198"/>
  <c r="G19" i="188"/>
  <c r="O44" i="209"/>
  <c r="P44" i="209" s="1"/>
  <c r="Q44" i="209" s="1"/>
  <c r="D10" i="24"/>
  <c r="D59" i="24"/>
  <c r="D67" i="24" s="1"/>
  <c r="B33" i="25"/>
  <c r="B21" i="163"/>
  <c r="B65" i="161"/>
  <c r="B68" i="161" s="1"/>
  <c r="O75" i="162"/>
  <c r="M2252" i="184"/>
  <c r="R76" i="162"/>
  <c r="B9" i="163" s="1"/>
  <c r="R78" i="162"/>
  <c r="BP68" i="218"/>
  <c r="E14" i="197"/>
  <c r="AM23" i="213"/>
  <c r="AM48" i="213" s="1"/>
  <c r="K24" i="230"/>
  <c r="E13" i="238"/>
  <c r="AC47" i="231"/>
  <c r="AC51" i="231" s="1"/>
  <c r="O40" i="212"/>
  <c r="F80" i="235"/>
  <c r="F81" i="235" s="1"/>
  <c r="D49" i="221" s="1"/>
  <c r="AN22" i="213"/>
  <c r="L23" i="230"/>
  <c r="N40" i="214"/>
  <c r="I33" i="111"/>
  <c r="I35" i="111"/>
  <c r="I41" i="229"/>
  <c r="M43" i="2"/>
  <c r="M47" i="2" s="1"/>
  <c r="M49" i="2" s="1"/>
  <c r="L30" i="210" s="1"/>
  <c r="K47" i="2"/>
  <c r="K49" i="2" s="1"/>
  <c r="J30" i="210" s="1"/>
  <c r="D2517" i="184"/>
  <c r="M93" i="132"/>
  <c r="AF80" i="218"/>
  <c r="AF81" i="218" s="1"/>
  <c r="AF68" i="218"/>
  <c r="O43" i="212"/>
  <c r="F61" i="101"/>
  <c r="J44" i="220"/>
  <c r="K44" i="220" s="1"/>
  <c r="G35" i="101"/>
  <c r="F2512" i="184"/>
  <c r="M93" i="162"/>
  <c r="M1466" i="184"/>
  <c r="J40" i="218"/>
  <c r="O49" i="213"/>
  <c r="O56" i="213"/>
  <c r="O45" i="198"/>
  <c r="O47" i="198" s="1"/>
  <c r="O49" i="198" s="1"/>
  <c r="N45" i="210" s="1"/>
  <c r="K47" i="198"/>
  <c r="K49" i="198" s="1"/>
  <c r="J45" i="210" s="1"/>
  <c r="R82" i="199"/>
  <c r="B25" i="200"/>
  <c r="BF81" i="218"/>
  <c r="I33" i="96"/>
  <c r="I13" i="229"/>
  <c r="I35" i="96"/>
  <c r="N12" i="214"/>
  <c r="N32" i="214"/>
  <c r="N51" i="214" s="1"/>
  <c r="I35" i="91"/>
  <c r="I33" i="91"/>
  <c r="I33" i="229"/>
  <c r="E47" i="192"/>
  <c r="E106" i="180"/>
  <c r="E110" i="180"/>
  <c r="E102" i="180"/>
  <c r="E112" i="180"/>
  <c r="E103" i="180"/>
  <c r="E108" i="180"/>
  <c r="E107" i="180"/>
  <c r="E105" i="180"/>
  <c r="E104" i="180"/>
  <c r="E111" i="180"/>
  <c r="E109" i="180"/>
  <c r="A136" i="180"/>
  <c r="I80" i="214"/>
  <c r="I83" i="214" s="1"/>
  <c r="R82" i="137"/>
  <c r="B25" i="138"/>
  <c r="AC68" i="231"/>
  <c r="B21" i="173"/>
  <c r="M2269" i="184"/>
  <c r="R76" i="172"/>
  <c r="R78" i="172" s="1"/>
  <c r="O75" i="172"/>
  <c r="B65" i="171"/>
  <c r="B68" i="171" s="1"/>
  <c r="BT68" i="218"/>
  <c r="H2533" i="184"/>
  <c r="M93" i="52"/>
  <c r="L6" i="188"/>
  <c r="M6" i="188"/>
  <c r="B78" i="239"/>
  <c r="B80" i="239" s="1"/>
  <c r="F75" i="239"/>
  <c r="F78" i="239" s="1"/>
  <c r="D14" i="80"/>
  <c r="E10" i="80" s="1"/>
  <c r="AL27" i="213"/>
  <c r="AL50" i="213" s="1"/>
  <c r="H28" i="230"/>
  <c r="G2525" i="184"/>
  <c r="G2541" i="184" s="1"/>
  <c r="M93" i="82"/>
  <c r="AD81" i="218" s="1"/>
  <c r="E114" i="135"/>
  <c r="K29" i="214"/>
  <c r="J28" i="209"/>
  <c r="M28" i="209" s="1"/>
  <c r="N28" i="209" s="1"/>
  <c r="P28" i="209" s="1"/>
  <c r="Q28" i="209" s="1"/>
  <c r="J30" i="229"/>
  <c r="F33" i="2"/>
  <c r="D69" i="29"/>
  <c r="E59" i="29" s="1"/>
  <c r="L14" i="188"/>
  <c r="M14" i="188"/>
  <c r="O27" i="212"/>
  <c r="E10" i="175"/>
  <c r="E11" i="175"/>
  <c r="E12" i="175"/>
  <c r="A47" i="175"/>
  <c r="F68" i="166"/>
  <c r="F71" i="166" s="1"/>
  <c r="F73" i="166" s="1"/>
  <c r="F74" i="166" s="1"/>
  <c r="D38" i="221" s="1"/>
  <c r="B71" i="166"/>
  <c r="B73" i="166" s="1"/>
  <c r="I28" i="229"/>
  <c r="I35" i="176"/>
  <c r="I33" i="176"/>
  <c r="N27" i="214"/>
  <c r="J33" i="2"/>
  <c r="E30" i="210" s="1"/>
  <c r="F30" i="210"/>
  <c r="C61" i="2"/>
  <c r="E68" i="218" s="1"/>
  <c r="E40" i="218"/>
  <c r="D14" i="29"/>
  <c r="E10" i="29" s="1"/>
  <c r="D14" i="1"/>
  <c r="E10" i="1"/>
  <c r="C61" i="136"/>
  <c r="BE68" i="218" s="1"/>
  <c r="BE40" i="218"/>
  <c r="M80" i="214"/>
  <c r="M83" i="214" s="1"/>
  <c r="K24" i="214"/>
  <c r="J25" i="229"/>
  <c r="J23" i="209"/>
  <c r="M23" i="209" s="1"/>
  <c r="N23" i="209" s="1"/>
  <c r="P23" i="209" s="1"/>
  <c r="Q23" i="209" s="1"/>
  <c r="F33" i="81"/>
  <c r="X23" i="172"/>
  <c r="X49" i="172" s="1"/>
  <c r="N45" i="212" s="1"/>
  <c r="F45" i="212"/>
  <c r="B61" i="81"/>
  <c r="E21" i="242"/>
  <c r="G21" i="242" s="1"/>
  <c r="F25" i="188"/>
  <c r="D43" i="188"/>
  <c r="I33" i="131"/>
  <c r="I35" i="131"/>
  <c r="I18" i="229"/>
  <c r="N17" i="214"/>
  <c r="E10" i="234"/>
  <c r="A47" i="234"/>
  <c r="E9" i="234"/>
  <c r="E12" i="234"/>
  <c r="E11" i="234"/>
  <c r="F39" i="30"/>
  <c r="C33" i="46"/>
  <c r="U37" i="230"/>
  <c r="V36" i="213"/>
  <c r="R37" i="230"/>
  <c r="Q27" i="218"/>
  <c r="B65" i="2"/>
  <c r="B68" i="2" s="1"/>
  <c r="B21" i="6"/>
  <c r="O75" i="13"/>
  <c r="R76" i="13"/>
  <c r="R78" i="13" s="1"/>
  <c r="M2245" i="184"/>
  <c r="D68" i="218"/>
  <c r="E67" i="175"/>
  <c r="D67" i="1"/>
  <c r="E59" i="1" s="1"/>
  <c r="L26" i="188"/>
  <c r="M26" i="188"/>
  <c r="H2521" i="184"/>
  <c r="M93" i="97"/>
  <c r="M108" i="31"/>
  <c r="M109" i="31"/>
  <c r="E47" i="221" s="1"/>
  <c r="P114" i="31"/>
  <c r="G65" i="31" s="1"/>
  <c r="W66" i="227"/>
  <c r="W59" i="227"/>
  <c r="W60" i="227" s="1"/>
  <c r="N2662" i="184"/>
  <c r="M26" i="209"/>
  <c r="N26" i="209" s="1"/>
  <c r="P26" i="209" s="1"/>
  <c r="Q26" i="209" s="1"/>
  <c r="H47" i="209"/>
  <c r="M101" i="152"/>
  <c r="M2586" i="184" s="1"/>
  <c r="M102" i="152"/>
  <c r="E34" i="221" s="1"/>
  <c r="M2506" i="184"/>
  <c r="P107" i="152"/>
  <c r="G59" i="152" s="1"/>
  <c r="R85" i="240"/>
  <c r="G28" i="230"/>
  <c r="O27" i="213"/>
  <c r="O50" i="213" s="1"/>
  <c r="AK27" i="213"/>
  <c r="AK50" i="213" s="1"/>
  <c r="L2281" i="184"/>
  <c r="E13" i="234"/>
  <c r="B65" i="151"/>
  <c r="B68" i="151" s="1"/>
  <c r="B21" i="153"/>
  <c r="R76" i="152"/>
  <c r="R78" i="152" s="1"/>
  <c r="O75" i="152"/>
  <c r="M2246" i="184"/>
  <c r="M2247" i="184"/>
  <c r="O75" i="16"/>
  <c r="B65" i="15"/>
  <c r="B68" i="15" s="1"/>
  <c r="R76" i="16"/>
  <c r="R78" i="16" s="1"/>
  <c r="B21" i="17"/>
  <c r="F68" i="218"/>
  <c r="M93" i="167"/>
  <c r="BR81" i="218" s="1"/>
  <c r="L42" i="239"/>
  <c r="L54" i="239" s="1"/>
  <c r="L56" i="239" s="1"/>
  <c r="K54" i="239"/>
  <c r="K56" i="239" s="1"/>
  <c r="J18" i="46"/>
  <c r="J20" i="46" s="1"/>
  <c r="F20" i="46"/>
  <c r="D2505" i="184"/>
  <c r="M93" i="13"/>
  <c r="R76" i="21"/>
  <c r="R78" i="21" s="1"/>
  <c r="O75" i="21"/>
  <c r="B21" i="22"/>
  <c r="M2249" i="184"/>
  <c r="B65" i="20"/>
  <c r="B68" i="20" s="1"/>
  <c r="H68" i="218"/>
  <c r="E106" i="29"/>
  <c r="E111" i="29"/>
  <c r="E110" i="29"/>
  <c r="E113" i="29"/>
  <c r="E112" i="29"/>
  <c r="E104" i="29"/>
  <c r="E102" i="29"/>
  <c r="A136" i="29"/>
  <c r="E108" i="29"/>
  <c r="E105" i="29"/>
  <c r="BD81" i="218"/>
  <c r="B141" i="181"/>
  <c r="B61" i="2"/>
  <c r="E8" i="242"/>
  <c r="M28" i="213"/>
  <c r="M57" i="213" s="1"/>
  <c r="I29" i="230"/>
  <c r="E114" i="105"/>
  <c r="B25" i="168"/>
  <c r="R82" i="167"/>
  <c r="M11" i="213"/>
  <c r="I12" i="230"/>
  <c r="M102" i="137"/>
  <c r="E31" i="221" s="1"/>
  <c r="M2532" i="184"/>
  <c r="M101" i="137"/>
  <c r="M2612" i="184" s="1"/>
  <c r="P107" i="137"/>
  <c r="G59" i="137" s="1"/>
  <c r="F25" i="210"/>
  <c r="J33" i="81"/>
  <c r="E25" i="210" s="1"/>
  <c r="G41" i="239"/>
  <c r="I39" i="239" s="1"/>
  <c r="F68" i="239"/>
  <c r="F80" i="239" s="1"/>
  <c r="F81" i="239" s="1"/>
  <c r="D50" i="221" s="1"/>
  <c r="O82" i="31"/>
  <c r="R83" i="31"/>
  <c r="R85" i="31" s="1"/>
  <c r="B72" i="30"/>
  <c r="B75" i="30" s="1"/>
  <c r="B21" i="32"/>
  <c r="F68" i="136"/>
  <c r="F71" i="136" s="1"/>
  <c r="B71" i="136"/>
  <c r="R81" i="218"/>
  <c r="M109" i="240"/>
  <c r="E50" i="221" s="1"/>
  <c r="P114" i="240"/>
  <c r="G65" i="240" s="1"/>
  <c r="M108" i="240"/>
  <c r="C61" i="81"/>
  <c r="AE68" i="218" s="1"/>
  <c r="AE40" i="218"/>
  <c r="J69" i="181"/>
  <c r="E48" i="210" s="1"/>
  <c r="E73" i="210" s="1"/>
  <c r="F47" i="212"/>
  <c r="F68" i="212" s="1"/>
  <c r="O11" i="212"/>
  <c r="M1471" i="184"/>
  <c r="M1497" i="184" s="1"/>
  <c r="N2675" i="184" s="1"/>
  <c r="P40" i="218"/>
  <c r="L2541" i="184"/>
  <c r="F17" i="212"/>
  <c r="X23" i="47"/>
  <c r="X49" i="47" s="1"/>
  <c r="N17" i="212" s="1"/>
  <c r="O18" i="212"/>
  <c r="B33" i="46"/>
  <c r="D59" i="45"/>
  <c r="D10" i="45"/>
  <c r="D2281" i="184"/>
  <c r="D2509" i="184"/>
  <c r="M93" i="21"/>
  <c r="F19" i="210"/>
  <c r="J33" i="136"/>
  <c r="E19" i="210" s="1"/>
  <c r="D67" i="180"/>
  <c r="E59" i="180" s="1"/>
  <c r="I55" i="30"/>
  <c r="G12" i="188"/>
  <c r="L12" i="188" s="1"/>
  <c r="O15" i="209"/>
  <c r="O47" i="209" s="1"/>
  <c r="O64" i="209" s="1"/>
  <c r="F2269" i="184"/>
  <c r="F2281" i="184" s="1"/>
  <c r="D101" i="181" s="1"/>
  <c r="D104" i="181" s="1"/>
  <c r="D107" i="181" s="1"/>
  <c r="D109" i="181" s="1"/>
  <c r="D65" i="171"/>
  <c r="D68" i="171" s="1"/>
  <c r="D71" i="171" s="1"/>
  <c r="D73" i="171" s="1"/>
  <c r="F93" i="172"/>
  <c r="F2529" i="184" s="1"/>
  <c r="F2541" i="184" s="1"/>
  <c r="E43" i="188"/>
  <c r="F12" i="188"/>
  <c r="H93" i="47"/>
  <c r="H2255" i="184"/>
  <c r="H2281" i="184" s="1"/>
  <c r="M85" i="47"/>
  <c r="E2507" i="184"/>
  <c r="E2541" i="184" s="1"/>
  <c r="M93" i="16"/>
  <c r="J19" i="171"/>
  <c r="J20" i="171" s="1"/>
  <c r="F20" i="171"/>
  <c r="D67" i="135"/>
  <c r="E59" i="135" s="1"/>
  <c r="J17" i="209"/>
  <c r="M17" i="209" s="1"/>
  <c r="N17" i="209" s="1"/>
  <c r="P17" i="209" s="1"/>
  <c r="Q17" i="209" s="1"/>
  <c r="J19" i="229"/>
  <c r="F33" i="136"/>
  <c r="K18" i="214"/>
  <c r="L43" i="30"/>
  <c r="L54" i="30" s="1"/>
  <c r="L56" i="30" s="1"/>
  <c r="K54" i="30"/>
  <c r="K56" i="30" s="1"/>
  <c r="M93" i="172"/>
  <c r="BT81" i="218" s="1"/>
  <c r="D2529" i="184"/>
  <c r="C33" i="171"/>
  <c r="R26" i="230"/>
  <c r="U26" i="230"/>
  <c r="V25" i="213"/>
  <c r="BU27" i="218"/>
  <c r="D14" i="135"/>
  <c r="E10" i="135" s="1"/>
  <c r="M18" i="213"/>
  <c r="I19" i="230"/>
  <c r="R76" i="82"/>
  <c r="R78" i="82" s="1"/>
  <c r="B65" i="81"/>
  <c r="B68" i="81" s="1"/>
  <c r="O75" i="82"/>
  <c r="M2265" i="184"/>
  <c r="B21" i="83"/>
  <c r="AD68" i="218"/>
  <c r="K71" i="229"/>
  <c r="K74" i="229" s="1"/>
  <c r="M2261" i="184"/>
  <c r="B21" i="98"/>
  <c r="B65" i="96"/>
  <c r="B68" i="96" s="1"/>
  <c r="O75" i="97"/>
  <c r="R76" i="97"/>
  <c r="R78" i="97" s="1"/>
  <c r="AN68" i="218"/>
  <c r="A47" i="238"/>
  <c r="E10" i="238"/>
  <c r="E11" i="238"/>
  <c r="E12" i="238"/>
  <c r="E9" i="238"/>
  <c r="D67" i="80"/>
  <c r="E59" i="80" s="1"/>
  <c r="R76" i="52"/>
  <c r="R78" i="52"/>
  <c r="B65" i="51"/>
  <c r="B68" i="51" s="1"/>
  <c r="B21" i="53"/>
  <c r="O75" i="52"/>
  <c r="M2273" i="184"/>
  <c r="E114" i="90"/>
  <c r="I47" i="209"/>
  <c r="M15" i="209"/>
  <c r="D10" i="170"/>
  <c r="D59" i="170"/>
  <c r="B33" i="171"/>
  <c r="B61" i="136"/>
  <c r="E34" i="242"/>
  <c r="G34" i="242" s="1"/>
  <c r="J52" i="187"/>
  <c r="J53" i="187" s="1"/>
  <c r="I73" i="187"/>
  <c r="E14" i="175"/>
  <c r="M50" i="213"/>
  <c r="K47" i="214"/>
  <c r="J49" i="229"/>
  <c r="G48" i="230"/>
  <c r="O47" i="213"/>
  <c r="AK47" i="213"/>
  <c r="A47" i="180"/>
  <c r="E11" i="180"/>
  <c r="E9" i="180"/>
  <c r="E10" i="180"/>
  <c r="AL47" i="213"/>
  <c r="H48" i="230"/>
  <c r="F69" i="181"/>
  <c r="B40" i="218"/>
  <c r="C279" i="233"/>
  <c r="C280" i="233" s="1"/>
  <c r="B67" i="218"/>
  <c r="E271" i="233"/>
  <c r="E275" i="233"/>
  <c r="E274" i="233"/>
  <c r="E273" i="233"/>
  <c r="E272" i="233"/>
  <c r="O40" i="218" l="1"/>
  <c r="BQ67" i="218"/>
  <c r="BQ68" i="218" s="1"/>
  <c r="D275" i="233"/>
  <c r="H72" i="230"/>
  <c r="H77" i="230" s="1"/>
  <c r="C67" i="218"/>
  <c r="G72" i="230"/>
  <c r="B25" i="133"/>
  <c r="R82" i="132"/>
  <c r="M101" i="162"/>
  <c r="M2592" i="184" s="1"/>
  <c r="M102" i="162"/>
  <c r="E37" i="221" s="1"/>
  <c r="P107" i="162"/>
  <c r="G59" i="162" s="1"/>
  <c r="M2512" i="184"/>
  <c r="BP81" i="218"/>
  <c r="M102" i="132"/>
  <c r="E30" i="221" s="1"/>
  <c r="M2517" i="184"/>
  <c r="M101" i="132"/>
  <c r="M2597" i="184" s="1"/>
  <c r="P107" i="132"/>
  <c r="G59" i="132" s="1"/>
  <c r="B61" i="25"/>
  <c r="E11" i="242"/>
  <c r="G11" i="242" s="1"/>
  <c r="F32" i="210"/>
  <c r="J33" i="25"/>
  <c r="E32" i="210" s="1"/>
  <c r="C61" i="25"/>
  <c r="K68" i="218" s="1"/>
  <c r="K40" i="218"/>
  <c r="E14" i="238"/>
  <c r="R84" i="199"/>
  <c r="B29" i="200"/>
  <c r="B9" i="200" s="1"/>
  <c r="E59" i="24"/>
  <c r="E60" i="24"/>
  <c r="E58" i="24"/>
  <c r="A92" i="24"/>
  <c r="E61" i="24"/>
  <c r="E54" i="24"/>
  <c r="E63" i="24"/>
  <c r="E57" i="24"/>
  <c r="E55" i="24"/>
  <c r="E65" i="24"/>
  <c r="E64" i="24"/>
  <c r="E66" i="24"/>
  <c r="E62" i="24"/>
  <c r="J30" i="209"/>
  <c r="M30" i="209" s="1"/>
  <c r="N30" i="209" s="1"/>
  <c r="P30" i="209" s="1"/>
  <c r="Q30" i="209" s="1"/>
  <c r="K31" i="214"/>
  <c r="F33" i="25"/>
  <c r="J32" i="229"/>
  <c r="B29" i="204"/>
  <c r="B9" i="204" s="1"/>
  <c r="R84" i="203"/>
  <c r="I2510" i="184"/>
  <c r="I2541" i="184" s="1"/>
  <c r="M93" i="26"/>
  <c r="I44" i="229"/>
  <c r="N43" i="214"/>
  <c r="I33" i="101"/>
  <c r="I35" i="101"/>
  <c r="R82" i="162"/>
  <c r="B25" i="163"/>
  <c r="D14" i="24"/>
  <c r="E10" i="24" s="1"/>
  <c r="B29" i="237"/>
  <c r="B9" i="237" s="1"/>
  <c r="R91" i="236"/>
  <c r="I35" i="76"/>
  <c r="I39" i="229"/>
  <c r="N38" i="214"/>
  <c r="I33" i="76"/>
  <c r="E14" i="90"/>
  <c r="B73" i="136"/>
  <c r="R84" i="142"/>
  <c r="B29" i="143"/>
  <c r="B9" i="143" s="1"/>
  <c r="B71" i="101"/>
  <c r="B73" i="101" s="1"/>
  <c r="F68" i="101"/>
  <c r="F71" i="101" s="1"/>
  <c r="F73" i="101" s="1"/>
  <c r="F74" i="101" s="1"/>
  <c r="D22" i="221" s="1"/>
  <c r="L27" i="188"/>
  <c r="M27" i="188"/>
  <c r="AN12" i="213"/>
  <c r="L13" i="230"/>
  <c r="L19" i="188"/>
  <c r="M19" i="188"/>
  <c r="P107" i="102"/>
  <c r="G59" i="102" s="1"/>
  <c r="M101" i="102"/>
  <c r="M2607" i="184" s="1"/>
  <c r="M2527" i="184"/>
  <c r="M102" i="102"/>
  <c r="E22" i="221" s="1"/>
  <c r="B29" i="73"/>
  <c r="B9" i="73" s="1"/>
  <c r="R84" i="72"/>
  <c r="I30" i="230"/>
  <c r="M29" i="213"/>
  <c r="M56" i="213" s="1"/>
  <c r="AN40" i="213"/>
  <c r="L41" i="230"/>
  <c r="I45" i="230"/>
  <c r="M44" i="213"/>
  <c r="M55" i="213" s="1"/>
  <c r="R78" i="102"/>
  <c r="E114" i="238"/>
  <c r="AM12" i="213"/>
  <c r="K13" i="230"/>
  <c r="K41" i="230"/>
  <c r="AM40" i="213"/>
  <c r="F68" i="161"/>
  <c r="F71" i="161" s="1"/>
  <c r="F73" i="161" s="1"/>
  <c r="F74" i="161" s="1"/>
  <c r="D37" i="221" s="1"/>
  <c r="B71" i="161"/>
  <c r="B73" i="161" s="1"/>
  <c r="L22" i="230"/>
  <c r="AN21" i="213"/>
  <c r="B71" i="131"/>
  <c r="B73" i="131" s="1"/>
  <c r="F68" i="131"/>
  <c r="F71" i="131" s="1"/>
  <c r="F73" i="131" s="1"/>
  <c r="F74" i="131" s="1"/>
  <c r="D30" i="221" s="1"/>
  <c r="AM44" i="213"/>
  <c r="K45" i="230"/>
  <c r="C40" i="218"/>
  <c r="C97" i="181"/>
  <c r="AP81" i="218"/>
  <c r="AN19" i="213"/>
  <c r="L20" i="230"/>
  <c r="I35" i="106"/>
  <c r="N28" i="214"/>
  <c r="N57" i="214" s="1"/>
  <c r="I33" i="106"/>
  <c r="I29" i="229"/>
  <c r="N52" i="214"/>
  <c r="K22" i="230"/>
  <c r="AM21" i="213"/>
  <c r="L45" i="230"/>
  <c r="AN44" i="213"/>
  <c r="AM19" i="213"/>
  <c r="K20" i="230"/>
  <c r="E67" i="90"/>
  <c r="E114" i="197"/>
  <c r="R76" i="26"/>
  <c r="B65" i="25"/>
  <c r="B68" i="25" s="1"/>
  <c r="M2250" i="184"/>
  <c r="O75" i="26"/>
  <c r="B21" i="27"/>
  <c r="J68" i="218"/>
  <c r="O72" i="209"/>
  <c r="AM32" i="213"/>
  <c r="K33" i="230"/>
  <c r="AN32" i="213"/>
  <c r="AN51" i="213" s="1"/>
  <c r="L33" i="230"/>
  <c r="E114" i="180"/>
  <c r="AL82" i="213"/>
  <c r="AL87" i="213" s="1"/>
  <c r="O82" i="213"/>
  <c r="O87" i="213" s="1"/>
  <c r="R82" i="21"/>
  <c r="B25" i="22"/>
  <c r="R82" i="13"/>
  <c r="B25" i="6"/>
  <c r="R89" i="31"/>
  <c r="B25" i="32"/>
  <c r="R82" i="82"/>
  <c r="B25" i="83"/>
  <c r="D14" i="170"/>
  <c r="E10" i="170"/>
  <c r="N15" i="209"/>
  <c r="BU40" i="218"/>
  <c r="C61" i="171"/>
  <c r="BU68" i="218" s="1"/>
  <c r="M2255" i="184"/>
  <c r="O75" i="47"/>
  <c r="B65" i="46"/>
  <c r="B68" i="46" s="1"/>
  <c r="R76" i="47"/>
  <c r="R78" i="47" s="1"/>
  <c r="B21" i="48"/>
  <c r="P68" i="218"/>
  <c r="AK82" i="213"/>
  <c r="AK87" i="213" s="1"/>
  <c r="I72" i="209"/>
  <c r="I48" i="209"/>
  <c r="I64" i="209"/>
  <c r="M53" i="213"/>
  <c r="M2509" i="184"/>
  <c r="M102" i="21"/>
  <c r="E6" i="221" s="1"/>
  <c r="M101" i="21"/>
  <c r="M2589" i="184" s="1"/>
  <c r="P107" i="21"/>
  <c r="G59" i="21" s="1"/>
  <c r="H81" i="218"/>
  <c r="O17" i="212"/>
  <c r="G8" i="242"/>
  <c r="E114" i="29"/>
  <c r="F68" i="20"/>
  <c r="F71" i="20" s="1"/>
  <c r="F73" i="20" s="1"/>
  <c r="F74" i="20" s="1"/>
  <c r="D6" i="221" s="1"/>
  <c r="B71" i="20"/>
  <c r="B73" i="20" s="1"/>
  <c r="J35" i="209"/>
  <c r="M35" i="209" s="1"/>
  <c r="N35" i="209" s="1"/>
  <c r="P35" i="209" s="1"/>
  <c r="Q35" i="209" s="1"/>
  <c r="J37" i="229"/>
  <c r="F33" i="46"/>
  <c r="K36" i="214"/>
  <c r="M2281" i="184"/>
  <c r="E62" i="29"/>
  <c r="E55" i="29"/>
  <c r="E57" i="29"/>
  <c r="A92" i="29"/>
  <c r="E54" i="29"/>
  <c r="E61" i="29"/>
  <c r="E63" i="29"/>
  <c r="E66" i="29"/>
  <c r="E64" i="29"/>
  <c r="E60" i="29"/>
  <c r="E58" i="29"/>
  <c r="E65" i="29"/>
  <c r="E57" i="80"/>
  <c r="E63" i="80"/>
  <c r="E65" i="80"/>
  <c r="E64" i="80"/>
  <c r="E58" i="80"/>
  <c r="E54" i="80"/>
  <c r="E62" i="80"/>
  <c r="E60" i="80"/>
  <c r="E61" i="80"/>
  <c r="E55" i="80"/>
  <c r="A92" i="80"/>
  <c r="E66" i="80"/>
  <c r="A47" i="135"/>
  <c r="E11" i="135"/>
  <c r="E9" i="135"/>
  <c r="E12" i="135"/>
  <c r="P107" i="172"/>
  <c r="G59" i="172" s="1"/>
  <c r="M2529" i="184"/>
  <c r="M102" i="172"/>
  <c r="E39" i="221" s="1"/>
  <c r="M101" i="172"/>
  <c r="M2609" i="184" s="1"/>
  <c r="H2515" i="184"/>
  <c r="H2541" i="184" s="1"/>
  <c r="M93" i="47"/>
  <c r="F37" i="210"/>
  <c r="J33" i="46"/>
  <c r="E37" i="210" s="1"/>
  <c r="B71" i="15"/>
  <c r="B73" i="15" s="1"/>
  <c r="F68" i="15"/>
  <c r="F71" i="15" s="1"/>
  <c r="F73" i="15" s="1"/>
  <c r="F74" i="15" s="1"/>
  <c r="D5" i="221" s="1"/>
  <c r="R89" i="240"/>
  <c r="B25" i="241"/>
  <c r="B25" i="173"/>
  <c r="R82" i="172"/>
  <c r="B71" i="96"/>
  <c r="B73" i="96" s="1"/>
  <c r="F68" i="96"/>
  <c r="F71" i="96" s="1"/>
  <c r="F73" i="96" s="1"/>
  <c r="F74" i="96" s="1"/>
  <c r="D21" i="221" s="1"/>
  <c r="E65" i="135"/>
  <c r="E64" i="135"/>
  <c r="E61" i="135"/>
  <c r="A92" i="135"/>
  <c r="E57" i="135"/>
  <c r="E55" i="135"/>
  <c r="E54" i="135"/>
  <c r="E62" i="135"/>
  <c r="E58" i="135"/>
  <c r="E60" i="135"/>
  <c r="E63" i="135"/>
  <c r="E66" i="135"/>
  <c r="K12" i="188"/>
  <c r="M12" i="188"/>
  <c r="F43" i="188"/>
  <c r="M58" i="213"/>
  <c r="F68" i="151"/>
  <c r="F71" i="151" s="1"/>
  <c r="F73" i="151" s="1"/>
  <c r="F74" i="151" s="1"/>
  <c r="D34" i="221" s="1"/>
  <c r="B71" i="151"/>
  <c r="B73" i="151" s="1"/>
  <c r="C61" i="46"/>
  <c r="Q68" i="218" s="1"/>
  <c r="Q40" i="218"/>
  <c r="O45" i="212"/>
  <c r="F61" i="2"/>
  <c r="G35" i="2"/>
  <c r="J30" i="220"/>
  <c r="K30" i="220" s="1"/>
  <c r="F68" i="81"/>
  <c r="F71" i="81" s="1"/>
  <c r="B71" i="81"/>
  <c r="B73" i="81" s="1"/>
  <c r="F33" i="171"/>
  <c r="J26" i="229"/>
  <c r="J66" i="229" s="1"/>
  <c r="J24" i="209"/>
  <c r="M24" i="209" s="1"/>
  <c r="N24" i="209" s="1"/>
  <c r="P24" i="209" s="1"/>
  <c r="Q24" i="209" s="1"/>
  <c r="K25" i="214"/>
  <c r="K50" i="214" s="1"/>
  <c r="D14" i="45"/>
  <c r="R84" i="167"/>
  <c r="B29" i="168"/>
  <c r="F68" i="30"/>
  <c r="F80" i="30" s="1"/>
  <c r="F81" i="30" s="1"/>
  <c r="D47" i="221" s="1"/>
  <c r="G41" i="30"/>
  <c r="L18" i="230"/>
  <c r="AN17" i="213"/>
  <c r="N47" i="212"/>
  <c r="N68" i="212" s="1"/>
  <c r="R82" i="97"/>
  <c r="B25" i="98"/>
  <c r="E42" i="242"/>
  <c r="G42" i="242" s="1"/>
  <c r="B61" i="171"/>
  <c r="F26" i="210"/>
  <c r="J33" i="171"/>
  <c r="E26" i="210" s="1"/>
  <c r="D67" i="45"/>
  <c r="E59" i="45"/>
  <c r="B78" i="30"/>
  <c r="B80" i="30" s="1"/>
  <c r="F75" i="30"/>
  <c r="F78" i="30" s="1"/>
  <c r="M102" i="167"/>
  <c r="E38" i="221" s="1"/>
  <c r="M2516" i="184"/>
  <c r="P107" i="167"/>
  <c r="G59" i="167" s="1"/>
  <c r="M101" i="167"/>
  <c r="M2596" i="184" s="1"/>
  <c r="AM17" i="213"/>
  <c r="K18" i="230"/>
  <c r="G35" i="81"/>
  <c r="F61" i="81"/>
  <c r="F73" i="81" s="1"/>
  <c r="F74" i="81" s="1"/>
  <c r="D18" i="221" s="1"/>
  <c r="J25" i="220"/>
  <c r="K25" i="220" s="1"/>
  <c r="E12" i="1"/>
  <c r="A47" i="1"/>
  <c r="E11" i="1"/>
  <c r="E9" i="1"/>
  <c r="K28" i="230"/>
  <c r="AM27" i="213"/>
  <c r="E9" i="80"/>
  <c r="E12" i="80"/>
  <c r="A47" i="80"/>
  <c r="E11" i="80"/>
  <c r="M2533" i="184"/>
  <c r="M101" i="52"/>
  <c r="M2613" i="184" s="1"/>
  <c r="M102" i="52"/>
  <c r="E12" i="221" s="1"/>
  <c r="P107" i="52"/>
  <c r="G59" i="52" s="1"/>
  <c r="D67" i="170"/>
  <c r="F68" i="51"/>
  <c r="F71" i="51" s="1"/>
  <c r="F73" i="51" s="1"/>
  <c r="F74" i="51" s="1"/>
  <c r="D12" i="221" s="1"/>
  <c r="B71" i="51"/>
  <c r="B73" i="51" s="1"/>
  <c r="K53" i="214"/>
  <c r="K49" i="214"/>
  <c r="M2507" i="184"/>
  <c r="M102" i="16"/>
  <c r="E5" i="221" s="1"/>
  <c r="M101" i="16"/>
  <c r="M2587" i="184" s="1"/>
  <c r="P107" i="16"/>
  <c r="G59" i="16" s="1"/>
  <c r="F81" i="218"/>
  <c r="E66" i="180"/>
  <c r="E62" i="180"/>
  <c r="E58" i="180"/>
  <c r="E61" i="180"/>
  <c r="E63" i="180"/>
  <c r="E64" i="180"/>
  <c r="E57" i="180"/>
  <c r="E55" i="180"/>
  <c r="E54" i="180"/>
  <c r="E65" i="180"/>
  <c r="A92" i="180"/>
  <c r="E60" i="180"/>
  <c r="E14" i="242"/>
  <c r="G14" i="242" s="1"/>
  <c r="B61" i="46"/>
  <c r="E63" i="1"/>
  <c r="E64" i="1"/>
  <c r="E65" i="1"/>
  <c r="A92" i="1"/>
  <c r="E66" i="1"/>
  <c r="E54" i="1"/>
  <c r="E55" i="1"/>
  <c r="E61" i="1"/>
  <c r="E60" i="1"/>
  <c r="E57" i="1"/>
  <c r="E62" i="1"/>
  <c r="E58" i="1"/>
  <c r="B71" i="2"/>
  <c r="B73" i="2" s="1"/>
  <c r="F68" i="2"/>
  <c r="F71" i="2" s="1"/>
  <c r="A47" i="29"/>
  <c r="E12" i="29"/>
  <c r="E13" i="29"/>
  <c r="E67" i="29"/>
  <c r="E11" i="29"/>
  <c r="E9" i="29"/>
  <c r="E14" i="29" s="1"/>
  <c r="AN27" i="213"/>
  <c r="L28" i="230"/>
  <c r="K56" i="214"/>
  <c r="F61" i="136"/>
  <c r="F73" i="136" s="1"/>
  <c r="F74" i="136" s="1"/>
  <c r="D31" i="221" s="1"/>
  <c r="J19" i="220"/>
  <c r="K19" i="220" s="1"/>
  <c r="G35" i="136"/>
  <c r="P107" i="13"/>
  <c r="G59" i="13" s="1"/>
  <c r="M102" i="13"/>
  <c r="E4" i="221" s="1"/>
  <c r="M2505" i="184"/>
  <c r="M101" i="13"/>
  <c r="M2585" i="184" s="1"/>
  <c r="D81" i="218"/>
  <c r="E14" i="234"/>
  <c r="K25" i="188"/>
  <c r="M25" i="188"/>
  <c r="R82" i="52"/>
  <c r="B25" i="53"/>
  <c r="D2541" i="184"/>
  <c r="B25" i="17"/>
  <c r="R82" i="16"/>
  <c r="R82" i="152"/>
  <c r="B25" i="153"/>
  <c r="H72" i="209"/>
  <c r="H64" i="209"/>
  <c r="M2521" i="184"/>
  <c r="P107" i="97"/>
  <c r="G59" i="97" s="1"/>
  <c r="M101" i="97"/>
  <c r="M2601" i="184" s="1"/>
  <c r="M102" i="97"/>
  <c r="E21" i="221" s="1"/>
  <c r="AN81" i="218"/>
  <c r="K55" i="214"/>
  <c r="M101" i="82"/>
  <c r="M2605" i="184" s="1"/>
  <c r="M102" i="82"/>
  <c r="E18" i="221" s="1"/>
  <c r="M2525" i="184"/>
  <c r="P107" i="82"/>
  <c r="G59" i="82" s="1"/>
  <c r="G43" i="188"/>
  <c r="L43" i="188" s="1"/>
  <c r="B71" i="171"/>
  <c r="F68" i="171"/>
  <c r="F71" i="171" s="1"/>
  <c r="B29" i="138"/>
  <c r="B9" i="138" s="1"/>
  <c r="R84" i="137"/>
  <c r="G71" i="181"/>
  <c r="F97" i="181"/>
  <c r="J48" i="220"/>
  <c r="K48" i="220" s="1"/>
  <c r="E14" i="180"/>
  <c r="G77" i="230"/>
  <c r="B68" i="218"/>
  <c r="B80" i="218"/>
  <c r="B82" i="218" s="1"/>
  <c r="M52" i="213" l="1"/>
  <c r="C68" i="218"/>
  <c r="I72" i="230"/>
  <c r="I77" i="230" s="1"/>
  <c r="AM51" i="213"/>
  <c r="M49" i="213"/>
  <c r="K29" i="230"/>
  <c r="AM28" i="213"/>
  <c r="B29" i="163"/>
  <c r="R84" i="162"/>
  <c r="AN43" i="213"/>
  <c r="AN52" i="213" s="1"/>
  <c r="L44" i="230"/>
  <c r="E67" i="24"/>
  <c r="L29" i="230"/>
  <c r="AN28" i="213"/>
  <c r="L39" i="230"/>
  <c r="AN38" i="213"/>
  <c r="AM43" i="213"/>
  <c r="AM52" i="213" s="1"/>
  <c r="K44" i="230"/>
  <c r="G35" i="25"/>
  <c r="J32" i="220"/>
  <c r="K32" i="220" s="1"/>
  <c r="F61" i="25"/>
  <c r="J71" i="229"/>
  <c r="J74" i="229" s="1"/>
  <c r="E67" i="135"/>
  <c r="F68" i="25"/>
  <c r="F71" i="25" s="1"/>
  <c r="B71" i="25"/>
  <c r="B73" i="25" s="1"/>
  <c r="R78" i="26"/>
  <c r="M102" i="26"/>
  <c r="E7" i="221" s="1"/>
  <c r="P107" i="26"/>
  <c r="G59" i="26" s="1"/>
  <c r="M101" i="26"/>
  <c r="M2590" i="184" s="1"/>
  <c r="M2510" i="184"/>
  <c r="M2541" i="184" s="1"/>
  <c r="N2711" i="184" s="1"/>
  <c r="J81" i="218"/>
  <c r="R84" i="132"/>
  <c r="B29" i="133"/>
  <c r="B9" i="133" s="1"/>
  <c r="R82" i="102"/>
  <c r="B25" i="103"/>
  <c r="E12" i="24"/>
  <c r="E9" i="24"/>
  <c r="E14" i="24" s="1"/>
  <c r="A47" i="24"/>
  <c r="E11" i="24"/>
  <c r="K39" i="230"/>
  <c r="AM38" i="213"/>
  <c r="K80" i="214"/>
  <c r="K83" i="214" s="1"/>
  <c r="R82" i="47"/>
  <c r="B25" i="48"/>
  <c r="E67" i="1"/>
  <c r="E58" i="170"/>
  <c r="E61" i="170"/>
  <c r="E55" i="170"/>
  <c r="E63" i="170"/>
  <c r="E62" i="170"/>
  <c r="E60" i="170"/>
  <c r="E66" i="170"/>
  <c r="E54" i="170"/>
  <c r="E65" i="170"/>
  <c r="E57" i="170"/>
  <c r="A92" i="170"/>
  <c r="E64" i="170"/>
  <c r="E14" i="80"/>
  <c r="G35" i="171"/>
  <c r="J26" i="220"/>
  <c r="K26" i="220" s="1"/>
  <c r="F61" i="171"/>
  <c r="F73" i="171" s="1"/>
  <c r="F74" i="171" s="1"/>
  <c r="D39" i="221" s="1"/>
  <c r="E44" i="242"/>
  <c r="G44" i="242" s="1"/>
  <c r="I35" i="81"/>
  <c r="I25" i="229"/>
  <c r="I33" i="81"/>
  <c r="N24" i="214"/>
  <c r="E69" i="29"/>
  <c r="M47" i="209"/>
  <c r="R91" i="31"/>
  <c r="B29" i="32"/>
  <c r="B9" i="32" s="1"/>
  <c r="B29" i="53"/>
  <c r="B9" i="53" s="1"/>
  <c r="R84" i="52"/>
  <c r="E14" i="135"/>
  <c r="F61" i="46"/>
  <c r="G35" i="46"/>
  <c r="J37" i="220"/>
  <c r="K37" i="220" s="1"/>
  <c r="P15" i="209"/>
  <c r="N47" i="209"/>
  <c r="N72" i="209" s="1"/>
  <c r="K75" i="214"/>
  <c r="E14" i="1"/>
  <c r="B29" i="98"/>
  <c r="B9" i="98" s="1"/>
  <c r="R84" i="97"/>
  <c r="E11" i="45"/>
  <c r="E9" i="45"/>
  <c r="A47" i="45"/>
  <c r="E12" i="45"/>
  <c r="M102" i="47"/>
  <c r="E11" i="221" s="1"/>
  <c r="M101" i="47"/>
  <c r="M2595" i="184" s="1"/>
  <c r="M2515" i="184"/>
  <c r="P107" i="47"/>
  <c r="G59" i="47" s="1"/>
  <c r="P81" i="218"/>
  <c r="E67" i="80"/>
  <c r="B71" i="46"/>
  <c r="F68" i="46"/>
  <c r="F71" i="46" s="1"/>
  <c r="I35" i="136"/>
  <c r="I19" i="229"/>
  <c r="I33" i="136"/>
  <c r="N18" i="214"/>
  <c r="E67" i="180"/>
  <c r="J47" i="209"/>
  <c r="E62" i="45"/>
  <c r="E63" i="45"/>
  <c r="E61" i="45"/>
  <c r="E66" i="45"/>
  <c r="A92" i="45"/>
  <c r="E60" i="45"/>
  <c r="E54" i="45"/>
  <c r="E57" i="45"/>
  <c r="E55" i="45"/>
  <c r="E64" i="45"/>
  <c r="E58" i="45"/>
  <c r="E65" i="45"/>
  <c r="E10" i="45"/>
  <c r="I30" i="229"/>
  <c r="N29" i="214"/>
  <c r="I35" i="2"/>
  <c r="I33" i="2"/>
  <c r="E11" i="170"/>
  <c r="A47" i="170"/>
  <c r="E12" i="170"/>
  <c r="E9" i="170"/>
  <c r="R84" i="13"/>
  <c r="B29" i="6"/>
  <c r="B9" i="6" s="1"/>
  <c r="R84" i="152"/>
  <c r="B29" i="153"/>
  <c r="B9" i="153" s="1"/>
  <c r="F73" i="2"/>
  <c r="F74" i="2" s="1"/>
  <c r="D4" i="221" s="1"/>
  <c r="R91" i="240"/>
  <c r="B29" i="241"/>
  <c r="B9" i="241" s="1"/>
  <c r="M2621" i="184"/>
  <c r="R84" i="16"/>
  <c r="B29" i="17"/>
  <c r="B9" i="17" s="1"/>
  <c r="K43" i="188"/>
  <c r="M43" i="188"/>
  <c r="B101" i="181"/>
  <c r="B104" i="181" s="1"/>
  <c r="N2703" i="184"/>
  <c r="R84" i="21"/>
  <c r="B29" i="22"/>
  <c r="B9" i="22" s="1"/>
  <c r="B73" i="46"/>
  <c r="E59" i="170"/>
  <c r="B73" i="171"/>
  <c r="I39" i="30"/>
  <c r="I41" i="30"/>
  <c r="R84" i="172"/>
  <c r="B29" i="173"/>
  <c r="B9" i="173" s="1"/>
  <c r="R84" i="82"/>
  <c r="B29" i="83"/>
  <c r="B9" i="83" s="1"/>
  <c r="I49" i="229"/>
  <c r="N47" i="214"/>
  <c r="I69" i="181"/>
  <c r="I71" i="181"/>
  <c r="B85" i="218"/>
  <c r="M82" i="213" l="1"/>
  <c r="P82" i="213" s="1"/>
  <c r="R84" i="102"/>
  <c r="B29" i="103"/>
  <c r="B9" i="103" s="1"/>
  <c r="I32" i="229"/>
  <c r="I35" i="25"/>
  <c r="N31" i="214"/>
  <c r="I33" i="25"/>
  <c r="B25" i="27"/>
  <c r="R82" i="26"/>
  <c r="E14" i="45"/>
  <c r="F73" i="25"/>
  <c r="F74" i="25" s="1"/>
  <c r="D7" i="221" s="1"/>
  <c r="L30" i="230"/>
  <c r="AN29" i="213"/>
  <c r="J72" i="209"/>
  <c r="J64" i="209"/>
  <c r="Q15" i="209"/>
  <c r="P47" i="209"/>
  <c r="M49" i="209"/>
  <c r="M72" i="209"/>
  <c r="M64" i="209"/>
  <c r="F104" i="181"/>
  <c r="F107" i="181" s="1"/>
  <c r="F109" i="181" s="1"/>
  <c r="F110" i="181" s="1"/>
  <c r="B107" i="181"/>
  <c r="B109" i="181" s="1"/>
  <c r="AM18" i="213"/>
  <c r="K19" i="230"/>
  <c r="I35" i="46"/>
  <c r="I33" i="46"/>
  <c r="I37" i="229"/>
  <c r="N36" i="214"/>
  <c r="N56" i="214" s="1"/>
  <c r="I35" i="171"/>
  <c r="I33" i="171"/>
  <c r="N25" i="214"/>
  <c r="I26" i="229"/>
  <c r="F73" i="46"/>
  <c r="F74" i="46" s="1"/>
  <c r="D11" i="221" s="1"/>
  <c r="N55" i="214"/>
  <c r="N50" i="214"/>
  <c r="L19" i="230"/>
  <c r="AN18" i="213"/>
  <c r="AM24" i="213"/>
  <c r="K25" i="230"/>
  <c r="AM29" i="213"/>
  <c r="K30" i="230"/>
  <c r="AN24" i="213"/>
  <c r="L25" i="230"/>
  <c r="R84" i="47"/>
  <c r="B29" i="48"/>
  <c r="B9" i="48" s="1"/>
  <c r="E67" i="170"/>
  <c r="E67" i="45"/>
  <c r="E14" i="170"/>
  <c r="N49" i="214"/>
  <c r="N53" i="214"/>
  <c r="AN47" i="213"/>
  <c r="L48" i="230"/>
  <c r="AM47" i="213"/>
  <c r="K48" i="230"/>
  <c r="M87" i="213" l="1"/>
  <c r="P87" i="213" s="1"/>
  <c r="I71" i="229"/>
  <c r="I74" i="229" s="1"/>
  <c r="R84" i="26"/>
  <c r="B29" i="27"/>
  <c r="B9" i="27" s="1"/>
  <c r="K32" i="230"/>
  <c r="AM31" i="213"/>
  <c r="AM49" i="213" s="1"/>
  <c r="AN31" i="213"/>
  <c r="AN49" i="213" s="1"/>
  <c r="L32" i="230"/>
  <c r="N80" i="214"/>
  <c r="AM36" i="213"/>
  <c r="K37" i="230"/>
  <c r="I66" i="229"/>
  <c r="AN36" i="213"/>
  <c r="L37" i="230"/>
  <c r="N75" i="214"/>
  <c r="P72" i="209"/>
  <c r="Q47" i="209"/>
  <c r="Q72" i="209" s="1"/>
  <c r="AM25" i="213"/>
  <c r="AM50" i="213" s="1"/>
  <c r="K26" i="230"/>
  <c r="L26" i="230"/>
  <c r="AN25" i="213"/>
  <c r="P71" i="229" l="1"/>
  <c r="P74" i="229" s="1"/>
  <c r="L72" i="230"/>
  <c r="L77" i="230" s="1"/>
  <c r="K72" i="230"/>
  <c r="K77" i="230" s="1"/>
  <c r="AM82" i="213"/>
  <c r="AM87" i="213" s="1"/>
  <c r="AN50" i="213"/>
  <c r="AN82" i="213" s="1"/>
  <c r="AN87" i="213" s="1"/>
  <c r="N83" i="214"/>
  <c r="R80" i="214"/>
  <c r="R83" i="214" s="1"/>
  <c r="R72" i="230" l="1"/>
  <c r="R77" i="230" s="1"/>
  <c r="U72" i="230" l="1"/>
  <c r="U77" i="230" s="1"/>
  <c r="D54" i="20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C18" authorId="0" shapeId="0" xr:uid="{00000000-0006-0000-0200-000001000000}">
      <text>
        <r>
          <rPr>
            <b/>
            <sz val="9"/>
            <color indexed="81"/>
            <rFont val="Tahoma"/>
            <family val="2"/>
          </rPr>
          <t>..:</t>
        </r>
        <r>
          <rPr>
            <sz val="9"/>
            <color indexed="81"/>
            <rFont val="Tahoma"/>
            <family val="2"/>
          </rPr>
          <t xml:space="preserve">
Data is TAMU Only</t>
        </r>
      </text>
    </comment>
    <comment ref="D39" authorId="0" shapeId="0" xr:uid="{00000000-0006-0000-0200-000002000000}">
      <text>
        <r>
          <rPr>
            <b/>
            <sz val="9"/>
            <color indexed="81"/>
            <rFont val="Tahoma"/>
            <family val="2"/>
          </rPr>
          <t>..:</t>
        </r>
        <r>
          <rPr>
            <sz val="9"/>
            <color indexed="81"/>
            <rFont val="Tahoma"/>
            <family val="2"/>
          </rPr>
          <t xml:space="preserve">
UTB Only.</t>
        </r>
      </text>
    </comment>
    <comment ref="E39" authorId="0" shapeId="0" xr:uid="{00000000-0006-0000-0200-000003000000}">
      <text>
        <r>
          <rPr>
            <b/>
            <sz val="9"/>
            <color indexed="81"/>
            <rFont val="Tahoma"/>
            <family val="2"/>
          </rPr>
          <t>..:</t>
        </r>
        <r>
          <rPr>
            <sz val="9"/>
            <color indexed="81"/>
            <rFont val="Tahoma"/>
            <family val="2"/>
          </rPr>
          <t xml:space="preserve">
UTB Only.</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1E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1E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1E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1E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1E00-000005000000}">
      <text>
        <r>
          <rPr>
            <sz val="8"/>
            <color indexed="81"/>
            <rFont val="Tahoma"/>
            <family val="2"/>
          </rPr>
          <t>Operating Expenses per FTSE - Includes Capital Outlay and Excludes Aux. &amp; Public Service.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22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22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22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22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2200-000005000000}">
      <text>
        <r>
          <rPr>
            <sz val="8"/>
            <color indexed="81"/>
            <rFont val="Tahoma"/>
            <family val="2"/>
          </rPr>
          <t>Operating Expenses per FTSE - Includes Capital Outlay and Excludes Aux. &amp; Public Service.</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26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26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26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26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2600-000005000000}">
      <text>
        <r>
          <rPr>
            <sz val="8"/>
            <color indexed="81"/>
            <rFont val="Tahoma"/>
            <family val="2"/>
          </rPr>
          <t>Operating Expenses per FTSE - Includes Capital Outlay and Excludes Aux. &amp; Public Service.</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2A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2A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2A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2A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2A00-000005000000}">
      <text>
        <r>
          <rPr>
            <sz val="8"/>
            <color indexed="81"/>
            <rFont val="Tahoma"/>
            <family val="2"/>
          </rPr>
          <t>Operating Expenses per FTSE - Includes Capital Outlay and Excludes Aux. &amp; Public Service.</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2E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2E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2E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2E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2E00-000005000000}">
      <text>
        <r>
          <rPr>
            <sz val="8"/>
            <color indexed="81"/>
            <rFont val="Tahoma"/>
            <family val="2"/>
          </rPr>
          <t>Operating Expenses per FTSE - Includes Capital Outlay and Excludes Aux. &amp; Public Service.</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32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32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32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32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3200-000005000000}">
      <text>
        <r>
          <rPr>
            <sz val="8"/>
            <color indexed="81"/>
            <rFont val="Tahoma"/>
            <family val="2"/>
          </rPr>
          <t>Operating Expenses per FTSE - Includes Capital Outlay and Excludes Aux. &amp; Public Service.</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36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36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36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36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3600-000005000000}">
      <text>
        <r>
          <rPr>
            <sz val="8"/>
            <color indexed="81"/>
            <rFont val="Tahoma"/>
            <family val="2"/>
          </rPr>
          <t>Operating Expenses per FTSE - Includes Capital Outlay and Excludes Aux. &amp; Public Service.</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3A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3A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3A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3A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3A00-000005000000}">
      <text>
        <r>
          <rPr>
            <sz val="8"/>
            <color indexed="81"/>
            <rFont val="Tahoma"/>
            <family val="2"/>
          </rPr>
          <t>Operating Expenses per FTSE - Includes Capital Outlay and Excludes Aux. &amp; Public Service.</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3E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3E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3E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3E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3E00-000005000000}">
      <text>
        <r>
          <rPr>
            <sz val="8"/>
            <color indexed="81"/>
            <rFont val="Tahoma"/>
            <family val="2"/>
          </rPr>
          <t>Operating Expenses per FTSE - Includes Capital Outlay and Excludes Aux. &amp; Public Service.</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42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42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42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42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4200-000005000000}">
      <text>
        <r>
          <rPr>
            <sz val="8"/>
            <color indexed="81"/>
            <rFont val="Tahoma"/>
            <family val="2"/>
          </rPr>
          <t>Operating Expenses per FTSE - Includes Capital Outlay and Excludes Aux. &amp; Public Service.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O10" authorId="0" shapeId="0" xr:uid="{00000000-0006-0000-0900-000001000000}">
      <text>
        <r>
          <rPr>
            <b/>
            <sz val="9"/>
            <color indexed="81"/>
            <rFont val="Tahoma"/>
            <family val="2"/>
          </rPr>
          <t>..:</t>
        </r>
        <r>
          <rPr>
            <sz val="9"/>
            <color indexed="81"/>
            <rFont val="Tahoma"/>
            <family val="2"/>
          </rPr>
          <t xml:space="preserve">
Source:  Almanac Tab in Research Summary.  Copy and Paste values here.</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46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46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46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46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4600-000005000000}">
      <text>
        <r>
          <rPr>
            <sz val="8"/>
            <color indexed="81"/>
            <rFont val="Tahoma"/>
            <family val="2"/>
          </rPr>
          <t>Operating Expenses per FTSE - Includes Capital Outlay and Excludes Aux. &amp; Public Service.</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4A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4A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4A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4A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4A00-000005000000}">
      <text>
        <r>
          <rPr>
            <sz val="8"/>
            <color indexed="81"/>
            <rFont val="Tahoma"/>
            <family val="2"/>
          </rPr>
          <t>Operating Expenses per FTSE - Includes Capital Outlay and Excludes Aux. &amp; Public Service.</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4E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4E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4E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4E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4E00-000005000000}">
      <text>
        <r>
          <rPr>
            <sz val="8"/>
            <color indexed="81"/>
            <rFont val="Tahoma"/>
            <family val="2"/>
          </rPr>
          <t>Operating Expenses per FTSE - Includes Capital Outlay and Excludes Aux. &amp; Public Service.</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52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52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52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52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5200-000005000000}">
      <text>
        <r>
          <rPr>
            <sz val="8"/>
            <color indexed="81"/>
            <rFont val="Tahoma"/>
            <family val="2"/>
          </rPr>
          <t>Operating Expenses per FTSE - Includes Capital Outlay and Excludes Aux. &amp; Public Service.</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56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56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56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56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5600-000005000000}">
      <text>
        <r>
          <rPr>
            <sz val="8"/>
            <color indexed="81"/>
            <rFont val="Tahoma"/>
            <family val="2"/>
          </rPr>
          <t>Operating Expenses per FTSE - Includes Capital Outlay and Excludes Aux. &amp; Public Service.</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5A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5A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5A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5A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5A00-000005000000}">
      <text>
        <r>
          <rPr>
            <sz val="8"/>
            <color indexed="81"/>
            <rFont val="Tahoma"/>
            <family val="2"/>
          </rPr>
          <t>Operating Expenses per FTSE - Includes Capital Outlay and Excludes Aux. &amp; Public Service.</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5E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5E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5E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5E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5E00-000005000000}">
      <text>
        <r>
          <rPr>
            <sz val="8"/>
            <color indexed="81"/>
            <rFont val="Tahoma"/>
            <family val="2"/>
          </rPr>
          <t>Operating Expenses per FTSE - Includes Capital Outlay and Excludes Aux. &amp; Public Service.</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62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62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62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62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6200-000005000000}">
      <text>
        <r>
          <rPr>
            <sz val="8"/>
            <color indexed="81"/>
            <rFont val="Tahoma"/>
            <family val="2"/>
          </rPr>
          <t>Operating Expenses per FTSE - Includes Capital Outlay and Excludes Aux. &amp; Public Service.</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66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66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66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66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6600-000005000000}">
      <text>
        <r>
          <rPr>
            <sz val="8"/>
            <color indexed="81"/>
            <rFont val="Tahoma"/>
            <family val="2"/>
          </rPr>
          <t>Operating Expenses per FTSE - Includes Capital Outlay and Excludes Aux. &amp; Public Service.</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6A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6A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6A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6A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6A00-000005000000}">
      <text>
        <r>
          <rPr>
            <sz val="8"/>
            <color indexed="81"/>
            <rFont val="Tahoma"/>
            <family val="2"/>
          </rPr>
          <t>Operating Expenses per FTSE - Includes Capital Outlay and Excludes Aux. &amp; Public Service.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G10" authorId="0" shapeId="0" xr:uid="{00000000-0006-0000-0B00-000001000000}">
      <text>
        <r>
          <rPr>
            <b/>
            <sz val="9"/>
            <color indexed="81"/>
            <rFont val="Tahoma"/>
            <family val="2"/>
          </rPr>
          <t>..:</t>
        </r>
        <r>
          <rPr>
            <sz val="9"/>
            <color indexed="81"/>
            <rFont val="Tahoma"/>
            <family val="2"/>
          </rPr>
          <t xml:space="preserve">
Full Time Student Equivalents
</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6E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6E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6E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6E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6E00-000005000000}">
      <text>
        <r>
          <rPr>
            <sz val="8"/>
            <color indexed="81"/>
            <rFont val="Tahoma"/>
            <family val="2"/>
          </rPr>
          <t>Operating Expenses per FTSE - Includes Capital Outlay and Excludes Aux. &amp; Public Service.</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72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72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72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72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7200-000005000000}">
      <text>
        <r>
          <rPr>
            <sz val="8"/>
            <color indexed="81"/>
            <rFont val="Tahoma"/>
            <family val="2"/>
          </rPr>
          <t>Operating Expenses per FTSE - Includes Capital Outlay and Excludes Aux. &amp; Public Service.</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76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76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76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76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7600-000005000000}">
      <text>
        <r>
          <rPr>
            <sz val="8"/>
            <color indexed="81"/>
            <rFont val="Tahoma"/>
            <family val="2"/>
          </rPr>
          <t>Operating Expenses per FTSE - Includes Capital Outlay and Excludes Aux. &amp; Public Service.</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7A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7A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7A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7A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7A00-000005000000}">
      <text>
        <r>
          <rPr>
            <sz val="8"/>
            <color indexed="81"/>
            <rFont val="Tahoma"/>
            <family val="2"/>
          </rPr>
          <t>Operating Expenses per FTSE - Includes Capital Outlay and Excludes Aux. &amp; Public Service.</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7E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7E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7E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7E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7E00-000005000000}">
      <text>
        <r>
          <rPr>
            <sz val="8"/>
            <color indexed="81"/>
            <rFont val="Tahoma"/>
            <family val="2"/>
          </rPr>
          <t>Operating Expenses per FTSE - Includes Capital Outlay and Excludes Aux. &amp; Public Service.</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82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82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82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82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8200-000005000000}">
      <text>
        <r>
          <rPr>
            <sz val="8"/>
            <color indexed="81"/>
            <rFont val="Tahoma"/>
            <family val="2"/>
          </rPr>
          <t>Operating Expenses per FTSE - Includes Capital Outlay and Excludes Aux. &amp; Public Service.</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86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86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86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86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8600-000005000000}">
      <text>
        <r>
          <rPr>
            <sz val="8"/>
            <color indexed="81"/>
            <rFont val="Tahoma"/>
            <family val="2"/>
          </rPr>
          <t>Operating Expenses per FTSE - Includes Capital Outlay and Excludes Aux. &amp; Public Service.</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8A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8A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8A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8A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8A00-000005000000}">
      <text>
        <r>
          <rPr>
            <sz val="8"/>
            <color indexed="81"/>
            <rFont val="Tahoma"/>
            <family val="2"/>
          </rPr>
          <t>Operating Expenses per FTSE - Includes Capital Outlay and Excludes Aux. &amp; Public Service.</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8E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8E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8E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8E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8E00-000005000000}">
      <text>
        <r>
          <rPr>
            <sz val="8"/>
            <color indexed="81"/>
            <rFont val="Tahoma"/>
            <family val="2"/>
          </rPr>
          <t>Operating Expenses per FTSE - Includes Capital Outlay and Excludes Aux. &amp; Public Service.</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92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92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92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92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9200-000005000000}">
      <text>
        <r>
          <rPr>
            <sz val="8"/>
            <color indexed="81"/>
            <rFont val="Tahoma"/>
            <family val="2"/>
          </rPr>
          <t>Operating Expenses per FTSE - Includes Capital Outlay and Excludes Aux. &amp; Public Service.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G11" authorId="0" shapeId="0" xr:uid="{00000000-0006-0000-0D00-000001000000}">
      <text>
        <r>
          <rPr>
            <b/>
            <sz val="9"/>
            <color indexed="81"/>
            <rFont val="Tahoma"/>
            <family val="2"/>
          </rPr>
          <t>..:</t>
        </r>
        <r>
          <rPr>
            <sz val="9"/>
            <color indexed="81"/>
            <rFont val="Tahoma"/>
            <family val="2"/>
          </rPr>
          <t xml:space="preserve">
Different formula
</t>
        </r>
      </text>
    </comment>
    <comment ref="H11" authorId="0" shapeId="0" xr:uid="{00000000-0006-0000-0D00-000002000000}">
      <text>
        <r>
          <rPr>
            <b/>
            <sz val="9"/>
            <color indexed="81"/>
            <rFont val="Tahoma"/>
            <family val="2"/>
          </rPr>
          <t>..:</t>
        </r>
        <r>
          <rPr>
            <sz val="9"/>
            <color indexed="81"/>
            <rFont val="Tahoma"/>
            <family val="2"/>
          </rPr>
          <t xml:space="preserve">
Different formula
</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96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96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96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96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9600-000005000000}">
      <text>
        <r>
          <rPr>
            <sz val="8"/>
            <color indexed="81"/>
            <rFont val="Tahoma"/>
            <family val="2"/>
          </rPr>
          <t>Operating Expenses per FTSE - Includes Capital Outlay and Excludes Aux. &amp; Public Service.</t>
        </r>
      </text>
    </comment>
  </commentList>
</comments>
</file>

<file path=xl/comments41.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9A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9A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9A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9A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9A00-000005000000}">
      <text>
        <r>
          <rPr>
            <sz val="8"/>
            <color indexed="81"/>
            <rFont val="Tahoma"/>
            <family val="2"/>
          </rPr>
          <t>Operating Expenses per FTSE - Includes Capital Outlay and Excludes Aux. &amp; Public Service.</t>
        </r>
      </text>
    </comment>
  </commentList>
</comments>
</file>

<file path=xl/comments42.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9E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9E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9E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9E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9E00-000005000000}">
      <text>
        <r>
          <rPr>
            <sz val="8"/>
            <color indexed="81"/>
            <rFont val="Tahoma"/>
            <family val="2"/>
          </rPr>
          <t>Operating Expenses per FTSE - Includes Capital Outlay and Excludes Aux. &amp; Public Service.</t>
        </r>
      </text>
    </comment>
  </commentList>
</comments>
</file>

<file path=xl/comments43.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A2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A2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A2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A2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A200-000005000000}">
      <text>
        <r>
          <rPr>
            <sz val="8"/>
            <color indexed="81"/>
            <rFont val="Tahoma"/>
            <family val="2"/>
          </rPr>
          <t>Operating Expenses per FTSE - Includes Capital Outlay and Excludes Aux. &amp; Public Service.</t>
        </r>
      </text>
    </comment>
  </commentList>
</comments>
</file>

<file path=xl/comments44.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A6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A6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A6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A6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A600-000005000000}">
      <text>
        <r>
          <rPr>
            <sz val="8"/>
            <color indexed="81"/>
            <rFont val="Tahoma"/>
            <family val="2"/>
          </rPr>
          <t>Operating Expenses per FTSE - Includes Capital Outlay and Excludes Aux. &amp; Public Service.</t>
        </r>
      </text>
    </comment>
  </commentList>
</comments>
</file>

<file path=xl/comments45.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AA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AA00-000002000000}">
      <text>
        <r>
          <rPr>
            <b/>
            <sz val="9"/>
            <color indexed="81"/>
            <rFont val="Tahoma"/>
            <family val="2"/>
          </rPr>
          <t>..:</t>
        </r>
        <r>
          <rPr>
            <sz val="9"/>
            <color indexed="81"/>
            <rFont val="Tahoma"/>
            <family val="2"/>
          </rPr>
          <t xml:space="preserve">
State Appropriations per Full -Time Faculty Equivalent.</t>
        </r>
      </text>
    </comment>
    <comment ref="I38" authorId="0" shapeId="0" xr:uid="{00000000-0006-0000-AA00-000003000000}">
      <text>
        <r>
          <rPr>
            <b/>
            <sz val="9"/>
            <color indexed="81"/>
            <rFont val="Tahoma"/>
            <family val="2"/>
          </rPr>
          <t>..:</t>
        </r>
        <r>
          <rPr>
            <sz val="9"/>
            <color indexed="81"/>
            <rFont val="Tahoma"/>
            <family val="2"/>
          </rPr>
          <t xml:space="preserve">
Total Revenue Net of Constitutional Funds Per FTSE.</t>
        </r>
      </text>
    </comment>
    <comment ref="I40" authorId="0" shapeId="0" xr:uid="{00000000-0006-0000-AA00-000004000000}">
      <text>
        <r>
          <rPr>
            <b/>
            <sz val="9"/>
            <color indexed="81"/>
            <rFont val="Tahoma"/>
            <family val="2"/>
          </rPr>
          <t>..:</t>
        </r>
        <r>
          <rPr>
            <sz val="9"/>
            <color indexed="81"/>
            <rFont val="Tahoma"/>
            <family val="2"/>
          </rPr>
          <t xml:space="preserve">
Total Revenue Net of Constitutional Funds Per Full Time Faculty Equivalent.</t>
        </r>
      </text>
    </comment>
    <comment ref="I54" authorId="1" shapeId="0" xr:uid="{00000000-0006-0000-AA00-000005000000}">
      <text>
        <r>
          <rPr>
            <sz val="8"/>
            <color indexed="81"/>
            <rFont val="Tahoma"/>
            <family val="2"/>
          </rPr>
          <t>Operating Expenses per FTSE - Includes Capital Outlay and Excludes Aux. &amp; Public Service.</t>
        </r>
      </text>
    </comment>
  </commentList>
</comments>
</file>

<file path=xl/comments46.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AE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AE00-000002000000}">
      <text>
        <r>
          <rPr>
            <b/>
            <sz val="9"/>
            <color indexed="81"/>
            <rFont val="Tahoma"/>
            <family val="2"/>
          </rPr>
          <t>..:</t>
        </r>
        <r>
          <rPr>
            <sz val="9"/>
            <color indexed="81"/>
            <rFont val="Tahoma"/>
            <family val="2"/>
          </rPr>
          <t xml:space="preserve">
State Appropriations per Full -Time Faculty Equivalent.</t>
        </r>
      </text>
    </comment>
    <comment ref="I38" authorId="0" shapeId="0" xr:uid="{00000000-0006-0000-AE00-000003000000}">
      <text>
        <r>
          <rPr>
            <b/>
            <sz val="9"/>
            <color indexed="81"/>
            <rFont val="Tahoma"/>
            <family val="2"/>
          </rPr>
          <t>..:</t>
        </r>
        <r>
          <rPr>
            <sz val="9"/>
            <color indexed="81"/>
            <rFont val="Tahoma"/>
            <family val="2"/>
          </rPr>
          <t xml:space="preserve">
Total Revenue Net of Constitutional Funds Per FTSE.</t>
        </r>
      </text>
    </comment>
    <comment ref="I40" authorId="0" shapeId="0" xr:uid="{00000000-0006-0000-AE00-000004000000}">
      <text>
        <r>
          <rPr>
            <b/>
            <sz val="9"/>
            <color indexed="81"/>
            <rFont val="Tahoma"/>
            <family val="2"/>
          </rPr>
          <t>..:</t>
        </r>
        <r>
          <rPr>
            <sz val="9"/>
            <color indexed="81"/>
            <rFont val="Tahoma"/>
            <family val="2"/>
          </rPr>
          <t xml:space="preserve">
Total Revenue Net of Constitutional Funds Per Full Time Faculty Equivalent.</t>
        </r>
      </text>
    </comment>
    <comment ref="I54" authorId="1" shapeId="0" xr:uid="{00000000-0006-0000-AE00-000005000000}">
      <text>
        <r>
          <rPr>
            <sz val="8"/>
            <color indexed="81"/>
            <rFont val="Tahoma"/>
            <family val="2"/>
          </rPr>
          <t>Operating Expenses per FTSE - Includes Capital Outlay and Excludes Aux. &amp; Public Service.</t>
        </r>
      </text>
    </comment>
  </commentList>
</comments>
</file>

<file path=xl/comments47.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B2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B200-000002000000}">
      <text>
        <r>
          <rPr>
            <b/>
            <sz val="9"/>
            <color indexed="81"/>
            <rFont val="Tahoma"/>
            <family val="2"/>
          </rPr>
          <t>..:</t>
        </r>
        <r>
          <rPr>
            <sz val="9"/>
            <color indexed="81"/>
            <rFont val="Tahoma"/>
            <family val="2"/>
          </rPr>
          <t xml:space="preserve">
State Appropriations per Full -Time Faculty Equivalent.</t>
        </r>
      </text>
    </comment>
    <comment ref="I38" authorId="0" shapeId="0" xr:uid="{00000000-0006-0000-B200-000003000000}">
      <text>
        <r>
          <rPr>
            <b/>
            <sz val="9"/>
            <color indexed="81"/>
            <rFont val="Tahoma"/>
            <family val="2"/>
          </rPr>
          <t>..:</t>
        </r>
        <r>
          <rPr>
            <sz val="9"/>
            <color indexed="81"/>
            <rFont val="Tahoma"/>
            <family val="2"/>
          </rPr>
          <t xml:space="preserve">
Total Revenue Net of Constitutional Funds Per FTSE.</t>
        </r>
      </text>
    </comment>
    <comment ref="I40" authorId="0" shapeId="0" xr:uid="{00000000-0006-0000-B200-000004000000}">
      <text>
        <r>
          <rPr>
            <b/>
            <sz val="9"/>
            <color indexed="81"/>
            <rFont val="Tahoma"/>
            <family val="2"/>
          </rPr>
          <t>..:</t>
        </r>
        <r>
          <rPr>
            <sz val="9"/>
            <color indexed="81"/>
            <rFont val="Tahoma"/>
            <family val="2"/>
          </rPr>
          <t xml:space="preserve">
Total Revenue Net of Constitutional Funds Per Full Time Faculty Equivalent.</t>
        </r>
      </text>
    </comment>
    <comment ref="I54" authorId="1" shapeId="0" xr:uid="{00000000-0006-0000-B200-000005000000}">
      <text>
        <r>
          <rPr>
            <sz val="8"/>
            <color indexed="81"/>
            <rFont val="Tahoma"/>
            <family val="2"/>
          </rPr>
          <t>Operating Expenses per FTSE - Includes Capital Outlay and Excludes Aux. &amp; Public Service.</t>
        </r>
      </text>
    </comment>
  </commentList>
</comments>
</file>

<file path=xl/comments48.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B6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B600-000002000000}">
      <text>
        <r>
          <rPr>
            <b/>
            <sz val="9"/>
            <color indexed="81"/>
            <rFont val="Tahoma"/>
            <family val="2"/>
          </rPr>
          <t>..:</t>
        </r>
        <r>
          <rPr>
            <sz val="9"/>
            <color indexed="81"/>
            <rFont val="Tahoma"/>
            <family val="2"/>
          </rPr>
          <t xml:space="preserve">
State Appropriations per Full -Time Faculty Equivalent.</t>
        </r>
      </text>
    </comment>
    <comment ref="I38" authorId="0" shapeId="0" xr:uid="{00000000-0006-0000-B600-000003000000}">
      <text>
        <r>
          <rPr>
            <b/>
            <sz val="9"/>
            <color indexed="81"/>
            <rFont val="Tahoma"/>
            <family val="2"/>
          </rPr>
          <t>..:</t>
        </r>
        <r>
          <rPr>
            <sz val="9"/>
            <color indexed="81"/>
            <rFont val="Tahoma"/>
            <family val="2"/>
          </rPr>
          <t xml:space="preserve">
Total Revenue Net of Constitutional Funds Per FTSE.</t>
        </r>
      </text>
    </comment>
    <comment ref="I40" authorId="0" shapeId="0" xr:uid="{00000000-0006-0000-B600-000004000000}">
      <text>
        <r>
          <rPr>
            <b/>
            <sz val="9"/>
            <color indexed="81"/>
            <rFont val="Tahoma"/>
            <family val="2"/>
          </rPr>
          <t>..:</t>
        </r>
        <r>
          <rPr>
            <sz val="9"/>
            <color indexed="81"/>
            <rFont val="Tahoma"/>
            <family val="2"/>
          </rPr>
          <t xml:space="preserve">
Total Revenue Net of Constitutional Funds Per Full Time Faculty Equivalent.</t>
        </r>
      </text>
    </comment>
    <comment ref="I54" authorId="1" shapeId="0" xr:uid="{00000000-0006-0000-B600-000005000000}">
      <text>
        <r>
          <rPr>
            <sz val="8"/>
            <color indexed="81"/>
            <rFont val="Tahoma"/>
            <family val="2"/>
          </rPr>
          <t>Operating Expenses per FTSE - Includes Capital Outlay and Excludes Aux. &amp; Public Service.</t>
        </r>
      </text>
    </comment>
  </commentList>
</comments>
</file>

<file path=xl/comments49.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F5" authorId="0" shapeId="0" xr:uid="{00000000-0006-0000-BA00-000001000000}">
      <text>
        <r>
          <rPr>
            <b/>
            <sz val="9"/>
            <color indexed="81"/>
            <rFont val="Tahoma"/>
            <family val="2"/>
          </rPr>
          <t>..:</t>
        </r>
        <r>
          <rPr>
            <sz val="9"/>
            <color indexed="81"/>
            <rFont val="Tahoma"/>
            <family val="2"/>
          </rPr>
          <t xml:space="preserve">
Includes FICE Code.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N9" authorId="0" shapeId="0" xr:uid="{00000000-0006-0000-0E00-000001000000}">
      <text>
        <r>
          <rPr>
            <b/>
            <sz val="9"/>
            <color indexed="81"/>
            <rFont val="Tahoma"/>
            <family val="2"/>
          </rPr>
          <t>..:</t>
        </r>
        <r>
          <rPr>
            <sz val="9"/>
            <color indexed="81"/>
            <rFont val="Tahoma"/>
            <family val="2"/>
          </rPr>
          <t xml:space="preserve">
Sue in Col D &amp; E is no longer used.  It is not on this master.</t>
        </r>
      </text>
    </comment>
    <comment ref="G10" authorId="0" shapeId="0" xr:uid="{00000000-0006-0000-0E00-000002000000}">
      <text>
        <r>
          <rPr>
            <b/>
            <sz val="9"/>
            <color indexed="81"/>
            <rFont val="Tahoma"/>
            <family val="2"/>
          </rPr>
          <t>..:</t>
        </r>
        <r>
          <rPr>
            <sz val="9"/>
            <color indexed="81"/>
            <rFont val="Tahoma"/>
            <family val="2"/>
          </rPr>
          <t xml:space="preserve">
State Appropriations per Full Time Student Equivalent.</t>
        </r>
      </text>
    </comment>
    <comment ref="H10" authorId="0" shapeId="0" xr:uid="{00000000-0006-0000-0E00-000003000000}">
      <text>
        <r>
          <rPr>
            <b/>
            <sz val="9"/>
            <color indexed="81"/>
            <rFont val="Tahoma"/>
            <family val="2"/>
          </rPr>
          <t>..:</t>
        </r>
        <r>
          <rPr>
            <sz val="9"/>
            <color indexed="81"/>
            <rFont val="Tahoma"/>
            <family val="2"/>
          </rPr>
          <t xml:space="preserve">
State Appropriations per Full -Time Faculty Equivalent.</t>
        </r>
      </text>
    </comment>
    <comment ref="I10" authorId="1" shapeId="0" xr:uid="{00000000-0006-0000-0E00-000004000000}">
      <text>
        <r>
          <rPr>
            <sz val="8"/>
            <color indexed="81"/>
            <rFont val="Tahoma"/>
            <family val="2"/>
          </rPr>
          <t>Operating Expenses per FTSE - Includes Capital Outlay and Excludes Aux. &amp; Public Service.</t>
        </r>
      </text>
    </comment>
    <comment ref="K10" authorId="0" shapeId="0" xr:uid="{00000000-0006-0000-0E00-000005000000}">
      <text>
        <r>
          <rPr>
            <b/>
            <sz val="9"/>
            <color indexed="81"/>
            <rFont val="Tahoma"/>
            <family val="2"/>
          </rPr>
          <t>..:</t>
        </r>
        <r>
          <rPr>
            <sz val="9"/>
            <color indexed="81"/>
            <rFont val="Tahoma"/>
            <family val="2"/>
          </rPr>
          <t xml:space="preserve">
Total Revenue Net of Constitutional Funds Per FTSE.</t>
        </r>
      </text>
    </comment>
    <comment ref="L10" authorId="0" shapeId="0" xr:uid="{00000000-0006-0000-0E00-000006000000}">
      <text>
        <r>
          <rPr>
            <b/>
            <sz val="9"/>
            <color indexed="81"/>
            <rFont val="Tahoma"/>
            <family val="2"/>
          </rPr>
          <t>..:</t>
        </r>
        <r>
          <rPr>
            <sz val="9"/>
            <color indexed="81"/>
            <rFont val="Tahoma"/>
            <family val="2"/>
          </rPr>
          <t xml:space="preserve">
Total Revenue Net of Constitutional Funds Per Full Time Faculty Equivalent.</t>
        </r>
      </text>
    </comment>
    <comment ref="M10" authorId="0" shapeId="0" xr:uid="{00000000-0006-0000-0E00-000007000000}">
      <text>
        <r>
          <rPr>
            <b/>
            <sz val="9"/>
            <color indexed="81"/>
            <rFont val="Tahoma"/>
            <family val="2"/>
          </rPr>
          <t>..:</t>
        </r>
        <r>
          <rPr>
            <sz val="9"/>
            <color indexed="81"/>
            <rFont val="Tahoma"/>
            <family val="2"/>
          </rPr>
          <t xml:space="preserve">
Full Time Student Equivalents
</t>
        </r>
      </text>
    </comment>
  </commentList>
</comments>
</file>

<file path=xl/comments50.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D1" authorId="0" shapeId="0" xr:uid="{00000000-0006-0000-BC00-000001000000}">
      <text>
        <r>
          <rPr>
            <b/>
            <sz val="9"/>
            <color indexed="81"/>
            <rFont val="Tahoma"/>
            <family val="2"/>
          </rPr>
          <t>..:</t>
        </r>
        <r>
          <rPr>
            <sz val="9"/>
            <color indexed="81"/>
            <rFont val="Tahoma"/>
            <family val="2"/>
          </rPr>
          <t xml:space="preserve">
Peer Groups for CC started in FY 2006.  FY 2006 is used to classify prior years.</t>
        </r>
      </text>
    </comment>
    <comment ref="AA4" authorId="0" shapeId="0" xr:uid="{00000000-0006-0000-BC00-000002000000}">
      <text>
        <r>
          <rPr>
            <b/>
            <sz val="9"/>
            <color indexed="81"/>
            <rFont val="Tahoma"/>
            <family val="2"/>
          </rPr>
          <t>..:</t>
        </r>
        <r>
          <rPr>
            <sz val="9"/>
            <color indexed="81"/>
            <rFont val="Tahoma"/>
            <family val="2"/>
          </rPr>
          <t xml:space="preserve">
Lookup formula will work through this column.</t>
        </r>
      </text>
    </comment>
    <comment ref="S5" authorId="0" shapeId="0" xr:uid="{00000000-0006-0000-BC00-000003000000}">
      <text>
        <r>
          <rPr>
            <b/>
            <sz val="9"/>
            <color indexed="81"/>
            <rFont val="Tahoma"/>
            <family val="2"/>
          </rPr>
          <t>..:</t>
        </r>
        <r>
          <rPr>
            <sz val="9"/>
            <color indexed="81"/>
            <rFont val="Tahoma"/>
            <family val="2"/>
          </rPr>
          <t xml:space="preserve">
FY 15 is the same as FY 14 Per Diane E.  1-29-16.</t>
        </r>
      </text>
    </comment>
    <comment ref="T5" authorId="0" shapeId="0" xr:uid="{00000000-0006-0000-BC00-000004000000}">
      <text>
        <r>
          <rPr>
            <b/>
            <sz val="9"/>
            <color indexed="81"/>
            <rFont val="Tahoma"/>
            <family val="2"/>
          </rPr>
          <t>..:</t>
        </r>
        <r>
          <rPr>
            <sz val="9"/>
            <color indexed="81"/>
            <rFont val="Tahoma"/>
            <family val="2"/>
          </rPr>
          <t xml:space="preserve">
Source:  Diane E. - Sas run.  11/16/16</t>
        </r>
      </text>
    </comment>
    <comment ref="U5" authorId="0" shapeId="0" xr:uid="{00000000-0006-0000-BC00-000005000000}">
      <text>
        <r>
          <rPr>
            <b/>
            <sz val="9"/>
            <color indexed="81"/>
            <rFont val="Tahoma"/>
            <family val="2"/>
          </rPr>
          <t>..:</t>
        </r>
        <r>
          <rPr>
            <sz val="9"/>
            <color indexed="81"/>
            <rFont val="Tahoma"/>
            <family val="2"/>
          </rPr>
          <t xml:space="preserve">
Source:  Diane E. - Same as FY 2016.  11/29/17
</t>
        </r>
      </text>
    </comment>
    <comment ref="V5" authorId="0" shapeId="0" xr:uid="{00000000-0006-0000-BC00-000006000000}">
      <text>
        <r>
          <rPr>
            <b/>
            <sz val="9"/>
            <color indexed="81"/>
            <rFont val="Tahoma"/>
            <family val="2"/>
          </rPr>
          <t>..:</t>
        </r>
        <r>
          <rPr>
            <sz val="9"/>
            <color indexed="81"/>
            <rFont val="Tahoma"/>
            <family val="2"/>
          </rPr>
          <t xml:space="preserve">
Source:  Diane E. - Same as FY 2016.  11/29/17
</t>
        </r>
      </text>
    </comment>
    <comment ref="C6" authorId="0" shapeId="0" xr:uid="{00000000-0006-0000-BC00-000007000000}">
      <text>
        <r>
          <rPr>
            <b/>
            <sz val="9"/>
            <color indexed="81"/>
            <rFont val="Tahoma"/>
            <family val="2"/>
          </rPr>
          <t>..:</t>
        </r>
        <r>
          <rPr>
            <sz val="9"/>
            <color indexed="81"/>
            <rFont val="Tahoma"/>
            <family val="2"/>
          </rPr>
          <t xml:space="preserve">
Offset Anchor</t>
        </r>
      </text>
    </comment>
  </commentList>
</comments>
</file>

<file path=xl/comments51.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AA4" authorId="0" shapeId="0" xr:uid="{00000000-0006-0000-BD00-000001000000}">
      <text>
        <r>
          <rPr>
            <b/>
            <sz val="9"/>
            <color indexed="81"/>
            <rFont val="Tahoma"/>
            <family val="2"/>
          </rPr>
          <t>..:</t>
        </r>
        <r>
          <rPr>
            <sz val="9"/>
            <color indexed="81"/>
            <rFont val="Tahoma"/>
            <family val="2"/>
          </rPr>
          <t xml:space="preserve">
Lookup formula will work through this column.</t>
        </r>
      </text>
    </comment>
    <comment ref="S5" authorId="0" shapeId="0" xr:uid="{00000000-0006-0000-BD00-000002000000}">
      <text>
        <r>
          <rPr>
            <b/>
            <sz val="9"/>
            <color indexed="81"/>
            <rFont val="Tahoma"/>
            <family val="2"/>
          </rPr>
          <t>..:</t>
        </r>
        <r>
          <rPr>
            <sz val="9"/>
            <color indexed="81"/>
            <rFont val="Tahoma"/>
            <family val="2"/>
          </rPr>
          <t xml:space="preserve">
FY 15 is the same as FY 14 Per Diane E.  1-29-16.</t>
        </r>
      </text>
    </comment>
    <comment ref="T5" authorId="0" shapeId="0" xr:uid="{00000000-0006-0000-BD00-000003000000}">
      <text>
        <r>
          <rPr>
            <b/>
            <sz val="9"/>
            <color indexed="81"/>
            <rFont val="Tahoma"/>
            <family val="2"/>
          </rPr>
          <t>..:</t>
        </r>
        <r>
          <rPr>
            <sz val="9"/>
            <color indexed="81"/>
            <rFont val="Tahoma"/>
            <family val="2"/>
          </rPr>
          <t xml:space="preserve">
Source:  Diane E. - Sas run.  11/16/16</t>
        </r>
      </text>
    </comment>
    <comment ref="U5" authorId="0" shapeId="0" xr:uid="{00000000-0006-0000-BD00-000004000000}">
      <text>
        <r>
          <rPr>
            <b/>
            <sz val="9"/>
            <color indexed="81"/>
            <rFont val="Tahoma"/>
            <family val="2"/>
          </rPr>
          <t>..:</t>
        </r>
        <r>
          <rPr>
            <sz val="9"/>
            <color indexed="81"/>
            <rFont val="Tahoma"/>
            <family val="2"/>
          </rPr>
          <t xml:space="preserve">
Source:  Diane E. - Same as FY 2016.  11/29/17
</t>
        </r>
      </text>
    </comment>
    <comment ref="V5" authorId="0" shapeId="0" xr:uid="{00000000-0006-0000-BD00-000005000000}">
      <text>
        <r>
          <rPr>
            <b/>
            <sz val="9"/>
            <color indexed="81"/>
            <rFont val="Tahoma"/>
            <family val="2"/>
          </rPr>
          <t>..:</t>
        </r>
        <r>
          <rPr>
            <sz val="9"/>
            <color indexed="81"/>
            <rFont val="Tahoma"/>
            <family val="2"/>
          </rPr>
          <t xml:space="preserve">
Source:  Diane E. - Same as FY 2016.  11/29/17
</t>
        </r>
      </text>
    </comment>
    <comment ref="C6" authorId="0" shapeId="0" xr:uid="{00000000-0006-0000-BD00-000006000000}">
      <text>
        <r>
          <rPr>
            <b/>
            <sz val="9"/>
            <color indexed="81"/>
            <rFont val="Tahoma"/>
            <family val="2"/>
          </rPr>
          <t>..:</t>
        </r>
        <r>
          <rPr>
            <sz val="9"/>
            <color indexed="81"/>
            <rFont val="Tahoma"/>
            <family val="2"/>
          </rPr>
          <t xml:space="preserve">
Offset Anchor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O10" authorId="0" shapeId="0" xr:uid="{00000000-0006-0000-0F00-000001000000}">
      <text>
        <r>
          <rPr>
            <b/>
            <sz val="9"/>
            <color indexed="81"/>
            <rFont val="Tahoma"/>
            <family val="2"/>
          </rPr>
          <t>..:</t>
        </r>
        <r>
          <rPr>
            <sz val="9"/>
            <color indexed="81"/>
            <rFont val="Tahoma"/>
            <family val="2"/>
          </rPr>
          <t xml:space="preserve">
Different formula
</t>
        </r>
      </text>
    </comment>
    <comment ref="P10" authorId="0" shapeId="0" xr:uid="{00000000-0006-0000-0F00-000002000000}">
      <text>
        <r>
          <rPr>
            <b/>
            <sz val="9"/>
            <color indexed="81"/>
            <rFont val="Tahoma"/>
            <family val="2"/>
          </rPr>
          <t>..:</t>
        </r>
        <r>
          <rPr>
            <sz val="9"/>
            <color indexed="81"/>
            <rFont val="Tahoma"/>
            <family val="2"/>
          </rPr>
          <t xml:space="preserve">
Different formula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T9" authorId="0" shapeId="0" xr:uid="{00000000-0006-0000-1000-000001000000}">
      <text>
        <r>
          <rPr>
            <b/>
            <sz val="9"/>
            <color indexed="81"/>
            <rFont val="Tahoma"/>
            <family val="2"/>
          </rPr>
          <t>..:</t>
        </r>
        <r>
          <rPr>
            <sz val="9"/>
            <color indexed="81"/>
            <rFont val="Tahoma"/>
            <family val="2"/>
          </rPr>
          <t xml:space="preserve">
Full Time Student Equivalents
</t>
        </r>
      </text>
    </comment>
    <comment ref="AK9" authorId="0" shapeId="0" xr:uid="{00000000-0006-0000-1000-000002000000}">
      <text>
        <r>
          <rPr>
            <b/>
            <sz val="9"/>
            <color indexed="81"/>
            <rFont val="Tahoma"/>
            <family val="2"/>
          </rPr>
          <t>..:</t>
        </r>
        <r>
          <rPr>
            <sz val="9"/>
            <color indexed="81"/>
            <rFont val="Tahoma"/>
            <family val="2"/>
          </rPr>
          <t xml:space="preserve">
State Appropriations per Full Time Student Equivalent.</t>
        </r>
      </text>
    </comment>
    <comment ref="AL9" authorId="0" shapeId="0" xr:uid="{00000000-0006-0000-1000-000003000000}">
      <text>
        <r>
          <rPr>
            <b/>
            <sz val="9"/>
            <color indexed="81"/>
            <rFont val="Tahoma"/>
            <family val="2"/>
          </rPr>
          <t>..:</t>
        </r>
        <r>
          <rPr>
            <sz val="9"/>
            <color indexed="81"/>
            <rFont val="Tahoma"/>
            <family val="2"/>
          </rPr>
          <t xml:space="preserve">
State Appropriations per Full -Time Faculty Equivalent.</t>
        </r>
      </text>
    </comment>
    <comment ref="AM9" authorId="0" shapeId="0" xr:uid="{00000000-0006-0000-1000-000004000000}">
      <text>
        <r>
          <rPr>
            <b/>
            <sz val="9"/>
            <color indexed="81"/>
            <rFont val="Tahoma"/>
            <family val="2"/>
          </rPr>
          <t>..:</t>
        </r>
        <r>
          <rPr>
            <sz val="9"/>
            <color indexed="81"/>
            <rFont val="Tahoma"/>
            <family val="2"/>
          </rPr>
          <t xml:space="preserve">
Total Revenue Net of Constitutional Funds Per FTSE.</t>
        </r>
      </text>
    </comment>
    <comment ref="AN9" authorId="0" shapeId="0" xr:uid="{00000000-0006-0000-1000-000005000000}">
      <text>
        <r>
          <rPr>
            <b/>
            <sz val="9"/>
            <color indexed="81"/>
            <rFont val="Tahoma"/>
            <family val="2"/>
          </rPr>
          <t>..:</t>
        </r>
        <r>
          <rPr>
            <sz val="9"/>
            <color indexed="81"/>
            <rFont val="Tahoma"/>
            <family val="2"/>
          </rPr>
          <t xml:space="preserve">
Total Revenue Net of Constitutional Funds Per Full Time Faculty Equivalent.</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46" authorId="0" shapeId="0" xr:uid="{00000000-0006-0000-1600-000001000000}">
      <text>
        <r>
          <rPr>
            <b/>
            <sz val="9"/>
            <color indexed="81"/>
            <rFont val="Tahoma"/>
            <family val="2"/>
          </rPr>
          <t>..:</t>
        </r>
        <r>
          <rPr>
            <sz val="9"/>
            <color indexed="81"/>
            <rFont val="Tahoma"/>
            <family val="2"/>
          </rPr>
          <t xml:space="preserve">
State Appropriations per Full Time Student Equivalent.</t>
        </r>
      </text>
    </comment>
    <comment ref="I49" authorId="0" shapeId="0" xr:uid="{00000000-0006-0000-1600-000002000000}">
      <text>
        <r>
          <rPr>
            <b/>
            <sz val="9"/>
            <color indexed="81"/>
            <rFont val="Tahoma"/>
            <family val="2"/>
          </rPr>
          <t>..:</t>
        </r>
        <r>
          <rPr>
            <sz val="9"/>
            <color indexed="81"/>
            <rFont val="Tahoma"/>
            <family val="2"/>
          </rPr>
          <t xml:space="preserve">
State Appropriations per Full -Time Faculty Equivalent.</t>
        </r>
      </text>
    </comment>
    <comment ref="I68" authorId="0" shapeId="0" xr:uid="{00000000-0006-0000-1600-000003000000}">
      <text>
        <r>
          <rPr>
            <b/>
            <sz val="9"/>
            <color indexed="81"/>
            <rFont val="Tahoma"/>
            <family val="2"/>
          </rPr>
          <t>..:</t>
        </r>
        <r>
          <rPr>
            <sz val="9"/>
            <color indexed="81"/>
            <rFont val="Tahoma"/>
            <family val="2"/>
          </rPr>
          <t xml:space="preserve">
Total Revenue Net of Constitutional Funds Per FTSE.</t>
        </r>
      </text>
    </comment>
    <comment ref="I70" authorId="0" shapeId="0" xr:uid="{00000000-0006-0000-1600-000004000000}">
      <text>
        <r>
          <rPr>
            <b/>
            <sz val="9"/>
            <color indexed="81"/>
            <rFont val="Tahoma"/>
            <family val="2"/>
          </rPr>
          <t>..:</t>
        </r>
        <r>
          <rPr>
            <sz val="9"/>
            <color indexed="81"/>
            <rFont val="Tahoma"/>
            <family val="2"/>
          </rPr>
          <t xml:space="preserve">
Total Revenue Net of Constitutional Funds Per Full Time Faculty Equivalent.</t>
        </r>
      </text>
    </comment>
    <comment ref="I83" authorId="1" shapeId="0" xr:uid="{00000000-0006-0000-1600-000005000000}">
      <text>
        <r>
          <rPr>
            <sz val="8"/>
            <color indexed="81"/>
            <rFont val="Tahoma"/>
            <family val="2"/>
          </rPr>
          <t>Operating Expenses per FTSE - Includes Capital Outlay and Excludes Aux. &amp; Public Service.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uthor>
    <author>beinkejt</author>
  </authors>
  <commentList>
    <comment ref="I10" authorId="0" shapeId="0" xr:uid="{00000000-0006-0000-1A00-000001000000}">
      <text>
        <r>
          <rPr>
            <b/>
            <sz val="9"/>
            <color indexed="81"/>
            <rFont val="Tahoma"/>
            <family val="2"/>
          </rPr>
          <t>..:</t>
        </r>
        <r>
          <rPr>
            <sz val="9"/>
            <color indexed="81"/>
            <rFont val="Tahoma"/>
            <family val="2"/>
          </rPr>
          <t xml:space="preserve">
State Appropriations per Full Time Student Equivalent.</t>
        </r>
      </text>
    </comment>
    <comment ref="I13" authorId="0" shapeId="0" xr:uid="{00000000-0006-0000-1A00-000002000000}">
      <text>
        <r>
          <rPr>
            <b/>
            <sz val="9"/>
            <color indexed="81"/>
            <rFont val="Tahoma"/>
            <family val="2"/>
          </rPr>
          <t>..:</t>
        </r>
        <r>
          <rPr>
            <sz val="9"/>
            <color indexed="81"/>
            <rFont val="Tahoma"/>
            <family val="2"/>
          </rPr>
          <t xml:space="preserve">
State Appropriations per Full -Time Faculty Equivalent.</t>
        </r>
      </text>
    </comment>
    <comment ref="I32" authorId="0" shapeId="0" xr:uid="{00000000-0006-0000-1A00-000003000000}">
      <text>
        <r>
          <rPr>
            <b/>
            <sz val="9"/>
            <color indexed="81"/>
            <rFont val="Tahoma"/>
            <family val="2"/>
          </rPr>
          <t>..:</t>
        </r>
        <r>
          <rPr>
            <sz val="9"/>
            <color indexed="81"/>
            <rFont val="Tahoma"/>
            <family val="2"/>
          </rPr>
          <t xml:space="preserve">
Total Revenue Net of Constitutional Funds Per FTSE.</t>
        </r>
      </text>
    </comment>
    <comment ref="I34" authorId="0" shapeId="0" xr:uid="{00000000-0006-0000-1A00-000004000000}">
      <text>
        <r>
          <rPr>
            <b/>
            <sz val="9"/>
            <color indexed="81"/>
            <rFont val="Tahoma"/>
            <family val="2"/>
          </rPr>
          <t>..:</t>
        </r>
        <r>
          <rPr>
            <sz val="9"/>
            <color indexed="81"/>
            <rFont val="Tahoma"/>
            <family val="2"/>
          </rPr>
          <t xml:space="preserve">
Total Revenue Net of Constitutional Funds Per Full Time Faculty Equivalent.</t>
        </r>
      </text>
    </comment>
    <comment ref="I47" authorId="1" shapeId="0" xr:uid="{00000000-0006-0000-1A00-000005000000}">
      <text>
        <r>
          <rPr>
            <sz val="8"/>
            <color indexed="81"/>
            <rFont val="Tahoma"/>
            <family val="2"/>
          </rPr>
          <t>Operating Expenses per FTSE - Includes Capital Outlay and Excludes Aux. &amp; Public Service.</t>
        </r>
      </text>
    </comment>
  </commentList>
</comments>
</file>

<file path=xl/sharedStrings.xml><?xml version="1.0" encoding="utf-8"?>
<sst xmlns="http://schemas.openxmlformats.org/spreadsheetml/2006/main" count="21472" uniqueCount="2492">
  <si>
    <t>State of Texas</t>
  </si>
  <si>
    <t>State Appropriations</t>
  </si>
  <si>
    <t>State Grants and Contracts - Restricted</t>
  </si>
  <si>
    <t>Subtotal</t>
  </si>
  <si>
    <t>Student &amp; Parent</t>
  </si>
  <si>
    <t>Tuition and Fees (net of Scholarship Discounts and Allowances)</t>
  </si>
  <si>
    <t>Federal Government</t>
  </si>
  <si>
    <t>Federal Grants and Contracts - Restricted</t>
  </si>
  <si>
    <t>Institutional Resources</t>
  </si>
  <si>
    <t>Local Government Grants - Restricted</t>
  </si>
  <si>
    <t>Private Gifts and Grants - Restricted</t>
  </si>
  <si>
    <t>Sales and Services</t>
  </si>
  <si>
    <t>Net Auxiliary Enterprises</t>
  </si>
  <si>
    <t>Expenses</t>
  </si>
  <si>
    <t>Instruction</t>
  </si>
  <si>
    <t>Research</t>
  </si>
  <si>
    <t>Public Service</t>
  </si>
  <si>
    <t>Academic Support</t>
  </si>
  <si>
    <t>Student Services</t>
  </si>
  <si>
    <t>Institutional Support</t>
  </si>
  <si>
    <t>Operations and Maintenance of Plant</t>
  </si>
  <si>
    <t>Scholarships and Fellowships</t>
  </si>
  <si>
    <t>Auxiliary Enterprises</t>
  </si>
  <si>
    <t>Other Sources / (Uses) of Funds</t>
  </si>
  <si>
    <t>Other Items Not for Current Operating Use</t>
  </si>
  <si>
    <t>Revenue</t>
  </si>
  <si>
    <t>Tuition and Fees</t>
  </si>
  <si>
    <t>Local Government Grants</t>
  </si>
  <si>
    <t>Higher Education Assistance Funds</t>
  </si>
  <si>
    <t>Capital Outlay</t>
  </si>
  <si>
    <t>Educational &amp; General</t>
  </si>
  <si>
    <t>Designated</t>
  </si>
  <si>
    <t>Restricted Expendable</t>
  </si>
  <si>
    <t>Loan Funds</t>
  </si>
  <si>
    <t>Annuity, Life &amp; Endowment and Similar Funds</t>
  </si>
  <si>
    <t>Unexpended Plant</t>
  </si>
  <si>
    <t>Retirement of Indebtedness</t>
  </si>
  <si>
    <t>Investment In Plant</t>
  </si>
  <si>
    <t>Primary University</t>
  </si>
  <si>
    <t>Tuition - net</t>
  </si>
  <si>
    <t>Fees - net</t>
  </si>
  <si>
    <t>Available University Fund Excellence</t>
  </si>
  <si>
    <t>Endowment and Interest Income (See FN2)</t>
  </si>
  <si>
    <t>Other Income  (See FN3)</t>
  </si>
  <si>
    <t>Other Expenses  (See FN3)</t>
  </si>
  <si>
    <t>Bond Proceeds Transfers In (See FN4)</t>
  </si>
  <si>
    <t>Debt Service Payments  (See FN5)</t>
  </si>
  <si>
    <t>Unrealized Gains / (Losses)  (See FN6)</t>
  </si>
  <si>
    <t>Additions to Permanent Endowments  (See FN7)</t>
  </si>
  <si>
    <t>Available University Fund Excellence (See FN8)</t>
  </si>
  <si>
    <r>
      <t xml:space="preserve">Other Expenses </t>
    </r>
    <r>
      <rPr>
        <i/>
        <sz val="10"/>
        <rFont val="Arial"/>
        <family val="2"/>
      </rPr>
      <t xml:space="preserve"> </t>
    </r>
    <r>
      <rPr>
        <sz val="10"/>
        <rFont val="Arial"/>
        <family val="2"/>
      </rPr>
      <t>(See FN3)</t>
    </r>
  </si>
  <si>
    <t>Bond Proceeds Transfers  (See FN4)</t>
  </si>
  <si>
    <t>Other Income</t>
  </si>
  <si>
    <t>Other Expenses</t>
  </si>
  <si>
    <t>Mandatory and Non-mandatory Transfers (See FN11)</t>
  </si>
  <si>
    <t>*Includes Uses from Other Sources of Funds not included in Chart.  See following page (Summary).</t>
  </si>
  <si>
    <t>Charts May Not Add to 100% Due to Rounding</t>
  </si>
  <si>
    <t>Total Sources Over / (Under) Uses (See FN 10)</t>
  </si>
  <si>
    <t>Change in Net Assets  (Total Agrees with AFR***)</t>
  </si>
  <si>
    <t>Capital Outlay from Current Fund Sources*</t>
  </si>
  <si>
    <t>Capital Outlay from Non-Current Fund Sources**</t>
  </si>
  <si>
    <t>Capital Outlay from Current Fund Sources</t>
  </si>
  <si>
    <t>Capital Outlay from Non-Current Fund Sources</t>
  </si>
  <si>
    <t>Basis for Graphs - Not Printed</t>
  </si>
  <si>
    <t>$ are needed on all amounts in order to print on graph.</t>
  </si>
  <si>
    <t>Bond Proceeds</t>
  </si>
  <si>
    <t>Depreciation Expense</t>
  </si>
  <si>
    <t xml:space="preserve">Capital Outlay </t>
  </si>
  <si>
    <t>Total Operating Sources</t>
  </si>
  <si>
    <t>Total Operating Uses</t>
  </si>
  <si>
    <t>Non-Operating Funds are not included in above charts.  See following page (Summary).</t>
  </si>
  <si>
    <t>Operating Sources</t>
  </si>
  <si>
    <t>Operating Uses</t>
  </si>
  <si>
    <t>State Grants &amp; Contracts</t>
  </si>
  <si>
    <t>Federal Grants &amp; Contracts</t>
  </si>
  <si>
    <t>Endowment &amp; Interest Income</t>
  </si>
  <si>
    <t>Private Gifts &amp; Grants</t>
  </si>
  <si>
    <t>Sales &amp; Services</t>
  </si>
  <si>
    <t>Operations &amp; Maintenance of Plant</t>
  </si>
  <si>
    <t>Scholarships &amp; Fellowships</t>
  </si>
  <si>
    <t>**Defined as any capital outlay expense from funds other than Educational &amp; General, Designated, Auxiliary, or Restricted Expendable.</t>
  </si>
  <si>
    <t>Constitutional Funds Revenue</t>
  </si>
  <si>
    <t>Federal Funds Revenue</t>
  </si>
  <si>
    <t>Institutional Funds Revenue</t>
  </si>
  <si>
    <t>Total Revenue</t>
  </si>
  <si>
    <t>Expenses (for Expenses per FTE Student) - Includes Capital Outlay</t>
  </si>
  <si>
    <t>Amount</t>
  </si>
  <si>
    <t>Tuition &amp; Fees</t>
  </si>
  <si>
    <t>Pie Settings:</t>
  </si>
  <si>
    <t>The pie is 1 7/8" in diameter at a 65% Screen Zoom, This produces a 3/4" printed pie.</t>
  </si>
  <si>
    <t>The font is 14.00 Arial Bold - Turn off auto scale.</t>
  </si>
  <si>
    <t>Chart Titles are 18.00 Arial Bold</t>
  </si>
  <si>
    <t>Difference (Must be "0".)</t>
  </si>
  <si>
    <t>Data Entry Area</t>
  </si>
  <si>
    <t>Research Development Funds/ Texas Competitive Knowledge Funds</t>
  </si>
  <si>
    <t>The University of Texas at Austin</t>
  </si>
  <si>
    <t>The University of Texas at Dallas</t>
  </si>
  <si>
    <t>The University of Texas at El Paso</t>
  </si>
  <si>
    <t>The University of Texas - Pan American</t>
  </si>
  <si>
    <t>The University of Texas at Brownsville</t>
  </si>
  <si>
    <t>The University of Texas of the Permian Basin</t>
  </si>
  <si>
    <t>The University of Texas at San Antonio</t>
  </si>
  <si>
    <t>The University of Texas at Tyler</t>
  </si>
  <si>
    <t>Texas A&amp;M University</t>
  </si>
  <si>
    <t>Transfer of Capital Asset(s) from System</t>
  </si>
  <si>
    <t>Other Post-Employment Benefit (OPEB) Expense</t>
  </si>
  <si>
    <t>Texas A&amp;M University at Galveston</t>
  </si>
  <si>
    <t>Prairie View A&amp;M University</t>
  </si>
  <si>
    <t>Tarleton State University</t>
  </si>
  <si>
    <t>Texas A&amp;M University - Corpus Christi</t>
  </si>
  <si>
    <t>Texas A&amp;M University - Kingsville</t>
  </si>
  <si>
    <t>Texas A&amp;M International University</t>
  </si>
  <si>
    <t>West Texas A&amp;M University</t>
  </si>
  <si>
    <t>Texas A&amp;M University - Commerce</t>
  </si>
  <si>
    <t>Texas A&amp;M University - Texarkana</t>
  </si>
  <si>
    <t>University of Houston</t>
  </si>
  <si>
    <t>University of Houston - Clear Lake</t>
  </si>
  <si>
    <t>University of Houston - Downtown</t>
  </si>
  <si>
    <t>University of Houston - Victoria</t>
  </si>
  <si>
    <t>Sam Houston State University</t>
  </si>
  <si>
    <t>Sul Ross State University</t>
  </si>
  <si>
    <t>Texas Tech University</t>
  </si>
  <si>
    <t>Angelo State University</t>
  </si>
  <si>
    <t>University of North Texas</t>
  </si>
  <si>
    <t>Midwestern State University</t>
  </si>
  <si>
    <t>Stephen F. Austin State University</t>
  </si>
  <si>
    <t>Texas Southern University</t>
  </si>
  <si>
    <t>Texas Woman's University</t>
  </si>
  <si>
    <t>Non-Cash Capital Gifts</t>
  </si>
  <si>
    <t>Per FTSE</t>
  </si>
  <si>
    <t>Research Development Funds</t>
  </si>
  <si>
    <t>Academic Institutions</t>
  </si>
  <si>
    <t>FICE Code</t>
  </si>
  <si>
    <t>Year</t>
  </si>
  <si>
    <t xml:space="preserve">Tuition and Fees </t>
  </si>
  <si>
    <t>Total Revenue Excluding Constitutional Funds</t>
  </si>
  <si>
    <t>Expenses (for Expenses per FTE Student)*</t>
  </si>
  <si>
    <t>Total Revenue (Excluding Constitutional Funds) - Expenses*</t>
  </si>
  <si>
    <t>Total Revenue (Excluding Constitutional Funds) - Expenses* - Percent</t>
  </si>
  <si>
    <t>003541</t>
  </si>
  <si>
    <t>Angelo State</t>
  </si>
  <si>
    <t>003565</t>
  </si>
  <si>
    <t>TAMU  Commerce</t>
  </si>
  <si>
    <t>003581</t>
  </si>
  <si>
    <t>Lamar Univ</t>
  </si>
  <si>
    <t>003592</t>
  </si>
  <si>
    <t>Midwestern State</t>
  </si>
  <si>
    <t>003594</t>
  </si>
  <si>
    <t>Univ of North Texas</t>
  </si>
  <si>
    <t>003599</t>
  </si>
  <si>
    <t>UT - Pan American</t>
  </si>
  <si>
    <t>003606</t>
  </si>
  <si>
    <t>Sam Houston State</t>
  </si>
  <si>
    <t>003615</t>
  </si>
  <si>
    <t>Texas State - San Marcos</t>
  </si>
  <si>
    <t>003624</t>
  </si>
  <si>
    <t>Stephen F. Austin State</t>
  </si>
  <si>
    <t>003625</t>
  </si>
  <si>
    <t>Sul Ross State  -Alpine &amp; RGC</t>
  </si>
  <si>
    <t>003630</t>
  </si>
  <si>
    <t>Prairie View A&amp;M Univ</t>
  </si>
  <si>
    <t>003631</t>
  </si>
  <si>
    <t>Tarleton State Univ</t>
  </si>
  <si>
    <t>003632</t>
  </si>
  <si>
    <t>Texas A&amp;M</t>
  </si>
  <si>
    <t>003639</t>
  </si>
  <si>
    <t>TAMU Kingsville</t>
  </si>
  <si>
    <t>003642</t>
  </si>
  <si>
    <t>Texas Southern</t>
  </si>
  <si>
    <t>003644</t>
  </si>
  <si>
    <t>Texas Tech</t>
  </si>
  <si>
    <t>003646</t>
  </si>
  <si>
    <t>Texas Woman's</t>
  </si>
  <si>
    <t>003652</t>
  </si>
  <si>
    <t>U of Houston</t>
  </si>
  <si>
    <t>003656</t>
  </si>
  <si>
    <t>UT at Arlington</t>
  </si>
  <si>
    <t>003658</t>
  </si>
  <si>
    <t>UT at Austin</t>
  </si>
  <si>
    <t>003661</t>
  </si>
  <si>
    <t>UT at El Paso</t>
  </si>
  <si>
    <t>003665</t>
  </si>
  <si>
    <t>West Texas A&amp;M</t>
  </si>
  <si>
    <t>009651</t>
  </si>
  <si>
    <t>Texas A&amp;M International</t>
  </si>
  <si>
    <t>009741</t>
  </si>
  <si>
    <t>UT at Dallas</t>
  </si>
  <si>
    <t>009930</t>
  </si>
  <si>
    <t>UT of the Permian Basin</t>
  </si>
  <si>
    <t>010115</t>
  </si>
  <si>
    <t>UT at San Antonio</t>
  </si>
  <si>
    <t>010298</t>
  </si>
  <si>
    <t>TAMU Galveston</t>
  </si>
  <si>
    <t>011161</t>
  </si>
  <si>
    <t>TAMU Corpus Christi</t>
  </si>
  <si>
    <t>011163</t>
  </si>
  <si>
    <t>UT at Tyler</t>
  </si>
  <si>
    <t>011711</t>
  </si>
  <si>
    <t>U of Houston - Clear Lake</t>
  </si>
  <si>
    <t>012826</t>
  </si>
  <si>
    <t>U of Houston - Downtown</t>
  </si>
  <si>
    <t>013231</t>
  </si>
  <si>
    <t>U of Houston - Victoria</t>
  </si>
  <si>
    <t>029269</t>
  </si>
  <si>
    <t>TAMU Texarkana</t>
  </si>
  <si>
    <t>030646</t>
  </si>
  <si>
    <t>UT at Brownsville</t>
  </si>
  <si>
    <t>Statewide Total</t>
  </si>
  <si>
    <t xml:space="preserve">Total of </t>
  </si>
  <si>
    <t>Sources &amp; Uses Line items</t>
  </si>
  <si>
    <t>Notes:</t>
  </si>
  <si>
    <t xml:space="preserve">   State Appropriations for both Hospital and Medical School.</t>
  </si>
  <si>
    <t xml:space="preserve">   Includes Capital Outlay from Non-Current Sources Only.</t>
  </si>
  <si>
    <t xml:space="preserve">   Does not include Other Sources/Uses of Funds Such as Capital Funds, Transfers, and Other Items Not for Current Operating Use</t>
  </si>
  <si>
    <t xml:space="preserve">   Does not include  Auxiliary Enterprise Funds generated or expended within the Auxiliary Fund Group.</t>
  </si>
  <si>
    <t xml:space="preserve">Lamar University </t>
  </si>
  <si>
    <t>Transfer of Capital Asses(s) from System</t>
  </si>
  <si>
    <t>Institution</t>
  </si>
  <si>
    <t>Totals</t>
  </si>
  <si>
    <t>The University of Texas at Arlington</t>
  </si>
  <si>
    <t>Net Auxiliary  Enterprises</t>
  </si>
  <si>
    <t>State Grants &amp;  Contracts</t>
  </si>
  <si>
    <t>Workpapers for Universities</t>
  </si>
  <si>
    <t>State Grants &amp; Contracts - Restricted</t>
  </si>
  <si>
    <t>Research Development Grants</t>
  </si>
  <si>
    <t>HEAF Appropriations</t>
  </si>
  <si>
    <t>Available University Fund</t>
  </si>
  <si>
    <t>Total</t>
  </si>
  <si>
    <t>SUBTOTAL, 4 year and above</t>
  </si>
  <si>
    <t>Total to Line 2</t>
  </si>
  <si>
    <t>Total to Line 6</t>
  </si>
  <si>
    <t>SUTOTAL, Doctoral and Research</t>
  </si>
  <si>
    <t>Total to Line 3</t>
  </si>
  <si>
    <t>Total to Line 7</t>
  </si>
  <si>
    <t>TOTAL</t>
  </si>
  <si>
    <t xml:space="preserve">NOTES: </t>
  </si>
  <si>
    <t>LIT</t>
  </si>
  <si>
    <t>Total to Summary Tab</t>
  </si>
  <si>
    <t>Difference</t>
  </si>
  <si>
    <t>Purpose:  This tab is used for input to the ICUT Survey</t>
  </si>
  <si>
    <t>Balance Check</t>
  </si>
  <si>
    <t>Purpose:  This tab is used for input to the Accountability System</t>
  </si>
  <si>
    <t>Total State Appropriations</t>
  </si>
  <si>
    <t>Expenditures/  FTSE</t>
  </si>
  <si>
    <t>% Funded by State</t>
  </si>
  <si>
    <t>Appropriation/   FTSE</t>
  </si>
  <si>
    <t>Subtotal - State of Texas</t>
  </si>
  <si>
    <t>Graduates</t>
  </si>
  <si>
    <t>Summary</t>
  </si>
  <si>
    <t>T</t>
  </si>
  <si>
    <t>Zoom % should be at 75%.</t>
  </si>
  <si>
    <t>Cost Study Inputs</t>
  </si>
  <si>
    <t>Space Projection Model Inputs</t>
  </si>
  <si>
    <t>Total Cols. C,D,F,&amp; I</t>
  </si>
  <si>
    <t>Distribution of Capital Outlay by Function Capital Outlay - Current FS</t>
  </si>
  <si>
    <t>Total Col. C,D,&amp;F</t>
  </si>
  <si>
    <t>Federal Pass-Through</t>
  </si>
  <si>
    <t>State Pass-Through</t>
  </si>
  <si>
    <t>SRECNA</t>
  </si>
  <si>
    <t>N/A</t>
  </si>
  <si>
    <t>Operation and Maintenance of Plant</t>
  </si>
  <si>
    <t>Current E &amp; G Expenditures</t>
  </si>
  <si>
    <t>OPEB</t>
  </si>
  <si>
    <t>Research Expenditures</t>
  </si>
  <si>
    <t>State-Funded FTSE</t>
  </si>
  <si>
    <t>State Funded FTSE</t>
  </si>
  <si>
    <t>Institution State Funded FTSEs</t>
  </si>
  <si>
    <t>Col A - 1111 Pix.</t>
  </si>
  <si>
    <t>Rows 1-3 - 37 Pix.</t>
  </si>
  <si>
    <t>Row H of 13 = 17 Pix.</t>
  </si>
  <si>
    <t>University of North Texas at Dallas</t>
  </si>
  <si>
    <t>Texas A&amp;M University - Central Texas</t>
  </si>
  <si>
    <t>Texas A&amp;M University - San Antonio</t>
  </si>
  <si>
    <t>Proof of Footing Section:</t>
  </si>
  <si>
    <t>Total Primary University</t>
  </si>
  <si>
    <t>Column Total Code</t>
  </si>
  <si>
    <t>Univ of North Texas at Dallas</t>
  </si>
  <si>
    <t>113594</t>
  </si>
  <si>
    <t>TAMU Central Texas</t>
  </si>
  <si>
    <t>TAMU San Antonio</t>
  </si>
  <si>
    <t>103631</t>
  </si>
  <si>
    <t>103639</t>
  </si>
  <si>
    <t>37 Ok</t>
  </si>
  <si>
    <t>Count Test</t>
  </si>
  <si>
    <t>37 OK</t>
  </si>
  <si>
    <t>Depreciation</t>
  </si>
  <si>
    <t>Difference w/ FGD T&amp;F Total</t>
  </si>
  <si>
    <t>IFRS Control Total</t>
  </si>
  <si>
    <t>Per FGD Sheet</t>
  </si>
  <si>
    <t>Totals per FGD</t>
  </si>
  <si>
    <t>Per SRECNA</t>
  </si>
  <si>
    <t xml:space="preserve"> (Enter as Neg.)</t>
  </si>
  <si>
    <t>Intercollegiate Athletics</t>
  </si>
  <si>
    <t/>
  </si>
  <si>
    <t>Page Heading for Entire Workbook</t>
  </si>
  <si>
    <t>Heading on FGD Tab</t>
  </si>
  <si>
    <t>Col L Year on FGD</t>
  </si>
  <si>
    <t>A5 on SUM Tab</t>
  </si>
  <si>
    <t>Institution Name</t>
  </si>
  <si>
    <t>Name</t>
  </si>
  <si>
    <t>University Institutions:</t>
  </si>
  <si>
    <t>ARL</t>
  </si>
  <si>
    <t>AUS</t>
  </si>
  <si>
    <t>DAL</t>
  </si>
  <si>
    <t>E-P</t>
  </si>
  <si>
    <t>P-A</t>
  </si>
  <si>
    <t>BRW</t>
  </si>
  <si>
    <t>P-B</t>
  </si>
  <si>
    <t>S-A</t>
  </si>
  <si>
    <t>TYL</t>
  </si>
  <si>
    <t>TAMU</t>
  </si>
  <si>
    <t>TAMUG</t>
  </si>
  <si>
    <t>PVAMU</t>
  </si>
  <si>
    <t>TARLST</t>
  </si>
  <si>
    <t>TAMUCC</t>
  </si>
  <si>
    <t>TAMUK</t>
  </si>
  <si>
    <t>TAMIU</t>
  </si>
  <si>
    <t>WTAMU</t>
  </si>
  <si>
    <t>TAMUC</t>
  </si>
  <si>
    <t>TAMUT</t>
  </si>
  <si>
    <t>TAMUCT</t>
  </si>
  <si>
    <t>TAMUSA</t>
  </si>
  <si>
    <t>UH</t>
  </si>
  <si>
    <t>UHCL</t>
  </si>
  <si>
    <t>UHD</t>
  </si>
  <si>
    <t>UHV</t>
  </si>
  <si>
    <t>LU</t>
  </si>
  <si>
    <t>SHSU</t>
  </si>
  <si>
    <t>TXST</t>
  </si>
  <si>
    <t>SRSU</t>
  </si>
  <si>
    <t>TTU</t>
  </si>
  <si>
    <t>ASU</t>
  </si>
  <si>
    <t>UNT</t>
  </si>
  <si>
    <t>UNTD</t>
  </si>
  <si>
    <t>MidWST</t>
  </si>
  <si>
    <t>SFA</t>
  </si>
  <si>
    <t>TSU</t>
  </si>
  <si>
    <t>TWU</t>
  </si>
  <si>
    <t>Lamar/TSTC</t>
  </si>
  <si>
    <t>Lamar Institute of Technology</t>
  </si>
  <si>
    <t>Lamar State College - Orange</t>
  </si>
  <si>
    <t>LSCO</t>
  </si>
  <si>
    <t>Lamar State College - Port Arthur</t>
  </si>
  <si>
    <t>LSCPA</t>
  </si>
  <si>
    <t>Texas State Technical College - Harlingen</t>
  </si>
  <si>
    <t>TSTCH</t>
  </si>
  <si>
    <t>Texas State Technical College – West Texas</t>
  </si>
  <si>
    <t>TSTCWTX</t>
  </si>
  <si>
    <t>Texas State Technical College - Marshall</t>
  </si>
  <si>
    <t>TSTCM</t>
  </si>
  <si>
    <t>Texas State Technical College - Waco</t>
  </si>
  <si>
    <t>TSTCW</t>
  </si>
  <si>
    <t>Health-Related Institutions:</t>
  </si>
  <si>
    <t>Space Model - Federal Pass-Through</t>
  </si>
  <si>
    <t>Space Model - State Pass-Through</t>
  </si>
  <si>
    <t>Contact</t>
  </si>
  <si>
    <t>B2</t>
  </si>
  <si>
    <t>D10</t>
  </si>
  <si>
    <t>D11</t>
  </si>
  <si>
    <t>D12</t>
  </si>
  <si>
    <t>D13</t>
  </si>
  <si>
    <t>D14</t>
  </si>
  <si>
    <t>D19</t>
  </si>
  <si>
    <t>D20</t>
  </si>
  <si>
    <t>D23</t>
  </si>
  <si>
    <t>D24</t>
  </si>
  <si>
    <t>D25</t>
  </si>
  <si>
    <t>D34</t>
  </si>
  <si>
    <t>D37</t>
  </si>
  <si>
    <t>D50</t>
  </si>
  <si>
    <t>D51</t>
  </si>
  <si>
    <t>D52</t>
  </si>
  <si>
    <t>D53</t>
  </si>
  <si>
    <t>D54</t>
  </si>
  <si>
    <t>D60</t>
  </si>
  <si>
    <t>D65</t>
  </si>
  <si>
    <t>D66</t>
  </si>
  <si>
    <t>E10</t>
  </si>
  <si>
    <t>E11</t>
  </si>
  <si>
    <t>E12</t>
  </si>
  <si>
    <t>E13</t>
  </si>
  <si>
    <t>E14</t>
  </si>
  <si>
    <t>E19</t>
  </si>
  <si>
    <t>E20</t>
  </si>
  <si>
    <t>E23</t>
  </si>
  <si>
    <t>E24</t>
  </si>
  <si>
    <t>E25</t>
  </si>
  <si>
    <t>E34</t>
  </si>
  <si>
    <t>E37</t>
  </si>
  <si>
    <t>E50</t>
  </si>
  <si>
    <t>E51</t>
  </si>
  <si>
    <t>E52</t>
  </si>
  <si>
    <t>E53</t>
  </si>
  <si>
    <t>E54</t>
  </si>
  <si>
    <t>E60</t>
  </si>
  <si>
    <t>E65</t>
  </si>
  <si>
    <t>E66</t>
  </si>
  <si>
    <t>F10</t>
  </si>
  <si>
    <t>F11</t>
  </si>
  <si>
    <t>F12</t>
  </si>
  <si>
    <t>F13</t>
  </si>
  <si>
    <t>F14</t>
  </si>
  <si>
    <t>F19</t>
  </si>
  <si>
    <t>F20</t>
  </si>
  <si>
    <t>F23</t>
  </si>
  <si>
    <t>F24</t>
  </si>
  <si>
    <t>F25</t>
  </si>
  <si>
    <t>F34</t>
  </si>
  <si>
    <t>F37</t>
  </si>
  <si>
    <t>F50</t>
  </si>
  <si>
    <t>F51</t>
  </si>
  <si>
    <t>F52</t>
  </si>
  <si>
    <t>F53</t>
  </si>
  <si>
    <t>F54</t>
  </si>
  <si>
    <t>F60</t>
  </si>
  <si>
    <t>F65</t>
  </si>
  <si>
    <t>F66</t>
  </si>
  <si>
    <t>G10</t>
  </si>
  <si>
    <t>G11</t>
  </si>
  <si>
    <t>G12</t>
  </si>
  <si>
    <t>G13</t>
  </si>
  <si>
    <t>G14</t>
  </si>
  <si>
    <t>G19</t>
  </si>
  <si>
    <t>G20</t>
  </si>
  <si>
    <t>G23</t>
  </si>
  <si>
    <t>G24</t>
  </si>
  <si>
    <t>G25</t>
  </si>
  <si>
    <t>G34</t>
  </si>
  <si>
    <t>G37</t>
  </si>
  <si>
    <t>G50</t>
  </si>
  <si>
    <t>G51</t>
  </si>
  <si>
    <t>G52</t>
  </si>
  <si>
    <t>G53</t>
  </si>
  <si>
    <t>G54</t>
  </si>
  <si>
    <t>G60</t>
  </si>
  <si>
    <t>G65</t>
  </si>
  <si>
    <t>G66</t>
  </si>
  <si>
    <t>H10</t>
  </si>
  <si>
    <t>H11</t>
  </si>
  <si>
    <t>H12</t>
  </si>
  <si>
    <t>H13</t>
  </si>
  <si>
    <t>H14</t>
  </si>
  <si>
    <t>H19</t>
  </si>
  <si>
    <t>H20</t>
  </si>
  <si>
    <t>H23</t>
  </si>
  <si>
    <t>H24</t>
  </si>
  <si>
    <t>H25</t>
  </si>
  <si>
    <t>H34</t>
  </si>
  <si>
    <t>H37</t>
  </si>
  <si>
    <t>H50</t>
  </si>
  <si>
    <t>H51</t>
  </si>
  <si>
    <t>H52</t>
  </si>
  <si>
    <t>H53</t>
  </si>
  <si>
    <t>H54</t>
  </si>
  <si>
    <t>H60</t>
  </si>
  <si>
    <t>H65</t>
  </si>
  <si>
    <t>H66</t>
  </si>
  <si>
    <t>I10</t>
  </si>
  <si>
    <t>I11</t>
  </si>
  <si>
    <t>I12</t>
  </si>
  <si>
    <t>I13</t>
  </si>
  <si>
    <t>I14</t>
  </si>
  <si>
    <t>I19</t>
  </si>
  <si>
    <t>I20</t>
  </si>
  <si>
    <t>I23</t>
  </si>
  <si>
    <t>I24</t>
  </si>
  <si>
    <t>I25</t>
  </si>
  <si>
    <t>I34</t>
  </si>
  <si>
    <t>I37</t>
  </si>
  <si>
    <t>I50</t>
  </si>
  <si>
    <t>I51</t>
  </si>
  <si>
    <t>I52</t>
  </si>
  <si>
    <t>I53</t>
  </si>
  <si>
    <t>I54</t>
  </si>
  <si>
    <t>I60</t>
  </si>
  <si>
    <t>I65</t>
  </si>
  <si>
    <t>I66</t>
  </si>
  <si>
    <t>J10</t>
  </si>
  <si>
    <t>J11</t>
  </si>
  <si>
    <t>J12</t>
  </si>
  <si>
    <t>J13</t>
  </si>
  <si>
    <t>J14</t>
  </si>
  <si>
    <t>J19</t>
  </si>
  <si>
    <t>J20</t>
  </si>
  <si>
    <t>J23</t>
  </si>
  <si>
    <t>J24</t>
  </si>
  <si>
    <t>J25</t>
  </si>
  <si>
    <t>J34</t>
  </si>
  <si>
    <t>J37</t>
  </si>
  <si>
    <t>J50</t>
  </si>
  <si>
    <t>J51</t>
  </si>
  <si>
    <t>J52</t>
  </si>
  <si>
    <t>J53</t>
  </si>
  <si>
    <t>J54</t>
  </si>
  <si>
    <t>J60</t>
  </si>
  <si>
    <t>J65</t>
  </si>
  <si>
    <t>J66</t>
  </si>
  <si>
    <t>K10</t>
  </si>
  <si>
    <t>K11</t>
  </si>
  <si>
    <t>K12</t>
  </si>
  <si>
    <t>K13</t>
  </si>
  <si>
    <t>K14</t>
  </si>
  <si>
    <t>K19</t>
  </si>
  <si>
    <t>K20</t>
  </si>
  <si>
    <t>K23</t>
  </si>
  <si>
    <t>K24</t>
  </si>
  <si>
    <t>K25</t>
  </si>
  <si>
    <t>K34</t>
  </si>
  <si>
    <t>K37</t>
  </si>
  <si>
    <t>K50</t>
  </si>
  <si>
    <t>K51</t>
  </si>
  <si>
    <t>K52</t>
  </si>
  <si>
    <t>K53</t>
  </si>
  <si>
    <t>K54</t>
  </si>
  <si>
    <t>K60</t>
  </si>
  <si>
    <t>K65</t>
  </si>
  <si>
    <t>K66</t>
  </si>
  <si>
    <t>L10</t>
  </si>
  <si>
    <t>L11</t>
  </si>
  <si>
    <t>L12</t>
  </si>
  <si>
    <t>L13</t>
  </si>
  <si>
    <t>L14</t>
  </si>
  <si>
    <t>L19</t>
  </si>
  <si>
    <t>L20</t>
  </si>
  <si>
    <t>L23</t>
  </si>
  <si>
    <t>L24</t>
  </si>
  <si>
    <t>L25</t>
  </si>
  <si>
    <t>L34</t>
  </si>
  <si>
    <t>L37</t>
  </si>
  <si>
    <t>L50</t>
  </si>
  <si>
    <t>L51</t>
  </si>
  <si>
    <t>L52</t>
  </si>
  <si>
    <t>L53</t>
  </si>
  <si>
    <t>L54</t>
  </si>
  <si>
    <t>L60</t>
  </si>
  <si>
    <t>L65</t>
  </si>
  <si>
    <t>L66</t>
  </si>
  <si>
    <t>SWM</t>
  </si>
  <si>
    <t>The University of Texas Medical Branch at Galveston</t>
  </si>
  <si>
    <t>MBG</t>
  </si>
  <si>
    <t>The University of Texas Health Science Center at Houston</t>
  </si>
  <si>
    <t>HSH</t>
  </si>
  <si>
    <t>The University of Texas Health Science Center at San Antonio</t>
  </si>
  <si>
    <t>HSSA</t>
  </si>
  <si>
    <t>The University of Texas M.D. Anderson Cancer Center</t>
  </si>
  <si>
    <t>MDA</t>
  </si>
  <si>
    <t>THC</t>
  </si>
  <si>
    <t>Texas A&amp;M University System Health Science Center</t>
  </si>
  <si>
    <t>TAMHSC</t>
  </si>
  <si>
    <t>UNTHSC</t>
  </si>
  <si>
    <t>Texas Tech University Health Sciences Center</t>
  </si>
  <si>
    <t>TTUHSC</t>
  </si>
  <si>
    <t>The University of Texas System</t>
  </si>
  <si>
    <t>UTS</t>
  </si>
  <si>
    <t>Texas A&amp;M University System</t>
  </si>
  <si>
    <t>TAMUS</t>
  </si>
  <si>
    <t>University of Houston System</t>
  </si>
  <si>
    <t>Texas State System</t>
  </si>
  <si>
    <t>TXSTS</t>
  </si>
  <si>
    <t>Texas Tech University System</t>
  </si>
  <si>
    <t>TTUS</t>
  </si>
  <si>
    <t>University of North Texas System</t>
  </si>
  <si>
    <t>UNTS</t>
  </si>
  <si>
    <t>TAR</t>
  </si>
  <si>
    <t>TAES</t>
  </si>
  <si>
    <t>TEES1</t>
  </si>
  <si>
    <t>TEES2</t>
  </si>
  <si>
    <t>TFS</t>
  </si>
  <si>
    <t>TTI</t>
  </si>
  <si>
    <t>TVMDL</t>
  </si>
  <si>
    <t>Texas A&amp;M Research Foundation</t>
  </si>
  <si>
    <t>TAMRF</t>
  </si>
  <si>
    <t>Mandatory and Non-mandatory Transfers (See FN10)</t>
  </si>
  <si>
    <t>Total Sources Over / (Under) Uses (See FN11)</t>
  </si>
  <si>
    <t>Total Sources Over / (Under) Uses (See FN 11)</t>
  </si>
  <si>
    <t>Col. M Totals - Anticipated Values</t>
  </si>
  <si>
    <t>Statements of Sources and Uses</t>
  </si>
  <si>
    <t>Universities, Health-Related Institutions, Lamar State Colleges, and TSTC</t>
  </si>
  <si>
    <t>File and Tab Naming Conventions/ Authorized Amounts</t>
  </si>
  <si>
    <t>Assigned Excel File</t>
  </si>
  <si>
    <t>Name on Returned File</t>
  </si>
  <si>
    <t>30 - Reserved for Summary</t>
  </si>
  <si>
    <t>380 - Reserved for Summary</t>
  </si>
  <si>
    <t>Total Sources/Uses FGD Row 75</t>
  </si>
  <si>
    <t>Enter revenues received, but not yet expended.</t>
  </si>
  <si>
    <t>Remaining Balance</t>
  </si>
  <si>
    <t xml:space="preserve">Non-expendable funds from unrealized gains </t>
  </si>
  <si>
    <t>Non-expendable funds from additions to permanent</t>
  </si>
  <si>
    <t xml:space="preserve">  endowments</t>
  </si>
  <si>
    <t>Check Total - Must Be "-" or "0"</t>
  </si>
  <si>
    <t>Contact Name:</t>
  </si>
  <si>
    <t>Telephone Number:</t>
  </si>
  <si>
    <t>Email Address:</t>
  </si>
  <si>
    <t>Please note that the person listed as the Contact Name must be an employee of the institution/system.  Do not list third party contractors as the contact person.</t>
  </si>
  <si>
    <t>Athletics</t>
  </si>
  <si>
    <t>Fed</t>
  </si>
  <si>
    <t>State</t>
  </si>
  <si>
    <t>Fnt 11</t>
  </si>
  <si>
    <t>D35</t>
  </si>
  <si>
    <t>D36</t>
  </si>
  <si>
    <t>D38</t>
  </si>
  <si>
    <t>D39</t>
  </si>
  <si>
    <t>D47</t>
  </si>
  <si>
    <t>D61</t>
  </si>
  <si>
    <t>D74</t>
  </si>
  <si>
    <t>D75</t>
  </si>
  <si>
    <t>D76</t>
  </si>
  <si>
    <t>E35</t>
  </si>
  <si>
    <t>E36</t>
  </si>
  <si>
    <t>E38</t>
  </si>
  <si>
    <t>E39</t>
  </si>
  <si>
    <t>E47</t>
  </si>
  <si>
    <t>E61</t>
  </si>
  <si>
    <t>E74</t>
  </si>
  <si>
    <t>E75</t>
  </si>
  <si>
    <t>E76</t>
  </si>
  <si>
    <t>F35</t>
  </si>
  <si>
    <t>F36</t>
  </si>
  <si>
    <t>F38</t>
  </si>
  <si>
    <t>F39</t>
  </si>
  <si>
    <t>F47</t>
  </si>
  <si>
    <t>F61</t>
  </si>
  <si>
    <t>F74</t>
  </si>
  <si>
    <t>F75</t>
  </si>
  <si>
    <t>F76</t>
  </si>
  <si>
    <t>G35</t>
  </si>
  <si>
    <t>G36</t>
  </si>
  <si>
    <t>G38</t>
  </si>
  <si>
    <t>G39</t>
  </si>
  <si>
    <t>G47</t>
  </si>
  <si>
    <t>G61</t>
  </si>
  <si>
    <t>G74</t>
  </si>
  <si>
    <t>G75</t>
  </si>
  <si>
    <t>G76</t>
  </si>
  <si>
    <t>H35</t>
  </si>
  <si>
    <t>H36</t>
  </si>
  <si>
    <t>H38</t>
  </si>
  <si>
    <t>H39</t>
  </si>
  <si>
    <t>H47</t>
  </si>
  <si>
    <t>H61</t>
  </si>
  <si>
    <t>H74</t>
  </si>
  <si>
    <t>H75</t>
  </si>
  <si>
    <t>H76</t>
  </si>
  <si>
    <t>I35</t>
  </si>
  <si>
    <t>I36</t>
  </si>
  <si>
    <t>I38</t>
  </si>
  <si>
    <t>I39</t>
  </si>
  <si>
    <t>I47</t>
  </si>
  <si>
    <t>I61</t>
  </si>
  <si>
    <t>I74</t>
  </si>
  <si>
    <t>I75</t>
  </si>
  <si>
    <t>I76</t>
  </si>
  <si>
    <t>J35</t>
  </si>
  <si>
    <t>J36</t>
  </si>
  <si>
    <t>J38</t>
  </si>
  <si>
    <t>J39</t>
  </si>
  <si>
    <t>J47</t>
  </si>
  <si>
    <t>J61</t>
  </si>
  <si>
    <t>J74</t>
  </si>
  <si>
    <t>J75</t>
  </si>
  <si>
    <t>J76</t>
  </si>
  <si>
    <t>K35</t>
  </si>
  <si>
    <t>K36</t>
  </si>
  <si>
    <t>K38</t>
  </si>
  <si>
    <t>K39</t>
  </si>
  <si>
    <t>K47</t>
  </si>
  <si>
    <t>K61</t>
  </si>
  <si>
    <t>K74</t>
  </si>
  <si>
    <t>K75</t>
  </si>
  <si>
    <t>K76</t>
  </si>
  <si>
    <t>L35</t>
  </si>
  <si>
    <t>L36</t>
  </si>
  <si>
    <t>L38</t>
  </si>
  <si>
    <t>L39</t>
  </si>
  <si>
    <t>L47</t>
  </si>
  <si>
    <t>L61</t>
  </si>
  <si>
    <t>L74</t>
  </si>
  <si>
    <t>L75</t>
  </si>
  <si>
    <t>L76</t>
  </si>
  <si>
    <t>L82</t>
  </si>
  <si>
    <t>Q64</t>
  </si>
  <si>
    <t xml:space="preserve">FN11: Of the net increase of </t>
  </si>
  <si>
    <t xml:space="preserve"> approximately </t>
  </si>
  <si>
    <t xml:space="preserve"> represents non-expendable funds from unrealized gains and additions to permanent endowments of approximately </t>
  </si>
  <si>
    <t xml:space="preserve"> and </t>
  </si>
  <si>
    <t>STATE-FUNDED SEMESTER CREDIT HOURS BY LEVEL</t>
  </si>
  <si>
    <t>FTSE Used</t>
  </si>
  <si>
    <t>Full-Time</t>
  </si>
  <si>
    <t xml:space="preserve">For S&amp;U </t>
  </si>
  <si>
    <t>Lower</t>
  </si>
  <si>
    <t>Upper</t>
  </si>
  <si>
    <t>Under-</t>
  </si>
  <si>
    <t>Special-</t>
  </si>
  <si>
    <t>Student</t>
  </si>
  <si>
    <t>Division</t>
  </si>
  <si>
    <t>graduate</t>
  </si>
  <si>
    <t>Master's</t>
  </si>
  <si>
    <t>Doctoral</t>
  </si>
  <si>
    <t>Professional</t>
  </si>
  <si>
    <t>Optometry</t>
  </si>
  <si>
    <r>
      <t>Equivalents</t>
    </r>
    <r>
      <rPr>
        <vertAlign val="superscript"/>
        <sz val="10"/>
        <rFont val="Arial"/>
        <family val="2"/>
      </rPr>
      <t>1</t>
    </r>
  </si>
  <si>
    <t>Rounded</t>
  </si>
  <si>
    <r>
      <t>1</t>
    </r>
    <r>
      <rPr>
        <sz val="10"/>
        <rFont val="Arial"/>
        <family val="2"/>
      </rPr>
      <t>Undergraduate SCH divided by 30, master's and special-professional divided by 24, doctoral divided by 18, and optometry divided by 34.</t>
    </r>
  </si>
  <si>
    <t>Phone Number</t>
  </si>
  <si>
    <t>Email</t>
  </si>
  <si>
    <t>FOOTNOTES:</t>
  </si>
  <si>
    <t xml:space="preserve">FN1:  Scholarship Discounts and Allowances are scholarships, fellowships, and grants applied to tuition. The discount eliminates tuition revenues that are paid for by University resources which are recorded as revenue elsewhere on the financial statements (i.e. federal and state contracts and grants revenues). In addition, Scholarship Discounts and Allowances eliminate tuition revenue that is exempted from payment due to tuition exemptions approved by the Texas Legislature. Waivers, remissions, and exemptions represent tuition and fee dollars forgone by the university - some are required by statute. See the Integrated Financial Reporting System (IFRS) report submitted to THECB for details on waivers, exemptions, tuition, and fees. Allocation methods to individual funds shown may vary between institutions.
FN2:  Endowment and Interest Income includes interest income and endowment payouts.
FN3:  Other Income is primarily Other Operating and Other Non-operating Revenues from the AFR. Other Expenses is primarily Other Nonoperating Expenses from the AFR.
FN4:  Bond Proceeds are funds received from the sale of bonds and commercial paper used to finance capital projects. This amount includes actual proceeds and accrued or anticipated proceeds to be transferred from System. Independent institutions report only to the extent expended in current year.
FN5: Debt service payments are payments to service and retire debt issued to fund capital projects. System components do this via transfers to System Administrations.  Independent institutions use direct payment to appropriate paying agents.
</t>
  </si>
  <si>
    <t>FN6:  Unrealized Gains / (Losses) represent the increase in the Fair Market Value of Investments and Endowments. Unrealized Gains / (Losses) are accrued as non-cash transactions. Therefore, funds are not actually received for this revenue stream. Accordingly, this revenue is not cash revenue and cannot be used by the University to fund operations. 
FN7:  Additions to Permanent Endowments are additions to endowment principal. This revenue is restricted for investment purposes only and cannot be used to fund operations. Only interest income from these endowments, which is reported on the Endowment and Investment Income line of this report, can be used by the University to fund operations.
FN8:  Distributions from the Available University Fund appropriated through the Appropriation Bill are first used to pay debt service costs on Permanent University Fund Bonds. Funds remaining are distributed to constitutionally designated institutions to promote academic excellence. Only the Excellence funding is shown at the institution level. The AUF funds used to pay debt service on PUF bonds are reported at the System level.
FN9:  Auxiliary Enterprises include athletics, housing and food, student services, and parking and transportation. Auxiliary Enterprises are required to be self-supporting, and therefore must operate on the funds they generate.  
FN10:  Mandatory and non-mandatory transfers includes transfers between funds, transfers between the University System and institutions and transfers to and from other state agencies. In total, all transfers between funds net to zero with the exception of any amounts transferred between the University System, between other institutions, or to and from another state agency. There are no transfers of education and general funds provided by the State of Texas to restricted or auxiliary fund groups. Transfers between education and general funds and designated funds are related to Texas Public Education Grant as provided by the State of Texas.</t>
  </si>
  <si>
    <t xml:space="preserve"> represents revenues received but not yet expended. This income is fully committed to program expenditures and capital disbursements. The remaining </t>
  </si>
  <si>
    <t xml:space="preserve"> respectively. Unrealized gains and additions to permanent endowments do not contribute to the availability of the institution's operating cash as discussed in FN6 and FN7.</t>
  </si>
  <si>
    <t>All Links.</t>
  </si>
  <si>
    <t>Less Net Auxiliary Enterprises</t>
  </si>
  <si>
    <t>Texas State Technical College - System</t>
  </si>
  <si>
    <t>TSTCS</t>
  </si>
  <si>
    <t>Tab Name</t>
  </si>
  <si>
    <t>Number</t>
  </si>
  <si>
    <t>S40</t>
  </si>
  <si>
    <t>S130</t>
  </si>
  <si>
    <t>S230</t>
  </si>
  <si>
    <t>S270</t>
  </si>
  <si>
    <t>S310</t>
  </si>
  <si>
    <t>S330</t>
  </si>
  <si>
    <t xml:space="preserve">       Waivers - Statutory (Not Reported in AFR)</t>
  </si>
  <si>
    <t xml:space="preserve">       Waivers - Institutional (Not Reported in AFR)</t>
  </si>
  <si>
    <t xml:space="preserve">       Exemptions - Statutory (Not Reported in AFR)</t>
  </si>
  <si>
    <t xml:space="preserve">       Exemptions - Institutional (Not Reported in AFR)</t>
  </si>
  <si>
    <t>Tuition - Gross - AFR Presentation</t>
  </si>
  <si>
    <t xml:space="preserve">       Waivers - Statutory (Reported in AFR)</t>
  </si>
  <si>
    <t xml:space="preserve">       Waivers - Institutional (Reported in AFR)</t>
  </si>
  <si>
    <t xml:space="preserve">       Exemptions - Statutory (Reported in AFR)</t>
  </si>
  <si>
    <t xml:space="preserve">       Exemptions - Institutional (Reported in AFR)</t>
  </si>
  <si>
    <t xml:space="preserve">       All Other Scholarship Disc.&amp; Allow.</t>
  </si>
  <si>
    <t>Fees - Gross - AFR Presentation</t>
  </si>
  <si>
    <t>Endowment and Interest Income</t>
  </si>
  <si>
    <t>Mandatory and Non-mandatory Transfers</t>
  </si>
  <si>
    <t>Bond Proceeds Transfers In</t>
  </si>
  <si>
    <t>Debt Service Payments</t>
  </si>
  <si>
    <t>Unrealized Gains / (Losses)</t>
  </si>
  <si>
    <t>Additions to Permanent Endowments</t>
  </si>
  <si>
    <t>Cost Study Capital Outlay</t>
  </si>
  <si>
    <t>Footnote</t>
  </si>
  <si>
    <t>E&amp;G</t>
  </si>
  <si>
    <t>Desg.</t>
  </si>
  <si>
    <t>Aux</t>
  </si>
  <si>
    <t>R Exp</t>
  </si>
  <si>
    <t>Ln Fn</t>
  </si>
  <si>
    <t>Annuity</t>
  </si>
  <si>
    <t>Unexp</t>
  </si>
  <si>
    <t>R of Ind.</t>
  </si>
  <si>
    <t>Inv in P</t>
  </si>
  <si>
    <t>T &amp; F</t>
  </si>
  <si>
    <t>Disc &amp; All</t>
  </si>
  <si>
    <t>Inst.</t>
  </si>
  <si>
    <t>Resh</t>
  </si>
  <si>
    <t>Pub Svc</t>
  </si>
  <si>
    <t>Aca Sppt</t>
  </si>
  <si>
    <t>Stu Svcs</t>
  </si>
  <si>
    <t>Inst. Sppt</t>
  </si>
  <si>
    <t>Op &amp; Maint</t>
  </si>
  <si>
    <t>Sch &amp; Fello</t>
  </si>
  <si>
    <t>Intr C. Ath</t>
  </si>
  <si>
    <t>Rev Rec'd</t>
  </si>
  <si>
    <t>Non Exp.</t>
  </si>
  <si>
    <t>Phone No.</t>
  </si>
  <si>
    <t>FGD</t>
  </si>
  <si>
    <t>Checksum Out</t>
  </si>
  <si>
    <t>Cents?</t>
  </si>
  <si>
    <t>D21</t>
  </si>
  <si>
    <t>E21</t>
  </si>
  <si>
    <t>F21</t>
  </si>
  <si>
    <t>G21</t>
  </si>
  <si>
    <t>H21</t>
  </si>
  <si>
    <t>I21</t>
  </si>
  <si>
    <t>J21</t>
  </si>
  <si>
    <t>K21</t>
  </si>
  <si>
    <t>L21</t>
  </si>
  <si>
    <t>D22</t>
  </si>
  <si>
    <t>E22</t>
  </si>
  <si>
    <t>F22</t>
  </si>
  <si>
    <t>G22</t>
  </si>
  <si>
    <t>H22</t>
  </si>
  <si>
    <t>I22</t>
  </si>
  <si>
    <t>J22</t>
  </si>
  <si>
    <t>K22</t>
  </si>
  <si>
    <t>L22</t>
  </si>
  <si>
    <t>D26</t>
  </si>
  <si>
    <t>E26</t>
  </si>
  <si>
    <t>F26</t>
  </si>
  <si>
    <t>G26</t>
  </si>
  <si>
    <t>H26</t>
  </si>
  <si>
    <t>I26</t>
  </si>
  <si>
    <t>J26</t>
  </si>
  <si>
    <t>K26</t>
  </si>
  <si>
    <t>L26</t>
  </si>
  <si>
    <t>D27</t>
  </si>
  <si>
    <t>E27</t>
  </si>
  <si>
    <t>F27</t>
  </si>
  <si>
    <t>G27</t>
  </si>
  <si>
    <t>H27</t>
  </si>
  <si>
    <t>I27</t>
  </si>
  <si>
    <t>J27</t>
  </si>
  <si>
    <t>K27</t>
  </si>
  <si>
    <t>L27</t>
  </si>
  <si>
    <t>D28</t>
  </si>
  <si>
    <t>E28</t>
  </si>
  <si>
    <t>F28</t>
  </si>
  <si>
    <t>G28</t>
  </si>
  <si>
    <t>H28</t>
  </si>
  <si>
    <t>I28</t>
  </si>
  <si>
    <t>J28</t>
  </si>
  <si>
    <t>K28</t>
  </si>
  <si>
    <t>L28</t>
  </si>
  <si>
    <t>D32</t>
  </si>
  <si>
    <t>E32</t>
  </si>
  <si>
    <t>F32</t>
  </si>
  <si>
    <t>G32</t>
  </si>
  <si>
    <t>H32</t>
  </si>
  <si>
    <t>I32</t>
  </si>
  <si>
    <t>J32</t>
  </si>
  <si>
    <t>K32</t>
  </si>
  <si>
    <t>L32</t>
  </si>
  <si>
    <t>D33</t>
  </si>
  <si>
    <t>E33</t>
  </si>
  <si>
    <t>F33</t>
  </si>
  <si>
    <t>G33</t>
  </si>
  <si>
    <t>H33</t>
  </si>
  <si>
    <t>I33</t>
  </si>
  <si>
    <t>J33</t>
  </si>
  <si>
    <t>K33</t>
  </si>
  <si>
    <t>L33</t>
  </si>
  <si>
    <t>D40</t>
  </si>
  <si>
    <t>E40</t>
  </si>
  <si>
    <t>F40</t>
  </si>
  <si>
    <t>G40</t>
  </si>
  <si>
    <t>H40</t>
  </si>
  <si>
    <t>I40</t>
  </si>
  <si>
    <t>J40</t>
  </si>
  <si>
    <t>K40</t>
  </si>
  <si>
    <t>L40</t>
  </si>
  <si>
    <t>D41</t>
  </si>
  <si>
    <t>E41</t>
  </si>
  <si>
    <t>F41</t>
  </si>
  <si>
    <t>G41</t>
  </si>
  <si>
    <t>H41</t>
  </si>
  <si>
    <t>I41</t>
  </si>
  <si>
    <t>J41</t>
  </si>
  <si>
    <t>K41</t>
  </si>
  <si>
    <t>L41</t>
  </si>
  <si>
    <t>D55</t>
  </si>
  <si>
    <t>E55</t>
  </si>
  <si>
    <t>F55</t>
  </si>
  <si>
    <t>G55</t>
  </si>
  <si>
    <t>H55</t>
  </si>
  <si>
    <t>I55</t>
  </si>
  <si>
    <t>J55</t>
  </si>
  <si>
    <t>K55</t>
  </si>
  <si>
    <t>L55</t>
  </si>
  <si>
    <t>D62</t>
  </si>
  <si>
    <t>E62</t>
  </si>
  <si>
    <t>F62</t>
  </si>
  <si>
    <t>G62</t>
  </si>
  <si>
    <t>H62</t>
  </si>
  <si>
    <t>I62</t>
  </si>
  <si>
    <t>J62</t>
  </si>
  <si>
    <t>K62</t>
  </si>
  <si>
    <t>L62</t>
  </si>
  <si>
    <t>D63</t>
  </si>
  <si>
    <t>E63</t>
  </si>
  <si>
    <t>F63</t>
  </si>
  <si>
    <t>G63</t>
  </si>
  <si>
    <t>H63</t>
  </si>
  <si>
    <t>I63</t>
  </si>
  <si>
    <t>J63</t>
  </si>
  <si>
    <t>K63</t>
  </si>
  <si>
    <t>L63</t>
  </si>
  <si>
    <t>D64</t>
  </si>
  <si>
    <t>E64</t>
  </si>
  <si>
    <t>F64</t>
  </si>
  <si>
    <t>G64</t>
  </si>
  <si>
    <t>H64</t>
  </si>
  <si>
    <t>I64</t>
  </si>
  <si>
    <t>J64</t>
  </si>
  <si>
    <t>K64</t>
  </si>
  <si>
    <t>L64</t>
  </si>
  <si>
    <t>D67</t>
  </si>
  <si>
    <t>E67</t>
  </si>
  <si>
    <t>F67</t>
  </si>
  <si>
    <t>G67</t>
  </si>
  <si>
    <t>H67</t>
  </si>
  <si>
    <t>I67</t>
  </si>
  <si>
    <t>J67</t>
  </si>
  <si>
    <t>K67</t>
  </si>
  <si>
    <t>L67</t>
  </si>
  <si>
    <t>D68</t>
  </si>
  <si>
    <t>E68</t>
  </si>
  <si>
    <t>F68</t>
  </si>
  <si>
    <t>G68</t>
  </si>
  <si>
    <t>H68</t>
  </si>
  <si>
    <t>I68</t>
  </si>
  <si>
    <t>J68</t>
  </si>
  <si>
    <t>K68</t>
  </si>
  <si>
    <t>L68</t>
  </si>
  <si>
    <t>D69</t>
  </si>
  <si>
    <t>E69</t>
  </si>
  <si>
    <t>F69</t>
  </si>
  <si>
    <t>G69</t>
  </si>
  <si>
    <t>H69</t>
  </si>
  <si>
    <t>I69</t>
  </si>
  <si>
    <t>J69</t>
  </si>
  <si>
    <t>K69</t>
  </si>
  <si>
    <t>L69</t>
  </si>
  <si>
    <t>D70</t>
  </si>
  <si>
    <t>E70</t>
  </si>
  <si>
    <t>F70</t>
  </si>
  <si>
    <t>G70</t>
  </si>
  <si>
    <t>H70</t>
  </si>
  <si>
    <t>I70</t>
  </si>
  <si>
    <t>J70</t>
  </si>
  <si>
    <t>K70</t>
  </si>
  <si>
    <t>L70</t>
  </si>
  <si>
    <t>D77</t>
  </si>
  <si>
    <t>E77</t>
  </si>
  <si>
    <t>F77</t>
  </si>
  <si>
    <t>G77</t>
  </si>
  <si>
    <t>H77</t>
  </si>
  <si>
    <t>I77</t>
  </si>
  <si>
    <t>J77</t>
  </si>
  <si>
    <t>K77</t>
  </si>
  <si>
    <t>L77</t>
  </si>
  <si>
    <t>D81</t>
  </si>
  <si>
    <t>E81</t>
  </si>
  <si>
    <t>F81</t>
  </si>
  <si>
    <t>G81</t>
  </si>
  <si>
    <t>H81</t>
  </si>
  <si>
    <t>I81</t>
  </si>
  <si>
    <t>J81</t>
  </si>
  <si>
    <t>K81</t>
  </si>
  <si>
    <t>L81</t>
  </si>
  <si>
    <t>D82</t>
  </si>
  <si>
    <t>E82</t>
  </si>
  <si>
    <t>F82</t>
  </si>
  <si>
    <t>G82</t>
  </si>
  <si>
    <t>H82</t>
  </si>
  <si>
    <t>I82</t>
  </si>
  <si>
    <t>J82</t>
  </si>
  <si>
    <t>K82</t>
  </si>
  <si>
    <t>D87</t>
  </si>
  <si>
    <t>E87</t>
  </si>
  <si>
    <t>F87</t>
  </si>
  <si>
    <t>G87</t>
  </si>
  <si>
    <t>H87</t>
  </si>
  <si>
    <t>I87</t>
  </si>
  <si>
    <t>J87</t>
  </si>
  <si>
    <t>K87</t>
  </si>
  <si>
    <t>L87</t>
  </si>
  <si>
    <t>D88</t>
  </si>
  <si>
    <t>E88</t>
  </si>
  <si>
    <t>F88</t>
  </si>
  <si>
    <t>G88</t>
  </si>
  <si>
    <t>H88</t>
  </si>
  <si>
    <t>I88</t>
  </si>
  <si>
    <t>J88</t>
  </si>
  <si>
    <t>K88</t>
  </si>
  <si>
    <t>L88</t>
  </si>
  <si>
    <t>D89</t>
  </si>
  <si>
    <t>E89</t>
  </si>
  <si>
    <t>F89</t>
  </si>
  <si>
    <t>G89</t>
  </si>
  <si>
    <t>H89</t>
  </si>
  <si>
    <t>I89</t>
  </si>
  <si>
    <t>J89</t>
  </si>
  <si>
    <t>K89</t>
  </si>
  <si>
    <t>L89</t>
  </si>
  <si>
    <t>D90</t>
  </si>
  <si>
    <t>E90</t>
  </si>
  <si>
    <t>F90</t>
  </si>
  <si>
    <t>G90</t>
  </si>
  <si>
    <t>H90</t>
  </si>
  <si>
    <t>I90</t>
  </si>
  <si>
    <t>J90</t>
  </si>
  <si>
    <t>K90</t>
  </si>
  <si>
    <t>L90</t>
  </si>
  <si>
    <t>D91</t>
  </si>
  <si>
    <t>E91</t>
  </si>
  <si>
    <t>F91</t>
  </si>
  <si>
    <t>G91</t>
  </si>
  <si>
    <t>H91</t>
  </si>
  <si>
    <t>I91</t>
  </si>
  <si>
    <t>J91</t>
  </si>
  <si>
    <t>K91</t>
  </si>
  <si>
    <t>L91</t>
  </si>
  <si>
    <t>D92</t>
  </si>
  <si>
    <t>E92</t>
  </si>
  <si>
    <t>F92</t>
  </si>
  <si>
    <t>G92</t>
  </si>
  <si>
    <t>H92</t>
  </si>
  <si>
    <t>I92</t>
  </si>
  <si>
    <t>J92</t>
  </si>
  <si>
    <t>K92</t>
  </si>
  <si>
    <t>L92</t>
  </si>
  <si>
    <t>M100</t>
  </si>
  <si>
    <t>Q32</t>
  </si>
  <si>
    <t>R34</t>
  </si>
  <si>
    <t>P60</t>
  </si>
  <si>
    <t>P61</t>
  </si>
  <si>
    <t>P62</t>
  </si>
  <si>
    <t>P63</t>
  </si>
  <si>
    <t>P64</t>
  </si>
  <si>
    <t>P65</t>
  </si>
  <si>
    <t>P66</t>
  </si>
  <si>
    <t>P67</t>
  </si>
  <si>
    <t>P68</t>
  </si>
  <si>
    <t>V60</t>
  </si>
  <si>
    <t>V61</t>
  </si>
  <si>
    <t>V62</t>
  </si>
  <si>
    <t>V63</t>
  </si>
  <si>
    <t>V64</t>
  </si>
  <si>
    <t>V65</t>
  </si>
  <si>
    <t>V66</t>
  </si>
  <si>
    <t>V67</t>
  </si>
  <si>
    <t>W60</t>
  </si>
  <si>
    <t>W61</t>
  </si>
  <si>
    <t>W62</t>
  </si>
  <si>
    <t>W63</t>
  </si>
  <si>
    <t>W64</t>
  </si>
  <si>
    <t>W65</t>
  </si>
  <si>
    <t>W66</t>
  </si>
  <si>
    <t>W67</t>
  </si>
  <si>
    <t>AA60</t>
  </si>
  <si>
    <t>AA61</t>
  </si>
  <si>
    <t>AA62</t>
  </si>
  <si>
    <t>AA63</t>
  </si>
  <si>
    <t>AA64</t>
  </si>
  <si>
    <t>AA65</t>
  </si>
  <si>
    <t>AA66</t>
  </si>
  <si>
    <t>AA67</t>
  </si>
  <si>
    <t>AA68</t>
  </si>
  <si>
    <t>R77</t>
  </si>
  <si>
    <t>R80</t>
  </si>
  <si>
    <t>O92</t>
  </si>
  <si>
    <t>Q92</t>
  </si>
  <si>
    <t>T92</t>
  </si>
  <si>
    <t>Tuition Potential 100%</t>
  </si>
  <si>
    <t>To IFRS Reconciliation</t>
  </si>
  <si>
    <t>Annual Financial Report</t>
  </si>
  <si>
    <t xml:space="preserve">  Net Student Tuition and Fees</t>
  </si>
  <si>
    <t>Tuition - Gross Per AFR</t>
  </si>
  <si>
    <t xml:space="preserve">  Scholarship Discounts and Allowances</t>
  </si>
  <si>
    <t>Tuition  - Total Contra Items</t>
  </si>
  <si>
    <t>Fees - Gross Per AFR</t>
  </si>
  <si>
    <t>Fees - Total Contra Items</t>
  </si>
  <si>
    <t xml:space="preserve">  Waivers - Statutory (Not Reported in AFR)</t>
  </si>
  <si>
    <t>Fees Potential 100%</t>
  </si>
  <si>
    <t xml:space="preserve">  Waivers - Institutional (Not Reported in AFR)</t>
  </si>
  <si>
    <t xml:space="preserve">    Total Waivers</t>
  </si>
  <si>
    <t>Net Tuition and Fees (Funds Collected)</t>
  </si>
  <si>
    <t>R</t>
  </si>
  <si>
    <t>O</t>
  </si>
  <si>
    <t>P</t>
  </si>
  <si>
    <t>U</t>
  </si>
  <si>
    <t>V</t>
  </si>
  <si>
    <t>W</t>
  </si>
  <si>
    <t>X</t>
  </si>
  <si>
    <t>Institution Cost Study Data Summary for 
FY 2011</t>
  </si>
  <si>
    <t>Institution Space Model Data Summary for FY 2011</t>
  </si>
  <si>
    <t>Data to Almanac Publication</t>
  </si>
  <si>
    <t>Revenue Per FTSE</t>
  </si>
  <si>
    <t>State Revenue</t>
  </si>
  <si>
    <t>Federal Revenue</t>
  </si>
  <si>
    <t>Institutional Revenue</t>
  </si>
  <si>
    <t>Uses Per FTSE</t>
  </si>
  <si>
    <t>Instruction, Research, &amp; Academic Support</t>
  </si>
  <si>
    <t>Students Services &amp; Scholarships</t>
  </si>
  <si>
    <t>Total Uses</t>
  </si>
  <si>
    <t>Instutional Support and OM of plant</t>
  </si>
  <si>
    <t>Other</t>
  </si>
  <si>
    <t>Res.</t>
  </si>
  <si>
    <t>Public Svc.</t>
  </si>
  <si>
    <t>Acad Sppt</t>
  </si>
  <si>
    <t>Stud Svcs</t>
  </si>
  <si>
    <t>Cap Outlay</t>
  </si>
  <si>
    <t>Dollar Totals</t>
  </si>
  <si>
    <t>Per FTSE Amounts</t>
  </si>
  <si>
    <t>Texas A&amp;M Univ. + Agencies</t>
  </si>
  <si>
    <t>Institution Point of Contact for Sources &amp; Uses</t>
  </si>
  <si>
    <t>Total Research Expenditures</t>
  </si>
  <si>
    <t>Federal</t>
  </si>
  <si>
    <t xml:space="preserve">State </t>
  </si>
  <si>
    <t>Private</t>
  </si>
  <si>
    <t>Institutional</t>
  </si>
  <si>
    <t>Private                  For-Profit</t>
  </si>
  <si>
    <t>State Contracts/Grants</t>
  </si>
  <si>
    <t>Private                     Non-Profit</t>
  </si>
  <si>
    <t>Purpose:  This tab is used for input to the Almanac Publication</t>
  </si>
  <si>
    <t>Total Expenditures</t>
  </si>
  <si>
    <t>Almanac Order</t>
  </si>
  <si>
    <t>Tuition/   Fees</t>
  </si>
  <si>
    <t>Total Research Expenditures Per T/TT FTE</t>
  </si>
  <si>
    <t>Included in Sul Ross State Alpine</t>
  </si>
  <si>
    <t>K49</t>
  </si>
  <si>
    <t>L49</t>
  </si>
  <si>
    <t>M49</t>
  </si>
  <si>
    <t>Note: Bolded &amp; Shaded items below are inputs to the IFRS Reconciliation</t>
  </si>
  <si>
    <t xml:space="preserve">  Exemptions - Statutory (Reported in AFR)</t>
  </si>
  <si>
    <t xml:space="preserve">  Exemptions - Statutory (Not Reported in AFR)</t>
  </si>
  <si>
    <t xml:space="preserve">    Exemptions - Statutory</t>
  </si>
  <si>
    <t xml:space="preserve">  Exemptions - Institutional (Reported in AFR)</t>
  </si>
  <si>
    <t xml:space="preserve">  Exemptions - Institutional (Not Reported in AFR)</t>
  </si>
  <si>
    <t xml:space="preserve">    Exemptions - Institutional</t>
  </si>
  <si>
    <t xml:space="preserve"> Total Exemptions</t>
  </si>
  <si>
    <t xml:space="preserve">  Waivers - Statutory (Reported in AFR)</t>
  </si>
  <si>
    <t xml:space="preserve">    Waivers - Statutory</t>
  </si>
  <si>
    <t xml:space="preserve">  Waivers - Institutional (Reported in AFR)</t>
  </si>
  <si>
    <t xml:space="preserve">    Waivers - Institutional</t>
  </si>
  <si>
    <t xml:space="preserve">    Exemptions Not Reported in AFR Tuition &amp; Fees</t>
  </si>
  <si>
    <t xml:space="preserve">    Waivers Reported in AFR Tuition &amp; Fees</t>
  </si>
  <si>
    <t>Purpose:  This tab is used for balancing with the IFRS System</t>
  </si>
  <si>
    <t>Exemptions</t>
  </si>
  <si>
    <t>Waivers</t>
  </si>
  <si>
    <t>Statutory</t>
  </si>
  <si>
    <t xml:space="preserve"> Institutional</t>
  </si>
  <si>
    <t>Exemptions Not Reported in AFR Tuition &amp; Fees</t>
  </si>
  <si>
    <t>Waivers Reported in AFR Tuition &amp; Fees</t>
  </si>
  <si>
    <t>S &amp; U Order</t>
  </si>
  <si>
    <t>Order</t>
  </si>
  <si>
    <t xml:space="preserve">S &amp; U </t>
  </si>
  <si>
    <t>x</t>
  </si>
  <si>
    <t xml:space="preserve">FICE </t>
  </si>
  <si>
    <t xml:space="preserve">Code </t>
  </si>
  <si>
    <t>Order Used</t>
  </si>
  <si>
    <t>Net Student Tuition and Fees</t>
  </si>
  <si>
    <t>Scholarship Discounts and Allowances</t>
  </si>
  <si>
    <t>Comprehensive</t>
  </si>
  <si>
    <t>Emerging Research</t>
  </si>
  <si>
    <t>Accountability Groups</t>
  </si>
  <si>
    <t>Total Cols. D,E,G,&amp; J</t>
  </si>
  <si>
    <t>Total Col.             D,E,&amp; G</t>
  </si>
  <si>
    <t xml:space="preserve">         Accountability Data excludes all Public Service Expenditures.</t>
  </si>
  <si>
    <t>Note: Accountability Data excludes all Auxiliary Revenue &amp; Expenditures.</t>
  </si>
  <si>
    <t>Excludes:</t>
  </si>
  <si>
    <t>Aux.</t>
  </si>
  <si>
    <t>Pub. Svc.</t>
  </si>
  <si>
    <t>Less: Auxiliary</t>
  </si>
  <si>
    <t>Less: Public Service</t>
  </si>
  <si>
    <t>Almanac FTSE</t>
  </si>
  <si>
    <t>Sch &amp; Fellow.</t>
  </si>
  <si>
    <t>N49</t>
  </si>
  <si>
    <t>Sum</t>
  </si>
  <si>
    <t>Line Items</t>
  </si>
  <si>
    <t>Total Operating Uses (Expenses)</t>
  </si>
  <si>
    <t>Excluding Aux. &amp; Public Service</t>
  </si>
  <si>
    <t>C6</t>
  </si>
  <si>
    <t>Not Included</t>
  </si>
  <si>
    <t xml:space="preserve">   Includes Capital Outlay from Current Fund Sources Only.</t>
  </si>
  <si>
    <t>Per Amt to
'Approp_FTEStu - Col G
'Approp_FTEFac - Col H</t>
  </si>
  <si>
    <t>FTEs
Col G</t>
  </si>
  <si>
    <t>Ref to UNIV_IE_Keys</t>
  </si>
  <si>
    <t xml:space="preserve">Per Amounts to:
'GR_FTEStu- Col K
'GR_FTEFac- Col L
</t>
  </si>
  <si>
    <t>Per Amt. to
'All_FTEStu- Col I</t>
  </si>
  <si>
    <t>UT at Brownsville w/ Southmost</t>
  </si>
  <si>
    <t>State Appropriations Per FTSE</t>
  </si>
  <si>
    <t>Approp_FTEStu</t>
  </si>
  <si>
    <t>FTFE</t>
  </si>
  <si>
    <t>Approp_FTEFac</t>
  </si>
  <si>
    <t>All_FTEStu</t>
  </si>
  <si>
    <t>Total Less Const.</t>
  </si>
  <si>
    <t>GR_FTEStu</t>
  </si>
  <si>
    <t>GR_FTEFac</t>
  </si>
  <si>
    <t>Load Year</t>
  </si>
  <si>
    <t>UNIV_IE_KEYs Data Labels</t>
  </si>
  <si>
    <t>FICE</t>
  </si>
  <si>
    <t>Load_Year</t>
  </si>
  <si>
    <t>F</t>
  </si>
  <si>
    <t>FTEs</t>
  </si>
  <si>
    <t>State Appropriations Per FTFE</t>
  </si>
  <si>
    <t>G</t>
  </si>
  <si>
    <t>Expenses (for Expenses per FTSE Student) - Includes Capital Outlay</t>
  </si>
  <si>
    <t>I</t>
  </si>
  <si>
    <t>Less: Constitutional Revenue</t>
  </si>
  <si>
    <t>Divided by: FTSE</t>
  </si>
  <si>
    <t>Divided by: FTFE</t>
  </si>
  <si>
    <t>Per Amount</t>
  </si>
  <si>
    <t>Sul Ross State  RGC</t>
  </si>
  <si>
    <t>see Sul Ross</t>
  </si>
  <si>
    <t>Rev_Total</t>
  </si>
  <si>
    <t>Rev_TuitFees</t>
  </si>
  <si>
    <t>Rev_State</t>
  </si>
  <si>
    <t>Rev_Fed</t>
  </si>
  <si>
    <t>Rev_Inst</t>
  </si>
  <si>
    <t>Net Tuition &amp; Fees</t>
  </si>
  <si>
    <t>Total of</t>
  </si>
  <si>
    <t>Total Revenue (Less Constitutional Funds)</t>
  </si>
  <si>
    <t>Univ-IE_Context</t>
  </si>
  <si>
    <t>UNIV_IE_Context Data Labels</t>
  </si>
  <si>
    <t xml:space="preserve"> Total Operating Expenses Per FTSE</t>
  </si>
  <si>
    <t>Independent Institutions</t>
  </si>
  <si>
    <t>Data to Accountability System</t>
  </si>
  <si>
    <t>Data to Almanac</t>
  </si>
  <si>
    <t>Contextual Measures</t>
  </si>
  <si>
    <t>Constitutional Fnds</t>
  </si>
  <si>
    <t>Return to Index</t>
  </si>
  <si>
    <t>Charts</t>
  </si>
  <si>
    <t>Footnotes</t>
  </si>
  <si>
    <t>Links to Sources &amp; Uses Tabs</t>
  </si>
  <si>
    <t>Accountability</t>
  </si>
  <si>
    <t>&amp; Almanac</t>
  </si>
  <si>
    <t>Data</t>
  </si>
  <si>
    <t>Sources &amp; Uses of Funds</t>
  </si>
  <si>
    <t xml:space="preserve">FTSE &amp; FTFE </t>
  </si>
  <si>
    <t>Names Schedule</t>
  </si>
  <si>
    <t>Template Input Schedule</t>
  </si>
  <si>
    <t>Input Schedules</t>
  </si>
  <si>
    <t>Output Schedules</t>
  </si>
  <si>
    <t>Less: Constitutional Funds</t>
  </si>
  <si>
    <t>Data to UNIV_IE_Keys</t>
  </si>
  <si>
    <t>T/TT Fall Fac FTE teach</t>
  </si>
  <si>
    <t>For Research</t>
  </si>
  <si>
    <t>FTFE-Annual</t>
  </si>
  <si>
    <t>J57</t>
  </si>
  <si>
    <t>K86</t>
  </si>
  <si>
    <t>L86</t>
  </si>
  <si>
    <t>M86</t>
  </si>
  <si>
    <t>N86</t>
  </si>
  <si>
    <t>O86</t>
  </si>
  <si>
    <t>J15</t>
  </si>
  <si>
    <t>O49</t>
  </si>
  <si>
    <t>Constitutional Funds</t>
  </si>
  <si>
    <t>Rev_Const</t>
  </si>
  <si>
    <t>U:tility Survey Ordering</t>
  </si>
  <si>
    <t>Texas State Technical College - West Texas</t>
  </si>
  <si>
    <t>Gross Student Tuition and Fees</t>
  </si>
  <si>
    <t>Fice</t>
  </si>
  <si>
    <t>S&amp;U</t>
  </si>
  <si>
    <t>Academic Cost Study</t>
  </si>
  <si>
    <t>Checked Ok</t>
  </si>
  <si>
    <t>Total from Univ_IE_Keys</t>
  </si>
  <si>
    <t>Balance Check for FTSE</t>
  </si>
  <si>
    <t>For Research Only</t>
  </si>
  <si>
    <t>Sul Ross State University  - Rio Grande College</t>
  </si>
  <si>
    <t>Sul Ross State University (Incl. Rio Grande College)</t>
  </si>
  <si>
    <t>Institutional Support and OM of plant</t>
  </si>
  <si>
    <t>State Constitutional Sources of Revenue by Institution - Financial Profile Page 14</t>
  </si>
  <si>
    <t>Income Source per Full-Time Student Equivalent at Public Universities</t>
  </si>
  <si>
    <t>Tuition &amp; Fees Per FTSE</t>
  </si>
  <si>
    <t>State of Texas Total</t>
  </si>
  <si>
    <t>(Not reduced)</t>
  </si>
  <si>
    <t>Sources and Uses - Summary Sum</t>
  </si>
  <si>
    <t>Federal Revenues</t>
  </si>
  <si>
    <t>Institutional Revenue (Less Aux.)</t>
  </si>
  <si>
    <t>Auxiliary</t>
  </si>
  <si>
    <t>Total Sources</t>
  </si>
  <si>
    <t xml:space="preserve">Output to </t>
  </si>
  <si>
    <t>Total Net Tuition and Fees (Funds Collected)</t>
  </si>
  <si>
    <t>Sources &amp; Uses Output to SREB Survey</t>
  </si>
  <si>
    <t>(Auxiliary excluded)</t>
  </si>
  <si>
    <t>Total per Summary FGD</t>
  </si>
  <si>
    <t xml:space="preserve">Total Revenue </t>
  </si>
  <si>
    <t>Dollars</t>
  </si>
  <si>
    <t>Debt Service</t>
  </si>
  <si>
    <t>Source:</t>
  </si>
  <si>
    <t>FY 2013 Summary of Data for Academic Space Model</t>
  </si>
  <si>
    <t>No longer used - see schedule in research.</t>
  </si>
  <si>
    <t>Schedule not currently used.</t>
  </si>
  <si>
    <t>TTUHSCEP</t>
  </si>
  <si>
    <t>Additions for SHEF Survey</t>
  </si>
  <si>
    <t>Net Fees</t>
  </si>
  <si>
    <t>Texas A&amp;M AgriLife Research</t>
  </si>
  <si>
    <t>Texas A&amp;M AgriLife Extension Service</t>
  </si>
  <si>
    <t>Texas A&amp;M Engineering Experiment Station</t>
  </si>
  <si>
    <t>Texas A&amp;M Engineering Extension Service</t>
  </si>
  <si>
    <t>Texas A&amp;M Forest Service</t>
  </si>
  <si>
    <t>Texas A&amp;M Transportation Institute</t>
  </si>
  <si>
    <t>Texas A&amp;M Vet. Medical Diagnostic Laboratory</t>
  </si>
  <si>
    <t>Texas State University</t>
  </si>
  <si>
    <t>UHS</t>
  </si>
  <si>
    <t>Review Links before Using.</t>
  </si>
  <si>
    <t>Total Operating Uses Less Aux. PS</t>
  </si>
  <si>
    <t>Section not updated - See Research workbook.</t>
  </si>
  <si>
    <t>Summary of All General Academic Institutions</t>
  </si>
  <si>
    <t>General Academic Institutions - Summary</t>
  </si>
  <si>
    <t>General Academic Institutions - Side by Side Summary</t>
  </si>
  <si>
    <t>Summary of All General Academic Institutions Side By Side</t>
  </si>
  <si>
    <t>Private Gifts and Grants - Restricted Less: Auxiliary</t>
  </si>
  <si>
    <t>Copy and Paste Values into Overview - Data Tab - Academic Institutions Tuition &amp; Fees section.</t>
  </si>
  <si>
    <t>Net Tuition and Fees from Sources and Uses</t>
  </si>
  <si>
    <t>Net Tuition</t>
  </si>
  <si>
    <t>Gross Tuition as reported on AFR excludes Aux.</t>
  </si>
  <si>
    <t>Gross Fees as reported on AFR excludes Aux.</t>
  </si>
  <si>
    <t>Total Discounts &amp; Allowances excludes Aux.</t>
  </si>
  <si>
    <t xml:space="preserve">Texas State University </t>
  </si>
  <si>
    <t>The University of Texas Southwestern Medical Center</t>
  </si>
  <si>
    <t>(Less Aux.)</t>
  </si>
  <si>
    <t>Gross T &amp; Fees Less Aux.</t>
  </si>
  <si>
    <t>Copy and Paste total to Overview - Data Tab -SHEF Survey Specific Items - Academic Institutions</t>
  </si>
  <si>
    <t>SRECNP Reconciliation of Net Tuition and Fees</t>
  </si>
  <si>
    <t>Gross Student Tuition and Fees per SRECNP</t>
  </si>
  <si>
    <t>Discounts and Allowances per SRECNP</t>
  </si>
  <si>
    <t>***As reported for "Changes in Net Position" shown on Schedule of Revenues, Expenses, and Changes in Net Position (SRECNP) in Annual Financial Report.</t>
  </si>
  <si>
    <t>Changes in Net Assets as shown on SRECNP in Annual Financial Report.</t>
  </si>
  <si>
    <t>SRECNP (M100)</t>
  </si>
  <si>
    <t xml:space="preserve">SRECNP  </t>
  </si>
  <si>
    <t>SRECNP Reconciliation</t>
  </si>
  <si>
    <r>
      <t xml:space="preserve">Please enter the amounts </t>
    </r>
    <r>
      <rPr>
        <b/>
        <u/>
        <sz val="12"/>
        <rFont val="Tahoma"/>
        <family val="2"/>
      </rPr>
      <t>as printed</t>
    </r>
    <r>
      <rPr>
        <b/>
        <sz val="12"/>
        <rFont val="Tahoma"/>
        <family val="2"/>
      </rPr>
      <t xml:space="preserve"> on your Schedule</t>
    </r>
  </si>
  <si>
    <t>Sch. of Revenues, Expenses, and Changes in Net Position</t>
  </si>
  <si>
    <t>ICUT Survey  - February 201x</t>
  </si>
  <si>
    <t>SRECNP</t>
  </si>
  <si>
    <t>For Accountability Use; Source Victor</t>
  </si>
  <si>
    <t>Balancing Schedule</t>
  </si>
  <si>
    <t>Hash Total vs. Input</t>
  </si>
  <si>
    <t>SRCENP Total</t>
  </si>
  <si>
    <t>Gross T&amp;F</t>
  </si>
  <si>
    <t>T &amp; F Disc.</t>
  </si>
  <si>
    <t>Cost Study</t>
  </si>
  <si>
    <t>SRECNP Expenditures</t>
  </si>
  <si>
    <t>TSTCWT</t>
  </si>
  <si>
    <t>Sort $ Largest to Smallest</t>
  </si>
  <si>
    <t>Sort Order</t>
  </si>
  <si>
    <t>Classroom EG per FTSE</t>
  </si>
  <si>
    <t>Lab EG Per FTSE</t>
  </si>
  <si>
    <t>D</t>
  </si>
  <si>
    <t>EnGClassFTE</t>
  </si>
  <si>
    <t>EnGLabFTE</t>
  </si>
  <si>
    <t>Class Score</t>
  </si>
  <si>
    <t>Lab Score</t>
  </si>
  <si>
    <t>SUE_Class</t>
  </si>
  <si>
    <t>SUE_Lab</t>
  </si>
  <si>
    <t>Input Section for lookup for Columns N &amp; O</t>
  </si>
  <si>
    <t>For Institution Specific Questions, Please Contact the Institution Point of Contact</t>
  </si>
  <si>
    <t>Total Used for S&amp;U &amp; Accountability</t>
  </si>
  <si>
    <t>Print Scaling Width 1 page by Height 1 page - 65% Zoom</t>
  </si>
  <si>
    <t>Almanac Pie</t>
  </si>
  <si>
    <t>Research Expenditures by Source</t>
  </si>
  <si>
    <t>Lookup from table at Right</t>
  </si>
  <si>
    <t>Almanac Financial Profile Page 17</t>
  </si>
  <si>
    <t>Total Revenue Net of Constitutional Funds Per FTSE</t>
  </si>
  <si>
    <t>Total Revenue Net of Constitutional Funds Per FTFE</t>
  </si>
  <si>
    <t>Data used for Almanac - Financial Profile, page 14</t>
  </si>
  <si>
    <t>Used</t>
  </si>
  <si>
    <t>Hash Totals</t>
  </si>
  <si>
    <t>Data to Load</t>
  </si>
  <si>
    <t>Lamar University</t>
  </si>
  <si>
    <t>University of Houston-Downtown</t>
  </si>
  <si>
    <t>Texas A&amp;M University-Corpus Christi</t>
  </si>
  <si>
    <t>University of Houston-Clear Lake</t>
  </si>
  <si>
    <t>Texas A&amp;M University-Commerce</t>
  </si>
  <si>
    <t>Texas A&amp;M University-Kingsville</t>
  </si>
  <si>
    <t>University of Houston-Victoria</t>
  </si>
  <si>
    <t>Texas A&amp;M University-Texarkana</t>
  </si>
  <si>
    <t>Values</t>
  </si>
  <si>
    <t xml:space="preserve">FY 2015 Closing The Gaps Cost Estimate Data From Sources &amp; Uses Reports </t>
  </si>
  <si>
    <t>Source: FY 2015 Sources &amp; Uses</t>
  </si>
  <si>
    <t>FY 15</t>
  </si>
  <si>
    <t>Reporting Basis - FY 2015</t>
  </si>
  <si>
    <t xml:space="preserve">To Almanac </t>
  </si>
  <si>
    <t xml:space="preserve">Completed </t>
  </si>
  <si>
    <t>Institution Sources &amp; Uses Contact Information:</t>
  </si>
  <si>
    <t>635 - S &amp; U - FY 2015 - TAMRF.xlsx</t>
  </si>
  <si>
    <t>Texas A&amp;M Office of Sponsored Research Services</t>
  </si>
  <si>
    <t>TAMSR</t>
  </si>
  <si>
    <t>637 - S &amp; U - FY 2015 - TAMSR.xlsx</t>
  </si>
  <si>
    <t>Texas A&amp;M office of Technology &amp; Commercialization</t>
  </si>
  <si>
    <t>TAMTC</t>
  </si>
  <si>
    <t>639 - S &amp; U - FY 2015 - TAMTC.xlsx</t>
  </si>
  <si>
    <t>Tab No Longer Used</t>
  </si>
  <si>
    <t>Tab no onger used.</t>
  </si>
  <si>
    <t>Source: AccountabilityU_FTEFaculty_TenureGenEth_FYxx.sas</t>
  </si>
  <si>
    <t>To SUL Roll Rio Grands Univ_IE_Context</t>
  </si>
  <si>
    <r>
      <rPr>
        <sz val="9"/>
        <rFont val="Arial"/>
        <family val="2"/>
      </rPr>
      <t>FN11:</t>
    </r>
    <r>
      <rPr>
        <b/>
        <sz val="9"/>
        <rFont val="Arial"/>
        <family val="2"/>
      </rPr>
      <t xml:space="preserve"> </t>
    </r>
    <r>
      <rPr>
        <sz val="9"/>
        <rFont val="Arial"/>
        <family val="2"/>
      </rPr>
      <t xml:space="preserve"> See each individual institution for the revenues received but not yet expended for each institution. This income is fully committed to program expenditures and capital disbursements. The amount of Non-expendable funds for each institution is provided. Non-expendable funds, which include unrealized gains (losses) and additions (reductions) to permanent endowments, are provided for each institution. Unrealized gains (losses) and additions (reductions) to permanent endowments do not contribute to the availability of the institution's operating cash as discussed in FN6 and FN7 above. The total overall increase in Sources Over Uses is provided. If Sources Over Uses is negative, this footnote will be marked N/A. </t>
    </r>
  </si>
  <si>
    <t>Higher Education Fund</t>
  </si>
  <si>
    <t>*Defined as any capital outlay expenses from Educational &amp; General, Designated, Auxiliary, or Restricted Expendable Funds.</t>
  </si>
  <si>
    <t>HEF</t>
  </si>
  <si>
    <t>The University of Texas RGV - Academic &amp; Health (A+H)</t>
  </si>
  <si>
    <t>no Medical School costs</t>
  </si>
  <si>
    <t>The University of Texas at Austin - Academic &amp; Health (A+H)</t>
  </si>
  <si>
    <t>AUS1</t>
  </si>
  <si>
    <t>The University of Texas at Austin (A&amp;H)</t>
  </si>
  <si>
    <t>Higher Education Fund - As Adjusted</t>
  </si>
  <si>
    <t>The University of Texas at Austin -  All Disciplines (A+H+M)</t>
  </si>
  <si>
    <t>The University of Texas RGV - All Disciplines (A+H+M)</t>
  </si>
  <si>
    <t>RGV</t>
  </si>
  <si>
    <t>RGV1</t>
  </si>
  <si>
    <t>The University of Texas Health Science Center at Tyler</t>
  </si>
  <si>
    <t>Texas Tech University Health Sciences Center at El Paso</t>
  </si>
  <si>
    <t>The University of Texas at Austin Medical School (M)</t>
  </si>
  <si>
    <t>AUSM</t>
  </si>
  <si>
    <t>The University of Texas Rio Grande Valley Medical School (M)</t>
  </si>
  <si>
    <t>RGVM</t>
  </si>
  <si>
    <t>The University of Texas at Austin - Medical School &amp; Health Prof (M+H)</t>
  </si>
  <si>
    <t>AUS2</t>
  </si>
  <si>
    <t>The University of Texas RGV - Medical School&amp; Health Prof (M+H)</t>
  </si>
  <si>
    <t>RGV2</t>
  </si>
  <si>
    <t>The University of Texas at Austin - Academic Only (A)</t>
  </si>
  <si>
    <t>The University of Texas RGV - Academic Only (A)</t>
  </si>
  <si>
    <t>FY 16</t>
  </si>
  <si>
    <t>FY 2016 Accountability Data From Sources &amp; Uses Reports - Old Format - Not used</t>
  </si>
  <si>
    <t>This data is provided for information only, since it mixes the academic institution and the medical school.</t>
  </si>
  <si>
    <t>It is not included in the Academic Institution summary listing.</t>
  </si>
  <si>
    <t>36 OK</t>
  </si>
  <si>
    <t>UT at Austin (A &amp; H)</t>
  </si>
  <si>
    <t>RGV (A&amp;H)</t>
  </si>
  <si>
    <t>UT at Austin (A+H+M)</t>
  </si>
  <si>
    <t>The University of Texas Rio Grande Valley (A&amp;H)</t>
  </si>
  <si>
    <t>36 Ok +1 for SR RG - 37 OK</t>
  </si>
  <si>
    <t>UT RGV (A+H)</t>
  </si>
  <si>
    <t>UT at Austin (A+H)</t>
  </si>
  <si>
    <t>The University of Texas at Austin (A+H)</t>
  </si>
  <si>
    <t>The University of Texas at RGV (A+H)</t>
  </si>
  <si>
    <t>Other Institution Data Not Included in Summary Totals</t>
  </si>
  <si>
    <t>The University of Texas at Austin (A+H+M)</t>
  </si>
  <si>
    <t>The University of Texas at Rio Grande Valley (A+H+M)</t>
  </si>
  <si>
    <t>** Hidden Row - Do not delete.**</t>
  </si>
  <si>
    <t>** Hidden Row - do not delete.**</t>
  </si>
  <si>
    <t>Total Net Tuition &amp; Fees</t>
  </si>
  <si>
    <t xml:space="preserve">Waivers - Statutory </t>
  </si>
  <si>
    <t xml:space="preserve">Waivers - Institutional </t>
  </si>
  <si>
    <t xml:space="preserve">Exemptions - Statutory </t>
  </si>
  <si>
    <t xml:space="preserve">Exemptions - Institutional </t>
  </si>
  <si>
    <t>All Other Scholarship Disc.&amp; Allow.</t>
  </si>
  <si>
    <t>Texas State Technical College - North Texas</t>
  </si>
  <si>
    <t>Texas State Technical College - Fort Bend</t>
  </si>
  <si>
    <t>Sul Ross Rio Grande College</t>
  </si>
  <si>
    <t xml:space="preserve">Texas State </t>
  </si>
  <si>
    <t>Data to Jennifer 12/13/16</t>
  </si>
  <si>
    <t>Master Peer Group Table</t>
  </si>
  <si>
    <t>Peer Groups based on FY 2006</t>
  </si>
  <si>
    <t>Link to Key</t>
  </si>
  <si>
    <t>Source: H: …. Casey's Accountability Files/Data File Historical Peer Groups.xlxs</t>
  </si>
  <si>
    <t>Contact:  Diane E.</t>
  </si>
  <si>
    <t>FiceCode</t>
  </si>
  <si>
    <t>InstName</t>
  </si>
  <si>
    <t>Type</t>
  </si>
  <si>
    <t>FY2000</t>
  </si>
  <si>
    <t>FY2001</t>
  </si>
  <si>
    <t>FY2002</t>
  </si>
  <si>
    <t>FY2003</t>
  </si>
  <si>
    <t>FY2004</t>
  </si>
  <si>
    <t>FY2005</t>
  </si>
  <si>
    <t>FY2006</t>
  </si>
  <si>
    <t>FY2007</t>
  </si>
  <si>
    <t>FY2008</t>
  </si>
  <si>
    <t>FY2009</t>
  </si>
  <si>
    <t>FY2010</t>
  </si>
  <si>
    <t>FY2011</t>
  </si>
  <si>
    <t>FY2012</t>
  </si>
  <si>
    <t>FY2013</t>
  </si>
  <si>
    <t>FY2014</t>
  </si>
  <si>
    <t>FY2015</t>
  </si>
  <si>
    <t>FY2016</t>
  </si>
  <si>
    <t>FAKE IHE</t>
  </si>
  <si>
    <t>Z</t>
  </si>
  <si>
    <t>ALAMO CCD NE LAKEVIEW COLLEGE</t>
  </si>
  <si>
    <t>P00011</t>
  </si>
  <si>
    <t>ALAMO CCD NW VISTA COLLEGE</t>
  </si>
  <si>
    <t>ALAMO CCD PALO ALTO COLLEGE</t>
  </si>
  <si>
    <t>ALAMO CCD SAN ANTONIO COLLEGE</t>
  </si>
  <si>
    <t>ALAMO CCD ST. PHILIPS COLLEGE</t>
  </si>
  <si>
    <t>ALAMO COMMUNITY COLLEGE DIST</t>
  </si>
  <si>
    <t>ALVIN COMMUNITY COLLEGE</t>
  </si>
  <si>
    <t>P00013</t>
  </si>
  <si>
    <t>AMARILLO COLLEGE</t>
  </si>
  <si>
    <t>P00012</t>
  </si>
  <si>
    <t>ANGELINA COLLEGE</t>
  </si>
  <si>
    <t>AUSTIN COMMUNITY COLLEGE</t>
  </si>
  <si>
    <t>BLINN COLLEGE</t>
  </si>
  <si>
    <t>BRAZOSPORT COLLEGE</t>
  </si>
  <si>
    <t>CENTRAL TEXAS COLLEGE</t>
  </si>
  <si>
    <t>CISCO COLLEGE</t>
  </si>
  <si>
    <t>CLARENDON COLLEGE</t>
  </si>
  <si>
    <t>P00015</t>
  </si>
  <si>
    <t>COASTAL BEND COLLEGE</t>
  </si>
  <si>
    <t>COLLEGE OF THE MAINLAND COMMUN</t>
  </si>
  <si>
    <t>COLLIN CO COMM COLL DISTRICT</t>
  </si>
  <si>
    <t>DALLAS CO COMMUNITY COLL DIST</t>
  </si>
  <si>
    <t>DCCCD BROOKHAVEN COLLEGE</t>
  </si>
  <si>
    <t>DCCCD CEDAR VALLEY COLLEGE</t>
  </si>
  <si>
    <t>DCCCD EASTFIELD COLLEGE</t>
  </si>
  <si>
    <t>DCCCD EL CENTRO COLLEGE</t>
  </si>
  <si>
    <t>DCCCD MOUNTAIN VIEW COLLEGE</t>
  </si>
  <si>
    <t>DCCCD NORTH LAKE COLLEGE</t>
  </si>
  <si>
    <t>DCCCD RICHLAND COLLEGE</t>
  </si>
  <si>
    <t>DEL MAR COLLEGE</t>
  </si>
  <si>
    <t>EL PASO COMMUNITY COLLEGE DIST</t>
  </si>
  <si>
    <t>FRANK PHILLIPS COLLEGE</t>
  </si>
  <si>
    <t>GALVESTON COLLEGE</t>
  </si>
  <si>
    <t>GRAYSON COLLEGE</t>
  </si>
  <si>
    <t>HILL COLLEGE</t>
  </si>
  <si>
    <t>HOUSTON COMMUNITY COLLEGE</t>
  </si>
  <si>
    <t>HOWARD CO JR COLL DISTRICT</t>
  </si>
  <si>
    <t>HOWARD COLLEGE</t>
  </si>
  <si>
    <t>KILGORE COLLEGE</t>
  </si>
  <si>
    <t>LAREDO COMMUNITY COLLEGE</t>
  </si>
  <si>
    <t>LEE COLLEGE</t>
  </si>
  <si>
    <t>LONE STAR COLLEGE - CY-FAIR</t>
  </si>
  <si>
    <t>LONE STAR COLLEGE - KINGWOOD</t>
  </si>
  <si>
    <t>LONE STAR COLLEGE - MONTGOMERY</t>
  </si>
  <si>
    <t>LONE STAR COLLEGE - N. HARRIS</t>
  </si>
  <si>
    <t>LONE STAR COLLEGE - TOMBALL</t>
  </si>
  <si>
    <t>LONE STAR COLLEGE - UNIV PARK</t>
  </si>
  <si>
    <t>LONE STAR COLLEGE SYSTEM DIST.</t>
  </si>
  <si>
    <t>MCLENNAN COMMUNITY COLLEGE</t>
  </si>
  <si>
    <t>MIDLAND COLLEGE</t>
  </si>
  <si>
    <t>NAVARRO COLLEGE</t>
  </si>
  <si>
    <t>NORTH CENTRAL TEXAS COLLEGE</t>
  </si>
  <si>
    <t>NORTH HARRIS CC-EAST CAMPUS</t>
  </si>
  <si>
    <t>NORTH HARRIS CC-SOUTH CAMPUS</t>
  </si>
  <si>
    <t>NORTHEAST TEXAS COMM COLLEGE</t>
  </si>
  <si>
    <t>ODESSA COLLEGE</t>
  </si>
  <si>
    <t>PANOLA COLLEGE</t>
  </si>
  <si>
    <t>PARIS JUNIOR COLLEGE</t>
  </si>
  <si>
    <t>RANGER COLLEGE</t>
  </si>
  <si>
    <t>SAN JACINTO COLLEGE CEN CAMPUS</t>
  </si>
  <si>
    <t>SAN JACINTO COLLEGE N CAMPUS</t>
  </si>
  <si>
    <t>SAN JACINTO COLLEGE S CAMPUS</t>
  </si>
  <si>
    <t>SAN JACINTO COMMUNITY COLLEGE</t>
  </si>
  <si>
    <t>SOUTH PLAINS COLLEGE</t>
  </si>
  <si>
    <t>SOUTH TEXAS COLLEGE</t>
  </si>
  <si>
    <t>SOUTHWEST COLLEGIATE INSTITUTE</t>
  </si>
  <si>
    <t>SOUTHWEST TEXAS JUNIOR COLLEGE</t>
  </si>
  <si>
    <t>TARRANT CO CONNECT CAMPUS</t>
  </si>
  <si>
    <t>TARRANT CO NORTHEAST CAMPUS</t>
  </si>
  <si>
    <t>TARRANT CO NORTHWEST CAMPUS</t>
  </si>
  <si>
    <t>TARRANT CO SOUTH CAMPUS</t>
  </si>
  <si>
    <t>TARRANT CO SOUTHEAST CAMPUS</t>
  </si>
  <si>
    <t>TARRANT CO TRINITY RIVR CAMPUS</t>
  </si>
  <si>
    <t>TARRANT COUNTY COLLEGE DIST</t>
  </si>
  <si>
    <t>TEMPLE COLLEGE</t>
  </si>
  <si>
    <t>TEXARKANA COLLEGE</t>
  </si>
  <si>
    <t>TEXAS SOUTHMOST COLLEGE</t>
  </si>
  <si>
    <t>TRINITY VALLEY CC-ANDERSON</t>
  </si>
  <si>
    <t>TRINITY VALLEY CC-ATHENS</t>
  </si>
  <si>
    <t>TRINITY VALLEY CC-KAUFMAN</t>
  </si>
  <si>
    <t>TRINITY VALLEY COMM COLLEGE</t>
  </si>
  <si>
    <t>TYLER JUNIOR COLLEGE</t>
  </si>
  <si>
    <t>VERNON COLLEGE</t>
  </si>
  <si>
    <t>VICTORIA COLLEGE</t>
  </si>
  <si>
    <t>WEATHERFORD COLLEGE</t>
  </si>
  <si>
    <t>WESTERN TEXAS COLLEGE</t>
  </si>
  <si>
    <t>WHARTON COUNTY JUNIOR COLLEGE</t>
  </si>
  <si>
    <t>ANGELO STATE UNIVERSITY</t>
  </si>
  <si>
    <t>P00031</t>
  </si>
  <si>
    <t>MIDWESTERN STATE UNIVERSITY</t>
  </si>
  <si>
    <t>SUL ROSS STATE UNIVERSITY</t>
  </si>
  <si>
    <t>SUL ROSS STATE UNIVERSITY RIO GRANDE COLLEGE</t>
  </si>
  <si>
    <t>TEXAS A&amp;M UNIV AT GALVESTON</t>
  </si>
  <si>
    <t>TEXAS A&amp;M UNIV-CENTRAL TEXAS</t>
  </si>
  <si>
    <t>TEXAS A&amp;M UNIVERSITY-TEXARKANA</t>
  </si>
  <si>
    <t>TEXAS A&amp;M UNIV-SAN ANTONIO</t>
  </si>
  <si>
    <t>U. OF HOUSTON-CLEAR LAKE</t>
  </si>
  <si>
    <t>U. OF HOUSTON-DOWNTOWN</t>
  </si>
  <si>
    <t>U. OF HOUSTON-VICTORIA</t>
  </si>
  <si>
    <t>U. OF TEXAS AT BROWNSVILLE</t>
  </si>
  <si>
    <t>U. OF TEXAS AT TYLER</t>
  </si>
  <si>
    <t>U. OF TEXAS-PERMIAN BASIN</t>
  </si>
  <si>
    <t>UNIV. OF NORTH TEXAS AT DALLAS</t>
  </si>
  <si>
    <t>LAMAR UNIVERSITY</t>
  </si>
  <si>
    <t>P00030</t>
  </si>
  <si>
    <t>PRAIRIE VIEW A&amp;M UNIVERSITY</t>
  </si>
  <si>
    <t>STEPHEN F. AUSTIN STATE UNIV</t>
  </si>
  <si>
    <t>TARLETON STATE UNIVERSITY</t>
  </si>
  <si>
    <t>TEXAS A&amp;M INTERNATIONAL UNIV</t>
  </si>
  <si>
    <t>WEST TEXAS A&amp;M UNIVERSITY</t>
  </si>
  <si>
    <t>SAM HOUSTON STATE UNIVERSITY</t>
  </si>
  <si>
    <t>P00032</t>
  </si>
  <si>
    <t>TEXAS A&amp;M UNIV-CORPUS CHRISTI</t>
  </si>
  <si>
    <t>TEXAS A&amp;M UNIVERSITY-COMMERCE</t>
  </si>
  <si>
    <t>TEXAS A&amp;M UNIV-KINGSVILLE</t>
  </si>
  <si>
    <t>TEXAS SOUTHERN UNIVERSITY</t>
  </si>
  <si>
    <t>TEXAS WOMAN'S UNIVERSITY</t>
  </si>
  <si>
    <t>U. OF TEXAS-PAN AMERICAN</t>
  </si>
  <si>
    <t>U. OF TEXAS-RIO GRANDE VALLEY</t>
  </si>
  <si>
    <t>TEXAS STATE UNIVERSITY</t>
  </si>
  <si>
    <t>P00033</t>
  </si>
  <si>
    <t>TEXAS TECH UNIVERSITY</t>
  </si>
  <si>
    <t>U. OF TEXAS AT ARLINGTON</t>
  </si>
  <si>
    <t>U. OF TEXAS AT DALLAS</t>
  </si>
  <si>
    <t>U. OF TEXAS AT EL PASO</t>
  </si>
  <si>
    <t>U. OF TEXAS AT SAN ANTONIO</t>
  </si>
  <si>
    <t>UNIVERSITY OF HOUSTON</t>
  </si>
  <si>
    <t>UNIVERSITY OF NORTH TEXAS</t>
  </si>
  <si>
    <t>TEXAS A&amp;M UNIVERSITY</t>
  </si>
  <si>
    <t>P00034</t>
  </si>
  <si>
    <t>U. OF TEXAS AT AUSTIN</t>
  </si>
  <si>
    <t>ABILENE CHRISTIAN UNIVERSITY</t>
  </si>
  <si>
    <t>ACADEMY ORIENTAL MED. AUSTIN</t>
  </si>
  <si>
    <t>ALLIED HEALTH CAREERS-AUSTIN</t>
  </si>
  <si>
    <t>AM COL ACUP AND ORIENT MED-HOU</t>
  </si>
  <si>
    <t>AMBERTON UNIVERSITY</t>
  </si>
  <si>
    <t>AMERICAN COLLEGE OF EDUCATION</t>
  </si>
  <si>
    <t>AMERICAN INTERCONTINENTAL UNIV</t>
  </si>
  <si>
    <t>ANAMARC COLLEGE-EL PASO</t>
  </si>
  <si>
    <t>ANAMARC COLLEGE-SANTA TERESA N</t>
  </si>
  <si>
    <t>ANTHEM COLLEGE-IRVING</t>
  </si>
  <si>
    <t>ARGOSY UNIVERSITY-DALLAS</t>
  </si>
  <si>
    <t>ARIZONA STATE UNIVERSITY</t>
  </si>
  <si>
    <t>ARKANSAS STATE UNIVERSITY</t>
  </si>
  <si>
    <t>ARLINGTON BAPTIST COLLEGE-ARL.</t>
  </si>
  <si>
    <t>ASBURY THEOLOGICAL SEMINARY</t>
  </si>
  <si>
    <t>ASHFORD UNIVERSITY</t>
  </si>
  <si>
    <t>ASHFORD UNIVERSITY-DALLAS</t>
  </si>
  <si>
    <t>ASHFORD UNIVERSITY-HOUSTON</t>
  </si>
  <si>
    <t>ASHFORD UNIVERSITY-SAN ANTONIO</t>
  </si>
  <si>
    <t>ATI CAREER TRAINING CENTER-DAL</t>
  </si>
  <si>
    <t>ATI CAREER TRAINING CENTER-NRH</t>
  </si>
  <si>
    <t>AUSTIN COLLEGE</t>
  </si>
  <si>
    <t>AUSTIN GRADUATE SCHOOL OF THEO</t>
  </si>
  <si>
    <t>AUSTIN PEAY STATE UNIVERSITY</t>
  </si>
  <si>
    <t>AUSTIN PRESBYTERIAN THEO. SEM.</t>
  </si>
  <si>
    <t>BAPTIST HEALTH SYSTEM (SA)</t>
  </si>
  <si>
    <t>BAPTIST HLTH SYS SCH HLTH PROF</t>
  </si>
  <si>
    <t>BAPTIST HOSP SE TX SC RAD TECH</t>
  </si>
  <si>
    <t>BAPTIST MISSION ASSOC. THEO. S</t>
  </si>
  <si>
    <t>BARRY UNIVERSITY</t>
  </si>
  <si>
    <t>BAYLOR COLL MED-GRAD BIOMED SC</t>
  </si>
  <si>
    <t>BAYLOR COLL MED-MEDICAL SCHOOL</t>
  </si>
  <si>
    <t>BAYLOR COLL OF MEDICINE/ACAD</t>
  </si>
  <si>
    <t>BAYLOR COLLEGE OF MEDICINE</t>
  </si>
  <si>
    <t>BAYLOR U ARMY MEDICAL SERV SCH</t>
  </si>
  <si>
    <t>BAYLOR UNIV MED CTR (DALLAS)</t>
  </si>
  <si>
    <t>BAYLOR UNIVERSITY</t>
  </si>
  <si>
    <t>BELHAVEN UNIVERSITY-HOUSTON</t>
  </si>
  <si>
    <t>BENEDICTINE UNIVERSITY</t>
  </si>
  <si>
    <t>BEXAR COUNTY MEDICAL EXAMINER</t>
  </si>
  <si>
    <t>BRANDMAN UNIVERISTY</t>
  </si>
  <si>
    <t>BROWN MACKIE COLLEGE - DALLAS</t>
  </si>
  <si>
    <t>BROWN MACKIE COLLEGE - FORT WO</t>
  </si>
  <si>
    <t>BROWN MACKIE COLLEGE-SAN ANTON</t>
  </si>
  <si>
    <t>CAPELLA UNIVERSITY</t>
  </si>
  <si>
    <t>CAPITOL CITY CAREERS-AUSTIN</t>
  </si>
  <si>
    <t>CAREER POINT COLLEGE-SAN ANTON</t>
  </si>
  <si>
    <t>CARRINGTON COLLEGE-MESQUITE</t>
  </si>
  <si>
    <t>CASE WESTERN RESERVE UNIV.</t>
  </si>
  <si>
    <t>CHAMBERLAIN COLLEGE OF NURSING</t>
  </si>
  <si>
    <t>CHRISTUS SANTA ROSA (SAN ANT)</t>
  </si>
  <si>
    <t>CMWLTH INST FUNERAL SERVICE-HO</t>
  </si>
  <si>
    <t>COLLEGE OF BIBLICAL STUDIES-H</t>
  </si>
  <si>
    <t>CONCORDE CAREER COLLEGE-DALLAS</t>
  </si>
  <si>
    <t>CONCORDE CAREER COLLEGE-SAN AN</t>
  </si>
  <si>
    <t>CONCORDE CAREER INSTITUTE-ARL</t>
  </si>
  <si>
    <t>CONCORDIA UNIVERSITY TEXAS</t>
  </si>
  <si>
    <t>CONROE MEDICAL FOUNDATION</t>
  </si>
  <si>
    <t>COSSATOT COMMUNITY COLLEGE</t>
  </si>
  <si>
    <t>COURT REPORTING INST - HOUSTON</t>
  </si>
  <si>
    <t>COURT REPORTING INST OF DALLAS</t>
  </si>
  <si>
    <t>COVENANT SCH. OF NURSING (LUB)</t>
  </si>
  <si>
    <t>COVENANT SCHOOL OF NURSING</t>
  </si>
  <si>
    <t>CREIGHTON UNIVERSITY</t>
  </si>
  <si>
    <t>CTR FOR ADVANCED LEGAL STUDIES</t>
  </si>
  <si>
    <t>CULINARY INSTITUTE LENOTRE</t>
  </si>
  <si>
    <t>CULINARY INSTITUTE OF AMERICA</t>
  </si>
  <si>
    <t>DALLAS BAPTIST UNIVERSITY</t>
  </si>
  <si>
    <t>DALLAS INST OF FUNERAL SERVICE</t>
  </si>
  <si>
    <t>DALLAS NURSING INSTITUTE</t>
  </si>
  <si>
    <t>DEVRY UNIVERSITY-AUSTIN</t>
  </si>
  <si>
    <t>DEVRY UNIVERSITY-FORT WORTH</t>
  </si>
  <si>
    <t>DEVRY UNIVERSITY-HOUSTON</t>
  </si>
  <si>
    <t>DEVRY UNIVERSITY-HOUSTON G CTR</t>
  </si>
  <si>
    <t>DEVRY UNIVERSITY-IRVING</t>
  </si>
  <si>
    <t>DEVRY UNIVERSITY-RICHARDSON</t>
  </si>
  <si>
    <t>DEVRY UNIVERSITY-SAN ANTONIO</t>
  </si>
  <si>
    <t>DEVRY UNIVERSITY-SUGAR LAND</t>
  </si>
  <si>
    <t>DEVRY UNIVERSITY-TEXAS</t>
  </si>
  <si>
    <t>DRISCOLL CHILDRENS HOSPITAL</t>
  </si>
  <si>
    <t>EAST CENTRAL UNIVERSITY</t>
  </si>
  <si>
    <t>EAST TEXAS BAPTIST UNIVERSITY</t>
  </si>
  <si>
    <t>ECOTECH INSTITUTE</t>
  </si>
  <si>
    <t>EMBRY-RIDDLE AERO UNIV-AMARILL</t>
  </si>
  <si>
    <t>EMBRY-RIDDLE AERO UNIV-FTWORTH</t>
  </si>
  <si>
    <t>EMBRY-RIDDLE AERO UNIV-HOUSTON</t>
  </si>
  <si>
    <t>EPISCOPAL THEO SEMINARY OF SW</t>
  </si>
  <si>
    <t>EVEREST COLLEGE-ARLINGTON</t>
  </si>
  <si>
    <t>EVEREST COLLEGE-DALLAS</t>
  </si>
  <si>
    <t>EVEREST COLLEGE-FORT WORTH</t>
  </si>
  <si>
    <t>EVEREST COLLEGE-FORTH WORTH S.</t>
  </si>
  <si>
    <t>EVEREST INSTITUTE-AUSTIN</t>
  </si>
  <si>
    <t>EVEREST INSTITUTE-HOUSTON GRSP</t>
  </si>
  <si>
    <t>EVEREST INSTITUTE-HOUSTON HOBB</t>
  </si>
  <si>
    <t>FORTIS COLLEGE-HOUSTON</t>
  </si>
  <si>
    <t>FRANKLIN COLLEGE-EL PASO EAST</t>
  </si>
  <si>
    <t>FRANKLIN COLLEGE-EL PASO WEST</t>
  </si>
  <si>
    <t>GALEN COLLEGE OF NURSING - SA</t>
  </si>
  <si>
    <t>GALLAUDET UNIVERSITY</t>
  </si>
  <si>
    <t>GOLF ACADEMY OF AMERICA-DALLAS</t>
  </si>
  <si>
    <t>GONZAGA UNIVERSITY</t>
  </si>
  <si>
    <t>GRAD INST APPLIED LINGUISTICS</t>
  </si>
  <si>
    <t>GRAND CANYON UNIVERSITY</t>
  </si>
  <si>
    <t>GRANTHAM UNIVERSITY</t>
  </si>
  <si>
    <t>HALLMARK COLLEGE OF AERONAUTI</t>
  </si>
  <si>
    <t>HALLMARK COLLEGE OF TECHNOLOGY</t>
  </si>
  <si>
    <t>HARDIN-SIMMONS UNIVERSITY</t>
  </si>
  <si>
    <t>HARRIS COUNTY MEDICAL EXAMINER</t>
  </si>
  <si>
    <t>HARTFORD SEMINARY</t>
  </si>
  <si>
    <t>HOUSTON BAPTIST UNIVERSITY</t>
  </si>
  <si>
    <t>HOWARD PAYNE UNIVERSITY</t>
  </si>
  <si>
    <t>HUSTON-TILLOTSON UNIVERSITY</t>
  </si>
  <si>
    <t>INDEPENDENCE UNIVERSITY</t>
  </si>
  <si>
    <t>INDIANA STATE UNIVERSITY</t>
  </si>
  <si>
    <t>INDIANA WESLEYAN UNIVERSITY</t>
  </si>
  <si>
    <t>INST ESTUDIOS DE MONTERREY-HOU</t>
  </si>
  <si>
    <t>INST TECHNOLOGICO DE MONTERREY</t>
  </si>
  <si>
    <t>INTERACTIVE COL OF TECH-HILCRO</t>
  </si>
  <si>
    <t>INTERACTIVE COL OF TECH-N HOUS</t>
  </si>
  <si>
    <t>INTERACTIVE COL OF TECH-PASADN</t>
  </si>
  <si>
    <t>INTERNATL ACAD DESIGN &amp; TECH</t>
  </si>
  <si>
    <t>ITT TECH INSTITUTE-ARLINGTON</t>
  </si>
  <si>
    <t>ITT TECH INSTITUTE-HOUSTON N</t>
  </si>
  <si>
    <t>ITT TECH INSTITUTE-HOUSTON W</t>
  </si>
  <si>
    <t>ITT TECH INSTITUTE-RICHARDSON</t>
  </si>
  <si>
    <t>ITT TECH INSTITUTE-SAN ANTONIO</t>
  </si>
  <si>
    <t>ITT TECH INSTITUTE-WEBSTER</t>
  </si>
  <si>
    <t>ITT TECHNICAL INST.-DE SOTO</t>
  </si>
  <si>
    <t>ITT TECHNICAL INSTITUTE AUSTIN</t>
  </si>
  <si>
    <t>ITT TECHNICAL INSTITUTE HDQRTS</t>
  </si>
  <si>
    <t>ITT TECHNICAL INSTITUTE-WACO</t>
  </si>
  <si>
    <t>JACKSONVILLE COLLEGE</t>
  </si>
  <si>
    <t>JARVIS CHRISTIAN COLLEGE</t>
  </si>
  <si>
    <t>JOHN BROWN UNIVERSITY</t>
  </si>
  <si>
    <t>JOHN PETER SMITH HOSPITAL (FW)</t>
  </si>
  <si>
    <t>JONES INTERNATIONAL UNIVERSITY</t>
  </si>
  <si>
    <t>KAPLAN COLLEGE - BEAUMONT</t>
  </si>
  <si>
    <t>KAPLAN COLLEGE - DALLAS</t>
  </si>
  <si>
    <t>KAPLAN COLLEGE - FORT WORTH</t>
  </si>
  <si>
    <t>KAPLAN COLLEGE - LAREDO</t>
  </si>
  <si>
    <t>KAPLAN COLLEGE - LUBBOCK</t>
  </si>
  <si>
    <t>KAPLAN COLLEGE - McAllen</t>
  </si>
  <si>
    <t>KAPLAN COLLEGE - MIDLAND</t>
  </si>
  <si>
    <t>KAPLAN COLLEGE - SAN ANTONIO</t>
  </si>
  <si>
    <t>KAPLAN COLLEGE-ARLINGTON</t>
  </si>
  <si>
    <t>KAPLAN COLLEGE-BROWNSVILLE</t>
  </si>
  <si>
    <t>KAPLAN COLLEGE-CORPUS CHRISTI</t>
  </si>
  <si>
    <t>KAPLAN COLLEGE-EL PASO</t>
  </si>
  <si>
    <t>KAPLAN COLLEGE-SAN ANTONIO</t>
  </si>
  <si>
    <t>KAPLAN UNIVERSITY</t>
  </si>
  <si>
    <t>KD COLLEGE-DALLAS</t>
  </si>
  <si>
    <t>KENDALL COLLEGE</t>
  </si>
  <si>
    <t>KIRTLAND COMMUNITY COLLEGE</t>
  </si>
  <si>
    <t>LA COLLEGE INTERNATIONAL</t>
  </si>
  <si>
    <t>LAKE ERIE COLL OSTEOPATHIC MED</t>
  </si>
  <si>
    <t>LAKE FOREST GRAD SCH OF MGMT</t>
  </si>
  <si>
    <t>LAMAR INSTITUTE OF TECHNOLOGY</t>
  </si>
  <si>
    <t>LAMAR STATE COLL-ORANGE</t>
  </si>
  <si>
    <t>LAMAR STATE COLL-PORT ARTHUR</t>
  </si>
  <si>
    <t>LE CORD BLEU COL OF CUL-ART AU</t>
  </si>
  <si>
    <t>LE CORD BLEU COL OF CUL-ART-D</t>
  </si>
  <si>
    <t>LETOURNEAU UNIVERSITY</t>
  </si>
  <si>
    <t>LIGHTHOUSE COLLEGE-DALLAS</t>
  </si>
  <si>
    <t>LINCOLN CL OF TECH-GRAND PRAIR</t>
  </si>
  <si>
    <t>LON MORRIS COLLEGE</t>
  </si>
  <si>
    <t>LOYOLA UNIVERSITY NEW ORLEANS</t>
  </si>
  <si>
    <t>LUBBOCK CHRISTIAN UNIVERSITY</t>
  </si>
  <si>
    <t>MCLENNAN CTY MED ED &amp; RES FOUN</t>
  </si>
  <si>
    <t>MCMURRY UNIVERSITY</t>
  </si>
  <si>
    <t>MCNEESE STATE UNIVERSITY</t>
  </si>
  <si>
    <t>MEMORIAL HERMANN HOSPITAL SYST</t>
  </si>
  <si>
    <t>MESSENGER COLLEGE</t>
  </si>
  <si>
    <t>METHODIST HOSPITAL (HOUSTON)</t>
  </si>
  <si>
    <t>METHODIST HOSPITALS OF DALLAS</t>
  </si>
  <si>
    <t>MIDDLE TENN SCHOOL ANESTHESIA</t>
  </si>
  <si>
    <t>MIDWESTERN UNIVERSITY-DG</t>
  </si>
  <si>
    <t>MINNESOTA STATE UNIV MOORHEAD</t>
  </si>
  <si>
    <t>MINOT STATE UNIVERSITY</t>
  </si>
  <si>
    <t>NATIONAL AMERICAN U-AUSTIN SOU</t>
  </si>
  <si>
    <t>NATIONAL AMERICAN U-GEORGETOWN</t>
  </si>
  <si>
    <t>NATIONAL AMERICAN U-LEWISVILLE</t>
  </si>
  <si>
    <t>NATIONAL AMERICAN U-MESQUITE</t>
  </si>
  <si>
    <t>NATIONAL AMERICAN UNIVERSITY</t>
  </si>
  <si>
    <t>NATIONAL AMERICAN U-RICHARDSON</t>
  </si>
  <si>
    <t>NATIONAL UNIVERSITY</t>
  </si>
  <si>
    <t>NATIONAL UNIVERSITY-DALLAS</t>
  </si>
  <si>
    <t>NATIONAL UNIVERSITY-HOUSTON</t>
  </si>
  <si>
    <t>NATL GRAD SCH OF QUAL MANAGE</t>
  </si>
  <si>
    <t>NEUMANN UNIVERSITY</t>
  </si>
  <si>
    <t>NO CEN TX MED FOUND-WICH FALLS</t>
  </si>
  <si>
    <t>NORTH AMERICAN COLLEGE-HOUSTON</t>
  </si>
  <si>
    <t>NORTHCENTRAL UNIVERSITY</t>
  </si>
  <si>
    <t>NORTHWESTERN COLLEGE-IOWA</t>
  </si>
  <si>
    <t>NORTHWESTERN OKLAHOMA STATE U</t>
  </si>
  <si>
    <t>NORTHWESTERN STATE UNIVERSITY</t>
  </si>
  <si>
    <t>NORTHWESTERN UNIVERSITY</t>
  </si>
  <si>
    <t>NORTHWOOD UNIVERSITY-CEDAR HIL</t>
  </si>
  <si>
    <t>NOVA SOUTHEASTERN UNIV-DALLAS</t>
  </si>
  <si>
    <t>NOVA SOUTHEASTERN UNIVERSITY</t>
  </si>
  <si>
    <t>NOVA SOUTHEASTERN UNIV-JUSTIN</t>
  </si>
  <si>
    <t>OBLATE SCH OF THEOLOGY-SAN ANT</t>
  </si>
  <si>
    <t>OHIO UNIVERSITY</t>
  </si>
  <si>
    <t>ORAL ROBERTS UNIVERSITY</t>
  </si>
  <si>
    <t>OREGON INSTITUTE OF TECHNOLOGY</t>
  </si>
  <si>
    <t>OREGON STATE UNIVERSITY</t>
  </si>
  <si>
    <t>OUR LADY OF THE LAKE UNIV/SA</t>
  </si>
  <si>
    <t>PACIFIC UNIVERSITY</t>
  </si>
  <si>
    <t>PARK UNIVERSITY</t>
  </si>
  <si>
    <t>PARK UNIVERSITY-AUSTIN</t>
  </si>
  <si>
    <t>PARKER UNIVERSITY</t>
  </si>
  <si>
    <t>PAUL QUINN COLLEGE</t>
  </si>
  <si>
    <t>PIMA MEDICAL INSTITUTE-HOUSTON</t>
  </si>
  <si>
    <t>PITTSBURGH INST MORTUARY SCIEN</t>
  </si>
  <si>
    <t>PLANO ORTHO &amp; SPORTS MED CTR</t>
  </si>
  <si>
    <t>PLATT COLLEGE-DALLAS</t>
  </si>
  <si>
    <t>POST UNIVERSITY</t>
  </si>
  <si>
    <t>PRESBYTERIAN HOSPITAL (DALLAS)</t>
  </si>
  <si>
    <t>QUEST COLLEGE-SAN ANTONIO</t>
  </si>
  <si>
    <t>REFORMED THEOLOGICAL SEMINARY</t>
  </si>
  <si>
    <t>REMINGTON COLLEGE DALLAS</t>
  </si>
  <si>
    <t>REMINGTON COLLEGE HOUSTON N</t>
  </si>
  <si>
    <t>REMINGTON COLLEGE HOUSTON SE</t>
  </si>
  <si>
    <t>REMINGTON COLLEGE HOUSTON WEST</t>
  </si>
  <si>
    <t>REMINGTON COLLEGE-FORT WORTH</t>
  </si>
  <si>
    <t>RICE UNIVERSITY</t>
  </si>
  <si>
    <t>RIO GRANDE BIBLE INSTITUTE</t>
  </si>
  <si>
    <t>RIVER CITY COLLEGE ON-LINE DIV</t>
  </si>
  <si>
    <t>RIVERLAND COMMUNITY COLLEGE</t>
  </si>
  <si>
    <t>ROSEMAN UNIV HEALTH SCIENCES</t>
  </si>
  <si>
    <t>RUSH UNIVERSITY</t>
  </si>
  <si>
    <t>SAINT JOSEPHS COLLEGE MAINE</t>
  </si>
  <si>
    <t>SAINT LEO UNIVERSITY</t>
  </si>
  <si>
    <t>SAINT LEO UNIVERSITY-CORPUS CH</t>
  </si>
  <si>
    <t>SAINT LOUIS UNIVERSITY</t>
  </si>
  <si>
    <t>SAN ANTONIO ART INSTITUTE</t>
  </si>
  <si>
    <t>SAN JACINTO METHODIST HOSPITAL</t>
  </si>
  <si>
    <t>SANFORD-BROWN COLLEGE-DALLAS</t>
  </si>
  <si>
    <t>SANFORD-BROWN COLLEGE-HOUST NL</t>
  </si>
  <si>
    <t>SANFORD-BROWN COLLEGE-HOUSTON</t>
  </si>
  <si>
    <t>SANFORD-BROWN COLLEGE-SAN ANT</t>
  </si>
  <si>
    <t>SANFORD-BROWN INSTITUTE-AUSTIN</t>
  </si>
  <si>
    <t>SCHOOL OF AUTO MACHINISTS-HOUS</t>
  </si>
  <si>
    <t>SCHREINER UNIVERSITY</t>
  </si>
  <si>
    <t>SOUTH PLAINS COLL DISTRICT</t>
  </si>
  <si>
    <t>SOUTH PLAINS COLL-LUBBOCK</t>
  </si>
  <si>
    <t>SOUTH TEXAS COLLEGE OF LAW</t>
  </si>
  <si>
    <t>SOUTH UNIVERSITY</t>
  </si>
  <si>
    <t>SOUTH UNIVERSITY-AUSTIN</t>
  </si>
  <si>
    <t>SOUTH UNIVERSITY-DALLAS</t>
  </si>
  <si>
    <t>SOUTHEASTERN OKLAHOMA ST. UNIV</t>
  </si>
  <si>
    <t>SOUTHERN ARKANSAS UNIVERSITY</t>
  </si>
  <si>
    <t>SOUTHERN METHODIST UNIVERSITY</t>
  </si>
  <si>
    <t>SOUTHWEST INSTITUTE OF TECH</t>
  </si>
  <si>
    <t>SOUTHWEST UNIVERSITY-EL PASO</t>
  </si>
  <si>
    <t>SOUTHWESTERN ADVENTIST UNIV</t>
  </si>
  <si>
    <t>SOUTHWESTERN ASSEM OF GOD UNIV</t>
  </si>
  <si>
    <t>SOUTHWESTERN CHRISTIAN COLLEGE</t>
  </si>
  <si>
    <t>SOUTHWESTERN INST FORENSIC SCI</t>
  </si>
  <si>
    <t>SOUTHWESTERN UNIVERSITY</t>
  </si>
  <si>
    <t>SPOHN MEMORIAL HOSPITAL (CC)</t>
  </si>
  <si>
    <t>SPRINGFIELD COLLEGE</t>
  </si>
  <si>
    <t>ST. EDWARD'S UNIVERSITY</t>
  </si>
  <si>
    <t>ST. MARY'S UNIVERSITY</t>
  </si>
  <si>
    <t>STONY BROOK UNIVERSITY</t>
  </si>
  <si>
    <t>STRAYER UNIVERSITY-AUSTIN 2</t>
  </si>
  <si>
    <t>STRAYER UNIVERSITY-CEDAR HILL</t>
  </si>
  <si>
    <t>STRAYER UNIVERSITY-IRVING</t>
  </si>
  <si>
    <t>STRAYER UNIVERSITY-KATY</t>
  </si>
  <si>
    <t>STRAYER UNIVERSITY-N AUSTIN</t>
  </si>
  <si>
    <t>STRAYER UNIVERSITY-N DALLAS</t>
  </si>
  <si>
    <t>STRAYER UNIVERSITY-NW HOUSTON</t>
  </si>
  <si>
    <t>STRAYER UNIVERSITY-PLANO</t>
  </si>
  <si>
    <t>STRAYER UNIVERSITY-SAN ANTONIO</t>
  </si>
  <si>
    <t>STRAYER UNIVERSITY-STAFFORD</t>
  </si>
  <si>
    <t>STRAYER UNIVERSITY-TEXAS</t>
  </si>
  <si>
    <t>STRAYER UNIVERSITY-VERIZON EP</t>
  </si>
  <si>
    <t>STRAYER UNIVERSITY-VERIZON HOU</t>
  </si>
  <si>
    <t>STRSC/SA</t>
  </si>
  <si>
    <t>TAMU COLLEGE OF VET MED/ACAD</t>
  </si>
  <si>
    <t>TAMU SYSTEM HLTH SCI CTR</t>
  </si>
  <si>
    <t>TAMUS HSC-AUSTIN</t>
  </si>
  <si>
    <t>TAMUS HSC-BAYLOR CL DEN ADV ED</t>
  </si>
  <si>
    <t>TAMUS HSC-BAYLOR CL DENTAL SCH</t>
  </si>
  <si>
    <t>TAMUS HSC-BAYLOR CL DN HYGIENE</t>
  </si>
  <si>
    <t>TAMUS HSC-BAYLOR COLL OF DEN</t>
  </si>
  <si>
    <t>TAMUS HSC-COL OF NURSING</t>
  </si>
  <si>
    <t>TAMUS HSC-COL OF PHARMACY</t>
  </si>
  <si>
    <t>TAMUS HSC-COL OF PHARMD-ACAD</t>
  </si>
  <si>
    <t>TAMUS HSC-COLLEGE OF MEDICINE</t>
  </si>
  <si>
    <t>TAMUS HSC-DALLAS CAMPUS</t>
  </si>
  <si>
    <t>TAMUS HSC-HOUSTON CAMPUS</t>
  </si>
  <si>
    <t>TAMUS HSC-INST BIOSCI AND TECH</t>
  </si>
  <si>
    <t>TAMUS HSC-KINGSVILLE CAMPUS</t>
  </si>
  <si>
    <t>TAMUS HSC-MCALLEN CAMPUS</t>
  </si>
  <si>
    <t>TAMUS HSC-ROUND ROCK CAMPUS</t>
  </si>
  <si>
    <t>TAMUS HSC-SCH OF GRAD STUDIES</t>
  </si>
  <si>
    <t>TAMUS HSC-SCH RURAL PUBLIC HLT</t>
  </si>
  <si>
    <t>TAMUS HSC-TEMPLE CAMPUS</t>
  </si>
  <si>
    <t>TARRANT CTY MED EXAM OFF</t>
  </si>
  <si>
    <t>TENNESSEE STATE UNIVERSITY</t>
  </si>
  <si>
    <t>TEX COL OSTEOPATHIC MEDICINE</t>
  </si>
  <si>
    <t>TEXAS A&amp;M RESEARCH FOUNDATION</t>
  </si>
  <si>
    <t>TEXAS A&amp;M UNIV COLL OF VET MED</t>
  </si>
  <si>
    <t>TEXAS A&amp;M UNIVERSITY SYSTEM</t>
  </si>
  <si>
    <t>TEXAS AgriLife RESEARCH</t>
  </si>
  <si>
    <t>TEXAS BACK INST RESEARCH FOUND</t>
  </si>
  <si>
    <t>TEXAS CHIROPRACTIC COLLEGE</t>
  </si>
  <si>
    <t>TEXAS CHRISTIAN UNIVERSITY</t>
  </si>
  <si>
    <t>TEXAS COLLEGE</t>
  </si>
  <si>
    <t>TEXAS DEPARTMENT OF HEALTH</t>
  </si>
  <si>
    <t>TEXAS HEART INSTITUTE</t>
  </si>
  <si>
    <t>TEXAS LUTHERAN UNIVERSITY</t>
  </si>
  <si>
    <t>TEXAS NATIONAL RES LAB COMM</t>
  </si>
  <si>
    <t>TEXAS STATE T. C. CENTRAL OFF.</t>
  </si>
  <si>
    <t>TEXAS STATE T. C. HARLINGEN</t>
  </si>
  <si>
    <t>TEXAS STATE T. C. MARSHALL</t>
  </si>
  <si>
    <t>TEXAS STATE T. C. WACO</t>
  </si>
  <si>
    <t>TEXAS STATE T. C. WEST TEXAS</t>
  </si>
  <si>
    <t>TEXAS STATE UNIVERSITY SYSTEM</t>
  </si>
  <si>
    <t>TEXAS TECH UNIV HLTH SCI CTR</t>
  </si>
  <si>
    <t>TEXAS TECH UNIVERSITY SYSTEM</t>
  </si>
  <si>
    <t>TEXAS WESLEYAN UNIVERSITY</t>
  </si>
  <si>
    <t>THE ART INSTITUTE OF AUSTIN</t>
  </si>
  <si>
    <t>THE ART INSTITUTE OF DALLAS</t>
  </si>
  <si>
    <t>THE ART INSTITUTE OF FT. WORTH</t>
  </si>
  <si>
    <t>THE ART INSTITUTE OF HOUSTON</t>
  </si>
  <si>
    <t>THE ART INSTITUTE OF HOUSTON-N</t>
  </si>
  <si>
    <t>THE ART INSTITUTE OF SAN ANTON</t>
  </si>
  <si>
    <t>THE COL OF HEALTH CARE PRO-AUS</t>
  </si>
  <si>
    <t>THE COL OF HEALTH CARE PRO-DAL</t>
  </si>
  <si>
    <t>THE COL OF HEALTH CARE PRO-FW</t>
  </si>
  <si>
    <t>THE COL OF HEALTH CARE PRO-HNW</t>
  </si>
  <si>
    <t>THE COL OF HEALTH CARE PRO-HSW</t>
  </si>
  <si>
    <t>THE COL OF HEALTH CARE PRO-SA</t>
  </si>
  <si>
    <t>THE COLLEGE OF ST. JOHN FISHER</t>
  </si>
  <si>
    <t>THE UNIVERSITY OF TEXAS SYSTEM</t>
  </si>
  <si>
    <t>THE UT SOUTHWESTRN MED CTR</t>
  </si>
  <si>
    <t>THUNDERBIRD SCH OF GLOBAL MGMT</t>
  </si>
  <si>
    <t>TRINITY UNIVERSITY</t>
  </si>
  <si>
    <t>TROY UNIVERSITY</t>
  </si>
  <si>
    <t>TROY UNIVERSITY-EL PASO</t>
  </si>
  <si>
    <t>TROY UNIVERSITY-SAN ANTONIO</t>
  </si>
  <si>
    <t>TTHSC GAYLE G HUNT SCH NURS</t>
  </si>
  <si>
    <t>TTHSC PAUL L FOSTER SCH OF MED</t>
  </si>
  <si>
    <t>TTU HSC GRAD SCH BIOMED SCI</t>
  </si>
  <si>
    <t>TTU HSC-DALLAS PHARM CLINIC PL</t>
  </si>
  <si>
    <t>TULANE UNIVERSITY</t>
  </si>
  <si>
    <t>TULANE UNIVERSITY-HOUSTON</t>
  </si>
  <si>
    <t>TX AgriLife EXTENSION SERVICE</t>
  </si>
  <si>
    <t>TX ENGINEER EXPERIMENT STATION</t>
  </si>
  <si>
    <t>TX ENGINEER EXTENSION SERVICE</t>
  </si>
  <si>
    <t>TX FOREST SERVICE</t>
  </si>
  <si>
    <t>TX HEALTH AND SCIENCE UNIV</t>
  </si>
  <si>
    <t>TX OFFC TECH COMMERCIALIZATION</t>
  </si>
  <si>
    <t>TX SCH OF BUSINESS-FRIENDSWOOD</t>
  </si>
  <si>
    <t>TX SCHOOL OF BUSINESS - HOU E</t>
  </si>
  <si>
    <t>TX SCHOOL OF BUSINESS - HOU N</t>
  </si>
  <si>
    <t>TX SCHOOL OF BUSINESS - HOU SW</t>
  </si>
  <si>
    <t>TX TECH HSC SCH OF ALLIED HLTH</t>
  </si>
  <si>
    <t>TX TECH HSC SCH OF PHARMACY</t>
  </si>
  <si>
    <t>TX TECH HSC SCH OF PHARMD-ACAD</t>
  </si>
  <si>
    <t>TX TECH HSC-ABILENE</t>
  </si>
  <si>
    <t>TX TECH HSC-AMARILLO</t>
  </si>
  <si>
    <t>TX TECH HSC-EL PASO</t>
  </si>
  <si>
    <t>TX TECH HSC-MIDLAND</t>
  </si>
  <si>
    <t>TX TECH HSC-ODESSA</t>
  </si>
  <si>
    <t>TX TECH U HSC SCH OF MEDICINE</t>
  </si>
  <si>
    <t>TX TECH U HSC SCH OF NURSING</t>
  </si>
  <si>
    <t>TX TRANSPORTATION INSTITUTE</t>
  </si>
  <si>
    <t>TX VET MED DIAGNOSTIC LAB</t>
  </si>
  <si>
    <t>UNIV OF ILLINOIS AT CHICAGO</t>
  </si>
  <si>
    <t>UNIV OF MARY HARDIN-BAYLOR</t>
  </si>
  <si>
    <t>UNIV OF MASSACHUSETTS BOSTON</t>
  </si>
  <si>
    <t>UNIV OF NORTH TEXAS SYSTEM</t>
  </si>
  <si>
    <t>UNIV OF THE INCARNATE WORD</t>
  </si>
  <si>
    <t>UNIV OF THE SCIENCES-PHIL C PH</t>
  </si>
  <si>
    <t>UNIVERSAL TECHNICAL INSTITUTE</t>
  </si>
  <si>
    <t>UNIVERSITY OF ARKANSAS FOR MED</t>
  </si>
  <si>
    <t>UNIVERSITY OF CINCINNATI</t>
  </si>
  <si>
    <t>UNIVERSITY OF DALLAS</t>
  </si>
  <si>
    <t>UNIVERSITY OF FLORIDA</t>
  </si>
  <si>
    <t>UNIVERSITY OF FLORIDA-HOUSTON</t>
  </si>
  <si>
    <t>UNIVERSITY OF HOUSTON SYSTEM</t>
  </si>
  <si>
    <t>UNIVERSITY OF MARYLAND-UNIV CO</t>
  </si>
  <si>
    <t>UNIVERSITY OF MISSOURI</t>
  </si>
  <si>
    <t>UNIVERSITY OF PENNSYLVANIA</t>
  </si>
  <si>
    <t>UNIVERSITY OF PHOENIX-ARL HILT</t>
  </si>
  <si>
    <t>UNIVERSITY OF PHOENIX-ARLINGTO</t>
  </si>
  <si>
    <t>UNIVERSITY OF PHOENIX-AUSTIN</t>
  </si>
  <si>
    <t>UNIVERSITY OF PHOENIX-DALLAS</t>
  </si>
  <si>
    <t>UNIVERSITY OF PHOENIX-EL PASO</t>
  </si>
  <si>
    <t>UNIVERSITY OF PHOENIX-EL PASO4</t>
  </si>
  <si>
    <t>UNIVERSITY OF PHOENIX-FW MBF</t>
  </si>
  <si>
    <t>UNIVERSITY OF PHOENIX-HOUST CL</t>
  </si>
  <si>
    <t>UNIVERSITY OF PHOENIX-HOUST NW</t>
  </si>
  <si>
    <t>UNIVERSITY OF PHOENIX-HOUST WL</t>
  </si>
  <si>
    <t>UNIVERSITY OF PHOENIX-HOUSTON</t>
  </si>
  <si>
    <t>UNIVERSITY OF PHOENIX-IRVING</t>
  </si>
  <si>
    <t>UNIVERSITY OF PHOENIX-KILLEEN</t>
  </si>
  <si>
    <t>UNIVERSITY OF PHOENIX-MCALL I</t>
  </si>
  <si>
    <t>UNIVERSITY OF PHOENIX-MCALL II</t>
  </si>
  <si>
    <t>UNIVERSITY OF PHOENIX-MCALLEN</t>
  </si>
  <si>
    <t>UNIVERSITY OF PHOENIX-MID CITI</t>
  </si>
  <si>
    <t>UNIVERSITY OF PHOENIX-ONLINE</t>
  </si>
  <si>
    <t>UNIVERSITY OF PHOENIX-SA</t>
  </si>
  <si>
    <t>UNIVERSITY OF PHOENIX-SUGAR LD</t>
  </si>
  <si>
    <t>UNIVERSITY OF PHOENIX-WIND PRK</t>
  </si>
  <si>
    <t>UNIVERSITY OF PHOENIX-WOODLAND</t>
  </si>
  <si>
    <t>UNIVERSITY OF SOUTH ALABAMA</t>
  </si>
  <si>
    <t>UNIVERSITY OF SOUTHERN CALIFOR</t>
  </si>
  <si>
    <t>UNIVERSITY OF ST THOMAS</t>
  </si>
  <si>
    <t>UNIVERSITY OF ST. AUGUSTINE HS</t>
  </si>
  <si>
    <t>UNIVERSITY OF UTAH</t>
  </si>
  <si>
    <t>UNIVERSITY OF WEST FLORIDA</t>
  </si>
  <si>
    <t>UNIVERSITY OF WISCONSIN - LA C</t>
  </si>
  <si>
    <t>UNT AT DALLAS LAW SCHOOL</t>
  </si>
  <si>
    <t>UNT GRAD SCH BIOMED SCIENCES</t>
  </si>
  <si>
    <t>UNT HEALTH SCIENCE CENTER</t>
  </si>
  <si>
    <t>UNT SCH OF HEALTH PROFESSIONS</t>
  </si>
  <si>
    <t>UNT SCHOOL OF PHARMACY</t>
  </si>
  <si>
    <t>UNT SCHOOL OF PUBLIC HEALTH</t>
  </si>
  <si>
    <t>UT DENTAL BRANCH/ACAD-HOUSTON</t>
  </si>
  <si>
    <t>UT DENTAL SCHOOL SAN ANTONIO</t>
  </si>
  <si>
    <t>UT DENTAL SCHOOL/ACADEMICS SA</t>
  </si>
  <si>
    <t>UT DENTAL SCHOOL-HOUSTON</t>
  </si>
  <si>
    <t>UT GRAD SCH BIOMED SCI/GALV</t>
  </si>
  <si>
    <t>UT GRAD SCH BIOMED SCI/HOUSTON</t>
  </si>
  <si>
    <t>UT GRAD SCH BIOMED SCI/SA</t>
  </si>
  <si>
    <t>UT HARRIS CTY PSYCHIATRIC CTR</t>
  </si>
  <si>
    <t>UT HEALTH SCI CENTER-HOUSTON</t>
  </si>
  <si>
    <t>UT HEALTH SCI CTR AT TYLER</t>
  </si>
  <si>
    <t>UT HEALTH SCIENCE CTR/SA</t>
  </si>
  <si>
    <t>UT HSC HOU - CL DENTAL HYGIEN</t>
  </si>
  <si>
    <t>UT HSC SA-EDINBURG RESEARCH DV</t>
  </si>
  <si>
    <t>UT HSC SA-HARLINGEN RESEARCH D</t>
  </si>
  <si>
    <t>UT HSC SA-LAREDO RESEARCH DIV</t>
  </si>
  <si>
    <t>UT HSC SA-MCALLEN RESEARCH DIV</t>
  </si>
  <si>
    <t>UT M.D. ANDERSON CANCER CENTER</t>
  </si>
  <si>
    <t>UT MD ANDERSON SPO SMITHVILLE</t>
  </si>
  <si>
    <t>UT MD ANDERSON VET SCI BASTROP</t>
  </si>
  <si>
    <t>UT MEDICAL BRANCH GALVESTON</t>
  </si>
  <si>
    <t>UT MEDICAL SCHOOL/ACADEMICS SA</t>
  </si>
  <si>
    <t>UT MEDICAL SCHOOL/ACAD-HOUSTON</t>
  </si>
  <si>
    <t>UT MEDICAL SCHOOL-GALVESTON</t>
  </si>
  <si>
    <t>UT MEDICAL SCHOOL-HOUSTON</t>
  </si>
  <si>
    <t>UT MEDICAL SCHOOL-SAN ANTONIO</t>
  </si>
  <si>
    <t>UT SCH BIOMED INFORMATICS/HOUS</t>
  </si>
  <si>
    <t>UT SCH OF HEALTH PROF/GALV</t>
  </si>
  <si>
    <t>UT SCH OF HEALTH PROF/SA</t>
  </si>
  <si>
    <t>UT SCH OF PUBLIC HLTH/HOUSTON</t>
  </si>
  <si>
    <t>UT SCHOOL OF NURSING/GALV</t>
  </si>
  <si>
    <t>UT SCHOOL OF NURSING/HOUSTON</t>
  </si>
  <si>
    <t>UT SCHOOL OF NURSING/SA</t>
  </si>
  <si>
    <t>UT SOUTHWESTERN MEDICAL SCHOOL</t>
  </si>
  <si>
    <t>UT SW GRAD SCH BIOMED SCI</t>
  </si>
  <si>
    <t>UT SW SCH OF HEALTH PROF</t>
  </si>
  <si>
    <t>UTHSC HOUSTON-AUSTIN</t>
  </si>
  <si>
    <t>UTHSC HOUSTON-BROWNSVILLE RAHC</t>
  </si>
  <si>
    <t>UTHSC HOUSTON-DALLAS</t>
  </si>
  <si>
    <t>UTHSC HOUSTON-EL PASO</t>
  </si>
  <si>
    <t>UTHSC HOUSTON-SAN ANTONIO</t>
  </si>
  <si>
    <t>UTMB GALVESTON-AUSTIN</t>
  </si>
  <si>
    <t>VALLEY BAPTIST MEDICAL CENTER</t>
  </si>
  <si>
    <t>VANDERBILT UNIVERSITY</t>
  </si>
  <si>
    <t>VATTEROT EDUCATION CENTER-DAL</t>
  </si>
  <si>
    <t>VET TECH INSTITUTE OF HOUSTON</t>
  </si>
  <si>
    <t>VIRGINIA COLLEGE-AUSTIN</t>
  </si>
  <si>
    <t>VIRGINIA COLLEGE-BIRMINGHAM AL</t>
  </si>
  <si>
    <t>VIRGINIA COLLEGE-LUBBOCK</t>
  </si>
  <si>
    <t>VISTA COLLEGE</t>
  </si>
  <si>
    <t>VISTA COLLEGE-AMARILLO</t>
  </si>
  <si>
    <t>VISTA COLLEGE-BEAUMONT</t>
  </si>
  <si>
    <t>VISTA COLLEGE-EL PASO</t>
  </si>
  <si>
    <t>VISTA COLLEGE-KILLEEN</t>
  </si>
  <si>
    <t>VISTA COLLEGE-LONGVIEW</t>
  </si>
  <si>
    <t>VISTA COLLEGE-LUBBOCK</t>
  </si>
  <si>
    <t>WADE COLLEGE-DALLAS</t>
  </si>
  <si>
    <t>WALDEN UNIVERSITY</t>
  </si>
  <si>
    <t>WARTBURG THEOLOGICAL SEMINARY</t>
  </si>
  <si>
    <t>WAYLAND BAPTIST UNIVERSITY</t>
  </si>
  <si>
    <t>WEBSTER UNIVERSITY</t>
  </si>
  <si>
    <t>WEST COAST UNIVERSITY-DALLAS</t>
  </si>
  <si>
    <t>WEST VIRIGINA UNIVERSITY</t>
  </si>
  <si>
    <t>WESTERN GOVERNORS UNIV TEXAS</t>
  </si>
  <si>
    <t>WESTERN KENTUCKY UNIVERSITY</t>
  </si>
  <si>
    <t>WESTERN MICHIGAN UNIVERSITY</t>
  </si>
  <si>
    <t>WESTERN TECH COLL-EL PASO DIAN</t>
  </si>
  <si>
    <t>WESTERN TECH COLL-EL PASO MAIN</t>
  </si>
  <si>
    <t>WESTMINSTER THEO SEM-DALLAS</t>
  </si>
  <si>
    <t>WESTWOOD COLLEGE-DALLAS</t>
  </si>
  <si>
    <t>WESTWOOD COLLEGE-FORT WORTH</t>
  </si>
  <si>
    <t>WESTWOOD COLLEGE-HOUSTON SOUTH</t>
  </si>
  <si>
    <t>WILEY COLLEGE</t>
  </si>
  <si>
    <t>WORLD CRANIOFACIAL FOUNDATION</t>
  </si>
  <si>
    <t>Universities</t>
  </si>
  <si>
    <t>Community Colleges</t>
  </si>
  <si>
    <t>Very Large College</t>
  </si>
  <si>
    <t>Large Colleges</t>
  </si>
  <si>
    <t>Medium Colleges</t>
  </si>
  <si>
    <t>Small Colleges</t>
  </si>
  <si>
    <t>CODE BOOK</t>
  </si>
  <si>
    <t>Type: Column C</t>
  </si>
  <si>
    <t>Value</t>
  </si>
  <si>
    <t>Institution Type</t>
  </si>
  <si>
    <t>Peer Group Category</t>
  </si>
  <si>
    <t>University Public</t>
  </si>
  <si>
    <t>University Private</t>
  </si>
  <si>
    <t>Community College Public</t>
  </si>
  <si>
    <t>Community College Private</t>
  </si>
  <si>
    <t>Health-related Institute</t>
  </si>
  <si>
    <t>Satellite Learning Center</t>
  </si>
  <si>
    <t>Not Included Here</t>
  </si>
  <si>
    <t>Career Schools</t>
  </si>
  <si>
    <t>IHE District Board</t>
  </si>
  <si>
    <t>Independent School District</t>
  </si>
  <si>
    <t>Not Applicable</t>
  </si>
  <si>
    <t>District grouped, not individual campuses</t>
  </si>
  <si>
    <t>Institution not yet founded</t>
  </si>
  <si>
    <t>Institution not yet grouped</t>
  </si>
  <si>
    <t>NOTES</t>
  </si>
  <si>
    <t>Peer Groups were first developed / assigned:</t>
  </si>
  <si>
    <t>FY 2005</t>
  </si>
  <si>
    <t>Universities and HRIs</t>
  </si>
  <si>
    <t>FY 2006</t>
  </si>
  <si>
    <t>Year = Fiscal Year</t>
  </si>
  <si>
    <t>Accountability system seems to use fall CBM data year, but criteria reference FY.</t>
  </si>
  <si>
    <t>Data Source</t>
  </si>
  <si>
    <t>Printed Accountability books in the filing cabinet.</t>
  </si>
  <si>
    <t>Lists on line are not consistent. Some are:</t>
  </si>
  <si>
    <t>Listed here</t>
  </si>
  <si>
    <t>http://www.thecb.state.tx.us/reports/PDF/3144.PDF?CFID=4700525&amp;CFTOKEN=58412805</t>
  </si>
  <si>
    <t>But not here</t>
  </si>
  <si>
    <t>http://www.txhighereddata.org/Interactive/Accountability/MastersReport.pdf</t>
  </si>
  <si>
    <t>Fake Record</t>
  </si>
  <si>
    <t>The first row is a fake record to force the FY columns to character values when the data is imported into SAS.</t>
  </si>
  <si>
    <t>01</t>
  </si>
  <si>
    <t>InsttypeCode</t>
  </si>
  <si>
    <t>36 Ok</t>
  </si>
  <si>
    <t>Copy &amp; Paste from 0-Univ - FTEFaculty FY - History -x</t>
  </si>
  <si>
    <t>Professional Fees</t>
  </si>
  <si>
    <t>All Sources (Net)</t>
  </si>
  <si>
    <t>Hospitals and Clinics</t>
  </si>
  <si>
    <t>Hosp &amp; Clinic</t>
  </si>
  <si>
    <t>Hospitals, Clinics, Professional Fees</t>
  </si>
  <si>
    <t>Hospitals &amp; Clinics</t>
  </si>
  <si>
    <t>This data is not included in the Academic Institution summary listing, since it mixes the academic institution and the medical school.</t>
  </si>
  <si>
    <t>File</t>
  </si>
  <si>
    <t>DimReshType</t>
  </si>
  <si>
    <t>ResOrderCode</t>
  </si>
  <si>
    <t>FactUnivContextDollars</t>
  </si>
  <si>
    <t>(Excludes Medical School)</t>
  </si>
  <si>
    <t xml:space="preserve">       All Other Scholarship Disc.&amp; Allow. (See FN1)</t>
  </si>
  <si>
    <t>Net Auxiliary Enterprises (See FN9)</t>
  </si>
  <si>
    <t>Auxiliary Enterprises (See FN9)</t>
  </si>
  <si>
    <t>Less: Scholarships Discounts &amp; Allowances (See FN1)</t>
  </si>
  <si>
    <t>The University of Texas at Austin - Academic + Health Professions (A+H) (Excludes Medical School)</t>
  </si>
  <si>
    <t>The University of Texas at Rio Grande Valley - Academic + Health Professions (A+H) (Excludes Medical School)</t>
  </si>
  <si>
    <t>Data to UNIV_IE_Context</t>
  </si>
  <si>
    <t>UNIV_IE_Context File Table Columns</t>
  </si>
  <si>
    <t>A</t>
  </si>
  <si>
    <t>B</t>
  </si>
  <si>
    <t>E</t>
  </si>
  <si>
    <t>H</t>
  </si>
  <si>
    <t>J</t>
  </si>
  <si>
    <t>K</t>
  </si>
  <si>
    <t>Not Used</t>
  </si>
  <si>
    <t>UNIV_IE_KEYs Columns</t>
  </si>
  <si>
    <t>L</t>
  </si>
  <si>
    <t>M</t>
  </si>
  <si>
    <t>N</t>
  </si>
  <si>
    <t>Classroom EG</t>
  </si>
  <si>
    <t>Lab EG</t>
  </si>
  <si>
    <t>GR_Total</t>
  </si>
  <si>
    <t>Texas State</t>
  </si>
  <si>
    <t>Purpose:  This tab is used for input to the Institutional Resume System</t>
  </si>
  <si>
    <t>Measures</t>
  </si>
  <si>
    <t>InstructionPerFTSE</t>
  </si>
  <si>
    <t>AcademicSpptPerFTSE</t>
  </si>
  <si>
    <t>InstitutionalSpptPerFTSE</t>
  </si>
  <si>
    <t>OtherPerFTSE</t>
  </si>
  <si>
    <t>ExpendType Code</t>
  </si>
  <si>
    <t>DimYear</t>
  </si>
  <si>
    <t>Insttype Code</t>
  </si>
  <si>
    <t>Instructional Support Expenditures Per FTSE</t>
  </si>
  <si>
    <t>Academic Support Expenditures Per FTSE</t>
  </si>
  <si>
    <t>Institutional Support Expenditures Per FTSE</t>
  </si>
  <si>
    <t>Other Expenditures Per FTSE</t>
  </si>
  <si>
    <t>Instructional</t>
  </si>
  <si>
    <t>AcadSupport</t>
  </si>
  <si>
    <t>InstSupport</t>
  </si>
  <si>
    <t>OthrExp</t>
  </si>
  <si>
    <t>Expenditures</t>
  </si>
  <si>
    <t>FactUNIVperFTSE</t>
  </si>
  <si>
    <t>Average T&amp;F</t>
  </si>
  <si>
    <t>UT Rio Grande Valley (A+H)</t>
  </si>
  <si>
    <t xml:space="preserve">The University of Texas at Brownsville </t>
  </si>
  <si>
    <t>FactUNIVRperFTSE</t>
  </si>
  <si>
    <t>Approp</t>
  </si>
  <si>
    <t>TSTCNT</t>
  </si>
  <si>
    <t>TSTCFB</t>
  </si>
  <si>
    <t xml:space="preserve">FY 2017 Institutional Resume Data From Sources &amp; Uses Reports  To UNIV_IE_Context </t>
  </si>
  <si>
    <t>Tuition</t>
  </si>
  <si>
    <t>Fees</t>
  </si>
  <si>
    <t>Waivers - Statutory (Not Reported in AFR)</t>
  </si>
  <si>
    <t>Waivers - Institutional (Not Reported in AFR)</t>
  </si>
  <si>
    <t>Exemptions - Statutory (Not Reported in AFR)</t>
  </si>
  <si>
    <t>Exemptions - Institutional (Not Reported in AFR)</t>
  </si>
  <si>
    <t>Waivers - Statutory (Reported in AFR)</t>
  </si>
  <si>
    <t>Waivers - Institutional (Reported in AFR)</t>
  </si>
  <si>
    <t xml:space="preserve">       </t>
  </si>
  <si>
    <t>All Other Scholarship Disc.&amp; Allow. (See FN1)</t>
  </si>
  <si>
    <t>Exemptions - Statutory (Reported in AFR)</t>
  </si>
  <si>
    <t>Exemptions - Institutional (Reported in AFR)</t>
  </si>
  <si>
    <t>FY 17</t>
  </si>
  <si>
    <t>FY2017</t>
  </si>
  <si>
    <t>In SR - Alpine</t>
  </si>
  <si>
    <t>FY 20xx Annual</t>
  </si>
  <si>
    <t>The above data excluded any Medical Students</t>
  </si>
  <si>
    <t>Source: Roland</t>
  </si>
  <si>
    <t xml:space="preserve"> February 12, 2018</t>
  </si>
  <si>
    <t>Value 2/12/18</t>
  </si>
  <si>
    <t>Data from copy and Paste</t>
  </si>
  <si>
    <t>** Hidden Row - Do not Delete.**</t>
  </si>
  <si>
    <t>Note; Sue Score data is based on Fall xx data, so it is the next fiscal year data being used.</t>
  </si>
  <si>
    <t>System Groups</t>
  </si>
  <si>
    <t>SUL ROSS RIO GRANDE COLLEGE</t>
  </si>
  <si>
    <t>UNT DALLAS COLLEGE OF LAW</t>
  </si>
  <si>
    <t>S00110</t>
  </si>
  <si>
    <t>S03594</t>
  </si>
  <si>
    <t>S03629</t>
  </si>
  <si>
    <t>S03655</t>
  </si>
  <si>
    <t>S11721</t>
  </si>
  <si>
    <t>S39154</t>
  </si>
  <si>
    <t>Texas A&amp;M System</t>
  </si>
  <si>
    <t>Texas Tech System</t>
  </si>
  <si>
    <t>University of Texas System</t>
  </si>
  <si>
    <t>Consolidation of Cost Study and Space Model Inputs FY 2018</t>
  </si>
  <si>
    <t>FY 2018 Data For IFRS Reconciliation</t>
  </si>
  <si>
    <t>Note: This format is no longer used.</t>
  </si>
  <si>
    <t>FY2018</t>
  </si>
  <si>
    <t>http://www.txhigheredaccountability.org/AcctPublic/Resources/PeerGroup</t>
  </si>
  <si>
    <t>Medical School Section</t>
  </si>
  <si>
    <t>GAI Operating Sources (Sources &amp; Uses)</t>
  </si>
  <si>
    <t>The University of Texas at Austin - Academic &amp; Health (Excludes Medical School)</t>
  </si>
  <si>
    <t>% of Total</t>
  </si>
  <si>
    <t>The University of Texas RGV - Academic &amp; Health (Excludes Medical School)</t>
  </si>
  <si>
    <t xml:space="preserve">The University of Texas - Pan American </t>
  </si>
  <si>
    <t>Total Academic Institutions</t>
  </si>
  <si>
    <t>Sort Order S &amp; U</t>
  </si>
  <si>
    <t xml:space="preserve">Values </t>
  </si>
  <si>
    <t xml:space="preserve">Value </t>
  </si>
  <si>
    <t>Copied to 0-Institutional Resume Master -14.xlsx \Univ_IE_Keys tab</t>
  </si>
  <si>
    <t>Almanac 1</t>
  </si>
  <si>
    <t>SREB Input</t>
  </si>
  <si>
    <t>IFRS Smmy (2)</t>
  </si>
  <si>
    <t>Univ_IE_Keys</t>
  </si>
  <si>
    <t>Univ Context NA</t>
  </si>
  <si>
    <t>Univ_IE_ NA</t>
  </si>
  <si>
    <t>T&amp;F Summary</t>
  </si>
  <si>
    <t>ComRpt</t>
  </si>
  <si>
    <t>FY 2019</t>
  </si>
  <si>
    <t>University of Houston -  All Disciplines (A+H+M)</t>
  </si>
  <si>
    <t>University of Houston - Academic &amp; Health (A+H)</t>
  </si>
  <si>
    <t>UH1</t>
  </si>
  <si>
    <t>Sam Houston State University -  All Disciplines (A+H+NF)</t>
  </si>
  <si>
    <t>Sam Houston State University - Academic &amp; Health (A+H)</t>
  </si>
  <si>
    <t>SHSU1</t>
  </si>
  <si>
    <t>UNTHSC1</t>
  </si>
  <si>
    <t>University of Houston Medical School (M)</t>
  </si>
  <si>
    <t>UHM</t>
  </si>
  <si>
    <t>Sam Houston State University Medical School (Non-Formula)</t>
  </si>
  <si>
    <t>University of North Texas Health Science Center at Fort Worth Private Medical School (PM)</t>
  </si>
  <si>
    <t>UNTHSCPM</t>
  </si>
  <si>
    <t>501 - S &amp; U - FY 2018 - AUS2.xlsx</t>
  </si>
  <si>
    <t>511 - S &amp; U - FY 2018 - RGV2.xlsx</t>
  </si>
  <si>
    <t>52 - S &amp; U - FY 2018 - AUS2.xlsx</t>
  </si>
  <si>
    <t>93 - S &amp; U - FY 2018 - RGV2.xlsx</t>
  </si>
  <si>
    <t>University of Houston (A+H)</t>
  </si>
  <si>
    <t>Sam Houston State University A+H)</t>
  </si>
  <si>
    <t>U of Houston (A+H)</t>
  </si>
  <si>
    <t>Sam Houston State (A+H)</t>
  </si>
  <si>
    <t>Sam Houston State University (A+H)</t>
  </si>
  <si>
    <t>RGV   (A+H)</t>
  </si>
  <si>
    <t>University of Houston - Academic + Health Professions (A+H) (Excludes Medical School)</t>
  </si>
  <si>
    <t>Sam Houston State University - Academic + Health Professions (A+H) (Excludes Private Medical School)</t>
  </si>
  <si>
    <t>FY2019</t>
  </si>
  <si>
    <t>University of Houston  (A+H+M)</t>
  </si>
  <si>
    <t>Sam Houston State University (A+H+NF)</t>
  </si>
  <si>
    <t>University of Houston - Academic &amp; Health (A+H+M)</t>
  </si>
  <si>
    <t>Sam Houston State University - Academic &amp; Health (A+H+NF)</t>
  </si>
  <si>
    <t>Copied to 0-Univ-Accountability Master - 6 NA.xlsx</t>
  </si>
  <si>
    <t>Fall 2019</t>
  </si>
  <si>
    <t>Source: Roland 2-6-20</t>
  </si>
  <si>
    <t>Almanac Financial Profile AO 51</t>
  </si>
  <si>
    <t>Copied 2/7/20</t>
  </si>
  <si>
    <t>Almanac Financial Profile AO 74</t>
  </si>
  <si>
    <t>Copied 2/14/20</t>
  </si>
  <si>
    <t>State Appropriations - Line 10/20</t>
  </si>
  <si>
    <t>Total State of Texas - Line 15/20</t>
  </si>
  <si>
    <t>Almanac 2</t>
  </si>
  <si>
    <t>S40 - S &amp; U - FY 2020 - UTS.xlsx</t>
  </si>
  <si>
    <t>40 - S &amp; U - FY 2020 - ARL.xlsx</t>
  </si>
  <si>
    <t>50 - S &amp; U - FY 2020 - AUS.xlsx</t>
  </si>
  <si>
    <t>51 - S &amp; U - FY 2020 - AUS1.xlsx</t>
  </si>
  <si>
    <t>60 - S &amp; U - FY 2020 - DAL.xlsx</t>
  </si>
  <si>
    <t>70 - S &amp; U - FY 2020 - E-P.xlsx</t>
  </si>
  <si>
    <t>90 - S &amp; U - FY 2020 - RGV.xlsx</t>
  </si>
  <si>
    <t>91 - S &amp; U - FY 2020 - RGV1.xlsx</t>
  </si>
  <si>
    <t>100 - S &amp; U - FY 2020 - P-B.xlsx</t>
  </si>
  <si>
    <t>110 - S &amp; U - FY 2020 - S-A.xlsx</t>
  </si>
  <si>
    <t>120 - S &amp; U - FY 2020 - TYL.xlsx</t>
  </si>
  <si>
    <t>S130 - S &amp; U - FY 2020 - TAMUS.xlsx</t>
  </si>
  <si>
    <t>130 - S &amp; U - FY 2020 - TAMU.xlsx</t>
  </si>
  <si>
    <t>140 - S &amp; U - FY 2020 - TAMUG.xlsx</t>
  </si>
  <si>
    <t>150 - S &amp; U - FY 2020 - PVAMU.xlsx</t>
  </si>
  <si>
    <t>160 - S &amp; U - FY 2020 - TARL ST.xlsx</t>
  </si>
  <si>
    <t>170 - S &amp; U - FY 2020 - TAMUCC.xlsx</t>
  </si>
  <si>
    <t>180 - S &amp; U - FY 2020 - TAMUK.xlsx</t>
  </si>
  <si>
    <t>190 - S &amp; U - FY 2020 - TAMIU.xlsx</t>
  </si>
  <si>
    <t>200 - S &amp; U - FY 2020 - WTAMU.xlsx</t>
  </si>
  <si>
    <t>210 - S &amp; U - FY 2020 - TAMUC.xlsx</t>
  </si>
  <si>
    <t>220 - S &amp; U - FY 2020 - TAMUT.xlsx</t>
  </si>
  <si>
    <t>223 - S &amp; U - FY 2020 - TAMUCT.xlsx</t>
  </si>
  <si>
    <t>226 - S &amp; U - FY 2020 - TAMUSA.xlsx</t>
  </si>
  <si>
    <t>600 - S &amp; U - FY 2020 - TAR.xlsx</t>
  </si>
  <si>
    <t>605 - S &amp; U - FY 2020 - TAES.xlsx</t>
  </si>
  <si>
    <t>610 - S &amp; U - FY 2020 - TEES1.xlsx</t>
  </si>
  <si>
    <t>615 - S &amp; U - FY 2020 - TEES2.xlsx</t>
  </si>
  <si>
    <t>620 - S &amp; U - FY 2020 - TFS.xlsx</t>
  </si>
  <si>
    <t>625 - S &amp; U - FY 2020 - TTI.xlsx</t>
  </si>
  <si>
    <t>630 - S &amp; U - FY 2020 - TVMDL.xlsx</t>
  </si>
  <si>
    <t>230 - S &amp; U - FY 2020 - UH.xlsx</t>
  </si>
  <si>
    <t>231 - S &amp; U - FY 2020 - UH1.xlsx</t>
  </si>
  <si>
    <t>240 - S &amp; U - FY 2020 - UHCL.xlsx</t>
  </si>
  <si>
    <t>250 - S &amp; U - FY 2020 - UHD.xlsx</t>
  </si>
  <si>
    <t>260 - S &amp; U - FY 2020 - UHV.xlsx</t>
  </si>
  <si>
    <t>S270 - S &amp; U - FY 2020 - TXSTS.xlsx</t>
  </si>
  <si>
    <t>270 - S &amp; U - FY 2020 - LU.xlsx</t>
  </si>
  <si>
    <t>280 - S &amp; U - FY 2020 - SHSU.xlsx</t>
  </si>
  <si>
    <t>281 - S &amp; U - FY 2020 - SHSU1.xlsx</t>
  </si>
  <si>
    <t>290 - S &amp; U - FY 2020 - TXST.xlsx</t>
  </si>
  <si>
    <t>300 - S &amp; U - FY 2020 - SRSU.xlsx</t>
  </si>
  <si>
    <t>S310 - S &amp; U - FY 2020 - TTUS.xlsx</t>
  </si>
  <si>
    <t>310 - S &amp; U - FY 2020 - TTU.xlsx</t>
  </si>
  <si>
    <t>320 - S &amp; U - FY 2020 - ASU.xlsx</t>
  </si>
  <si>
    <t>S330 - S &amp; U - FY 2020 - UNTS.xlsx</t>
  </si>
  <si>
    <t>330 - S &amp; U - FY 2020 - UNT.xlsx</t>
  </si>
  <si>
    <t>333 - S &amp; U - FY 2020 - UNTD.xlsx</t>
  </si>
  <si>
    <t>340 - S &amp; U - FY 2020 - MidWST.xlsx</t>
  </si>
  <si>
    <t>350 - S &amp; U - FY 2020 - SFA.xlsx</t>
  </si>
  <si>
    <t>360 - S &amp; U - FY 2020 - TSU.xlsx</t>
  </si>
  <si>
    <t>370 - S &amp; U - FY 2020 - TWU.xlsx</t>
  </si>
  <si>
    <t>490 - S &amp; U - FY 2020 - LIT.xlsx</t>
  </si>
  <si>
    <t>500 - S &amp; U - FY 2020 - LSCO.xlsx</t>
  </si>
  <si>
    <t>510 - S &amp; U - FY 2020 - LSCPA.xlsx</t>
  </si>
  <si>
    <t>520 - S &amp; U - FY 2020 - TSTCH.xlsx</t>
  </si>
  <si>
    <t>530 - S &amp; U - FY 2020 - TSTCWT.xlsx</t>
  </si>
  <si>
    <t>540 - S &amp; U - FY 2020 - TSTCM.xlsx</t>
  </si>
  <si>
    <t>550 - S &amp; U - FY 2020 - TSTCW.xlsx</t>
  </si>
  <si>
    <t>552 - S &amp; U - FY 2020 - TSTCNT.xlsx</t>
  </si>
  <si>
    <t>553 - S &amp; U - FY 2020 - TSTCFB.xlsx</t>
  </si>
  <si>
    <t>555 - S &amp; U - FY 2020 - TSTCS.xlsx</t>
  </si>
  <si>
    <t>390 - S &amp; U - FY 2020 - SWM.xlsx</t>
  </si>
  <si>
    <t>420 - S &amp; U - FY 2020 - HSSA.xlsx</t>
  </si>
  <si>
    <t>450 - S &amp; U - FY 2020 - TAMHSC.xlsx</t>
  </si>
  <si>
    <t>University of North Texas Health Science Center at Fort Worth (Public Medical + Private Medical)</t>
  </si>
  <si>
    <t>University of North Texas Health Science Center at Fort Worth (Public Medical)</t>
  </si>
  <si>
    <t>470 - S &amp; U - FY 2020 - TTUHSC.xlsx</t>
  </si>
  <si>
    <t>480 - S &amp; U - FY 2020 - TTUHSCEP.xlsx</t>
  </si>
  <si>
    <t>410 - S &amp; U - FY 2020 - HSH.xlsx</t>
  </si>
  <si>
    <t>430 - S &amp; U - FY 2020 - MDA.xlsx</t>
  </si>
  <si>
    <t>440 - S &amp; U - FY 2020 - THC.xlsx</t>
  </si>
  <si>
    <t>400 - S &amp; U - FY 2020 - MBG.xlsx</t>
  </si>
  <si>
    <t>500 - S &amp; U - FY 2020 - RGVM.xlsx</t>
  </si>
  <si>
    <t>510 - S &amp; U - FY 2020 - AUSM.xlsx</t>
  </si>
  <si>
    <t>520 - S &amp; U - FY 2020 - UHM.xlsx</t>
  </si>
  <si>
    <t>SHNF</t>
  </si>
  <si>
    <t>530 - S &amp; U - FY 2020 - SHSUMNF.xlsx</t>
  </si>
  <si>
    <t>540 - S &amp; U - FY 2020 -UNTHSCPM.xlsx</t>
  </si>
  <si>
    <t>460 - S &amp; U - FY 2020 - UNTHSC (Pub M + Priv M).xlsx</t>
  </si>
  <si>
    <t>461 - S &amp; U - FY 2020 - UNTHSC (Pub M).xlsx</t>
  </si>
  <si>
    <t>Total State of Texas</t>
  </si>
  <si>
    <t>Total Revenue Sources</t>
  </si>
  <si>
    <t>Aux Fees</t>
  </si>
  <si>
    <t>Net Aux Fees</t>
  </si>
  <si>
    <t>Copy from HRI - FTSE Tab</t>
  </si>
  <si>
    <t>Complete</t>
  </si>
  <si>
    <t>Updt 1/8/21</t>
  </si>
  <si>
    <t>Texas Division of Emergency Management</t>
  </si>
  <si>
    <t>TDEM</t>
  </si>
  <si>
    <t>640 - S &amp; U - FY 2020 - TDEM.xlsx</t>
  </si>
  <si>
    <t xml:space="preserve">Sent to Ruby &amp; Diane </t>
  </si>
  <si>
    <t>No longer included.</t>
  </si>
  <si>
    <t>FY2020</t>
  </si>
  <si>
    <t>FY2021</t>
  </si>
  <si>
    <t>FY 2021</t>
  </si>
  <si>
    <t>Texas A&amp;M System Shared Services Center</t>
  </si>
  <si>
    <t>TAMSS</t>
  </si>
  <si>
    <t>635 - S &amp; U - FY 2021 - TAMSS.xlsx</t>
  </si>
  <si>
    <t>FY 2021 - Year Ended August 31, 2021</t>
  </si>
  <si>
    <t>FY 2021 Summary of Data for Academic Cost Study</t>
  </si>
  <si>
    <t>FY 2021 Data For IFRS Reconciliation</t>
  </si>
  <si>
    <t>FY 21</t>
  </si>
  <si>
    <t>FY 2021 Data For Almanac Publication</t>
  </si>
  <si>
    <t>Almanac Data - FY 2021</t>
  </si>
  <si>
    <t>FY 2021 Summary of Net Tuition and Fees</t>
  </si>
  <si>
    <t xml:space="preserve">FY 2021 Institutional Resume Data From Sources &amp; Uses Reports  To UNIV_IE_KEYS </t>
  </si>
  <si>
    <t>FY 2021 Accountability Data From Sources &amp; Uses Reports  To FactUNIVContextDollars</t>
  </si>
  <si>
    <t>FY 2021 Accountability Data From Sources &amp; Uses Reports  To FactUNIVperFTSE</t>
  </si>
  <si>
    <t>FY 2021 Sources &amp; Uses</t>
  </si>
  <si>
    <t>Detail Worksheet FY 2021</t>
  </si>
  <si>
    <t>Summary Worksheet FY 2021</t>
  </si>
  <si>
    <t>For the Year Ended August 31, 2021</t>
  </si>
  <si>
    <t>Source: FY 2021 Annual Financial Report</t>
  </si>
  <si>
    <t>FY 2021- 2025</t>
  </si>
  <si>
    <t>S230 - S &amp; U - FY 2020 - UHS.xlsx</t>
  </si>
  <si>
    <t>Balanced</t>
  </si>
  <si>
    <t>OK</t>
  </si>
  <si>
    <t>Ting Chen</t>
  </si>
  <si>
    <t>817-272-7489</t>
  </si>
  <si>
    <t>ting.chen@uta.edu</t>
  </si>
  <si>
    <t>Marcy Lowther</t>
  </si>
  <si>
    <t>512-471-2808</t>
  </si>
  <si>
    <t>mlowther@austin.utexas.edu</t>
  </si>
  <si>
    <t>Cindy Milligan</t>
  </si>
  <si>
    <t>(972) 883-2632</t>
  </si>
  <si>
    <t>cxm133830@utdallas.edu</t>
  </si>
  <si>
    <t>Daniel Dominguez</t>
  </si>
  <si>
    <t>(915)747-5083</t>
  </si>
  <si>
    <t>drdominguez@utep.edu</t>
  </si>
  <si>
    <t>Lilia M. St. Clair</t>
  </si>
  <si>
    <t>956-665-7906</t>
  </si>
  <si>
    <t>lilia.stclair@utrgv.edu</t>
  </si>
  <si>
    <t>Jana Juarez</t>
  </si>
  <si>
    <t>432-552-2717</t>
  </si>
  <si>
    <t>juarez_j@utpb.edu</t>
  </si>
  <si>
    <t>Sheri Hardison</t>
  </si>
  <si>
    <t>210-458-6774</t>
  </si>
  <si>
    <t>sheri.hardison@utsa.edu</t>
  </si>
  <si>
    <t>Brenda Golemon</t>
  </si>
  <si>
    <t>903-566-7319</t>
  </si>
  <si>
    <t>bgolemon@gmail.com</t>
  </si>
  <si>
    <t>Chris Arrington</t>
  </si>
  <si>
    <t>979-458-9151</t>
  </si>
  <si>
    <t>carrington@tamus.edu</t>
  </si>
  <si>
    <t>254-968-1643</t>
  </si>
  <si>
    <t>fincher@tarleton.edu</t>
  </si>
  <si>
    <t>Chris Stovall</t>
  </si>
  <si>
    <t>(940) 397-4273</t>
  </si>
  <si>
    <t>chris.stovall@msutexas.edu</t>
  </si>
  <si>
    <t>June Orth</t>
  </si>
  <si>
    <t>940-898-3522</t>
  </si>
  <si>
    <t>borth@twu.edu</t>
  </si>
  <si>
    <t>Amanda Withers</t>
  </si>
  <si>
    <t>936-294-2289</t>
  </si>
  <si>
    <t>withers@shsu.edu</t>
  </si>
  <si>
    <t>CHARLOTTE HOTZ</t>
  </si>
  <si>
    <t>713.743.5296</t>
  </si>
  <si>
    <t>cahotz@uh.edu</t>
  </si>
  <si>
    <t>Mila Bautista</t>
  </si>
  <si>
    <t>281-283-2129</t>
  </si>
  <si>
    <t>BautistaM@uhcl.edu</t>
  </si>
  <si>
    <t>Alice Tsai</t>
  </si>
  <si>
    <t>713-221-8098</t>
  </si>
  <si>
    <t>Tsaia@uhd.edu</t>
  </si>
  <si>
    <t>June Nelson</t>
  </si>
  <si>
    <t>361-570-4873</t>
  </si>
  <si>
    <t>nelsonj@uhv.edu</t>
  </si>
  <si>
    <t>Leydi Carter</t>
  </si>
  <si>
    <t>(940) 369-5089</t>
  </si>
  <si>
    <t>Leydi.Carter@untsystem.edu</t>
  </si>
  <si>
    <t>Gia Doss</t>
  </si>
  <si>
    <t>Gia.Doss@untsystem.edu</t>
  </si>
  <si>
    <t>Cynthia Brown</t>
  </si>
  <si>
    <t>409-880-7925</t>
  </si>
  <si>
    <t>clbrown@lamar.edu</t>
  </si>
  <si>
    <t>Bonnie Albright</t>
  </si>
  <si>
    <t>432-837-8078</t>
  </si>
  <si>
    <t>bonnie.albright@sulross.edu</t>
  </si>
  <si>
    <t>Cindy Haley</t>
  </si>
  <si>
    <t>512-245-2087</t>
  </si>
  <si>
    <t>cindy.haley@txstate.edu</t>
  </si>
  <si>
    <t>Lori Eppler</t>
  </si>
  <si>
    <t>806-834-4640</t>
  </si>
  <si>
    <t>lori.eppler@ttu.edu</t>
  </si>
  <si>
    <t>Janet Coleman</t>
  </si>
  <si>
    <t>325-942-2014</t>
  </si>
  <si>
    <t>janet.coleman@angelo.edu</t>
  </si>
  <si>
    <t>Dannette Sales</t>
  </si>
  <si>
    <t>(936) 468-2354</t>
  </si>
  <si>
    <t>salesdl@sfasu.edu</t>
  </si>
  <si>
    <t>Bobbie Phelps</t>
  </si>
  <si>
    <t>713-313-6890</t>
  </si>
  <si>
    <t>bobbie.phelps@tsu.edu</t>
  </si>
  <si>
    <t xml:space="preserve"> December 15, 2021</t>
  </si>
  <si>
    <t>Sent to Jennifer 12/15/21</t>
  </si>
  <si>
    <t>Updated 12/16/21 for FY 21</t>
  </si>
  <si>
    <t xml:space="preserve"> December 16, 2021</t>
  </si>
  <si>
    <t>Copied 12/17/21</t>
  </si>
  <si>
    <t>FY 2021 Annual</t>
  </si>
  <si>
    <t>Source: Torca 12/21/21</t>
  </si>
  <si>
    <t>Texas Public Universities, Fiscal Year 2020-21</t>
  </si>
  <si>
    <t xml:space="preserve"> December 23, 2021</t>
  </si>
  <si>
    <t>Sent to Chelsea 12/23/2021</t>
  </si>
  <si>
    <t>To Chelsea 12/23/2021</t>
  </si>
  <si>
    <t>Sent to Ken 12/23/21</t>
  </si>
  <si>
    <t>No longer used.</t>
  </si>
  <si>
    <t>Copied to 0-Univ-Accountability Master-8 NA.xlsx</t>
  </si>
  <si>
    <t>Version 2021-2</t>
  </si>
  <si>
    <t>Percent Funded by State of Texas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</si>
</sst>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quot;$&quot;#,##0"/>
    <numFmt numFmtId="166" formatCode="&quot;$&quot;#,##0\ ;\(&quot;$&quot;#,##0\)"/>
    <numFmt numFmtId="167" formatCode="0.0%"/>
    <numFmt numFmtId="168" formatCode="0.00%_);\(0.00%\)"/>
    <numFmt numFmtId="169" formatCode="_(* #,##0.00000000000_);_(* \(#,##0.00000000000\);_(* &quot;-&quot;???????????_);_(@_)"/>
    <numFmt numFmtId="170" formatCode="_(&quot;$&quot;* #,##0_);_(&quot;$&quot;* \(#,##0\);_(&quot;$&quot;* &quot;-&quot;??_);_(@_)"/>
    <numFmt numFmtId="171" formatCode="_(* #,##0.00_);_(* \(#,##0.00\);_(* &quot;-&quot;_);_(@_)"/>
    <numFmt numFmtId="172" formatCode="_(&quot;$&quot;* #,##0.0_);_(&quot;$&quot;* \(#,##0.0\);_(&quot;$&quot;* &quot;-&quot;?_);_(@_)"/>
    <numFmt numFmtId="173" formatCode="_(&quot;$&quot;* #,##0.000000000000_);_(&quot;$&quot;* \(#,##0.000000000000\);_(&quot;$&quot;* &quot;-&quot;??_);_(@_)"/>
    <numFmt numFmtId="174" formatCode="000000"/>
    <numFmt numFmtId="175" formatCode="000"/>
  </numFmts>
  <fonts count="73">
    <font>
      <sz val="10"/>
      <name val="Arial"/>
    </font>
    <font>
      <sz val="11"/>
      <color theme="1"/>
      <name val="Calibri"/>
      <family val="2"/>
      <scheme val="minor"/>
    </font>
    <font>
      <sz val="11"/>
      <color theme="1"/>
      <name val="Calibri"/>
      <family val="2"/>
      <scheme val="minor"/>
    </font>
    <font>
      <sz val="10"/>
      <name val="Arial"/>
      <family val="2"/>
    </font>
    <font>
      <sz val="10"/>
      <name val="Arial"/>
      <family val="2"/>
    </font>
    <font>
      <b/>
      <sz val="10"/>
      <name val="Arial"/>
      <family val="2"/>
    </font>
    <font>
      <i/>
      <sz val="10"/>
      <name val="Arial"/>
      <family val="2"/>
    </font>
    <font>
      <b/>
      <sz val="12"/>
      <name val="Arial"/>
      <family val="2"/>
    </font>
    <font>
      <sz val="12"/>
      <name val="Arial"/>
      <family val="2"/>
    </font>
    <font>
      <b/>
      <sz val="8"/>
      <name val="Arial"/>
      <family val="2"/>
    </font>
    <font>
      <b/>
      <sz val="20"/>
      <name val="Arial"/>
      <family val="2"/>
    </font>
    <font>
      <b/>
      <sz val="14"/>
      <name val="Arial"/>
      <family val="2"/>
    </font>
    <font>
      <sz val="10"/>
      <color indexed="10"/>
      <name val="Arial"/>
      <family val="2"/>
    </font>
    <font>
      <b/>
      <sz val="12"/>
      <color indexed="8"/>
      <name val="Arial"/>
      <family val="2"/>
    </font>
    <font>
      <b/>
      <sz val="22"/>
      <name val="Arial"/>
      <family val="2"/>
    </font>
    <font>
      <sz val="8"/>
      <name val="Arial"/>
      <family val="2"/>
    </font>
    <font>
      <sz val="8"/>
      <name val="TimesNewRomanPS"/>
    </font>
    <font>
      <sz val="10"/>
      <color indexed="24"/>
      <name val="Arial"/>
      <family val="2"/>
    </font>
    <font>
      <b/>
      <sz val="18"/>
      <color indexed="24"/>
      <name val="Arial"/>
      <family val="2"/>
    </font>
    <font>
      <b/>
      <sz val="12"/>
      <color indexed="24"/>
      <name val="Arial"/>
      <family val="2"/>
    </font>
    <font>
      <b/>
      <sz val="9"/>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sz val="11"/>
      <color indexed="10"/>
      <name val="Calibri"/>
      <family val="2"/>
    </font>
    <font>
      <b/>
      <i/>
      <sz val="10"/>
      <color indexed="10"/>
      <name val="Arial"/>
      <family val="2"/>
    </font>
    <font>
      <b/>
      <sz val="10"/>
      <color indexed="8"/>
      <name val="Arial"/>
      <family val="2"/>
    </font>
    <font>
      <sz val="9"/>
      <name val="Arial"/>
      <family val="2"/>
    </font>
    <font>
      <vertAlign val="superscript"/>
      <sz val="9"/>
      <name val="Arial"/>
      <family val="2"/>
    </font>
    <font>
      <u/>
      <sz val="10"/>
      <color indexed="12"/>
      <name val="Arial"/>
      <family val="2"/>
    </font>
    <font>
      <sz val="10"/>
      <name val="Arial"/>
      <family val="2"/>
    </font>
    <font>
      <b/>
      <sz val="10"/>
      <name val="Tahoma"/>
      <family val="2"/>
    </font>
    <font>
      <sz val="10"/>
      <name val="Tahoma"/>
      <family val="2"/>
    </font>
    <font>
      <sz val="10"/>
      <color theme="0"/>
      <name val="Tahoma"/>
      <family val="2"/>
    </font>
    <font>
      <sz val="8"/>
      <color indexed="81"/>
      <name val="Tahoma"/>
      <family val="2"/>
    </font>
    <font>
      <b/>
      <sz val="10"/>
      <color rgb="FF000000"/>
      <name val="Arial"/>
      <family val="2"/>
    </font>
    <font>
      <b/>
      <sz val="10"/>
      <color rgb="FF454545"/>
      <name val="Arial"/>
      <family val="2"/>
    </font>
    <font>
      <sz val="10"/>
      <color rgb="FF454545"/>
      <name val="Arial"/>
      <family val="2"/>
    </font>
    <font>
      <b/>
      <sz val="16"/>
      <name val="Arial"/>
      <family val="2"/>
    </font>
    <font>
      <b/>
      <sz val="11"/>
      <name val="Arial"/>
      <family val="2"/>
    </font>
    <font>
      <u/>
      <sz val="10"/>
      <name val="Arial"/>
      <family val="2"/>
    </font>
    <font>
      <vertAlign val="superscript"/>
      <sz val="10"/>
      <name val="Arial"/>
      <family val="2"/>
    </font>
    <font>
      <sz val="10"/>
      <name val="System"/>
      <family val="2"/>
    </font>
    <font>
      <sz val="10"/>
      <name val="MS Sans Serif"/>
      <family val="2"/>
    </font>
    <font>
      <b/>
      <u/>
      <sz val="10"/>
      <name val="Arial"/>
      <family val="2"/>
    </font>
    <font>
      <b/>
      <sz val="9"/>
      <color indexed="81"/>
      <name val="Tahoma"/>
      <family val="2"/>
    </font>
    <font>
      <sz val="9"/>
      <color indexed="81"/>
      <name val="Tahoma"/>
      <family val="2"/>
    </font>
    <font>
      <sz val="10"/>
      <name val="Arial"/>
      <family val="2"/>
    </font>
    <font>
      <sz val="11"/>
      <name val="Arial"/>
      <family val="2"/>
    </font>
    <font>
      <u/>
      <sz val="10"/>
      <name val="Arial"/>
      <family val="2"/>
    </font>
    <font>
      <u/>
      <sz val="14"/>
      <color indexed="12"/>
      <name val="Arial"/>
      <family val="2"/>
    </font>
    <font>
      <b/>
      <sz val="10"/>
      <name val="Verdana"/>
      <family val="2"/>
    </font>
    <font>
      <sz val="12"/>
      <name val="AGaramond"/>
      <family val="3"/>
    </font>
    <font>
      <b/>
      <sz val="12"/>
      <name val="Tahoma"/>
      <family val="2"/>
    </font>
    <font>
      <b/>
      <u/>
      <sz val="12"/>
      <name val="Tahoma"/>
      <family val="2"/>
    </font>
    <font>
      <sz val="10"/>
      <color indexed="8"/>
      <name val="Arial"/>
      <family val="2"/>
    </font>
    <font>
      <b/>
      <sz val="11"/>
      <color theme="1"/>
      <name val="Calibri"/>
      <family val="2"/>
      <scheme val="minor"/>
    </font>
    <font>
      <u/>
      <sz val="9"/>
      <color indexed="12"/>
      <name val="Arial"/>
      <family val="2"/>
    </font>
    <font>
      <u/>
      <sz val="10"/>
      <color theme="10"/>
      <name val="Arial"/>
      <family val="2"/>
    </font>
    <font>
      <b/>
      <sz val="12"/>
      <color theme="1"/>
      <name val="Calibri"/>
      <family val="2"/>
      <scheme val="minor"/>
    </font>
    <font>
      <i/>
      <sz val="11"/>
      <color theme="1"/>
      <name val="Calibri"/>
      <family val="2"/>
      <scheme val="minor"/>
    </font>
    <font>
      <i/>
      <sz val="11"/>
      <color rgb="FF00B0F0"/>
      <name val="Calibri"/>
      <family val="2"/>
      <scheme val="minor"/>
    </font>
    <font>
      <sz val="11"/>
      <name val="Calibri"/>
      <family val="2"/>
      <scheme val="minor"/>
    </font>
  </fonts>
  <fills count="5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indexed="13"/>
        <bgColor indexed="64"/>
      </patternFill>
    </fill>
    <fill>
      <patternFill patternType="solid">
        <fgColor indexed="47"/>
        <bgColor indexed="64"/>
      </patternFill>
    </fill>
    <fill>
      <patternFill patternType="solid">
        <fgColor indexed="9"/>
        <bgColor indexed="64"/>
      </patternFill>
    </fill>
    <fill>
      <patternFill patternType="solid">
        <fgColor indexed="41"/>
        <bgColor indexed="64"/>
      </patternFill>
    </fill>
    <fill>
      <patternFill patternType="solid">
        <fgColor theme="0"/>
        <bgColor indexed="64"/>
      </patternFill>
    </fill>
    <fill>
      <patternFill patternType="solid">
        <fgColor theme="4" tint="0.79998168889431442"/>
        <bgColor indexed="64"/>
      </patternFill>
    </fill>
    <fill>
      <patternFill patternType="solid">
        <fgColor rgb="FFCCFFFF"/>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2" tint="-9.9978637043366805E-2"/>
        <bgColor indexed="64"/>
      </patternFill>
    </fill>
    <fill>
      <patternFill patternType="solid">
        <fgColor rgb="FFCCFFCC"/>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0" tint="-0.14996795556505021"/>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92D050"/>
        <bgColor indexed="64"/>
      </patternFill>
    </fill>
    <fill>
      <patternFill patternType="solid">
        <fgColor theme="4" tint="0.59999389629810485"/>
        <bgColor indexed="64"/>
      </patternFill>
    </fill>
    <fill>
      <patternFill patternType="solid">
        <fgColor theme="3" tint="0.79998168889431442"/>
        <bgColor indexed="64"/>
      </patternFill>
    </fill>
    <fill>
      <patternFill patternType="solid">
        <fgColor theme="2"/>
        <bgColor indexed="64"/>
      </patternFill>
    </fill>
    <fill>
      <patternFill patternType="solid">
        <fgColor indexed="22"/>
        <bgColor indexed="0"/>
      </patternFill>
    </fill>
    <fill>
      <patternFill patternType="solid">
        <fgColor theme="8" tint="0.59999389629810485"/>
        <bgColor indexed="64"/>
      </patternFill>
    </fill>
    <fill>
      <patternFill patternType="solid">
        <fgColor theme="9" tint="0.59999389629810485"/>
        <bgColor indexed="64"/>
      </patternFill>
    </fill>
  </fills>
  <borders count="16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double">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8"/>
      </top>
      <bottom style="thin">
        <color indexed="8"/>
      </bottom>
      <diagonal/>
    </border>
    <border>
      <left/>
      <right/>
      <top style="thin">
        <color indexed="64"/>
      </top>
      <bottom style="double">
        <color indexed="64"/>
      </bottom>
      <diagonal/>
    </border>
    <border>
      <left style="double">
        <color indexed="12"/>
      </left>
      <right style="double">
        <color indexed="12"/>
      </right>
      <top style="double">
        <color indexed="12"/>
      </top>
      <bottom/>
      <diagonal/>
    </border>
    <border>
      <left style="double">
        <color indexed="12"/>
      </left>
      <right/>
      <top style="double">
        <color indexed="12"/>
      </top>
      <bottom style="double">
        <color indexed="12"/>
      </bottom>
      <diagonal/>
    </border>
    <border>
      <left/>
      <right/>
      <top style="double">
        <color indexed="12"/>
      </top>
      <bottom style="double">
        <color indexed="12"/>
      </bottom>
      <diagonal/>
    </border>
    <border>
      <left/>
      <right style="double">
        <color indexed="12"/>
      </right>
      <top style="double">
        <color indexed="12"/>
      </top>
      <bottom style="double">
        <color indexed="1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ck">
        <color rgb="FF00B050"/>
      </left>
      <right/>
      <top style="thick">
        <color rgb="FF00B050"/>
      </top>
      <bottom style="thick">
        <color rgb="FF00B050"/>
      </bottom>
      <diagonal/>
    </border>
    <border>
      <left/>
      <right/>
      <top style="thick">
        <color rgb="FF00B050"/>
      </top>
      <bottom style="thick">
        <color rgb="FF00B050"/>
      </bottom>
      <diagonal/>
    </border>
    <border>
      <left/>
      <right style="thick">
        <color rgb="FF00B050"/>
      </right>
      <top style="thick">
        <color rgb="FF00B050"/>
      </top>
      <bottom style="thick">
        <color rgb="FF00B050"/>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ck">
        <color rgb="FF00B050"/>
      </left>
      <right style="thin">
        <color indexed="64"/>
      </right>
      <top style="thick">
        <color rgb="FF00B050"/>
      </top>
      <bottom/>
      <diagonal/>
    </border>
    <border>
      <left style="thin">
        <color indexed="64"/>
      </left>
      <right style="thin">
        <color indexed="64"/>
      </right>
      <top style="thick">
        <color rgb="FF00B050"/>
      </top>
      <bottom/>
      <diagonal/>
    </border>
    <border>
      <left style="thin">
        <color indexed="64"/>
      </left>
      <right style="thick">
        <color rgb="FF00B050"/>
      </right>
      <top style="thick">
        <color rgb="FF00B050"/>
      </top>
      <bottom/>
      <diagonal/>
    </border>
    <border>
      <left style="thick">
        <color rgb="FFFF0000"/>
      </left>
      <right/>
      <top style="thick">
        <color rgb="FFFF0000"/>
      </top>
      <bottom/>
      <diagonal/>
    </border>
    <border>
      <left style="thin">
        <color indexed="64"/>
      </left>
      <right style="thin">
        <color indexed="64"/>
      </right>
      <top style="thick">
        <color rgb="FFFF0000"/>
      </top>
      <bottom/>
      <diagonal/>
    </border>
    <border>
      <left style="thin">
        <color indexed="64"/>
      </left>
      <right style="thick">
        <color rgb="FFFF0000"/>
      </right>
      <top style="thick">
        <color rgb="FFFF0000"/>
      </top>
      <bottom/>
      <diagonal/>
    </border>
    <border>
      <left style="thick">
        <color auto="1"/>
      </left>
      <right/>
      <top/>
      <bottom/>
      <diagonal/>
    </border>
    <border>
      <left style="thin">
        <color indexed="64"/>
      </left>
      <right style="thick">
        <color indexed="64"/>
      </right>
      <top/>
      <bottom/>
      <diagonal/>
    </border>
    <border>
      <left style="thick">
        <color rgb="FF00B050"/>
      </left>
      <right style="thin">
        <color indexed="64"/>
      </right>
      <top/>
      <bottom/>
      <diagonal/>
    </border>
    <border>
      <left style="thin">
        <color indexed="64"/>
      </left>
      <right style="thin">
        <color indexed="64"/>
      </right>
      <top/>
      <bottom/>
      <diagonal/>
    </border>
    <border>
      <left style="thin">
        <color indexed="64"/>
      </left>
      <right style="thick">
        <color rgb="FF00B050"/>
      </right>
      <top/>
      <bottom/>
      <diagonal/>
    </border>
    <border>
      <left style="thick">
        <color rgb="FFFF0000"/>
      </left>
      <right/>
      <top/>
      <bottom/>
      <diagonal/>
    </border>
    <border>
      <left style="thin">
        <color indexed="64"/>
      </left>
      <right style="thick">
        <color rgb="FFFF0000"/>
      </right>
      <top/>
      <bottom/>
      <diagonal/>
    </border>
    <border>
      <left style="thick">
        <color rgb="FF00B050"/>
      </left>
      <right style="thin">
        <color indexed="64"/>
      </right>
      <top/>
      <bottom style="thin">
        <color indexed="64"/>
      </bottom>
      <diagonal/>
    </border>
    <border>
      <left style="thin">
        <color indexed="64"/>
      </left>
      <right style="thick">
        <color rgb="FF00B050"/>
      </right>
      <top/>
      <bottom style="thin">
        <color indexed="64"/>
      </bottom>
      <diagonal/>
    </border>
    <border>
      <left style="thick">
        <color rgb="FFFF0000"/>
      </left>
      <right/>
      <top/>
      <bottom style="thin">
        <color indexed="64"/>
      </bottom>
      <diagonal/>
    </border>
    <border>
      <left style="thin">
        <color indexed="64"/>
      </left>
      <right style="thick">
        <color rgb="FFFF0000"/>
      </right>
      <top/>
      <bottom style="thin">
        <color indexed="64"/>
      </bottom>
      <diagonal/>
    </border>
    <border>
      <left style="thin">
        <color indexed="64"/>
      </left>
      <right style="thick">
        <color indexed="64"/>
      </right>
      <top/>
      <bottom style="thin">
        <color indexed="64"/>
      </bottom>
      <diagonal/>
    </border>
    <border>
      <left style="thick">
        <color rgb="FF00B050"/>
      </left>
      <right style="thin">
        <color indexed="64"/>
      </right>
      <top style="thin">
        <color indexed="64"/>
      </top>
      <bottom/>
      <diagonal/>
    </border>
    <border>
      <left style="thin">
        <color indexed="64"/>
      </left>
      <right style="thick">
        <color rgb="FF00B050"/>
      </right>
      <top style="thin">
        <color indexed="64"/>
      </top>
      <bottom/>
      <diagonal/>
    </border>
    <border>
      <left style="thick">
        <color rgb="FFFF0000"/>
      </left>
      <right/>
      <top style="thin">
        <color indexed="64"/>
      </top>
      <bottom/>
      <diagonal/>
    </border>
    <border>
      <left style="thin">
        <color indexed="64"/>
      </left>
      <right style="thick">
        <color rgb="FFFF0000"/>
      </right>
      <top style="thin">
        <color indexed="64"/>
      </top>
      <bottom/>
      <diagonal/>
    </border>
    <border>
      <left style="thin">
        <color indexed="64"/>
      </left>
      <right style="thick">
        <color indexed="64"/>
      </right>
      <top style="thin">
        <color indexed="64"/>
      </top>
      <bottom/>
      <diagonal/>
    </border>
    <border>
      <left style="thick">
        <color rgb="FFFF0000"/>
      </left>
      <right style="thick">
        <color rgb="FFFF0000"/>
      </right>
      <top style="thick">
        <color rgb="FFFF0000"/>
      </top>
      <bottom style="thick">
        <color rgb="FFFF0000"/>
      </bottom>
      <diagonal/>
    </border>
    <border>
      <left style="thick">
        <color rgb="FFFF0000"/>
      </left>
      <right/>
      <top/>
      <bottom style="thick">
        <color rgb="FFFF0000"/>
      </bottom>
      <diagonal/>
    </border>
    <border>
      <left style="thin">
        <color indexed="64"/>
      </left>
      <right style="thin">
        <color indexed="64"/>
      </right>
      <top/>
      <bottom style="thick">
        <color rgb="FFFF0000"/>
      </bottom>
      <diagonal/>
    </border>
    <border>
      <left style="thick">
        <color rgb="FF00B050"/>
      </left>
      <right style="thin">
        <color indexed="64"/>
      </right>
      <top/>
      <bottom style="thick">
        <color rgb="FF00B050"/>
      </bottom>
      <diagonal/>
    </border>
    <border>
      <left style="thin">
        <color indexed="64"/>
      </left>
      <right style="thin">
        <color indexed="64"/>
      </right>
      <top/>
      <bottom style="thick">
        <color rgb="FF00B050"/>
      </bottom>
      <diagonal/>
    </border>
    <border>
      <left style="thin">
        <color indexed="64"/>
      </left>
      <right style="thick">
        <color rgb="FF00B050"/>
      </right>
      <top/>
      <bottom style="thick">
        <color rgb="FF00B050"/>
      </bottom>
      <diagonal/>
    </border>
    <border>
      <left style="thick">
        <color rgb="FF00B050"/>
      </left>
      <right style="thick">
        <color rgb="FF00B050"/>
      </right>
      <top style="thick">
        <color rgb="FF00B050"/>
      </top>
      <bottom style="thick">
        <color rgb="FF00B050"/>
      </bottom>
      <diagonal/>
    </border>
    <border>
      <left/>
      <right/>
      <top style="thick">
        <color indexed="64"/>
      </top>
      <bottom/>
      <diagonal/>
    </border>
    <border>
      <left/>
      <right style="thick">
        <color rgb="FF00B050"/>
      </right>
      <top/>
      <bottom style="thick">
        <color rgb="FF00B050"/>
      </bottom>
      <diagonal/>
    </border>
    <border>
      <left style="thick">
        <color auto="1"/>
      </left>
      <right/>
      <top/>
      <bottom style="thick">
        <color auto="1"/>
      </bottom>
      <diagonal/>
    </border>
    <border>
      <left style="thin">
        <color indexed="64"/>
      </left>
      <right style="thick">
        <color indexed="64"/>
      </right>
      <top/>
      <bottom style="thick">
        <color indexed="64"/>
      </bottom>
      <diagonal/>
    </border>
    <border>
      <left style="thick">
        <color rgb="FF0070C0"/>
      </left>
      <right/>
      <top style="thick">
        <color rgb="FF0070C0"/>
      </top>
      <bottom style="thick">
        <color rgb="FF0070C0"/>
      </bottom>
      <diagonal/>
    </border>
    <border>
      <left/>
      <right/>
      <top style="thick">
        <color rgb="FF0070C0"/>
      </top>
      <bottom style="thick">
        <color rgb="FF0070C0"/>
      </bottom>
      <diagonal/>
    </border>
    <border>
      <left/>
      <right style="thick">
        <color rgb="FF0070C0"/>
      </right>
      <top style="thick">
        <color rgb="FF0070C0"/>
      </top>
      <bottom style="thick">
        <color rgb="FF0070C0"/>
      </bottom>
      <diagonal/>
    </border>
    <border>
      <left style="thick">
        <color rgb="FF0070C0"/>
      </left>
      <right/>
      <top style="thick">
        <color rgb="FF0070C0"/>
      </top>
      <bottom/>
      <diagonal/>
    </border>
    <border>
      <left/>
      <right/>
      <top style="thick">
        <color rgb="FF0070C0"/>
      </top>
      <bottom/>
      <diagonal/>
    </border>
    <border>
      <left style="thick">
        <color rgb="FF0070C0"/>
      </left>
      <right/>
      <top/>
      <bottom/>
      <diagonal/>
    </border>
    <border>
      <left style="thick">
        <color rgb="FF0070C0"/>
      </left>
      <right/>
      <top/>
      <bottom style="thick">
        <color rgb="FF0070C0"/>
      </bottom>
      <diagonal/>
    </border>
    <border>
      <left/>
      <right/>
      <top/>
      <bottom style="thick">
        <color rgb="FF0070C0"/>
      </bottom>
      <diagonal/>
    </border>
    <border>
      <left style="thin">
        <color indexed="64"/>
      </left>
      <right style="thin">
        <color indexed="64"/>
      </right>
      <top style="thin">
        <color indexed="64"/>
      </top>
      <bottom style="thick">
        <color rgb="FF0070C0"/>
      </bottom>
      <diagonal/>
    </border>
    <border>
      <left style="thick">
        <color rgb="FF0070C0"/>
      </left>
      <right/>
      <top style="thin">
        <color indexed="64"/>
      </top>
      <bottom style="thin">
        <color indexed="64"/>
      </bottom>
      <diagonal/>
    </border>
    <border>
      <left style="thin">
        <color indexed="64"/>
      </left>
      <right style="thick">
        <color rgb="FF0070C0"/>
      </right>
      <top style="thin">
        <color indexed="64"/>
      </top>
      <bottom style="thin">
        <color indexed="64"/>
      </bottom>
      <diagonal/>
    </border>
    <border>
      <left style="thick">
        <color rgb="FF0070C0"/>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rgb="FFFF0000"/>
      </left>
      <right style="thin">
        <color indexed="64"/>
      </right>
      <top style="thick">
        <color rgb="FFFF0000"/>
      </top>
      <bottom/>
      <diagonal/>
    </border>
    <border>
      <left style="thick">
        <color rgb="FFFF0000"/>
      </left>
      <right style="thin">
        <color indexed="64"/>
      </right>
      <top/>
      <bottom/>
      <diagonal/>
    </border>
    <border>
      <left style="thick">
        <color rgb="FFFF0000"/>
      </left>
      <right style="thin">
        <color indexed="64"/>
      </right>
      <top/>
      <bottom style="thin">
        <color indexed="64"/>
      </bottom>
      <diagonal/>
    </border>
    <border>
      <left style="thin">
        <color indexed="64"/>
      </left>
      <right/>
      <top/>
      <bottom style="thick">
        <color rgb="FF00B050"/>
      </bottom>
      <diagonal/>
    </border>
    <border>
      <left style="thin">
        <color indexed="64"/>
      </left>
      <right style="thin">
        <color indexed="64"/>
      </right>
      <top/>
      <bottom style="thick">
        <color indexed="64"/>
      </bottom>
      <diagonal/>
    </border>
    <border>
      <left/>
      <right style="thick">
        <color rgb="FFFF0000"/>
      </right>
      <top/>
      <bottom/>
      <diagonal/>
    </border>
    <border>
      <left/>
      <right/>
      <top/>
      <bottom style="thick">
        <color rgb="FFFF0000"/>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style="thick">
        <color theme="3" tint="0.39994506668294322"/>
      </left>
      <right/>
      <top style="thick">
        <color theme="3" tint="0.39994506668294322"/>
      </top>
      <bottom/>
      <diagonal/>
    </border>
    <border>
      <left/>
      <right/>
      <top style="thick">
        <color theme="3" tint="0.39994506668294322"/>
      </top>
      <bottom/>
      <diagonal/>
    </border>
    <border>
      <left/>
      <right style="thick">
        <color theme="3" tint="0.39994506668294322"/>
      </right>
      <top style="thick">
        <color theme="3" tint="0.39994506668294322"/>
      </top>
      <bottom/>
      <diagonal/>
    </border>
    <border>
      <left style="thick">
        <color theme="3" tint="0.39991454817346722"/>
      </left>
      <right/>
      <top style="thick">
        <color theme="3" tint="0.39991454817346722"/>
      </top>
      <bottom/>
      <diagonal/>
    </border>
    <border>
      <left/>
      <right/>
      <top style="thick">
        <color theme="3" tint="0.39991454817346722"/>
      </top>
      <bottom/>
      <diagonal/>
    </border>
    <border>
      <left/>
      <right style="thick">
        <color theme="3" tint="0.39991454817346722"/>
      </right>
      <top style="thick">
        <color theme="3" tint="0.39991454817346722"/>
      </top>
      <bottom/>
      <diagonal/>
    </border>
    <border>
      <left style="thick">
        <color theme="3" tint="0.39991454817346722"/>
      </left>
      <right/>
      <top/>
      <bottom/>
      <diagonal/>
    </border>
    <border>
      <left/>
      <right style="thick">
        <color theme="3" tint="0.39991454817346722"/>
      </right>
      <top/>
      <bottom/>
      <diagonal/>
    </border>
    <border>
      <left style="thick">
        <color theme="3" tint="0.39991454817346722"/>
      </left>
      <right/>
      <top/>
      <bottom style="thick">
        <color theme="3" tint="0.39991454817346722"/>
      </bottom>
      <diagonal/>
    </border>
    <border>
      <left/>
      <right/>
      <top/>
      <bottom style="thick">
        <color theme="3" tint="0.39991454817346722"/>
      </bottom>
      <diagonal/>
    </border>
    <border>
      <left/>
      <right style="thick">
        <color theme="3" tint="0.39991454817346722"/>
      </right>
      <top/>
      <bottom style="thick">
        <color theme="3" tint="0.39991454817346722"/>
      </bottom>
      <diagonal/>
    </border>
    <border>
      <left/>
      <right style="thick">
        <color rgb="FF0070C0"/>
      </right>
      <top style="thick">
        <color rgb="FF0070C0"/>
      </top>
      <bottom/>
      <diagonal/>
    </border>
    <border>
      <left/>
      <right style="thick">
        <color rgb="FF0070C0"/>
      </right>
      <top/>
      <bottom/>
      <diagonal/>
    </border>
    <border>
      <left/>
      <right style="thick">
        <color rgb="FF0070C0"/>
      </right>
      <top/>
      <bottom style="thin">
        <color indexed="64"/>
      </bottom>
      <diagonal/>
    </border>
    <border>
      <left/>
      <right style="thick">
        <color rgb="FF0070C0"/>
      </right>
      <top style="thin">
        <color indexed="64"/>
      </top>
      <bottom style="thin">
        <color indexed="64"/>
      </bottom>
      <diagonal/>
    </border>
    <border>
      <left/>
      <right style="thick">
        <color rgb="FF00B050"/>
      </right>
      <top style="thin">
        <color indexed="64"/>
      </top>
      <bottom/>
      <diagonal/>
    </border>
    <border>
      <left/>
      <right style="thick">
        <color rgb="FF00B050"/>
      </right>
      <top/>
      <bottom/>
      <diagonal/>
    </border>
    <border>
      <left style="double">
        <color indexed="12"/>
      </left>
      <right/>
      <top/>
      <bottom/>
      <diagonal/>
    </border>
    <border>
      <left/>
      <right/>
      <top style="double">
        <color indexed="12"/>
      </top>
      <bottom/>
      <diagonal/>
    </border>
    <border>
      <left/>
      <right style="double">
        <color indexed="12"/>
      </right>
      <top style="double">
        <color indexed="12"/>
      </top>
      <bottom/>
      <diagonal/>
    </border>
    <border>
      <left style="double">
        <color indexed="12"/>
      </left>
      <right/>
      <top/>
      <bottom style="double">
        <color indexed="12"/>
      </bottom>
      <diagonal/>
    </border>
    <border>
      <left/>
      <right/>
      <top/>
      <bottom style="double">
        <color indexed="12"/>
      </bottom>
      <diagonal/>
    </border>
    <border>
      <left/>
      <right style="double">
        <color indexed="12"/>
      </right>
      <top/>
      <bottom style="double">
        <color indexed="12"/>
      </bottom>
      <diagonal/>
    </border>
    <border>
      <left/>
      <right style="double">
        <color indexed="12"/>
      </right>
      <top/>
      <bottom/>
      <diagonal/>
    </border>
    <border>
      <left style="thin">
        <color indexed="64"/>
      </left>
      <right style="medium">
        <color indexed="64"/>
      </right>
      <top style="medium">
        <color indexed="64"/>
      </top>
      <bottom style="medium">
        <color indexed="64"/>
      </bottom>
      <diagonal/>
    </border>
    <border>
      <left style="thin">
        <color indexed="64"/>
      </left>
      <right style="thick">
        <color rgb="FF0070C0"/>
      </right>
      <top style="thin">
        <color indexed="64"/>
      </top>
      <bottom style="thick">
        <color rgb="FF0070C0"/>
      </bottom>
      <diagonal/>
    </border>
    <border>
      <left/>
      <right style="double">
        <color indexed="12"/>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style="thin">
        <color indexed="64"/>
      </top>
      <bottom style="double">
        <color indexed="64"/>
      </bottom>
      <diagonal/>
    </border>
    <border>
      <left style="double">
        <color rgb="FF0000FF"/>
      </left>
      <right/>
      <top style="double">
        <color rgb="FF0000FF"/>
      </top>
      <bottom style="double">
        <color rgb="FF0000FF"/>
      </bottom>
      <diagonal/>
    </border>
    <border>
      <left/>
      <right/>
      <top style="double">
        <color rgb="FF0000FF"/>
      </top>
      <bottom style="double">
        <color rgb="FF0000FF"/>
      </bottom>
      <diagonal/>
    </border>
    <border>
      <left/>
      <right style="double">
        <color rgb="FF0000FF"/>
      </right>
      <top style="double">
        <color rgb="FF0000FF"/>
      </top>
      <bottom style="double">
        <color rgb="FF0000FF"/>
      </bottom>
      <diagonal/>
    </border>
    <border>
      <left style="medium">
        <color indexed="64"/>
      </left>
      <right/>
      <top style="medium">
        <color indexed="64"/>
      </top>
      <bottom/>
      <diagonal/>
    </border>
    <border>
      <left/>
      <right/>
      <top style="medium">
        <color indexed="64"/>
      </top>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double">
        <color rgb="FF0000FF"/>
      </bottom>
      <diagonal/>
    </border>
    <border>
      <left/>
      <right/>
      <top style="double">
        <color indexed="12"/>
      </top>
      <bottom style="thin">
        <color indexed="64"/>
      </bottom>
      <diagonal/>
    </border>
    <border>
      <left/>
      <right style="medium">
        <color indexed="64"/>
      </right>
      <top style="double">
        <color rgb="FF0000FF"/>
      </top>
      <bottom style="double">
        <color rgb="FF0000FF"/>
      </bottom>
      <diagonal/>
    </border>
    <border>
      <left style="double">
        <color indexed="12"/>
      </left>
      <right/>
      <top style="double">
        <color indexed="12"/>
      </top>
      <bottom/>
      <diagonal/>
    </border>
    <border>
      <left style="medium">
        <color indexed="64"/>
      </left>
      <right style="medium">
        <color indexed="64"/>
      </right>
      <top style="thin">
        <color indexed="64"/>
      </top>
      <bottom style="medium">
        <color indexed="64"/>
      </bottom>
      <diagonal/>
    </border>
    <border>
      <left style="thick">
        <color auto="1"/>
      </left>
      <right style="thin">
        <color indexed="64"/>
      </right>
      <top style="medium">
        <color indexed="64"/>
      </top>
      <bottom/>
      <diagonal/>
    </border>
    <border>
      <left style="thick">
        <color auto="1"/>
      </left>
      <right style="thin">
        <color indexed="64"/>
      </right>
      <top/>
      <bottom/>
      <diagonal/>
    </border>
    <border>
      <left style="thick">
        <color auto="1"/>
      </left>
      <right style="thin">
        <color indexed="64"/>
      </right>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22"/>
      </left>
      <right style="thin">
        <color indexed="22"/>
      </right>
      <top style="thin">
        <color indexed="22"/>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indexed="64"/>
      </left>
      <right/>
      <top/>
      <bottom style="medium">
        <color indexed="64"/>
      </bottom>
      <diagonal/>
    </border>
    <border>
      <left/>
      <right/>
      <top/>
      <bottom style="medium">
        <color indexed="64"/>
      </bottom>
      <diagonal/>
    </border>
    <border>
      <left style="medium">
        <color indexed="64"/>
      </left>
      <right/>
      <top style="double">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double">
        <color indexed="64"/>
      </bottom>
      <diagonal/>
    </border>
  </borders>
  <cellStyleXfs count="92">
    <xf numFmtId="0" fontId="0"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23" fillId="3" borderId="0" applyNumberFormat="0" applyBorder="0" applyAlignment="0" applyProtection="0"/>
    <xf numFmtId="0" fontId="24" fillId="20" borderId="1" applyNumberFormat="0" applyAlignment="0" applyProtection="0"/>
    <xf numFmtId="0" fontId="25" fillId="21" borderId="2" applyNumberFormat="0" applyAlignment="0" applyProtection="0"/>
    <xf numFmtId="43" fontId="3" fillId="0" borderId="0" applyFont="0" applyFill="0" applyBorder="0" applyAlignment="0" applyProtection="0"/>
    <xf numFmtId="3" fontId="17" fillId="0" borderId="0" applyFont="0" applyFill="0" applyBorder="0" applyAlignment="0" applyProtection="0"/>
    <xf numFmtId="166" fontId="17" fillId="0" borderId="0" applyFont="0" applyFill="0" applyBorder="0" applyAlignment="0" applyProtection="0"/>
    <xf numFmtId="0" fontId="17" fillId="0" borderId="0" applyFont="0" applyFill="0" applyBorder="0" applyAlignment="0" applyProtection="0"/>
    <xf numFmtId="0" fontId="26" fillId="0" borderId="0" applyNumberFormat="0" applyFill="0" applyBorder="0" applyAlignment="0" applyProtection="0"/>
    <xf numFmtId="2" fontId="17" fillId="0" borderId="0" applyFont="0" applyFill="0" applyBorder="0" applyAlignment="0" applyProtection="0"/>
    <xf numFmtId="0" fontId="27" fillId="4" borderId="0" applyNumberFormat="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8" fillId="0" borderId="3" applyNumberFormat="0" applyFill="0" applyAlignment="0" applyProtection="0"/>
    <xf numFmtId="0" fontId="28" fillId="0" borderId="0" applyNumberFormat="0" applyFill="0" applyBorder="0" applyAlignment="0" applyProtection="0"/>
    <xf numFmtId="0" fontId="29" fillId="7" borderId="1" applyNumberFormat="0" applyAlignment="0" applyProtection="0"/>
    <xf numFmtId="0" fontId="30" fillId="0" borderId="4" applyNumberFormat="0" applyFill="0" applyAlignment="0" applyProtection="0"/>
    <xf numFmtId="0" fontId="31" fillId="22" borderId="0" applyNumberFormat="0" applyBorder="0" applyAlignment="0" applyProtection="0"/>
    <xf numFmtId="0" fontId="3" fillId="0" borderId="0"/>
    <xf numFmtId="0" fontId="16" fillId="0" borderId="0"/>
    <xf numFmtId="0" fontId="3" fillId="23" borderId="5" applyNumberFormat="0" applyFont="0" applyAlignment="0" applyProtection="0"/>
    <xf numFmtId="0" fontId="32" fillId="20" borderId="6" applyNumberFormat="0" applyAlignment="0" applyProtection="0"/>
    <xf numFmtId="0" fontId="33" fillId="0" borderId="0" applyNumberFormat="0" applyFill="0" applyBorder="0" applyAlignment="0" applyProtection="0"/>
    <xf numFmtId="0" fontId="17" fillId="0" borderId="7" applyNumberFormat="0" applyFont="0" applyFill="0" applyAlignment="0" applyProtection="0"/>
    <xf numFmtId="0" fontId="34"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3" fillId="0" borderId="0" applyFont="0" applyFill="0" applyBorder="0" applyAlignment="0" applyProtection="0"/>
    <xf numFmtId="3" fontId="17" fillId="0" borderId="0" applyFont="0" applyFill="0" applyBorder="0" applyAlignment="0" applyProtection="0"/>
    <xf numFmtId="3" fontId="17" fillId="0" borderId="0" applyFont="0" applyFill="0" applyBorder="0" applyAlignment="0" applyProtection="0"/>
    <xf numFmtId="166" fontId="17" fillId="0" borderId="0" applyFont="0" applyFill="0" applyBorder="0" applyAlignment="0" applyProtection="0"/>
    <xf numFmtId="166"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2" fontId="17" fillId="0" borderId="0" applyFont="0" applyFill="0" applyBorder="0" applyAlignment="0" applyProtection="0"/>
    <xf numFmtId="2" fontId="17" fillId="0" borderId="0" applyFon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7" fillId="0" borderId="7" applyNumberFormat="0" applyFont="0" applyFill="0" applyAlignment="0" applyProtection="0"/>
    <xf numFmtId="0" fontId="17" fillId="0" borderId="7" applyNumberFormat="0" applyFont="0" applyFill="0" applyAlignment="0" applyProtection="0"/>
    <xf numFmtId="0" fontId="39" fillId="0" borderId="0" applyNumberFormat="0" applyFill="0" applyBorder="0" applyAlignment="0" applyProtection="0">
      <alignment vertical="top"/>
      <protection locked="0"/>
    </xf>
    <xf numFmtId="44" fontId="40" fillId="0" borderId="0" applyFont="0" applyFill="0" applyBorder="0" applyAlignment="0" applyProtection="0"/>
    <xf numFmtId="43" fontId="3" fillId="0" borderId="0" applyFont="0" applyFill="0" applyAlignment="0" applyProtection="0"/>
    <xf numFmtId="0" fontId="3" fillId="0" borderId="0"/>
    <xf numFmtId="0" fontId="52" fillId="0" borderId="0"/>
    <xf numFmtId="0" fontId="53" fillId="0" borderId="0"/>
    <xf numFmtId="0" fontId="3" fillId="0" borderId="0"/>
    <xf numFmtId="0" fontId="53" fillId="0" borderId="0"/>
    <xf numFmtId="9" fontId="57" fillId="0" borderId="0" applyFont="0" applyFill="0" applyBorder="0" applyAlignment="0" applyProtection="0"/>
    <xf numFmtId="0" fontId="3" fillId="0" borderId="0"/>
    <xf numFmtId="0" fontId="2" fillId="0" borderId="0"/>
    <xf numFmtId="0" fontId="3" fillId="0" borderId="0"/>
    <xf numFmtId="43" fontId="62" fillId="0" borderId="0" applyFont="0" applyFill="0" applyBorder="0" applyAlignment="0" applyProtection="0"/>
    <xf numFmtId="43" fontId="3" fillId="0" borderId="0" applyFont="0" applyFill="0" applyBorder="0" applyAlignment="0" applyProtection="0"/>
    <xf numFmtId="0" fontId="65" fillId="0" borderId="0"/>
    <xf numFmtId="0" fontId="39" fillId="0" borderId="0" applyNumberFormat="0" applyFill="0" applyBorder="0" applyAlignment="0" applyProtection="0">
      <alignment vertical="top"/>
      <protection locked="0"/>
    </xf>
    <xf numFmtId="0" fontId="3" fillId="0" borderId="0"/>
    <xf numFmtId="0" fontId="39" fillId="0" borderId="0" applyNumberFormat="0" applyFill="0" applyBorder="0" applyAlignment="0" applyProtection="0">
      <alignment vertical="top"/>
      <protection locked="0"/>
    </xf>
    <xf numFmtId="0" fontId="68" fillId="0" borderId="0" applyNumberFormat="0" applyFill="0" applyBorder="0" applyAlignment="0" applyProtection="0"/>
  </cellStyleXfs>
  <cellXfs count="1789">
    <xf numFmtId="0" fontId="0" fillId="0" borderId="0" xfId="0"/>
    <xf numFmtId="164" fontId="4" fillId="0" borderId="0" xfId="28" applyNumberFormat="1" applyFont="1" applyFill="1"/>
    <xf numFmtId="0" fontId="4" fillId="0" borderId="0" xfId="0" applyFont="1" applyFill="1"/>
    <xf numFmtId="0" fontId="4" fillId="0" borderId="0" xfId="0" applyFont="1" applyFill="1" applyBorder="1"/>
    <xf numFmtId="0" fontId="4" fillId="0" borderId="0" xfId="0" applyFont="1" applyFill="1" applyAlignment="1">
      <alignment horizontal="center"/>
    </xf>
    <xf numFmtId="0" fontId="5" fillId="0" borderId="0" xfId="0" applyFont="1" applyFill="1"/>
    <xf numFmtId="37" fontId="4" fillId="0" borderId="0" xfId="0" applyNumberFormat="1" applyFont="1" applyFill="1"/>
    <xf numFmtId="164" fontId="4" fillId="0" borderId="0" xfId="28" applyNumberFormat="1" applyFont="1" applyFill="1" applyProtection="1">
      <protection locked="0"/>
    </xf>
    <xf numFmtId="0" fontId="4" fillId="0" borderId="8" xfId="0" applyFont="1" applyFill="1" applyBorder="1"/>
    <xf numFmtId="164" fontId="4" fillId="0" borderId="0" xfId="28" applyNumberFormat="1" applyFont="1" applyFill="1" applyAlignment="1">
      <alignment horizontal="right"/>
    </xf>
    <xf numFmtId="0" fontId="4" fillId="0" borderId="9" xfId="0" applyFont="1" applyFill="1" applyBorder="1"/>
    <xf numFmtId="0" fontId="5" fillId="0" borderId="9" xfId="0" applyFont="1" applyFill="1" applyBorder="1"/>
    <xf numFmtId="0" fontId="0" fillId="0" borderId="0" xfId="0" applyBorder="1"/>
    <xf numFmtId="0" fontId="7" fillId="0" borderId="0" xfId="0" applyFont="1" applyBorder="1" applyAlignment="1">
      <alignment horizontal="center"/>
    </xf>
    <xf numFmtId="0" fontId="8" fillId="0" borderId="0" xfId="0" applyFont="1" applyBorder="1"/>
    <xf numFmtId="165" fontId="8" fillId="0" borderId="0" xfId="0" applyNumberFormat="1" applyFont="1" applyBorder="1"/>
    <xf numFmtId="0" fontId="7" fillId="0" borderId="0" xfId="0" applyFont="1" applyBorder="1"/>
    <xf numFmtId="0" fontId="7" fillId="0" borderId="10" xfId="0" applyFont="1" applyFill="1" applyBorder="1"/>
    <xf numFmtId="165" fontId="8" fillId="0" borderId="11" xfId="0" applyNumberFormat="1" applyFont="1" applyBorder="1"/>
    <xf numFmtId="0" fontId="7" fillId="0" borderId="0" xfId="0" applyFont="1" applyFill="1" applyBorder="1"/>
    <xf numFmtId="0" fontId="9" fillId="0" borderId="0" xfId="0" applyFont="1" applyBorder="1"/>
    <xf numFmtId="37" fontId="7" fillId="0" borderId="0" xfId="0" applyNumberFormat="1" applyFont="1" applyFill="1" applyBorder="1"/>
    <xf numFmtId="37" fontId="5" fillId="0" borderId="8" xfId="0" applyNumberFormat="1" applyFont="1" applyFill="1" applyBorder="1"/>
    <xf numFmtId="165" fontId="8" fillId="24" borderId="0" xfId="0" applyNumberFormat="1" applyFont="1" applyFill="1" applyBorder="1"/>
    <xf numFmtId="0" fontId="5" fillId="25" borderId="0" xfId="0" applyFont="1" applyFill="1"/>
    <xf numFmtId="0" fontId="4" fillId="0" borderId="0" xfId="0" applyFont="1" applyFill="1" applyAlignment="1"/>
    <xf numFmtId="0" fontId="0" fillId="0" borderId="0" xfId="0" applyFill="1" applyBorder="1"/>
    <xf numFmtId="0" fontId="5" fillId="0" borderId="0" xfId="0" applyFont="1" applyBorder="1"/>
    <xf numFmtId="37" fontId="7" fillId="0" borderId="10" xfId="0" quotePrefix="1" applyNumberFormat="1" applyFont="1" applyFill="1" applyBorder="1" applyAlignment="1">
      <alignment horizontal="left"/>
    </xf>
    <xf numFmtId="0" fontId="0" fillId="0" borderId="0" xfId="0" quotePrefix="1" applyAlignment="1">
      <alignment horizontal="left"/>
    </xf>
    <xf numFmtId="0" fontId="13" fillId="0" borderId="0" xfId="0" applyFont="1" applyFill="1"/>
    <xf numFmtId="0" fontId="0" fillId="0" borderId="0" xfId="0" applyFill="1"/>
    <xf numFmtId="0" fontId="9" fillId="0" borderId="0" xfId="0" applyFont="1" applyFill="1" applyBorder="1"/>
    <xf numFmtId="37" fontId="5" fillId="25" borderId="13" xfId="0" applyNumberFormat="1" applyFont="1" applyFill="1" applyBorder="1"/>
    <xf numFmtId="0" fontId="14" fillId="0" borderId="0" xfId="0" applyFont="1" applyFill="1" applyAlignment="1">
      <alignment horizontal="left"/>
    </xf>
    <xf numFmtId="0" fontId="0" fillId="0" borderId="0" xfId="0" applyAlignment="1">
      <alignment wrapText="1"/>
    </xf>
    <xf numFmtId="0" fontId="8" fillId="0" borderId="0" xfId="0" applyFont="1"/>
    <xf numFmtId="0" fontId="12" fillId="0" borderId="0" xfId="0" applyFont="1" applyFill="1"/>
    <xf numFmtId="0" fontId="0" fillId="0" borderId="0" xfId="0" applyFill="1" applyAlignment="1">
      <alignment wrapText="1"/>
    </xf>
    <xf numFmtId="164" fontId="11" fillId="0" borderId="9" xfId="28" applyNumberFormat="1" applyFont="1" applyFill="1" applyBorder="1" applyAlignment="1">
      <alignment horizontal="center"/>
    </xf>
    <xf numFmtId="164" fontId="5" fillId="0" borderId="9" xfId="28" applyNumberFormat="1" applyFont="1" applyFill="1" applyBorder="1" applyAlignment="1">
      <alignment horizontal="center"/>
    </xf>
    <xf numFmtId="164" fontId="4" fillId="0" borderId="0" xfId="28" applyNumberFormat="1" applyFont="1" applyFill="1" applyAlignment="1">
      <alignment horizontal="center"/>
    </xf>
    <xf numFmtId="4" fontId="4" fillId="0" borderId="0" xfId="28" applyNumberFormat="1" applyFont="1" applyFill="1" applyAlignment="1">
      <alignment horizontal="center"/>
    </xf>
    <xf numFmtId="42" fontId="4" fillId="0" borderId="0" xfId="0" applyNumberFormat="1" applyFont="1" applyFill="1"/>
    <xf numFmtId="42" fontId="4" fillId="0" borderId="8" xfId="28" applyNumberFormat="1" applyFont="1" applyFill="1" applyBorder="1"/>
    <xf numFmtId="42" fontId="5" fillId="0" borderId="8" xfId="28" applyNumberFormat="1" applyFont="1" applyFill="1" applyBorder="1"/>
    <xf numFmtId="42" fontId="5" fillId="25" borderId="13" xfId="28" applyNumberFormat="1" applyFont="1" applyFill="1" applyBorder="1"/>
    <xf numFmtId="41" fontId="4" fillId="0" borderId="0" xfId="28" applyNumberFormat="1" applyFont="1" applyFill="1"/>
    <xf numFmtId="41" fontId="5" fillId="0" borderId="0" xfId="28" applyNumberFormat="1" applyFont="1" applyFill="1" applyBorder="1" applyAlignment="1">
      <alignment horizontal="center"/>
    </xf>
    <xf numFmtId="41" fontId="4" fillId="0" borderId="0" xfId="28" applyNumberFormat="1" applyFont="1" applyFill="1" applyProtection="1">
      <protection locked="0"/>
    </xf>
    <xf numFmtId="42" fontId="4" fillId="0" borderId="8" xfId="0" applyNumberFormat="1" applyFont="1" applyFill="1" applyBorder="1"/>
    <xf numFmtId="41" fontId="4" fillId="0" borderId="0" xfId="28" applyNumberFormat="1" applyFont="1" applyFill="1" applyBorder="1"/>
    <xf numFmtId="42" fontId="5" fillId="0" borderId="9" xfId="28" applyNumberFormat="1" applyFont="1" applyFill="1" applyBorder="1" applyAlignment="1">
      <alignment horizontal="right"/>
    </xf>
    <xf numFmtId="0" fontId="3" fillId="0" borderId="0" xfId="42"/>
    <xf numFmtId="0" fontId="14" fillId="0" borderId="0" xfId="42" applyFont="1" applyFill="1" applyAlignment="1">
      <alignment horizontal="left"/>
    </xf>
    <xf numFmtId="0" fontId="8" fillId="0" borderId="0" xfId="42" applyFont="1"/>
    <xf numFmtId="0" fontId="3" fillId="0" borderId="0" xfId="42" applyBorder="1"/>
    <xf numFmtId="0" fontId="8" fillId="0" borderId="0" xfId="42" applyFont="1" applyBorder="1"/>
    <xf numFmtId="165" fontId="8" fillId="0" borderId="0" xfId="42" applyNumberFormat="1" applyFont="1" applyBorder="1"/>
    <xf numFmtId="0" fontId="7" fillId="0" borderId="0" xfId="42" applyFont="1" applyBorder="1"/>
    <xf numFmtId="165" fontId="8" fillId="24" borderId="0" xfId="42" applyNumberFormat="1" applyFont="1" applyFill="1" applyBorder="1"/>
    <xf numFmtId="0" fontId="7" fillId="0" borderId="10" xfId="42" applyFont="1" applyFill="1" applyBorder="1"/>
    <xf numFmtId="165" fontId="8" fillId="0" borderId="11" xfId="42" applyNumberFormat="1" applyFont="1" applyBorder="1"/>
    <xf numFmtId="0" fontId="7" fillId="0" borderId="0" xfId="42" applyFont="1" applyBorder="1" applyAlignment="1">
      <alignment horizontal="center"/>
    </xf>
    <xf numFmtId="0" fontId="7" fillId="0" borderId="0" xfId="42" applyFont="1" applyFill="1" applyBorder="1"/>
    <xf numFmtId="0" fontId="9" fillId="0" borderId="0" xfId="42" applyFont="1" applyBorder="1"/>
    <xf numFmtId="0" fontId="9" fillId="0" borderId="0" xfId="42" applyFont="1" applyFill="1" applyBorder="1"/>
    <xf numFmtId="0" fontId="3" fillId="0" borderId="0" xfId="42" applyFill="1" applyBorder="1"/>
    <xf numFmtId="0" fontId="3" fillId="0" borderId="0" xfId="42" applyFill="1"/>
    <xf numFmtId="37" fontId="7" fillId="0" borderId="0" xfId="42" applyNumberFormat="1" applyFont="1" applyFill="1" applyBorder="1"/>
    <xf numFmtId="37" fontId="7" fillId="0" borderId="10" xfId="42" quotePrefix="1" applyNumberFormat="1" applyFont="1" applyFill="1" applyBorder="1" applyAlignment="1">
      <alignment horizontal="left"/>
    </xf>
    <xf numFmtId="0" fontId="3" fillId="0" borderId="0" xfId="42" quotePrefix="1" applyAlignment="1">
      <alignment horizontal="left"/>
    </xf>
    <xf numFmtId="0" fontId="13" fillId="0" borderId="0" xfId="42" applyFont="1" applyFill="1"/>
    <xf numFmtId="0" fontId="5" fillId="0" borderId="0" xfId="42" applyFont="1" applyBorder="1"/>
    <xf numFmtId="164" fontId="3" fillId="0" borderId="0" xfId="28" applyNumberFormat="1" applyFont="1" applyFill="1"/>
    <xf numFmtId="0" fontId="3" fillId="0" borderId="0" xfId="42" applyFont="1" applyFill="1"/>
    <xf numFmtId="0" fontId="7" fillId="0" borderId="0" xfId="42" applyFont="1" applyFill="1" applyAlignment="1">
      <alignment horizontal="left"/>
    </xf>
    <xf numFmtId="0" fontId="3" fillId="0" borderId="0" xfId="42" applyFont="1" applyFill="1" applyAlignment="1">
      <alignment horizontal="center"/>
    </xf>
    <xf numFmtId="0" fontId="5" fillId="0" borderId="0" xfId="42" applyFont="1" applyFill="1"/>
    <xf numFmtId="164" fontId="3" fillId="0" borderId="0" xfId="28" applyNumberFormat="1" applyFont="1" applyFill="1" applyAlignment="1">
      <alignment horizontal="center"/>
    </xf>
    <xf numFmtId="4" fontId="3" fillId="0" borderId="0" xfId="28" applyNumberFormat="1" applyFont="1" applyFill="1" applyAlignment="1">
      <alignment horizontal="center"/>
    </xf>
    <xf numFmtId="0" fontId="5" fillId="25" borderId="0" xfId="42" applyFont="1" applyFill="1"/>
    <xf numFmtId="164" fontId="3" fillId="0" borderId="0" xfId="28" applyNumberFormat="1" applyFont="1" applyFill="1" applyProtection="1">
      <protection locked="0"/>
    </xf>
    <xf numFmtId="42" fontId="3" fillId="0" borderId="0" xfId="42" applyNumberFormat="1" applyFont="1" applyFill="1"/>
    <xf numFmtId="164" fontId="3" fillId="0" borderId="14" xfId="28" applyNumberFormat="1" applyFont="1" applyFill="1" applyBorder="1"/>
    <xf numFmtId="0" fontId="3" fillId="0" borderId="0" xfId="42" applyFont="1" applyFill="1" applyAlignment="1"/>
    <xf numFmtId="41" fontId="3" fillId="0" borderId="0" xfId="28" applyNumberFormat="1" applyFont="1" applyFill="1"/>
    <xf numFmtId="41" fontId="3" fillId="0" borderId="0" xfId="42" applyNumberFormat="1" applyFont="1" applyFill="1"/>
    <xf numFmtId="0" fontId="3" fillId="0" borderId="8" xfId="42" applyFont="1" applyFill="1" applyBorder="1"/>
    <xf numFmtId="42" fontId="3" fillId="0" borderId="8" xfId="28" applyNumberFormat="1" applyFont="1" applyFill="1" applyBorder="1"/>
    <xf numFmtId="0" fontId="3" fillId="0" borderId="0" xfId="42" applyFont="1" applyFill="1" applyBorder="1" applyAlignment="1"/>
    <xf numFmtId="41" fontId="3" fillId="0" borderId="0" xfId="28" applyNumberFormat="1" applyFont="1" applyFill="1" applyProtection="1">
      <protection locked="0"/>
    </xf>
    <xf numFmtId="42" fontId="3" fillId="0" borderId="8" xfId="42" applyNumberFormat="1" applyFont="1" applyFill="1" applyBorder="1"/>
    <xf numFmtId="0" fontId="3" fillId="0" borderId="0" xfId="42" applyFont="1" applyFill="1" applyBorder="1"/>
    <xf numFmtId="41" fontId="3" fillId="0" borderId="0" xfId="28" applyNumberFormat="1" applyFont="1" applyFill="1" applyBorder="1"/>
    <xf numFmtId="0" fontId="3" fillId="0" borderId="9" xfId="42" applyFont="1" applyFill="1" applyBorder="1"/>
    <xf numFmtId="0" fontId="3" fillId="0" borderId="0" xfId="42" applyAlignment="1">
      <alignment wrapText="1"/>
    </xf>
    <xf numFmtId="0" fontId="5" fillId="0" borderId="9" xfId="42" applyFont="1" applyFill="1" applyBorder="1"/>
    <xf numFmtId="164" fontId="3" fillId="0" borderId="0" xfId="28" applyNumberFormat="1" applyFont="1" applyFill="1" applyAlignment="1">
      <alignment horizontal="right"/>
    </xf>
    <xf numFmtId="37" fontId="3" fillId="0" borderId="0" xfId="42" applyNumberFormat="1" applyFont="1" applyFill="1"/>
    <xf numFmtId="37" fontId="5" fillId="0" borderId="8" xfId="42" applyNumberFormat="1" applyFont="1" applyFill="1" applyBorder="1"/>
    <xf numFmtId="0" fontId="3" fillId="0" borderId="0" xfId="42" applyFill="1" applyAlignment="1">
      <alignment wrapText="1"/>
    </xf>
    <xf numFmtId="164" fontId="3" fillId="0" borderId="8" xfId="28" applyNumberFormat="1" applyFont="1" applyFill="1" applyBorder="1" applyProtection="1">
      <protection locked="0"/>
    </xf>
    <xf numFmtId="37" fontId="5" fillId="25" borderId="13" xfId="42" applyNumberFormat="1" applyFont="1" applyFill="1" applyBorder="1"/>
    <xf numFmtId="0" fontId="3" fillId="0" borderId="0" xfId="42" applyFont="1" applyFill="1" applyAlignment="1">
      <alignment horizontal="left"/>
    </xf>
    <xf numFmtId="0" fontId="3" fillId="0" borderId="0" xfId="42" applyFont="1"/>
    <xf numFmtId="0" fontId="5" fillId="0" borderId="9" xfId="42" applyFont="1" applyFill="1" applyBorder="1" applyAlignment="1">
      <alignment horizontal="center" wrapText="1"/>
    </xf>
    <xf numFmtId="38" fontId="14" fillId="0" borderId="0" xfId="42" applyNumberFormat="1" applyFont="1" applyFill="1"/>
    <xf numFmtId="164" fontId="11" fillId="0" borderId="0" xfId="28" applyNumberFormat="1" applyFont="1" applyFill="1" applyBorder="1" applyAlignment="1">
      <alignment horizontal="center"/>
    </xf>
    <xf numFmtId="164" fontId="5" fillId="0" borderId="0" xfId="28" applyNumberFormat="1" applyFont="1" applyFill="1" applyBorder="1" applyAlignment="1">
      <alignment horizontal="center"/>
    </xf>
    <xf numFmtId="4" fontId="5" fillId="0" borderId="0" xfId="28" applyNumberFormat="1" applyFont="1" applyFill="1" applyBorder="1" applyAlignment="1">
      <alignment horizontal="center"/>
    </xf>
    <xf numFmtId="0" fontId="5" fillId="0" borderId="0" xfId="42" applyFont="1" applyFill="1" applyBorder="1" applyAlignment="1">
      <alignment horizontal="center"/>
    </xf>
    <xf numFmtId="42" fontId="5" fillId="0" borderId="9" xfId="28" applyNumberFormat="1" applyFont="1" applyFill="1" applyBorder="1" applyAlignment="1"/>
    <xf numFmtId="0" fontId="3" fillId="0" borderId="0" xfId="42" applyFill="1" applyBorder="1" applyAlignment="1">
      <alignment wrapText="1"/>
    </xf>
    <xf numFmtId="0" fontId="3" fillId="27" borderId="0" xfId="42" applyFill="1"/>
    <xf numFmtId="0" fontId="5" fillId="27" borderId="0" xfId="42" applyFont="1" applyFill="1" applyAlignment="1">
      <alignment horizontal="center"/>
    </xf>
    <xf numFmtId="0" fontId="5" fillId="0" borderId="0" xfId="42" applyFont="1"/>
    <xf numFmtId="167" fontId="3" fillId="0" borderId="0" xfId="58" applyNumberFormat="1"/>
    <xf numFmtId="0" fontId="5" fillId="0" borderId="9" xfId="42" applyFont="1" applyBorder="1" applyAlignment="1">
      <alignment horizontal="center" wrapText="1"/>
    </xf>
    <xf numFmtId="0" fontId="20" fillId="25" borderId="9" xfId="42" quotePrefix="1" applyFont="1" applyFill="1" applyBorder="1" applyAlignment="1">
      <alignment horizontal="center" wrapText="1"/>
    </xf>
    <xf numFmtId="0" fontId="20" fillId="0" borderId="9" xfId="42" applyFont="1" applyFill="1" applyBorder="1" applyAlignment="1">
      <alignment horizontal="center" wrapText="1"/>
    </xf>
    <xf numFmtId="0" fontId="20" fillId="25" borderId="9" xfId="42" applyFont="1" applyFill="1" applyBorder="1" applyAlignment="1">
      <alignment horizontal="center" wrapText="1"/>
    </xf>
    <xf numFmtId="167" fontId="5" fillId="0" borderId="9" xfId="58" applyNumberFormat="1" applyFont="1" applyBorder="1" applyAlignment="1">
      <alignment horizontal="center" wrapText="1"/>
    </xf>
    <xf numFmtId="0" fontId="3" fillId="0" borderId="0" xfId="42" applyAlignment="1">
      <alignment horizontal="center" wrapText="1"/>
    </xf>
    <xf numFmtId="49" fontId="3" fillId="0" borderId="0" xfId="42" applyNumberFormat="1" applyAlignment="1">
      <alignment horizontal="center"/>
    </xf>
    <xf numFmtId="42" fontId="3" fillId="25" borderId="0" xfId="28" applyNumberFormat="1" applyFill="1"/>
    <xf numFmtId="42" fontId="3" fillId="0" borderId="0" xfId="28" applyNumberFormat="1"/>
    <xf numFmtId="42" fontId="3" fillId="0" borderId="0" xfId="42" applyNumberFormat="1"/>
    <xf numFmtId="168" fontId="3" fillId="0" borderId="0" xfId="58" applyNumberFormat="1"/>
    <xf numFmtId="41" fontId="3" fillId="25" borderId="0" xfId="28" applyNumberFormat="1" applyFill="1"/>
    <xf numFmtId="41" fontId="3" fillId="0" borderId="0" xfId="28" applyNumberFormat="1"/>
    <xf numFmtId="41" fontId="3" fillId="0" borderId="0" xfId="42" applyNumberFormat="1"/>
    <xf numFmtId="49" fontId="3" fillId="0" borderId="9" xfId="42" applyNumberFormat="1" applyBorder="1" applyAlignment="1">
      <alignment horizontal="center"/>
    </xf>
    <xf numFmtId="0" fontId="3" fillId="0" borderId="9" xfId="42" applyBorder="1"/>
    <xf numFmtId="41" fontId="3" fillId="25" borderId="9" xfId="28" applyNumberFormat="1" applyFill="1" applyBorder="1"/>
    <xf numFmtId="41" fontId="3" fillId="0" borderId="9" xfId="28" applyNumberFormat="1" applyBorder="1"/>
    <xf numFmtId="41" fontId="3" fillId="0" borderId="9" xfId="42" applyNumberFormat="1" applyBorder="1"/>
    <xf numFmtId="168" fontId="3" fillId="0" borderId="9" xfId="58" applyNumberFormat="1" applyBorder="1"/>
    <xf numFmtId="0" fontId="3" fillId="0" borderId="13" xfId="42" applyBorder="1"/>
    <xf numFmtId="0" fontId="3" fillId="0" borderId="13" xfId="42" applyBorder="1" applyAlignment="1">
      <alignment horizontal="center"/>
    </xf>
    <xf numFmtId="0" fontId="5" fillId="0" borderId="13" xfId="42" applyFont="1" applyBorder="1"/>
    <xf numFmtId="42" fontId="5" fillId="0" borderId="13" xfId="28" applyNumberFormat="1" applyFont="1" applyBorder="1"/>
    <xf numFmtId="42" fontId="5" fillId="0" borderId="13" xfId="42" applyNumberFormat="1" applyFont="1" applyBorder="1"/>
    <xf numFmtId="168" fontId="5" fillId="0" borderId="13" xfId="58" applyNumberFormat="1" applyFont="1" applyBorder="1"/>
    <xf numFmtId="167" fontId="3" fillId="27" borderId="0" xfId="58" applyNumberFormat="1" applyFill="1"/>
    <xf numFmtId="0" fontId="3" fillId="27" borderId="0" xfId="42" applyFill="1" applyAlignment="1">
      <alignment horizontal="center"/>
    </xf>
    <xf numFmtId="0" fontId="3" fillId="27" borderId="0" xfId="42" applyFont="1" applyFill="1"/>
    <xf numFmtId="0" fontId="3" fillId="0" borderId="18" xfId="42" applyFont="1" applyFill="1" applyBorder="1" applyAlignment="1">
      <alignment wrapText="1"/>
    </xf>
    <xf numFmtId="0" fontId="3" fillId="27" borderId="18" xfId="42" applyFill="1" applyBorder="1" applyAlignment="1">
      <alignment wrapText="1"/>
    </xf>
    <xf numFmtId="0" fontId="5" fillId="27" borderId="18" xfId="42" applyFont="1" applyFill="1" applyBorder="1" applyAlignment="1">
      <alignment wrapText="1"/>
    </xf>
    <xf numFmtId="0" fontId="3" fillId="27" borderId="0" xfId="42" applyFill="1" applyAlignment="1">
      <alignment wrapText="1"/>
    </xf>
    <xf numFmtId="0" fontId="3" fillId="27" borderId="0" xfId="42" applyFill="1" applyAlignment="1">
      <alignment horizontal="left"/>
    </xf>
    <xf numFmtId="42" fontId="3" fillId="27" borderId="0" xfId="42" applyNumberFormat="1" applyFill="1"/>
    <xf numFmtId="41" fontId="3" fillId="27" borderId="0" xfId="42" applyNumberFormat="1" applyFill="1"/>
    <xf numFmtId="0" fontId="3" fillId="25" borderId="0" xfId="42" applyFill="1"/>
    <xf numFmtId="38" fontId="7" fillId="29" borderId="0" xfId="0" applyNumberFormat="1" applyFont="1" applyFill="1"/>
    <xf numFmtId="38" fontId="7" fillId="29" borderId="0" xfId="42" applyNumberFormat="1" applyFont="1" applyFill="1"/>
    <xf numFmtId="38" fontId="14" fillId="29" borderId="0" xfId="0" applyNumberFormat="1" applyFont="1" applyFill="1"/>
    <xf numFmtId="0" fontId="5" fillId="27" borderId="0" xfId="42" applyFont="1" applyFill="1"/>
    <xf numFmtId="38" fontId="14" fillId="29" borderId="0" xfId="42" applyNumberFormat="1" applyFont="1" applyFill="1"/>
    <xf numFmtId="37" fontId="4" fillId="29" borderId="0" xfId="0" applyNumberFormat="1" applyFont="1" applyFill="1"/>
    <xf numFmtId="37" fontId="4" fillId="29" borderId="0" xfId="0" applyNumberFormat="1" applyFont="1" applyFill="1" applyAlignment="1">
      <alignment horizontal="left"/>
    </xf>
    <xf numFmtId="37" fontId="5" fillId="29" borderId="8" xfId="0" applyNumberFormat="1" applyFont="1" applyFill="1" applyBorder="1"/>
    <xf numFmtId="37" fontId="5" fillId="29" borderId="0" xfId="0" applyNumberFormat="1" applyFont="1" applyFill="1" applyBorder="1"/>
    <xf numFmtId="37" fontId="3" fillId="29" borderId="0" xfId="42" applyNumberFormat="1" applyFont="1" applyFill="1"/>
    <xf numFmtId="37" fontId="5" fillId="29" borderId="0" xfId="28" applyNumberFormat="1" applyFont="1" applyFill="1" applyBorder="1" applyProtection="1">
      <protection locked="0"/>
    </xf>
    <xf numFmtId="37" fontId="4" fillId="29" borderId="0" xfId="0" applyNumberFormat="1" applyFont="1" applyFill="1" applyAlignment="1">
      <alignment horizontal="center"/>
    </xf>
    <xf numFmtId="37" fontId="4" fillId="29" borderId="0" xfId="0" applyNumberFormat="1" applyFont="1" applyFill="1" applyBorder="1" applyAlignment="1">
      <alignment horizontal="center"/>
    </xf>
    <xf numFmtId="37" fontId="3" fillId="29" borderId="0" xfId="0" applyNumberFormat="1" applyFont="1" applyFill="1" applyBorder="1" applyAlignment="1">
      <alignment horizontal="left"/>
    </xf>
    <xf numFmtId="37" fontId="4" fillId="29" borderId="0" xfId="0" applyNumberFormat="1" applyFont="1" applyFill="1" applyBorder="1" applyAlignment="1">
      <alignment horizontal="left"/>
    </xf>
    <xf numFmtId="37" fontId="4" fillId="29" borderId="0" xfId="28" applyNumberFormat="1" applyFont="1" applyFill="1"/>
    <xf numFmtId="37" fontId="3" fillId="29" borderId="0" xfId="0" applyNumberFormat="1" applyFont="1" applyFill="1"/>
    <xf numFmtId="37" fontId="5" fillId="29" borderId="0" xfId="0" applyNumberFormat="1" applyFont="1" applyFill="1"/>
    <xf numFmtId="37" fontId="5" fillId="29" borderId="9" xfId="28" applyNumberFormat="1" applyFont="1" applyFill="1" applyBorder="1" applyAlignment="1">
      <alignment horizontal="center"/>
    </xf>
    <xf numFmtId="37" fontId="5" fillId="29" borderId="9" xfId="0" applyNumberFormat="1" applyFont="1" applyFill="1" applyBorder="1"/>
    <xf numFmtId="37" fontId="5" fillId="29" borderId="9" xfId="0" applyNumberFormat="1" applyFont="1" applyFill="1" applyBorder="1" applyAlignment="1">
      <alignment horizontal="center" wrapText="1"/>
    </xf>
    <xf numFmtId="37" fontId="4" fillId="29" borderId="8" xfId="0" applyNumberFormat="1" applyFont="1" applyFill="1" applyBorder="1"/>
    <xf numFmtId="37" fontId="4" fillId="29" borderId="0" xfId="0" applyNumberFormat="1" applyFont="1" applyFill="1" applyBorder="1"/>
    <xf numFmtId="37" fontId="4" fillId="29" borderId="9" xfId="0" applyNumberFormat="1" applyFont="1" applyFill="1" applyBorder="1"/>
    <xf numFmtId="37" fontId="4" fillId="29" borderId="13" xfId="0" applyNumberFormat="1" applyFont="1" applyFill="1" applyBorder="1"/>
    <xf numFmtId="37" fontId="4" fillId="29" borderId="0" xfId="28" applyNumberFormat="1" applyFont="1" applyFill="1" applyBorder="1" applyProtection="1">
      <protection locked="0"/>
    </xf>
    <xf numFmtId="37" fontId="4" fillId="29" borderId="18" xfId="0" applyNumberFormat="1" applyFont="1" applyFill="1" applyBorder="1" applyAlignment="1">
      <alignment horizontal="center"/>
    </xf>
    <xf numFmtId="37" fontId="4" fillId="29" borderId="0" xfId="0" applyNumberFormat="1" applyFont="1" applyFill="1" applyAlignment="1"/>
    <xf numFmtId="37" fontId="3" fillId="29" borderId="0" xfId="0" applyNumberFormat="1" applyFont="1" applyFill="1" applyAlignment="1"/>
    <xf numFmtId="37" fontId="3" fillId="29" borderId="0" xfId="42" applyNumberFormat="1" applyFont="1" applyFill="1" applyAlignment="1">
      <alignment horizontal="center"/>
    </xf>
    <xf numFmtId="37" fontId="5" fillId="29" borderId="9" xfId="42" applyNumberFormat="1" applyFont="1" applyFill="1" applyBorder="1"/>
    <xf numFmtId="37" fontId="5" fillId="29" borderId="9" xfId="42" applyNumberFormat="1" applyFont="1" applyFill="1" applyBorder="1" applyAlignment="1">
      <alignment horizontal="center" wrapText="1"/>
    </xf>
    <xf numFmtId="38" fontId="35" fillId="27" borderId="0" xfId="28" applyNumberFormat="1" applyFont="1" applyFill="1" applyAlignment="1" applyProtection="1">
      <alignment horizontal="center"/>
    </xf>
    <xf numFmtId="164" fontId="5" fillId="27" borderId="0" xfId="28" applyNumberFormat="1" applyFont="1" applyFill="1" applyAlignment="1">
      <alignment horizontal="center"/>
    </xf>
    <xf numFmtId="38" fontId="36" fillId="27" borderId="9" xfId="28" applyNumberFormat="1" applyFont="1" applyFill="1" applyBorder="1" applyAlignment="1">
      <alignment horizontal="center" vertical="center" wrapText="1"/>
    </xf>
    <xf numFmtId="38" fontId="36" fillId="27" borderId="0" xfId="28" applyNumberFormat="1" applyFont="1" applyFill="1" applyBorder="1" applyAlignment="1">
      <alignment horizontal="center" vertical="center" wrapText="1"/>
    </xf>
    <xf numFmtId="164" fontId="3" fillId="27" borderId="0" xfId="28" applyNumberFormat="1" applyFont="1" applyFill="1"/>
    <xf numFmtId="38" fontId="3" fillId="27" borderId="0" xfId="28" applyNumberFormat="1" applyFont="1" applyFill="1" applyBorder="1" applyAlignment="1">
      <alignment horizontal="left"/>
    </xf>
    <xf numFmtId="42" fontId="3" fillId="27" borderId="0" xfId="28" applyNumberFormat="1" applyFont="1" applyFill="1" applyBorder="1"/>
    <xf numFmtId="41" fontId="3" fillId="27" borderId="0" xfId="28" applyNumberFormat="1" applyFont="1" applyFill="1" applyBorder="1"/>
    <xf numFmtId="38" fontId="5" fillId="27" borderId="0" xfId="28" applyNumberFormat="1" applyFont="1" applyFill="1" applyAlignment="1">
      <alignment horizontal="center"/>
    </xf>
    <xf numFmtId="42" fontId="5" fillId="24" borderId="8" xfId="28" applyNumberFormat="1" applyFont="1" applyFill="1" applyBorder="1"/>
    <xf numFmtId="41" fontId="5" fillId="27" borderId="0" xfId="28" applyNumberFormat="1" applyFont="1" applyFill="1" applyBorder="1" applyAlignment="1">
      <alignment horizontal="center"/>
    </xf>
    <xf numFmtId="41" fontId="3" fillId="27" borderId="0" xfId="28" applyNumberFormat="1" applyFont="1" applyFill="1" applyBorder="1" applyAlignment="1">
      <alignment horizontal="center"/>
    </xf>
    <xf numFmtId="42" fontId="3" fillId="27" borderId="13" xfId="28" applyNumberFormat="1" applyFont="1" applyFill="1" applyBorder="1"/>
    <xf numFmtId="0" fontId="37" fillId="27" borderId="0" xfId="42" applyFont="1" applyFill="1"/>
    <xf numFmtId="164" fontId="3" fillId="27" borderId="19" xfId="28" applyNumberFormat="1" applyFont="1" applyFill="1" applyBorder="1"/>
    <xf numFmtId="164" fontId="3" fillId="27" borderId="20" xfId="28" applyNumberFormat="1" applyFont="1" applyFill="1" applyBorder="1"/>
    <xf numFmtId="41" fontId="3" fillId="0" borderId="22" xfId="42" applyNumberFormat="1" applyBorder="1"/>
    <xf numFmtId="0" fontId="38" fillId="27" borderId="0" xfId="42" applyFont="1" applyFill="1"/>
    <xf numFmtId="0" fontId="5" fillId="24" borderId="25" xfId="42" applyFont="1" applyFill="1" applyBorder="1"/>
    <xf numFmtId="0" fontId="3" fillId="0" borderId="19" xfId="42" applyFont="1" applyBorder="1"/>
    <xf numFmtId="0" fontId="3" fillId="0" borderId="26" xfId="42" applyBorder="1" applyAlignment="1">
      <alignment horizontal="center"/>
    </xf>
    <xf numFmtId="41" fontId="3" fillId="0" borderId="20" xfId="42" applyNumberFormat="1" applyBorder="1"/>
    <xf numFmtId="0" fontId="39" fillId="0" borderId="23" xfId="73" applyBorder="1" applyAlignment="1" applyProtection="1"/>
    <xf numFmtId="0" fontId="3" fillId="0" borderId="0" xfId="42" applyBorder="1" applyAlignment="1">
      <alignment horizontal="center"/>
    </xf>
    <xf numFmtId="41" fontId="3" fillId="0" borderId="24" xfId="42" applyNumberFormat="1" applyBorder="1"/>
    <xf numFmtId="0" fontId="3" fillId="0" borderId="23" xfId="42" applyBorder="1"/>
    <xf numFmtId="0" fontId="3" fillId="0" borderId="21" xfId="42" applyBorder="1"/>
    <xf numFmtId="0" fontId="3" fillId="0" borderId="9" xfId="42" applyBorder="1" applyAlignment="1">
      <alignment horizontal="center"/>
    </xf>
    <xf numFmtId="38" fontId="35" fillId="27" borderId="0" xfId="28" applyNumberFormat="1" applyFont="1" applyFill="1" applyAlignment="1" applyProtection="1"/>
    <xf numFmtId="42" fontId="3" fillId="0" borderId="9" xfId="28" applyNumberFormat="1" applyFont="1" applyFill="1" applyBorder="1"/>
    <xf numFmtId="164" fontId="3" fillId="27" borderId="26" xfId="28" applyNumberFormat="1" applyFont="1" applyFill="1" applyBorder="1"/>
    <xf numFmtId="42" fontId="3" fillId="27" borderId="23" xfId="28" applyNumberFormat="1" applyFont="1" applyFill="1" applyBorder="1"/>
    <xf numFmtId="42" fontId="3" fillId="27" borderId="24" xfId="28" applyNumberFormat="1" applyFont="1" applyFill="1" applyBorder="1"/>
    <xf numFmtId="41" fontId="3" fillId="27" borderId="24" xfId="28" applyNumberFormat="1" applyFont="1" applyFill="1" applyBorder="1"/>
    <xf numFmtId="42" fontId="3" fillId="0" borderId="21" xfId="28" applyNumberFormat="1" applyFont="1" applyFill="1" applyBorder="1"/>
    <xf numFmtId="42" fontId="5" fillId="24" borderId="11" xfId="28" applyNumberFormat="1" applyFont="1" applyFill="1" applyBorder="1"/>
    <xf numFmtId="41" fontId="3" fillId="27" borderId="21" xfId="28" applyNumberFormat="1" applyFont="1" applyFill="1" applyBorder="1"/>
    <xf numFmtId="41" fontId="3" fillId="27" borderId="9" xfId="28" applyNumberFormat="1" applyFont="1" applyFill="1" applyBorder="1"/>
    <xf numFmtId="42" fontId="5" fillId="0" borderId="22" xfId="28" applyNumberFormat="1" applyFont="1" applyFill="1" applyBorder="1" applyAlignment="1">
      <alignment horizontal="center"/>
    </xf>
    <xf numFmtId="42" fontId="3" fillId="27" borderId="21" xfId="28" applyNumberFormat="1" applyFont="1" applyFill="1" applyBorder="1"/>
    <xf numFmtId="42" fontId="3" fillId="27" borderId="9" xfId="28" applyNumberFormat="1" applyFont="1" applyFill="1" applyBorder="1"/>
    <xf numFmtId="0" fontId="3" fillId="27" borderId="0" xfId="42" applyFont="1" applyFill="1" applyAlignment="1">
      <alignment horizontal="center"/>
    </xf>
    <xf numFmtId="42" fontId="3" fillId="27" borderId="27" xfId="42" applyNumberFormat="1" applyFont="1" applyFill="1" applyBorder="1"/>
    <xf numFmtId="0" fontId="5" fillId="27" borderId="28" xfId="42" applyFont="1" applyFill="1" applyBorder="1" applyAlignment="1">
      <alignment horizontal="center"/>
    </xf>
    <xf numFmtId="42" fontId="3" fillId="27" borderId="19" xfId="28" applyNumberFormat="1" applyFont="1" applyFill="1" applyBorder="1"/>
    <xf numFmtId="42" fontId="3" fillId="27" borderId="26" xfId="28" applyNumberFormat="1" applyFont="1" applyFill="1" applyBorder="1"/>
    <xf numFmtId="41" fontId="3" fillId="27" borderId="20" xfId="28" applyNumberFormat="1" applyFont="1" applyFill="1" applyBorder="1"/>
    <xf numFmtId="42" fontId="3" fillId="0" borderId="10" xfId="28" applyNumberFormat="1" applyFont="1" applyFill="1" applyBorder="1"/>
    <xf numFmtId="44" fontId="4" fillId="0" borderId="0" xfId="0" applyNumberFormat="1" applyFont="1" applyFill="1"/>
    <xf numFmtId="0" fontId="5" fillId="27" borderId="0" xfId="42" applyFont="1" applyFill="1" applyAlignment="1">
      <alignment horizontal="center"/>
    </xf>
    <xf numFmtId="0" fontId="5" fillId="0" borderId="0" xfId="42" applyFont="1" applyAlignment="1">
      <alignment horizontal="center" wrapText="1"/>
    </xf>
    <xf numFmtId="4" fontId="3" fillId="0" borderId="0" xfId="28" applyNumberFormat="1"/>
    <xf numFmtId="4" fontId="3" fillId="0" borderId="9" xfId="28" applyNumberFormat="1" applyBorder="1"/>
    <xf numFmtId="4" fontId="5" fillId="0" borderId="13" xfId="42" applyNumberFormat="1" applyFont="1" applyBorder="1"/>
    <xf numFmtId="0" fontId="20" fillId="29" borderId="9" xfId="42" quotePrefix="1" applyFont="1" applyFill="1" applyBorder="1" applyAlignment="1">
      <alignment horizontal="center" wrapText="1"/>
    </xf>
    <xf numFmtId="42" fontId="3" fillId="29" borderId="0" xfId="28" applyNumberFormat="1" applyFill="1"/>
    <xf numFmtId="41" fontId="3" fillId="29" borderId="0" xfId="28" applyNumberFormat="1" applyFill="1"/>
    <xf numFmtId="41" fontId="3" fillId="29" borderId="9" xfId="28" applyNumberFormat="1" applyFill="1" applyBorder="1"/>
    <xf numFmtId="42" fontId="5" fillId="29" borderId="13" xfId="28" applyNumberFormat="1" applyFont="1" applyFill="1" applyBorder="1"/>
    <xf numFmtId="0" fontId="3" fillId="29" borderId="0" xfId="42" applyFill="1"/>
    <xf numFmtId="0" fontId="5" fillId="0" borderId="9" xfId="0" applyFont="1" applyBorder="1" applyAlignment="1">
      <alignment horizontal="center" wrapText="1"/>
    </xf>
    <xf numFmtId="10" fontId="3" fillId="0" borderId="0" xfId="58" applyNumberFormat="1" applyFont="1"/>
    <xf numFmtId="41" fontId="3" fillId="0" borderId="0" xfId="74" applyNumberFormat="1" applyFont="1"/>
    <xf numFmtId="10" fontId="3" fillId="0" borderId="13" xfId="58" applyNumberFormat="1" applyFont="1" applyBorder="1"/>
    <xf numFmtId="0" fontId="3" fillId="27" borderId="18" xfId="42" applyFont="1" applyFill="1" applyBorder="1" applyAlignment="1">
      <alignment wrapText="1"/>
    </xf>
    <xf numFmtId="37" fontId="3" fillId="0" borderId="0" xfId="28" applyNumberFormat="1"/>
    <xf numFmtId="3" fontId="0" fillId="0" borderId="0" xfId="0" applyNumberFormat="1" applyAlignment="1">
      <alignment horizontal="right" vertical="top" wrapText="1"/>
    </xf>
    <xf numFmtId="0" fontId="0" fillId="0" borderId="0" xfId="0" applyAlignment="1">
      <alignment horizontal="right" vertical="top" wrapText="1"/>
    </xf>
    <xf numFmtId="37" fontId="5" fillId="0" borderId="13" xfId="42" applyNumberFormat="1" applyFont="1" applyBorder="1"/>
    <xf numFmtId="0" fontId="3" fillId="0" borderId="13" xfId="42" applyFont="1" applyFill="1" applyBorder="1"/>
    <xf numFmtId="42" fontId="3" fillId="0" borderId="13" xfId="42" applyNumberFormat="1" applyFont="1" applyFill="1" applyBorder="1"/>
    <xf numFmtId="169" fontId="3" fillId="29" borderId="0" xfId="42" applyNumberFormat="1" applyFont="1" applyFill="1" applyAlignment="1">
      <alignment horizontal="center"/>
    </xf>
    <xf numFmtId="169" fontId="3" fillId="29" borderId="0" xfId="42" applyNumberFormat="1" applyFont="1" applyFill="1"/>
    <xf numFmtId="0" fontId="3" fillId="30" borderId="0" xfId="0" applyFont="1" applyFill="1"/>
    <xf numFmtId="0" fontId="3" fillId="0" borderId="0" xfId="0" applyFont="1" applyFill="1"/>
    <xf numFmtId="0" fontId="3" fillId="0" borderId="0" xfId="0" applyFont="1" applyFill="1" applyAlignment="1">
      <alignment horizontal="center"/>
    </xf>
    <xf numFmtId="0" fontId="3" fillId="0" borderId="0" xfId="0" applyFont="1" applyAlignment="1">
      <alignment horizontal="center"/>
    </xf>
    <xf numFmtId="0" fontId="3" fillId="0" borderId="0" xfId="0" applyFont="1"/>
    <xf numFmtId="0" fontId="3" fillId="0" borderId="0" xfId="0" applyFont="1" applyFill="1" applyBorder="1" applyAlignment="1">
      <alignment horizontal="center"/>
    </xf>
    <xf numFmtId="0" fontId="3" fillId="0" borderId="0" xfId="0" applyFont="1" applyFill="1" applyBorder="1"/>
    <xf numFmtId="0" fontId="5" fillId="29" borderId="0" xfId="0" applyFont="1" applyFill="1" applyBorder="1" applyAlignment="1">
      <alignment horizontal="center"/>
    </xf>
    <xf numFmtId="0" fontId="3" fillId="29" borderId="0" xfId="0" applyFont="1" applyFill="1" applyBorder="1"/>
    <xf numFmtId="0" fontId="5" fillId="29" borderId="0" xfId="0" applyFont="1" applyFill="1" applyBorder="1" applyAlignment="1">
      <alignment horizontal="center" wrapText="1"/>
    </xf>
    <xf numFmtId="38" fontId="3" fillId="0" borderId="0" xfId="0" applyNumberFormat="1" applyFont="1" applyFill="1" applyBorder="1"/>
    <xf numFmtId="38" fontId="3" fillId="29" borderId="0" xfId="0" applyNumberFormat="1" applyFont="1" applyFill="1" applyBorder="1"/>
    <xf numFmtId="0" fontId="3" fillId="29" borderId="0" xfId="0" applyFont="1" applyFill="1" applyBorder="1" applyAlignment="1"/>
    <xf numFmtId="38" fontId="3" fillId="0" borderId="0" xfId="0" applyNumberFormat="1" applyFont="1" applyFill="1"/>
    <xf numFmtId="0" fontId="7" fillId="29" borderId="0" xfId="0" applyFont="1" applyFill="1" applyBorder="1" applyAlignment="1">
      <alignment horizontal="center"/>
    </xf>
    <xf numFmtId="39" fontId="5" fillId="0" borderId="0" xfId="43" applyNumberFormat="1" applyFont="1" applyFill="1" applyBorder="1" applyProtection="1"/>
    <xf numFmtId="0" fontId="3" fillId="0" borderId="0" xfId="0" applyFont="1" applyBorder="1"/>
    <xf numFmtId="0" fontId="42" fillId="0" borderId="0" xfId="0" applyFont="1" applyBorder="1" applyAlignment="1">
      <alignment horizontal="center"/>
    </xf>
    <xf numFmtId="0" fontId="5" fillId="0" borderId="0" xfId="43" applyFont="1" applyFill="1" applyBorder="1"/>
    <xf numFmtId="38" fontId="41" fillId="0" borderId="0" xfId="0" applyNumberFormat="1" applyFont="1" applyFill="1" applyBorder="1" applyAlignment="1">
      <alignment horizontal="center"/>
    </xf>
    <xf numFmtId="0" fontId="42" fillId="0" borderId="0" xfId="0" applyFont="1" applyBorder="1" applyAlignment="1">
      <alignment horizontal="center" wrapText="1"/>
    </xf>
    <xf numFmtId="0" fontId="42" fillId="0" borderId="0" xfId="0" applyFont="1" applyFill="1" applyBorder="1" applyAlignment="1">
      <alignment horizontal="center" wrapText="1"/>
    </xf>
    <xf numFmtId="42" fontId="3" fillId="0" borderId="53" xfId="42" applyNumberFormat="1" applyFont="1" applyFill="1" applyBorder="1"/>
    <xf numFmtId="42" fontId="42" fillId="31" borderId="27" xfId="75" applyNumberFormat="1" applyFont="1" applyFill="1" applyBorder="1"/>
    <xf numFmtId="42" fontId="41" fillId="0" borderId="54" xfId="0" applyNumberFormat="1" applyFont="1" applyBorder="1"/>
    <xf numFmtId="42" fontId="42" fillId="0" borderId="0" xfId="0" applyNumberFormat="1" applyFont="1" applyFill="1" applyBorder="1"/>
    <xf numFmtId="42" fontId="3" fillId="29" borderId="55" xfId="42" applyNumberFormat="1" applyFont="1" applyFill="1" applyBorder="1"/>
    <xf numFmtId="42" fontId="3" fillId="29" borderId="27" xfId="42" applyNumberFormat="1" applyFont="1" applyFill="1" applyBorder="1"/>
    <xf numFmtId="42" fontId="3" fillId="31" borderId="27" xfId="42" applyNumberFormat="1" applyFont="1" applyFill="1" applyBorder="1"/>
    <xf numFmtId="42" fontId="42" fillId="31" borderId="27" xfId="0" applyNumberFormat="1" applyFont="1" applyFill="1" applyBorder="1"/>
    <xf numFmtId="42" fontId="3" fillId="0" borderId="56" xfId="42" applyNumberFormat="1" applyFont="1" applyBorder="1"/>
    <xf numFmtId="42" fontId="42" fillId="0" borderId="0" xfId="0" applyNumberFormat="1" applyFont="1" applyBorder="1"/>
    <xf numFmtId="39" fontId="15" fillId="0" borderId="41" xfId="43" applyNumberFormat="1" applyFont="1" applyFill="1" applyBorder="1" applyProtection="1"/>
    <xf numFmtId="42" fontId="42" fillId="0" borderId="57" xfId="0" applyNumberFormat="1" applyFont="1" applyBorder="1"/>
    <xf numFmtId="41" fontId="42" fillId="31" borderId="44" xfId="75" applyNumberFormat="1" applyFont="1" applyFill="1" applyBorder="1"/>
    <xf numFmtId="41" fontId="41" fillId="0" borderId="45" xfId="0" applyNumberFormat="1" applyFont="1" applyBorder="1"/>
    <xf numFmtId="41" fontId="3" fillId="29" borderId="46" xfId="42" applyNumberFormat="1" applyFont="1" applyFill="1" applyBorder="1"/>
    <xf numFmtId="41" fontId="3" fillId="29" borderId="44" xfId="42" applyNumberFormat="1" applyFont="1" applyFill="1" applyBorder="1"/>
    <xf numFmtId="41" fontId="3" fillId="31" borderId="44" xfId="42" applyNumberFormat="1" applyFont="1" applyFill="1" applyBorder="1"/>
    <xf numFmtId="41" fontId="42" fillId="31" borderId="44" xfId="0" applyNumberFormat="1" applyFont="1" applyFill="1" applyBorder="1"/>
    <xf numFmtId="41" fontId="5" fillId="0" borderId="58" xfId="42" applyNumberFormat="1" applyFont="1" applyFill="1" applyBorder="1"/>
    <xf numFmtId="41" fontId="42" fillId="0" borderId="42" xfId="0" applyNumberFormat="1" applyFont="1" applyBorder="1"/>
    <xf numFmtId="41" fontId="42" fillId="32" borderId="45" xfId="0" applyNumberFormat="1" applyFont="1" applyFill="1" applyBorder="1" applyAlignment="1">
      <alignment horizontal="center"/>
    </xf>
    <xf numFmtId="41" fontId="3" fillId="0" borderId="47" xfId="42" applyNumberFormat="1" applyFont="1" applyBorder="1"/>
    <xf numFmtId="0" fontId="42" fillId="32" borderId="45" xfId="0" applyFont="1" applyFill="1" applyBorder="1" applyAlignment="1">
      <alignment horizontal="center"/>
    </xf>
    <xf numFmtId="0" fontId="42" fillId="0" borderId="0" xfId="0" applyFont="1" applyFill="1" applyBorder="1"/>
    <xf numFmtId="41" fontId="3" fillId="29" borderId="59" xfId="42" applyNumberFormat="1" applyFont="1" applyFill="1" applyBorder="1"/>
    <xf numFmtId="41" fontId="3" fillId="29" borderId="60" xfId="42" applyNumberFormat="1" applyFont="1" applyFill="1" applyBorder="1"/>
    <xf numFmtId="41" fontId="42" fillId="31" borderId="60" xfId="0" applyNumberFormat="1" applyFont="1" applyFill="1" applyBorder="1"/>
    <xf numFmtId="38" fontId="42" fillId="32" borderId="61" xfId="0" applyNumberFormat="1" applyFont="1" applyFill="1" applyBorder="1" applyAlignment="1">
      <alignment horizontal="center"/>
    </xf>
    <xf numFmtId="41" fontId="42" fillId="31" borderId="62" xfId="75" applyNumberFormat="1" applyFont="1" applyFill="1" applyBorder="1"/>
    <xf numFmtId="0" fontId="42" fillId="32" borderId="63" xfId="0" applyFont="1" applyFill="1" applyBorder="1" applyAlignment="1">
      <alignment horizontal="center"/>
    </xf>
    <xf numFmtId="0" fontId="3" fillId="0" borderId="32" xfId="42" applyFont="1" applyBorder="1"/>
    <xf numFmtId="0" fontId="3" fillId="0" borderId="33" xfId="42" applyFont="1" applyBorder="1"/>
    <xf numFmtId="42" fontId="5" fillId="0" borderId="34" xfId="42" applyNumberFormat="1" applyFont="1" applyFill="1" applyBorder="1"/>
    <xf numFmtId="41" fontId="42" fillId="0" borderId="0" xfId="75" applyNumberFormat="1" applyFont="1" applyFill="1"/>
    <xf numFmtId="170" fontId="42" fillId="0" borderId="0" xfId="75" applyNumberFormat="1" applyFont="1" applyFill="1" applyBorder="1"/>
    <xf numFmtId="42" fontId="41" fillId="29" borderId="64" xfId="0" applyNumberFormat="1" applyFont="1" applyFill="1" applyBorder="1"/>
    <xf numFmtId="0" fontId="42" fillId="0" borderId="0" xfId="0" applyFont="1"/>
    <xf numFmtId="0" fontId="42" fillId="32" borderId="0" xfId="0" applyFont="1" applyFill="1" applyBorder="1"/>
    <xf numFmtId="0" fontId="3" fillId="29" borderId="0" xfId="0" applyFont="1" applyFill="1"/>
    <xf numFmtId="42" fontId="42" fillId="0" borderId="0" xfId="0" applyNumberFormat="1" applyFont="1"/>
    <xf numFmtId="38" fontId="42" fillId="0" borderId="0" xfId="0" applyNumberFormat="1" applyFont="1" applyFill="1" applyBorder="1" applyAlignment="1">
      <alignment horizontal="center"/>
    </xf>
    <xf numFmtId="42" fontId="43" fillId="0" borderId="0" xfId="0" applyNumberFormat="1" applyFont="1" applyFill="1" applyBorder="1"/>
    <xf numFmtId="0" fontId="42" fillId="0" borderId="0" xfId="0" applyFont="1" applyAlignment="1">
      <alignment horizontal="right"/>
    </xf>
    <xf numFmtId="42" fontId="41" fillId="0" borderId="65" xfId="0" applyNumberFormat="1" applyFont="1" applyBorder="1"/>
    <xf numFmtId="44" fontId="42" fillId="0" borderId="65" xfId="0" applyNumberFormat="1" applyFont="1" applyBorder="1"/>
    <xf numFmtId="41" fontId="3" fillId="0" borderId="0" xfId="0" applyNumberFormat="1" applyFont="1" applyBorder="1"/>
    <xf numFmtId="37" fontId="5" fillId="0" borderId="0" xfId="0" applyNumberFormat="1" applyFont="1" applyFill="1" applyBorder="1"/>
    <xf numFmtId="41" fontId="3" fillId="0" borderId="0" xfId="0" applyNumberFormat="1" applyFont="1" applyFill="1" applyBorder="1"/>
    <xf numFmtId="42" fontId="3" fillId="0" borderId="0" xfId="0" applyNumberFormat="1" applyFont="1"/>
    <xf numFmtId="37" fontId="3" fillId="0" borderId="0" xfId="0" applyNumberFormat="1" applyFont="1" applyFill="1" applyBorder="1"/>
    <xf numFmtId="0" fontId="42" fillId="0" borderId="0" xfId="0" applyFont="1" applyBorder="1"/>
    <xf numFmtId="41" fontId="42" fillId="0" borderId="0" xfId="0" applyNumberFormat="1" applyFont="1"/>
    <xf numFmtId="42" fontId="3" fillId="0" borderId="0" xfId="0" applyNumberFormat="1" applyFont="1" applyBorder="1"/>
    <xf numFmtId="38" fontId="3" fillId="0" borderId="0" xfId="0" applyNumberFormat="1" applyFont="1"/>
    <xf numFmtId="0" fontId="3" fillId="0" borderId="0" xfId="0" applyFont="1" applyAlignment="1"/>
    <xf numFmtId="0" fontId="3" fillId="0" borderId="0" xfId="0" applyFont="1" applyFill="1" applyAlignment="1"/>
    <xf numFmtId="38" fontId="3" fillId="0" borderId="0" xfId="42" applyNumberFormat="1" applyFont="1" applyFill="1" applyAlignment="1"/>
    <xf numFmtId="38" fontId="3" fillId="0" borderId="0" xfId="42" applyNumberFormat="1" applyFont="1" applyFill="1" applyBorder="1"/>
    <xf numFmtId="4" fontId="5" fillId="25" borderId="0" xfId="42" applyNumberFormat="1" applyFont="1" applyFill="1"/>
    <xf numFmtId="43" fontId="5" fillId="0" borderId="13" xfId="42" applyNumberFormat="1" applyFont="1" applyBorder="1"/>
    <xf numFmtId="41" fontId="3" fillId="0" borderId="18" xfId="0" applyNumberFormat="1" applyFont="1" applyFill="1" applyBorder="1"/>
    <xf numFmtId="0" fontId="3" fillId="29" borderId="0" xfId="42" applyFill="1" applyAlignment="1">
      <alignment horizontal="center"/>
    </xf>
    <xf numFmtId="0" fontId="3" fillId="0" borderId="0" xfId="42" applyFont="1" applyBorder="1"/>
    <xf numFmtId="42" fontId="5" fillId="0" borderId="0" xfId="42" applyNumberFormat="1" applyFont="1" applyFill="1" applyBorder="1"/>
    <xf numFmtId="42" fontId="3" fillId="0" borderId="43" xfId="42" applyNumberFormat="1" applyFont="1" applyFill="1" applyBorder="1" applyAlignment="1">
      <alignment horizontal="center" wrapText="1"/>
    </xf>
    <xf numFmtId="42" fontId="42" fillId="0" borderId="44" xfId="0" applyNumberFormat="1" applyFont="1" applyBorder="1" applyAlignment="1">
      <alignment horizontal="center" wrapText="1"/>
    </xf>
    <xf numFmtId="42" fontId="42" fillId="0" borderId="45" xfId="0" applyNumberFormat="1" applyFont="1" applyBorder="1" applyAlignment="1">
      <alignment horizontal="center" wrapText="1"/>
    </xf>
    <xf numFmtId="42" fontId="3" fillId="0" borderId="46" xfId="42" applyNumberFormat="1" applyFont="1" applyBorder="1" applyAlignment="1">
      <alignment horizontal="center" wrapText="1"/>
    </xf>
    <xf numFmtId="42" fontId="3" fillId="0" borderId="44" xfId="42" applyNumberFormat="1" applyFont="1" applyBorder="1" applyAlignment="1">
      <alignment horizontal="center" wrapText="1"/>
    </xf>
    <xf numFmtId="42" fontId="42" fillId="0" borderId="47" xfId="0" applyNumberFormat="1" applyFont="1" applyBorder="1" applyAlignment="1">
      <alignment horizontal="center" wrapText="1"/>
    </xf>
    <xf numFmtId="42" fontId="0" fillId="0" borderId="0" xfId="0" applyNumberFormat="1"/>
    <xf numFmtId="171" fontId="3" fillId="29" borderId="0" xfId="28" applyNumberFormat="1" applyFill="1"/>
    <xf numFmtId="43" fontId="3" fillId="27" borderId="0" xfId="28" applyFill="1"/>
    <xf numFmtId="0" fontId="5" fillId="27" borderId="0" xfId="42" applyFont="1" applyFill="1" applyAlignment="1">
      <alignment horizontal="center"/>
    </xf>
    <xf numFmtId="43" fontId="3" fillId="29" borderId="0" xfId="28" applyFill="1"/>
    <xf numFmtId="0" fontId="5" fillId="0" borderId="0" xfId="0" applyFont="1" applyAlignment="1">
      <alignment horizontal="center" wrapText="1"/>
    </xf>
    <xf numFmtId="0" fontId="0" fillId="24" borderId="0" xfId="0" applyFill="1"/>
    <xf numFmtId="0" fontId="0" fillId="24" borderId="0" xfId="0" applyFont="1" applyFill="1"/>
    <xf numFmtId="41" fontId="0" fillId="0" borderId="0" xfId="0" applyNumberFormat="1"/>
    <xf numFmtId="41" fontId="0" fillId="0" borderId="9" xfId="0" applyNumberFormat="1" applyBorder="1"/>
    <xf numFmtId="42" fontId="5" fillId="0" borderId="13" xfId="0" applyNumberFormat="1" applyFont="1" applyBorder="1"/>
    <xf numFmtId="38" fontId="42" fillId="32" borderId="0" xfId="0" applyNumberFormat="1" applyFont="1" applyFill="1" applyBorder="1" applyAlignment="1">
      <alignment horizontal="center"/>
    </xf>
    <xf numFmtId="170" fontId="42" fillId="31" borderId="0" xfId="75" applyNumberFormat="1" applyFont="1" applyFill="1" applyBorder="1"/>
    <xf numFmtId="42" fontId="42" fillId="32" borderId="66" xfId="0" applyNumberFormat="1" applyFont="1" applyFill="1" applyBorder="1" applyAlignment="1">
      <alignment horizontal="center"/>
    </xf>
    <xf numFmtId="0" fontId="3" fillId="0" borderId="17" xfId="0" applyFont="1" applyFill="1" applyBorder="1" applyAlignment="1"/>
    <xf numFmtId="0" fontId="3" fillId="0" borderId="0" xfId="0" applyFont="1" applyFill="1" applyBorder="1" applyAlignment="1"/>
    <xf numFmtId="0" fontId="3" fillId="0" borderId="0" xfId="0" applyFont="1" applyFill="1" applyAlignment="1">
      <alignment wrapText="1"/>
    </xf>
    <xf numFmtId="4" fontId="3" fillId="0" borderId="0" xfId="42" applyNumberFormat="1" applyFont="1"/>
    <xf numFmtId="4" fontId="3" fillId="0" borderId="0" xfId="42" applyNumberFormat="1" applyFont="1" applyFill="1" applyBorder="1"/>
    <xf numFmtId="0" fontId="5" fillId="0" borderId="0" xfId="0" applyFont="1" applyAlignment="1">
      <alignment horizontal="center"/>
    </xf>
    <xf numFmtId="41" fontId="3" fillId="28" borderId="0" xfId="0" applyNumberFormat="1" applyFont="1" applyFill="1"/>
    <xf numFmtId="41" fontId="3" fillId="0" borderId="0" xfId="0" applyNumberFormat="1" applyFont="1" applyFill="1"/>
    <xf numFmtId="41" fontId="3" fillId="0" borderId="8" xfId="0" applyNumberFormat="1" applyFont="1" applyFill="1" applyBorder="1"/>
    <xf numFmtId="41" fontId="3" fillId="28" borderId="8" xfId="0" applyNumberFormat="1" applyFont="1" applyFill="1" applyBorder="1"/>
    <xf numFmtId="41" fontId="3" fillId="27" borderId="0" xfId="0" applyNumberFormat="1" applyFont="1" applyFill="1"/>
    <xf numFmtId="41" fontId="3" fillId="0" borderId="9" xfId="0" applyNumberFormat="1" applyFont="1" applyFill="1" applyBorder="1"/>
    <xf numFmtId="41" fontId="3" fillId="28" borderId="9" xfId="0" applyNumberFormat="1" applyFont="1" applyFill="1" applyBorder="1"/>
    <xf numFmtId="41" fontId="5" fillId="29" borderId="0" xfId="0" applyNumberFormat="1" applyFont="1" applyFill="1" applyAlignment="1">
      <alignment horizontal="center" wrapText="1"/>
    </xf>
    <xf numFmtId="41" fontId="4" fillId="29" borderId="13" xfId="0" applyNumberFormat="1" applyFont="1" applyFill="1" applyBorder="1"/>
    <xf numFmtId="41" fontId="4" fillId="29" borderId="0" xfId="0" applyNumberFormat="1" applyFont="1" applyFill="1"/>
    <xf numFmtId="41" fontId="3" fillId="0" borderId="8" xfId="28" applyNumberFormat="1" applyFont="1" applyFill="1" applyBorder="1"/>
    <xf numFmtId="41" fontId="3" fillId="0" borderId="0" xfId="28" applyNumberFormat="1" applyFont="1" applyFill="1" applyAlignment="1">
      <alignment horizontal="right"/>
    </xf>
    <xf numFmtId="41" fontId="3" fillId="0" borderId="8" xfId="42" applyNumberFormat="1" applyFont="1" applyFill="1" applyBorder="1"/>
    <xf numFmtId="41" fontId="5" fillId="0" borderId="9" xfId="28" applyNumberFormat="1" applyFont="1" applyFill="1" applyBorder="1" applyAlignment="1"/>
    <xf numFmtId="41" fontId="5" fillId="25" borderId="0" xfId="42" applyNumberFormat="1" applyFont="1" applyFill="1"/>
    <xf numFmtId="41" fontId="5" fillId="0" borderId="8" xfId="28" applyNumberFormat="1" applyFont="1" applyFill="1" applyBorder="1"/>
    <xf numFmtId="41" fontId="5" fillId="25" borderId="13" xfId="28" applyNumberFormat="1" applyFont="1" applyFill="1" applyBorder="1"/>
    <xf numFmtId="41" fontId="3" fillId="0" borderId="0" xfId="42" applyNumberFormat="1" applyFont="1" applyFill="1" applyAlignment="1">
      <alignment horizontal="center"/>
    </xf>
    <xf numFmtId="41" fontId="3" fillId="29" borderId="0" xfId="0" applyNumberFormat="1" applyFont="1" applyFill="1"/>
    <xf numFmtId="41" fontId="3" fillId="27" borderId="23" xfId="28" applyNumberFormat="1" applyFont="1" applyFill="1" applyBorder="1"/>
    <xf numFmtId="0" fontId="5" fillId="27" borderId="0" xfId="42" applyFont="1" applyFill="1" applyAlignment="1">
      <alignment horizontal="center"/>
    </xf>
    <xf numFmtId="0" fontId="45" fillId="0" borderId="0" xfId="0" applyFont="1" applyAlignment="1">
      <alignment horizontal="left" readingOrder="1"/>
    </xf>
    <xf numFmtId="0" fontId="7" fillId="0" borderId="0" xfId="42" applyFont="1" applyBorder="1" applyAlignment="1">
      <alignment horizontal="center"/>
    </xf>
    <xf numFmtId="41" fontId="3" fillId="29" borderId="0" xfId="0" applyNumberFormat="1" applyFont="1" applyFill="1" applyAlignment="1">
      <alignment horizontal="left" wrapText="1"/>
    </xf>
    <xf numFmtId="37" fontId="3" fillId="29" borderId="0" xfId="0" applyNumberFormat="1" applyFont="1" applyFill="1" applyAlignment="1">
      <alignment horizontal="center"/>
    </xf>
    <xf numFmtId="41" fontId="3" fillId="29" borderId="0" xfId="0" applyNumberFormat="1" applyFont="1" applyFill="1" applyBorder="1"/>
    <xf numFmtId="37" fontId="3" fillId="29" borderId="9" xfId="0" applyNumberFormat="1" applyFont="1" applyFill="1" applyBorder="1"/>
    <xf numFmtId="41" fontId="3" fillId="29" borderId="13" xfId="0" applyNumberFormat="1" applyFont="1" applyFill="1" applyBorder="1"/>
    <xf numFmtId="37" fontId="3" fillId="29" borderId="18" xfId="0" applyNumberFormat="1" applyFont="1" applyFill="1" applyBorder="1"/>
    <xf numFmtId="37" fontId="3" fillId="29" borderId="0" xfId="0" applyNumberFormat="1" applyFont="1" applyFill="1" applyBorder="1"/>
    <xf numFmtId="37" fontId="3" fillId="29" borderId="8" xfId="0" applyNumberFormat="1" applyFont="1" applyFill="1" applyBorder="1"/>
    <xf numFmtId="37" fontId="4" fillId="34" borderId="0" xfId="0" applyNumberFormat="1" applyFont="1" applyFill="1" applyAlignment="1">
      <alignment horizontal="center"/>
    </xf>
    <xf numFmtId="37" fontId="3" fillId="34" borderId="0" xfId="0" applyNumberFormat="1" applyFont="1" applyFill="1" applyAlignment="1">
      <alignment horizontal="center"/>
    </xf>
    <xf numFmtId="37" fontId="3" fillId="34" borderId="0" xfId="0" applyNumberFormat="1" applyFont="1" applyFill="1"/>
    <xf numFmtId="37" fontId="3" fillId="0" borderId="0" xfId="42" applyNumberFormat="1" applyFont="1" applyFill="1" applyAlignment="1">
      <alignment horizontal="center"/>
    </xf>
    <xf numFmtId="37" fontId="3" fillId="27" borderId="0" xfId="42" applyNumberFormat="1" applyFont="1" applyFill="1"/>
    <xf numFmtId="38" fontId="0" fillId="24" borderId="0" xfId="0" applyNumberFormat="1" applyFill="1"/>
    <xf numFmtId="49" fontId="3" fillId="29" borderId="0" xfId="0" applyNumberFormat="1" applyFont="1" applyFill="1"/>
    <xf numFmtId="39" fontId="15" fillId="0" borderId="67" xfId="43" applyNumberFormat="1" applyFont="1" applyFill="1" applyBorder="1" applyAlignment="1" applyProtection="1">
      <alignment horizontal="left"/>
    </xf>
    <xf numFmtId="41" fontId="42" fillId="29" borderId="68" xfId="0" applyNumberFormat="1" applyFont="1" applyFill="1" applyBorder="1"/>
    <xf numFmtId="0" fontId="41" fillId="0" borderId="0" xfId="0" applyFont="1" applyAlignment="1">
      <alignment horizontal="center"/>
    </xf>
    <xf numFmtId="44" fontId="46" fillId="0" borderId="0" xfId="0" applyNumberFormat="1" applyFont="1" applyAlignment="1">
      <alignment horizontal="center"/>
    </xf>
    <xf numFmtId="0" fontId="3" fillId="0" borderId="73" xfId="0" applyFont="1" applyBorder="1"/>
    <xf numFmtId="0" fontId="3" fillId="0" borderId="74" xfId="0" applyFont="1" applyBorder="1" applyAlignment="1">
      <alignment horizontal="left"/>
    </xf>
    <xf numFmtId="0" fontId="3" fillId="0" borderId="0" xfId="0" applyFont="1" applyBorder="1" applyAlignment="1">
      <alignment horizontal="left"/>
    </xf>
    <xf numFmtId="0" fontId="3" fillId="0" borderId="74" xfId="0" applyFont="1" applyBorder="1"/>
    <xf numFmtId="0" fontId="3" fillId="0" borderId="75" xfId="0" applyFont="1" applyBorder="1" applyAlignment="1">
      <alignment horizontal="left"/>
    </xf>
    <xf numFmtId="0" fontId="3" fillId="0" borderId="76" xfId="0" applyFont="1" applyBorder="1" applyAlignment="1">
      <alignment horizontal="left"/>
    </xf>
    <xf numFmtId="42" fontId="3" fillId="0" borderId="77" xfId="0" applyNumberFormat="1" applyFont="1" applyBorder="1"/>
    <xf numFmtId="0" fontId="5" fillId="0" borderId="72" xfId="0" applyFont="1" applyBorder="1" applyAlignment="1"/>
    <xf numFmtId="0" fontId="3" fillId="0" borderId="73" xfId="0" applyFont="1" applyBorder="1" applyAlignment="1"/>
    <xf numFmtId="0" fontId="3" fillId="0" borderId="20" xfId="0" applyFont="1" applyBorder="1"/>
    <xf numFmtId="42" fontId="3" fillId="0" borderId="0" xfId="0" applyNumberFormat="1" applyFont="1" applyBorder="1" applyAlignment="1"/>
    <xf numFmtId="42" fontId="3" fillId="0" borderId="24" xfId="0" applyNumberFormat="1" applyFont="1" applyBorder="1"/>
    <xf numFmtId="0" fontId="3" fillId="0" borderId="24" xfId="0" applyFont="1" applyBorder="1"/>
    <xf numFmtId="41" fontId="3" fillId="0" borderId="0" xfId="0" applyNumberFormat="1" applyFont="1" applyBorder="1" applyAlignment="1"/>
    <xf numFmtId="0" fontId="3" fillId="0" borderId="22" xfId="0" applyFont="1" applyBorder="1"/>
    <xf numFmtId="41" fontId="3" fillId="0" borderId="0" xfId="0" applyNumberFormat="1" applyFont="1"/>
    <xf numFmtId="41" fontId="3" fillId="0" borderId="9" xfId="0" applyNumberFormat="1" applyFont="1" applyBorder="1"/>
    <xf numFmtId="0" fontId="3" fillId="0" borderId="78" xfId="0" applyFont="1" applyBorder="1"/>
    <xf numFmtId="0" fontId="3" fillId="0" borderId="8" xfId="0" applyFont="1" applyBorder="1"/>
    <xf numFmtId="42" fontId="3" fillId="0" borderId="8" xfId="0" applyNumberFormat="1" applyFont="1" applyBorder="1"/>
    <xf numFmtId="0" fontId="5" fillId="0" borderId="74" xfId="0" applyFont="1" applyBorder="1"/>
    <xf numFmtId="0" fontId="3" fillId="0" borderId="80" xfId="0" applyFont="1" applyBorder="1" applyAlignment="1">
      <alignment horizontal="left"/>
    </xf>
    <xf numFmtId="0" fontId="3" fillId="0" borderId="9" xfId="0" applyFont="1" applyBorder="1" applyAlignment="1">
      <alignment horizontal="left"/>
    </xf>
    <xf numFmtId="38" fontId="41" fillId="0" borderId="0" xfId="0" applyNumberFormat="1" applyFont="1" applyFill="1" applyBorder="1" applyAlignment="1"/>
    <xf numFmtId="42" fontId="42" fillId="32" borderId="19" xfId="75" applyNumberFormat="1" applyFont="1" applyFill="1" applyBorder="1" applyAlignment="1">
      <alignment horizontal="center"/>
    </xf>
    <xf numFmtId="42" fontId="42" fillId="29" borderId="0" xfId="75" applyNumberFormat="1" applyFont="1" applyFill="1" applyBorder="1"/>
    <xf numFmtId="41" fontId="3" fillId="0" borderId="43" xfId="42" applyNumberFormat="1" applyFont="1" applyFill="1" applyBorder="1"/>
    <xf numFmtId="41" fontId="42" fillId="32" borderId="23" xfId="75" applyNumberFormat="1" applyFont="1" applyFill="1" applyBorder="1" applyAlignment="1">
      <alignment horizontal="center"/>
    </xf>
    <xf numFmtId="41" fontId="42" fillId="29" borderId="0" xfId="75" applyNumberFormat="1" applyFont="1" applyFill="1" applyBorder="1"/>
    <xf numFmtId="41" fontId="42" fillId="31" borderId="23" xfId="75" applyNumberFormat="1" applyFont="1" applyFill="1" applyBorder="1"/>
    <xf numFmtId="41" fontId="42" fillId="32" borderId="87" xfId="75" applyNumberFormat="1" applyFont="1" applyFill="1" applyBorder="1" applyAlignment="1">
      <alignment horizontal="center"/>
    </xf>
    <xf numFmtId="41" fontId="42" fillId="29" borderId="44" xfId="75" applyNumberFormat="1" applyFont="1" applyFill="1" applyBorder="1" applyAlignment="1">
      <alignment horizontal="center"/>
    </xf>
    <xf numFmtId="41" fontId="42" fillId="29" borderId="88" xfId="75" applyNumberFormat="1" applyFont="1" applyFill="1" applyBorder="1" applyAlignment="1">
      <alignment horizontal="center"/>
    </xf>
    <xf numFmtId="39" fontId="15" fillId="29" borderId="0" xfId="43" applyNumberFormat="1" applyFont="1" applyFill="1" applyBorder="1" applyProtection="1"/>
    <xf numFmtId="42" fontId="42" fillId="29" borderId="0" xfId="0" applyNumberFormat="1" applyFont="1" applyFill="1" applyBorder="1"/>
    <xf numFmtId="41" fontId="42" fillId="29" borderId="0" xfId="0" applyNumberFormat="1" applyFont="1" applyFill="1" applyBorder="1"/>
    <xf numFmtId="44" fontId="47" fillId="0" borderId="0" xfId="0" applyNumberFormat="1" applyFont="1"/>
    <xf numFmtId="39" fontId="15" fillId="29" borderId="0" xfId="43" applyNumberFormat="1" applyFont="1" applyFill="1" applyBorder="1" applyAlignment="1" applyProtection="1">
      <alignment horizontal="left"/>
    </xf>
    <xf numFmtId="0" fontId="42" fillId="29" borderId="0" xfId="0" applyFont="1" applyFill="1" applyBorder="1"/>
    <xf numFmtId="42" fontId="41" fillId="29" borderId="0" xfId="0" applyNumberFormat="1" applyFont="1" applyFill="1" applyBorder="1"/>
    <xf numFmtId="44" fontId="42" fillId="29" borderId="0" xfId="0" applyNumberFormat="1" applyFont="1" applyFill="1" applyBorder="1"/>
    <xf numFmtId="0" fontId="42" fillId="0" borderId="23" xfId="0" applyFont="1" applyBorder="1" applyAlignment="1">
      <alignment horizontal="center" wrapText="1"/>
    </xf>
    <xf numFmtId="42" fontId="3" fillId="0" borderId="89" xfId="42" applyNumberFormat="1" applyFont="1" applyBorder="1"/>
    <xf numFmtId="41" fontId="5" fillId="0" borderId="89" xfId="42" applyNumberFormat="1" applyFont="1" applyFill="1" applyBorder="1"/>
    <xf numFmtId="41" fontId="3" fillId="29" borderId="0" xfId="42" applyNumberFormat="1" applyFont="1" applyFill="1" applyBorder="1"/>
    <xf numFmtId="41" fontId="3" fillId="31" borderId="0" xfId="42" applyNumberFormat="1" applyFont="1" applyFill="1" applyBorder="1"/>
    <xf numFmtId="41" fontId="42" fillId="31" borderId="90" xfId="0" applyNumberFormat="1" applyFont="1" applyFill="1" applyBorder="1"/>
    <xf numFmtId="41" fontId="3" fillId="0" borderId="89" xfId="42" applyNumberFormat="1" applyFont="1" applyBorder="1"/>
    <xf numFmtId="170" fontId="42" fillId="32" borderId="0" xfId="75" applyNumberFormat="1" applyFont="1" applyFill="1" applyBorder="1" applyAlignment="1">
      <alignment horizontal="center"/>
    </xf>
    <xf numFmtId="0" fontId="5" fillId="0" borderId="19" xfId="42" applyFont="1" applyBorder="1"/>
    <xf numFmtId="0" fontId="3" fillId="0" borderId="26" xfId="42" applyBorder="1"/>
    <xf numFmtId="38" fontId="5" fillId="0" borderId="0" xfId="0" applyNumberFormat="1" applyFont="1" applyAlignment="1">
      <alignment horizontal="left" readingOrder="1"/>
    </xf>
    <xf numFmtId="38" fontId="45" fillId="0" borderId="0" xfId="0" applyNumberFormat="1" applyFont="1" applyAlignment="1">
      <alignment horizontal="left" readingOrder="1"/>
    </xf>
    <xf numFmtId="38" fontId="45" fillId="0" borderId="0" xfId="0" applyNumberFormat="1" applyFont="1" applyAlignment="1">
      <alignment horizontal="left" readingOrder="2"/>
    </xf>
    <xf numFmtId="0" fontId="3" fillId="0" borderId="0" xfId="42" applyAlignment="1"/>
    <xf numFmtId="0" fontId="7" fillId="24" borderId="94" xfId="42" applyFont="1" applyFill="1" applyBorder="1" applyAlignment="1">
      <alignment vertical="top" wrapText="1"/>
    </xf>
    <xf numFmtId="0" fontId="8" fillId="0" borderId="93" xfId="42" applyFont="1" applyBorder="1" applyAlignment="1">
      <alignment vertical="top" wrapText="1"/>
    </xf>
    <xf numFmtId="0" fontId="8" fillId="0" borderId="94" xfId="42" applyFont="1" applyBorder="1" applyAlignment="1">
      <alignment vertical="top" wrapText="1"/>
    </xf>
    <xf numFmtId="0" fontId="8" fillId="0" borderId="93" xfId="42" applyFont="1" applyBorder="1" applyAlignment="1">
      <alignment horizontal="center" vertical="top" wrapText="1"/>
    </xf>
    <xf numFmtId="0" fontId="8" fillId="33" borderId="94" xfId="42" applyFont="1" applyFill="1" applyBorder="1" applyAlignment="1">
      <alignment vertical="top" wrapText="1"/>
    </xf>
    <xf numFmtId="0" fontId="7" fillId="0" borderId="93" xfId="42" applyFont="1" applyBorder="1" applyAlignment="1">
      <alignment vertical="top" wrapText="1"/>
    </xf>
    <xf numFmtId="0" fontId="7" fillId="0" borderId="0" xfId="42" applyFont="1" applyBorder="1" applyAlignment="1">
      <alignment vertical="top" wrapText="1"/>
    </xf>
    <xf numFmtId="0" fontId="8" fillId="0" borderId="0" xfId="42" applyFont="1" applyBorder="1" applyAlignment="1">
      <alignment vertical="top" wrapText="1"/>
    </xf>
    <xf numFmtId="0" fontId="8" fillId="0" borderId="0" xfId="42" applyFont="1" applyBorder="1" applyAlignment="1">
      <alignment horizontal="center" vertical="top" wrapText="1"/>
    </xf>
    <xf numFmtId="0" fontId="8" fillId="24" borderId="93" xfId="42" applyFont="1" applyFill="1" applyBorder="1" applyAlignment="1">
      <alignment vertical="top" wrapText="1"/>
    </xf>
    <xf numFmtId="0" fontId="8" fillId="24" borderId="93" xfId="42" applyFont="1" applyFill="1" applyBorder="1" applyAlignment="1">
      <alignment horizontal="center" vertical="top" wrapText="1"/>
    </xf>
    <xf numFmtId="0" fontId="3" fillId="0" borderId="0" xfId="42" applyAlignment="1">
      <alignment horizontal="center"/>
    </xf>
    <xf numFmtId="0" fontId="3" fillId="0" borderId="0" xfId="42" applyNumberFormat="1" applyAlignment="1">
      <alignment horizontal="center"/>
    </xf>
    <xf numFmtId="38" fontId="5" fillId="29" borderId="0" xfId="0" applyNumberFormat="1" applyFont="1" applyFill="1" applyBorder="1" applyAlignment="1">
      <alignment horizontal="center"/>
    </xf>
    <xf numFmtId="42" fontId="3" fillId="36" borderId="27" xfId="0" applyNumberFormat="1" applyFont="1" applyFill="1" applyBorder="1"/>
    <xf numFmtId="42" fontId="3" fillId="36" borderId="18" xfId="0" applyNumberFormat="1" applyFont="1" applyFill="1" applyBorder="1"/>
    <xf numFmtId="42" fontId="3" fillId="29" borderId="0" xfId="0" applyNumberFormat="1" applyFont="1" applyFill="1" applyBorder="1"/>
    <xf numFmtId="42" fontId="3" fillId="0" borderId="13" xfId="42" applyNumberFormat="1" applyBorder="1"/>
    <xf numFmtId="0" fontId="3" fillId="0" borderId="101" xfId="42" applyFont="1" applyBorder="1"/>
    <xf numFmtId="0" fontId="3" fillId="0" borderId="102" xfId="42" applyBorder="1"/>
    <xf numFmtId="0" fontId="3" fillId="0" borderId="102" xfId="0" applyFont="1" applyBorder="1"/>
    <xf numFmtId="42" fontId="3" fillId="0" borderId="103" xfId="42" applyNumberFormat="1" applyBorder="1" applyAlignment="1">
      <alignment horizontal="center"/>
    </xf>
    <xf numFmtId="0" fontId="3" fillId="0" borderId="104" xfId="42" applyFont="1" applyBorder="1"/>
    <xf numFmtId="42" fontId="3" fillId="0" borderId="105" xfId="42" applyNumberFormat="1" applyBorder="1"/>
    <xf numFmtId="0" fontId="3" fillId="0" borderId="104" xfId="0" applyFont="1" applyBorder="1"/>
    <xf numFmtId="42" fontId="3" fillId="0" borderId="105" xfId="0" applyNumberFormat="1" applyFont="1" applyBorder="1"/>
    <xf numFmtId="0" fontId="3" fillId="0" borderId="104" xfId="42" applyFont="1" applyBorder="1" applyAlignment="1"/>
    <xf numFmtId="0" fontId="3" fillId="0" borderId="104" xfId="42" applyFont="1" applyBorder="1" applyAlignment="1">
      <alignment horizontal="left"/>
    </xf>
    <xf numFmtId="0" fontId="3" fillId="0" borderId="105" xfId="0" applyFont="1" applyBorder="1"/>
    <xf numFmtId="0" fontId="3" fillId="0" borderId="104" xfId="42" applyFont="1" applyFill="1" applyBorder="1" applyAlignment="1"/>
    <xf numFmtId="0" fontId="3" fillId="0" borderId="106" xfId="0" applyFont="1" applyBorder="1"/>
    <xf numFmtId="0" fontId="3" fillId="0" borderId="107" xfId="0" applyFont="1" applyBorder="1"/>
    <xf numFmtId="42" fontId="3" fillId="0" borderId="108" xfId="42" applyNumberFormat="1" applyBorder="1"/>
    <xf numFmtId="0" fontId="5" fillId="0" borderId="19" xfId="0" applyFont="1" applyBorder="1"/>
    <xf numFmtId="0" fontId="3" fillId="0" borderId="26" xfId="0" applyFont="1" applyBorder="1"/>
    <xf numFmtId="0" fontId="0" fillId="0" borderId="23" xfId="0" applyBorder="1"/>
    <xf numFmtId="0" fontId="0" fillId="0" borderId="24" xfId="0" applyBorder="1"/>
    <xf numFmtId="0" fontId="3" fillId="0" borderId="23" xfId="0" applyFont="1" applyBorder="1"/>
    <xf numFmtId="0" fontId="3" fillId="0" borderId="0" xfId="0" applyFont="1" applyBorder="1" applyAlignment="1"/>
    <xf numFmtId="0" fontId="3" fillId="0" borderId="24" xfId="0" applyFont="1" applyBorder="1" applyAlignment="1"/>
    <xf numFmtId="0" fontId="3" fillId="0" borderId="21" xfId="0" applyFont="1" applyBorder="1"/>
    <xf numFmtId="0" fontId="3" fillId="0" borderId="9" xfId="0" applyFont="1" applyBorder="1"/>
    <xf numFmtId="0" fontId="3" fillId="0" borderId="9" xfId="0" applyFont="1" applyBorder="1" applyAlignment="1"/>
    <xf numFmtId="42" fontId="3" fillId="0" borderId="0" xfId="0" applyNumberFormat="1" applyFont="1" applyFill="1"/>
    <xf numFmtId="0" fontId="5" fillId="29" borderId="18" xfId="42" applyFont="1" applyFill="1" applyBorder="1" applyAlignment="1">
      <alignment horizontal="center"/>
    </xf>
    <xf numFmtId="0" fontId="0" fillId="0" borderId="0" xfId="0" applyAlignment="1">
      <alignment horizontal="center"/>
    </xf>
    <xf numFmtId="172" fontId="3" fillId="0" borderId="0" xfId="42" applyNumberFormat="1"/>
    <xf numFmtId="42" fontId="5" fillId="0" borderId="0" xfId="0" applyNumberFormat="1" applyFont="1" applyAlignment="1">
      <alignment horizontal="center"/>
    </xf>
    <xf numFmtId="41" fontId="41" fillId="0" borderId="0" xfId="0" applyNumberFormat="1" applyFont="1" applyAlignment="1">
      <alignment horizontal="center"/>
    </xf>
    <xf numFmtId="41" fontId="3" fillId="28" borderId="44" xfId="0" applyNumberFormat="1" applyFont="1" applyFill="1" applyBorder="1"/>
    <xf numFmtId="41" fontId="3" fillId="28" borderId="62" xfId="0" applyNumberFormat="1" applyFont="1" applyFill="1" applyBorder="1"/>
    <xf numFmtId="42" fontId="3" fillId="28" borderId="27" xfId="0" applyNumberFormat="1" applyFont="1" applyFill="1" applyBorder="1"/>
    <xf numFmtId="41" fontId="3" fillId="28" borderId="79" xfId="0" applyNumberFormat="1" applyFont="1" applyFill="1" applyBorder="1"/>
    <xf numFmtId="0" fontId="50" fillId="0" borderId="0" xfId="42" applyFont="1" applyBorder="1" applyAlignment="1">
      <alignment horizontal="center"/>
    </xf>
    <xf numFmtId="0" fontId="3" fillId="0" borderId="0" xfId="77" applyFont="1"/>
    <xf numFmtId="3" fontId="3" fillId="0" borderId="0" xfId="77" applyNumberFormat="1" applyFont="1"/>
    <xf numFmtId="4" fontId="5" fillId="0" borderId="8" xfId="78" applyNumberFormat="1" applyFont="1" applyBorder="1"/>
    <xf numFmtId="38" fontId="0" fillId="0" borderId="0" xfId="0" applyNumberFormat="1"/>
    <xf numFmtId="42" fontId="0" fillId="0" borderId="0" xfId="0" applyNumberFormat="1" applyAlignment="1">
      <alignment horizontal="center"/>
    </xf>
    <xf numFmtId="37" fontId="3" fillId="27" borderId="0" xfId="42" applyNumberFormat="1" applyFill="1"/>
    <xf numFmtId="0" fontId="54" fillId="0" borderId="0" xfId="0" applyFont="1" applyBorder="1"/>
    <xf numFmtId="0" fontId="50" fillId="0" borderId="0" xfId="0" applyFont="1" applyBorder="1"/>
    <xf numFmtId="0" fontId="37" fillId="0" borderId="0" xfId="0" applyFont="1" applyAlignment="1">
      <alignment vertical="top" wrapText="1"/>
    </xf>
    <xf numFmtId="0" fontId="0" fillId="0" borderId="0" xfId="0" applyAlignment="1">
      <alignment vertical="top" wrapText="1"/>
    </xf>
    <xf numFmtId="0" fontId="37" fillId="0" borderId="0" xfId="42" applyFont="1" applyAlignment="1">
      <alignment horizontal="left" vertical="top" wrapText="1"/>
    </xf>
    <xf numFmtId="0" fontId="20" fillId="0" borderId="0" xfId="0" applyFont="1" applyAlignment="1">
      <alignment horizontal="left" wrapText="1" readingOrder="1"/>
    </xf>
    <xf numFmtId="0" fontId="0" fillId="30" borderId="0" xfId="0" applyFill="1"/>
    <xf numFmtId="0" fontId="5" fillId="27" borderId="0" xfId="42" applyFont="1" applyFill="1" applyAlignment="1">
      <alignment horizontal="center"/>
    </xf>
    <xf numFmtId="44" fontId="46" fillId="0" borderId="0" xfId="0" applyNumberFormat="1" applyFont="1" applyAlignment="1">
      <alignment horizontal="center"/>
    </xf>
    <xf numFmtId="0" fontId="3" fillId="0" borderId="0" xfId="0" applyFont="1" applyBorder="1" applyAlignment="1">
      <alignment horizontal="center"/>
    </xf>
    <xf numFmtId="0" fontId="0" fillId="37" borderId="0" xfId="0" applyFill="1"/>
    <xf numFmtId="0" fontId="3" fillId="38" borderId="10" xfId="0" applyFont="1" applyFill="1" applyBorder="1" applyAlignment="1">
      <alignment horizontal="center" wrapText="1"/>
    </xf>
    <xf numFmtId="0" fontId="3" fillId="0" borderId="8" xfId="0" applyFont="1" applyFill="1" applyBorder="1" applyAlignment="1">
      <alignment horizontal="center" wrapText="1"/>
    </xf>
    <xf numFmtId="0" fontId="3" fillId="0" borderId="11" xfId="0" applyFont="1" applyFill="1" applyBorder="1" applyAlignment="1">
      <alignment horizontal="center" wrapText="1"/>
    </xf>
    <xf numFmtId="0" fontId="3" fillId="29" borderId="8" xfId="0" applyFont="1" applyFill="1" applyBorder="1" applyAlignment="1">
      <alignment horizontal="center" wrapText="1"/>
    </xf>
    <xf numFmtId="41" fontId="3" fillId="28" borderId="18" xfId="0" applyNumberFormat="1" applyFont="1" applyFill="1" applyBorder="1" applyAlignment="1">
      <alignment horizontal="center" wrapText="1"/>
    </xf>
    <xf numFmtId="41" fontId="3" fillId="28" borderId="0" xfId="0" applyNumberFormat="1" applyFont="1" applyFill="1" applyBorder="1" applyAlignment="1">
      <alignment horizontal="center" wrapText="1"/>
    </xf>
    <xf numFmtId="0" fontId="0" fillId="29" borderId="10" xfId="0" applyFill="1" applyBorder="1" applyAlignment="1">
      <alignment horizontal="center"/>
    </xf>
    <xf numFmtId="0" fontId="0" fillId="29" borderId="11" xfId="0" applyFill="1" applyBorder="1" applyAlignment="1">
      <alignment horizontal="center"/>
    </xf>
    <xf numFmtId="0" fontId="3" fillId="0" borderId="18" xfId="0" applyFont="1" applyFill="1" applyBorder="1" applyAlignment="1">
      <alignment horizontal="center" wrapText="1"/>
    </xf>
    <xf numFmtId="0" fontId="3" fillId="29" borderId="11" xfId="0" applyFont="1" applyFill="1" applyBorder="1" applyAlignment="1">
      <alignment horizontal="center" wrapText="1"/>
    </xf>
    <xf numFmtId="49" fontId="0" fillId="0" borderId="0" xfId="0" applyNumberFormat="1" applyAlignment="1">
      <alignment horizontal="center"/>
    </xf>
    <xf numFmtId="0" fontId="3" fillId="0" borderId="0" xfId="0" applyFont="1" applyAlignment="1">
      <alignment horizontal="center" wrapText="1"/>
    </xf>
    <xf numFmtId="0" fontId="3" fillId="38" borderId="0" xfId="0" applyFont="1" applyFill="1" applyAlignment="1">
      <alignment horizontal="center"/>
    </xf>
    <xf numFmtId="0" fontId="3" fillId="29" borderId="0" xfId="0" applyFont="1" applyFill="1" applyAlignment="1">
      <alignment horizontal="center"/>
    </xf>
    <xf numFmtId="0" fontId="0" fillId="31" borderId="0" xfId="0" applyFill="1" applyAlignment="1">
      <alignment horizontal="center"/>
    </xf>
    <xf numFmtId="0" fontId="0" fillId="37" borderId="0" xfId="0" applyFill="1" applyAlignment="1">
      <alignment horizontal="center"/>
    </xf>
    <xf numFmtId="0" fontId="0" fillId="29" borderId="0" xfId="0" applyFill="1" applyAlignment="1">
      <alignment horizontal="center"/>
    </xf>
    <xf numFmtId="0" fontId="0" fillId="38" borderId="0" xfId="0" applyFill="1" applyAlignment="1">
      <alignment horizontal="center"/>
    </xf>
    <xf numFmtId="0" fontId="5" fillId="0" borderId="8" xfId="0" applyFont="1" applyFill="1" applyBorder="1"/>
    <xf numFmtId="0" fontId="3" fillId="0" borderId="109" xfId="0" applyFont="1" applyBorder="1"/>
    <xf numFmtId="0" fontId="3" fillId="0" borderId="23" xfId="0" applyFont="1" applyFill="1" applyBorder="1"/>
    <xf numFmtId="42" fontId="3" fillId="0" borderId="110" xfId="0" applyNumberFormat="1" applyFont="1" applyBorder="1"/>
    <xf numFmtId="0" fontId="3" fillId="0" borderId="110" xfId="0" applyFont="1" applyBorder="1"/>
    <xf numFmtId="0" fontId="3" fillId="29" borderId="8" xfId="42" applyFont="1" applyFill="1" applyBorder="1"/>
    <xf numFmtId="41" fontId="3" fillId="31" borderId="8" xfId="42" applyNumberFormat="1" applyFont="1" applyFill="1" applyBorder="1" applyAlignment="1">
      <alignment horizontal="center"/>
    </xf>
    <xf numFmtId="41" fontId="3" fillId="29" borderId="8" xfId="42" applyNumberFormat="1" applyFont="1" applyFill="1" applyBorder="1" applyAlignment="1">
      <alignment horizontal="center"/>
    </xf>
    <xf numFmtId="0" fontId="3" fillId="29" borderId="0" xfId="42" applyFont="1" applyFill="1" applyBorder="1"/>
    <xf numFmtId="41" fontId="3" fillId="29" borderId="0" xfId="42" applyNumberFormat="1" applyFont="1" applyFill="1" applyBorder="1" applyAlignment="1">
      <alignment horizontal="center"/>
    </xf>
    <xf numFmtId="0" fontId="3" fillId="0" borderId="19" xfId="0" applyFont="1" applyFill="1" applyBorder="1"/>
    <xf numFmtId="0" fontId="3" fillId="0" borderId="26" xfId="0" applyFont="1" applyFill="1" applyBorder="1"/>
    <xf numFmtId="41" fontId="3" fillId="29" borderId="110" xfId="0" applyNumberFormat="1" applyFont="1" applyFill="1" applyBorder="1" applyAlignment="1">
      <alignment horizontal="left"/>
    </xf>
    <xf numFmtId="41" fontId="3" fillId="0" borderId="22" xfId="0" applyNumberFormat="1" applyFont="1" applyBorder="1"/>
    <xf numFmtId="0" fontId="3" fillId="0" borderId="21" xfId="0" applyFont="1" applyFill="1" applyBorder="1"/>
    <xf numFmtId="0" fontId="3" fillId="0" borderId="9" xfId="0" applyFont="1" applyFill="1" applyBorder="1"/>
    <xf numFmtId="42" fontId="3" fillId="0" borderId="22" xfId="0" applyNumberFormat="1" applyFont="1" applyBorder="1"/>
    <xf numFmtId="0" fontId="5" fillId="0" borderId="12" xfId="0" applyFont="1" applyFill="1" applyBorder="1"/>
    <xf numFmtId="41" fontId="3" fillId="0" borderId="111" xfId="0" applyNumberFormat="1" applyFont="1" applyBorder="1"/>
    <xf numFmtId="42" fontId="3" fillId="31" borderId="18" xfId="42" applyNumberFormat="1" applyFont="1" applyFill="1" applyBorder="1"/>
    <xf numFmtId="0" fontId="3" fillId="0" borderId="110" xfId="0" applyFont="1" applyBorder="1" applyAlignment="1">
      <alignment horizontal="left"/>
    </xf>
    <xf numFmtId="0" fontId="5" fillId="0" borderId="21" xfId="0" applyFont="1" applyBorder="1" applyAlignment="1"/>
    <xf numFmtId="0" fontId="3" fillId="0" borderId="9" xfId="0" applyFont="1" applyBorder="1" applyAlignment="1">
      <alignment wrapText="1"/>
    </xf>
    <xf numFmtId="41" fontId="3" fillId="29" borderId="8" xfId="0" applyNumberFormat="1" applyFont="1" applyFill="1" applyBorder="1"/>
    <xf numFmtId="41" fontId="3" fillId="29" borderId="9" xfId="0" applyNumberFormat="1" applyFont="1" applyFill="1" applyBorder="1"/>
    <xf numFmtId="41" fontId="3" fillId="29" borderId="18" xfId="0" applyNumberFormat="1" applyFont="1" applyFill="1" applyBorder="1"/>
    <xf numFmtId="0" fontId="5" fillId="0" borderId="0" xfId="0" applyFont="1" applyFill="1" applyBorder="1"/>
    <xf numFmtId="41" fontId="49" fillId="29" borderId="0" xfId="0" applyNumberFormat="1" applyFont="1" applyFill="1" applyBorder="1" applyAlignment="1">
      <alignment horizontal="center"/>
    </xf>
    <xf numFmtId="41" fontId="4" fillId="29" borderId="0" xfId="0" applyNumberFormat="1" applyFont="1" applyFill="1" applyBorder="1" applyAlignment="1">
      <alignment horizontal="center"/>
    </xf>
    <xf numFmtId="0" fontId="5" fillId="27" borderId="0" xfId="42" applyFont="1" applyFill="1" applyAlignment="1">
      <alignment horizontal="center"/>
    </xf>
    <xf numFmtId="37" fontId="3" fillId="30" borderId="0" xfId="0" applyNumberFormat="1" applyFont="1" applyFill="1"/>
    <xf numFmtId="37" fontId="4" fillId="30" borderId="0" xfId="0" applyNumberFormat="1" applyFont="1" applyFill="1"/>
    <xf numFmtId="42" fontId="5" fillId="0" borderId="8" xfId="0" applyNumberFormat="1" applyFont="1" applyFill="1" applyBorder="1"/>
    <xf numFmtId="42" fontId="5" fillId="0" borderId="0" xfId="0" applyNumberFormat="1" applyFont="1" applyBorder="1"/>
    <xf numFmtId="42" fontId="42" fillId="31" borderId="19" xfId="75" applyNumberFormat="1" applyFont="1" applyFill="1" applyBorder="1"/>
    <xf numFmtId="41" fontId="42" fillId="31" borderId="87" xfId="75" applyNumberFormat="1" applyFont="1" applyFill="1" applyBorder="1"/>
    <xf numFmtId="42" fontId="41" fillId="0" borderId="113" xfId="0" applyNumberFormat="1" applyFont="1" applyBorder="1"/>
    <xf numFmtId="41" fontId="41" fillId="0" borderId="114" xfId="0" applyNumberFormat="1" applyFont="1" applyBorder="1"/>
    <xf numFmtId="41" fontId="42" fillId="32" borderId="114" xfId="0" applyNumberFormat="1" applyFont="1" applyFill="1" applyBorder="1" applyAlignment="1">
      <alignment horizontal="center"/>
    </xf>
    <xf numFmtId="0" fontId="42" fillId="32" borderId="114" xfId="0" applyFont="1" applyFill="1" applyBorder="1" applyAlignment="1">
      <alignment horizontal="center"/>
    </xf>
    <xf numFmtId="0" fontId="42" fillId="32" borderId="66" xfId="0" applyFont="1" applyFill="1" applyBorder="1" applyAlignment="1">
      <alignment horizontal="center"/>
    </xf>
    <xf numFmtId="42" fontId="42" fillId="32" borderId="27" xfId="75" applyNumberFormat="1" applyFont="1" applyFill="1" applyBorder="1" applyAlignment="1">
      <alignment horizontal="center"/>
    </xf>
    <xf numFmtId="42" fontId="42" fillId="32" borderId="44" xfId="75" applyNumberFormat="1" applyFont="1" applyFill="1" applyBorder="1" applyAlignment="1">
      <alignment horizontal="center"/>
    </xf>
    <xf numFmtId="41" fontId="42" fillId="32" borderId="44" xfId="75" applyNumberFormat="1" applyFont="1" applyFill="1" applyBorder="1" applyAlignment="1">
      <alignment horizontal="center"/>
    </xf>
    <xf numFmtId="42" fontId="42" fillId="32" borderId="28" xfId="75" applyNumberFormat="1" applyFont="1" applyFill="1" applyBorder="1" applyAlignment="1">
      <alignment horizontal="center"/>
    </xf>
    <xf numFmtId="0" fontId="42" fillId="30" borderId="0" xfId="0" applyFont="1" applyFill="1" applyBorder="1" applyAlignment="1">
      <alignment horizontal="center" wrapText="1"/>
    </xf>
    <xf numFmtId="0" fontId="42" fillId="29" borderId="0" xfId="0" applyFont="1" applyFill="1" applyBorder="1" applyAlignment="1">
      <alignment horizontal="center" wrapText="1"/>
    </xf>
    <xf numFmtId="0" fontId="0" fillId="39" borderId="0" xfId="0" applyFill="1"/>
    <xf numFmtId="164" fontId="3" fillId="0" borderId="115" xfId="28" applyNumberFormat="1" applyFont="1" applyFill="1" applyBorder="1"/>
    <xf numFmtId="164" fontId="3" fillId="0" borderId="118" xfId="28" applyNumberFormat="1" applyFont="1" applyFill="1" applyBorder="1"/>
    <xf numFmtId="170" fontId="3" fillId="0" borderId="0" xfId="0" applyNumberFormat="1" applyFont="1" applyFill="1"/>
    <xf numFmtId="170" fontId="42" fillId="29" borderId="0" xfId="74" applyNumberFormat="1" applyFont="1" applyFill="1" applyBorder="1" applyAlignment="1">
      <alignment horizontal="right" vertical="top"/>
    </xf>
    <xf numFmtId="0" fontId="3" fillId="0" borderId="0" xfId="0" applyFont="1" applyAlignment="1">
      <alignment wrapText="1"/>
    </xf>
    <xf numFmtId="41" fontId="0" fillId="0" borderId="0" xfId="0" applyNumberFormat="1" applyBorder="1" applyAlignment="1">
      <alignment wrapText="1"/>
    </xf>
    <xf numFmtId="42" fontId="0" fillId="0" borderId="13" xfId="0" applyNumberFormat="1" applyBorder="1" applyAlignment="1">
      <alignment wrapText="1"/>
    </xf>
    <xf numFmtId="0" fontId="3" fillId="0" borderId="117" xfId="0" applyFont="1" applyFill="1" applyBorder="1"/>
    <xf numFmtId="0" fontId="3" fillId="0" borderId="121" xfId="0" applyFont="1" applyFill="1" applyBorder="1" applyAlignment="1">
      <alignment wrapText="1"/>
    </xf>
    <xf numFmtId="42" fontId="5" fillId="0" borderId="122" xfId="0" applyNumberFormat="1" applyFont="1" applyFill="1" applyBorder="1"/>
    <xf numFmtId="42" fontId="0" fillId="0" borderId="0" xfId="0" applyNumberFormat="1" applyAlignment="1">
      <alignment wrapText="1"/>
    </xf>
    <xf numFmtId="0" fontId="3" fillId="30" borderId="0" xfId="0" applyFont="1" applyFill="1" applyAlignment="1">
      <alignment horizontal="center"/>
    </xf>
    <xf numFmtId="0" fontId="3" fillId="40" borderId="0" xfId="42" applyFill="1"/>
    <xf numFmtId="0" fontId="5" fillId="0" borderId="18" xfId="55" applyFont="1" applyBorder="1" applyAlignment="1">
      <alignment horizontal="center" wrapText="1"/>
    </xf>
    <xf numFmtId="0" fontId="5" fillId="29" borderId="18" xfId="55" applyFont="1" applyFill="1" applyBorder="1" applyAlignment="1">
      <alignment horizontal="center"/>
    </xf>
    <xf numFmtId="0" fontId="5" fillId="29" borderId="0" xfId="55" applyFont="1" applyFill="1" applyBorder="1" applyAlignment="1">
      <alignment horizontal="center"/>
    </xf>
    <xf numFmtId="42" fontId="3" fillId="29" borderId="19" xfId="55" applyNumberFormat="1" applyFill="1" applyBorder="1"/>
    <xf numFmtId="42" fontId="3" fillId="29" borderId="26" xfId="55" applyNumberFormat="1" applyFill="1" applyBorder="1"/>
    <xf numFmtId="42" fontId="3" fillId="29" borderId="20" xfId="55" applyNumberFormat="1" applyFill="1" applyBorder="1"/>
    <xf numFmtId="41" fontId="3" fillId="29" borderId="23" xfId="55" applyNumberFormat="1" applyFill="1" applyBorder="1"/>
    <xf numFmtId="41" fontId="3" fillId="29" borderId="0" xfId="55" applyNumberFormat="1" applyFill="1" applyBorder="1"/>
    <xf numFmtId="41" fontId="3" fillId="29" borderId="24" xfId="55" applyNumberFormat="1" applyFill="1" applyBorder="1"/>
    <xf numFmtId="41" fontId="3" fillId="40" borderId="23" xfId="55" applyNumberFormat="1" applyFill="1" applyBorder="1"/>
    <xf numFmtId="41" fontId="3" fillId="40" borderId="0" xfId="55" applyNumberFormat="1" applyFill="1" applyBorder="1"/>
    <xf numFmtId="41" fontId="3" fillId="40" borderId="24" xfId="55" applyNumberFormat="1" applyFill="1" applyBorder="1"/>
    <xf numFmtId="43" fontId="3" fillId="29" borderId="9" xfId="28" applyFill="1" applyBorder="1"/>
    <xf numFmtId="41" fontId="3" fillId="29" borderId="21" xfId="55" applyNumberFormat="1" applyFill="1" applyBorder="1"/>
    <xf numFmtId="41" fontId="3" fillId="29" borderId="9" xfId="55" applyNumberFormat="1" applyFill="1" applyBorder="1"/>
    <xf numFmtId="41" fontId="3" fillId="29" borderId="22" xfId="55" applyNumberFormat="1" applyFill="1" applyBorder="1"/>
    <xf numFmtId="38" fontId="3" fillId="0" borderId="18" xfId="42" applyNumberFormat="1" applyFont="1" applyFill="1" applyBorder="1" applyAlignment="1">
      <alignment horizontal="center" wrapText="1"/>
    </xf>
    <xf numFmtId="38" fontId="3" fillId="0" borderId="28" xfId="42" applyNumberFormat="1" applyFont="1" applyFill="1" applyBorder="1" applyAlignment="1">
      <alignment horizontal="center" wrapText="1"/>
    </xf>
    <xf numFmtId="0" fontId="5" fillId="0" borderId="18" xfId="42" applyFont="1" applyFill="1" applyBorder="1" applyAlignment="1">
      <alignment horizontal="center" wrapText="1"/>
    </xf>
    <xf numFmtId="42" fontId="5" fillId="0" borderId="28" xfId="28" applyNumberFormat="1" applyFont="1" applyBorder="1" applyAlignment="1">
      <alignment horizontal="center" wrapText="1"/>
    </xf>
    <xf numFmtId="0" fontId="5" fillId="0" borderId="28" xfId="42" applyFont="1" applyFill="1" applyBorder="1" applyAlignment="1">
      <alignment horizontal="center" wrapText="1"/>
    </xf>
    <xf numFmtId="42" fontId="5" fillId="0" borderId="28" xfId="42" applyNumberFormat="1" applyFont="1" applyBorder="1" applyAlignment="1">
      <alignment horizontal="center" wrapText="1"/>
    </xf>
    <xf numFmtId="0" fontId="5" fillId="27" borderId="18" xfId="42" applyFont="1" applyFill="1" applyBorder="1" applyAlignment="1">
      <alignment horizontal="center"/>
    </xf>
    <xf numFmtId="0" fontId="5" fillId="27" borderId="18" xfId="42" applyFont="1" applyFill="1" applyBorder="1"/>
    <xf numFmtId="41" fontId="3" fillId="0" borderId="0" xfId="28" applyNumberFormat="1" applyBorder="1"/>
    <xf numFmtId="41" fontId="3" fillId="0" borderId="0" xfId="42" applyNumberFormat="1" applyBorder="1"/>
    <xf numFmtId="3" fontId="3" fillId="27" borderId="0" xfId="42" applyNumberFormat="1" applyFill="1"/>
    <xf numFmtId="41" fontId="3" fillId="0" borderId="110" xfId="0" applyNumberFormat="1" applyFont="1" applyBorder="1"/>
    <xf numFmtId="42" fontId="3" fillId="0" borderId="112" xfId="0" applyNumberFormat="1" applyFont="1" applyBorder="1"/>
    <xf numFmtId="42" fontId="3" fillId="31" borderId="79" xfId="42" applyNumberFormat="1" applyFont="1" applyFill="1" applyBorder="1"/>
    <xf numFmtId="42" fontId="3" fillId="0" borderId="123" xfId="0" applyNumberFormat="1" applyFont="1" applyBorder="1"/>
    <xf numFmtId="0" fontId="5" fillId="0" borderId="23" xfId="0" applyFont="1" applyFill="1" applyBorder="1"/>
    <xf numFmtId="42" fontId="5" fillId="41" borderId="0" xfId="0" applyNumberFormat="1" applyFont="1" applyFill="1"/>
    <xf numFmtId="41" fontId="5" fillId="41" borderId="9" xfId="0" applyNumberFormat="1" applyFont="1" applyFill="1" applyBorder="1"/>
    <xf numFmtId="42" fontId="3" fillId="0" borderId="20" xfId="0" applyNumberFormat="1" applyFont="1" applyBorder="1"/>
    <xf numFmtId="42" fontId="5" fillId="41" borderId="24" xfId="0" applyNumberFormat="1" applyFont="1" applyFill="1" applyBorder="1"/>
    <xf numFmtId="0" fontId="3" fillId="0" borderId="24" xfId="0" applyFont="1" applyFill="1" applyBorder="1"/>
    <xf numFmtId="42" fontId="5" fillId="41" borderId="0" xfId="0" applyNumberFormat="1" applyFont="1" applyFill="1" applyBorder="1"/>
    <xf numFmtId="0" fontId="5" fillId="0" borderId="23" xfId="0" applyFont="1" applyBorder="1"/>
    <xf numFmtId="42" fontId="3" fillId="0" borderId="22" xfId="0" applyNumberFormat="1" applyFont="1" applyFill="1" applyBorder="1"/>
    <xf numFmtId="0" fontId="5" fillId="27" borderId="0" xfId="42" applyFont="1" applyFill="1" applyAlignment="1">
      <alignment horizontal="center"/>
    </xf>
    <xf numFmtId="0" fontId="5" fillId="0" borderId="10" xfId="0" applyFont="1" applyBorder="1" applyAlignment="1">
      <alignment horizontal="center" wrapText="1"/>
    </xf>
    <xf numFmtId="0" fontId="5" fillId="0" borderId="0" xfId="0" applyFont="1" applyBorder="1" applyAlignment="1">
      <alignment horizontal="center" wrapText="1"/>
    </xf>
    <xf numFmtId="0" fontId="5" fillId="0" borderId="10" xfId="0" applyFont="1" applyFill="1" applyBorder="1" applyAlignment="1">
      <alignment horizontal="center" wrapText="1"/>
    </xf>
    <xf numFmtId="0" fontId="5" fillId="0" borderId="18" xfId="0" applyFont="1" applyBorder="1" applyAlignment="1">
      <alignment horizontal="center" wrapText="1"/>
    </xf>
    <xf numFmtId="41" fontId="3" fillId="29" borderId="0" xfId="42" applyNumberFormat="1" applyFill="1"/>
    <xf numFmtId="0" fontId="3" fillId="30" borderId="0" xfId="42" applyFill="1" applyAlignment="1">
      <alignment horizontal="center"/>
    </xf>
    <xf numFmtId="0" fontId="3" fillId="25" borderId="0" xfId="42" applyFill="1" applyAlignment="1">
      <alignment horizontal="center"/>
    </xf>
    <xf numFmtId="38" fontId="35" fillId="27" borderId="0" xfId="28" applyNumberFormat="1" applyFont="1" applyFill="1" applyAlignment="1" applyProtection="1">
      <alignment horizontal="left"/>
    </xf>
    <xf numFmtId="41" fontId="5" fillId="0" borderId="13" xfId="42" applyNumberFormat="1" applyFont="1" applyBorder="1"/>
    <xf numFmtId="49" fontId="3" fillId="0" borderId="0" xfId="42" applyNumberFormat="1" applyBorder="1" applyAlignment="1">
      <alignment horizontal="center"/>
    </xf>
    <xf numFmtId="0" fontId="3" fillId="0" borderId="9" xfId="42" applyBorder="1" applyAlignment="1">
      <alignment horizontal="center" wrapText="1"/>
    </xf>
    <xf numFmtId="0" fontId="5" fillId="0" borderId="21" xfId="0" applyFont="1" applyFill="1" applyBorder="1" applyAlignment="1">
      <alignment horizontal="center" wrapText="1"/>
    </xf>
    <xf numFmtId="0" fontId="5" fillId="0" borderId="28" xfId="0" applyFont="1" applyFill="1" applyBorder="1" applyAlignment="1">
      <alignment horizontal="center" wrapText="1"/>
    </xf>
    <xf numFmtId="41" fontId="5" fillId="29" borderId="0" xfId="0" applyNumberFormat="1" applyFont="1" applyFill="1" applyAlignment="1">
      <alignment horizontal="left" wrapText="1"/>
    </xf>
    <xf numFmtId="41" fontId="3" fillId="29" borderId="0" xfId="0" applyNumberFormat="1" applyFont="1" applyFill="1" applyAlignment="1">
      <alignment horizontal="left"/>
    </xf>
    <xf numFmtId="41" fontId="3" fillId="29" borderId="0" xfId="0" applyNumberFormat="1" applyFont="1" applyFill="1" applyBorder="1" applyAlignment="1">
      <alignment horizontal="left"/>
    </xf>
    <xf numFmtId="41" fontId="3" fillId="29" borderId="0" xfId="42" applyNumberFormat="1" applyFont="1" applyFill="1" applyBorder="1" applyAlignment="1">
      <alignment horizontal="left"/>
    </xf>
    <xf numFmtId="41" fontId="3" fillId="29" borderId="8" xfId="0" applyNumberFormat="1" applyFont="1" applyFill="1" applyBorder="1" applyAlignment="1">
      <alignment horizontal="left"/>
    </xf>
    <xf numFmtId="0" fontId="3" fillId="0" borderId="0" xfId="42" applyFill="1" applyAlignment="1">
      <alignment horizontal="center"/>
    </xf>
    <xf numFmtId="0" fontId="58" fillId="0" borderId="0" xfId="42" applyFont="1"/>
    <xf numFmtId="9" fontId="58" fillId="0" borderId="0" xfId="81" applyFont="1"/>
    <xf numFmtId="9" fontId="58" fillId="0" borderId="0" xfId="42" applyNumberFormat="1" applyFont="1"/>
    <xf numFmtId="0" fontId="58" fillId="0" borderId="0" xfId="42" applyFont="1" applyFill="1"/>
    <xf numFmtId="0" fontId="58" fillId="0" borderId="0" xfId="42" applyFont="1" applyBorder="1"/>
    <xf numFmtId="165" fontId="58" fillId="0" borderId="0" xfId="42" applyNumberFormat="1" applyFont="1" applyBorder="1"/>
    <xf numFmtId="0" fontId="49" fillId="0" borderId="0" xfId="42" applyFont="1" applyBorder="1"/>
    <xf numFmtId="165" fontId="58" fillId="24" borderId="0" xfId="42" applyNumberFormat="1" applyFont="1" applyFill="1" applyBorder="1"/>
    <xf numFmtId="0" fontId="49" fillId="0" borderId="10" xfId="42" applyFont="1" applyFill="1" applyBorder="1"/>
    <xf numFmtId="165" fontId="58" fillId="0" borderId="11" xfId="42" applyNumberFormat="1" applyFont="1" applyBorder="1"/>
    <xf numFmtId="0" fontId="49" fillId="0" borderId="0" xfId="42" applyFont="1" applyBorder="1" applyAlignment="1">
      <alignment horizontal="center"/>
    </xf>
    <xf numFmtId="0" fontId="49" fillId="0" borderId="0" xfId="42" applyFont="1" applyFill="1" applyBorder="1"/>
    <xf numFmtId="37" fontId="49" fillId="0" borderId="0" xfId="42" applyNumberFormat="1" applyFont="1" applyFill="1" applyBorder="1"/>
    <xf numFmtId="37" fontId="49" fillId="0" borderId="10" xfId="42" quotePrefix="1" applyNumberFormat="1" applyFont="1" applyFill="1" applyBorder="1" applyAlignment="1">
      <alignment horizontal="left"/>
    </xf>
    <xf numFmtId="0" fontId="58" fillId="0" borderId="0" xfId="42" quotePrefix="1" applyFont="1" applyAlignment="1">
      <alignment horizontal="left"/>
    </xf>
    <xf numFmtId="0" fontId="8" fillId="0" borderId="0" xfId="42" applyFont="1" applyAlignment="1">
      <alignment horizontal="center"/>
    </xf>
    <xf numFmtId="0" fontId="8" fillId="0" borderId="0" xfId="0" applyFont="1" applyAlignment="1"/>
    <xf numFmtId="3" fontId="0" fillId="0" borderId="0" xfId="0" applyNumberFormat="1"/>
    <xf numFmtId="39" fontId="5" fillId="0" borderId="0" xfId="0" applyNumberFormat="1" applyFont="1" applyAlignment="1">
      <alignment horizontal="center"/>
    </xf>
    <xf numFmtId="3" fontId="0" fillId="0" borderId="0" xfId="0" applyNumberFormat="1" applyAlignment="1">
      <alignment horizontal="center"/>
    </xf>
    <xf numFmtId="0" fontId="59" fillId="0" borderId="0" xfId="0" applyFont="1" applyAlignment="1">
      <alignment horizontal="center"/>
    </xf>
    <xf numFmtId="0" fontId="50" fillId="0" borderId="0" xfId="0" applyFont="1" applyBorder="1" applyAlignment="1">
      <alignment horizontal="center"/>
    </xf>
    <xf numFmtId="3" fontId="50" fillId="0" borderId="0" xfId="0" applyNumberFormat="1" applyFont="1" applyBorder="1" applyAlignment="1">
      <alignment horizontal="center"/>
    </xf>
    <xf numFmtId="0" fontId="50" fillId="0" borderId="0" xfId="0" applyFont="1" applyFill="1" applyBorder="1" applyAlignment="1">
      <alignment horizontal="center"/>
    </xf>
    <xf numFmtId="39" fontId="5" fillId="0" borderId="9" xfId="0" applyNumberFormat="1" applyFont="1" applyBorder="1" applyAlignment="1">
      <alignment horizontal="center"/>
    </xf>
    <xf numFmtId="3" fontId="0" fillId="0" borderId="0" xfId="0" applyNumberFormat="1" applyAlignment="1">
      <alignment horizontal="right" wrapText="1"/>
    </xf>
    <xf numFmtId="39" fontId="0" fillId="0" borderId="0" xfId="0" applyNumberFormat="1"/>
    <xf numFmtId="3" fontId="0" fillId="0" borderId="0" xfId="0" applyNumberFormat="1" applyAlignment="1">
      <alignment horizontal="right"/>
    </xf>
    <xf numFmtId="38" fontId="0" fillId="0" borderId="0" xfId="0" applyNumberFormat="1" applyAlignment="1">
      <alignment wrapText="1"/>
    </xf>
    <xf numFmtId="41" fontId="0" fillId="0" borderId="0" xfId="0" applyNumberFormat="1" applyAlignment="1">
      <alignment wrapText="1"/>
    </xf>
    <xf numFmtId="0" fontId="8" fillId="0" borderId="0" xfId="0" applyFont="1" applyAlignment="1">
      <alignment horizontal="center"/>
    </xf>
    <xf numFmtId="4" fontId="0" fillId="0" borderId="0" xfId="0" applyNumberFormat="1"/>
    <xf numFmtId="43" fontId="3" fillId="27" borderId="0" xfId="42" applyNumberFormat="1" applyFill="1"/>
    <xf numFmtId="0" fontId="3" fillId="0" borderId="44" xfId="0" applyFont="1" applyFill="1" applyBorder="1"/>
    <xf numFmtId="42" fontId="3" fillId="0" borderId="44" xfId="42" applyNumberFormat="1" applyFont="1" applyFill="1" applyBorder="1"/>
    <xf numFmtId="41" fontId="3" fillId="0" borderId="24" xfId="42" applyNumberFormat="1" applyFont="1" applyFill="1" applyBorder="1"/>
    <xf numFmtId="0" fontId="5" fillId="0" borderId="120" xfId="0" quotePrefix="1" applyFont="1" applyFill="1" applyBorder="1" applyAlignment="1">
      <alignment horizontal="left"/>
    </xf>
    <xf numFmtId="41" fontId="3" fillId="0" borderId="44" xfId="42" applyNumberFormat="1" applyFont="1" applyFill="1" applyBorder="1"/>
    <xf numFmtId="42" fontId="3" fillId="0" borderId="8" xfId="0" applyNumberFormat="1" applyFont="1" applyFill="1" applyBorder="1"/>
    <xf numFmtId="42" fontId="3" fillId="0" borderId="124" xfId="0" applyNumberFormat="1" applyFont="1" applyFill="1" applyBorder="1"/>
    <xf numFmtId="42" fontId="5" fillId="0" borderId="15" xfId="28" applyNumberFormat="1" applyFont="1" applyFill="1" applyBorder="1"/>
    <xf numFmtId="0" fontId="5" fillId="0" borderId="16" xfId="0" applyFont="1" applyFill="1" applyBorder="1" applyAlignment="1">
      <alignment horizontal="left"/>
    </xf>
    <xf numFmtId="42" fontId="5" fillId="0" borderId="11" xfId="28" applyNumberFormat="1" applyFont="1" applyFill="1" applyBorder="1"/>
    <xf numFmtId="0" fontId="5" fillId="0" borderId="16" xfId="0" quotePrefix="1" applyFont="1" applyFill="1" applyBorder="1" applyAlignment="1">
      <alignment horizontal="left"/>
    </xf>
    <xf numFmtId="42" fontId="3" fillId="0" borderId="8" xfId="28" applyNumberFormat="1" applyFont="1" applyFill="1" applyBorder="1" applyAlignment="1">
      <alignment horizontal="right"/>
    </xf>
    <xf numFmtId="42" fontId="5" fillId="0" borderId="15" xfId="28" applyNumberFormat="1" applyFont="1" applyFill="1" applyBorder="1" applyAlignment="1">
      <alignment horizontal="right"/>
    </xf>
    <xf numFmtId="42" fontId="5" fillId="0" borderId="11" xfId="28" applyNumberFormat="1" applyFont="1" applyFill="1" applyBorder="1" applyAlignment="1">
      <alignment horizontal="right"/>
    </xf>
    <xf numFmtId="42" fontId="5" fillId="0" borderId="22" xfId="28" applyNumberFormat="1" applyFont="1" applyFill="1" applyBorder="1" applyAlignment="1">
      <alignment horizontal="right"/>
    </xf>
    <xf numFmtId="0" fontId="3" fillId="0" borderId="28" xfId="0" applyFont="1" applyFill="1" applyBorder="1" applyAlignment="1"/>
    <xf numFmtId="0" fontId="5" fillId="0" borderId="0" xfId="0" applyFont="1" applyFill="1" applyBorder="1" applyAlignment="1">
      <alignment horizontal="center"/>
    </xf>
    <xf numFmtId="41" fontId="3" fillId="30" borderId="0" xfId="28" applyNumberFormat="1" applyFont="1" applyFill="1"/>
    <xf numFmtId="42" fontId="5" fillId="0" borderId="8" xfId="28" applyNumberFormat="1" applyFont="1" applyFill="1" applyBorder="1" applyAlignment="1">
      <alignment horizontal="right"/>
    </xf>
    <xf numFmtId="42" fontId="5" fillId="0" borderId="124" xfId="28" applyNumberFormat="1" applyFont="1" applyFill="1" applyBorder="1" applyAlignment="1">
      <alignment horizontal="right"/>
    </xf>
    <xf numFmtId="42" fontId="3" fillId="0" borderId="121" xfId="0" applyNumberFormat="1" applyFont="1" applyFill="1" applyBorder="1" applyAlignment="1">
      <alignment wrapText="1"/>
    </xf>
    <xf numFmtId="0" fontId="3" fillId="0" borderId="0" xfId="0" applyFont="1" applyFill="1" applyBorder="1" applyAlignment="1">
      <alignment wrapText="1"/>
    </xf>
    <xf numFmtId="41" fontId="3" fillId="30" borderId="0" xfId="0" applyNumberFormat="1" applyFont="1" applyFill="1"/>
    <xf numFmtId="1" fontId="3" fillId="27" borderId="0" xfId="42" applyNumberFormat="1" applyFill="1"/>
    <xf numFmtId="41" fontId="3" fillId="0" borderId="10" xfId="0" applyNumberFormat="1" applyFont="1" applyFill="1" applyBorder="1" applyAlignment="1"/>
    <xf numFmtId="41" fontId="3" fillId="0" borderId="8" xfId="0" applyNumberFormat="1" applyFont="1" applyFill="1" applyBorder="1" applyAlignment="1"/>
    <xf numFmtId="41" fontId="3" fillId="0" borderId="11" xfId="0" applyNumberFormat="1" applyFont="1" applyFill="1" applyBorder="1" applyAlignment="1"/>
    <xf numFmtId="42" fontId="3" fillId="0" borderId="0" xfId="28" applyNumberFormat="1" applyFont="1" applyFill="1" applyProtection="1">
      <protection locked="0"/>
    </xf>
    <xf numFmtId="42" fontId="3" fillId="0" borderId="0" xfId="42" applyNumberFormat="1" applyAlignment="1">
      <alignment wrapText="1"/>
    </xf>
    <xf numFmtId="42" fontId="3" fillId="0" borderId="117" xfId="0" applyNumberFormat="1" applyFont="1" applyFill="1" applyBorder="1"/>
    <xf numFmtId="42" fontId="3" fillId="0" borderId="0" xfId="0" applyNumberFormat="1" applyFont="1" applyFill="1" applyAlignment="1"/>
    <xf numFmtId="44" fontId="5" fillId="0" borderId="122" xfId="0" applyNumberFormat="1" applyFont="1" applyFill="1" applyBorder="1"/>
    <xf numFmtId="173" fontId="3" fillId="0" borderId="0" xfId="42" applyNumberFormat="1" applyAlignment="1">
      <alignment wrapText="1"/>
    </xf>
    <xf numFmtId="44" fontId="3" fillId="0" borderId="0" xfId="42" applyNumberFormat="1" applyFont="1" applyFill="1" applyAlignment="1"/>
    <xf numFmtId="0" fontId="3" fillId="27" borderId="19" xfId="42" applyFill="1" applyBorder="1"/>
    <xf numFmtId="0" fontId="3" fillId="27" borderId="26" xfId="42" applyFill="1" applyBorder="1"/>
    <xf numFmtId="0" fontId="3" fillId="27" borderId="20" xfId="42" applyFill="1" applyBorder="1"/>
    <xf numFmtId="0" fontId="3" fillId="27" borderId="21" xfId="42" applyFill="1" applyBorder="1" applyAlignment="1">
      <alignment horizontal="center"/>
    </xf>
    <xf numFmtId="0" fontId="3" fillId="27" borderId="9" xfId="42" applyFill="1" applyBorder="1" applyAlignment="1">
      <alignment horizontal="center"/>
    </xf>
    <xf numFmtId="0" fontId="3" fillId="27" borderId="22" xfId="42" applyFill="1" applyBorder="1" applyAlignment="1">
      <alignment horizontal="center"/>
    </xf>
    <xf numFmtId="0" fontId="5" fillId="0" borderId="0" xfId="42" applyFont="1" applyFill="1" applyBorder="1" applyAlignment="1">
      <alignment horizontal="center" wrapText="1"/>
    </xf>
    <xf numFmtId="0" fontId="5" fillId="27" borderId="18" xfId="49" applyFont="1" applyFill="1" applyBorder="1" applyAlignment="1">
      <alignment wrapText="1"/>
    </xf>
    <xf numFmtId="0" fontId="3" fillId="42" borderId="18" xfId="49" applyFill="1" applyBorder="1" applyAlignment="1">
      <alignment wrapText="1"/>
    </xf>
    <xf numFmtId="0" fontId="3" fillId="42" borderId="18" xfId="42" applyFill="1" applyBorder="1" applyAlignment="1">
      <alignment wrapText="1"/>
    </xf>
    <xf numFmtId="42" fontId="5" fillId="0" borderId="11" xfId="42" applyNumberFormat="1" applyFont="1" applyFill="1" applyBorder="1"/>
    <xf numFmtId="42" fontId="5" fillId="0" borderId="11" xfId="0" applyNumberFormat="1" applyFont="1" applyFill="1" applyBorder="1" applyAlignment="1"/>
    <xf numFmtId="0" fontId="3" fillId="0" borderId="0" xfId="42" applyBorder="1" applyAlignment="1"/>
    <xf numFmtId="41" fontId="3" fillId="30" borderId="9" xfId="0" applyNumberFormat="1" applyFont="1" applyFill="1" applyBorder="1"/>
    <xf numFmtId="41" fontId="3" fillId="30" borderId="0" xfId="28" applyNumberFormat="1" applyFont="1" applyFill="1" applyBorder="1"/>
    <xf numFmtId="0" fontId="5" fillId="27" borderId="0" xfId="42" applyFont="1" applyFill="1" applyAlignment="1">
      <alignment horizontal="center"/>
    </xf>
    <xf numFmtId="0" fontId="5" fillId="0" borderId="18" xfId="42" applyFont="1" applyBorder="1" applyAlignment="1">
      <alignment horizontal="center"/>
    </xf>
    <xf numFmtId="0" fontId="5" fillId="0" borderId="0" xfId="42" applyFont="1" applyBorder="1" applyAlignment="1">
      <alignment horizontal="center"/>
    </xf>
    <xf numFmtId="0" fontId="3" fillId="43" borderId="0" xfId="42" applyFill="1"/>
    <xf numFmtId="0" fontId="3" fillId="43" borderId="0" xfId="42" applyFill="1" applyAlignment="1">
      <alignment horizontal="center" wrapText="1"/>
    </xf>
    <xf numFmtId="0" fontId="3" fillId="43" borderId="0" xfId="42" applyFill="1" applyAlignment="1">
      <alignment horizontal="center"/>
    </xf>
    <xf numFmtId="49" fontId="3" fillId="43" borderId="0" xfId="42" applyNumberFormat="1" applyFill="1" applyAlignment="1">
      <alignment horizontal="center"/>
    </xf>
    <xf numFmtId="41" fontId="3" fillId="43" borderId="0" xfId="28" applyNumberFormat="1" applyFill="1"/>
    <xf numFmtId="41" fontId="3" fillId="43" borderId="0" xfId="42" applyNumberFormat="1" applyFill="1"/>
    <xf numFmtId="168" fontId="3" fillId="43" borderId="0" xfId="58" applyNumberFormat="1" applyFill="1"/>
    <xf numFmtId="41" fontId="3" fillId="43" borderId="23" xfId="55" applyNumberFormat="1" applyFill="1" applyBorder="1"/>
    <xf numFmtId="41" fontId="3" fillId="43" borderId="0" xfId="55" applyNumberFormat="1" applyFill="1" applyBorder="1"/>
    <xf numFmtId="41" fontId="3" fillId="43" borderId="24" xfId="55" applyNumberFormat="1" applyFill="1" applyBorder="1"/>
    <xf numFmtId="37" fontId="3" fillId="43" borderId="0" xfId="42" applyNumberFormat="1" applyFill="1"/>
    <xf numFmtId="0" fontId="3" fillId="43" borderId="0" xfId="42" quotePrefix="1" applyFill="1" applyAlignment="1">
      <alignment horizontal="center" wrapText="1"/>
    </xf>
    <xf numFmtId="0" fontId="3" fillId="0" borderId="0" xfId="42" applyAlignment="1">
      <alignment vertical="center"/>
    </xf>
    <xf numFmtId="0" fontId="5" fillId="27" borderId="0" xfId="42" applyFont="1" applyFill="1" applyAlignment="1">
      <alignment horizontal="center"/>
    </xf>
    <xf numFmtId="0" fontId="5" fillId="0" borderId="0" xfId="0" applyFont="1" applyFill="1" applyBorder="1" applyAlignment="1">
      <alignment horizontal="center" wrapText="1"/>
    </xf>
    <xf numFmtId="0" fontId="5" fillId="27" borderId="0" xfId="42" applyFont="1" applyFill="1" applyAlignment="1">
      <alignment horizontal="center"/>
    </xf>
    <xf numFmtId="0" fontId="3" fillId="0" borderId="9" xfId="42" applyBorder="1" applyAlignment="1">
      <alignment horizontal="center" wrapText="1"/>
    </xf>
    <xf numFmtId="0" fontId="42" fillId="0" borderId="0" xfId="0" quotePrefix="1" applyNumberFormat="1" applyFont="1" applyAlignment="1"/>
    <xf numFmtId="0" fontId="0" fillId="0" borderId="0" xfId="0" applyFont="1" applyBorder="1" applyAlignment="1">
      <alignment vertical="top" wrapText="1"/>
    </xf>
    <xf numFmtId="0" fontId="3" fillId="0" borderId="27" xfId="0" applyFont="1" applyFill="1" applyBorder="1" applyAlignment="1">
      <alignment horizontal="center"/>
    </xf>
    <xf numFmtId="4" fontId="4" fillId="0" borderId="28" xfId="28" applyNumberFormat="1" applyFont="1" applyFill="1" applyBorder="1" applyAlignment="1">
      <alignment horizontal="center"/>
    </xf>
    <xf numFmtId="0" fontId="42" fillId="0" borderId="27" xfId="0" quotePrefix="1" applyNumberFormat="1" applyFont="1" applyFill="1" applyBorder="1" applyAlignment="1">
      <alignment horizontal="center" wrapText="1"/>
    </xf>
    <xf numFmtId="0" fontId="42" fillId="0" borderId="44" xfId="0" quotePrefix="1" applyNumberFormat="1" applyFont="1" applyFill="1" applyBorder="1" applyAlignment="1">
      <alignment horizontal="center" wrapText="1"/>
    </xf>
    <xf numFmtId="164" fontId="3" fillId="0" borderId="116" xfId="0" applyNumberFormat="1" applyFont="1" applyFill="1" applyBorder="1" applyAlignment="1"/>
    <xf numFmtId="0" fontId="5" fillId="0" borderId="130" xfId="0" applyFont="1" applyFill="1" applyBorder="1"/>
    <xf numFmtId="0" fontId="3" fillId="0" borderId="22" xfId="0" applyFont="1" applyFill="1" applyBorder="1" applyAlignment="1"/>
    <xf numFmtId="170" fontId="5" fillId="31" borderId="28" xfId="0" applyNumberFormat="1" applyFont="1" applyFill="1" applyBorder="1" applyAlignment="1">
      <alignment horizontal="center" wrapText="1"/>
    </xf>
    <xf numFmtId="0" fontId="5" fillId="0" borderId="115" xfId="0" applyFont="1" applyFill="1" applyBorder="1" applyAlignment="1">
      <alignment horizontal="center" wrapText="1"/>
    </xf>
    <xf numFmtId="0" fontId="5" fillId="0" borderId="18" xfId="0" applyFont="1" applyFill="1" applyBorder="1" applyAlignment="1">
      <alignment horizontal="center"/>
    </xf>
    <xf numFmtId="0" fontId="42" fillId="0" borderId="0" xfId="0" quotePrefix="1" applyNumberFormat="1" applyFont="1" applyAlignment="1">
      <alignment horizontal="center" wrapText="1"/>
    </xf>
    <xf numFmtId="2" fontId="42" fillId="0" borderId="0" xfId="0" quotePrefix="1" applyNumberFormat="1" applyFont="1" applyAlignment="1">
      <alignment horizontal="center" wrapText="1"/>
    </xf>
    <xf numFmtId="0" fontId="3" fillId="0" borderId="13" xfId="42" applyFont="1" applyBorder="1" applyAlignment="1">
      <alignment horizontal="center"/>
    </xf>
    <xf numFmtId="0" fontId="5" fillId="0" borderId="0" xfId="42" applyFont="1" applyBorder="1" applyAlignment="1">
      <alignment horizontal="center" wrapText="1"/>
    </xf>
    <xf numFmtId="43" fontId="3" fillId="29" borderId="0" xfId="28" applyFill="1" applyBorder="1"/>
    <xf numFmtId="43" fontId="5" fillId="0" borderId="0" xfId="42" applyNumberFormat="1" applyFont="1" applyBorder="1"/>
    <xf numFmtId="0" fontId="3" fillId="42" borderId="18" xfId="0" applyFont="1" applyFill="1" applyBorder="1"/>
    <xf numFmtId="164" fontId="5" fillId="42" borderId="119" xfId="0" applyNumberFormat="1" applyFont="1" applyFill="1" applyBorder="1" applyAlignment="1"/>
    <xf numFmtId="42" fontId="5" fillId="42" borderId="15" xfId="28" applyNumberFormat="1" applyFont="1" applyFill="1" applyBorder="1"/>
    <xf numFmtId="42" fontId="5" fillId="42" borderId="15" xfId="28" applyNumberFormat="1" applyFont="1" applyFill="1" applyBorder="1" applyAlignment="1">
      <alignment horizontal="right"/>
    </xf>
    <xf numFmtId="42" fontId="5" fillId="42" borderId="132" xfId="0" applyNumberFormat="1" applyFont="1" applyFill="1" applyBorder="1"/>
    <xf numFmtId="44" fontId="3" fillId="0" borderId="0" xfId="0" applyNumberFormat="1" applyFont="1" applyFill="1"/>
    <xf numFmtId="0" fontId="5" fillId="0" borderId="0" xfId="0" applyFont="1" applyFill="1" applyBorder="1" applyAlignment="1">
      <alignment horizontal="center" wrapText="1"/>
    </xf>
    <xf numFmtId="0" fontId="5" fillId="0" borderId="0" xfId="49" applyFont="1" applyFill="1" applyBorder="1" applyAlignment="1">
      <alignment wrapText="1"/>
    </xf>
    <xf numFmtId="0" fontId="3" fillId="0" borderId="0" xfId="49" applyFill="1" applyBorder="1" applyAlignment="1">
      <alignment wrapText="1"/>
    </xf>
    <xf numFmtId="0" fontId="5" fillId="0" borderId="0" xfId="0" applyFont="1" applyFill="1" applyBorder="1" applyAlignment="1">
      <alignment horizontal="center" wrapText="1"/>
    </xf>
    <xf numFmtId="0" fontId="5" fillId="0" borderId="0" xfId="0" applyFont="1" applyFill="1" applyBorder="1" applyAlignment="1"/>
    <xf numFmtId="0" fontId="5" fillId="27" borderId="0" xfId="42" applyFont="1" applyFill="1" applyAlignment="1">
      <alignment horizontal="center"/>
    </xf>
    <xf numFmtId="0" fontId="5" fillId="0" borderId="0" xfId="0" applyFont="1" applyFill="1" applyBorder="1" applyAlignment="1">
      <alignment horizontal="center" wrapText="1"/>
    </xf>
    <xf numFmtId="41" fontId="3" fillId="31" borderId="0" xfId="28" applyNumberFormat="1" applyFill="1"/>
    <xf numFmtId="0" fontId="3" fillId="31" borderId="0" xfId="42" applyFill="1"/>
    <xf numFmtId="0" fontId="5" fillId="27" borderId="0" xfId="42" applyFont="1" applyFill="1" applyAlignment="1">
      <alignment horizontal="center"/>
    </xf>
    <xf numFmtId="14" fontId="5" fillId="27" borderId="0" xfId="42" applyNumberFormat="1" applyFont="1" applyFill="1" applyAlignment="1">
      <alignment horizontal="center"/>
    </xf>
    <xf numFmtId="0" fontId="7" fillId="24" borderId="0" xfId="42" applyFont="1" applyFill="1" applyBorder="1" applyAlignment="1">
      <alignment vertical="top" wrapText="1"/>
    </xf>
    <xf numFmtId="0" fontId="8" fillId="29" borderId="0" xfId="42" applyFont="1" applyFill="1" applyBorder="1" applyAlignment="1">
      <alignment vertical="top" wrapText="1"/>
    </xf>
    <xf numFmtId="0" fontId="7" fillId="29" borderId="0" xfId="42" applyFont="1" applyFill="1" applyBorder="1" applyAlignment="1">
      <alignment vertical="top" wrapText="1"/>
    </xf>
    <xf numFmtId="0" fontId="7" fillId="0" borderId="0" xfId="42" applyFont="1" applyFill="1" applyBorder="1" applyAlignment="1">
      <alignment vertical="top" wrapText="1"/>
    </xf>
    <xf numFmtId="0" fontId="0" fillId="0" borderId="0" xfId="0" applyBorder="1" applyAlignment="1">
      <alignment horizontal="center"/>
    </xf>
    <xf numFmtId="0" fontId="5" fillId="0" borderId="0" xfId="0" applyFont="1" applyBorder="1" applyAlignment="1">
      <alignment horizontal="center"/>
    </xf>
    <xf numFmtId="0" fontId="3" fillId="31" borderId="18" xfId="0" applyFont="1" applyFill="1" applyBorder="1" applyAlignment="1">
      <alignment horizontal="center"/>
    </xf>
    <xf numFmtId="170" fontId="5" fillId="31" borderId="22" xfId="0" applyNumberFormat="1" applyFont="1" applyFill="1" applyBorder="1" applyAlignment="1">
      <alignment horizontal="center" wrapText="1"/>
    </xf>
    <xf numFmtId="0" fontId="3" fillId="0" borderId="19" xfId="0" applyFont="1" applyFill="1" applyBorder="1" applyAlignment="1">
      <alignment horizontal="center"/>
    </xf>
    <xf numFmtId="0" fontId="42" fillId="0" borderId="19" xfId="0" quotePrefix="1" applyNumberFormat="1" applyFont="1" applyFill="1" applyBorder="1" applyAlignment="1">
      <alignment horizontal="center" wrapText="1"/>
    </xf>
    <xf numFmtId="0" fontId="42" fillId="0" borderId="23" xfId="0" quotePrefix="1" applyNumberFormat="1" applyFont="1" applyFill="1" applyBorder="1" applyAlignment="1">
      <alignment horizontal="center" wrapText="1"/>
    </xf>
    <xf numFmtId="0" fontId="3" fillId="0" borderId="27" xfId="0" applyFont="1" applyFill="1" applyBorder="1"/>
    <xf numFmtId="41" fontId="3" fillId="0" borderId="28" xfId="42" applyNumberFormat="1" applyFont="1" applyFill="1" applyBorder="1"/>
    <xf numFmtId="0" fontId="7" fillId="0" borderId="0" xfId="42" applyFont="1" applyBorder="1" applyAlignment="1">
      <alignment horizontal="center" vertical="top" wrapText="1"/>
    </xf>
    <xf numFmtId="0" fontId="39" fillId="0" borderId="0" xfId="73" applyBorder="1" applyAlignment="1" applyProtection="1">
      <alignment horizontal="center" vertical="top" wrapText="1"/>
    </xf>
    <xf numFmtId="0" fontId="8" fillId="29" borderId="0" xfId="42" applyFont="1" applyFill="1" applyBorder="1" applyAlignment="1">
      <alignment horizontal="center" vertical="top" wrapText="1"/>
    </xf>
    <xf numFmtId="0" fontId="7" fillId="29" borderId="0" xfId="42" applyFont="1" applyFill="1" applyBorder="1" applyAlignment="1">
      <alignment horizontal="center" vertical="top" wrapText="1"/>
    </xf>
    <xf numFmtId="0" fontId="7" fillId="0" borderId="0" xfId="42" applyFont="1" applyFill="1" applyBorder="1" applyAlignment="1">
      <alignment horizontal="center" vertical="top" wrapText="1"/>
    </xf>
    <xf numFmtId="0" fontId="8" fillId="0" borderId="0" xfId="42" applyFont="1" applyBorder="1" applyAlignment="1">
      <alignment horizontal="center" wrapText="1"/>
    </xf>
    <xf numFmtId="164" fontId="60" fillId="0" borderId="25" xfId="73" applyNumberFormat="1" applyFont="1" applyFill="1" applyBorder="1" applyAlignment="1" applyProtection="1">
      <alignment horizontal="center"/>
    </xf>
    <xf numFmtId="0" fontId="39" fillId="0" borderId="0" xfId="73" applyAlignment="1" applyProtection="1">
      <alignment horizontal="center"/>
    </xf>
    <xf numFmtId="0" fontId="3" fillId="42" borderId="18" xfId="0" applyFont="1" applyFill="1" applyBorder="1" applyAlignment="1">
      <alignment horizontal="center"/>
    </xf>
    <xf numFmtId="0" fontId="39" fillId="0" borderId="0" xfId="73" applyAlignment="1" applyProtection="1">
      <alignment horizontal="center" vertical="top"/>
    </xf>
    <xf numFmtId="0" fontId="0" fillId="0" borderId="0" xfId="0" applyAlignment="1">
      <alignment horizontal="center" vertical="top"/>
    </xf>
    <xf numFmtId="0" fontId="5" fillId="0" borderId="92" xfId="0" applyFont="1" applyBorder="1" applyAlignment="1">
      <alignment horizontal="center"/>
    </xf>
    <xf numFmtId="0" fontId="5" fillId="0" borderId="96" xfId="0" applyFont="1" applyBorder="1" applyAlignment="1">
      <alignment horizontal="center"/>
    </xf>
    <xf numFmtId="0" fontId="0" fillId="0" borderId="96" xfId="0" applyBorder="1" applyAlignment="1">
      <alignment horizontal="center"/>
    </xf>
    <xf numFmtId="0" fontId="39" fillId="0" borderId="96" xfId="73" applyBorder="1" applyAlignment="1" applyProtection="1">
      <alignment horizontal="center" vertical="top" wrapText="1"/>
    </xf>
    <xf numFmtId="0" fontId="8" fillId="0" borderId="96" xfId="42" applyFont="1" applyBorder="1" applyAlignment="1">
      <alignment horizontal="center" vertical="top" wrapText="1"/>
    </xf>
    <xf numFmtId="0" fontId="7" fillId="0" borderId="96" xfId="42" applyFont="1" applyBorder="1" applyAlignment="1">
      <alignment horizontal="center" vertical="top" wrapText="1"/>
    </xf>
    <xf numFmtId="0" fontId="8" fillId="29" borderId="96" xfId="42" applyFont="1" applyFill="1" applyBorder="1" applyAlignment="1">
      <alignment horizontal="center" vertical="top" wrapText="1"/>
    </xf>
    <xf numFmtId="0" fontId="7" fillId="29" borderId="96" xfId="42" applyFont="1" applyFill="1" applyBorder="1" applyAlignment="1">
      <alignment horizontal="center" vertical="top" wrapText="1"/>
    </xf>
    <xf numFmtId="0" fontId="7" fillId="0" borderId="96" xfId="42" applyFont="1" applyFill="1" applyBorder="1" applyAlignment="1">
      <alignment horizontal="center" vertical="top" wrapText="1"/>
    </xf>
    <xf numFmtId="0" fontId="8" fillId="0" borderId="94" xfId="42" applyFont="1" applyBorder="1" applyAlignment="1">
      <alignment horizontal="center" vertical="top" wrapText="1"/>
    </xf>
    <xf numFmtId="0" fontId="3" fillId="0" borderId="0" xfId="42" applyFont="1" applyBorder="1" applyAlignment="1">
      <alignment vertical="top" wrapText="1"/>
    </xf>
    <xf numFmtId="0" fontId="3" fillId="29" borderId="0" xfId="42" applyFont="1" applyFill="1" applyBorder="1" applyAlignment="1">
      <alignment vertical="top" wrapText="1"/>
    </xf>
    <xf numFmtId="0" fontId="39" fillId="0" borderId="96" xfId="73" applyBorder="1" applyAlignment="1" applyProtection="1">
      <alignment horizontal="center" wrapText="1"/>
    </xf>
    <xf numFmtId="0" fontId="39" fillId="0" borderId="0" xfId="73" applyBorder="1" applyAlignment="1" applyProtection="1">
      <alignment horizontal="center" wrapText="1"/>
    </xf>
    <xf numFmtId="0" fontId="39" fillId="0" borderId="0" xfId="73" applyBorder="1" applyAlignment="1" applyProtection="1">
      <alignment vertical="top" wrapText="1"/>
    </xf>
    <xf numFmtId="164" fontId="39" fillId="0" borderId="25" xfId="73" applyNumberFormat="1" applyFont="1" applyFill="1" applyBorder="1" applyAlignment="1" applyProtection="1">
      <alignment horizontal="center"/>
    </xf>
    <xf numFmtId="0" fontId="5" fillId="27" borderId="0" xfId="42" applyFont="1" applyFill="1" applyAlignment="1"/>
    <xf numFmtId="41" fontId="5" fillId="27" borderId="0" xfId="42" applyNumberFormat="1" applyFont="1" applyFill="1"/>
    <xf numFmtId="0" fontId="20" fillId="0" borderId="0" xfId="42" quotePrefix="1" applyFont="1" applyFill="1" applyBorder="1" applyAlignment="1">
      <alignment horizontal="center" wrapText="1"/>
    </xf>
    <xf numFmtId="0" fontId="42" fillId="0" borderId="97" xfId="0" quotePrefix="1" applyNumberFormat="1" applyFont="1" applyFill="1" applyBorder="1" applyAlignment="1">
      <alignment horizontal="center" wrapText="1"/>
    </xf>
    <xf numFmtId="0" fontId="42" fillId="0" borderId="0" xfId="0" quotePrefix="1" applyNumberFormat="1" applyFont="1" applyFill="1" applyBorder="1" applyAlignment="1">
      <alignment horizontal="center" wrapText="1"/>
    </xf>
    <xf numFmtId="0" fontId="8" fillId="0" borderId="0" xfId="42" applyFont="1" applyAlignment="1">
      <alignment horizontal="left"/>
    </xf>
    <xf numFmtId="0" fontId="8" fillId="0" borderId="0" xfId="42" applyFont="1" applyAlignment="1">
      <alignment vertical="center"/>
    </xf>
    <xf numFmtId="0" fontId="7" fillId="0" borderId="133" xfId="42" applyFont="1" applyFill="1" applyBorder="1" applyAlignment="1">
      <alignment horizontal="center" wrapText="1"/>
    </xf>
    <xf numFmtId="0" fontId="7" fillId="0" borderId="134" xfId="42" applyFont="1" applyFill="1" applyBorder="1" applyAlignment="1">
      <alignment horizontal="center" wrapText="1"/>
    </xf>
    <xf numFmtId="0" fontId="7" fillId="0" borderId="91" xfId="42" applyFont="1" applyFill="1" applyBorder="1" applyAlignment="1">
      <alignment horizontal="center" wrapText="1"/>
    </xf>
    <xf numFmtId="0" fontId="8" fillId="0" borderId="0" xfId="42" quotePrefix="1" applyFont="1" applyFill="1" applyAlignment="1">
      <alignment horizontal="center" wrapText="1"/>
    </xf>
    <xf numFmtId="0" fontId="0" fillId="0" borderId="97" xfId="0" quotePrefix="1" applyNumberFormat="1" applyBorder="1" applyAlignment="1">
      <alignment horizontal="center" wrapText="1"/>
    </xf>
    <xf numFmtId="0" fontId="0" fillId="0" borderId="0" xfId="0" quotePrefix="1" applyNumberFormat="1" applyBorder="1" applyAlignment="1">
      <alignment horizontal="right" wrapText="1"/>
    </xf>
    <xf numFmtId="0" fontId="0" fillId="0" borderId="0" xfId="0" quotePrefix="1" applyNumberFormat="1" applyBorder="1" applyAlignment="1">
      <alignment horizontal="center" wrapText="1"/>
    </xf>
    <xf numFmtId="0" fontId="3" fillId="0" borderId="18" xfId="42" applyFont="1" applyFill="1" applyBorder="1" applyAlignment="1">
      <alignment horizontal="center"/>
    </xf>
    <xf numFmtId="4" fontId="5" fillId="0" borderId="0" xfId="78" applyNumberFormat="1" applyFont="1" applyBorder="1"/>
    <xf numFmtId="0" fontId="8" fillId="37" borderId="0" xfId="0" applyFont="1" applyFill="1" applyAlignment="1"/>
    <xf numFmtId="0" fontId="3" fillId="37" borderId="0" xfId="0" applyFont="1" applyFill="1" applyAlignment="1"/>
    <xf numFmtId="0" fontId="0" fillId="37" borderId="0" xfId="0" applyFill="1" applyAlignment="1"/>
    <xf numFmtId="0" fontId="2" fillId="37" borderId="0" xfId="83" applyFont="1" applyFill="1" applyBorder="1" applyAlignment="1">
      <alignment vertical="top" wrapText="1"/>
    </xf>
    <xf numFmtId="4" fontId="5" fillId="37" borderId="8" xfId="78" applyNumberFormat="1" applyFont="1" applyFill="1" applyBorder="1" applyAlignment="1"/>
    <xf numFmtId="0" fontId="0" fillId="37" borderId="0" xfId="0" applyFont="1" applyFill="1" applyBorder="1" applyAlignment="1">
      <alignment vertical="top" wrapText="1"/>
    </xf>
    <xf numFmtId="0" fontId="5" fillId="0" borderId="0" xfId="0" applyFont="1" applyFill="1" applyBorder="1" applyAlignment="1">
      <alignment horizontal="center" wrapText="1"/>
    </xf>
    <xf numFmtId="164" fontId="3" fillId="0" borderId="0" xfId="0" applyNumberFormat="1" applyFont="1" applyFill="1" applyBorder="1" applyAlignment="1"/>
    <xf numFmtId="42" fontId="5" fillId="0" borderId="140" xfId="28" applyNumberFormat="1" applyFont="1" applyFill="1" applyBorder="1" applyAlignment="1">
      <alignment horizontal="right"/>
    </xf>
    <xf numFmtId="164" fontId="3" fillId="0" borderId="139" xfId="0" applyNumberFormat="1" applyFont="1" applyFill="1" applyBorder="1" applyAlignment="1"/>
    <xf numFmtId="0" fontId="5" fillId="0" borderId="116" xfId="0" applyFont="1" applyFill="1" applyBorder="1" applyAlignment="1"/>
    <xf numFmtId="0" fontId="3" fillId="0" borderId="116" xfId="0" applyFont="1" applyFill="1" applyBorder="1" applyAlignment="1"/>
    <xf numFmtId="49" fontId="0" fillId="33" borderId="97" xfId="0" applyNumberFormat="1" applyFill="1" applyBorder="1" applyAlignment="1">
      <alignment horizontal="right"/>
    </xf>
    <xf numFmtId="49" fontId="0" fillId="33" borderId="0" xfId="0" applyNumberFormat="1" applyFill="1" applyBorder="1" applyAlignment="1">
      <alignment horizontal="right"/>
    </xf>
    <xf numFmtId="49" fontId="3" fillId="0" borderId="0" xfId="28" applyNumberFormat="1" applyFill="1" applyBorder="1" applyAlignment="1">
      <alignment horizontal="right"/>
    </xf>
    <xf numFmtId="49" fontId="3" fillId="33" borderId="97" xfId="28" applyNumberFormat="1" applyFill="1" applyBorder="1" applyAlignment="1">
      <alignment horizontal="right"/>
    </xf>
    <xf numFmtId="49" fontId="3" fillId="33" borderId="0" xfId="28" applyNumberFormat="1" applyFill="1" applyBorder="1" applyAlignment="1">
      <alignment horizontal="right"/>
    </xf>
    <xf numFmtId="49" fontId="5" fillId="33" borderId="136" xfId="42" applyNumberFormat="1" applyFont="1" applyFill="1" applyBorder="1" applyAlignment="1">
      <alignment horizontal="right"/>
    </xf>
    <xf numFmtId="49" fontId="5" fillId="33" borderId="137" xfId="42" applyNumberFormat="1" applyFont="1" applyFill="1" applyBorder="1" applyAlignment="1">
      <alignment horizontal="right"/>
    </xf>
    <xf numFmtId="3" fontId="3" fillId="0" borderId="0" xfId="84" applyNumberFormat="1" applyFill="1" applyAlignment="1">
      <alignment horizontal="right" wrapText="1"/>
    </xf>
    <xf numFmtId="0" fontId="3" fillId="0" borderId="95" xfId="0" quotePrefix="1" applyNumberFormat="1" applyFont="1" applyBorder="1" applyAlignment="1">
      <alignment horizontal="center" wrapText="1"/>
    </xf>
    <xf numFmtId="164" fontId="3" fillId="0" borderId="142" xfId="28" applyNumberFormat="1" applyFont="1" applyFill="1" applyBorder="1"/>
    <xf numFmtId="0" fontId="3" fillId="0" borderId="117" xfId="0" applyFont="1" applyFill="1" applyBorder="1" applyAlignment="1"/>
    <xf numFmtId="0" fontId="5" fillId="0" borderId="120" xfId="0" applyFont="1" applyFill="1" applyBorder="1" applyAlignment="1"/>
    <xf numFmtId="4" fontId="3" fillId="0" borderId="21" xfId="28" applyNumberFormat="1" applyFont="1" applyFill="1" applyBorder="1" applyAlignment="1">
      <alignment horizontal="center"/>
    </xf>
    <xf numFmtId="0" fontId="7" fillId="0" borderId="91" xfId="42" quotePrefix="1" applyFont="1" applyFill="1" applyBorder="1" applyAlignment="1">
      <alignment horizontal="center" wrapText="1"/>
    </xf>
    <xf numFmtId="2" fontId="42" fillId="0" borderId="95" xfId="0" quotePrefix="1" applyNumberFormat="1" applyFont="1" applyBorder="1" applyAlignment="1">
      <alignment horizontal="center" wrapText="1"/>
    </xf>
    <xf numFmtId="0" fontId="3" fillId="0" borderId="27" xfId="42" applyBorder="1" applyAlignment="1">
      <alignment horizontal="right"/>
    </xf>
    <xf numFmtId="164" fontId="0" fillId="0" borderId="0" xfId="0" applyNumberFormat="1"/>
    <xf numFmtId="164" fontId="0" fillId="0" borderId="9" xfId="0" applyNumberFormat="1" applyBorder="1"/>
    <xf numFmtId="0" fontId="0" fillId="30" borderId="0" xfId="0" applyFill="1" applyAlignment="1">
      <alignment horizontal="center"/>
    </xf>
    <xf numFmtId="0" fontId="0" fillId="0" borderId="0" xfId="0" applyFont="1" applyFill="1"/>
    <xf numFmtId="4" fontId="3" fillId="0" borderId="0" xfId="42" applyNumberFormat="1"/>
    <xf numFmtId="4" fontId="3" fillId="0" borderId="9" xfId="78" applyNumberFormat="1" applyFont="1" applyBorder="1"/>
    <xf numFmtId="0" fontId="3" fillId="33" borderId="9" xfId="42" applyFill="1" applyBorder="1" applyAlignment="1">
      <alignment horizontal="center" wrapText="1"/>
    </xf>
    <xf numFmtId="174" fontId="42" fillId="0" borderId="0" xfId="0" quotePrefix="1" applyNumberFormat="1" applyFont="1" applyAlignment="1">
      <alignment horizontal="center"/>
    </xf>
    <xf numFmtId="15" fontId="5" fillId="27" borderId="0" xfId="42" applyNumberFormat="1" applyFont="1" applyFill="1" applyAlignment="1">
      <alignment horizontal="center"/>
    </xf>
    <xf numFmtId="3" fontId="3" fillId="0" borderId="0" xfId="0" applyNumberFormat="1" applyFont="1" applyAlignment="1">
      <alignment horizontal="right"/>
    </xf>
    <xf numFmtId="174" fontId="3" fillId="0" borderId="0" xfId="42" applyNumberFormat="1" applyFill="1" applyAlignment="1">
      <alignment horizontal="center"/>
    </xf>
    <xf numFmtId="174" fontId="3" fillId="0" borderId="13" xfId="42" applyNumberFormat="1" applyFill="1" applyBorder="1" applyAlignment="1">
      <alignment horizontal="center"/>
    </xf>
    <xf numFmtId="171" fontId="5" fillId="27" borderId="0" xfId="42" applyNumberFormat="1" applyFont="1" applyFill="1"/>
    <xf numFmtId="171" fontId="3" fillId="27" borderId="0" xfId="42" applyNumberFormat="1" applyFill="1"/>
    <xf numFmtId="0" fontId="3" fillId="0" borderId="9" xfId="42" applyBorder="1" applyAlignment="1">
      <alignment horizontal="center" wrapText="1"/>
    </xf>
    <xf numFmtId="41" fontId="3" fillId="0" borderId="0" xfId="28" applyNumberFormat="1" applyFill="1"/>
    <xf numFmtId="0" fontId="61" fillId="0" borderId="0" xfId="0" applyFont="1"/>
    <xf numFmtId="2" fontId="42" fillId="0" borderId="0" xfId="0" quotePrefix="1" applyNumberFormat="1" applyFont="1" applyFill="1" applyBorder="1" applyAlignment="1">
      <alignment horizontal="center" wrapText="1"/>
    </xf>
    <xf numFmtId="49" fontId="0" fillId="0" borderId="0" xfId="0" applyNumberFormat="1" applyFill="1" applyBorder="1" applyAlignment="1">
      <alignment horizontal="right"/>
    </xf>
    <xf numFmtId="49" fontId="5" fillId="0" borderId="0" xfId="42" applyNumberFormat="1" applyFont="1" applyFill="1" applyBorder="1" applyAlignment="1">
      <alignment horizontal="right"/>
    </xf>
    <xf numFmtId="43" fontId="3" fillId="0" borderId="0" xfId="28" applyFill="1"/>
    <xf numFmtId="43" fontId="3" fillId="0" borderId="0" xfId="42" applyNumberFormat="1" applyFill="1"/>
    <xf numFmtId="171" fontId="5" fillId="0" borderId="0" xfId="42" applyNumberFormat="1" applyFont="1" applyFill="1"/>
    <xf numFmtId="41" fontId="0" fillId="33" borderId="95" xfId="0" applyNumberFormat="1" applyFill="1" applyBorder="1" applyAlignment="1">
      <alignment horizontal="right"/>
    </xf>
    <xf numFmtId="41" fontId="3" fillId="33" borderId="95" xfId="28" applyNumberFormat="1" applyFill="1" applyBorder="1" applyAlignment="1">
      <alignment horizontal="right"/>
    </xf>
    <xf numFmtId="41" fontId="5" fillId="33" borderId="138" xfId="42" applyNumberFormat="1" applyFont="1" applyFill="1" applyBorder="1" applyAlignment="1">
      <alignment horizontal="right"/>
    </xf>
    <xf numFmtId="0" fontId="3" fillId="27" borderId="133" xfId="42" applyFill="1" applyBorder="1" applyAlignment="1">
      <alignment horizontal="center" wrapText="1"/>
    </xf>
    <xf numFmtId="43" fontId="3" fillId="27" borderId="91" xfId="42" applyNumberFormat="1" applyFill="1" applyBorder="1" applyAlignment="1">
      <alignment horizontal="center" wrapText="1"/>
    </xf>
    <xf numFmtId="2" fontId="42" fillId="0" borderId="97" xfId="0" quotePrefix="1" applyNumberFormat="1" applyFont="1" applyBorder="1" applyAlignment="1">
      <alignment horizontal="center" wrapText="1"/>
    </xf>
    <xf numFmtId="41" fontId="0" fillId="33" borderId="96" xfId="0" applyNumberFormat="1" applyFill="1" applyBorder="1" applyAlignment="1">
      <alignment horizontal="right"/>
    </xf>
    <xf numFmtId="41" fontId="3" fillId="33" borderId="96" xfId="28" applyNumberFormat="1" applyFill="1" applyBorder="1" applyAlignment="1">
      <alignment horizontal="right"/>
    </xf>
    <xf numFmtId="41" fontId="5" fillId="33" borderId="143" xfId="42" applyNumberFormat="1" applyFont="1" applyFill="1" applyBorder="1" applyAlignment="1">
      <alignment horizontal="right"/>
    </xf>
    <xf numFmtId="0" fontId="7" fillId="0" borderId="0" xfId="42" applyFont="1" applyFill="1"/>
    <xf numFmtId="3" fontId="3" fillId="0" borderId="0" xfId="42" applyNumberFormat="1" applyFont="1" applyFill="1"/>
    <xf numFmtId="3" fontId="3" fillId="0" borderId="9" xfId="42" applyNumberFormat="1" applyFont="1" applyFill="1" applyBorder="1"/>
    <xf numFmtId="0" fontId="3" fillId="0" borderId="27" xfId="42" applyFont="1" applyFill="1" applyBorder="1" applyAlignment="1">
      <alignment horizontal="center"/>
    </xf>
    <xf numFmtId="0" fontId="3" fillId="0" borderId="28" xfId="42" applyFont="1" applyFill="1" applyBorder="1" applyAlignment="1">
      <alignment horizontal="center"/>
    </xf>
    <xf numFmtId="0" fontId="5" fillId="0" borderId="0" xfId="84" applyFont="1"/>
    <xf numFmtId="0" fontId="3" fillId="0" borderId="0" xfId="84"/>
    <xf numFmtId="0" fontId="3" fillId="0" borderId="0" xfId="84" applyFill="1"/>
    <xf numFmtId="0" fontId="5" fillId="0" borderId="0" xfId="84" applyFont="1" applyAlignment="1">
      <alignment horizontal="center"/>
    </xf>
    <xf numFmtId="0" fontId="5" fillId="0" borderId="27" xfId="0" applyFont="1" applyBorder="1" applyAlignment="1">
      <alignment horizontal="center"/>
    </xf>
    <xf numFmtId="0" fontId="3" fillId="0" borderId="9" xfId="42" applyBorder="1" applyAlignment="1">
      <alignment horizontal="center" wrapText="1"/>
    </xf>
    <xf numFmtId="0" fontId="7" fillId="0" borderId="0" xfId="42" applyFont="1" applyBorder="1" applyAlignment="1">
      <alignment horizontal="center"/>
    </xf>
    <xf numFmtId="0" fontId="7" fillId="0" borderId="0" xfId="42" quotePrefix="1" applyFont="1" applyFill="1" applyAlignment="1">
      <alignment horizontal="center" wrapText="1"/>
    </xf>
    <xf numFmtId="49" fontId="0" fillId="44" borderId="0" xfId="0" applyNumberFormat="1" applyFill="1" applyBorder="1" applyAlignment="1">
      <alignment horizontal="right"/>
    </xf>
    <xf numFmtId="49" fontId="3" fillId="44" borderId="0" xfId="28" applyNumberFormat="1" applyFill="1" applyBorder="1" applyAlignment="1">
      <alignment horizontal="right"/>
    </xf>
    <xf numFmtId="164" fontId="3" fillId="44" borderId="0" xfId="28" applyNumberFormat="1" applyFill="1" applyBorder="1"/>
    <xf numFmtId="49" fontId="5" fillId="44" borderId="0" xfId="28" applyNumberFormat="1" applyFont="1" applyFill="1" applyBorder="1" applyAlignment="1">
      <alignment horizontal="right"/>
    </xf>
    <xf numFmtId="49" fontId="0" fillId="44" borderId="95" xfId="0" applyNumberFormat="1" applyFill="1" applyBorder="1" applyAlignment="1">
      <alignment horizontal="right"/>
    </xf>
    <xf numFmtId="49" fontId="0" fillId="44" borderId="97" xfId="0" applyNumberFormat="1" applyFill="1" applyBorder="1" applyAlignment="1">
      <alignment horizontal="right"/>
    </xf>
    <xf numFmtId="49" fontId="3" fillId="44" borderId="95" xfId="28" applyNumberFormat="1" applyFill="1" applyBorder="1" applyAlignment="1">
      <alignment horizontal="right"/>
    </xf>
    <xf numFmtId="41" fontId="3" fillId="44" borderId="0" xfId="28" applyNumberFormat="1" applyFill="1" applyBorder="1" applyAlignment="1">
      <alignment horizontal="right"/>
    </xf>
    <xf numFmtId="49" fontId="3" fillId="44" borderId="135" xfId="28" applyNumberFormat="1" applyFill="1" applyBorder="1" applyAlignment="1">
      <alignment horizontal="right"/>
    </xf>
    <xf numFmtId="41" fontId="3" fillId="44" borderId="9" xfId="28" applyNumberFormat="1" applyFill="1" applyBorder="1" applyAlignment="1">
      <alignment horizontal="right"/>
    </xf>
    <xf numFmtId="49" fontId="5" fillId="44" borderId="138" xfId="42" applyNumberFormat="1" applyFont="1" applyFill="1" applyBorder="1" applyAlignment="1">
      <alignment horizontal="right"/>
    </xf>
    <xf numFmtId="49" fontId="3" fillId="44" borderId="9" xfId="28" applyNumberFormat="1" applyFill="1" applyBorder="1" applyAlignment="1">
      <alignment horizontal="right"/>
    </xf>
    <xf numFmtId="49" fontId="5" fillId="44" borderId="137" xfId="28" applyNumberFormat="1" applyFont="1" applyFill="1" applyBorder="1" applyAlignment="1">
      <alignment horizontal="right"/>
    </xf>
    <xf numFmtId="41" fontId="5" fillId="44" borderId="136" xfId="28" applyNumberFormat="1" applyFont="1" applyFill="1" applyBorder="1" applyAlignment="1">
      <alignment horizontal="right"/>
    </xf>
    <xf numFmtId="0" fontId="3" fillId="33" borderId="0" xfId="42" applyFill="1"/>
    <xf numFmtId="0" fontId="5" fillId="0" borderId="0" xfId="0" applyFont="1"/>
    <xf numFmtId="41" fontId="0" fillId="0" borderId="0" xfId="0" applyNumberFormat="1" applyBorder="1"/>
    <xf numFmtId="2" fontId="0" fillId="0" borderId="0" xfId="0" applyNumberFormat="1" applyFont="1" applyBorder="1" applyAlignment="1">
      <alignment vertical="top" wrapText="1"/>
    </xf>
    <xf numFmtId="14" fontId="3" fillId="0" borderId="0" xfId="42" applyNumberFormat="1"/>
    <xf numFmtId="41" fontId="3" fillId="0" borderId="0" xfId="42" applyNumberFormat="1" applyAlignment="1">
      <alignment horizontal="center"/>
    </xf>
    <xf numFmtId="14" fontId="3" fillId="0" borderId="0" xfId="42" applyNumberFormat="1" applyAlignment="1">
      <alignment wrapText="1"/>
    </xf>
    <xf numFmtId="42" fontId="3" fillId="0" borderId="0" xfId="42" applyNumberFormat="1" applyFont="1" applyFill="1" applyAlignment="1">
      <alignment horizontal="center"/>
    </xf>
    <xf numFmtId="5" fontId="8" fillId="24" borderId="0" xfId="42" applyNumberFormat="1" applyFont="1" applyFill="1" applyBorder="1"/>
    <xf numFmtId="164" fontId="3" fillId="27" borderId="0" xfId="42" applyNumberFormat="1" applyFill="1"/>
    <xf numFmtId="0" fontId="3" fillId="46" borderId="0" xfId="42" applyFill="1"/>
    <xf numFmtId="0" fontId="3" fillId="44" borderId="0" xfId="42" applyFill="1"/>
    <xf numFmtId="0" fontId="3" fillId="37" borderId="0" xfId="42" applyFill="1"/>
    <xf numFmtId="14" fontId="3" fillId="27" borderId="0" xfId="42" applyNumberFormat="1" applyFill="1" applyAlignment="1">
      <alignment horizontal="center"/>
    </xf>
    <xf numFmtId="41" fontId="0" fillId="33" borderId="10" xfId="0" applyNumberFormat="1" applyFill="1" applyBorder="1"/>
    <xf numFmtId="41" fontId="0" fillId="33" borderId="11" xfId="0" applyNumberFormat="1" applyFill="1" applyBorder="1"/>
    <xf numFmtId="37" fontId="39" fillId="27" borderId="0" xfId="73" applyNumberFormat="1" applyFill="1" applyAlignment="1" applyProtection="1"/>
    <xf numFmtId="164" fontId="39" fillId="0" borderId="81" xfId="73" applyNumberFormat="1" applyFont="1" applyFill="1" applyBorder="1" applyAlignment="1" applyProtection="1">
      <alignment horizontal="center"/>
    </xf>
    <xf numFmtId="0" fontId="3" fillId="0" borderId="0" xfId="84" applyBorder="1"/>
    <xf numFmtId="42" fontId="0" fillId="0" borderId="13" xfId="0" applyNumberFormat="1" applyFill="1" applyBorder="1"/>
    <xf numFmtId="41" fontId="5" fillId="0" borderId="137" xfId="0" applyNumberFormat="1" applyFont="1" applyBorder="1"/>
    <xf numFmtId="0" fontId="3" fillId="0" borderId="0" xfId="42" applyBorder="1" applyAlignment="1">
      <alignment wrapText="1"/>
    </xf>
    <xf numFmtId="0" fontId="3" fillId="0" borderId="0" xfId="42" applyBorder="1" applyAlignment="1">
      <alignment horizontal="right"/>
    </xf>
    <xf numFmtId="164" fontId="39" fillId="0" borderId="0" xfId="73" applyNumberFormat="1" applyFont="1" applyFill="1" applyBorder="1" applyAlignment="1" applyProtection="1">
      <alignment horizontal="center"/>
    </xf>
    <xf numFmtId="0" fontId="3" fillId="0" borderId="28" xfId="42" applyFont="1" applyFill="1" applyBorder="1" applyAlignment="1">
      <alignment horizontal="center" wrapText="1"/>
    </xf>
    <xf numFmtId="0" fontId="8" fillId="24" borderId="0" xfId="42" applyFont="1" applyFill="1" applyBorder="1" applyAlignment="1">
      <alignment horizontal="center" vertical="top" wrapText="1"/>
    </xf>
    <xf numFmtId="0" fontId="8" fillId="24" borderId="0" xfId="42" applyFont="1" applyFill="1" applyBorder="1" applyAlignment="1">
      <alignment vertical="top" wrapText="1"/>
    </xf>
    <xf numFmtId="42" fontId="3" fillId="29" borderId="0" xfId="42" applyNumberFormat="1" applyFill="1" applyBorder="1"/>
    <xf numFmtId="42" fontId="8" fillId="0" borderId="0" xfId="42" applyNumberFormat="1" applyFont="1" applyFill="1" applyBorder="1" applyAlignment="1">
      <alignment horizontal="center" vertical="top" wrapText="1"/>
    </xf>
    <xf numFmtId="42" fontId="3" fillId="0" borderId="0" xfId="42" applyNumberFormat="1" applyFill="1" applyBorder="1"/>
    <xf numFmtId="42" fontId="3" fillId="0" borderId="0" xfId="42" applyNumberFormat="1" applyFill="1" applyBorder="1" applyAlignment="1">
      <alignment horizontal="center"/>
    </xf>
    <xf numFmtId="42" fontId="3" fillId="0" borderId="9" xfId="42" applyNumberFormat="1" applyBorder="1"/>
    <xf numFmtId="0" fontId="3" fillId="0" borderId="9" xfId="42" applyBorder="1" applyAlignment="1">
      <alignment wrapText="1"/>
    </xf>
    <xf numFmtId="0" fontId="3" fillId="0" borderId="9" xfId="42" applyBorder="1" applyAlignment="1">
      <alignment horizontal="right"/>
    </xf>
    <xf numFmtId="42" fontId="3" fillId="0" borderId="0" xfId="42" applyNumberFormat="1" applyBorder="1"/>
    <xf numFmtId="0" fontId="3" fillId="0" borderId="0" xfId="42" applyNumberFormat="1" applyBorder="1" applyAlignment="1">
      <alignment horizontal="center"/>
    </xf>
    <xf numFmtId="0" fontId="0" fillId="0" borderId="28" xfId="0" applyBorder="1" applyAlignment="1">
      <alignment horizontal="center"/>
    </xf>
    <xf numFmtId="0" fontId="3" fillId="0" borderId="0" xfId="84" applyAlignment="1">
      <alignment horizontal="center" wrapText="1"/>
    </xf>
    <xf numFmtId="0" fontId="3" fillId="0" borderId="0" xfId="84" applyBorder="1" applyAlignment="1">
      <alignment horizontal="center" wrapText="1"/>
    </xf>
    <xf numFmtId="174" fontId="3" fillId="0" borderId="0" xfId="42" applyNumberFormat="1" applyBorder="1" applyAlignment="1">
      <alignment horizontal="right"/>
    </xf>
    <xf numFmtId="174" fontId="3" fillId="27" borderId="0" xfId="42" applyNumberFormat="1" applyFont="1" applyFill="1" applyBorder="1" applyAlignment="1">
      <alignment horizontal="right"/>
    </xf>
    <xf numFmtId="174" fontId="3" fillId="0" borderId="0" xfId="42" applyNumberFormat="1" applyAlignment="1">
      <alignment horizontal="center"/>
    </xf>
    <xf numFmtId="174" fontId="3" fillId="0" borderId="0" xfId="42" applyNumberFormat="1" applyBorder="1" applyAlignment="1">
      <alignment horizontal="center"/>
    </xf>
    <xf numFmtId="174" fontId="3" fillId="0" borderId="9" xfId="42" applyNumberFormat="1" applyBorder="1" applyAlignment="1">
      <alignment horizontal="center"/>
    </xf>
    <xf numFmtId="42" fontId="3" fillId="44" borderId="0" xfId="28" applyNumberFormat="1" applyFill="1" applyBorder="1" applyAlignment="1">
      <alignment horizontal="right"/>
    </xf>
    <xf numFmtId="38" fontId="3" fillId="29" borderId="0" xfId="0" applyNumberFormat="1" applyFont="1" applyFill="1" applyBorder="1" applyAlignment="1">
      <alignment horizontal="center"/>
    </xf>
    <xf numFmtId="0" fontId="3" fillId="0" borderId="0" xfId="0" applyFont="1" applyFill="1" applyAlignment="1">
      <alignment horizontal="center"/>
    </xf>
    <xf numFmtId="0" fontId="0" fillId="0" borderId="0" xfId="0" applyAlignment="1">
      <alignment vertical="top"/>
    </xf>
    <xf numFmtId="174" fontId="3" fillId="0" borderId="0" xfId="42" applyNumberFormat="1"/>
    <xf numFmtId="1" fontId="3" fillId="0" borderId="0" xfId="0" applyNumberFormat="1" applyFont="1" applyFill="1"/>
    <xf numFmtId="0" fontId="3" fillId="0" borderId="18" xfId="0" applyFont="1" applyBorder="1" applyAlignment="1">
      <alignment horizontal="center"/>
    </xf>
    <xf numFmtId="0" fontId="3" fillId="0" borderId="18" xfId="0" applyFont="1" applyBorder="1" applyAlignment="1">
      <alignment horizontal="center" wrapText="1"/>
    </xf>
    <xf numFmtId="0" fontId="49" fillId="0" borderId="0" xfId="0" applyFont="1" applyAlignment="1">
      <alignment horizontal="left"/>
    </xf>
    <xf numFmtId="0" fontId="3" fillId="33" borderId="0" xfId="82" applyFont="1" applyFill="1" applyAlignment="1">
      <alignment horizontal="center" wrapText="1"/>
    </xf>
    <xf numFmtId="41" fontId="3" fillId="33" borderId="0" xfId="82" applyNumberFormat="1" applyFill="1"/>
    <xf numFmtId="2" fontId="5" fillId="33" borderId="13" xfId="82" applyNumberFormat="1" applyFont="1" applyFill="1" applyBorder="1" applyAlignment="1"/>
    <xf numFmtId="41" fontId="5" fillId="33" borderId="13" xfId="82" applyNumberFormat="1" applyFont="1" applyFill="1" applyBorder="1"/>
    <xf numFmtId="2" fontId="42" fillId="0" borderId="0" xfId="42" quotePrefix="1" applyNumberFormat="1" applyFont="1" applyBorder="1" applyAlignment="1">
      <alignment horizontal="center" wrapText="1"/>
    </xf>
    <xf numFmtId="0" fontId="42" fillId="0" borderId="95" xfId="42" quotePrefix="1" applyNumberFormat="1" applyFont="1" applyFill="1" applyBorder="1" applyAlignment="1">
      <alignment horizontal="center" wrapText="1"/>
    </xf>
    <xf numFmtId="0" fontId="3" fillId="33" borderId="134" xfId="82" applyFont="1" applyFill="1" applyBorder="1" applyAlignment="1">
      <alignment horizontal="center" wrapText="1"/>
    </xf>
    <xf numFmtId="171" fontId="3" fillId="33" borderId="0" xfId="82" applyNumberFormat="1" applyFill="1" applyBorder="1"/>
    <xf numFmtId="41" fontId="3" fillId="33" borderId="0" xfId="82" applyNumberFormat="1" applyFill="1" applyBorder="1"/>
    <xf numFmtId="41" fontId="3" fillId="33" borderId="95" xfId="82" applyNumberFormat="1" applyFill="1" applyBorder="1"/>
    <xf numFmtId="171" fontId="5" fillId="33" borderId="13" xfId="82" applyNumberFormat="1" applyFont="1" applyFill="1" applyBorder="1"/>
    <xf numFmtId="41" fontId="5" fillId="33" borderId="148" xfId="82" applyNumberFormat="1" applyFont="1" applyFill="1" applyBorder="1"/>
    <xf numFmtId="0" fontId="3" fillId="0" borderId="0" xfId="82"/>
    <xf numFmtId="0" fontId="5" fillId="0" borderId="0" xfId="82" applyFont="1"/>
    <xf numFmtId="174" fontId="65" fillId="0" borderId="149" xfId="87" applyNumberFormat="1" applyFont="1" applyFill="1" applyBorder="1" applyAlignment="1">
      <alignment wrapText="1"/>
    </xf>
    <xf numFmtId="0" fontId="65" fillId="0" borderId="149" xfId="87" applyFont="1" applyFill="1" applyBorder="1" applyAlignment="1">
      <alignment horizontal="right" wrapText="1"/>
    </xf>
    <xf numFmtId="164" fontId="65" fillId="0" borderId="149" xfId="28" applyNumberFormat="1" applyFont="1" applyFill="1" applyBorder="1" applyAlignment="1">
      <alignment horizontal="right" wrapText="1"/>
    </xf>
    <xf numFmtId="0" fontId="3" fillId="0" borderId="18" xfId="82" applyFill="1" applyBorder="1"/>
    <xf numFmtId="164" fontId="3" fillId="0" borderId="18" xfId="82" applyNumberFormat="1" applyFill="1" applyBorder="1"/>
    <xf numFmtId="2" fontId="3" fillId="33" borderId="0" xfId="82" applyNumberFormat="1" applyFill="1" applyBorder="1" applyAlignment="1"/>
    <xf numFmtId="174" fontId="0" fillId="0" borderId="0" xfId="0" quotePrefix="1" applyNumberFormat="1" applyAlignment="1">
      <alignment horizontal="center"/>
    </xf>
    <xf numFmtId="174" fontId="42" fillId="42" borderId="0" xfId="0" quotePrefix="1" applyNumberFormat="1" applyFont="1" applyFill="1" applyAlignment="1">
      <alignment horizontal="center"/>
    </xf>
    <xf numFmtId="4" fontId="0" fillId="0" borderId="0" xfId="0" applyNumberFormat="1" applyAlignment="1">
      <alignment horizontal="right"/>
    </xf>
    <xf numFmtId="4" fontId="3" fillId="27" borderId="0" xfId="42" applyNumberFormat="1" applyFill="1"/>
    <xf numFmtId="0" fontId="3" fillId="0" borderId="18" xfId="82" applyNumberFormat="1" applyFill="1" applyBorder="1"/>
    <xf numFmtId="174" fontId="3" fillId="27" borderId="0" xfId="42" applyNumberFormat="1" applyFill="1"/>
    <xf numFmtId="0" fontId="3" fillId="0" borderId="0" xfId="42" applyFill="1" applyBorder="1" applyAlignment="1">
      <alignment horizontal="center"/>
    </xf>
    <xf numFmtId="37" fontId="3" fillId="27" borderId="0" xfId="42" applyNumberFormat="1" applyFill="1" applyBorder="1"/>
    <xf numFmtId="164" fontId="3" fillId="27" borderId="0" xfId="28" applyNumberFormat="1" applyFont="1" applyFill="1" applyBorder="1"/>
    <xf numFmtId="42" fontId="3" fillId="27" borderId="0" xfId="42" applyNumberFormat="1" applyFont="1" applyFill="1" applyBorder="1"/>
    <xf numFmtId="0" fontId="3" fillId="27" borderId="0" xfId="42" applyFont="1" applyFill="1" applyBorder="1"/>
    <xf numFmtId="38" fontId="35" fillId="37" borderId="0" xfId="28" applyNumberFormat="1" applyFont="1" applyFill="1" applyAlignment="1" applyProtection="1"/>
    <xf numFmtId="164" fontId="3" fillId="37" borderId="0" xfId="28" applyNumberFormat="1" applyFill="1" applyBorder="1" applyAlignment="1"/>
    <xf numFmtId="0" fontId="3" fillId="37" borderId="0" xfId="42" applyFill="1" applyBorder="1" applyAlignment="1"/>
    <xf numFmtId="41" fontId="0" fillId="37" borderId="0" xfId="82" applyNumberFormat="1" applyFont="1" applyFill="1" applyBorder="1" applyAlignment="1">
      <alignment horizontal="center"/>
    </xf>
    <xf numFmtId="164" fontId="3" fillId="37" borderId="0" xfId="28" applyNumberFormat="1" applyFill="1"/>
    <xf numFmtId="42" fontId="3" fillId="37" borderId="0" xfId="28" applyNumberFormat="1" applyFill="1"/>
    <xf numFmtId="41" fontId="3" fillId="37" borderId="0" xfId="28" applyNumberFormat="1" applyFill="1"/>
    <xf numFmtId="42" fontId="3" fillId="37" borderId="0" xfId="42" applyNumberFormat="1" applyFill="1"/>
    <xf numFmtId="42" fontId="3" fillId="37" borderId="0" xfId="82" applyNumberFormat="1" applyFill="1"/>
    <xf numFmtId="41" fontId="3" fillId="37" borderId="0" xfId="42" applyNumberFormat="1" applyFill="1"/>
    <xf numFmtId="41" fontId="3" fillId="37" borderId="0" xfId="82" applyNumberFormat="1" applyFill="1"/>
    <xf numFmtId="164" fontId="3" fillId="37" borderId="0" xfId="28" applyNumberFormat="1" applyFill="1" applyBorder="1"/>
    <xf numFmtId="41" fontId="3" fillId="37" borderId="0" xfId="28" applyNumberFormat="1" applyFill="1" applyBorder="1"/>
    <xf numFmtId="41" fontId="3" fillId="37" borderId="0" xfId="42" applyNumberFormat="1" applyFill="1" applyBorder="1"/>
    <xf numFmtId="41" fontId="3" fillId="37" borderId="0" xfId="82" applyNumberFormat="1" applyFill="1" applyBorder="1"/>
    <xf numFmtId="164" fontId="3" fillId="37" borderId="9" xfId="28" applyNumberFormat="1" applyFill="1" applyBorder="1"/>
    <xf numFmtId="41" fontId="3" fillId="37" borderId="9" xfId="28" applyNumberFormat="1" applyFill="1" applyBorder="1"/>
    <xf numFmtId="41" fontId="3" fillId="37" borderId="9" xfId="42" applyNumberFormat="1" applyFill="1" applyBorder="1"/>
    <xf numFmtId="164" fontId="5" fillId="37" borderId="13" xfId="42" applyNumberFormat="1" applyFont="1" applyFill="1" applyBorder="1"/>
    <xf numFmtId="42" fontId="5" fillId="37" borderId="13" xfId="28" applyNumberFormat="1" applyFont="1" applyFill="1" applyBorder="1"/>
    <xf numFmtId="42" fontId="5" fillId="37" borderId="129" xfId="28" applyNumberFormat="1" applyFont="1" applyFill="1" applyBorder="1"/>
    <xf numFmtId="0" fontId="5" fillId="30" borderId="18" xfId="42" applyFont="1" applyFill="1" applyBorder="1" applyAlignment="1">
      <alignment horizontal="center" wrapText="1"/>
    </xf>
    <xf numFmtId="0" fontId="3" fillId="30" borderId="18" xfId="42" applyFill="1" applyBorder="1" applyAlignment="1">
      <alignment horizontal="center" wrapText="1"/>
    </xf>
    <xf numFmtId="174" fontId="0" fillId="0" borderId="0" xfId="0" applyNumberFormat="1" applyAlignment="1"/>
    <xf numFmtId="43" fontId="3" fillId="0" borderId="0" xfId="78" applyNumberFormat="1" applyFont="1"/>
    <xf numFmtId="0" fontId="7" fillId="33" borderId="0" xfId="0" applyFont="1" applyFill="1" applyBorder="1"/>
    <xf numFmtId="0" fontId="7" fillId="33" borderId="0" xfId="42" applyFont="1" applyFill="1" applyBorder="1"/>
    <xf numFmtId="0" fontId="49" fillId="33" borderId="0" xfId="42" applyFont="1" applyFill="1" applyBorder="1"/>
    <xf numFmtId="0" fontId="3" fillId="0" borderId="9" xfId="42" applyBorder="1" applyAlignment="1">
      <alignment horizontal="center" wrapText="1"/>
    </xf>
    <xf numFmtId="0" fontId="3" fillId="0" borderId="0" xfId="0" applyFont="1" applyFill="1" applyAlignment="1">
      <alignment horizontal="center"/>
    </xf>
    <xf numFmtId="0" fontId="7" fillId="0" borderId="0" xfId="42" applyFont="1" applyBorder="1" applyAlignment="1">
      <alignment horizontal="center"/>
    </xf>
    <xf numFmtId="0" fontId="5" fillId="0" borderId="0" xfId="0" applyFont="1" applyFill="1" applyBorder="1" applyAlignment="1">
      <alignment horizontal="center" wrapText="1"/>
    </xf>
    <xf numFmtId="0" fontId="5" fillId="0" borderId="116" xfId="0" applyFont="1" applyFill="1" applyBorder="1" applyAlignment="1"/>
    <xf numFmtId="44" fontId="46" fillId="0" borderId="0" xfId="0" applyNumberFormat="1" applyFont="1" applyAlignment="1">
      <alignment horizontal="center"/>
    </xf>
    <xf numFmtId="0" fontId="8" fillId="0" borderId="0" xfId="42" applyFont="1" applyBorder="1" applyAlignment="1">
      <alignment vertical="top"/>
    </xf>
    <xf numFmtId="0" fontId="3" fillId="0" borderId="19" xfId="42" applyBorder="1"/>
    <xf numFmtId="0" fontId="7" fillId="0" borderId="19" xfId="42" applyFont="1" applyBorder="1" applyAlignment="1">
      <alignment vertical="top" wrapText="1"/>
    </xf>
    <xf numFmtId="174" fontId="3" fillId="0" borderId="26" xfId="42" applyNumberFormat="1" applyBorder="1" applyAlignment="1">
      <alignment horizontal="right"/>
    </xf>
    <xf numFmtId="0" fontId="7" fillId="0" borderId="26" xfId="42" applyFont="1" applyBorder="1" applyAlignment="1">
      <alignment horizontal="center" vertical="top" wrapText="1"/>
    </xf>
    <xf numFmtId="0" fontId="7" fillId="0" borderId="26" xfId="42" applyFont="1" applyBorder="1" applyAlignment="1">
      <alignment vertical="top" wrapText="1"/>
    </xf>
    <xf numFmtId="0" fontId="7" fillId="0" borderId="21" xfId="42" applyFont="1" applyBorder="1" applyAlignment="1">
      <alignment vertical="top" wrapText="1"/>
    </xf>
    <xf numFmtId="174" fontId="3" fillId="0" borderId="9" xfId="42" applyNumberFormat="1" applyBorder="1" applyAlignment="1">
      <alignment horizontal="right"/>
    </xf>
    <xf numFmtId="0" fontId="7" fillId="0" borderId="9" xfId="42" applyFont="1" applyBorder="1" applyAlignment="1">
      <alignment horizontal="center" vertical="top" wrapText="1"/>
    </xf>
    <xf numFmtId="0" fontId="7" fillId="0" borderId="9" xfId="42" applyFont="1" applyBorder="1" applyAlignment="1">
      <alignment vertical="top" wrapText="1"/>
    </xf>
    <xf numFmtId="42" fontId="3" fillId="29" borderId="9" xfId="42" applyNumberFormat="1" applyFill="1" applyBorder="1"/>
    <xf numFmtId="42" fontId="5" fillId="29" borderId="9" xfId="42" applyNumberFormat="1" applyFont="1" applyFill="1" applyBorder="1" applyAlignment="1">
      <alignment horizontal="center"/>
    </xf>
    <xf numFmtId="0" fontId="41" fillId="0" borderId="22" xfId="42" applyFont="1" applyFill="1" applyBorder="1" applyAlignment="1">
      <alignment horizontal="center"/>
    </xf>
    <xf numFmtId="0" fontId="7" fillId="0" borderId="23" xfId="42" applyFont="1" applyBorder="1" applyAlignment="1">
      <alignment vertical="top"/>
    </xf>
    <xf numFmtId="0" fontId="41" fillId="0" borderId="24" xfId="42" applyFont="1" applyFill="1" applyBorder="1" applyAlignment="1">
      <alignment horizontal="center"/>
    </xf>
    <xf numFmtId="42" fontId="8" fillId="0" borderId="9" xfId="42" applyNumberFormat="1" applyFont="1" applyFill="1" applyBorder="1" applyAlignment="1">
      <alignment horizontal="center" vertical="top" wrapText="1"/>
    </xf>
    <xf numFmtId="0" fontId="8" fillId="0" borderId="93" xfId="42" applyFont="1" applyBorder="1" applyAlignment="1">
      <alignment vertical="center" wrapText="1"/>
    </xf>
    <xf numFmtId="0" fontId="8" fillId="0" borderId="94" xfId="42" applyFont="1" applyBorder="1" applyAlignment="1">
      <alignment vertical="center" wrapText="1"/>
    </xf>
    <xf numFmtId="0" fontId="8" fillId="0" borderId="93" xfId="42" applyFont="1" applyBorder="1" applyAlignment="1">
      <alignment horizontal="center" vertical="center" wrapText="1"/>
    </xf>
    <xf numFmtId="0" fontId="0" fillId="0" borderId="0" xfId="0" applyAlignment="1">
      <alignment horizontal="center" vertical="center"/>
    </xf>
    <xf numFmtId="174" fontId="0" fillId="0" borderId="0" xfId="0" applyNumberFormat="1" applyAlignment="1">
      <alignment horizontal="center" vertical="center"/>
    </xf>
    <xf numFmtId="41" fontId="0" fillId="0" borderId="0" xfId="0" applyNumberFormat="1" applyAlignment="1">
      <alignment horizontal="center" vertical="center"/>
    </xf>
    <xf numFmtId="38" fontId="3" fillId="0" borderId="0" xfId="0" applyNumberFormat="1" applyFont="1" applyAlignment="1">
      <alignment vertical="center"/>
    </xf>
    <xf numFmtId="38" fontId="0" fillId="0" borderId="0" xfId="0" applyNumberFormat="1" applyAlignment="1">
      <alignment vertical="center"/>
    </xf>
    <xf numFmtId="41" fontId="0" fillId="38" borderId="0" xfId="0" applyNumberFormat="1" applyFill="1" applyBorder="1" applyAlignment="1">
      <alignment vertical="center"/>
    </xf>
    <xf numFmtId="41" fontId="0" fillId="29" borderId="0" xfId="0" applyNumberFormat="1" applyFill="1" applyBorder="1" applyAlignment="1">
      <alignment vertical="center"/>
    </xf>
    <xf numFmtId="0" fontId="0" fillId="37" borderId="0" xfId="0" applyFill="1" applyAlignment="1">
      <alignment vertical="center"/>
    </xf>
    <xf numFmtId="42" fontId="0" fillId="29" borderId="0" xfId="0" applyNumberFormat="1" applyFill="1" applyAlignment="1">
      <alignment vertical="center"/>
    </xf>
    <xf numFmtId="42" fontId="0" fillId="38" borderId="0" xfId="0" applyNumberFormat="1" applyFill="1" applyAlignment="1">
      <alignment vertical="center"/>
    </xf>
    <xf numFmtId="41" fontId="0" fillId="0" borderId="0" xfId="0" applyNumberFormat="1" applyAlignment="1">
      <alignment vertical="center"/>
    </xf>
    <xf numFmtId="41" fontId="0" fillId="29" borderId="0" xfId="0" applyNumberFormat="1" applyFill="1" applyAlignment="1">
      <alignment vertical="center"/>
    </xf>
    <xf numFmtId="42" fontId="0" fillId="0" borderId="0" xfId="0" applyNumberFormat="1" applyAlignment="1">
      <alignment vertical="center"/>
    </xf>
    <xf numFmtId="0" fontId="0" fillId="38" borderId="0" xfId="0" applyFill="1" applyAlignment="1">
      <alignment vertical="center"/>
    </xf>
    <xf numFmtId="0" fontId="0" fillId="0" borderId="0" xfId="0" applyAlignment="1">
      <alignment vertical="center"/>
    </xf>
    <xf numFmtId="0" fontId="3" fillId="0" borderId="0" xfId="42" applyAlignment="1">
      <alignment horizontal="center" vertical="center"/>
    </xf>
    <xf numFmtId="0" fontId="5" fillId="0" borderId="0" xfId="77" applyFont="1" applyAlignment="1">
      <alignment vertical="center" wrapText="1"/>
    </xf>
    <xf numFmtId="174" fontId="41" fillId="0" borderId="0" xfId="0" quotePrefix="1" applyNumberFormat="1" applyFont="1" applyAlignment="1">
      <alignment horizontal="center" vertical="center"/>
    </xf>
    <xf numFmtId="38" fontId="5" fillId="0" borderId="0" xfId="0" applyNumberFormat="1" applyFont="1" applyAlignment="1">
      <alignment vertical="center"/>
    </xf>
    <xf numFmtId="0" fontId="5" fillId="0" borderId="0" xfId="0" applyFont="1" applyAlignment="1">
      <alignment vertical="center"/>
    </xf>
    <xf numFmtId="43" fontId="5" fillId="0" borderId="0" xfId="78" applyNumberFormat="1" applyFont="1" applyAlignment="1">
      <alignment vertical="center"/>
    </xf>
    <xf numFmtId="0" fontId="5" fillId="0" borderId="0" xfId="77" applyFont="1" applyAlignment="1">
      <alignment vertical="center"/>
    </xf>
    <xf numFmtId="2" fontId="5" fillId="0" borderId="0" xfId="0" applyNumberFormat="1" applyFont="1" applyBorder="1" applyAlignment="1">
      <alignment vertical="center" wrapText="1"/>
    </xf>
    <xf numFmtId="0" fontId="5" fillId="0" borderId="0" xfId="0" applyFont="1" applyBorder="1" applyAlignment="1">
      <alignment vertical="center" wrapText="1"/>
    </xf>
    <xf numFmtId="0" fontId="66" fillId="37" borderId="0" xfId="83" applyFont="1" applyFill="1" applyBorder="1" applyAlignment="1">
      <alignment vertical="center" wrapText="1"/>
    </xf>
    <xf numFmtId="174" fontId="41" fillId="0" borderId="0" xfId="0" quotePrefix="1" applyNumberFormat="1" applyFont="1" applyFill="1" applyAlignment="1">
      <alignment horizontal="center" vertical="center"/>
    </xf>
    <xf numFmtId="43" fontId="5" fillId="0" borderId="0" xfId="77" applyNumberFormat="1" applyFont="1" applyAlignment="1">
      <alignment vertical="center"/>
    </xf>
    <xf numFmtId="0" fontId="5" fillId="0" borderId="0" xfId="42" applyFont="1" applyAlignment="1">
      <alignment horizontal="center"/>
    </xf>
    <xf numFmtId="0" fontId="5" fillId="0" borderId="0" xfId="42" applyFont="1" applyFill="1" applyAlignment="1">
      <alignment horizontal="center"/>
    </xf>
    <xf numFmtId="49" fontId="5" fillId="0" borderId="0" xfId="42" applyNumberFormat="1" applyFont="1" applyAlignment="1">
      <alignment horizontal="center"/>
    </xf>
    <xf numFmtId="49" fontId="5" fillId="33" borderId="97" xfId="28" applyNumberFormat="1" applyFont="1" applyFill="1" applyBorder="1" applyAlignment="1">
      <alignment horizontal="right"/>
    </xf>
    <xf numFmtId="49" fontId="5" fillId="33" borderId="0" xfId="28" applyNumberFormat="1" applyFont="1" applyFill="1" applyBorder="1" applyAlignment="1">
      <alignment horizontal="right"/>
    </xf>
    <xf numFmtId="49" fontId="5" fillId="0" borderId="0" xfId="28" applyNumberFormat="1" applyFont="1" applyFill="1" applyBorder="1" applyAlignment="1">
      <alignment horizontal="right"/>
    </xf>
    <xf numFmtId="37" fontId="5" fillId="27" borderId="0" xfId="42" applyNumberFormat="1" applyFont="1" applyFill="1"/>
    <xf numFmtId="0" fontId="5" fillId="29" borderId="0" xfId="42" applyFont="1" applyFill="1"/>
    <xf numFmtId="0" fontId="7" fillId="0" borderId="94" xfId="42" applyFont="1" applyBorder="1" applyAlignment="1">
      <alignment vertical="center" wrapText="1"/>
    </xf>
    <xf numFmtId="42" fontId="0" fillId="0" borderId="0" xfId="0" applyNumberFormat="1" applyAlignment="1">
      <alignment horizontal="center" vertical="center"/>
    </xf>
    <xf numFmtId="0" fontId="8" fillId="0" borderId="94" xfId="42" applyFont="1" applyFill="1" applyBorder="1" applyAlignment="1">
      <alignment vertical="center" wrapText="1"/>
    </xf>
    <xf numFmtId="0" fontId="7" fillId="0" borderId="93" xfId="42" applyFont="1" applyBorder="1" applyAlignment="1">
      <alignment horizontal="center" vertical="center" wrapText="1"/>
    </xf>
    <xf numFmtId="0" fontId="3" fillId="0" borderId="0" xfId="0" applyFont="1" applyAlignment="1">
      <alignment vertical="center" wrapText="1"/>
    </xf>
    <xf numFmtId="0" fontId="39" fillId="0" borderId="0" xfId="73" applyBorder="1" applyAlignment="1" applyProtection="1">
      <alignment horizontal="center" vertical="center" wrapText="1"/>
    </xf>
    <xf numFmtId="0" fontId="39" fillId="0" borderId="96" xfId="73" applyBorder="1" applyAlignment="1" applyProtection="1">
      <alignment horizontal="center" vertical="center" wrapText="1"/>
    </xf>
    <xf numFmtId="0" fontId="39" fillId="0" borderId="0" xfId="73" applyAlignment="1" applyProtection="1">
      <alignment horizontal="center" vertical="center"/>
    </xf>
    <xf numFmtId="0" fontId="3" fillId="0" borderId="0" xfId="0" applyFont="1" applyAlignment="1">
      <alignment horizontal="center" vertical="center"/>
    </xf>
    <xf numFmtId="37" fontId="3" fillId="27" borderId="0" xfId="42" applyNumberFormat="1" applyFill="1" applyAlignment="1">
      <alignment vertical="center"/>
    </xf>
    <xf numFmtId="37" fontId="39" fillId="27" borderId="0" xfId="73" applyNumberFormat="1" applyFill="1" applyAlignment="1" applyProtection="1">
      <alignment vertical="center"/>
    </xf>
    <xf numFmtId="0" fontId="3" fillId="0" borderId="0" xfId="42" applyFont="1" applyBorder="1" applyAlignment="1">
      <alignment vertical="center" wrapText="1"/>
    </xf>
    <xf numFmtId="0" fontId="5" fillId="0" borderId="116" xfId="0" applyFont="1" applyFill="1" applyBorder="1" applyAlignment="1"/>
    <xf numFmtId="0" fontId="5" fillId="0" borderId="117" xfId="0" applyFont="1" applyFill="1" applyBorder="1" applyAlignment="1"/>
    <xf numFmtId="0" fontId="5" fillId="0" borderId="27" xfId="42" applyFont="1" applyBorder="1" applyAlignment="1">
      <alignment horizontal="center" vertical="top" wrapText="1"/>
    </xf>
    <xf numFmtId="164" fontId="39" fillId="0" borderId="0" xfId="88" applyNumberFormat="1" applyFont="1" applyFill="1" applyBorder="1" applyAlignment="1" applyProtection="1">
      <alignment horizontal="center"/>
    </xf>
    <xf numFmtId="37" fontId="5" fillId="0" borderId="9" xfId="42" applyNumberFormat="1" applyFont="1" applyFill="1" applyBorder="1" applyAlignment="1">
      <alignment horizontal="center"/>
    </xf>
    <xf numFmtId="164" fontId="5" fillId="42" borderId="118" xfId="0" applyNumberFormat="1" applyFont="1" applyFill="1" applyBorder="1" applyAlignment="1"/>
    <xf numFmtId="0" fontId="3" fillId="0" borderId="9" xfId="42" applyBorder="1" applyAlignment="1">
      <alignment horizontal="center" wrapText="1"/>
    </xf>
    <xf numFmtId="0" fontId="42" fillId="0" borderId="0" xfId="84" quotePrefix="1" applyNumberFormat="1" applyFont="1" applyAlignment="1">
      <alignment horizontal="center" wrapText="1"/>
    </xf>
    <xf numFmtId="0" fontId="3" fillId="0" borderId="0" xfId="84" quotePrefix="1" applyNumberFormat="1" applyBorder="1" applyAlignment="1">
      <alignment horizontal="right" wrapText="1"/>
    </xf>
    <xf numFmtId="2" fontId="42" fillId="0" borderId="0" xfId="84" quotePrefix="1" applyNumberFormat="1" applyFont="1" applyAlignment="1">
      <alignment horizontal="center" wrapText="1"/>
    </xf>
    <xf numFmtId="49" fontId="3" fillId="33" borderId="0" xfId="84" applyNumberFormat="1" applyFill="1" applyBorder="1" applyAlignment="1">
      <alignment horizontal="right"/>
    </xf>
    <xf numFmtId="41" fontId="3" fillId="25" borderId="0" xfId="28" applyNumberFormat="1" applyFill="1" applyBorder="1" applyAlignment="1">
      <alignment horizontal="right"/>
    </xf>
    <xf numFmtId="44" fontId="3" fillId="29" borderId="0" xfId="28" applyNumberFormat="1" applyFill="1"/>
    <xf numFmtId="41" fontId="3" fillId="25" borderId="9" xfId="28" applyNumberFormat="1" applyFill="1" applyBorder="1" applyAlignment="1">
      <alignment horizontal="right"/>
    </xf>
    <xf numFmtId="41" fontId="5" fillId="25" borderId="137" xfId="28" applyNumberFormat="1" applyFont="1" applyFill="1" applyBorder="1" applyAlignment="1">
      <alignment horizontal="right"/>
    </xf>
    <xf numFmtId="0" fontId="8" fillId="0" borderId="19" xfId="42" applyFont="1" applyBorder="1" applyAlignment="1">
      <alignment horizontal="center"/>
    </xf>
    <xf numFmtId="0" fontId="8" fillId="0" borderId="26" xfId="42" applyFont="1" applyBorder="1" applyAlignment="1">
      <alignment horizontal="center"/>
    </xf>
    <xf numFmtId="0" fontId="8" fillId="0" borderId="20" xfId="42" applyFont="1" applyBorder="1" applyAlignment="1">
      <alignment horizontal="center"/>
    </xf>
    <xf numFmtId="0" fontId="3" fillId="0" borderId="23" xfId="42" applyBorder="1" applyAlignment="1">
      <alignment horizontal="center"/>
    </xf>
    <xf numFmtId="0" fontId="3" fillId="0" borderId="24" xfId="42" applyBorder="1" applyAlignment="1">
      <alignment horizontal="center"/>
    </xf>
    <xf numFmtId="174" fontId="3" fillId="0" borderId="23" xfId="42" applyNumberFormat="1" applyFill="1" applyBorder="1" applyAlignment="1">
      <alignment horizontal="center"/>
    </xf>
    <xf numFmtId="174" fontId="3" fillId="0" borderId="0" xfId="42" applyNumberFormat="1" applyFill="1" applyBorder="1" applyAlignment="1">
      <alignment horizontal="center"/>
    </xf>
    <xf numFmtId="174" fontId="3" fillId="0" borderId="24" xfId="42" applyNumberFormat="1" applyFill="1" applyBorder="1" applyAlignment="1">
      <alignment horizontal="center"/>
    </xf>
    <xf numFmtId="41" fontId="3" fillId="0" borderId="23" xfId="28" applyNumberFormat="1" applyFill="1" applyBorder="1" applyAlignment="1">
      <alignment horizontal="right"/>
    </xf>
    <xf numFmtId="41" fontId="3" fillId="0" borderId="0" xfId="28" applyNumberFormat="1" applyFill="1" applyBorder="1" applyAlignment="1">
      <alignment horizontal="right"/>
    </xf>
    <xf numFmtId="41" fontId="3" fillId="0" borderId="24" xfId="28" applyNumberFormat="1" applyFill="1" applyBorder="1" applyAlignment="1">
      <alignment horizontal="right"/>
    </xf>
    <xf numFmtId="174" fontId="3" fillId="0" borderId="21" xfId="42" applyNumberFormat="1" applyBorder="1" applyAlignment="1">
      <alignment horizontal="center"/>
    </xf>
    <xf numFmtId="174" fontId="3" fillId="0" borderId="22" xfId="42" applyNumberFormat="1" applyBorder="1" applyAlignment="1">
      <alignment horizontal="center"/>
    </xf>
    <xf numFmtId="41" fontId="5" fillId="0" borderId="150" xfId="28" applyNumberFormat="1" applyFont="1" applyFill="1" applyBorder="1" applyAlignment="1">
      <alignment horizontal="right"/>
    </xf>
    <xf numFmtId="41" fontId="5" fillId="0" borderId="137" xfId="28" applyNumberFormat="1" applyFont="1" applyFill="1" applyBorder="1" applyAlignment="1">
      <alignment horizontal="right"/>
    </xf>
    <xf numFmtId="41" fontId="5" fillId="0" borderId="151" xfId="28" applyNumberFormat="1" applyFont="1" applyFill="1" applyBorder="1" applyAlignment="1">
      <alignment horizontal="right"/>
    </xf>
    <xf numFmtId="174" fontId="3" fillId="0" borderId="26" xfId="42" applyNumberFormat="1" applyFill="1" applyBorder="1" applyAlignment="1">
      <alignment horizontal="center"/>
    </xf>
    <xf numFmtId="37" fontId="5" fillId="29" borderId="0" xfId="0" applyNumberFormat="1" applyFont="1" applyFill="1" applyAlignment="1">
      <alignment horizontal="left"/>
    </xf>
    <xf numFmtId="41" fontId="5" fillId="27" borderId="0" xfId="42" applyNumberFormat="1" applyFont="1" applyFill="1" applyAlignment="1">
      <alignment horizontal="center"/>
    </xf>
    <xf numFmtId="44" fontId="3" fillId="0" borderId="0" xfId="42" applyNumberFormat="1"/>
    <xf numFmtId="174" fontId="3" fillId="0" borderId="0" xfId="42" applyNumberFormat="1" applyAlignment="1">
      <alignment horizontal="center" vertical="center"/>
    </xf>
    <xf numFmtId="0" fontId="5" fillId="0" borderId="0" xfId="42" applyFont="1" applyAlignment="1">
      <alignment vertical="center" wrapText="1"/>
    </xf>
    <xf numFmtId="164" fontId="3" fillId="37" borderId="0" xfId="28" applyNumberFormat="1" applyFill="1" applyAlignment="1">
      <alignment vertical="center"/>
    </xf>
    <xf numFmtId="41" fontId="3" fillId="37" borderId="0" xfId="28" applyNumberFormat="1" applyFill="1" applyAlignment="1">
      <alignment vertical="center"/>
    </xf>
    <xf numFmtId="41" fontId="3" fillId="37" borderId="0" xfId="42" applyNumberFormat="1" applyFill="1" applyAlignment="1">
      <alignment vertical="center"/>
    </xf>
    <xf numFmtId="41" fontId="3" fillId="37" borderId="0" xfId="82" applyNumberFormat="1" applyFill="1" applyAlignment="1">
      <alignment vertical="center"/>
    </xf>
    <xf numFmtId="0" fontId="5" fillId="0" borderId="0" xfId="89" applyFont="1" applyAlignment="1"/>
    <xf numFmtId="0" fontId="3" fillId="0" borderId="0" xfId="89" applyAlignment="1"/>
    <xf numFmtId="0" fontId="3" fillId="0" borderId="0" xfId="89" applyAlignment="1">
      <alignment horizontal="center"/>
    </xf>
    <xf numFmtId="0" fontId="3" fillId="0" borderId="0" xfId="89" applyFill="1" applyAlignment="1">
      <alignment horizontal="center"/>
    </xf>
    <xf numFmtId="164" fontId="67" fillId="0" borderId="25" xfId="90" applyNumberFormat="1" applyFont="1" applyFill="1" applyBorder="1" applyAlignment="1" applyProtection="1">
      <alignment horizontal="center"/>
    </xf>
    <xf numFmtId="0" fontId="68" fillId="0" borderId="0" xfId="91" applyAlignment="1"/>
    <xf numFmtId="0" fontId="3" fillId="0" borderId="0" xfId="89" applyFont="1" applyAlignment="1">
      <alignment horizontal="center"/>
    </xf>
    <xf numFmtId="0" fontId="3" fillId="0" borderId="0" xfId="89" applyFont="1" applyAlignment="1"/>
    <xf numFmtId="0" fontId="66" fillId="0" borderId="18" xfId="89" applyFont="1" applyBorder="1" applyAlignment="1">
      <alignment horizontal="center" vertical="top"/>
    </xf>
    <xf numFmtId="0" fontId="66" fillId="44" borderId="18" xfId="89" applyFont="1" applyFill="1" applyBorder="1" applyAlignment="1">
      <alignment horizontal="center" vertical="top"/>
    </xf>
    <xf numFmtId="0" fontId="66" fillId="0" borderId="18" xfId="89" applyFont="1" applyFill="1" applyBorder="1" applyAlignment="1">
      <alignment horizontal="center" vertical="top"/>
    </xf>
    <xf numFmtId="0" fontId="1" fillId="33" borderId="18" xfId="89" quotePrefix="1" applyNumberFormat="1" applyFont="1" applyFill="1" applyBorder="1" applyAlignment="1">
      <alignment horizontal="center" vertical="top"/>
    </xf>
    <xf numFmtId="0" fontId="1" fillId="33" borderId="18" xfId="89" applyFont="1" applyFill="1" applyBorder="1" applyAlignment="1">
      <alignment horizontal="left" vertical="top"/>
    </xf>
    <xf numFmtId="0" fontId="1" fillId="33" borderId="18" xfId="89" applyFont="1" applyFill="1" applyBorder="1" applyAlignment="1">
      <alignment horizontal="center" vertical="top"/>
    </xf>
    <xf numFmtId="174" fontId="3" fillId="0" borderId="18" xfId="89" applyNumberFormat="1" applyBorder="1" applyAlignment="1">
      <alignment horizontal="center" vertical="top"/>
    </xf>
    <xf numFmtId="0" fontId="3" fillId="0" borderId="18" xfId="89" applyBorder="1" applyAlignment="1">
      <alignment vertical="top"/>
    </xf>
    <xf numFmtId="0" fontId="3" fillId="47" borderId="18" xfId="89" applyFill="1" applyBorder="1" applyAlignment="1">
      <alignment horizontal="center" vertical="top"/>
    </xf>
    <xf numFmtId="0" fontId="3" fillId="37" borderId="18" xfId="89" applyFill="1" applyBorder="1" applyAlignment="1">
      <alignment horizontal="center" vertical="top"/>
    </xf>
    <xf numFmtId="0" fontId="3" fillId="0" borderId="18" xfId="89" applyBorder="1" applyAlignment="1">
      <alignment horizontal="center"/>
    </xf>
    <xf numFmtId="0" fontId="3" fillId="0" borderId="18" xfId="89" applyFill="1" applyBorder="1" applyAlignment="1">
      <alignment horizontal="center"/>
    </xf>
    <xf numFmtId="0" fontId="3" fillId="0" borderId="10" xfId="89" applyFill="1" applyBorder="1" applyAlignment="1">
      <alignment horizontal="center"/>
    </xf>
    <xf numFmtId="174" fontId="3" fillId="0" borderId="152" xfId="89" applyNumberFormat="1" applyBorder="1" applyAlignment="1">
      <alignment horizontal="center" vertical="top"/>
    </xf>
    <xf numFmtId="0" fontId="3" fillId="0" borderId="153" xfId="89" applyBorder="1" applyAlignment="1">
      <alignment vertical="top"/>
    </xf>
    <xf numFmtId="0" fontId="3" fillId="0" borderId="153" xfId="89" applyBorder="1" applyAlignment="1">
      <alignment horizontal="center"/>
    </xf>
    <xf numFmtId="0" fontId="3" fillId="0" borderId="153" xfId="89" applyFill="1" applyBorder="1" applyAlignment="1">
      <alignment horizontal="center"/>
    </xf>
    <xf numFmtId="0" fontId="3" fillId="0" borderId="154" xfId="89" applyFill="1" applyBorder="1" applyAlignment="1">
      <alignment horizontal="center"/>
    </xf>
    <xf numFmtId="0" fontId="3" fillId="0" borderId="0" xfId="89"/>
    <xf numFmtId="0" fontId="3" fillId="0" borderId="18" xfId="89" applyBorder="1" applyAlignment="1">
      <alignment horizontal="center" vertical="top"/>
    </xf>
    <xf numFmtId="0" fontId="3" fillId="0" borderId="18" xfId="89" applyFill="1" applyBorder="1" applyAlignment="1">
      <alignment horizontal="center" vertical="top"/>
    </xf>
    <xf numFmtId="0" fontId="3" fillId="0" borderId="10" xfId="89" applyFill="1" applyBorder="1" applyAlignment="1">
      <alignment horizontal="center" vertical="top"/>
    </xf>
    <xf numFmtId="0" fontId="3" fillId="0" borderId="0" xfId="89" applyFill="1" applyAlignment="1"/>
    <xf numFmtId="174" fontId="3" fillId="0" borderId="18" xfId="84" applyNumberFormat="1" applyBorder="1" applyAlignment="1">
      <alignment horizontal="center" vertical="top"/>
    </xf>
    <xf numFmtId="0" fontId="3" fillId="0" borderId="0" xfId="84" applyFont="1"/>
    <xf numFmtId="0" fontId="3" fillId="47" borderId="18" xfId="84" applyFill="1" applyBorder="1" applyAlignment="1">
      <alignment horizontal="center" vertical="top"/>
    </xf>
    <xf numFmtId="0" fontId="3" fillId="37" borderId="18" xfId="84" applyFill="1" applyBorder="1" applyAlignment="1">
      <alignment horizontal="center" vertical="top"/>
    </xf>
    <xf numFmtId="0" fontId="3" fillId="0" borderId="18" xfId="84" applyBorder="1" applyAlignment="1">
      <alignment horizontal="center"/>
    </xf>
    <xf numFmtId="0" fontId="3" fillId="0" borderId="18" xfId="84" applyFill="1" applyBorder="1" applyAlignment="1">
      <alignment horizontal="center"/>
    </xf>
    <xf numFmtId="0" fontId="3" fillId="0" borderId="10" xfId="84" applyFill="1" applyBorder="1" applyAlignment="1">
      <alignment horizontal="center"/>
    </xf>
    <xf numFmtId="0" fontId="3" fillId="0" borderId="0" xfId="84" applyFill="1" applyAlignment="1"/>
    <xf numFmtId="174" fontId="3" fillId="0" borderId="18" xfId="89" applyNumberFormat="1" applyFill="1" applyBorder="1" applyAlignment="1">
      <alignment horizontal="center" vertical="top"/>
    </xf>
    <xf numFmtId="0" fontId="3" fillId="0" borderId="18" xfId="89" applyFill="1" applyBorder="1" applyAlignment="1">
      <alignment vertical="top"/>
    </xf>
    <xf numFmtId="174" fontId="3" fillId="45" borderId="18" xfId="89" applyNumberFormat="1" applyFill="1" applyBorder="1" applyAlignment="1">
      <alignment horizontal="center" vertical="top"/>
    </xf>
    <xf numFmtId="0" fontId="3" fillId="45" borderId="18" xfId="89" applyFill="1" applyBorder="1" applyAlignment="1">
      <alignment vertical="top"/>
    </xf>
    <xf numFmtId="0" fontId="3" fillId="45" borderId="18" xfId="89" applyFill="1" applyBorder="1" applyAlignment="1">
      <alignment horizontal="center" vertical="top"/>
    </xf>
    <xf numFmtId="0" fontId="3" fillId="45" borderId="10" xfId="89" applyFill="1" applyBorder="1" applyAlignment="1">
      <alignment horizontal="center" vertical="top"/>
    </xf>
    <xf numFmtId="174" fontId="42" fillId="0" borderId="0" xfId="84" applyNumberFormat="1" applyFont="1"/>
    <xf numFmtId="0" fontId="3" fillId="33" borderId="0" xfId="89" applyFill="1" applyAlignment="1"/>
    <xf numFmtId="174" fontId="3" fillId="33" borderId="18" xfId="89" applyNumberFormat="1" applyFill="1" applyBorder="1" applyAlignment="1">
      <alignment horizontal="center" vertical="top"/>
    </xf>
    <xf numFmtId="0" fontId="3" fillId="33" borderId="18" xfId="89" applyFill="1" applyBorder="1" applyAlignment="1">
      <alignment vertical="top"/>
    </xf>
    <xf numFmtId="0" fontId="3" fillId="33" borderId="18" xfId="89" applyFill="1" applyBorder="1" applyAlignment="1">
      <alignment horizontal="center" vertical="top"/>
    </xf>
    <xf numFmtId="174" fontId="3" fillId="33" borderId="133" xfId="42" applyNumberFormat="1" applyFill="1" applyBorder="1" applyAlignment="1">
      <alignment horizontal="center"/>
    </xf>
    <xf numFmtId="174" fontId="3" fillId="33" borderId="97" xfId="42" applyNumberFormat="1" applyFill="1" applyBorder="1" applyAlignment="1">
      <alignment horizontal="center"/>
    </xf>
    <xf numFmtId="174" fontId="0" fillId="33" borderId="97" xfId="42" applyNumberFormat="1" applyFont="1" applyFill="1" applyBorder="1" applyAlignment="1">
      <alignment horizontal="center"/>
    </xf>
    <xf numFmtId="0" fontId="0" fillId="0" borderId="0" xfId="89" applyFont="1" applyAlignment="1"/>
    <xf numFmtId="174" fontId="0" fillId="33" borderId="155" xfId="42" applyNumberFormat="1" applyFont="1" applyFill="1" applyBorder="1" applyAlignment="1">
      <alignment horizontal="center"/>
    </xf>
    <xf numFmtId="0" fontId="3" fillId="0" borderId="9" xfId="89" applyFill="1" applyBorder="1" applyAlignment="1">
      <alignment horizontal="center"/>
    </xf>
    <xf numFmtId="0" fontId="3" fillId="0" borderId="13" xfId="89" applyFill="1" applyBorder="1" applyAlignment="1">
      <alignment horizontal="center"/>
    </xf>
    <xf numFmtId="0" fontId="3" fillId="0" borderId="13" xfId="89" applyBorder="1" applyAlignment="1">
      <alignment horizontal="center"/>
    </xf>
    <xf numFmtId="0" fontId="69" fillId="0" borderId="0" xfId="89" applyFont="1" applyAlignment="1">
      <alignment horizontal="left"/>
    </xf>
    <xf numFmtId="0" fontId="3" fillId="0" borderId="0" xfId="89" applyFill="1"/>
    <xf numFmtId="0" fontId="66" fillId="0" borderId="0" xfId="89" applyFont="1" applyAlignment="1">
      <alignment horizontal="left"/>
    </xf>
    <xf numFmtId="0" fontId="66" fillId="0" borderId="0" xfId="89" applyFont="1"/>
    <xf numFmtId="0" fontId="3" fillId="0" borderId="134" xfId="89" applyBorder="1" applyAlignment="1">
      <alignment horizontal="center"/>
    </xf>
    <xf numFmtId="0" fontId="3" fillId="0" borderId="134" xfId="89" applyBorder="1"/>
    <xf numFmtId="0" fontId="3" fillId="0" borderId="134" xfId="89" applyFill="1" applyBorder="1" applyAlignment="1">
      <alignment horizontal="center"/>
    </xf>
    <xf numFmtId="0" fontId="3" fillId="0" borderId="91" xfId="89" applyFill="1" applyBorder="1" applyAlignment="1">
      <alignment horizontal="center"/>
    </xf>
    <xf numFmtId="0" fontId="3" fillId="0" borderId="0" xfId="89" applyBorder="1" applyAlignment="1">
      <alignment horizontal="center"/>
    </xf>
    <xf numFmtId="0" fontId="3" fillId="0" borderId="0" xfId="89" applyBorder="1"/>
    <xf numFmtId="0" fontId="3" fillId="0" borderId="0" xfId="89" applyFill="1" applyBorder="1" applyAlignment="1">
      <alignment horizontal="center"/>
    </xf>
    <xf numFmtId="0" fontId="3" fillId="0" borderId="95" xfId="89" applyFill="1" applyBorder="1" applyAlignment="1">
      <alignment horizontal="center"/>
    </xf>
    <xf numFmtId="0" fontId="3" fillId="0" borderId="156" xfId="89" applyBorder="1" applyAlignment="1">
      <alignment horizontal="center"/>
    </xf>
    <xf numFmtId="0" fontId="0" fillId="0" borderId="156" xfId="89" applyFont="1" applyBorder="1"/>
    <xf numFmtId="0" fontId="3" fillId="0" borderId="156" xfId="89" applyFill="1" applyBorder="1" applyAlignment="1">
      <alignment horizontal="center"/>
    </xf>
    <xf numFmtId="0" fontId="3" fillId="0" borderId="93" xfId="89" applyFill="1" applyBorder="1" applyAlignment="1">
      <alignment horizontal="center"/>
    </xf>
    <xf numFmtId="0" fontId="70" fillId="0" borderId="0" xfId="89" applyFont="1"/>
    <xf numFmtId="0" fontId="70" fillId="0" borderId="0" xfId="89" applyFont="1" applyFill="1"/>
    <xf numFmtId="0" fontId="42" fillId="0" borderId="133" xfId="89" applyFont="1" applyBorder="1"/>
    <xf numFmtId="0" fontId="3" fillId="33" borderId="134" xfId="89" applyFill="1" applyBorder="1" applyAlignment="1">
      <alignment horizontal="center"/>
    </xf>
    <xf numFmtId="0" fontId="3" fillId="33" borderId="134" xfId="89" applyFill="1" applyBorder="1"/>
    <xf numFmtId="0" fontId="42" fillId="0" borderId="97" xfId="89" applyFont="1" applyBorder="1"/>
    <xf numFmtId="0" fontId="3" fillId="33" borderId="0" xfId="89" applyFill="1" applyBorder="1" applyAlignment="1">
      <alignment horizontal="center"/>
    </xf>
    <xf numFmtId="0" fontId="3" fillId="33" borderId="0" xfId="89" applyFill="1" applyBorder="1"/>
    <xf numFmtId="0" fontId="42" fillId="0" borderId="155" xfId="89" applyFont="1" applyBorder="1"/>
    <xf numFmtId="0" fontId="3" fillId="33" borderId="156" xfId="89" applyFill="1" applyBorder="1" applyAlignment="1">
      <alignment horizontal="center"/>
    </xf>
    <xf numFmtId="0" fontId="3" fillId="33" borderId="156" xfId="89" applyFill="1" applyBorder="1"/>
    <xf numFmtId="0" fontId="71" fillId="0" borderId="0" xfId="89" applyFont="1" applyAlignment="1">
      <alignment horizontal="left"/>
    </xf>
    <xf numFmtId="0" fontId="71" fillId="0" borderId="0" xfId="89" applyFont="1" applyFill="1" applyAlignment="1">
      <alignment horizontal="left"/>
    </xf>
    <xf numFmtId="0" fontId="72" fillId="0" borderId="0" xfId="89" applyFont="1" applyAlignment="1">
      <alignment horizontal="left"/>
    </xf>
    <xf numFmtId="0" fontId="3" fillId="0" borderId="0" xfId="89" applyAlignment="1">
      <alignment horizontal="left"/>
    </xf>
    <xf numFmtId="0" fontId="68" fillId="0" borderId="0" xfId="91" applyFill="1"/>
    <xf numFmtId="0" fontId="68" fillId="0" borderId="0" xfId="91"/>
    <xf numFmtId="0" fontId="0" fillId="0" borderId="0" xfId="42" applyFont="1" applyBorder="1"/>
    <xf numFmtId="49" fontId="3" fillId="33" borderId="0" xfId="42" applyNumberFormat="1" applyFont="1" applyFill="1" applyBorder="1" applyAlignment="1">
      <alignment horizontal="center"/>
    </xf>
    <xf numFmtId="174" fontId="3" fillId="33" borderId="0" xfId="42" applyNumberFormat="1" applyFill="1" applyBorder="1" applyAlignment="1">
      <alignment horizontal="center"/>
    </xf>
    <xf numFmtId="41" fontId="3" fillId="33" borderId="0" xfId="82" applyNumberFormat="1" applyFont="1" applyFill="1" applyBorder="1"/>
    <xf numFmtId="0" fontId="0" fillId="0" borderId="0" xfId="82" applyFont="1" applyAlignment="1">
      <alignment horizontal="center"/>
    </xf>
    <xf numFmtId="0" fontId="3" fillId="27" borderId="0" xfId="42" applyFill="1" applyBorder="1" applyAlignment="1">
      <alignment horizontal="center"/>
    </xf>
    <xf numFmtId="0" fontId="3" fillId="27" borderId="156" xfId="42" applyFill="1" applyBorder="1" applyAlignment="1">
      <alignment horizontal="center"/>
    </xf>
    <xf numFmtId="0" fontId="3" fillId="0" borderId="156" xfId="42" applyFont="1" applyBorder="1"/>
    <xf numFmtId="49" fontId="3" fillId="33" borderId="156" xfId="42" applyNumberFormat="1" applyFont="1" applyFill="1" applyBorder="1" applyAlignment="1">
      <alignment horizontal="center"/>
    </xf>
    <xf numFmtId="174" fontId="3" fillId="33" borderId="156" xfId="42" applyNumberFormat="1" applyFill="1" applyBorder="1" applyAlignment="1">
      <alignment horizontal="center"/>
    </xf>
    <xf numFmtId="41" fontId="3" fillId="33" borderId="156" xfId="82" applyNumberFormat="1" applyFont="1" applyFill="1" applyBorder="1"/>
    <xf numFmtId="0" fontId="3" fillId="0" borderId="0" xfId="82" applyAlignment="1">
      <alignment horizontal="center"/>
    </xf>
    <xf numFmtId="0" fontId="42" fillId="0" borderId="0" xfId="42" quotePrefix="1" applyNumberFormat="1" applyFont="1" applyAlignment="1">
      <alignment horizontal="center" wrapText="1"/>
    </xf>
    <xf numFmtId="49" fontId="3" fillId="33" borderId="0" xfId="42" applyNumberFormat="1" applyFill="1" applyAlignment="1">
      <alignment horizontal="center"/>
    </xf>
    <xf numFmtId="49" fontId="3" fillId="33" borderId="0" xfId="42" applyNumberFormat="1" applyFill="1" applyAlignment="1">
      <alignment horizontal="center" vertical="center"/>
    </xf>
    <xf numFmtId="0" fontId="3" fillId="33" borderId="13" xfId="42" applyFont="1" applyFill="1" applyBorder="1" applyAlignment="1">
      <alignment horizontal="center"/>
    </xf>
    <xf numFmtId="37" fontId="5" fillId="0" borderId="0" xfId="82" applyNumberFormat="1" applyFont="1"/>
    <xf numFmtId="49" fontId="3" fillId="0" borderId="0" xfId="42" applyNumberFormat="1" applyFont="1" applyFill="1" applyBorder="1" applyAlignment="1">
      <alignment horizontal="center"/>
    </xf>
    <xf numFmtId="49" fontId="3" fillId="0" borderId="156" xfId="42" applyNumberFormat="1" applyFont="1" applyFill="1" applyBorder="1" applyAlignment="1">
      <alignment horizontal="center"/>
    </xf>
    <xf numFmtId="174" fontId="3" fillId="33" borderId="0" xfId="42" applyNumberFormat="1" applyFill="1" applyAlignment="1">
      <alignment horizontal="center"/>
    </xf>
    <xf numFmtId="174" fontId="5" fillId="33" borderId="0" xfId="42" applyNumberFormat="1" applyFont="1" applyFill="1" applyAlignment="1">
      <alignment horizontal="center"/>
    </xf>
    <xf numFmtId="174" fontId="3" fillId="33" borderId="13" xfId="42" applyNumberFormat="1" applyFill="1" applyBorder="1" applyAlignment="1">
      <alignment horizontal="center"/>
    </xf>
    <xf numFmtId="0" fontId="41" fillId="0" borderId="9" xfId="42" quotePrefix="1" applyNumberFormat="1" applyFont="1" applyBorder="1" applyAlignment="1">
      <alignment horizontal="center" wrapText="1"/>
    </xf>
    <xf numFmtId="0" fontId="20" fillId="0" borderId="9" xfId="42" quotePrefix="1" applyFont="1" applyFill="1" applyBorder="1" applyAlignment="1">
      <alignment horizontal="center" wrapText="1"/>
    </xf>
    <xf numFmtId="0" fontId="0" fillId="0" borderId="0" xfId="82" applyFont="1"/>
    <xf numFmtId="174" fontId="0" fillId="33" borderId="0" xfId="0" quotePrefix="1" applyNumberFormat="1" applyFill="1" applyAlignment="1">
      <alignment horizontal="center"/>
    </xf>
    <xf numFmtId="174" fontId="3" fillId="33" borderId="0" xfId="42" applyNumberFormat="1" applyFill="1" applyAlignment="1">
      <alignment horizontal="center" vertical="center"/>
    </xf>
    <xf numFmtId="2" fontId="42" fillId="0" borderId="0" xfId="0" quotePrefix="1" applyNumberFormat="1" applyFont="1" applyFill="1" applyAlignment="1">
      <alignment horizontal="center" wrapText="1"/>
    </xf>
    <xf numFmtId="174" fontId="0" fillId="0" borderId="0" xfId="0" quotePrefix="1" applyNumberFormat="1" applyFill="1" applyAlignment="1">
      <alignment horizontal="center"/>
    </xf>
    <xf numFmtId="174" fontId="3" fillId="0" borderId="0" xfId="42" applyNumberFormat="1" applyFill="1" applyAlignment="1">
      <alignment horizontal="center" vertical="center"/>
    </xf>
    <xf numFmtId="43" fontId="5" fillId="0" borderId="0" xfId="42" applyNumberFormat="1" applyFont="1" applyFill="1" applyBorder="1"/>
    <xf numFmtId="171" fontId="3" fillId="0" borderId="0" xfId="42" applyNumberFormat="1" applyFill="1"/>
    <xf numFmtId="37" fontId="3" fillId="33" borderId="0" xfId="82" applyNumberFormat="1" applyFont="1" applyFill="1" applyBorder="1"/>
    <xf numFmtId="37" fontId="3" fillId="33" borderId="156" xfId="82" applyNumberFormat="1" applyFont="1" applyFill="1" applyBorder="1"/>
    <xf numFmtId="0" fontId="3" fillId="33" borderId="0" xfId="82" applyFont="1" applyFill="1" applyBorder="1" applyAlignment="1">
      <alignment horizontal="center" wrapText="1"/>
    </xf>
    <xf numFmtId="37" fontId="3" fillId="33" borderId="97" xfId="82" applyNumberFormat="1" applyFill="1" applyBorder="1"/>
    <xf numFmtId="37" fontId="5" fillId="33" borderId="147" xfId="82" applyNumberFormat="1" applyFont="1" applyFill="1" applyBorder="1"/>
    <xf numFmtId="41" fontId="3" fillId="33" borderId="157" xfId="82" applyNumberFormat="1" applyFont="1" applyFill="1" applyBorder="1"/>
    <xf numFmtId="41" fontId="3" fillId="33" borderId="97" xfId="82" applyNumberFormat="1" applyFont="1" applyFill="1" applyBorder="1"/>
    <xf numFmtId="41" fontId="3" fillId="33" borderId="155" xfId="82" applyNumberFormat="1" applyFont="1" applyFill="1" applyBorder="1"/>
    <xf numFmtId="37" fontId="3" fillId="33" borderId="7" xfId="82" applyNumberFormat="1" applyFont="1" applyFill="1" applyBorder="1"/>
    <xf numFmtId="37" fontId="3" fillId="33" borderId="97" xfId="82" applyNumberFormat="1" applyFont="1" applyFill="1" applyBorder="1" applyAlignment="1">
      <alignment horizontal="center" wrapText="1"/>
    </xf>
    <xf numFmtId="0" fontId="3" fillId="0" borderId="158" xfId="42" quotePrefix="1" applyNumberFormat="1" applyBorder="1" applyAlignment="1">
      <alignment horizontal="center" wrapText="1"/>
    </xf>
    <xf numFmtId="0" fontId="3" fillId="0" borderId="8" xfId="0" quotePrefix="1" applyNumberFormat="1" applyFont="1" applyBorder="1" applyAlignment="1">
      <alignment horizontal="center" wrapText="1"/>
    </xf>
    <xf numFmtId="0" fontId="0" fillId="0" borderId="8" xfId="0" quotePrefix="1" applyNumberFormat="1" applyBorder="1" applyAlignment="1">
      <alignment horizontal="right" wrapText="1"/>
    </xf>
    <xf numFmtId="0" fontId="0" fillId="0" borderId="8" xfId="0" quotePrefix="1" applyNumberFormat="1" applyBorder="1" applyAlignment="1">
      <alignment horizontal="center" wrapText="1"/>
    </xf>
    <xf numFmtId="0" fontId="3" fillId="0" borderId="8" xfId="42" quotePrefix="1" applyNumberFormat="1" applyBorder="1" applyAlignment="1">
      <alignment horizontal="center" wrapText="1"/>
    </xf>
    <xf numFmtId="0" fontId="3" fillId="0" borderId="159" xfId="42" quotePrefix="1" applyNumberFormat="1" applyBorder="1" applyAlignment="1">
      <alignment horizontal="center" wrapText="1"/>
    </xf>
    <xf numFmtId="174" fontId="66" fillId="0" borderId="152" xfId="0" applyNumberFormat="1" applyFont="1" applyBorder="1" applyAlignment="1">
      <alignment horizontal="center" vertical="top" wrapText="1"/>
    </xf>
    <xf numFmtId="0" fontId="0" fillId="45" borderId="0" xfId="0" applyFont="1" applyFill="1" applyBorder="1" applyAlignment="1">
      <alignment vertical="top" wrapText="1"/>
    </xf>
    <xf numFmtId="0" fontId="3" fillId="0" borderId="8" xfId="0" applyFont="1" applyFill="1" applyBorder="1"/>
    <xf numFmtId="41" fontId="3" fillId="31" borderId="8" xfId="0" applyNumberFormat="1" applyFont="1" applyFill="1" applyBorder="1"/>
    <xf numFmtId="37" fontId="3" fillId="0" borderId="0" xfId="0" applyNumberFormat="1" applyFont="1" applyFill="1"/>
    <xf numFmtId="41" fontId="42" fillId="0" borderId="47" xfId="0" applyNumberFormat="1" applyFont="1" applyBorder="1"/>
    <xf numFmtId="164" fontId="3" fillId="0" borderId="0" xfId="28" applyNumberFormat="1" applyFont="1" applyFill="1" applyBorder="1"/>
    <xf numFmtId="164" fontId="3" fillId="0" borderId="0" xfId="28" applyNumberFormat="1" applyFont="1" applyFill="1" applyBorder="1" applyProtection="1">
      <protection locked="0"/>
    </xf>
    <xf numFmtId="174" fontId="0" fillId="48" borderId="0" xfId="0" quotePrefix="1" applyNumberFormat="1" applyFill="1" applyAlignment="1">
      <alignment horizontal="center"/>
    </xf>
    <xf numFmtId="0" fontId="5" fillId="48" borderId="0" xfId="0" applyFont="1" applyFill="1"/>
    <xf numFmtId="0" fontId="3" fillId="0" borderId="0" xfId="54" applyFont="1" applyAlignment="1">
      <alignment horizontal="center" wrapText="1"/>
    </xf>
    <xf numFmtId="0" fontId="50" fillId="0" borderId="0" xfId="54" applyFont="1" applyAlignment="1">
      <alignment horizontal="center"/>
    </xf>
    <xf numFmtId="4" fontId="3" fillId="0" borderId="0" xfId="78" applyNumberFormat="1" applyFont="1"/>
    <xf numFmtId="4" fontId="3" fillId="36" borderId="0" xfId="78" applyNumberFormat="1" applyFont="1" applyFill="1"/>
    <xf numFmtId="174" fontId="3" fillId="0" borderId="0" xfId="78" applyNumberFormat="1" applyFont="1"/>
    <xf numFmtId="38" fontId="3" fillId="0" borderId="0" xfId="78" applyNumberFormat="1" applyFont="1" applyFill="1"/>
    <xf numFmtId="4" fontId="3" fillId="0" borderId="0" xfId="78" applyNumberFormat="1" applyFont="1" applyFill="1"/>
    <xf numFmtId="3" fontId="5" fillId="0" borderId="0" xfId="0" applyNumberFormat="1" applyFont="1" applyAlignment="1">
      <alignment horizontal="left"/>
    </xf>
    <xf numFmtId="4" fontId="3" fillId="0" borderId="0" xfId="77" applyNumberFormat="1" applyFont="1"/>
    <xf numFmtId="0" fontId="3" fillId="0" borderId="0" xfId="0" applyFont="1" applyFill="1" applyBorder="1" applyAlignment="1">
      <alignment horizontal="left"/>
    </xf>
    <xf numFmtId="0" fontId="3" fillId="0" borderId="0" xfId="0" applyFont="1" applyFill="1" applyAlignment="1">
      <alignment horizontal="left"/>
    </xf>
    <xf numFmtId="37" fontId="5" fillId="29" borderId="0" xfId="0" applyNumberFormat="1" applyFont="1" applyFill="1" applyBorder="1" applyAlignment="1"/>
    <xf numFmtId="37" fontId="11" fillId="29" borderId="0" xfId="0" applyNumberFormat="1" applyFont="1" applyFill="1"/>
    <xf numFmtId="37" fontId="20" fillId="29" borderId="0" xfId="0" applyNumberFormat="1" applyFont="1" applyFill="1"/>
    <xf numFmtId="37" fontId="48" fillId="29" borderId="0" xfId="0" applyNumberFormat="1" applyFont="1" applyFill="1" applyBorder="1" applyAlignment="1"/>
    <xf numFmtId="37" fontId="5" fillId="29" borderId="9" xfId="0" applyNumberFormat="1" applyFont="1" applyFill="1" applyBorder="1" applyAlignment="1">
      <alignment horizontal="center"/>
    </xf>
    <xf numFmtId="37" fontId="4" fillId="29" borderId="9" xfId="0" applyNumberFormat="1" applyFont="1" applyFill="1" applyBorder="1" applyAlignment="1">
      <alignment horizontal="center"/>
    </xf>
    <xf numFmtId="0" fontId="11" fillId="0" borderId="0" xfId="42" applyFont="1" applyAlignment="1">
      <alignment horizontal="left"/>
    </xf>
    <xf numFmtId="0" fontId="3" fillId="0" borderId="9" xfId="42" applyBorder="1" applyAlignment="1">
      <alignment horizontal="center" wrapText="1"/>
    </xf>
    <xf numFmtId="0" fontId="7" fillId="0" borderId="0" xfId="42" applyFont="1" applyBorder="1" applyAlignment="1">
      <alignment horizontal="center"/>
    </xf>
    <xf numFmtId="0" fontId="3" fillId="0" borderId="97" xfId="42" quotePrefix="1" applyNumberFormat="1" applyBorder="1" applyAlignment="1">
      <alignment horizontal="center" wrapText="1"/>
    </xf>
    <xf numFmtId="0" fontId="3" fillId="0" borderId="0" xfId="42" quotePrefix="1" applyNumberFormat="1" applyBorder="1" applyAlignment="1">
      <alignment horizontal="center" wrapText="1"/>
    </xf>
    <xf numFmtId="2" fontId="3" fillId="33" borderId="97" xfId="82" applyNumberFormat="1" applyFill="1" applyBorder="1" applyAlignment="1"/>
    <xf numFmtId="49" fontId="0" fillId="33" borderId="95" xfId="0" applyNumberFormat="1" applyFill="1" applyBorder="1" applyAlignment="1">
      <alignment horizontal="right"/>
    </xf>
    <xf numFmtId="49" fontId="3" fillId="25" borderId="0" xfId="28" applyNumberFormat="1" applyFill="1" applyBorder="1" applyAlignment="1">
      <alignment horizontal="right"/>
    </xf>
    <xf numFmtId="49" fontId="3" fillId="25" borderId="95" xfId="28" applyNumberFormat="1" applyFill="1" applyBorder="1" applyAlignment="1">
      <alignment horizontal="right"/>
    </xf>
    <xf numFmtId="2" fontId="3" fillId="33" borderId="0" xfId="82" applyNumberFormat="1" applyFill="1" applyAlignment="1"/>
    <xf numFmtId="2" fontId="5" fillId="33" borderId="147" xfId="82" applyNumberFormat="1" applyFont="1" applyFill="1" applyBorder="1" applyAlignment="1"/>
    <xf numFmtId="0" fontId="3" fillId="0" borderId="0" xfId="42" applyFont="1" applyAlignment="1">
      <alignment horizontal="left"/>
    </xf>
    <xf numFmtId="0" fontId="7" fillId="0" borderId="134" xfId="42" quotePrefix="1" applyFont="1" applyFill="1" applyBorder="1" applyAlignment="1">
      <alignment horizontal="center" wrapText="1"/>
    </xf>
    <xf numFmtId="0" fontId="7" fillId="0" borderId="0" xfId="42" quotePrefix="1" applyFont="1" applyFill="1" applyBorder="1" applyAlignment="1">
      <alignment horizontal="center" wrapText="1"/>
    </xf>
    <xf numFmtId="0" fontId="65" fillId="49" borderId="160" xfId="87" applyFont="1" applyFill="1" applyBorder="1" applyAlignment="1">
      <alignment horizontal="center"/>
    </xf>
    <xf numFmtId="49" fontId="5" fillId="0" borderId="137" xfId="28" applyNumberFormat="1" applyFont="1" applyFill="1" applyBorder="1" applyAlignment="1">
      <alignment horizontal="right"/>
    </xf>
    <xf numFmtId="42" fontId="3" fillId="25" borderId="0" xfId="28" applyNumberFormat="1" applyFill="1" applyBorder="1" applyAlignment="1">
      <alignment horizontal="right"/>
    </xf>
    <xf numFmtId="41" fontId="5" fillId="25" borderId="138" xfId="28" applyNumberFormat="1" applyFont="1" applyFill="1" applyBorder="1" applyAlignment="1">
      <alignment horizontal="right"/>
    </xf>
    <xf numFmtId="174" fontId="3" fillId="0" borderId="0" xfId="84" applyNumberFormat="1"/>
    <xf numFmtId="174" fontId="0" fillId="0" borderId="0" xfId="0" applyNumberFormat="1"/>
    <xf numFmtId="174" fontId="3" fillId="0" borderId="13" xfId="42" applyNumberFormat="1" applyBorder="1" applyAlignment="1">
      <alignment horizontal="center"/>
    </xf>
    <xf numFmtId="0" fontId="3" fillId="0" borderId="9" xfId="42" applyBorder="1" applyAlignment="1">
      <alignment horizontal="center" wrapText="1"/>
    </xf>
    <xf numFmtId="0" fontId="5" fillId="0" borderId="0" xfId="0" applyFont="1" applyFill="1" applyBorder="1" applyAlignment="1">
      <alignment horizontal="center" wrapText="1"/>
    </xf>
    <xf numFmtId="164" fontId="5" fillId="0" borderId="23" xfId="0" quotePrefix="1" applyNumberFormat="1" applyFont="1" applyFill="1" applyBorder="1" applyAlignment="1"/>
    <xf numFmtId="164" fontId="5" fillId="0" borderId="21" xfId="0" applyNumberFormat="1" applyFont="1" applyFill="1" applyBorder="1" applyAlignment="1"/>
    <xf numFmtId="170" fontId="5" fillId="0" borderId="28" xfId="0" applyNumberFormat="1" applyFont="1" applyFill="1" applyBorder="1"/>
    <xf numFmtId="170" fontId="5" fillId="0" borderId="28" xfId="0" applyNumberFormat="1" applyFont="1" applyFill="1" applyBorder="1" applyAlignment="1"/>
    <xf numFmtId="164" fontId="5" fillId="0" borderId="9" xfId="0" applyNumberFormat="1" applyFont="1" applyFill="1" applyBorder="1" applyAlignment="1"/>
    <xf numFmtId="0" fontId="5" fillId="0" borderId="18" xfId="0" applyFont="1" applyFill="1" applyBorder="1" applyAlignment="1"/>
    <xf numFmtId="170" fontId="5" fillId="31" borderId="18" xfId="0" applyNumberFormat="1" applyFont="1" applyFill="1" applyBorder="1"/>
    <xf numFmtId="164" fontId="5" fillId="0" borderId="44" xfId="0" quotePrefix="1" applyNumberFormat="1" applyFont="1" applyFill="1" applyBorder="1" applyAlignment="1"/>
    <xf numFmtId="164" fontId="5" fillId="0" borderId="22" xfId="0" applyNumberFormat="1" applyFont="1" applyFill="1" applyBorder="1" applyAlignment="1"/>
    <xf numFmtId="0" fontId="3" fillId="0" borderId="134" xfId="82" applyFont="1" applyFill="1" applyBorder="1" applyAlignment="1">
      <alignment horizontal="center" wrapText="1"/>
    </xf>
    <xf numFmtId="41" fontId="3" fillId="0" borderId="95" xfId="82" applyNumberFormat="1" applyFill="1" applyBorder="1"/>
    <xf numFmtId="41" fontId="0" fillId="0" borderId="96" xfId="0" applyNumberFormat="1" applyFill="1" applyBorder="1" applyAlignment="1">
      <alignment horizontal="right"/>
    </xf>
    <xf numFmtId="41" fontId="0" fillId="0" borderId="95" xfId="0" applyNumberFormat="1" applyFill="1" applyBorder="1" applyAlignment="1">
      <alignment horizontal="right"/>
    </xf>
    <xf numFmtId="171" fontId="3" fillId="0" borderId="0" xfId="82" applyNumberFormat="1" applyFill="1" applyBorder="1"/>
    <xf numFmtId="41" fontId="3" fillId="0" borderId="96" xfId="28" applyNumberFormat="1" applyFill="1" applyBorder="1" applyAlignment="1">
      <alignment horizontal="right"/>
    </xf>
    <xf numFmtId="41" fontId="3" fillId="0" borderId="95" xfId="28" applyNumberFormat="1" applyFill="1" applyBorder="1" applyAlignment="1">
      <alignment horizontal="right"/>
    </xf>
    <xf numFmtId="171" fontId="5" fillId="0" borderId="0" xfId="82" applyNumberFormat="1" applyFont="1" applyFill="1" applyBorder="1"/>
    <xf numFmtId="41" fontId="5" fillId="0" borderId="95" xfId="82" applyNumberFormat="1" applyFont="1" applyFill="1" applyBorder="1"/>
    <xf numFmtId="41" fontId="5" fillId="0" borderId="96" xfId="28" applyNumberFormat="1" applyFont="1" applyFill="1" applyBorder="1" applyAlignment="1">
      <alignment horizontal="right"/>
    </xf>
    <xf numFmtId="41" fontId="5" fillId="0" borderId="95" xfId="28" applyNumberFormat="1" applyFont="1" applyFill="1" applyBorder="1" applyAlignment="1">
      <alignment horizontal="right"/>
    </xf>
    <xf numFmtId="171" fontId="5" fillId="0" borderId="13" xfId="82" applyNumberFormat="1" applyFont="1" applyFill="1" applyBorder="1"/>
    <xf numFmtId="41" fontId="5" fillId="0" borderId="148" xfId="82" applyNumberFormat="1" applyFont="1" applyFill="1" applyBorder="1"/>
    <xf numFmtId="41" fontId="5" fillId="0" borderId="143" xfId="42" applyNumberFormat="1" applyFont="1" applyFill="1" applyBorder="1" applyAlignment="1">
      <alignment horizontal="right"/>
    </xf>
    <xf numFmtId="41" fontId="5" fillId="0" borderId="138" xfId="42" applyNumberFormat="1" applyFont="1" applyFill="1" applyBorder="1" applyAlignment="1">
      <alignment horizontal="right"/>
    </xf>
    <xf numFmtId="41" fontId="3" fillId="0" borderId="0" xfId="82" applyNumberFormat="1" applyFont="1" applyFill="1" applyBorder="1"/>
    <xf numFmtId="41" fontId="3" fillId="0" borderId="156" xfId="82" applyNumberFormat="1" applyFont="1" applyFill="1" applyBorder="1"/>
    <xf numFmtId="41" fontId="3" fillId="0" borderId="93" xfId="82" applyNumberFormat="1" applyFill="1" applyBorder="1"/>
    <xf numFmtId="0" fontId="3" fillId="27" borderId="0" xfId="49" applyFill="1" applyAlignment="1">
      <alignment horizontal="center"/>
    </xf>
    <xf numFmtId="0" fontId="41" fillId="0" borderId="156" xfId="42" quotePrefix="1" applyNumberFormat="1" applyFont="1" applyBorder="1" applyAlignment="1">
      <alignment horizontal="center" wrapText="1"/>
    </xf>
    <xf numFmtId="0" fontId="5" fillId="0" borderId="156" xfId="42" applyFont="1" applyBorder="1" applyAlignment="1">
      <alignment horizontal="center" wrapText="1"/>
    </xf>
    <xf numFmtId="0" fontId="20" fillId="0" borderId="156" xfId="49" quotePrefix="1" applyFont="1" applyFill="1" applyBorder="1" applyAlignment="1">
      <alignment horizontal="center" wrapText="1"/>
    </xf>
    <xf numFmtId="0" fontId="42" fillId="0" borderId="133" xfId="0" quotePrefix="1" applyNumberFormat="1" applyFont="1" applyFill="1" applyBorder="1" applyAlignment="1">
      <alignment horizontal="center" wrapText="1"/>
    </xf>
    <xf numFmtId="0" fontId="42" fillId="0" borderId="134" xfId="0" quotePrefix="1" applyNumberFormat="1" applyFont="1" applyFill="1" applyBorder="1" applyAlignment="1">
      <alignment horizontal="center" wrapText="1"/>
    </xf>
    <xf numFmtId="0" fontId="42" fillId="0" borderId="91" xfId="0" quotePrefix="1" applyNumberFormat="1" applyFont="1" applyFill="1" applyBorder="1" applyAlignment="1">
      <alignment horizontal="center" wrapText="1"/>
    </xf>
    <xf numFmtId="2" fontId="42" fillId="0" borderId="133" xfId="42" quotePrefix="1" applyNumberFormat="1" applyFont="1" applyBorder="1" applyAlignment="1">
      <alignment horizontal="center" wrapText="1"/>
    </xf>
    <xf numFmtId="0" fontId="42" fillId="0" borderId="91" xfId="42" quotePrefix="1" applyNumberFormat="1" applyFont="1" applyFill="1" applyBorder="1" applyAlignment="1">
      <alignment horizontal="center" wrapText="1"/>
    </xf>
    <xf numFmtId="41" fontId="3" fillId="0" borderId="97" xfId="82" applyNumberFormat="1" applyFill="1" applyBorder="1"/>
    <xf numFmtId="41" fontId="5" fillId="0" borderId="97" xfId="82" applyNumberFormat="1" applyFont="1" applyFill="1" applyBorder="1"/>
    <xf numFmtId="41" fontId="5" fillId="0" borderId="147" xfId="82" applyNumberFormat="1" applyFont="1" applyFill="1" applyBorder="1"/>
    <xf numFmtId="41" fontId="3" fillId="0" borderId="97" xfId="82" applyNumberFormat="1" applyFont="1" applyFill="1" applyBorder="1"/>
    <xf numFmtId="41" fontId="3" fillId="0" borderId="155" xfId="82" applyNumberFormat="1" applyFont="1" applyFill="1" applyBorder="1"/>
    <xf numFmtId="41" fontId="3" fillId="27" borderId="24" xfId="42" applyNumberFormat="1" applyFill="1" applyBorder="1"/>
    <xf numFmtId="0" fontId="3" fillId="27" borderId="24" xfId="42" applyFill="1" applyBorder="1"/>
    <xf numFmtId="164" fontId="3" fillId="29" borderId="0" xfId="28" applyNumberFormat="1" applyFill="1"/>
    <xf numFmtId="164" fontId="3" fillId="29" borderId="0" xfId="28" applyNumberFormat="1" applyFill="1" applyBorder="1"/>
    <xf numFmtId="164" fontId="5" fillId="0" borderId="0" xfId="42" applyNumberFormat="1" applyFont="1" applyBorder="1"/>
    <xf numFmtId="0" fontId="42" fillId="0" borderId="25" xfId="0" applyNumberFormat="1" applyFont="1" applyFill="1" applyBorder="1" applyAlignment="1">
      <alignment horizontal="center" wrapText="1"/>
    </xf>
    <xf numFmtId="0" fontId="5" fillId="0" borderId="18" xfId="0" applyFont="1" applyBorder="1"/>
    <xf numFmtId="49" fontId="0" fillId="33" borderId="92" xfId="0" applyNumberFormat="1" applyFill="1" applyBorder="1" applyAlignment="1">
      <alignment horizontal="right"/>
    </xf>
    <xf numFmtId="41" fontId="3" fillId="33" borderId="96" xfId="82" applyNumberFormat="1" applyFont="1" applyFill="1" applyBorder="1"/>
    <xf numFmtId="41" fontId="3" fillId="33" borderId="94" xfId="82" applyNumberFormat="1" applyFont="1" applyFill="1" applyBorder="1"/>
    <xf numFmtId="41" fontId="3" fillId="33" borderId="95" xfId="82" applyNumberFormat="1" applyFont="1" applyFill="1" applyBorder="1"/>
    <xf numFmtId="41" fontId="3" fillId="33" borderId="93" xfId="82" applyNumberFormat="1" applyFont="1" applyFill="1" applyBorder="1"/>
    <xf numFmtId="42" fontId="3" fillId="44" borderId="97" xfId="28" applyNumberFormat="1" applyFill="1" applyBorder="1" applyAlignment="1">
      <alignment horizontal="right"/>
    </xf>
    <xf numFmtId="0" fontId="3" fillId="0" borderId="92" xfId="42" applyBorder="1"/>
    <xf numFmtId="0" fontId="5" fillId="0" borderId="164" xfId="0" applyFont="1" applyFill="1" applyBorder="1" applyAlignment="1">
      <alignment horizontal="center" wrapText="1"/>
    </xf>
    <xf numFmtId="0" fontId="5" fillId="0" borderId="18" xfId="0" applyFont="1" applyFill="1" applyBorder="1" applyAlignment="1">
      <alignment horizontal="center" wrapText="1"/>
    </xf>
    <xf numFmtId="0" fontId="5" fillId="0" borderId="165" xfId="0" applyFont="1" applyFill="1" applyBorder="1" applyAlignment="1">
      <alignment horizontal="center" wrapText="1"/>
    </xf>
    <xf numFmtId="0" fontId="5" fillId="0" borderId="166" xfId="0" applyFont="1" applyBorder="1" applyAlignment="1">
      <alignment horizontal="center" wrapText="1"/>
    </xf>
    <xf numFmtId="0" fontId="5" fillId="27" borderId="164" xfId="42" applyFont="1" applyFill="1" applyBorder="1" applyAlignment="1">
      <alignment horizontal="center"/>
    </xf>
    <xf numFmtId="0" fontId="5" fillId="27" borderId="165" xfId="42" applyFont="1" applyFill="1" applyBorder="1" applyAlignment="1">
      <alignment horizontal="center"/>
    </xf>
    <xf numFmtId="42" fontId="3" fillId="0" borderId="97" xfId="42" applyNumberFormat="1" applyBorder="1"/>
    <xf numFmtId="42" fontId="3" fillId="0" borderId="95" xfId="42" applyNumberFormat="1" applyBorder="1"/>
    <xf numFmtId="42" fontId="3" fillId="0" borderId="96" xfId="42" applyNumberFormat="1" applyBorder="1"/>
    <xf numFmtId="37" fontId="3" fillId="27" borderId="97" xfId="42" applyNumberFormat="1" applyFill="1" applyBorder="1"/>
    <xf numFmtId="37" fontId="3" fillId="27" borderId="95" xfId="42" applyNumberFormat="1" applyFill="1" applyBorder="1"/>
    <xf numFmtId="41" fontId="3" fillId="0" borderId="97" xfId="42" applyNumberFormat="1" applyBorder="1"/>
    <xf numFmtId="41" fontId="3" fillId="0" borderId="95" xfId="42" applyNumberFormat="1" applyBorder="1"/>
    <xf numFmtId="41" fontId="3" fillId="0" borderId="96" xfId="42" applyNumberFormat="1" applyBorder="1"/>
    <xf numFmtId="41" fontId="3" fillId="0" borderId="94" xfId="42" applyNumberFormat="1" applyBorder="1"/>
    <xf numFmtId="37" fontId="3" fillId="27" borderId="155" xfId="42" applyNumberFormat="1" applyFill="1" applyBorder="1"/>
    <xf numFmtId="37" fontId="3" fillId="27" borderId="156" xfId="42" applyNumberFormat="1" applyFill="1" applyBorder="1"/>
    <xf numFmtId="37" fontId="3" fillId="27" borderId="93" xfId="42" applyNumberFormat="1" applyFill="1" applyBorder="1"/>
    <xf numFmtId="42" fontId="5" fillId="0" borderId="167" xfId="42" applyNumberFormat="1" applyFont="1" applyBorder="1"/>
    <xf numFmtId="0" fontId="39" fillId="0" borderId="0" xfId="73" applyAlignment="1" applyProtection="1">
      <alignment vertical="center"/>
    </xf>
    <xf numFmtId="174" fontId="3" fillId="0" borderId="0" xfId="0" applyNumberFormat="1" applyFont="1" applyAlignment="1">
      <alignment horizontal="center" vertical="center"/>
    </xf>
    <xf numFmtId="0" fontId="3" fillId="37" borderId="0" xfId="42" applyFill="1" applyAlignment="1">
      <alignment vertical="center"/>
    </xf>
    <xf numFmtId="14" fontId="3" fillId="27" borderId="0" xfId="42" applyNumberFormat="1" applyFill="1" applyAlignment="1">
      <alignment horizontal="left"/>
    </xf>
    <xf numFmtId="175" fontId="3" fillId="0" borderId="0" xfId="55" applyNumberFormat="1"/>
    <xf numFmtId="4" fontId="0" fillId="0" borderId="0" xfId="0" applyNumberFormat="1" applyAlignment="1">
      <alignment horizontal="right" wrapText="1"/>
    </xf>
    <xf numFmtId="3" fontId="3" fillId="0" borderId="0" xfId="55" applyNumberFormat="1"/>
    <xf numFmtId="4" fontId="3" fillId="0" borderId="0" xfId="55" applyNumberFormat="1"/>
    <xf numFmtId="0" fontId="5" fillId="48" borderId="0" xfId="0" applyFont="1" applyFill="1" applyAlignment="1"/>
    <xf numFmtId="0" fontId="3" fillId="45" borderId="0" xfId="42" applyFill="1"/>
    <xf numFmtId="14" fontId="3" fillId="45" borderId="0" xfId="42" applyNumberFormat="1" applyFont="1" applyFill="1"/>
    <xf numFmtId="174" fontId="66" fillId="30" borderId="152" xfId="0" applyNumberFormat="1" applyFont="1" applyFill="1" applyBorder="1" applyAlignment="1">
      <alignment horizontal="center" vertical="top" wrapText="1"/>
    </xf>
    <xf numFmtId="0" fontId="21" fillId="49" borderId="160" xfId="87" applyFont="1" applyFill="1" applyBorder="1" applyAlignment="1">
      <alignment horizontal="center"/>
    </xf>
    <xf numFmtId="0" fontId="21" fillId="0" borderId="5" xfId="87" applyFont="1" applyFill="1" applyBorder="1" applyAlignment="1">
      <alignment horizontal="right" wrapText="1"/>
    </xf>
    <xf numFmtId="164" fontId="21" fillId="0" borderId="5" xfId="28" applyNumberFormat="1" applyFont="1" applyFill="1" applyBorder="1" applyAlignment="1">
      <alignment horizontal="right" wrapText="1"/>
    </xf>
    <xf numFmtId="174" fontId="21" fillId="0" borderId="5" xfId="87" applyNumberFormat="1" applyFont="1" applyFill="1" applyBorder="1" applyAlignment="1">
      <alignment wrapText="1"/>
    </xf>
    <xf numFmtId="41" fontId="3" fillId="30" borderId="97" xfId="82" applyNumberFormat="1" applyFill="1" applyBorder="1"/>
    <xf numFmtId="41" fontId="3" fillId="30" borderId="95" xfId="82" applyNumberFormat="1" applyFill="1" applyBorder="1"/>
    <xf numFmtId="174" fontId="21" fillId="30" borderId="5" xfId="87" applyNumberFormat="1" applyFont="1" applyFill="1" applyBorder="1" applyAlignment="1">
      <alignment wrapText="1"/>
    </xf>
    <xf numFmtId="41" fontId="3" fillId="27" borderId="0" xfId="42" applyNumberFormat="1" applyFont="1" applyFill="1"/>
    <xf numFmtId="41" fontId="3" fillId="27" borderId="24" xfId="42" applyNumberFormat="1" applyFont="1" applyFill="1" applyBorder="1"/>
    <xf numFmtId="171" fontId="3" fillId="0" borderId="0" xfId="42" applyNumberFormat="1" applyFont="1" applyFill="1"/>
    <xf numFmtId="171" fontId="3" fillId="27" borderId="0" xfId="42" applyNumberFormat="1" applyFont="1" applyFill="1"/>
    <xf numFmtId="41" fontId="3" fillId="33" borderId="133" xfId="82" applyNumberFormat="1" applyFont="1" applyFill="1" applyBorder="1"/>
    <xf numFmtId="37" fontId="3" fillId="33" borderId="134" xfId="82" applyNumberFormat="1" applyFont="1" applyFill="1" applyBorder="1"/>
    <xf numFmtId="0" fontId="3" fillId="0" borderId="0" xfId="42" applyNumberFormat="1" applyFont="1" applyFill="1" applyBorder="1" applyAlignment="1">
      <alignment horizontal="center"/>
    </xf>
    <xf numFmtId="0" fontId="3" fillId="0" borderId="156" xfId="42" applyNumberFormat="1" applyFont="1" applyFill="1" applyBorder="1" applyAlignment="1">
      <alignment horizontal="center"/>
    </xf>
    <xf numFmtId="41" fontId="3" fillId="33" borderId="91" xfId="82" applyNumberFormat="1" applyFont="1" applyFill="1" applyBorder="1"/>
    <xf numFmtId="41" fontId="3" fillId="0" borderId="133" xfId="82" applyNumberFormat="1" applyFont="1" applyFill="1" applyBorder="1"/>
    <xf numFmtId="41" fontId="3" fillId="0" borderId="91" xfId="82" applyNumberFormat="1" applyFill="1" applyBorder="1"/>
    <xf numFmtId="2" fontId="3" fillId="0" borderId="0" xfId="82" applyNumberFormat="1" applyFont="1" applyFill="1" applyBorder="1" applyAlignment="1">
      <alignment wrapText="1"/>
    </xf>
    <xf numFmtId="2" fontId="3" fillId="0" borderId="95" xfId="82" applyNumberFormat="1" applyFont="1" applyFill="1" applyBorder="1" applyAlignment="1">
      <alignment wrapText="1"/>
    </xf>
    <xf numFmtId="2" fontId="3" fillId="0" borderId="0" xfId="82" applyNumberFormat="1" applyFill="1" applyBorder="1" applyAlignment="1"/>
    <xf numFmtId="2" fontId="3" fillId="0" borderId="95" xfId="82" applyNumberFormat="1" applyFill="1" applyBorder="1" applyAlignment="1"/>
    <xf numFmtId="2" fontId="5" fillId="0" borderId="13" xfId="82" applyNumberFormat="1" applyFont="1" applyFill="1" applyBorder="1" applyAlignment="1"/>
    <xf numFmtId="2" fontId="5" fillId="0" borderId="148" xfId="82" applyNumberFormat="1" applyFont="1" applyFill="1" applyBorder="1" applyAlignment="1"/>
    <xf numFmtId="2" fontId="3" fillId="0" borderId="156" xfId="82" applyNumberFormat="1" applyFill="1" applyBorder="1" applyAlignment="1"/>
    <xf numFmtId="2" fontId="3" fillId="0" borderId="93" xfId="82" applyNumberFormat="1" applyFill="1" applyBorder="1" applyAlignment="1"/>
    <xf numFmtId="0" fontId="66" fillId="0" borderId="0" xfId="0" applyFont="1"/>
    <xf numFmtId="167" fontId="0" fillId="0" borderId="0" xfId="81" applyNumberFormat="1" applyFont="1"/>
    <xf numFmtId="0" fontId="5" fillId="30" borderId="9" xfId="42" applyFont="1" applyFill="1" applyBorder="1" applyAlignment="1">
      <alignment wrapText="1"/>
    </xf>
    <xf numFmtId="0" fontId="66" fillId="0" borderId="9" xfId="0" applyFont="1" applyBorder="1" applyAlignment="1">
      <alignment horizontal="center"/>
    </xf>
    <xf numFmtId="167" fontId="66" fillId="0" borderId="9" xfId="81" applyNumberFormat="1" applyFont="1" applyBorder="1" applyAlignment="1">
      <alignment horizontal="center"/>
    </xf>
    <xf numFmtId="167" fontId="0" fillId="33" borderId="0" xfId="81" applyNumberFormat="1" applyFont="1" applyFill="1"/>
    <xf numFmtId="0" fontId="5" fillId="0" borderId="8" xfId="42" applyFont="1" applyFill="1" applyBorder="1"/>
    <xf numFmtId="167" fontId="0" fillId="0" borderId="8" xfId="81" applyNumberFormat="1" applyFont="1" applyBorder="1"/>
    <xf numFmtId="42" fontId="3" fillId="38" borderId="8" xfId="42" applyNumberFormat="1" applyFont="1" applyFill="1" applyBorder="1"/>
    <xf numFmtId="0" fontId="5" fillId="30" borderId="8" xfId="42" applyFont="1" applyFill="1" applyBorder="1" applyAlignment="1">
      <alignment wrapText="1"/>
    </xf>
    <xf numFmtId="0" fontId="66" fillId="0" borderId="8" xfId="0" applyFont="1" applyBorder="1" applyAlignment="1">
      <alignment horizontal="center"/>
    </xf>
    <xf numFmtId="167" fontId="66" fillId="0" borderId="8" xfId="81" applyNumberFormat="1" applyFont="1" applyBorder="1" applyAlignment="1">
      <alignment horizontal="center"/>
    </xf>
    <xf numFmtId="0" fontId="3" fillId="38" borderId="0" xfId="0" applyFont="1" applyFill="1"/>
    <xf numFmtId="14" fontId="5" fillId="0" borderId="0" xfId="0" applyNumberFormat="1" applyFont="1" applyBorder="1" applyAlignment="1">
      <alignment horizontal="left"/>
    </xf>
    <xf numFmtId="14" fontId="3" fillId="27" borderId="0" xfId="42" applyNumberFormat="1" applyFill="1"/>
    <xf numFmtId="0" fontId="3" fillId="27" borderId="0" xfId="42" applyFill="1" applyAlignment="1">
      <alignment horizontal="right"/>
    </xf>
    <xf numFmtId="41" fontId="3" fillId="33" borderId="0" xfId="28" applyNumberFormat="1" applyFill="1" applyBorder="1" applyAlignment="1">
      <alignment horizontal="right"/>
    </xf>
    <xf numFmtId="41" fontId="5" fillId="33" borderId="0" xfId="28" applyNumberFormat="1" applyFont="1" applyFill="1" applyBorder="1" applyAlignment="1">
      <alignment horizontal="right"/>
    </xf>
    <xf numFmtId="41" fontId="5" fillId="33" borderId="95" xfId="28" applyNumberFormat="1" applyFont="1" applyFill="1" applyBorder="1" applyAlignment="1">
      <alignment horizontal="right"/>
    </xf>
    <xf numFmtId="41" fontId="5" fillId="0" borderId="0" xfId="42" applyNumberFormat="1" applyFont="1"/>
    <xf numFmtId="41" fontId="5" fillId="33" borderId="96" xfId="28" applyNumberFormat="1" applyFont="1" applyFill="1" applyBorder="1" applyAlignment="1">
      <alignment horizontal="right"/>
    </xf>
    <xf numFmtId="41" fontId="5" fillId="33" borderId="137" xfId="42" applyNumberFormat="1" applyFont="1" applyFill="1" applyBorder="1" applyAlignment="1">
      <alignment horizontal="right"/>
    </xf>
    <xf numFmtId="41" fontId="3" fillId="33" borderId="92" xfId="82" applyNumberFormat="1" applyFill="1" applyBorder="1" applyAlignment="1"/>
    <xf numFmtId="41" fontId="3" fillId="33" borderId="96" xfId="82" applyNumberFormat="1" applyFill="1" applyBorder="1" applyAlignment="1"/>
    <xf numFmtId="41" fontId="3" fillId="33" borderId="94" xfId="82" applyNumberFormat="1" applyFill="1" applyBorder="1" applyAlignment="1"/>
    <xf numFmtId="174" fontId="3" fillId="0" borderId="0" xfId="42" applyNumberFormat="1" applyFill="1" applyBorder="1" applyAlignment="1">
      <alignment horizontal="right"/>
    </xf>
    <xf numFmtId="174" fontId="5" fillId="0" borderId="0" xfId="42" applyNumberFormat="1" applyFont="1" applyBorder="1" applyAlignment="1">
      <alignment horizontal="right"/>
    </xf>
    <xf numFmtId="0" fontId="8" fillId="0" borderId="0" xfId="42" applyFont="1" applyFill="1" applyBorder="1" applyAlignment="1">
      <alignment vertical="top" wrapText="1"/>
    </xf>
    <xf numFmtId="0" fontId="3" fillId="0" borderId="0" xfId="42" applyFill="1" applyBorder="1" applyAlignment="1">
      <alignment horizontal="right"/>
    </xf>
    <xf numFmtId="0" fontId="3" fillId="0" borderId="0" xfId="42" applyBorder="1" applyAlignment="1">
      <alignment vertical="center"/>
    </xf>
    <xf numFmtId="0" fontId="7" fillId="0" borderId="0" xfId="42" applyFont="1" applyBorder="1" applyAlignment="1">
      <alignment vertical="center" wrapText="1"/>
    </xf>
    <xf numFmtId="174" fontId="5" fillId="27" borderId="0" xfId="42" applyNumberFormat="1" applyFont="1" applyFill="1" applyBorder="1" applyAlignment="1">
      <alignment horizontal="right" vertical="center"/>
    </xf>
    <xf numFmtId="0" fontId="7" fillId="0" borderId="0" xfId="42" applyFont="1" applyBorder="1" applyAlignment="1">
      <alignment horizontal="center" vertical="center" wrapText="1"/>
    </xf>
    <xf numFmtId="174" fontId="3" fillId="0" borderId="0" xfId="42" applyNumberFormat="1" applyFont="1" applyFill="1" applyBorder="1" applyAlignment="1">
      <alignment horizontal="right"/>
    </xf>
    <xf numFmtId="42" fontId="5" fillId="29" borderId="26" xfId="42" applyNumberFormat="1" applyFont="1" applyFill="1" applyBorder="1" applyAlignment="1">
      <alignment horizontal="center"/>
    </xf>
    <xf numFmtId="0" fontId="7" fillId="0" borderId="23" xfId="42" applyFont="1" applyBorder="1" applyAlignment="1">
      <alignment vertical="top" wrapText="1"/>
    </xf>
    <xf numFmtId="0" fontId="7" fillId="29" borderId="23" xfId="42" applyFont="1" applyFill="1" applyBorder="1" applyAlignment="1">
      <alignment vertical="top" wrapText="1"/>
    </xf>
    <xf numFmtId="0" fontId="7" fillId="29" borderId="23" xfId="42" applyFont="1" applyFill="1" applyBorder="1" applyAlignment="1">
      <alignment vertical="center" wrapText="1"/>
    </xf>
    <xf numFmtId="174" fontId="3" fillId="0" borderId="0" xfId="42" applyNumberFormat="1" applyBorder="1" applyAlignment="1">
      <alignment horizontal="right" vertical="center"/>
    </xf>
    <xf numFmtId="0" fontId="7" fillId="0" borderId="23" xfId="42" applyFont="1" applyBorder="1" applyAlignment="1">
      <alignment vertical="center" wrapText="1"/>
    </xf>
    <xf numFmtId="38" fontId="5" fillId="24" borderId="0" xfId="0" applyNumberFormat="1" applyFont="1" applyFill="1"/>
    <xf numFmtId="0" fontId="8" fillId="0" borderId="25" xfId="42" applyFont="1" applyBorder="1" applyAlignment="1">
      <alignment vertical="center" wrapText="1"/>
    </xf>
    <xf numFmtId="0" fontId="8" fillId="0" borderId="83" xfId="42" applyFont="1" applyBorder="1" applyAlignment="1">
      <alignment horizontal="center" vertical="center" wrapText="1"/>
    </xf>
    <xf numFmtId="0" fontId="3" fillId="0" borderId="0" xfId="0" applyFont="1" applyFill="1" applyAlignment="1">
      <alignment horizontal="center"/>
    </xf>
    <xf numFmtId="0" fontId="7" fillId="0" borderId="0" xfId="42" applyFont="1" applyBorder="1" applyAlignment="1">
      <alignment horizontal="center"/>
    </xf>
    <xf numFmtId="0" fontId="5" fillId="0" borderId="0" xfId="0" applyFont="1" applyFill="1" applyBorder="1" applyAlignment="1">
      <alignment horizontal="center" wrapText="1"/>
    </xf>
    <xf numFmtId="0" fontId="5" fillId="0" borderId="116" xfId="0" applyFont="1" applyFill="1" applyBorder="1" applyAlignment="1"/>
    <xf numFmtId="44" fontId="46" fillId="0" borderId="0" xfId="0" applyNumberFormat="1" applyFont="1" applyAlignment="1">
      <alignment horizontal="center"/>
    </xf>
    <xf numFmtId="0" fontId="7" fillId="0" borderId="25" xfId="42" applyFont="1" applyBorder="1" applyAlignment="1">
      <alignment vertical="center" wrapText="1"/>
    </xf>
    <xf numFmtId="0" fontId="7" fillId="0" borderId="93" xfId="42" applyFont="1" applyBorder="1" applyAlignment="1">
      <alignment vertical="center" wrapText="1"/>
    </xf>
    <xf numFmtId="43" fontId="3" fillId="0" borderId="0" xfId="78" applyNumberFormat="1" applyFont="1" applyAlignment="1">
      <alignment vertical="center"/>
    </xf>
    <xf numFmtId="2" fontId="0" fillId="0" borderId="0" xfId="0" applyNumberFormat="1" applyFont="1" applyBorder="1" applyAlignment="1">
      <alignment vertical="center" wrapText="1"/>
    </xf>
    <xf numFmtId="0" fontId="0" fillId="0" borderId="0" xfId="0" applyFont="1" applyBorder="1" applyAlignment="1">
      <alignment vertical="center" wrapText="1"/>
    </xf>
    <xf numFmtId="0" fontId="2" fillId="37" borderId="0" xfId="83" applyFont="1" applyFill="1" applyBorder="1" applyAlignment="1">
      <alignment vertical="center" wrapText="1"/>
    </xf>
    <xf numFmtId="174" fontId="66" fillId="0" borderId="152" xfId="0" applyNumberFormat="1" applyFont="1" applyBorder="1" applyAlignment="1">
      <alignment horizontal="center" vertical="center" wrapText="1"/>
    </xf>
    <xf numFmtId="0" fontId="0" fillId="45" borderId="0" xfId="0" applyFont="1" applyFill="1" applyBorder="1" applyAlignment="1">
      <alignment vertical="center" wrapText="1"/>
    </xf>
    <xf numFmtId="175" fontId="5" fillId="0" borderId="0" xfId="55" applyNumberFormat="1" applyFont="1" applyAlignment="1">
      <alignment vertical="center"/>
    </xf>
    <xf numFmtId="0" fontId="39" fillId="0" borderId="0" xfId="73" applyAlignment="1" applyProtection="1"/>
    <xf numFmtId="0" fontId="3" fillId="0" borderId="0" xfId="0" applyFont="1" applyFill="1" applyAlignment="1">
      <alignment horizontal="center"/>
    </xf>
    <xf numFmtId="0" fontId="7" fillId="0" borderId="0" xfId="42" applyFont="1" applyBorder="1" applyAlignment="1">
      <alignment horizontal="center"/>
    </xf>
    <xf numFmtId="0" fontId="5" fillId="0" borderId="116" xfId="0" applyFont="1" applyFill="1" applyBorder="1" applyAlignment="1"/>
    <xf numFmtId="0" fontId="5" fillId="0" borderId="0" xfId="0" applyFont="1" applyFill="1" applyBorder="1" applyAlignment="1">
      <alignment horizontal="center" wrapText="1"/>
    </xf>
    <xf numFmtId="44" fontId="46" fillId="0" borderId="0" xfId="0" applyNumberFormat="1" applyFont="1" applyAlignment="1">
      <alignment horizontal="center"/>
    </xf>
    <xf numFmtId="38" fontId="3" fillId="24" borderId="0" xfId="0" applyNumberFormat="1" applyFont="1" applyFill="1"/>
    <xf numFmtId="15" fontId="5" fillId="0" borderId="0" xfId="42" applyNumberFormat="1" applyFont="1" applyFill="1" applyAlignment="1">
      <alignment horizontal="center"/>
    </xf>
    <xf numFmtId="0" fontId="7" fillId="0" borderId="0" xfId="42" applyFont="1" applyBorder="1" applyAlignment="1">
      <alignment horizontal="center"/>
    </xf>
    <xf numFmtId="0" fontId="7" fillId="0" borderId="27" xfId="42" applyFont="1" applyBorder="1" applyAlignment="1">
      <alignment horizontal="center" vertical="top" wrapText="1"/>
    </xf>
    <xf numFmtId="0" fontId="7" fillId="0" borderId="28" xfId="42" applyFont="1" applyBorder="1" applyAlignment="1">
      <alignment horizontal="center" vertical="top" wrapText="1"/>
    </xf>
    <xf numFmtId="0" fontId="5" fillId="0" borderId="9" xfId="49" applyFont="1" applyBorder="1" applyAlignment="1">
      <alignment horizontal="center" wrapText="1"/>
    </xf>
    <xf numFmtId="0" fontId="3" fillId="0" borderId="0" xfId="49"/>
    <xf numFmtId="0" fontId="5" fillId="0" borderId="0" xfId="49" applyFont="1" applyFill="1" applyBorder="1" applyAlignment="1">
      <alignment horizontal="center" wrapText="1"/>
    </xf>
    <xf numFmtId="42" fontId="3" fillId="0" borderId="26" xfId="42" applyNumberFormat="1" applyBorder="1"/>
    <xf numFmtId="167" fontId="3" fillId="0" borderId="0" xfId="58" applyNumberFormat="1" applyFont="1" applyFill="1" applyAlignment="1">
      <alignment horizontal="center"/>
    </xf>
    <xf numFmtId="42" fontId="3" fillId="0" borderId="13" xfId="84" applyNumberFormat="1" applyFill="1" applyBorder="1"/>
    <xf numFmtId="167" fontId="0" fillId="0" borderId="13" xfId="58" applyNumberFormat="1" applyFont="1" applyBorder="1" applyAlignment="1">
      <alignment horizontal="center"/>
    </xf>
    <xf numFmtId="41" fontId="3" fillId="0" borderId="0" xfId="84" applyNumberFormat="1"/>
    <xf numFmtId="0" fontId="3" fillId="0" borderId="10" xfId="42" applyBorder="1"/>
    <xf numFmtId="0" fontId="3" fillId="0" borderId="8" xfId="77" applyFont="1" applyBorder="1"/>
    <xf numFmtId="0" fontId="0" fillId="0" borderId="11" xfId="0" applyBorder="1"/>
    <xf numFmtId="14" fontId="3" fillId="0" borderId="0" xfId="0" applyNumberFormat="1" applyFont="1"/>
    <xf numFmtId="0" fontId="3" fillId="0" borderId="0" xfId="0" applyFont="1" applyFill="1" applyAlignment="1">
      <alignment horizontal="center"/>
    </xf>
    <xf numFmtId="44" fontId="46" fillId="0" borderId="0" xfId="0" applyNumberFormat="1" applyFont="1" applyAlignment="1">
      <alignment horizontal="center"/>
    </xf>
    <xf numFmtId="0" fontId="8" fillId="30" borderId="0" xfId="42" applyFont="1" applyFill="1" applyBorder="1" applyAlignment="1">
      <alignment vertical="top" wrapText="1"/>
    </xf>
    <xf numFmtId="0" fontId="8" fillId="30" borderId="0" xfId="42" applyFont="1" applyFill="1" applyAlignment="1">
      <alignment vertical="top" wrapText="1"/>
    </xf>
    <xf numFmtId="174" fontId="3" fillId="0" borderId="0" xfId="42" applyNumberFormat="1" applyAlignment="1">
      <alignment horizontal="right"/>
    </xf>
    <xf numFmtId="0" fontId="8" fillId="0" borderId="0" xfId="42" applyFont="1" applyAlignment="1">
      <alignment horizontal="center" vertical="top" wrapText="1"/>
    </xf>
    <xf numFmtId="0" fontId="8" fillId="0" borderId="0" xfId="42" applyFont="1" applyAlignment="1">
      <alignment vertical="top" wrapText="1"/>
    </xf>
    <xf numFmtId="42" fontId="3" fillId="29" borderId="0" xfId="42" applyNumberFormat="1" applyFill="1"/>
    <xf numFmtId="42" fontId="3" fillId="0" borderId="0" xfId="42" applyNumberFormat="1" applyAlignment="1">
      <alignment horizontal="center"/>
    </xf>
    <xf numFmtId="0" fontId="5" fillId="29" borderId="0" xfId="42" applyFont="1" applyFill="1" applyAlignment="1">
      <alignment horizontal="center" vertical="top" wrapText="1"/>
    </xf>
    <xf numFmtId="0" fontId="5" fillId="24" borderId="0" xfId="42" applyFont="1" applyFill="1" applyAlignment="1">
      <alignment horizontal="center" vertical="top" wrapText="1"/>
    </xf>
    <xf numFmtId="44" fontId="3" fillId="29" borderId="0" xfId="42" applyNumberFormat="1" applyFill="1"/>
    <xf numFmtId="0" fontId="42" fillId="0" borderId="0" xfId="42" applyFont="1" applyAlignment="1">
      <alignment horizontal="center"/>
    </xf>
    <xf numFmtId="0" fontId="41" fillId="0" borderId="0" xfId="42" applyFont="1" applyAlignment="1">
      <alignment horizontal="center"/>
    </xf>
    <xf numFmtId="37" fontId="3" fillId="0" borderId="0" xfId="42" applyNumberFormat="1"/>
    <xf numFmtId="42" fontId="8" fillId="0" borderId="0" xfId="42" applyNumberFormat="1" applyFont="1" applyAlignment="1">
      <alignment horizontal="center" vertical="top" wrapText="1"/>
    </xf>
    <xf numFmtId="42" fontId="3" fillId="0" borderId="27" xfId="42" applyNumberFormat="1" applyBorder="1" applyAlignment="1">
      <alignment vertical="center"/>
    </xf>
    <xf numFmtId="42" fontId="3" fillId="0" borderId="44" xfId="42" applyNumberFormat="1" applyBorder="1" applyAlignment="1">
      <alignment vertical="center"/>
    </xf>
    <xf numFmtId="42" fontId="3" fillId="0" borderId="28" xfId="42" applyNumberFormat="1" applyBorder="1" applyAlignment="1">
      <alignment vertical="center"/>
    </xf>
    <xf numFmtId="42" fontId="3" fillId="0" borderId="0" xfId="42" applyNumberFormat="1" applyAlignment="1">
      <alignment vertical="center"/>
    </xf>
    <xf numFmtId="42" fontId="3" fillId="0" borderId="0" xfId="42" applyNumberFormat="1" applyAlignment="1">
      <alignment horizontal="center" vertical="top" wrapText="1"/>
    </xf>
    <xf numFmtId="42" fontId="8" fillId="24" borderId="0" xfId="42" applyNumberFormat="1" applyFont="1" applyFill="1" applyAlignment="1">
      <alignment horizontal="center" vertical="top" wrapText="1"/>
    </xf>
    <xf numFmtId="38" fontId="3" fillId="27" borderId="0" xfId="42" applyNumberFormat="1" applyFill="1"/>
    <xf numFmtId="37" fontId="0" fillId="0" borderId="0" xfId="0" applyNumberFormat="1" applyAlignment="1">
      <alignment vertical="center"/>
    </xf>
    <xf numFmtId="42" fontId="3" fillId="0" borderId="0" xfId="42" applyNumberFormat="1" applyAlignment="1">
      <alignment horizontal="center" vertical="center"/>
    </xf>
    <xf numFmtId="38" fontId="3" fillId="27" borderId="0" xfId="42" applyNumberFormat="1" applyFill="1" applyAlignment="1">
      <alignment vertical="center"/>
    </xf>
    <xf numFmtId="37" fontId="0" fillId="0" borderId="0" xfId="0" applyNumberFormat="1"/>
    <xf numFmtId="37" fontId="5" fillId="0" borderId="26" xfId="42" applyNumberFormat="1" applyFont="1" applyBorder="1" applyAlignment="1">
      <alignment horizontal="center"/>
    </xf>
    <xf numFmtId="0" fontId="41" fillId="0" borderId="20" xfId="42" applyFont="1" applyBorder="1" applyAlignment="1">
      <alignment horizontal="center"/>
    </xf>
    <xf numFmtId="0" fontId="41" fillId="0" borderId="24" xfId="42" applyFont="1" applyBorder="1" applyAlignment="1">
      <alignment horizontal="center"/>
    </xf>
    <xf numFmtId="42" fontId="8" fillId="0" borderId="0" xfId="42" applyNumberFormat="1" applyFont="1" applyAlignment="1">
      <alignment horizontal="center" vertical="center" wrapText="1"/>
    </xf>
    <xf numFmtId="0" fontId="41" fillId="0" borderId="24" xfId="42" applyFont="1" applyBorder="1" applyAlignment="1">
      <alignment horizontal="center" vertical="center"/>
    </xf>
    <xf numFmtId="42" fontId="3" fillId="29" borderId="0" xfId="42" applyNumberFormat="1" applyFill="1" applyAlignment="1">
      <alignment vertical="center"/>
    </xf>
    <xf numFmtId="42" fontId="8" fillId="0" borderId="9" xfId="42" applyNumberFormat="1" applyFont="1" applyBorder="1" applyAlignment="1">
      <alignment horizontal="center" vertical="top" wrapText="1"/>
    </xf>
    <xf numFmtId="0" fontId="41" fillId="0" borderId="22" xfId="42" applyFont="1" applyBorder="1" applyAlignment="1">
      <alignment horizontal="center"/>
    </xf>
    <xf numFmtId="0" fontId="8" fillId="33" borderId="0" xfId="42" applyFont="1" applyFill="1" applyBorder="1" applyAlignment="1">
      <alignment horizontal="center" vertical="top" wrapText="1"/>
    </xf>
    <xf numFmtId="0" fontId="8" fillId="33" borderId="0" xfId="42" applyFont="1" applyFill="1" applyAlignment="1">
      <alignment horizontal="center" vertical="top" wrapText="1"/>
    </xf>
    <xf numFmtId="0" fontId="8" fillId="0" borderId="0" xfId="42" applyFont="1" applyFill="1" applyBorder="1" applyAlignment="1">
      <alignment horizontal="center" vertical="top" wrapText="1"/>
    </xf>
    <xf numFmtId="0" fontId="7" fillId="33" borderId="0" xfId="42" applyFont="1" applyFill="1" applyBorder="1" applyAlignment="1">
      <alignment horizontal="center" vertical="top" wrapText="1"/>
    </xf>
    <xf numFmtId="0" fontId="7" fillId="33" borderId="0" xfId="42" applyFont="1" applyFill="1" applyBorder="1" applyAlignment="1">
      <alignment horizontal="center" vertical="center" wrapText="1"/>
    </xf>
    <xf numFmtId="0" fontId="5" fillId="0" borderId="81" xfId="42" applyFont="1" applyBorder="1" applyAlignment="1">
      <alignment horizontal="center"/>
    </xf>
    <xf numFmtId="0" fontId="5" fillId="0" borderId="82" xfId="42" applyFont="1" applyBorder="1" applyAlignment="1">
      <alignment horizontal="center"/>
    </xf>
    <xf numFmtId="0" fontId="5" fillId="0" borderId="83" xfId="42" applyFont="1" applyBorder="1" applyAlignment="1">
      <alignment horizontal="center"/>
    </xf>
    <xf numFmtId="0" fontId="3" fillId="0" borderId="81" xfId="42" applyBorder="1" applyAlignment="1">
      <alignment horizontal="center"/>
    </xf>
    <xf numFmtId="0" fontId="3" fillId="0" borderId="82" xfId="42" applyBorder="1" applyAlignment="1">
      <alignment horizontal="center"/>
    </xf>
    <xf numFmtId="0" fontId="3" fillId="0" borderId="83" xfId="42" applyBorder="1" applyAlignment="1">
      <alignment horizontal="center"/>
    </xf>
    <xf numFmtId="0" fontId="5" fillId="0" borderId="81" xfId="0" applyFont="1" applyBorder="1" applyAlignment="1">
      <alignment horizontal="center"/>
    </xf>
    <xf numFmtId="0" fontId="5" fillId="0" borderId="82" xfId="0" applyFont="1" applyBorder="1" applyAlignment="1">
      <alignment horizontal="center"/>
    </xf>
    <xf numFmtId="0" fontId="5" fillId="0" borderId="83" xfId="0" applyFont="1" applyBorder="1" applyAlignment="1">
      <alignment horizontal="center"/>
    </xf>
    <xf numFmtId="0" fontId="3" fillId="0" borderId="0" xfId="0" applyFont="1" applyFill="1" applyAlignment="1">
      <alignment horizontal="center"/>
    </xf>
    <xf numFmtId="0" fontId="0" fillId="0" borderId="0" xfId="0" applyFill="1" applyAlignment="1">
      <alignment horizontal="center"/>
    </xf>
    <xf numFmtId="38" fontId="41" fillId="0" borderId="29" xfId="0" applyNumberFormat="1" applyFont="1" applyFill="1" applyBorder="1" applyAlignment="1">
      <alignment horizontal="center"/>
    </xf>
    <xf numFmtId="38" fontId="41" fillId="0" borderId="30" xfId="0" applyNumberFormat="1" applyFont="1" applyFill="1" applyBorder="1" applyAlignment="1">
      <alignment horizontal="center"/>
    </xf>
    <xf numFmtId="38" fontId="41" fillId="0" borderId="31" xfId="0" applyNumberFormat="1" applyFont="1" applyFill="1" applyBorder="1" applyAlignment="1">
      <alignment horizontal="center"/>
    </xf>
    <xf numFmtId="0" fontId="5" fillId="0" borderId="32" xfId="42" applyFont="1" applyBorder="1" applyAlignment="1">
      <alignment horizontal="center"/>
    </xf>
    <xf numFmtId="0" fontId="5" fillId="0" borderId="33" xfId="42" applyFont="1" applyBorder="1" applyAlignment="1">
      <alignment horizontal="center"/>
    </xf>
    <xf numFmtId="0" fontId="5" fillId="0" borderId="34" xfId="42" applyFont="1" applyBorder="1" applyAlignment="1">
      <alignment horizontal="center"/>
    </xf>
    <xf numFmtId="38" fontId="3" fillId="0" borderId="35" xfId="42" applyNumberFormat="1" applyFont="1" applyFill="1" applyBorder="1" applyAlignment="1">
      <alignment horizontal="center" wrapText="1"/>
    </xf>
    <xf numFmtId="38" fontId="3" fillId="0" borderId="43" xfId="42" applyNumberFormat="1" applyFont="1" applyFill="1" applyBorder="1" applyAlignment="1">
      <alignment horizontal="center" wrapText="1"/>
    </xf>
    <xf numFmtId="38" fontId="3" fillId="0" borderId="48" xfId="42" applyNumberFormat="1" applyFont="1" applyFill="1" applyBorder="1" applyAlignment="1">
      <alignment horizontal="center" wrapText="1"/>
    </xf>
    <xf numFmtId="0" fontId="42" fillId="0" borderId="36" xfId="0" applyFont="1" applyBorder="1" applyAlignment="1">
      <alignment horizontal="center" wrapText="1"/>
    </xf>
    <xf numFmtId="0" fontId="42" fillId="0" borderId="44" xfId="0" applyFont="1" applyBorder="1" applyAlignment="1">
      <alignment horizontal="center" wrapText="1"/>
    </xf>
    <xf numFmtId="0" fontId="42" fillId="0" borderId="28" xfId="0" applyFont="1" applyBorder="1" applyAlignment="1">
      <alignment horizontal="center" wrapText="1"/>
    </xf>
    <xf numFmtId="0" fontId="42" fillId="0" borderId="37" xfId="0" applyFont="1" applyBorder="1" applyAlignment="1">
      <alignment horizontal="center" wrapText="1"/>
    </xf>
    <xf numFmtId="0" fontId="42" fillId="0" borderId="45" xfId="0" applyFont="1" applyBorder="1" applyAlignment="1">
      <alignment horizontal="center" wrapText="1"/>
    </xf>
    <xf numFmtId="0" fontId="42" fillId="0" borderId="49" xfId="0" applyFont="1" applyBorder="1" applyAlignment="1">
      <alignment horizontal="center" wrapText="1"/>
    </xf>
    <xf numFmtId="0" fontId="3" fillId="0" borderId="38" xfId="42" applyFont="1" applyBorder="1" applyAlignment="1">
      <alignment horizontal="center" wrapText="1"/>
    </xf>
    <xf numFmtId="0" fontId="3" fillId="0" borderId="46" xfId="42" applyFont="1" applyBorder="1" applyAlignment="1">
      <alignment horizontal="center" wrapText="1"/>
    </xf>
    <xf numFmtId="0" fontId="3" fillId="0" borderId="50" xfId="42" applyFont="1" applyBorder="1" applyAlignment="1">
      <alignment horizontal="center" wrapText="1"/>
    </xf>
    <xf numFmtId="0" fontId="3" fillId="0" borderId="39" xfId="42" applyFont="1" applyBorder="1" applyAlignment="1">
      <alignment horizontal="center" wrapText="1"/>
    </xf>
    <xf numFmtId="0" fontId="3" fillId="0" borderId="44" xfId="42" applyFont="1" applyBorder="1" applyAlignment="1">
      <alignment horizontal="center" wrapText="1"/>
    </xf>
    <xf numFmtId="0" fontId="3" fillId="0" borderId="28" xfId="42" applyFont="1" applyBorder="1" applyAlignment="1">
      <alignment horizontal="center" wrapText="1"/>
    </xf>
    <xf numFmtId="0" fontId="42" fillId="0" borderId="39" xfId="0" applyFont="1" applyBorder="1" applyAlignment="1">
      <alignment horizontal="center" wrapText="1"/>
    </xf>
    <xf numFmtId="0" fontId="42" fillId="0" borderId="40" xfId="0" applyFont="1" applyBorder="1" applyAlignment="1">
      <alignment horizontal="center" wrapText="1"/>
    </xf>
    <xf numFmtId="0" fontId="42" fillId="0" borderId="47" xfId="0" applyFont="1" applyBorder="1" applyAlignment="1">
      <alignment horizontal="center" wrapText="1"/>
    </xf>
    <xf numFmtId="0" fontId="42" fillId="0" borderId="51" xfId="0" applyFont="1" applyBorder="1" applyAlignment="1">
      <alignment horizontal="center" wrapText="1"/>
    </xf>
    <xf numFmtId="0" fontId="5" fillId="50" borderId="161" xfId="42" applyFont="1" applyFill="1" applyBorder="1" applyAlignment="1">
      <alignment horizontal="center"/>
    </xf>
    <xf numFmtId="0" fontId="5" fillId="50" borderId="162" xfId="42" applyFont="1" applyFill="1" applyBorder="1" applyAlignment="1">
      <alignment horizontal="center"/>
    </xf>
    <xf numFmtId="0" fontId="5" fillId="51" borderId="161" xfId="42" applyFont="1" applyFill="1" applyBorder="1" applyAlignment="1">
      <alignment horizontal="center"/>
    </xf>
    <xf numFmtId="0" fontId="5" fillId="51" borderId="162" xfId="42" applyFont="1" applyFill="1" applyBorder="1" applyAlignment="1">
      <alignment horizontal="center"/>
    </xf>
    <xf numFmtId="0" fontId="5" fillId="51" borderId="163" xfId="42" applyFont="1" applyFill="1" applyBorder="1" applyAlignment="1">
      <alignment horizontal="center"/>
    </xf>
    <xf numFmtId="0" fontId="5" fillId="0" borderId="161" xfId="42" applyFont="1" applyBorder="1" applyAlignment="1">
      <alignment horizontal="center"/>
    </xf>
    <xf numFmtId="0" fontId="5" fillId="0" borderId="162" xfId="42" applyFont="1" applyBorder="1" applyAlignment="1">
      <alignment horizontal="center"/>
    </xf>
    <xf numFmtId="0" fontId="5" fillId="0" borderId="163" xfId="42" applyFont="1" applyBorder="1" applyAlignment="1">
      <alignment horizontal="center"/>
    </xf>
    <xf numFmtId="0" fontId="5" fillId="0" borderId="10" xfId="42" applyFont="1" applyBorder="1" applyAlignment="1">
      <alignment horizontal="center"/>
    </xf>
    <xf numFmtId="0" fontId="5" fillId="0" borderId="8" xfId="42" applyFont="1" applyBorder="1" applyAlignment="1">
      <alignment horizontal="center"/>
    </xf>
    <xf numFmtId="0" fontId="5" fillId="0" borderId="11" xfId="42" applyFont="1" applyBorder="1" applyAlignment="1">
      <alignment horizontal="center"/>
    </xf>
    <xf numFmtId="0" fontId="3" fillId="0" borderId="10" xfId="42" applyBorder="1" applyAlignment="1">
      <alignment horizontal="center"/>
    </xf>
    <xf numFmtId="0" fontId="3" fillId="0" borderId="11" xfId="42" applyBorder="1" applyAlignment="1">
      <alignment horizontal="center"/>
    </xf>
    <xf numFmtId="0" fontId="5" fillId="0" borderId="10" xfId="42" applyFont="1" applyFill="1" applyBorder="1" applyAlignment="1">
      <alignment horizontal="center"/>
    </xf>
    <xf numFmtId="0" fontId="5" fillId="0" borderId="8" xfId="42" applyFont="1" applyFill="1" applyBorder="1" applyAlignment="1">
      <alignment horizontal="center"/>
    </xf>
    <xf numFmtId="0" fontId="5" fillId="0" borderId="11" xfId="42" applyFont="1" applyFill="1" applyBorder="1" applyAlignment="1">
      <alignment horizontal="center"/>
    </xf>
    <xf numFmtId="0" fontId="5" fillId="45" borderId="10" xfId="42" applyFont="1" applyFill="1" applyBorder="1" applyAlignment="1">
      <alignment horizontal="center"/>
    </xf>
    <xf numFmtId="0" fontId="5" fillId="45" borderId="11" xfId="42" applyFont="1" applyFill="1" applyBorder="1" applyAlignment="1">
      <alignment horizontal="center"/>
    </xf>
    <xf numFmtId="0" fontId="3" fillId="30" borderId="10" xfId="42" applyFill="1" applyBorder="1" applyAlignment="1">
      <alignment horizontal="center"/>
    </xf>
    <xf numFmtId="0" fontId="3" fillId="30" borderId="11" xfId="42" applyFill="1" applyBorder="1" applyAlignment="1">
      <alignment horizontal="center"/>
    </xf>
    <xf numFmtId="0" fontId="3" fillId="33" borderId="10" xfId="42" applyFill="1" applyBorder="1" applyAlignment="1">
      <alignment horizontal="center"/>
    </xf>
    <xf numFmtId="0" fontId="3" fillId="33" borderId="8" xfId="42" applyFill="1" applyBorder="1" applyAlignment="1">
      <alignment horizontal="center"/>
    </xf>
    <xf numFmtId="0" fontId="3" fillId="33" borderId="11" xfId="42" applyFill="1" applyBorder="1" applyAlignment="1">
      <alignment horizontal="center"/>
    </xf>
    <xf numFmtId="0" fontId="3" fillId="0" borderId="9" xfId="42" applyBorder="1" applyAlignment="1">
      <alignment horizontal="center" wrapText="1"/>
    </xf>
    <xf numFmtId="0" fontId="3" fillId="27" borderId="10" xfId="42" applyFill="1" applyBorder="1" applyAlignment="1">
      <alignment horizontal="center" wrapText="1"/>
    </xf>
    <xf numFmtId="0" fontId="3" fillId="27" borderId="11" xfId="42" applyFill="1" applyBorder="1" applyAlignment="1">
      <alignment horizontal="center" wrapText="1"/>
    </xf>
    <xf numFmtId="43" fontId="5" fillId="27" borderId="10" xfId="42" applyNumberFormat="1" applyFont="1" applyFill="1" applyBorder="1" applyAlignment="1">
      <alignment horizontal="center"/>
    </xf>
    <xf numFmtId="43" fontId="5" fillId="27" borderId="11" xfId="42" applyNumberFormat="1" applyFont="1" applyFill="1" applyBorder="1" applyAlignment="1">
      <alignment horizontal="center"/>
    </xf>
    <xf numFmtId="43" fontId="3" fillId="27" borderId="19" xfId="42" applyNumberFormat="1" applyFill="1" applyBorder="1" applyAlignment="1">
      <alignment horizontal="center" wrapText="1"/>
    </xf>
    <xf numFmtId="43" fontId="3" fillId="27" borderId="20" xfId="42" applyNumberFormat="1" applyFill="1" applyBorder="1" applyAlignment="1">
      <alignment horizontal="center" wrapText="1"/>
    </xf>
    <xf numFmtId="0" fontId="5" fillId="27" borderId="81" xfId="42" applyFont="1" applyFill="1" applyBorder="1" applyAlignment="1">
      <alignment horizontal="center"/>
    </xf>
    <xf numFmtId="0" fontId="5" fillId="27" borderId="82" xfId="42" applyFont="1" applyFill="1" applyBorder="1" applyAlignment="1">
      <alignment horizontal="center"/>
    </xf>
    <xf numFmtId="0" fontId="5" fillId="27" borderId="83" xfId="42" applyFont="1" applyFill="1" applyBorder="1" applyAlignment="1">
      <alignment horizontal="center"/>
    </xf>
    <xf numFmtId="0" fontId="20" fillId="0" borderId="10" xfId="49" quotePrefix="1" applyFont="1" applyFill="1" applyBorder="1" applyAlignment="1">
      <alignment horizontal="center" wrapText="1"/>
    </xf>
    <xf numFmtId="0" fontId="20" fillId="0" borderId="8" xfId="49" quotePrefix="1" applyFont="1" applyFill="1" applyBorder="1" applyAlignment="1">
      <alignment horizontal="center" wrapText="1"/>
    </xf>
    <xf numFmtId="0" fontId="20" fillId="0" borderId="11" xfId="49" quotePrefix="1" applyFont="1" applyFill="1" applyBorder="1" applyAlignment="1">
      <alignment horizontal="center" wrapText="1"/>
    </xf>
    <xf numFmtId="43" fontId="3" fillId="27" borderId="150" xfId="42" applyNumberFormat="1" applyFill="1" applyBorder="1" applyAlignment="1">
      <alignment horizontal="center" wrapText="1"/>
    </xf>
    <xf numFmtId="43" fontId="3" fillId="27" borderId="151" xfId="42" applyNumberFormat="1" applyFill="1" applyBorder="1" applyAlignment="1">
      <alignment horizontal="center" wrapText="1"/>
    </xf>
    <xf numFmtId="0" fontId="5" fillId="0" borderId="18" xfId="42" applyFont="1" applyBorder="1" applyAlignment="1">
      <alignment horizontal="center"/>
    </xf>
    <xf numFmtId="0" fontId="66" fillId="0" borderId="10" xfId="0" applyFont="1" applyBorder="1" applyAlignment="1">
      <alignment horizontal="center"/>
    </xf>
    <xf numFmtId="0" fontId="66" fillId="0" borderId="8" xfId="0" applyFont="1" applyBorder="1" applyAlignment="1">
      <alignment horizontal="center"/>
    </xf>
    <xf numFmtId="0" fontId="66" fillId="0" borderId="11" xfId="0" applyFont="1" applyBorder="1" applyAlignment="1">
      <alignment horizontal="center"/>
    </xf>
    <xf numFmtId="38" fontId="3" fillId="0" borderId="10" xfId="42" applyNumberFormat="1" applyFont="1" applyFill="1" applyBorder="1" applyAlignment="1">
      <alignment horizontal="center" wrapText="1"/>
    </xf>
    <xf numFmtId="0" fontId="3" fillId="0" borderId="11" xfId="42" applyFont="1" applyFill="1" applyBorder="1" applyAlignment="1">
      <alignment horizontal="center" wrapText="1"/>
    </xf>
    <xf numFmtId="0" fontId="3" fillId="0" borderId="10" xfId="42" applyFont="1" applyFill="1" applyBorder="1" applyAlignment="1">
      <alignment horizontal="center" wrapText="1"/>
    </xf>
    <xf numFmtId="0" fontId="10" fillId="26" borderId="0" xfId="42" applyFont="1" applyFill="1" applyBorder="1" applyAlignment="1">
      <alignment horizontal="center"/>
    </xf>
    <xf numFmtId="0" fontId="7" fillId="0" borderId="0" xfId="42" applyFont="1" applyBorder="1" applyAlignment="1">
      <alignment horizontal="center"/>
    </xf>
    <xf numFmtId="0" fontId="5" fillId="0" borderId="116" xfId="0" applyFont="1" applyFill="1" applyBorder="1" applyAlignment="1">
      <alignment horizontal="center" wrapText="1"/>
    </xf>
    <xf numFmtId="0" fontId="5" fillId="0" borderId="117" xfId="0" applyFont="1" applyFill="1" applyBorder="1" applyAlignment="1">
      <alignment horizontal="center" wrapText="1"/>
    </xf>
    <xf numFmtId="0" fontId="5" fillId="0" borderId="0" xfId="0" applyFont="1" applyFill="1" applyBorder="1" applyAlignment="1">
      <alignment horizontal="center" wrapText="1"/>
    </xf>
    <xf numFmtId="0" fontId="5" fillId="0" borderId="121" xfId="0" applyFont="1" applyFill="1" applyBorder="1" applyAlignment="1">
      <alignment horizontal="center" wrapText="1"/>
    </xf>
    <xf numFmtId="0" fontId="5" fillId="0" borderId="119" xfId="0" applyFont="1" applyFill="1" applyBorder="1" applyAlignment="1">
      <alignment horizontal="center" wrapText="1"/>
    </xf>
    <xf numFmtId="0" fontId="5" fillId="0" borderId="120" xfId="0" applyFont="1" applyFill="1" applyBorder="1" applyAlignment="1">
      <alignment horizontal="center" wrapText="1"/>
    </xf>
    <xf numFmtId="0" fontId="5" fillId="0" borderId="125" xfId="0" applyFont="1" applyFill="1" applyBorder="1" applyAlignment="1">
      <alignment horizontal="center"/>
    </xf>
    <xf numFmtId="0" fontId="5" fillId="0" borderId="82" xfId="0" applyFont="1" applyFill="1" applyBorder="1" applyAlignment="1">
      <alignment horizontal="center"/>
    </xf>
    <xf numFmtId="0" fontId="5" fillId="0" borderId="83" xfId="0" applyFont="1" applyFill="1" applyBorder="1" applyAlignment="1">
      <alignment horizontal="center"/>
    </xf>
    <xf numFmtId="0" fontId="5" fillId="0" borderId="128" xfId="0" applyFont="1" applyFill="1" applyBorder="1" applyAlignment="1">
      <alignment horizontal="center" wrapText="1"/>
    </xf>
    <xf numFmtId="0" fontId="5" fillId="0" borderId="126" xfId="0" applyFont="1" applyFill="1" applyBorder="1" applyAlignment="1">
      <alignment horizontal="center" wrapText="1"/>
    </xf>
    <xf numFmtId="0" fontId="5" fillId="0" borderId="127" xfId="0" applyFont="1" applyFill="1" applyBorder="1" applyAlignment="1">
      <alignment horizontal="center" wrapText="1"/>
    </xf>
    <xf numFmtId="0" fontId="5" fillId="0" borderId="0" xfId="0" applyFont="1" applyBorder="1" applyAlignment="1">
      <alignment horizontal="left" wrapText="1"/>
    </xf>
    <xf numFmtId="41" fontId="3" fillId="0" borderId="10" xfId="0" applyNumberFormat="1" applyFont="1" applyFill="1" applyBorder="1" applyAlignment="1">
      <alignment horizontal="center"/>
    </xf>
    <xf numFmtId="41" fontId="3" fillId="0" borderId="8" xfId="0" applyNumberFormat="1" applyFont="1" applyFill="1" applyBorder="1" applyAlignment="1">
      <alignment horizontal="center"/>
    </xf>
    <xf numFmtId="41" fontId="3" fillId="0" borderId="11" xfId="0" applyNumberFormat="1" applyFont="1" applyFill="1" applyBorder="1" applyAlignment="1">
      <alignment horizontal="center"/>
    </xf>
    <xf numFmtId="164" fontId="39" fillId="0" borderId="81" xfId="73" applyNumberFormat="1" applyFill="1" applyBorder="1" applyAlignment="1" applyProtection="1">
      <alignment horizontal="center"/>
    </xf>
    <xf numFmtId="164" fontId="39" fillId="0" borderId="83" xfId="73" applyNumberFormat="1" applyFill="1" applyBorder="1" applyAlignment="1" applyProtection="1">
      <alignment horizontal="center"/>
    </xf>
    <xf numFmtId="0" fontId="5" fillId="0" borderId="131" xfId="0" applyFont="1" applyFill="1" applyBorder="1" applyAlignment="1">
      <alignment horizontal="center"/>
    </xf>
    <xf numFmtId="0" fontId="5" fillId="0" borderId="81" xfId="0" applyFont="1" applyFill="1" applyBorder="1" applyAlignment="1">
      <alignment horizontal="center"/>
    </xf>
    <xf numFmtId="0" fontId="5" fillId="0" borderId="16" xfId="0" applyFont="1" applyFill="1" applyBorder="1" applyAlignment="1">
      <alignment wrapText="1"/>
    </xf>
    <xf numFmtId="0" fontId="5" fillId="0" borderId="17" xfId="0" applyFont="1" applyFill="1" applyBorder="1" applyAlignment="1">
      <alignment wrapText="1"/>
    </xf>
    <xf numFmtId="0" fontId="5" fillId="0" borderId="116" xfId="0" applyFont="1" applyFill="1" applyBorder="1" applyAlignment="1"/>
    <xf numFmtId="0" fontId="5" fillId="0" borderId="27" xfId="42" applyFont="1" applyFill="1" applyBorder="1" applyAlignment="1">
      <alignment horizontal="center" wrapText="1"/>
    </xf>
    <xf numFmtId="0" fontId="5" fillId="0" borderId="28" xfId="42" applyFont="1" applyFill="1" applyBorder="1" applyAlignment="1">
      <alignment horizontal="center" wrapText="1"/>
    </xf>
    <xf numFmtId="37" fontId="48" fillId="29" borderId="0" xfId="0" applyNumberFormat="1" applyFont="1" applyFill="1" applyBorder="1" applyAlignment="1"/>
    <xf numFmtId="38" fontId="49" fillId="29" borderId="9" xfId="0" applyNumberFormat="1" applyFont="1" applyFill="1" applyBorder="1" applyAlignment="1">
      <alignment horizontal="center"/>
    </xf>
    <xf numFmtId="37" fontId="5" fillId="29" borderId="9" xfId="0" applyNumberFormat="1" applyFont="1" applyFill="1" applyBorder="1" applyAlignment="1">
      <alignment horizontal="center"/>
    </xf>
    <xf numFmtId="0" fontId="7" fillId="0" borderId="0" xfId="0" applyFont="1" applyBorder="1" applyAlignment="1">
      <alignment horizontal="center"/>
    </xf>
    <xf numFmtId="0" fontId="3" fillId="0" borderId="116" xfId="0" applyFont="1" applyFill="1" applyBorder="1" applyAlignment="1"/>
    <xf numFmtId="0" fontId="3" fillId="0" borderId="27" xfId="0" applyFont="1" applyFill="1" applyBorder="1" applyAlignment="1">
      <alignment horizontal="center" wrapText="1"/>
    </xf>
    <xf numFmtId="0" fontId="3" fillId="0" borderId="28" xfId="0" applyFont="1" applyFill="1" applyBorder="1" applyAlignment="1">
      <alignment horizontal="center" wrapText="1"/>
    </xf>
    <xf numFmtId="0" fontId="8" fillId="0" borderId="23" xfId="0" applyFont="1" applyBorder="1" applyAlignment="1">
      <alignment wrapText="1"/>
    </xf>
    <xf numFmtId="0" fontId="8" fillId="0" borderId="0" xfId="0" applyFont="1" applyBorder="1" applyAlignment="1">
      <alignment wrapText="1"/>
    </xf>
    <xf numFmtId="0" fontId="8" fillId="0" borderId="24" xfId="0" applyFont="1" applyBorder="1" applyAlignment="1">
      <alignment wrapText="1"/>
    </xf>
    <xf numFmtId="42" fontId="5" fillId="0" borderId="98" xfId="0" applyNumberFormat="1" applyFont="1" applyBorder="1" applyAlignment="1">
      <alignment horizontal="center"/>
    </xf>
    <xf numFmtId="42" fontId="5" fillId="0" borderId="99" xfId="0" applyNumberFormat="1" applyFont="1" applyBorder="1" applyAlignment="1">
      <alignment horizontal="center"/>
    </xf>
    <xf numFmtId="42" fontId="5" fillId="0" borderId="100" xfId="0" applyNumberFormat="1" applyFont="1" applyBorder="1" applyAlignment="1">
      <alignment horizontal="center"/>
    </xf>
    <xf numFmtId="0" fontId="5" fillId="0" borderId="10" xfId="0" applyFont="1" applyBorder="1" applyAlignment="1">
      <alignment horizontal="center"/>
    </xf>
    <xf numFmtId="0" fontId="5" fillId="0" borderId="8" xfId="0" applyFont="1" applyBorder="1" applyAlignment="1">
      <alignment horizontal="center"/>
    </xf>
    <xf numFmtId="0" fontId="5" fillId="0" borderId="11" xfId="0" applyFont="1" applyBorder="1" applyAlignment="1">
      <alignment horizontal="center"/>
    </xf>
    <xf numFmtId="0" fontId="3" fillId="31" borderId="21" xfId="0" applyFont="1" applyFill="1" applyBorder="1" applyAlignment="1"/>
    <xf numFmtId="0" fontId="3" fillId="31" borderId="22" xfId="0" applyFont="1" applyFill="1" applyBorder="1" applyAlignment="1"/>
    <xf numFmtId="0" fontId="39" fillId="31" borderId="21" xfId="73" applyFill="1" applyBorder="1" applyAlignment="1" applyProtection="1"/>
    <xf numFmtId="0" fontId="5" fillId="0" borderId="69" xfId="0" applyFont="1" applyBorder="1" applyAlignment="1">
      <alignment horizontal="center"/>
    </xf>
    <xf numFmtId="0" fontId="5" fillId="0" borderId="70" xfId="0" applyFont="1" applyBorder="1" applyAlignment="1">
      <alignment horizontal="center"/>
    </xf>
    <xf numFmtId="0" fontId="5" fillId="0" borderId="71" xfId="0" applyFont="1" applyBorder="1" applyAlignment="1">
      <alignment horizontal="center"/>
    </xf>
    <xf numFmtId="0" fontId="5" fillId="0" borderId="10" xfId="0" applyFont="1" applyBorder="1" applyAlignment="1">
      <alignment horizontal="center" wrapText="1"/>
    </xf>
    <xf numFmtId="0" fontId="5" fillId="0" borderId="8" xfId="0" applyFont="1" applyBorder="1" applyAlignment="1">
      <alignment horizontal="center" wrapText="1"/>
    </xf>
    <xf numFmtId="0" fontId="5" fillId="0" borderId="11" xfId="0" applyFont="1" applyBorder="1" applyAlignment="1">
      <alignment horizontal="center" wrapText="1"/>
    </xf>
    <xf numFmtId="44" fontId="46" fillId="0" borderId="0" xfId="0" applyNumberFormat="1" applyFont="1" applyAlignment="1">
      <alignment horizontal="center"/>
    </xf>
    <xf numFmtId="0" fontId="3" fillId="0" borderId="84" xfId="42" applyFont="1" applyBorder="1" applyAlignment="1">
      <alignment horizontal="center" wrapText="1"/>
    </xf>
    <xf numFmtId="0" fontId="3" fillId="0" borderId="85" xfId="42" applyFont="1" applyBorder="1" applyAlignment="1">
      <alignment horizontal="center" wrapText="1"/>
    </xf>
    <xf numFmtId="0" fontId="3" fillId="0" borderId="86" xfId="42" applyFont="1" applyBorder="1" applyAlignment="1">
      <alignment horizontal="center" wrapText="1"/>
    </xf>
    <xf numFmtId="37" fontId="48" fillId="29" borderId="0" xfId="0" applyNumberFormat="1" applyFont="1" applyFill="1" applyBorder="1" applyAlignment="1">
      <alignment horizontal="left" indent="10"/>
    </xf>
    <xf numFmtId="37" fontId="4" fillId="29" borderId="9" xfId="0" applyNumberFormat="1" applyFont="1" applyFill="1" applyBorder="1" applyAlignment="1">
      <alignment horizontal="center"/>
    </xf>
    <xf numFmtId="0" fontId="41" fillId="28" borderId="10" xfId="0" applyFont="1" applyFill="1" applyBorder="1" applyAlignment="1">
      <alignment horizontal="center"/>
    </xf>
    <xf numFmtId="0" fontId="5" fillId="0" borderId="11" xfId="0" applyFont="1" applyBorder="1" applyAlignment="1"/>
    <xf numFmtId="41" fontId="49" fillId="0" borderId="9" xfId="0" applyNumberFormat="1" applyFont="1" applyFill="1" applyBorder="1" applyAlignment="1">
      <alignment horizontal="center"/>
    </xf>
    <xf numFmtId="41" fontId="42" fillId="0" borderId="44" xfId="43" applyNumberFormat="1" applyFont="1" applyFill="1" applyBorder="1" applyAlignment="1">
      <alignment horizontal="center" wrapText="1"/>
    </xf>
    <xf numFmtId="41" fontId="42" fillId="0" borderId="28" xfId="43" applyNumberFormat="1" applyFont="1" applyFill="1" applyBorder="1" applyAlignment="1">
      <alignment horizontal="center" wrapText="1"/>
    </xf>
    <xf numFmtId="0" fontId="41" fillId="0" borderId="81" xfId="0" applyFont="1" applyBorder="1" applyAlignment="1">
      <alignment horizontal="center"/>
    </xf>
    <xf numFmtId="0" fontId="41" fillId="0" borderId="82" xfId="0" applyFont="1" applyBorder="1" applyAlignment="1">
      <alignment horizontal="center"/>
    </xf>
    <xf numFmtId="0" fontId="41" fillId="0" borderId="83" xfId="0" applyFont="1" applyBorder="1" applyAlignment="1">
      <alignment horizontal="center"/>
    </xf>
    <xf numFmtId="0" fontId="42" fillId="0" borderId="42" xfId="0" applyFont="1" applyBorder="1" applyAlignment="1">
      <alignment horizontal="center"/>
    </xf>
    <xf numFmtId="0" fontId="42" fillId="0" borderId="52" xfId="0" applyFont="1" applyBorder="1" applyAlignment="1">
      <alignment horizontal="center"/>
    </xf>
    <xf numFmtId="0" fontId="63" fillId="0" borderId="144" xfId="0" applyFont="1" applyBorder="1" applyAlignment="1">
      <alignment horizontal="center" vertical="center" wrapText="1"/>
    </xf>
    <xf numFmtId="0" fontId="63" fillId="0" borderId="145" xfId="0" applyFont="1" applyBorder="1" applyAlignment="1">
      <alignment horizontal="center" vertical="center" wrapText="1"/>
    </xf>
    <xf numFmtId="0" fontId="63" fillId="0" borderId="146" xfId="0" applyFont="1" applyBorder="1" applyAlignment="1">
      <alignment horizontal="center" vertical="center" wrapText="1"/>
    </xf>
    <xf numFmtId="0" fontId="5" fillId="0" borderId="130" xfId="0" applyFont="1" applyFill="1" applyBorder="1" applyAlignment="1">
      <alignment horizontal="center"/>
    </xf>
    <xf numFmtId="0" fontId="5" fillId="0" borderId="16" xfId="0" applyFont="1" applyFill="1" applyBorder="1" applyAlignment="1"/>
    <xf numFmtId="0" fontId="5" fillId="0" borderId="17" xfId="0" applyFont="1" applyFill="1" applyBorder="1" applyAlignment="1"/>
    <xf numFmtId="0" fontId="49" fillId="0" borderId="0" xfId="42" applyFont="1" applyBorder="1" applyAlignment="1">
      <alignment horizontal="center"/>
    </xf>
    <xf numFmtId="0" fontId="5" fillId="0" borderId="141" xfId="0" applyFont="1" applyFill="1" applyBorder="1" applyAlignment="1">
      <alignment horizontal="center"/>
    </xf>
    <xf numFmtId="37" fontId="5" fillId="29" borderId="0" xfId="0" applyNumberFormat="1" applyFont="1" applyFill="1" applyBorder="1" applyAlignment="1">
      <alignment horizontal="left" wrapText="1"/>
    </xf>
    <xf numFmtId="0" fontId="7" fillId="0" borderId="27" xfId="42" applyFont="1" applyBorder="1" applyAlignment="1">
      <alignment horizontal="center" vertical="top" wrapText="1"/>
    </xf>
    <xf numFmtId="0" fontId="7" fillId="0" borderId="28" xfId="42" applyFont="1" applyBorder="1" applyAlignment="1">
      <alignment horizontal="center" vertical="top" wrapText="1"/>
    </xf>
    <xf numFmtId="42" fontId="3" fillId="0" borderId="27" xfId="42" applyNumberFormat="1" applyBorder="1" applyAlignment="1">
      <alignment horizontal="center" vertical="center"/>
    </xf>
    <xf numFmtId="42" fontId="3" fillId="0" borderId="44" xfId="42" applyNumberFormat="1" applyBorder="1" applyAlignment="1">
      <alignment horizontal="center" vertical="center"/>
    </xf>
    <xf numFmtId="42" fontId="3" fillId="0" borderId="28" xfId="42" applyNumberFormat="1" applyBorder="1" applyAlignment="1">
      <alignment horizontal="center" vertical="center"/>
    </xf>
    <xf numFmtId="0" fontId="8" fillId="35" borderId="10" xfId="42" applyFont="1" applyFill="1" applyBorder="1" applyAlignment="1">
      <alignment horizontal="center" vertical="top" wrapText="1"/>
    </xf>
    <xf numFmtId="0" fontId="8" fillId="35" borderId="8" xfId="42" applyFont="1" applyFill="1" applyBorder="1" applyAlignment="1">
      <alignment horizontal="center" vertical="top" wrapText="1"/>
    </xf>
    <xf numFmtId="0" fontId="8" fillId="35" borderId="11" xfId="42" applyFont="1" applyFill="1" applyBorder="1" applyAlignment="1">
      <alignment horizontal="center" vertical="top" wrapText="1"/>
    </xf>
    <xf numFmtId="0" fontId="3" fillId="29" borderId="10" xfId="0" applyFont="1" applyFill="1" applyBorder="1" applyAlignment="1">
      <alignment horizontal="center"/>
    </xf>
    <xf numFmtId="0" fontId="3" fillId="29" borderId="8" xfId="0" applyFont="1" applyFill="1" applyBorder="1" applyAlignment="1">
      <alignment horizontal="center"/>
    </xf>
    <xf numFmtId="0" fontId="3" fillId="29" borderId="11" xfId="0" applyFont="1" applyFill="1" applyBorder="1" applyAlignment="1">
      <alignment horizontal="center"/>
    </xf>
    <xf numFmtId="0" fontId="0" fillId="0" borderId="10" xfId="0" applyBorder="1" applyAlignment="1">
      <alignment horizontal="center"/>
    </xf>
    <xf numFmtId="0" fontId="0" fillId="0" borderId="8" xfId="0" applyBorder="1" applyAlignment="1">
      <alignment horizontal="center"/>
    </xf>
    <xf numFmtId="0" fontId="0" fillId="0" borderId="11" xfId="0" applyBorder="1" applyAlignment="1">
      <alignment horizontal="center"/>
    </xf>
    <xf numFmtId="0" fontId="0" fillId="29" borderId="10" xfId="0" applyFill="1" applyBorder="1" applyAlignment="1">
      <alignment horizontal="center"/>
    </xf>
    <xf numFmtId="0" fontId="0" fillId="29" borderId="11" xfId="0" applyFill="1" applyBorder="1" applyAlignment="1">
      <alignment horizontal="center"/>
    </xf>
    <xf numFmtId="0" fontId="51" fillId="0" borderId="0" xfId="0" applyFont="1" applyAlignment="1">
      <alignment horizontal="left" wrapText="1"/>
    </xf>
    <xf numFmtId="0" fontId="3" fillId="0" borderId="10" xfId="0" applyFont="1" applyBorder="1" applyAlignment="1">
      <alignment horizontal="center"/>
    </xf>
    <xf numFmtId="0" fontId="5" fillId="37" borderId="26" xfId="0" applyNumberFormat="1" applyFont="1" applyFill="1" applyBorder="1" applyAlignment="1">
      <alignment horizontal="center" wrapText="1"/>
    </xf>
    <xf numFmtId="0" fontId="5" fillId="37" borderId="0" xfId="0" applyNumberFormat="1" applyFont="1" applyFill="1" applyAlignment="1">
      <alignment horizontal="center" wrapText="1"/>
    </xf>
    <xf numFmtId="0" fontId="41" fillId="0" borderId="26" xfId="0" applyFont="1" applyBorder="1" applyAlignment="1">
      <alignment horizontal="center" wrapText="1"/>
    </xf>
    <xf numFmtId="0" fontId="41" fillId="0" borderId="0" xfId="0" applyFont="1" applyAlignment="1">
      <alignment horizontal="center" wrapText="1"/>
    </xf>
    <xf numFmtId="0" fontId="0" fillId="0" borderId="0" xfId="0" applyAlignment="1">
      <alignment horizontal="center" wrapText="1"/>
    </xf>
    <xf numFmtId="0" fontId="3" fillId="37" borderId="10" xfId="89" applyFill="1" applyBorder="1" applyAlignment="1">
      <alignment horizontal="center"/>
    </xf>
    <xf numFmtId="0" fontId="3" fillId="37" borderId="8" xfId="89" applyFill="1" applyBorder="1" applyAlignment="1">
      <alignment horizontal="center"/>
    </xf>
    <xf numFmtId="0" fontId="3" fillId="37" borderId="11" xfId="89" applyFill="1" applyBorder="1" applyAlignment="1">
      <alignment horizontal="center"/>
    </xf>
  </cellXfs>
  <cellStyles count="92">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Comma" xfId="28" builtinId="3"/>
    <cellStyle name="Comma 2" xfId="86" xr:uid="{00000000-0005-0000-0000-00001C000000}"/>
    <cellStyle name="Comma 3 2" xfId="85" xr:uid="{00000000-0005-0000-0000-00001D000000}"/>
    <cellStyle name="Comma_AUSAFR01" xfId="75" xr:uid="{00000000-0005-0000-0000-00001E000000}"/>
    <cellStyle name="Comma0" xfId="29" xr:uid="{00000000-0005-0000-0000-00001F000000}"/>
    <cellStyle name="Comma0 2" xfId="59" xr:uid="{00000000-0005-0000-0000-000020000000}"/>
    <cellStyle name="Comma0 3" xfId="60" xr:uid="{00000000-0005-0000-0000-000021000000}"/>
    <cellStyle name="Currency" xfId="74" builtinId="4"/>
    <cellStyle name="Currency0" xfId="30" xr:uid="{00000000-0005-0000-0000-000023000000}"/>
    <cellStyle name="Currency0 2" xfId="61" xr:uid="{00000000-0005-0000-0000-000024000000}"/>
    <cellStyle name="Currency0 3" xfId="62" xr:uid="{00000000-0005-0000-0000-000025000000}"/>
    <cellStyle name="Date" xfId="31" xr:uid="{00000000-0005-0000-0000-000026000000}"/>
    <cellStyle name="Date 2" xfId="63" xr:uid="{00000000-0005-0000-0000-000027000000}"/>
    <cellStyle name="Date 3" xfId="64" xr:uid="{00000000-0005-0000-0000-000028000000}"/>
    <cellStyle name="Explanatory Text 2" xfId="32" xr:uid="{00000000-0005-0000-0000-000029000000}"/>
    <cellStyle name="Fixed" xfId="33" xr:uid="{00000000-0005-0000-0000-00002A000000}"/>
    <cellStyle name="Fixed 2" xfId="65" xr:uid="{00000000-0005-0000-0000-00002B000000}"/>
    <cellStyle name="Fixed 3" xfId="66" xr:uid="{00000000-0005-0000-0000-00002C000000}"/>
    <cellStyle name="Good 2" xfId="34" xr:uid="{00000000-0005-0000-0000-00002D000000}"/>
    <cellStyle name="Heading 1" xfId="35" builtinId="16" customBuiltin="1"/>
    <cellStyle name="Heading 1 2" xfId="67" xr:uid="{00000000-0005-0000-0000-00002F000000}"/>
    <cellStyle name="Heading 1 3" xfId="68" xr:uid="{00000000-0005-0000-0000-000030000000}"/>
    <cellStyle name="Heading 2" xfId="36" builtinId="17" customBuiltin="1"/>
    <cellStyle name="Heading 2 2" xfId="69" xr:uid="{00000000-0005-0000-0000-000032000000}"/>
    <cellStyle name="Heading 2 3" xfId="70" xr:uid="{00000000-0005-0000-0000-000033000000}"/>
    <cellStyle name="Heading 3 2" xfId="37" xr:uid="{00000000-0005-0000-0000-000034000000}"/>
    <cellStyle name="Heading 4 2" xfId="38" xr:uid="{00000000-0005-0000-0000-000035000000}"/>
    <cellStyle name="Hyperlink" xfId="73" builtinId="8"/>
    <cellStyle name="Hyperlink 2" xfId="88" xr:uid="{00000000-0005-0000-0000-000037000000}"/>
    <cellStyle name="Hyperlink 2 2" xfId="90" xr:uid="{00000000-0005-0000-0000-000038000000}"/>
    <cellStyle name="Hyperlink 2 3" xfId="91" xr:uid="{00000000-0005-0000-0000-000039000000}"/>
    <cellStyle name="Input 2" xfId="39" xr:uid="{00000000-0005-0000-0000-00003A000000}"/>
    <cellStyle name="Linked Cell 2" xfId="40" xr:uid="{00000000-0005-0000-0000-00003B000000}"/>
    <cellStyle name="Neutral 2" xfId="41" xr:uid="{00000000-0005-0000-0000-00003C000000}"/>
    <cellStyle name="Normal" xfId="0" builtinId="0"/>
    <cellStyle name="Normal 10" xfId="84" xr:uid="{00000000-0005-0000-0000-00003E000000}"/>
    <cellStyle name="Normal 2" xfId="42" xr:uid="{00000000-0005-0000-0000-00003F000000}"/>
    <cellStyle name="Normal 2 2" xfId="49" xr:uid="{00000000-0005-0000-0000-000040000000}"/>
    <cellStyle name="Normal 2 2 2" xfId="78" xr:uid="{00000000-0005-0000-0000-000041000000}"/>
    <cellStyle name="Normal 2 3" xfId="50" xr:uid="{00000000-0005-0000-0000-000042000000}"/>
    <cellStyle name="Normal 2 3 2" xfId="77" xr:uid="{00000000-0005-0000-0000-000043000000}"/>
    <cellStyle name="Normal 2 4" xfId="51" xr:uid="{00000000-0005-0000-0000-000044000000}"/>
    <cellStyle name="Normal 2 5" xfId="52" xr:uid="{00000000-0005-0000-0000-000045000000}"/>
    <cellStyle name="Normal 2 6" xfId="53" xr:uid="{00000000-0005-0000-0000-000046000000}"/>
    <cellStyle name="Normal 3" xfId="54" xr:uid="{00000000-0005-0000-0000-000047000000}"/>
    <cellStyle name="Normal 3 2" xfId="79" xr:uid="{00000000-0005-0000-0000-000048000000}"/>
    <cellStyle name="Normal 3 2 2" xfId="80" xr:uid="{00000000-0005-0000-0000-000049000000}"/>
    <cellStyle name="Normal 4" xfId="55" xr:uid="{00000000-0005-0000-0000-00004A000000}"/>
    <cellStyle name="Normal 4 2" xfId="82" xr:uid="{00000000-0005-0000-0000-00004B000000}"/>
    <cellStyle name="Normal 5" xfId="76" xr:uid="{00000000-0005-0000-0000-00004C000000}"/>
    <cellStyle name="Normal 6" xfId="56" xr:uid="{00000000-0005-0000-0000-00004D000000}"/>
    <cellStyle name="Normal 7" xfId="57" xr:uid="{00000000-0005-0000-0000-00004E000000}"/>
    <cellStyle name="Normal 8" xfId="83" xr:uid="{00000000-0005-0000-0000-00004F000000}"/>
    <cellStyle name="Normal 9" xfId="89" xr:uid="{00000000-0005-0000-0000-000050000000}"/>
    <cellStyle name="Normal_AUSAFR01" xfId="43" xr:uid="{00000000-0005-0000-0000-000051000000}"/>
    <cellStyle name="Normal_Sheet1" xfId="87" xr:uid="{00000000-0005-0000-0000-000052000000}"/>
    <cellStyle name="Note 2" xfId="44" xr:uid="{00000000-0005-0000-0000-000053000000}"/>
    <cellStyle name="Output 2" xfId="45" xr:uid="{00000000-0005-0000-0000-000054000000}"/>
    <cellStyle name="Percent" xfId="81" builtinId="5"/>
    <cellStyle name="Percent 2" xfId="58" xr:uid="{00000000-0005-0000-0000-000056000000}"/>
    <cellStyle name="Title 2" xfId="46" xr:uid="{00000000-0005-0000-0000-000057000000}"/>
    <cellStyle name="Total" xfId="47" builtinId="25" customBuiltin="1"/>
    <cellStyle name="Total 2" xfId="71" xr:uid="{00000000-0005-0000-0000-000059000000}"/>
    <cellStyle name="Total 3" xfId="72" xr:uid="{00000000-0005-0000-0000-00005A000000}"/>
    <cellStyle name="Warning Text 2" xfId="48" xr:uid="{00000000-0005-0000-0000-00005B000000}"/>
  </cellStyles>
  <dxfs count="1401">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rgb="FFFF7C8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ont>
        <strike val="0"/>
      </font>
      <fill>
        <patternFill>
          <bgColor rgb="FFFF7C80"/>
        </patternFill>
      </fill>
    </dxf>
    <dxf>
      <fill>
        <patternFill>
          <bgColor rgb="FFFF7C80"/>
        </patternFill>
      </fill>
    </dxf>
    <dxf>
      <fill>
        <patternFill>
          <bgColor rgb="FFFF7C80"/>
        </patternFill>
      </fill>
    </dxf>
    <dxf>
      <fill>
        <patternFill>
          <bgColor indexed="10"/>
        </patternFill>
      </fill>
    </dxf>
    <dxf>
      <fill>
        <patternFill>
          <bgColor indexed="10"/>
        </patternFill>
      </fill>
    </dxf>
    <dxf>
      <fill>
        <patternFill>
          <bgColor rgb="FFFF7C80"/>
        </patternFill>
      </fill>
    </dxf>
    <dxf>
      <fill>
        <patternFill>
          <bgColor rgb="FFFF7C80"/>
        </patternFill>
      </fill>
    </dxf>
    <dxf>
      <fill>
        <patternFill>
          <bgColor indexed="10"/>
        </patternFill>
      </fill>
    </dxf>
    <dxf>
      <fill>
        <patternFill>
          <bgColor rgb="FFCCFFFF"/>
        </patternFill>
      </fill>
    </dxf>
    <dxf>
      <fill>
        <patternFill>
          <bgColor rgb="FFFF7C80"/>
        </patternFill>
      </fill>
    </dxf>
    <dxf>
      <fill>
        <patternFill>
          <bgColor indexed="1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rgb="FFFF7C80"/>
        </patternFill>
      </fill>
    </dxf>
    <dxf>
      <fill>
        <patternFill>
          <bgColor indexed="10"/>
        </patternFill>
      </fill>
    </dxf>
    <dxf>
      <font>
        <color auto="1"/>
      </font>
      <fill>
        <patternFill>
          <bgColor rgb="FFFF7C80"/>
        </patternFill>
      </fill>
    </dxf>
    <dxf>
      <fill>
        <patternFill>
          <bgColor rgb="FFFF7C80"/>
        </patternFill>
      </fill>
    </dxf>
    <dxf>
      <fill>
        <patternFill>
          <bgColor indexed="10"/>
        </patternFill>
      </fill>
    </dxf>
    <dxf>
      <font>
        <color auto="1"/>
      </font>
      <fill>
        <patternFill>
          <bgColor theme="9" tint="0.39994506668294322"/>
        </patternFill>
      </fill>
    </dxf>
  </dxfs>
  <tableStyles count="0" defaultTableStyle="TableStyleMedium9" defaultPivotStyle="PivotStyleLight16"/>
  <colors>
    <mruColors>
      <color rgb="FF66FFFF"/>
      <color rgb="FFCCFFFF"/>
      <color rgb="FF0000FF"/>
      <color rgb="FF3366FF"/>
      <color rgb="FF0066FF"/>
      <color rgb="FFFF7C80"/>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calcChain" Target="calcChain.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externalLink" Target="externalLinks/externalLink1.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externalLink" Target="externalLinks/externalLink2.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externalLink" Target="externalLinks/externalLink3.xml"/><Relationship Id="rId199" Type="http://schemas.openxmlformats.org/officeDocument/2006/relationships/externalLink" Target="externalLinks/externalLink8.xml"/><Relationship Id="rId203"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externalLink" Target="externalLinks/externalLink4.xml"/><Relationship Id="rId190" Type="http://schemas.openxmlformats.org/officeDocument/2006/relationships/worksheet" Target="worksheets/sheet190.xml"/><Relationship Id="rId204" Type="http://schemas.openxmlformats.org/officeDocument/2006/relationships/sharedStrings" Target="sharedStrings.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externalLink" Target="externalLinks/externalLink5.xml"/><Relationship Id="rId200" Type="http://schemas.openxmlformats.org/officeDocument/2006/relationships/externalLink" Target="externalLinks/externalLink9.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externalLink" Target="externalLinks/externalLink6.xml"/><Relationship Id="rId201" Type="http://schemas.openxmlformats.org/officeDocument/2006/relationships/externalLink" Target="externalLinks/externalLink10.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externalLink" Target="externalLinks/externalLink7.xml"/><Relationship Id="rId202" Type="http://schemas.openxmlformats.org/officeDocument/2006/relationships/theme" Target="theme/theme1.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91941478198E-2"/>
        </c:manualLayout>
      </c:layout>
      <c:overlay val="0"/>
      <c:spPr>
        <a:noFill/>
        <a:ln w="25400">
          <a:noFill/>
        </a:ln>
      </c:spPr>
    </c:title>
    <c:autoTitleDeleted val="0"/>
    <c:plotArea>
      <c:layout>
        <c:manualLayout>
          <c:layoutTarget val="inner"/>
          <c:xMode val="edge"/>
          <c:yMode val="edge"/>
          <c:x val="0.38531278331825564"/>
          <c:y val="0.32766002834112967"/>
          <c:w val="0.23572076155938351"/>
          <c:h val="0.36879483709391231"/>
        </c:manualLayout>
      </c:layout>
      <c:pieChart>
        <c:varyColors val="1"/>
        <c:ser>
          <c:idx val="0"/>
          <c:order val="0"/>
          <c:tx>
            <c:strRef>
              <c:f>'Smmy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F84A-44F9-AE46-6FBB805E518A}"/>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F84A-44F9-AE46-6FBB805E518A}"/>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F84A-44F9-AE46-6FBB805E518A}"/>
              </c:ext>
            </c:extLst>
          </c:dPt>
          <c:dLbls>
            <c:dLbl>
              <c:idx val="0"/>
              <c:layout>
                <c:manualLayout>
                  <c:x val="8.5089393237610028E-2"/>
                  <c:y val="-6.192851603266851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F84A-44F9-AE46-6FBB805E518A}"/>
                </c:ext>
              </c:extLst>
            </c:dLbl>
            <c:dLbl>
              <c:idx val="1"/>
              <c:layout>
                <c:manualLayout>
                  <c:x val="1.980622557926907E-2"/>
                  <c:y val="8.935600638626237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F84A-44F9-AE46-6FBB805E518A}"/>
                </c:ext>
              </c:extLst>
            </c:dLbl>
            <c:dLbl>
              <c:idx val="2"/>
              <c:layout>
                <c:manualLayout>
                  <c:x val="-4.6327545631284134E-2"/>
                  <c:y val="6.326013351780397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F84A-44F9-AE46-6FBB805E518A}"/>
                </c:ext>
              </c:extLst>
            </c:dLbl>
            <c:dLbl>
              <c:idx val="3"/>
              <c:layout>
                <c:manualLayout>
                  <c:x val="-2.6188382560777212E-2"/>
                  <c:y val="-5.892119385693703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F84A-44F9-AE46-6FBB805E518A}"/>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'Smmy Chrts'!$C$9:$C$12</c:f>
              <c:strCache>
                <c:ptCount val="4"/>
                <c:pt idx="0">
                  <c:v>State of Texas</c:v>
                </c:pt>
                <c:pt idx="1">
                  <c:v>Student &amp; Parent</c:v>
                </c:pt>
                <c:pt idx="2">
                  <c:v>Federal Government</c:v>
                </c:pt>
                <c:pt idx="3">
                  <c:v>Institutional Resources</c:v>
                </c:pt>
              </c:strCache>
            </c:strRef>
          </c:cat>
          <c:val>
            <c:numRef>
              <c:f>'Smmy Chrts'!$D$9:$D$12</c:f>
              <c:numCache>
                <c:formatCode>"$"#,##0</c:formatCode>
                <c:ptCount val="4"/>
                <c:pt idx="0">
                  <c:v>4576500495</c:v>
                </c:pt>
                <c:pt idx="1">
                  <c:v>5201526243</c:v>
                </c:pt>
                <c:pt idx="2">
                  <c:v>3599991337</c:v>
                </c:pt>
                <c:pt idx="3">
                  <c:v>4282069263</c:v>
                </c:pt>
              </c:numCache>
            </c:numRef>
          </c:val>
          <c:extLst>
            <c:ext xmlns:c16="http://schemas.microsoft.com/office/drawing/2014/chart" uri="{C3380CC4-5D6E-409C-BE32-E72D297353CC}">
              <c16:uniqueId val="{00000007-F84A-44F9-AE46-6FBB805E518A}"/>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8053220270543131"/>
          <c:y val="0.28152721460509561"/>
          <c:w val="0.22296039239438994"/>
          <c:h val="0.35107157731970678"/>
        </c:manualLayout>
      </c:layout>
      <c:pieChart>
        <c:varyColors val="1"/>
        <c:ser>
          <c:idx val="0"/>
          <c:order val="0"/>
          <c:tx>
            <c:strRef>
              <c:f>'DAL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BE44-49D3-8C11-6E39B29DED2A}"/>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BE44-49D3-8C11-6E39B29DED2A}"/>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BE44-49D3-8C11-6E39B29DED2A}"/>
              </c:ext>
            </c:extLst>
          </c:dPt>
          <c:dLbls>
            <c:dLbl>
              <c:idx val="0"/>
              <c:layout>
                <c:manualLayout>
                  <c:x val="6.987731737152772E-2"/>
                  <c:y val="-1.732613722317436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BE44-49D3-8C11-6E39B29DED2A}"/>
                </c:ext>
              </c:extLst>
            </c:dLbl>
            <c:dLbl>
              <c:idx val="1"/>
              <c:layout>
                <c:manualLayout>
                  <c:x val="5.4173418367952877E-2"/>
                  <c:y val="9.778105641354613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BE44-49D3-8C11-6E39B29DED2A}"/>
                </c:ext>
              </c:extLst>
            </c:dLbl>
            <c:dLbl>
              <c:idx val="2"/>
              <c:layout>
                <c:manualLayout>
                  <c:x val="-7.3238275079868409E-2"/>
                  <c:y val="3.986639243415069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BE44-49D3-8C11-6E39B29DED2A}"/>
                </c:ext>
              </c:extLst>
            </c:dLbl>
            <c:dLbl>
              <c:idx val="3"/>
              <c:layout>
                <c:manualLayout>
                  <c:x val="-5.0011734319135866E-2"/>
                  <c:y val="-1.011706145936060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BE44-49D3-8C11-6E39B29DED2A}"/>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'DAL Chrts'!$C$9:$C$12</c:f>
              <c:strCache>
                <c:ptCount val="4"/>
                <c:pt idx="0">
                  <c:v>State of Texas</c:v>
                </c:pt>
                <c:pt idx="1">
                  <c:v>Student &amp; Parent</c:v>
                </c:pt>
                <c:pt idx="2">
                  <c:v>Federal Government</c:v>
                </c:pt>
                <c:pt idx="3">
                  <c:v>Institutional Resources</c:v>
                </c:pt>
              </c:strCache>
            </c:strRef>
          </c:cat>
          <c:val>
            <c:numRef>
              <c:f>'DAL Chrts'!$D$9:$D$12</c:f>
              <c:numCache>
                <c:formatCode>"$"#,##0</c:formatCode>
                <c:ptCount val="4"/>
                <c:pt idx="0">
                  <c:v>129433047</c:v>
                </c:pt>
                <c:pt idx="1">
                  <c:v>299924258</c:v>
                </c:pt>
                <c:pt idx="2">
                  <c:v>143175656</c:v>
                </c:pt>
                <c:pt idx="3">
                  <c:v>134232894</c:v>
                </c:pt>
              </c:numCache>
            </c:numRef>
          </c:val>
          <c:extLst>
            <c:ext xmlns:c16="http://schemas.microsoft.com/office/drawing/2014/chart" uri="{C3380CC4-5D6E-409C-BE32-E72D297353CC}">
              <c16:uniqueId val="{00000007-BE44-49D3-8C11-6E39B29DED2A}"/>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3005006839"/>
          <c:y val="2.6950388994711371E-2"/>
        </c:manualLayout>
      </c:layout>
      <c:overlay val="0"/>
      <c:spPr>
        <a:noFill/>
        <a:ln w="25400">
          <a:noFill/>
        </a:ln>
      </c:spPr>
    </c:title>
    <c:autoTitleDeleted val="0"/>
    <c:plotArea>
      <c:layout>
        <c:manualLayout>
          <c:layoutTarget val="inner"/>
          <c:xMode val="edge"/>
          <c:yMode val="edge"/>
          <c:x val="0.38777940721126936"/>
          <c:y val="0.27392208609069152"/>
          <c:w val="0.22890410256313462"/>
          <c:h val="0.36057651523167034"/>
        </c:manualLayout>
      </c:layout>
      <c:pieChart>
        <c:varyColors val="1"/>
        <c:ser>
          <c:idx val="0"/>
          <c:order val="0"/>
          <c:tx>
            <c:strRef>
              <c:f>'MidWST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C426-4EAC-AB1C-217D20FA761E}"/>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C426-4EAC-AB1C-217D20FA761E}"/>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C426-4EAC-AB1C-217D20FA761E}"/>
              </c:ext>
            </c:extLst>
          </c:dPt>
          <c:dLbls>
            <c:dLbl>
              <c:idx val="0"/>
              <c:layout>
                <c:manualLayout>
                  <c:x val="0.12062289738178369"/>
                  <c:y val="8.374950047226056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C426-4EAC-AB1C-217D20FA761E}"/>
                </c:ext>
              </c:extLst>
            </c:dLbl>
            <c:dLbl>
              <c:idx val="1"/>
              <c:layout>
                <c:manualLayout>
                  <c:x val="1.0066561897422863E-2"/>
                  <c:y val="0.1206938315000732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C426-4EAC-AB1C-217D20FA761E}"/>
                </c:ext>
              </c:extLst>
            </c:dLbl>
            <c:dLbl>
              <c:idx val="2"/>
              <c:layout>
                <c:manualLayout>
                  <c:x val="-9.2032323570030744E-2"/>
                  <c:y val="3.275121551126711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C426-4EAC-AB1C-217D20FA761E}"/>
                </c:ext>
              </c:extLst>
            </c:dLbl>
            <c:dLbl>
              <c:idx val="3"/>
              <c:layout>
                <c:manualLayout>
                  <c:x val="-3.7385335478614917E-2"/>
                  <c:y val="-5.336340199823297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C426-4EAC-AB1C-217D20FA761E}"/>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'MidWST Chrts'!$C$9:$C$12</c:f>
              <c:strCache>
                <c:ptCount val="4"/>
                <c:pt idx="0">
                  <c:v>State of Texas</c:v>
                </c:pt>
                <c:pt idx="1">
                  <c:v>Student &amp; Parent</c:v>
                </c:pt>
                <c:pt idx="2">
                  <c:v>Federal Government</c:v>
                </c:pt>
                <c:pt idx="3">
                  <c:v>Institutional Resources</c:v>
                </c:pt>
              </c:strCache>
            </c:strRef>
          </c:cat>
          <c:val>
            <c:numRef>
              <c:f>'MidWST Chrts'!$D$9:$D$12</c:f>
              <c:numCache>
                <c:formatCode>"$"#,##0</c:formatCode>
                <c:ptCount val="4"/>
                <c:pt idx="0">
                  <c:v>35648597</c:v>
                </c:pt>
                <c:pt idx="1">
                  <c:v>33832780</c:v>
                </c:pt>
                <c:pt idx="2">
                  <c:v>23356845</c:v>
                </c:pt>
                <c:pt idx="3">
                  <c:v>25168550</c:v>
                </c:pt>
              </c:numCache>
            </c:numRef>
          </c:val>
          <c:extLst>
            <c:ext xmlns:c16="http://schemas.microsoft.com/office/drawing/2014/chart" uri="{C3380CC4-5D6E-409C-BE32-E72D297353CC}">
              <c16:uniqueId val="{00000007-C426-4EAC-AB1C-217D20FA761E}"/>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30173422917"/>
          <c:y val="4.2734970628671924E-2"/>
        </c:manualLayout>
      </c:layout>
      <c:overlay val="0"/>
      <c:spPr>
        <a:noFill/>
        <a:ln w="25400">
          <a:noFill/>
        </a:ln>
      </c:spPr>
    </c:title>
    <c:autoTitleDeleted val="0"/>
    <c:plotArea>
      <c:layout>
        <c:manualLayout>
          <c:layoutTarget val="inner"/>
          <c:xMode val="edge"/>
          <c:yMode val="edge"/>
          <c:x val="0.38628985242687047"/>
          <c:y val="0.31570458879655638"/>
          <c:w val="0.21743988518752722"/>
          <c:h val="0.34457511062367252"/>
        </c:manualLayout>
      </c:layout>
      <c:pieChart>
        <c:varyColors val="1"/>
        <c:ser>
          <c:idx val="0"/>
          <c:order val="0"/>
          <c:tx>
            <c:strRef>
              <c:f>'MidWST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CA26-4756-B3A9-616EE19BC960}"/>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CA26-4756-B3A9-616EE19BC960}"/>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CA26-4756-B3A9-616EE19BC960}"/>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CA26-4756-B3A9-616EE19BC960}"/>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CA26-4756-B3A9-616EE19BC960}"/>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CA26-4756-B3A9-616EE19BC960}"/>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CA26-4756-B3A9-616EE19BC960}"/>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CA26-4756-B3A9-616EE19BC960}"/>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CA26-4756-B3A9-616EE19BC960}"/>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CA26-4756-B3A9-616EE19BC960}"/>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CA26-4756-B3A9-616EE19BC960}"/>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CA26-4756-B3A9-616EE19BC960}"/>
              </c:ext>
            </c:extLst>
          </c:dPt>
          <c:dLbls>
            <c:dLbl>
              <c:idx val="0"/>
              <c:layout>
                <c:manualLayout>
                  <c:x val="0.11827588778418135"/>
                  <c:y val="8.5814921838354343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CA26-4756-B3A9-616EE19BC960}"/>
                </c:ext>
              </c:extLst>
            </c:dLbl>
            <c:dLbl>
              <c:idx val="1"/>
              <c:layout>
                <c:manualLayout>
                  <c:x val="0.13217361272512479"/>
                  <c:y val="-1.888694283946684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CA26-4756-B3A9-616EE19BC960}"/>
                </c:ext>
              </c:extLst>
            </c:dLbl>
            <c:dLbl>
              <c:idx val="2"/>
              <c:delete val="1"/>
              <c:extLst>
                <c:ext xmlns:c15="http://schemas.microsoft.com/office/drawing/2012/chart" uri="{CE6537A1-D6FC-4f65-9D91-7224C49458BB}"/>
                <c:ext xmlns:c16="http://schemas.microsoft.com/office/drawing/2014/chart" uri="{C3380CC4-5D6E-409C-BE32-E72D297353CC}">
                  <c16:uniqueId val="{00000003-CA26-4756-B3A9-616EE19BC960}"/>
                </c:ext>
              </c:extLst>
            </c:dLbl>
            <c:dLbl>
              <c:idx val="3"/>
              <c:layout>
                <c:manualLayout>
                  <c:x val="4.034082171613685E-2"/>
                  <c:y val="0.1634800169962659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CA26-4756-B3A9-616EE19BC960}"/>
                </c:ext>
              </c:extLst>
            </c:dLbl>
            <c:dLbl>
              <c:idx val="4"/>
              <c:delete val="1"/>
              <c:extLst>
                <c:ext xmlns:c15="http://schemas.microsoft.com/office/drawing/2012/chart" uri="{CE6537A1-D6FC-4f65-9D91-7224C49458BB}"/>
                <c:ext xmlns:c16="http://schemas.microsoft.com/office/drawing/2014/chart" uri="{C3380CC4-5D6E-409C-BE32-E72D297353CC}">
                  <c16:uniqueId val="{00000007-CA26-4756-B3A9-616EE19BC960}"/>
                </c:ext>
              </c:extLst>
            </c:dLbl>
            <c:dLbl>
              <c:idx val="5"/>
              <c:layout>
                <c:manualLayout>
                  <c:x val="-1.0633192934229117E-2"/>
                  <c:y val="9.642271858247883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CA26-4756-B3A9-616EE19BC960}"/>
                </c:ext>
              </c:extLst>
            </c:dLbl>
            <c:dLbl>
              <c:idx val="6"/>
              <c:layout>
                <c:manualLayout>
                  <c:x val="3.0816977986076993E-2"/>
                  <c:y val="0.1440900651899020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CA26-4756-B3A9-616EE19BC960}"/>
                </c:ext>
              </c:extLst>
            </c:dLbl>
            <c:dLbl>
              <c:idx val="7"/>
              <c:layout>
                <c:manualLayout>
                  <c:x val="-8.4035399742364819E-2"/>
                  <c:y val="9.231483705228034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CA26-4756-B3A9-616EE19BC960}"/>
                </c:ext>
              </c:extLst>
            </c:dLbl>
            <c:dLbl>
              <c:idx val="8"/>
              <c:delete val="1"/>
              <c:extLst>
                <c:ext xmlns:c15="http://schemas.microsoft.com/office/drawing/2012/chart" uri="{CE6537A1-D6FC-4f65-9D91-7224C49458BB}"/>
                <c:ext xmlns:c16="http://schemas.microsoft.com/office/drawing/2014/chart" uri="{C3380CC4-5D6E-409C-BE32-E72D297353CC}">
                  <c16:uniqueId val="{0000000F-CA26-4756-B3A9-616EE19BC960}"/>
                </c:ext>
              </c:extLst>
            </c:dLbl>
            <c:dLbl>
              <c:idx val="9"/>
              <c:layout>
                <c:manualLayout>
                  <c:x val="-9.7625281933203301E-2"/>
                  <c:y val="-5.0285877013180767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CA26-4756-B3A9-616EE19BC960}"/>
                </c:ext>
              </c:extLst>
            </c:dLbl>
            <c:dLbl>
              <c:idx val="10"/>
              <c:layout>
                <c:manualLayout>
                  <c:x val="-6.8592790014666283E-2"/>
                  <c:y val="-0.1246032364699374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CA26-4756-B3A9-616EE19BC960}"/>
                </c:ext>
              </c:extLst>
            </c:dLbl>
            <c:dLbl>
              <c:idx val="11"/>
              <c:layout>
                <c:manualLayout>
                  <c:x val="4.8323372315721334E-2"/>
                  <c:y val="-7.424886973179213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CA26-4756-B3A9-616EE19BC960}"/>
                </c:ext>
              </c:extLst>
            </c:dLbl>
            <c:dLbl>
              <c:idx val="12"/>
              <c:layout>
                <c:manualLayout>
                  <c:x val="0.15340682303162823"/>
                  <c:y val="-7.102174203315052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CA26-4756-B3A9-616EE19BC960}"/>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'MidWST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'MidWST Chrts'!$D$54:$D$66</c:f>
              <c:numCache>
                <c:formatCode>"$"#,##0</c:formatCode>
                <c:ptCount val="13"/>
                <c:pt idx="0">
                  <c:v>26399431</c:v>
                </c:pt>
                <c:pt idx="1">
                  <c:v>4315966</c:v>
                </c:pt>
                <c:pt idx="3">
                  <c:v>4933200</c:v>
                </c:pt>
                <c:pt idx="4">
                  <c:v>0</c:v>
                </c:pt>
                <c:pt idx="5">
                  <c:v>33832780</c:v>
                </c:pt>
                <c:pt idx="6">
                  <c:v>23356845</c:v>
                </c:pt>
                <c:pt idx="7">
                  <c:v>2428742</c:v>
                </c:pt>
                <c:pt idx="8">
                  <c:v>0</c:v>
                </c:pt>
                <c:pt idx="9">
                  <c:v>6965760</c:v>
                </c:pt>
                <c:pt idx="10">
                  <c:v>805594</c:v>
                </c:pt>
                <c:pt idx="11">
                  <c:v>13143360</c:v>
                </c:pt>
                <c:pt idx="12">
                  <c:v>1825094</c:v>
                </c:pt>
              </c:numCache>
            </c:numRef>
          </c:val>
          <c:extLst>
            <c:ext xmlns:c16="http://schemas.microsoft.com/office/drawing/2014/chart" uri="{C3380CC4-5D6E-409C-BE32-E72D297353CC}">
              <c16:uniqueId val="{00000019-CA26-4756-B3A9-616EE19BC960}"/>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330798636"/>
          <c:y val="3.3873414010151495E-2"/>
        </c:manualLayout>
      </c:layout>
      <c:overlay val="0"/>
      <c:spPr>
        <a:noFill/>
        <a:ln w="25400">
          <a:noFill/>
        </a:ln>
      </c:spPr>
    </c:title>
    <c:autoTitleDeleted val="0"/>
    <c:plotArea>
      <c:layout>
        <c:manualLayout>
          <c:layoutTarget val="inner"/>
          <c:xMode val="edge"/>
          <c:yMode val="edge"/>
          <c:x val="0.38579648534177508"/>
          <c:y val="0.28620921108745673"/>
          <c:w val="0.22074477855796867"/>
          <c:h val="0.36113156783918682"/>
        </c:manualLayout>
      </c:layout>
      <c:pieChart>
        <c:varyColors val="1"/>
        <c:ser>
          <c:idx val="0"/>
          <c:order val="0"/>
          <c:tx>
            <c:strRef>
              <c:f>'MidWST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3D1C-4FE9-A53A-157A9CD8D9F8}"/>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3D1C-4FE9-A53A-157A9CD8D9F8}"/>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3D1C-4FE9-A53A-157A9CD8D9F8}"/>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3D1C-4FE9-A53A-157A9CD8D9F8}"/>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3D1C-4FE9-A53A-157A9CD8D9F8}"/>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3D1C-4FE9-A53A-157A9CD8D9F8}"/>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3D1C-4FE9-A53A-157A9CD8D9F8}"/>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3D1C-4FE9-A53A-157A9CD8D9F8}"/>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3D1C-4FE9-A53A-157A9CD8D9F8}"/>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3D1C-4FE9-A53A-157A9CD8D9F8}"/>
              </c:ext>
            </c:extLst>
          </c:dPt>
          <c:dLbls>
            <c:dLbl>
              <c:idx val="0"/>
              <c:layout>
                <c:manualLayout>
                  <c:x val="-9.4591461474872227E-2"/>
                  <c:y val="3.4749144479827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3D1C-4FE9-A53A-157A9CD8D9F8}"/>
                </c:ext>
              </c:extLst>
            </c:dLbl>
            <c:dLbl>
              <c:idx val="1"/>
              <c:layout>
                <c:manualLayout>
                  <c:x val="-0.12010716409696266"/>
                  <c:y val="0.1335283927091898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3D1C-4FE9-A53A-157A9CD8D9F8}"/>
                </c:ext>
              </c:extLst>
            </c:dLbl>
            <c:dLbl>
              <c:idx val="2"/>
              <c:layout>
                <c:manualLayout>
                  <c:x val="-0.1086929879512413"/>
                  <c:y val="-2.565014863957041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3D1C-4FE9-A53A-157A9CD8D9F8}"/>
                </c:ext>
              </c:extLst>
            </c:dLbl>
            <c:dLbl>
              <c:idx val="3"/>
              <c:layout>
                <c:manualLayout>
                  <c:x val="2.37881252062749E-2"/>
                  <c:y val="-9.416056523734425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3D1C-4FE9-A53A-157A9CD8D9F8}"/>
                </c:ext>
              </c:extLst>
            </c:dLbl>
            <c:dLbl>
              <c:idx val="4"/>
              <c:layout>
                <c:manualLayout>
                  <c:x val="0.11688698173978199"/>
                  <c:y val="-6.000187915481519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3D1C-4FE9-A53A-157A9CD8D9F8}"/>
                </c:ext>
              </c:extLst>
            </c:dLbl>
            <c:dLbl>
              <c:idx val="5"/>
              <c:layout>
                <c:manualLayout>
                  <c:x val="0.10426771121580179"/>
                  <c:y val="1.721802777266571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3D1C-4FE9-A53A-157A9CD8D9F8}"/>
                </c:ext>
              </c:extLst>
            </c:dLbl>
            <c:dLbl>
              <c:idx val="6"/>
              <c:layout>
                <c:manualLayout>
                  <c:x val="9.0430537870345329E-2"/>
                  <c:y val="8.331737604760931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3D1C-4FE9-A53A-157A9CD8D9F8}"/>
                </c:ext>
              </c:extLst>
            </c:dLbl>
            <c:dLbl>
              <c:idx val="7"/>
              <c:layout>
                <c:manualLayout>
                  <c:x val="8.9916038961917424E-2"/>
                  <c:y val="9.320561292672149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3D1C-4FE9-A53A-157A9CD8D9F8}"/>
                </c:ext>
              </c:extLst>
            </c:dLbl>
            <c:dLbl>
              <c:idx val="8"/>
              <c:layout>
                <c:manualLayout>
                  <c:x val="6.8820921555612369E-2"/>
                  <c:y val="0.1259221641651388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3D1C-4FE9-A53A-157A9CD8D9F8}"/>
                </c:ext>
              </c:extLst>
            </c:dLbl>
            <c:dLbl>
              <c:idx val="9"/>
              <c:layout>
                <c:manualLayout>
                  <c:x val="-2.4103552734540193E-2"/>
                  <c:y val="0.1293485732247448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3D1C-4FE9-A53A-157A9CD8D9F8}"/>
                </c:ext>
              </c:extLst>
            </c:dLbl>
            <c:dLbl>
              <c:idx val="10"/>
              <c:layout>
                <c:manualLayout>
                  <c:x val="-0.20835711199910023"/>
                  <c:y val="9.885752046298647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3D1C-4FE9-A53A-157A9CD8D9F8}"/>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'MidWST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'MidWST Chrts'!$D$102:$D$112</c:f>
              <c:numCache>
                <c:formatCode>"$"#,##0</c:formatCode>
                <c:ptCount val="11"/>
                <c:pt idx="0">
                  <c:v>37934310</c:v>
                </c:pt>
                <c:pt idx="1">
                  <c:v>882163</c:v>
                </c:pt>
                <c:pt idx="2">
                  <c:v>1081302</c:v>
                </c:pt>
                <c:pt idx="3">
                  <c:v>10430436</c:v>
                </c:pt>
                <c:pt idx="4">
                  <c:v>13652149</c:v>
                </c:pt>
                <c:pt idx="5">
                  <c:v>8691710</c:v>
                </c:pt>
                <c:pt idx="6">
                  <c:v>7303151</c:v>
                </c:pt>
                <c:pt idx="7">
                  <c:v>17262753</c:v>
                </c:pt>
                <c:pt idx="8">
                  <c:v>8568034</c:v>
                </c:pt>
                <c:pt idx="9">
                  <c:v>5587278</c:v>
                </c:pt>
                <c:pt idx="10">
                  <c:v>358259</c:v>
                </c:pt>
              </c:numCache>
            </c:numRef>
          </c:val>
          <c:extLst>
            <c:ext xmlns:c16="http://schemas.microsoft.com/office/drawing/2014/chart" uri="{C3380CC4-5D6E-409C-BE32-E72D297353CC}">
              <c16:uniqueId val="{00000015-3D1C-4FE9-A53A-157A9CD8D9F8}"/>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8989836225225366"/>
          <c:y val="0.28436413881256811"/>
          <c:w val="0.22394413368013144"/>
          <c:h val="0.35262056815679382"/>
        </c:manualLayout>
      </c:layout>
      <c:pieChart>
        <c:varyColors val="1"/>
        <c:ser>
          <c:idx val="0"/>
          <c:order val="0"/>
          <c:tx>
            <c:strRef>
              <c:f>'SFA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1F75-4A91-9DAB-ACFF095C70FA}"/>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1F75-4A91-9DAB-ACFF095C70FA}"/>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1F75-4A91-9DAB-ACFF095C70FA}"/>
              </c:ext>
            </c:extLst>
          </c:dPt>
          <c:dLbls>
            <c:dLbl>
              <c:idx val="0"/>
              <c:layout>
                <c:manualLayout>
                  <c:x val="7.7404211351410915E-2"/>
                  <c:y val="-2.232392908093419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1F75-4A91-9DAB-ACFF095C70FA}"/>
                </c:ext>
              </c:extLst>
            </c:dLbl>
            <c:dLbl>
              <c:idx val="1"/>
              <c:layout>
                <c:manualLayout>
                  <c:x val="7.5880355124069515E-2"/>
                  <c:y val="0.1046892802772804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1F75-4A91-9DAB-ACFF095C70FA}"/>
                </c:ext>
              </c:extLst>
            </c:dLbl>
            <c:dLbl>
              <c:idx val="2"/>
              <c:layout>
                <c:manualLayout>
                  <c:x val="-8.0468979573589117E-2"/>
                  <c:y val="0.1134883381365913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1F75-4A91-9DAB-ACFF095C70FA}"/>
                </c:ext>
              </c:extLst>
            </c:dLbl>
            <c:dLbl>
              <c:idx val="3"/>
              <c:layout>
                <c:manualLayout>
                  <c:x val="-4.9838220448689532E-2"/>
                  <c:y val="-4.8080950853577114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1F75-4A91-9DAB-ACFF095C70FA}"/>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'SFA Chrts'!$C$9:$C$12</c:f>
              <c:strCache>
                <c:ptCount val="4"/>
                <c:pt idx="0">
                  <c:v>State of Texas</c:v>
                </c:pt>
                <c:pt idx="1">
                  <c:v>Student &amp; Parent</c:v>
                </c:pt>
                <c:pt idx="2">
                  <c:v>Federal Government</c:v>
                </c:pt>
                <c:pt idx="3">
                  <c:v>Institutional Resources</c:v>
                </c:pt>
              </c:strCache>
            </c:strRef>
          </c:cat>
          <c:val>
            <c:numRef>
              <c:f>'SFA Chrts'!$D$9:$D$12</c:f>
              <c:numCache>
                <c:formatCode>"$"#,##0</c:formatCode>
                <c:ptCount val="4"/>
                <c:pt idx="0">
                  <c:v>70173866</c:v>
                </c:pt>
                <c:pt idx="1">
                  <c:v>80528042</c:v>
                </c:pt>
                <c:pt idx="2">
                  <c:v>74490644</c:v>
                </c:pt>
                <c:pt idx="3">
                  <c:v>42383275</c:v>
                </c:pt>
              </c:numCache>
            </c:numRef>
          </c:val>
          <c:extLst>
            <c:ext xmlns:c16="http://schemas.microsoft.com/office/drawing/2014/chart" uri="{C3380CC4-5D6E-409C-BE32-E72D297353CC}">
              <c16:uniqueId val="{00000007-1F75-4A91-9DAB-ACFF095C70FA}"/>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183"/>
          <c:y val="4.2735042735042736E-2"/>
        </c:manualLayout>
      </c:layout>
      <c:overlay val="0"/>
      <c:spPr>
        <a:noFill/>
        <a:ln w="25400">
          <a:noFill/>
        </a:ln>
      </c:spPr>
    </c:title>
    <c:autoTitleDeleted val="0"/>
    <c:plotArea>
      <c:layout>
        <c:manualLayout>
          <c:layoutTarget val="inner"/>
          <c:xMode val="edge"/>
          <c:yMode val="edge"/>
          <c:x val="0.38527457098152024"/>
          <c:y val="0.30839660042696748"/>
          <c:w val="0.22243136969447441"/>
          <c:h val="0.35259925325022157"/>
        </c:manualLayout>
      </c:layout>
      <c:pieChart>
        <c:varyColors val="1"/>
        <c:ser>
          <c:idx val="0"/>
          <c:order val="0"/>
          <c:tx>
            <c:strRef>
              <c:f>'SFA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526D-4DFD-AE9B-03F7178DB56C}"/>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526D-4DFD-AE9B-03F7178DB56C}"/>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526D-4DFD-AE9B-03F7178DB56C}"/>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526D-4DFD-AE9B-03F7178DB56C}"/>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526D-4DFD-AE9B-03F7178DB56C}"/>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526D-4DFD-AE9B-03F7178DB56C}"/>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526D-4DFD-AE9B-03F7178DB56C}"/>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526D-4DFD-AE9B-03F7178DB56C}"/>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526D-4DFD-AE9B-03F7178DB56C}"/>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526D-4DFD-AE9B-03F7178DB56C}"/>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526D-4DFD-AE9B-03F7178DB56C}"/>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526D-4DFD-AE9B-03F7178DB56C}"/>
              </c:ext>
            </c:extLst>
          </c:dPt>
          <c:dLbls>
            <c:dLbl>
              <c:idx val="0"/>
              <c:layout>
                <c:manualLayout>
                  <c:x val="0.12448576697504178"/>
                  <c:y val="6.535059693255945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526D-4DFD-AE9B-03F7178DB56C}"/>
                </c:ext>
              </c:extLst>
            </c:dLbl>
            <c:dLbl>
              <c:idx val="1"/>
              <c:layout>
                <c:manualLayout>
                  <c:x val="0.121397037091507"/>
                  <c:y val="6.112855043070102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526D-4DFD-AE9B-03F7178DB56C}"/>
                </c:ext>
              </c:extLst>
            </c:dLbl>
            <c:dLbl>
              <c:idx val="2"/>
              <c:delete val="1"/>
              <c:extLst>
                <c:ext xmlns:c15="http://schemas.microsoft.com/office/drawing/2012/chart" uri="{CE6537A1-D6FC-4f65-9D91-7224C49458BB}"/>
                <c:ext xmlns:c16="http://schemas.microsoft.com/office/drawing/2014/chart" uri="{C3380CC4-5D6E-409C-BE32-E72D297353CC}">
                  <c16:uniqueId val="{00000003-526D-4DFD-AE9B-03F7178DB56C}"/>
                </c:ext>
              </c:extLst>
            </c:dLbl>
            <c:dLbl>
              <c:idx val="3"/>
              <c:layout>
                <c:manualLayout>
                  <c:x val="8.2000253873388634E-2"/>
                  <c:y val="0.1747492441528613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526D-4DFD-AE9B-03F7178DB56C}"/>
                </c:ext>
              </c:extLst>
            </c:dLbl>
            <c:dLbl>
              <c:idx val="4"/>
              <c:delete val="1"/>
              <c:extLst>
                <c:ext xmlns:c15="http://schemas.microsoft.com/office/drawing/2012/chart" uri="{CE6537A1-D6FC-4f65-9D91-7224C49458BB}"/>
                <c:ext xmlns:c16="http://schemas.microsoft.com/office/drawing/2014/chart" uri="{C3380CC4-5D6E-409C-BE32-E72D297353CC}">
                  <c16:uniqueId val="{00000007-526D-4DFD-AE9B-03F7178DB56C}"/>
                </c:ext>
              </c:extLst>
            </c:dLbl>
            <c:dLbl>
              <c:idx val="5"/>
              <c:layout>
                <c:manualLayout>
                  <c:x val="1.7018685213727649E-2"/>
                  <c:y val="0.1206194258010747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526D-4DFD-AE9B-03F7178DB56C}"/>
                </c:ext>
              </c:extLst>
            </c:dLbl>
            <c:dLbl>
              <c:idx val="6"/>
              <c:layout>
                <c:manualLayout>
                  <c:x val="-2.4233472024825529E-2"/>
                  <c:y val="0.2190919257060445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526D-4DFD-AE9B-03F7178DB56C}"/>
                </c:ext>
              </c:extLst>
            </c:dLbl>
            <c:dLbl>
              <c:idx val="7"/>
              <c:layout>
                <c:manualLayout>
                  <c:x val="-8.7022429042813224E-2"/>
                  <c:y val="0.1561670410532084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526D-4DFD-AE9B-03F7178DB56C}"/>
                </c:ext>
              </c:extLst>
            </c:dLbl>
            <c:dLbl>
              <c:idx val="8"/>
              <c:layout>
                <c:manualLayout>
                  <c:x val="-0.11614395623018622"/>
                  <c:y val="1.1941505852735149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526D-4DFD-AE9B-03F7178DB56C}"/>
                </c:ext>
              </c:extLst>
            </c:dLbl>
            <c:dLbl>
              <c:idx val="9"/>
              <c:layout>
                <c:manualLayout>
                  <c:x val="-9.1210300265300526E-2"/>
                  <c:y val="-0.1210782753088031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526D-4DFD-AE9B-03F7178DB56C}"/>
                </c:ext>
              </c:extLst>
            </c:dLbl>
            <c:dLbl>
              <c:idx val="10"/>
              <c:layout>
                <c:manualLayout>
                  <c:x val="4.71612824745982E-2"/>
                  <c:y val="-0.1035515462732600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526D-4DFD-AE9B-03F7178DB56C}"/>
                </c:ext>
              </c:extLst>
            </c:dLbl>
            <c:dLbl>
              <c:idx val="11"/>
              <c:layout>
                <c:manualLayout>
                  <c:x val="0.13202909581848979"/>
                  <c:y val="-7.002503238915606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526D-4DFD-AE9B-03F7178DB56C}"/>
                </c:ext>
              </c:extLst>
            </c:dLbl>
            <c:dLbl>
              <c:idx val="12"/>
              <c:layout>
                <c:manualLayout>
                  <c:x val="0.24457411793883929"/>
                  <c:y val="-6.03496781818261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526D-4DFD-AE9B-03F7178DB56C}"/>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'SFA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'SFA Chrts'!$D$54:$D$66</c:f>
              <c:numCache>
                <c:formatCode>"$"#,##0</c:formatCode>
                <c:ptCount val="13"/>
                <c:pt idx="0">
                  <c:v>47150002</c:v>
                </c:pt>
                <c:pt idx="1">
                  <c:v>11746071</c:v>
                </c:pt>
                <c:pt idx="3">
                  <c:v>11277793</c:v>
                </c:pt>
                <c:pt idx="4">
                  <c:v>0</c:v>
                </c:pt>
                <c:pt idx="5">
                  <c:v>80528042</c:v>
                </c:pt>
                <c:pt idx="6">
                  <c:v>74490644</c:v>
                </c:pt>
                <c:pt idx="7">
                  <c:v>5310888</c:v>
                </c:pt>
                <c:pt idx="8">
                  <c:v>1129224</c:v>
                </c:pt>
                <c:pt idx="9">
                  <c:v>12237725</c:v>
                </c:pt>
                <c:pt idx="10">
                  <c:v>4789551</c:v>
                </c:pt>
                <c:pt idx="11">
                  <c:v>17374062</c:v>
                </c:pt>
                <c:pt idx="12">
                  <c:v>1541825</c:v>
                </c:pt>
              </c:numCache>
            </c:numRef>
          </c:val>
          <c:extLst>
            <c:ext xmlns:c16="http://schemas.microsoft.com/office/drawing/2014/chart" uri="{C3380CC4-5D6E-409C-BE32-E72D297353CC}">
              <c16:uniqueId val="{00000019-526D-4DFD-AE9B-03F7178DB56C}"/>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2"/>
          <c:y val="3.3873343151695247E-2"/>
        </c:manualLayout>
      </c:layout>
      <c:overlay val="0"/>
      <c:spPr>
        <a:noFill/>
        <a:ln w="25400">
          <a:noFill/>
        </a:ln>
      </c:spPr>
    </c:title>
    <c:autoTitleDeleted val="0"/>
    <c:plotArea>
      <c:layout>
        <c:manualLayout>
          <c:layoutTarget val="inner"/>
          <c:xMode val="edge"/>
          <c:yMode val="edge"/>
          <c:x val="0.38802057970603454"/>
          <c:y val="0.29675538134451768"/>
          <c:w val="0.22519590114526841"/>
          <c:h val="0.3684837053025225"/>
        </c:manualLayout>
      </c:layout>
      <c:pieChart>
        <c:varyColors val="1"/>
        <c:ser>
          <c:idx val="0"/>
          <c:order val="0"/>
          <c:tx>
            <c:strRef>
              <c:f>'SFA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B0F6-4A1A-966F-C8A1EF7FAE0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B0F6-4A1A-966F-C8A1EF7FAE05}"/>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B0F6-4A1A-966F-C8A1EF7FAE05}"/>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B0F6-4A1A-966F-C8A1EF7FAE05}"/>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B0F6-4A1A-966F-C8A1EF7FAE05}"/>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B0F6-4A1A-966F-C8A1EF7FAE05}"/>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B0F6-4A1A-966F-C8A1EF7FAE05}"/>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B0F6-4A1A-966F-C8A1EF7FAE05}"/>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B0F6-4A1A-966F-C8A1EF7FAE05}"/>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B0F6-4A1A-966F-C8A1EF7FAE05}"/>
              </c:ext>
            </c:extLst>
          </c:dPt>
          <c:dLbls>
            <c:dLbl>
              <c:idx val="0"/>
              <c:layout>
                <c:manualLayout>
                  <c:x val="-8.0338093980333286E-2"/>
                  <c:y val="2.419213418974686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B0F6-4A1A-966F-C8A1EF7FAE05}"/>
                </c:ext>
              </c:extLst>
            </c:dLbl>
            <c:dLbl>
              <c:idx val="1"/>
              <c:layout>
                <c:manualLayout>
                  <c:x val="-0.12029217866754206"/>
                  <c:y val="0.1146419291947619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B0F6-4A1A-966F-C8A1EF7FAE05}"/>
                </c:ext>
              </c:extLst>
            </c:dLbl>
            <c:dLbl>
              <c:idx val="2"/>
              <c:layout>
                <c:manualLayout>
                  <c:x val="-9.5430982519590146E-2"/>
                  <c:y val="-1.070242342231563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B0F6-4A1A-966F-C8A1EF7FAE05}"/>
                </c:ext>
              </c:extLst>
            </c:dLbl>
            <c:dLbl>
              <c:idx val="3"/>
              <c:layout>
                <c:manualLayout>
                  <c:x val="-3.3780429345065983E-2"/>
                  <c:y val="-9.226708591636627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B0F6-4A1A-966F-C8A1EF7FAE05}"/>
                </c:ext>
              </c:extLst>
            </c:dLbl>
            <c:dLbl>
              <c:idx val="4"/>
              <c:layout>
                <c:manualLayout>
                  <c:x val="9.5767089552182327E-2"/>
                  <c:y val="-6.008433766940188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B0F6-4A1A-966F-C8A1EF7FAE05}"/>
                </c:ext>
              </c:extLst>
            </c:dLbl>
            <c:dLbl>
              <c:idx val="5"/>
              <c:layout>
                <c:manualLayout>
                  <c:x val="0.10164076578025442"/>
                  <c:y val="-2.088249652424362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B0F6-4A1A-966F-C8A1EF7FAE05}"/>
                </c:ext>
              </c:extLst>
            </c:dLbl>
            <c:dLbl>
              <c:idx val="6"/>
              <c:layout>
                <c:manualLayout>
                  <c:x val="9.380153467860515E-2"/>
                  <c:y val="5.774764773886721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B0F6-4A1A-966F-C8A1EF7FAE05}"/>
                </c:ext>
              </c:extLst>
            </c:dLbl>
            <c:dLbl>
              <c:idx val="7"/>
              <c:layout>
                <c:manualLayout>
                  <c:x val="0.10540565904221463"/>
                  <c:y val="0.1195830863686688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B0F6-4A1A-966F-C8A1EF7FAE05}"/>
                </c:ext>
              </c:extLst>
            </c:dLbl>
            <c:dLbl>
              <c:idx val="8"/>
              <c:layout>
                <c:manualLayout>
                  <c:x val="7.1362076575871083E-2"/>
                  <c:y val="9.146810086347545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B0F6-4A1A-966F-C8A1EF7FAE05}"/>
                </c:ext>
              </c:extLst>
            </c:dLbl>
            <c:dLbl>
              <c:idx val="9"/>
              <c:layout>
                <c:manualLayout>
                  <c:x val="1.686458758255955E-2"/>
                  <c:y val="0.1112596178384313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B0F6-4A1A-966F-C8A1EF7FAE05}"/>
                </c:ext>
              </c:extLst>
            </c:dLbl>
            <c:dLbl>
              <c:idx val="10"/>
              <c:layout>
                <c:manualLayout>
                  <c:x val="-0.15923548741825402"/>
                  <c:y val="8.559361694097078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B0F6-4A1A-966F-C8A1EF7FAE05}"/>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'SFA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'SFA Chrts'!$D$102:$D$112</c:f>
              <c:numCache>
                <c:formatCode>"$"#,##0</c:formatCode>
                <c:ptCount val="11"/>
                <c:pt idx="0">
                  <c:v>76284735</c:v>
                </c:pt>
                <c:pt idx="1">
                  <c:v>3688401</c:v>
                </c:pt>
                <c:pt idx="2">
                  <c:v>1421827</c:v>
                </c:pt>
                <c:pt idx="3">
                  <c:v>16382558</c:v>
                </c:pt>
                <c:pt idx="4">
                  <c:v>23128753</c:v>
                </c:pt>
                <c:pt idx="5">
                  <c:v>34770654</c:v>
                </c:pt>
                <c:pt idx="6">
                  <c:v>17083626</c:v>
                </c:pt>
                <c:pt idx="7">
                  <c:v>33675827</c:v>
                </c:pt>
                <c:pt idx="8">
                  <c:v>26980088</c:v>
                </c:pt>
                <c:pt idx="9">
                  <c:v>1211299</c:v>
                </c:pt>
                <c:pt idx="10">
                  <c:v>19230141</c:v>
                </c:pt>
              </c:numCache>
            </c:numRef>
          </c:val>
          <c:extLst>
            <c:ext xmlns:c16="http://schemas.microsoft.com/office/drawing/2014/chart" uri="{C3380CC4-5D6E-409C-BE32-E72D297353CC}">
              <c16:uniqueId val="{00000015-B0F6-4A1A-966F-C8A1EF7FAE05}"/>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9742511371600397"/>
          <c:y val="0.33472608863209014"/>
          <c:w val="0.22416702889514376"/>
          <c:h val="0.35297153710636431"/>
        </c:manualLayout>
      </c:layout>
      <c:pieChart>
        <c:varyColors val="1"/>
        <c:ser>
          <c:idx val="0"/>
          <c:order val="0"/>
          <c:tx>
            <c:strRef>
              <c:f>'TSU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90EB-4C2B-B88C-4AC8814E91CF}"/>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90EB-4C2B-B88C-4AC8814E91CF}"/>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90EB-4C2B-B88C-4AC8814E91CF}"/>
              </c:ext>
            </c:extLst>
          </c:dPt>
          <c:dLbls>
            <c:dLbl>
              <c:idx val="0"/>
              <c:layout>
                <c:manualLayout>
                  <c:x val="0.13990655692925272"/>
                  <c:y val="-1.942357314516118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90EB-4C2B-B88C-4AC8814E91CF}"/>
                </c:ext>
              </c:extLst>
            </c:dLbl>
            <c:dLbl>
              <c:idx val="1"/>
              <c:layout>
                <c:manualLayout>
                  <c:x val="5.2122115935451178E-2"/>
                  <c:y val="0.1299253839414800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90EB-4C2B-B88C-4AC8814E91CF}"/>
                </c:ext>
              </c:extLst>
            </c:dLbl>
            <c:dLbl>
              <c:idx val="2"/>
              <c:layout>
                <c:manualLayout>
                  <c:x val="-0.11205121079322097"/>
                  <c:y val="1.4495346744157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90EB-4C2B-B88C-4AC8814E91CF}"/>
                </c:ext>
              </c:extLst>
            </c:dLbl>
            <c:dLbl>
              <c:idx val="3"/>
              <c:layout>
                <c:manualLayout>
                  <c:x val="-5.9732212206507762E-2"/>
                  <c:y val="-7.814025951954656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90EB-4C2B-B88C-4AC8814E91CF}"/>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'TSU Chrts'!$C$9:$C$12</c:f>
              <c:strCache>
                <c:ptCount val="4"/>
                <c:pt idx="0">
                  <c:v>State of Texas</c:v>
                </c:pt>
                <c:pt idx="1">
                  <c:v>Student &amp; Parent</c:v>
                </c:pt>
                <c:pt idx="2">
                  <c:v>Federal Government</c:v>
                </c:pt>
                <c:pt idx="3">
                  <c:v>Institutional Resources</c:v>
                </c:pt>
              </c:strCache>
            </c:strRef>
          </c:cat>
          <c:val>
            <c:numRef>
              <c:f>'TSU Chrts'!$D$9:$D$12</c:f>
              <c:numCache>
                <c:formatCode>"$"#,##0</c:formatCode>
                <c:ptCount val="4"/>
                <c:pt idx="0">
                  <c:v>79567683</c:v>
                </c:pt>
                <c:pt idx="1">
                  <c:v>53649894</c:v>
                </c:pt>
                <c:pt idx="2">
                  <c:v>89345091</c:v>
                </c:pt>
                <c:pt idx="3">
                  <c:v>32643993</c:v>
                </c:pt>
              </c:numCache>
            </c:numRef>
          </c:val>
          <c:extLst>
            <c:ext xmlns:c16="http://schemas.microsoft.com/office/drawing/2014/chart" uri="{C3380CC4-5D6E-409C-BE32-E72D297353CC}">
              <c16:uniqueId val="{00000007-90EB-4C2B-B88C-4AC8814E91CF}"/>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416"/>
          <c:y val="4.2735042735042736E-2"/>
        </c:manualLayout>
      </c:layout>
      <c:overlay val="0"/>
      <c:spPr>
        <a:noFill/>
        <a:ln w="25400">
          <a:noFill/>
        </a:ln>
      </c:spPr>
    </c:title>
    <c:autoTitleDeleted val="0"/>
    <c:plotArea>
      <c:layout>
        <c:manualLayout>
          <c:layoutTarget val="inner"/>
          <c:xMode val="edge"/>
          <c:yMode val="edge"/>
          <c:x val="0.38527457098152024"/>
          <c:y val="0.30267224998675285"/>
          <c:w val="0.22483877715453718"/>
          <c:h val="0.35641548687705554"/>
        </c:manualLayout>
      </c:layout>
      <c:pieChart>
        <c:varyColors val="1"/>
        <c:ser>
          <c:idx val="0"/>
          <c:order val="0"/>
          <c:tx>
            <c:strRef>
              <c:f>'TSU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0C1B-4A2E-9F46-ABB1208A402D}"/>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0C1B-4A2E-9F46-ABB1208A402D}"/>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0C1B-4A2E-9F46-ABB1208A402D}"/>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0C1B-4A2E-9F46-ABB1208A402D}"/>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0C1B-4A2E-9F46-ABB1208A402D}"/>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0C1B-4A2E-9F46-ABB1208A402D}"/>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0C1B-4A2E-9F46-ABB1208A402D}"/>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0C1B-4A2E-9F46-ABB1208A402D}"/>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0C1B-4A2E-9F46-ABB1208A402D}"/>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0C1B-4A2E-9F46-ABB1208A402D}"/>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0C1B-4A2E-9F46-ABB1208A402D}"/>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0C1B-4A2E-9F46-ABB1208A402D}"/>
              </c:ext>
            </c:extLst>
          </c:dPt>
          <c:dLbls>
            <c:dLbl>
              <c:idx val="0"/>
              <c:layout>
                <c:manualLayout>
                  <c:x val="9.9449181702552833E-2"/>
                  <c:y val="8.049984246767882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0C1B-4A2E-9F46-ABB1208A402D}"/>
                </c:ext>
              </c:extLst>
            </c:dLbl>
            <c:dLbl>
              <c:idx val="1"/>
              <c:layout>
                <c:manualLayout>
                  <c:x val="9.3270304176425095E-2"/>
                  <c:y val="1.79573324046162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0C1B-4A2E-9F46-ABB1208A402D}"/>
                </c:ext>
              </c:extLst>
            </c:dLbl>
            <c:dLbl>
              <c:idx val="2"/>
              <c:delete val="1"/>
              <c:extLst>
                <c:ext xmlns:c15="http://schemas.microsoft.com/office/drawing/2012/chart" uri="{CE6537A1-D6FC-4f65-9D91-7224C49458BB}"/>
                <c:ext xmlns:c16="http://schemas.microsoft.com/office/drawing/2014/chart" uri="{C3380CC4-5D6E-409C-BE32-E72D297353CC}">
                  <c16:uniqueId val="{00000003-0C1B-4A2E-9F46-ABB1208A402D}"/>
                </c:ext>
              </c:extLst>
            </c:dLbl>
            <c:dLbl>
              <c:idx val="3"/>
              <c:layout>
                <c:manualLayout>
                  <c:x val="4.9740942339077408E-2"/>
                  <c:y val="0.150005927181754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0C1B-4A2E-9F46-ABB1208A402D}"/>
                </c:ext>
              </c:extLst>
            </c:dLbl>
            <c:dLbl>
              <c:idx val="4"/>
              <c:delete val="1"/>
              <c:extLst>
                <c:ext xmlns:c15="http://schemas.microsoft.com/office/drawing/2012/chart" uri="{CE6537A1-D6FC-4f65-9D91-7224C49458BB}"/>
                <c:ext xmlns:c16="http://schemas.microsoft.com/office/drawing/2014/chart" uri="{C3380CC4-5D6E-409C-BE32-E72D297353CC}">
                  <c16:uniqueId val="{00000007-0C1B-4A2E-9F46-ABB1208A402D}"/>
                </c:ext>
              </c:extLst>
            </c:dLbl>
            <c:dLbl>
              <c:idx val="5"/>
              <c:layout>
                <c:manualLayout>
                  <c:x val="-4.0568797372646723E-2"/>
                  <c:y val="0.1117997192514112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0C1B-4A2E-9F46-ABB1208A402D}"/>
                </c:ext>
              </c:extLst>
            </c:dLbl>
            <c:dLbl>
              <c:idx val="6"/>
              <c:layout>
                <c:manualLayout>
                  <c:x val="-3.3395692677851023E-2"/>
                  <c:y val="0.2048207143959300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0C1B-4A2E-9F46-ABB1208A402D}"/>
                </c:ext>
              </c:extLst>
            </c:dLbl>
            <c:dLbl>
              <c:idx val="7"/>
              <c:layout>
                <c:manualLayout>
                  <c:x val="-0.13371878106369167"/>
                  <c:y val="0.2313462425198440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0C1B-4A2E-9F46-ABB1208A402D}"/>
                </c:ext>
              </c:extLst>
            </c:dLbl>
            <c:dLbl>
              <c:idx val="8"/>
              <c:layout>
                <c:manualLayout>
                  <c:x val="-0.16205307390484966"/>
                  <c:y val="8.287492204140850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0C1B-4A2E-9F46-ABB1208A402D}"/>
                </c:ext>
              </c:extLst>
            </c:dLbl>
            <c:dLbl>
              <c:idx val="9"/>
              <c:layout>
                <c:manualLayout>
                  <c:x val="-0.12522281265060739"/>
                  <c:y val="-6.934427039848239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0C1B-4A2E-9F46-ABB1208A402D}"/>
                </c:ext>
              </c:extLst>
            </c:dLbl>
            <c:dLbl>
              <c:idx val="10"/>
              <c:layout>
                <c:manualLayout>
                  <c:x val="3.9733453735733684E-2"/>
                  <c:y val="-0.100680656818880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0C1B-4A2E-9F46-ABB1208A402D}"/>
                </c:ext>
              </c:extLst>
            </c:dLbl>
            <c:dLbl>
              <c:idx val="11"/>
              <c:layout>
                <c:manualLayout>
                  <c:x val="0.16090761910333923"/>
                  <c:y val="-6.43804622660885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0C1B-4A2E-9F46-ABB1208A402D}"/>
                </c:ext>
              </c:extLst>
            </c:dLbl>
            <c:dLbl>
              <c:idx val="12"/>
              <c:layout>
                <c:manualLayout>
                  <c:x val="0.27769089015136655"/>
                  <c:y val="1.5778773838125537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0C1B-4A2E-9F46-ABB1208A402D}"/>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'TSU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'TSU Chrts'!$D$54:$D$66</c:f>
              <c:numCache>
                <c:formatCode>"$"#,##0</c:formatCode>
                <c:ptCount val="13"/>
                <c:pt idx="0">
                  <c:v>62046473</c:v>
                </c:pt>
                <c:pt idx="1">
                  <c:v>5801875</c:v>
                </c:pt>
                <c:pt idx="3">
                  <c:v>11719335</c:v>
                </c:pt>
                <c:pt idx="4">
                  <c:v>0</c:v>
                </c:pt>
                <c:pt idx="5">
                  <c:v>53649894</c:v>
                </c:pt>
                <c:pt idx="6">
                  <c:v>89345091</c:v>
                </c:pt>
                <c:pt idx="7">
                  <c:v>2169599</c:v>
                </c:pt>
                <c:pt idx="8">
                  <c:v>245226</c:v>
                </c:pt>
                <c:pt idx="9">
                  <c:v>3709356</c:v>
                </c:pt>
                <c:pt idx="10">
                  <c:v>59382</c:v>
                </c:pt>
                <c:pt idx="11">
                  <c:v>7508284</c:v>
                </c:pt>
                <c:pt idx="12">
                  <c:v>18952146</c:v>
                </c:pt>
              </c:numCache>
            </c:numRef>
          </c:val>
          <c:extLst>
            <c:ext xmlns:c16="http://schemas.microsoft.com/office/drawing/2014/chart" uri="{C3380CC4-5D6E-409C-BE32-E72D297353CC}">
              <c16:uniqueId val="{00000019-0C1B-4A2E-9F46-ABB1208A402D}"/>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277"/>
          <c:y val="3.3873343151695365E-2"/>
        </c:manualLayout>
      </c:layout>
      <c:overlay val="0"/>
      <c:spPr>
        <a:noFill/>
        <a:ln w="25400">
          <a:noFill/>
        </a:ln>
      </c:spPr>
    </c:title>
    <c:autoTitleDeleted val="0"/>
    <c:plotArea>
      <c:layout>
        <c:manualLayout>
          <c:layoutTarget val="inner"/>
          <c:xMode val="edge"/>
          <c:yMode val="edge"/>
          <c:x val="0.37958176114063846"/>
          <c:y val="0.28886493797615964"/>
          <c:w val="0.22881253767329721"/>
          <c:h val="0.37440153782877938"/>
        </c:manualLayout>
      </c:layout>
      <c:pieChart>
        <c:varyColors val="1"/>
        <c:ser>
          <c:idx val="0"/>
          <c:order val="0"/>
          <c:tx>
            <c:strRef>
              <c:f>'TSU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EF3A-475F-B6BB-DFDEE28EC55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EF3A-475F-B6BB-DFDEE28EC555}"/>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EF3A-475F-B6BB-DFDEE28EC555}"/>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EF3A-475F-B6BB-DFDEE28EC555}"/>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EF3A-475F-B6BB-DFDEE28EC555}"/>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EF3A-475F-B6BB-DFDEE28EC555}"/>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EF3A-475F-B6BB-DFDEE28EC555}"/>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EF3A-475F-B6BB-DFDEE28EC555}"/>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EF3A-475F-B6BB-DFDEE28EC555}"/>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EF3A-475F-B6BB-DFDEE28EC555}"/>
              </c:ext>
            </c:extLst>
          </c:dPt>
          <c:dLbls>
            <c:dLbl>
              <c:idx val="0"/>
              <c:layout>
                <c:manualLayout>
                  <c:x val="-7.0906136216916577E-2"/>
                  <c:y val="7.52835395540376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EF3A-475F-B6BB-DFDEE28EC555}"/>
                </c:ext>
              </c:extLst>
            </c:dLbl>
            <c:dLbl>
              <c:idx val="1"/>
              <c:layout>
                <c:manualLayout>
                  <c:x val="-0.15327988547807156"/>
                  <c:y val="0.156768533652513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EF3A-475F-B6BB-DFDEE28EC555}"/>
                </c:ext>
              </c:extLst>
            </c:dLbl>
            <c:dLbl>
              <c:idx val="2"/>
              <c:layout>
                <c:manualLayout>
                  <c:x val="-0.14812935029315405"/>
                  <c:y val="2.645520068056634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EF3A-475F-B6BB-DFDEE28EC555}"/>
                </c:ext>
              </c:extLst>
            </c:dLbl>
            <c:dLbl>
              <c:idx val="3"/>
              <c:layout>
                <c:manualLayout>
                  <c:x val="-6.6514501797067971E-2"/>
                  <c:y val="-5.488441042302880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EF3A-475F-B6BB-DFDEE28EC555}"/>
                </c:ext>
              </c:extLst>
            </c:dLbl>
            <c:dLbl>
              <c:idx val="4"/>
              <c:layout>
                <c:manualLayout>
                  <c:x val="6.8560468743732506E-2"/>
                  <c:y val="-6.78342143035432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EF3A-475F-B6BB-DFDEE28EC555}"/>
                </c:ext>
              </c:extLst>
            </c:dLbl>
            <c:dLbl>
              <c:idx val="5"/>
              <c:layout>
                <c:manualLayout>
                  <c:x val="7.9628481085945182E-2"/>
                  <c:y val="-8.544171035016644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EF3A-475F-B6BB-DFDEE28EC555}"/>
                </c:ext>
              </c:extLst>
            </c:dLbl>
            <c:dLbl>
              <c:idx val="6"/>
              <c:layout>
                <c:manualLayout>
                  <c:x val="7.6595526893959751E-2"/>
                  <c:y val="-8.715182442456059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EF3A-475F-B6BB-DFDEE28EC555}"/>
                </c:ext>
              </c:extLst>
            </c:dLbl>
            <c:dLbl>
              <c:idx val="7"/>
              <c:layout>
                <c:manualLayout>
                  <c:x val="0.13209962923412127"/>
                  <c:y val="-1.285971612727659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EF3A-475F-B6BB-DFDEE28EC555}"/>
                </c:ext>
              </c:extLst>
            </c:dLbl>
            <c:dLbl>
              <c:idx val="8"/>
              <c:layout>
                <c:manualLayout>
                  <c:x val="0.11178593133073846"/>
                  <c:y val="7.222770083472501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EF3A-475F-B6BB-DFDEE28EC555}"/>
                </c:ext>
              </c:extLst>
            </c:dLbl>
            <c:dLbl>
              <c:idx val="9"/>
              <c:layout>
                <c:manualLayout>
                  <c:x val="9.9900175506444696E-4"/>
                  <c:y val="0.1258996543581426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EF3A-475F-B6BB-DFDEE28EC555}"/>
                </c:ext>
              </c:extLst>
            </c:dLbl>
            <c:dLbl>
              <c:idx val="10"/>
              <c:layout>
                <c:manualLayout>
                  <c:x val="-0.17534836402110315"/>
                  <c:y val="7.982287505123740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EF3A-475F-B6BB-DFDEE28EC555}"/>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'TSU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'TSU Chrts'!$D$102:$D$112</c:f>
              <c:numCache>
                <c:formatCode>"$"#,##0</c:formatCode>
                <c:ptCount val="11"/>
                <c:pt idx="0">
                  <c:v>78454410</c:v>
                </c:pt>
                <c:pt idx="1">
                  <c:v>5151314</c:v>
                </c:pt>
                <c:pt idx="2">
                  <c:v>2009621</c:v>
                </c:pt>
                <c:pt idx="3">
                  <c:v>11715380</c:v>
                </c:pt>
                <c:pt idx="4">
                  <c:v>14886580</c:v>
                </c:pt>
                <c:pt idx="5">
                  <c:v>53515854</c:v>
                </c:pt>
                <c:pt idx="6">
                  <c:v>14101852</c:v>
                </c:pt>
                <c:pt idx="7">
                  <c:v>27513383</c:v>
                </c:pt>
                <c:pt idx="8">
                  <c:v>15885231</c:v>
                </c:pt>
                <c:pt idx="9">
                  <c:v>5433052</c:v>
                </c:pt>
                <c:pt idx="10">
                  <c:v>525803</c:v>
                </c:pt>
              </c:numCache>
            </c:numRef>
          </c:val>
          <c:extLst>
            <c:ext xmlns:c16="http://schemas.microsoft.com/office/drawing/2014/chart" uri="{C3380CC4-5D6E-409C-BE32-E72D297353CC}">
              <c16:uniqueId val="{00000015-EF3A-475F-B6BB-DFDEE28EC555}"/>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9018529471147018"/>
          <c:y val="0.32332632991202487"/>
          <c:w val="0.21813384639137853"/>
          <c:h val="0.34347173817297488"/>
        </c:manualLayout>
      </c:layout>
      <c:pieChart>
        <c:varyColors val="1"/>
        <c:ser>
          <c:idx val="0"/>
          <c:order val="0"/>
          <c:tx>
            <c:strRef>
              <c:f>'TWU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5938-4DDE-BE12-A282CE9FB0E7}"/>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5938-4DDE-BE12-A282CE9FB0E7}"/>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5938-4DDE-BE12-A282CE9FB0E7}"/>
              </c:ext>
            </c:extLst>
          </c:dPt>
          <c:dLbls>
            <c:dLbl>
              <c:idx val="0"/>
              <c:layout>
                <c:manualLayout>
                  <c:x val="0.13459583615396795"/>
                  <c:y val="2.782992278084765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5938-4DDE-BE12-A282CE9FB0E7}"/>
                </c:ext>
              </c:extLst>
            </c:dLbl>
            <c:dLbl>
              <c:idx val="1"/>
              <c:layout>
                <c:manualLayout>
                  <c:x val="6.8706116222027533E-2"/>
                  <c:y val="0.1488242988998784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5938-4DDE-BE12-A282CE9FB0E7}"/>
                </c:ext>
              </c:extLst>
            </c:dLbl>
            <c:dLbl>
              <c:idx val="2"/>
              <c:layout>
                <c:manualLayout>
                  <c:x val="-0.1105315138775074"/>
                  <c:y val="4.056683430196383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5938-4DDE-BE12-A282CE9FB0E7}"/>
                </c:ext>
              </c:extLst>
            </c:dLbl>
            <c:dLbl>
              <c:idx val="3"/>
              <c:layout>
                <c:manualLayout>
                  <c:x val="-3.9245994703150801E-2"/>
                  <c:y val="-5.353084337868474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5938-4DDE-BE12-A282CE9FB0E7}"/>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'TWU Chrts'!$C$9:$C$12</c:f>
              <c:strCache>
                <c:ptCount val="4"/>
                <c:pt idx="0">
                  <c:v>State of Texas</c:v>
                </c:pt>
                <c:pt idx="1">
                  <c:v>Student &amp; Parent</c:v>
                </c:pt>
                <c:pt idx="2">
                  <c:v>Federal Government</c:v>
                </c:pt>
                <c:pt idx="3">
                  <c:v>Institutional Resources</c:v>
                </c:pt>
              </c:strCache>
            </c:strRef>
          </c:cat>
          <c:val>
            <c:numRef>
              <c:f>'TWU Chrts'!$D$9:$D$12</c:f>
              <c:numCache>
                <c:formatCode>"$"#,##0</c:formatCode>
                <c:ptCount val="4"/>
                <c:pt idx="0">
                  <c:v>95844294</c:v>
                </c:pt>
                <c:pt idx="1">
                  <c:v>89161334</c:v>
                </c:pt>
                <c:pt idx="2">
                  <c:v>42101935</c:v>
                </c:pt>
                <c:pt idx="3">
                  <c:v>36669845</c:v>
                </c:pt>
              </c:numCache>
            </c:numRef>
          </c:val>
          <c:extLst>
            <c:ext xmlns:c16="http://schemas.microsoft.com/office/drawing/2014/chart" uri="{C3380CC4-5D6E-409C-BE32-E72D297353CC}">
              <c16:uniqueId val="{00000007-5938-4DDE-BE12-A282CE9FB0E7}"/>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878770921817042"/>
          <c:y val="3.3194471509487171E-2"/>
        </c:manualLayout>
      </c:layout>
      <c:overlay val="0"/>
      <c:spPr>
        <a:noFill/>
        <a:ln w="25400">
          <a:noFill/>
        </a:ln>
      </c:spPr>
    </c:title>
    <c:autoTitleDeleted val="0"/>
    <c:plotArea>
      <c:layout>
        <c:manualLayout>
          <c:layoutTarget val="inner"/>
          <c:xMode val="edge"/>
          <c:yMode val="edge"/>
          <c:x val="0.38527457098152024"/>
          <c:y val="0.28359108185266424"/>
          <c:w val="0.22002396223441137"/>
          <c:h val="0.34878301962340386"/>
        </c:manualLayout>
      </c:layout>
      <c:pieChart>
        <c:varyColors val="1"/>
        <c:ser>
          <c:idx val="0"/>
          <c:order val="0"/>
          <c:tx>
            <c:strRef>
              <c:f>'DAL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6160-4622-AFCF-653782D532DB}"/>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6160-4622-AFCF-653782D532DB}"/>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6160-4622-AFCF-653782D532DB}"/>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6160-4622-AFCF-653782D532DB}"/>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6160-4622-AFCF-653782D532DB}"/>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6160-4622-AFCF-653782D532DB}"/>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6160-4622-AFCF-653782D532DB}"/>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6160-4622-AFCF-653782D532DB}"/>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6160-4622-AFCF-653782D532DB}"/>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6160-4622-AFCF-653782D532DB}"/>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6160-4622-AFCF-653782D532DB}"/>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6160-4622-AFCF-653782D532DB}"/>
              </c:ext>
            </c:extLst>
          </c:dPt>
          <c:dLbls>
            <c:dLbl>
              <c:idx val="0"/>
              <c:layout>
                <c:manualLayout>
                  <c:x val="0.13243930077257463"/>
                  <c:y val="7.006436245097259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6160-4622-AFCF-653782D532DB}"/>
                </c:ext>
              </c:extLst>
            </c:dLbl>
            <c:dLbl>
              <c:idx val="1"/>
              <c:layout>
                <c:manualLayout>
                  <c:x val="9.4681257990844495E-2"/>
                  <c:y val="0.146595313103478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6160-4622-AFCF-653782D532DB}"/>
                </c:ext>
              </c:extLst>
            </c:dLbl>
            <c:dLbl>
              <c:idx val="2"/>
              <c:delete val="1"/>
              <c:extLst>
                <c:ext xmlns:c15="http://schemas.microsoft.com/office/drawing/2012/chart" uri="{CE6537A1-D6FC-4f65-9D91-7224C49458BB}"/>
                <c:ext xmlns:c16="http://schemas.microsoft.com/office/drawing/2014/chart" uri="{C3380CC4-5D6E-409C-BE32-E72D297353CC}">
                  <c16:uniqueId val="{00000003-6160-4622-AFCF-653782D532DB}"/>
                </c:ext>
              </c:extLst>
            </c:dLbl>
            <c:dLbl>
              <c:idx val="3"/>
              <c:delete val="1"/>
              <c:extLst>
                <c:ext xmlns:c15="http://schemas.microsoft.com/office/drawing/2012/chart" uri="{CE6537A1-D6FC-4f65-9D91-7224C49458BB}"/>
                <c:ext xmlns:c16="http://schemas.microsoft.com/office/drawing/2014/chart" uri="{C3380CC4-5D6E-409C-BE32-E72D297353CC}">
                  <c16:uniqueId val="{00000005-6160-4622-AFCF-653782D532DB}"/>
                </c:ext>
              </c:extLst>
            </c:dLbl>
            <c:dLbl>
              <c:idx val="4"/>
              <c:delete val="1"/>
              <c:extLst>
                <c:ext xmlns:c15="http://schemas.microsoft.com/office/drawing/2012/chart" uri="{CE6537A1-D6FC-4f65-9D91-7224C49458BB}"/>
                <c:ext xmlns:c16="http://schemas.microsoft.com/office/drawing/2014/chart" uri="{C3380CC4-5D6E-409C-BE32-E72D297353CC}">
                  <c16:uniqueId val="{00000007-6160-4622-AFCF-653782D532DB}"/>
                </c:ext>
              </c:extLst>
            </c:dLbl>
            <c:dLbl>
              <c:idx val="5"/>
              <c:layout>
                <c:manualLayout>
                  <c:x val="3.0381631438031187E-3"/>
                  <c:y val="0.132500559975127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6160-4622-AFCF-653782D532DB}"/>
                </c:ext>
              </c:extLst>
            </c:dLbl>
            <c:dLbl>
              <c:idx val="6"/>
              <c:layout>
                <c:manualLayout>
                  <c:x val="2.1806174000434969E-2"/>
                  <c:y val="0.1969982588547353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6160-4622-AFCF-653782D532DB}"/>
                </c:ext>
              </c:extLst>
            </c:dLbl>
            <c:dLbl>
              <c:idx val="7"/>
              <c:layout>
                <c:manualLayout>
                  <c:x val="-0.12178389627977187"/>
                  <c:y val="0.2129358600142993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6160-4622-AFCF-653782D532DB}"/>
                </c:ext>
              </c:extLst>
            </c:dLbl>
            <c:dLbl>
              <c:idx val="8"/>
              <c:layout>
                <c:manualLayout>
                  <c:x val="-0.14104179014954238"/>
                  <c:y val="0.1061994926449992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6160-4622-AFCF-653782D532DB}"/>
                </c:ext>
              </c:extLst>
            </c:dLbl>
            <c:dLbl>
              <c:idx val="9"/>
              <c:layout>
                <c:manualLayout>
                  <c:x val="-0.11220598867097092"/>
                  <c:y val="4.9248840443607035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6160-4622-AFCF-653782D532DB}"/>
                </c:ext>
              </c:extLst>
            </c:dLbl>
            <c:dLbl>
              <c:idx val="10"/>
              <c:layout>
                <c:manualLayout>
                  <c:x val="-4.9530641412156115E-2"/>
                  <c:y val="-8.744608190472966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6160-4622-AFCF-653782D532DB}"/>
                </c:ext>
              </c:extLst>
            </c:dLbl>
            <c:dLbl>
              <c:idx val="11"/>
              <c:layout>
                <c:manualLayout>
                  <c:x val="3.9336292164981405E-2"/>
                  <c:y val="-4.834403652028941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6160-4622-AFCF-653782D532DB}"/>
                </c:ext>
              </c:extLst>
            </c:dLbl>
            <c:dLbl>
              <c:idx val="12"/>
              <c:layout>
                <c:manualLayout>
                  <c:x val="0.19052110868380259"/>
                  <c:y val="-6.716484249717953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6160-4622-AFCF-653782D532DB}"/>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'DAL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'DAL Chrts'!$D$54:$D$66</c:f>
              <c:numCache>
                <c:formatCode>"$"#,##0</c:formatCode>
                <c:ptCount val="13"/>
                <c:pt idx="0">
                  <c:v>109811580</c:v>
                </c:pt>
                <c:pt idx="1">
                  <c:v>19621467</c:v>
                </c:pt>
                <c:pt idx="3">
                  <c:v>0</c:v>
                </c:pt>
                <c:pt idx="4">
                  <c:v>0</c:v>
                </c:pt>
                <c:pt idx="5">
                  <c:v>299924258</c:v>
                </c:pt>
                <c:pt idx="6">
                  <c:v>143175656</c:v>
                </c:pt>
                <c:pt idx="7">
                  <c:v>39576095</c:v>
                </c:pt>
                <c:pt idx="8">
                  <c:v>249002</c:v>
                </c:pt>
                <c:pt idx="9">
                  <c:v>24914444</c:v>
                </c:pt>
                <c:pt idx="10">
                  <c:v>31776617</c:v>
                </c:pt>
                <c:pt idx="11">
                  <c:v>28944491</c:v>
                </c:pt>
                <c:pt idx="12">
                  <c:v>8772245</c:v>
                </c:pt>
              </c:numCache>
            </c:numRef>
          </c:val>
          <c:extLst>
            <c:ext xmlns:c16="http://schemas.microsoft.com/office/drawing/2014/chart" uri="{C3380CC4-5D6E-409C-BE32-E72D297353CC}">
              <c16:uniqueId val="{00000019-6160-4622-AFCF-653782D532DB}"/>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758400548813388"/>
          <c:y val="2.5562004255851568E-2"/>
        </c:manualLayout>
      </c:layout>
      <c:overlay val="0"/>
      <c:spPr>
        <a:noFill/>
        <a:ln w="25400">
          <a:noFill/>
        </a:ln>
      </c:spPr>
    </c:title>
    <c:autoTitleDeleted val="0"/>
    <c:plotArea>
      <c:layout>
        <c:manualLayout>
          <c:layoutTarget val="inner"/>
          <c:xMode val="edge"/>
          <c:yMode val="edge"/>
          <c:x val="0.38286716352146427"/>
          <c:y val="0.3122128340537853"/>
          <c:w val="0.22483877715453718"/>
          <c:h val="0.35641548687705554"/>
        </c:manualLayout>
      </c:layout>
      <c:pieChart>
        <c:varyColors val="1"/>
        <c:ser>
          <c:idx val="0"/>
          <c:order val="0"/>
          <c:tx>
            <c:strRef>
              <c:f>'TWU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FC11-4C4D-900A-6C709BBD3C8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FC11-4C4D-900A-6C709BBD3C8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FC11-4C4D-900A-6C709BBD3C82}"/>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FC11-4C4D-900A-6C709BBD3C82}"/>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FC11-4C4D-900A-6C709BBD3C82}"/>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FC11-4C4D-900A-6C709BBD3C82}"/>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FC11-4C4D-900A-6C709BBD3C82}"/>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FC11-4C4D-900A-6C709BBD3C82}"/>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FC11-4C4D-900A-6C709BBD3C82}"/>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FC11-4C4D-900A-6C709BBD3C82}"/>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FC11-4C4D-900A-6C709BBD3C82}"/>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FC11-4C4D-900A-6C709BBD3C82}"/>
              </c:ext>
            </c:extLst>
          </c:dPt>
          <c:dLbls>
            <c:dLbl>
              <c:idx val="0"/>
              <c:layout>
                <c:manualLayout>
                  <c:x val="0.11953551944848785"/>
                  <c:y val="8.378435755885443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FC11-4C4D-900A-6C709BBD3C82}"/>
                </c:ext>
              </c:extLst>
            </c:dLbl>
            <c:dLbl>
              <c:idx val="1"/>
              <c:layout>
                <c:manualLayout>
                  <c:x val="0.11638176168283076"/>
                  <c:y val="6.448878921273948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FC11-4C4D-900A-6C709BBD3C82}"/>
                </c:ext>
              </c:extLst>
            </c:dLbl>
            <c:dLbl>
              <c:idx val="2"/>
              <c:delete val="1"/>
              <c:extLst>
                <c:ext xmlns:c15="http://schemas.microsoft.com/office/drawing/2012/chart" uri="{CE6537A1-D6FC-4f65-9D91-7224C49458BB}"/>
                <c:ext xmlns:c16="http://schemas.microsoft.com/office/drawing/2014/chart" uri="{C3380CC4-5D6E-409C-BE32-E72D297353CC}">
                  <c16:uniqueId val="{00000003-FC11-4C4D-900A-6C709BBD3C82}"/>
                </c:ext>
              </c:extLst>
            </c:dLbl>
            <c:dLbl>
              <c:idx val="3"/>
              <c:layout>
                <c:manualLayout>
                  <c:x val="-1.4543466933180253E-2"/>
                  <c:y val="0.1678908412947128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FC11-4C4D-900A-6C709BBD3C82}"/>
                </c:ext>
              </c:extLst>
            </c:dLbl>
            <c:dLbl>
              <c:idx val="4"/>
              <c:delete val="1"/>
              <c:extLst>
                <c:ext xmlns:c15="http://schemas.microsoft.com/office/drawing/2012/chart" uri="{CE6537A1-D6FC-4f65-9D91-7224C49458BB}"/>
                <c:ext xmlns:c16="http://schemas.microsoft.com/office/drawing/2014/chart" uri="{C3380CC4-5D6E-409C-BE32-E72D297353CC}">
                  <c16:uniqueId val="{00000007-FC11-4C4D-900A-6C709BBD3C82}"/>
                </c:ext>
              </c:extLst>
            </c:dLbl>
            <c:dLbl>
              <c:idx val="5"/>
              <c:layout>
                <c:manualLayout>
                  <c:x val="-8.0717749029614815E-4"/>
                  <c:y val="8.859266168322646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FC11-4C4D-900A-6C709BBD3C82}"/>
                </c:ext>
              </c:extLst>
            </c:dLbl>
            <c:dLbl>
              <c:idx val="6"/>
              <c:layout>
                <c:manualLayout>
                  <c:x val="-8.0412174694002719E-2"/>
                  <c:y val="0.1999185068850713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FC11-4C4D-900A-6C709BBD3C82}"/>
                </c:ext>
              </c:extLst>
            </c:dLbl>
            <c:dLbl>
              <c:idx val="7"/>
              <c:layout>
                <c:manualLayout>
                  <c:x val="-0.10890610720507989"/>
                  <c:y val="0.1246387912335403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FC11-4C4D-900A-6C709BBD3C82}"/>
                </c:ext>
              </c:extLst>
            </c:dLbl>
            <c:dLbl>
              <c:idx val="8"/>
              <c:layout>
                <c:manualLayout>
                  <c:x val="-0.12698310229689258"/>
                  <c:y val="-1.703692897162870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FC11-4C4D-900A-6C709BBD3C82}"/>
                </c:ext>
              </c:extLst>
            </c:dLbl>
            <c:dLbl>
              <c:idx val="9"/>
              <c:layout>
                <c:manualLayout>
                  <c:x val="2.6832413412492179E-2"/>
                  <c:y val="-0.1402100761488853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FC11-4C4D-900A-6C709BBD3C82}"/>
                </c:ext>
              </c:extLst>
            </c:dLbl>
            <c:dLbl>
              <c:idx val="10"/>
              <c:delete val="1"/>
              <c:extLst>
                <c:ext xmlns:c15="http://schemas.microsoft.com/office/drawing/2012/chart" uri="{CE6537A1-D6FC-4f65-9D91-7224C49458BB}"/>
                <c:ext xmlns:c16="http://schemas.microsoft.com/office/drawing/2014/chart" uri="{C3380CC4-5D6E-409C-BE32-E72D297353CC}">
                  <c16:uniqueId val="{00000013-FC11-4C4D-900A-6C709BBD3C82}"/>
                </c:ext>
              </c:extLst>
            </c:dLbl>
            <c:dLbl>
              <c:idx val="11"/>
              <c:layout>
                <c:manualLayout>
                  <c:x val="0.16646958240474044"/>
                  <c:y val="-7.989735833998046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FC11-4C4D-900A-6C709BBD3C82}"/>
                </c:ext>
              </c:extLst>
            </c:dLbl>
            <c:dLbl>
              <c:idx val="12"/>
              <c:layout>
                <c:manualLayout>
                  <c:x val="0.27232183659910975"/>
                  <c:y val="-4.052960308015127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FC11-4C4D-900A-6C709BBD3C82}"/>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'TWU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'TWU Chrts'!$D$54:$D$66</c:f>
              <c:numCache>
                <c:formatCode>"$"#,##0</c:formatCode>
                <c:ptCount val="13"/>
                <c:pt idx="0">
                  <c:v>75097158</c:v>
                </c:pt>
                <c:pt idx="1">
                  <c:v>6193003</c:v>
                </c:pt>
                <c:pt idx="3">
                  <c:v>14554133</c:v>
                </c:pt>
                <c:pt idx="4">
                  <c:v>0</c:v>
                </c:pt>
                <c:pt idx="5">
                  <c:v>89161334</c:v>
                </c:pt>
                <c:pt idx="6">
                  <c:v>42101935</c:v>
                </c:pt>
                <c:pt idx="7">
                  <c:v>10381145</c:v>
                </c:pt>
                <c:pt idx="8">
                  <c:v>1195291</c:v>
                </c:pt>
                <c:pt idx="9">
                  <c:v>3338377</c:v>
                </c:pt>
                <c:pt idx="10">
                  <c:v>-41095</c:v>
                </c:pt>
                <c:pt idx="11">
                  <c:v>17712952</c:v>
                </c:pt>
                <c:pt idx="12">
                  <c:v>4083175</c:v>
                </c:pt>
              </c:numCache>
            </c:numRef>
          </c:val>
          <c:extLst>
            <c:ext xmlns:c16="http://schemas.microsoft.com/office/drawing/2014/chart" uri="{C3380CC4-5D6E-409C-BE32-E72D297353CC}">
              <c16:uniqueId val="{00000019-FC11-4C4D-900A-6C709BBD3C82}"/>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372"/>
          <c:y val="3.3873343151695504E-2"/>
        </c:manualLayout>
      </c:layout>
      <c:overlay val="0"/>
      <c:spPr>
        <a:noFill/>
        <a:ln w="25400">
          <a:noFill/>
        </a:ln>
      </c:spPr>
    </c:title>
    <c:autoTitleDeleted val="0"/>
    <c:plotArea>
      <c:layout>
        <c:manualLayout>
          <c:layoutTarget val="inner"/>
          <c:xMode val="edge"/>
          <c:yMode val="edge"/>
          <c:x val="0.3928427617434111"/>
          <c:y val="0.33028976566006579"/>
          <c:w val="0.22278481012658227"/>
          <c:h val="0.36453848361832131"/>
        </c:manualLayout>
      </c:layout>
      <c:pieChart>
        <c:varyColors val="1"/>
        <c:ser>
          <c:idx val="0"/>
          <c:order val="0"/>
          <c:tx>
            <c:strRef>
              <c:f>'TWU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E77A-4DFA-9510-12BE8CFA4C9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E77A-4DFA-9510-12BE8CFA4C9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E77A-4DFA-9510-12BE8CFA4C92}"/>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E77A-4DFA-9510-12BE8CFA4C92}"/>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E77A-4DFA-9510-12BE8CFA4C92}"/>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E77A-4DFA-9510-12BE8CFA4C92}"/>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E77A-4DFA-9510-12BE8CFA4C92}"/>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E77A-4DFA-9510-12BE8CFA4C92}"/>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E77A-4DFA-9510-12BE8CFA4C92}"/>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E77A-4DFA-9510-12BE8CFA4C92}"/>
              </c:ext>
            </c:extLst>
          </c:dPt>
          <c:dLbls>
            <c:dLbl>
              <c:idx val="0"/>
              <c:layout>
                <c:manualLayout>
                  <c:x val="-9.9859131532609266E-2"/>
                  <c:y val="2.4033234298949692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E77A-4DFA-9510-12BE8CFA4C92}"/>
                </c:ext>
              </c:extLst>
            </c:dLbl>
            <c:dLbl>
              <c:idx val="1"/>
              <c:layout>
                <c:manualLayout>
                  <c:x val="-0.12159722467048208"/>
                  <c:y val="5.859664715127768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E77A-4DFA-9510-12BE8CFA4C92}"/>
                </c:ext>
              </c:extLst>
            </c:dLbl>
            <c:dLbl>
              <c:idx val="2"/>
              <c:layout>
                <c:manualLayout>
                  <c:x val="-7.3375931006929351E-2"/>
                  <c:y val="-7.174448876520289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E77A-4DFA-9510-12BE8CFA4C92}"/>
                </c:ext>
              </c:extLst>
            </c:dLbl>
            <c:dLbl>
              <c:idx val="3"/>
              <c:layout>
                <c:manualLayout>
                  <c:x val="7.9592615441267542E-2"/>
                  <c:y val="-8.322524097309065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E77A-4DFA-9510-12BE8CFA4C92}"/>
                </c:ext>
              </c:extLst>
            </c:dLbl>
            <c:dLbl>
              <c:idx val="4"/>
              <c:layout>
                <c:manualLayout>
                  <c:x val="9.7576889090694077E-2"/>
                  <c:y val="-4.604757129667938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E77A-4DFA-9510-12BE8CFA4C92}"/>
                </c:ext>
              </c:extLst>
            </c:dLbl>
            <c:dLbl>
              <c:idx val="5"/>
              <c:layout>
                <c:manualLayout>
                  <c:x val="0.11795736458250712"/>
                  <c:y val="1.38269168848835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E77A-4DFA-9510-12BE8CFA4C92}"/>
                </c:ext>
              </c:extLst>
            </c:dLbl>
            <c:dLbl>
              <c:idx val="6"/>
              <c:layout>
                <c:manualLayout>
                  <c:x val="9.8342195430146592E-2"/>
                  <c:y val="2.711501581117731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E77A-4DFA-9510-12BE8CFA4C92}"/>
                </c:ext>
              </c:extLst>
            </c:dLbl>
            <c:dLbl>
              <c:idx val="7"/>
              <c:layout>
                <c:manualLayout>
                  <c:x val="0.11603166971280077"/>
                  <c:y val="7.559511892127067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E77A-4DFA-9510-12BE8CFA4C92}"/>
                </c:ext>
              </c:extLst>
            </c:dLbl>
            <c:dLbl>
              <c:idx val="8"/>
              <c:layout>
                <c:manualLayout>
                  <c:x val="5.1106716898185148E-2"/>
                  <c:y val="0.127259668784608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E77A-4DFA-9510-12BE8CFA4C92}"/>
                </c:ext>
              </c:extLst>
            </c:dLbl>
            <c:dLbl>
              <c:idx val="9"/>
              <c:layout>
                <c:manualLayout>
                  <c:x val="-4.5153074027722104E-2"/>
                  <c:y val="0.1018838125820594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E77A-4DFA-9510-12BE8CFA4C92}"/>
                </c:ext>
              </c:extLst>
            </c:dLbl>
            <c:dLbl>
              <c:idx val="10"/>
              <c:layout>
                <c:manualLayout>
                  <c:x val="-0.23888947122029452"/>
                  <c:y val="7.30380246427282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E77A-4DFA-9510-12BE8CFA4C92}"/>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'TWU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'TWU Chrts'!$D$102:$D$112</c:f>
              <c:numCache>
                <c:formatCode>"$"#,##0</c:formatCode>
                <c:ptCount val="11"/>
                <c:pt idx="0">
                  <c:v>85377136</c:v>
                </c:pt>
                <c:pt idx="1">
                  <c:v>4430225</c:v>
                </c:pt>
                <c:pt idx="2">
                  <c:v>741161</c:v>
                </c:pt>
                <c:pt idx="3">
                  <c:v>29599978</c:v>
                </c:pt>
                <c:pt idx="4">
                  <c:v>12424731</c:v>
                </c:pt>
                <c:pt idx="5">
                  <c:v>31090483</c:v>
                </c:pt>
                <c:pt idx="6">
                  <c:v>23143607</c:v>
                </c:pt>
                <c:pt idx="7">
                  <c:v>4918082</c:v>
                </c:pt>
                <c:pt idx="8">
                  <c:v>21030123</c:v>
                </c:pt>
                <c:pt idx="9">
                  <c:v>917665</c:v>
                </c:pt>
                <c:pt idx="10">
                  <c:v>121252</c:v>
                </c:pt>
              </c:numCache>
            </c:numRef>
          </c:val>
          <c:extLst>
            <c:ext xmlns:c16="http://schemas.microsoft.com/office/drawing/2014/chart" uri="{C3380CC4-5D6E-409C-BE32-E72D297353CC}">
              <c16:uniqueId val="{00000015-E77A-4DFA-9510-12BE8CFA4C92}"/>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8594407205165093"/>
          <c:y val="0.27772729503173976"/>
          <c:w val="0.22296039239438994"/>
          <c:h val="0.35107157731970678"/>
        </c:manualLayout>
      </c:layout>
      <c:pieChart>
        <c:varyColors val="1"/>
        <c:ser>
          <c:idx val="0"/>
          <c:order val="0"/>
          <c:tx>
            <c:strRef>
              <c:f>'AUS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1793-4132-9F58-9AFBF11900BD}"/>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1793-4132-9F58-9AFBF11900BD}"/>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1793-4132-9F58-9AFBF11900BD}"/>
              </c:ext>
            </c:extLst>
          </c:dPt>
          <c:dLbls>
            <c:dLbl>
              <c:idx val="0"/>
              <c:layout>
                <c:manualLayout>
                  <c:x val="7.8677925440315433E-2"/>
                  <c:y val="2.173568956272800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1793-4132-9F58-9AFBF11900BD}"/>
                </c:ext>
              </c:extLst>
            </c:dLbl>
            <c:dLbl>
              <c:idx val="1"/>
              <c:layout>
                <c:manualLayout>
                  <c:x val="6.5753680242591803E-2"/>
                  <c:y val="0.1197059939392778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1793-4132-9F58-9AFBF11900BD}"/>
                </c:ext>
              </c:extLst>
            </c:dLbl>
            <c:dLbl>
              <c:idx val="2"/>
              <c:layout>
                <c:manualLayout>
                  <c:x val="-0.12875738049921565"/>
                  <c:y val="7.790224093524697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1793-4132-9F58-9AFBF11900BD}"/>
                </c:ext>
              </c:extLst>
            </c:dLbl>
            <c:dLbl>
              <c:idx val="3"/>
              <c:layout>
                <c:manualLayout>
                  <c:x val="-6.535580337525683E-2"/>
                  <c:y val="-2.31482423427132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1793-4132-9F58-9AFBF11900BD}"/>
                </c:ext>
              </c:extLst>
            </c:dLbl>
            <c:dLbl>
              <c:idx val="4"/>
              <c:layout>
                <c:manualLayout>
                  <c:x val="-5.7497088291506317E-4"/>
                  <c:y val="-1.801574803149606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1793-4132-9F58-9AFBF11900BD}"/>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'AUS Chrts'!$C$9:$C$13</c:f>
              <c:strCache>
                <c:ptCount val="5"/>
                <c:pt idx="0">
                  <c:v>State of Texas</c:v>
                </c:pt>
                <c:pt idx="1">
                  <c:v>Student &amp; Parent</c:v>
                </c:pt>
                <c:pt idx="2">
                  <c:v>Federal Government</c:v>
                </c:pt>
                <c:pt idx="3">
                  <c:v>Institutional Resources</c:v>
                </c:pt>
                <c:pt idx="4">
                  <c:v>Hospitals, Clinics, Professional Fees</c:v>
                </c:pt>
              </c:strCache>
            </c:strRef>
          </c:cat>
          <c:val>
            <c:numRef>
              <c:f>'AUS Chrts'!$D$9:$D$13</c:f>
              <c:numCache>
                <c:formatCode>"$"#,##0</c:formatCode>
                <c:ptCount val="5"/>
                <c:pt idx="0">
                  <c:v>819917492</c:v>
                </c:pt>
                <c:pt idx="1">
                  <c:v>525656028</c:v>
                </c:pt>
                <c:pt idx="2">
                  <c:v>608859387</c:v>
                </c:pt>
                <c:pt idx="3">
                  <c:v>1491129807</c:v>
                </c:pt>
                <c:pt idx="4">
                  <c:v>10966682</c:v>
                </c:pt>
              </c:numCache>
            </c:numRef>
          </c:val>
          <c:extLst>
            <c:ext xmlns:c16="http://schemas.microsoft.com/office/drawing/2014/chart" uri="{C3380CC4-5D6E-409C-BE32-E72D297353CC}">
              <c16:uniqueId val="{00000008-1793-4132-9F58-9AFBF11900BD}"/>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449"/>
          <c:y val="4.2735042735042736E-2"/>
        </c:manualLayout>
      </c:layout>
      <c:overlay val="0"/>
      <c:spPr>
        <a:noFill/>
        <a:ln w="25400">
          <a:noFill/>
        </a:ln>
      </c:spPr>
    </c:title>
    <c:autoTitleDeleted val="0"/>
    <c:plotArea>
      <c:layout>
        <c:manualLayout>
          <c:layoutTarget val="inner"/>
          <c:xMode val="edge"/>
          <c:yMode val="edge"/>
          <c:x val="0.37805234860131975"/>
          <c:y val="0.28931543229289286"/>
          <c:w val="0.22483877715453718"/>
          <c:h val="0.35641548687705554"/>
        </c:manualLayout>
      </c:layout>
      <c:pieChart>
        <c:varyColors val="1"/>
        <c:ser>
          <c:idx val="0"/>
          <c:order val="0"/>
          <c:tx>
            <c:strRef>
              <c:f>'AUS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361D-42D4-919A-D66766DD124C}"/>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361D-42D4-919A-D66766DD124C}"/>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361D-42D4-919A-D66766DD124C}"/>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361D-42D4-919A-D66766DD124C}"/>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361D-42D4-919A-D66766DD124C}"/>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361D-42D4-919A-D66766DD124C}"/>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361D-42D4-919A-D66766DD124C}"/>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361D-42D4-919A-D66766DD124C}"/>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361D-42D4-919A-D66766DD124C}"/>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361D-42D4-919A-D66766DD124C}"/>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361D-42D4-919A-D66766DD124C}"/>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361D-42D4-919A-D66766DD124C}"/>
              </c:ext>
            </c:extLst>
          </c:dPt>
          <c:dLbls>
            <c:dLbl>
              <c:idx val="0"/>
              <c:layout>
                <c:manualLayout>
                  <c:x val="0.16389802759803532"/>
                  <c:y val="-9.9369630078291488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361D-42D4-919A-D66766DD124C}"/>
                </c:ext>
              </c:extLst>
            </c:dLbl>
            <c:dLbl>
              <c:idx val="1"/>
              <c:layout>
                <c:manualLayout>
                  <c:x val="0.16626911127395377"/>
                  <c:y val="0.1043505514081977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361D-42D4-919A-D66766DD124C}"/>
                </c:ext>
              </c:extLst>
            </c:dLbl>
            <c:dLbl>
              <c:idx val="2"/>
              <c:delete val="1"/>
              <c:extLst>
                <c:ext xmlns:c15="http://schemas.microsoft.com/office/drawing/2012/chart" uri="{CE6537A1-D6FC-4f65-9D91-7224C49458BB}"/>
                <c:ext xmlns:c16="http://schemas.microsoft.com/office/drawing/2014/chart" uri="{C3380CC4-5D6E-409C-BE32-E72D297353CC}">
                  <c16:uniqueId val="{00000003-361D-42D4-919A-D66766DD124C}"/>
                </c:ext>
              </c:extLst>
            </c:dLbl>
            <c:dLbl>
              <c:idx val="3"/>
              <c:layout>
                <c:manualLayout>
                  <c:x val="0.12654435312710854"/>
                  <c:y val="0.2147815348981794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361D-42D4-919A-D66766DD124C}"/>
                </c:ext>
              </c:extLst>
            </c:dLbl>
            <c:dLbl>
              <c:idx val="4"/>
              <c:layout>
                <c:manualLayout>
                  <c:x val="0.10368327187032751"/>
                  <c:y val="0.2825966074284038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361D-42D4-919A-D66766DD124C}"/>
                </c:ext>
              </c:extLst>
            </c:dLbl>
            <c:dLbl>
              <c:idx val="5"/>
              <c:layout>
                <c:manualLayout>
                  <c:x val="5.8915922823623977E-2"/>
                  <c:y val="0.2302679311521404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361D-42D4-919A-D66766DD124C}"/>
                </c:ext>
              </c:extLst>
            </c:dLbl>
            <c:dLbl>
              <c:idx val="6"/>
              <c:layout>
                <c:manualLayout>
                  <c:x val="-3.3849470093649538E-3"/>
                  <c:y val="0.1182689864759590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361D-42D4-919A-D66766DD124C}"/>
                </c:ext>
              </c:extLst>
            </c:dLbl>
            <c:dLbl>
              <c:idx val="7"/>
              <c:layout>
                <c:manualLayout>
                  <c:x val="-2.5463519783457154E-2"/>
                  <c:y val="0.1571277102583214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361D-42D4-919A-D66766DD124C}"/>
                </c:ext>
              </c:extLst>
            </c:dLbl>
            <c:dLbl>
              <c:idx val="8"/>
              <c:layout>
                <c:manualLayout>
                  <c:x val="-8.5277025866635936E-2"/>
                  <c:y val="5.74036660182575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361D-42D4-919A-D66766DD124C}"/>
                </c:ext>
              </c:extLst>
            </c:dLbl>
            <c:dLbl>
              <c:idx val="9"/>
              <c:layout>
                <c:manualLayout>
                  <c:x val="-0.1028830886580504"/>
                  <c:y val="-1.611577431154919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361D-42D4-919A-D66766DD124C}"/>
                </c:ext>
              </c:extLst>
            </c:dLbl>
            <c:dLbl>
              <c:idx val="10"/>
              <c:layout>
                <c:manualLayout>
                  <c:x val="-0.13136927075294444"/>
                  <c:y val="-3.2069884552922974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361D-42D4-919A-D66766DD124C}"/>
                </c:ext>
              </c:extLst>
            </c:dLbl>
            <c:dLbl>
              <c:idx val="11"/>
              <c:layout>
                <c:manualLayout>
                  <c:x val="-0.10789344916865917"/>
                  <c:y val="-5.44644148985159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361D-42D4-919A-D66766DD124C}"/>
                </c:ext>
              </c:extLst>
            </c:dLbl>
            <c:dLbl>
              <c:idx val="12"/>
              <c:layout>
                <c:manualLayout>
                  <c:x val="-1.7802327903662703E-2"/>
                  <c:y val="-8.504506686446976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361D-42D4-919A-D66766DD124C}"/>
                </c:ext>
              </c:extLst>
            </c:dLbl>
            <c:dLbl>
              <c:idx val="13"/>
              <c:layout>
                <c:manualLayout>
                  <c:x val="0.12114325822014339"/>
                  <c:y val="-4.671310351894301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9-361D-42D4-919A-D66766DD124C}"/>
                </c:ext>
              </c:extLst>
            </c:dLbl>
            <c:spPr>
              <a:noFill/>
              <a:ln>
                <a:noFill/>
              </a:ln>
              <a:effectLst/>
            </c:sp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'AUS Chrts'!$C$54:$C$67</c:f>
              <c:strCache>
                <c:ptCount val="14"/>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pt idx="13">
                  <c:v>Hospitals, Clinics, Professional Fees</c:v>
                </c:pt>
              </c:strCache>
            </c:strRef>
          </c:cat>
          <c:val>
            <c:numRef>
              <c:f>'AUS Chrts'!$D$54:$D$67</c:f>
              <c:numCache>
                <c:formatCode>"$"#,##0</c:formatCode>
                <c:ptCount val="14"/>
                <c:pt idx="0">
                  <c:v>340023735</c:v>
                </c:pt>
                <c:pt idx="1">
                  <c:v>62506757</c:v>
                </c:pt>
                <c:pt idx="3">
                  <c:v>0</c:v>
                </c:pt>
                <c:pt idx="4">
                  <c:v>417387000</c:v>
                </c:pt>
                <c:pt idx="5">
                  <c:v>525656028</c:v>
                </c:pt>
                <c:pt idx="6">
                  <c:v>608859387</c:v>
                </c:pt>
                <c:pt idx="7">
                  <c:v>556924553</c:v>
                </c:pt>
                <c:pt idx="8">
                  <c:v>38456530</c:v>
                </c:pt>
                <c:pt idx="9">
                  <c:v>440794317</c:v>
                </c:pt>
                <c:pt idx="10">
                  <c:v>273075190</c:v>
                </c:pt>
                <c:pt idx="11">
                  <c:v>166940890</c:v>
                </c:pt>
                <c:pt idx="12">
                  <c:v>14938327</c:v>
                </c:pt>
                <c:pt idx="13">
                  <c:v>10966682</c:v>
                </c:pt>
              </c:numCache>
            </c:numRef>
          </c:val>
          <c:extLst>
            <c:ext xmlns:c16="http://schemas.microsoft.com/office/drawing/2014/chart" uri="{C3380CC4-5D6E-409C-BE32-E72D297353CC}">
              <c16:uniqueId val="{0000001A-361D-42D4-919A-D66766DD124C}"/>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289"/>
          <c:y val="3.3873343151695393E-2"/>
        </c:manualLayout>
      </c:layout>
      <c:overlay val="0"/>
      <c:spPr>
        <a:noFill/>
        <a:ln w="25400">
          <a:noFill/>
        </a:ln>
      </c:spPr>
    </c:title>
    <c:autoTitleDeleted val="0"/>
    <c:plotArea>
      <c:layout>
        <c:manualLayout>
          <c:layoutTarget val="inner"/>
          <c:xMode val="edge"/>
          <c:yMode val="edge"/>
          <c:x val="0.38681503419668506"/>
          <c:y val="0.28886493797615964"/>
          <c:w val="0.22278481012658227"/>
          <c:h val="0.36453848361832131"/>
        </c:manualLayout>
      </c:layout>
      <c:pieChart>
        <c:varyColors val="1"/>
        <c:ser>
          <c:idx val="0"/>
          <c:order val="0"/>
          <c:tx>
            <c:strRef>
              <c:f>'AUS Chrts'!$C$100</c:f>
              <c:strCache>
                <c:ptCount val="1"/>
                <c:pt idx="0">
                  <c:v>Expenses</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EA19-494F-AF95-AA30E882656D}"/>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EA19-494F-AF95-AA30E882656D}"/>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EA19-494F-AF95-AA30E882656D}"/>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EA19-494F-AF95-AA30E882656D}"/>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EA19-494F-AF95-AA30E882656D}"/>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EA19-494F-AF95-AA30E882656D}"/>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EA19-494F-AF95-AA30E882656D}"/>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EA19-494F-AF95-AA30E882656D}"/>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EA19-494F-AF95-AA30E882656D}"/>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EA19-494F-AF95-AA30E882656D}"/>
              </c:ext>
            </c:extLst>
          </c:dPt>
          <c:dPt>
            <c:idx val="11"/>
            <c:bubble3D val="0"/>
            <c:spPr>
              <a:solidFill>
                <a:srgbClr val="66FFFF"/>
              </a:solidFill>
              <a:ln w="12700">
                <a:solidFill>
                  <a:srgbClr val="000000"/>
                </a:solidFill>
                <a:prstDash val="solid"/>
              </a:ln>
            </c:spPr>
            <c:extLst>
              <c:ext xmlns:c16="http://schemas.microsoft.com/office/drawing/2014/chart" uri="{C3380CC4-5D6E-409C-BE32-E72D297353CC}">
                <c16:uniqueId val="{00000015-EA19-494F-AF95-AA30E882656D}"/>
              </c:ext>
            </c:extLst>
          </c:dPt>
          <c:dLbls>
            <c:dLbl>
              <c:idx val="0"/>
              <c:layout>
                <c:manualLayout>
                  <c:x val="-0.15751712871759208"/>
                  <c:y val="-1.22131016152421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6-EA19-494F-AF95-AA30E882656D}"/>
                </c:ext>
              </c:extLst>
            </c:dLbl>
            <c:dLbl>
              <c:idx val="1"/>
              <c:layout>
                <c:manualLayout>
                  <c:x val="-0.11729973988113394"/>
                  <c:y val="0.1086500241450711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EA19-494F-AF95-AA30E882656D}"/>
                </c:ext>
              </c:extLst>
            </c:dLbl>
            <c:dLbl>
              <c:idx val="2"/>
              <c:layout>
                <c:manualLayout>
                  <c:x val="-0.15452135328410471"/>
                  <c:y val="2.607403629014283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EA19-494F-AF95-AA30E882656D}"/>
                </c:ext>
              </c:extLst>
            </c:dLbl>
            <c:dLbl>
              <c:idx val="3"/>
              <c:layout>
                <c:manualLayout>
                  <c:x val="-0.13618153526892451"/>
                  <c:y val="-6.779569402284844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EA19-494F-AF95-AA30E882656D}"/>
                </c:ext>
              </c:extLst>
            </c:dLbl>
            <c:dLbl>
              <c:idx val="4"/>
              <c:layout>
                <c:manualLayout>
                  <c:x val="8.5846037179515312E-3"/>
                  <c:y val="-9.907400662331376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EA19-494F-AF95-AA30E882656D}"/>
                </c:ext>
              </c:extLst>
            </c:dLbl>
            <c:dLbl>
              <c:idx val="5"/>
              <c:layout>
                <c:manualLayout>
                  <c:x val="9.121614462518135E-2"/>
                  <c:y val="-3.074710550378702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EA19-494F-AF95-AA30E882656D}"/>
                </c:ext>
              </c:extLst>
            </c:dLbl>
            <c:dLbl>
              <c:idx val="6"/>
              <c:layout>
                <c:manualLayout>
                  <c:x val="0.10197717205307727"/>
                  <c:y val="1.196536219082232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EA19-494F-AF95-AA30E882656D}"/>
                </c:ext>
              </c:extLst>
            </c:dLbl>
            <c:dLbl>
              <c:idx val="7"/>
              <c:layout>
                <c:manualLayout>
                  <c:x val="0.12707519910029297"/>
                  <c:y val="6.605063211314642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EA19-494F-AF95-AA30E882656D}"/>
                </c:ext>
              </c:extLst>
            </c:dLbl>
            <c:dLbl>
              <c:idx val="8"/>
              <c:layout>
                <c:manualLayout>
                  <c:x val="0.12596390425022261"/>
                  <c:y val="9.607608872586113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EA19-494F-AF95-AA30E882656D}"/>
                </c:ext>
              </c:extLst>
            </c:dLbl>
            <c:dLbl>
              <c:idx val="9"/>
              <c:layout>
                <c:manualLayout>
                  <c:x val="6.6606739175021232E-2"/>
                  <c:y val="0.1552971280028727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EA19-494F-AF95-AA30E882656D}"/>
                </c:ext>
              </c:extLst>
            </c:dLbl>
            <c:dLbl>
              <c:idx val="10"/>
              <c:layout>
                <c:manualLayout>
                  <c:x val="-9.7846072750032348E-2"/>
                  <c:y val="0.1463820142624423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EA19-494F-AF95-AA30E882656D}"/>
                </c:ext>
              </c:extLst>
            </c:dLbl>
            <c:dLbl>
              <c:idx val="11"/>
              <c:layout>
                <c:manualLayout>
                  <c:x val="-0.31437081053099214"/>
                  <c:y val="0.1146166114335630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EA19-494F-AF95-AA30E882656D}"/>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'AUS Chrts'!$C$102:$C$113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cat>
          <c:val>
            <c:numRef>
              <c:f>'AUS Chrts'!$D$102:$D$113</c:f>
              <c:numCache>
                <c:formatCode>"$"#,##0</c:formatCode>
                <c:ptCount val="12"/>
                <c:pt idx="0">
                  <c:v>683648597</c:v>
                </c:pt>
                <c:pt idx="1">
                  <c:v>556581267</c:v>
                </c:pt>
                <c:pt idx="2">
                  <c:v>98536892</c:v>
                </c:pt>
                <c:pt idx="3">
                  <c:v>344983218</c:v>
                </c:pt>
                <c:pt idx="4">
                  <c:v>41791895</c:v>
                </c:pt>
                <c:pt idx="5">
                  <c:v>243900007</c:v>
                </c:pt>
                <c:pt idx="6">
                  <c:v>207420808</c:v>
                </c:pt>
                <c:pt idx="7">
                  <c:v>171717116</c:v>
                </c:pt>
                <c:pt idx="8">
                  <c:v>283061822</c:v>
                </c:pt>
                <c:pt idx="9">
                  <c:v>85832029</c:v>
                </c:pt>
                <c:pt idx="10">
                  <c:v>1729858</c:v>
                </c:pt>
                <c:pt idx="11">
                  <c:v>102739063</c:v>
                </c:pt>
              </c:numCache>
            </c:numRef>
          </c:val>
          <c:extLst>
            <c:ext xmlns:c16="http://schemas.microsoft.com/office/drawing/2014/chart" uri="{C3380CC4-5D6E-409C-BE32-E72D297353CC}">
              <c16:uniqueId val="{00000017-EA19-494F-AF95-AA30E882656D}"/>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8594407205165093"/>
          <c:y val="0.27772729503173976"/>
          <c:w val="0.22296039239438994"/>
          <c:h val="0.35107157731970678"/>
        </c:manualLayout>
      </c:layout>
      <c:pieChart>
        <c:varyColors val="1"/>
        <c:ser>
          <c:idx val="0"/>
          <c:order val="0"/>
          <c:tx>
            <c:strRef>
              <c:f>'RGV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E204-4213-BED6-FAAF38D62AF9}"/>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E204-4213-BED6-FAAF38D62AF9}"/>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E204-4213-BED6-FAAF38D62AF9}"/>
              </c:ext>
            </c:extLst>
          </c:dPt>
          <c:dLbls>
            <c:dLbl>
              <c:idx val="0"/>
              <c:layout>
                <c:manualLayout>
                  <c:x val="7.8677925440315433E-2"/>
                  <c:y val="2.173568956272800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E204-4213-BED6-FAAF38D62AF9}"/>
                </c:ext>
              </c:extLst>
            </c:dLbl>
            <c:dLbl>
              <c:idx val="1"/>
              <c:layout>
                <c:manualLayout>
                  <c:x val="6.5753680242591803E-2"/>
                  <c:y val="0.1197059939392778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E204-4213-BED6-FAAF38D62AF9}"/>
                </c:ext>
              </c:extLst>
            </c:dLbl>
            <c:dLbl>
              <c:idx val="2"/>
              <c:layout>
                <c:manualLayout>
                  <c:x val="-8.9145164546739708E-2"/>
                  <c:y val="4.370296477504480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E204-4213-BED6-FAAF38D62AF9}"/>
                </c:ext>
              </c:extLst>
            </c:dLbl>
            <c:dLbl>
              <c:idx val="3"/>
              <c:layout>
                <c:manualLayout>
                  <c:x val="-6.535580337525683E-2"/>
                  <c:y val="-2.31482423427132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E204-4213-BED6-FAAF38D62AF9}"/>
                </c:ext>
              </c:extLst>
            </c:dLbl>
            <c:dLbl>
              <c:idx val="4"/>
              <c:layout>
                <c:manualLayout>
                  <c:x val="0.11075255557051768"/>
                  <c:y val="-1.048260456804601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E204-4213-BED6-FAAF38D62AF9}"/>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'RGV Chrts'!$C$9:$C$13</c:f>
              <c:strCache>
                <c:ptCount val="5"/>
                <c:pt idx="0">
                  <c:v>State of Texas</c:v>
                </c:pt>
                <c:pt idx="1">
                  <c:v>Student &amp; Parent</c:v>
                </c:pt>
                <c:pt idx="2">
                  <c:v>Federal Government</c:v>
                </c:pt>
                <c:pt idx="3">
                  <c:v>Institutional Resources</c:v>
                </c:pt>
                <c:pt idx="4">
                  <c:v>Hospitals, Clinics, Professional Fees</c:v>
                </c:pt>
              </c:strCache>
            </c:strRef>
          </c:cat>
          <c:val>
            <c:numRef>
              <c:f>'RGV Chrts'!$D$9:$D$13</c:f>
              <c:numCache>
                <c:formatCode>"$"#,##0</c:formatCode>
                <c:ptCount val="5"/>
                <c:pt idx="0">
                  <c:v>197753983</c:v>
                </c:pt>
                <c:pt idx="1">
                  <c:v>144723131</c:v>
                </c:pt>
                <c:pt idx="2">
                  <c:v>256183509</c:v>
                </c:pt>
                <c:pt idx="3">
                  <c:v>142986925</c:v>
                </c:pt>
                <c:pt idx="4">
                  <c:v>20318634</c:v>
                </c:pt>
              </c:numCache>
            </c:numRef>
          </c:val>
          <c:extLst>
            <c:ext xmlns:c16="http://schemas.microsoft.com/office/drawing/2014/chart" uri="{C3380CC4-5D6E-409C-BE32-E72D297353CC}">
              <c16:uniqueId val="{00000008-E204-4213-BED6-FAAF38D62AF9}"/>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449"/>
          <c:y val="4.2735042735042736E-2"/>
        </c:manualLayout>
      </c:layout>
      <c:overlay val="0"/>
      <c:spPr>
        <a:noFill/>
        <a:ln w="25400">
          <a:noFill/>
        </a:ln>
      </c:spPr>
    </c:title>
    <c:autoTitleDeleted val="0"/>
    <c:plotArea>
      <c:layout>
        <c:manualLayout>
          <c:layoutTarget val="inner"/>
          <c:xMode val="edge"/>
          <c:yMode val="edge"/>
          <c:x val="0.37805234860131975"/>
          <c:y val="0.28931543229289286"/>
          <c:w val="0.22483877715453718"/>
          <c:h val="0.35641548687705554"/>
        </c:manualLayout>
      </c:layout>
      <c:pieChart>
        <c:varyColors val="1"/>
        <c:ser>
          <c:idx val="0"/>
          <c:order val="0"/>
          <c:tx>
            <c:strRef>
              <c:f>'RGV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8C2E-410A-A315-EBC0DA13091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8C2E-410A-A315-EBC0DA13091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8C2E-410A-A315-EBC0DA130912}"/>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8C2E-410A-A315-EBC0DA130912}"/>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8C2E-410A-A315-EBC0DA130912}"/>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8C2E-410A-A315-EBC0DA130912}"/>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8C2E-410A-A315-EBC0DA130912}"/>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8C2E-410A-A315-EBC0DA130912}"/>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8C2E-410A-A315-EBC0DA130912}"/>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8C2E-410A-A315-EBC0DA130912}"/>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8C2E-410A-A315-EBC0DA130912}"/>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8C2E-410A-A315-EBC0DA130912}"/>
              </c:ext>
            </c:extLst>
          </c:dPt>
          <c:dLbls>
            <c:dLbl>
              <c:idx val="0"/>
              <c:layout>
                <c:manualLayout>
                  <c:x val="0.11050883656139734"/>
                  <c:y val="9.912741968368224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8C2E-410A-A315-EBC0DA130912}"/>
                </c:ext>
              </c:extLst>
            </c:dLbl>
            <c:dLbl>
              <c:idx val="1"/>
              <c:layout>
                <c:manualLayout>
                  <c:x val="0.13364638083446842"/>
                  <c:y val="7.084717531852403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8C2E-410A-A315-EBC0DA130912}"/>
                </c:ext>
              </c:extLst>
            </c:dLbl>
            <c:dLbl>
              <c:idx val="2"/>
              <c:delete val="1"/>
              <c:extLst>
                <c:ext xmlns:c15="http://schemas.microsoft.com/office/drawing/2012/chart" uri="{CE6537A1-D6FC-4f65-9D91-7224C49458BB}"/>
                <c:ext xmlns:c16="http://schemas.microsoft.com/office/drawing/2014/chart" uri="{C3380CC4-5D6E-409C-BE32-E72D297353CC}">
                  <c16:uniqueId val="{00000003-8C2E-410A-A315-EBC0DA130912}"/>
                </c:ext>
              </c:extLst>
            </c:dLbl>
            <c:dLbl>
              <c:idx val="3"/>
              <c:layout>
                <c:manualLayout>
                  <c:x val="9.6251473406100921E-2"/>
                  <c:y val="0.2037042406919582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8C2E-410A-A315-EBC0DA130912}"/>
                </c:ext>
              </c:extLst>
            </c:dLbl>
            <c:dLbl>
              <c:idx val="4"/>
              <c:delete val="1"/>
              <c:extLst>
                <c:ext xmlns:c15="http://schemas.microsoft.com/office/drawing/2012/chart" uri="{CE6537A1-D6FC-4f65-9D91-7224C49458BB}"/>
                <c:ext xmlns:c16="http://schemas.microsoft.com/office/drawing/2014/chart" uri="{C3380CC4-5D6E-409C-BE32-E72D297353CC}">
                  <c16:uniqueId val="{00000007-8C2E-410A-A315-EBC0DA130912}"/>
                </c:ext>
              </c:extLst>
            </c:dLbl>
            <c:dLbl>
              <c:idx val="5"/>
              <c:layout>
                <c:manualLayout>
                  <c:x val="-2.8507164928950897E-2"/>
                  <c:y val="0.2006148943992563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8C2E-410A-A315-EBC0DA130912}"/>
                </c:ext>
              </c:extLst>
            </c:dLbl>
            <c:dLbl>
              <c:idx val="6"/>
              <c:layout>
                <c:manualLayout>
                  <c:x val="-1.7228040967943805E-2"/>
                  <c:y val="0.155490485934249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8C2E-410A-A315-EBC0DA130912}"/>
                </c:ext>
              </c:extLst>
            </c:dLbl>
            <c:dLbl>
              <c:idx val="7"/>
              <c:layout>
                <c:manualLayout>
                  <c:x val="-8.9816359559575981E-2"/>
                  <c:y val="0.2468702001283997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8C2E-410A-A315-EBC0DA130912}"/>
                </c:ext>
              </c:extLst>
            </c:dLbl>
            <c:dLbl>
              <c:idx val="8"/>
              <c:layout>
                <c:manualLayout>
                  <c:x val="-0.12672809470101212"/>
                  <c:y val="0.1068719700194281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8C2E-410A-A315-EBC0DA130912}"/>
                </c:ext>
              </c:extLst>
            </c:dLbl>
            <c:dLbl>
              <c:idx val="9"/>
              <c:layout>
                <c:manualLayout>
                  <c:x val="-0.12993638893176299"/>
                  <c:y val="1.959816261872956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8C2E-410A-A315-EBC0DA130912}"/>
                </c:ext>
              </c:extLst>
            </c:dLbl>
            <c:dLbl>
              <c:idx val="10"/>
              <c:layout>
                <c:manualLayout>
                  <c:x val="-9.2195170224186454E-2"/>
                  <c:y val="-8.369330883531704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8C2E-410A-A315-EBC0DA130912}"/>
                </c:ext>
              </c:extLst>
            </c:dLbl>
            <c:dLbl>
              <c:idx val="11"/>
              <c:layout>
                <c:manualLayout>
                  <c:x val="4.4668183353768404E-2"/>
                  <c:y val="-5.768909228226813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8C2E-410A-A315-EBC0DA130912}"/>
                </c:ext>
              </c:extLst>
            </c:dLbl>
            <c:dLbl>
              <c:idx val="12"/>
              <c:layout>
                <c:manualLayout>
                  <c:x val="0.20820538451657772"/>
                  <c:y val="-6.880368738315602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8C2E-410A-A315-EBC0DA130912}"/>
                </c:ext>
              </c:extLst>
            </c:dLbl>
            <c:dLbl>
              <c:idx val="13"/>
              <c:layout>
                <c:manualLayout>
                  <c:x val="0.32147752799908724"/>
                  <c:y val="6.175537431617693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9-8C2E-410A-A315-EBC0DA130912}"/>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'RGV Chrts'!$C$54:$C$67</c:f>
              <c:strCache>
                <c:ptCount val="14"/>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pt idx="13">
                  <c:v>Hospitals, Clinics, Professional Fees</c:v>
                </c:pt>
              </c:strCache>
            </c:strRef>
          </c:cat>
          <c:val>
            <c:numRef>
              <c:f>'RGV Chrts'!$D$54:$D$67</c:f>
              <c:numCache>
                <c:formatCode>"$"#,##0</c:formatCode>
                <c:ptCount val="14"/>
                <c:pt idx="0">
                  <c:v>150506095</c:v>
                </c:pt>
                <c:pt idx="1">
                  <c:v>47247888</c:v>
                </c:pt>
                <c:pt idx="3">
                  <c:v>0</c:v>
                </c:pt>
                <c:pt idx="4">
                  <c:v>0</c:v>
                </c:pt>
                <c:pt idx="5">
                  <c:v>144723131</c:v>
                </c:pt>
                <c:pt idx="6">
                  <c:v>256183509</c:v>
                </c:pt>
                <c:pt idx="7">
                  <c:v>9542669</c:v>
                </c:pt>
                <c:pt idx="8">
                  <c:v>31122746</c:v>
                </c:pt>
                <c:pt idx="9">
                  <c:v>60033342</c:v>
                </c:pt>
                <c:pt idx="10">
                  <c:v>7375716</c:v>
                </c:pt>
                <c:pt idx="11">
                  <c:v>4036238</c:v>
                </c:pt>
                <c:pt idx="12">
                  <c:v>30876214</c:v>
                </c:pt>
                <c:pt idx="13">
                  <c:v>20318634</c:v>
                </c:pt>
              </c:numCache>
            </c:numRef>
          </c:val>
          <c:extLst>
            <c:ext xmlns:c16="http://schemas.microsoft.com/office/drawing/2014/chart" uri="{C3380CC4-5D6E-409C-BE32-E72D297353CC}">
              <c16:uniqueId val="{0000001A-8C2E-410A-A315-EBC0DA130912}"/>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289"/>
          <c:y val="3.3873343151695393E-2"/>
        </c:manualLayout>
      </c:layout>
      <c:overlay val="0"/>
      <c:spPr>
        <a:noFill/>
        <a:ln w="25400">
          <a:noFill/>
        </a:ln>
      </c:spPr>
    </c:title>
    <c:autoTitleDeleted val="0"/>
    <c:plotArea>
      <c:layout>
        <c:manualLayout>
          <c:layoutTarget val="inner"/>
          <c:xMode val="edge"/>
          <c:yMode val="edge"/>
          <c:x val="0.38681503419668506"/>
          <c:y val="0.28886493797615964"/>
          <c:w val="0.22278481012658227"/>
          <c:h val="0.36453848361832131"/>
        </c:manualLayout>
      </c:layout>
      <c:pieChart>
        <c:varyColors val="1"/>
        <c:ser>
          <c:idx val="0"/>
          <c:order val="0"/>
          <c:tx>
            <c:strRef>
              <c:f>'RGV Chrts'!$C$100</c:f>
              <c:strCache>
                <c:ptCount val="1"/>
                <c:pt idx="0">
                  <c:v>Expenses</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312E-47B8-A237-4C97F3E08AD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312E-47B8-A237-4C97F3E08AD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312E-47B8-A237-4C97F3E08AD2}"/>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312E-47B8-A237-4C97F3E08AD2}"/>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312E-47B8-A237-4C97F3E08AD2}"/>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312E-47B8-A237-4C97F3E08AD2}"/>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312E-47B8-A237-4C97F3E08AD2}"/>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312E-47B8-A237-4C97F3E08AD2}"/>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312E-47B8-A237-4C97F3E08AD2}"/>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312E-47B8-A237-4C97F3E08AD2}"/>
              </c:ext>
            </c:extLst>
          </c:dPt>
          <c:dPt>
            <c:idx val="11"/>
            <c:bubble3D val="0"/>
            <c:spPr>
              <a:solidFill>
                <a:srgbClr val="66FFFF"/>
              </a:solidFill>
              <a:ln w="12700">
                <a:solidFill>
                  <a:srgbClr val="000000"/>
                </a:solidFill>
                <a:prstDash val="solid"/>
              </a:ln>
            </c:spPr>
            <c:extLst>
              <c:ext xmlns:c16="http://schemas.microsoft.com/office/drawing/2014/chart" uri="{C3380CC4-5D6E-409C-BE32-E72D297353CC}">
                <c16:uniqueId val="{00000015-312E-47B8-A237-4C97F3E08AD2}"/>
              </c:ext>
            </c:extLst>
          </c:dPt>
          <c:dLbls>
            <c:dLbl>
              <c:idx val="0"/>
              <c:layout>
                <c:manualLayout>
                  <c:x val="-0.11425846067452296"/>
                  <c:y val="1.674668943090635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6-312E-47B8-A237-4C97F3E08AD2}"/>
                </c:ext>
              </c:extLst>
            </c:dLbl>
            <c:dLbl>
              <c:idx val="1"/>
              <c:layout>
                <c:manualLayout>
                  <c:x val="-0.10648668111182844"/>
                  <c:y val="0.1500748582632292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312E-47B8-A237-4C97F3E08AD2}"/>
                </c:ext>
              </c:extLst>
            </c:dLbl>
            <c:dLbl>
              <c:idx val="2"/>
              <c:layout>
                <c:manualLayout>
                  <c:x val="-0.13049233379675915"/>
                  <c:y val="5.369059236891494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312E-47B8-A237-4C97F3E08AD2}"/>
                </c:ext>
              </c:extLst>
            </c:dLbl>
            <c:dLbl>
              <c:idx val="3"/>
              <c:layout>
                <c:manualLayout>
                  <c:x val="-6.5295927781254939E-2"/>
                  <c:y val="-5.004219368649492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312E-47B8-A237-4C97F3E08AD2}"/>
                </c:ext>
              </c:extLst>
            </c:dLbl>
            <c:dLbl>
              <c:idx val="4"/>
              <c:layout>
                <c:manualLayout>
                  <c:x val="-4.6682141102943345E-2"/>
                  <c:y val="-6.751221776132590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312E-47B8-A237-4C97F3E08AD2}"/>
                </c:ext>
              </c:extLst>
            </c:dLbl>
            <c:dLbl>
              <c:idx val="5"/>
              <c:layout>
                <c:manualLayout>
                  <c:x val="7.9201634881508554E-2"/>
                  <c:y val="-7.414455077042893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312E-47B8-A237-4C97F3E08AD2}"/>
                </c:ext>
              </c:extLst>
            </c:dLbl>
            <c:dLbl>
              <c:idx val="6"/>
              <c:layout>
                <c:manualLayout>
                  <c:x val="8.0351054514466225E-2"/>
                  <c:y val="-2.354163848188467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312E-47B8-A237-4C97F3E08AD2}"/>
                </c:ext>
              </c:extLst>
            </c:dLbl>
            <c:dLbl>
              <c:idx val="7"/>
              <c:layout>
                <c:manualLayout>
                  <c:x val="0.13067955202339462"/>
                  <c:y val="9.5446406493275722E-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312E-47B8-A237-4C97F3E08AD2}"/>
                </c:ext>
              </c:extLst>
            </c:dLbl>
            <c:dLbl>
              <c:idx val="8"/>
              <c:layout>
                <c:manualLayout>
                  <c:x val="0.15239582568630294"/>
                  <c:y val="4.494912217264290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312E-47B8-A237-4C97F3E08AD2}"/>
                </c:ext>
              </c:extLst>
            </c:dLbl>
            <c:dLbl>
              <c:idx val="9"/>
              <c:layout>
                <c:manualLayout>
                  <c:x val="9.4235570668400284E-2"/>
                  <c:y val="0.1515218304337507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312E-47B8-A237-4C97F3E08AD2}"/>
                </c:ext>
              </c:extLst>
            </c:dLbl>
            <c:dLbl>
              <c:idx val="10"/>
              <c:layout>
                <c:manualLayout>
                  <c:x val="-8.8225950735590725E-2"/>
                  <c:y val="0.1505237204123905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312E-47B8-A237-4C97F3E08AD2}"/>
                </c:ext>
              </c:extLst>
            </c:dLbl>
            <c:dLbl>
              <c:idx val="11"/>
              <c:layout>
                <c:manualLayout>
                  <c:x val="-0.29500550207784798"/>
                  <c:y val="0.1288492316447782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312E-47B8-A237-4C97F3E08AD2}"/>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'RGV Chrts'!$C$102:$C$113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cat>
          <c:val>
            <c:numRef>
              <c:f>'RGV Chrts'!$D$102:$D$113</c:f>
              <c:numCache>
                <c:formatCode>"$"#,##0</c:formatCode>
                <c:ptCount val="12"/>
                <c:pt idx="0">
                  <c:v>177873376</c:v>
                </c:pt>
                <c:pt idx="1">
                  <c:v>45995903</c:v>
                </c:pt>
                <c:pt idx="2">
                  <c:v>13560326</c:v>
                </c:pt>
                <c:pt idx="3">
                  <c:v>63345006</c:v>
                </c:pt>
                <c:pt idx="4">
                  <c:v>42706686</c:v>
                </c:pt>
                <c:pt idx="5">
                  <c:v>37604861</c:v>
                </c:pt>
                <c:pt idx="6">
                  <c:v>39683753</c:v>
                </c:pt>
                <c:pt idx="7">
                  <c:v>117100565</c:v>
                </c:pt>
                <c:pt idx="8">
                  <c:v>25258572</c:v>
                </c:pt>
                <c:pt idx="9">
                  <c:v>13339919</c:v>
                </c:pt>
                <c:pt idx="10">
                  <c:v>0</c:v>
                </c:pt>
                <c:pt idx="11">
                  <c:v>48964416</c:v>
                </c:pt>
              </c:numCache>
            </c:numRef>
          </c:val>
          <c:extLst>
            <c:ext xmlns:c16="http://schemas.microsoft.com/office/drawing/2014/chart" uri="{C3380CC4-5D6E-409C-BE32-E72D297353CC}">
              <c16:uniqueId val="{00000017-312E-47B8-A237-4C97F3E08AD2}"/>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8594407205165093"/>
          <c:y val="0.27772729503173976"/>
          <c:w val="0.22296039239438994"/>
          <c:h val="0.35107157731970678"/>
        </c:manualLayout>
      </c:layout>
      <c:pieChart>
        <c:varyColors val="1"/>
        <c:ser>
          <c:idx val="0"/>
          <c:order val="0"/>
          <c:tx>
            <c:strRef>
              <c:f>'UH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E0F9-4008-B2A5-8CFC844C4CA4}"/>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E0F9-4008-B2A5-8CFC844C4CA4}"/>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E0F9-4008-B2A5-8CFC844C4CA4}"/>
              </c:ext>
            </c:extLst>
          </c:dPt>
          <c:dLbls>
            <c:dLbl>
              <c:idx val="0"/>
              <c:layout>
                <c:manualLayout>
                  <c:x val="7.8677925440315433E-2"/>
                  <c:y val="2.173568956272800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E0F9-4008-B2A5-8CFC844C4CA4}"/>
                </c:ext>
              </c:extLst>
            </c:dLbl>
            <c:dLbl>
              <c:idx val="1"/>
              <c:layout>
                <c:manualLayout>
                  <c:x val="6.5753680242591803E-2"/>
                  <c:y val="0.1197059939392778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E0F9-4008-B2A5-8CFC844C4CA4}"/>
                </c:ext>
              </c:extLst>
            </c:dLbl>
            <c:dLbl>
              <c:idx val="2"/>
              <c:layout>
                <c:manualLayout>
                  <c:x val="-8.9145164546739708E-2"/>
                  <c:y val="4.370296477504480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E0F9-4008-B2A5-8CFC844C4CA4}"/>
                </c:ext>
              </c:extLst>
            </c:dLbl>
            <c:dLbl>
              <c:idx val="3"/>
              <c:layout>
                <c:manualLayout>
                  <c:x val="-6.535580337525683E-2"/>
                  <c:y val="-2.31482423427132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E0F9-4008-B2A5-8CFC844C4CA4}"/>
                </c:ext>
              </c:extLst>
            </c:dLbl>
            <c:dLbl>
              <c:idx val="4"/>
              <c:layout>
                <c:manualLayout>
                  <c:x val="1.4723049747180479E-2"/>
                  <c:y val="-3.518201913962641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E0F9-4008-B2A5-8CFC844C4CA4}"/>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'UH Chrts'!$C$9:$C$13</c:f>
              <c:strCache>
                <c:ptCount val="5"/>
                <c:pt idx="0">
                  <c:v>State of Texas</c:v>
                </c:pt>
                <c:pt idx="1">
                  <c:v>Student &amp; Parent</c:v>
                </c:pt>
                <c:pt idx="2">
                  <c:v>Federal Government</c:v>
                </c:pt>
                <c:pt idx="3">
                  <c:v>Institutional Resources</c:v>
                </c:pt>
                <c:pt idx="4">
                  <c:v>Hospitals, Clinics, Professional Fees</c:v>
                </c:pt>
              </c:strCache>
            </c:strRef>
          </c:cat>
          <c:val>
            <c:numRef>
              <c:f>'UH Chrts'!$D$9:$D$13</c:f>
              <c:numCache>
                <c:formatCode>"$"#,##0</c:formatCode>
                <c:ptCount val="5"/>
                <c:pt idx="0">
                  <c:v>303577526</c:v>
                </c:pt>
                <c:pt idx="1">
                  <c:v>401004973</c:v>
                </c:pt>
                <c:pt idx="2">
                  <c:v>263800382</c:v>
                </c:pt>
                <c:pt idx="3">
                  <c:v>429176819</c:v>
                </c:pt>
                <c:pt idx="4">
                  <c:v>0</c:v>
                </c:pt>
              </c:numCache>
            </c:numRef>
          </c:val>
          <c:extLst>
            <c:ext xmlns:c16="http://schemas.microsoft.com/office/drawing/2014/chart" uri="{C3380CC4-5D6E-409C-BE32-E72D297353CC}">
              <c16:uniqueId val="{00000008-E0F9-4008-B2A5-8CFC844C4CA4}"/>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449"/>
          <c:y val="4.2735042735042736E-2"/>
        </c:manualLayout>
      </c:layout>
      <c:overlay val="0"/>
      <c:spPr>
        <a:noFill/>
        <a:ln w="25400">
          <a:noFill/>
        </a:ln>
      </c:spPr>
    </c:title>
    <c:autoTitleDeleted val="0"/>
    <c:plotArea>
      <c:layout>
        <c:manualLayout>
          <c:layoutTarget val="inner"/>
          <c:xMode val="edge"/>
          <c:yMode val="edge"/>
          <c:x val="0.37805234860131975"/>
          <c:y val="0.28931543229289286"/>
          <c:w val="0.22483877715453718"/>
          <c:h val="0.35641548687705554"/>
        </c:manualLayout>
      </c:layout>
      <c:pieChart>
        <c:varyColors val="1"/>
        <c:ser>
          <c:idx val="0"/>
          <c:order val="0"/>
          <c:tx>
            <c:strRef>
              <c:f>'UH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FD86-461D-BF2A-9811E25EB68D}"/>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FD86-461D-BF2A-9811E25EB68D}"/>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FD86-461D-BF2A-9811E25EB68D}"/>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FD86-461D-BF2A-9811E25EB68D}"/>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FD86-461D-BF2A-9811E25EB68D}"/>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FD86-461D-BF2A-9811E25EB68D}"/>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FD86-461D-BF2A-9811E25EB68D}"/>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FD86-461D-BF2A-9811E25EB68D}"/>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FD86-461D-BF2A-9811E25EB68D}"/>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FD86-461D-BF2A-9811E25EB68D}"/>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FD86-461D-BF2A-9811E25EB68D}"/>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FD86-461D-BF2A-9811E25EB68D}"/>
              </c:ext>
            </c:extLst>
          </c:dPt>
          <c:dLbls>
            <c:dLbl>
              <c:idx val="0"/>
              <c:layout>
                <c:manualLayout>
                  <c:x val="0.18253099670257589"/>
                  <c:y val="5.52407329752784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FD86-461D-BF2A-9811E25EB68D}"/>
                </c:ext>
              </c:extLst>
            </c:dLbl>
            <c:dLbl>
              <c:idx val="1"/>
              <c:layout>
                <c:manualLayout>
                  <c:x val="0.15285229020544935"/>
                  <c:y val="0.1128257452135190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FD86-461D-BF2A-9811E25EB68D}"/>
                </c:ext>
              </c:extLst>
            </c:dLbl>
            <c:dLbl>
              <c:idx val="2"/>
              <c:delete val="1"/>
              <c:extLst>
                <c:ext xmlns:c15="http://schemas.microsoft.com/office/drawing/2012/chart" uri="{CE6537A1-D6FC-4f65-9D91-7224C49458BB}"/>
                <c:ext xmlns:c16="http://schemas.microsoft.com/office/drawing/2014/chart" uri="{C3380CC4-5D6E-409C-BE32-E72D297353CC}">
                  <c16:uniqueId val="{00000003-FD86-461D-BF2A-9811E25EB68D}"/>
                </c:ext>
              </c:extLst>
            </c:dLbl>
            <c:dLbl>
              <c:idx val="3"/>
              <c:layout>
                <c:manualLayout>
                  <c:x val="0.12866144546963118"/>
                  <c:y val="0.2113367079455935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FD86-461D-BF2A-9811E25EB68D}"/>
                </c:ext>
              </c:extLst>
            </c:dLbl>
            <c:dLbl>
              <c:idx val="4"/>
              <c:delete val="1"/>
              <c:extLst>
                <c:ext xmlns:c15="http://schemas.microsoft.com/office/drawing/2012/chart" uri="{CE6537A1-D6FC-4f65-9D91-7224C49458BB}"/>
                <c:ext xmlns:c16="http://schemas.microsoft.com/office/drawing/2014/chart" uri="{C3380CC4-5D6E-409C-BE32-E72D297353CC}">
                  <c16:uniqueId val="{00000007-FD86-461D-BF2A-9811E25EB68D}"/>
                </c:ext>
              </c:extLst>
            </c:dLbl>
            <c:dLbl>
              <c:idx val="5"/>
              <c:layout>
                <c:manualLayout>
                  <c:x val="6.1520535247522212E-2"/>
                  <c:y val="0.1128415209824487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FD86-461D-BF2A-9811E25EB68D}"/>
                </c:ext>
              </c:extLst>
            </c:dLbl>
            <c:dLbl>
              <c:idx val="6"/>
              <c:layout>
                <c:manualLayout>
                  <c:x val="0.1268162793144133"/>
                  <c:y val="0.170755420441520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FD86-461D-BF2A-9811E25EB68D}"/>
                </c:ext>
              </c:extLst>
            </c:dLbl>
            <c:dLbl>
              <c:idx val="7"/>
              <c:layout>
                <c:manualLayout>
                  <c:x val="-2.1395307425456377E-2"/>
                  <c:y val="0.2125240974870402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FD86-461D-BF2A-9811E25EB68D}"/>
                </c:ext>
              </c:extLst>
            </c:dLbl>
            <c:dLbl>
              <c:idx val="8"/>
              <c:layout>
                <c:manualLayout>
                  <c:x val="-0.10512144665865854"/>
                  <c:y val="0.1202287877132902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FD86-461D-BF2A-9811E25EB68D}"/>
                </c:ext>
              </c:extLst>
            </c:dLbl>
            <c:dLbl>
              <c:idx val="9"/>
              <c:layout>
                <c:manualLayout>
                  <c:x val="-9.3925308861173701E-2"/>
                  <c:y val="3.677121393940932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FD86-461D-BF2A-9811E25EB68D}"/>
                </c:ext>
              </c:extLst>
            </c:dLbl>
            <c:dLbl>
              <c:idx val="10"/>
              <c:layout>
                <c:manualLayout>
                  <c:x val="-9.6996647566931701E-2"/>
                  <c:y val="-9.2767531123714025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FD86-461D-BF2A-9811E25EB68D}"/>
                </c:ext>
              </c:extLst>
            </c:dLbl>
            <c:dLbl>
              <c:idx val="11"/>
              <c:layout>
                <c:manualLayout>
                  <c:x val="-7.5368733138709676E-2"/>
                  <c:y val="-6.341348275340354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FD86-461D-BF2A-9811E25EB68D}"/>
                </c:ext>
              </c:extLst>
            </c:dLbl>
            <c:dLbl>
              <c:idx val="12"/>
              <c:layout>
                <c:manualLayout>
                  <c:x val="5.5758478884416436E-2"/>
                  <c:y val="-6.880368738315602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FD86-461D-BF2A-9811E25EB68D}"/>
                </c:ext>
              </c:extLst>
            </c:dLbl>
            <c:dLbl>
              <c:idx val="13"/>
              <c:layout>
                <c:manualLayout>
                  <c:x val="0.19183763974496584"/>
                  <c:y val="-4.152738290360390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9-FD86-461D-BF2A-9811E25EB68D}"/>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'UH Chrts'!$C$54:$C$67</c:f>
              <c:strCache>
                <c:ptCount val="14"/>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pt idx="13">
                  <c:v>Hospitals, Clinics, Professional Fees</c:v>
                </c:pt>
              </c:strCache>
            </c:strRef>
          </c:cat>
          <c:val>
            <c:numRef>
              <c:f>'UH Chrts'!$D$54:$D$67</c:f>
              <c:numCache>
                <c:formatCode>"$"#,##0</c:formatCode>
                <c:ptCount val="14"/>
                <c:pt idx="0">
                  <c:v>204365435</c:v>
                </c:pt>
                <c:pt idx="1">
                  <c:v>44698087</c:v>
                </c:pt>
                <c:pt idx="3">
                  <c:v>54514004</c:v>
                </c:pt>
                <c:pt idx="4">
                  <c:v>0</c:v>
                </c:pt>
                <c:pt idx="5">
                  <c:v>401004973</c:v>
                </c:pt>
                <c:pt idx="6">
                  <c:v>263800382</c:v>
                </c:pt>
                <c:pt idx="7">
                  <c:v>90328703</c:v>
                </c:pt>
                <c:pt idx="8">
                  <c:v>11634678</c:v>
                </c:pt>
                <c:pt idx="9">
                  <c:v>77222683</c:v>
                </c:pt>
                <c:pt idx="10">
                  <c:v>91229161</c:v>
                </c:pt>
                <c:pt idx="11">
                  <c:v>47444235</c:v>
                </c:pt>
                <c:pt idx="12">
                  <c:v>111317359</c:v>
                </c:pt>
                <c:pt idx="13">
                  <c:v>0</c:v>
                </c:pt>
              </c:numCache>
            </c:numRef>
          </c:val>
          <c:extLst>
            <c:ext xmlns:c16="http://schemas.microsoft.com/office/drawing/2014/chart" uri="{C3380CC4-5D6E-409C-BE32-E72D297353CC}">
              <c16:uniqueId val="{0000001A-FD86-461D-BF2A-9811E25EB68D}"/>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283"/>
          <c:y val="3.3873343151695379E-2"/>
        </c:manualLayout>
      </c:layout>
      <c:overlay val="0"/>
      <c:spPr>
        <a:noFill/>
        <a:ln w="25400">
          <a:noFill/>
        </a:ln>
      </c:spPr>
    </c:title>
    <c:autoTitleDeleted val="0"/>
    <c:plotArea>
      <c:layout>
        <c:manualLayout>
          <c:layoutTarget val="inner"/>
          <c:xMode val="edge"/>
          <c:yMode val="edge"/>
          <c:x val="0.38922612521537542"/>
          <c:y val="0.30070060302869744"/>
          <c:w val="0.21916817359855334"/>
          <c:h val="0.35862065109206565"/>
        </c:manualLayout>
      </c:layout>
      <c:pieChart>
        <c:varyColors val="1"/>
        <c:ser>
          <c:idx val="0"/>
          <c:order val="0"/>
          <c:tx>
            <c:strRef>
              <c:f>'DAL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1DEA-47B3-9D71-C9885067EB2D}"/>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1DEA-47B3-9D71-C9885067EB2D}"/>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1DEA-47B3-9D71-C9885067EB2D}"/>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1DEA-47B3-9D71-C9885067EB2D}"/>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1DEA-47B3-9D71-C9885067EB2D}"/>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1DEA-47B3-9D71-C9885067EB2D}"/>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1DEA-47B3-9D71-C9885067EB2D}"/>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1DEA-47B3-9D71-C9885067EB2D}"/>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1DEA-47B3-9D71-C9885067EB2D}"/>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1DEA-47B3-9D71-C9885067EB2D}"/>
              </c:ext>
            </c:extLst>
          </c:dPt>
          <c:dLbls>
            <c:dLbl>
              <c:idx val="0"/>
              <c:layout>
                <c:manualLayout>
                  <c:x val="-9.4159333622997263E-2"/>
                  <c:y val="-6.849541670860413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1DEA-47B3-9D71-C9885067EB2D}"/>
                </c:ext>
              </c:extLst>
            </c:dLbl>
            <c:dLbl>
              <c:idx val="1"/>
              <c:layout>
                <c:manualLayout>
                  <c:x val="-0.11279464223180985"/>
                  <c:y val="-1.172476393905847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1DEA-47B3-9D71-C9885067EB2D}"/>
                </c:ext>
              </c:extLst>
            </c:dLbl>
            <c:dLbl>
              <c:idx val="2"/>
              <c:layout>
                <c:manualLayout>
                  <c:x val="-7.5859561324553682E-2"/>
                  <c:y val="-7.238177071489902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1DEA-47B3-9D71-C9885067EB2D}"/>
                </c:ext>
              </c:extLst>
            </c:dLbl>
            <c:dLbl>
              <c:idx val="3"/>
              <c:layout>
                <c:manualLayout>
                  <c:x val="2.2041332969504852E-2"/>
                  <c:y val="-7.338454044690974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1DEA-47B3-9D71-C9885067EB2D}"/>
                </c:ext>
              </c:extLst>
            </c:dLbl>
            <c:dLbl>
              <c:idx val="4"/>
              <c:layout>
                <c:manualLayout>
                  <c:x val="0.12292963463309388"/>
                  <c:y val="-1.779077526401924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1DEA-47B3-9D71-C9885067EB2D}"/>
                </c:ext>
              </c:extLst>
            </c:dLbl>
            <c:dLbl>
              <c:idx val="5"/>
              <c:layout>
                <c:manualLayout>
                  <c:x val="0.10955978864804103"/>
                  <c:y val="4.117926093261312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1DEA-47B3-9D71-C9885067EB2D}"/>
                </c:ext>
              </c:extLst>
            </c:dLbl>
            <c:dLbl>
              <c:idx val="6"/>
              <c:layout>
                <c:manualLayout>
                  <c:x val="0.10270832622484685"/>
                  <c:y val="9.16304141178048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1DEA-47B3-9D71-C9885067EB2D}"/>
                </c:ext>
              </c:extLst>
            </c:dLbl>
            <c:dLbl>
              <c:idx val="7"/>
              <c:layout>
                <c:manualLayout>
                  <c:x val="0.11273679766224746"/>
                  <c:y val="0.1539830895994015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1DEA-47B3-9D71-C9885067EB2D}"/>
                </c:ext>
              </c:extLst>
            </c:dLbl>
            <c:dLbl>
              <c:idx val="8"/>
              <c:layout>
                <c:manualLayout>
                  <c:x val="-6.5513984444536655E-2"/>
                  <c:y val="0.1513935330671706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1DEA-47B3-9D71-C9885067EB2D}"/>
                </c:ext>
              </c:extLst>
            </c:dLbl>
            <c:dLbl>
              <c:idx val="9"/>
              <c:layout>
                <c:manualLayout>
                  <c:x val="-0.21484560084014512"/>
                  <c:y val="0.1203864204848334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1DEA-47B3-9D71-C9885067EB2D}"/>
                </c:ext>
              </c:extLst>
            </c:dLbl>
            <c:dLbl>
              <c:idx val="10"/>
              <c:delete val="1"/>
              <c:extLst>
                <c:ext xmlns:c15="http://schemas.microsoft.com/office/drawing/2012/chart" uri="{CE6537A1-D6FC-4f65-9D91-7224C49458BB}"/>
                <c:ext xmlns:c16="http://schemas.microsoft.com/office/drawing/2014/chart" uri="{C3380CC4-5D6E-409C-BE32-E72D297353CC}">
                  <c16:uniqueId val="{00000013-1DEA-47B3-9D71-C9885067EB2D}"/>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'DAL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'DAL Chrts'!$D$102:$D$112</c:f>
              <c:numCache>
                <c:formatCode>"$"#,##0</c:formatCode>
                <c:ptCount val="11"/>
                <c:pt idx="0">
                  <c:v>197677095</c:v>
                </c:pt>
                <c:pt idx="1">
                  <c:v>98702141</c:v>
                </c:pt>
                <c:pt idx="2">
                  <c:v>9035089</c:v>
                </c:pt>
                <c:pt idx="3">
                  <c:v>63009599</c:v>
                </c:pt>
                <c:pt idx="4">
                  <c:v>17966833</c:v>
                </c:pt>
                <c:pt idx="5">
                  <c:v>34647797</c:v>
                </c:pt>
                <c:pt idx="6">
                  <c:v>54577186</c:v>
                </c:pt>
                <c:pt idx="7">
                  <c:v>60963339</c:v>
                </c:pt>
                <c:pt idx="8">
                  <c:v>39253057</c:v>
                </c:pt>
                <c:pt idx="9">
                  <c:v>12825288</c:v>
                </c:pt>
                <c:pt idx="10">
                  <c:v>0</c:v>
                </c:pt>
              </c:numCache>
            </c:numRef>
          </c:val>
          <c:extLst>
            <c:ext xmlns:c16="http://schemas.microsoft.com/office/drawing/2014/chart" uri="{C3380CC4-5D6E-409C-BE32-E72D297353CC}">
              <c16:uniqueId val="{00000015-1DEA-47B3-9D71-C9885067EB2D}"/>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289"/>
          <c:y val="3.3873343151695393E-2"/>
        </c:manualLayout>
      </c:layout>
      <c:overlay val="0"/>
      <c:spPr>
        <a:noFill/>
        <a:ln w="25400">
          <a:noFill/>
        </a:ln>
      </c:spPr>
    </c:title>
    <c:autoTitleDeleted val="0"/>
    <c:plotArea>
      <c:layout>
        <c:manualLayout>
          <c:layoutTarget val="inner"/>
          <c:xMode val="edge"/>
          <c:yMode val="edge"/>
          <c:x val="0.38681503419668506"/>
          <c:y val="0.28886493797615964"/>
          <c:w val="0.22278481012658227"/>
          <c:h val="0.36453848361832131"/>
        </c:manualLayout>
      </c:layout>
      <c:pieChart>
        <c:varyColors val="1"/>
        <c:ser>
          <c:idx val="0"/>
          <c:order val="0"/>
          <c:tx>
            <c:strRef>
              <c:f>'UH Chrts'!$C$100</c:f>
              <c:strCache>
                <c:ptCount val="1"/>
                <c:pt idx="0">
                  <c:v>Expenses</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D412-4B41-999A-015087EAE70D}"/>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D412-4B41-999A-015087EAE70D}"/>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D412-4B41-999A-015087EAE70D}"/>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D412-4B41-999A-015087EAE70D}"/>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D412-4B41-999A-015087EAE70D}"/>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D412-4B41-999A-015087EAE70D}"/>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D412-4B41-999A-015087EAE70D}"/>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D412-4B41-999A-015087EAE70D}"/>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D412-4B41-999A-015087EAE70D}"/>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D412-4B41-999A-015087EAE70D}"/>
              </c:ext>
            </c:extLst>
          </c:dPt>
          <c:dPt>
            <c:idx val="11"/>
            <c:bubble3D val="0"/>
            <c:spPr>
              <a:solidFill>
                <a:srgbClr val="66FFFF"/>
              </a:solidFill>
              <a:ln w="12700">
                <a:solidFill>
                  <a:srgbClr val="000000"/>
                </a:solidFill>
                <a:prstDash val="solid"/>
              </a:ln>
            </c:spPr>
            <c:extLst>
              <c:ext xmlns:c16="http://schemas.microsoft.com/office/drawing/2014/chart" uri="{C3380CC4-5D6E-409C-BE32-E72D297353CC}">
                <c16:uniqueId val="{00000015-D412-4B41-999A-015087EAE70D}"/>
              </c:ext>
            </c:extLst>
          </c:dPt>
          <c:dLbls>
            <c:dLbl>
              <c:idx val="0"/>
              <c:layout>
                <c:manualLayout>
                  <c:x val="-0.10704972689224659"/>
                  <c:y val="6.803458845994765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6-D412-4B41-999A-015087EAE70D}"/>
                </c:ext>
              </c:extLst>
            </c:dLbl>
            <c:dLbl>
              <c:idx val="1"/>
              <c:layout>
                <c:manualLayout>
                  <c:x val="-0.10648668111182844"/>
                  <c:y val="0.1500748582632292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D412-4B41-999A-015087EAE70D}"/>
                </c:ext>
              </c:extLst>
            </c:dLbl>
            <c:dLbl>
              <c:idx val="2"/>
              <c:layout>
                <c:manualLayout>
                  <c:x val="-0.13049233379675915"/>
                  <c:y val="5.369059236891494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D412-4B41-999A-015087EAE70D}"/>
                </c:ext>
              </c:extLst>
            </c:dLbl>
            <c:dLbl>
              <c:idx val="3"/>
              <c:layout>
                <c:manualLayout>
                  <c:x val="-0.13498008429455721"/>
                  <c:y val="-5.793262928211877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D412-4B41-999A-015087EAE70D}"/>
                </c:ext>
              </c:extLst>
            </c:dLbl>
            <c:dLbl>
              <c:idx val="4"/>
              <c:layout>
                <c:manualLayout>
                  <c:x val="-9.3538729103267354E-2"/>
                  <c:y val="-7.145743944550686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D412-4B41-999A-015087EAE70D}"/>
                </c:ext>
              </c:extLst>
            </c:dLbl>
            <c:dLbl>
              <c:idx val="5"/>
              <c:layout>
                <c:manualLayout>
                  <c:x val="5.8776968317264797E-2"/>
                  <c:y val="-9.978848020120011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D412-4B41-999A-015087EAE70D}"/>
                </c:ext>
              </c:extLst>
            </c:dLbl>
            <c:dLbl>
              <c:idx val="6"/>
              <c:layout>
                <c:manualLayout>
                  <c:x val="0.11999893666858638"/>
                  <c:y val="-2.156902398322007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D412-4B41-999A-015087EAE70D}"/>
                </c:ext>
              </c:extLst>
            </c:dLbl>
            <c:dLbl>
              <c:idx val="7"/>
              <c:layout>
                <c:manualLayout>
                  <c:x val="0.15230566956200567"/>
                  <c:y val="5.026973511719482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D412-4B41-999A-015087EAE70D}"/>
                </c:ext>
              </c:extLst>
            </c:dLbl>
            <c:dLbl>
              <c:idx val="8"/>
              <c:layout>
                <c:manualLayout>
                  <c:x val="9.8330531839775345E-2"/>
                  <c:y val="8.045611733027152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D412-4B41-999A-015087EAE70D}"/>
                </c:ext>
              </c:extLst>
            </c:dLbl>
            <c:dLbl>
              <c:idx val="9"/>
              <c:layout>
                <c:manualLayout>
                  <c:x val="0.10865298236080764"/>
                  <c:y val="0.1416587762232981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D412-4B41-999A-015087EAE70D}"/>
                </c:ext>
              </c:extLst>
            </c:dLbl>
            <c:dLbl>
              <c:idx val="10"/>
              <c:layout>
                <c:manualLayout>
                  <c:x val="-4.1243825298811262E-3"/>
                  <c:y val="0.1761676613595668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D412-4B41-999A-015087EAE70D}"/>
                </c:ext>
              </c:extLst>
            </c:dLbl>
            <c:dLbl>
              <c:idx val="11"/>
              <c:layout>
                <c:manualLayout>
                  <c:x val="-0.14121977735883617"/>
                  <c:y val="0.1308218424868689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D412-4B41-999A-015087EAE70D}"/>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'UH Chrts'!$C$102:$C$113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cat>
          <c:val>
            <c:numRef>
              <c:f>'UH Chrts'!$D$102:$D$113</c:f>
              <c:numCache>
                <c:formatCode>"$"#,##0</c:formatCode>
                <c:ptCount val="12"/>
                <c:pt idx="0">
                  <c:v>262309225</c:v>
                </c:pt>
                <c:pt idx="1">
                  <c:v>169415339</c:v>
                </c:pt>
                <c:pt idx="2">
                  <c:v>35946861</c:v>
                </c:pt>
                <c:pt idx="3">
                  <c:v>184519734</c:v>
                </c:pt>
                <c:pt idx="4">
                  <c:v>38192008</c:v>
                </c:pt>
                <c:pt idx="5">
                  <c:v>85618321</c:v>
                </c:pt>
                <c:pt idx="6">
                  <c:v>59357962</c:v>
                </c:pt>
                <c:pt idx="7">
                  <c:v>78730722</c:v>
                </c:pt>
                <c:pt idx="8">
                  <c:v>134076794</c:v>
                </c:pt>
                <c:pt idx="9">
                  <c:v>13525296</c:v>
                </c:pt>
                <c:pt idx="10">
                  <c:v>144285294</c:v>
                </c:pt>
                <c:pt idx="11">
                  <c:v>0</c:v>
                </c:pt>
              </c:numCache>
            </c:numRef>
          </c:val>
          <c:extLst>
            <c:ext xmlns:c16="http://schemas.microsoft.com/office/drawing/2014/chart" uri="{C3380CC4-5D6E-409C-BE32-E72D297353CC}">
              <c16:uniqueId val="{00000017-D412-4B41-999A-015087EAE70D}"/>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8594407205165093"/>
          <c:y val="0.27772729503173976"/>
          <c:w val="0.22296039239438994"/>
          <c:h val="0.35107157731970678"/>
        </c:manualLayout>
      </c:layout>
      <c:pieChart>
        <c:varyColors val="1"/>
        <c:ser>
          <c:idx val="0"/>
          <c:order val="0"/>
          <c:tx>
            <c:strRef>
              <c:f>'Shsu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DEBD-4AC9-9104-2D7897C25C24}"/>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DEBD-4AC9-9104-2D7897C25C24}"/>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DEBD-4AC9-9104-2D7897C25C24}"/>
              </c:ext>
            </c:extLst>
          </c:dPt>
          <c:dLbls>
            <c:dLbl>
              <c:idx val="0"/>
              <c:layout>
                <c:manualLayout>
                  <c:x val="7.8677925440315433E-2"/>
                  <c:y val="2.173568956272800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DEBD-4AC9-9104-2D7897C25C24}"/>
                </c:ext>
              </c:extLst>
            </c:dLbl>
            <c:dLbl>
              <c:idx val="1"/>
              <c:layout>
                <c:manualLayout>
                  <c:x val="6.5753680242591803E-2"/>
                  <c:y val="0.1197059939392778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DEBD-4AC9-9104-2D7897C25C24}"/>
                </c:ext>
              </c:extLst>
            </c:dLbl>
            <c:dLbl>
              <c:idx val="2"/>
              <c:layout>
                <c:manualLayout>
                  <c:x val="-8.9145164546739708E-2"/>
                  <c:y val="4.370296477504480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DEBD-4AC9-9104-2D7897C25C24}"/>
                </c:ext>
              </c:extLst>
            </c:dLbl>
            <c:dLbl>
              <c:idx val="3"/>
              <c:layout>
                <c:manualLayout>
                  <c:x val="-6.535580337525683E-2"/>
                  <c:y val="-2.31482423427132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DEBD-4AC9-9104-2D7897C25C24}"/>
                </c:ext>
              </c:extLst>
            </c:dLbl>
            <c:dLbl>
              <c:idx val="4"/>
              <c:layout>
                <c:manualLayout>
                  <c:x val="3.8730436460906667E-2"/>
                  <c:y val="-2.758217999291479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DEBD-4AC9-9104-2D7897C25C24}"/>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'Shsu Chrts'!$C$9:$C$13</c:f>
              <c:strCache>
                <c:ptCount val="5"/>
                <c:pt idx="0">
                  <c:v>State of Texas</c:v>
                </c:pt>
                <c:pt idx="1">
                  <c:v>Student &amp; Parent</c:v>
                </c:pt>
                <c:pt idx="2">
                  <c:v>Federal Government</c:v>
                </c:pt>
                <c:pt idx="3">
                  <c:v>Institutional Resources</c:v>
                </c:pt>
                <c:pt idx="4">
                  <c:v>Hospitals, Clinics, Professional Fees</c:v>
                </c:pt>
              </c:strCache>
            </c:strRef>
          </c:cat>
          <c:val>
            <c:numRef>
              <c:f>'Shsu Chrts'!$D$9:$D$13</c:f>
              <c:numCache>
                <c:formatCode>"$"#,##0</c:formatCode>
                <c:ptCount val="5"/>
                <c:pt idx="0">
                  <c:v>303577526</c:v>
                </c:pt>
                <c:pt idx="1">
                  <c:v>401004973</c:v>
                </c:pt>
                <c:pt idx="2">
                  <c:v>263800382</c:v>
                </c:pt>
                <c:pt idx="3">
                  <c:v>429176819</c:v>
                </c:pt>
                <c:pt idx="4">
                  <c:v>0</c:v>
                </c:pt>
              </c:numCache>
            </c:numRef>
          </c:val>
          <c:extLst>
            <c:ext xmlns:c16="http://schemas.microsoft.com/office/drawing/2014/chart" uri="{C3380CC4-5D6E-409C-BE32-E72D297353CC}">
              <c16:uniqueId val="{00000008-DEBD-4AC9-9104-2D7897C25C24}"/>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449"/>
          <c:y val="4.2735042735042736E-2"/>
        </c:manualLayout>
      </c:layout>
      <c:overlay val="0"/>
      <c:spPr>
        <a:noFill/>
        <a:ln w="25400">
          <a:noFill/>
        </a:ln>
      </c:spPr>
    </c:title>
    <c:autoTitleDeleted val="0"/>
    <c:plotArea>
      <c:layout>
        <c:manualLayout>
          <c:layoutTarget val="inner"/>
          <c:xMode val="edge"/>
          <c:yMode val="edge"/>
          <c:x val="0.37805234860131975"/>
          <c:y val="0.28931543229289286"/>
          <c:w val="0.22483877715453718"/>
          <c:h val="0.35641548687705554"/>
        </c:manualLayout>
      </c:layout>
      <c:pieChart>
        <c:varyColors val="1"/>
        <c:ser>
          <c:idx val="0"/>
          <c:order val="0"/>
          <c:tx>
            <c:strRef>
              <c:f>'Shsu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4B85-4A88-AF40-3C561829369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4B85-4A88-AF40-3C561829369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4B85-4A88-AF40-3C561829369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4B85-4A88-AF40-3C561829369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4B85-4A88-AF40-3C561829369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4B85-4A88-AF40-3C561829369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4B85-4A88-AF40-3C5618293693}"/>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4B85-4A88-AF40-3C5618293693}"/>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4B85-4A88-AF40-3C5618293693}"/>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4B85-4A88-AF40-3C5618293693}"/>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4B85-4A88-AF40-3C5618293693}"/>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4B85-4A88-AF40-3C5618293693}"/>
              </c:ext>
            </c:extLst>
          </c:dPt>
          <c:dLbls>
            <c:dLbl>
              <c:idx val="0"/>
              <c:layout>
                <c:manualLayout>
                  <c:x val="0.12011179124688789"/>
                  <c:y val="-6.4970626269479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4B85-4A88-AF40-3C5618293693}"/>
                </c:ext>
              </c:extLst>
            </c:dLbl>
            <c:dLbl>
              <c:idx val="1"/>
              <c:layout>
                <c:manualLayout>
                  <c:x val="0.10243677810662437"/>
                  <c:y val="-1.120184765805705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4B85-4A88-AF40-3C5618293693}"/>
                </c:ext>
              </c:extLst>
            </c:dLbl>
            <c:dLbl>
              <c:idx val="2"/>
              <c:delete val="1"/>
              <c:extLst>
                <c:ext xmlns:c15="http://schemas.microsoft.com/office/drawing/2012/chart" uri="{CE6537A1-D6FC-4f65-9D91-7224C49458BB}"/>
                <c:ext xmlns:c16="http://schemas.microsoft.com/office/drawing/2014/chart" uri="{C3380CC4-5D6E-409C-BE32-E72D297353CC}">
                  <c16:uniqueId val="{00000003-4B85-4A88-AF40-3C5618293693}"/>
                </c:ext>
              </c:extLst>
            </c:dLbl>
            <c:dLbl>
              <c:idx val="3"/>
              <c:layout>
                <c:manualLayout>
                  <c:x val="0.12385996812688613"/>
                  <c:y val="0.1464607362896923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4B85-4A88-AF40-3C5618293693}"/>
                </c:ext>
              </c:extLst>
            </c:dLbl>
            <c:dLbl>
              <c:idx val="4"/>
              <c:delete val="1"/>
              <c:extLst>
                <c:ext xmlns:c15="http://schemas.microsoft.com/office/drawing/2012/chart" uri="{CE6537A1-D6FC-4f65-9D91-7224C49458BB}"/>
                <c:ext xmlns:c16="http://schemas.microsoft.com/office/drawing/2014/chart" uri="{C3380CC4-5D6E-409C-BE32-E72D297353CC}">
                  <c16:uniqueId val="{00000007-4B85-4A88-AF40-3C5618293693}"/>
                </c:ext>
              </c:extLst>
            </c:dLbl>
            <c:dLbl>
              <c:idx val="5"/>
              <c:layout>
                <c:manualLayout>
                  <c:x val="4.4715364547913881E-2"/>
                  <c:y val="0.1204739882360840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4B85-4A88-AF40-3C5618293693}"/>
                </c:ext>
              </c:extLst>
            </c:dLbl>
            <c:dLbl>
              <c:idx val="6"/>
              <c:layout>
                <c:manualLayout>
                  <c:x val="0.1400203420069627"/>
                  <c:y val="0.1612148363744758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4B85-4A88-AF40-3C5618293693}"/>
                </c:ext>
              </c:extLst>
            </c:dLbl>
            <c:dLbl>
              <c:idx val="7"/>
              <c:layout>
                <c:manualLayout>
                  <c:x val="-6.4608603510163509E-2"/>
                  <c:y val="0.269767601889306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4B85-4A88-AF40-3C5618293693}"/>
                </c:ext>
              </c:extLst>
            </c:dLbl>
            <c:dLbl>
              <c:idx val="8"/>
              <c:layout>
                <c:manualLayout>
                  <c:x val="-0.1255277253653258"/>
                  <c:y val="0.1698398248619206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4B85-4A88-AF40-3C5618293693}"/>
                </c:ext>
              </c:extLst>
            </c:dLbl>
            <c:dLbl>
              <c:idx val="9"/>
              <c:layout>
                <c:manualLayout>
                  <c:x val="-0.11433158756784095"/>
                  <c:y val="0.1111877696623549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4B85-4A88-AF40-3C5618293693}"/>
                </c:ext>
              </c:extLst>
            </c:dLbl>
            <c:dLbl>
              <c:idx val="10"/>
              <c:layout>
                <c:manualLayout>
                  <c:x val="-0.1498128983371293"/>
                  <c:y val="7.849662030443621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4B85-4A88-AF40-3C5618293693}"/>
                </c:ext>
              </c:extLst>
            </c:dLbl>
            <c:dLbl>
              <c:idx val="11"/>
              <c:layout>
                <c:manualLayout>
                  <c:x val="-0.17860049600773226"/>
                  <c:y val="1.100307296954209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4B85-4A88-AF40-3C5618293693}"/>
                </c:ext>
              </c:extLst>
            </c:dLbl>
            <c:dLbl>
              <c:idx val="12"/>
              <c:layout>
                <c:manualLayout>
                  <c:x val="-7.9883256048136508E-2"/>
                  <c:y val="-7.261992100997374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4B85-4A88-AF40-3C5618293693}"/>
                </c:ext>
              </c:extLst>
            </c:dLbl>
            <c:dLbl>
              <c:idx val="13"/>
              <c:layout>
                <c:manualLayout>
                  <c:x val="3.0988148763000496E-2"/>
                  <c:y val="-4.152738290360390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9-4B85-4A88-AF40-3C5618293693}"/>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'Shsu Chrts'!$C$54:$C$67</c:f>
              <c:strCache>
                <c:ptCount val="14"/>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pt idx="13">
                  <c:v>Hospitals, Clinics, Professional Fees</c:v>
                </c:pt>
              </c:strCache>
            </c:strRef>
          </c:cat>
          <c:val>
            <c:numRef>
              <c:f>'Shsu Chrts'!$D$54:$D$67</c:f>
              <c:numCache>
                <c:formatCode>"$"#,##0</c:formatCode>
                <c:ptCount val="14"/>
                <c:pt idx="0">
                  <c:v>204365435</c:v>
                </c:pt>
                <c:pt idx="1">
                  <c:v>44698087</c:v>
                </c:pt>
                <c:pt idx="3">
                  <c:v>54514004</c:v>
                </c:pt>
                <c:pt idx="4">
                  <c:v>0</c:v>
                </c:pt>
                <c:pt idx="5">
                  <c:v>401004973</c:v>
                </c:pt>
                <c:pt idx="6">
                  <c:v>263800382</c:v>
                </c:pt>
                <c:pt idx="7">
                  <c:v>90328703</c:v>
                </c:pt>
                <c:pt idx="8">
                  <c:v>11634678</c:v>
                </c:pt>
                <c:pt idx="9">
                  <c:v>77222683</c:v>
                </c:pt>
                <c:pt idx="10">
                  <c:v>91229161</c:v>
                </c:pt>
                <c:pt idx="11">
                  <c:v>47444235</c:v>
                </c:pt>
                <c:pt idx="12">
                  <c:v>111317359</c:v>
                </c:pt>
                <c:pt idx="13">
                  <c:v>0</c:v>
                </c:pt>
              </c:numCache>
            </c:numRef>
          </c:val>
          <c:extLst>
            <c:ext xmlns:c16="http://schemas.microsoft.com/office/drawing/2014/chart" uri="{C3380CC4-5D6E-409C-BE32-E72D297353CC}">
              <c16:uniqueId val="{0000001A-4B85-4A88-AF40-3C5618293693}"/>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289"/>
          <c:y val="3.3873343151695393E-2"/>
        </c:manualLayout>
      </c:layout>
      <c:overlay val="0"/>
      <c:spPr>
        <a:noFill/>
        <a:ln w="25400">
          <a:noFill/>
        </a:ln>
      </c:spPr>
    </c:title>
    <c:autoTitleDeleted val="0"/>
    <c:plotArea>
      <c:layout>
        <c:manualLayout>
          <c:layoutTarget val="inner"/>
          <c:xMode val="edge"/>
          <c:yMode val="edge"/>
          <c:x val="0.38681503419668506"/>
          <c:y val="0.28886493797615964"/>
          <c:w val="0.22278481012658227"/>
          <c:h val="0.36453848361832131"/>
        </c:manualLayout>
      </c:layout>
      <c:pieChart>
        <c:varyColors val="1"/>
        <c:ser>
          <c:idx val="0"/>
          <c:order val="0"/>
          <c:tx>
            <c:strRef>
              <c:f>'Shsu Chrts'!$C$100</c:f>
              <c:strCache>
                <c:ptCount val="1"/>
                <c:pt idx="0">
                  <c:v>Expenses</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C4CF-49CF-9584-DA4BB64DDB91}"/>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C4CF-49CF-9584-DA4BB64DDB91}"/>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C4CF-49CF-9584-DA4BB64DDB91}"/>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C4CF-49CF-9584-DA4BB64DDB91}"/>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C4CF-49CF-9584-DA4BB64DDB91}"/>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C4CF-49CF-9584-DA4BB64DDB91}"/>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C4CF-49CF-9584-DA4BB64DDB91}"/>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C4CF-49CF-9584-DA4BB64DDB91}"/>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C4CF-49CF-9584-DA4BB64DDB91}"/>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C4CF-49CF-9584-DA4BB64DDB91}"/>
              </c:ext>
            </c:extLst>
          </c:dPt>
          <c:dPt>
            <c:idx val="11"/>
            <c:bubble3D val="0"/>
            <c:spPr>
              <a:solidFill>
                <a:srgbClr val="66FFFF"/>
              </a:solidFill>
              <a:ln w="12700">
                <a:solidFill>
                  <a:srgbClr val="000000"/>
                </a:solidFill>
                <a:prstDash val="solid"/>
              </a:ln>
            </c:spPr>
            <c:extLst>
              <c:ext xmlns:c16="http://schemas.microsoft.com/office/drawing/2014/chart" uri="{C3380CC4-5D6E-409C-BE32-E72D297353CC}">
                <c16:uniqueId val="{00000015-C4CF-49CF-9584-DA4BB64DDB91}"/>
              </c:ext>
            </c:extLst>
          </c:dPt>
          <c:dLbls>
            <c:dLbl>
              <c:idx val="0"/>
              <c:layout>
                <c:manualLayout>
                  <c:x val="-0.10704972689224659"/>
                  <c:y val="6.803458845994765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6-C4CF-49CF-9584-DA4BB64DDB91}"/>
                </c:ext>
              </c:extLst>
            </c:dLbl>
            <c:dLbl>
              <c:idx val="1"/>
              <c:layout>
                <c:manualLayout>
                  <c:x val="-0.10648668111182844"/>
                  <c:y val="0.1500748582632292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C4CF-49CF-9584-DA4BB64DDB91}"/>
                </c:ext>
              </c:extLst>
            </c:dLbl>
            <c:dLbl>
              <c:idx val="2"/>
              <c:layout>
                <c:manualLayout>
                  <c:x val="-0.13049233379675915"/>
                  <c:y val="5.369059236891494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C4CF-49CF-9584-DA4BB64DDB91}"/>
                </c:ext>
              </c:extLst>
            </c:dLbl>
            <c:dLbl>
              <c:idx val="3"/>
              <c:layout>
                <c:manualLayout>
                  <c:x val="-6.5295927781254939E-2"/>
                  <c:y val="-5.004219368649492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C4CF-49CF-9584-DA4BB64DDB91}"/>
                </c:ext>
              </c:extLst>
            </c:dLbl>
            <c:dLbl>
              <c:idx val="4"/>
              <c:layout>
                <c:manualLayout>
                  <c:x val="-4.6682141102943345E-2"/>
                  <c:y val="-6.751221776132590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C4CF-49CF-9584-DA4BB64DDB91}"/>
                </c:ext>
              </c:extLst>
            </c:dLbl>
            <c:dLbl>
              <c:idx val="5"/>
              <c:layout>
                <c:manualLayout>
                  <c:x val="7.9201634881508554E-2"/>
                  <c:y val="-7.414455077042893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C4CF-49CF-9584-DA4BB64DDB91}"/>
                </c:ext>
              </c:extLst>
            </c:dLbl>
            <c:dLbl>
              <c:idx val="6"/>
              <c:layout>
                <c:manualLayout>
                  <c:x val="0.11999893666858638"/>
                  <c:y val="1.591058201649913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C4CF-49CF-9584-DA4BB64DDB91}"/>
                </c:ext>
              </c:extLst>
            </c:dLbl>
            <c:dLbl>
              <c:idx val="7"/>
              <c:layout>
                <c:manualLayout>
                  <c:x val="0.13788825786959841"/>
                  <c:y val="0.115365892906180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C4CF-49CF-9584-DA4BB64DDB91}"/>
                </c:ext>
              </c:extLst>
            </c:dLbl>
            <c:dLbl>
              <c:idx val="8"/>
              <c:layout>
                <c:manualLayout>
                  <c:x val="0.10313633573724447"/>
                  <c:y val="0.129771388382533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C4CF-49CF-9584-DA4BB64DDB91}"/>
                </c:ext>
              </c:extLst>
            </c:dLbl>
            <c:dLbl>
              <c:idx val="9"/>
              <c:layout>
                <c:manualLayout>
                  <c:x val="8.2221060924727488E-2"/>
                  <c:y val="0.222535820749008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C4CF-49CF-9584-DA4BB64DDB91}"/>
                </c:ext>
              </c:extLst>
            </c:dLbl>
            <c:dLbl>
              <c:idx val="10"/>
              <c:layout>
                <c:manualLayout>
                  <c:x val="-7.2607126811851219E-2"/>
                  <c:y val="0.1386881279015380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C4CF-49CF-9584-DA4BB64DDB91}"/>
                </c:ext>
              </c:extLst>
            </c:dLbl>
            <c:dLbl>
              <c:idx val="11"/>
              <c:layout>
                <c:manualLayout>
                  <c:x val="-0.23733588706817058"/>
                  <c:y val="0.1268765631100236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C4CF-49CF-9584-DA4BB64DDB91}"/>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'Shsu Chrts'!$C$102:$C$113</c:f>
              <c:strCache>
                <c:ptCount val="12"/>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pt idx="11">
                  <c:v>Hospitals &amp; Clinics</c:v>
                </c:pt>
              </c:strCache>
            </c:strRef>
          </c:cat>
          <c:val>
            <c:numRef>
              <c:f>'Shsu Chrts'!$D$102:$D$113</c:f>
              <c:numCache>
                <c:formatCode>"$"#,##0</c:formatCode>
                <c:ptCount val="12"/>
                <c:pt idx="0">
                  <c:v>262309225</c:v>
                </c:pt>
                <c:pt idx="1">
                  <c:v>169415339</c:v>
                </c:pt>
                <c:pt idx="2">
                  <c:v>35946861</c:v>
                </c:pt>
                <c:pt idx="3">
                  <c:v>184519734</c:v>
                </c:pt>
                <c:pt idx="4">
                  <c:v>38192008</c:v>
                </c:pt>
                <c:pt idx="5">
                  <c:v>85618321</c:v>
                </c:pt>
                <c:pt idx="6">
                  <c:v>59357962</c:v>
                </c:pt>
                <c:pt idx="7">
                  <c:v>78730722</c:v>
                </c:pt>
                <c:pt idx="8">
                  <c:v>134076794</c:v>
                </c:pt>
                <c:pt idx="9">
                  <c:v>13525296</c:v>
                </c:pt>
                <c:pt idx="10">
                  <c:v>144285294</c:v>
                </c:pt>
                <c:pt idx="11">
                  <c:v>0</c:v>
                </c:pt>
              </c:numCache>
            </c:numRef>
          </c:val>
          <c:extLst>
            <c:ext xmlns:c16="http://schemas.microsoft.com/office/drawing/2014/chart" uri="{C3380CC4-5D6E-409C-BE32-E72D297353CC}">
              <c16:uniqueId val="{00000017-C4CF-49CF-9584-DA4BB64DDB91}"/>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8777202170997377"/>
          <c:y val="0.30242677225857301"/>
          <c:w val="0.22175375589363547"/>
          <c:h val="0.34917161753300846"/>
        </c:manualLayout>
      </c:layout>
      <c:pieChart>
        <c:varyColors val="1"/>
        <c:ser>
          <c:idx val="0"/>
          <c:order val="0"/>
          <c:tx>
            <c:strRef>
              <c:f>'E-P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82D0-419F-9262-E5780526F72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82D0-419F-9262-E5780526F72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82D0-419F-9262-E5780526F723}"/>
              </c:ext>
            </c:extLst>
          </c:dPt>
          <c:dLbls>
            <c:dLbl>
              <c:idx val="0"/>
              <c:layout>
                <c:manualLayout>
                  <c:x val="6.9346349805822022E-2"/>
                  <c:y val="-4.866485188093030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82D0-419F-9262-E5780526F723}"/>
                </c:ext>
              </c:extLst>
            </c:dLbl>
            <c:dLbl>
              <c:idx val="1"/>
              <c:layout>
                <c:manualLayout>
                  <c:x val="7.3549181163804378E-2"/>
                  <c:y val="5.215943146022218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82D0-419F-9262-E5780526F723}"/>
                </c:ext>
              </c:extLst>
            </c:dLbl>
            <c:dLbl>
              <c:idx val="2"/>
              <c:layout>
                <c:manualLayout>
                  <c:x val="-7.0380017083051472E-2"/>
                  <c:y val="0.1161758088143771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82D0-419F-9262-E5780526F723}"/>
                </c:ext>
              </c:extLst>
            </c:dLbl>
            <c:dLbl>
              <c:idx val="3"/>
              <c:layout>
                <c:manualLayout>
                  <c:x val="-5.2735620717094034E-2"/>
                  <c:y val="-4.077164099077967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82D0-419F-9262-E5780526F723}"/>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'E-P Chrts'!$C$9:$C$12</c:f>
              <c:strCache>
                <c:ptCount val="4"/>
                <c:pt idx="0">
                  <c:v>State of Texas</c:v>
                </c:pt>
                <c:pt idx="1">
                  <c:v>Student &amp; Parent</c:v>
                </c:pt>
                <c:pt idx="2">
                  <c:v>Federal Government</c:v>
                </c:pt>
                <c:pt idx="3">
                  <c:v>Institutional Resources</c:v>
                </c:pt>
              </c:strCache>
            </c:strRef>
          </c:cat>
          <c:val>
            <c:numRef>
              <c:f>'E-P Chrts'!$D$9:$D$12</c:f>
              <c:numCache>
                <c:formatCode>"$"#,##0</c:formatCode>
                <c:ptCount val="4"/>
                <c:pt idx="0">
                  <c:v>133335593</c:v>
                </c:pt>
                <c:pt idx="1">
                  <c:v>148988894</c:v>
                </c:pt>
                <c:pt idx="2">
                  <c:v>206524165</c:v>
                </c:pt>
                <c:pt idx="3">
                  <c:v>56177993</c:v>
                </c:pt>
              </c:numCache>
            </c:numRef>
          </c:val>
          <c:extLst>
            <c:ext xmlns:c16="http://schemas.microsoft.com/office/drawing/2014/chart" uri="{C3380CC4-5D6E-409C-BE32-E72D297353CC}">
              <c16:uniqueId val="{00000007-82D0-419F-9262-E5780526F723}"/>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499"/>
          <c:y val="4.2735042735042736E-2"/>
        </c:manualLayout>
      </c:layout>
      <c:overlay val="0"/>
      <c:spPr>
        <a:noFill/>
        <a:ln w="25400">
          <a:noFill/>
        </a:ln>
      </c:spPr>
    </c:title>
    <c:autoTitleDeleted val="0"/>
    <c:plotArea>
      <c:layout>
        <c:manualLayout>
          <c:layoutTarget val="inner"/>
          <c:xMode val="edge"/>
          <c:yMode val="edge"/>
          <c:x val="0.38647827471155743"/>
          <c:y val="0.31412095086719438"/>
          <c:w val="0.22363507342450567"/>
          <c:h val="0.35450737006363042"/>
        </c:manualLayout>
      </c:layout>
      <c:pieChart>
        <c:varyColors val="1"/>
        <c:ser>
          <c:idx val="0"/>
          <c:order val="0"/>
          <c:tx>
            <c:strRef>
              <c:f>'E-P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92D8-4D4F-A508-E8E6D94E3999}"/>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92D8-4D4F-A508-E8E6D94E3999}"/>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92D8-4D4F-A508-E8E6D94E3999}"/>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92D8-4D4F-A508-E8E6D94E3999}"/>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92D8-4D4F-A508-E8E6D94E3999}"/>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92D8-4D4F-A508-E8E6D94E3999}"/>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92D8-4D4F-A508-E8E6D94E3999}"/>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92D8-4D4F-A508-E8E6D94E3999}"/>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92D8-4D4F-A508-E8E6D94E3999}"/>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92D8-4D4F-A508-E8E6D94E3999}"/>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92D8-4D4F-A508-E8E6D94E3999}"/>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92D8-4D4F-A508-E8E6D94E3999}"/>
              </c:ext>
            </c:extLst>
          </c:dPt>
          <c:dLbls>
            <c:dLbl>
              <c:idx val="0"/>
              <c:layout>
                <c:manualLayout>
                  <c:x val="0.11391571157752452"/>
                  <c:y val="7.973809819649900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92D8-4D4F-A508-E8E6D94E3999}"/>
                </c:ext>
              </c:extLst>
            </c:dLbl>
            <c:dLbl>
              <c:idx val="1"/>
              <c:layout>
                <c:manualLayout>
                  <c:x val="0.11090448585582127"/>
                  <c:y val="8.409371287529615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92D8-4D4F-A508-E8E6D94E3999}"/>
                </c:ext>
              </c:extLst>
            </c:dLbl>
            <c:dLbl>
              <c:idx val="2"/>
              <c:delete val="1"/>
              <c:extLst>
                <c:ext xmlns:c15="http://schemas.microsoft.com/office/drawing/2012/chart" uri="{CE6537A1-D6FC-4f65-9D91-7224C49458BB}"/>
                <c:ext xmlns:c16="http://schemas.microsoft.com/office/drawing/2014/chart" uri="{C3380CC4-5D6E-409C-BE32-E72D297353CC}">
                  <c16:uniqueId val="{00000003-92D8-4D4F-A508-E8E6D94E3999}"/>
                </c:ext>
              </c:extLst>
            </c:dLbl>
            <c:dLbl>
              <c:idx val="3"/>
              <c:delete val="1"/>
              <c:extLst>
                <c:ext xmlns:c15="http://schemas.microsoft.com/office/drawing/2012/chart" uri="{CE6537A1-D6FC-4f65-9D91-7224C49458BB}"/>
                <c:ext xmlns:c16="http://schemas.microsoft.com/office/drawing/2014/chart" uri="{C3380CC4-5D6E-409C-BE32-E72D297353CC}">
                  <c16:uniqueId val="{00000005-92D8-4D4F-A508-E8E6D94E3999}"/>
                </c:ext>
              </c:extLst>
            </c:dLbl>
            <c:dLbl>
              <c:idx val="4"/>
              <c:delete val="1"/>
              <c:extLst>
                <c:ext xmlns:c15="http://schemas.microsoft.com/office/drawing/2012/chart" uri="{CE6537A1-D6FC-4f65-9D91-7224C49458BB}"/>
                <c:ext xmlns:c16="http://schemas.microsoft.com/office/drawing/2014/chart" uri="{C3380CC4-5D6E-409C-BE32-E72D297353CC}">
                  <c16:uniqueId val="{00000007-92D8-4D4F-A508-E8E6D94E3999}"/>
                </c:ext>
              </c:extLst>
            </c:dLbl>
            <c:dLbl>
              <c:idx val="5"/>
              <c:layout>
                <c:manualLayout>
                  <c:x val="9.3037130070036354E-3"/>
                  <c:y val="9.629439207473433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92D8-4D4F-A508-E8E6D94E3999}"/>
                </c:ext>
              </c:extLst>
            </c:dLbl>
            <c:dLbl>
              <c:idx val="6"/>
              <c:layout>
                <c:manualLayout>
                  <c:x val="5.2377690634954734E-3"/>
                  <c:y val="0.220040875768524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92D8-4D4F-A508-E8E6D94E3999}"/>
                </c:ext>
              </c:extLst>
            </c:dLbl>
            <c:dLbl>
              <c:idx val="7"/>
              <c:layout>
                <c:manualLayout>
                  <c:x val="-0.10507570029972371"/>
                  <c:y val="0.2616315119932654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92D8-4D4F-A508-E8E6D94E3999}"/>
                </c:ext>
              </c:extLst>
            </c:dLbl>
            <c:dLbl>
              <c:idx val="8"/>
              <c:layout>
                <c:manualLayout>
                  <c:x val="-0.15262620489435003"/>
                  <c:y val="0.1262600895432644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92D8-4D4F-A508-E8E6D94E3999}"/>
                </c:ext>
              </c:extLst>
            </c:dLbl>
            <c:dLbl>
              <c:idx val="9"/>
              <c:layout>
                <c:manualLayout>
                  <c:x val="-0.13505308137171401"/>
                  <c:y val="-6.2472044961842923E-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92D8-4D4F-A508-E8E6D94E3999}"/>
                </c:ext>
              </c:extLst>
            </c:dLbl>
            <c:dLbl>
              <c:idx val="10"/>
              <c:layout>
                <c:manualLayout>
                  <c:x val="-5.0764564378879287E-2"/>
                  <c:y val="-8.488205058552893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92D8-4D4F-A508-E8E6D94E3999}"/>
                </c:ext>
              </c:extLst>
            </c:dLbl>
            <c:dLbl>
              <c:idx val="11"/>
              <c:layout>
                <c:manualLayout>
                  <c:x val="5.5887211406873506E-2"/>
                  <c:y val="-5.631814287047177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92D8-4D4F-A508-E8E6D94E3999}"/>
                </c:ext>
              </c:extLst>
            </c:dLbl>
            <c:dLbl>
              <c:idx val="12"/>
              <c:layout>
                <c:manualLayout>
                  <c:x val="0.20463499462243973"/>
                  <c:y val="-5.697952320217459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92D8-4D4F-A508-E8E6D94E3999}"/>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'E-P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'E-P Chrts'!$D$54:$D$66</c:f>
              <c:numCache>
                <c:formatCode>"$"#,##0</c:formatCode>
                <c:ptCount val="13"/>
                <c:pt idx="0">
                  <c:v>109854473</c:v>
                </c:pt>
                <c:pt idx="1">
                  <c:v>23481120</c:v>
                </c:pt>
                <c:pt idx="3">
                  <c:v>0</c:v>
                </c:pt>
                <c:pt idx="4">
                  <c:v>0</c:v>
                </c:pt>
                <c:pt idx="5">
                  <c:v>148988894</c:v>
                </c:pt>
                <c:pt idx="6">
                  <c:v>206524165</c:v>
                </c:pt>
                <c:pt idx="7">
                  <c:v>17201351</c:v>
                </c:pt>
                <c:pt idx="8">
                  <c:v>770814</c:v>
                </c:pt>
                <c:pt idx="9">
                  <c:v>13772953</c:v>
                </c:pt>
                <c:pt idx="10">
                  <c:v>7474281</c:v>
                </c:pt>
                <c:pt idx="11">
                  <c:v>16537887</c:v>
                </c:pt>
                <c:pt idx="12">
                  <c:v>420707</c:v>
                </c:pt>
              </c:numCache>
            </c:numRef>
          </c:val>
          <c:extLst>
            <c:ext xmlns:c16="http://schemas.microsoft.com/office/drawing/2014/chart" uri="{C3380CC4-5D6E-409C-BE32-E72D297353CC}">
              <c16:uniqueId val="{00000019-92D8-4D4F-A508-E8E6D94E3999}"/>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305"/>
          <c:y val="3.3873343151695413E-2"/>
        </c:manualLayout>
      </c:layout>
      <c:overlay val="0"/>
      <c:spPr>
        <a:noFill/>
        <a:ln w="25400">
          <a:noFill/>
        </a:ln>
      </c:spPr>
    </c:title>
    <c:autoTitleDeleted val="0"/>
    <c:plotArea>
      <c:layout>
        <c:manualLayout>
          <c:layoutTarget val="inner"/>
          <c:xMode val="edge"/>
          <c:yMode val="edge"/>
          <c:x val="0.39079974253000221"/>
          <c:y val="0.30464582471286888"/>
          <c:w val="0.21675708257987653"/>
          <c:h val="0.35467542940787788"/>
        </c:manualLayout>
      </c:layout>
      <c:pieChart>
        <c:varyColors val="1"/>
        <c:ser>
          <c:idx val="0"/>
          <c:order val="0"/>
          <c:tx>
            <c:strRef>
              <c:f>'E-P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F722-4402-A809-DBAAA5D1ED8C}"/>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F722-4402-A809-DBAAA5D1ED8C}"/>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F722-4402-A809-DBAAA5D1ED8C}"/>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F722-4402-A809-DBAAA5D1ED8C}"/>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F722-4402-A809-DBAAA5D1ED8C}"/>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F722-4402-A809-DBAAA5D1ED8C}"/>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F722-4402-A809-DBAAA5D1ED8C}"/>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F722-4402-A809-DBAAA5D1ED8C}"/>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F722-4402-A809-DBAAA5D1ED8C}"/>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F722-4402-A809-DBAAA5D1ED8C}"/>
              </c:ext>
            </c:extLst>
          </c:dPt>
          <c:dLbls>
            <c:dLbl>
              <c:idx val="0"/>
              <c:layout>
                <c:manualLayout>
                  <c:x val="-0.10840484016350328"/>
                  <c:y val="-2.855237701159716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F722-4402-A809-DBAAA5D1ED8C}"/>
                </c:ext>
              </c:extLst>
            </c:dLbl>
            <c:dLbl>
              <c:idx val="1"/>
              <c:layout>
                <c:manualLayout>
                  <c:x val="-9.7282681436966625E-2"/>
                  <c:y val="4.937553664334411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F722-4402-A809-DBAAA5D1ED8C}"/>
                </c:ext>
              </c:extLst>
            </c:dLbl>
            <c:dLbl>
              <c:idx val="2"/>
              <c:layout>
                <c:manualLayout>
                  <c:x val="-9.0561211940492797E-2"/>
                  <c:y val="-6.2519337799200022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F722-4402-A809-DBAAA5D1ED8C}"/>
                </c:ext>
              </c:extLst>
            </c:dLbl>
            <c:dLbl>
              <c:idx val="3"/>
              <c:layout>
                <c:manualLayout>
                  <c:x val="2.8538906955852403E-2"/>
                  <c:y val="-6.659689526585824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F722-4402-A809-DBAAA5D1ED8C}"/>
                </c:ext>
              </c:extLst>
            </c:dLbl>
            <c:dLbl>
              <c:idx val="4"/>
              <c:layout>
                <c:manualLayout>
                  <c:x val="8.6330023257063584E-2"/>
                  <c:y val="-6.045213483090222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F722-4402-A809-DBAAA5D1ED8C}"/>
                </c:ext>
              </c:extLst>
            </c:dLbl>
            <c:dLbl>
              <c:idx val="5"/>
              <c:layout>
                <c:manualLayout>
                  <c:x val="0.13877960204916451"/>
                  <c:y val="1.245385333219015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F722-4402-A809-DBAAA5D1ED8C}"/>
                </c:ext>
              </c:extLst>
            </c:dLbl>
            <c:dLbl>
              <c:idx val="6"/>
              <c:layout>
                <c:manualLayout>
                  <c:x val="0.12574121010898967"/>
                  <c:y val="0.1192982227242283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F722-4402-A809-DBAAA5D1ED8C}"/>
                </c:ext>
              </c:extLst>
            </c:dLbl>
            <c:dLbl>
              <c:idx val="7"/>
              <c:layout>
                <c:manualLayout>
                  <c:x val="0.12133179043062282"/>
                  <c:y val="0.1396759140177764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F722-4402-A809-DBAAA5D1ED8C}"/>
                </c:ext>
              </c:extLst>
            </c:dLbl>
            <c:dLbl>
              <c:idx val="8"/>
              <c:layout>
                <c:manualLayout>
                  <c:x val="9.9892796516208429E-2"/>
                  <c:y val="0.1066718213429381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F722-4402-A809-DBAAA5D1ED8C}"/>
                </c:ext>
              </c:extLst>
            </c:dLbl>
            <c:dLbl>
              <c:idx val="9"/>
              <c:layout>
                <c:manualLayout>
                  <c:x val="1.2831685611120403E-2"/>
                  <c:y val="0.1490220509933881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F722-4402-A809-DBAAA5D1ED8C}"/>
                </c:ext>
              </c:extLst>
            </c:dLbl>
            <c:dLbl>
              <c:idx val="10"/>
              <c:layout>
                <c:manualLayout>
                  <c:x val="-0.18402161022432886"/>
                  <c:y val="9.195861307129606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F722-4402-A809-DBAAA5D1ED8C}"/>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'E-P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'E-P Chrts'!$D$102:$D$112</c:f>
              <c:numCache>
                <c:formatCode>"$"#,##0</c:formatCode>
                <c:ptCount val="11"/>
                <c:pt idx="0">
                  <c:v>111347256</c:v>
                </c:pt>
                <c:pt idx="1">
                  <c:v>89423609</c:v>
                </c:pt>
                <c:pt idx="2">
                  <c:v>11373956</c:v>
                </c:pt>
                <c:pt idx="3">
                  <c:v>26993271</c:v>
                </c:pt>
                <c:pt idx="4">
                  <c:v>28270762</c:v>
                </c:pt>
                <c:pt idx="5">
                  <c:v>31762240</c:v>
                </c:pt>
                <c:pt idx="6">
                  <c:v>28976151</c:v>
                </c:pt>
                <c:pt idx="7">
                  <c:v>108022906</c:v>
                </c:pt>
                <c:pt idx="8">
                  <c:v>35721794</c:v>
                </c:pt>
                <c:pt idx="9">
                  <c:v>10125461</c:v>
                </c:pt>
                <c:pt idx="10">
                  <c:v>0</c:v>
                </c:pt>
              </c:numCache>
            </c:numRef>
          </c:val>
          <c:extLst>
            <c:ext xmlns:c16="http://schemas.microsoft.com/office/drawing/2014/chart" uri="{C3380CC4-5D6E-409C-BE32-E72D297353CC}">
              <c16:uniqueId val="{00000015-F722-4402-A809-DBAAA5D1ED8C}"/>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9259856771299306"/>
          <c:y val="0.29672689289852588"/>
          <c:w val="0.21813384639137853"/>
          <c:h val="0.34347173817297488"/>
        </c:manualLayout>
      </c:layout>
      <c:pieChart>
        <c:varyColors val="1"/>
        <c:ser>
          <c:idx val="0"/>
          <c:order val="0"/>
          <c:tx>
            <c:strRef>
              <c:f>'RGV1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CA43-4247-BA02-C42C17F26CA8}"/>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CA43-4247-BA02-C42C17F26CA8}"/>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CA43-4247-BA02-C42C17F26CA8}"/>
              </c:ext>
            </c:extLst>
          </c:dPt>
          <c:dLbls>
            <c:dLbl>
              <c:idx val="0"/>
              <c:layout>
                <c:manualLayout>
                  <c:x val="7.9958147765465948E-2"/>
                  <c:y val="1.7286641996112821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CA43-4247-BA02-C42C17F26CA8}"/>
                </c:ext>
              </c:extLst>
            </c:dLbl>
            <c:dLbl>
              <c:idx val="1"/>
              <c:layout>
                <c:manualLayout>
                  <c:x val="8.7682236553010051E-2"/>
                  <c:y val="0.1006663024329062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CA43-4247-BA02-C42C17F26CA8}"/>
                </c:ext>
              </c:extLst>
            </c:dLbl>
            <c:dLbl>
              <c:idx val="2"/>
              <c:layout>
                <c:manualLayout>
                  <c:x val="-7.1276891463077252E-2"/>
                  <c:y val="7.423801140334912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CA43-4247-BA02-C42C17F26CA8}"/>
                </c:ext>
              </c:extLst>
            </c:dLbl>
            <c:dLbl>
              <c:idx val="3"/>
              <c:layout>
                <c:manualLayout>
                  <c:x val="-6.4541513758743979E-2"/>
                  <c:y val="-1.238773780913991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CA43-4247-BA02-C42C17F26CA8}"/>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'RGV1 Chrts'!$C$9:$C$12</c:f>
              <c:strCache>
                <c:ptCount val="4"/>
                <c:pt idx="0">
                  <c:v>State of Texas</c:v>
                </c:pt>
                <c:pt idx="1">
                  <c:v>Student &amp; Parent</c:v>
                </c:pt>
                <c:pt idx="2">
                  <c:v>Federal Government</c:v>
                </c:pt>
                <c:pt idx="3">
                  <c:v>Institutional Resources</c:v>
                </c:pt>
              </c:strCache>
            </c:strRef>
          </c:cat>
          <c:val>
            <c:numRef>
              <c:f>'RGV1 Chrts'!$D$9:$D$12</c:f>
              <c:numCache>
                <c:formatCode>"$"#,##0</c:formatCode>
                <c:ptCount val="4"/>
                <c:pt idx="0">
                  <c:v>152832944</c:v>
                </c:pt>
                <c:pt idx="1">
                  <c:v>139918937</c:v>
                </c:pt>
                <c:pt idx="2">
                  <c:v>246799186</c:v>
                </c:pt>
                <c:pt idx="3">
                  <c:v>77549856</c:v>
                </c:pt>
              </c:numCache>
            </c:numRef>
          </c:val>
          <c:extLst>
            <c:ext xmlns:c16="http://schemas.microsoft.com/office/drawing/2014/chart" uri="{C3380CC4-5D6E-409C-BE32-E72D297353CC}">
              <c16:uniqueId val="{00000007-CA43-4247-BA02-C42C17F26CA8}"/>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533"/>
          <c:y val="4.2735042735042736E-2"/>
        </c:manualLayout>
      </c:layout>
      <c:overlay val="0"/>
      <c:spPr>
        <a:noFill/>
        <a:ln w="25400">
          <a:noFill/>
        </a:ln>
      </c:spPr>
    </c:title>
    <c:autoTitleDeleted val="0"/>
    <c:plotArea>
      <c:layout>
        <c:manualLayout>
          <c:layoutTarget val="inner"/>
          <c:xMode val="edge"/>
          <c:yMode val="edge"/>
          <c:x val="0.38768197844157137"/>
          <c:y val="0.29313166591970857"/>
          <c:w val="0.22122766596444288"/>
          <c:h val="0.35069113643680266"/>
        </c:manualLayout>
      </c:layout>
      <c:pieChart>
        <c:varyColors val="1"/>
        <c:ser>
          <c:idx val="0"/>
          <c:order val="0"/>
          <c:tx>
            <c:strRef>
              <c:f>'RGV1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DE23-4376-BDAD-4A02F870C5FB}"/>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DE23-4376-BDAD-4A02F870C5FB}"/>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DE23-4376-BDAD-4A02F870C5FB}"/>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DE23-4376-BDAD-4A02F870C5FB}"/>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DE23-4376-BDAD-4A02F870C5FB}"/>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DE23-4376-BDAD-4A02F870C5FB}"/>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DE23-4376-BDAD-4A02F870C5FB}"/>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DE23-4376-BDAD-4A02F870C5FB}"/>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DE23-4376-BDAD-4A02F870C5FB}"/>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DE23-4376-BDAD-4A02F870C5FB}"/>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DE23-4376-BDAD-4A02F870C5FB}"/>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DE23-4376-BDAD-4A02F870C5FB}"/>
              </c:ext>
            </c:extLst>
          </c:dPt>
          <c:dLbls>
            <c:dLbl>
              <c:idx val="0"/>
              <c:layout>
                <c:manualLayout>
                  <c:x val="0.13554116855671278"/>
                  <c:y val="0.1059066432063453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DE23-4376-BDAD-4A02F870C5FB}"/>
                </c:ext>
              </c:extLst>
            </c:dLbl>
            <c:dLbl>
              <c:idx val="1"/>
              <c:layout>
                <c:manualLayout>
                  <c:x val="0.13592887840041232"/>
                  <c:y val="0.1295462573340422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DE23-4376-BDAD-4A02F870C5FB}"/>
                </c:ext>
              </c:extLst>
            </c:dLbl>
            <c:dLbl>
              <c:idx val="2"/>
              <c:delete val="1"/>
              <c:extLst>
                <c:ext xmlns:c15="http://schemas.microsoft.com/office/drawing/2012/chart" uri="{CE6537A1-D6FC-4f65-9D91-7224C49458BB}"/>
                <c:ext xmlns:c16="http://schemas.microsoft.com/office/drawing/2014/chart" uri="{C3380CC4-5D6E-409C-BE32-E72D297353CC}">
                  <c16:uniqueId val="{00000003-DE23-4376-BDAD-4A02F870C5FB}"/>
                </c:ext>
              </c:extLst>
            </c:dLbl>
            <c:dLbl>
              <c:idx val="3"/>
              <c:layout>
                <c:manualLayout>
                  <c:x val="0.1225902231146332"/>
                  <c:y val="0.2344668398595684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DE23-4376-BDAD-4A02F870C5FB}"/>
                </c:ext>
              </c:extLst>
            </c:dLbl>
            <c:dLbl>
              <c:idx val="4"/>
              <c:delete val="1"/>
              <c:extLst>
                <c:ext xmlns:c15="http://schemas.microsoft.com/office/drawing/2012/chart" uri="{CE6537A1-D6FC-4f65-9D91-7224C49458BB}"/>
                <c:ext xmlns:c16="http://schemas.microsoft.com/office/drawing/2014/chart" uri="{C3380CC4-5D6E-409C-BE32-E72D297353CC}">
                  <c16:uniqueId val="{00000007-DE23-4376-BDAD-4A02F870C5FB}"/>
                </c:ext>
              </c:extLst>
            </c:dLbl>
            <c:dLbl>
              <c:idx val="5"/>
              <c:layout>
                <c:manualLayout>
                  <c:x val="1.6601580498894288E-2"/>
                  <c:y val="0.217731152951789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DE23-4376-BDAD-4A02F870C5FB}"/>
                </c:ext>
              </c:extLst>
            </c:dLbl>
            <c:dLbl>
              <c:idx val="6"/>
              <c:layout>
                <c:manualLayout>
                  <c:x val="-8.2400534514068285E-2"/>
                  <c:y val="0.2319445197758277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DE23-4376-BDAD-4A02F870C5FB}"/>
                </c:ext>
              </c:extLst>
            </c:dLbl>
            <c:dLbl>
              <c:idx val="7"/>
              <c:layout>
                <c:manualLayout>
                  <c:x val="-0.16096328977567934"/>
                  <c:y val="4.550242593764785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DE23-4376-BDAD-4A02F870C5FB}"/>
                </c:ext>
              </c:extLst>
            </c:dLbl>
            <c:dLbl>
              <c:idx val="8"/>
              <c:layout>
                <c:manualLayout>
                  <c:x val="-0.19338110677266337"/>
                  <c:y val="0.2098549876295434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DE23-4376-BDAD-4A02F870C5FB}"/>
                </c:ext>
              </c:extLst>
            </c:dLbl>
            <c:dLbl>
              <c:idx val="9"/>
              <c:layout>
                <c:manualLayout>
                  <c:x val="-9.5943063552373017E-2"/>
                  <c:y val="-8.98798141824763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DE23-4376-BDAD-4A02F870C5FB}"/>
                </c:ext>
              </c:extLst>
            </c:dLbl>
            <c:dLbl>
              <c:idx val="10"/>
              <c:layout>
                <c:manualLayout>
                  <c:x val="4.0093470019169089E-2"/>
                  <c:y val="-8.979672846611297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DE23-4376-BDAD-4A02F870C5FB}"/>
                </c:ext>
              </c:extLst>
            </c:dLbl>
            <c:dLbl>
              <c:idx val="11"/>
              <c:layout>
                <c:manualLayout>
                  <c:x val="0.1595782336933842"/>
                  <c:y val="-5.407032116610879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DE23-4376-BDAD-4A02F870C5FB}"/>
                </c:ext>
              </c:extLst>
            </c:dLbl>
            <c:dLbl>
              <c:idx val="12"/>
              <c:layout>
                <c:manualLayout>
                  <c:x val="0.27432730404514072"/>
                  <c:y val="3.120086505302082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DE23-4376-BDAD-4A02F870C5FB}"/>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'RGV1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'RGV1 Chrts'!$D$54:$D$66</c:f>
              <c:numCache>
                <c:formatCode>"$"#,##0</c:formatCode>
                <c:ptCount val="13"/>
                <c:pt idx="0">
                  <c:v>111961783</c:v>
                </c:pt>
                <c:pt idx="1">
                  <c:v>40871161</c:v>
                </c:pt>
                <c:pt idx="3">
                  <c:v>0</c:v>
                </c:pt>
                <c:pt idx="4">
                  <c:v>0</c:v>
                </c:pt>
                <c:pt idx="5">
                  <c:v>139918937</c:v>
                </c:pt>
                <c:pt idx="6">
                  <c:v>246799186</c:v>
                </c:pt>
                <c:pt idx="7">
                  <c:v>8251013</c:v>
                </c:pt>
                <c:pt idx="8">
                  <c:v>250704</c:v>
                </c:pt>
                <c:pt idx="9">
                  <c:v>48437496</c:v>
                </c:pt>
                <c:pt idx="10">
                  <c:v>6070296</c:v>
                </c:pt>
                <c:pt idx="11">
                  <c:v>3925402</c:v>
                </c:pt>
                <c:pt idx="12">
                  <c:v>10614945</c:v>
                </c:pt>
              </c:numCache>
            </c:numRef>
          </c:val>
          <c:extLst>
            <c:ext xmlns:c16="http://schemas.microsoft.com/office/drawing/2014/chart" uri="{C3380CC4-5D6E-409C-BE32-E72D297353CC}">
              <c16:uniqueId val="{00000019-DE23-4376-BDAD-4A02F870C5FB}"/>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316"/>
          <c:y val="3.3873343151695427E-2"/>
        </c:manualLayout>
      </c:layout>
      <c:overlay val="0"/>
      <c:spPr>
        <a:noFill/>
        <a:ln w="25400">
          <a:noFill/>
        </a:ln>
      </c:spPr>
    </c:title>
    <c:autoTitleDeleted val="0"/>
    <c:plotArea>
      <c:layout>
        <c:manualLayout>
          <c:layoutTarget val="inner"/>
          <c:xMode val="edge"/>
          <c:yMode val="edge"/>
          <c:x val="0.3928427617434111"/>
          <c:y val="0.28491971629196688"/>
          <c:w val="0.21796262808921041"/>
          <c:h val="0.35664804024996088"/>
        </c:manualLayout>
      </c:layout>
      <c:pieChart>
        <c:varyColors val="1"/>
        <c:ser>
          <c:idx val="0"/>
          <c:order val="0"/>
          <c:tx>
            <c:strRef>
              <c:f>'RGV1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F784-4F3B-9607-0309EBA84416}"/>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F784-4F3B-9607-0309EBA84416}"/>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F784-4F3B-9607-0309EBA84416}"/>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F784-4F3B-9607-0309EBA84416}"/>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F784-4F3B-9607-0309EBA84416}"/>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F784-4F3B-9607-0309EBA84416}"/>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F784-4F3B-9607-0309EBA84416}"/>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F784-4F3B-9607-0309EBA84416}"/>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F784-4F3B-9607-0309EBA84416}"/>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F784-4F3B-9607-0309EBA84416}"/>
              </c:ext>
            </c:extLst>
          </c:dPt>
          <c:dLbls>
            <c:dLbl>
              <c:idx val="0"/>
              <c:layout>
                <c:manualLayout>
                  <c:x val="-3.5739193184991663E-2"/>
                  <c:y val="8.91749157795998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F784-4F3B-9607-0309EBA84416}"/>
                </c:ext>
              </c:extLst>
            </c:dLbl>
            <c:dLbl>
              <c:idx val="1"/>
              <c:layout>
                <c:manualLayout>
                  <c:x val="-0.10310823881288317"/>
                  <c:y val="0.1702542043410803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F784-4F3B-9607-0309EBA84416}"/>
                </c:ext>
              </c:extLst>
            </c:dLbl>
            <c:dLbl>
              <c:idx val="2"/>
              <c:layout>
                <c:manualLayout>
                  <c:x val="-0.10332241873461294"/>
                  <c:y val="3.798829697955952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F784-4F3B-9607-0309EBA84416}"/>
                </c:ext>
              </c:extLst>
            </c:dLbl>
            <c:dLbl>
              <c:idx val="3"/>
              <c:layout>
                <c:manualLayout>
                  <c:x val="-4.9946965872737774E-2"/>
                  <c:y val="-5.795205374448969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F784-4F3B-9607-0309EBA84416}"/>
                </c:ext>
              </c:extLst>
            </c:dLbl>
            <c:dLbl>
              <c:idx val="4"/>
              <c:layout>
                <c:manualLayout>
                  <c:x val="3.8084293043542099E-2"/>
                  <c:y val="-6.371083570836233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F784-4F3B-9607-0309EBA84416}"/>
                </c:ext>
              </c:extLst>
            </c:dLbl>
            <c:dLbl>
              <c:idx val="5"/>
              <c:layout>
                <c:manualLayout>
                  <c:x val="0.13383501637379014"/>
                  <c:y val="-2.913593263424205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F784-4F3B-9607-0309EBA84416}"/>
                </c:ext>
              </c:extLst>
            </c:dLbl>
            <c:dLbl>
              <c:idx val="6"/>
              <c:layout>
                <c:manualLayout>
                  <c:x val="0.11256138752261945"/>
                  <c:y val="8.728787443881555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F784-4F3B-9607-0309EBA84416}"/>
                </c:ext>
              </c:extLst>
            </c:dLbl>
            <c:dLbl>
              <c:idx val="7"/>
              <c:layout>
                <c:manualLayout>
                  <c:x val="0.12187793031054583"/>
                  <c:y val="2.922695232975472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F784-4F3B-9607-0309EBA84416}"/>
                </c:ext>
              </c:extLst>
            </c:dLbl>
            <c:dLbl>
              <c:idx val="8"/>
              <c:layout>
                <c:manualLayout>
                  <c:x val="8.1946335442084767E-2"/>
                  <c:y val="7.437178936178573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F784-4F3B-9607-0309EBA84416}"/>
                </c:ext>
              </c:extLst>
            </c:dLbl>
            <c:dLbl>
              <c:idx val="9"/>
              <c:layout>
                <c:manualLayout>
                  <c:x val="-5.6060175476171918E-2"/>
                  <c:y val="0.1350213500208987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F784-4F3B-9607-0309EBA84416}"/>
                </c:ext>
              </c:extLst>
            </c:dLbl>
            <c:dLbl>
              <c:idx val="10"/>
              <c:delete val="1"/>
              <c:extLst>
                <c:ext xmlns:c15="http://schemas.microsoft.com/office/drawing/2012/chart" uri="{CE6537A1-D6FC-4f65-9D91-7224C49458BB}"/>
                <c:ext xmlns:c16="http://schemas.microsoft.com/office/drawing/2014/chart" uri="{C3380CC4-5D6E-409C-BE32-E72D297353CC}">
                  <c16:uniqueId val="{00000013-F784-4F3B-9607-0309EBA84416}"/>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'RGV1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'RGV1 Chrts'!$D$102:$D$112</c:f>
              <c:numCache>
                <c:formatCode>"$"#,##0</c:formatCode>
                <c:ptCount val="11"/>
                <c:pt idx="0">
                  <c:v>142384669</c:v>
                </c:pt>
                <c:pt idx="1">
                  <c:v>28259210</c:v>
                </c:pt>
                <c:pt idx="2">
                  <c:v>7278431</c:v>
                </c:pt>
                <c:pt idx="3">
                  <c:v>47325576</c:v>
                </c:pt>
                <c:pt idx="4">
                  <c:v>39240357</c:v>
                </c:pt>
                <c:pt idx="5">
                  <c:v>37604861</c:v>
                </c:pt>
                <c:pt idx="6">
                  <c:v>36438488</c:v>
                </c:pt>
                <c:pt idx="7">
                  <c:v>115566705</c:v>
                </c:pt>
                <c:pt idx="8">
                  <c:v>23547593</c:v>
                </c:pt>
                <c:pt idx="9">
                  <c:v>8415426</c:v>
                </c:pt>
                <c:pt idx="10">
                  <c:v>0</c:v>
                </c:pt>
              </c:numCache>
            </c:numRef>
          </c:val>
          <c:extLst>
            <c:ext xmlns:c16="http://schemas.microsoft.com/office/drawing/2014/chart" uri="{C3380CC4-5D6E-409C-BE32-E72D297353CC}">
              <c16:uniqueId val="{00000015-F784-4F3B-9607-0309EBA84416}"/>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986317502167433"/>
          <c:y val="0.30432673204524552"/>
          <c:w val="0.21692720989062725"/>
          <c:h val="0.34157177838629682"/>
        </c:manualLayout>
      </c:layout>
      <c:pieChart>
        <c:varyColors val="1"/>
        <c:ser>
          <c:idx val="0"/>
          <c:order val="0"/>
          <c:tx>
            <c:strRef>
              <c:f>'P-B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B2EB-4406-AD60-7CCA6EFF0A34}"/>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B2EB-4406-AD60-7CCA6EFF0A34}"/>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B2EB-4406-AD60-7CCA6EFF0A34}"/>
              </c:ext>
            </c:extLst>
          </c:dPt>
          <c:dLbls>
            <c:dLbl>
              <c:idx val="0"/>
              <c:layout>
                <c:manualLayout>
                  <c:x val="0.10527789456182232"/>
                  <c:y val="7.629176321055504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B2EB-4406-AD60-7CCA6EFF0A34}"/>
                </c:ext>
              </c:extLst>
            </c:dLbl>
            <c:dLbl>
              <c:idx val="1"/>
              <c:layout>
                <c:manualLayout>
                  <c:x val="3.0883423627257198E-2"/>
                  <c:y val="0.1278210662753846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B2EB-4406-AD60-7CCA6EFF0A34}"/>
                </c:ext>
              </c:extLst>
            </c:dLbl>
            <c:dLbl>
              <c:idx val="2"/>
              <c:layout>
                <c:manualLayout>
                  <c:x val="-9.8510564007553564E-2"/>
                  <c:y val="-1.007816464483028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B2EB-4406-AD60-7CCA6EFF0A34}"/>
                </c:ext>
              </c:extLst>
            </c:dLbl>
            <c:dLbl>
              <c:idx val="3"/>
              <c:layout>
                <c:manualLayout>
                  <c:x val="0.12778394555884134"/>
                  <c:y val="-9.660532539280258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B2EB-4406-AD60-7CCA6EFF0A34}"/>
                </c:ext>
              </c:extLst>
            </c:dLbl>
            <c:spPr>
              <a:noFill/>
              <a:ln>
                <a:noFill/>
              </a:ln>
              <a:effectLst/>
            </c:sp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'P-B Chrts'!$C$9:$C$12</c:f>
              <c:strCache>
                <c:ptCount val="4"/>
                <c:pt idx="0">
                  <c:v>State of Texas</c:v>
                </c:pt>
                <c:pt idx="1">
                  <c:v>Student &amp; Parent</c:v>
                </c:pt>
                <c:pt idx="2">
                  <c:v>Federal Government</c:v>
                </c:pt>
                <c:pt idx="3">
                  <c:v>Institutional Resources</c:v>
                </c:pt>
              </c:strCache>
            </c:strRef>
          </c:cat>
          <c:val>
            <c:numRef>
              <c:f>'P-B Chrts'!$D$9:$D$12</c:f>
              <c:numCache>
                <c:formatCode>"$"#,##0</c:formatCode>
                <c:ptCount val="4"/>
                <c:pt idx="0">
                  <c:v>43016478</c:v>
                </c:pt>
                <c:pt idx="1">
                  <c:v>32513106</c:v>
                </c:pt>
                <c:pt idx="2">
                  <c:v>22084960</c:v>
                </c:pt>
                <c:pt idx="3">
                  <c:v>17218876</c:v>
                </c:pt>
              </c:numCache>
            </c:numRef>
          </c:val>
          <c:extLst>
            <c:ext xmlns:c16="http://schemas.microsoft.com/office/drawing/2014/chart" uri="{C3380CC4-5D6E-409C-BE32-E72D297353CC}">
              <c16:uniqueId val="{00000007-B2EB-4406-AD60-7CCA6EFF0A34}"/>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6565166068"/>
          <c:y val="4.2735102184470387E-2"/>
        </c:manualLayout>
      </c:layout>
      <c:overlay val="0"/>
      <c:spPr>
        <a:noFill/>
        <a:ln w="25400">
          <a:noFill/>
        </a:ln>
      </c:spPr>
    </c:title>
    <c:autoTitleDeleted val="0"/>
    <c:plotArea>
      <c:layout>
        <c:manualLayout>
          <c:layoutTarget val="inner"/>
          <c:xMode val="edge"/>
          <c:yMode val="edge"/>
          <c:x val="0.38552053234611638"/>
          <c:y val="0.31766425957123001"/>
          <c:w val="0.23348426606876871"/>
          <c:h val="0.36752187878646225"/>
        </c:manualLayout>
      </c:layout>
      <c:pieChart>
        <c:varyColors val="1"/>
        <c:ser>
          <c:idx val="0"/>
          <c:order val="0"/>
          <c:tx>
            <c:strRef>
              <c:f>'Smmy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F2E3-4AAB-8225-2C66AF873A3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F2E3-4AAB-8225-2C66AF873A3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F2E3-4AAB-8225-2C66AF873A3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F2E3-4AAB-8225-2C66AF873A3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F2E3-4AAB-8225-2C66AF873A3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F2E3-4AAB-8225-2C66AF873A3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F2E3-4AAB-8225-2C66AF873A33}"/>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F2E3-4AAB-8225-2C66AF873A33}"/>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F2E3-4AAB-8225-2C66AF873A33}"/>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F2E3-4AAB-8225-2C66AF873A33}"/>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F2E3-4AAB-8225-2C66AF873A33}"/>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F2E3-4AAB-8225-2C66AF873A33}"/>
              </c:ext>
            </c:extLst>
          </c:dPt>
          <c:dLbls>
            <c:dLbl>
              <c:idx val="0"/>
              <c:layout>
                <c:manualLayout>
                  <c:x val="-3.887868268179821E-4"/>
                  <c:y val="-9.410246166600835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F2E3-4AAB-8225-2C66AF873A33}"/>
                </c:ext>
              </c:extLst>
            </c:dLbl>
            <c:dLbl>
              <c:idx val="1"/>
              <c:layout>
                <c:manualLayout>
                  <c:x val="-4.7684770655105804E-2"/>
                  <c:y val="-6.931707597775586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F2E3-4AAB-8225-2C66AF873A33}"/>
                </c:ext>
              </c:extLst>
            </c:dLbl>
            <c:dLbl>
              <c:idx val="2"/>
              <c:delete val="1"/>
              <c:extLst>
                <c:ext xmlns:c15="http://schemas.microsoft.com/office/drawing/2012/chart" uri="{CE6537A1-D6FC-4f65-9D91-7224C49458BB}"/>
                <c:ext xmlns:c16="http://schemas.microsoft.com/office/drawing/2014/chart" uri="{C3380CC4-5D6E-409C-BE32-E72D297353CC}">
                  <c16:uniqueId val="{00000003-F2E3-4AAB-8225-2C66AF873A33}"/>
                </c:ext>
              </c:extLst>
            </c:dLbl>
            <c:dLbl>
              <c:idx val="3"/>
              <c:layout>
                <c:manualLayout>
                  <c:x val="0.16064573113106731"/>
                  <c:y val="1.673298249024869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F2E3-4AAB-8225-2C66AF873A33}"/>
                </c:ext>
              </c:extLst>
            </c:dLbl>
            <c:dLbl>
              <c:idx val="4"/>
              <c:layout>
                <c:manualLayout>
                  <c:x val="0.15615563187858619"/>
                  <c:y val="0.1915268495323686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F2E3-4AAB-8225-2C66AF873A33}"/>
                </c:ext>
              </c:extLst>
            </c:dLbl>
            <c:dLbl>
              <c:idx val="5"/>
              <c:layout>
                <c:manualLayout>
                  <c:x val="0.1193685502924004"/>
                  <c:y val="9.497929392766607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F2E3-4AAB-8225-2C66AF873A33}"/>
                </c:ext>
              </c:extLst>
            </c:dLbl>
            <c:dLbl>
              <c:idx val="6"/>
              <c:layout>
                <c:manualLayout>
                  <c:x val="0.1825847954779409"/>
                  <c:y val="5.690995957346527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F2E3-4AAB-8225-2C66AF873A33}"/>
                </c:ext>
              </c:extLst>
            </c:dLbl>
            <c:dLbl>
              <c:idx val="7"/>
              <c:layout>
                <c:manualLayout>
                  <c:x val="0.1586592408572304"/>
                  <c:y val="0.1303523240036437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F2E3-4AAB-8225-2C66AF873A33}"/>
                </c:ext>
              </c:extLst>
            </c:dLbl>
            <c:dLbl>
              <c:idx val="8"/>
              <c:layout>
                <c:manualLayout>
                  <c:x val="-7.1634020231131967E-2"/>
                  <c:y val="8.959344641504651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F2E3-4AAB-8225-2C66AF873A33}"/>
                </c:ext>
              </c:extLst>
            </c:dLbl>
            <c:dLbl>
              <c:idx val="9"/>
              <c:layout>
                <c:manualLayout>
                  <c:x val="-8.4979303404330048E-2"/>
                  <c:y val="1.433040800495562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F2E3-4AAB-8225-2C66AF873A33}"/>
                </c:ext>
              </c:extLst>
            </c:dLbl>
            <c:dLbl>
              <c:idx val="10"/>
              <c:layout>
                <c:manualLayout>
                  <c:x val="-0.11450862017735391"/>
                  <c:y val="-2.672490379410254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F2E3-4AAB-8225-2C66AF873A33}"/>
                </c:ext>
              </c:extLst>
            </c:dLbl>
            <c:dLbl>
              <c:idx val="11"/>
              <c:layout>
                <c:manualLayout>
                  <c:x val="-0.11828644907304861"/>
                  <c:y val="-5.469218695277808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F2E3-4AAB-8225-2C66AF873A33}"/>
                </c:ext>
              </c:extLst>
            </c:dLbl>
            <c:dLbl>
              <c:idx val="12"/>
              <c:layout>
                <c:manualLayout>
                  <c:x val="-0.12272242904758886"/>
                  <c:y val="-0.1241019643536735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F2E3-4AAB-8225-2C66AF873A33}"/>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'Smmy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'Smmy Chrts'!$D$54:$D$66</c:f>
              <c:numCache>
                <c:formatCode>"$"#,##0</c:formatCode>
                <c:ptCount val="13"/>
                <c:pt idx="0">
                  <c:v>3049059798</c:v>
                </c:pt>
                <c:pt idx="1">
                  <c:v>570351682</c:v>
                </c:pt>
                <c:pt idx="3">
                  <c:v>336493406</c:v>
                </c:pt>
                <c:pt idx="4">
                  <c:v>620595609</c:v>
                </c:pt>
                <c:pt idx="5">
                  <c:v>5201526243</c:v>
                </c:pt>
                <c:pt idx="6">
                  <c:v>3599991337</c:v>
                </c:pt>
                <c:pt idx="7">
                  <c:v>1095288846</c:v>
                </c:pt>
                <c:pt idx="8">
                  <c:v>34318885</c:v>
                </c:pt>
                <c:pt idx="9">
                  <c:v>1130449952</c:v>
                </c:pt>
                <c:pt idx="10">
                  <c:v>686038350</c:v>
                </c:pt>
                <c:pt idx="11">
                  <c:v>1027049171</c:v>
                </c:pt>
                <c:pt idx="12">
                  <c:v>308924059</c:v>
                </c:pt>
              </c:numCache>
            </c:numRef>
          </c:val>
          <c:extLst>
            <c:ext xmlns:c16="http://schemas.microsoft.com/office/drawing/2014/chart" uri="{C3380CC4-5D6E-409C-BE32-E72D297353CC}">
              <c16:uniqueId val="{00000019-F2E3-4AAB-8225-2C66AF873A33}"/>
            </c:ext>
          </c:extLst>
        </c:ser>
        <c:dLbls>
          <c:showLegendKey val="0"/>
          <c:showVal val="1"/>
          <c:showCatName val="1"/>
          <c:showSerName val="0"/>
          <c:showPercent val="1"/>
          <c:showBubbleSize val="0"/>
          <c:separator>
</c:separator>
          <c:showLeaderLines val="1"/>
        </c:dLbls>
        <c:firstSliceAng val="30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40000019002149617"/>
          <c:y val="2.7065527065527412E-2"/>
        </c:manualLayout>
      </c:layout>
      <c:overlay val="0"/>
      <c:spPr>
        <a:noFill/>
        <a:ln w="25400">
          <a:noFill/>
        </a:ln>
      </c:spPr>
    </c:title>
    <c:autoTitleDeleted val="0"/>
    <c:plotArea>
      <c:layout>
        <c:manualLayout>
          <c:layoutTarget val="inner"/>
          <c:xMode val="edge"/>
          <c:yMode val="edge"/>
          <c:x val="0.38888568217162323"/>
          <c:y val="0.30267224998675285"/>
          <c:w val="0.22483877715453718"/>
          <c:h val="0.35641548687705554"/>
        </c:manualLayout>
      </c:layout>
      <c:pieChart>
        <c:varyColors val="1"/>
        <c:ser>
          <c:idx val="0"/>
          <c:order val="0"/>
          <c:tx>
            <c:strRef>
              <c:f>'P-B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98BA-4E9B-8F7F-205FDC1CE96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98BA-4E9B-8F7F-205FDC1CE965}"/>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98BA-4E9B-8F7F-205FDC1CE965}"/>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98BA-4E9B-8F7F-205FDC1CE965}"/>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98BA-4E9B-8F7F-205FDC1CE965}"/>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98BA-4E9B-8F7F-205FDC1CE965}"/>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98BA-4E9B-8F7F-205FDC1CE965}"/>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98BA-4E9B-8F7F-205FDC1CE965}"/>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98BA-4E9B-8F7F-205FDC1CE965}"/>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98BA-4E9B-8F7F-205FDC1CE965}"/>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98BA-4E9B-8F7F-205FDC1CE965}"/>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98BA-4E9B-8F7F-205FDC1CE965}"/>
              </c:ext>
            </c:extLst>
          </c:dPt>
          <c:dLbls>
            <c:dLbl>
              <c:idx val="0"/>
              <c:layout>
                <c:manualLayout>
                  <c:x val="9.2708777072227438E-2"/>
                  <c:y val="0.1344350930026651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98BA-4E9B-8F7F-205FDC1CE965}"/>
                </c:ext>
              </c:extLst>
            </c:dLbl>
            <c:dLbl>
              <c:idx val="1"/>
              <c:layout>
                <c:manualLayout>
                  <c:x val="8.7709380564999676E-2"/>
                  <c:y val="8.231210270416211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98BA-4E9B-8F7F-205FDC1CE965}"/>
                </c:ext>
              </c:extLst>
            </c:dLbl>
            <c:dLbl>
              <c:idx val="2"/>
              <c:delete val="1"/>
              <c:extLst>
                <c:ext xmlns:c15="http://schemas.microsoft.com/office/drawing/2012/chart" uri="{CE6537A1-D6FC-4f65-9D91-7224C49458BB}"/>
                <c:ext xmlns:c16="http://schemas.microsoft.com/office/drawing/2014/chart" uri="{C3380CC4-5D6E-409C-BE32-E72D297353CC}">
                  <c16:uniqueId val="{00000003-98BA-4E9B-8F7F-205FDC1CE965}"/>
                </c:ext>
              </c:extLst>
            </c:dLbl>
            <c:dLbl>
              <c:idx val="3"/>
              <c:delete val="1"/>
              <c:extLst>
                <c:ext xmlns:c15="http://schemas.microsoft.com/office/drawing/2012/chart" uri="{CE6537A1-D6FC-4f65-9D91-7224C49458BB}"/>
                <c:ext xmlns:c16="http://schemas.microsoft.com/office/drawing/2014/chart" uri="{C3380CC4-5D6E-409C-BE32-E72D297353CC}">
                  <c16:uniqueId val="{00000005-98BA-4E9B-8F7F-205FDC1CE965}"/>
                </c:ext>
              </c:extLst>
            </c:dLbl>
            <c:dLbl>
              <c:idx val="4"/>
              <c:delete val="1"/>
              <c:extLst>
                <c:ext xmlns:c15="http://schemas.microsoft.com/office/drawing/2012/chart" uri="{CE6537A1-D6FC-4f65-9D91-7224C49458BB}"/>
                <c:ext xmlns:c16="http://schemas.microsoft.com/office/drawing/2014/chart" uri="{C3380CC4-5D6E-409C-BE32-E72D297353CC}">
                  <c16:uniqueId val="{00000007-98BA-4E9B-8F7F-205FDC1CE965}"/>
                </c:ext>
              </c:extLst>
            </c:dLbl>
            <c:dLbl>
              <c:idx val="5"/>
              <c:layout>
                <c:manualLayout>
                  <c:x val="4.2271904070263336E-2"/>
                  <c:y val="0.1217791701855395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98BA-4E9B-8F7F-205FDC1CE965}"/>
                </c:ext>
              </c:extLst>
            </c:dLbl>
            <c:dLbl>
              <c:idx val="6"/>
              <c:layout>
                <c:manualLayout>
                  <c:x val="-9.2942518282239345E-2"/>
                  <c:y val="0.2545932653693174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98BA-4E9B-8F7F-205FDC1CE965}"/>
                </c:ext>
              </c:extLst>
            </c:dLbl>
            <c:dLbl>
              <c:idx val="7"/>
              <c:layout>
                <c:manualLayout>
                  <c:x val="-0.12700871647720521"/>
                  <c:y val="0.1936923367474600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98BA-4E9B-8F7F-205FDC1CE965}"/>
                </c:ext>
              </c:extLst>
            </c:dLbl>
            <c:dLbl>
              <c:idx val="8"/>
              <c:layout>
                <c:manualLayout>
                  <c:x val="-0.14556491413058717"/>
                  <c:y val="4.1309977783210335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98BA-4E9B-8F7F-205FDC1CE965}"/>
                </c:ext>
              </c:extLst>
            </c:dLbl>
            <c:dLbl>
              <c:idx val="9"/>
              <c:layout>
                <c:manualLayout>
                  <c:x val="-3.4876872824271508E-2"/>
                  <c:y val="-0.1346769881262548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98BA-4E9B-8F7F-205FDC1CE965}"/>
                </c:ext>
              </c:extLst>
            </c:dLbl>
            <c:dLbl>
              <c:idx val="10"/>
              <c:layout>
                <c:manualLayout>
                  <c:x val="0.12252755816427414"/>
                  <c:y val="-0.1217698549696001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98BA-4E9B-8F7F-205FDC1CE965}"/>
                </c:ext>
              </c:extLst>
            </c:dLbl>
            <c:dLbl>
              <c:idx val="11"/>
              <c:layout>
                <c:manualLayout>
                  <c:x val="0.25061244828369394"/>
                  <c:y val="-6.453145891155909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98BA-4E9B-8F7F-205FDC1CE965}"/>
                </c:ext>
              </c:extLst>
            </c:dLbl>
            <c:dLbl>
              <c:idx val="12"/>
              <c:layout>
                <c:manualLayout>
                  <c:x val="0.30958479791782234"/>
                  <c:y val="6.456270995858184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98BA-4E9B-8F7F-205FDC1CE965}"/>
                </c:ext>
              </c:extLst>
            </c:dLbl>
            <c:spPr>
              <a:noFill/>
              <a:ln>
                <a:noFill/>
              </a:ln>
              <a:effectLst/>
            </c:sp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'P-B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'P-B Chrts'!$D$54:$D$66</c:f>
              <c:numCache>
                <c:formatCode>"$"#,##0</c:formatCode>
                <c:ptCount val="13"/>
                <c:pt idx="0">
                  <c:v>33419456</c:v>
                </c:pt>
                <c:pt idx="1">
                  <c:v>9597022</c:v>
                </c:pt>
                <c:pt idx="3">
                  <c:v>0</c:v>
                </c:pt>
                <c:pt idx="4">
                  <c:v>0</c:v>
                </c:pt>
                <c:pt idx="5">
                  <c:v>32513106</c:v>
                </c:pt>
                <c:pt idx="6">
                  <c:v>22084960</c:v>
                </c:pt>
                <c:pt idx="7">
                  <c:v>4315932</c:v>
                </c:pt>
                <c:pt idx="8">
                  <c:v>2099047</c:v>
                </c:pt>
                <c:pt idx="9">
                  <c:v>3276208</c:v>
                </c:pt>
                <c:pt idx="10">
                  <c:v>1172678</c:v>
                </c:pt>
                <c:pt idx="11">
                  <c:v>6063878</c:v>
                </c:pt>
                <c:pt idx="12">
                  <c:v>291133</c:v>
                </c:pt>
              </c:numCache>
            </c:numRef>
          </c:val>
          <c:extLst>
            <c:ext xmlns:c16="http://schemas.microsoft.com/office/drawing/2014/chart" uri="{C3380CC4-5D6E-409C-BE32-E72D297353CC}">
              <c16:uniqueId val="{00000019-98BA-4E9B-8F7F-205FDC1CE965}"/>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666704705390084"/>
          <c:y val="2.6509572901326012E-2"/>
        </c:manualLayout>
      </c:layout>
      <c:overlay val="0"/>
      <c:spPr>
        <a:noFill/>
        <a:ln w="25400">
          <a:noFill/>
        </a:ln>
      </c:spPr>
    </c:title>
    <c:autoTitleDeleted val="0"/>
    <c:plotArea>
      <c:layout>
        <c:manualLayout>
          <c:layoutTarget val="inner"/>
          <c:xMode val="edge"/>
          <c:yMode val="edge"/>
          <c:x val="0.38922612521537542"/>
          <c:y val="0.29675538134451768"/>
          <c:w val="0.22399035563593073"/>
          <c:h val="0.3665110944604118"/>
        </c:manualLayout>
      </c:layout>
      <c:pieChart>
        <c:varyColors val="1"/>
        <c:ser>
          <c:idx val="0"/>
          <c:order val="0"/>
          <c:tx>
            <c:strRef>
              <c:f>'P-B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A1A5-412F-BFE0-D5E4A55E3D5F}"/>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A1A5-412F-BFE0-D5E4A55E3D5F}"/>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A1A5-412F-BFE0-D5E4A55E3D5F}"/>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A1A5-412F-BFE0-D5E4A55E3D5F}"/>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A1A5-412F-BFE0-D5E4A55E3D5F}"/>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A1A5-412F-BFE0-D5E4A55E3D5F}"/>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A1A5-412F-BFE0-D5E4A55E3D5F}"/>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A1A5-412F-BFE0-D5E4A55E3D5F}"/>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A1A5-412F-BFE0-D5E4A55E3D5F}"/>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A1A5-412F-BFE0-D5E4A55E3D5F}"/>
              </c:ext>
            </c:extLst>
          </c:dPt>
          <c:dLbls>
            <c:dLbl>
              <c:idx val="0"/>
              <c:layout>
                <c:manualLayout>
                  <c:x val="-9.5498891637825531E-2"/>
                  <c:y val="-4.989152968539026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A1A5-412F-BFE0-D5E4A55E3D5F}"/>
                </c:ext>
              </c:extLst>
            </c:dLbl>
            <c:dLbl>
              <c:idx val="1"/>
              <c:layout>
                <c:manualLayout>
                  <c:x val="-0.10956419305254825"/>
                  <c:y val="6.82667908427973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A1A5-412F-BFE0-D5E4A55E3D5F}"/>
                </c:ext>
              </c:extLst>
            </c:dLbl>
            <c:dLbl>
              <c:idx val="2"/>
              <c:layout>
                <c:manualLayout>
                  <c:x val="-9.2431691362948668E-2"/>
                  <c:y val="-1.243661433448374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A1A5-412F-BFE0-D5E4A55E3D5F}"/>
                </c:ext>
              </c:extLst>
            </c:dLbl>
            <c:dLbl>
              <c:idx val="3"/>
              <c:layout>
                <c:manualLayout>
                  <c:x val="-4.0825020301683397E-2"/>
                  <c:y val="-7.271665988160916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A1A5-412F-BFE0-D5E4A55E3D5F}"/>
                </c:ext>
              </c:extLst>
            </c:dLbl>
            <c:dLbl>
              <c:idx val="4"/>
              <c:layout>
                <c:manualLayout>
                  <c:x val="6.9122691038273121E-2"/>
                  <c:y val="-7.161665734983266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A1A5-412F-BFE0-D5E4A55E3D5F}"/>
                </c:ext>
              </c:extLst>
            </c:dLbl>
            <c:dLbl>
              <c:idx val="5"/>
              <c:layout>
                <c:manualLayout>
                  <c:x val="0.15206471715005973"/>
                  <c:y val="-6.279893019239793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A1A5-412F-BFE0-D5E4A55E3D5F}"/>
                </c:ext>
              </c:extLst>
            </c:dLbl>
            <c:dLbl>
              <c:idx val="6"/>
              <c:layout>
                <c:manualLayout>
                  <c:x val="0.12451686534440216"/>
                  <c:y val="3.230888543276370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A1A5-412F-BFE0-D5E4A55E3D5F}"/>
                </c:ext>
              </c:extLst>
            </c:dLbl>
            <c:dLbl>
              <c:idx val="7"/>
              <c:layout>
                <c:manualLayout>
                  <c:x val="0.10420420806784736"/>
                  <c:y val="9.216971227990816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A1A5-412F-BFE0-D5E4A55E3D5F}"/>
                </c:ext>
              </c:extLst>
            </c:dLbl>
            <c:dLbl>
              <c:idx val="8"/>
              <c:layout>
                <c:manualLayout>
                  <c:x val="4.9839814327007022E-2"/>
                  <c:y val="0.1441368103472963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A1A5-412F-BFE0-D5E4A55E3D5F}"/>
                </c:ext>
              </c:extLst>
            </c:dLbl>
            <c:dLbl>
              <c:idx val="9"/>
              <c:layout>
                <c:manualLayout>
                  <c:x val="-4.9956287109682924E-2"/>
                  <c:y val="0.1415988212795938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A1A5-412F-BFE0-D5E4A55E3D5F}"/>
                </c:ext>
              </c:extLst>
            </c:dLbl>
            <c:dLbl>
              <c:idx val="10"/>
              <c:layout>
                <c:manualLayout>
                  <c:x val="-0.22799112099349211"/>
                  <c:y val="5.928566313983453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A1A5-412F-BFE0-D5E4A55E3D5F}"/>
                </c:ext>
              </c:extLst>
            </c:dLbl>
            <c:spPr>
              <a:noFill/>
              <a:ln>
                <a:noFill/>
              </a:ln>
              <a:effectLst/>
            </c:sp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'P-B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'P-B Chrts'!$D$102:$D$112</c:f>
              <c:numCache>
                <c:formatCode>"$"#,##0</c:formatCode>
                <c:ptCount val="11"/>
                <c:pt idx="0">
                  <c:v>35363099</c:v>
                </c:pt>
                <c:pt idx="1">
                  <c:v>2962585</c:v>
                </c:pt>
                <c:pt idx="2">
                  <c:v>3948406</c:v>
                </c:pt>
                <c:pt idx="3">
                  <c:v>7304629</c:v>
                </c:pt>
                <c:pt idx="4">
                  <c:v>3444460</c:v>
                </c:pt>
                <c:pt idx="5">
                  <c:v>11662236</c:v>
                </c:pt>
                <c:pt idx="6">
                  <c:v>10219299</c:v>
                </c:pt>
                <c:pt idx="7">
                  <c:v>11621692</c:v>
                </c:pt>
                <c:pt idx="8">
                  <c:v>9498072</c:v>
                </c:pt>
                <c:pt idx="9">
                  <c:v>3447006</c:v>
                </c:pt>
                <c:pt idx="10">
                  <c:v>18266</c:v>
                </c:pt>
              </c:numCache>
            </c:numRef>
          </c:val>
          <c:extLst>
            <c:ext xmlns:c16="http://schemas.microsoft.com/office/drawing/2014/chart" uri="{C3380CC4-5D6E-409C-BE32-E72D297353CC}">
              <c16:uniqueId val="{00000015-A1A5-412F-BFE0-D5E4A55E3D5F}"/>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9110499875299953"/>
          <c:y val="0.28436413881256811"/>
          <c:w val="0.22273749717937663"/>
          <c:h val="0.35072060837011582"/>
        </c:manualLayout>
      </c:layout>
      <c:pieChart>
        <c:varyColors val="1"/>
        <c:ser>
          <c:idx val="0"/>
          <c:order val="0"/>
          <c:tx>
            <c:strRef>
              <c:f>'S-A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FBAC-480B-AFE4-BAAF2333A598}"/>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FBAC-480B-AFE4-BAAF2333A598}"/>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FBAC-480B-AFE4-BAAF2333A598}"/>
              </c:ext>
            </c:extLst>
          </c:dPt>
          <c:dLbls>
            <c:dLbl>
              <c:idx val="0"/>
              <c:layout>
                <c:manualLayout>
                  <c:x val="0.11230222918967708"/>
                  <c:y val="1.211905058261443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FBAC-480B-AFE4-BAAF2333A598}"/>
                </c:ext>
              </c:extLst>
            </c:dLbl>
            <c:dLbl>
              <c:idx val="1"/>
              <c:layout>
                <c:manualLayout>
                  <c:x val="1.9356634719302861E-2"/>
                  <c:y val="9.808594759821176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FBAC-480B-AFE4-BAAF2333A598}"/>
                </c:ext>
              </c:extLst>
            </c:dLbl>
            <c:dLbl>
              <c:idx val="2"/>
              <c:layout>
                <c:manualLayout>
                  <c:x val="-7.418909514138787E-2"/>
                  <c:y val="6.513181831238090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FBAC-480B-AFE4-BAAF2333A598}"/>
                </c:ext>
              </c:extLst>
            </c:dLbl>
            <c:dLbl>
              <c:idx val="3"/>
              <c:layout>
                <c:manualLayout>
                  <c:x val="-2.2053467298488141E-2"/>
                  <c:y val="-1.100001914920145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FBAC-480B-AFE4-BAAF2333A598}"/>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'S-A Chrts'!$C$9:$C$12</c:f>
              <c:strCache>
                <c:ptCount val="4"/>
                <c:pt idx="0">
                  <c:v>State of Texas</c:v>
                </c:pt>
                <c:pt idx="1">
                  <c:v>Student &amp; Parent</c:v>
                </c:pt>
                <c:pt idx="2">
                  <c:v>Federal Government</c:v>
                </c:pt>
                <c:pt idx="3">
                  <c:v>Institutional Resources</c:v>
                </c:pt>
              </c:strCache>
            </c:strRef>
          </c:cat>
          <c:val>
            <c:numRef>
              <c:f>'S-A Chrts'!$D$9:$D$12</c:f>
              <c:numCache>
                <c:formatCode>"$"#,##0</c:formatCode>
                <c:ptCount val="4"/>
                <c:pt idx="0">
                  <c:v>162176413</c:v>
                </c:pt>
                <c:pt idx="1">
                  <c:v>251699436</c:v>
                </c:pt>
                <c:pt idx="2">
                  <c:v>200914830</c:v>
                </c:pt>
                <c:pt idx="3">
                  <c:v>162089290</c:v>
                </c:pt>
              </c:numCache>
            </c:numRef>
          </c:val>
          <c:extLst>
            <c:ext xmlns:c16="http://schemas.microsoft.com/office/drawing/2014/chart" uri="{C3380CC4-5D6E-409C-BE32-E72D297353CC}">
              <c16:uniqueId val="{00000007-FBAC-480B-AFE4-BAAF2333A598}"/>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216"/>
          <c:y val="4.2735042735042736E-2"/>
        </c:manualLayout>
      </c:layout>
      <c:overlay val="0"/>
      <c:spPr>
        <a:noFill/>
        <a:ln w="25400">
          <a:noFill/>
        </a:ln>
      </c:spPr>
    </c:title>
    <c:autoTitleDeleted val="0"/>
    <c:plotArea>
      <c:layout>
        <c:manualLayout>
          <c:layoutTarget val="inner"/>
          <c:xMode val="edge"/>
          <c:yMode val="edge"/>
          <c:x val="0.38527457098152024"/>
          <c:y val="0.32366153493423838"/>
          <c:w val="0.21761655477434871"/>
          <c:h val="0.34496678599659397"/>
        </c:manualLayout>
      </c:layout>
      <c:pieChart>
        <c:varyColors val="1"/>
        <c:ser>
          <c:idx val="0"/>
          <c:order val="0"/>
          <c:tx>
            <c:strRef>
              <c:f>'S-A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ADB4-41D3-8C35-B4A48753539F}"/>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ADB4-41D3-8C35-B4A48753539F}"/>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ADB4-41D3-8C35-B4A48753539F}"/>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ADB4-41D3-8C35-B4A48753539F}"/>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ADB4-41D3-8C35-B4A48753539F}"/>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ADB4-41D3-8C35-B4A48753539F}"/>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ADB4-41D3-8C35-B4A48753539F}"/>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ADB4-41D3-8C35-B4A48753539F}"/>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ADB4-41D3-8C35-B4A48753539F}"/>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ADB4-41D3-8C35-B4A48753539F}"/>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ADB4-41D3-8C35-B4A48753539F}"/>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ADB4-41D3-8C35-B4A48753539F}"/>
              </c:ext>
            </c:extLst>
          </c:dPt>
          <c:dLbls>
            <c:dLbl>
              <c:idx val="0"/>
              <c:layout>
                <c:manualLayout>
                  <c:x val="0.11275437787456548"/>
                  <c:y val="5.59196920209315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ADB4-41D3-8C35-B4A48753539F}"/>
                </c:ext>
              </c:extLst>
            </c:dLbl>
            <c:dLbl>
              <c:idx val="1"/>
              <c:layout>
                <c:manualLayout>
                  <c:x val="0.11356429636570697"/>
                  <c:y val="0.1225257396694630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ADB4-41D3-8C35-B4A48753539F}"/>
                </c:ext>
              </c:extLst>
            </c:dLbl>
            <c:dLbl>
              <c:idx val="2"/>
              <c:delete val="1"/>
              <c:extLst>
                <c:ext xmlns:c15="http://schemas.microsoft.com/office/drawing/2012/chart" uri="{CE6537A1-D6FC-4f65-9D91-7224C49458BB}"/>
                <c:ext xmlns:c16="http://schemas.microsoft.com/office/drawing/2014/chart" uri="{C3380CC4-5D6E-409C-BE32-E72D297353CC}">
                  <c16:uniqueId val="{00000003-ADB4-41D3-8C35-B4A48753539F}"/>
                </c:ext>
              </c:extLst>
            </c:dLbl>
            <c:dLbl>
              <c:idx val="3"/>
              <c:delete val="1"/>
              <c:extLst>
                <c:ext xmlns:c15="http://schemas.microsoft.com/office/drawing/2012/chart" uri="{CE6537A1-D6FC-4f65-9D91-7224C49458BB}"/>
                <c:ext xmlns:c16="http://schemas.microsoft.com/office/drawing/2014/chart" uri="{C3380CC4-5D6E-409C-BE32-E72D297353CC}">
                  <c16:uniqueId val="{00000005-ADB4-41D3-8C35-B4A48753539F}"/>
                </c:ext>
              </c:extLst>
            </c:dLbl>
            <c:dLbl>
              <c:idx val="4"/>
              <c:delete val="1"/>
              <c:extLst>
                <c:ext xmlns:c15="http://schemas.microsoft.com/office/drawing/2012/chart" uri="{CE6537A1-D6FC-4f65-9D91-7224C49458BB}"/>
                <c:ext xmlns:c16="http://schemas.microsoft.com/office/drawing/2014/chart" uri="{C3380CC4-5D6E-409C-BE32-E72D297353CC}">
                  <c16:uniqueId val="{00000007-ADB4-41D3-8C35-B4A48753539F}"/>
                </c:ext>
              </c:extLst>
            </c:dLbl>
            <c:dLbl>
              <c:idx val="5"/>
              <c:layout>
                <c:manualLayout>
                  <c:x val="-8.7907677798565106E-3"/>
                  <c:y val="0.1249268117005722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ADB4-41D3-8C35-B4A48753539F}"/>
                </c:ext>
              </c:extLst>
            </c:dLbl>
            <c:dLbl>
              <c:idx val="6"/>
              <c:layout>
                <c:manualLayout>
                  <c:x val="2.7755280041912737E-2"/>
                  <c:y val="0.1649230435454792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ADB4-41D3-8C35-B4A48753539F}"/>
                </c:ext>
              </c:extLst>
            </c:dLbl>
            <c:dLbl>
              <c:idx val="7"/>
              <c:layout>
                <c:manualLayout>
                  <c:x val="-0.10221031472644292"/>
                  <c:y val="0.2697419099227633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ADB4-41D3-8C35-B4A48753539F}"/>
                </c:ext>
              </c:extLst>
            </c:dLbl>
            <c:dLbl>
              <c:idx val="8"/>
              <c:layout>
                <c:manualLayout>
                  <c:x val="-0.14177439351339313"/>
                  <c:y val="0.1262023953026069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ADB4-41D3-8C35-B4A48753539F}"/>
                </c:ext>
              </c:extLst>
            </c:dLbl>
            <c:dLbl>
              <c:idx val="9"/>
              <c:layout>
                <c:manualLayout>
                  <c:x val="-0.11092310575811501"/>
                  <c:y val="-2.335069218815477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ADB4-41D3-8C35-B4A48753539F}"/>
                </c:ext>
              </c:extLst>
            </c:dLbl>
            <c:dLbl>
              <c:idx val="10"/>
              <c:layout>
                <c:manualLayout>
                  <c:x val="-2.4441410019983786E-2"/>
                  <c:y val="-0.1015130164366985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ADB4-41D3-8C35-B4A48753539F}"/>
                </c:ext>
              </c:extLst>
            </c:dLbl>
            <c:dLbl>
              <c:idx val="11"/>
              <c:layout>
                <c:manualLayout>
                  <c:x val="8.9621370430479852E-2"/>
                  <c:y val="-7.716754933345873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ADB4-41D3-8C35-B4A48753539F}"/>
                </c:ext>
              </c:extLst>
            </c:dLbl>
            <c:dLbl>
              <c:idx val="12"/>
              <c:layout>
                <c:manualLayout>
                  <c:x val="0.2238286167482523"/>
                  <c:y val="-8.045521957842038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ADB4-41D3-8C35-B4A48753539F}"/>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'S-A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'S-A Chrts'!$D$54:$D$66</c:f>
              <c:numCache>
                <c:formatCode>"$"#,##0</c:formatCode>
                <c:ptCount val="13"/>
                <c:pt idx="0">
                  <c:v>136194839</c:v>
                </c:pt>
                <c:pt idx="1">
                  <c:v>25981574</c:v>
                </c:pt>
                <c:pt idx="3">
                  <c:v>0</c:v>
                </c:pt>
                <c:pt idx="4">
                  <c:v>0</c:v>
                </c:pt>
                <c:pt idx="5">
                  <c:v>251699436</c:v>
                </c:pt>
                <c:pt idx="6">
                  <c:v>200914830</c:v>
                </c:pt>
                <c:pt idx="7">
                  <c:v>22926694</c:v>
                </c:pt>
                <c:pt idx="8">
                  <c:v>3165406</c:v>
                </c:pt>
                <c:pt idx="9">
                  <c:v>100729411</c:v>
                </c:pt>
                <c:pt idx="10">
                  <c:v>7708378</c:v>
                </c:pt>
                <c:pt idx="11">
                  <c:v>24712849</c:v>
                </c:pt>
                <c:pt idx="12">
                  <c:v>2846552</c:v>
                </c:pt>
              </c:numCache>
            </c:numRef>
          </c:val>
          <c:extLst>
            <c:ext xmlns:c16="http://schemas.microsoft.com/office/drawing/2014/chart" uri="{C3380CC4-5D6E-409C-BE32-E72D297353CC}">
              <c16:uniqueId val="{00000019-ADB4-41D3-8C35-B4A48753539F}"/>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211"/>
          <c:y val="3.3873343151695261E-2"/>
        </c:manualLayout>
      </c:layout>
      <c:overlay val="0"/>
      <c:spPr>
        <a:noFill/>
        <a:ln w="25400">
          <a:noFill/>
        </a:ln>
      </c:spPr>
    </c:title>
    <c:autoTitleDeleted val="0"/>
    <c:plotArea>
      <c:layout>
        <c:manualLayout>
          <c:layoutTarget val="inner"/>
          <c:xMode val="edge"/>
          <c:yMode val="edge"/>
          <c:x val="0.38319839766866226"/>
          <c:y val="0.31056365723915341"/>
          <c:w val="0.22037371910789633"/>
          <c:h val="0.36059326193415497"/>
        </c:manualLayout>
      </c:layout>
      <c:pieChart>
        <c:varyColors val="1"/>
        <c:ser>
          <c:idx val="0"/>
          <c:order val="0"/>
          <c:tx>
            <c:strRef>
              <c:f>'S-A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F1AD-496B-8B77-93BEB08B4987}"/>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F1AD-496B-8B77-93BEB08B4987}"/>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F1AD-496B-8B77-93BEB08B4987}"/>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F1AD-496B-8B77-93BEB08B4987}"/>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F1AD-496B-8B77-93BEB08B4987}"/>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F1AD-496B-8B77-93BEB08B4987}"/>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F1AD-496B-8B77-93BEB08B4987}"/>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F1AD-496B-8B77-93BEB08B4987}"/>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F1AD-496B-8B77-93BEB08B4987}"/>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F1AD-496B-8B77-93BEB08B4987}"/>
              </c:ext>
            </c:extLst>
          </c:dPt>
          <c:dLbls>
            <c:dLbl>
              <c:idx val="0"/>
              <c:layout>
                <c:manualLayout>
                  <c:x val="-9.9320907671351211E-2"/>
                  <c:y val="8.6818175605234277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F1AD-496B-8B77-93BEB08B4987}"/>
                </c:ext>
              </c:extLst>
            </c:dLbl>
            <c:dLbl>
              <c:idx val="1"/>
              <c:layout>
                <c:manualLayout>
                  <c:x val="-0.11387587627495969"/>
                  <c:y val="0.1042113222270683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F1AD-496B-8B77-93BEB08B4987}"/>
                </c:ext>
              </c:extLst>
            </c:dLbl>
            <c:dLbl>
              <c:idx val="2"/>
              <c:layout>
                <c:manualLayout>
                  <c:x val="-9.2629560545443287E-2"/>
                  <c:y val="6.8483767431977574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F1AD-496B-8B77-93BEB08B4987}"/>
                </c:ext>
              </c:extLst>
            </c:dLbl>
            <c:dLbl>
              <c:idx val="3"/>
              <c:layout>
                <c:manualLayout>
                  <c:x val="2.3523277944687278E-2"/>
                  <c:y val="-7.11533156637105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F1AD-496B-8B77-93BEB08B4987}"/>
                </c:ext>
              </c:extLst>
            </c:dLbl>
            <c:dLbl>
              <c:idx val="4"/>
              <c:layout>
                <c:manualLayout>
                  <c:x val="6.173698402883785E-2"/>
                  <c:y val="-6.897676481881180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F1AD-496B-8B77-93BEB08B4987}"/>
                </c:ext>
              </c:extLst>
            </c:dLbl>
            <c:dLbl>
              <c:idx val="5"/>
              <c:layout>
                <c:manualLayout>
                  <c:x val="0.11799238702757092"/>
                  <c:y val="-1.876403349524276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F1AD-496B-8B77-93BEB08B4987}"/>
                </c:ext>
              </c:extLst>
            </c:dLbl>
            <c:dLbl>
              <c:idx val="6"/>
              <c:layout>
                <c:manualLayout>
                  <c:x val="0.10591282271729982"/>
                  <c:y val="6.92077418929953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F1AD-496B-8B77-93BEB08B4987}"/>
                </c:ext>
              </c:extLst>
            </c:dLbl>
            <c:dLbl>
              <c:idx val="7"/>
              <c:layout>
                <c:manualLayout>
                  <c:x val="0.12127644800385061"/>
                  <c:y val="8.656532208623976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F1AD-496B-8B77-93BEB08B4987}"/>
                </c:ext>
              </c:extLst>
            </c:dLbl>
            <c:dLbl>
              <c:idx val="8"/>
              <c:layout>
                <c:manualLayout>
                  <c:x val="7.0807051017357014E-2"/>
                  <c:y val="0.1293315116971163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F1AD-496B-8B77-93BEB08B4987}"/>
                </c:ext>
              </c:extLst>
            </c:dLbl>
            <c:dLbl>
              <c:idx val="9"/>
              <c:layout>
                <c:manualLayout>
                  <c:x val="-4.9007560763765293E-2"/>
                  <c:y val="0.1470267628928034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F1AD-496B-8B77-93BEB08B4987}"/>
                </c:ext>
              </c:extLst>
            </c:dLbl>
            <c:dLbl>
              <c:idx val="10"/>
              <c:layout>
                <c:manualLayout>
                  <c:x val="-0.19145951692747271"/>
                  <c:y val="8.590766814410559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F1AD-496B-8B77-93BEB08B4987}"/>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'S-A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'S-A Chrts'!$D$102:$D$112</c:f>
              <c:numCache>
                <c:formatCode>"$"#,##0</c:formatCode>
                <c:ptCount val="11"/>
                <c:pt idx="0">
                  <c:v>115902354</c:v>
                </c:pt>
                <c:pt idx="1">
                  <c:v>108189847</c:v>
                </c:pt>
                <c:pt idx="2">
                  <c:v>15662717</c:v>
                </c:pt>
                <c:pt idx="3">
                  <c:v>71708636</c:v>
                </c:pt>
                <c:pt idx="4">
                  <c:v>30539304</c:v>
                </c:pt>
                <c:pt idx="5">
                  <c:v>42934639</c:v>
                </c:pt>
                <c:pt idx="6">
                  <c:v>40644000</c:v>
                </c:pt>
                <c:pt idx="7">
                  <c:v>86093922</c:v>
                </c:pt>
                <c:pt idx="8">
                  <c:v>41166889</c:v>
                </c:pt>
                <c:pt idx="9">
                  <c:v>38413984</c:v>
                </c:pt>
                <c:pt idx="10">
                  <c:v>-77552</c:v>
                </c:pt>
              </c:numCache>
            </c:numRef>
          </c:val>
          <c:extLst>
            <c:ext xmlns:c16="http://schemas.microsoft.com/office/drawing/2014/chart" uri="{C3380CC4-5D6E-409C-BE32-E72D297353CC}">
              <c16:uniqueId val="{00000015-F1AD-496B-8B77-93BEB08B4987}"/>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8535874870845704"/>
          <c:y val="0.33472608863208453"/>
          <c:w val="0.22296039239438994"/>
          <c:h val="0.35107157731970678"/>
        </c:manualLayout>
      </c:layout>
      <c:pieChart>
        <c:varyColors val="1"/>
        <c:ser>
          <c:idx val="0"/>
          <c:order val="0"/>
          <c:tx>
            <c:strRef>
              <c:f>'TYL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07AC-4C4D-A5DB-6D9D88288DCF}"/>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07AC-4C4D-A5DB-6D9D88288DCF}"/>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07AC-4C4D-A5DB-6D9D88288DCF}"/>
              </c:ext>
            </c:extLst>
          </c:dPt>
          <c:dLbls>
            <c:dLbl>
              <c:idx val="0"/>
              <c:layout>
                <c:manualLayout>
                  <c:x val="8.1535373689148705E-2"/>
                  <c:y val="4.7867018373658424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07AC-4C4D-A5DB-6D9D88288DCF}"/>
                </c:ext>
              </c:extLst>
            </c:dLbl>
            <c:dLbl>
              <c:idx val="1"/>
              <c:layout>
                <c:manualLayout>
                  <c:x val="1.1024872503290855E-2"/>
                  <c:y val="7.786603697710699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07AC-4C4D-A5DB-6D9D88288DCF}"/>
                </c:ext>
              </c:extLst>
            </c:dLbl>
            <c:dLbl>
              <c:idx val="2"/>
              <c:layout>
                <c:manualLayout>
                  <c:x val="-7.4737259652499194E-2"/>
                  <c:y val="4.575252769453213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07AC-4C4D-A5DB-6D9D88288DCF}"/>
                </c:ext>
              </c:extLst>
            </c:dLbl>
            <c:dLbl>
              <c:idx val="3"/>
              <c:layout>
                <c:manualLayout>
                  <c:x val="3.6655336634956882E-2"/>
                  <c:y val="-7.477418903133792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07AC-4C4D-A5DB-6D9D88288DCF}"/>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'TYL Chrts'!$C$9:$C$12</c:f>
              <c:strCache>
                <c:ptCount val="4"/>
                <c:pt idx="0">
                  <c:v>State of Texas</c:v>
                </c:pt>
                <c:pt idx="1">
                  <c:v>Student &amp; Parent</c:v>
                </c:pt>
                <c:pt idx="2">
                  <c:v>Federal Government</c:v>
                </c:pt>
                <c:pt idx="3">
                  <c:v>Institutional Resources</c:v>
                </c:pt>
              </c:strCache>
            </c:strRef>
          </c:cat>
          <c:val>
            <c:numRef>
              <c:f>'TYL Chrts'!$D$9:$D$12</c:f>
              <c:numCache>
                <c:formatCode>"$"#,##0</c:formatCode>
                <c:ptCount val="4"/>
                <c:pt idx="0">
                  <c:v>52855515</c:v>
                </c:pt>
                <c:pt idx="1">
                  <c:v>57341915</c:v>
                </c:pt>
                <c:pt idx="2">
                  <c:v>23208570</c:v>
                </c:pt>
                <c:pt idx="3">
                  <c:v>33179055</c:v>
                </c:pt>
              </c:numCache>
            </c:numRef>
          </c:val>
          <c:extLst>
            <c:ext xmlns:c16="http://schemas.microsoft.com/office/drawing/2014/chart" uri="{C3380CC4-5D6E-409C-BE32-E72D297353CC}">
              <c16:uniqueId val="{00000007-07AC-4C4D-A5DB-6D9D88288DCF}"/>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399"/>
          <c:y val="4.2735042735042736E-2"/>
        </c:manualLayout>
      </c:layout>
      <c:overlay val="0"/>
      <c:spPr>
        <a:noFill/>
        <a:ln w="25400">
          <a:noFill/>
        </a:ln>
      </c:spPr>
    </c:title>
    <c:autoTitleDeleted val="0"/>
    <c:plotArea>
      <c:layout>
        <c:manualLayout>
          <c:layoutTarget val="inner"/>
          <c:xMode val="edge"/>
          <c:yMode val="edge"/>
          <c:x val="0.38888568217162323"/>
          <c:y val="0.29694789954651435"/>
          <c:w val="0.22122766596444288"/>
          <c:h val="0.35069113643680266"/>
        </c:manualLayout>
      </c:layout>
      <c:pieChart>
        <c:varyColors val="1"/>
        <c:ser>
          <c:idx val="0"/>
          <c:order val="0"/>
          <c:tx>
            <c:strRef>
              <c:f>'TYL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3271-4440-93FA-0468246C7088}"/>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3271-4440-93FA-0468246C7088}"/>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3271-4440-93FA-0468246C7088}"/>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3271-4440-93FA-0468246C7088}"/>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3271-4440-93FA-0468246C7088}"/>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3271-4440-93FA-0468246C7088}"/>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3271-4440-93FA-0468246C7088}"/>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3271-4440-93FA-0468246C7088}"/>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3271-4440-93FA-0468246C7088}"/>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3271-4440-93FA-0468246C7088}"/>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3271-4440-93FA-0468246C7088}"/>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3271-4440-93FA-0468246C7088}"/>
              </c:ext>
            </c:extLst>
          </c:dPt>
          <c:dLbls>
            <c:dLbl>
              <c:idx val="0"/>
              <c:layout>
                <c:manualLayout>
                  <c:x val="9.2178724219114855E-2"/>
                  <c:y val="4.690722059948823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3271-4440-93FA-0468246C7088}"/>
                </c:ext>
              </c:extLst>
            </c:dLbl>
            <c:dLbl>
              <c:idx val="1"/>
              <c:layout>
                <c:manualLayout>
                  <c:x val="9.1477878658160913E-2"/>
                  <c:y val="4.645513213558673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3271-4440-93FA-0468246C7088}"/>
                </c:ext>
              </c:extLst>
            </c:dLbl>
            <c:dLbl>
              <c:idx val="2"/>
              <c:delete val="1"/>
              <c:extLst>
                <c:ext xmlns:c15="http://schemas.microsoft.com/office/drawing/2012/chart" uri="{CE6537A1-D6FC-4f65-9D91-7224C49458BB}"/>
                <c:ext xmlns:c16="http://schemas.microsoft.com/office/drawing/2014/chart" uri="{C3380CC4-5D6E-409C-BE32-E72D297353CC}">
                  <c16:uniqueId val="{00000003-3271-4440-93FA-0468246C7088}"/>
                </c:ext>
              </c:extLst>
            </c:dLbl>
            <c:dLbl>
              <c:idx val="3"/>
              <c:delete val="1"/>
              <c:extLst>
                <c:ext xmlns:c15="http://schemas.microsoft.com/office/drawing/2012/chart" uri="{CE6537A1-D6FC-4f65-9D91-7224C49458BB}"/>
                <c:ext xmlns:c16="http://schemas.microsoft.com/office/drawing/2014/chart" uri="{C3380CC4-5D6E-409C-BE32-E72D297353CC}">
                  <c16:uniqueId val="{00000005-3271-4440-93FA-0468246C7088}"/>
                </c:ext>
              </c:extLst>
            </c:dLbl>
            <c:dLbl>
              <c:idx val="4"/>
              <c:delete val="1"/>
              <c:extLst>
                <c:ext xmlns:c15="http://schemas.microsoft.com/office/drawing/2012/chart" uri="{CE6537A1-D6FC-4f65-9D91-7224C49458BB}"/>
                <c:ext xmlns:c16="http://schemas.microsoft.com/office/drawing/2014/chart" uri="{C3380CC4-5D6E-409C-BE32-E72D297353CC}">
                  <c16:uniqueId val="{00000007-3271-4440-93FA-0468246C7088}"/>
                </c:ext>
              </c:extLst>
            </c:dLbl>
            <c:dLbl>
              <c:idx val="5"/>
              <c:layout>
                <c:manualLayout>
                  <c:x val="6.4375429403774567E-2"/>
                  <c:y val="0.1220206145728740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3271-4440-93FA-0468246C7088}"/>
                </c:ext>
              </c:extLst>
            </c:dLbl>
            <c:dLbl>
              <c:idx val="6"/>
              <c:layout>
                <c:manualLayout>
                  <c:x val="-5.3209442615587813E-2"/>
                  <c:y val="0.2541314109532215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3271-4440-93FA-0468246C7088}"/>
                </c:ext>
              </c:extLst>
            </c:dLbl>
            <c:dLbl>
              <c:idx val="7"/>
              <c:layout>
                <c:manualLayout>
                  <c:x val="-9.3182686666647127E-2"/>
                  <c:y val="0.2105325944664311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3271-4440-93FA-0468246C7088}"/>
                </c:ext>
              </c:extLst>
            </c:dLbl>
            <c:dLbl>
              <c:idx val="8"/>
              <c:layout>
                <c:manualLayout>
                  <c:x val="-0.14470055369162246"/>
                  <c:y val="5.975906344217970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3271-4440-93FA-0468246C7088}"/>
                </c:ext>
              </c:extLst>
            </c:dLbl>
            <c:dLbl>
              <c:idx val="9"/>
              <c:layout>
                <c:manualLayout>
                  <c:x val="-7.9845827209008027E-2"/>
                  <c:y val="-0.1100041362563679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3271-4440-93FA-0468246C7088}"/>
                </c:ext>
              </c:extLst>
            </c:dLbl>
            <c:dLbl>
              <c:idx val="10"/>
              <c:layout>
                <c:manualLayout>
                  <c:x val="9.093034011000109E-2"/>
                  <c:y val="-8.554748754352797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3271-4440-93FA-0468246C7088}"/>
                </c:ext>
              </c:extLst>
            </c:dLbl>
            <c:dLbl>
              <c:idx val="11"/>
              <c:layout>
                <c:manualLayout>
                  <c:x val="0.22894322980825188"/>
                  <c:y val="-1.996941904754322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3271-4440-93FA-0468246C7088}"/>
                </c:ext>
              </c:extLst>
            </c:dLbl>
            <c:dLbl>
              <c:idx val="12"/>
              <c:delete val="1"/>
              <c:extLst>
                <c:ext xmlns:c15="http://schemas.microsoft.com/office/drawing/2012/chart" uri="{CE6537A1-D6FC-4f65-9D91-7224C49458BB}"/>
                <c:ext xmlns:c16="http://schemas.microsoft.com/office/drawing/2014/chart" uri="{C3380CC4-5D6E-409C-BE32-E72D297353CC}">
                  <c16:uniqueId val="{00000017-3271-4440-93FA-0468246C7088}"/>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'TYL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'TYL Chrts'!$D$54:$D$66</c:f>
              <c:numCache>
                <c:formatCode>"$"#,##0</c:formatCode>
                <c:ptCount val="13"/>
                <c:pt idx="0">
                  <c:v>40081857</c:v>
                </c:pt>
                <c:pt idx="1">
                  <c:v>12773658</c:v>
                </c:pt>
                <c:pt idx="3">
                  <c:v>0</c:v>
                </c:pt>
                <c:pt idx="4">
                  <c:v>0</c:v>
                </c:pt>
                <c:pt idx="5">
                  <c:v>57341915</c:v>
                </c:pt>
                <c:pt idx="6">
                  <c:v>23208570</c:v>
                </c:pt>
                <c:pt idx="7">
                  <c:v>9320009</c:v>
                </c:pt>
                <c:pt idx="8">
                  <c:v>0</c:v>
                </c:pt>
                <c:pt idx="9">
                  <c:v>1810423</c:v>
                </c:pt>
                <c:pt idx="10">
                  <c:v>11217294</c:v>
                </c:pt>
                <c:pt idx="11">
                  <c:v>10251224</c:v>
                </c:pt>
                <c:pt idx="12">
                  <c:v>580105</c:v>
                </c:pt>
              </c:numCache>
            </c:numRef>
          </c:val>
          <c:extLst>
            <c:ext xmlns:c16="http://schemas.microsoft.com/office/drawing/2014/chart" uri="{C3380CC4-5D6E-409C-BE32-E72D297353CC}">
              <c16:uniqueId val="{00000019-3271-4440-93FA-0468246C7088}"/>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272"/>
          <c:y val="3.3873343151695358E-2"/>
        </c:manualLayout>
      </c:layout>
      <c:overlay val="0"/>
      <c:spPr>
        <a:noFill/>
        <a:ln w="25400">
          <a:noFill/>
        </a:ln>
      </c:spPr>
    </c:title>
    <c:autoTitleDeleted val="0"/>
    <c:plotArea>
      <c:layout>
        <c:manualLayout>
          <c:layoutTarget val="inner"/>
          <c:xMode val="edge"/>
          <c:yMode val="edge"/>
          <c:x val="0.38440394317800297"/>
          <c:y val="0.28097449460779289"/>
          <c:w val="0.21796262808921041"/>
          <c:h val="0.35664804024996088"/>
        </c:manualLayout>
      </c:layout>
      <c:pieChart>
        <c:varyColors val="1"/>
        <c:ser>
          <c:idx val="0"/>
          <c:order val="0"/>
          <c:tx>
            <c:strRef>
              <c:f>'TYL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1770-47E5-9121-BD548B0CD334}"/>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1770-47E5-9121-BD548B0CD334}"/>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1770-47E5-9121-BD548B0CD334}"/>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1770-47E5-9121-BD548B0CD334}"/>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1770-47E5-9121-BD548B0CD334}"/>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1770-47E5-9121-BD548B0CD334}"/>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1770-47E5-9121-BD548B0CD334}"/>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1770-47E5-9121-BD548B0CD334}"/>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1770-47E5-9121-BD548B0CD334}"/>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1770-47E5-9121-BD548B0CD334}"/>
              </c:ext>
            </c:extLst>
          </c:dPt>
          <c:dLbls>
            <c:dLbl>
              <c:idx val="0"/>
              <c:layout>
                <c:manualLayout>
                  <c:x val="-9.2992021608710715E-2"/>
                  <c:y val="1.5589838600048958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1770-47E5-9121-BD548B0CD334}"/>
                </c:ext>
              </c:extLst>
            </c:dLbl>
            <c:dLbl>
              <c:idx val="1"/>
              <c:layout>
                <c:manualLayout>
                  <c:x val="-0.14539032587891343"/>
                  <c:y val="0.1228130424679815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1770-47E5-9121-BD548B0CD334}"/>
                </c:ext>
              </c:extLst>
            </c:dLbl>
            <c:dLbl>
              <c:idx val="2"/>
              <c:layout>
                <c:manualLayout>
                  <c:x val="-0.10420477568248092"/>
                  <c:y val="5.3171958234081501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1770-47E5-9121-BD548B0CD334}"/>
                </c:ext>
              </c:extLst>
            </c:dLbl>
            <c:dLbl>
              <c:idx val="3"/>
              <c:layout>
                <c:manualLayout>
                  <c:x val="-2.5487505288276292E-2"/>
                  <c:y val="-3.300519650931756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1770-47E5-9121-BD548B0CD334}"/>
                </c:ext>
              </c:extLst>
            </c:dLbl>
            <c:dLbl>
              <c:idx val="4"/>
              <c:layout>
                <c:manualLayout>
                  <c:x val="3.4617586669078396E-2"/>
                  <c:y val="-5.226114012557609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1770-47E5-9121-BD548B0CD334}"/>
                </c:ext>
              </c:extLst>
            </c:dLbl>
            <c:dLbl>
              <c:idx val="5"/>
              <c:layout>
                <c:manualLayout>
                  <c:x val="8.5013441114522775E-2"/>
                  <c:y val="-1.574407502258404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1770-47E5-9121-BD548B0CD334}"/>
                </c:ext>
              </c:extLst>
            </c:dLbl>
            <c:dLbl>
              <c:idx val="6"/>
              <c:layout>
                <c:manualLayout>
                  <c:x val="9.4767505327662954E-2"/>
                  <c:y val="-7.2641782569202885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1770-47E5-9121-BD548B0CD334}"/>
                </c:ext>
              </c:extLst>
            </c:dLbl>
            <c:dLbl>
              <c:idx val="7"/>
              <c:layout>
                <c:manualLayout>
                  <c:x val="0.14278544772307075"/>
                  <c:y val="6.999957130662014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1770-47E5-9121-BD548B0CD334}"/>
                </c:ext>
              </c:extLst>
            </c:dLbl>
            <c:dLbl>
              <c:idx val="8"/>
              <c:layout>
                <c:manualLayout>
                  <c:x val="4.9361565980660146E-2"/>
                  <c:y val="0.1693004904500783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1770-47E5-9121-BD548B0CD334}"/>
                </c:ext>
              </c:extLst>
            </c:dLbl>
            <c:dLbl>
              <c:idx val="9"/>
              <c:layout>
                <c:manualLayout>
                  <c:x val="-8.7506499187554251E-2"/>
                  <c:y val="0.1522478133531153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1770-47E5-9121-BD548B0CD334}"/>
                </c:ext>
              </c:extLst>
            </c:dLbl>
            <c:dLbl>
              <c:idx val="10"/>
              <c:layout>
                <c:manualLayout>
                  <c:x val="-0.23321771653930656"/>
                  <c:y val="7.414360731189369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1770-47E5-9121-BD548B0CD334}"/>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'TYL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'TYL Chrts'!$D$102:$D$112</c:f>
              <c:numCache>
                <c:formatCode>"$"#,##0</c:formatCode>
                <c:ptCount val="11"/>
                <c:pt idx="0">
                  <c:v>61622088</c:v>
                </c:pt>
                <c:pt idx="1">
                  <c:v>2090148</c:v>
                </c:pt>
                <c:pt idx="2">
                  <c:v>1495986</c:v>
                </c:pt>
                <c:pt idx="3">
                  <c:v>15543747</c:v>
                </c:pt>
                <c:pt idx="4">
                  <c:v>12914306</c:v>
                </c:pt>
                <c:pt idx="5">
                  <c:v>14087587</c:v>
                </c:pt>
                <c:pt idx="6">
                  <c:v>12975080</c:v>
                </c:pt>
                <c:pt idx="7">
                  <c:v>13893217</c:v>
                </c:pt>
                <c:pt idx="8">
                  <c:v>12292638</c:v>
                </c:pt>
                <c:pt idx="9">
                  <c:v>768896</c:v>
                </c:pt>
                <c:pt idx="10">
                  <c:v>0</c:v>
                </c:pt>
              </c:numCache>
            </c:numRef>
          </c:val>
          <c:extLst>
            <c:ext xmlns:c16="http://schemas.microsoft.com/office/drawing/2014/chart" uri="{C3380CC4-5D6E-409C-BE32-E72D297353CC}">
              <c16:uniqueId val="{00000015-1770-47E5-9121-BD548B0CD334}"/>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9139193121223426"/>
          <c:y val="0.28152721460509561"/>
          <c:w val="0.21813384639137853"/>
          <c:h val="0.34347173817297488"/>
        </c:manualLayout>
      </c:layout>
      <c:pieChart>
        <c:varyColors val="1"/>
        <c:ser>
          <c:idx val="0"/>
          <c:order val="0"/>
          <c:tx>
            <c:strRef>
              <c:f>'TAMU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9BFC-4B7F-905A-F15F25918B5A}"/>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9BFC-4B7F-905A-F15F25918B5A}"/>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9BFC-4B7F-905A-F15F25918B5A}"/>
              </c:ext>
            </c:extLst>
          </c:dPt>
          <c:dLbls>
            <c:dLbl>
              <c:idx val="0"/>
              <c:layout>
                <c:manualLayout>
                  <c:x val="8.1489104474381333E-2"/>
                  <c:y val="-2.87544701416083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9BFC-4B7F-905A-F15F25918B5A}"/>
                </c:ext>
              </c:extLst>
            </c:dLbl>
            <c:dLbl>
              <c:idx val="1"/>
              <c:layout>
                <c:manualLayout>
                  <c:x val="9.8131946176414755E-2"/>
                  <c:y val="7.233730360100733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9BFC-4B7F-905A-F15F25918B5A}"/>
                </c:ext>
              </c:extLst>
            </c:dLbl>
            <c:dLbl>
              <c:idx val="2"/>
              <c:layout>
                <c:manualLayout>
                  <c:x val="-7.749162123965464E-2"/>
                  <c:y val="0.101929850492613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9BFC-4B7F-905A-F15F25918B5A}"/>
                </c:ext>
              </c:extLst>
            </c:dLbl>
            <c:dLbl>
              <c:idx val="3"/>
              <c:layout>
                <c:manualLayout>
                  <c:x val="-8.9001128252633746E-2"/>
                  <c:y val="-1.935924379805252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9BFC-4B7F-905A-F15F25918B5A}"/>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 Chrts'!$C$9:$C$12</c:f>
              <c:strCache>
                <c:ptCount val="4"/>
                <c:pt idx="0">
                  <c:v>State of Texas</c:v>
                </c:pt>
                <c:pt idx="1">
                  <c:v>Student &amp; Parent</c:v>
                </c:pt>
                <c:pt idx="2">
                  <c:v>Federal Government</c:v>
                </c:pt>
                <c:pt idx="3">
                  <c:v>Institutional Resources</c:v>
                </c:pt>
              </c:strCache>
            </c:strRef>
          </c:cat>
          <c:val>
            <c:numRef>
              <c:f>'TAMU Chrts'!$D$9:$D$12</c:f>
              <c:numCache>
                <c:formatCode>"$"#,##0</c:formatCode>
                <c:ptCount val="4"/>
                <c:pt idx="0">
                  <c:v>650735800</c:v>
                </c:pt>
                <c:pt idx="1">
                  <c:v>679630868</c:v>
                </c:pt>
                <c:pt idx="2">
                  <c:v>272642791</c:v>
                </c:pt>
                <c:pt idx="3">
                  <c:v>728145432</c:v>
                </c:pt>
              </c:numCache>
            </c:numRef>
          </c:val>
          <c:extLst>
            <c:ext xmlns:c16="http://schemas.microsoft.com/office/drawing/2014/chart" uri="{C3380CC4-5D6E-409C-BE32-E72D297353CC}">
              <c16:uniqueId val="{00000007-9BFC-4B7F-905A-F15F25918B5A}"/>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549"/>
          <c:y val="4.2735042735042736E-2"/>
        </c:manualLayout>
      </c:layout>
      <c:overlay val="0"/>
      <c:spPr>
        <a:noFill/>
        <a:ln w="25400">
          <a:noFill/>
        </a:ln>
      </c:spPr>
    </c:title>
    <c:autoTitleDeleted val="0"/>
    <c:plotArea>
      <c:layout>
        <c:manualLayout>
          <c:layoutTarget val="inner"/>
          <c:xMode val="edge"/>
          <c:yMode val="edge"/>
          <c:x val="0.38527457098152024"/>
          <c:y val="0.3122128340537853"/>
          <c:w val="0.21400544358426335"/>
          <c:h val="0.33924243555635952"/>
        </c:manualLayout>
      </c:layout>
      <c:pieChart>
        <c:varyColors val="1"/>
        <c:ser>
          <c:idx val="0"/>
          <c:order val="0"/>
          <c:tx>
            <c:strRef>
              <c:f>'TAMU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8F0A-4FEE-B28E-5833A957641D}"/>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8F0A-4FEE-B28E-5833A957641D}"/>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8F0A-4FEE-B28E-5833A957641D}"/>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8F0A-4FEE-B28E-5833A957641D}"/>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8F0A-4FEE-B28E-5833A957641D}"/>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8F0A-4FEE-B28E-5833A957641D}"/>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8F0A-4FEE-B28E-5833A957641D}"/>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8F0A-4FEE-B28E-5833A957641D}"/>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8F0A-4FEE-B28E-5833A957641D}"/>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8F0A-4FEE-B28E-5833A957641D}"/>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8F0A-4FEE-B28E-5833A957641D}"/>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8F0A-4FEE-B28E-5833A957641D}"/>
              </c:ext>
            </c:extLst>
          </c:dPt>
          <c:dLbls>
            <c:dLbl>
              <c:idx val="0"/>
              <c:layout>
                <c:manualLayout>
                  <c:x val="3.7712201905524885E-2"/>
                  <c:y val="-9.022177275470617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8F0A-4FEE-B28E-5833A957641D}"/>
                </c:ext>
              </c:extLst>
            </c:dLbl>
            <c:dLbl>
              <c:idx val="1"/>
              <c:layout>
                <c:manualLayout>
                  <c:x val="0.12945709185292301"/>
                  <c:y val="1.631875587177875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8F0A-4FEE-B28E-5833A957641D}"/>
                </c:ext>
              </c:extLst>
            </c:dLbl>
            <c:dLbl>
              <c:idx val="2"/>
              <c:delete val="1"/>
              <c:extLst>
                <c:ext xmlns:c15="http://schemas.microsoft.com/office/drawing/2012/chart" uri="{CE6537A1-D6FC-4f65-9D91-7224C49458BB}"/>
                <c:ext xmlns:c16="http://schemas.microsoft.com/office/drawing/2014/chart" uri="{C3380CC4-5D6E-409C-BE32-E72D297353CC}">
                  <c16:uniqueId val="{00000003-8F0A-4FEE-B28E-5833A957641D}"/>
                </c:ext>
              </c:extLst>
            </c:dLbl>
            <c:dLbl>
              <c:idx val="3"/>
              <c:delete val="1"/>
              <c:extLst>
                <c:ext xmlns:c15="http://schemas.microsoft.com/office/drawing/2012/chart" uri="{CE6537A1-D6FC-4f65-9D91-7224C49458BB}"/>
                <c:ext xmlns:c16="http://schemas.microsoft.com/office/drawing/2014/chart" uri="{C3380CC4-5D6E-409C-BE32-E72D297353CC}">
                  <c16:uniqueId val="{00000005-8F0A-4FEE-B28E-5833A957641D}"/>
                </c:ext>
              </c:extLst>
            </c:dLbl>
            <c:dLbl>
              <c:idx val="4"/>
              <c:layout>
                <c:manualLayout>
                  <c:x val="9.1706799487376131E-2"/>
                  <c:y val="0.2149923292201645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8F0A-4FEE-B28E-5833A957641D}"/>
                </c:ext>
              </c:extLst>
            </c:dLbl>
            <c:dLbl>
              <c:idx val="5"/>
              <c:layout>
                <c:manualLayout>
                  <c:x val="-1.6700256529324816E-3"/>
                  <c:y val="0.1652788246962000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8F0A-4FEE-B28E-5833A957641D}"/>
                </c:ext>
              </c:extLst>
            </c:dLbl>
            <c:dLbl>
              <c:idx val="6"/>
              <c:layout>
                <c:manualLayout>
                  <c:x val="4.1721151934905575E-2"/>
                  <c:y val="0.1404728553856295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8F0A-4FEE-B28E-5833A957641D}"/>
                </c:ext>
              </c:extLst>
            </c:dLbl>
            <c:dLbl>
              <c:idx val="7"/>
              <c:layout>
                <c:manualLayout>
                  <c:x val="-0.10427580063925811"/>
                  <c:y val="6.62084982715015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8F0A-4FEE-B28E-5833A957641D}"/>
                </c:ext>
              </c:extLst>
            </c:dLbl>
            <c:dLbl>
              <c:idx val="8"/>
              <c:delete val="1"/>
              <c:extLst>
                <c:ext xmlns:c15="http://schemas.microsoft.com/office/drawing/2012/chart" uri="{CE6537A1-D6FC-4f65-9D91-7224C49458BB}"/>
                <c:ext xmlns:c16="http://schemas.microsoft.com/office/drawing/2014/chart" uri="{C3380CC4-5D6E-409C-BE32-E72D297353CC}">
                  <c16:uniqueId val="{0000000F-8F0A-4FEE-B28E-5833A957641D}"/>
                </c:ext>
              </c:extLst>
            </c:dLbl>
            <c:dLbl>
              <c:idx val="9"/>
              <c:layout>
                <c:manualLayout>
                  <c:x val="-9.0098021025744893E-2"/>
                  <c:y val="3.1437351341548152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8F0A-4FEE-B28E-5833A957641D}"/>
                </c:ext>
              </c:extLst>
            </c:dLbl>
            <c:dLbl>
              <c:idx val="10"/>
              <c:layout>
                <c:manualLayout>
                  <c:x val="-0.10864902022924786"/>
                  <c:y val="-5.920871447465898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8F0A-4FEE-B28E-5833A957641D}"/>
                </c:ext>
              </c:extLst>
            </c:dLbl>
            <c:dLbl>
              <c:idx val="11"/>
              <c:layout>
                <c:manualLayout>
                  <c:x val="-7.6806624375229032E-2"/>
                  <c:y val="-5.803995536509112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8F0A-4FEE-B28E-5833A957641D}"/>
                </c:ext>
              </c:extLst>
            </c:dLbl>
            <c:dLbl>
              <c:idx val="12"/>
              <c:layout>
                <c:manualLayout>
                  <c:x val="8.7693123594468226E-3"/>
                  <c:y val="-7.579145154652869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8F0A-4FEE-B28E-5833A957641D}"/>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'TAMU Chrts'!$D$54:$D$66</c:f>
              <c:numCache>
                <c:formatCode>"$"#,##0</c:formatCode>
                <c:ptCount val="13"/>
                <c:pt idx="0">
                  <c:v>367550412</c:v>
                </c:pt>
                <c:pt idx="1">
                  <c:v>81571094</c:v>
                </c:pt>
                <c:pt idx="3">
                  <c:v>0</c:v>
                </c:pt>
                <c:pt idx="4">
                  <c:v>201614294</c:v>
                </c:pt>
                <c:pt idx="5">
                  <c:v>679630868</c:v>
                </c:pt>
                <c:pt idx="6">
                  <c:v>272642791</c:v>
                </c:pt>
                <c:pt idx="7">
                  <c:v>115100531</c:v>
                </c:pt>
                <c:pt idx="8">
                  <c:v>0</c:v>
                </c:pt>
                <c:pt idx="9">
                  <c:v>214195659</c:v>
                </c:pt>
                <c:pt idx="10">
                  <c:v>151364386</c:v>
                </c:pt>
                <c:pt idx="11">
                  <c:v>189379128</c:v>
                </c:pt>
                <c:pt idx="12">
                  <c:v>58105728</c:v>
                </c:pt>
              </c:numCache>
            </c:numRef>
          </c:val>
          <c:extLst>
            <c:ext xmlns:c16="http://schemas.microsoft.com/office/drawing/2014/chart" uri="{C3380CC4-5D6E-409C-BE32-E72D297353CC}">
              <c16:uniqueId val="{00000019-8F0A-4FEE-B28E-5833A957641D}"/>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3733408832"/>
          <c:y val="3.3873367510650489E-2"/>
        </c:manualLayout>
      </c:layout>
      <c:overlay val="0"/>
      <c:spPr>
        <a:noFill/>
        <a:ln w="25400">
          <a:noFill/>
        </a:ln>
      </c:spPr>
    </c:title>
    <c:autoTitleDeleted val="0"/>
    <c:plotArea>
      <c:layout>
        <c:manualLayout>
          <c:layoutTarget val="inner"/>
          <c:xMode val="edge"/>
          <c:yMode val="edge"/>
          <c:x val="0.37952932122655775"/>
          <c:y val="0.31369683825078687"/>
          <c:w val="0.24184804001787719"/>
          <c:h val="0.39322561414536344"/>
        </c:manualLayout>
      </c:layout>
      <c:pieChart>
        <c:varyColors val="1"/>
        <c:ser>
          <c:idx val="0"/>
          <c:order val="0"/>
          <c:tx>
            <c:strRef>
              <c:f>'Smmy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3F76-4328-97EB-8996E7BF148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3F76-4328-97EB-8996E7BF148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3F76-4328-97EB-8996E7BF148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3F76-4328-97EB-8996E7BF148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3F76-4328-97EB-8996E7BF148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3F76-4328-97EB-8996E7BF148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3F76-4328-97EB-8996E7BF1483}"/>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3F76-4328-97EB-8996E7BF1483}"/>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3F76-4328-97EB-8996E7BF1483}"/>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3F76-4328-97EB-8996E7BF1483}"/>
              </c:ext>
            </c:extLst>
          </c:dPt>
          <c:dLbls>
            <c:dLbl>
              <c:idx val="0"/>
              <c:layout>
                <c:manualLayout>
                  <c:x val="-0.10819865871196579"/>
                  <c:y val="5.585533027407795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3F76-4328-97EB-8996E7BF1483}"/>
                </c:ext>
              </c:extLst>
            </c:dLbl>
            <c:dLbl>
              <c:idx val="1"/>
              <c:layout>
                <c:manualLayout>
                  <c:x val="-0.12430132942242979"/>
                  <c:y val="0.1306536269323816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3F76-4328-97EB-8996E7BF1483}"/>
                </c:ext>
              </c:extLst>
            </c:dLbl>
            <c:dLbl>
              <c:idx val="2"/>
              <c:layout>
                <c:manualLayout>
                  <c:x val="-0.16618976425414883"/>
                  <c:y val="2.692303152076801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3F76-4328-97EB-8996E7BF1483}"/>
                </c:ext>
              </c:extLst>
            </c:dLbl>
            <c:dLbl>
              <c:idx val="3"/>
              <c:layout>
                <c:manualLayout>
                  <c:x val="-0.11081929632213404"/>
                  <c:y val="-6.818166285812990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3F76-4328-97EB-8996E7BF1483}"/>
                </c:ext>
              </c:extLst>
            </c:dLbl>
            <c:dLbl>
              <c:idx val="4"/>
              <c:layout>
                <c:manualLayout>
                  <c:x val="-3.015786001433365E-2"/>
                  <c:y val="-8.469179431167404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3F76-4328-97EB-8996E7BF1483}"/>
                </c:ext>
              </c:extLst>
            </c:dLbl>
            <c:dLbl>
              <c:idx val="5"/>
              <c:layout>
                <c:manualLayout>
                  <c:x val="8.9627040290856316E-2"/>
                  <c:y val="-3.362804449961542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3F76-4328-97EB-8996E7BF1483}"/>
                </c:ext>
              </c:extLst>
            </c:dLbl>
            <c:dLbl>
              <c:idx val="6"/>
              <c:layout>
                <c:manualLayout>
                  <c:x val="9.7284247696885984E-2"/>
                  <c:y val="3.117160036830463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3F76-4328-97EB-8996E7BF1483}"/>
                </c:ext>
              </c:extLst>
            </c:dLbl>
            <c:dLbl>
              <c:idx val="7"/>
              <c:layout>
                <c:manualLayout>
                  <c:x val="9.0961778511863267E-2"/>
                  <c:y val="9.210523863310161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3F76-4328-97EB-8996E7BF1483}"/>
                </c:ext>
              </c:extLst>
            </c:dLbl>
            <c:dLbl>
              <c:idx val="8"/>
              <c:layout>
                <c:manualLayout>
                  <c:x val="7.4516856279041532E-2"/>
                  <c:y val="0.1158216126078101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3F76-4328-97EB-8996E7BF1483}"/>
                </c:ext>
              </c:extLst>
            </c:dLbl>
            <c:dLbl>
              <c:idx val="9"/>
              <c:layout>
                <c:manualLayout>
                  <c:x val="4.2382993265083777E-3"/>
                  <c:y val="0.1426118423750359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3F76-4328-97EB-8996E7BF1483}"/>
                </c:ext>
              </c:extLst>
            </c:dLbl>
            <c:dLbl>
              <c:idx val="10"/>
              <c:layout>
                <c:manualLayout>
                  <c:x val="-0.16283170299915037"/>
                  <c:y val="0.1162841665517271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3F76-4328-97EB-8996E7BF1483}"/>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'Smmy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'Smmy Chrts'!$D$102:$D$112</c:f>
              <c:numCache>
                <c:formatCode>"$"#,##0</c:formatCode>
                <c:ptCount val="11"/>
                <c:pt idx="0">
                  <c:v>4037148658</c:v>
                </c:pt>
                <c:pt idx="1">
                  <c:v>1785233069</c:v>
                </c:pt>
                <c:pt idx="2">
                  <c:v>289366444</c:v>
                </c:pt>
                <c:pt idx="3">
                  <c:v>1642064198</c:v>
                </c:pt>
                <c:pt idx="4">
                  <c:v>812823065</c:v>
                </c:pt>
                <c:pt idx="5">
                  <c:v>1144320024</c:v>
                </c:pt>
                <c:pt idx="6">
                  <c:v>1071608280</c:v>
                </c:pt>
                <c:pt idx="7">
                  <c:v>1695530314</c:v>
                </c:pt>
                <c:pt idx="8">
                  <c:v>1429216394</c:v>
                </c:pt>
                <c:pt idx="9">
                  <c:v>349795226</c:v>
                </c:pt>
                <c:pt idx="10">
                  <c:v>265279642</c:v>
                </c:pt>
              </c:numCache>
            </c:numRef>
          </c:val>
          <c:extLst>
            <c:ext xmlns:c16="http://schemas.microsoft.com/office/drawing/2014/chart" uri="{C3380CC4-5D6E-409C-BE32-E72D297353CC}">
              <c16:uniqueId val="{00000015-3F76-4328-97EB-8996E7BF1483}"/>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322"/>
          <c:y val="3.3873343151695441E-2"/>
        </c:manualLayout>
      </c:layout>
      <c:overlay val="0"/>
      <c:spPr>
        <a:noFill/>
        <a:ln w="25400">
          <a:noFill/>
        </a:ln>
      </c:spPr>
    </c:title>
    <c:autoTitleDeleted val="0"/>
    <c:plotArea>
      <c:layout>
        <c:manualLayout>
          <c:layoutTarget val="inner"/>
          <c:xMode val="edge"/>
          <c:yMode val="edge"/>
          <c:x val="0.38560948868733186"/>
          <c:y val="0.29872799218659718"/>
          <c:w val="0.21796262808921041"/>
          <c:h val="0.35664804024996088"/>
        </c:manualLayout>
      </c:layout>
      <c:pieChart>
        <c:varyColors val="1"/>
        <c:ser>
          <c:idx val="0"/>
          <c:order val="0"/>
          <c:tx>
            <c:strRef>
              <c:f>'TAMU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3295-40F4-865E-97DA3BC1F794}"/>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3295-40F4-865E-97DA3BC1F794}"/>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3295-40F4-865E-97DA3BC1F794}"/>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3295-40F4-865E-97DA3BC1F794}"/>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3295-40F4-865E-97DA3BC1F794}"/>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3295-40F4-865E-97DA3BC1F794}"/>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3295-40F4-865E-97DA3BC1F794}"/>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3295-40F4-865E-97DA3BC1F794}"/>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3295-40F4-865E-97DA3BC1F794}"/>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3295-40F4-865E-97DA3BC1F794}"/>
              </c:ext>
            </c:extLst>
          </c:dPt>
          <c:dLbls>
            <c:dLbl>
              <c:idx val="0"/>
              <c:layout>
                <c:manualLayout>
                  <c:x val="-9.171753755149209E-2"/>
                  <c:y val="6.734524479634579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3295-40F4-865E-97DA3BC1F794}"/>
                </c:ext>
              </c:extLst>
            </c:dLbl>
            <c:dLbl>
              <c:idx val="1"/>
              <c:layout>
                <c:manualLayout>
                  <c:x val="-0.13734382083357616"/>
                  <c:y val="0.1156776455161849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3295-40F4-865E-97DA3BC1F794}"/>
                </c:ext>
              </c:extLst>
            </c:dLbl>
            <c:dLbl>
              <c:idx val="2"/>
              <c:layout>
                <c:manualLayout>
                  <c:x val="-0.11708827535798542"/>
                  <c:y val="-5.984590647525815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3295-40F4-865E-97DA3BC1F794}"/>
                </c:ext>
              </c:extLst>
            </c:dLbl>
            <c:dLbl>
              <c:idx val="3"/>
              <c:layout>
                <c:manualLayout>
                  <c:x val="-4.9695607192510793E-3"/>
                  <c:y val="-8.900281710617323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3295-40F4-865E-97DA3BC1F794}"/>
                </c:ext>
              </c:extLst>
            </c:dLbl>
            <c:dLbl>
              <c:idx val="4"/>
              <c:layout>
                <c:manualLayout>
                  <c:x val="0.14096979966111844"/>
                  <c:y val="-6.1646729318029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3295-40F4-865E-97DA3BC1F794}"/>
                </c:ext>
              </c:extLst>
            </c:dLbl>
            <c:dLbl>
              <c:idx val="5"/>
              <c:layout>
                <c:manualLayout>
                  <c:x val="0.13760770410027864"/>
                  <c:y val="2.790514320222801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3295-40F4-865E-97DA3BC1F794}"/>
                </c:ext>
              </c:extLst>
            </c:dLbl>
            <c:dLbl>
              <c:idx val="6"/>
              <c:layout>
                <c:manualLayout>
                  <c:x val="0.12535097504841744"/>
                  <c:y val="9.957678948060837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3295-40F4-865E-97DA3BC1F794}"/>
                </c:ext>
              </c:extLst>
            </c:dLbl>
            <c:dLbl>
              <c:idx val="7"/>
              <c:layout>
                <c:manualLayout>
                  <c:x val="0.12689081894682511"/>
                  <c:y val="0.1779069760217502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3295-40F4-865E-97DA3BC1F794}"/>
                </c:ext>
              </c:extLst>
            </c:dLbl>
            <c:dLbl>
              <c:idx val="8"/>
              <c:layout>
                <c:manualLayout>
                  <c:x val="1.8894945126801325E-3"/>
                  <c:y val="0.1859027577259179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3295-40F4-865E-97DA3BC1F794}"/>
                </c:ext>
              </c:extLst>
            </c:dLbl>
            <c:dLbl>
              <c:idx val="9"/>
              <c:layout>
                <c:manualLayout>
                  <c:x val="-0.11678585943288487"/>
                  <c:y val="0.1564920574443003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3295-40F4-865E-97DA3BC1F794}"/>
                </c:ext>
              </c:extLst>
            </c:dLbl>
            <c:dLbl>
              <c:idx val="10"/>
              <c:layout>
                <c:manualLayout>
                  <c:x val="-0.22551092885215454"/>
                  <c:y val="9.368969557799672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3295-40F4-865E-97DA3BC1F794}"/>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'TAMU Chrts'!$D$102:$D$112</c:f>
              <c:numCache>
                <c:formatCode>"$"#,##0</c:formatCode>
                <c:ptCount val="11"/>
                <c:pt idx="0">
                  <c:v>607752075</c:v>
                </c:pt>
                <c:pt idx="1">
                  <c:v>224855845</c:v>
                </c:pt>
                <c:pt idx="2">
                  <c:v>18749990</c:v>
                </c:pt>
                <c:pt idx="3">
                  <c:v>255512124</c:v>
                </c:pt>
                <c:pt idx="4">
                  <c:v>82192718</c:v>
                </c:pt>
                <c:pt idx="5">
                  <c:v>87315089</c:v>
                </c:pt>
                <c:pt idx="6">
                  <c:v>173807317</c:v>
                </c:pt>
                <c:pt idx="7">
                  <c:v>141370145</c:v>
                </c:pt>
                <c:pt idx="8">
                  <c:v>205852290</c:v>
                </c:pt>
                <c:pt idx="9">
                  <c:v>48790007</c:v>
                </c:pt>
                <c:pt idx="10">
                  <c:v>46221503</c:v>
                </c:pt>
              </c:numCache>
            </c:numRef>
          </c:val>
          <c:extLst>
            <c:ext xmlns:c16="http://schemas.microsoft.com/office/drawing/2014/chart" uri="{C3380CC4-5D6E-409C-BE32-E72D297353CC}">
              <c16:uniqueId val="{00000015-3295-40F4-865E-97DA3BC1F794}"/>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8294547570693932"/>
          <c:y val="0.26822749609835034"/>
          <c:w val="0.22296039239438994"/>
          <c:h val="0.35107157731970678"/>
        </c:manualLayout>
      </c:layout>
      <c:pieChart>
        <c:varyColors val="1"/>
        <c:ser>
          <c:idx val="0"/>
          <c:order val="0"/>
          <c:tx>
            <c:strRef>
              <c:f>'TAMUG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41AA-40F8-B335-654381E49526}"/>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41AA-40F8-B335-654381E49526}"/>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41AA-40F8-B335-654381E49526}"/>
              </c:ext>
            </c:extLst>
          </c:dPt>
          <c:dLbls>
            <c:dLbl>
              <c:idx val="0"/>
              <c:layout>
                <c:manualLayout>
                  <c:x val="8.2617829719008662E-2"/>
                  <c:y val="-1.171482291776375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41AA-40F8-B335-654381E49526}"/>
                </c:ext>
              </c:extLst>
            </c:dLbl>
            <c:dLbl>
              <c:idx val="1"/>
              <c:layout>
                <c:manualLayout>
                  <c:x val="4.9208810106013405E-2"/>
                  <c:y val="0.2016066778051184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41AA-40F8-B335-654381E49526}"/>
                </c:ext>
              </c:extLst>
            </c:dLbl>
            <c:dLbl>
              <c:idx val="2"/>
              <c:layout>
                <c:manualLayout>
                  <c:x val="-5.6340799788130107E-2"/>
                  <c:y val="0.1072774144748810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41AA-40F8-B335-654381E49526}"/>
                </c:ext>
              </c:extLst>
            </c:dLbl>
            <c:dLbl>
              <c:idx val="3"/>
              <c:layout>
                <c:manualLayout>
                  <c:x val="-4.7174641631334543E-2"/>
                  <c:y val="4.8501335656769715E-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41AA-40F8-B335-654381E49526}"/>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'TAMUG Chrts'!$C$9:$C$12</c:f>
              <c:strCache>
                <c:ptCount val="4"/>
                <c:pt idx="0">
                  <c:v>State of Texas</c:v>
                </c:pt>
                <c:pt idx="1">
                  <c:v>Student &amp; Parent</c:v>
                </c:pt>
                <c:pt idx="2">
                  <c:v>Federal Government</c:v>
                </c:pt>
                <c:pt idx="3">
                  <c:v>Institutional Resources</c:v>
                </c:pt>
              </c:strCache>
            </c:strRef>
          </c:cat>
          <c:val>
            <c:numRef>
              <c:f>'TAMUG Chrts'!$D$9:$D$12</c:f>
              <c:numCache>
                <c:formatCode>"$"#,##0</c:formatCode>
                <c:ptCount val="4"/>
                <c:pt idx="0">
                  <c:v>71006415</c:v>
                </c:pt>
                <c:pt idx="1">
                  <c:v>21352720</c:v>
                </c:pt>
                <c:pt idx="2">
                  <c:v>10245867</c:v>
                </c:pt>
                <c:pt idx="3">
                  <c:v>17945877</c:v>
                </c:pt>
              </c:numCache>
            </c:numRef>
          </c:val>
          <c:extLst>
            <c:ext xmlns:c16="http://schemas.microsoft.com/office/drawing/2014/chart" uri="{C3380CC4-5D6E-409C-BE32-E72D297353CC}">
              <c16:uniqueId val="{00000007-41AA-40F8-B335-654381E49526}"/>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878770921817042"/>
          <c:y val="2.1745770629034763E-2"/>
        </c:manualLayout>
      </c:layout>
      <c:overlay val="0"/>
      <c:spPr>
        <a:noFill/>
        <a:ln w="25400">
          <a:noFill/>
        </a:ln>
      </c:spPr>
    </c:title>
    <c:autoTitleDeleted val="0"/>
    <c:plotArea>
      <c:layout>
        <c:manualLayout>
          <c:layoutTarget val="inner"/>
          <c:xMode val="edge"/>
          <c:yMode val="edge"/>
          <c:x val="0.38647827471155743"/>
          <c:y val="0.3122128340537853"/>
          <c:w val="0.22363507342450567"/>
          <c:h val="0.35450737006363042"/>
        </c:manualLayout>
      </c:layout>
      <c:pieChart>
        <c:varyColors val="1"/>
        <c:ser>
          <c:idx val="0"/>
          <c:order val="0"/>
          <c:tx>
            <c:strRef>
              <c:f>'TAMUG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8EA8-47A7-A176-37D7D8B86979}"/>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8EA8-47A7-A176-37D7D8B86979}"/>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8EA8-47A7-A176-37D7D8B86979}"/>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8EA8-47A7-A176-37D7D8B86979}"/>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8EA8-47A7-A176-37D7D8B86979}"/>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8EA8-47A7-A176-37D7D8B86979}"/>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8EA8-47A7-A176-37D7D8B86979}"/>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8EA8-47A7-A176-37D7D8B86979}"/>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8EA8-47A7-A176-37D7D8B86979}"/>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8EA8-47A7-A176-37D7D8B86979}"/>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8EA8-47A7-A176-37D7D8B86979}"/>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8EA8-47A7-A176-37D7D8B86979}"/>
              </c:ext>
            </c:extLst>
          </c:dPt>
          <c:dLbls>
            <c:dLbl>
              <c:idx val="0"/>
              <c:layout>
                <c:manualLayout>
                  <c:x val="0.10105928340597134"/>
                  <c:y val="6.373816310251981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8EA8-47A7-A176-37D7D8B86979}"/>
                </c:ext>
              </c:extLst>
            </c:dLbl>
            <c:dLbl>
              <c:idx val="1"/>
              <c:layout>
                <c:manualLayout>
                  <c:x val="3.612204334618737E-2"/>
                  <c:y val="8.789957956824574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8EA8-47A7-A176-37D7D8B86979}"/>
                </c:ext>
              </c:extLst>
            </c:dLbl>
            <c:dLbl>
              <c:idx val="2"/>
              <c:delete val="1"/>
              <c:extLst>
                <c:ext xmlns:c15="http://schemas.microsoft.com/office/drawing/2012/chart" uri="{CE6537A1-D6FC-4f65-9D91-7224C49458BB}"/>
                <c:ext xmlns:c16="http://schemas.microsoft.com/office/drawing/2014/chart" uri="{C3380CC4-5D6E-409C-BE32-E72D297353CC}">
                  <c16:uniqueId val="{00000003-8EA8-47A7-A176-37D7D8B86979}"/>
                </c:ext>
              </c:extLst>
            </c:dLbl>
            <c:dLbl>
              <c:idx val="3"/>
              <c:delete val="1"/>
              <c:extLst>
                <c:ext xmlns:c15="http://schemas.microsoft.com/office/drawing/2012/chart" uri="{CE6537A1-D6FC-4f65-9D91-7224C49458BB}"/>
                <c:ext xmlns:c16="http://schemas.microsoft.com/office/drawing/2014/chart" uri="{C3380CC4-5D6E-409C-BE32-E72D297353CC}">
                  <c16:uniqueId val="{00000005-8EA8-47A7-A176-37D7D8B86979}"/>
                </c:ext>
              </c:extLst>
            </c:dLbl>
            <c:dLbl>
              <c:idx val="4"/>
              <c:delete val="1"/>
              <c:extLst>
                <c:ext xmlns:c15="http://schemas.microsoft.com/office/drawing/2012/chart" uri="{CE6537A1-D6FC-4f65-9D91-7224C49458BB}"/>
                <c:ext xmlns:c16="http://schemas.microsoft.com/office/drawing/2014/chart" uri="{C3380CC4-5D6E-409C-BE32-E72D297353CC}">
                  <c16:uniqueId val="{00000007-8EA8-47A7-A176-37D7D8B86979}"/>
                </c:ext>
              </c:extLst>
            </c:dLbl>
            <c:dLbl>
              <c:idx val="5"/>
              <c:layout>
                <c:manualLayout>
                  <c:x val="-7.8188939456678819E-2"/>
                  <c:y val="0.1430375446773532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8EA8-47A7-A176-37D7D8B86979}"/>
                </c:ext>
              </c:extLst>
            </c:dLbl>
            <c:dLbl>
              <c:idx val="6"/>
              <c:layout>
                <c:manualLayout>
                  <c:x val="-0.10123310066646964"/>
                  <c:y val="0.1735004042352981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8EA8-47A7-A176-37D7D8B86979}"/>
                </c:ext>
              </c:extLst>
            </c:dLbl>
            <c:dLbl>
              <c:idx val="7"/>
              <c:layout>
                <c:manualLayout>
                  <c:x val="-0.11777192169773433"/>
                  <c:y val="0.1013289657991846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8EA8-47A7-A176-37D7D8B86979}"/>
                </c:ext>
              </c:extLst>
            </c:dLbl>
            <c:dLbl>
              <c:idx val="8"/>
              <c:delete val="1"/>
              <c:extLst>
                <c:ext xmlns:c15="http://schemas.microsoft.com/office/drawing/2012/chart" uri="{CE6537A1-D6FC-4f65-9D91-7224C49458BB}"/>
                <c:ext xmlns:c16="http://schemas.microsoft.com/office/drawing/2014/chart" uri="{C3380CC4-5D6E-409C-BE32-E72D297353CC}">
                  <c16:uniqueId val="{0000000F-8EA8-47A7-A176-37D7D8B86979}"/>
                </c:ext>
              </c:extLst>
            </c:dLbl>
            <c:dLbl>
              <c:idx val="9"/>
              <c:layout>
                <c:manualLayout>
                  <c:x val="-9.2880703987315044E-2"/>
                  <c:y val="-5.625068267761975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8EA8-47A7-A176-37D7D8B86979}"/>
                </c:ext>
              </c:extLst>
            </c:dLbl>
            <c:dLbl>
              <c:idx val="10"/>
              <c:layout>
                <c:manualLayout>
                  <c:x val="1.2972400862488997E-2"/>
                  <c:y val="-0.1403166001505158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8EA8-47A7-A176-37D7D8B86979}"/>
                </c:ext>
              </c:extLst>
            </c:dLbl>
            <c:dLbl>
              <c:idx val="11"/>
              <c:layout>
                <c:manualLayout>
                  <c:x val="0.11068945906537353"/>
                  <c:y val="-8.955783825089093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8EA8-47A7-A176-37D7D8B86979}"/>
                </c:ext>
              </c:extLst>
            </c:dLbl>
            <c:dLbl>
              <c:idx val="12"/>
              <c:layout>
                <c:manualLayout>
                  <c:x val="0.26183420026149157"/>
                  <c:y val="-2.956123680225464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8EA8-47A7-A176-37D7D8B86979}"/>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'TAMUG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'TAMUG Chrts'!$D$54:$D$66</c:f>
              <c:numCache>
                <c:formatCode>"$"#,##0</c:formatCode>
                <c:ptCount val="13"/>
                <c:pt idx="0">
                  <c:v>70229913</c:v>
                </c:pt>
                <c:pt idx="1">
                  <c:v>776502</c:v>
                </c:pt>
                <c:pt idx="3">
                  <c:v>0</c:v>
                </c:pt>
                <c:pt idx="4">
                  <c:v>0</c:v>
                </c:pt>
                <c:pt idx="5">
                  <c:v>21352720</c:v>
                </c:pt>
                <c:pt idx="6">
                  <c:v>10245867</c:v>
                </c:pt>
                <c:pt idx="7">
                  <c:v>4215967</c:v>
                </c:pt>
                <c:pt idx="8">
                  <c:v>0</c:v>
                </c:pt>
                <c:pt idx="9">
                  <c:v>3349397</c:v>
                </c:pt>
                <c:pt idx="10">
                  <c:v>2523321</c:v>
                </c:pt>
                <c:pt idx="11">
                  <c:v>4734974</c:v>
                </c:pt>
                <c:pt idx="12">
                  <c:v>3122218</c:v>
                </c:pt>
              </c:numCache>
            </c:numRef>
          </c:val>
          <c:extLst>
            <c:ext xmlns:c16="http://schemas.microsoft.com/office/drawing/2014/chart" uri="{C3380CC4-5D6E-409C-BE32-E72D297353CC}">
              <c16:uniqueId val="{00000019-8EA8-47A7-A176-37D7D8B86979}"/>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388"/>
          <c:y val="3.3873343151695524E-2"/>
        </c:manualLayout>
      </c:layout>
      <c:overlay val="0"/>
      <c:spPr>
        <a:noFill/>
        <a:ln w="25400">
          <a:noFill/>
        </a:ln>
      </c:spPr>
    </c:title>
    <c:autoTitleDeleted val="0"/>
    <c:plotArea>
      <c:layout>
        <c:manualLayout>
          <c:layoutTarget val="inner"/>
          <c:xMode val="edge"/>
          <c:yMode val="edge"/>
          <c:x val="0.38681503419668506"/>
          <c:y val="0.29675538134451768"/>
          <c:w val="0.22037371910789633"/>
          <c:h val="0.36059326193415497"/>
        </c:manualLayout>
      </c:layout>
      <c:pieChart>
        <c:varyColors val="1"/>
        <c:ser>
          <c:idx val="0"/>
          <c:order val="0"/>
          <c:tx>
            <c:strRef>
              <c:f>'TAMUG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5E61-456A-B6CC-06657F2CABE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5E61-456A-B6CC-06657F2CABE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5E61-456A-B6CC-06657F2CABE2}"/>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5E61-456A-B6CC-06657F2CABE2}"/>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5E61-456A-B6CC-06657F2CABE2}"/>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5E61-456A-B6CC-06657F2CABE2}"/>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5E61-456A-B6CC-06657F2CABE2}"/>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5E61-456A-B6CC-06657F2CABE2}"/>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5E61-456A-B6CC-06657F2CABE2}"/>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5E61-456A-B6CC-06657F2CABE2}"/>
              </c:ext>
            </c:extLst>
          </c:dPt>
          <c:dLbls>
            <c:dLbl>
              <c:idx val="0"/>
              <c:layout>
                <c:manualLayout>
                  <c:x val="-0.10219456845773073"/>
                  <c:y val="7.418383614717746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5E61-456A-B6CC-06657F2CABE2}"/>
                </c:ext>
              </c:extLst>
            </c:dLbl>
            <c:dLbl>
              <c:idx val="1"/>
              <c:layout>
                <c:manualLayout>
                  <c:x val="-0.11710448044718995"/>
                  <c:y val="0.1423805654030771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5E61-456A-B6CC-06657F2CABE2}"/>
                </c:ext>
              </c:extLst>
            </c:dLbl>
            <c:dLbl>
              <c:idx val="2"/>
              <c:layout>
                <c:manualLayout>
                  <c:x val="-0.1288137081204464"/>
                  <c:y val="5.647693567486898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5E61-456A-B6CC-06657F2CABE2}"/>
                </c:ext>
              </c:extLst>
            </c:dLbl>
            <c:dLbl>
              <c:idx val="3"/>
              <c:layout>
                <c:manualLayout>
                  <c:x val="-0.10912230506032253"/>
                  <c:y val="-4.403504226668207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5E61-456A-B6CC-06657F2CABE2}"/>
                </c:ext>
              </c:extLst>
            </c:dLbl>
            <c:dLbl>
              <c:idx val="4"/>
              <c:layout>
                <c:manualLayout>
                  <c:x val="5.8008891115620131E-2"/>
                  <c:y val="-7.298520324415268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5E61-456A-B6CC-06657F2CABE2}"/>
                </c:ext>
              </c:extLst>
            </c:dLbl>
            <c:dLbl>
              <c:idx val="5"/>
              <c:layout>
                <c:manualLayout>
                  <c:x val="0.14829916167102794"/>
                  <c:y val="-3.959651254829013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5E61-456A-B6CC-06657F2CABE2}"/>
                </c:ext>
              </c:extLst>
            </c:dLbl>
            <c:dLbl>
              <c:idx val="6"/>
              <c:layout>
                <c:manualLayout>
                  <c:x val="0.11465408807411383"/>
                  <c:y val="-1.720691619213985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5E61-456A-B6CC-06657F2CABE2}"/>
                </c:ext>
              </c:extLst>
            </c:dLbl>
            <c:dLbl>
              <c:idx val="7"/>
              <c:layout>
                <c:manualLayout>
                  <c:x val="0.13792051730127244"/>
                  <c:y val="3.791327562643211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5E61-456A-B6CC-06657F2CABE2}"/>
                </c:ext>
              </c:extLst>
            </c:dLbl>
            <c:dLbl>
              <c:idx val="8"/>
              <c:layout>
                <c:manualLayout>
                  <c:x val="0.12024461920247882"/>
                  <c:y val="9.64723194548511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5E61-456A-B6CC-06657F2CABE2}"/>
                </c:ext>
              </c:extLst>
            </c:dLbl>
            <c:dLbl>
              <c:idx val="9"/>
              <c:layout>
                <c:manualLayout>
                  <c:x val="3.3326736389925518E-2"/>
                  <c:y val="0.1449107882863576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5E61-456A-B6CC-06657F2CABE2}"/>
                </c:ext>
              </c:extLst>
            </c:dLbl>
            <c:dLbl>
              <c:idx val="10"/>
              <c:layout>
                <c:manualLayout>
                  <c:x val="-0.14922446812616849"/>
                  <c:y val="0.1402790358996534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5E61-456A-B6CC-06657F2CABE2}"/>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'TAMUG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'TAMUG Chrts'!$D$102:$D$112</c:f>
              <c:numCache>
                <c:formatCode>"$"#,##0</c:formatCode>
                <c:ptCount val="11"/>
                <c:pt idx="0">
                  <c:v>20218790</c:v>
                </c:pt>
                <c:pt idx="1">
                  <c:v>6717898</c:v>
                </c:pt>
                <c:pt idx="2">
                  <c:v>913990</c:v>
                </c:pt>
                <c:pt idx="3">
                  <c:v>6369577</c:v>
                </c:pt>
                <c:pt idx="4">
                  <c:v>3191340</c:v>
                </c:pt>
                <c:pt idx="5">
                  <c:v>6740760</c:v>
                </c:pt>
                <c:pt idx="6">
                  <c:v>7301557</c:v>
                </c:pt>
                <c:pt idx="7">
                  <c:v>2894109</c:v>
                </c:pt>
                <c:pt idx="8">
                  <c:v>5110510</c:v>
                </c:pt>
                <c:pt idx="9">
                  <c:v>407045</c:v>
                </c:pt>
                <c:pt idx="10">
                  <c:v>303961</c:v>
                </c:pt>
              </c:numCache>
            </c:numRef>
          </c:val>
          <c:extLst>
            <c:ext xmlns:c16="http://schemas.microsoft.com/office/drawing/2014/chart" uri="{C3380CC4-5D6E-409C-BE32-E72D297353CC}">
              <c16:uniqueId val="{00000015-5E61-456A-B6CC-06657F2CABE2}"/>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8897865821072403"/>
          <c:y val="0.31002661140528065"/>
          <c:w val="0.21934048289214222"/>
          <c:h val="0.34537169795967976"/>
        </c:manualLayout>
      </c:layout>
      <c:pieChart>
        <c:varyColors val="1"/>
        <c:ser>
          <c:idx val="0"/>
          <c:order val="0"/>
          <c:tx>
            <c:strRef>
              <c:f>'PVAMU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71D1-4428-8C4D-F7795ED4B7E4}"/>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71D1-4428-8C4D-F7795ED4B7E4}"/>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71D1-4428-8C4D-F7795ED4B7E4}"/>
              </c:ext>
            </c:extLst>
          </c:dPt>
          <c:dLbls>
            <c:dLbl>
              <c:idx val="0"/>
              <c:layout>
                <c:manualLayout>
                  <c:x val="9.6420137528057948E-2"/>
                  <c:y val="7.036044780406583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71D1-4428-8C4D-F7795ED4B7E4}"/>
                </c:ext>
              </c:extLst>
            </c:dLbl>
            <c:dLbl>
              <c:idx val="1"/>
              <c:layout>
                <c:manualLayout>
                  <c:x val="2.7618324516919868E-2"/>
                  <c:y val="0.1408540423963310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71D1-4428-8C4D-F7795ED4B7E4}"/>
                </c:ext>
              </c:extLst>
            </c:dLbl>
            <c:dLbl>
              <c:idx val="2"/>
              <c:layout>
                <c:manualLayout>
                  <c:x val="-9.254920962933931E-2"/>
                  <c:y val="2.778354580967698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71D1-4428-8C4D-F7795ED4B7E4}"/>
                </c:ext>
              </c:extLst>
            </c:dLbl>
            <c:dLbl>
              <c:idx val="3"/>
              <c:layout>
                <c:manualLayout>
                  <c:x val="-2.5917013647443216E-2"/>
                  <c:y val="-5.092610323334258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71D1-4428-8C4D-F7795ED4B7E4}"/>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'PVAMU Chrts'!$C$9:$C$12</c:f>
              <c:strCache>
                <c:ptCount val="4"/>
                <c:pt idx="0">
                  <c:v>State of Texas</c:v>
                </c:pt>
                <c:pt idx="1">
                  <c:v>Student &amp; Parent</c:v>
                </c:pt>
                <c:pt idx="2">
                  <c:v>Federal Government</c:v>
                </c:pt>
                <c:pt idx="3">
                  <c:v>Institutional Resources</c:v>
                </c:pt>
              </c:strCache>
            </c:strRef>
          </c:cat>
          <c:val>
            <c:numRef>
              <c:f>'PVAMU Chrts'!$D$9:$D$12</c:f>
              <c:numCache>
                <c:formatCode>"$"#,##0</c:formatCode>
                <c:ptCount val="4"/>
                <c:pt idx="0">
                  <c:v>95373744</c:v>
                </c:pt>
                <c:pt idx="1">
                  <c:v>58606512</c:v>
                </c:pt>
                <c:pt idx="2">
                  <c:v>104828664</c:v>
                </c:pt>
                <c:pt idx="3">
                  <c:v>59876164</c:v>
                </c:pt>
              </c:numCache>
            </c:numRef>
          </c:val>
          <c:extLst>
            <c:ext xmlns:c16="http://schemas.microsoft.com/office/drawing/2014/chart" uri="{C3380CC4-5D6E-409C-BE32-E72D297353CC}">
              <c16:uniqueId val="{00000007-71D1-4428-8C4D-F7795ED4B7E4}"/>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758400548813388"/>
          <c:y val="2.5562004255851568E-2"/>
        </c:manualLayout>
      </c:layout>
      <c:overlay val="0"/>
      <c:spPr>
        <a:noFill/>
        <a:ln w="25400">
          <a:noFill/>
        </a:ln>
      </c:spPr>
    </c:title>
    <c:autoTitleDeleted val="0"/>
    <c:plotArea>
      <c:layout>
        <c:manualLayout>
          <c:layoutTarget val="inner"/>
          <c:xMode val="edge"/>
          <c:yMode val="edge"/>
          <c:x val="0.38888568217162323"/>
          <c:y val="0.28931543229289286"/>
          <c:w val="0.2164128510443257"/>
          <c:h val="0.3430586691831875"/>
        </c:manualLayout>
      </c:layout>
      <c:pieChart>
        <c:varyColors val="1"/>
        <c:ser>
          <c:idx val="0"/>
          <c:order val="0"/>
          <c:tx>
            <c:strRef>
              <c:f>'PVAMU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9DFA-47CC-A441-19BC90C21499}"/>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9DFA-47CC-A441-19BC90C21499}"/>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9DFA-47CC-A441-19BC90C21499}"/>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9DFA-47CC-A441-19BC90C21499}"/>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9DFA-47CC-A441-19BC90C21499}"/>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9DFA-47CC-A441-19BC90C21499}"/>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9DFA-47CC-A441-19BC90C21499}"/>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9DFA-47CC-A441-19BC90C21499}"/>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9DFA-47CC-A441-19BC90C21499}"/>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9DFA-47CC-A441-19BC90C21499}"/>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9DFA-47CC-A441-19BC90C21499}"/>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9DFA-47CC-A441-19BC90C21499}"/>
              </c:ext>
            </c:extLst>
          </c:dPt>
          <c:dLbls>
            <c:dLbl>
              <c:idx val="0"/>
              <c:layout>
                <c:manualLayout>
                  <c:x val="9.2795921995652689E-2"/>
                  <c:y val="1.56710478731483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9DFA-47CC-A441-19BC90C21499}"/>
                </c:ext>
              </c:extLst>
            </c:dLbl>
            <c:dLbl>
              <c:idx val="1"/>
              <c:layout>
                <c:manualLayout>
                  <c:x val="0.1013368806295077"/>
                  <c:y val="2.8918486902430776E-2"/>
                </c:manualLayout>
              </c:layout>
              <c:tx>
                <c:rich>
                  <a:bodyPr/>
                  <a:lstStyle/>
                  <a:p>
                    <a:r>
                      <a:rPr lang="en-US"/>
                      <a:t>State Grants &amp;  Contracts
$5,332,972, 3%</a:t>
                    </a:r>
                  </a:p>
                </c:rich>
              </c:tx>
              <c:showLegendKey val="0"/>
              <c:showVal val="1"/>
              <c:showCatName val="1"/>
              <c:showSerName val="0"/>
              <c:showPercent val="1"/>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1-9DFA-47CC-A441-19BC90C21499}"/>
                </c:ext>
              </c:extLst>
            </c:dLbl>
            <c:dLbl>
              <c:idx val="2"/>
              <c:delete val="1"/>
              <c:extLst>
                <c:ext xmlns:c15="http://schemas.microsoft.com/office/drawing/2012/chart" uri="{CE6537A1-D6FC-4f65-9D91-7224C49458BB}"/>
                <c:ext xmlns:c16="http://schemas.microsoft.com/office/drawing/2014/chart" uri="{C3380CC4-5D6E-409C-BE32-E72D297353CC}">
                  <c16:uniqueId val="{00000003-9DFA-47CC-A441-19BC90C21499}"/>
                </c:ext>
              </c:extLst>
            </c:dLbl>
            <c:dLbl>
              <c:idx val="3"/>
              <c:delete val="1"/>
              <c:extLst>
                <c:ext xmlns:c15="http://schemas.microsoft.com/office/drawing/2012/chart" uri="{CE6537A1-D6FC-4f65-9D91-7224C49458BB}"/>
                <c:ext xmlns:c16="http://schemas.microsoft.com/office/drawing/2014/chart" uri="{C3380CC4-5D6E-409C-BE32-E72D297353CC}">
                  <c16:uniqueId val="{00000005-9DFA-47CC-A441-19BC90C21499}"/>
                </c:ext>
              </c:extLst>
            </c:dLbl>
            <c:dLbl>
              <c:idx val="4"/>
              <c:layout>
                <c:manualLayout>
                  <c:x val="5.4425879887263495E-2"/>
                  <c:y val="0.1206150686839418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9DFA-47CC-A441-19BC90C21499}"/>
                </c:ext>
              </c:extLst>
            </c:dLbl>
            <c:dLbl>
              <c:idx val="5"/>
              <c:layout>
                <c:manualLayout>
                  <c:x val="-1.4982877723857863E-2"/>
                  <c:y val="0.1183875301110597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9DFA-47CC-A441-19BC90C21499}"/>
                </c:ext>
              </c:extLst>
            </c:dLbl>
            <c:dLbl>
              <c:idx val="6"/>
              <c:layout>
                <c:manualLayout>
                  <c:x val="-4.0343184647900009E-2"/>
                  <c:y val="0.1532976540530127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9DFA-47CC-A441-19BC90C21499}"/>
                </c:ext>
              </c:extLst>
            </c:dLbl>
            <c:dLbl>
              <c:idx val="7"/>
              <c:layout>
                <c:manualLayout>
                  <c:x val="-0.11239379448750704"/>
                  <c:y val="0.1551515322703870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9DFA-47CC-A441-19BC90C21499}"/>
                </c:ext>
              </c:extLst>
            </c:dLbl>
            <c:dLbl>
              <c:idx val="8"/>
              <c:delete val="1"/>
              <c:extLst>
                <c:ext xmlns:c15="http://schemas.microsoft.com/office/drawing/2012/chart" uri="{CE6537A1-D6FC-4f65-9D91-7224C49458BB}"/>
                <c:ext xmlns:c16="http://schemas.microsoft.com/office/drawing/2014/chart" uri="{C3380CC4-5D6E-409C-BE32-E72D297353CC}">
                  <c16:uniqueId val="{0000000F-9DFA-47CC-A441-19BC90C21499}"/>
                </c:ext>
              </c:extLst>
            </c:dLbl>
            <c:dLbl>
              <c:idx val="9"/>
              <c:layout>
                <c:manualLayout>
                  <c:x val="-0.11033322347275923"/>
                  <c:y val="3.07773232186114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9DFA-47CC-A441-19BC90C21499}"/>
                </c:ext>
              </c:extLst>
            </c:dLbl>
            <c:dLbl>
              <c:idx val="10"/>
              <c:layout>
                <c:manualLayout>
                  <c:x val="-8.3548068695530289E-2"/>
                  <c:y val="-9.060549955324524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9DFA-47CC-A441-19BC90C21499}"/>
                </c:ext>
              </c:extLst>
            </c:dLbl>
            <c:dLbl>
              <c:idx val="11"/>
              <c:layout>
                <c:manualLayout>
                  <c:x val="6.4848582860030132E-2"/>
                  <c:y val="-6.025712700410485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9DFA-47CC-A441-19BC90C21499}"/>
                </c:ext>
              </c:extLst>
            </c:dLbl>
            <c:dLbl>
              <c:idx val="12"/>
              <c:layout>
                <c:manualLayout>
                  <c:x val="0.18841961169091673"/>
                  <c:y val="-7.222808095884221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9DFA-47CC-A441-19BC90C21499}"/>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'PVAMU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'PVAMU Chrts'!$D$54:$D$66</c:f>
              <c:numCache>
                <c:formatCode>"$"#,##0</c:formatCode>
                <c:ptCount val="13"/>
                <c:pt idx="0">
                  <c:v>55711045</c:v>
                </c:pt>
                <c:pt idx="1">
                  <c:v>13058194</c:v>
                </c:pt>
                <c:pt idx="3">
                  <c:v>0</c:v>
                </c:pt>
                <c:pt idx="4">
                  <c:v>26604505</c:v>
                </c:pt>
                <c:pt idx="5">
                  <c:v>58606512</c:v>
                </c:pt>
                <c:pt idx="6">
                  <c:v>104828664</c:v>
                </c:pt>
                <c:pt idx="7">
                  <c:v>8180260</c:v>
                </c:pt>
                <c:pt idx="8">
                  <c:v>0</c:v>
                </c:pt>
                <c:pt idx="9">
                  <c:v>34643241</c:v>
                </c:pt>
                <c:pt idx="10" formatCode="&quot;$&quot;#,##0_);\(&quot;$&quot;#,##0\)">
                  <c:v>700453</c:v>
                </c:pt>
                <c:pt idx="11">
                  <c:v>12774915</c:v>
                </c:pt>
                <c:pt idx="12">
                  <c:v>3577295</c:v>
                </c:pt>
              </c:numCache>
            </c:numRef>
          </c:val>
          <c:extLst>
            <c:ext xmlns:c16="http://schemas.microsoft.com/office/drawing/2014/chart" uri="{C3380CC4-5D6E-409C-BE32-E72D297353CC}">
              <c16:uniqueId val="{00000019-9DFA-47CC-A441-19BC90C21499}"/>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361"/>
          <c:y val="3.387334315169549E-2"/>
        </c:manualLayout>
      </c:layout>
      <c:overlay val="0"/>
      <c:spPr>
        <a:noFill/>
        <a:ln w="25400">
          <a:noFill/>
        </a:ln>
      </c:spPr>
    </c:title>
    <c:autoTitleDeleted val="0"/>
    <c:plotArea>
      <c:layout>
        <c:manualLayout>
          <c:layoutTarget val="inner"/>
          <c:xMode val="edge"/>
          <c:yMode val="edge"/>
          <c:x val="0.38560948868733186"/>
          <c:y val="0.30267321387078538"/>
          <c:w val="0.22037371910789633"/>
          <c:h val="0.36059326193415497"/>
        </c:manualLayout>
      </c:layout>
      <c:pieChart>
        <c:varyColors val="1"/>
        <c:ser>
          <c:idx val="0"/>
          <c:order val="0"/>
          <c:tx>
            <c:strRef>
              <c:f>'PVAMU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F0F2-4F85-920F-8A3CC944ED47}"/>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F0F2-4F85-920F-8A3CC944ED47}"/>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F0F2-4F85-920F-8A3CC944ED47}"/>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F0F2-4F85-920F-8A3CC944ED47}"/>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F0F2-4F85-920F-8A3CC944ED47}"/>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F0F2-4F85-920F-8A3CC944ED47}"/>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F0F2-4F85-920F-8A3CC944ED47}"/>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F0F2-4F85-920F-8A3CC944ED47}"/>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F0F2-4F85-920F-8A3CC944ED47}"/>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F0F2-4F85-920F-8A3CC944ED47}"/>
              </c:ext>
            </c:extLst>
          </c:dPt>
          <c:dLbls>
            <c:dLbl>
              <c:idx val="0"/>
              <c:layout>
                <c:manualLayout>
                  <c:x val="-0.11978816243465809"/>
                  <c:y val="-7.4320843184093339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F0F2-4F85-920F-8A3CC944ED47}"/>
                </c:ext>
              </c:extLst>
            </c:dLbl>
            <c:dLbl>
              <c:idx val="1"/>
              <c:layout>
                <c:manualLayout>
                  <c:x val="-0.10153991958035874"/>
                  <c:y val="2.721799543255083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F0F2-4F85-920F-8A3CC944ED47}"/>
                </c:ext>
              </c:extLst>
            </c:dLbl>
            <c:dLbl>
              <c:idx val="2"/>
              <c:layout>
                <c:manualLayout>
                  <c:x val="-8.2242441075924891E-2"/>
                  <c:y val="-3.576996371793407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F0F2-4F85-920F-8A3CC944ED47}"/>
                </c:ext>
              </c:extLst>
            </c:dLbl>
            <c:dLbl>
              <c:idx val="3"/>
              <c:layout>
                <c:manualLayout>
                  <c:x val="-6.476104559156419E-2"/>
                  <c:y val="-9.658975916592409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F0F2-4F85-920F-8A3CC944ED47}"/>
                </c:ext>
              </c:extLst>
            </c:dLbl>
            <c:dLbl>
              <c:idx val="4"/>
              <c:layout>
                <c:manualLayout>
                  <c:x val="-6.1467934692530724E-3"/>
                  <c:y val="-9.441771237061728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F0F2-4F85-920F-8A3CC944ED47}"/>
                </c:ext>
              </c:extLst>
            </c:dLbl>
            <c:dLbl>
              <c:idx val="5"/>
              <c:layout>
                <c:manualLayout>
                  <c:x val="0.16139128779651243"/>
                  <c:y val="-5.417535767556200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F0F2-4F85-920F-8A3CC944ED47}"/>
                </c:ext>
              </c:extLst>
            </c:dLbl>
            <c:dLbl>
              <c:idx val="6"/>
              <c:layout>
                <c:manualLayout>
                  <c:x val="0.20357962384556644"/>
                  <c:y val="1.080509405860394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F0F2-4F85-920F-8A3CC944ED47}"/>
                </c:ext>
              </c:extLst>
            </c:dLbl>
            <c:dLbl>
              <c:idx val="7"/>
              <c:layout>
                <c:manualLayout>
                  <c:x val="0.12197442479825112"/>
                  <c:y val="0.1365192706993670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F0F2-4F85-920F-8A3CC944ED47}"/>
                </c:ext>
              </c:extLst>
            </c:dLbl>
            <c:dLbl>
              <c:idx val="8"/>
              <c:layout>
                <c:manualLayout>
                  <c:x val="0.10659178442147572"/>
                  <c:y val="0.1162691182133049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F0F2-4F85-920F-8A3CC944ED47}"/>
                </c:ext>
              </c:extLst>
            </c:dLbl>
            <c:dLbl>
              <c:idx val="9"/>
              <c:layout>
                <c:manualLayout>
                  <c:x val="2.8646564531350869E-2"/>
                  <c:y val="0.1427522549893075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F0F2-4F85-920F-8A3CC944ED47}"/>
                </c:ext>
              </c:extLst>
            </c:dLbl>
            <c:dLbl>
              <c:idx val="10"/>
              <c:layout>
                <c:manualLayout>
                  <c:x val="-0.1642749593398718"/>
                  <c:y val="0.1235725944977817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F0F2-4F85-920F-8A3CC944ED47}"/>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'PVAMU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'PVAMU Chrts'!$D$102:$D$112</c:f>
              <c:numCache>
                <c:formatCode>"$"#,##0</c:formatCode>
                <c:ptCount val="11"/>
                <c:pt idx="0">
                  <c:v>52305594</c:v>
                </c:pt>
                <c:pt idx="1">
                  <c:v>17548382</c:v>
                </c:pt>
                <c:pt idx="2">
                  <c:v>7762778</c:v>
                </c:pt>
                <c:pt idx="3">
                  <c:v>22197811</c:v>
                </c:pt>
                <c:pt idx="4">
                  <c:v>19506425</c:v>
                </c:pt>
                <c:pt idx="5">
                  <c:v>19209918</c:v>
                </c:pt>
                <c:pt idx="6">
                  <c:v>22274123</c:v>
                </c:pt>
                <c:pt idx="7">
                  <c:v>75217093</c:v>
                </c:pt>
                <c:pt idx="8">
                  <c:v>27900736</c:v>
                </c:pt>
                <c:pt idx="9">
                  <c:v>3300156</c:v>
                </c:pt>
                <c:pt idx="10">
                  <c:v>1082946</c:v>
                </c:pt>
              </c:numCache>
            </c:numRef>
          </c:val>
          <c:extLst>
            <c:ext xmlns:c16="http://schemas.microsoft.com/office/drawing/2014/chart" uri="{C3380CC4-5D6E-409C-BE32-E72D297353CC}">
              <c16:uniqueId val="{00000015-F0F2-4F85-920F-8A3CC944ED47}"/>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9139193121223426"/>
          <c:y val="0.28912705375180731"/>
          <c:w val="0.22296039239438994"/>
          <c:h val="0.35107157731970678"/>
        </c:manualLayout>
      </c:layout>
      <c:pieChart>
        <c:varyColors val="1"/>
        <c:ser>
          <c:idx val="0"/>
          <c:order val="0"/>
          <c:tx>
            <c:strRef>
              <c:f>'TARLST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E439-45D3-B1EF-F6117820E3FE}"/>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E439-45D3-B1EF-F6117820E3FE}"/>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E439-45D3-B1EF-F6117820E3FE}"/>
              </c:ext>
            </c:extLst>
          </c:dPt>
          <c:dLbls>
            <c:dLbl>
              <c:idx val="0"/>
              <c:layout>
                <c:manualLayout>
                  <c:x val="0.1035833778696215"/>
                  <c:y val="3.504064417912165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E439-45D3-B1EF-F6117820E3FE}"/>
                </c:ext>
              </c:extLst>
            </c:dLbl>
            <c:dLbl>
              <c:idx val="1"/>
              <c:layout>
                <c:manualLayout>
                  <c:x val="-5.3616655384140413E-2"/>
                  <c:y val="9.991170423101591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E439-45D3-B1EF-F6117820E3FE}"/>
                </c:ext>
              </c:extLst>
            </c:dLbl>
            <c:dLbl>
              <c:idx val="2"/>
              <c:layout>
                <c:manualLayout>
                  <c:x val="-9.9643852210781342E-2"/>
                  <c:y val="3.289623287343424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E439-45D3-B1EF-F6117820E3FE}"/>
                </c:ext>
              </c:extLst>
            </c:dLbl>
            <c:dLbl>
              <c:idx val="3"/>
              <c:layout>
                <c:manualLayout>
                  <c:x val="-2.1658745145544601E-2"/>
                  <c:y val="-2.830311748992507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E439-45D3-B1EF-F6117820E3FE}"/>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'TARLST Chrts'!$C$9:$C$12</c:f>
              <c:strCache>
                <c:ptCount val="4"/>
                <c:pt idx="0">
                  <c:v>State of Texas</c:v>
                </c:pt>
                <c:pt idx="1">
                  <c:v>Student &amp; Parent</c:v>
                </c:pt>
                <c:pt idx="2">
                  <c:v>Federal Government</c:v>
                </c:pt>
                <c:pt idx="3">
                  <c:v>Institutional Resources</c:v>
                </c:pt>
              </c:strCache>
            </c:strRef>
          </c:cat>
          <c:val>
            <c:numRef>
              <c:f>'TARLST Chrts'!$D$9:$D$12</c:f>
              <c:numCache>
                <c:formatCode>"$"#,##0</c:formatCode>
                <c:ptCount val="4"/>
                <c:pt idx="0">
                  <c:v>62943792</c:v>
                </c:pt>
                <c:pt idx="1">
                  <c:v>95089628</c:v>
                </c:pt>
                <c:pt idx="2">
                  <c:v>57260009</c:v>
                </c:pt>
                <c:pt idx="3">
                  <c:v>58075797</c:v>
                </c:pt>
              </c:numCache>
            </c:numRef>
          </c:val>
          <c:extLst>
            <c:ext xmlns:c16="http://schemas.microsoft.com/office/drawing/2014/chart" uri="{C3380CC4-5D6E-409C-BE32-E72D297353CC}">
              <c16:uniqueId val="{00000007-E439-45D3-B1EF-F6117820E3FE}"/>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999141294819368"/>
          <c:y val="2.7470121069260812E-2"/>
        </c:manualLayout>
      </c:layout>
      <c:overlay val="0"/>
      <c:spPr>
        <a:noFill/>
        <a:ln w="25400">
          <a:noFill/>
        </a:ln>
      </c:spPr>
    </c:title>
    <c:autoTitleDeleted val="0"/>
    <c:plotArea>
      <c:layout>
        <c:manualLayout>
          <c:layoutTarget val="inner"/>
          <c:xMode val="edge"/>
          <c:yMode val="edge"/>
          <c:x val="0.37805234860131975"/>
          <c:y val="0.30839660042696748"/>
          <c:w val="0.22363507342450567"/>
          <c:h val="0.35450737006363042"/>
        </c:manualLayout>
      </c:layout>
      <c:pieChart>
        <c:varyColors val="1"/>
        <c:ser>
          <c:idx val="0"/>
          <c:order val="0"/>
          <c:tx>
            <c:strRef>
              <c:f>'TARLST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FFA2-4929-866F-48DCE488A49B}"/>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FFA2-4929-866F-48DCE488A49B}"/>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FFA2-4929-866F-48DCE488A49B}"/>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FFA2-4929-866F-48DCE488A49B}"/>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FFA2-4929-866F-48DCE488A49B}"/>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FFA2-4929-866F-48DCE488A49B}"/>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FFA2-4929-866F-48DCE488A49B}"/>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FFA2-4929-866F-48DCE488A49B}"/>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FFA2-4929-866F-48DCE488A49B}"/>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FFA2-4929-866F-48DCE488A49B}"/>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FFA2-4929-866F-48DCE488A49B}"/>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FFA2-4929-866F-48DCE488A49B}"/>
              </c:ext>
            </c:extLst>
          </c:dPt>
          <c:dLbls>
            <c:dLbl>
              <c:idx val="0"/>
              <c:layout>
                <c:manualLayout>
                  <c:x val="0.13446981529529511"/>
                  <c:y val="0.131943272738855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FFA2-4929-866F-48DCE488A49B}"/>
                </c:ext>
              </c:extLst>
            </c:dLbl>
            <c:dLbl>
              <c:idx val="1"/>
              <c:layout>
                <c:manualLayout>
                  <c:x val="0.11218027997338763"/>
                  <c:y val="0.1157677007507912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FFA2-4929-866F-48DCE488A49B}"/>
                </c:ext>
              </c:extLst>
            </c:dLbl>
            <c:dLbl>
              <c:idx val="2"/>
              <c:delete val="1"/>
              <c:extLst>
                <c:ext xmlns:c15="http://schemas.microsoft.com/office/drawing/2012/chart" uri="{CE6537A1-D6FC-4f65-9D91-7224C49458BB}"/>
                <c:ext xmlns:c16="http://schemas.microsoft.com/office/drawing/2014/chart" uri="{C3380CC4-5D6E-409C-BE32-E72D297353CC}">
                  <c16:uniqueId val="{00000003-FFA2-4929-866F-48DCE488A49B}"/>
                </c:ext>
              </c:extLst>
            </c:dLbl>
            <c:dLbl>
              <c:idx val="3"/>
              <c:delete val="1"/>
              <c:extLst>
                <c:ext xmlns:c15="http://schemas.microsoft.com/office/drawing/2012/chart" uri="{CE6537A1-D6FC-4f65-9D91-7224C49458BB}"/>
                <c:ext xmlns:c16="http://schemas.microsoft.com/office/drawing/2014/chart" uri="{C3380CC4-5D6E-409C-BE32-E72D297353CC}">
                  <c16:uniqueId val="{00000005-FFA2-4929-866F-48DCE488A49B}"/>
                </c:ext>
              </c:extLst>
            </c:dLbl>
            <c:dLbl>
              <c:idx val="4"/>
              <c:delete val="1"/>
              <c:extLst>
                <c:ext xmlns:c15="http://schemas.microsoft.com/office/drawing/2012/chart" uri="{CE6537A1-D6FC-4f65-9D91-7224C49458BB}"/>
                <c:ext xmlns:c16="http://schemas.microsoft.com/office/drawing/2014/chart" uri="{C3380CC4-5D6E-409C-BE32-E72D297353CC}">
                  <c16:uniqueId val="{00000007-FFA2-4929-866F-48DCE488A49B}"/>
                </c:ext>
              </c:extLst>
            </c:dLbl>
            <c:dLbl>
              <c:idx val="5"/>
              <c:layout>
                <c:manualLayout>
                  <c:x val="-2.4417591667811114E-3"/>
                  <c:y val="0.1228998507612257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FFA2-4929-866F-48DCE488A49B}"/>
                </c:ext>
              </c:extLst>
            </c:dLbl>
            <c:dLbl>
              <c:idx val="6"/>
              <c:layout>
                <c:manualLayout>
                  <c:x val="-9.0238095620665149E-2"/>
                  <c:y val="0.1987333710249006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FFA2-4929-866F-48DCE488A49B}"/>
                </c:ext>
              </c:extLst>
            </c:dLbl>
            <c:dLbl>
              <c:idx val="7"/>
              <c:layout>
                <c:manualLayout>
                  <c:x val="-0.11511258377420126"/>
                  <c:y val="0.1011901390326028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FFA2-4929-866F-48DCE488A49B}"/>
                </c:ext>
              </c:extLst>
            </c:dLbl>
            <c:dLbl>
              <c:idx val="8"/>
              <c:delete val="1"/>
              <c:extLst>
                <c:ext xmlns:c15="http://schemas.microsoft.com/office/drawing/2012/chart" uri="{CE6537A1-D6FC-4f65-9D91-7224C49458BB}"/>
                <c:ext xmlns:c16="http://schemas.microsoft.com/office/drawing/2014/chart" uri="{C3380CC4-5D6E-409C-BE32-E72D297353CC}">
                  <c16:uniqueId val="{0000000F-FFA2-4929-866F-48DCE488A49B}"/>
                </c:ext>
              </c:extLst>
            </c:dLbl>
            <c:dLbl>
              <c:idx val="9"/>
              <c:layout>
                <c:manualLayout>
                  <c:x val="-0.11396816866266664"/>
                  <c:y val="-9.40925454683953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FFA2-4929-866F-48DCE488A49B}"/>
                </c:ext>
              </c:extLst>
            </c:dLbl>
            <c:dLbl>
              <c:idx val="10"/>
              <c:layout>
                <c:manualLayout>
                  <c:x val="5.7311964742789677E-2"/>
                  <c:y val="-0.1324309693669123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FFA2-4929-866F-48DCE488A49B}"/>
                </c:ext>
              </c:extLst>
            </c:dLbl>
            <c:dLbl>
              <c:idx val="11"/>
              <c:layout>
                <c:manualLayout>
                  <c:x val="0.19464915047404666"/>
                  <c:y val="-7.732786119486875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FFA2-4929-866F-48DCE488A49B}"/>
                </c:ext>
              </c:extLst>
            </c:dLbl>
            <c:dLbl>
              <c:idx val="12"/>
              <c:layout>
                <c:manualLayout>
                  <c:x val="0.28518327418600081"/>
                  <c:y val="7.3665328631052388E-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FFA2-4929-866F-48DCE488A49B}"/>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'TARLST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'TARLST Chrts'!$D$54:$D$66</c:f>
              <c:numCache>
                <c:formatCode>"$"#,##0</c:formatCode>
                <c:ptCount val="13"/>
                <c:pt idx="0">
                  <c:v>53590196</c:v>
                </c:pt>
                <c:pt idx="1">
                  <c:v>9353596</c:v>
                </c:pt>
                <c:pt idx="3">
                  <c:v>0</c:v>
                </c:pt>
                <c:pt idx="4">
                  <c:v>0</c:v>
                </c:pt>
                <c:pt idx="5">
                  <c:v>95089628</c:v>
                </c:pt>
                <c:pt idx="6">
                  <c:v>57260009</c:v>
                </c:pt>
                <c:pt idx="7">
                  <c:v>9326536</c:v>
                </c:pt>
                <c:pt idx="8">
                  <c:v>0</c:v>
                </c:pt>
                <c:pt idx="9">
                  <c:v>13307438</c:v>
                </c:pt>
                <c:pt idx="10" formatCode="&quot;$&quot;#,##0_);\(&quot;$&quot;#,##0\)">
                  <c:v>1832258</c:v>
                </c:pt>
                <c:pt idx="11">
                  <c:v>31363530</c:v>
                </c:pt>
                <c:pt idx="12">
                  <c:v>2246035</c:v>
                </c:pt>
              </c:numCache>
            </c:numRef>
          </c:val>
          <c:extLst>
            <c:ext xmlns:c16="http://schemas.microsoft.com/office/drawing/2014/chart" uri="{C3380CC4-5D6E-409C-BE32-E72D297353CC}">
              <c16:uniqueId val="{00000019-FFA2-4929-866F-48DCE488A49B}"/>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366"/>
          <c:y val="3.3873343151695497E-2"/>
        </c:manualLayout>
      </c:layout>
      <c:overlay val="0"/>
      <c:spPr>
        <a:noFill/>
        <a:ln w="25400">
          <a:noFill/>
        </a:ln>
      </c:spPr>
    </c:title>
    <c:autoTitleDeleted val="0"/>
    <c:plotArea>
      <c:layout>
        <c:manualLayout>
          <c:layoutTarget val="inner"/>
          <c:xMode val="edge"/>
          <c:yMode val="edge"/>
          <c:x val="0.38681503419668506"/>
          <c:y val="0.28689232713407042"/>
          <c:w val="0.22760699216395419"/>
          <c:h val="0.37242892698670127"/>
        </c:manualLayout>
      </c:layout>
      <c:pieChart>
        <c:varyColors val="1"/>
        <c:ser>
          <c:idx val="0"/>
          <c:order val="0"/>
          <c:tx>
            <c:strRef>
              <c:f>'TARLST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E6B4-4B0C-83B6-0E82F82392DC}"/>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E6B4-4B0C-83B6-0E82F82392DC}"/>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E6B4-4B0C-83B6-0E82F82392DC}"/>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E6B4-4B0C-83B6-0E82F82392DC}"/>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E6B4-4B0C-83B6-0E82F82392DC}"/>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E6B4-4B0C-83B6-0E82F82392DC}"/>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E6B4-4B0C-83B6-0E82F82392DC}"/>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E6B4-4B0C-83B6-0E82F82392DC}"/>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E6B4-4B0C-83B6-0E82F82392DC}"/>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E6B4-4B0C-83B6-0E82F82392DC}"/>
              </c:ext>
            </c:extLst>
          </c:dPt>
          <c:dLbls>
            <c:dLbl>
              <c:idx val="0"/>
              <c:layout>
                <c:manualLayout>
                  <c:x val="-9.4487144803102149E-2"/>
                  <c:y val="6.649577954474009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E6B4-4B0C-83B6-0E82F82392DC}"/>
                </c:ext>
              </c:extLst>
            </c:dLbl>
            <c:dLbl>
              <c:idx val="1"/>
              <c:layout>
                <c:manualLayout>
                  <c:x val="-0.11576623434613485"/>
                  <c:y val="0.1340115697508980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E6B4-4B0C-83B6-0E82F82392DC}"/>
                </c:ext>
              </c:extLst>
            </c:dLbl>
            <c:dLbl>
              <c:idx val="2"/>
              <c:layout>
                <c:manualLayout>
                  <c:x val="-0.12508552060478886"/>
                  <c:y val="3.847647343157249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E6B4-4B0C-83B6-0E82F82392DC}"/>
                </c:ext>
              </c:extLst>
            </c:dLbl>
            <c:dLbl>
              <c:idx val="3"/>
              <c:layout>
                <c:manualLayout>
                  <c:x val="-5.8831553924525423E-2"/>
                  <c:y val="-6.773836905156889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E6B4-4B0C-83B6-0E82F82392DC}"/>
                </c:ext>
              </c:extLst>
            </c:dLbl>
            <c:dLbl>
              <c:idx val="4"/>
              <c:layout>
                <c:manualLayout>
                  <c:x val="0.10801053719805739"/>
                  <c:y val="-6.982965803776136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E6B4-4B0C-83B6-0E82F82392DC}"/>
                </c:ext>
              </c:extLst>
            </c:dLbl>
            <c:dLbl>
              <c:idx val="5"/>
              <c:layout>
                <c:manualLayout>
                  <c:x val="0.15407331613334857"/>
                  <c:y val="1.243133332825942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E6B4-4B0C-83B6-0E82F82392DC}"/>
                </c:ext>
              </c:extLst>
            </c:dLbl>
            <c:dLbl>
              <c:idx val="6"/>
              <c:layout>
                <c:manualLayout>
                  <c:x val="0.13274548008467296"/>
                  <c:y val="0.1000505268036694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E6B4-4B0C-83B6-0E82F82392DC}"/>
                </c:ext>
              </c:extLst>
            </c:dLbl>
            <c:dLbl>
              <c:idx val="7"/>
              <c:layout>
                <c:manualLayout>
                  <c:x val="0.11779110494891838"/>
                  <c:y val="0.120146153400494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E6B4-4B0C-83B6-0E82F82392DC}"/>
                </c:ext>
              </c:extLst>
            </c:dLbl>
            <c:dLbl>
              <c:idx val="8"/>
              <c:layout>
                <c:manualLayout>
                  <c:x val="8.2493326743958206E-2"/>
                  <c:y val="9.209731712499566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E6B4-4B0C-83B6-0E82F82392DC}"/>
                </c:ext>
              </c:extLst>
            </c:dLbl>
            <c:dLbl>
              <c:idx val="9"/>
              <c:layout>
                <c:manualLayout>
                  <c:x val="3.1225805426244532E-2"/>
                  <c:y val="0.158080528498169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E6B4-4B0C-83B6-0E82F82392DC}"/>
                </c:ext>
              </c:extLst>
            </c:dLbl>
            <c:dLbl>
              <c:idx val="10"/>
              <c:layout>
                <c:manualLayout>
                  <c:x val="-0.15962610088858184"/>
                  <c:y val="0.1415745907842106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E6B4-4B0C-83B6-0E82F82392DC}"/>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'TARLST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'TARLST Chrts'!$D$102:$D$112</c:f>
              <c:numCache>
                <c:formatCode>"$"#,##0</c:formatCode>
                <c:ptCount val="11"/>
                <c:pt idx="0">
                  <c:v>51226635</c:v>
                </c:pt>
                <c:pt idx="1">
                  <c:v>15607662</c:v>
                </c:pt>
                <c:pt idx="2">
                  <c:v>2242769</c:v>
                </c:pt>
                <c:pt idx="3">
                  <c:v>22255061</c:v>
                </c:pt>
                <c:pt idx="4">
                  <c:v>12552752</c:v>
                </c:pt>
                <c:pt idx="5">
                  <c:v>17990353</c:v>
                </c:pt>
                <c:pt idx="6">
                  <c:v>12241516</c:v>
                </c:pt>
                <c:pt idx="7">
                  <c:v>33469302</c:v>
                </c:pt>
                <c:pt idx="8">
                  <c:v>38683447</c:v>
                </c:pt>
                <c:pt idx="9">
                  <c:v>1535773</c:v>
                </c:pt>
                <c:pt idx="10">
                  <c:v>3337272</c:v>
                </c:pt>
              </c:numCache>
            </c:numRef>
          </c:val>
          <c:extLst>
            <c:ext xmlns:c16="http://schemas.microsoft.com/office/drawing/2014/chart" uri="{C3380CC4-5D6E-409C-BE32-E72D297353CC}">
              <c16:uniqueId val="{00000015-E6B4-4B0C-83B6-0E82F82392DC}"/>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9983838671751387"/>
          <c:y val="0.34042593930010068"/>
          <c:w val="0.21936119523521141"/>
          <c:h val="0.34536649053326451"/>
        </c:manualLayout>
      </c:layout>
      <c:pieChart>
        <c:varyColors val="1"/>
        <c:ser>
          <c:idx val="0"/>
          <c:order val="0"/>
          <c:tx>
            <c:strRef>
              <c:f>'ARL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4425-42F1-B48B-841F4AEC2580}"/>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4425-42F1-B48B-841F4AEC2580}"/>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4425-42F1-B48B-841F4AEC2580}"/>
              </c:ext>
            </c:extLst>
          </c:dPt>
          <c:dLbls>
            <c:dLbl>
              <c:idx val="0"/>
              <c:layout>
                <c:manualLayout>
                  <c:x val="7.6065892526112913E-2"/>
                  <c:y val="-4.480811310673134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4425-42F1-B48B-841F4AEC2580}"/>
                </c:ext>
              </c:extLst>
            </c:dLbl>
            <c:dLbl>
              <c:idx val="1"/>
              <c:layout>
                <c:manualLayout>
                  <c:x val="-1.1247372358998121E-2"/>
                  <c:y val="0.115350233445084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4425-42F1-B48B-841F4AEC2580}"/>
                </c:ext>
              </c:extLst>
            </c:dLbl>
            <c:dLbl>
              <c:idx val="2"/>
              <c:layout>
                <c:manualLayout>
                  <c:x val="-9.2963931544756004E-2"/>
                  <c:y val="8.837704956288042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4425-42F1-B48B-841F4AEC2580}"/>
                </c:ext>
              </c:extLst>
            </c:dLbl>
            <c:dLbl>
              <c:idx val="3"/>
              <c:layout>
                <c:manualLayout>
                  <c:x val="-0.10135879621382148"/>
                  <c:y val="-3.264326970311821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4425-42F1-B48B-841F4AEC2580}"/>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'ARL Chrts'!$C$9:$C$12</c:f>
              <c:strCache>
                <c:ptCount val="4"/>
                <c:pt idx="0">
                  <c:v>State of Texas</c:v>
                </c:pt>
                <c:pt idx="1">
                  <c:v>Student &amp; Parent</c:v>
                </c:pt>
                <c:pt idx="2">
                  <c:v>Federal Government</c:v>
                </c:pt>
                <c:pt idx="3">
                  <c:v>Institutional Resources</c:v>
                </c:pt>
              </c:strCache>
            </c:strRef>
          </c:cat>
          <c:val>
            <c:numRef>
              <c:f>'ARL Chrts'!$D$9:$D$12</c:f>
              <c:numCache>
                <c:formatCode>"$"#,##0</c:formatCode>
                <c:ptCount val="4"/>
                <c:pt idx="0">
                  <c:v>160771184</c:v>
                </c:pt>
                <c:pt idx="1">
                  <c:v>348479934</c:v>
                </c:pt>
                <c:pt idx="2">
                  <c:v>176364560</c:v>
                </c:pt>
                <c:pt idx="3">
                  <c:v>120382321</c:v>
                </c:pt>
              </c:numCache>
            </c:numRef>
          </c:val>
          <c:extLst>
            <c:ext xmlns:c16="http://schemas.microsoft.com/office/drawing/2014/chart" uri="{C3380CC4-5D6E-409C-BE32-E72D297353CC}">
              <c16:uniqueId val="{00000007-4425-42F1-B48B-841F4AEC2580}"/>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8897865821072403"/>
          <c:y val="0.30432673204524552"/>
          <c:w val="0.22658030189665221"/>
          <c:h val="0.35677145667972004"/>
        </c:manualLayout>
      </c:layout>
      <c:pieChart>
        <c:varyColors val="1"/>
        <c:ser>
          <c:idx val="0"/>
          <c:order val="0"/>
          <c:tx>
            <c:strRef>
              <c:f>'TAMUCC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41F0-4E18-A866-AD647C3D2F5A}"/>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41F0-4E18-A866-AD647C3D2F5A}"/>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41F0-4E18-A866-AD647C3D2F5A}"/>
              </c:ext>
            </c:extLst>
          </c:dPt>
          <c:dLbls>
            <c:dLbl>
              <c:idx val="0"/>
              <c:layout>
                <c:manualLayout>
                  <c:x val="0.1060914774060718"/>
                  <c:y val="3.099821792748197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41F0-4E18-A866-AD647C3D2F5A}"/>
                </c:ext>
              </c:extLst>
            </c:dLbl>
            <c:dLbl>
              <c:idx val="1"/>
              <c:layout>
                <c:manualLayout>
                  <c:x val="0.10732776330455818"/>
                  <c:y val="0.1109500217822161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41F0-4E18-A866-AD647C3D2F5A}"/>
                </c:ext>
              </c:extLst>
            </c:dLbl>
            <c:dLbl>
              <c:idx val="2"/>
              <c:layout>
                <c:manualLayout>
                  <c:x val="-7.8120319918276587E-2"/>
                  <c:y val="6.414443763583964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41F0-4E18-A866-AD647C3D2F5A}"/>
                </c:ext>
              </c:extLst>
            </c:dLbl>
            <c:dLbl>
              <c:idx val="3"/>
              <c:layout>
                <c:manualLayout>
                  <c:x val="-2.8948938651391625E-2"/>
                  <c:y val="-2.792507037331377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41F0-4E18-A866-AD647C3D2F5A}"/>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'TAMUCC Chrts'!$C$9:$C$12</c:f>
              <c:strCache>
                <c:ptCount val="4"/>
                <c:pt idx="0">
                  <c:v>State of Texas</c:v>
                </c:pt>
                <c:pt idx="1">
                  <c:v>Student &amp; Parent</c:v>
                </c:pt>
                <c:pt idx="2">
                  <c:v>Federal Government</c:v>
                </c:pt>
                <c:pt idx="3">
                  <c:v>Institutional Resources</c:v>
                </c:pt>
              </c:strCache>
            </c:strRef>
          </c:cat>
          <c:val>
            <c:numRef>
              <c:f>'TAMUCC Chrts'!$D$9:$D$12</c:f>
              <c:numCache>
                <c:formatCode>"$"#,##0</c:formatCode>
                <c:ptCount val="4"/>
                <c:pt idx="0">
                  <c:v>80725731</c:v>
                </c:pt>
                <c:pt idx="1">
                  <c:v>82142445</c:v>
                </c:pt>
                <c:pt idx="2">
                  <c:v>64668767</c:v>
                </c:pt>
                <c:pt idx="3">
                  <c:v>34762366</c:v>
                </c:pt>
              </c:numCache>
            </c:numRef>
          </c:val>
          <c:extLst>
            <c:ext xmlns:c16="http://schemas.microsoft.com/office/drawing/2014/chart" uri="{C3380CC4-5D6E-409C-BE32-E72D297353CC}">
              <c16:uniqueId val="{00000007-41F0-4E18-A866-AD647C3D2F5A}"/>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40721363532838228"/>
          <c:y val="2.1745770629034763E-2"/>
        </c:manualLayout>
      </c:layout>
      <c:overlay val="0"/>
      <c:spPr>
        <a:noFill/>
        <a:ln w="25400">
          <a:noFill/>
        </a:ln>
      </c:spPr>
    </c:title>
    <c:autoTitleDeleted val="0"/>
    <c:plotArea>
      <c:layout>
        <c:manualLayout>
          <c:layoutTarget val="inner"/>
          <c:xMode val="edge"/>
          <c:yMode val="edge"/>
          <c:x val="0.39249679336171711"/>
          <c:y val="0.29313166591970857"/>
          <c:w val="0.22844988834463695"/>
          <c:h val="0.36213983731727611"/>
        </c:manualLayout>
      </c:layout>
      <c:pieChart>
        <c:varyColors val="1"/>
        <c:ser>
          <c:idx val="0"/>
          <c:order val="0"/>
          <c:tx>
            <c:strRef>
              <c:f>'TAMUCC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30F2-4EEA-A37B-4032044B3F9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30F2-4EEA-A37B-4032044B3F95}"/>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30F2-4EEA-A37B-4032044B3F95}"/>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30F2-4EEA-A37B-4032044B3F95}"/>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30F2-4EEA-A37B-4032044B3F95}"/>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30F2-4EEA-A37B-4032044B3F95}"/>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30F2-4EEA-A37B-4032044B3F95}"/>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30F2-4EEA-A37B-4032044B3F95}"/>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30F2-4EEA-A37B-4032044B3F95}"/>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30F2-4EEA-A37B-4032044B3F95}"/>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30F2-4EEA-A37B-4032044B3F95}"/>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30F2-4EEA-A37B-4032044B3F95}"/>
              </c:ext>
            </c:extLst>
          </c:dPt>
          <c:dLbls>
            <c:dLbl>
              <c:idx val="0"/>
              <c:layout>
                <c:manualLayout>
                  <c:x val="0.13247616250808006"/>
                  <c:y val="9.449054558168039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30F2-4EEA-A37B-4032044B3F95}"/>
                </c:ext>
              </c:extLst>
            </c:dLbl>
            <c:dLbl>
              <c:idx val="1"/>
              <c:layout>
                <c:manualLayout>
                  <c:x val="0.12934546695643151"/>
                  <c:y val="4.53960521814356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30F2-4EEA-A37B-4032044B3F95}"/>
                </c:ext>
              </c:extLst>
            </c:dLbl>
            <c:dLbl>
              <c:idx val="2"/>
              <c:delete val="1"/>
              <c:extLst>
                <c:ext xmlns:c15="http://schemas.microsoft.com/office/drawing/2012/chart" uri="{CE6537A1-D6FC-4f65-9D91-7224C49458BB}"/>
                <c:ext xmlns:c16="http://schemas.microsoft.com/office/drawing/2014/chart" uri="{C3380CC4-5D6E-409C-BE32-E72D297353CC}">
                  <c16:uniqueId val="{00000003-30F2-4EEA-A37B-4032044B3F95}"/>
                </c:ext>
              </c:extLst>
            </c:dLbl>
            <c:dLbl>
              <c:idx val="3"/>
              <c:layout>
                <c:manualLayout>
                  <c:x val="-1.6093455652543929E-3"/>
                  <c:y val="0.1904204422714282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30F2-4EEA-A37B-4032044B3F95}"/>
                </c:ext>
              </c:extLst>
            </c:dLbl>
            <c:dLbl>
              <c:idx val="4"/>
              <c:delete val="1"/>
              <c:extLst>
                <c:ext xmlns:c15="http://schemas.microsoft.com/office/drawing/2012/chart" uri="{CE6537A1-D6FC-4f65-9D91-7224C49458BB}"/>
                <c:ext xmlns:c16="http://schemas.microsoft.com/office/drawing/2014/chart" uri="{C3380CC4-5D6E-409C-BE32-E72D297353CC}">
                  <c16:uniqueId val="{00000007-30F2-4EEA-A37B-4032044B3F95}"/>
                </c:ext>
              </c:extLst>
            </c:dLbl>
            <c:dLbl>
              <c:idx val="5"/>
              <c:layout>
                <c:manualLayout>
                  <c:x val="-7.0016787212418247E-2"/>
                  <c:y val="0.1048316372378460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30F2-4EEA-A37B-4032044B3F95}"/>
                </c:ext>
              </c:extLst>
            </c:dLbl>
            <c:dLbl>
              <c:idx val="6"/>
              <c:layout>
                <c:manualLayout>
                  <c:x val="-0.10269462122062063"/>
                  <c:y val="0.203317809475888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30F2-4EEA-A37B-4032044B3F95}"/>
                </c:ext>
              </c:extLst>
            </c:dLbl>
            <c:dLbl>
              <c:idx val="7"/>
              <c:layout>
                <c:manualLayout>
                  <c:x val="-0.12381157528437647"/>
                  <c:y val="9.330015113186634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30F2-4EEA-A37B-4032044B3F95}"/>
                </c:ext>
              </c:extLst>
            </c:dLbl>
            <c:dLbl>
              <c:idx val="8"/>
              <c:delete val="1"/>
              <c:extLst>
                <c:ext xmlns:c15="http://schemas.microsoft.com/office/drawing/2012/chart" uri="{CE6537A1-D6FC-4f65-9D91-7224C49458BB}"/>
                <c:ext xmlns:c16="http://schemas.microsoft.com/office/drawing/2014/chart" uri="{C3380CC4-5D6E-409C-BE32-E72D297353CC}">
                  <c16:uniqueId val="{0000000F-30F2-4EEA-A37B-4032044B3F95}"/>
                </c:ext>
              </c:extLst>
            </c:dLbl>
            <c:dLbl>
              <c:idx val="9"/>
              <c:layout>
                <c:manualLayout>
                  <c:x val="-0.11001952065188184"/>
                  <c:y val="-4.317707759740151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30F2-4EEA-A37B-4032044B3F95}"/>
                </c:ext>
              </c:extLst>
            </c:dLbl>
            <c:dLbl>
              <c:idx val="10"/>
              <c:layout>
                <c:manualLayout>
                  <c:x val="2.0000799616108653E-2"/>
                  <c:y val="-9.139849487144777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30F2-4EEA-A37B-4032044B3F95}"/>
                </c:ext>
              </c:extLst>
            </c:dLbl>
            <c:dLbl>
              <c:idx val="11"/>
              <c:layout>
                <c:manualLayout>
                  <c:x val="0.13913074545676746"/>
                  <c:y val="-5.722081734409071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30F2-4EEA-A37B-4032044B3F95}"/>
                </c:ext>
              </c:extLst>
            </c:dLbl>
            <c:dLbl>
              <c:idx val="12"/>
              <c:layout>
                <c:manualLayout>
                  <c:x val="0.31207929772155812"/>
                  <c:y val="-1.341646512495836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30F2-4EEA-A37B-4032044B3F95}"/>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'TAMUCC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'TAMUCC Chrts'!$D$54:$D$66</c:f>
              <c:numCache>
                <c:formatCode>"$"#,##0</c:formatCode>
                <c:ptCount val="13"/>
                <c:pt idx="0">
                  <c:v>59915259</c:v>
                </c:pt>
                <c:pt idx="1">
                  <c:v>9331648</c:v>
                </c:pt>
                <c:pt idx="3">
                  <c:v>11478824</c:v>
                </c:pt>
                <c:pt idx="4">
                  <c:v>0</c:v>
                </c:pt>
                <c:pt idx="5">
                  <c:v>82142445</c:v>
                </c:pt>
                <c:pt idx="6">
                  <c:v>64668767</c:v>
                </c:pt>
                <c:pt idx="7">
                  <c:v>7998787</c:v>
                </c:pt>
                <c:pt idx="8">
                  <c:v>0</c:v>
                </c:pt>
                <c:pt idx="9">
                  <c:v>16017341</c:v>
                </c:pt>
                <c:pt idx="10">
                  <c:v>-80158</c:v>
                </c:pt>
                <c:pt idx="11">
                  <c:v>6626824</c:v>
                </c:pt>
                <c:pt idx="12">
                  <c:v>4199572</c:v>
                </c:pt>
              </c:numCache>
            </c:numRef>
          </c:val>
          <c:extLst>
            <c:ext xmlns:c16="http://schemas.microsoft.com/office/drawing/2014/chart" uri="{C3380CC4-5D6E-409C-BE32-E72D297353CC}">
              <c16:uniqueId val="{00000019-30F2-4EEA-A37B-4032044B3F95}"/>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355"/>
          <c:y val="3.3873343151695483E-2"/>
        </c:manualLayout>
      </c:layout>
      <c:overlay val="0"/>
      <c:spPr>
        <a:noFill/>
        <a:ln w="25400">
          <a:noFill/>
        </a:ln>
      </c:spPr>
    </c:title>
    <c:autoTitleDeleted val="0"/>
    <c:plotArea>
      <c:layout>
        <c:manualLayout>
          <c:layoutTarget val="inner"/>
          <c:xMode val="edge"/>
          <c:yMode val="edge"/>
          <c:x val="0.38440394317800297"/>
          <c:y val="0.30267321387078538"/>
          <c:w val="0.2264014466546112"/>
          <c:h val="0.37045631614460572"/>
        </c:manualLayout>
      </c:layout>
      <c:pieChart>
        <c:varyColors val="1"/>
        <c:ser>
          <c:idx val="0"/>
          <c:order val="0"/>
          <c:tx>
            <c:strRef>
              <c:f>'TAMUCC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9645-4A46-A529-F4A4676C4991}"/>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9645-4A46-A529-F4A4676C4991}"/>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9645-4A46-A529-F4A4676C4991}"/>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9645-4A46-A529-F4A4676C4991}"/>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9645-4A46-A529-F4A4676C4991}"/>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9645-4A46-A529-F4A4676C4991}"/>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9645-4A46-A529-F4A4676C4991}"/>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9645-4A46-A529-F4A4676C4991}"/>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9645-4A46-A529-F4A4676C4991}"/>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9645-4A46-A529-F4A4676C4991}"/>
              </c:ext>
            </c:extLst>
          </c:dPt>
          <c:dLbls>
            <c:dLbl>
              <c:idx val="0"/>
              <c:layout>
                <c:manualLayout>
                  <c:x val="-9.4501687329100692E-2"/>
                  <c:y val="-7.7587288806381192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9645-4A46-A529-F4A4676C4991}"/>
                </c:ext>
              </c:extLst>
            </c:dLbl>
            <c:dLbl>
              <c:idx val="1"/>
              <c:layout>
                <c:manualLayout>
                  <c:x val="-8.7695841817241243E-2"/>
                  <c:y val="5.070277756032483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9645-4A46-A529-F4A4676C4991}"/>
                </c:ext>
              </c:extLst>
            </c:dLbl>
            <c:dLbl>
              <c:idx val="2"/>
              <c:layout>
                <c:manualLayout>
                  <c:x val="-6.617970222076669E-2"/>
                  <c:y val="-2.947732957574285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9645-4A46-A529-F4A4676C4991}"/>
                </c:ext>
              </c:extLst>
            </c:dLbl>
            <c:dLbl>
              <c:idx val="3"/>
              <c:layout>
                <c:manualLayout>
                  <c:x val="3.8335746326208932E-2"/>
                  <c:y val="-6.772407927224018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9645-4A46-A529-F4A4676C4991}"/>
                </c:ext>
              </c:extLst>
            </c:dLbl>
            <c:dLbl>
              <c:idx val="4"/>
              <c:layout>
                <c:manualLayout>
                  <c:x val="4.3633672110973964E-2"/>
                  <c:y val="-5.610198429118343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9645-4A46-A529-F4A4676C4991}"/>
                </c:ext>
              </c:extLst>
            </c:dLbl>
            <c:dLbl>
              <c:idx val="5"/>
              <c:layout>
                <c:manualLayout>
                  <c:x val="0.11433754831346556"/>
                  <c:y val="-1.136705348478014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9645-4A46-A529-F4A4676C4991}"/>
                </c:ext>
              </c:extLst>
            </c:dLbl>
            <c:dLbl>
              <c:idx val="6"/>
              <c:layout>
                <c:manualLayout>
                  <c:x val="0.11227407991559983"/>
                  <c:y val="7.148229123564379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9645-4A46-A529-F4A4676C4991}"/>
                </c:ext>
              </c:extLst>
            </c:dLbl>
            <c:dLbl>
              <c:idx val="7"/>
              <c:layout>
                <c:manualLayout>
                  <c:x val="0.11085646236828511"/>
                  <c:y val="0.1173757814334762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9645-4A46-A529-F4A4676C4991}"/>
                </c:ext>
              </c:extLst>
            </c:dLbl>
            <c:dLbl>
              <c:idx val="8"/>
              <c:layout>
                <c:manualLayout>
                  <c:x val="9.4288514568590318E-2"/>
                  <c:y val="0.1227752988117149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9645-4A46-A529-F4A4676C4991}"/>
                </c:ext>
              </c:extLst>
            </c:dLbl>
            <c:dLbl>
              <c:idx val="9"/>
              <c:layout>
                <c:manualLayout>
                  <c:x val="-1.26578063283734E-3"/>
                  <c:y val="0.1297364405526546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9645-4A46-A529-F4A4676C4991}"/>
                </c:ext>
              </c:extLst>
            </c:dLbl>
            <c:dLbl>
              <c:idx val="10"/>
              <c:layout>
                <c:manualLayout>
                  <c:x val="-0.22126677963459246"/>
                  <c:y val="0.1151110067335925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9645-4A46-A529-F4A4676C4991}"/>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'TAMUCC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'TAMUCC Chrts'!$D$102:$D$112</c:f>
              <c:numCache>
                <c:formatCode>"$"#,##0</c:formatCode>
                <c:ptCount val="11"/>
                <c:pt idx="0">
                  <c:v>64301661</c:v>
                </c:pt>
                <c:pt idx="1">
                  <c:v>25788224</c:v>
                </c:pt>
                <c:pt idx="2">
                  <c:v>2532832</c:v>
                </c:pt>
                <c:pt idx="3">
                  <c:v>31421664</c:v>
                </c:pt>
                <c:pt idx="4">
                  <c:v>13520213</c:v>
                </c:pt>
                <c:pt idx="5">
                  <c:v>15295194</c:v>
                </c:pt>
                <c:pt idx="6">
                  <c:v>13306374</c:v>
                </c:pt>
                <c:pt idx="7">
                  <c:v>36242293</c:v>
                </c:pt>
                <c:pt idx="8">
                  <c:v>22877449</c:v>
                </c:pt>
                <c:pt idx="9">
                  <c:v>4432165</c:v>
                </c:pt>
                <c:pt idx="10">
                  <c:v>6516347</c:v>
                </c:pt>
              </c:numCache>
            </c:numRef>
          </c:val>
          <c:extLst>
            <c:ext xmlns:c16="http://schemas.microsoft.com/office/drawing/2014/chart" uri="{C3380CC4-5D6E-409C-BE32-E72D297353CC}">
              <c16:uniqueId val="{00000015-9645-4A46-A529-F4A4676C4991}"/>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8897865821072403"/>
          <c:y val="0.29292697332518658"/>
          <c:w val="0.21813384639137853"/>
          <c:h val="0.34347173817297488"/>
        </c:manualLayout>
      </c:layout>
      <c:pieChart>
        <c:varyColors val="1"/>
        <c:ser>
          <c:idx val="0"/>
          <c:order val="0"/>
          <c:tx>
            <c:strRef>
              <c:f>'TAMUK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CB9A-4589-ACCC-E398F0C01436}"/>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CB9A-4589-ACCC-E398F0C01436}"/>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CB9A-4589-ACCC-E398F0C01436}"/>
              </c:ext>
            </c:extLst>
          </c:dPt>
          <c:dLbls>
            <c:dLbl>
              <c:idx val="0"/>
              <c:layout>
                <c:manualLayout>
                  <c:x val="9.6332578329304988E-2"/>
                  <c:y val="4.816113813276140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CB9A-4589-ACCC-E398F0C01436}"/>
                </c:ext>
              </c:extLst>
            </c:dLbl>
            <c:dLbl>
              <c:idx val="1"/>
              <c:layout>
                <c:manualLayout>
                  <c:x val="-3.786254320019948E-2"/>
                  <c:y val="0.1405148920942524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CB9A-4589-ACCC-E398F0C01436}"/>
                </c:ext>
              </c:extLst>
            </c:dLbl>
            <c:dLbl>
              <c:idx val="2"/>
              <c:layout>
                <c:manualLayout>
                  <c:x val="-9.4058930416503525E-2"/>
                  <c:y val="3.327442959317522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CB9A-4589-ACCC-E398F0C01436}"/>
                </c:ext>
              </c:extLst>
            </c:dLbl>
            <c:dLbl>
              <c:idx val="3"/>
              <c:layout>
                <c:manualLayout>
                  <c:x val="-3.7655967688701115E-2"/>
                  <c:y val="-2.057940694924503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CB9A-4589-ACCC-E398F0C01436}"/>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'TAMUK Chrts'!$C$9:$C$12</c:f>
              <c:strCache>
                <c:ptCount val="4"/>
                <c:pt idx="0">
                  <c:v>State of Texas</c:v>
                </c:pt>
                <c:pt idx="1">
                  <c:v>Student &amp; Parent</c:v>
                </c:pt>
                <c:pt idx="2">
                  <c:v>Federal Government</c:v>
                </c:pt>
                <c:pt idx="3">
                  <c:v>Institutional Resources</c:v>
                </c:pt>
              </c:strCache>
            </c:strRef>
          </c:cat>
          <c:val>
            <c:numRef>
              <c:f>'TAMUK Chrts'!$D$9:$D$12</c:f>
              <c:numCache>
                <c:formatCode>"$"#,##0</c:formatCode>
                <c:ptCount val="4"/>
                <c:pt idx="0">
                  <c:v>62482317</c:v>
                </c:pt>
                <c:pt idx="1">
                  <c:v>39587132</c:v>
                </c:pt>
                <c:pt idx="2">
                  <c:v>47273104</c:v>
                </c:pt>
                <c:pt idx="3">
                  <c:v>32402076</c:v>
                </c:pt>
              </c:numCache>
            </c:numRef>
          </c:val>
          <c:extLst>
            <c:ext xmlns:c16="http://schemas.microsoft.com/office/drawing/2014/chart" uri="{C3380CC4-5D6E-409C-BE32-E72D297353CC}">
              <c16:uniqueId val="{00000007-CB9A-4589-ACCC-E398F0C01436}"/>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616"/>
          <c:y val="4.2735042735042736E-2"/>
        </c:manualLayout>
      </c:layout>
      <c:overlay val="0"/>
      <c:spPr>
        <a:noFill/>
        <a:ln w="25400">
          <a:noFill/>
        </a:ln>
      </c:spPr>
    </c:title>
    <c:autoTitleDeleted val="0"/>
    <c:plotArea>
      <c:layout>
        <c:manualLayout>
          <c:layoutTarget val="inner"/>
          <c:xMode val="edge"/>
          <c:yMode val="edge"/>
          <c:x val="0.39008938590165843"/>
          <c:y val="0.30458036680016604"/>
          <c:w val="0.21882025850438044"/>
          <c:h val="0.34687490281001193"/>
        </c:manualLayout>
      </c:layout>
      <c:pieChart>
        <c:varyColors val="1"/>
        <c:ser>
          <c:idx val="0"/>
          <c:order val="0"/>
          <c:tx>
            <c:strRef>
              <c:f>'TAMUK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8876-49FF-85F0-5ED1CE336066}"/>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8876-49FF-85F0-5ED1CE336066}"/>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8876-49FF-85F0-5ED1CE336066}"/>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8876-49FF-85F0-5ED1CE336066}"/>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8876-49FF-85F0-5ED1CE336066}"/>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8876-49FF-85F0-5ED1CE336066}"/>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8876-49FF-85F0-5ED1CE336066}"/>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8876-49FF-85F0-5ED1CE336066}"/>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8876-49FF-85F0-5ED1CE336066}"/>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8876-49FF-85F0-5ED1CE336066}"/>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8876-49FF-85F0-5ED1CE336066}"/>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8876-49FF-85F0-5ED1CE336066}"/>
              </c:ext>
            </c:extLst>
          </c:dPt>
          <c:dLbls>
            <c:dLbl>
              <c:idx val="0"/>
              <c:layout>
                <c:manualLayout>
                  <c:x val="0.14783361217503427"/>
                  <c:y val="0.1165920973614350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8876-49FF-85F0-5ED1CE336066}"/>
                </c:ext>
              </c:extLst>
            </c:dLbl>
            <c:dLbl>
              <c:idx val="1"/>
              <c:layout>
                <c:manualLayout>
                  <c:x val="0.1248635525053363"/>
                  <c:y val="5.246209420778363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8876-49FF-85F0-5ED1CE336066}"/>
                </c:ext>
              </c:extLst>
            </c:dLbl>
            <c:dLbl>
              <c:idx val="2"/>
              <c:delete val="1"/>
              <c:extLst>
                <c:ext xmlns:c15="http://schemas.microsoft.com/office/drawing/2012/chart" uri="{CE6537A1-D6FC-4f65-9D91-7224C49458BB}"/>
                <c:ext xmlns:c16="http://schemas.microsoft.com/office/drawing/2014/chart" uri="{C3380CC4-5D6E-409C-BE32-E72D297353CC}">
                  <c16:uniqueId val="{00000003-8876-49FF-85F0-5ED1CE336066}"/>
                </c:ext>
              </c:extLst>
            </c:dLbl>
            <c:dLbl>
              <c:idx val="3"/>
              <c:layout>
                <c:manualLayout>
                  <c:x val="2.0099003060185666E-2"/>
                  <c:y val="0.1746853898500505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8876-49FF-85F0-5ED1CE336066}"/>
                </c:ext>
              </c:extLst>
            </c:dLbl>
            <c:dLbl>
              <c:idx val="4"/>
              <c:delete val="1"/>
              <c:extLst>
                <c:ext xmlns:c15="http://schemas.microsoft.com/office/drawing/2012/chart" uri="{CE6537A1-D6FC-4f65-9D91-7224C49458BB}"/>
                <c:ext xmlns:c16="http://schemas.microsoft.com/office/drawing/2014/chart" uri="{C3380CC4-5D6E-409C-BE32-E72D297353CC}">
                  <c16:uniqueId val="{00000007-8876-49FF-85F0-5ED1CE336066}"/>
                </c:ext>
              </c:extLst>
            </c:dLbl>
            <c:dLbl>
              <c:idx val="5"/>
              <c:layout>
                <c:manualLayout>
                  <c:x val="-7.2002973135261772E-2"/>
                  <c:y val="0.1180503793922182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8876-49FF-85F0-5ED1CE336066}"/>
                </c:ext>
              </c:extLst>
            </c:dLbl>
            <c:dLbl>
              <c:idx val="6"/>
              <c:layout>
                <c:manualLayout>
                  <c:x val="-8.7392558674194903E-2"/>
                  <c:y val="0.15173750562856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8876-49FF-85F0-5ED1CE336066}"/>
                </c:ext>
              </c:extLst>
            </c:dLbl>
            <c:dLbl>
              <c:idx val="7"/>
              <c:layout>
                <c:manualLayout>
                  <c:x val="-0.10760271404451971"/>
                  <c:y val="6.001463089884171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8876-49FF-85F0-5ED1CE336066}"/>
                </c:ext>
              </c:extLst>
            </c:dLbl>
            <c:dLbl>
              <c:idx val="8"/>
              <c:delete val="1"/>
              <c:extLst>
                <c:ext xmlns:c15="http://schemas.microsoft.com/office/drawing/2012/chart" uri="{CE6537A1-D6FC-4f65-9D91-7224C49458BB}"/>
                <c:ext xmlns:c16="http://schemas.microsoft.com/office/drawing/2014/chart" uri="{C3380CC4-5D6E-409C-BE32-E72D297353CC}">
                  <c16:uniqueId val="{0000000F-8876-49FF-85F0-5ED1CE336066}"/>
                </c:ext>
              </c:extLst>
            </c:dLbl>
            <c:dLbl>
              <c:idx val="9"/>
              <c:layout>
                <c:manualLayout>
                  <c:x val="-8.6453718626055387E-2"/>
                  <c:y val="-5.157895163855399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8876-49FF-85F0-5ED1CE336066}"/>
                </c:ext>
              </c:extLst>
            </c:dLbl>
            <c:dLbl>
              <c:idx val="10"/>
              <c:layout>
                <c:manualLayout>
                  <c:x val="5.4960942155713989E-2"/>
                  <c:y val="-0.1075692590061235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8876-49FF-85F0-5ED1CE336066}"/>
                </c:ext>
              </c:extLst>
            </c:dLbl>
            <c:dLbl>
              <c:idx val="11"/>
              <c:layout>
                <c:manualLayout>
                  <c:x val="0.16761692755166149"/>
                  <c:y val="-4.781034580936230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8876-49FF-85F0-5ED1CE336066}"/>
                </c:ext>
              </c:extLst>
            </c:dLbl>
            <c:dLbl>
              <c:idx val="12"/>
              <c:layout>
                <c:manualLayout>
                  <c:x val="0.30725645947567309"/>
                  <c:y val="-1.7945312771146028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8876-49FF-85F0-5ED1CE336066}"/>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'TAMUK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'TAMUK Chrts'!$D$54:$D$66</c:f>
              <c:numCache>
                <c:formatCode>"$"#,##0</c:formatCode>
                <c:ptCount val="13"/>
                <c:pt idx="0">
                  <c:v>44491731</c:v>
                </c:pt>
                <c:pt idx="1">
                  <c:v>9132526</c:v>
                </c:pt>
                <c:pt idx="3">
                  <c:v>8858060</c:v>
                </c:pt>
                <c:pt idx="4">
                  <c:v>0</c:v>
                </c:pt>
                <c:pt idx="5">
                  <c:v>39587132</c:v>
                </c:pt>
                <c:pt idx="6">
                  <c:v>47273104</c:v>
                </c:pt>
                <c:pt idx="7">
                  <c:v>6346344</c:v>
                </c:pt>
                <c:pt idx="8">
                  <c:v>0</c:v>
                </c:pt>
                <c:pt idx="9">
                  <c:v>10154485</c:v>
                </c:pt>
                <c:pt idx="10">
                  <c:v>1557732</c:v>
                </c:pt>
                <c:pt idx="11">
                  <c:v>10375585</c:v>
                </c:pt>
                <c:pt idx="12">
                  <c:v>3967930</c:v>
                </c:pt>
              </c:numCache>
            </c:numRef>
          </c:val>
          <c:extLst>
            <c:ext xmlns:c16="http://schemas.microsoft.com/office/drawing/2014/chart" uri="{C3380CC4-5D6E-409C-BE32-E72D297353CC}">
              <c16:uniqueId val="{00000019-8876-49FF-85F0-5ED1CE336066}"/>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344"/>
          <c:y val="3.3873343151695469E-2"/>
        </c:manualLayout>
      </c:layout>
      <c:overlay val="0"/>
      <c:spPr>
        <a:noFill/>
        <a:ln w="25400">
          <a:noFill/>
        </a:ln>
      </c:spPr>
    </c:title>
    <c:autoTitleDeleted val="0"/>
    <c:plotArea>
      <c:layout>
        <c:manualLayout>
          <c:layoutTarget val="inner"/>
          <c:xMode val="edge"/>
          <c:yMode val="edge"/>
          <c:x val="0.39163721623405706"/>
          <c:y val="0.31845410060751222"/>
          <c:w val="0.22519590114526841"/>
          <c:h val="0.3684837053025225"/>
        </c:manualLayout>
      </c:layout>
      <c:pieChart>
        <c:varyColors val="1"/>
        <c:ser>
          <c:idx val="0"/>
          <c:order val="0"/>
          <c:tx>
            <c:strRef>
              <c:f>'TAMUK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1F32-421B-B289-72F960118A1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1F32-421B-B289-72F960118A1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1F32-421B-B289-72F960118A1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1F32-421B-B289-72F960118A1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1F32-421B-B289-72F960118A1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1F32-421B-B289-72F960118A1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1F32-421B-B289-72F960118A13}"/>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1F32-421B-B289-72F960118A13}"/>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1F32-421B-B289-72F960118A13}"/>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1F32-421B-B289-72F960118A13}"/>
              </c:ext>
            </c:extLst>
          </c:dPt>
          <c:dLbls>
            <c:dLbl>
              <c:idx val="0"/>
              <c:layout>
                <c:manualLayout>
                  <c:x val="-9.6001860526928065E-2"/>
                  <c:y val="-6.4481075983107124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1F32-421B-B289-72F960118A13}"/>
                </c:ext>
              </c:extLst>
            </c:dLbl>
            <c:dLbl>
              <c:idx val="1"/>
              <c:layout>
                <c:manualLayout>
                  <c:x val="-0.11406207135500469"/>
                  <c:y val="8.426900323197532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1F32-421B-B289-72F960118A13}"/>
                </c:ext>
              </c:extLst>
            </c:dLbl>
            <c:dLbl>
              <c:idx val="2"/>
              <c:layout>
                <c:manualLayout>
                  <c:x val="-0.10815845804084608"/>
                  <c:y val="1.005860673408957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1F32-421B-B289-72F960118A13}"/>
                </c:ext>
              </c:extLst>
            </c:dLbl>
            <c:dLbl>
              <c:idx val="3"/>
              <c:layout>
                <c:manualLayout>
                  <c:x val="-2.9155431050336824E-2"/>
                  <c:y val="-9.43591406748006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1F32-421B-B289-72F960118A13}"/>
                </c:ext>
              </c:extLst>
            </c:dLbl>
            <c:dLbl>
              <c:idx val="4"/>
              <c:layout>
                <c:manualLayout>
                  <c:x val="0.11476212405936796"/>
                  <c:y val="-6.941539891472252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1F32-421B-B289-72F960118A13}"/>
                </c:ext>
              </c:extLst>
            </c:dLbl>
            <c:dLbl>
              <c:idx val="5"/>
              <c:layout>
                <c:manualLayout>
                  <c:x val="0.13549784344280222"/>
                  <c:y val="-2.09857867930421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1F32-421B-B289-72F960118A13}"/>
                </c:ext>
              </c:extLst>
            </c:dLbl>
            <c:dLbl>
              <c:idx val="6"/>
              <c:layout>
                <c:manualLayout>
                  <c:x val="0.10453597882116288"/>
                  <c:y val="8.709249076639359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1F32-421B-B289-72F960118A13}"/>
                </c:ext>
              </c:extLst>
            </c:dLbl>
            <c:dLbl>
              <c:idx val="7"/>
              <c:layout>
                <c:manualLayout>
                  <c:x val="9.6090346085994288E-2"/>
                  <c:y val="0.1513907607553515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1F32-421B-B289-72F960118A13}"/>
                </c:ext>
              </c:extLst>
            </c:dLbl>
            <c:dLbl>
              <c:idx val="8"/>
              <c:layout>
                <c:manualLayout>
                  <c:x val="7.3534906237986114E-2"/>
                  <c:y val="0.1027090315133125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1F32-421B-B289-72F960118A13}"/>
                </c:ext>
              </c:extLst>
            </c:dLbl>
            <c:dLbl>
              <c:idx val="9"/>
              <c:layout>
                <c:manualLayout>
                  <c:x val="-2.5251432178572692E-2"/>
                  <c:y val="0.1023236734425113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1F32-421B-B289-72F960118A13}"/>
                </c:ext>
              </c:extLst>
            </c:dLbl>
            <c:dLbl>
              <c:idx val="10"/>
              <c:layout>
                <c:manualLayout>
                  <c:x val="-0.18590347092690118"/>
                  <c:y val="9.24899754091536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1F32-421B-B289-72F960118A13}"/>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'TAMUK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'TAMUK Chrts'!$D$102:$D$112</c:f>
              <c:numCache>
                <c:formatCode>"$"#,##0</c:formatCode>
                <c:ptCount val="11"/>
                <c:pt idx="0">
                  <c:v>42177217</c:v>
                </c:pt>
                <c:pt idx="1">
                  <c:v>19181940</c:v>
                </c:pt>
                <c:pt idx="2">
                  <c:v>382600</c:v>
                </c:pt>
                <c:pt idx="3">
                  <c:v>12607756</c:v>
                </c:pt>
                <c:pt idx="4">
                  <c:v>13277146</c:v>
                </c:pt>
                <c:pt idx="5">
                  <c:v>11394161</c:v>
                </c:pt>
                <c:pt idx="6">
                  <c:v>12419709</c:v>
                </c:pt>
                <c:pt idx="7">
                  <c:v>17085572</c:v>
                </c:pt>
                <c:pt idx="8">
                  <c:v>19468544</c:v>
                </c:pt>
                <c:pt idx="9">
                  <c:v>2014998</c:v>
                </c:pt>
                <c:pt idx="10">
                  <c:v>1614828</c:v>
                </c:pt>
              </c:numCache>
            </c:numRef>
          </c:val>
          <c:extLst>
            <c:ext xmlns:c16="http://schemas.microsoft.com/office/drawing/2014/chart" uri="{C3380CC4-5D6E-409C-BE32-E72D297353CC}">
              <c16:uniqueId val="{00000015-1F32-421B-B289-72F960118A13}"/>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9018529471147456"/>
          <c:y val="0.29102701353848531"/>
          <c:w val="0.22296039239438994"/>
          <c:h val="0.35107157731970678"/>
        </c:manualLayout>
      </c:layout>
      <c:pieChart>
        <c:varyColors val="1"/>
        <c:ser>
          <c:idx val="0"/>
          <c:order val="0"/>
          <c:tx>
            <c:strRef>
              <c:f>'TAMIU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2A03-436D-8151-15B13C9F41C0}"/>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2A03-436D-8151-15B13C9F41C0}"/>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2A03-436D-8151-15B13C9F41C0}"/>
              </c:ext>
            </c:extLst>
          </c:dPt>
          <c:dLbls>
            <c:dLbl>
              <c:idx val="0"/>
              <c:layout>
                <c:manualLayout>
                  <c:x val="0.11858567954239239"/>
                  <c:y val="9.883701304702848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2A03-436D-8151-15B13C9F41C0}"/>
                </c:ext>
              </c:extLst>
            </c:dLbl>
            <c:dLbl>
              <c:idx val="1"/>
              <c:layout>
                <c:manualLayout>
                  <c:x val="4.7648846249057519E-2"/>
                  <c:y val="0.1410700800722641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2A03-436D-8151-15B13C9F41C0}"/>
                </c:ext>
              </c:extLst>
            </c:dLbl>
            <c:dLbl>
              <c:idx val="2"/>
              <c:layout>
                <c:manualLayout>
                  <c:x val="-9.910466432470974E-2"/>
                  <c:y val="5.092307676433229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2A03-436D-8151-15B13C9F41C0}"/>
                </c:ext>
              </c:extLst>
            </c:dLbl>
            <c:dLbl>
              <c:idx val="3"/>
              <c:layout>
                <c:manualLayout>
                  <c:x val="-3.8047054072992005E-2"/>
                  <c:y val="-4.87974002566009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2A03-436D-8151-15B13C9F41C0}"/>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'TAMIU Chrts'!$C$9:$C$12</c:f>
              <c:strCache>
                <c:ptCount val="4"/>
                <c:pt idx="0">
                  <c:v>State of Texas</c:v>
                </c:pt>
                <c:pt idx="1">
                  <c:v>Student &amp; Parent</c:v>
                </c:pt>
                <c:pt idx="2">
                  <c:v>Federal Government</c:v>
                </c:pt>
                <c:pt idx="3">
                  <c:v>Institutional Resources</c:v>
                </c:pt>
              </c:strCache>
            </c:strRef>
          </c:cat>
          <c:val>
            <c:numRef>
              <c:f>'TAMIU Chrts'!$D$9:$D$12</c:f>
              <c:numCache>
                <c:formatCode>"$"#,##0</c:formatCode>
                <c:ptCount val="4"/>
                <c:pt idx="0">
                  <c:v>56595086</c:v>
                </c:pt>
                <c:pt idx="1">
                  <c:v>35768010</c:v>
                </c:pt>
                <c:pt idx="2">
                  <c:v>51758469</c:v>
                </c:pt>
                <c:pt idx="3">
                  <c:v>15925126</c:v>
                </c:pt>
              </c:numCache>
            </c:numRef>
          </c:val>
          <c:extLst>
            <c:ext xmlns:c16="http://schemas.microsoft.com/office/drawing/2014/chart" uri="{C3380CC4-5D6E-409C-BE32-E72D297353CC}">
              <c16:uniqueId val="{00000007-2A03-436D-8151-15B13C9F41C0}"/>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716"/>
          <c:y val="4.2735042735042736E-2"/>
        </c:manualLayout>
      </c:layout>
      <c:overlay val="0"/>
      <c:spPr>
        <a:noFill/>
        <a:ln w="25400">
          <a:noFill/>
        </a:ln>
      </c:spPr>
    </c:title>
    <c:autoTitleDeleted val="0"/>
    <c:plotArea>
      <c:layout>
        <c:manualLayout>
          <c:layoutTarget val="inner"/>
          <c:xMode val="edge"/>
          <c:yMode val="edge"/>
          <c:x val="0.39008938590165843"/>
          <c:y val="0.31030471724039393"/>
          <c:w val="0.22844988834463695"/>
          <c:h val="0.36213983731727611"/>
        </c:manualLayout>
      </c:layout>
      <c:pieChart>
        <c:varyColors val="1"/>
        <c:ser>
          <c:idx val="0"/>
          <c:order val="0"/>
          <c:tx>
            <c:strRef>
              <c:f>'TAMIU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EF62-458F-AF92-73E03FAC96F6}"/>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EF62-458F-AF92-73E03FAC96F6}"/>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EF62-458F-AF92-73E03FAC96F6}"/>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EF62-458F-AF92-73E03FAC96F6}"/>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EF62-458F-AF92-73E03FAC96F6}"/>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EF62-458F-AF92-73E03FAC96F6}"/>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EF62-458F-AF92-73E03FAC96F6}"/>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EF62-458F-AF92-73E03FAC96F6}"/>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EF62-458F-AF92-73E03FAC96F6}"/>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EF62-458F-AF92-73E03FAC96F6}"/>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EF62-458F-AF92-73E03FAC96F6}"/>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EF62-458F-AF92-73E03FAC96F6}"/>
              </c:ext>
            </c:extLst>
          </c:dPt>
          <c:dLbls>
            <c:dLbl>
              <c:idx val="0"/>
              <c:layout>
                <c:manualLayout>
                  <c:x val="0.11302082206017963"/>
                  <c:y val="0.1060131672079758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EF62-458F-AF92-73E03FAC96F6}"/>
                </c:ext>
              </c:extLst>
            </c:dLbl>
            <c:dLbl>
              <c:idx val="1"/>
              <c:layout>
                <c:manualLayout>
                  <c:x val="0.10242401827510329"/>
                  <c:y val="7.601817188286198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EF62-458F-AF92-73E03FAC96F6}"/>
                </c:ext>
              </c:extLst>
            </c:dLbl>
            <c:dLbl>
              <c:idx val="2"/>
              <c:delete val="1"/>
              <c:extLst>
                <c:ext xmlns:c15="http://schemas.microsoft.com/office/drawing/2012/chart" uri="{CE6537A1-D6FC-4f65-9D91-7224C49458BB}"/>
                <c:ext xmlns:c16="http://schemas.microsoft.com/office/drawing/2014/chart" uri="{C3380CC4-5D6E-409C-BE32-E72D297353CC}">
                  <c16:uniqueId val="{00000003-EF62-458F-AF92-73E03FAC96F6}"/>
                </c:ext>
              </c:extLst>
            </c:dLbl>
            <c:dLbl>
              <c:idx val="3"/>
              <c:layout>
                <c:manualLayout>
                  <c:x val="1.8595233286109354E-2"/>
                  <c:y val="0.1428955627569852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EF62-458F-AF92-73E03FAC96F6}"/>
                </c:ext>
              </c:extLst>
            </c:dLbl>
            <c:dLbl>
              <c:idx val="4"/>
              <c:delete val="1"/>
              <c:extLst>
                <c:ext xmlns:c15="http://schemas.microsoft.com/office/drawing/2012/chart" uri="{CE6537A1-D6FC-4f65-9D91-7224C49458BB}"/>
                <c:ext xmlns:c16="http://schemas.microsoft.com/office/drawing/2014/chart" uri="{C3380CC4-5D6E-409C-BE32-E72D297353CC}">
                  <c16:uniqueId val="{00000007-EF62-458F-AF92-73E03FAC96F6}"/>
                </c:ext>
              </c:extLst>
            </c:dLbl>
            <c:dLbl>
              <c:idx val="5"/>
              <c:layout>
                <c:manualLayout>
                  <c:x val="-0.1270771469810664"/>
                  <c:y val="7.534492216310732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EF62-458F-AF92-73E03FAC96F6}"/>
                </c:ext>
              </c:extLst>
            </c:dLbl>
            <c:dLbl>
              <c:idx val="6"/>
              <c:layout>
                <c:manualLayout>
                  <c:x val="-9.1387803699349263E-2"/>
                  <c:y val="9.486796207264749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EF62-458F-AF92-73E03FAC96F6}"/>
                </c:ext>
              </c:extLst>
            </c:dLbl>
            <c:dLbl>
              <c:idx val="7"/>
              <c:layout>
                <c:manualLayout>
                  <c:x val="-0.11370512709879144"/>
                  <c:y val="9.206453281112032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EF62-458F-AF92-73E03FAC96F6}"/>
                </c:ext>
              </c:extLst>
            </c:dLbl>
            <c:dLbl>
              <c:idx val="8"/>
              <c:delete val="1"/>
              <c:extLst>
                <c:ext xmlns:c15="http://schemas.microsoft.com/office/drawing/2012/chart" uri="{CE6537A1-D6FC-4f65-9D91-7224C49458BB}"/>
                <c:ext xmlns:c16="http://schemas.microsoft.com/office/drawing/2014/chart" uri="{C3380CC4-5D6E-409C-BE32-E72D297353CC}">
                  <c16:uniqueId val="{0000000F-EF62-458F-AF92-73E03FAC96F6}"/>
                </c:ext>
              </c:extLst>
            </c:dLbl>
            <c:dLbl>
              <c:idx val="9"/>
              <c:layout>
                <c:manualLayout>
                  <c:x val="-9.9459578602310736E-2"/>
                  <c:y val="-8.379186982977346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EF62-458F-AF92-73E03FAC96F6}"/>
                </c:ext>
              </c:extLst>
            </c:dLbl>
            <c:dLbl>
              <c:idx val="10"/>
              <c:layout>
                <c:manualLayout>
                  <c:x val="5.1169287331273634E-2"/>
                  <c:y val="-9.894697493620954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EF62-458F-AF92-73E03FAC96F6}"/>
                </c:ext>
              </c:extLst>
            </c:dLbl>
            <c:dLbl>
              <c:idx val="11"/>
              <c:layout>
                <c:manualLayout>
                  <c:x val="0.18595734227643135"/>
                  <c:y val="-5.704007210578120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EF62-458F-AF92-73E03FAC96F6}"/>
                </c:ext>
              </c:extLst>
            </c:dLbl>
            <c:dLbl>
              <c:idx val="12"/>
              <c:layout>
                <c:manualLayout>
                  <c:x val="0.31104679105832594"/>
                  <c:y val="3.495114094117032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EF62-458F-AF92-73E03FAC96F6}"/>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'TAMIU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'TAMIU Chrts'!$D$54:$D$66</c:f>
              <c:numCache>
                <c:formatCode>"$"#,##0</c:formatCode>
                <c:ptCount val="13"/>
                <c:pt idx="0">
                  <c:v>36675060</c:v>
                </c:pt>
                <c:pt idx="1">
                  <c:v>12457632</c:v>
                </c:pt>
                <c:pt idx="3">
                  <c:v>7462394</c:v>
                </c:pt>
                <c:pt idx="4">
                  <c:v>0</c:v>
                </c:pt>
                <c:pt idx="5">
                  <c:v>35768010</c:v>
                </c:pt>
                <c:pt idx="6">
                  <c:v>51758469</c:v>
                </c:pt>
                <c:pt idx="7">
                  <c:v>5427885</c:v>
                </c:pt>
                <c:pt idx="8">
                  <c:v>0</c:v>
                </c:pt>
                <c:pt idx="9">
                  <c:v>4248680</c:v>
                </c:pt>
                <c:pt idx="10" formatCode="&quot;$&quot;#,##0_);\(&quot;$&quot;#,##0\)">
                  <c:v>841177</c:v>
                </c:pt>
                <c:pt idx="11">
                  <c:v>2014515</c:v>
                </c:pt>
                <c:pt idx="12">
                  <c:v>3392869</c:v>
                </c:pt>
              </c:numCache>
            </c:numRef>
          </c:val>
          <c:extLst>
            <c:ext xmlns:c16="http://schemas.microsoft.com/office/drawing/2014/chart" uri="{C3380CC4-5D6E-409C-BE32-E72D297353CC}">
              <c16:uniqueId val="{00000019-EF62-458F-AF92-73E03FAC96F6}"/>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377"/>
          <c:y val="3.3873343151695511E-2"/>
        </c:manualLayout>
      </c:layout>
      <c:overlay val="0"/>
      <c:spPr>
        <a:noFill/>
        <a:ln w="25400">
          <a:noFill/>
        </a:ln>
      </c:spPr>
    </c:title>
    <c:autoTitleDeleted val="0"/>
    <c:plotArea>
      <c:layout>
        <c:manualLayout>
          <c:layoutTarget val="inner"/>
          <c:xMode val="edge"/>
          <c:yMode val="edge"/>
          <c:x val="0.38681503419668506"/>
          <c:y val="0.28689232713407042"/>
          <c:w val="0.22760699216395419"/>
          <c:h val="0.37242892698670127"/>
        </c:manualLayout>
      </c:layout>
      <c:pieChart>
        <c:varyColors val="1"/>
        <c:ser>
          <c:idx val="0"/>
          <c:order val="0"/>
          <c:tx>
            <c:strRef>
              <c:f>'TAMIU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3E47-48CE-BD0B-CDFC067D2A41}"/>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3E47-48CE-BD0B-CDFC067D2A41}"/>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3E47-48CE-BD0B-CDFC067D2A41}"/>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3E47-48CE-BD0B-CDFC067D2A41}"/>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3E47-48CE-BD0B-CDFC067D2A41}"/>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3E47-48CE-BD0B-CDFC067D2A41}"/>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3E47-48CE-BD0B-CDFC067D2A41}"/>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3E47-48CE-BD0B-CDFC067D2A41}"/>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3E47-48CE-BD0B-CDFC067D2A41}"/>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3E47-48CE-BD0B-CDFC067D2A41}"/>
              </c:ext>
            </c:extLst>
          </c:dPt>
          <c:dLbls>
            <c:dLbl>
              <c:idx val="0"/>
              <c:layout>
                <c:manualLayout>
                  <c:x val="-0.11885443636245302"/>
                  <c:y val="-1.744129967427064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3E47-48CE-BD0B-CDFC067D2A41}"/>
                </c:ext>
              </c:extLst>
            </c:dLbl>
            <c:dLbl>
              <c:idx val="1"/>
              <c:layout>
                <c:manualLayout>
                  <c:x val="-0.11093763126088403"/>
                  <c:y val="4.044986717492719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3E47-48CE-BD0B-CDFC067D2A41}"/>
                </c:ext>
              </c:extLst>
            </c:dLbl>
            <c:dLbl>
              <c:idx val="2"/>
              <c:layout>
                <c:manualLayout>
                  <c:x val="-9.1514047705361104E-2"/>
                  <c:y val="-7.540500269719629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3E47-48CE-BD0B-CDFC067D2A41}"/>
                </c:ext>
              </c:extLst>
            </c:dLbl>
            <c:dLbl>
              <c:idx val="3"/>
              <c:layout>
                <c:manualLayout>
                  <c:x val="-7.7877673748731379E-3"/>
                  <c:y val="-7.148571946021285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3E47-48CE-BD0B-CDFC067D2A41}"/>
                </c:ext>
              </c:extLst>
            </c:dLbl>
            <c:dLbl>
              <c:idx val="4"/>
              <c:layout>
                <c:manualLayout>
                  <c:x val="6.4447438506522611E-2"/>
                  <c:y val="-5.598285971768051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3E47-48CE-BD0B-CDFC067D2A41}"/>
                </c:ext>
              </c:extLst>
            </c:dLbl>
            <c:dLbl>
              <c:idx val="5"/>
              <c:layout>
                <c:manualLayout>
                  <c:x val="0.13635304949069821"/>
                  <c:y val="-4.079577308261807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3E47-48CE-BD0B-CDFC067D2A41}"/>
                </c:ext>
              </c:extLst>
            </c:dLbl>
            <c:dLbl>
              <c:idx val="6"/>
              <c:layout>
                <c:manualLayout>
                  <c:x val="9.9874065233300877E-2"/>
                  <c:y val="9.153956397838079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3E47-48CE-BD0B-CDFC067D2A41}"/>
                </c:ext>
              </c:extLst>
            </c:dLbl>
            <c:dLbl>
              <c:idx val="7"/>
              <c:layout>
                <c:manualLayout>
                  <c:x val="0.12158409513523986"/>
                  <c:y val="8.217447605816989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3E47-48CE-BD0B-CDFC067D2A41}"/>
                </c:ext>
              </c:extLst>
            </c:dLbl>
            <c:dLbl>
              <c:idx val="8"/>
              <c:layout>
                <c:manualLayout>
                  <c:x val="8.6173834630395754E-2"/>
                  <c:y val="7.62684472148672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3E47-48CE-BD0B-CDFC067D2A41}"/>
                </c:ext>
              </c:extLst>
            </c:dLbl>
            <c:dLbl>
              <c:idx val="9"/>
              <c:layout>
                <c:manualLayout>
                  <c:x val="-4.3034744070129916E-2"/>
                  <c:y val="0.1420598219866272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3E47-48CE-BD0B-CDFC067D2A41}"/>
                </c:ext>
              </c:extLst>
            </c:dLbl>
            <c:dLbl>
              <c:idx val="10"/>
              <c:layout>
                <c:manualLayout>
                  <c:x val="-0.20351141548710039"/>
                  <c:y val="0.1313297509477851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3E47-48CE-BD0B-CDFC067D2A41}"/>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'TAMIU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'TAMIU Chrts'!$D$102:$D$112</c:f>
              <c:numCache>
                <c:formatCode>"$"#,##0</c:formatCode>
                <c:ptCount val="11"/>
                <c:pt idx="0">
                  <c:v>33780408</c:v>
                </c:pt>
                <c:pt idx="1">
                  <c:v>2825306</c:v>
                </c:pt>
                <c:pt idx="2">
                  <c:v>2362868</c:v>
                </c:pt>
                <c:pt idx="3">
                  <c:v>19230853</c:v>
                </c:pt>
                <c:pt idx="4">
                  <c:v>8129536</c:v>
                </c:pt>
                <c:pt idx="5">
                  <c:v>7056819</c:v>
                </c:pt>
                <c:pt idx="6">
                  <c:v>14202881</c:v>
                </c:pt>
                <c:pt idx="7">
                  <c:v>29744153</c:v>
                </c:pt>
                <c:pt idx="8">
                  <c:v>7874983</c:v>
                </c:pt>
                <c:pt idx="9">
                  <c:v>1749653</c:v>
                </c:pt>
                <c:pt idx="10">
                  <c:v>1731166</c:v>
                </c:pt>
              </c:numCache>
            </c:numRef>
          </c:val>
          <c:extLst>
            <c:ext xmlns:c16="http://schemas.microsoft.com/office/drawing/2014/chart" uri="{C3380CC4-5D6E-409C-BE32-E72D297353CC}">
              <c16:uniqueId val="{00000015-3E47-48CE-BD0B-CDFC067D2A41}"/>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8535874870846404"/>
          <c:y val="0.28722709396512935"/>
          <c:w val="0.22416702889514376"/>
          <c:h val="0.35297153710636431"/>
        </c:manualLayout>
      </c:layout>
      <c:pieChart>
        <c:varyColors val="1"/>
        <c:ser>
          <c:idx val="0"/>
          <c:order val="0"/>
          <c:tx>
            <c:strRef>
              <c:f>'WTAMU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977D-4B96-B7DE-7250BD0B8EB0}"/>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977D-4B96-B7DE-7250BD0B8EB0}"/>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977D-4B96-B7DE-7250BD0B8EB0}"/>
              </c:ext>
            </c:extLst>
          </c:dPt>
          <c:dLbls>
            <c:dLbl>
              <c:idx val="0"/>
              <c:layout>
                <c:manualLayout>
                  <c:x val="9.6939086234130209E-2"/>
                  <c:y val="3.707195551640736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977D-4B96-B7DE-7250BD0B8EB0}"/>
                </c:ext>
              </c:extLst>
            </c:dLbl>
            <c:dLbl>
              <c:idx val="1"/>
              <c:layout>
                <c:manualLayout>
                  <c:x val="9.4618876592297008E-2"/>
                  <c:y val="0.1029627105215284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977D-4B96-B7DE-7250BD0B8EB0}"/>
                </c:ext>
              </c:extLst>
            </c:dLbl>
            <c:dLbl>
              <c:idx val="2"/>
              <c:layout>
                <c:manualLayout>
                  <c:x val="-8.2820394057077765E-2"/>
                  <c:y val="9.752254220005174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977D-4B96-B7DE-7250BD0B8EB0}"/>
                </c:ext>
              </c:extLst>
            </c:dLbl>
            <c:dLbl>
              <c:idx val="3"/>
              <c:layout>
                <c:manualLayout>
                  <c:x val="-5.0563484994243679E-2"/>
                  <c:y val="-1.109890681998794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977D-4B96-B7DE-7250BD0B8EB0}"/>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'WTAMU Chrts'!$C$9:$C$12</c:f>
              <c:strCache>
                <c:ptCount val="4"/>
                <c:pt idx="0">
                  <c:v>State of Texas</c:v>
                </c:pt>
                <c:pt idx="1">
                  <c:v>Student &amp; Parent</c:v>
                </c:pt>
                <c:pt idx="2">
                  <c:v>Federal Government</c:v>
                </c:pt>
                <c:pt idx="3">
                  <c:v>Institutional Resources</c:v>
                </c:pt>
              </c:strCache>
            </c:strRef>
          </c:cat>
          <c:val>
            <c:numRef>
              <c:f>'WTAMU Chrts'!$D$9:$D$12</c:f>
              <c:numCache>
                <c:formatCode>"$"#,##0</c:formatCode>
                <c:ptCount val="4"/>
                <c:pt idx="0">
                  <c:v>54496990</c:v>
                </c:pt>
                <c:pt idx="1">
                  <c:v>61182029</c:v>
                </c:pt>
                <c:pt idx="2">
                  <c:v>34173176</c:v>
                </c:pt>
                <c:pt idx="3">
                  <c:v>40971933</c:v>
                </c:pt>
              </c:numCache>
            </c:numRef>
          </c:val>
          <c:extLst>
            <c:ext xmlns:c16="http://schemas.microsoft.com/office/drawing/2014/chart" uri="{C3380CC4-5D6E-409C-BE32-E72D297353CC}">
              <c16:uniqueId val="{00000007-977D-4B96-B7DE-7250BD0B8EB0}"/>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166"/>
          <c:y val="4.2735042735042736E-2"/>
        </c:manualLayout>
      </c:layout>
      <c:overlay val="0"/>
      <c:spPr>
        <a:noFill/>
        <a:ln w="25400">
          <a:noFill/>
        </a:ln>
      </c:spPr>
    </c:title>
    <c:autoTitleDeleted val="0"/>
    <c:plotArea>
      <c:layout>
        <c:manualLayout>
          <c:layoutTarget val="inner"/>
          <c:xMode val="edge"/>
          <c:yMode val="edge"/>
          <c:x val="0.39731160828183898"/>
          <c:y val="0.36182383861813472"/>
          <c:w val="0.21884073094577294"/>
          <c:h val="0.34686915515789474"/>
        </c:manualLayout>
      </c:layout>
      <c:pieChart>
        <c:varyColors val="1"/>
        <c:ser>
          <c:idx val="0"/>
          <c:order val="0"/>
          <c:tx>
            <c:strRef>
              <c:f>'ARL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5749-4B6C-AAA7-2693DAA35CA9}"/>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5749-4B6C-AAA7-2693DAA35CA9}"/>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5749-4B6C-AAA7-2693DAA35CA9}"/>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5749-4B6C-AAA7-2693DAA35CA9}"/>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5749-4B6C-AAA7-2693DAA35CA9}"/>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5749-4B6C-AAA7-2693DAA35CA9}"/>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5749-4B6C-AAA7-2693DAA35CA9}"/>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5749-4B6C-AAA7-2693DAA35CA9}"/>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5749-4B6C-AAA7-2693DAA35CA9}"/>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5749-4B6C-AAA7-2693DAA35CA9}"/>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5749-4B6C-AAA7-2693DAA35CA9}"/>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5749-4B6C-AAA7-2693DAA35CA9}"/>
              </c:ext>
            </c:extLst>
          </c:dPt>
          <c:dLbls>
            <c:dLbl>
              <c:idx val="0"/>
              <c:layout>
                <c:manualLayout>
                  <c:x val="0.10852331225944764"/>
                  <c:y val="7.158465922833437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5749-4B6C-AAA7-2693DAA35CA9}"/>
                </c:ext>
              </c:extLst>
            </c:dLbl>
            <c:dLbl>
              <c:idx val="1"/>
              <c:layout>
                <c:manualLayout>
                  <c:x val="9.6237484850062907E-2"/>
                  <c:y val="9.611102514681116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5749-4B6C-AAA7-2693DAA35CA9}"/>
                </c:ext>
              </c:extLst>
            </c:dLbl>
            <c:dLbl>
              <c:idx val="2"/>
              <c:delete val="1"/>
              <c:extLst>
                <c:ext xmlns:c15="http://schemas.microsoft.com/office/drawing/2012/chart" uri="{CE6537A1-D6FC-4f65-9D91-7224C49458BB}"/>
                <c:ext xmlns:c16="http://schemas.microsoft.com/office/drawing/2014/chart" uri="{C3380CC4-5D6E-409C-BE32-E72D297353CC}">
                  <c16:uniqueId val="{00000003-5749-4B6C-AAA7-2693DAA35CA9}"/>
                </c:ext>
              </c:extLst>
            </c:dLbl>
            <c:dLbl>
              <c:idx val="3"/>
              <c:delete val="1"/>
              <c:extLst>
                <c:ext xmlns:c15="http://schemas.microsoft.com/office/drawing/2012/chart" uri="{CE6537A1-D6FC-4f65-9D91-7224C49458BB}"/>
                <c:ext xmlns:c16="http://schemas.microsoft.com/office/drawing/2014/chart" uri="{C3380CC4-5D6E-409C-BE32-E72D297353CC}">
                  <c16:uniqueId val="{00000005-5749-4B6C-AAA7-2693DAA35CA9}"/>
                </c:ext>
              </c:extLst>
            </c:dLbl>
            <c:dLbl>
              <c:idx val="4"/>
              <c:delete val="1"/>
              <c:extLst>
                <c:ext xmlns:c15="http://schemas.microsoft.com/office/drawing/2012/chart" uri="{CE6537A1-D6FC-4f65-9D91-7224C49458BB}"/>
                <c:ext xmlns:c16="http://schemas.microsoft.com/office/drawing/2014/chart" uri="{C3380CC4-5D6E-409C-BE32-E72D297353CC}">
                  <c16:uniqueId val="{00000007-5749-4B6C-AAA7-2693DAA35CA9}"/>
                </c:ext>
              </c:extLst>
            </c:dLbl>
            <c:dLbl>
              <c:idx val="5"/>
              <c:layout>
                <c:manualLayout>
                  <c:x val="-1.4784202421211113E-2"/>
                  <c:y val="9.743018488667484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5749-4B6C-AAA7-2693DAA35CA9}"/>
                </c:ext>
              </c:extLst>
            </c:dLbl>
            <c:dLbl>
              <c:idx val="6"/>
              <c:layout>
                <c:manualLayout>
                  <c:x val="2.3412211461220935E-2"/>
                  <c:y val="0.2385747185837623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5749-4B6C-AAA7-2693DAA35CA9}"/>
                </c:ext>
              </c:extLst>
            </c:dLbl>
            <c:dLbl>
              <c:idx val="7"/>
              <c:layout>
                <c:manualLayout>
                  <c:x val="-8.8974399713726088E-2"/>
                  <c:y val="0.2188705492818308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5749-4B6C-AAA7-2693DAA35CA9}"/>
                </c:ext>
              </c:extLst>
            </c:dLbl>
            <c:dLbl>
              <c:idx val="8"/>
              <c:layout>
                <c:manualLayout>
                  <c:x val="-0.13829634699255969"/>
                  <c:y val="8.781523651282728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5749-4B6C-AAA7-2693DAA35CA9}"/>
                </c:ext>
              </c:extLst>
            </c:dLbl>
            <c:dLbl>
              <c:idx val="9"/>
              <c:layout>
                <c:manualLayout>
                  <c:x val="-7.7702175513467434E-2"/>
                  <c:y val="-5.248125519228548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5749-4B6C-AAA7-2693DAA35CA9}"/>
                </c:ext>
              </c:extLst>
            </c:dLbl>
            <c:dLbl>
              <c:idx val="10"/>
              <c:layout>
                <c:manualLayout>
                  <c:x val="-1.3671734147114475E-2"/>
                  <c:y val="-0.1403265374798505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5749-4B6C-AAA7-2693DAA35CA9}"/>
                </c:ext>
              </c:extLst>
            </c:dLbl>
            <c:dLbl>
              <c:idx val="11"/>
              <c:layout>
                <c:manualLayout>
                  <c:x val="8.8302949023905966E-2"/>
                  <c:y val="-9.467754123407012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5749-4B6C-AAA7-2693DAA35CA9}"/>
                </c:ext>
              </c:extLst>
            </c:dLbl>
            <c:dLbl>
              <c:idx val="12"/>
              <c:layout>
                <c:manualLayout>
                  <c:x val="0.21761628010835846"/>
                  <c:y val="-9.100609778998304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5749-4B6C-AAA7-2693DAA35CA9}"/>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'ARL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'ARL Chrts'!$D$54:$D$66</c:f>
              <c:numCache>
                <c:formatCode>"$"#,##0</c:formatCode>
                <c:ptCount val="13"/>
                <c:pt idx="0">
                  <c:v>144637415</c:v>
                </c:pt>
                <c:pt idx="1">
                  <c:v>16133769</c:v>
                </c:pt>
                <c:pt idx="3">
                  <c:v>0</c:v>
                </c:pt>
                <c:pt idx="4">
                  <c:v>0</c:v>
                </c:pt>
                <c:pt idx="5">
                  <c:v>348479934</c:v>
                </c:pt>
                <c:pt idx="6">
                  <c:v>176364560</c:v>
                </c:pt>
                <c:pt idx="7">
                  <c:v>33675891</c:v>
                </c:pt>
                <c:pt idx="8">
                  <c:v>1090181</c:v>
                </c:pt>
                <c:pt idx="9">
                  <c:v>18108585</c:v>
                </c:pt>
                <c:pt idx="10">
                  <c:v>28252072</c:v>
                </c:pt>
                <c:pt idx="11">
                  <c:v>31718698</c:v>
                </c:pt>
                <c:pt idx="12">
                  <c:v>7536894</c:v>
                </c:pt>
              </c:numCache>
            </c:numRef>
          </c:val>
          <c:extLst>
            <c:ext xmlns:c16="http://schemas.microsoft.com/office/drawing/2014/chart" uri="{C3380CC4-5D6E-409C-BE32-E72D297353CC}">
              <c16:uniqueId val="{00000019-5749-4B6C-AAA7-2693DAA35CA9}"/>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616"/>
          <c:y val="4.2735042735042736E-2"/>
        </c:manualLayout>
      </c:layout>
      <c:overlay val="0"/>
      <c:spPr>
        <a:noFill/>
        <a:ln w="25400">
          <a:noFill/>
        </a:ln>
      </c:spPr>
    </c:title>
    <c:autoTitleDeleted val="0"/>
    <c:plotArea>
      <c:layout>
        <c:manualLayout>
          <c:layoutTarget val="inner"/>
          <c:xMode val="edge"/>
          <c:yMode val="edge"/>
          <c:x val="0.38888568217162323"/>
          <c:y val="0.30267224998675285"/>
          <c:w val="0.21882025850438044"/>
          <c:h val="0.34687490281001193"/>
        </c:manualLayout>
      </c:layout>
      <c:pieChart>
        <c:varyColors val="1"/>
        <c:ser>
          <c:idx val="0"/>
          <c:order val="0"/>
          <c:tx>
            <c:strRef>
              <c:f>'WTAMU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D62A-4B89-829C-7E995098636C}"/>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D62A-4B89-829C-7E995098636C}"/>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D62A-4B89-829C-7E995098636C}"/>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D62A-4B89-829C-7E995098636C}"/>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D62A-4B89-829C-7E995098636C}"/>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D62A-4B89-829C-7E995098636C}"/>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D62A-4B89-829C-7E995098636C}"/>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D62A-4B89-829C-7E995098636C}"/>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D62A-4B89-829C-7E995098636C}"/>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D62A-4B89-829C-7E995098636C}"/>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D62A-4B89-829C-7E995098636C}"/>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D62A-4B89-829C-7E995098636C}"/>
              </c:ext>
            </c:extLst>
          </c:dPt>
          <c:dLbls>
            <c:dLbl>
              <c:idx val="0"/>
              <c:layout>
                <c:manualLayout>
                  <c:x val="9.7345605329715465E-2"/>
                  <c:y val="8.808077554281040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D62A-4B89-829C-7E995098636C}"/>
                </c:ext>
              </c:extLst>
            </c:dLbl>
            <c:dLbl>
              <c:idx val="1"/>
              <c:layout>
                <c:manualLayout>
                  <c:x val="8.2148456953574159E-2"/>
                  <c:y val="7.611748410441028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D62A-4B89-829C-7E995098636C}"/>
                </c:ext>
              </c:extLst>
            </c:dLbl>
            <c:dLbl>
              <c:idx val="2"/>
              <c:delete val="1"/>
              <c:extLst>
                <c:ext xmlns:c15="http://schemas.microsoft.com/office/drawing/2012/chart" uri="{CE6537A1-D6FC-4f65-9D91-7224C49458BB}"/>
                <c:ext xmlns:c16="http://schemas.microsoft.com/office/drawing/2014/chart" uri="{C3380CC4-5D6E-409C-BE32-E72D297353CC}">
                  <c16:uniqueId val="{00000003-D62A-4B89-829C-7E995098636C}"/>
                </c:ext>
              </c:extLst>
            </c:dLbl>
            <c:dLbl>
              <c:idx val="3"/>
              <c:layout>
                <c:manualLayout>
                  <c:x val="1.3498673024780444E-2"/>
                  <c:y val="0.2626488237211072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D62A-4B89-829C-7E995098636C}"/>
                </c:ext>
              </c:extLst>
            </c:dLbl>
            <c:dLbl>
              <c:idx val="4"/>
              <c:delete val="1"/>
              <c:extLst>
                <c:ext xmlns:c15="http://schemas.microsoft.com/office/drawing/2012/chart" uri="{CE6537A1-D6FC-4f65-9D91-7224C49458BB}"/>
                <c:ext xmlns:c16="http://schemas.microsoft.com/office/drawing/2014/chart" uri="{C3380CC4-5D6E-409C-BE32-E72D297353CC}">
                  <c16:uniqueId val="{00000007-D62A-4B89-829C-7E995098636C}"/>
                </c:ext>
              </c:extLst>
            </c:dLbl>
            <c:dLbl>
              <c:idx val="5"/>
              <c:layout>
                <c:manualLayout>
                  <c:x val="-0.12304532377221838"/>
                  <c:y val="0.1350942196530922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D62A-4B89-829C-7E995098636C}"/>
                </c:ext>
              </c:extLst>
            </c:dLbl>
            <c:dLbl>
              <c:idx val="6"/>
              <c:layout>
                <c:manualLayout>
                  <c:x val="-5.86582687441689E-2"/>
                  <c:y val="0.1948651524833237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D62A-4B89-829C-7E995098636C}"/>
                </c:ext>
              </c:extLst>
            </c:dLbl>
            <c:dLbl>
              <c:idx val="7"/>
              <c:layout>
                <c:manualLayout>
                  <c:x val="-9.2144508967184263E-2"/>
                  <c:y val="0.1297182883380858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D62A-4B89-829C-7E995098636C}"/>
                </c:ext>
              </c:extLst>
            </c:dLbl>
            <c:dLbl>
              <c:idx val="8"/>
              <c:delete val="1"/>
              <c:extLst>
                <c:ext xmlns:c15="http://schemas.microsoft.com/office/drawing/2012/chart" uri="{CE6537A1-D6FC-4f65-9D91-7224C49458BB}"/>
                <c:ext xmlns:c16="http://schemas.microsoft.com/office/drawing/2014/chart" uri="{C3380CC4-5D6E-409C-BE32-E72D297353CC}">
                  <c16:uniqueId val="{0000000F-D62A-4B89-829C-7E995098636C}"/>
                </c:ext>
              </c:extLst>
            </c:dLbl>
            <c:dLbl>
              <c:idx val="9"/>
              <c:layout>
                <c:manualLayout>
                  <c:x val="-0.10201957887452048"/>
                  <c:y val="-8.51440785951743E-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D62A-4B89-829C-7E995098636C}"/>
                </c:ext>
              </c:extLst>
            </c:dLbl>
            <c:dLbl>
              <c:idx val="10"/>
              <c:layout>
                <c:manualLayout>
                  <c:x val="-5.8793144889210162E-2"/>
                  <c:y val="-9.678704680159805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D62A-4B89-829C-7E995098636C}"/>
                </c:ext>
              </c:extLst>
            </c:dLbl>
            <c:dLbl>
              <c:idx val="11"/>
              <c:layout>
                <c:manualLayout>
                  <c:x val="8.5229341903655331E-2"/>
                  <c:y val="-7.602763734421991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D62A-4B89-829C-7E995098636C}"/>
                </c:ext>
              </c:extLst>
            </c:dLbl>
            <c:dLbl>
              <c:idx val="12"/>
              <c:layout>
                <c:manualLayout>
                  <c:x val="0.21285393291561111"/>
                  <c:y val="-5.477902880460087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D62A-4B89-829C-7E995098636C}"/>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'WTAMU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'WTAMU Chrts'!$D$54:$D$66</c:f>
              <c:numCache>
                <c:formatCode>"$"#,##0</c:formatCode>
                <c:ptCount val="13"/>
                <c:pt idx="0">
                  <c:v>41246915</c:v>
                </c:pt>
                <c:pt idx="1">
                  <c:v>5803580</c:v>
                </c:pt>
                <c:pt idx="3">
                  <c:v>7446495</c:v>
                </c:pt>
                <c:pt idx="4">
                  <c:v>0</c:v>
                </c:pt>
                <c:pt idx="5">
                  <c:v>61182029</c:v>
                </c:pt>
                <c:pt idx="6">
                  <c:v>34173176</c:v>
                </c:pt>
                <c:pt idx="7">
                  <c:v>7755605</c:v>
                </c:pt>
                <c:pt idx="8">
                  <c:v>0</c:v>
                </c:pt>
                <c:pt idx="9">
                  <c:v>8365113</c:v>
                </c:pt>
                <c:pt idx="10">
                  <c:v>11732350</c:v>
                </c:pt>
                <c:pt idx="11">
                  <c:v>12079249</c:v>
                </c:pt>
                <c:pt idx="12" formatCode="&quot;$&quot;#,##0_);\(&quot;$&quot;#,##0\)">
                  <c:v>1039616</c:v>
                </c:pt>
              </c:numCache>
            </c:numRef>
          </c:val>
          <c:extLst>
            <c:ext xmlns:c16="http://schemas.microsoft.com/office/drawing/2014/chart" uri="{C3380CC4-5D6E-409C-BE32-E72D297353CC}">
              <c16:uniqueId val="{00000019-D62A-4B89-829C-7E995098636C}"/>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344"/>
          <c:y val="3.3873343151695469E-2"/>
        </c:manualLayout>
      </c:layout>
      <c:overlay val="0"/>
      <c:spPr>
        <a:noFill/>
        <a:ln w="25400">
          <a:noFill/>
        </a:ln>
      </c:spPr>
    </c:title>
    <c:autoTitleDeleted val="0"/>
    <c:plotArea>
      <c:layout>
        <c:manualLayout>
          <c:layoutTarget val="inner"/>
          <c:xMode val="edge"/>
          <c:yMode val="edge"/>
          <c:x val="0.38440394317800297"/>
          <c:y val="0.29083754881823526"/>
          <c:w val="0.22519590114526841"/>
          <c:h val="0.3684837053025225"/>
        </c:manualLayout>
      </c:layout>
      <c:pieChart>
        <c:varyColors val="1"/>
        <c:ser>
          <c:idx val="0"/>
          <c:order val="0"/>
          <c:tx>
            <c:strRef>
              <c:f>'WTAMU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6E15-42BA-AB40-E41F2BA1F5E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6E15-42BA-AB40-E41F2BA1F5E5}"/>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6E15-42BA-AB40-E41F2BA1F5E5}"/>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6E15-42BA-AB40-E41F2BA1F5E5}"/>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6E15-42BA-AB40-E41F2BA1F5E5}"/>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6E15-42BA-AB40-E41F2BA1F5E5}"/>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6E15-42BA-AB40-E41F2BA1F5E5}"/>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6E15-42BA-AB40-E41F2BA1F5E5}"/>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6E15-42BA-AB40-E41F2BA1F5E5}"/>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6E15-42BA-AB40-E41F2BA1F5E5}"/>
              </c:ext>
            </c:extLst>
          </c:dPt>
          <c:dLbls>
            <c:dLbl>
              <c:idx val="0"/>
              <c:layout>
                <c:manualLayout>
                  <c:x val="-9.5663263611035956E-2"/>
                  <c:y val="9.130858343553631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6E15-42BA-AB40-E41F2BA1F5E5}"/>
                </c:ext>
              </c:extLst>
            </c:dLbl>
            <c:dLbl>
              <c:idx val="1"/>
              <c:layout>
                <c:manualLayout>
                  <c:x val="-0.10528816809291244"/>
                  <c:y val="0.1207818745953818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6E15-42BA-AB40-E41F2BA1F5E5}"/>
                </c:ext>
              </c:extLst>
            </c:dLbl>
            <c:dLbl>
              <c:idx val="2"/>
              <c:layout>
                <c:manualLayout>
                  <c:x val="-0.10511910694707466"/>
                  <c:y val="1.326681751703282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6E15-42BA-AB40-E41F2BA1F5E5}"/>
                </c:ext>
              </c:extLst>
            </c:dLbl>
            <c:dLbl>
              <c:idx val="3"/>
              <c:layout>
                <c:manualLayout>
                  <c:x val="-4.8825827151352905E-2"/>
                  <c:y val="-6.274238261567577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6E15-42BA-AB40-E41F2BA1F5E5}"/>
                </c:ext>
              </c:extLst>
            </c:dLbl>
            <c:dLbl>
              <c:idx val="4"/>
              <c:layout>
                <c:manualLayout>
                  <c:x val="0.10512437669404485"/>
                  <c:y val="-5.899286877882031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6E15-42BA-AB40-E41F2BA1F5E5}"/>
                </c:ext>
              </c:extLst>
            </c:dLbl>
            <c:dLbl>
              <c:idx val="5"/>
              <c:layout>
                <c:manualLayout>
                  <c:x val="0.17924557637907543"/>
                  <c:y val="-1.632949254034574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6E15-42BA-AB40-E41F2BA1F5E5}"/>
                </c:ext>
              </c:extLst>
            </c:dLbl>
            <c:dLbl>
              <c:idx val="6"/>
              <c:layout>
                <c:manualLayout>
                  <c:x val="0.13424202867332621"/>
                  <c:y val="0.1214578621523797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6E15-42BA-AB40-E41F2BA1F5E5}"/>
                </c:ext>
              </c:extLst>
            </c:dLbl>
            <c:dLbl>
              <c:idx val="7"/>
              <c:layout>
                <c:manualLayout>
                  <c:x val="0.12182727970694353"/>
                  <c:y val="0.1624932997233529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6E15-42BA-AB40-E41F2BA1F5E5}"/>
                </c:ext>
              </c:extLst>
            </c:dLbl>
            <c:dLbl>
              <c:idx val="8"/>
              <c:layout>
                <c:manualLayout>
                  <c:x val="8.9932143215970928E-2"/>
                  <c:y val="0.1295123084703599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6E15-42BA-AB40-E41F2BA1F5E5}"/>
                </c:ext>
              </c:extLst>
            </c:dLbl>
            <c:dLbl>
              <c:idx val="9"/>
              <c:layout>
                <c:manualLayout>
                  <c:x val="3.9639598086100881E-3"/>
                  <c:y val="0.1314128695325859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6E15-42BA-AB40-E41F2BA1F5E5}"/>
                </c:ext>
              </c:extLst>
            </c:dLbl>
            <c:dLbl>
              <c:idx val="10"/>
              <c:layout>
                <c:manualLayout>
                  <c:x val="-0.13789162404016533"/>
                  <c:y val="0.1233726928798210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6E15-42BA-AB40-E41F2BA1F5E5}"/>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'WTAMU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'WTAMU Chrts'!$D$102:$D$112</c:f>
              <c:numCache>
                <c:formatCode>"$"#,##0</c:formatCode>
                <c:ptCount val="11"/>
                <c:pt idx="0">
                  <c:v>42446932</c:v>
                </c:pt>
                <c:pt idx="1">
                  <c:v>7693680</c:v>
                </c:pt>
                <c:pt idx="2">
                  <c:v>4034086</c:v>
                </c:pt>
                <c:pt idx="3">
                  <c:v>16987660</c:v>
                </c:pt>
                <c:pt idx="4">
                  <c:v>11154760</c:v>
                </c:pt>
                <c:pt idx="5">
                  <c:v>13231196</c:v>
                </c:pt>
                <c:pt idx="6">
                  <c:v>19976237</c:v>
                </c:pt>
                <c:pt idx="7">
                  <c:v>16726818</c:v>
                </c:pt>
                <c:pt idx="8">
                  <c:v>19924182</c:v>
                </c:pt>
                <c:pt idx="9">
                  <c:v>2476174</c:v>
                </c:pt>
                <c:pt idx="10">
                  <c:v>537619</c:v>
                </c:pt>
              </c:numCache>
            </c:numRef>
          </c:val>
          <c:extLst>
            <c:ext xmlns:c16="http://schemas.microsoft.com/office/drawing/2014/chart" uri="{C3380CC4-5D6E-409C-BE32-E72D297353CC}">
              <c16:uniqueId val="{00000015-6E15-42BA-AB40-E41F2BA1F5E5}"/>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8777202170996666"/>
          <c:y val="0.30622669183191648"/>
          <c:w val="0.22537366539589787"/>
          <c:h val="0.35487149689305614"/>
        </c:manualLayout>
      </c:layout>
      <c:pieChart>
        <c:varyColors val="1"/>
        <c:ser>
          <c:idx val="0"/>
          <c:order val="0"/>
          <c:tx>
            <c:strRef>
              <c:f>'TAMUC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BCF3-4DF9-A57D-4CB4D181AE18}"/>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BCF3-4DF9-A57D-4CB4D181AE18}"/>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BCF3-4DF9-A57D-4CB4D181AE18}"/>
              </c:ext>
            </c:extLst>
          </c:dPt>
          <c:dLbls>
            <c:dLbl>
              <c:idx val="0"/>
              <c:layout>
                <c:manualLayout>
                  <c:x val="9.3896937091008548E-2"/>
                  <c:y val="2.404227066438159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BCF3-4DF9-A57D-4CB4D181AE18}"/>
                </c:ext>
              </c:extLst>
            </c:dLbl>
            <c:dLbl>
              <c:idx val="1"/>
              <c:layout>
                <c:manualLayout>
                  <c:x val="4.4001381086356935E-2"/>
                  <c:y val="0.1276189524429594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BCF3-4DF9-A57D-4CB4D181AE18}"/>
                </c:ext>
              </c:extLst>
            </c:dLbl>
            <c:dLbl>
              <c:idx val="2"/>
              <c:layout>
                <c:manualLayout>
                  <c:x val="-4.7821863678307826E-2"/>
                  <c:y val="7.520863652901582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BCF3-4DF9-A57D-4CB4D181AE18}"/>
                </c:ext>
              </c:extLst>
            </c:dLbl>
            <c:dLbl>
              <c:idx val="3"/>
              <c:layout>
                <c:manualLayout>
                  <c:x val="-5.8046246481633222E-2"/>
                  <c:y val="-5.15234685426500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BCF3-4DF9-A57D-4CB4D181AE18}"/>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'TAMUC Chrts'!$C$9:$C$12</c:f>
              <c:strCache>
                <c:ptCount val="4"/>
                <c:pt idx="0">
                  <c:v>State of Texas</c:v>
                </c:pt>
                <c:pt idx="1">
                  <c:v>Student &amp; Parent</c:v>
                </c:pt>
                <c:pt idx="2">
                  <c:v>Federal Government</c:v>
                </c:pt>
                <c:pt idx="3">
                  <c:v>Institutional Resources</c:v>
                </c:pt>
              </c:strCache>
            </c:strRef>
          </c:cat>
          <c:val>
            <c:numRef>
              <c:f>'TAMUC Chrts'!$D$9:$D$12</c:f>
              <c:numCache>
                <c:formatCode>"$"#,##0</c:formatCode>
                <c:ptCount val="4"/>
                <c:pt idx="0">
                  <c:v>70211986</c:v>
                </c:pt>
                <c:pt idx="1">
                  <c:v>80100693</c:v>
                </c:pt>
                <c:pt idx="2">
                  <c:v>44440614</c:v>
                </c:pt>
                <c:pt idx="3">
                  <c:v>41010726</c:v>
                </c:pt>
              </c:numCache>
            </c:numRef>
          </c:val>
          <c:extLst>
            <c:ext xmlns:c16="http://schemas.microsoft.com/office/drawing/2014/chart" uri="{C3380CC4-5D6E-409C-BE32-E72D297353CC}">
              <c16:uniqueId val="{00000007-BCF3-4DF9-A57D-4CB4D181AE18}"/>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758400548813388"/>
          <c:y val="2.3653887442442859E-2"/>
        </c:manualLayout>
      </c:layout>
      <c:overlay val="0"/>
      <c:spPr>
        <a:noFill/>
        <a:ln w="25400">
          <a:noFill/>
        </a:ln>
      </c:spPr>
    </c:title>
    <c:autoTitleDeleted val="0"/>
    <c:plotArea>
      <c:layout>
        <c:manualLayout>
          <c:layoutTarget val="inner"/>
          <c:xMode val="edge"/>
          <c:yMode val="edge"/>
          <c:x val="0.38647827471155743"/>
          <c:y val="0.30267224998675285"/>
          <c:w val="0.21882025850438044"/>
          <c:h val="0.34687490281001193"/>
        </c:manualLayout>
      </c:layout>
      <c:pieChart>
        <c:varyColors val="1"/>
        <c:ser>
          <c:idx val="0"/>
          <c:order val="0"/>
          <c:tx>
            <c:strRef>
              <c:f>'TAMUC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63C1-410F-8AB5-7A7636ED877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63C1-410F-8AB5-7A7636ED877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63C1-410F-8AB5-7A7636ED877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63C1-410F-8AB5-7A7636ED877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63C1-410F-8AB5-7A7636ED877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63C1-410F-8AB5-7A7636ED877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63C1-410F-8AB5-7A7636ED8773}"/>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63C1-410F-8AB5-7A7636ED8773}"/>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63C1-410F-8AB5-7A7636ED8773}"/>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63C1-410F-8AB5-7A7636ED8773}"/>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63C1-410F-8AB5-7A7636ED8773}"/>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63C1-410F-8AB5-7A7636ED8773}"/>
              </c:ext>
            </c:extLst>
          </c:dPt>
          <c:dLbls>
            <c:dLbl>
              <c:idx val="0"/>
              <c:layout>
                <c:manualLayout>
                  <c:x val="0.13561281264777184"/>
                  <c:y val="0.1263801356325489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63C1-410F-8AB5-7A7636ED8773}"/>
                </c:ext>
              </c:extLst>
            </c:dLbl>
            <c:dLbl>
              <c:idx val="1"/>
              <c:layout>
                <c:manualLayout>
                  <c:x val="0.11524783798832466"/>
                  <c:y val="8.774557801440756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63C1-410F-8AB5-7A7636ED8773}"/>
                </c:ext>
              </c:extLst>
            </c:dLbl>
            <c:dLbl>
              <c:idx val="2"/>
              <c:delete val="1"/>
              <c:extLst>
                <c:ext xmlns:c15="http://schemas.microsoft.com/office/drawing/2012/chart" uri="{CE6537A1-D6FC-4f65-9D91-7224C49458BB}"/>
                <c:ext xmlns:c16="http://schemas.microsoft.com/office/drawing/2014/chart" uri="{C3380CC4-5D6E-409C-BE32-E72D297353CC}">
                  <c16:uniqueId val="{00000003-63C1-410F-8AB5-7A7636ED8773}"/>
                </c:ext>
              </c:extLst>
            </c:dLbl>
            <c:dLbl>
              <c:idx val="3"/>
              <c:layout>
                <c:manualLayout>
                  <c:x val="1.7237965281349087E-2"/>
                  <c:y val="0.2096450947800683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63C1-410F-8AB5-7A7636ED8773}"/>
                </c:ext>
              </c:extLst>
            </c:dLbl>
            <c:dLbl>
              <c:idx val="4"/>
              <c:delete val="1"/>
              <c:extLst>
                <c:ext xmlns:c15="http://schemas.microsoft.com/office/drawing/2012/chart" uri="{CE6537A1-D6FC-4f65-9D91-7224C49458BB}"/>
                <c:ext xmlns:c16="http://schemas.microsoft.com/office/drawing/2014/chart" uri="{C3380CC4-5D6E-409C-BE32-E72D297353CC}">
                  <c16:uniqueId val="{00000007-63C1-410F-8AB5-7A7636ED8773}"/>
                </c:ext>
              </c:extLst>
            </c:dLbl>
            <c:dLbl>
              <c:idx val="5"/>
              <c:layout>
                <c:manualLayout>
                  <c:x val="-0.11366306691340715"/>
                  <c:y val="8.602947484568668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63C1-410F-8AB5-7A7636ED8773}"/>
                </c:ext>
              </c:extLst>
            </c:dLbl>
            <c:dLbl>
              <c:idx val="6"/>
              <c:layout>
                <c:manualLayout>
                  <c:x val="-0.10922623720035309"/>
                  <c:y val="0.1522837979697936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63C1-410F-8AB5-7A7636ED8773}"/>
                </c:ext>
              </c:extLst>
            </c:dLbl>
            <c:dLbl>
              <c:idx val="7"/>
              <c:layout>
                <c:manualLayout>
                  <c:x val="-0.10605688408505912"/>
                  <c:y val="4.1035178912995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63C1-410F-8AB5-7A7636ED8773}"/>
                </c:ext>
              </c:extLst>
            </c:dLbl>
            <c:dLbl>
              <c:idx val="8"/>
              <c:delete val="1"/>
              <c:extLst>
                <c:ext xmlns:c15="http://schemas.microsoft.com/office/drawing/2012/chart" uri="{CE6537A1-D6FC-4f65-9D91-7224C49458BB}"/>
                <c:ext xmlns:c16="http://schemas.microsoft.com/office/drawing/2014/chart" uri="{C3380CC4-5D6E-409C-BE32-E72D297353CC}">
                  <c16:uniqueId val="{0000000F-63C1-410F-8AB5-7A7636ED8773}"/>
                </c:ext>
              </c:extLst>
            </c:dLbl>
            <c:dLbl>
              <c:idx val="9"/>
              <c:layout>
                <c:manualLayout>
                  <c:x val="-7.3411564017917832E-2"/>
                  <c:y val="-0.1259197836706368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63C1-410F-8AB5-7A7636ED8773}"/>
                </c:ext>
              </c:extLst>
            </c:dLbl>
            <c:dLbl>
              <c:idx val="10"/>
              <c:layout>
                <c:manualLayout>
                  <c:x val="7.7827978000538228E-2"/>
                  <c:y val="-0.1255139707955960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63C1-410F-8AB5-7A7636ED8773}"/>
                </c:ext>
              </c:extLst>
            </c:dLbl>
            <c:dLbl>
              <c:idx val="11"/>
              <c:layout>
                <c:manualLayout>
                  <c:x val="0.21405023800866468"/>
                  <c:y val="-6.262304160731346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63C1-410F-8AB5-7A7636ED8773}"/>
                </c:ext>
              </c:extLst>
            </c:dLbl>
            <c:dLbl>
              <c:idx val="12"/>
              <c:layout>
                <c:manualLayout>
                  <c:x val="0.29375684127818719"/>
                  <c:y val="2.443366116382805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63C1-410F-8AB5-7A7636ED8773}"/>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'TAMUC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'TAMUC Chrts'!$D$54:$D$66</c:f>
              <c:numCache>
                <c:formatCode>"$"#,##0</c:formatCode>
                <c:ptCount val="13"/>
                <c:pt idx="0">
                  <c:v>51928693</c:v>
                </c:pt>
                <c:pt idx="1">
                  <c:v>7159434</c:v>
                </c:pt>
                <c:pt idx="3">
                  <c:v>11123859</c:v>
                </c:pt>
                <c:pt idx="4">
                  <c:v>0</c:v>
                </c:pt>
                <c:pt idx="5">
                  <c:v>80100693</c:v>
                </c:pt>
                <c:pt idx="6">
                  <c:v>44440614</c:v>
                </c:pt>
                <c:pt idx="7">
                  <c:v>10321873</c:v>
                </c:pt>
                <c:pt idx="8">
                  <c:v>0</c:v>
                </c:pt>
                <c:pt idx="9">
                  <c:v>9818579</c:v>
                </c:pt>
                <c:pt idx="10" formatCode="&quot;$&quot;#,##0_);\(&quot;$&quot;#,##0\)">
                  <c:v>-1970304</c:v>
                </c:pt>
                <c:pt idx="11">
                  <c:v>19244309</c:v>
                </c:pt>
                <c:pt idx="12">
                  <c:v>3596269</c:v>
                </c:pt>
              </c:numCache>
            </c:numRef>
          </c:val>
          <c:extLst>
            <c:ext xmlns:c16="http://schemas.microsoft.com/office/drawing/2014/chart" uri="{C3380CC4-5D6E-409C-BE32-E72D297353CC}">
              <c16:uniqueId val="{00000019-63C1-410F-8AB5-7A7636ED8773}"/>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355"/>
          <c:y val="3.3873343151695483E-2"/>
        </c:manualLayout>
      </c:layout>
      <c:overlay val="0"/>
      <c:spPr>
        <a:noFill/>
        <a:ln w="25400">
          <a:noFill/>
        </a:ln>
      </c:spPr>
    </c:title>
    <c:autoTitleDeleted val="0"/>
    <c:plotArea>
      <c:layout>
        <c:manualLayout>
          <c:layoutTarget val="inner"/>
          <c:xMode val="edge"/>
          <c:yMode val="edge"/>
          <c:x val="0.38319839766866226"/>
          <c:y val="0.32831715481796842"/>
          <c:w val="0.2264014466546112"/>
          <c:h val="0.37045631614460572"/>
        </c:manualLayout>
      </c:layout>
      <c:pieChart>
        <c:varyColors val="1"/>
        <c:ser>
          <c:idx val="0"/>
          <c:order val="0"/>
          <c:tx>
            <c:strRef>
              <c:f>'TAMUC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DE02-418C-981A-E1B2EEE4B0DD}"/>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DE02-418C-981A-E1B2EEE4B0DD}"/>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DE02-418C-981A-E1B2EEE4B0DD}"/>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DE02-418C-981A-E1B2EEE4B0DD}"/>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DE02-418C-981A-E1B2EEE4B0DD}"/>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DE02-418C-981A-E1B2EEE4B0DD}"/>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DE02-418C-981A-E1B2EEE4B0DD}"/>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DE02-418C-981A-E1B2EEE4B0DD}"/>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DE02-418C-981A-E1B2EEE4B0DD}"/>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DE02-418C-981A-E1B2EEE4B0DD}"/>
              </c:ext>
            </c:extLst>
          </c:dPt>
          <c:dLbls>
            <c:dLbl>
              <c:idx val="0"/>
              <c:layout>
                <c:manualLayout>
                  <c:x val="-6.4629769380093308E-2"/>
                  <c:y val="4.496480986516663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DE02-418C-981A-E1B2EEE4B0DD}"/>
                </c:ext>
              </c:extLst>
            </c:dLbl>
            <c:dLbl>
              <c:idx val="1"/>
              <c:layout>
                <c:manualLayout>
                  <c:x val="-0.12585832792838025"/>
                  <c:y val="0.1347605405761395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DE02-418C-981A-E1B2EEE4B0DD}"/>
                </c:ext>
              </c:extLst>
            </c:dLbl>
            <c:dLbl>
              <c:idx val="2"/>
              <c:layout>
                <c:manualLayout>
                  <c:x val="-0.10232341697954848"/>
                  <c:y val="-8.5959235608639249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DE02-418C-981A-E1B2EEE4B0DD}"/>
                </c:ext>
              </c:extLst>
            </c:dLbl>
            <c:dLbl>
              <c:idx val="3"/>
              <c:layout>
                <c:manualLayout>
                  <c:x val="-2.4550468130708714E-2"/>
                  <c:y val="-0.1002330165972680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DE02-418C-981A-E1B2EEE4B0DD}"/>
                </c:ext>
              </c:extLst>
            </c:dLbl>
            <c:dLbl>
              <c:idx val="4"/>
              <c:layout>
                <c:manualLayout>
                  <c:x val="7.7867513396268503E-2"/>
                  <c:y val="-9.405796804308752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DE02-418C-981A-E1B2EEE4B0DD}"/>
                </c:ext>
              </c:extLst>
            </c:dLbl>
            <c:dLbl>
              <c:idx val="5"/>
              <c:layout>
                <c:manualLayout>
                  <c:x val="0.1113892725434638"/>
                  <c:y val="-7.595079842588763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DE02-418C-981A-E1B2EEE4B0DD}"/>
                </c:ext>
              </c:extLst>
            </c:dLbl>
            <c:dLbl>
              <c:idx val="6"/>
              <c:layout>
                <c:manualLayout>
                  <c:x val="0.10478894574285252"/>
                  <c:y val="4.280829577606548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DE02-418C-981A-E1B2EEE4B0DD}"/>
                </c:ext>
              </c:extLst>
            </c:dLbl>
            <c:dLbl>
              <c:idx val="7"/>
              <c:layout>
                <c:manualLayout>
                  <c:x val="0.10019732176711292"/>
                  <c:y val="7.178766875727206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DE02-418C-981A-E1B2EEE4B0DD}"/>
                </c:ext>
              </c:extLst>
            </c:dLbl>
            <c:dLbl>
              <c:idx val="8"/>
              <c:layout>
                <c:manualLayout>
                  <c:x val="9.3184633566373867E-2"/>
                  <c:y val="4.36687890095443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DE02-418C-981A-E1B2EEE4B0DD}"/>
                </c:ext>
              </c:extLst>
            </c:dLbl>
            <c:dLbl>
              <c:idx val="9"/>
              <c:layout>
                <c:manualLayout>
                  <c:x val="4.0641869979921565E-2"/>
                  <c:y val="0.1026875968443196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DE02-418C-981A-E1B2EEE4B0DD}"/>
                </c:ext>
              </c:extLst>
            </c:dLbl>
            <c:dLbl>
              <c:idx val="10"/>
              <c:layout>
                <c:manualLayout>
                  <c:x val="-0.16205227503729228"/>
                  <c:y val="0.1047594757948962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DE02-418C-981A-E1B2EEE4B0DD}"/>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'TAMUC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'TAMUC Chrts'!$D$102:$D$112</c:f>
              <c:numCache>
                <c:formatCode>"$"#,##0</c:formatCode>
                <c:ptCount val="11"/>
                <c:pt idx="0">
                  <c:v>57170362</c:v>
                </c:pt>
                <c:pt idx="1">
                  <c:v>3052205</c:v>
                </c:pt>
                <c:pt idx="2">
                  <c:v>1585884</c:v>
                </c:pt>
                <c:pt idx="3">
                  <c:v>16210496</c:v>
                </c:pt>
                <c:pt idx="4">
                  <c:v>16432661</c:v>
                </c:pt>
                <c:pt idx="5">
                  <c:v>12671933</c:v>
                </c:pt>
                <c:pt idx="6">
                  <c:v>15761447</c:v>
                </c:pt>
                <c:pt idx="7">
                  <c:v>23934325</c:v>
                </c:pt>
                <c:pt idx="8">
                  <c:v>27852359</c:v>
                </c:pt>
                <c:pt idx="9">
                  <c:v>1628904</c:v>
                </c:pt>
                <c:pt idx="10">
                  <c:v>934708</c:v>
                </c:pt>
              </c:numCache>
            </c:numRef>
          </c:val>
          <c:extLst>
            <c:ext xmlns:c16="http://schemas.microsoft.com/office/drawing/2014/chart" uri="{C3380CC4-5D6E-409C-BE32-E72D297353CC}">
              <c16:uniqueId val="{00000015-DE02-418C-981A-E1B2EEE4B0DD}"/>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9621847721526043"/>
          <c:y val="0.3176264505519758"/>
          <c:w val="0.22416702889514376"/>
          <c:h val="0.35297153710636431"/>
        </c:manualLayout>
      </c:layout>
      <c:pieChart>
        <c:varyColors val="1"/>
        <c:ser>
          <c:idx val="0"/>
          <c:order val="0"/>
          <c:tx>
            <c:strRef>
              <c:f>'TAMUT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1696-4D3C-A3C4-E47774B36D8A}"/>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1696-4D3C-A3C4-E47774B36D8A}"/>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1696-4D3C-A3C4-E47774B36D8A}"/>
              </c:ext>
            </c:extLst>
          </c:dPt>
          <c:dLbls>
            <c:dLbl>
              <c:idx val="0"/>
              <c:layout>
                <c:manualLayout>
                  <c:x val="6.9360411396541866E-2"/>
                  <c:y val="4.624801327039628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1696-4D3C-A3C4-E47774B36D8A}"/>
                </c:ext>
              </c:extLst>
            </c:dLbl>
            <c:dLbl>
              <c:idx val="1"/>
              <c:layout>
                <c:manualLayout>
                  <c:x val="-4.0026929860718402E-2"/>
                  <c:y val="0.140565607556274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1696-4D3C-A3C4-E47774B36D8A}"/>
                </c:ext>
              </c:extLst>
            </c:dLbl>
            <c:dLbl>
              <c:idx val="2"/>
              <c:layout>
                <c:manualLayout>
                  <c:x val="-9.2502351353397516E-2"/>
                  <c:y val="1.5373217927481279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1696-4D3C-A3C4-E47774B36D8A}"/>
                </c:ext>
              </c:extLst>
            </c:dLbl>
            <c:dLbl>
              <c:idx val="3"/>
              <c:layout>
                <c:manualLayout>
                  <c:x val="0.14345982548142136"/>
                  <c:y val="-5.337271286730559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1696-4D3C-A3C4-E47774B36D8A}"/>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'TAMUT Chrts'!$C$9:$C$12</c:f>
              <c:strCache>
                <c:ptCount val="4"/>
                <c:pt idx="0">
                  <c:v>State of Texas</c:v>
                </c:pt>
                <c:pt idx="1">
                  <c:v>Student &amp; Parent</c:v>
                </c:pt>
                <c:pt idx="2">
                  <c:v>Federal Government</c:v>
                </c:pt>
                <c:pt idx="3">
                  <c:v>Institutional Resources</c:v>
                </c:pt>
              </c:strCache>
            </c:strRef>
          </c:cat>
          <c:val>
            <c:numRef>
              <c:f>'TAMUT Chrts'!$D$9:$D$12</c:f>
              <c:numCache>
                <c:formatCode>"$"#,##0</c:formatCode>
                <c:ptCount val="4"/>
                <c:pt idx="0">
                  <c:v>28577033</c:v>
                </c:pt>
                <c:pt idx="1">
                  <c:v>11361521</c:v>
                </c:pt>
                <c:pt idx="2">
                  <c:v>9745130</c:v>
                </c:pt>
                <c:pt idx="3">
                  <c:v>6014808</c:v>
                </c:pt>
              </c:numCache>
            </c:numRef>
          </c:val>
          <c:extLst>
            <c:ext xmlns:c16="http://schemas.microsoft.com/office/drawing/2014/chart" uri="{C3380CC4-5D6E-409C-BE32-E72D297353CC}">
              <c16:uniqueId val="{00000007-1696-4D3C-A3C4-E47774B36D8A}"/>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666"/>
          <c:y val="4.2735042735042736E-2"/>
        </c:manualLayout>
      </c:layout>
      <c:overlay val="0"/>
      <c:spPr>
        <a:noFill/>
        <a:ln w="25400">
          <a:noFill/>
        </a:ln>
      </c:spPr>
    </c:title>
    <c:autoTitleDeleted val="0"/>
    <c:plotArea>
      <c:layout>
        <c:manualLayout>
          <c:layoutTarget val="inner"/>
          <c:xMode val="edge"/>
          <c:yMode val="edge"/>
          <c:x val="0.38407086725150108"/>
          <c:y val="0.31412095086719438"/>
          <c:w val="0.22122766596444288"/>
          <c:h val="0.35069113643680266"/>
        </c:manualLayout>
      </c:layout>
      <c:pieChart>
        <c:varyColors val="1"/>
        <c:ser>
          <c:idx val="0"/>
          <c:order val="0"/>
          <c:tx>
            <c:strRef>
              <c:f>'TAMUT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245E-43B2-9F2A-BE612AB22E9D}"/>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245E-43B2-9F2A-BE612AB22E9D}"/>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245E-43B2-9F2A-BE612AB22E9D}"/>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245E-43B2-9F2A-BE612AB22E9D}"/>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245E-43B2-9F2A-BE612AB22E9D}"/>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245E-43B2-9F2A-BE612AB22E9D}"/>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245E-43B2-9F2A-BE612AB22E9D}"/>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245E-43B2-9F2A-BE612AB22E9D}"/>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245E-43B2-9F2A-BE612AB22E9D}"/>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245E-43B2-9F2A-BE612AB22E9D}"/>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245E-43B2-9F2A-BE612AB22E9D}"/>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245E-43B2-9F2A-BE612AB22E9D}"/>
              </c:ext>
            </c:extLst>
          </c:dPt>
          <c:dLbls>
            <c:dLbl>
              <c:idx val="0"/>
              <c:layout>
                <c:manualLayout>
                  <c:x val="6.487306283309649E-2"/>
                  <c:y val="9.17928890946916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245E-43B2-9F2A-BE612AB22E9D}"/>
                </c:ext>
              </c:extLst>
            </c:dLbl>
            <c:dLbl>
              <c:idx val="1"/>
              <c:layout>
                <c:manualLayout>
                  <c:x val="0.17657196634769293"/>
                  <c:y val="0.1072412732578029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245E-43B2-9F2A-BE612AB22E9D}"/>
                </c:ext>
              </c:extLst>
            </c:dLbl>
            <c:dLbl>
              <c:idx val="2"/>
              <c:delete val="1"/>
              <c:extLst>
                <c:ext xmlns:c15="http://schemas.microsoft.com/office/drawing/2012/chart" uri="{CE6537A1-D6FC-4f65-9D91-7224C49458BB}"/>
                <c:ext xmlns:c16="http://schemas.microsoft.com/office/drawing/2014/chart" uri="{C3380CC4-5D6E-409C-BE32-E72D297353CC}">
                  <c16:uniqueId val="{00000003-245E-43B2-9F2A-BE612AB22E9D}"/>
                </c:ext>
              </c:extLst>
            </c:dLbl>
            <c:dLbl>
              <c:idx val="3"/>
              <c:layout>
                <c:manualLayout>
                  <c:x val="-5.6186264050819293E-2"/>
                  <c:y val="0.1098956590642984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245E-43B2-9F2A-BE612AB22E9D}"/>
                </c:ext>
              </c:extLst>
            </c:dLbl>
            <c:dLbl>
              <c:idx val="4"/>
              <c:delete val="1"/>
              <c:extLst>
                <c:ext xmlns:c15="http://schemas.microsoft.com/office/drawing/2012/chart" uri="{CE6537A1-D6FC-4f65-9D91-7224C49458BB}"/>
                <c:ext xmlns:c16="http://schemas.microsoft.com/office/drawing/2014/chart" uri="{C3380CC4-5D6E-409C-BE32-E72D297353CC}">
                  <c16:uniqueId val="{00000007-245E-43B2-9F2A-BE612AB22E9D}"/>
                </c:ext>
              </c:extLst>
            </c:dLbl>
            <c:dLbl>
              <c:idx val="5"/>
              <c:layout>
                <c:manualLayout>
                  <c:x val="-0.12479843010594346"/>
                  <c:y val="9.956568556909269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245E-43B2-9F2A-BE612AB22E9D}"/>
                </c:ext>
              </c:extLst>
            </c:dLbl>
            <c:dLbl>
              <c:idx val="6"/>
              <c:layout>
                <c:manualLayout>
                  <c:x val="-0.14040578343616969"/>
                  <c:y val="0.1747594608413112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245E-43B2-9F2A-BE612AB22E9D}"/>
                </c:ext>
              </c:extLst>
            </c:dLbl>
            <c:dLbl>
              <c:idx val="7"/>
              <c:layout>
                <c:manualLayout>
                  <c:x val="-0.12377802165333958"/>
                  <c:y val="5.356579705119323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245E-43B2-9F2A-BE612AB22E9D}"/>
                </c:ext>
              </c:extLst>
            </c:dLbl>
            <c:dLbl>
              <c:idx val="8"/>
              <c:delete val="1"/>
              <c:extLst>
                <c:ext xmlns:c15="http://schemas.microsoft.com/office/drawing/2012/chart" uri="{CE6537A1-D6FC-4f65-9D91-7224C49458BB}"/>
                <c:ext xmlns:c16="http://schemas.microsoft.com/office/drawing/2014/chart" uri="{C3380CC4-5D6E-409C-BE32-E72D297353CC}">
                  <c16:uniqueId val="{0000000F-245E-43B2-9F2A-BE612AB22E9D}"/>
                </c:ext>
              </c:extLst>
            </c:dLbl>
            <c:dLbl>
              <c:idx val="9"/>
              <c:layout>
                <c:manualLayout>
                  <c:x val="-3.7687060311564838E-2"/>
                  <c:y val="-9.821512950328714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245E-43B2-9F2A-BE612AB22E9D}"/>
                </c:ext>
              </c:extLst>
            </c:dLbl>
            <c:dLbl>
              <c:idx val="10"/>
              <c:layout>
                <c:manualLayout>
                  <c:x val="0.11546900840135654"/>
                  <c:y val="-9.672214078085851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245E-43B2-9F2A-BE612AB22E9D}"/>
                </c:ext>
              </c:extLst>
            </c:dLbl>
            <c:dLbl>
              <c:idx val="11"/>
              <c:layout>
                <c:manualLayout>
                  <c:x val="0.23331909588181637"/>
                  <c:y val="-4.903589768707695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245E-43B2-9F2A-BE612AB22E9D}"/>
                </c:ext>
              </c:extLst>
            </c:dLbl>
            <c:dLbl>
              <c:idx val="12"/>
              <c:layout>
                <c:manualLayout>
                  <c:x val="0.31423230662687984"/>
                  <c:y val="3.234663661357644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245E-43B2-9F2A-BE612AB22E9D}"/>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'TAMUT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'TAMUT Chrts'!$D$54:$D$66</c:f>
              <c:numCache>
                <c:formatCode>"$"#,##0</c:formatCode>
                <c:ptCount val="13"/>
                <c:pt idx="0">
                  <c:v>25514271</c:v>
                </c:pt>
                <c:pt idx="1">
                  <c:v>1012489</c:v>
                </c:pt>
                <c:pt idx="3">
                  <c:v>2050273</c:v>
                </c:pt>
                <c:pt idx="4">
                  <c:v>0</c:v>
                </c:pt>
                <c:pt idx="5">
                  <c:v>11361521</c:v>
                </c:pt>
                <c:pt idx="6">
                  <c:v>9745130</c:v>
                </c:pt>
                <c:pt idx="7">
                  <c:v>1296304</c:v>
                </c:pt>
                <c:pt idx="8">
                  <c:v>0</c:v>
                </c:pt>
                <c:pt idx="9">
                  <c:v>181139</c:v>
                </c:pt>
                <c:pt idx="10" formatCode="&quot;$&quot;#,##0_);\(&quot;$&quot;#,##0\)">
                  <c:v>2088968</c:v>
                </c:pt>
                <c:pt idx="11">
                  <c:v>1485345</c:v>
                </c:pt>
                <c:pt idx="12">
                  <c:v>963052</c:v>
                </c:pt>
              </c:numCache>
            </c:numRef>
          </c:val>
          <c:extLst>
            <c:ext xmlns:c16="http://schemas.microsoft.com/office/drawing/2014/chart" uri="{C3380CC4-5D6E-409C-BE32-E72D297353CC}">
              <c16:uniqueId val="{00000019-245E-43B2-9F2A-BE612AB22E9D}"/>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361"/>
          <c:y val="3.387334315169549E-2"/>
        </c:manualLayout>
      </c:layout>
      <c:overlay val="0"/>
      <c:spPr>
        <a:noFill/>
        <a:ln w="25400">
          <a:noFill/>
        </a:ln>
      </c:spPr>
    </c:title>
    <c:autoTitleDeleted val="0"/>
    <c:plotArea>
      <c:layout>
        <c:manualLayout>
          <c:layoutTarget val="inner"/>
          <c:xMode val="edge"/>
          <c:yMode val="edge"/>
          <c:x val="0.38319839766866226"/>
          <c:y val="0.29675538134451768"/>
          <c:w val="0.22760699216395419"/>
          <c:h val="0.37242892698670127"/>
        </c:manualLayout>
      </c:layout>
      <c:pieChart>
        <c:varyColors val="1"/>
        <c:ser>
          <c:idx val="0"/>
          <c:order val="0"/>
          <c:tx>
            <c:strRef>
              <c:f>'TAMUT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42B7-4EEB-88BE-0F40673D2E58}"/>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42B7-4EEB-88BE-0F40673D2E58}"/>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42B7-4EEB-88BE-0F40673D2E58}"/>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42B7-4EEB-88BE-0F40673D2E58}"/>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42B7-4EEB-88BE-0F40673D2E58}"/>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42B7-4EEB-88BE-0F40673D2E58}"/>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42B7-4EEB-88BE-0F40673D2E58}"/>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42B7-4EEB-88BE-0F40673D2E58}"/>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42B7-4EEB-88BE-0F40673D2E58}"/>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42B7-4EEB-88BE-0F40673D2E58}"/>
              </c:ext>
            </c:extLst>
          </c:dPt>
          <c:dLbls>
            <c:dLbl>
              <c:idx val="0"/>
              <c:layout>
                <c:manualLayout>
                  <c:x val="-8.9881387441698199E-2"/>
                  <c:y val="0.1153550381653660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42B7-4EEB-88BE-0F40673D2E58}"/>
                </c:ext>
              </c:extLst>
            </c:dLbl>
            <c:dLbl>
              <c:idx val="1"/>
              <c:layout>
                <c:manualLayout>
                  <c:x val="-0.14881328368404126"/>
                  <c:y val="0.2056512358253520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42B7-4EEB-88BE-0F40673D2E58}"/>
                </c:ext>
              </c:extLst>
            </c:dLbl>
            <c:dLbl>
              <c:idx val="2"/>
              <c:layout>
                <c:manualLayout>
                  <c:x val="-0.10680186921134883"/>
                  <c:y val="3.849340969254137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42B7-4EEB-88BE-0F40673D2E58}"/>
                </c:ext>
              </c:extLst>
            </c:dLbl>
            <c:dLbl>
              <c:idx val="3"/>
              <c:layout>
                <c:manualLayout>
                  <c:x val="-6.6642048068270218E-2"/>
                  <c:y val="-4.27078079832349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42B7-4EEB-88BE-0F40673D2E58}"/>
                </c:ext>
              </c:extLst>
            </c:dLbl>
            <c:dLbl>
              <c:idx val="4"/>
              <c:layout>
                <c:manualLayout>
                  <c:x val="-3.7235740344800893E-2"/>
                  <c:y val="-6.953516427890113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42B7-4EEB-88BE-0F40673D2E58}"/>
                </c:ext>
              </c:extLst>
            </c:dLbl>
            <c:dLbl>
              <c:idx val="5"/>
              <c:layout>
                <c:manualLayout>
                  <c:x val="5.8331428022688217E-2"/>
                  <c:y val="-8.101436324966408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42B7-4EEB-88BE-0F40673D2E58}"/>
                </c:ext>
              </c:extLst>
            </c:dLbl>
            <c:dLbl>
              <c:idx val="6"/>
              <c:layout>
                <c:manualLayout>
                  <c:x val="9.7228498431533153E-2"/>
                  <c:y val="-3.071992385410321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42B7-4EEB-88BE-0F40673D2E58}"/>
                </c:ext>
              </c:extLst>
            </c:dLbl>
            <c:dLbl>
              <c:idx val="7"/>
              <c:layout>
                <c:manualLayout>
                  <c:x val="0.11856978923688354"/>
                  <c:y val="5.7772810180288896E-2"/>
                </c:manualLayout>
              </c:layout>
              <c:showLegendKey val="0"/>
              <c:showVal val="1"/>
              <c:showCatName val="1"/>
              <c:showSerName val="0"/>
              <c:showPercent val="1"/>
              <c:showBubbleSize val="0"/>
              <c:separator>
</c:separator>
              <c:extLst>
                <c:ext xmlns:c15="http://schemas.microsoft.com/office/drawing/2012/chart" uri="{CE6537A1-D6FC-4f65-9D91-7224C49458BB}">
                  <c15:layout>
                    <c:manualLayout>
                      <c:w val="0.17932317505817771"/>
                      <c:h val="0.13977922598155657"/>
                    </c:manualLayout>
                  </c15:layout>
                </c:ext>
                <c:ext xmlns:c16="http://schemas.microsoft.com/office/drawing/2014/chart" uri="{C3380CC4-5D6E-409C-BE32-E72D297353CC}">
                  <c16:uniqueId val="{0000000D-42B7-4EEB-88BE-0F40673D2E58}"/>
                </c:ext>
              </c:extLst>
            </c:dLbl>
            <c:dLbl>
              <c:idx val="8"/>
              <c:layout>
                <c:manualLayout>
                  <c:x val="9.1037050108425485E-2"/>
                  <c:y val="0.1294003401899950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42B7-4EEB-88BE-0F40673D2E58}"/>
                </c:ext>
              </c:extLst>
            </c:dLbl>
            <c:dLbl>
              <c:idx val="9"/>
              <c:layout>
                <c:manualLayout>
                  <c:x val="-1.2401516548509052E-2"/>
                  <c:y val="0.1504421988432420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42B7-4EEB-88BE-0F40673D2E58}"/>
                </c:ext>
              </c:extLst>
            </c:dLbl>
            <c:dLbl>
              <c:idx val="10"/>
              <c:layout>
                <c:manualLayout>
                  <c:x val="-0.20149607606825551"/>
                  <c:y val="0.1297920665928670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42B7-4EEB-88BE-0F40673D2E58}"/>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'TAMUT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'TAMUT Chrts'!$D$102:$D$112</c:f>
              <c:numCache>
                <c:formatCode>"$"#,##0</c:formatCode>
                <c:ptCount val="11"/>
                <c:pt idx="0">
                  <c:v>15713897</c:v>
                </c:pt>
                <c:pt idx="1">
                  <c:v>36898</c:v>
                </c:pt>
                <c:pt idx="2">
                  <c:v>9026</c:v>
                </c:pt>
                <c:pt idx="3">
                  <c:v>4250274</c:v>
                </c:pt>
                <c:pt idx="4">
                  <c:v>4390762</c:v>
                </c:pt>
                <c:pt idx="5">
                  <c:v>4818785</c:v>
                </c:pt>
                <c:pt idx="6">
                  <c:v>2363504</c:v>
                </c:pt>
                <c:pt idx="7">
                  <c:v>4735525</c:v>
                </c:pt>
                <c:pt idx="8">
                  <c:v>2544788</c:v>
                </c:pt>
                <c:pt idx="9">
                  <c:v>598517</c:v>
                </c:pt>
                <c:pt idx="10">
                  <c:v>2138272</c:v>
                </c:pt>
              </c:numCache>
            </c:numRef>
          </c:val>
          <c:extLst>
            <c:ext xmlns:c16="http://schemas.microsoft.com/office/drawing/2014/chart" uri="{C3380CC4-5D6E-409C-BE32-E72D297353CC}">
              <c16:uniqueId val="{00000015-42B7-4EEB-88BE-0F40673D2E58}"/>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9621847721526077"/>
          <c:y val="0.3176264505519758"/>
          <c:w val="0.22416702889514376"/>
          <c:h val="0.35297153710636431"/>
        </c:manualLayout>
      </c:layout>
      <c:pieChart>
        <c:varyColors val="1"/>
        <c:ser>
          <c:idx val="0"/>
          <c:order val="0"/>
          <c:tx>
            <c:strRef>
              <c:f>'TAMUCT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F44A-475E-A0DB-318E408020F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F44A-475E-A0DB-318E408020F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F44A-475E-A0DB-318E408020F3}"/>
              </c:ext>
            </c:extLst>
          </c:dPt>
          <c:dLbls>
            <c:dLbl>
              <c:idx val="0"/>
              <c:layout>
                <c:manualLayout>
                  <c:x val="8.9766548958008535E-2"/>
                  <c:y val="2.914837519029518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F44A-475E-A0DB-318E408020F3}"/>
                </c:ext>
              </c:extLst>
            </c:dLbl>
            <c:dLbl>
              <c:idx val="1"/>
              <c:layout>
                <c:manualLayout>
                  <c:x val="-1.9620651154051146E-2"/>
                  <c:y val="0.1614651652097317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F44A-475E-A0DB-318E408020F3}"/>
                </c:ext>
              </c:extLst>
            </c:dLbl>
            <c:dLbl>
              <c:idx val="2"/>
              <c:layout>
                <c:manualLayout>
                  <c:x val="-9.2502351353397544E-2"/>
                  <c:y val="5.853611539308529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F44A-475E-A0DB-318E408020F3}"/>
                </c:ext>
              </c:extLst>
            </c:dLbl>
            <c:dLbl>
              <c:idx val="3"/>
              <c:layout>
                <c:manualLayout>
                  <c:x val="1.6220675898672571E-2"/>
                  <c:y val="-4.197295414723820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F44A-475E-A0DB-318E408020F3}"/>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'TAMUCT Chrts'!$C$9:$C$12</c:f>
              <c:strCache>
                <c:ptCount val="4"/>
                <c:pt idx="0">
                  <c:v>State of Texas</c:v>
                </c:pt>
                <c:pt idx="1">
                  <c:v>Student &amp; Parent</c:v>
                </c:pt>
                <c:pt idx="2">
                  <c:v>Federal Government</c:v>
                </c:pt>
                <c:pt idx="3">
                  <c:v>Institutional Resources</c:v>
                </c:pt>
              </c:strCache>
            </c:strRef>
          </c:cat>
          <c:val>
            <c:numRef>
              <c:f>'TAMUCT Chrts'!$D$9:$D$12</c:f>
              <c:numCache>
                <c:formatCode>"$"#,##0</c:formatCode>
                <c:ptCount val="4"/>
                <c:pt idx="0">
                  <c:v>18794464</c:v>
                </c:pt>
                <c:pt idx="1">
                  <c:v>12660399</c:v>
                </c:pt>
                <c:pt idx="2">
                  <c:v>8130294</c:v>
                </c:pt>
                <c:pt idx="3">
                  <c:v>2120145</c:v>
                </c:pt>
              </c:numCache>
            </c:numRef>
          </c:val>
          <c:extLst>
            <c:ext xmlns:c16="http://schemas.microsoft.com/office/drawing/2014/chart" uri="{C3380CC4-5D6E-409C-BE32-E72D297353CC}">
              <c16:uniqueId val="{00000007-F44A-475E-A0DB-318E408020F3}"/>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699"/>
          <c:y val="4.2735042735042736E-2"/>
        </c:manualLayout>
      </c:layout>
      <c:overlay val="0"/>
      <c:spPr>
        <a:noFill/>
        <a:ln w="25400">
          <a:noFill/>
        </a:ln>
      </c:spPr>
    </c:title>
    <c:autoTitleDeleted val="0"/>
    <c:plotArea>
      <c:layout>
        <c:manualLayout>
          <c:layoutTarget val="inner"/>
          <c:xMode val="edge"/>
          <c:yMode val="edge"/>
          <c:x val="0.38557762859381917"/>
          <c:y val="0.34655893669514481"/>
          <c:w val="0.22122766596444288"/>
          <c:h val="0.35069113643680255"/>
        </c:manualLayout>
      </c:layout>
      <c:pieChart>
        <c:varyColors val="1"/>
        <c:ser>
          <c:idx val="0"/>
          <c:order val="0"/>
          <c:tx>
            <c:strRef>
              <c:f>'TAMUCT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301B-413E-8B3E-C2B9374ED04D}"/>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301B-413E-8B3E-C2B9374ED04D}"/>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301B-413E-8B3E-C2B9374ED04D}"/>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301B-413E-8B3E-C2B9374ED04D}"/>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301B-413E-8B3E-C2B9374ED04D}"/>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301B-413E-8B3E-C2B9374ED04D}"/>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301B-413E-8B3E-C2B9374ED04D}"/>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301B-413E-8B3E-C2B9374ED04D}"/>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301B-413E-8B3E-C2B9374ED04D}"/>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301B-413E-8B3E-C2B9374ED04D}"/>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301B-413E-8B3E-C2B9374ED04D}"/>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301B-413E-8B3E-C2B9374ED04D}"/>
              </c:ext>
            </c:extLst>
          </c:dPt>
          <c:dLbls>
            <c:dLbl>
              <c:idx val="0"/>
              <c:layout>
                <c:manualLayout>
                  <c:x val="6.4863422071502877E-2"/>
                  <c:y val="4.491526684262408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301B-413E-8B3E-C2B9374ED04D}"/>
                </c:ext>
              </c:extLst>
            </c:dLbl>
            <c:dLbl>
              <c:idx val="1"/>
              <c:layout>
                <c:manualLayout>
                  <c:x val="3.8068059429057083E-2"/>
                  <c:y val="5.455095625950208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301B-413E-8B3E-C2B9374ED04D}"/>
                </c:ext>
              </c:extLst>
            </c:dLbl>
            <c:dLbl>
              <c:idx val="2"/>
              <c:delete val="1"/>
              <c:extLst>
                <c:ext xmlns:c15="http://schemas.microsoft.com/office/drawing/2012/chart" uri="{CE6537A1-D6FC-4f65-9D91-7224C49458BB}"/>
                <c:ext xmlns:c16="http://schemas.microsoft.com/office/drawing/2014/chart" uri="{C3380CC4-5D6E-409C-BE32-E72D297353CC}">
                  <c16:uniqueId val="{00000003-301B-413E-8B3E-C2B9374ED04D}"/>
                </c:ext>
              </c:extLst>
            </c:dLbl>
            <c:dLbl>
              <c:idx val="3"/>
              <c:delete val="1"/>
              <c:extLst>
                <c:ext xmlns:c15="http://schemas.microsoft.com/office/drawing/2012/chart" uri="{CE6537A1-D6FC-4f65-9D91-7224C49458BB}"/>
                <c:ext xmlns:c16="http://schemas.microsoft.com/office/drawing/2014/chart" uri="{C3380CC4-5D6E-409C-BE32-E72D297353CC}">
                  <c16:uniqueId val="{00000005-301B-413E-8B3E-C2B9374ED04D}"/>
                </c:ext>
              </c:extLst>
            </c:dLbl>
            <c:dLbl>
              <c:idx val="4"/>
              <c:delete val="1"/>
              <c:extLst>
                <c:ext xmlns:c15="http://schemas.microsoft.com/office/drawing/2012/chart" uri="{CE6537A1-D6FC-4f65-9D91-7224C49458BB}"/>
                <c:ext xmlns:c16="http://schemas.microsoft.com/office/drawing/2014/chart" uri="{C3380CC4-5D6E-409C-BE32-E72D297353CC}">
                  <c16:uniqueId val="{00000007-301B-413E-8B3E-C2B9374ED04D}"/>
                </c:ext>
              </c:extLst>
            </c:dLbl>
            <c:dLbl>
              <c:idx val="5"/>
              <c:layout>
                <c:manualLayout>
                  <c:x val="-6.3396608550202418E-2"/>
                  <c:y val="4.3234621592640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301B-413E-8B3E-C2B9374ED04D}"/>
                </c:ext>
              </c:extLst>
            </c:dLbl>
            <c:dLbl>
              <c:idx val="6"/>
              <c:layout>
                <c:manualLayout>
                  <c:x val="-0.126263636833645"/>
                  <c:y val="0.1696798134913473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301B-413E-8B3E-C2B9374ED04D}"/>
                </c:ext>
              </c:extLst>
            </c:dLbl>
            <c:dLbl>
              <c:idx val="7"/>
              <c:layout>
                <c:manualLayout>
                  <c:x val="-0.19607087925730599"/>
                  <c:y val="2.436590048013928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301B-413E-8B3E-C2B9374ED04D}"/>
                </c:ext>
              </c:extLst>
            </c:dLbl>
            <c:dLbl>
              <c:idx val="8"/>
              <c:delete val="1"/>
              <c:extLst>
                <c:ext xmlns:c15="http://schemas.microsoft.com/office/drawing/2012/chart" uri="{CE6537A1-D6FC-4f65-9D91-7224C49458BB}"/>
                <c:ext xmlns:c16="http://schemas.microsoft.com/office/drawing/2014/chart" uri="{C3380CC4-5D6E-409C-BE32-E72D297353CC}">
                  <c16:uniqueId val="{0000000F-301B-413E-8B3E-C2B9374ED04D}"/>
                </c:ext>
              </c:extLst>
            </c:dLbl>
            <c:dLbl>
              <c:idx val="9"/>
              <c:layout>
                <c:manualLayout>
                  <c:x val="-0.16061584428922399"/>
                  <c:y val="-0.1253586170329925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301B-413E-8B3E-C2B9374ED04D}"/>
                </c:ext>
              </c:extLst>
            </c:dLbl>
            <c:dLbl>
              <c:idx val="10"/>
              <c:layout>
                <c:manualLayout>
                  <c:x val="4.5390217859473045E-2"/>
                  <c:y val="-0.1239927359345122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301B-413E-8B3E-C2B9374ED04D}"/>
                </c:ext>
              </c:extLst>
            </c:dLbl>
            <c:dLbl>
              <c:idx val="11"/>
              <c:layout>
                <c:manualLayout>
                  <c:x val="0.18825609681290589"/>
                  <c:y val="-7.786634077433786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301B-413E-8B3E-C2B9374ED04D}"/>
                </c:ext>
              </c:extLst>
            </c:dLbl>
            <c:dLbl>
              <c:idx val="12"/>
              <c:layout>
                <c:manualLayout>
                  <c:x val="0.26523748362133859"/>
                  <c:y val="3.453931824939447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301B-413E-8B3E-C2B9374ED04D}"/>
                </c:ext>
              </c:extLst>
            </c:dLbl>
            <c:spPr>
              <a:noFill/>
              <a:ln>
                <a:noFill/>
              </a:ln>
              <a:effectLst/>
            </c:sp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'TAMUCT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'TAMUCT Chrts'!$D$54:$D$66</c:f>
              <c:numCache>
                <c:formatCode>"$"#,##0</c:formatCode>
                <c:ptCount val="13"/>
                <c:pt idx="0">
                  <c:v>18317955</c:v>
                </c:pt>
                <c:pt idx="1">
                  <c:v>476509</c:v>
                </c:pt>
                <c:pt idx="3">
                  <c:v>0</c:v>
                </c:pt>
                <c:pt idx="4">
                  <c:v>0</c:v>
                </c:pt>
                <c:pt idx="5">
                  <c:v>12660399</c:v>
                </c:pt>
                <c:pt idx="6">
                  <c:v>8130294</c:v>
                </c:pt>
                <c:pt idx="7">
                  <c:v>1014308</c:v>
                </c:pt>
                <c:pt idx="8">
                  <c:v>0</c:v>
                </c:pt>
                <c:pt idx="9">
                  <c:v>630515</c:v>
                </c:pt>
                <c:pt idx="10">
                  <c:v>260882</c:v>
                </c:pt>
                <c:pt idx="11">
                  <c:v>50756</c:v>
                </c:pt>
                <c:pt idx="12">
                  <c:v>163684</c:v>
                </c:pt>
              </c:numCache>
            </c:numRef>
          </c:val>
          <c:extLst>
            <c:ext xmlns:c16="http://schemas.microsoft.com/office/drawing/2014/chart" uri="{C3380CC4-5D6E-409C-BE32-E72D297353CC}">
              <c16:uniqueId val="{00000019-301B-413E-8B3E-C2B9374ED04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194"/>
          <c:y val="3.387334315169524E-2"/>
        </c:manualLayout>
      </c:layout>
      <c:overlay val="0"/>
      <c:spPr>
        <a:noFill/>
        <a:ln w="25400">
          <a:noFill/>
        </a:ln>
      </c:spPr>
    </c:title>
    <c:autoTitleDeleted val="0"/>
    <c:plotArea>
      <c:layout>
        <c:manualLayout>
          <c:layoutTarget val="inner"/>
          <c:xMode val="edge"/>
          <c:yMode val="edge"/>
          <c:x val="0.40128158030879052"/>
          <c:y val="0.31648148976543167"/>
          <c:w val="0.21675708257987653"/>
          <c:h val="0.35467542940787788"/>
        </c:manualLayout>
      </c:layout>
      <c:pieChart>
        <c:varyColors val="1"/>
        <c:ser>
          <c:idx val="0"/>
          <c:order val="0"/>
          <c:tx>
            <c:strRef>
              <c:f>'ARL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CCC2-459E-812A-7089B1430E7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CCC2-459E-812A-7089B1430E75}"/>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CCC2-459E-812A-7089B1430E75}"/>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CCC2-459E-812A-7089B1430E75}"/>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CCC2-459E-812A-7089B1430E75}"/>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CCC2-459E-812A-7089B1430E75}"/>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CCC2-459E-812A-7089B1430E75}"/>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CCC2-459E-812A-7089B1430E75}"/>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CCC2-459E-812A-7089B1430E75}"/>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CCC2-459E-812A-7089B1430E75}"/>
              </c:ext>
            </c:extLst>
          </c:dPt>
          <c:dLbls>
            <c:dLbl>
              <c:idx val="0"/>
              <c:layout>
                <c:manualLayout>
                  <c:x val="-0.13356931649366621"/>
                  <c:y val="-3.614739472471065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CCC2-459E-812A-7089B1430E75}"/>
                </c:ext>
              </c:extLst>
            </c:dLbl>
            <c:dLbl>
              <c:idx val="1"/>
              <c:layout>
                <c:manualLayout>
                  <c:x val="-0.1522132201829276"/>
                  <c:y val="7.35696862834271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CCC2-459E-812A-7089B1430E75}"/>
                </c:ext>
              </c:extLst>
            </c:dLbl>
            <c:dLbl>
              <c:idx val="2"/>
              <c:layout>
                <c:manualLayout>
                  <c:x val="-0.1116874501918159"/>
                  <c:y val="-4.302699152926733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CCC2-459E-812A-7089B1430E75}"/>
                </c:ext>
              </c:extLst>
            </c:dLbl>
            <c:dLbl>
              <c:idx val="3"/>
              <c:layout>
                <c:manualLayout>
                  <c:x val="1.283282084038664E-3"/>
                  <c:y val="-7.343377805611782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CCC2-459E-812A-7089B1430E75}"/>
                </c:ext>
              </c:extLst>
            </c:dLbl>
            <c:dLbl>
              <c:idx val="4"/>
              <c:layout>
                <c:manualLayout>
                  <c:x val="7.0549282605497088E-2"/>
                  <c:y val="-8.156497314143411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CCC2-459E-812A-7089B1430E75}"/>
                </c:ext>
              </c:extLst>
            </c:dLbl>
            <c:dLbl>
              <c:idx val="5"/>
              <c:layout>
                <c:manualLayout>
                  <c:x val="0.10516839612538674"/>
                  <c:y val="-6.996944937899253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CCC2-459E-812A-7089B1430E75}"/>
                </c:ext>
              </c:extLst>
            </c:dLbl>
            <c:dLbl>
              <c:idx val="6"/>
              <c:layout>
                <c:manualLayout>
                  <c:x val="0.11759404806863445"/>
                  <c:y val="-2.935664762967479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CCC2-459E-812A-7089B1430E75}"/>
                </c:ext>
              </c:extLst>
            </c:dLbl>
            <c:dLbl>
              <c:idx val="7"/>
              <c:layout>
                <c:manualLayout>
                  <c:x val="0.13830810349355446"/>
                  <c:y val="5.524118899059313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CCC2-459E-812A-7089B1430E75}"/>
                </c:ext>
              </c:extLst>
            </c:dLbl>
            <c:dLbl>
              <c:idx val="8"/>
              <c:layout>
                <c:manualLayout>
                  <c:x val="2.9896641159326401E-2"/>
                  <c:y val="0.158416984213053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CCC2-459E-812A-7089B1430E75}"/>
                </c:ext>
              </c:extLst>
            </c:dLbl>
            <c:dLbl>
              <c:idx val="9"/>
              <c:layout>
                <c:manualLayout>
                  <c:x val="-7.4670367261804302E-2"/>
                  <c:y val="0.1488884957473144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CCC2-459E-812A-7089B1430E75}"/>
                </c:ext>
              </c:extLst>
            </c:dLbl>
            <c:dLbl>
              <c:idx val="10"/>
              <c:layout>
                <c:manualLayout>
                  <c:x val="-0.22763219470983848"/>
                  <c:y val="0.1182771247969920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CCC2-459E-812A-7089B1430E75}"/>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'ARL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'ARL Chrts'!$D$102:$D$112</c:f>
              <c:numCache>
                <c:formatCode>"$"#,##0</c:formatCode>
                <c:ptCount val="11"/>
                <c:pt idx="0">
                  <c:v>198085111</c:v>
                </c:pt>
                <c:pt idx="1">
                  <c:v>103398965</c:v>
                </c:pt>
                <c:pt idx="2">
                  <c:v>12261806</c:v>
                </c:pt>
                <c:pt idx="3">
                  <c:v>61502658</c:v>
                </c:pt>
                <c:pt idx="4">
                  <c:v>86706832</c:v>
                </c:pt>
                <c:pt idx="5">
                  <c:v>49489123</c:v>
                </c:pt>
                <c:pt idx="6">
                  <c:v>41926574</c:v>
                </c:pt>
                <c:pt idx="7">
                  <c:v>86880446</c:v>
                </c:pt>
                <c:pt idx="8">
                  <c:v>50885065</c:v>
                </c:pt>
                <c:pt idx="9">
                  <c:v>3768636</c:v>
                </c:pt>
                <c:pt idx="10">
                  <c:v>728377</c:v>
                </c:pt>
              </c:numCache>
            </c:numRef>
          </c:val>
          <c:extLst>
            <c:ext xmlns:c16="http://schemas.microsoft.com/office/drawing/2014/chart" uri="{C3380CC4-5D6E-409C-BE32-E72D297353CC}">
              <c16:uniqueId val="{00000015-CCC2-459E-812A-7089B1430E75}"/>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372"/>
          <c:y val="3.3873343151695504E-2"/>
        </c:manualLayout>
      </c:layout>
      <c:overlay val="0"/>
      <c:spPr>
        <a:noFill/>
        <a:ln w="25400">
          <a:noFill/>
        </a:ln>
      </c:spPr>
    </c:title>
    <c:autoTitleDeleted val="0"/>
    <c:plotArea>
      <c:layout>
        <c:manualLayout>
          <c:layoutTarget val="inner"/>
          <c:xMode val="edge"/>
          <c:yMode val="edge"/>
          <c:x val="0.38319839766866243"/>
          <c:y val="0.29675538134451784"/>
          <c:w val="0.22760699216395419"/>
          <c:h val="0.37242892698670144"/>
        </c:manualLayout>
      </c:layout>
      <c:pieChart>
        <c:varyColors val="1"/>
        <c:ser>
          <c:idx val="0"/>
          <c:order val="0"/>
          <c:tx>
            <c:strRef>
              <c:f>'TAMUCT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9C6E-4049-AB7F-E0659F762F50}"/>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9C6E-4049-AB7F-E0659F762F50}"/>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9C6E-4049-AB7F-E0659F762F50}"/>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9C6E-4049-AB7F-E0659F762F50}"/>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9C6E-4049-AB7F-E0659F762F50}"/>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9C6E-4049-AB7F-E0659F762F50}"/>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9C6E-4049-AB7F-E0659F762F50}"/>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9C6E-4049-AB7F-E0659F762F50}"/>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9C6E-4049-AB7F-E0659F762F50}"/>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9C6E-4049-AB7F-E0659F762F50}"/>
              </c:ext>
            </c:extLst>
          </c:dPt>
          <c:dLbls>
            <c:dLbl>
              <c:idx val="0"/>
              <c:layout>
                <c:manualLayout>
                  <c:x val="-0.1150891434911107"/>
                  <c:y val="5.025887026540318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9C6E-4049-AB7F-E0659F762F50}"/>
                </c:ext>
              </c:extLst>
            </c:dLbl>
            <c:dLbl>
              <c:idx val="1"/>
              <c:layout>
                <c:manualLayout>
                  <c:x val="-0.12720663564168769"/>
                  <c:y val="4.38971216496869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9C6E-4049-AB7F-E0659F762F50}"/>
                </c:ext>
              </c:extLst>
            </c:dLbl>
            <c:dLbl>
              <c:idx val="2"/>
              <c:layout>
                <c:manualLayout>
                  <c:x val="-8.3994946350579511E-2"/>
                  <c:y val="-0.1410142048194773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9C6E-4049-AB7F-E0659F762F50}"/>
                </c:ext>
              </c:extLst>
            </c:dLbl>
            <c:dLbl>
              <c:idx val="3"/>
              <c:layout>
                <c:manualLayout>
                  <c:x val="9.4207442913695247E-2"/>
                  <c:y val="-9.596830899229549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9C6E-4049-AB7F-E0659F762F50}"/>
                </c:ext>
              </c:extLst>
            </c:dLbl>
            <c:dLbl>
              <c:idx val="4"/>
              <c:layout>
                <c:manualLayout>
                  <c:x val="0.12721485864422349"/>
                  <c:y val="-3.994583552339743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9C6E-4049-AB7F-E0659F762F50}"/>
                </c:ext>
              </c:extLst>
            </c:dLbl>
            <c:dLbl>
              <c:idx val="5"/>
              <c:layout>
                <c:manualLayout>
                  <c:x val="9.1941863939175486E-2"/>
                  <c:y val="-1.197281772902131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9C6E-4049-AB7F-E0659F762F50}"/>
                </c:ext>
              </c:extLst>
            </c:dLbl>
            <c:dLbl>
              <c:idx val="6"/>
              <c:layout>
                <c:manualLayout>
                  <c:x val="0.10082951192132164"/>
                  <c:y val="8.732143791858769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9C6E-4049-AB7F-E0659F762F50}"/>
                </c:ext>
              </c:extLst>
            </c:dLbl>
            <c:dLbl>
              <c:idx val="7"/>
              <c:layout>
                <c:manualLayout>
                  <c:x val="0.13177399370533882"/>
                  <c:y val="4.199207631613159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9C6E-4049-AB7F-E0659F762F50}"/>
                </c:ext>
              </c:extLst>
            </c:dLbl>
            <c:dLbl>
              <c:idx val="8"/>
              <c:layout>
                <c:manualLayout>
                  <c:x val="9.4638158115484414E-2"/>
                  <c:y val="0.1609621185657346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9C6E-4049-AB7F-E0659F762F50}"/>
                </c:ext>
              </c:extLst>
            </c:dLbl>
            <c:dLbl>
              <c:idx val="9"/>
              <c:layout>
                <c:manualLayout>
                  <c:x val="-4.361111927635309E-2"/>
                  <c:y val="0.1780587549220142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9C6E-4049-AB7F-E0659F762F50}"/>
                </c:ext>
              </c:extLst>
            </c:dLbl>
            <c:dLbl>
              <c:idx val="10"/>
              <c:layout>
                <c:manualLayout>
                  <c:x val="-0.20869819756510347"/>
                  <c:y val="0.129792046433084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9C6E-4049-AB7F-E0659F762F50}"/>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'TAMUCT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'TAMUCT Chrts'!$D$102:$D$112</c:f>
              <c:numCache>
                <c:formatCode>"$"#,##0</c:formatCode>
                <c:ptCount val="11"/>
                <c:pt idx="0">
                  <c:v>10849521</c:v>
                </c:pt>
                <c:pt idx="1">
                  <c:v>1121634</c:v>
                </c:pt>
                <c:pt idx="2">
                  <c:v>22434</c:v>
                </c:pt>
                <c:pt idx="3">
                  <c:v>5750444</c:v>
                </c:pt>
                <c:pt idx="4">
                  <c:v>5704958</c:v>
                </c:pt>
                <c:pt idx="5">
                  <c:v>4251515</c:v>
                </c:pt>
                <c:pt idx="6">
                  <c:v>2329908</c:v>
                </c:pt>
                <c:pt idx="7">
                  <c:v>3828798</c:v>
                </c:pt>
                <c:pt idx="8">
                  <c:v>148590</c:v>
                </c:pt>
                <c:pt idx="9">
                  <c:v>257227</c:v>
                </c:pt>
                <c:pt idx="10">
                  <c:v>1130973</c:v>
                </c:pt>
              </c:numCache>
            </c:numRef>
          </c:val>
          <c:extLst>
            <c:ext xmlns:c16="http://schemas.microsoft.com/office/drawing/2014/chart" uri="{C3380CC4-5D6E-409C-BE32-E72D297353CC}">
              <c16:uniqueId val="{00000015-9C6E-4049-AB7F-E0659F762F50}"/>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962184772152611"/>
          <c:y val="0.3176264505519758"/>
          <c:w val="0.22416702889514376"/>
          <c:h val="0.35297153710636431"/>
        </c:manualLayout>
      </c:layout>
      <c:pieChart>
        <c:varyColors val="1"/>
        <c:ser>
          <c:idx val="0"/>
          <c:order val="0"/>
          <c:tx>
            <c:strRef>
              <c:f>'TAMUSA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08B4-4C59-9963-E1CE4C6FEB70}"/>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08B4-4C59-9963-E1CE4C6FEB70}"/>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08B4-4C59-9963-E1CE4C6FEB70}"/>
              </c:ext>
            </c:extLst>
          </c:dPt>
          <c:dLbls>
            <c:dLbl>
              <c:idx val="0"/>
              <c:layout>
                <c:manualLayout>
                  <c:x val="8.0163688789788579E-2"/>
                  <c:y val="2.534830601380657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08B4-4C59-9963-E1CE4C6FEB70}"/>
                </c:ext>
              </c:extLst>
            </c:dLbl>
            <c:dLbl>
              <c:idx val="1"/>
              <c:layout>
                <c:manualLayout>
                  <c:x val="-2.6822867168169003E-2"/>
                  <c:y val="0.100666452036038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08B4-4C59-9963-E1CE4C6FEB70}"/>
                </c:ext>
              </c:extLst>
            </c:dLbl>
            <c:dLbl>
              <c:idx val="2"/>
              <c:layout>
                <c:manualLayout>
                  <c:x val="-8.7700874010652297E-2"/>
                  <c:y val="4.903631645969595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08B4-4C59-9963-E1CE4C6FEB70}"/>
                </c:ext>
              </c:extLst>
            </c:dLbl>
            <c:dLbl>
              <c:idx val="3"/>
              <c:layout>
                <c:manualLayout>
                  <c:x val="6.1834616137481799E-2"/>
                  <c:y val="-6.097255201401721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08B4-4C59-9963-E1CE4C6FEB70}"/>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'TAMUSA Chrts'!$C$9:$C$12</c:f>
              <c:strCache>
                <c:ptCount val="4"/>
                <c:pt idx="0">
                  <c:v>State of Texas</c:v>
                </c:pt>
                <c:pt idx="1">
                  <c:v>Student &amp; Parent</c:v>
                </c:pt>
                <c:pt idx="2">
                  <c:v>Federal Government</c:v>
                </c:pt>
                <c:pt idx="3">
                  <c:v>Institutional Resources</c:v>
                </c:pt>
              </c:strCache>
            </c:strRef>
          </c:cat>
          <c:val>
            <c:numRef>
              <c:f>'TAMUSA Chrts'!$D$9:$D$12</c:f>
              <c:numCache>
                <c:formatCode>"$"#,##0</c:formatCode>
                <c:ptCount val="4"/>
                <c:pt idx="0">
                  <c:v>38086689</c:v>
                </c:pt>
                <c:pt idx="1">
                  <c:v>29496374</c:v>
                </c:pt>
                <c:pt idx="2">
                  <c:v>35360842</c:v>
                </c:pt>
                <c:pt idx="3">
                  <c:v>9783603</c:v>
                </c:pt>
              </c:numCache>
            </c:numRef>
          </c:val>
          <c:extLst>
            <c:ext xmlns:c16="http://schemas.microsoft.com/office/drawing/2014/chart" uri="{C3380CC4-5D6E-409C-BE32-E72D297353CC}">
              <c16:uniqueId val="{00000007-08B4-4C59-9963-E1CE4C6FEB70}"/>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733"/>
          <c:y val="4.2735042735042736E-2"/>
        </c:manualLayout>
      </c:layout>
      <c:overlay val="0"/>
      <c:spPr>
        <a:noFill/>
        <a:ln w="25400">
          <a:noFill/>
        </a:ln>
      </c:spPr>
    </c:title>
    <c:autoTitleDeleted val="0"/>
    <c:plotArea>
      <c:layout>
        <c:manualLayout>
          <c:layoutTarget val="inner"/>
          <c:xMode val="edge"/>
          <c:yMode val="edge"/>
          <c:x val="0.38407086725150158"/>
          <c:y val="0.31412095086719438"/>
          <c:w val="0.22122766596444288"/>
          <c:h val="0.35069113643680244"/>
        </c:manualLayout>
      </c:layout>
      <c:pieChart>
        <c:varyColors val="1"/>
        <c:ser>
          <c:idx val="0"/>
          <c:order val="0"/>
          <c:tx>
            <c:strRef>
              <c:f>'TAMUSA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9881-45B3-90B0-D37F4531594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9881-45B3-90B0-D37F4531594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9881-45B3-90B0-D37F4531594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9881-45B3-90B0-D37F4531594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9881-45B3-90B0-D37F4531594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9881-45B3-90B0-D37F4531594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9881-45B3-90B0-D37F45315943}"/>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9881-45B3-90B0-D37F45315943}"/>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9881-45B3-90B0-D37F45315943}"/>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9881-45B3-90B0-D37F45315943}"/>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9881-45B3-90B0-D37F45315943}"/>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9881-45B3-90B0-D37F45315943}"/>
              </c:ext>
            </c:extLst>
          </c:dPt>
          <c:dLbls>
            <c:dLbl>
              <c:idx val="0"/>
              <c:layout>
                <c:manualLayout>
                  <c:x val="8.5003162075285466E-2"/>
                  <c:y val="0.1282897549001415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9881-45B3-90B0-D37F45315943}"/>
                </c:ext>
              </c:extLst>
            </c:dLbl>
            <c:dLbl>
              <c:idx val="1"/>
              <c:layout>
                <c:manualLayout>
                  <c:x val="7.2755519643193517E-2"/>
                  <c:y val="8.251508426439166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9881-45B3-90B0-D37F45315943}"/>
                </c:ext>
              </c:extLst>
            </c:dLbl>
            <c:dLbl>
              <c:idx val="2"/>
              <c:delete val="1"/>
              <c:extLst>
                <c:ext xmlns:c15="http://schemas.microsoft.com/office/drawing/2012/chart" uri="{CE6537A1-D6FC-4f65-9D91-7224C49458BB}"/>
                <c:ext xmlns:c16="http://schemas.microsoft.com/office/drawing/2014/chart" uri="{C3380CC4-5D6E-409C-BE32-E72D297353CC}">
                  <c16:uniqueId val="{00000003-9881-45B3-90B0-D37F45315943}"/>
                </c:ext>
              </c:extLst>
            </c:dLbl>
            <c:dLbl>
              <c:idx val="3"/>
              <c:delete val="1"/>
              <c:extLst>
                <c:ext xmlns:c15="http://schemas.microsoft.com/office/drawing/2012/chart" uri="{CE6537A1-D6FC-4f65-9D91-7224C49458BB}"/>
                <c:ext xmlns:c16="http://schemas.microsoft.com/office/drawing/2014/chart" uri="{C3380CC4-5D6E-409C-BE32-E72D297353CC}">
                  <c16:uniqueId val="{00000005-9881-45B3-90B0-D37F45315943}"/>
                </c:ext>
              </c:extLst>
            </c:dLbl>
            <c:dLbl>
              <c:idx val="4"/>
              <c:delete val="1"/>
              <c:extLst>
                <c:ext xmlns:c15="http://schemas.microsoft.com/office/drawing/2012/chart" uri="{CE6537A1-D6FC-4f65-9D91-7224C49458BB}"/>
                <c:ext xmlns:c16="http://schemas.microsoft.com/office/drawing/2014/chart" uri="{C3380CC4-5D6E-409C-BE32-E72D297353CC}">
                  <c16:uniqueId val="{00000007-9881-45B3-90B0-D37F45315943}"/>
                </c:ext>
              </c:extLst>
            </c:dLbl>
            <c:dLbl>
              <c:idx val="5"/>
              <c:layout>
                <c:manualLayout>
                  <c:x val="-1.7511120193170616E-2"/>
                  <c:y val="0.1012119246182677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9881-45B3-90B0-D37F45315943}"/>
                </c:ext>
              </c:extLst>
            </c:dLbl>
            <c:dLbl>
              <c:idx val="6"/>
              <c:layout>
                <c:manualLayout>
                  <c:x val="-6.1587831544137155E-2"/>
                  <c:y val="0.2210361014198642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9881-45B3-90B0-D37F45315943}"/>
                </c:ext>
              </c:extLst>
            </c:dLbl>
            <c:dLbl>
              <c:idx val="7"/>
              <c:layout>
                <c:manualLayout>
                  <c:x val="-0.13478011549443356"/>
                  <c:y val="8.064452880557750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9881-45B3-90B0-D37F45315943}"/>
                </c:ext>
              </c:extLst>
            </c:dLbl>
            <c:dLbl>
              <c:idx val="8"/>
              <c:delete val="1"/>
              <c:extLst>
                <c:ext xmlns:c15="http://schemas.microsoft.com/office/drawing/2012/chart" uri="{CE6537A1-D6FC-4f65-9D91-7224C49458BB}"/>
                <c:ext xmlns:c16="http://schemas.microsoft.com/office/drawing/2014/chart" uri="{C3380CC4-5D6E-409C-BE32-E72D297353CC}">
                  <c16:uniqueId val="{0000000F-9881-45B3-90B0-D37F45315943}"/>
                </c:ext>
              </c:extLst>
            </c:dLbl>
            <c:dLbl>
              <c:idx val="9"/>
              <c:layout>
                <c:manualLayout>
                  <c:x val="-8.624596966543821E-2"/>
                  <c:y val="-8.956384806762605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9881-45B3-90B0-D37F45315943}"/>
                </c:ext>
              </c:extLst>
            </c:dLbl>
            <c:dLbl>
              <c:idx val="10"/>
              <c:layout>
                <c:manualLayout>
                  <c:x val="5.891412699548406E-2"/>
                  <c:y val="-9.536362170787875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9881-45B3-90B0-D37F45315943}"/>
                </c:ext>
              </c:extLst>
            </c:dLbl>
            <c:dLbl>
              <c:idx val="11"/>
              <c:layout>
                <c:manualLayout>
                  <c:x val="0.23902614319347573"/>
                  <c:y val="-6.404616621019605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9881-45B3-90B0-D37F45315943}"/>
                </c:ext>
              </c:extLst>
            </c:dLbl>
            <c:dLbl>
              <c:idx val="12"/>
              <c:layout>
                <c:manualLayout>
                  <c:x val="0.27429630238040803"/>
                  <c:y val="6.793256444739663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9881-45B3-90B0-D37F45315943}"/>
                </c:ext>
              </c:extLst>
            </c:dLbl>
            <c:spPr>
              <a:noFill/>
              <a:ln>
                <a:noFill/>
              </a:ln>
              <a:effectLst/>
            </c:sp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'TAMUSA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'TAMUSA Chrts'!$D$54:$D$66</c:f>
              <c:numCache>
                <c:formatCode>"$"#,##0</c:formatCode>
                <c:ptCount val="13"/>
                <c:pt idx="0">
                  <c:v>35219375</c:v>
                </c:pt>
                <c:pt idx="1">
                  <c:v>2867314</c:v>
                </c:pt>
                <c:pt idx="3">
                  <c:v>0</c:v>
                </c:pt>
                <c:pt idx="4">
                  <c:v>0</c:v>
                </c:pt>
                <c:pt idx="5">
                  <c:v>29496374</c:v>
                </c:pt>
                <c:pt idx="6">
                  <c:v>35360842</c:v>
                </c:pt>
                <c:pt idx="7">
                  <c:v>2456687</c:v>
                </c:pt>
                <c:pt idx="8">
                  <c:v>0</c:v>
                </c:pt>
                <c:pt idx="9">
                  <c:v>4412454</c:v>
                </c:pt>
                <c:pt idx="10">
                  <c:v>287007</c:v>
                </c:pt>
                <c:pt idx="11">
                  <c:v>1761631</c:v>
                </c:pt>
                <c:pt idx="12">
                  <c:v>865824</c:v>
                </c:pt>
              </c:numCache>
            </c:numRef>
          </c:val>
          <c:extLst>
            <c:ext xmlns:c16="http://schemas.microsoft.com/office/drawing/2014/chart" uri="{C3380CC4-5D6E-409C-BE32-E72D297353CC}">
              <c16:uniqueId val="{00000019-9881-45B3-90B0-D37F45315943}"/>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383"/>
          <c:y val="3.3873343151695517E-2"/>
        </c:manualLayout>
      </c:layout>
      <c:overlay val="0"/>
      <c:spPr>
        <a:noFill/>
        <a:ln w="25400">
          <a:noFill/>
        </a:ln>
      </c:spPr>
    </c:title>
    <c:autoTitleDeleted val="0"/>
    <c:plotArea>
      <c:layout>
        <c:manualLayout>
          <c:layoutTarget val="inner"/>
          <c:xMode val="edge"/>
          <c:yMode val="edge"/>
          <c:x val="0.38319839766866265"/>
          <c:y val="0.29675538134451795"/>
          <c:w val="0.22760699216395419"/>
          <c:h val="0.37242892698670166"/>
        </c:manualLayout>
      </c:layout>
      <c:pieChart>
        <c:varyColors val="1"/>
        <c:ser>
          <c:idx val="0"/>
          <c:order val="0"/>
          <c:tx>
            <c:strRef>
              <c:f>'TAMUSA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750E-4823-8BE6-C2F441D1CBA1}"/>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750E-4823-8BE6-C2F441D1CBA1}"/>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750E-4823-8BE6-C2F441D1CBA1}"/>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750E-4823-8BE6-C2F441D1CBA1}"/>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750E-4823-8BE6-C2F441D1CBA1}"/>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750E-4823-8BE6-C2F441D1CBA1}"/>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750E-4823-8BE6-C2F441D1CBA1}"/>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750E-4823-8BE6-C2F441D1CBA1}"/>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750E-4823-8BE6-C2F441D1CBA1}"/>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750E-4823-8BE6-C2F441D1CBA1}"/>
              </c:ext>
            </c:extLst>
          </c:dPt>
          <c:dLbls>
            <c:dLbl>
              <c:idx val="0"/>
              <c:layout>
                <c:manualLayout>
                  <c:x val="-0.12709283684797379"/>
                  <c:y val="2.461492151183387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750E-4823-8BE6-C2F441D1CBA1}"/>
                </c:ext>
              </c:extLst>
            </c:dLbl>
            <c:dLbl>
              <c:idx val="1"/>
              <c:layout>
                <c:manualLayout>
                  <c:x val="-0.12360552763462875"/>
                  <c:y val="0.120828956440552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750E-4823-8BE6-C2F441D1CBA1}"/>
                </c:ext>
              </c:extLst>
            </c:dLbl>
            <c:dLbl>
              <c:idx val="2"/>
              <c:layout>
                <c:manualLayout>
                  <c:x val="-0.10200048638587413"/>
                  <c:y val="-7.789064806799823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750E-4823-8BE6-C2F441D1CBA1}"/>
                </c:ext>
              </c:extLst>
            </c:dLbl>
            <c:dLbl>
              <c:idx val="3"/>
              <c:layout>
                <c:manualLayout>
                  <c:x val="2.4586021443889258E-2"/>
                  <c:y val="-0.1255574762195513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750E-4823-8BE6-C2F441D1CBA1}"/>
                </c:ext>
              </c:extLst>
            </c:dLbl>
            <c:dLbl>
              <c:idx val="4"/>
              <c:layout>
                <c:manualLayout>
                  <c:x val="0.11761180944146248"/>
                  <c:y val="-3.205539713399790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750E-4823-8BE6-C2F441D1CBA1}"/>
                </c:ext>
              </c:extLst>
            </c:dLbl>
            <c:dLbl>
              <c:idx val="5"/>
              <c:layout>
                <c:manualLayout>
                  <c:x val="7.9938203927043039E-2"/>
                  <c:y val="-3.367153513235444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750E-4823-8BE6-C2F441D1CBA1}"/>
                </c:ext>
              </c:extLst>
            </c:dLbl>
            <c:dLbl>
              <c:idx val="6"/>
              <c:layout>
                <c:manualLayout>
                  <c:x val="8.402443573898366E-2"/>
                  <c:y val="-3.072007917781574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750E-4823-8BE6-C2F441D1CBA1}"/>
                </c:ext>
              </c:extLst>
            </c:dLbl>
            <c:dLbl>
              <c:idx val="7"/>
              <c:layout>
                <c:manualLayout>
                  <c:x val="0.14737879506926083"/>
                  <c:y val="-1.521364698989634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750E-4823-8BE6-C2F441D1CBA1}"/>
                </c:ext>
              </c:extLst>
            </c:dLbl>
            <c:dLbl>
              <c:idx val="8"/>
              <c:layout>
                <c:manualLayout>
                  <c:x val="0.11024295947940643"/>
                  <c:y val="0.127427729041511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750E-4823-8BE6-C2F441D1CBA1}"/>
                </c:ext>
              </c:extLst>
            </c:dLbl>
            <c:dLbl>
              <c:idx val="9"/>
              <c:layout>
                <c:manualLayout>
                  <c:x val="-8.322330735400138E-2"/>
                  <c:y val="0.1386065319523398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750E-4823-8BE6-C2F441D1CBA1}"/>
                </c:ext>
              </c:extLst>
            </c:dLbl>
            <c:dLbl>
              <c:idx val="10"/>
              <c:layout>
                <c:manualLayout>
                  <c:x val="-0.25431223232118255"/>
                  <c:y val="9.625767706864392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750E-4823-8BE6-C2F441D1CBA1}"/>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'TAMUSA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'TAMUSA Chrts'!$D$102:$D$112</c:f>
              <c:numCache>
                <c:formatCode>"$"#,##0</c:formatCode>
                <c:ptCount val="11"/>
                <c:pt idx="0">
                  <c:v>29356283</c:v>
                </c:pt>
                <c:pt idx="1">
                  <c:v>1276831</c:v>
                </c:pt>
                <c:pt idx="2">
                  <c:v>191445</c:v>
                </c:pt>
                <c:pt idx="3">
                  <c:v>6193436</c:v>
                </c:pt>
                <c:pt idx="4">
                  <c:v>18150997</c:v>
                </c:pt>
                <c:pt idx="5">
                  <c:v>13732086</c:v>
                </c:pt>
                <c:pt idx="6">
                  <c:v>7130079</c:v>
                </c:pt>
                <c:pt idx="7">
                  <c:v>21763866</c:v>
                </c:pt>
                <c:pt idx="8">
                  <c:v>2909149</c:v>
                </c:pt>
                <c:pt idx="9">
                  <c:v>342217</c:v>
                </c:pt>
                <c:pt idx="10">
                  <c:v>284587</c:v>
                </c:pt>
              </c:numCache>
            </c:numRef>
          </c:val>
          <c:extLst>
            <c:ext xmlns:c16="http://schemas.microsoft.com/office/drawing/2014/chart" uri="{C3380CC4-5D6E-409C-BE32-E72D297353CC}">
              <c16:uniqueId val="{00000015-750E-4823-8BE6-C2F441D1CBA1}"/>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9621847721526043"/>
          <c:y val="0.30622669183192236"/>
          <c:w val="0.21934048289214222"/>
          <c:h val="0.34537169795967976"/>
        </c:manualLayout>
      </c:layout>
      <c:pieChart>
        <c:varyColors val="1"/>
        <c:ser>
          <c:idx val="0"/>
          <c:order val="0"/>
          <c:tx>
            <c:strRef>
              <c:f>'UH1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8F93-4B14-8D22-BE93D6877D6B}"/>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8F93-4B14-8D22-BE93D6877D6B}"/>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8F93-4B14-8D22-BE93D6877D6B}"/>
              </c:ext>
            </c:extLst>
          </c:dPt>
          <c:dLbls>
            <c:dLbl>
              <c:idx val="0"/>
              <c:layout>
                <c:manualLayout>
                  <c:x val="9.5239723993776795E-2"/>
                  <c:y val="8.4109873328035746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8F93-4B14-8D22-BE93D6877D6B}"/>
                </c:ext>
              </c:extLst>
            </c:dLbl>
            <c:dLbl>
              <c:idx val="1"/>
              <c:layout>
                <c:manualLayout>
                  <c:x val="-4.3306944098051123E-2"/>
                  <c:y val="0.1263423889106977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8F93-4B14-8D22-BE93D6877D6B}"/>
                </c:ext>
              </c:extLst>
            </c:dLbl>
            <c:dLbl>
              <c:idx val="2"/>
              <c:layout>
                <c:manualLayout>
                  <c:x val="-0.12923799004762793"/>
                  <c:y val="3.580287214078500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8F93-4B14-8D22-BE93D6877D6B}"/>
                </c:ext>
              </c:extLst>
            </c:dLbl>
            <c:dLbl>
              <c:idx val="3"/>
              <c:layout>
                <c:manualLayout>
                  <c:x val="-4.3156494578449334E-2"/>
                  <c:y val="-3.871579473971448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8F93-4B14-8D22-BE93D6877D6B}"/>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'UH1 Chrts'!$C$9:$C$12</c:f>
              <c:strCache>
                <c:ptCount val="4"/>
                <c:pt idx="0">
                  <c:v>State of Texas</c:v>
                </c:pt>
                <c:pt idx="1">
                  <c:v>Student &amp; Parent</c:v>
                </c:pt>
                <c:pt idx="2">
                  <c:v>Federal Government</c:v>
                </c:pt>
                <c:pt idx="3">
                  <c:v>Institutional Resources</c:v>
                </c:pt>
              </c:strCache>
            </c:strRef>
          </c:cat>
          <c:val>
            <c:numRef>
              <c:f>'UH1 Chrts'!$D$9:$D$12</c:f>
              <c:numCache>
                <c:formatCode>"$"#,##0</c:formatCode>
                <c:ptCount val="4"/>
                <c:pt idx="0">
                  <c:v>303577526</c:v>
                </c:pt>
                <c:pt idx="1">
                  <c:v>400572093</c:v>
                </c:pt>
                <c:pt idx="2">
                  <c:v>263368751</c:v>
                </c:pt>
                <c:pt idx="3">
                  <c:v>424179556</c:v>
                </c:pt>
              </c:numCache>
            </c:numRef>
          </c:val>
          <c:extLst>
            <c:ext xmlns:c16="http://schemas.microsoft.com/office/drawing/2014/chart" uri="{C3380CC4-5D6E-409C-BE32-E72D297353CC}">
              <c16:uniqueId val="{00000007-8F93-4B14-8D22-BE93D6877D6B}"/>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30175811167"/>
          <c:y val="2.5562004255851568E-2"/>
        </c:manualLayout>
      </c:layout>
      <c:overlay val="0"/>
      <c:spPr>
        <a:noFill/>
        <a:ln w="25400">
          <a:noFill/>
        </a:ln>
      </c:spPr>
    </c:title>
    <c:autoTitleDeleted val="0"/>
    <c:plotArea>
      <c:layout>
        <c:manualLayout>
          <c:layoutTarget val="inner"/>
          <c:xMode val="edge"/>
          <c:yMode val="edge"/>
          <c:x val="0.39249679336171711"/>
          <c:y val="0.31602906768062283"/>
          <c:w val="0.22363507342450567"/>
          <c:h val="0.35450737006363042"/>
        </c:manualLayout>
      </c:layout>
      <c:pieChart>
        <c:varyColors val="1"/>
        <c:ser>
          <c:idx val="0"/>
          <c:order val="0"/>
          <c:tx>
            <c:strRef>
              <c:f>'UH1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5D20-40C0-AF43-B910608482D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5D20-40C0-AF43-B910608482D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5D20-40C0-AF43-B910608482D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5D20-40C0-AF43-B910608482D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5D20-40C0-AF43-B910608482D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5D20-40C0-AF43-B910608482D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5D20-40C0-AF43-B910608482D3}"/>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5D20-40C0-AF43-B910608482D3}"/>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5D20-40C0-AF43-B910608482D3}"/>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5D20-40C0-AF43-B910608482D3}"/>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5D20-40C0-AF43-B910608482D3}"/>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5D20-40C0-AF43-B910608482D3}"/>
              </c:ext>
            </c:extLst>
          </c:dPt>
          <c:dLbls>
            <c:dLbl>
              <c:idx val="0"/>
              <c:layout>
                <c:manualLayout>
                  <c:x val="0.12429625984763627"/>
                  <c:y val="4.732009500919276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5D20-40C0-AF43-B910608482D3}"/>
                </c:ext>
              </c:extLst>
            </c:dLbl>
            <c:dLbl>
              <c:idx val="1"/>
              <c:layout>
                <c:manualLayout>
                  <c:x val="0.13404080140437541"/>
                  <c:y val="0.1130874727323346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5D20-40C0-AF43-B910608482D3}"/>
                </c:ext>
              </c:extLst>
            </c:dLbl>
            <c:dLbl>
              <c:idx val="2"/>
              <c:delete val="1"/>
              <c:extLst>
                <c:ext xmlns:c15="http://schemas.microsoft.com/office/drawing/2012/chart" uri="{CE6537A1-D6FC-4f65-9D91-7224C49458BB}"/>
                <c:ext xmlns:c16="http://schemas.microsoft.com/office/drawing/2014/chart" uri="{C3380CC4-5D6E-409C-BE32-E72D297353CC}">
                  <c16:uniqueId val="{00000003-5D20-40C0-AF43-B910608482D3}"/>
                </c:ext>
              </c:extLst>
            </c:dLbl>
            <c:dLbl>
              <c:idx val="3"/>
              <c:layout>
                <c:manualLayout>
                  <c:x val="7.3990954886245158E-2"/>
                  <c:y val="0.2489141388000228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5D20-40C0-AF43-B910608482D3}"/>
                </c:ext>
              </c:extLst>
            </c:dLbl>
            <c:dLbl>
              <c:idx val="4"/>
              <c:delete val="1"/>
              <c:extLst>
                <c:ext xmlns:c15="http://schemas.microsoft.com/office/drawing/2012/chart" uri="{CE6537A1-D6FC-4f65-9D91-7224C49458BB}"/>
                <c:ext xmlns:c16="http://schemas.microsoft.com/office/drawing/2014/chart" uri="{C3380CC4-5D6E-409C-BE32-E72D297353CC}">
                  <c16:uniqueId val="{00000007-5D20-40C0-AF43-B910608482D3}"/>
                </c:ext>
              </c:extLst>
            </c:dLbl>
            <c:dLbl>
              <c:idx val="5"/>
              <c:layout>
                <c:manualLayout>
                  <c:x val="-3.5159573980416213E-2"/>
                  <c:y val="0.153632701335997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5D20-40C0-AF43-B910608482D3}"/>
                </c:ext>
              </c:extLst>
            </c:dLbl>
            <c:dLbl>
              <c:idx val="6"/>
              <c:layout>
                <c:manualLayout>
                  <c:x val="5.4623420982663927E-3"/>
                  <c:y val="0.1436364229150105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5D20-40C0-AF43-B910608482D3}"/>
                </c:ext>
              </c:extLst>
            </c:dLbl>
            <c:dLbl>
              <c:idx val="7"/>
              <c:layout>
                <c:manualLayout>
                  <c:x val="-0.1066400556442075"/>
                  <c:y val="0.1084941698016624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5D20-40C0-AF43-B910608482D3}"/>
                </c:ext>
              </c:extLst>
            </c:dLbl>
            <c:dLbl>
              <c:idx val="8"/>
              <c:layout>
                <c:manualLayout>
                  <c:x val="-0.13710750876387762"/>
                  <c:y val="-2.629309846168223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5D20-40C0-AF43-B910608482D3}"/>
                </c:ext>
              </c:extLst>
            </c:dLbl>
            <c:dLbl>
              <c:idx val="9"/>
              <c:layout>
                <c:manualLayout>
                  <c:x val="-0.10809392029944584"/>
                  <c:y val="-0.1054356238197283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5D20-40C0-AF43-B910608482D3}"/>
                </c:ext>
              </c:extLst>
            </c:dLbl>
            <c:dLbl>
              <c:idx val="10"/>
              <c:layout>
                <c:manualLayout>
                  <c:x val="-3.3541060239920747E-2"/>
                  <c:y val="-0.1547081580407516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5D20-40C0-AF43-B910608482D3}"/>
                </c:ext>
              </c:extLst>
            </c:dLbl>
            <c:dLbl>
              <c:idx val="11"/>
              <c:layout>
                <c:manualLayout>
                  <c:x val="9.0653404507358412E-2"/>
                  <c:y val="-8.471077080857729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5D20-40C0-AF43-B910608482D3}"/>
                </c:ext>
              </c:extLst>
            </c:dLbl>
            <c:dLbl>
              <c:idx val="12"/>
              <c:layout>
                <c:manualLayout>
                  <c:x val="0.24807900736450217"/>
                  <c:y val="-8.101879014275868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5D20-40C0-AF43-B910608482D3}"/>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'UH1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'UH1 Chrts'!$D$54:$D$66</c:f>
              <c:numCache>
                <c:formatCode>"$"#,##0</c:formatCode>
                <c:ptCount val="13"/>
                <c:pt idx="0">
                  <c:v>204365435</c:v>
                </c:pt>
                <c:pt idx="1">
                  <c:v>44698087</c:v>
                </c:pt>
                <c:pt idx="3">
                  <c:v>54514004</c:v>
                </c:pt>
                <c:pt idx="4">
                  <c:v>0</c:v>
                </c:pt>
                <c:pt idx="5">
                  <c:v>400572093</c:v>
                </c:pt>
                <c:pt idx="6">
                  <c:v>263368751</c:v>
                </c:pt>
                <c:pt idx="7">
                  <c:v>90328702</c:v>
                </c:pt>
                <c:pt idx="8">
                  <c:v>11634678</c:v>
                </c:pt>
                <c:pt idx="9">
                  <c:v>73373813</c:v>
                </c:pt>
                <c:pt idx="10">
                  <c:v>91229161</c:v>
                </c:pt>
                <c:pt idx="11">
                  <c:v>47444235</c:v>
                </c:pt>
                <c:pt idx="12">
                  <c:v>110168967</c:v>
                </c:pt>
              </c:numCache>
            </c:numRef>
          </c:val>
          <c:extLst>
            <c:ext xmlns:c16="http://schemas.microsoft.com/office/drawing/2014/chart" uri="{C3380CC4-5D6E-409C-BE32-E72D297353CC}">
              <c16:uniqueId val="{00000019-5D20-40C0-AF43-B910608482D3}"/>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189"/>
          <c:y val="3.3873343151695233E-2"/>
        </c:manualLayout>
      </c:layout>
      <c:overlay val="0"/>
      <c:spPr>
        <a:noFill/>
        <a:ln w="25400">
          <a:noFill/>
        </a:ln>
      </c:spPr>
    </c:title>
    <c:autoTitleDeleted val="0"/>
    <c:plotArea>
      <c:layout>
        <c:manualLayout>
          <c:layoutTarget val="inner"/>
          <c:xMode val="edge"/>
          <c:yMode val="edge"/>
          <c:x val="0.39043167072471596"/>
          <c:y val="0.31450887892333262"/>
          <c:w val="0.22399035563593073"/>
          <c:h val="0.3665110944604118"/>
        </c:manualLayout>
      </c:layout>
      <c:pieChart>
        <c:varyColors val="1"/>
        <c:ser>
          <c:idx val="0"/>
          <c:order val="0"/>
          <c:tx>
            <c:strRef>
              <c:f>'UH1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30D0-498E-9E6A-8412FB6CA878}"/>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30D0-498E-9E6A-8412FB6CA878}"/>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30D0-498E-9E6A-8412FB6CA878}"/>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30D0-498E-9E6A-8412FB6CA878}"/>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30D0-498E-9E6A-8412FB6CA878}"/>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30D0-498E-9E6A-8412FB6CA878}"/>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30D0-498E-9E6A-8412FB6CA878}"/>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30D0-498E-9E6A-8412FB6CA878}"/>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30D0-498E-9E6A-8412FB6CA878}"/>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30D0-498E-9E6A-8412FB6CA878}"/>
              </c:ext>
            </c:extLst>
          </c:dPt>
          <c:dLbls>
            <c:dLbl>
              <c:idx val="0"/>
              <c:layout>
                <c:manualLayout>
                  <c:x val="-8.8002733835485694E-2"/>
                  <c:y val="5.045270642207540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30D0-498E-9E6A-8412FB6CA878}"/>
                </c:ext>
              </c:extLst>
            </c:dLbl>
            <c:dLbl>
              <c:idx val="1"/>
              <c:layout>
                <c:manualLayout>
                  <c:x val="-0.11523714598966329"/>
                  <c:y val="4.941902727608240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30D0-498E-9E6A-8412FB6CA878}"/>
                </c:ext>
              </c:extLst>
            </c:dLbl>
            <c:dLbl>
              <c:idx val="2"/>
              <c:layout>
                <c:manualLayout>
                  <c:x val="-0.10279629603261908"/>
                  <c:y val="-3.211534709874065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30D0-498E-9E6A-8412FB6CA878}"/>
                </c:ext>
              </c:extLst>
            </c:dLbl>
            <c:dLbl>
              <c:idx val="3"/>
              <c:layout>
                <c:manualLayout>
                  <c:x val="-7.0130396971591083E-2"/>
                  <c:y val="-8.897514184545327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30D0-498E-9E6A-8412FB6CA878}"/>
                </c:ext>
              </c:extLst>
            </c:dLbl>
            <c:dLbl>
              <c:idx val="4"/>
              <c:layout>
                <c:manualLayout>
                  <c:x val="-6.0938025309267688E-2"/>
                  <c:y val="-9.261687486253854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30D0-498E-9E6A-8412FB6CA878}"/>
                </c:ext>
              </c:extLst>
            </c:dLbl>
            <c:dLbl>
              <c:idx val="5"/>
              <c:layout>
                <c:manualLayout>
                  <c:x val="0.11175372353150197"/>
                  <c:y val="-9.328694125409589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30D0-498E-9E6A-8412FB6CA878}"/>
                </c:ext>
              </c:extLst>
            </c:dLbl>
            <c:dLbl>
              <c:idx val="6"/>
              <c:layout>
                <c:manualLayout>
                  <c:x val="0.14050871274377294"/>
                  <c:y val="6.5545043248328144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30D0-498E-9E6A-8412FB6CA878}"/>
                </c:ext>
              </c:extLst>
            </c:dLbl>
            <c:dLbl>
              <c:idx val="7"/>
              <c:layout>
                <c:manualLayout>
                  <c:x val="0.1565315639952336"/>
                  <c:y val="9.62607685913135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30D0-498E-9E6A-8412FB6CA878}"/>
                </c:ext>
              </c:extLst>
            </c:dLbl>
            <c:dLbl>
              <c:idx val="8"/>
              <c:layout>
                <c:manualLayout>
                  <c:x val="0.11366930505326199"/>
                  <c:y val="9.998822646442272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30D0-498E-9E6A-8412FB6CA878}"/>
                </c:ext>
              </c:extLst>
            </c:dLbl>
            <c:dLbl>
              <c:idx val="9"/>
              <c:layout>
                <c:manualLayout>
                  <c:x val="7.900887677849612E-2"/>
                  <c:y val="0.1521456103661787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30D0-498E-9E6A-8412FB6CA878}"/>
                </c:ext>
              </c:extLst>
            </c:dLbl>
            <c:dLbl>
              <c:idx val="10"/>
              <c:layout>
                <c:manualLayout>
                  <c:x val="-0.10859013596971018"/>
                  <c:y val="0.1399491283855909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30D0-498E-9E6A-8412FB6CA878}"/>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'UH1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'UH1 Chrts'!$D$102:$D$112</c:f>
              <c:numCache>
                <c:formatCode>"$"#,##0</c:formatCode>
                <c:ptCount val="11"/>
                <c:pt idx="0">
                  <c:v>255068753</c:v>
                </c:pt>
                <c:pt idx="1">
                  <c:v>168699978</c:v>
                </c:pt>
                <c:pt idx="2">
                  <c:v>35946861</c:v>
                </c:pt>
                <c:pt idx="3">
                  <c:v>179930717</c:v>
                </c:pt>
                <c:pt idx="4">
                  <c:v>38192008</c:v>
                </c:pt>
                <c:pt idx="5">
                  <c:v>85318060</c:v>
                </c:pt>
                <c:pt idx="6">
                  <c:v>59357962</c:v>
                </c:pt>
                <c:pt idx="7">
                  <c:v>78002862</c:v>
                </c:pt>
                <c:pt idx="8">
                  <c:v>134076794</c:v>
                </c:pt>
                <c:pt idx="9">
                  <c:v>13333740</c:v>
                </c:pt>
                <c:pt idx="10">
                  <c:v>144285294</c:v>
                </c:pt>
              </c:numCache>
            </c:numRef>
          </c:val>
          <c:extLst>
            <c:ext xmlns:c16="http://schemas.microsoft.com/office/drawing/2014/chart" uri="{C3380CC4-5D6E-409C-BE32-E72D297353CC}">
              <c16:uniqueId val="{00000015-30D0-498E-9E6A-8412FB6CA878}"/>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8656538520921357"/>
          <c:y val="0.33852600820544326"/>
          <c:w val="0.22175375589363547"/>
          <c:h val="0.34917161753300846"/>
        </c:manualLayout>
      </c:layout>
      <c:pieChart>
        <c:varyColors val="1"/>
        <c:ser>
          <c:idx val="0"/>
          <c:order val="0"/>
          <c:tx>
            <c:strRef>
              <c:f>'UHCL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281E-4F5E-A192-7FCAD537484A}"/>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281E-4F5E-A192-7FCAD537484A}"/>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281E-4F5E-A192-7FCAD537484A}"/>
              </c:ext>
            </c:extLst>
          </c:dPt>
          <c:dLbls>
            <c:dLbl>
              <c:idx val="0"/>
              <c:layout>
                <c:manualLayout>
                  <c:x val="0.10233873706963102"/>
                  <c:y val="3.022237608073367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281E-4F5E-A192-7FCAD537484A}"/>
                </c:ext>
              </c:extLst>
            </c:dLbl>
            <c:dLbl>
              <c:idx val="1"/>
              <c:layout>
                <c:manualLayout>
                  <c:x val="-2.0694083795420391E-2"/>
                  <c:y val="8.887353628294859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281E-4F5E-A192-7FCAD537484A}"/>
                </c:ext>
              </c:extLst>
            </c:dLbl>
            <c:dLbl>
              <c:idx val="2"/>
              <c:layout>
                <c:manualLayout>
                  <c:x val="-9.9024287122481264E-2"/>
                  <c:y val="-3.277924322357764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281E-4F5E-A192-7FCAD537484A}"/>
                </c:ext>
              </c:extLst>
            </c:dLbl>
            <c:dLbl>
              <c:idx val="3"/>
              <c:layout>
                <c:manualLayout>
                  <c:x val="0.15691615476900664"/>
                  <c:y val="-7.079310006414982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281E-4F5E-A192-7FCAD537484A}"/>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'UHCL Chrts'!$C$9:$C$12</c:f>
              <c:strCache>
                <c:ptCount val="4"/>
                <c:pt idx="0">
                  <c:v>State of Texas</c:v>
                </c:pt>
                <c:pt idx="1">
                  <c:v>Student &amp; Parent</c:v>
                </c:pt>
                <c:pt idx="2">
                  <c:v>Federal Government</c:v>
                </c:pt>
                <c:pt idx="3">
                  <c:v>Institutional Resources</c:v>
                </c:pt>
              </c:strCache>
            </c:strRef>
          </c:cat>
          <c:val>
            <c:numRef>
              <c:f>'UHCL Chrts'!$D$9:$D$12</c:f>
              <c:numCache>
                <c:formatCode>"$"#,##0</c:formatCode>
                <c:ptCount val="4"/>
                <c:pt idx="0">
                  <c:v>47051198</c:v>
                </c:pt>
                <c:pt idx="1">
                  <c:v>57336848</c:v>
                </c:pt>
                <c:pt idx="2">
                  <c:v>37552981</c:v>
                </c:pt>
                <c:pt idx="3">
                  <c:v>15445776</c:v>
                </c:pt>
              </c:numCache>
            </c:numRef>
          </c:val>
          <c:extLst>
            <c:ext xmlns:c16="http://schemas.microsoft.com/office/drawing/2014/chart" uri="{C3380CC4-5D6E-409C-BE32-E72D297353CC}">
              <c16:uniqueId val="{00000007-281E-4F5E-A192-7FCAD537484A}"/>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516"/>
          <c:y val="4.2735042735042736E-2"/>
        </c:manualLayout>
      </c:layout>
      <c:overlay val="0"/>
      <c:spPr>
        <a:noFill/>
        <a:ln w="25400">
          <a:noFill/>
        </a:ln>
      </c:spPr>
    </c:title>
    <c:autoTitleDeleted val="0"/>
    <c:plotArea>
      <c:layout>
        <c:manualLayout>
          <c:layoutTarget val="inner"/>
          <c:xMode val="edge"/>
          <c:yMode val="edge"/>
          <c:x val="0.38647827471155743"/>
          <c:y val="0.34083458625492996"/>
          <c:w val="0.22002396223441137"/>
          <c:h val="0.34878301962340386"/>
        </c:manualLayout>
      </c:layout>
      <c:pieChart>
        <c:varyColors val="1"/>
        <c:ser>
          <c:idx val="0"/>
          <c:order val="0"/>
          <c:tx>
            <c:strRef>
              <c:f>'UHCL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6948-4BBF-8600-771D64FCDD4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6948-4BBF-8600-771D64FCDD45}"/>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6948-4BBF-8600-771D64FCDD45}"/>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6948-4BBF-8600-771D64FCDD45}"/>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6948-4BBF-8600-771D64FCDD45}"/>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6948-4BBF-8600-771D64FCDD45}"/>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6948-4BBF-8600-771D64FCDD45}"/>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6948-4BBF-8600-771D64FCDD45}"/>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6948-4BBF-8600-771D64FCDD45}"/>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6948-4BBF-8600-771D64FCDD45}"/>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6948-4BBF-8600-771D64FCDD45}"/>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6948-4BBF-8600-771D64FCDD45}"/>
              </c:ext>
            </c:extLst>
          </c:dPt>
          <c:dLbls>
            <c:dLbl>
              <c:idx val="0"/>
              <c:layout>
                <c:manualLayout>
                  <c:x val="0.11276477477432348"/>
                  <c:y val="7.431634202888708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6948-4BBF-8600-771D64FCDD45}"/>
                </c:ext>
              </c:extLst>
            </c:dLbl>
            <c:dLbl>
              <c:idx val="1"/>
              <c:layout>
                <c:manualLayout>
                  <c:x val="0.12863706001383535"/>
                  <c:y val="4.875989685351530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6948-4BBF-8600-771D64FCDD45}"/>
                </c:ext>
              </c:extLst>
            </c:dLbl>
            <c:dLbl>
              <c:idx val="2"/>
              <c:delete val="1"/>
              <c:extLst>
                <c:ext xmlns:c15="http://schemas.microsoft.com/office/drawing/2012/chart" uri="{CE6537A1-D6FC-4f65-9D91-7224C49458BB}"/>
                <c:ext xmlns:c16="http://schemas.microsoft.com/office/drawing/2014/chart" uri="{C3380CC4-5D6E-409C-BE32-E72D297353CC}">
                  <c16:uniqueId val="{00000003-6948-4BBF-8600-771D64FCDD45}"/>
                </c:ext>
              </c:extLst>
            </c:dLbl>
            <c:dLbl>
              <c:idx val="3"/>
              <c:layout>
                <c:manualLayout>
                  <c:x val="4.196736942462697E-2"/>
                  <c:y val="0.1601410323693236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6948-4BBF-8600-771D64FCDD45}"/>
                </c:ext>
              </c:extLst>
            </c:dLbl>
            <c:dLbl>
              <c:idx val="4"/>
              <c:delete val="1"/>
              <c:extLst>
                <c:ext xmlns:c15="http://schemas.microsoft.com/office/drawing/2012/chart" uri="{CE6537A1-D6FC-4f65-9D91-7224C49458BB}"/>
                <c:ext xmlns:c16="http://schemas.microsoft.com/office/drawing/2014/chart" uri="{C3380CC4-5D6E-409C-BE32-E72D297353CC}">
                  <c16:uniqueId val="{00000007-6948-4BBF-8600-771D64FCDD45}"/>
                </c:ext>
              </c:extLst>
            </c:dLbl>
            <c:dLbl>
              <c:idx val="5"/>
              <c:layout>
                <c:manualLayout>
                  <c:x val="-3.0099024799157933E-2"/>
                  <c:y val="7.612995447413577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6948-4BBF-8600-771D64FCDD45}"/>
                </c:ext>
              </c:extLst>
            </c:dLbl>
            <c:dLbl>
              <c:idx val="6"/>
              <c:layout>
                <c:manualLayout>
                  <c:x val="-9.0413236122950713E-2"/>
                  <c:y val="0.2360666530744643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6948-4BBF-8600-771D64FCDD45}"/>
                </c:ext>
              </c:extLst>
            </c:dLbl>
            <c:dLbl>
              <c:idx val="7"/>
              <c:layout>
                <c:manualLayout>
                  <c:x val="-0.16251271139141993"/>
                  <c:y val="0.2307321894949304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6948-4BBF-8600-771D64FCDD45}"/>
                </c:ext>
              </c:extLst>
            </c:dLbl>
            <c:dLbl>
              <c:idx val="8"/>
              <c:layout>
                <c:manualLayout>
                  <c:x val="-0.18659845292241256"/>
                  <c:y val="2.013453876234131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6948-4BBF-8600-771D64FCDD45}"/>
                </c:ext>
              </c:extLst>
            </c:dLbl>
            <c:dLbl>
              <c:idx val="9"/>
              <c:layout>
                <c:manualLayout>
                  <c:x val="-9.5233238850719146E-2"/>
                  <c:y val="-0.1287455994995024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6948-4BBF-8600-771D64FCDD45}"/>
                </c:ext>
              </c:extLst>
            </c:dLbl>
            <c:dLbl>
              <c:idx val="10"/>
              <c:layout>
                <c:manualLayout>
                  <c:x val="8.7904180659554743E-2"/>
                  <c:y val="-0.122559394643179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6948-4BBF-8600-771D64FCDD45}"/>
                </c:ext>
              </c:extLst>
            </c:dLbl>
            <c:dLbl>
              <c:idx val="11"/>
              <c:layout>
                <c:manualLayout>
                  <c:x val="0.25846210760091815"/>
                  <c:y val="-9.385786212488789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6948-4BBF-8600-771D64FCDD45}"/>
                </c:ext>
              </c:extLst>
            </c:dLbl>
            <c:dLbl>
              <c:idx val="12"/>
              <c:layout>
                <c:manualLayout>
                  <c:x val="0.3172945716746674"/>
                  <c:y val="2.8808056519922468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6948-4BBF-8600-771D64FCDD45}"/>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'UHCL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'UHCL Chrts'!$D$54:$D$66</c:f>
              <c:numCache>
                <c:formatCode>"$"#,##0</c:formatCode>
                <c:ptCount val="13"/>
                <c:pt idx="0">
                  <c:v>34963937</c:v>
                </c:pt>
                <c:pt idx="1">
                  <c:v>4361218</c:v>
                </c:pt>
                <c:pt idx="3">
                  <c:v>7726043</c:v>
                </c:pt>
                <c:pt idx="4">
                  <c:v>0</c:v>
                </c:pt>
                <c:pt idx="5">
                  <c:v>57336848</c:v>
                </c:pt>
                <c:pt idx="6">
                  <c:v>37552981</c:v>
                </c:pt>
                <c:pt idx="7">
                  <c:v>4102236</c:v>
                </c:pt>
                <c:pt idx="8">
                  <c:v>94576</c:v>
                </c:pt>
                <c:pt idx="9">
                  <c:v>1358094</c:v>
                </c:pt>
                <c:pt idx="10">
                  <c:v>1162537</c:v>
                </c:pt>
                <c:pt idx="11">
                  <c:v>1535903</c:v>
                </c:pt>
                <c:pt idx="12">
                  <c:v>7192430</c:v>
                </c:pt>
              </c:numCache>
            </c:numRef>
          </c:val>
          <c:extLst>
            <c:ext xmlns:c16="http://schemas.microsoft.com/office/drawing/2014/chart" uri="{C3380CC4-5D6E-409C-BE32-E72D297353CC}">
              <c16:uniqueId val="{00000019-6948-4BBF-8600-771D64FCDD45}"/>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311"/>
          <c:y val="3.387334315169542E-2"/>
        </c:manualLayout>
      </c:layout>
      <c:overlay val="0"/>
      <c:spPr>
        <a:noFill/>
        <a:ln w="25400">
          <a:noFill/>
        </a:ln>
      </c:spPr>
    </c:title>
    <c:autoTitleDeleted val="0"/>
    <c:plotArea>
      <c:layout>
        <c:manualLayout>
          <c:layoutTarget val="inner"/>
          <c:xMode val="edge"/>
          <c:yMode val="edge"/>
          <c:x val="0.3928427617434111"/>
          <c:y val="0.30464582471286888"/>
          <c:w val="0.22519590114526841"/>
          <c:h val="0.3684837053025225"/>
        </c:manualLayout>
      </c:layout>
      <c:pieChart>
        <c:varyColors val="1"/>
        <c:ser>
          <c:idx val="0"/>
          <c:order val="0"/>
          <c:tx>
            <c:strRef>
              <c:f>'UHCL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79D6-47BD-976C-E0976612265D}"/>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79D6-47BD-976C-E0976612265D}"/>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79D6-47BD-976C-E0976612265D}"/>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79D6-47BD-976C-E0976612265D}"/>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79D6-47BD-976C-E0976612265D}"/>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79D6-47BD-976C-E0976612265D}"/>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79D6-47BD-976C-E0976612265D}"/>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79D6-47BD-976C-E0976612265D}"/>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79D6-47BD-976C-E0976612265D}"/>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79D6-47BD-976C-E0976612265D}"/>
              </c:ext>
            </c:extLst>
          </c:dPt>
          <c:dLbls>
            <c:dLbl>
              <c:idx val="0"/>
              <c:layout>
                <c:manualLayout>
                  <c:x val="-8.1460646520635865E-2"/>
                  <c:y val="2.530021355457214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79D6-47BD-976C-E0976612265D}"/>
                </c:ext>
              </c:extLst>
            </c:dLbl>
            <c:dLbl>
              <c:idx val="1"/>
              <c:layout>
                <c:manualLayout>
                  <c:x val="-0.10779370840803773"/>
                  <c:y val="0.1259448535584740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79D6-47BD-976C-E0976612265D}"/>
                </c:ext>
              </c:extLst>
            </c:dLbl>
            <c:dLbl>
              <c:idx val="2"/>
              <c:layout>
                <c:manualLayout>
                  <c:x val="-0.10157463867544476"/>
                  <c:y val="-8.296755893408791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79D6-47BD-976C-E0976612265D}"/>
                </c:ext>
              </c:extLst>
            </c:dLbl>
            <c:dLbl>
              <c:idx val="3"/>
              <c:layout>
                <c:manualLayout>
                  <c:x val="-5.2325933404423916E-2"/>
                  <c:y val="-0.1113949047920005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79D6-47BD-976C-E0976612265D}"/>
                </c:ext>
              </c:extLst>
            </c:dLbl>
            <c:dLbl>
              <c:idx val="4"/>
              <c:layout>
                <c:manualLayout>
                  <c:x val="-2.4341207535803239E-2"/>
                  <c:y val="-7.689688695555739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79D6-47BD-976C-E0976612265D}"/>
                </c:ext>
              </c:extLst>
            </c:dLbl>
            <c:dLbl>
              <c:idx val="5"/>
              <c:layout>
                <c:manualLayout>
                  <c:x val="6.4412624808997676E-2"/>
                  <c:y val="-6.939319840569528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79D6-47BD-976C-E0976612265D}"/>
                </c:ext>
              </c:extLst>
            </c:dLbl>
            <c:dLbl>
              <c:idx val="6"/>
              <c:layout>
                <c:manualLayout>
                  <c:x val="9.1064307710704229E-2"/>
                  <c:y val="-3.8313700157202768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79D6-47BD-976C-E0976612265D}"/>
                </c:ext>
              </c:extLst>
            </c:dLbl>
            <c:dLbl>
              <c:idx val="7"/>
              <c:layout>
                <c:manualLayout>
                  <c:x val="0.12914301921034957"/>
                  <c:y val="3.91788532357112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79D6-47BD-976C-E0976612265D}"/>
                </c:ext>
              </c:extLst>
            </c:dLbl>
            <c:dLbl>
              <c:idx val="8"/>
              <c:layout>
                <c:manualLayout>
                  <c:x val="9.576188641804137E-2"/>
                  <c:y val="0.1230081481266329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79D6-47BD-976C-E0976612265D}"/>
                </c:ext>
              </c:extLst>
            </c:dLbl>
            <c:dLbl>
              <c:idx val="9"/>
              <c:layout>
                <c:manualLayout>
                  <c:x val="-3.4308898910861044E-2"/>
                  <c:y val="0.1532473450906133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79D6-47BD-976C-E0976612265D}"/>
                </c:ext>
              </c:extLst>
            </c:dLbl>
            <c:dLbl>
              <c:idx val="10"/>
              <c:layout>
                <c:manualLayout>
                  <c:x val="-0.22948801538462701"/>
                  <c:y val="0.1264457725312189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79D6-47BD-976C-E0976612265D}"/>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'UHCL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'UHCL Chrts'!$D$102:$D$112</c:f>
              <c:numCache>
                <c:formatCode>"$"#,##0</c:formatCode>
                <c:ptCount val="11"/>
                <c:pt idx="0">
                  <c:v>43137652</c:v>
                </c:pt>
                <c:pt idx="1">
                  <c:v>1716255</c:v>
                </c:pt>
                <c:pt idx="2">
                  <c:v>67916</c:v>
                </c:pt>
                <c:pt idx="3">
                  <c:v>30982166</c:v>
                </c:pt>
                <c:pt idx="4">
                  <c:v>8048828</c:v>
                </c:pt>
                <c:pt idx="5">
                  <c:v>17684701</c:v>
                </c:pt>
                <c:pt idx="6">
                  <c:v>9945266</c:v>
                </c:pt>
                <c:pt idx="7">
                  <c:v>18580717</c:v>
                </c:pt>
                <c:pt idx="8">
                  <c:v>6563705</c:v>
                </c:pt>
                <c:pt idx="9">
                  <c:v>2979760</c:v>
                </c:pt>
                <c:pt idx="10">
                  <c:v>11413839</c:v>
                </c:pt>
              </c:numCache>
            </c:numRef>
          </c:val>
          <c:extLst>
            <c:ext xmlns:c16="http://schemas.microsoft.com/office/drawing/2014/chart" uri="{C3380CC4-5D6E-409C-BE32-E72D297353CC}">
              <c16:uniqueId val="{00000015-79D6-47BD-976C-E0976612265D}"/>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9259856771299306"/>
          <c:y val="0.31192657119196943"/>
          <c:w val="0.21692720989062725"/>
          <c:h val="0.34157177838629682"/>
        </c:manualLayout>
      </c:layout>
      <c:pieChart>
        <c:varyColors val="1"/>
        <c:ser>
          <c:idx val="0"/>
          <c:order val="0"/>
          <c:tx>
            <c:strRef>
              <c:f>'AUS1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FB67-46E7-B001-6EA2B5180A6A}"/>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FB67-46E7-B001-6EA2B5180A6A}"/>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FB67-46E7-B001-6EA2B5180A6A}"/>
              </c:ext>
            </c:extLst>
          </c:dPt>
          <c:dLbls>
            <c:dLbl>
              <c:idx val="0"/>
              <c:layout>
                <c:manualLayout>
                  <c:x val="8.8502036792913227E-2"/>
                  <c:y val="-6.68218849037274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FB67-46E7-B001-6EA2B5180A6A}"/>
                </c:ext>
              </c:extLst>
            </c:dLbl>
            <c:dLbl>
              <c:idx val="1"/>
              <c:layout>
                <c:manualLayout>
                  <c:x val="0.11362924430826279"/>
                  <c:y val="0.1193086480185365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FB67-46E7-B001-6EA2B5180A6A}"/>
                </c:ext>
              </c:extLst>
            </c:dLbl>
            <c:dLbl>
              <c:idx val="2"/>
              <c:layout>
                <c:manualLayout>
                  <c:x val="-7.272744801384716E-2"/>
                  <c:y val="0.1143563355131507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FB67-46E7-B001-6EA2B5180A6A}"/>
                </c:ext>
              </c:extLst>
            </c:dLbl>
            <c:dLbl>
              <c:idx val="3"/>
              <c:layout>
                <c:manualLayout>
                  <c:x val="-6.6564245080224696E-2"/>
                  <c:y val="-6.108505356988965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FB67-46E7-B001-6EA2B5180A6A}"/>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'AUS1 Chrts'!$C$9:$C$12</c:f>
              <c:strCache>
                <c:ptCount val="4"/>
                <c:pt idx="0">
                  <c:v>State of Texas</c:v>
                </c:pt>
                <c:pt idx="1">
                  <c:v>Student &amp; Parent</c:v>
                </c:pt>
                <c:pt idx="2">
                  <c:v>Federal Government</c:v>
                </c:pt>
                <c:pt idx="3">
                  <c:v>Institutional Resources</c:v>
                </c:pt>
              </c:strCache>
            </c:strRef>
          </c:cat>
          <c:val>
            <c:numRef>
              <c:f>'AUS1 Chrts'!$D$9:$D$12</c:f>
              <c:numCache>
                <c:formatCode>"$"#,##0</c:formatCode>
                <c:ptCount val="4"/>
                <c:pt idx="0">
                  <c:v>779759446</c:v>
                </c:pt>
                <c:pt idx="1">
                  <c:v>521364736</c:v>
                </c:pt>
                <c:pt idx="2">
                  <c:v>599352881</c:v>
                </c:pt>
                <c:pt idx="3">
                  <c:v>1336140297</c:v>
                </c:pt>
              </c:numCache>
            </c:numRef>
          </c:val>
          <c:extLst>
            <c:ext xmlns:c16="http://schemas.microsoft.com/office/drawing/2014/chart" uri="{C3380CC4-5D6E-409C-BE32-E72D297353CC}">
              <c16:uniqueId val="{00000007-FB67-46E7-B001-6EA2B5180A6A}"/>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8897865821072403"/>
          <c:y val="0.32142637012534947"/>
          <c:w val="0.22416702889514376"/>
          <c:h val="0.35297153710636431"/>
        </c:manualLayout>
      </c:layout>
      <c:pieChart>
        <c:varyColors val="1"/>
        <c:ser>
          <c:idx val="0"/>
          <c:order val="0"/>
          <c:tx>
            <c:strRef>
              <c:f>'UHD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9A23-48CD-941B-228B91CB9AF4}"/>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9A23-48CD-941B-228B91CB9AF4}"/>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9A23-48CD-941B-228B91CB9AF4}"/>
              </c:ext>
            </c:extLst>
          </c:dPt>
          <c:dLbls>
            <c:dLbl>
              <c:idx val="0"/>
              <c:layout>
                <c:manualLayout>
                  <c:x val="9.1155306944100248E-2"/>
                  <c:y val="5.5339096444950893E-2"/>
                </c:manualLayout>
              </c:layout>
              <c:spPr/>
              <c:txPr>
                <a:bodyPr/>
                <a:lstStyle/>
                <a:p>
                  <a:pPr>
                    <a:defRPr sz="1475" baseline="0"/>
                  </a:pPr>
                  <a:endParaRPr lang="en-US"/>
                </a:p>
              </c:txPr>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9A23-48CD-941B-228B91CB9AF4}"/>
                </c:ext>
              </c:extLst>
            </c:dLbl>
            <c:dLbl>
              <c:idx val="1"/>
              <c:layout>
                <c:manualLayout>
                  <c:x val="-6.284001377655847E-2"/>
                  <c:y val="9.174890849554302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9A23-48CD-941B-228B91CB9AF4}"/>
                </c:ext>
              </c:extLst>
            </c:dLbl>
            <c:dLbl>
              <c:idx val="2"/>
              <c:layout>
                <c:manualLayout>
                  <c:x val="-0.1228653341409247"/>
                  <c:y val="4.541711747077351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9A23-48CD-941B-228B91CB9AF4}"/>
                </c:ext>
              </c:extLst>
            </c:dLbl>
            <c:dLbl>
              <c:idx val="3"/>
              <c:layout>
                <c:manualLayout>
                  <c:x val="-4.3230080402845573E-2"/>
                  <c:y val="-9.203928817632581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9A23-48CD-941B-228B91CB9AF4}"/>
                </c:ext>
              </c:extLst>
            </c:dLbl>
            <c:spPr>
              <a:noFill/>
              <a:ln>
                <a:noFill/>
              </a:ln>
              <a:effectLst/>
            </c:sp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'UHD Chrts'!$C$9:$C$12</c:f>
              <c:strCache>
                <c:ptCount val="4"/>
                <c:pt idx="0">
                  <c:v>State of Texas</c:v>
                </c:pt>
                <c:pt idx="1">
                  <c:v>Student &amp; Parent</c:v>
                </c:pt>
                <c:pt idx="2">
                  <c:v>Federal Government</c:v>
                </c:pt>
                <c:pt idx="3">
                  <c:v>Institutional Resources</c:v>
                </c:pt>
              </c:strCache>
            </c:strRef>
          </c:cat>
          <c:val>
            <c:numRef>
              <c:f>'UHD Chrts'!$D$9:$D$12</c:f>
              <c:numCache>
                <c:formatCode>"$"#,##0</c:formatCode>
                <c:ptCount val="4"/>
                <c:pt idx="0">
                  <c:v>49718271</c:v>
                </c:pt>
                <c:pt idx="1">
                  <c:v>72089010</c:v>
                </c:pt>
                <c:pt idx="2">
                  <c:v>63925563</c:v>
                </c:pt>
                <c:pt idx="3">
                  <c:v>18891248</c:v>
                </c:pt>
              </c:numCache>
            </c:numRef>
          </c:val>
          <c:extLst>
            <c:ext xmlns:c16="http://schemas.microsoft.com/office/drawing/2014/chart" uri="{C3380CC4-5D6E-409C-BE32-E72D297353CC}">
              <c16:uniqueId val="{00000007-9A23-48CD-941B-228B91CB9AF4}"/>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15"/>
          <c:y val="4.2735042735042736E-2"/>
        </c:manualLayout>
      </c:layout>
      <c:overlay val="0"/>
      <c:spPr>
        <a:noFill/>
        <a:ln w="25400">
          <a:noFill/>
        </a:ln>
      </c:spPr>
    </c:title>
    <c:autoTitleDeleted val="0"/>
    <c:plotArea>
      <c:layout>
        <c:manualLayout>
          <c:layoutTarget val="inner"/>
          <c:xMode val="edge"/>
          <c:yMode val="edge"/>
          <c:x val="0.38407086725150108"/>
          <c:y val="0.31412095086719438"/>
          <c:w val="0.22363507342450567"/>
          <c:h val="0.35450737006363042"/>
        </c:manualLayout>
      </c:layout>
      <c:pieChart>
        <c:varyColors val="1"/>
        <c:ser>
          <c:idx val="0"/>
          <c:order val="0"/>
          <c:tx>
            <c:strRef>
              <c:f>'UHD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57AF-493B-8769-A16D1355403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57AF-493B-8769-A16D1355403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57AF-493B-8769-A16D13554032}"/>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57AF-493B-8769-A16D13554032}"/>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57AF-493B-8769-A16D13554032}"/>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57AF-493B-8769-A16D13554032}"/>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57AF-493B-8769-A16D13554032}"/>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57AF-493B-8769-A16D13554032}"/>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57AF-493B-8769-A16D13554032}"/>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57AF-493B-8769-A16D13554032}"/>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57AF-493B-8769-A16D13554032}"/>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57AF-493B-8769-A16D13554032}"/>
              </c:ext>
            </c:extLst>
          </c:dPt>
          <c:dLbls>
            <c:dLbl>
              <c:idx val="0"/>
              <c:layout>
                <c:manualLayout>
                  <c:x val="0.11739924010004842"/>
                  <c:y val="9.8099741021971994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57AF-493B-8769-A16D13554032}"/>
                </c:ext>
              </c:extLst>
            </c:dLbl>
            <c:dLbl>
              <c:idx val="1"/>
              <c:layout>
                <c:manualLayout>
                  <c:x val="0.12884121731817255"/>
                  <c:y val="7.009504675412045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57AF-493B-8769-A16D13554032}"/>
                </c:ext>
              </c:extLst>
            </c:dLbl>
            <c:dLbl>
              <c:idx val="2"/>
              <c:delete val="1"/>
              <c:extLst>
                <c:ext xmlns:c15="http://schemas.microsoft.com/office/drawing/2012/chart" uri="{CE6537A1-D6FC-4f65-9D91-7224C49458BB}"/>
                <c:ext xmlns:c16="http://schemas.microsoft.com/office/drawing/2014/chart" uri="{C3380CC4-5D6E-409C-BE32-E72D297353CC}">
                  <c16:uniqueId val="{00000003-57AF-493B-8769-A16D13554032}"/>
                </c:ext>
              </c:extLst>
            </c:dLbl>
            <c:dLbl>
              <c:idx val="3"/>
              <c:layout>
                <c:manualLayout>
                  <c:x val="0.10909495271159179"/>
                  <c:y val="0.2230555500882915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57AF-493B-8769-A16D13554032}"/>
                </c:ext>
              </c:extLst>
            </c:dLbl>
            <c:dLbl>
              <c:idx val="4"/>
              <c:delete val="1"/>
              <c:extLst>
                <c:ext xmlns:c15="http://schemas.microsoft.com/office/drawing/2012/chart" uri="{CE6537A1-D6FC-4f65-9D91-7224C49458BB}"/>
                <c:ext xmlns:c16="http://schemas.microsoft.com/office/drawing/2014/chart" uri="{C3380CC4-5D6E-409C-BE32-E72D297353CC}">
                  <c16:uniqueId val="{00000007-57AF-493B-8769-A16D13554032}"/>
                </c:ext>
              </c:extLst>
            </c:dLbl>
            <c:dLbl>
              <c:idx val="5"/>
              <c:layout>
                <c:manualLayout>
                  <c:x val="-1.823975383165926E-2"/>
                  <c:y val="0.1165506296259625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57AF-493B-8769-A16D13554032}"/>
                </c:ext>
              </c:extLst>
            </c:dLbl>
            <c:dLbl>
              <c:idx val="6"/>
              <c:layout>
                <c:manualLayout>
                  <c:x val="-0.10147619908626374"/>
                  <c:y val="0.2243143062034680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57AF-493B-8769-A16D13554032}"/>
                </c:ext>
              </c:extLst>
            </c:dLbl>
            <c:dLbl>
              <c:idx val="7"/>
              <c:layout>
                <c:manualLayout>
                  <c:x val="-0.15209114262589959"/>
                  <c:y val="0.1777676746080885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57AF-493B-8769-A16D13554032}"/>
                </c:ext>
              </c:extLst>
            </c:dLbl>
            <c:dLbl>
              <c:idx val="8"/>
              <c:delete val="1"/>
              <c:extLst>
                <c:ext xmlns:c15="http://schemas.microsoft.com/office/drawing/2012/chart" uri="{CE6537A1-D6FC-4f65-9D91-7224C49458BB}"/>
                <c:ext xmlns:c16="http://schemas.microsoft.com/office/drawing/2014/chart" uri="{C3380CC4-5D6E-409C-BE32-E72D297353CC}">
                  <c16:uniqueId val="{0000000F-57AF-493B-8769-A16D13554032}"/>
                </c:ext>
              </c:extLst>
            </c:dLbl>
            <c:dLbl>
              <c:idx val="9"/>
              <c:layout>
                <c:manualLayout>
                  <c:x val="-0.17297624582505403"/>
                  <c:y val="3.009641098251936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57AF-493B-8769-A16D13554032}"/>
                </c:ext>
              </c:extLst>
            </c:dLbl>
            <c:dLbl>
              <c:idx val="10"/>
              <c:layout>
                <c:manualLayout>
                  <c:x val="-0.17029233341118408"/>
                  <c:y val="-8.347034463444312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57AF-493B-8769-A16D13554032}"/>
                </c:ext>
              </c:extLst>
            </c:dLbl>
            <c:dLbl>
              <c:idx val="11"/>
              <c:layout>
                <c:manualLayout>
                  <c:x val="5.5124929620077437E-2"/>
                  <c:y val="-7.240401834376361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57AF-493B-8769-A16D13554032}"/>
                </c:ext>
              </c:extLst>
            </c:dLbl>
            <c:dLbl>
              <c:idx val="12"/>
              <c:layout>
                <c:manualLayout>
                  <c:x val="0.2433926520572581"/>
                  <c:y val="-7.947201356055047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57AF-493B-8769-A16D13554032}"/>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'UHD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'UHD Chrts'!$D$54:$D$66</c:f>
              <c:numCache>
                <c:formatCode>"$"#,##0</c:formatCode>
                <c:ptCount val="13"/>
                <c:pt idx="0">
                  <c:v>29937476</c:v>
                </c:pt>
                <c:pt idx="1">
                  <c:v>8952451</c:v>
                </c:pt>
                <c:pt idx="3">
                  <c:v>10828344</c:v>
                </c:pt>
                <c:pt idx="4">
                  <c:v>0</c:v>
                </c:pt>
                <c:pt idx="5">
                  <c:v>72089010</c:v>
                </c:pt>
                <c:pt idx="6">
                  <c:v>63925563</c:v>
                </c:pt>
                <c:pt idx="7">
                  <c:v>5612432</c:v>
                </c:pt>
                <c:pt idx="8">
                  <c:v>0</c:v>
                </c:pt>
                <c:pt idx="9">
                  <c:v>3228639</c:v>
                </c:pt>
                <c:pt idx="10">
                  <c:v>2089098</c:v>
                </c:pt>
                <c:pt idx="11">
                  <c:v>895121</c:v>
                </c:pt>
                <c:pt idx="12">
                  <c:v>7065958</c:v>
                </c:pt>
              </c:numCache>
            </c:numRef>
          </c:val>
          <c:extLst>
            <c:ext xmlns:c16="http://schemas.microsoft.com/office/drawing/2014/chart" uri="{C3380CC4-5D6E-409C-BE32-E72D297353CC}">
              <c16:uniqueId val="{00000019-57AF-493B-8769-A16D13554032}"/>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189"/>
          <c:y val="3.3873343151695233E-2"/>
        </c:manualLayout>
      </c:layout>
      <c:overlay val="0"/>
      <c:spPr>
        <a:noFill/>
        <a:ln w="25400">
          <a:noFill/>
        </a:ln>
      </c:spPr>
    </c:title>
    <c:autoTitleDeleted val="0"/>
    <c:plotArea>
      <c:layout>
        <c:manualLayout>
          <c:layoutTarget val="inner"/>
          <c:xMode val="edge"/>
          <c:yMode val="edge"/>
          <c:x val="0.38802057970603454"/>
          <c:y val="0.32634454397588769"/>
          <c:w val="0.22760699216395419"/>
          <c:h val="0.37242892698670127"/>
        </c:manualLayout>
      </c:layout>
      <c:pieChart>
        <c:varyColors val="1"/>
        <c:ser>
          <c:idx val="0"/>
          <c:order val="0"/>
          <c:tx>
            <c:strRef>
              <c:f>'UHD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D23C-490B-B3BF-06E10AF388CF}"/>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D23C-490B-B3BF-06E10AF388CF}"/>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D23C-490B-B3BF-06E10AF388CF}"/>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D23C-490B-B3BF-06E10AF388CF}"/>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D23C-490B-B3BF-06E10AF388CF}"/>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D23C-490B-B3BF-06E10AF388CF}"/>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D23C-490B-B3BF-06E10AF388CF}"/>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D23C-490B-B3BF-06E10AF388CF}"/>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D23C-490B-B3BF-06E10AF388CF}"/>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D23C-490B-B3BF-06E10AF388CF}"/>
              </c:ext>
            </c:extLst>
          </c:dPt>
          <c:dLbls>
            <c:dLbl>
              <c:idx val="0"/>
              <c:layout>
                <c:manualLayout>
                  <c:x val="-9.1295961422543703E-2"/>
                  <c:y val="5.384916951530306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D23C-490B-B3BF-06E10AF388CF}"/>
                </c:ext>
              </c:extLst>
            </c:dLbl>
            <c:dLbl>
              <c:idx val="1"/>
              <c:layout>
                <c:manualLayout>
                  <c:x val="-9.8524991831344888E-2"/>
                  <c:y val="0.1002148437257306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D23C-490B-B3BF-06E10AF388CF}"/>
                </c:ext>
              </c:extLst>
            </c:dLbl>
            <c:dLbl>
              <c:idx val="2"/>
              <c:layout>
                <c:manualLayout>
                  <c:x val="-9.7362901990221837E-2"/>
                  <c:y val="-2.430924449315395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D23C-490B-B3BF-06E10AF388CF}"/>
                </c:ext>
              </c:extLst>
            </c:dLbl>
            <c:dLbl>
              <c:idx val="3"/>
              <c:layout>
                <c:manualLayout>
                  <c:x val="-8.8038300666431826E-2"/>
                  <c:y val="-5.740779053917197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D23C-490B-B3BF-06E10AF388CF}"/>
                </c:ext>
              </c:extLst>
            </c:dLbl>
            <c:dLbl>
              <c:idx val="4"/>
              <c:layout>
                <c:manualLayout>
                  <c:x val="5.3894692826904761E-3"/>
                  <c:y val="-8.624440990045617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D23C-490B-B3BF-06E10AF388CF}"/>
                </c:ext>
              </c:extLst>
            </c:dLbl>
            <c:dLbl>
              <c:idx val="5"/>
              <c:layout>
                <c:manualLayout>
                  <c:x val="8.1791370705525029E-2"/>
                  <c:y val="-6.028982157657273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D23C-490B-B3BF-06E10AF388CF}"/>
                </c:ext>
              </c:extLst>
            </c:dLbl>
            <c:dLbl>
              <c:idx val="6"/>
              <c:layout>
                <c:manualLayout>
                  <c:x val="9.0072973949055377E-2"/>
                  <c:y val="2.263469980901399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D23C-490B-B3BF-06E10AF388CF}"/>
                </c:ext>
              </c:extLst>
            </c:dLbl>
            <c:dLbl>
              <c:idx val="7"/>
              <c:layout>
                <c:manualLayout>
                  <c:x val="0.13244468825699465"/>
                  <c:y val="4.774525921038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D23C-490B-B3BF-06E10AF388CF}"/>
                </c:ext>
              </c:extLst>
            </c:dLbl>
            <c:dLbl>
              <c:idx val="8"/>
              <c:layout>
                <c:manualLayout>
                  <c:x val="0.11226591262048462"/>
                  <c:y val="9.918722220358337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D23C-490B-B3BF-06E10AF388CF}"/>
                </c:ext>
              </c:extLst>
            </c:dLbl>
            <c:dLbl>
              <c:idx val="9"/>
              <c:layout>
                <c:manualLayout>
                  <c:x val="5.8950421627366231E-4"/>
                  <c:y val="0.1241143443290078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D23C-490B-B3BF-06E10AF388CF}"/>
                </c:ext>
              </c:extLst>
            </c:dLbl>
            <c:dLbl>
              <c:idx val="10"/>
              <c:layout>
                <c:manualLayout>
                  <c:x val="-0.1568740945836217"/>
                  <c:y val="0.1097326133769730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D23C-490B-B3BF-06E10AF388CF}"/>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'UHD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'UHD Chrts'!$D$102:$D$112</c:f>
              <c:numCache>
                <c:formatCode>"$"#,##0</c:formatCode>
                <c:ptCount val="11"/>
                <c:pt idx="0">
                  <c:v>50902870</c:v>
                </c:pt>
                <c:pt idx="1">
                  <c:v>2040315</c:v>
                </c:pt>
                <c:pt idx="2">
                  <c:v>2655558</c:v>
                </c:pt>
                <c:pt idx="3">
                  <c:v>35044021</c:v>
                </c:pt>
                <c:pt idx="4">
                  <c:v>7179409</c:v>
                </c:pt>
                <c:pt idx="5">
                  <c:v>24022615</c:v>
                </c:pt>
                <c:pt idx="6">
                  <c:v>8426679</c:v>
                </c:pt>
                <c:pt idx="7">
                  <c:v>34039809</c:v>
                </c:pt>
                <c:pt idx="8">
                  <c:v>7659361</c:v>
                </c:pt>
                <c:pt idx="9">
                  <c:v>2498851</c:v>
                </c:pt>
                <c:pt idx="10">
                  <c:v>3027404</c:v>
                </c:pt>
              </c:numCache>
            </c:numRef>
          </c:val>
          <c:extLst>
            <c:ext xmlns:c16="http://schemas.microsoft.com/office/drawing/2014/chart" uri="{C3380CC4-5D6E-409C-BE32-E72D297353CC}">
              <c16:uniqueId val="{00000015-D23C-490B-B3BF-06E10AF388CF}"/>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9139193121223426"/>
          <c:y val="0.28722709396512935"/>
          <c:w val="0.22537366539589787"/>
          <c:h val="0.35487149689305614"/>
        </c:manualLayout>
      </c:layout>
      <c:pieChart>
        <c:varyColors val="1"/>
        <c:ser>
          <c:idx val="0"/>
          <c:order val="0"/>
          <c:tx>
            <c:strRef>
              <c:f>'UHV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9946-4306-A88B-E1D71C08184F}"/>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9946-4306-A88B-E1D71C08184F}"/>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9946-4306-A88B-E1D71C08184F}"/>
              </c:ext>
            </c:extLst>
          </c:dPt>
          <c:dLbls>
            <c:dLbl>
              <c:idx val="0"/>
              <c:layout>
                <c:manualLayout>
                  <c:x val="7.8328570919585394E-2"/>
                  <c:y val="8.195379297798800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9946-4306-A88B-E1D71C08184F}"/>
                </c:ext>
              </c:extLst>
            </c:dLbl>
            <c:dLbl>
              <c:idx val="1"/>
              <c:layout>
                <c:manualLayout>
                  <c:x val="-3.332367051770984E-2"/>
                  <c:y val="0.1162432798272742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9946-4306-A88B-E1D71C08184F}"/>
                </c:ext>
              </c:extLst>
            </c:dLbl>
            <c:dLbl>
              <c:idx val="2"/>
              <c:layout>
                <c:manualLayout>
                  <c:x val="-5.8827265623870202E-2"/>
                  <c:y val="-5.153558639640764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9946-4306-A88B-E1D71C08184F}"/>
                </c:ext>
              </c:extLst>
            </c:dLbl>
            <c:dLbl>
              <c:idx val="3"/>
              <c:layout>
                <c:manualLayout>
                  <c:x val="0.13535090529114296"/>
                  <c:y val="-4.029665104411018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9946-4306-A88B-E1D71C08184F}"/>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'UHV Chrts'!$C$9:$C$12</c:f>
              <c:strCache>
                <c:ptCount val="4"/>
                <c:pt idx="0">
                  <c:v>State of Texas</c:v>
                </c:pt>
                <c:pt idx="1">
                  <c:v>Student &amp; Parent</c:v>
                </c:pt>
                <c:pt idx="2">
                  <c:v>Federal Government</c:v>
                </c:pt>
                <c:pt idx="3">
                  <c:v>Institutional Resources</c:v>
                </c:pt>
              </c:strCache>
            </c:strRef>
          </c:cat>
          <c:val>
            <c:numRef>
              <c:f>'UHV Chrts'!$D$9:$D$12</c:f>
              <c:numCache>
                <c:formatCode>"$"#,##0</c:formatCode>
                <c:ptCount val="4"/>
                <c:pt idx="0">
                  <c:v>23410758</c:v>
                </c:pt>
                <c:pt idx="1">
                  <c:v>26804338</c:v>
                </c:pt>
                <c:pt idx="2">
                  <c:v>15650731</c:v>
                </c:pt>
                <c:pt idx="3">
                  <c:v>10127977</c:v>
                </c:pt>
              </c:numCache>
            </c:numRef>
          </c:val>
          <c:extLst>
            <c:ext xmlns:c16="http://schemas.microsoft.com/office/drawing/2014/chart" uri="{C3380CC4-5D6E-409C-BE32-E72D297353CC}">
              <c16:uniqueId val="{00000007-9946-4306-A88B-E1D71C08184F}"/>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999141294819368"/>
          <c:y val="1.9837653815625161E-2"/>
        </c:manualLayout>
      </c:layout>
      <c:overlay val="0"/>
      <c:spPr>
        <a:noFill/>
        <a:ln w="25400">
          <a:noFill/>
        </a:ln>
      </c:spPr>
    </c:title>
    <c:autoTitleDeleted val="0"/>
    <c:plotArea>
      <c:layout>
        <c:manualLayout>
          <c:layoutTarget val="inner"/>
          <c:xMode val="edge"/>
          <c:yMode val="edge"/>
          <c:x val="0.38888568217162323"/>
          <c:y val="0.33892646944152677"/>
          <c:w val="0.22363507342450567"/>
          <c:h val="0.35450737006363042"/>
        </c:manualLayout>
      </c:layout>
      <c:pieChart>
        <c:varyColors val="1"/>
        <c:ser>
          <c:idx val="0"/>
          <c:order val="0"/>
          <c:tx>
            <c:strRef>
              <c:f>'UHV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2796-4629-AFFE-7FE6D681901C}"/>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2796-4629-AFFE-7FE6D681901C}"/>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2796-4629-AFFE-7FE6D681901C}"/>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2796-4629-AFFE-7FE6D681901C}"/>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2796-4629-AFFE-7FE6D681901C}"/>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2796-4629-AFFE-7FE6D681901C}"/>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2796-4629-AFFE-7FE6D681901C}"/>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2796-4629-AFFE-7FE6D681901C}"/>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2796-4629-AFFE-7FE6D681901C}"/>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2796-4629-AFFE-7FE6D681901C}"/>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2796-4629-AFFE-7FE6D681901C}"/>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2796-4629-AFFE-7FE6D681901C}"/>
              </c:ext>
            </c:extLst>
          </c:dPt>
          <c:dLbls>
            <c:dLbl>
              <c:idx val="0"/>
              <c:layout>
                <c:manualLayout>
                  <c:x val="8.6307783960362566E-2"/>
                  <c:y val="7.754661852402806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2796-4629-AFFE-7FE6D681901C}"/>
                </c:ext>
              </c:extLst>
            </c:dLbl>
            <c:dLbl>
              <c:idx val="1"/>
              <c:layout>
                <c:manualLayout>
                  <c:x val="7.373727053215208E-2"/>
                  <c:y val="5.914801532563351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2796-4629-AFFE-7FE6D681901C}"/>
                </c:ext>
              </c:extLst>
            </c:dLbl>
            <c:dLbl>
              <c:idx val="2"/>
              <c:delete val="1"/>
              <c:extLst>
                <c:ext xmlns:c15="http://schemas.microsoft.com/office/drawing/2012/chart" uri="{CE6537A1-D6FC-4f65-9D91-7224C49458BB}"/>
                <c:ext xmlns:c16="http://schemas.microsoft.com/office/drawing/2014/chart" uri="{C3380CC4-5D6E-409C-BE32-E72D297353CC}">
                  <c16:uniqueId val="{00000003-2796-4629-AFFE-7FE6D681901C}"/>
                </c:ext>
              </c:extLst>
            </c:dLbl>
            <c:dLbl>
              <c:idx val="3"/>
              <c:layout>
                <c:manualLayout>
                  <c:x val="1.0555216186044682E-2"/>
                  <c:y val="0.1640042928120937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2796-4629-AFFE-7FE6D681901C}"/>
                </c:ext>
              </c:extLst>
            </c:dLbl>
            <c:dLbl>
              <c:idx val="4"/>
              <c:delete val="1"/>
              <c:extLst>
                <c:ext xmlns:c15="http://schemas.microsoft.com/office/drawing/2012/chart" uri="{CE6537A1-D6FC-4f65-9D91-7224C49458BB}"/>
                <c:ext xmlns:c16="http://schemas.microsoft.com/office/drawing/2014/chart" uri="{C3380CC4-5D6E-409C-BE32-E72D297353CC}">
                  <c16:uniqueId val="{00000007-2796-4629-AFFE-7FE6D681901C}"/>
                </c:ext>
              </c:extLst>
            </c:dLbl>
            <c:dLbl>
              <c:idx val="5"/>
              <c:layout>
                <c:manualLayout>
                  <c:x val="-5.632614961119848E-2"/>
                  <c:y val="7.655439778105546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2796-4629-AFFE-7FE6D681901C}"/>
                </c:ext>
              </c:extLst>
            </c:dLbl>
            <c:dLbl>
              <c:idx val="6"/>
              <c:layout>
                <c:manualLayout>
                  <c:x val="-0.10783721139269592"/>
                  <c:y val="0.2270606422060114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2796-4629-AFFE-7FE6D681901C}"/>
                </c:ext>
              </c:extLst>
            </c:dLbl>
            <c:dLbl>
              <c:idx val="7"/>
              <c:layout>
                <c:manualLayout>
                  <c:x val="-0.16113540572530805"/>
                  <c:y val="0.1607167728125505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2796-4629-AFFE-7FE6D681901C}"/>
                </c:ext>
              </c:extLst>
            </c:dLbl>
            <c:dLbl>
              <c:idx val="8"/>
              <c:delete val="1"/>
              <c:extLst>
                <c:ext xmlns:c15="http://schemas.microsoft.com/office/drawing/2012/chart" uri="{CE6537A1-D6FC-4f65-9D91-7224C49458BB}"/>
                <c:ext xmlns:c16="http://schemas.microsoft.com/office/drawing/2014/chart" uri="{C3380CC4-5D6E-409C-BE32-E72D297353CC}">
                  <c16:uniqueId val="{0000000F-2796-4629-AFFE-7FE6D681901C}"/>
                </c:ext>
              </c:extLst>
            </c:dLbl>
            <c:dLbl>
              <c:idx val="9"/>
              <c:layout>
                <c:manualLayout>
                  <c:x val="-0.13462709203345116"/>
                  <c:y val="-3.86812839432571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2796-4629-AFFE-7FE6D681901C}"/>
                </c:ext>
              </c:extLst>
            </c:dLbl>
            <c:dLbl>
              <c:idx val="10"/>
              <c:layout>
                <c:manualLayout>
                  <c:x val="4.6701172401675338E-2"/>
                  <c:y val="-0.1271034170766238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2796-4629-AFFE-7FE6D681901C}"/>
                </c:ext>
              </c:extLst>
            </c:dLbl>
            <c:dLbl>
              <c:idx val="11"/>
              <c:layout>
                <c:manualLayout>
                  <c:x val="0.18498759508082965"/>
                  <c:y val="-8.660416357098502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2796-4629-AFFE-7FE6D681901C}"/>
                </c:ext>
              </c:extLst>
            </c:dLbl>
            <c:dLbl>
              <c:idx val="12"/>
              <c:layout>
                <c:manualLayout>
                  <c:x val="0.26108231537445331"/>
                  <c:y val="-1.029166091351922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2796-4629-AFFE-7FE6D681901C}"/>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'UHV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'UHV Chrts'!$D$54:$D$66</c:f>
              <c:numCache>
                <c:formatCode>"$"#,##0</c:formatCode>
                <c:ptCount val="13"/>
                <c:pt idx="0">
                  <c:v>17625883</c:v>
                </c:pt>
                <c:pt idx="1">
                  <c:v>2242058</c:v>
                </c:pt>
                <c:pt idx="3">
                  <c:v>3542817</c:v>
                </c:pt>
                <c:pt idx="4">
                  <c:v>0</c:v>
                </c:pt>
                <c:pt idx="5">
                  <c:v>26804338</c:v>
                </c:pt>
                <c:pt idx="6">
                  <c:v>15650731</c:v>
                </c:pt>
                <c:pt idx="7">
                  <c:v>1745074</c:v>
                </c:pt>
                <c:pt idx="8">
                  <c:v>0</c:v>
                </c:pt>
                <c:pt idx="9">
                  <c:v>1858166</c:v>
                </c:pt>
                <c:pt idx="10">
                  <c:v>322197</c:v>
                </c:pt>
                <c:pt idx="11">
                  <c:v>2065046</c:v>
                </c:pt>
                <c:pt idx="12">
                  <c:v>4137494</c:v>
                </c:pt>
              </c:numCache>
            </c:numRef>
          </c:val>
          <c:extLst>
            <c:ext xmlns:c16="http://schemas.microsoft.com/office/drawing/2014/chart" uri="{C3380CC4-5D6E-409C-BE32-E72D297353CC}">
              <c16:uniqueId val="{00000019-2796-4629-AFFE-7FE6D681901C}"/>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2299449910533338"/>
          <c:y val="2.2037635550982856E-2"/>
        </c:manualLayout>
      </c:layout>
      <c:overlay val="0"/>
      <c:spPr>
        <a:noFill/>
        <a:ln w="25400">
          <a:noFill/>
        </a:ln>
      </c:spPr>
    </c:title>
    <c:autoTitleDeleted val="0"/>
    <c:plotArea>
      <c:layout>
        <c:manualLayout>
          <c:layoutTarget val="inner"/>
          <c:xMode val="edge"/>
          <c:yMode val="edge"/>
          <c:x val="0.39043167072471596"/>
          <c:y val="0.32831715481796842"/>
          <c:w val="0.22399035563593073"/>
          <c:h val="0.3665110944604118"/>
        </c:manualLayout>
      </c:layout>
      <c:pieChart>
        <c:varyColors val="1"/>
        <c:ser>
          <c:idx val="0"/>
          <c:order val="0"/>
          <c:tx>
            <c:strRef>
              <c:f>'UHV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0251-4A19-B0BE-9B67C1BA1460}"/>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0251-4A19-B0BE-9B67C1BA1460}"/>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0251-4A19-B0BE-9B67C1BA1460}"/>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0251-4A19-B0BE-9B67C1BA1460}"/>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0251-4A19-B0BE-9B67C1BA1460}"/>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0251-4A19-B0BE-9B67C1BA1460}"/>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0251-4A19-B0BE-9B67C1BA1460}"/>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0251-4A19-B0BE-9B67C1BA1460}"/>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0251-4A19-B0BE-9B67C1BA1460}"/>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0251-4A19-B0BE-9B67C1BA1460}"/>
              </c:ext>
            </c:extLst>
          </c:dPt>
          <c:dLbls>
            <c:dLbl>
              <c:idx val="0"/>
              <c:layout>
                <c:manualLayout>
                  <c:x val="-7.8355132257993718E-2"/>
                  <c:y val="5.468232577963179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0251-4A19-B0BE-9B67C1BA1460}"/>
                </c:ext>
              </c:extLst>
            </c:dLbl>
            <c:dLbl>
              <c:idx val="1"/>
              <c:layout>
                <c:manualLayout>
                  <c:x val="-0.16752001219993051"/>
                  <c:y val="0.1493814700082383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0251-4A19-B0BE-9B67C1BA1460}"/>
                </c:ext>
              </c:extLst>
            </c:dLbl>
            <c:dLbl>
              <c:idx val="2"/>
              <c:layout>
                <c:manualLayout>
                  <c:x val="-0.14962369041843793"/>
                  <c:y val="-1.824230122606336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0251-4A19-B0BE-9B67C1BA1460}"/>
                </c:ext>
              </c:extLst>
            </c:dLbl>
            <c:dLbl>
              <c:idx val="3"/>
              <c:layout>
                <c:manualLayout>
                  <c:x val="-7.6263756140644262E-2"/>
                  <c:y val="-9.234226258152941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0251-4A19-B0BE-9B67C1BA1460}"/>
                </c:ext>
              </c:extLst>
            </c:dLbl>
            <c:dLbl>
              <c:idx val="4"/>
              <c:layout>
                <c:manualLayout>
                  <c:x val="-6.0569873739800911E-2"/>
                  <c:y val="-0.1138483804709662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0251-4A19-B0BE-9B67C1BA1460}"/>
                </c:ext>
              </c:extLst>
            </c:dLbl>
            <c:dLbl>
              <c:idx val="5"/>
              <c:layout>
                <c:manualLayout>
                  <c:x val="8.5466681399419736E-2"/>
                  <c:y val="-0.1929106230219528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0251-4A19-B0BE-9B67C1BA1460}"/>
                </c:ext>
              </c:extLst>
            </c:dLbl>
            <c:dLbl>
              <c:idx val="6"/>
              <c:layout>
                <c:manualLayout>
                  <c:x val="0.11383180367496418"/>
                  <c:y val="-0.1429589908185061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0251-4A19-B0BE-9B67C1BA1460}"/>
                </c:ext>
              </c:extLst>
            </c:dLbl>
            <c:dLbl>
              <c:idx val="7"/>
              <c:layout>
                <c:manualLayout>
                  <c:x val="0.15787917225136397"/>
                  <c:y val="-3.583985382177041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0251-4A19-B0BE-9B67C1BA1460}"/>
                </c:ext>
              </c:extLst>
            </c:dLbl>
            <c:dLbl>
              <c:idx val="8"/>
              <c:layout>
                <c:manualLayout>
                  <c:x val="0.14334795382492796"/>
                  <c:y val="6.908083169000871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0251-4A19-B0BE-9B67C1BA1460}"/>
                </c:ext>
              </c:extLst>
            </c:dLbl>
            <c:dLbl>
              <c:idx val="9"/>
              <c:layout>
                <c:manualLayout>
                  <c:x val="3.407892038183058E-2"/>
                  <c:y val="0.1650034606117766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0251-4A19-B0BE-9B67C1BA1460}"/>
                </c:ext>
              </c:extLst>
            </c:dLbl>
            <c:dLbl>
              <c:idx val="10"/>
              <c:layout>
                <c:manualLayout>
                  <c:x val="-0.19019044606185184"/>
                  <c:y val="0.1477904894684365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0251-4A19-B0BE-9B67C1BA1460}"/>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'UHV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'UHV Chrts'!$D$102:$D$112</c:f>
              <c:numCache>
                <c:formatCode>"$"#,##0</c:formatCode>
                <c:ptCount val="11"/>
                <c:pt idx="0">
                  <c:v>20599553</c:v>
                </c:pt>
                <c:pt idx="1">
                  <c:v>416867</c:v>
                </c:pt>
                <c:pt idx="2">
                  <c:v>867914</c:v>
                </c:pt>
                <c:pt idx="3">
                  <c:v>14197430</c:v>
                </c:pt>
                <c:pt idx="4">
                  <c:v>7050629</c:v>
                </c:pt>
                <c:pt idx="5">
                  <c:v>5897596</c:v>
                </c:pt>
                <c:pt idx="6">
                  <c:v>3254513</c:v>
                </c:pt>
                <c:pt idx="7">
                  <c:v>8876794</c:v>
                </c:pt>
                <c:pt idx="8">
                  <c:v>2342457</c:v>
                </c:pt>
                <c:pt idx="9">
                  <c:v>567046</c:v>
                </c:pt>
                <c:pt idx="10">
                  <c:v>2810266</c:v>
                </c:pt>
              </c:numCache>
            </c:numRef>
          </c:val>
          <c:extLst>
            <c:ext xmlns:c16="http://schemas.microsoft.com/office/drawing/2014/chart" uri="{C3380CC4-5D6E-409C-BE32-E72D297353CC}">
              <c16:uniqueId val="{00000015-0251-4A19-B0BE-9B67C1BA1460}"/>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8239137302409026"/>
          <c:y val="0.31433413440824182"/>
          <c:w val="0.22473823351267486"/>
          <c:h val="0.35387095114083378"/>
        </c:manualLayout>
      </c:layout>
      <c:pieChart>
        <c:varyColors val="1"/>
        <c:ser>
          <c:idx val="0"/>
          <c:order val="0"/>
          <c:tx>
            <c:strRef>
              <c:f>'LU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7DFC-45D9-B2E4-6DD51CC66D0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7DFC-45D9-B2E4-6DD51CC66D0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7DFC-45D9-B2E4-6DD51CC66D02}"/>
              </c:ext>
            </c:extLst>
          </c:dPt>
          <c:dLbls>
            <c:dLbl>
              <c:idx val="0"/>
              <c:layout>
                <c:manualLayout>
                  <c:x val="0.10111518865571668"/>
                  <c:y val="6.698599954041917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7DFC-45D9-B2E4-6DD51CC66D02}"/>
                </c:ext>
              </c:extLst>
            </c:dLbl>
            <c:dLbl>
              <c:idx val="1"/>
              <c:layout>
                <c:manualLayout>
                  <c:x val="-8.510335038204353E-4"/>
                  <c:y val="0.1081533408174793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7DFC-45D9-B2E4-6DD51CC66D02}"/>
                </c:ext>
              </c:extLst>
            </c:dLbl>
            <c:dLbl>
              <c:idx val="2"/>
              <c:layout>
                <c:manualLayout>
                  <c:x val="-8.744741748910341E-2"/>
                  <c:y val="1.835809963329280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7DFC-45D9-B2E4-6DD51CC66D02}"/>
                </c:ext>
              </c:extLst>
            </c:dLbl>
            <c:dLbl>
              <c:idx val="3"/>
              <c:layout>
                <c:manualLayout>
                  <c:x val="-1.745366444579043E-2"/>
                  <c:y val="-4.983160671370990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7DFC-45D9-B2E4-6DD51CC66D02}"/>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'LU Chrts'!$C$9:$C$12</c:f>
              <c:strCache>
                <c:ptCount val="4"/>
                <c:pt idx="0">
                  <c:v>State of Texas</c:v>
                </c:pt>
                <c:pt idx="1">
                  <c:v>Student &amp; Parent</c:v>
                </c:pt>
                <c:pt idx="2">
                  <c:v>Federal Government</c:v>
                </c:pt>
                <c:pt idx="3">
                  <c:v>Institutional Resources</c:v>
                </c:pt>
              </c:strCache>
            </c:strRef>
          </c:cat>
          <c:val>
            <c:numRef>
              <c:f>'LU Chrts'!$D$9:$D$12</c:f>
              <c:numCache>
                <c:formatCode>"$"#,##0</c:formatCode>
                <c:ptCount val="4"/>
                <c:pt idx="0">
                  <c:v>79069607</c:v>
                </c:pt>
                <c:pt idx="1">
                  <c:v>112190515</c:v>
                </c:pt>
                <c:pt idx="2">
                  <c:v>52209570</c:v>
                </c:pt>
                <c:pt idx="3">
                  <c:v>44056565</c:v>
                </c:pt>
              </c:numCache>
            </c:numRef>
          </c:val>
          <c:extLst>
            <c:ext xmlns:c16="http://schemas.microsoft.com/office/drawing/2014/chart" uri="{C3380CC4-5D6E-409C-BE32-E72D297353CC}">
              <c16:uniqueId val="{00000007-7DFC-45D9-B2E4-6DD51CC66D02}"/>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999141294819368"/>
          <c:y val="2.1745770629034756E-2"/>
        </c:manualLayout>
      </c:layout>
      <c:overlay val="0"/>
      <c:spPr>
        <a:noFill/>
        <a:ln w="25400">
          <a:noFill/>
        </a:ln>
      </c:spPr>
    </c:title>
    <c:autoTitleDeleted val="0"/>
    <c:plotArea>
      <c:layout>
        <c:manualLayout>
          <c:layoutTarget val="inner"/>
          <c:xMode val="edge"/>
          <c:yMode val="edge"/>
          <c:x val="0.38647827471155743"/>
          <c:y val="0.32747776856106997"/>
          <c:w val="0.22483877715453718"/>
          <c:h val="0.35641548687705554"/>
        </c:manualLayout>
      </c:layout>
      <c:pieChart>
        <c:varyColors val="1"/>
        <c:ser>
          <c:idx val="0"/>
          <c:order val="0"/>
          <c:tx>
            <c:strRef>
              <c:f>'LU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7A76-4A39-9E2B-B86126A2778E}"/>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7A76-4A39-9E2B-B86126A2778E}"/>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7A76-4A39-9E2B-B86126A2778E}"/>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7A76-4A39-9E2B-B86126A2778E}"/>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7A76-4A39-9E2B-B86126A2778E}"/>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7A76-4A39-9E2B-B86126A2778E}"/>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7A76-4A39-9E2B-B86126A2778E}"/>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7A76-4A39-9E2B-B86126A2778E}"/>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7A76-4A39-9E2B-B86126A2778E}"/>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7A76-4A39-9E2B-B86126A2778E}"/>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7A76-4A39-9E2B-B86126A2778E}"/>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7A76-4A39-9E2B-B86126A2778E}"/>
              </c:ext>
            </c:extLst>
          </c:dPt>
          <c:dLbls>
            <c:dLbl>
              <c:idx val="0"/>
              <c:layout>
                <c:manualLayout>
                  <c:x val="0.12628055542506922"/>
                  <c:y val="2.446010435746266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7A76-4A39-9E2B-B86126A2778E}"/>
                </c:ext>
              </c:extLst>
            </c:dLbl>
            <c:dLbl>
              <c:idx val="1"/>
              <c:layout>
                <c:manualLayout>
                  <c:x val="0.11987757745052328"/>
                  <c:y val="3.048674857946713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7A76-4A39-9E2B-B86126A2778E}"/>
                </c:ext>
              </c:extLst>
            </c:dLbl>
            <c:dLbl>
              <c:idx val="2"/>
              <c:delete val="1"/>
              <c:extLst>
                <c:ext xmlns:c15="http://schemas.microsoft.com/office/drawing/2012/chart" uri="{CE6537A1-D6FC-4f65-9D91-7224C49458BB}"/>
                <c:ext xmlns:c16="http://schemas.microsoft.com/office/drawing/2014/chart" uri="{C3380CC4-5D6E-409C-BE32-E72D297353CC}">
                  <c16:uniqueId val="{00000003-7A76-4A39-9E2B-B86126A2778E}"/>
                </c:ext>
              </c:extLst>
            </c:dLbl>
            <c:dLbl>
              <c:idx val="3"/>
              <c:layout>
                <c:manualLayout>
                  <c:x val="5.4105466340178807E-2"/>
                  <c:y val="0.1851284981452953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7A76-4A39-9E2B-B86126A2778E}"/>
                </c:ext>
              </c:extLst>
            </c:dLbl>
            <c:dLbl>
              <c:idx val="4"/>
              <c:delete val="1"/>
              <c:extLst>
                <c:ext xmlns:c15="http://schemas.microsoft.com/office/drawing/2012/chart" uri="{CE6537A1-D6FC-4f65-9D91-7224C49458BB}"/>
                <c:ext xmlns:c16="http://schemas.microsoft.com/office/drawing/2014/chart" uri="{C3380CC4-5D6E-409C-BE32-E72D297353CC}">
                  <c16:uniqueId val="{00000007-7A76-4A39-9E2B-B86126A2778E}"/>
                </c:ext>
              </c:extLst>
            </c:dLbl>
            <c:dLbl>
              <c:idx val="5"/>
              <c:layout>
                <c:manualLayout>
                  <c:x val="3.1183704995719784E-2"/>
                  <c:y val="0.1000786234274375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7A76-4A39-9E2B-B86126A2778E}"/>
                </c:ext>
              </c:extLst>
            </c:dLbl>
            <c:dLbl>
              <c:idx val="6"/>
              <c:layout>
                <c:manualLayout>
                  <c:x val="-9.2396492010407866E-2"/>
                  <c:y val="0.3017471889457835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7A76-4A39-9E2B-B86126A2778E}"/>
                </c:ext>
              </c:extLst>
            </c:dLbl>
            <c:dLbl>
              <c:idx val="7"/>
              <c:layout>
                <c:manualLayout>
                  <c:x val="-0.12979262816329221"/>
                  <c:y val="0.2169234335825854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7A76-4A39-9E2B-B86126A2778E}"/>
                </c:ext>
              </c:extLst>
            </c:dLbl>
            <c:dLbl>
              <c:idx val="8"/>
              <c:layout>
                <c:manualLayout>
                  <c:x val="-0.14652587122002989"/>
                  <c:y val="7.093942600540853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7A76-4A39-9E2B-B86126A2778E}"/>
                </c:ext>
              </c:extLst>
            </c:dLbl>
            <c:dLbl>
              <c:idx val="9"/>
              <c:layout>
                <c:manualLayout>
                  <c:x val="-0.11651134486072266"/>
                  <c:y val="-7.337550521900000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7A76-4A39-9E2B-B86126A2778E}"/>
                </c:ext>
              </c:extLst>
            </c:dLbl>
            <c:dLbl>
              <c:idx val="10"/>
              <c:layout>
                <c:manualLayout>
                  <c:x val="-5.4831358977822627E-3"/>
                  <c:y val="-0.1489295690044903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7A76-4A39-9E2B-B86126A2778E}"/>
                </c:ext>
              </c:extLst>
            </c:dLbl>
            <c:dLbl>
              <c:idx val="11"/>
              <c:layout>
                <c:manualLayout>
                  <c:x val="0.10935969558633647"/>
                  <c:y val="-9.508641891097012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7A76-4A39-9E2B-B86126A2778E}"/>
                </c:ext>
              </c:extLst>
            </c:dLbl>
            <c:dLbl>
              <c:idx val="12"/>
              <c:layout>
                <c:manualLayout>
                  <c:x val="0.20507988741480795"/>
                  <c:y val="-0.1000219809047087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7A76-4A39-9E2B-B86126A2778E}"/>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'LU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'LU Chrts'!$D$54:$D$66</c:f>
              <c:numCache>
                <c:formatCode>"$"#,##0</c:formatCode>
                <c:ptCount val="13"/>
                <c:pt idx="0">
                  <c:v>58912199</c:v>
                </c:pt>
                <c:pt idx="1">
                  <c:v>7016227</c:v>
                </c:pt>
                <c:pt idx="3">
                  <c:v>13141181</c:v>
                </c:pt>
                <c:pt idx="4">
                  <c:v>0</c:v>
                </c:pt>
                <c:pt idx="5">
                  <c:v>112190515</c:v>
                </c:pt>
                <c:pt idx="6">
                  <c:v>52209570</c:v>
                </c:pt>
                <c:pt idx="7">
                  <c:v>1074257</c:v>
                </c:pt>
                <c:pt idx="8">
                  <c:v>2116426</c:v>
                </c:pt>
                <c:pt idx="9">
                  <c:v>6642852</c:v>
                </c:pt>
                <c:pt idx="10">
                  <c:v>209198</c:v>
                </c:pt>
                <c:pt idx="11">
                  <c:v>33020234</c:v>
                </c:pt>
                <c:pt idx="12">
                  <c:v>993598</c:v>
                </c:pt>
              </c:numCache>
            </c:numRef>
          </c:val>
          <c:extLst>
            <c:ext xmlns:c16="http://schemas.microsoft.com/office/drawing/2014/chart" uri="{C3380CC4-5D6E-409C-BE32-E72D297353CC}">
              <c16:uniqueId val="{00000019-7A76-4A39-9E2B-B86126A2778E}"/>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2"/>
          <c:y val="3.3873343151695247E-2"/>
        </c:manualLayout>
      </c:layout>
      <c:overlay val="0"/>
      <c:spPr>
        <a:noFill/>
        <a:ln w="25400">
          <a:noFill/>
        </a:ln>
      </c:spPr>
    </c:title>
    <c:autoTitleDeleted val="0"/>
    <c:plotArea>
      <c:layout>
        <c:manualLayout>
          <c:layoutTarget val="inner"/>
          <c:xMode val="edge"/>
          <c:yMode val="edge"/>
          <c:x val="0.38922612521537542"/>
          <c:y val="0.31253626808123058"/>
          <c:w val="0.22760699216395419"/>
          <c:h val="0.37242892698670127"/>
        </c:manualLayout>
      </c:layout>
      <c:pieChart>
        <c:varyColors val="1"/>
        <c:ser>
          <c:idx val="0"/>
          <c:order val="0"/>
          <c:tx>
            <c:strRef>
              <c:f>'LU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FCAE-44AD-B35D-EFC1345632FD}"/>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FCAE-44AD-B35D-EFC1345632FD}"/>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FCAE-44AD-B35D-EFC1345632FD}"/>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FCAE-44AD-B35D-EFC1345632FD}"/>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FCAE-44AD-B35D-EFC1345632FD}"/>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FCAE-44AD-B35D-EFC1345632FD}"/>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FCAE-44AD-B35D-EFC1345632FD}"/>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FCAE-44AD-B35D-EFC1345632FD}"/>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FCAE-44AD-B35D-EFC1345632FD}"/>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FCAE-44AD-B35D-EFC1345632FD}"/>
              </c:ext>
            </c:extLst>
          </c:dPt>
          <c:dLbls>
            <c:dLbl>
              <c:idx val="0"/>
              <c:layout>
                <c:manualLayout>
                  <c:x val="-8.8089534018658627E-2"/>
                  <c:y val="1.339030192910490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FCAE-44AD-B35D-EFC1345632FD}"/>
                </c:ext>
              </c:extLst>
            </c:dLbl>
            <c:dLbl>
              <c:idx val="1"/>
              <c:layout>
                <c:manualLayout>
                  <c:x val="-0.11273309094927117"/>
                  <c:y val="0.1213696382836916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FCAE-44AD-B35D-EFC1345632FD}"/>
                </c:ext>
              </c:extLst>
            </c:dLbl>
            <c:dLbl>
              <c:idx val="2"/>
              <c:layout>
                <c:manualLayout>
                  <c:x val="-0.10381586505605384"/>
                  <c:y val="-3.9630845239025329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FCAE-44AD-B35D-EFC1345632FD}"/>
                </c:ext>
              </c:extLst>
            </c:dLbl>
            <c:dLbl>
              <c:idx val="3"/>
              <c:layout>
                <c:manualLayout>
                  <c:x val="-7.9520445100691076E-2"/>
                  <c:y val="-5.945962569781119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FCAE-44AD-B35D-EFC1345632FD}"/>
                </c:ext>
              </c:extLst>
            </c:dLbl>
            <c:dLbl>
              <c:idx val="4"/>
              <c:layout>
                <c:manualLayout>
                  <c:x val="2.016280701329505E-2"/>
                  <c:y val="-7.191005267336905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FCAE-44AD-B35D-EFC1345632FD}"/>
                </c:ext>
              </c:extLst>
            </c:dLbl>
            <c:dLbl>
              <c:idx val="5"/>
              <c:layout>
                <c:manualLayout>
                  <c:x val="6.4821307345160409E-2"/>
                  <c:y val="-4.831437270887816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FCAE-44AD-B35D-EFC1345632FD}"/>
                </c:ext>
              </c:extLst>
            </c:dLbl>
            <c:dLbl>
              <c:idx val="6"/>
              <c:layout>
                <c:manualLayout>
                  <c:x val="0.11063367362461307"/>
                  <c:y val="6.964792929416090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FCAE-44AD-B35D-EFC1345632FD}"/>
                </c:ext>
              </c:extLst>
            </c:dLbl>
            <c:dLbl>
              <c:idx val="7"/>
              <c:layout>
                <c:manualLayout>
                  <c:x val="0.10659594692878858"/>
                  <c:y val="0.1080795201491356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FCAE-44AD-B35D-EFC1345632FD}"/>
                </c:ext>
              </c:extLst>
            </c:dLbl>
            <c:dLbl>
              <c:idx val="8"/>
              <c:layout>
                <c:manualLayout>
                  <c:x val="7.9281384737523636E-2"/>
                  <c:y val="7.374692206648243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FCAE-44AD-B35D-EFC1345632FD}"/>
                </c:ext>
              </c:extLst>
            </c:dLbl>
            <c:dLbl>
              <c:idx val="9"/>
              <c:layout>
                <c:manualLayout>
                  <c:x val="-7.3491904680096174E-3"/>
                  <c:y val="0.1354101252732338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FCAE-44AD-B35D-EFC1345632FD}"/>
                </c:ext>
              </c:extLst>
            </c:dLbl>
            <c:dLbl>
              <c:idx val="10"/>
              <c:layout>
                <c:manualLayout>
                  <c:x val="-0.19841451988505426"/>
                  <c:y val="9.819751491379456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FCAE-44AD-B35D-EFC1345632FD}"/>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'LU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'LU Chrts'!$D$102:$D$112</c:f>
              <c:numCache>
                <c:formatCode>"$"#,##0</c:formatCode>
                <c:ptCount val="11"/>
                <c:pt idx="0">
                  <c:v>63622119</c:v>
                </c:pt>
                <c:pt idx="1">
                  <c:v>4843833</c:v>
                </c:pt>
                <c:pt idx="2">
                  <c:v>1304660</c:v>
                </c:pt>
                <c:pt idx="3">
                  <c:v>47163895</c:v>
                </c:pt>
                <c:pt idx="4">
                  <c:v>9181241</c:v>
                </c:pt>
                <c:pt idx="5">
                  <c:v>32163493</c:v>
                </c:pt>
                <c:pt idx="6">
                  <c:v>13795553</c:v>
                </c:pt>
                <c:pt idx="7">
                  <c:v>40118677</c:v>
                </c:pt>
                <c:pt idx="8">
                  <c:v>27991412</c:v>
                </c:pt>
                <c:pt idx="9">
                  <c:v>1468050</c:v>
                </c:pt>
                <c:pt idx="10">
                  <c:v>98196</c:v>
                </c:pt>
              </c:numCache>
            </c:numRef>
          </c:val>
          <c:extLst>
            <c:ext xmlns:c16="http://schemas.microsoft.com/office/drawing/2014/chart" uri="{C3380CC4-5D6E-409C-BE32-E72D297353CC}">
              <c16:uniqueId val="{00000015-FCAE-44AD-B35D-EFC1345632FD}"/>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8535874870846404"/>
          <c:y val="0.29482693311186686"/>
          <c:w val="0.22658030189665221"/>
          <c:h val="0.35677145667972004"/>
        </c:manualLayout>
      </c:layout>
      <c:pieChart>
        <c:varyColors val="1"/>
        <c:ser>
          <c:idx val="0"/>
          <c:order val="0"/>
          <c:tx>
            <c:strRef>
              <c:f>'shsu1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B66A-4796-B684-761A885D463A}"/>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B66A-4796-B684-761A885D463A}"/>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B66A-4796-B684-761A885D463A}"/>
              </c:ext>
            </c:extLst>
          </c:dPt>
          <c:dLbls>
            <c:dLbl>
              <c:idx val="0"/>
              <c:layout>
                <c:manualLayout>
                  <c:x val="0.12047666892317366"/>
                  <c:y val="1.373790608274367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B66A-4796-B684-761A885D463A}"/>
                </c:ext>
              </c:extLst>
            </c:dLbl>
            <c:dLbl>
              <c:idx val="1"/>
              <c:layout>
                <c:manualLayout>
                  <c:x val="3.273341016327197E-2"/>
                  <c:y val="9.988163400132130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B66A-4796-B684-761A885D463A}"/>
                </c:ext>
              </c:extLst>
            </c:dLbl>
            <c:dLbl>
              <c:idx val="2"/>
              <c:layout>
                <c:manualLayout>
                  <c:x val="-9.1162717782449124E-2"/>
                  <c:y val="0.1089982993115862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B66A-4796-B684-761A885D463A}"/>
                </c:ext>
              </c:extLst>
            </c:dLbl>
            <c:dLbl>
              <c:idx val="3"/>
              <c:layout>
                <c:manualLayout>
                  <c:x val="-8.4613531905796832E-2"/>
                  <c:y val="-1.762848515458192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B66A-4796-B684-761A885D463A}"/>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'shsu1 Chrts'!$C$9:$C$12</c:f>
              <c:strCache>
                <c:ptCount val="4"/>
                <c:pt idx="0">
                  <c:v>State of Texas</c:v>
                </c:pt>
                <c:pt idx="1">
                  <c:v>Student &amp; Parent</c:v>
                </c:pt>
                <c:pt idx="2">
                  <c:v>Federal Government</c:v>
                </c:pt>
                <c:pt idx="3">
                  <c:v>Institutional Resources</c:v>
                </c:pt>
              </c:strCache>
            </c:strRef>
          </c:cat>
          <c:val>
            <c:numRef>
              <c:f>'shsu1 Chrts'!$D$9:$D$12</c:f>
              <c:numCache>
                <c:formatCode>"$"#,##0</c:formatCode>
                <c:ptCount val="4"/>
                <c:pt idx="0">
                  <c:v>107341336</c:v>
                </c:pt>
                <c:pt idx="1">
                  <c:v>176866747</c:v>
                </c:pt>
                <c:pt idx="2">
                  <c:v>75908436</c:v>
                </c:pt>
                <c:pt idx="3">
                  <c:v>71798488</c:v>
                </c:pt>
              </c:numCache>
            </c:numRef>
          </c:val>
          <c:extLst>
            <c:ext xmlns:c16="http://schemas.microsoft.com/office/drawing/2014/chart" uri="{C3380CC4-5D6E-409C-BE32-E72D297353CC}">
              <c16:uniqueId val="{00000007-B66A-4796-B684-761A885D463A}"/>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399"/>
          <c:y val="4.2735042735042736E-2"/>
        </c:manualLayout>
      </c:layout>
      <c:overlay val="0"/>
      <c:spPr>
        <a:noFill/>
        <a:ln w="25400">
          <a:noFill/>
        </a:ln>
      </c:spPr>
    </c:title>
    <c:autoTitleDeleted val="0"/>
    <c:plotArea>
      <c:layout>
        <c:manualLayout>
          <c:layoutTarget val="inner"/>
          <c:xMode val="edge"/>
          <c:yMode val="edge"/>
          <c:x val="0.38407086725150108"/>
          <c:y val="0.30267224998675285"/>
          <c:w val="0.22002396223441137"/>
          <c:h val="0.34878301962340386"/>
        </c:manualLayout>
      </c:layout>
      <c:pieChart>
        <c:varyColors val="1"/>
        <c:ser>
          <c:idx val="0"/>
          <c:order val="0"/>
          <c:tx>
            <c:strRef>
              <c:f>'AUS1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1A6F-489F-9463-59424F936107}"/>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1A6F-489F-9463-59424F936107}"/>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1A6F-489F-9463-59424F936107}"/>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1A6F-489F-9463-59424F936107}"/>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1A6F-489F-9463-59424F936107}"/>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1A6F-489F-9463-59424F936107}"/>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1A6F-489F-9463-59424F936107}"/>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1A6F-489F-9463-59424F936107}"/>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1A6F-489F-9463-59424F936107}"/>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1A6F-489F-9463-59424F936107}"/>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1A6F-489F-9463-59424F936107}"/>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1A6F-489F-9463-59424F936107}"/>
              </c:ext>
            </c:extLst>
          </c:dPt>
          <c:dLbls>
            <c:dLbl>
              <c:idx val="0"/>
              <c:layout>
                <c:manualLayout>
                  <c:x val="9.1400658048140862E-2"/>
                  <c:y val="-5.611095443852762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1A6F-489F-9463-59424F936107}"/>
                </c:ext>
              </c:extLst>
            </c:dLbl>
            <c:dLbl>
              <c:idx val="1"/>
              <c:layout>
                <c:manualLayout>
                  <c:x val="0.1608167880063632"/>
                  <c:y val="0.1125252543767617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1A6F-489F-9463-59424F936107}"/>
                </c:ext>
              </c:extLst>
            </c:dLbl>
            <c:dLbl>
              <c:idx val="2"/>
              <c:delete val="1"/>
              <c:extLst>
                <c:ext xmlns:c15="http://schemas.microsoft.com/office/drawing/2012/chart" uri="{CE6537A1-D6FC-4f65-9D91-7224C49458BB}"/>
                <c:ext xmlns:c16="http://schemas.microsoft.com/office/drawing/2014/chart" uri="{C3380CC4-5D6E-409C-BE32-E72D297353CC}">
                  <c16:uniqueId val="{00000003-1A6F-489F-9463-59424F936107}"/>
                </c:ext>
              </c:extLst>
            </c:dLbl>
            <c:dLbl>
              <c:idx val="3"/>
              <c:delete val="1"/>
              <c:extLst>
                <c:ext xmlns:c15="http://schemas.microsoft.com/office/drawing/2012/chart" uri="{CE6537A1-D6FC-4f65-9D91-7224C49458BB}"/>
                <c:ext xmlns:c16="http://schemas.microsoft.com/office/drawing/2014/chart" uri="{C3380CC4-5D6E-409C-BE32-E72D297353CC}">
                  <c16:uniqueId val="{00000005-1A6F-489F-9463-59424F936107}"/>
                </c:ext>
              </c:extLst>
            </c:dLbl>
            <c:dLbl>
              <c:idx val="4"/>
              <c:layout>
                <c:manualLayout>
                  <c:x val="0.10389744800534051"/>
                  <c:y val="0.2455744836403022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1A6F-489F-9463-59424F936107}"/>
                </c:ext>
              </c:extLst>
            </c:dLbl>
            <c:dLbl>
              <c:idx val="5"/>
              <c:layout>
                <c:manualLayout>
                  <c:x val="1.9661104545836482E-2"/>
                  <c:y val="0.2361528939446138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1A6F-489F-9463-59424F936107}"/>
                </c:ext>
              </c:extLst>
            </c:dLbl>
            <c:dLbl>
              <c:idx val="6"/>
              <c:layout>
                <c:manualLayout>
                  <c:x val="-1.5550926519722367E-3"/>
                  <c:y val="0.140017912258779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1A6F-489F-9463-59424F936107}"/>
                </c:ext>
              </c:extLst>
            </c:dLbl>
            <c:dLbl>
              <c:idx val="7"/>
              <c:layout>
                <c:manualLayout>
                  <c:x val="-5.3844126087173087E-2"/>
                  <c:y val="0.1449190680517089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1A6F-489F-9463-59424F936107}"/>
                </c:ext>
              </c:extLst>
            </c:dLbl>
            <c:dLbl>
              <c:idx val="8"/>
              <c:layout>
                <c:manualLayout>
                  <c:x val="-0.12236858011524869"/>
                  <c:y val="4.302322628898173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1A6F-489F-9463-59424F936107}"/>
                </c:ext>
              </c:extLst>
            </c:dLbl>
            <c:dLbl>
              <c:idx val="9"/>
              <c:layout>
                <c:manualLayout>
                  <c:x val="-0.10830251991549777"/>
                  <c:y val="-1.467792565766558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1A6F-489F-9463-59424F936107}"/>
                </c:ext>
              </c:extLst>
            </c:dLbl>
            <c:dLbl>
              <c:idx val="10"/>
              <c:layout>
                <c:manualLayout>
                  <c:x val="-0.13495109723681595"/>
                  <c:y val="-2.9545761524161643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1A6F-489F-9463-59424F936107}"/>
                </c:ext>
              </c:extLst>
            </c:dLbl>
            <c:dLbl>
              <c:idx val="11"/>
              <c:layout>
                <c:manualLayout>
                  <c:x val="-8.4465736875071848E-2"/>
                  <c:y val="-4.200005498982310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1A6F-489F-9463-59424F936107}"/>
                </c:ext>
              </c:extLst>
            </c:dLbl>
            <c:dLbl>
              <c:idx val="12"/>
              <c:layout>
                <c:manualLayout>
                  <c:x val="2.1791712858044418E-2"/>
                  <c:y val="-7.855972338015529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1A6F-489F-9463-59424F936107}"/>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'AUS1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'AUS1 Chrts'!$D$54:$D$66</c:f>
              <c:numCache>
                <c:formatCode>"$"#,##0</c:formatCode>
                <c:ptCount val="13"/>
                <c:pt idx="0">
                  <c:v>327739839</c:v>
                </c:pt>
                <c:pt idx="1">
                  <c:v>59642797</c:v>
                </c:pt>
                <c:pt idx="3">
                  <c:v>0</c:v>
                </c:pt>
                <c:pt idx="4">
                  <c:v>392376810</c:v>
                </c:pt>
                <c:pt idx="5">
                  <c:v>521364736</c:v>
                </c:pt>
                <c:pt idx="6">
                  <c:v>599352881</c:v>
                </c:pt>
                <c:pt idx="7">
                  <c:v>554260906</c:v>
                </c:pt>
                <c:pt idx="8">
                  <c:v>3356329</c:v>
                </c:pt>
                <c:pt idx="9">
                  <c:v>331777246</c:v>
                </c:pt>
                <c:pt idx="10">
                  <c:v>270574450</c:v>
                </c:pt>
                <c:pt idx="11">
                  <c:v>164236378</c:v>
                </c:pt>
                <c:pt idx="12" formatCode="&quot;$&quot;#,##0_);\(&quot;$&quot;#,##0\)">
                  <c:v>11934988</c:v>
                </c:pt>
              </c:numCache>
            </c:numRef>
          </c:val>
          <c:extLst>
            <c:ext xmlns:c16="http://schemas.microsoft.com/office/drawing/2014/chart" uri="{C3380CC4-5D6E-409C-BE32-E72D297353CC}">
              <c16:uniqueId val="{00000019-1A6F-489F-9463-59424F936107}"/>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333"/>
          <c:y val="4.2735042735042736E-2"/>
        </c:manualLayout>
      </c:layout>
      <c:overlay val="0"/>
      <c:spPr>
        <a:noFill/>
        <a:ln w="25400">
          <a:noFill/>
        </a:ln>
      </c:spPr>
    </c:title>
    <c:autoTitleDeleted val="0"/>
    <c:plotArea>
      <c:layout>
        <c:manualLayout>
          <c:layoutTarget val="inner"/>
          <c:xMode val="edge"/>
          <c:yMode val="edge"/>
          <c:x val="0.38768197844157137"/>
          <c:y val="0.30839660042696748"/>
          <c:w val="0.22724618461460044"/>
          <c:h val="0.36023172050385704"/>
        </c:manualLayout>
      </c:layout>
      <c:pieChart>
        <c:varyColors val="1"/>
        <c:ser>
          <c:idx val="0"/>
          <c:order val="0"/>
          <c:tx>
            <c:strRef>
              <c:f>'shsu1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B4BB-4F58-B8EA-2346F5817603}"/>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B4BB-4F58-B8EA-2346F5817603}"/>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B4BB-4F58-B8EA-2346F5817603}"/>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B4BB-4F58-B8EA-2346F5817603}"/>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B4BB-4F58-B8EA-2346F5817603}"/>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B4BB-4F58-B8EA-2346F5817603}"/>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B4BB-4F58-B8EA-2346F5817603}"/>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B4BB-4F58-B8EA-2346F5817603}"/>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B4BB-4F58-B8EA-2346F5817603}"/>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B4BB-4F58-B8EA-2346F5817603}"/>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B4BB-4F58-B8EA-2346F5817603}"/>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B4BB-4F58-B8EA-2346F5817603}"/>
              </c:ext>
            </c:extLst>
          </c:dPt>
          <c:dLbls>
            <c:dLbl>
              <c:idx val="0"/>
              <c:layout>
                <c:manualLayout>
                  <c:x val="0.11003076820707448"/>
                  <c:y val="4.0569267870602891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B4BB-4F58-B8EA-2346F5817603}"/>
                </c:ext>
              </c:extLst>
            </c:dLbl>
            <c:dLbl>
              <c:idx val="1"/>
              <c:layout>
                <c:manualLayout>
                  <c:x val="0.10995666666698173"/>
                  <c:y val="5.572317101369231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B4BB-4F58-B8EA-2346F5817603}"/>
                </c:ext>
              </c:extLst>
            </c:dLbl>
            <c:dLbl>
              <c:idx val="2"/>
              <c:delete val="1"/>
              <c:extLst>
                <c:ext xmlns:c15="http://schemas.microsoft.com/office/drawing/2012/chart" uri="{CE6537A1-D6FC-4f65-9D91-7224C49458BB}"/>
                <c:ext xmlns:c16="http://schemas.microsoft.com/office/drawing/2014/chart" uri="{C3380CC4-5D6E-409C-BE32-E72D297353CC}">
                  <c16:uniqueId val="{00000003-B4BB-4F58-B8EA-2346F5817603}"/>
                </c:ext>
              </c:extLst>
            </c:dLbl>
            <c:dLbl>
              <c:idx val="3"/>
              <c:layout>
                <c:manualLayout>
                  <c:x val="3.8930056936258506E-2"/>
                  <c:y val="0.2056946919946386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B4BB-4F58-B8EA-2346F5817603}"/>
                </c:ext>
              </c:extLst>
            </c:dLbl>
            <c:dLbl>
              <c:idx val="4"/>
              <c:delete val="1"/>
              <c:extLst>
                <c:ext xmlns:c15="http://schemas.microsoft.com/office/drawing/2012/chart" uri="{CE6537A1-D6FC-4f65-9D91-7224C49458BB}"/>
                <c:ext xmlns:c16="http://schemas.microsoft.com/office/drawing/2014/chart" uri="{C3380CC4-5D6E-409C-BE32-E72D297353CC}">
                  <c16:uniqueId val="{00000007-B4BB-4F58-B8EA-2346F5817603}"/>
                </c:ext>
              </c:extLst>
            </c:dLbl>
            <c:dLbl>
              <c:idx val="5"/>
              <c:layout>
                <c:manualLayout>
                  <c:x val="-1.8280774327067751E-2"/>
                  <c:y val="9.633495833769671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B4BB-4F58-B8EA-2346F5817603}"/>
                </c:ext>
              </c:extLst>
            </c:dLbl>
            <c:dLbl>
              <c:idx val="6"/>
              <c:layout>
                <c:manualLayout>
                  <c:x val="-3.9198485984553798E-2"/>
                  <c:y val="0.2821045536832138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B4BB-4F58-B8EA-2346F5817603}"/>
                </c:ext>
              </c:extLst>
            </c:dLbl>
            <c:dLbl>
              <c:idx val="7"/>
              <c:layout>
                <c:manualLayout>
                  <c:x val="-8.9979496368504691E-2"/>
                  <c:y val="0.2493797493515783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B4BB-4F58-B8EA-2346F5817603}"/>
                </c:ext>
              </c:extLst>
            </c:dLbl>
            <c:dLbl>
              <c:idx val="8"/>
              <c:layout>
                <c:manualLayout>
                  <c:x val="-0.12419427571273819"/>
                  <c:y val="0.1195651537003117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B4BB-4F58-B8EA-2346F5817603}"/>
                </c:ext>
              </c:extLst>
            </c:dLbl>
            <c:dLbl>
              <c:idx val="9"/>
              <c:layout>
                <c:manualLayout>
                  <c:x val="-0.11146440616642014"/>
                  <c:y val="-2.460208627783052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B4BB-4F58-B8EA-2346F5817603}"/>
                </c:ext>
              </c:extLst>
            </c:dLbl>
            <c:dLbl>
              <c:idx val="10"/>
              <c:layout>
                <c:manualLayout>
                  <c:x val="-5.1850378782687501E-2"/>
                  <c:y val="-0.1353281517695079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B4BB-4F58-B8EA-2346F5817603}"/>
                </c:ext>
              </c:extLst>
            </c:dLbl>
            <c:dLbl>
              <c:idx val="11"/>
              <c:layout>
                <c:manualLayout>
                  <c:x val="9.3995724227715918E-2"/>
                  <c:y val="-7.7447531670607347E-2"/>
                </c:manualLayout>
              </c:layout>
              <c:showLegendKey val="0"/>
              <c:showVal val="1"/>
              <c:showCatName val="1"/>
              <c:showSerName val="0"/>
              <c:showPercent val="1"/>
              <c:showBubbleSize val="0"/>
              <c:separator>
</c:separator>
              <c:extLst>
                <c:ext xmlns:c15="http://schemas.microsoft.com/office/drawing/2012/chart" uri="{CE6537A1-D6FC-4f65-9D91-7224C49458BB}">
                  <c15:layout>
                    <c:manualLayout>
                      <c:w val="0.13691412642838044"/>
                      <c:h val="0.12860707322375733"/>
                    </c:manualLayout>
                  </c15:layout>
                </c:ext>
                <c:ext xmlns:c16="http://schemas.microsoft.com/office/drawing/2014/chart" uri="{C3380CC4-5D6E-409C-BE32-E72D297353CC}">
                  <c16:uniqueId val="{00000015-B4BB-4F58-B8EA-2346F5817603}"/>
                </c:ext>
              </c:extLst>
            </c:dLbl>
            <c:dLbl>
              <c:idx val="12"/>
              <c:layout>
                <c:manualLayout>
                  <c:x val="0.17057664136092771"/>
                  <c:y val="-8.107302873879337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B4BB-4F58-B8EA-2346F5817603}"/>
                </c:ext>
              </c:extLst>
            </c:dLbl>
            <c:spPr>
              <a:noFill/>
              <a:ln>
                <a:noFill/>
              </a:ln>
              <a:effectLst/>
            </c:sp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'shsu1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'shsu1 Chrts'!$D$54:$D$66</c:f>
              <c:numCache>
                <c:formatCode>"$"#,##0</c:formatCode>
                <c:ptCount val="13"/>
                <c:pt idx="0">
                  <c:v>69852319</c:v>
                </c:pt>
                <c:pt idx="1">
                  <c:v>19252206</c:v>
                </c:pt>
                <c:pt idx="3">
                  <c:v>18236811</c:v>
                </c:pt>
                <c:pt idx="4">
                  <c:v>0</c:v>
                </c:pt>
                <c:pt idx="5">
                  <c:v>176866747</c:v>
                </c:pt>
                <c:pt idx="6">
                  <c:v>75908436</c:v>
                </c:pt>
                <c:pt idx="7">
                  <c:v>21848719</c:v>
                </c:pt>
                <c:pt idx="8">
                  <c:v>4694576</c:v>
                </c:pt>
                <c:pt idx="9">
                  <c:v>3750334</c:v>
                </c:pt>
                <c:pt idx="10">
                  <c:v>3631921</c:v>
                </c:pt>
                <c:pt idx="11">
                  <c:v>32037617</c:v>
                </c:pt>
                <c:pt idx="12">
                  <c:v>5835321</c:v>
                </c:pt>
              </c:numCache>
            </c:numRef>
          </c:val>
          <c:extLst>
            <c:ext xmlns:c16="http://schemas.microsoft.com/office/drawing/2014/chart" uri="{C3380CC4-5D6E-409C-BE32-E72D297353CC}">
              <c16:uniqueId val="{00000019-B4BB-4F58-B8EA-2346F5817603}"/>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25"/>
          <c:y val="3.3873343151695316E-2"/>
        </c:manualLayout>
      </c:layout>
      <c:overlay val="0"/>
      <c:spPr>
        <a:noFill/>
        <a:ln w="25400">
          <a:noFill/>
        </a:ln>
      </c:spPr>
    </c:title>
    <c:autoTitleDeleted val="0"/>
    <c:plotArea>
      <c:layout>
        <c:manualLayout>
          <c:layoutTarget val="inner"/>
          <c:xMode val="edge"/>
          <c:yMode val="edge"/>
          <c:x val="0.39645939827142945"/>
          <c:y val="0.28689232713407042"/>
          <c:w val="0.22399035563593073"/>
          <c:h val="0.3665110944604118"/>
        </c:manualLayout>
      </c:layout>
      <c:pieChart>
        <c:varyColors val="1"/>
        <c:ser>
          <c:idx val="0"/>
          <c:order val="0"/>
          <c:tx>
            <c:strRef>
              <c:f>'shsu1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CFF1-4176-B07D-E1E1F1B40CB1}"/>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CFF1-4176-B07D-E1E1F1B40CB1}"/>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CFF1-4176-B07D-E1E1F1B40CB1}"/>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CFF1-4176-B07D-E1E1F1B40CB1}"/>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CFF1-4176-B07D-E1E1F1B40CB1}"/>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CFF1-4176-B07D-E1E1F1B40CB1}"/>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CFF1-4176-B07D-E1E1F1B40CB1}"/>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CFF1-4176-B07D-E1E1F1B40CB1}"/>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CFF1-4176-B07D-E1E1F1B40CB1}"/>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CFF1-4176-B07D-E1E1F1B40CB1}"/>
              </c:ext>
            </c:extLst>
          </c:dPt>
          <c:dLbls>
            <c:dLbl>
              <c:idx val="0"/>
              <c:layout>
                <c:manualLayout>
                  <c:x val="-8.5201510763108723E-2"/>
                  <c:y val="3.981754434142505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CFF1-4176-B07D-E1E1F1B40CB1}"/>
                </c:ext>
              </c:extLst>
            </c:dLbl>
            <c:dLbl>
              <c:idx val="1"/>
              <c:layout>
                <c:manualLayout>
                  <c:x val="-9.0678613567200653E-2"/>
                  <c:y val="0.1217723737560125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CFF1-4176-B07D-E1E1F1B40CB1}"/>
                </c:ext>
              </c:extLst>
            </c:dLbl>
            <c:dLbl>
              <c:idx val="2"/>
              <c:layout>
                <c:manualLayout>
                  <c:x val="-8.212002551995394E-2"/>
                  <c:y val="9.8888394786901656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CFF1-4176-B07D-E1E1F1B40CB1}"/>
                </c:ext>
              </c:extLst>
            </c:dLbl>
            <c:dLbl>
              <c:idx val="3"/>
              <c:layout>
                <c:manualLayout>
                  <c:x val="-5.958733280910973E-2"/>
                  <c:y val="-1.674420685266474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CFF1-4176-B07D-E1E1F1B40CB1}"/>
                </c:ext>
              </c:extLst>
            </c:dLbl>
            <c:dLbl>
              <c:idx val="4"/>
              <c:layout>
                <c:manualLayout>
                  <c:x val="-4.0138395799954395E-2"/>
                  <c:y val="-4.375375106707373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CFF1-4176-B07D-E1E1F1B40CB1}"/>
                </c:ext>
              </c:extLst>
            </c:dLbl>
            <c:dLbl>
              <c:idx val="5"/>
              <c:layout>
                <c:manualLayout>
                  <c:x val="5.3783846639423323E-2"/>
                  <c:y val="-5.922756287192257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CFF1-4176-B07D-E1E1F1B40CB1}"/>
                </c:ext>
              </c:extLst>
            </c:dLbl>
            <c:dLbl>
              <c:idx val="6"/>
              <c:layout>
                <c:manualLayout>
                  <c:x val="0.11340656571198922"/>
                  <c:y val="6.153365367290819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CFF1-4176-B07D-E1E1F1B40CB1}"/>
                </c:ext>
              </c:extLst>
            </c:dLbl>
            <c:dLbl>
              <c:idx val="7"/>
              <c:layout>
                <c:manualLayout>
                  <c:x val="0.126126998854932"/>
                  <c:y val="0.1161024378363534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CFF1-4176-B07D-E1E1F1B40CB1}"/>
                </c:ext>
              </c:extLst>
            </c:dLbl>
            <c:dLbl>
              <c:idx val="8"/>
              <c:layout>
                <c:manualLayout>
                  <c:x val="9.2911487329906492E-2"/>
                  <c:y val="9.710697204546424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CFF1-4176-B07D-E1E1F1B40CB1}"/>
                </c:ext>
              </c:extLst>
            </c:dLbl>
            <c:dLbl>
              <c:idx val="9"/>
              <c:layout>
                <c:manualLayout>
                  <c:x val="3.2782579392765784E-2"/>
                  <c:y val="0.1102546562935296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CFF1-4176-B07D-E1E1F1B40CB1}"/>
                </c:ext>
              </c:extLst>
            </c:dLbl>
            <c:dLbl>
              <c:idx val="10"/>
              <c:layout>
                <c:manualLayout>
                  <c:x val="-0.15173048673333242"/>
                  <c:y val="0.1210290133822250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CFF1-4176-B07D-E1E1F1B40CB1}"/>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'shsu1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'shsu1 Chrts'!$D$102:$D$112</c:f>
              <c:numCache>
                <c:formatCode>"$"#,##0</c:formatCode>
                <c:ptCount val="11"/>
                <c:pt idx="0">
                  <c:v>102021253</c:v>
                </c:pt>
                <c:pt idx="1">
                  <c:v>10416913</c:v>
                </c:pt>
                <c:pt idx="2">
                  <c:v>16145883</c:v>
                </c:pt>
                <c:pt idx="3">
                  <c:v>45409150</c:v>
                </c:pt>
                <c:pt idx="4">
                  <c:v>27978543</c:v>
                </c:pt>
                <c:pt idx="5">
                  <c:v>24667154</c:v>
                </c:pt>
                <c:pt idx="6">
                  <c:v>24366699</c:v>
                </c:pt>
                <c:pt idx="7">
                  <c:v>50724853</c:v>
                </c:pt>
                <c:pt idx="8">
                  <c:v>43777054</c:v>
                </c:pt>
                <c:pt idx="9">
                  <c:v>4693822</c:v>
                </c:pt>
                <c:pt idx="10">
                  <c:v>349762</c:v>
                </c:pt>
              </c:numCache>
            </c:numRef>
          </c:val>
          <c:extLst>
            <c:ext xmlns:c16="http://schemas.microsoft.com/office/drawing/2014/chart" uri="{C3380CC4-5D6E-409C-BE32-E72D297353CC}">
              <c16:uniqueId val="{00000015-CFF1-4176-B07D-E1E1F1B40CB1}"/>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9742511371600397"/>
          <c:y val="0.30242677225857301"/>
          <c:w val="0.22658030189665221"/>
          <c:h val="0.35677145667972004"/>
        </c:manualLayout>
      </c:layout>
      <c:pieChart>
        <c:varyColors val="1"/>
        <c:ser>
          <c:idx val="0"/>
          <c:order val="0"/>
          <c:tx>
            <c:strRef>
              <c:f>'TXST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D0CE-4AED-91E0-5AB0E5D994F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D0CE-4AED-91E0-5AB0E5D994F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D0CE-4AED-91E0-5AB0E5D994F2}"/>
              </c:ext>
            </c:extLst>
          </c:dPt>
          <c:dLbls>
            <c:dLbl>
              <c:idx val="0"/>
              <c:layout>
                <c:manualLayout>
                  <c:x val="0.10087861189296853"/>
                  <c:y val="-5.195701842153132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D0CE-4AED-91E0-5AB0E5D994F2}"/>
                </c:ext>
              </c:extLst>
            </c:dLbl>
            <c:dLbl>
              <c:idx val="1"/>
              <c:layout>
                <c:manualLayout>
                  <c:x val="-1.0345150295127642E-2"/>
                  <c:y val="0.1343350858841701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D0CE-4AED-91E0-5AB0E5D994F2}"/>
                </c:ext>
              </c:extLst>
            </c:dLbl>
            <c:dLbl>
              <c:idx val="2"/>
              <c:layout>
                <c:manualLayout>
                  <c:x val="-0.10658590753078979"/>
                  <c:y val="8.295418912708436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D0CE-4AED-91E0-5AB0E5D994F2}"/>
                </c:ext>
              </c:extLst>
            </c:dLbl>
            <c:dLbl>
              <c:idx val="3"/>
              <c:layout>
                <c:manualLayout>
                  <c:x val="-9.047008942886664E-2"/>
                  <c:y val="-4.507452629664031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D0CE-4AED-91E0-5AB0E5D994F2}"/>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'TXST Chrts'!$C$9:$C$12</c:f>
              <c:strCache>
                <c:ptCount val="4"/>
                <c:pt idx="0">
                  <c:v>State of Texas</c:v>
                </c:pt>
                <c:pt idx="1">
                  <c:v>Student &amp; Parent</c:v>
                </c:pt>
                <c:pt idx="2">
                  <c:v>Federal Government</c:v>
                </c:pt>
                <c:pt idx="3">
                  <c:v>Institutional Resources</c:v>
                </c:pt>
              </c:strCache>
            </c:strRef>
          </c:cat>
          <c:val>
            <c:numRef>
              <c:f>'TXST Chrts'!$D$9:$D$12</c:f>
              <c:numCache>
                <c:formatCode>"$"#,##0</c:formatCode>
                <c:ptCount val="4"/>
                <c:pt idx="0">
                  <c:v>206842810</c:v>
                </c:pt>
                <c:pt idx="1">
                  <c:v>285682007</c:v>
                </c:pt>
                <c:pt idx="2">
                  <c:v>142660412</c:v>
                </c:pt>
                <c:pt idx="3">
                  <c:v>120781233</c:v>
                </c:pt>
              </c:numCache>
            </c:numRef>
          </c:val>
          <c:extLst>
            <c:ext xmlns:c16="http://schemas.microsoft.com/office/drawing/2014/chart" uri="{C3380CC4-5D6E-409C-BE32-E72D297353CC}">
              <c16:uniqueId val="{00000007-D0CE-4AED-91E0-5AB0E5D994F2}"/>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2"/>
          <c:y val="4.2735042735042736E-2"/>
        </c:manualLayout>
      </c:layout>
      <c:overlay val="0"/>
      <c:spPr>
        <a:noFill/>
        <a:ln w="25400">
          <a:noFill/>
        </a:ln>
      </c:spPr>
    </c:title>
    <c:autoTitleDeleted val="0"/>
    <c:plotArea>
      <c:layout>
        <c:manualLayout>
          <c:layoutTarget val="inner"/>
          <c:xMode val="edge"/>
          <c:yMode val="edge"/>
          <c:x val="0.38647827471155743"/>
          <c:y val="0.31030471724039393"/>
          <c:w val="0.22724618461460044"/>
          <c:h val="0.36023172050385704"/>
        </c:manualLayout>
      </c:layout>
      <c:pieChart>
        <c:varyColors val="1"/>
        <c:ser>
          <c:idx val="0"/>
          <c:order val="0"/>
          <c:tx>
            <c:strRef>
              <c:f>'TXST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94E2-41FF-BCED-1B743E4B7B98}"/>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94E2-41FF-BCED-1B743E4B7B98}"/>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94E2-41FF-BCED-1B743E4B7B98}"/>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94E2-41FF-BCED-1B743E4B7B98}"/>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94E2-41FF-BCED-1B743E4B7B98}"/>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94E2-41FF-BCED-1B743E4B7B98}"/>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94E2-41FF-BCED-1B743E4B7B98}"/>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94E2-41FF-BCED-1B743E4B7B98}"/>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94E2-41FF-BCED-1B743E4B7B98}"/>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94E2-41FF-BCED-1B743E4B7B98}"/>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94E2-41FF-BCED-1B743E4B7B98}"/>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94E2-41FF-BCED-1B743E4B7B98}"/>
              </c:ext>
            </c:extLst>
          </c:dPt>
          <c:dLbls>
            <c:dLbl>
              <c:idx val="0"/>
              <c:layout>
                <c:manualLayout>
                  <c:x val="0.1211825774046824"/>
                  <c:y val="4.133161312345647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94E2-41FF-BCED-1B743E4B7B98}"/>
                </c:ext>
              </c:extLst>
            </c:dLbl>
            <c:dLbl>
              <c:idx val="1"/>
              <c:layout>
                <c:manualLayout>
                  <c:x val="0.1102260408879821"/>
                  <c:y val="5.290727138243964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94E2-41FF-BCED-1B743E4B7B98}"/>
                </c:ext>
              </c:extLst>
            </c:dLbl>
            <c:dLbl>
              <c:idx val="2"/>
              <c:delete val="1"/>
              <c:extLst>
                <c:ext xmlns:c15="http://schemas.microsoft.com/office/drawing/2012/chart" uri="{CE6537A1-D6FC-4f65-9D91-7224C49458BB}"/>
                <c:ext xmlns:c16="http://schemas.microsoft.com/office/drawing/2014/chart" uri="{C3380CC4-5D6E-409C-BE32-E72D297353CC}">
                  <c16:uniqueId val="{00000003-94E2-41FF-BCED-1B743E4B7B98}"/>
                </c:ext>
              </c:extLst>
            </c:dLbl>
            <c:dLbl>
              <c:idx val="3"/>
              <c:layout>
                <c:manualLayout>
                  <c:x val="3.1765836864892386E-2"/>
                  <c:y val="0.2167291662566218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94E2-41FF-BCED-1B743E4B7B98}"/>
                </c:ext>
              </c:extLst>
            </c:dLbl>
            <c:dLbl>
              <c:idx val="4"/>
              <c:delete val="1"/>
              <c:extLst>
                <c:ext xmlns:c15="http://schemas.microsoft.com/office/drawing/2012/chart" uri="{CE6537A1-D6FC-4f65-9D91-7224C49458BB}"/>
                <c:ext xmlns:c16="http://schemas.microsoft.com/office/drawing/2014/chart" uri="{C3380CC4-5D6E-409C-BE32-E72D297353CC}">
                  <c16:uniqueId val="{00000007-94E2-41FF-BCED-1B743E4B7B98}"/>
                </c:ext>
              </c:extLst>
            </c:dLbl>
            <c:dLbl>
              <c:idx val="5"/>
              <c:layout>
                <c:manualLayout>
                  <c:x val="-5.0772409312332983E-2"/>
                  <c:y val="8.915863617425884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94E2-41FF-BCED-1B743E4B7B98}"/>
                </c:ext>
              </c:extLst>
            </c:dLbl>
            <c:dLbl>
              <c:idx val="6"/>
              <c:layout>
                <c:manualLayout>
                  <c:x val="-6.465709086994359E-2"/>
                  <c:y val="0.2394028525895624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94E2-41FF-BCED-1B743E4B7B98}"/>
                </c:ext>
              </c:extLst>
            </c:dLbl>
            <c:dLbl>
              <c:idx val="7"/>
              <c:layout>
                <c:manualLayout>
                  <c:x val="-8.3279450612694025E-2"/>
                  <c:y val="0.1354868109313157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94E2-41FF-BCED-1B743E4B7B98}"/>
                </c:ext>
              </c:extLst>
            </c:dLbl>
            <c:dLbl>
              <c:idx val="8"/>
              <c:delete val="1"/>
              <c:extLst>
                <c:ext xmlns:c15="http://schemas.microsoft.com/office/drawing/2012/chart" uri="{CE6537A1-D6FC-4f65-9D91-7224C49458BB}"/>
                <c:ext xmlns:c16="http://schemas.microsoft.com/office/drawing/2014/chart" uri="{C3380CC4-5D6E-409C-BE32-E72D297353CC}">
                  <c16:uniqueId val="{0000000F-94E2-41FF-BCED-1B743E4B7B98}"/>
                </c:ext>
              </c:extLst>
            </c:dLbl>
            <c:dLbl>
              <c:idx val="9"/>
              <c:layout>
                <c:manualLayout>
                  <c:x val="-8.9636871262846196E-2"/>
                  <c:y val="4.5298993641163156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94E2-41FF-BCED-1B743E4B7B98}"/>
                </c:ext>
              </c:extLst>
            </c:dLbl>
            <c:dLbl>
              <c:idx val="10"/>
              <c:layout>
                <c:manualLayout>
                  <c:x val="-3.029826720542771E-2"/>
                  <c:y val="-0.1307534792707147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94E2-41FF-BCED-1B743E4B7B98}"/>
                </c:ext>
              </c:extLst>
            </c:dLbl>
            <c:dLbl>
              <c:idx val="11"/>
              <c:layout>
                <c:manualLayout>
                  <c:x val="8.4163281609387158E-2"/>
                  <c:y val="-6.644889094090743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94E2-41FF-BCED-1B743E4B7B98}"/>
                </c:ext>
              </c:extLst>
            </c:dLbl>
            <c:dLbl>
              <c:idx val="12"/>
              <c:layout>
                <c:manualLayout>
                  <c:x val="0.16217263825206565"/>
                  <c:y val="-7.57487818477091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94E2-41FF-BCED-1B743E4B7B98}"/>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'TXST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'TXST Chrts'!$D$54:$D$66</c:f>
              <c:numCache>
                <c:formatCode>"$"#,##0</c:formatCode>
                <c:ptCount val="13"/>
                <c:pt idx="0">
                  <c:v>138011843</c:v>
                </c:pt>
                <c:pt idx="1">
                  <c:v>31224489</c:v>
                </c:pt>
                <c:pt idx="3">
                  <c:v>37606478</c:v>
                </c:pt>
                <c:pt idx="4">
                  <c:v>0</c:v>
                </c:pt>
                <c:pt idx="5">
                  <c:v>285682007</c:v>
                </c:pt>
                <c:pt idx="6">
                  <c:v>142660412</c:v>
                </c:pt>
                <c:pt idx="7">
                  <c:v>22445953</c:v>
                </c:pt>
                <c:pt idx="8">
                  <c:v>740389</c:v>
                </c:pt>
                <c:pt idx="9">
                  <c:v>12828178</c:v>
                </c:pt>
                <c:pt idx="10">
                  <c:v>11959446</c:v>
                </c:pt>
                <c:pt idx="11">
                  <c:v>69893224</c:v>
                </c:pt>
                <c:pt idx="12">
                  <c:v>2914043</c:v>
                </c:pt>
              </c:numCache>
            </c:numRef>
          </c:val>
          <c:extLst>
            <c:ext xmlns:c16="http://schemas.microsoft.com/office/drawing/2014/chart" uri="{C3380CC4-5D6E-409C-BE32-E72D297353CC}">
              <c16:uniqueId val="{00000019-94E2-41FF-BCED-1B743E4B7B98}"/>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205"/>
          <c:y val="3.3873343151695254E-2"/>
        </c:manualLayout>
      </c:layout>
      <c:overlay val="0"/>
      <c:spPr>
        <a:noFill/>
        <a:ln w="25400">
          <a:noFill/>
        </a:ln>
      </c:spPr>
    </c:title>
    <c:autoTitleDeleted val="0"/>
    <c:plotArea>
      <c:layout>
        <c:manualLayout>
          <c:layoutTarget val="inner"/>
          <c:xMode val="edge"/>
          <c:yMode val="edge"/>
          <c:x val="0.38922612521537542"/>
          <c:y val="0.29872799218659718"/>
          <c:w val="0.22760699216395419"/>
          <c:h val="0.37242892698670127"/>
        </c:manualLayout>
      </c:layout>
      <c:pieChart>
        <c:varyColors val="1"/>
        <c:ser>
          <c:idx val="0"/>
          <c:order val="0"/>
          <c:tx>
            <c:strRef>
              <c:f>'TXST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D837-4A6A-A5CB-48C100D75D41}"/>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D837-4A6A-A5CB-48C100D75D41}"/>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D837-4A6A-A5CB-48C100D75D41}"/>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D837-4A6A-A5CB-48C100D75D41}"/>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D837-4A6A-A5CB-48C100D75D41}"/>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D837-4A6A-A5CB-48C100D75D41}"/>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D837-4A6A-A5CB-48C100D75D41}"/>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D837-4A6A-A5CB-48C100D75D41}"/>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D837-4A6A-A5CB-48C100D75D41}"/>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D837-4A6A-A5CB-48C100D75D41}"/>
              </c:ext>
            </c:extLst>
          </c:dPt>
          <c:dLbls>
            <c:dLbl>
              <c:idx val="0"/>
              <c:layout>
                <c:manualLayout>
                  <c:x val="-9.4610480133866234E-2"/>
                  <c:y val="3.74378297425338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D837-4A6A-A5CB-48C100D75D41}"/>
                </c:ext>
              </c:extLst>
            </c:dLbl>
            <c:dLbl>
              <c:idx val="1"/>
              <c:layout>
                <c:manualLayout>
                  <c:x val="-0.11822996566309879"/>
                  <c:y val="0.1522134868179891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D837-4A6A-A5CB-48C100D75D41}"/>
                </c:ext>
              </c:extLst>
            </c:dLbl>
            <c:dLbl>
              <c:idx val="2"/>
              <c:layout>
                <c:manualLayout>
                  <c:x val="-0.12058348513871368"/>
                  <c:y val="4.303662159794525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D837-4A6A-A5CB-48C100D75D41}"/>
                </c:ext>
              </c:extLst>
            </c:dLbl>
            <c:dLbl>
              <c:idx val="3"/>
              <c:layout>
                <c:manualLayout>
                  <c:x val="-3.8263539842329844E-2"/>
                  <c:y val="-6.437467925658413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D837-4A6A-A5CB-48C100D75D41}"/>
                </c:ext>
              </c:extLst>
            </c:dLbl>
            <c:dLbl>
              <c:idx val="4"/>
              <c:layout>
                <c:manualLayout>
                  <c:x val="2.4669856408634099E-2"/>
                  <c:y val="-5.106188592779809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D837-4A6A-A5CB-48C100D75D41}"/>
                </c:ext>
              </c:extLst>
            </c:dLbl>
            <c:dLbl>
              <c:idx val="5"/>
              <c:layout>
                <c:manualLayout>
                  <c:x val="0.12323140740426801"/>
                  <c:y val="-4.424239939063410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D837-4A6A-A5CB-48C100D75D41}"/>
                </c:ext>
              </c:extLst>
            </c:dLbl>
            <c:dLbl>
              <c:idx val="6"/>
              <c:layout>
                <c:manualLayout>
                  <c:x val="9.0201572904653068E-2"/>
                  <c:y val="7.494492222010981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D837-4A6A-A5CB-48C100D75D41}"/>
                </c:ext>
              </c:extLst>
            </c:dLbl>
            <c:dLbl>
              <c:idx val="7"/>
              <c:layout>
                <c:manualLayout>
                  <c:x val="9.8011514383487028E-2"/>
                  <c:y val="0.1374286908946769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D837-4A6A-A5CB-48C100D75D41}"/>
                </c:ext>
              </c:extLst>
            </c:dLbl>
            <c:dLbl>
              <c:idx val="8"/>
              <c:layout>
                <c:manualLayout>
                  <c:x val="6.6209125124213009E-2"/>
                  <c:y val="0.1249018548291773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D837-4A6A-A5CB-48C100D75D41}"/>
                </c:ext>
              </c:extLst>
            </c:dLbl>
            <c:dLbl>
              <c:idx val="9"/>
              <c:layout>
                <c:manualLayout>
                  <c:x val="-1.3197418640010474E-2"/>
                  <c:y val="0.1147502076289725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D837-4A6A-A5CB-48C100D75D41}"/>
                </c:ext>
              </c:extLst>
            </c:dLbl>
            <c:dLbl>
              <c:idx val="10"/>
              <c:layout>
                <c:manualLayout>
                  <c:x val="-0.1782718631912506"/>
                  <c:y val="9.861859749832521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D837-4A6A-A5CB-48C100D75D41}"/>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'TXST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'TXST Chrts'!$D$102:$D$112</c:f>
              <c:numCache>
                <c:formatCode>"$"#,##0</c:formatCode>
                <c:ptCount val="11"/>
                <c:pt idx="0">
                  <c:v>204998973</c:v>
                </c:pt>
                <c:pt idx="1">
                  <c:v>63379031</c:v>
                </c:pt>
                <c:pt idx="2">
                  <c:v>1454346</c:v>
                </c:pt>
                <c:pt idx="3">
                  <c:v>40428154</c:v>
                </c:pt>
                <c:pt idx="4">
                  <c:v>32153801</c:v>
                </c:pt>
                <c:pt idx="5">
                  <c:v>39713377</c:v>
                </c:pt>
                <c:pt idx="6">
                  <c:v>50015180</c:v>
                </c:pt>
                <c:pt idx="7">
                  <c:v>81474279</c:v>
                </c:pt>
                <c:pt idx="8">
                  <c:v>68499438</c:v>
                </c:pt>
                <c:pt idx="9">
                  <c:v>9758036</c:v>
                </c:pt>
                <c:pt idx="10">
                  <c:v>584362</c:v>
                </c:pt>
              </c:numCache>
            </c:numRef>
          </c:val>
          <c:extLst>
            <c:ext xmlns:c16="http://schemas.microsoft.com/office/drawing/2014/chart" uri="{C3380CC4-5D6E-409C-BE32-E72D297353CC}">
              <c16:uniqueId val="{00000015-D837-4A6A-A5CB-48C100D75D41}"/>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9018529471147456"/>
          <c:y val="0.30812665161858632"/>
          <c:w val="0.21934048289214222"/>
          <c:h val="0.34537169795967976"/>
        </c:manualLayout>
      </c:layout>
      <c:pieChart>
        <c:varyColors val="1"/>
        <c:ser>
          <c:idx val="0"/>
          <c:order val="0"/>
          <c:tx>
            <c:strRef>
              <c:f>'SRSU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E679-46B6-8EB4-69FA1C9EE0FD}"/>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E679-46B6-8EB4-69FA1C9EE0FD}"/>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E679-46B6-8EB4-69FA1C9EE0FD}"/>
              </c:ext>
            </c:extLst>
          </c:dPt>
          <c:dLbls>
            <c:dLbl>
              <c:idx val="0"/>
              <c:layout>
                <c:manualLayout>
                  <c:x val="0.11408905625167012"/>
                  <c:y val="1.952365764100998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E679-46B6-8EB4-69FA1C9EE0FD}"/>
                </c:ext>
              </c:extLst>
            </c:dLbl>
            <c:dLbl>
              <c:idx val="1"/>
              <c:layout>
                <c:manualLayout>
                  <c:x val="3.8890926786260611E-2"/>
                  <c:y val="0.1505942535641456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E679-46B6-8EB4-69FA1C9EE0FD}"/>
                </c:ext>
              </c:extLst>
            </c:dLbl>
            <c:dLbl>
              <c:idx val="2"/>
              <c:layout>
                <c:manualLayout>
                  <c:x val="-0.1180388831486562"/>
                  <c:y val="3.07317747479486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E679-46B6-8EB4-69FA1C9EE0FD}"/>
                </c:ext>
              </c:extLst>
            </c:dLbl>
            <c:dLbl>
              <c:idx val="3"/>
              <c:layout>
                <c:manualLayout>
                  <c:x val="-1.9847650265436875E-2"/>
                  <c:y val="-7.202149138764750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E679-46B6-8EB4-69FA1C9EE0FD}"/>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'SRSU Chrts'!$C$9:$C$12</c:f>
              <c:strCache>
                <c:ptCount val="4"/>
                <c:pt idx="0">
                  <c:v>State of Texas</c:v>
                </c:pt>
                <c:pt idx="1">
                  <c:v>Student &amp; Parent</c:v>
                </c:pt>
                <c:pt idx="2">
                  <c:v>Federal Government</c:v>
                </c:pt>
                <c:pt idx="3">
                  <c:v>Institutional Resources</c:v>
                </c:pt>
              </c:strCache>
            </c:strRef>
          </c:cat>
          <c:val>
            <c:numRef>
              <c:f>'SRSU Chrts'!$D$9:$D$12</c:f>
              <c:numCache>
                <c:formatCode>"$"#,##0</c:formatCode>
                <c:ptCount val="4"/>
                <c:pt idx="0">
                  <c:v>23686109</c:v>
                </c:pt>
                <c:pt idx="1">
                  <c:v>9678587</c:v>
                </c:pt>
                <c:pt idx="2">
                  <c:v>13524396</c:v>
                </c:pt>
                <c:pt idx="3">
                  <c:v>13017811</c:v>
                </c:pt>
              </c:numCache>
            </c:numRef>
          </c:val>
          <c:extLst>
            <c:ext xmlns:c16="http://schemas.microsoft.com/office/drawing/2014/chart" uri="{C3380CC4-5D6E-409C-BE32-E72D297353CC}">
              <c16:uniqueId val="{00000007-E679-46B6-8EB4-69FA1C9EE0FD}"/>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333"/>
          <c:y val="4.2735042735042736E-2"/>
        </c:manualLayout>
      </c:layout>
      <c:overlay val="0"/>
      <c:spPr>
        <a:noFill/>
        <a:ln w="25400">
          <a:noFill/>
        </a:ln>
      </c:spPr>
    </c:title>
    <c:autoTitleDeleted val="0"/>
    <c:plotArea>
      <c:layout>
        <c:manualLayout>
          <c:layoutTarget val="inner"/>
          <c:xMode val="edge"/>
          <c:yMode val="edge"/>
          <c:x val="0.39008938590165843"/>
          <c:y val="0.32366153493423838"/>
          <c:w val="0.2164128510443257"/>
          <c:h val="0.3430586691831875"/>
        </c:manualLayout>
      </c:layout>
      <c:pieChart>
        <c:varyColors val="1"/>
        <c:ser>
          <c:idx val="0"/>
          <c:order val="0"/>
          <c:tx>
            <c:strRef>
              <c:f>'SRSU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033C-495B-B6F9-373D1792C27B}"/>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033C-495B-B6F9-373D1792C27B}"/>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033C-495B-B6F9-373D1792C27B}"/>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033C-495B-B6F9-373D1792C27B}"/>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033C-495B-B6F9-373D1792C27B}"/>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033C-495B-B6F9-373D1792C27B}"/>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033C-495B-B6F9-373D1792C27B}"/>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033C-495B-B6F9-373D1792C27B}"/>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033C-495B-B6F9-373D1792C27B}"/>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033C-495B-B6F9-373D1792C27B}"/>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033C-495B-B6F9-373D1792C27B}"/>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033C-495B-B6F9-373D1792C27B}"/>
              </c:ext>
            </c:extLst>
          </c:dPt>
          <c:dLbls>
            <c:dLbl>
              <c:idx val="0"/>
              <c:layout>
                <c:manualLayout>
                  <c:x val="9.530365421726146E-2"/>
                  <c:y val="7.4314388838448162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033C-495B-B6F9-373D1792C27B}"/>
                </c:ext>
              </c:extLst>
            </c:dLbl>
            <c:dLbl>
              <c:idx val="1"/>
              <c:layout>
                <c:manualLayout>
                  <c:x val="0.12543916268284247"/>
                  <c:y val="-1.82781063728546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033C-495B-B6F9-373D1792C27B}"/>
                </c:ext>
              </c:extLst>
            </c:dLbl>
            <c:dLbl>
              <c:idx val="2"/>
              <c:delete val="1"/>
              <c:extLst>
                <c:ext xmlns:c15="http://schemas.microsoft.com/office/drawing/2012/chart" uri="{CE6537A1-D6FC-4f65-9D91-7224C49458BB}"/>
                <c:ext xmlns:c16="http://schemas.microsoft.com/office/drawing/2014/chart" uri="{C3380CC4-5D6E-409C-BE32-E72D297353CC}">
                  <c16:uniqueId val="{00000003-033C-495B-B6F9-373D1792C27B}"/>
                </c:ext>
              </c:extLst>
            </c:dLbl>
            <c:dLbl>
              <c:idx val="3"/>
              <c:layout>
                <c:manualLayout>
                  <c:x val="2.0935953490697656E-2"/>
                  <c:y val="0.1025301779191219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033C-495B-B6F9-373D1792C27B}"/>
                </c:ext>
              </c:extLst>
            </c:dLbl>
            <c:dLbl>
              <c:idx val="4"/>
              <c:delete val="1"/>
              <c:extLst>
                <c:ext xmlns:c15="http://schemas.microsoft.com/office/drawing/2012/chart" uri="{CE6537A1-D6FC-4f65-9D91-7224C49458BB}"/>
                <c:ext xmlns:c16="http://schemas.microsoft.com/office/drawing/2014/chart" uri="{C3380CC4-5D6E-409C-BE32-E72D297353CC}">
                  <c16:uniqueId val="{00000007-033C-495B-B6F9-373D1792C27B}"/>
                </c:ext>
              </c:extLst>
            </c:dLbl>
            <c:dLbl>
              <c:idx val="5"/>
              <c:layout>
                <c:manualLayout>
                  <c:x val="-9.7362523921139699E-2"/>
                  <c:y val="9.072885104173411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033C-495B-B6F9-373D1792C27B}"/>
                </c:ext>
              </c:extLst>
            </c:dLbl>
            <c:dLbl>
              <c:idx val="6"/>
              <c:layout>
                <c:manualLayout>
                  <c:x val="-0.10920071753731093"/>
                  <c:y val="0.1250576754599801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033C-495B-B6F9-373D1792C27B}"/>
                </c:ext>
              </c:extLst>
            </c:dLbl>
            <c:dLbl>
              <c:idx val="7"/>
              <c:layout>
                <c:manualLayout>
                  <c:x val="-9.9409011862579069E-2"/>
                  <c:y val="0.102736314633137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033C-495B-B6F9-373D1792C27B}"/>
                </c:ext>
              </c:extLst>
            </c:dLbl>
            <c:dLbl>
              <c:idx val="8"/>
              <c:delete val="1"/>
              <c:extLst>
                <c:ext xmlns:c15="http://schemas.microsoft.com/office/drawing/2012/chart" uri="{CE6537A1-D6FC-4f65-9D91-7224C49458BB}"/>
                <c:ext xmlns:c16="http://schemas.microsoft.com/office/drawing/2014/chart" uri="{C3380CC4-5D6E-409C-BE32-E72D297353CC}">
                  <c16:uniqueId val="{0000000F-033C-495B-B6F9-373D1792C27B}"/>
                </c:ext>
              </c:extLst>
            </c:dLbl>
            <c:dLbl>
              <c:idx val="9"/>
              <c:layout>
                <c:manualLayout>
                  <c:x val="-9.1809634277708968E-2"/>
                  <c:y val="-1.48676856210777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033C-495B-B6F9-373D1792C27B}"/>
                </c:ext>
              </c:extLst>
            </c:dLbl>
            <c:dLbl>
              <c:idx val="10"/>
              <c:layout>
                <c:manualLayout>
                  <c:x val="2.1457216237651157E-2"/>
                  <c:y val="-8.841071448156992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033C-495B-B6F9-373D1792C27B}"/>
                </c:ext>
              </c:extLst>
            </c:dLbl>
            <c:dLbl>
              <c:idx val="11"/>
              <c:layout>
                <c:manualLayout>
                  <c:x val="0.12591401744996752"/>
                  <c:y val="-7.854334662955206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033C-495B-B6F9-373D1792C27B}"/>
                </c:ext>
              </c:extLst>
            </c:dLbl>
            <c:dLbl>
              <c:idx val="12"/>
              <c:layout>
                <c:manualLayout>
                  <c:x val="0.27253421690598284"/>
                  <c:y val="-4.050060571440422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033C-495B-B6F9-373D1792C27B}"/>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'SRSU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'SRSU Chrts'!$D$54:$D$66</c:f>
              <c:numCache>
                <c:formatCode>"$"#,##0</c:formatCode>
                <c:ptCount val="13"/>
                <c:pt idx="0">
                  <c:v>19241603</c:v>
                </c:pt>
                <c:pt idx="1">
                  <c:v>1819893</c:v>
                </c:pt>
                <c:pt idx="3">
                  <c:v>2624613</c:v>
                </c:pt>
                <c:pt idx="4">
                  <c:v>0</c:v>
                </c:pt>
                <c:pt idx="5">
                  <c:v>9678587</c:v>
                </c:pt>
                <c:pt idx="6">
                  <c:v>13524396</c:v>
                </c:pt>
                <c:pt idx="7">
                  <c:v>2616199</c:v>
                </c:pt>
                <c:pt idx="8">
                  <c:v>0</c:v>
                </c:pt>
                <c:pt idx="9">
                  <c:v>6975188</c:v>
                </c:pt>
                <c:pt idx="10">
                  <c:v>311191</c:v>
                </c:pt>
                <c:pt idx="11">
                  <c:v>2457439</c:v>
                </c:pt>
                <c:pt idx="12">
                  <c:v>657794</c:v>
                </c:pt>
              </c:numCache>
            </c:numRef>
          </c:val>
          <c:extLst>
            <c:ext xmlns:c16="http://schemas.microsoft.com/office/drawing/2014/chart" uri="{C3380CC4-5D6E-409C-BE32-E72D297353CC}">
              <c16:uniqueId val="{00000019-033C-495B-B6F9-373D1792C27B}"/>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25"/>
          <c:y val="3.3873343151695316E-2"/>
        </c:manualLayout>
      </c:layout>
      <c:overlay val="0"/>
      <c:spPr>
        <a:noFill/>
        <a:ln w="25400">
          <a:noFill/>
        </a:ln>
      </c:spPr>
    </c:title>
    <c:autoTitleDeleted val="0"/>
    <c:plotArea>
      <c:layout>
        <c:manualLayout>
          <c:layoutTarget val="inner"/>
          <c:xMode val="edge"/>
          <c:yMode val="edge"/>
          <c:x val="0.3928427617434111"/>
          <c:y val="0.32239932229168738"/>
          <c:w val="0.22037371910789633"/>
          <c:h val="0.36059326193415497"/>
        </c:manualLayout>
      </c:layout>
      <c:pieChart>
        <c:varyColors val="1"/>
        <c:ser>
          <c:idx val="0"/>
          <c:order val="0"/>
          <c:tx>
            <c:strRef>
              <c:f>'SRSU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6A23-4644-8EA6-1430D807E66C}"/>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6A23-4644-8EA6-1430D807E66C}"/>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6A23-4644-8EA6-1430D807E66C}"/>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6A23-4644-8EA6-1430D807E66C}"/>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6A23-4644-8EA6-1430D807E66C}"/>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6A23-4644-8EA6-1430D807E66C}"/>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6A23-4644-8EA6-1430D807E66C}"/>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6A23-4644-8EA6-1430D807E66C}"/>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6A23-4644-8EA6-1430D807E66C}"/>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6A23-4644-8EA6-1430D807E66C}"/>
              </c:ext>
            </c:extLst>
          </c:dPt>
          <c:dLbls>
            <c:dLbl>
              <c:idx val="0"/>
              <c:layout>
                <c:manualLayout>
                  <c:x val="-0.15962165457395225"/>
                  <c:y val="1.731238099291304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6A23-4644-8EA6-1430D807E66C}"/>
                </c:ext>
              </c:extLst>
            </c:dLbl>
            <c:dLbl>
              <c:idx val="1"/>
              <c:layout>
                <c:manualLayout>
                  <c:x val="-0.16150168884273974"/>
                  <c:y val="1.506655543417870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6A23-4644-8EA6-1430D807E66C}"/>
                </c:ext>
              </c:extLst>
            </c:dLbl>
            <c:dLbl>
              <c:idx val="2"/>
              <c:layout>
                <c:manualLayout>
                  <c:x val="-0.13696664090957597"/>
                  <c:y val="-9.384285931073238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6A23-4644-8EA6-1430D807E66C}"/>
                </c:ext>
              </c:extLst>
            </c:dLbl>
            <c:dLbl>
              <c:idx val="3"/>
              <c:layout>
                <c:manualLayout>
                  <c:x val="-8.3044575155583195E-2"/>
                  <c:y val="-0.1982398095607026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6A23-4644-8EA6-1430D807E66C}"/>
                </c:ext>
              </c:extLst>
            </c:dLbl>
            <c:dLbl>
              <c:idx val="4"/>
              <c:layout>
                <c:manualLayout>
                  <c:x val="9.4336133060979266E-2"/>
                  <c:y val="-0.1766249617321203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6A23-4644-8EA6-1430D807E66C}"/>
                </c:ext>
              </c:extLst>
            </c:dLbl>
            <c:dLbl>
              <c:idx val="5"/>
              <c:layout>
                <c:manualLayout>
                  <c:x val="9.5471456930536838E-2"/>
                  <c:y val="-5.261637357340994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6A23-4644-8EA6-1430D807E66C}"/>
                </c:ext>
              </c:extLst>
            </c:dLbl>
            <c:dLbl>
              <c:idx val="6"/>
              <c:layout>
                <c:manualLayout>
                  <c:x val="8.0912993001689887E-2"/>
                  <c:y val="-7.184389594118947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6A23-4644-8EA6-1430D807E66C}"/>
                </c:ext>
              </c:extLst>
            </c:dLbl>
            <c:dLbl>
              <c:idx val="7"/>
              <c:layout>
                <c:manualLayout>
                  <c:x val="0.11730938932990435"/>
                  <c:y val="6.295767102655143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6A23-4644-8EA6-1430D807E66C}"/>
                </c:ext>
              </c:extLst>
            </c:dLbl>
            <c:dLbl>
              <c:idx val="8"/>
              <c:layout>
                <c:manualLayout>
                  <c:x val="9.8068483083948693E-2"/>
                  <c:y val="0.1016289263698813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6A23-4644-8EA6-1430D807E66C}"/>
                </c:ext>
              </c:extLst>
            </c:dLbl>
            <c:dLbl>
              <c:idx val="9"/>
              <c:layout>
                <c:manualLayout>
                  <c:x val="-3.8887373147589645E-2"/>
                  <c:y val="0.1285457491239354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6A23-4644-8EA6-1430D807E66C}"/>
                </c:ext>
              </c:extLst>
            </c:dLbl>
            <c:dLbl>
              <c:idx val="10"/>
              <c:layout>
                <c:manualLayout>
                  <c:x val="-0.2069539036371989"/>
                  <c:y val="0.1200478334904950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6A23-4644-8EA6-1430D807E66C}"/>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'SRSU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'SRSU Chrts'!$D$102:$D$112</c:f>
              <c:numCache>
                <c:formatCode>"$"#,##0</c:formatCode>
                <c:ptCount val="11"/>
                <c:pt idx="0">
                  <c:v>9919558</c:v>
                </c:pt>
                <c:pt idx="1">
                  <c:v>1775780</c:v>
                </c:pt>
                <c:pt idx="2">
                  <c:v>1381715</c:v>
                </c:pt>
                <c:pt idx="3">
                  <c:v>4136916</c:v>
                </c:pt>
                <c:pt idx="4">
                  <c:v>3934229</c:v>
                </c:pt>
                <c:pt idx="5">
                  <c:v>13772449</c:v>
                </c:pt>
                <c:pt idx="6">
                  <c:v>5347313</c:v>
                </c:pt>
                <c:pt idx="7">
                  <c:v>5602061</c:v>
                </c:pt>
                <c:pt idx="8">
                  <c:v>4623659</c:v>
                </c:pt>
                <c:pt idx="9">
                  <c:v>471724</c:v>
                </c:pt>
                <c:pt idx="10">
                  <c:v>0</c:v>
                </c:pt>
              </c:numCache>
            </c:numRef>
          </c:val>
          <c:extLst>
            <c:ext xmlns:c16="http://schemas.microsoft.com/office/drawing/2014/chart" uri="{C3380CC4-5D6E-409C-BE32-E72D297353CC}">
              <c16:uniqueId val="{00000015-6A23-4644-8EA6-1430D807E66C}"/>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8777202170997377"/>
          <c:y val="0.30812665161858632"/>
          <c:w val="0.22658030189665221"/>
          <c:h val="0.35677145667972004"/>
        </c:manualLayout>
      </c:layout>
      <c:pieChart>
        <c:varyColors val="1"/>
        <c:ser>
          <c:idx val="0"/>
          <c:order val="0"/>
          <c:tx>
            <c:strRef>
              <c:f>'TTU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2F65-4662-8390-7DD0F68CBBDA}"/>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2F65-4662-8390-7DD0F68CBBDA}"/>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2F65-4662-8390-7DD0F68CBBDA}"/>
              </c:ext>
            </c:extLst>
          </c:dPt>
          <c:dLbls>
            <c:dLbl>
              <c:idx val="0"/>
              <c:layout>
                <c:manualLayout>
                  <c:x val="0.10064783078585765"/>
                  <c:y val="2.455690544124547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2F65-4662-8390-7DD0F68CBBDA}"/>
                </c:ext>
              </c:extLst>
            </c:dLbl>
            <c:dLbl>
              <c:idx val="1"/>
              <c:layout>
                <c:manualLayout>
                  <c:x val="3.7423403522524691E-2"/>
                  <c:y val="0.1050070373313673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2F65-4662-8390-7DD0F68CBBDA}"/>
                </c:ext>
              </c:extLst>
            </c:dLbl>
            <c:dLbl>
              <c:idx val="2"/>
              <c:layout>
                <c:manualLayout>
                  <c:x val="-0.10850702485718702"/>
                  <c:y val="9.783925203220904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2F65-4662-8390-7DD0F68CBBDA}"/>
                </c:ext>
              </c:extLst>
            </c:dLbl>
            <c:dLbl>
              <c:idx val="3"/>
              <c:layout>
                <c:manualLayout>
                  <c:x val="-6.2695312407216069E-2"/>
                  <c:y val="-2.509921679768000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2F65-4662-8390-7DD0F68CBBDA}"/>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'TTU Chrts'!$C$9:$C$12</c:f>
              <c:strCache>
                <c:ptCount val="4"/>
                <c:pt idx="0">
                  <c:v>State of Texas</c:v>
                </c:pt>
                <c:pt idx="1">
                  <c:v>Student &amp; Parent</c:v>
                </c:pt>
                <c:pt idx="2">
                  <c:v>Federal Government</c:v>
                </c:pt>
                <c:pt idx="3">
                  <c:v>Institutional Resources</c:v>
                </c:pt>
              </c:strCache>
            </c:strRef>
          </c:cat>
          <c:val>
            <c:numRef>
              <c:f>'TTU Chrts'!$D$9:$D$12</c:f>
              <c:numCache>
                <c:formatCode>"$"#,##0</c:formatCode>
                <c:ptCount val="4"/>
                <c:pt idx="0">
                  <c:v>263622386</c:v>
                </c:pt>
                <c:pt idx="1">
                  <c:v>357294838</c:v>
                </c:pt>
                <c:pt idx="2">
                  <c:v>126847258</c:v>
                </c:pt>
                <c:pt idx="3">
                  <c:v>287341959</c:v>
                </c:pt>
              </c:numCache>
            </c:numRef>
          </c:val>
          <c:extLst>
            <c:ext xmlns:c16="http://schemas.microsoft.com/office/drawing/2014/chart" uri="{C3380CC4-5D6E-409C-BE32-E72D297353CC}">
              <c16:uniqueId val="{00000007-2F65-4662-8390-7DD0F68CBBDA}"/>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499"/>
          <c:y val="4.2735042735042736E-2"/>
        </c:manualLayout>
      </c:layout>
      <c:overlay val="0"/>
      <c:spPr>
        <a:noFill/>
        <a:ln w="25400">
          <a:noFill/>
        </a:ln>
      </c:spPr>
    </c:title>
    <c:autoTitleDeleted val="0"/>
    <c:plotArea>
      <c:layout>
        <c:manualLayout>
          <c:layoutTarget val="inner"/>
          <c:xMode val="edge"/>
          <c:yMode val="edge"/>
          <c:x val="0.38647827471155743"/>
          <c:y val="0.32175341812082947"/>
          <c:w val="0.22002396223441137"/>
          <c:h val="0.34878301962340386"/>
        </c:manualLayout>
      </c:layout>
      <c:pieChart>
        <c:varyColors val="1"/>
        <c:ser>
          <c:idx val="0"/>
          <c:order val="0"/>
          <c:tx>
            <c:strRef>
              <c:f>'TTU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184A-4911-A102-5C12DFB0F5B5}"/>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184A-4911-A102-5C12DFB0F5B5}"/>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184A-4911-A102-5C12DFB0F5B5}"/>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184A-4911-A102-5C12DFB0F5B5}"/>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184A-4911-A102-5C12DFB0F5B5}"/>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184A-4911-A102-5C12DFB0F5B5}"/>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184A-4911-A102-5C12DFB0F5B5}"/>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184A-4911-A102-5C12DFB0F5B5}"/>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184A-4911-A102-5C12DFB0F5B5}"/>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184A-4911-A102-5C12DFB0F5B5}"/>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184A-4911-A102-5C12DFB0F5B5}"/>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184A-4911-A102-5C12DFB0F5B5}"/>
              </c:ext>
            </c:extLst>
          </c:dPt>
          <c:dLbls>
            <c:dLbl>
              <c:idx val="0"/>
              <c:layout>
                <c:manualLayout>
                  <c:x val="0.125036235558588"/>
                  <c:y val="3.840543335511391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184A-4911-A102-5C12DFB0F5B5}"/>
                </c:ext>
              </c:extLst>
            </c:dLbl>
            <c:dLbl>
              <c:idx val="1"/>
              <c:layout>
                <c:manualLayout>
                  <c:x val="0.10578004299968706"/>
                  <c:y val="4.873270243278884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184A-4911-A102-5C12DFB0F5B5}"/>
                </c:ext>
              </c:extLst>
            </c:dLbl>
            <c:dLbl>
              <c:idx val="2"/>
              <c:delete val="1"/>
              <c:extLst>
                <c:ext xmlns:c15="http://schemas.microsoft.com/office/drawing/2012/chart" uri="{CE6537A1-D6FC-4f65-9D91-7224C49458BB}"/>
                <c:ext xmlns:c16="http://schemas.microsoft.com/office/drawing/2014/chart" uri="{C3380CC4-5D6E-409C-BE32-E72D297353CC}">
                  <c16:uniqueId val="{00000003-184A-4911-A102-5C12DFB0F5B5}"/>
                </c:ext>
              </c:extLst>
            </c:dLbl>
            <c:dLbl>
              <c:idx val="3"/>
              <c:layout>
                <c:manualLayout>
                  <c:x val="3.5406925677383926E-2"/>
                  <c:y val="0.1917018854447796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184A-4911-A102-5C12DFB0F5B5}"/>
                </c:ext>
              </c:extLst>
            </c:dLbl>
            <c:dLbl>
              <c:idx val="4"/>
              <c:delete val="1"/>
              <c:extLst>
                <c:ext xmlns:c15="http://schemas.microsoft.com/office/drawing/2012/chart" uri="{CE6537A1-D6FC-4f65-9D91-7224C49458BB}"/>
                <c:ext xmlns:c16="http://schemas.microsoft.com/office/drawing/2014/chart" uri="{C3380CC4-5D6E-409C-BE32-E72D297353CC}">
                  <c16:uniqueId val="{00000007-184A-4911-A102-5C12DFB0F5B5}"/>
                </c:ext>
              </c:extLst>
            </c:dLbl>
            <c:dLbl>
              <c:idx val="5"/>
              <c:layout>
                <c:manualLayout>
                  <c:x val="-4.9209660761448143E-2"/>
                  <c:y val="0.1133349269364042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184A-4911-A102-5C12DFB0F5B5}"/>
                </c:ext>
              </c:extLst>
            </c:dLbl>
            <c:dLbl>
              <c:idx val="6"/>
              <c:layout>
                <c:manualLayout>
                  <c:x val="-8.1575020673289988E-3"/>
                  <c:y val="0.1845317233434954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184A-4911-A102-5C12DFB0F5B5}"/>
                </c:ext>
              </c:extLst>
            </c:dLbl>
            <c:dLbl>
              <c:idx val="7"/>
              <c:layout>
                <c:manualLayout>
                  <c:x val="-9.7798437572807845E-2"/>
                  <c:y val="0.1449044942461263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184A-4911-A102-5C12DFB0F5B5}"/>
                </c:ext>
              </c:extLst>
            </c:dLbl>
            <c:dLbl>
              <c:idx val="8"/>
              <c:layout>
                <c:manualLayout>
                  <c:x val="-0.12109344761857593"/>
                  <c:y val="-1.149016861592568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184A-4911-A102-5C12DFB0F5B5}"/>
                </c:ext>
              </c:extLst>
            </c:dLbl>
            <c:dLbl>
              <c:idx val="9"/>
              <c:layout>
                <c:manualLayout>
                  <c:x val="-7.607373745956672E-2"/>
                  <c:y val="-0.1398008076292219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184A-4911-A102-5C12DFB0F5B5}"/>
                </c:ext>
              </c:extLst>
            </c:dLbl>
            <c:dLbl>
              <c:idx val="10"/>
              <c:layout>
                <c:manualLayout>
                  <c:x val="3.0398739063997361E-2"/>
                  <c:y val="-0.1954907744054525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184A-4911-A102-5C12DFB0F5B5}"/>
                </c:ext>
              </c:extLst>
            </c:dLbl>
            <c:dLbl>
              <c:idx val="11"/>
              <c:layout>
                <c:manualLayout>
                  <c:x val="0.12708952874350538"/>
                  <c:y val="-9.341343617732386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184A-4911-A102-5C12DFB0F5B5}"/>
                </c:ext>
              </c:extLst>
            </c:dLbl>
            <c:dLbl>
              <c:idx val="12"/>
              <c:layout>
                <c:manualLayout>
                  <c:x val="0.18806006799383407"/>
                  <c:y val="-7.585109897762501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184A-4911-A102-5C12DFB0F5B5}"/>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'TTU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'TTU Chrts'!$D$54:$D$66</c:f>
              <c:numCache>
                <c:formatCode>"$"#,##0</c:formatCode>
                <c:ptCount val="13"/>
                <c:pt idx="0">
                  <c:v>194264324</c:v>
                </c:pt>
                <c:pt idx="1">
                  <c:v>19483316</c:v>
                </c:pt>
                <c:pt idx="3">
                  <c:v>49874746</c:v>
                </c:pt>
                <c:pt idx="4">
                  <c:v>0</c:v>
                </c:pt>
                <c:pt idx="5">
                  <c:v>357294838</c:v>
                </c:pt>
                <c:pt idx="6">
                  <c:v>126847258</c:v>
                </c:pt>
                <c:pt idx="7">
                  <c:v>12350524</c:v>
                </c:pt>
                <c:pt idx="8">
                  <c:v>897267</c:v>
                </c:pt>
                <c:pt idx="9">
                  <c:v>115375636</c:v>
                </c:pt>
                <c:pt idx="10">
                  <c:v>15934030</c:v>
                </c:pt>
                <c:pt idx="11">
                  <c:v>134410311</c:v>
                </c:pt>
                <c:pt idx="12">
                  <c:v>8374191</c:v>
                </c:pt>
              </c:numCache>
            </c:numRef>
          </c:val>
          <c:extLst>
            <c:ext xmlns:c16="http://schemas.microsoft.com/office/drawing/2014/chart" uri="{C3380CC4-5D6E-409C-BE32-E72D297353CC}">
              <c16:uniqueId val="{00000019-184A-4911-A102-5C12DFB0F5B5}"/>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272"/>
          <c:y val="3.3873343151695358E-2"/>
        </c:manualLayout>
      </c:layout>
      <c:overlay val="0"/>
      <c:spPr>
        <a:noFill/>
        <a:ln w="25400">
          <a:noFill/>
        </a:ln>
      </c:spPr>
    </c:title>
    <c:autoTitleDeleted val="0"/>
    <c:plotArea>
      <c:layout>
        <c:manualLayout>
          <c:layoutTarget val="inner"/>
          <c:xMode val="edge"/>
          <c:yMode val="edge"/>
          <c:x val="0.38922612521537542"/>
          <c:y val="0.30070060302869744"/>
          <c:w val="0.22399035563593073"/>
          <c:h val="0.3665110944604118"/>
        </c:manualLayout>
      </c:layout>
      <c:pieChart>
        <c:varyColors val="1"/>
        <c:ser>
          <c:idx val="0"/>
          <c:order val="0"/>
          <c:tx>
            <c:strRef>
              <c:f>'AUS1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56F3-4725-8443-BD666955A130}"/>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56F3-4725-8443-BD666955A130}"/>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56F3-4725-8443-BD666955A130}"/>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56F3-4725-8443-BD666955A130}"/>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56F3-4725-8443-BD666955A130}"/>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56F3-4725-8443-BD666955A130}"/>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56F3-4725-8443-BD666955A130}"/>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56F3-4725-8443-BD666955A130}"/>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56F3-4725-8443-BD666955A130}"/>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56F3-4725-8443-BD666955A130}"/>
              </c:ext>
            </c:extLst>
          </c:dPt>
          <c:dLbls>
            <c:dLbl>
              <c:idx val="0"/>
              <c:layout>
                <c:manualLayout>
                  <c:x val="-0.11574394972780309"/>
                  <c:y val="-3.896962614209506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56F3-4725-8443-BD666955A130}"/>
                </c:ext>
              </c:extLst>
            </c:dLbl>
            <c:dLbl>
              <c:idx val="1"/>
              <c:layout>
                <c:manualLayout>
                  <c:x val="-0.12940358720982661"/>
                  <c:y val="1.405353199854368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56F3-4725-8443-BD666955A130}"/>
                </c:ext>
              </c:extLst>
            </c:dLbl>
            <c:dLbl>
              <c:idx val="2"/>
              <c:layout>
                <c:manualLayout>
                  <c:x val="-0.13986629835827491"/>
                  <c:y val="-4.472467944297202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56F3-4725-8443-BD666955A130}"/>
                </c:ext>
              </c:extLst>
            </c:dLbl>
            <c:dLbl>
              <c:idx val="3"/>
              <c:layout>
                <c:manualLayout>
                  <c:x val="-7.6584746526937295E-2"/>
                  <c:y val="-5.939608907378911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56F3-4725-8443-BD666955A130}"/>
                </c:ext>
              </c:extLst>
            </c:dLbl>
            <c:dLbl>
              <c:idx val="4"/>
              <c:layout>
                <c:manualLayout>
                  <c:x val="9.3216196076756228E-2"/>
                  <c:y val="-6.740504441636192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56F3-4725-8443-BD666955A130}"/>
                </c:ext>
              </c:extLst>
            </c:dLbl>
            <c:dLbl>
              <c:idx val="5"/>
              <c:layout>
                <c:manualLayout>
                  <c:x val="0.12416254930159464"/>
                  <c:y val="2.541157670939941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56F3-4725-8443-BD666955A130}"/>
                </c:ext>
              </c:extLst>
            </c:dLbl>
            <c:dLbl>
              <c:idx val="6"/>
              <c:layout>
                <c:manualLayout>
                  <c:x val="0.10921819899094891"/>
                  <c:y val="7.380639958447807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56F3-4725-8443-BD666955A130}"/>
                </c:ext>
              </c:extLst>
            </c:dLbl>
            <c:dLbl>
              <c:idx val="7"/>
              <c:layout>
                <c:manualLayout>
                  <c:x val="0.12181747851138858"/>
                  <c:y val="0.1340645351286267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56F3-4725-8443-BD666955A130}"/>
                </c:ext>
              </c:extLst>
            </c:dLbl>
            <c:dLbl>
              <c:idx val="8"/>
              <c:layout>
                <c:manualLayout>
                  <c:x val="6.728134916700651E-2"/>
                  <c:y val="0.1453828395566626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56F3-4725-8443-BD666955A130}"/>
                </c:ext>
              </c:extLst>
            </c:dLbl>
            <c:dLbl>
              <c:idx val="9"/>
              <c:layout>
                <c:manualLayout>
                  <c:x val="-4.4811882691878704E-2"/>
                  <c:y val="0.1296179285784403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56F3-4725-8443-BD666955A130}"/>
                </c:ext>
              </c:extLst>
            </c:dLbl>
            <c:dLbl>
              <c:idx val="10"/>
              <c:layout>
                <c:manualLayout>
                  <c:x val="-0.20855614567166494"/>
                  <c:y val="0.1168801435439400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56F3-4725-8443-BD666955A130}"/>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'AUS1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'AUS1 Chrts'!$D$102:$D$112</c:f>
              <c:numCache>
                <c:formatCode>"$"#,##0</c:formatCode>
                <c:ptCount val="11"/>
                <c:pt idx="0">
                  <c:v>676280825</c:v>
                </c:pt>
                <c:pt idx="1">
                  <c:v>523576229</c:v>
                </c:pt>
                <c:pt idx="2">
                  <c:v>94066053</c:v>
                </c:pt>
                <c:pt idx="3">
                  <c:v>309781831</c:v>
                </c:pt>
                <c:pt idx="4">
                  <c:v>41791895</c:v>
                </c:pt>
                <c:pt idx="5">
                  <c:v>212882791</c:v>
                </c:pt>
                <c:pt idx="6">
                  <c:v>198273240</c:v>
                </c:pt>
                <c:pt idx="7">
                  <c:v>169315589</c:v>
                </c:pt>
                <c:pt idx="8">
                  <c:v>282234421</c:v>
                </c:pt>
                <c:pt idx="9">
                  <c:v>85209491</c:v>
                </c:pt>
                <c:pt idx="10">
                  <c:v>1729858</c:v>
                </c:pt>
              </c:numCache>
            </c:numRef>
          </c:val>
          <c:extLst>
            <c:ext xmlns:c16="http://schemas.microsoft.com/office/drawing/2014/chart" uri="{C3380CC4-5D6E-409C-BE32-E72D297353CC}">
              <c16:uniqueId val="{00000015-56F3-4725-8443-BD666955A130}"/>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305"/>
          <c:y val="3.3873343151695413E-2"/>
        </c:manualLayout>
      </c:layout>
      <c:overlay val="0"/>
      <c:spPr>
        <a:noFill/>
        <a:ln w="25400">
          <a:noFill/>
        </a:ln>
      </c:spPr>
    </c:title>
    <c:autoTitleDeleted val="0"/>
    <c:plotArea>
      <c:layout>
        <c:manualLayout>
          <c:layoutTarget val="inner"/>
          <c:xMode val="edge"/>
          <c:yMode val="edge"/>
          <c:x val="0.37475957910325813"/>
          <c:y val="0.30267321387078538"/>
          <c:w val="0.23363471971066907"/>
          <c:h val="0.38229198119713581"/>
        </c:manualLayout>
      </c:layout>
      <c:pieChart>
        <c:varyColors val="1"/>
        <c:ser>
          <c:idx val="0"/>
          <c:order val="0"/>
          <c:tx>
            <c:strRef>
              <c:f>'TTU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146F-4736-B390-9AEEDCA2ED1C}"/>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146F-4736-B390-9AEEDCA2ED1C}"/>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146F-4736-B390-9AEEDCA2ED1C}"/>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146F-4736-B390-9AEEDCA2ED1C}"/>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146F-4736-B390-9AEEDCA2ED1C}"/>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146F-4736-B390-9AEEDCA2ED1C}"/>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146F-4736-B390-9AEEDCA2ED1C}"/>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146F-4736-B390-9AEEDCA2ED1C}"/>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146F-4736-B390-9AEEDCA2ED1C}"/>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146F-4736-B390-9AEEDCA2ED1C}"/>
              </c:ext>
            </c:extLst>
          </c:dPt>
          <c:dLbls>
            <c:dLbl>
              <c:idx val="0"/>
              <c:layout>
                <c:manualLayout>
                  <c:x val="-0.12640626339486943"/>
                  <c:y val="5.440895608812942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146F-4736-B390-9AEEDCA2ED1C}"/>
                </c:ext>
              </c:extLst>
            </c:dLbl>
            <c:dLbl>
              <c:idx val="1"/>
              <c:layout>
                <c:manualLayout>
                  <c:x val="-0.10855614567166774"/>
                  <c:y val="0.1434996725776725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146F-4736-B390-9AEEDCA2ED1C}"/>
                </c:ext>
              </c:extLst>
            </c:dLbl>
            <c:dLbl>
              <c:idx val="2"/>
              <c:layout>
                <c:manualLayout>
                  <c:x val="-0.10068678124095617"/>
                  <c:y val="5.675061601374912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146F-4736-B390-9AEEDCA2ED1C}"/>
                </c:ext>
              </c:extLst>
            </c:dLbl>
            <c:dLbl>
              <c:idx val="3"/>
              <c:layout>
                <c:manualLayout>
                  <c:x val="-5.4416428160210979E-2"/>
                  <c:y val="-5.543487766005448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146F-4736-B390-9AEEDCA2ED1C}"/>
                </c:ext>
              </c:extLst>
            </c:dLbl>
            <c:dLbl>
              <c:idx val="4"/>
              <c:layout>
                <c:manualLayout>
                  <c:x val="4.6938436492906833E-3"/>
                  <c:y val="-7.767194021653370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146F-4736-B390-9AEEDCA2ED1C}"/>
                </c:ext>
              </c:extLst>
            </c:dLbl>
            <c:dLbl>
              <c:idx val="5"/>
              <c:layout>
                <c:manualLayout>
                  <c:x val="0.11218047111199708"/>
                  <c:y val="-1.677480301849846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146F-4736-B390-9AEEDCA2ED1C}"/>
                </c:ext>
              </c:extLst>
            </c:dLbl>
            <c:dLbl>
              <c:idx val="6"/>
              <c:layout>
                <c:manualLayout>
                  <c:x val="0.11442903487375375"/>
                  <c:y val="7.846595491139708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146F-4736-B390-9AEEDCA2ED1C}"/>
                </c:ext>
              </c:extLst>
            </c:dLbl>
            <c:dLbl>
              <c:idx val="7"/>
              <c:layout>
                <c:manualLayout>
                  <c:x val="0.11764318917527736"/>
                  <c:y val="0.1640960596244149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146F-4736-B390-9AEEDCA2ED1C}"/>
                </c:ext>
              </c:extLst>
            </c:dLbl>
            <c:dLbl>
              <c:idx val="8"/>
              <c:layout>
                <c:manualLayout>
                  <c:x val="8.8877614028706975E-2"/>
                  <c:y val="0.1519012862043983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146F-4736-B390-9AEEDCA2ED1C}"/>
                </c:ext>
              </c:extLst>
            </c:dLbl>
            <c:dLbl>
              <c:idx val="9"/>
              <c:layout>
                <c:manualLayout>
                  <c:x val="2.0299582805313892E-2"/>
                  <c:y val="0.13744096146605694"/>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146F-4736-B390-9AEEDCA2ED1C}"/>
                </c:ext>
              </c:extLst>
            </c:dLbl>
            <c:dLbl>
              <c:idx val="10"/>
              <c:layout>
                <c:manualLayout>
                  <c:x val="-0.14459356014138644"/>
                  <c:y val="0.1331478147199638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146F-4736-B390-9AEEDCA2ED1C}"/>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'TTU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'TTU Chrts'!$D$102:$D$112</c:f>
              <c:numCache>
                <c:formatCode>"$"#,##0</c:formatCode>
                <c:ptCount val="11"/>
                <c:pt idx="0">
                  <c:v>205744864</c:v>
                </c:pt>
                <c:pt idx="1">
                  <c:v>164250494</c:v>
                </c:pt>
                <c:pt idx="2">
                  <c:v>16683446</c:v>
                </c:pt>
                <c:pt idx="3">
                  <c:v>86733482</c:v>
                </c:pt>
                <c:pt idx="4">
                  <c:v>50367868</c:v>
                </c:pt>
                <c:pt idx="5">
                  <c:v>47908596</c:v>
                </c:pt>
                <c:pt idx="6">
                  <c:v>52975607</c:v>
                </c:pt>
                <c:pt idx="7">
                  <c:v>66923464</c:v>
                </c:pt>
                <c:pt idx="8">
                  <c:v>123786419</c:v>
                </c:pt>
                <c:pt idx="9">
                  <c:v>26314605</c:v>
                </c:pt>
                <c:pt idx="10">
                  <c:v>597780</c:v>
                </c:pt>
              </c:numCache>
            </c:numRef>
          </c:val>
          <c:extLst>
            <c:ext xmlns:c16="http://schemas.microsoft.com/office/drawing/2014/chart" uri="{C3380CC4-5D6E-409C-BE32-E72D297353CC}">
              <c16:uniqueId val="{00000015-146F-4736-B390-9AEEDCA2ED1C}"/>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8811795584376646"/>
          <c:y val="0.28329672045996385"/>
          <c:w val="0.2204734860631109"/>
          <c:h val="0.34715571531841038"/>
        </c:manualLayout>
      </c:layout>
      <c:pieChart>
        <c:varyColors val="1"/>
        <c:ser>
          <c:idx val="0"/>
          <c:order val="0"/>
          <c:tx>
            <c:strRef>
              <c:f>'ASU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6F99-4FAC-8F29-B448DAD45CE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6F99-4FAC-8F29-B448DAD45CE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6F99-4FAC-8F29-B448DAD45CE2}"/>
              </c:ext>
            </c:extLst>
          </c:dPt>
          <c:dLbls>
            <c:dLbl>
              <c:idx val="0"/>
              <c:layout>
                <c:manualLayout>
                  <c:x val="9.7721689549140331E-2"/>
                  <c:y val="-2.525166239001177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6F99-4FAC-8F29-B448DAD45CE2}"/>
                </c:ext>
              </c:extLst>
            </c:dLbl>
            <c:dLbl>
              <c:idx val="1"/>
              <c:layout>
                <c:manualLayout>
                  <c:x val="3.7783845996583958E-2"/>
                  <c:y val="9.605149459513802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6F99-4FAC-8F29-B448DAD45CE2}"/>
                </c:ext>
              </c:extLst>
            </c:dLbl>
            <c:dLbl>
              <c:idx val="2"/>
              <c:layout>
                <c:manualLayout>
                  <c:x val="-6.0278672830074868E-2"/>
                  <c:y val="7.269006778817153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6F99-4FAC-8F29-B448DAD45CE2}"/>
                </c:ext>
              </c:extLst>
            </c:dLbl>
            <c:dLbl>
              <c:idx val="3"/>
              <c:layout>
                <c:manualLayout>
                  <c:x val="-5.2775324792059639E-2"/>
                  <c:y val="-2.651386402152370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6F99-4FAC-8F29-B448DAD45CE2}"/>
                </c:ext>
              </c:extLst>
            </c:dLbl>
            <c:spPr>
              <a:noFill/>
              <a:ln>
                <a:noFill/>
              </a:ln>
              <a:effectLst/>
            </c:sp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'ASU Chrts'!$C$9:$C$12</c:f>
              <c:strCache>
                <c:ptCount val="4"/>
                <c:pt idx="0">
                  <c:v>State of Texas</c:v>
                </c:pt>
                <c:pt idx="1">
                  <c:v>Student &amp; Parent</c:v>
                </c:pt>
                <c:pt idx="2">
                  <c:v>Federal Government</c:v>
                </c:pt>
                <c:pt idx="3">
                  <c:v>Institutional Resources</c:v>
                </c:pt>
              </c:strCache>
            </c:strRef>
          </c:cat>
          <c:val>
            <c:numRef>
              <c:f>'ASU Chrts'!$D$9:$D$12</c:f>
              <c:numCache>
                <c:formatCode>"$"#,##0</c:formatCode>
                <c:ptCount val="4"/>
                <c:pt idx="0">
                  <c:v>49314326</c:v>
                </c:pt>
                <c:pt idx="1">
                  <c:v>44743500</c:v>
                </c:pt>
                <c:pt idx="2">
                  <c:v>32115992</c:v>
                </c:pt>
                <c:pt idx="3">
                  <c:v>40173822</c:v>
                </c:pt>
              </c:numCache>
            </c:numRef>
          </c:val>
          <c:extLst>
            <c:ext xmlns:c16="http://schemas.microsoft.com/office/drawing/2014/chart" uri="{C3380CC4-5D6E-409C-BE32-E72D297353CC}">
              <c16:uniqueId val="{00000007-6F99-4FAC-8F29-B448DAD45CE2}"/>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998139900116036"/>
          <c:y val="2.5562004255851721E-2"/>
        </c:manualLayout>
      </c:layout>
      <c:overlay val="0"/>
      <c:spPr>
        <a:noFill/>
        <a:ln w="25400">
          <a:noFill/>
        </a:ln>
      </c:spPr>
    </c:title>
    <c:autoTitleDeleted val="0"/>
    <c:plotArea>
      <c:layout>
        <c:manualLayout>
          <c:layoutTarget val="inner"/>
          <c:xMode val="edge"/>
          <c:yMode val="edge"/>
          <c:x val="0.39158618599845735"/>
          <c:y val="0.31793718449401176"/>
          <c:w val="0.22122766596444288"/>
          <c:h val="0.35069113643680266"/>
        </c:manualLayout>
      </c:layout>
      <c:pieChart>
        <c:varyColors val="1"/>
        <c:ser>
          <c:idx val="0"/>
          <c:order val="0"/>
          <c:tx>
            <c:strRef>
              <c:f>'ASU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0BFD-4ADD-A0AD-58A57B1334BB}"/>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0BFD-4ADD-A0AD-58A57B1334BB}"/>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0BFD-4ADD-A0AD-58A57B1334BB}"/>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0BFD-4ADD-A0AD-58A57B1334BB}"/>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0BFD-4ADD-A0AD-58A57B1334BB}"/>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0BFD-4ADD-A0AD-58A57B1334BB}"/>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0BFD-4ADD-A0AD-58A57B1334BB}"/>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0BFD-4ADD-A0AD-58A57B1334BB}"/>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0BFD-4ADD-A0AD-58A57B1334BB}"/>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0BFD-4ADD-A0AD-58A57B1334BB}"/>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0BFD-4ADD-A0AD-58A57B1334BB}"/>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0BFD-4ADD-A0AD-58A57B1334BB}"/>
              </c:ext>
            </c:extLst>
          </c:dPt>
          <c:dLbls>
            <c:dLbl>
              <c:idx val="0"/>
              <c:layout>
                <c:manualLayout>
                  <c:x val="0.10826698142177973"/>
                  <c:y val="3.20776973146786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0BFD-4ADD-A0AD-58A57B1334BB}"/>
                </c:ext>
              </c:extLst>
            </c:dLbl>
            <c:dLbl>
              <c:idx val="1"/>
              <c:layout>
                <c:manualLayout>
                  <c:x val="0.11851719037583563"/>
                  <c:y val="9.1113329067365086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0BFD-4ADD-A0AD-58A57B1334BB}"/>
                </c:ext>
              </c:extLst>
            </c:dLbl>
            <c:dLbl>
              <c:idx val="2"/>
              <c:delete val="1"/>
              <c:extLst>
                <c:ext xmlns:c15="http://schemas.microsoft.com/office/drawing/2012/chart" uri="{CE6537A1-D6FC-4f65-9D91-7224C49458BB}"/>
                <c:ext xmlns:c16="http://schemas.microsoft.com/office/drawing/2014/chart" uri="{C3380CC4-5D6E-409C-BE32-E72D297353CC}">
                  <c16:uniqueId val="{00000003-0BFD-4ADD-A0AD-58A57B1334BB}"/>
                </c:ext>
              </c:extLst>
            </c:dLbl>
            <c:dLbl>
              <c:idx val="3"/>
              <c:layout>
                <c:manualLayout>
                  <c:x val="2.2973934877789641E-2"/>
                  <c:y val="0.2467618731817487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0BFD-4ADD-A0AD-58A57B1334BB}"/>
                </c:ext>
              </c:extLst>
            </c:dLbl>
            <c:dLbl>
              <c:idx val="4"/>
              <c:delete val="1"/>
              <c:extLst>
                <c:ext xmlns:c15="http://schemas.microsoft.com/office/drawing/2012/chart" uri="{CE6537A1-D6FC-4f65-9D91-7224C49458BB}"/>
                <c:ext xmlns:c16="http://schemas.microsoft.com/office/drawing/2014/chart" uri="{C3380CC4-5D6E-409C-BE32-E72D297353CC}">
                  <c16:uniqueId val="{00000007-0BFD-4ADD-A0AD-58A57B1334BB}"/>
                </c:ext>
              </c:extLst>
            </c:dLbl>
            <c:dLbl>
              <c:idx val="5"/>
              <c:layout>
                <c:manualLayout>
                  <c:x val="-9.9188503070440789E-2"/>
                  <c:y val="0.1161252848465325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0BFD-4ADD-A0AD-58A57B1334BB}"/>
                </c:ext>
              </c:extLst>
            </c:dLbl>
            <c:dLbl>
              <c:idx val="6"/>
              <c:layout>
                <c:manualLayout>
                  <c:x val="-0.10309839900030976"/>
                  <c:y val="0.1288007395680472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0BFD-4ADD-A0AD-58A57B1334BB}"/>
                </c:ext>
              </c:extLst>
            </c:dLbl>
            <c:dLbl>
              <c:idx val="7"/>
              <c:layout>
                <c:manualLayout>
                  <c:x val="-9.327191097002413E-2"/>
                  <c:y val="2.516084898878065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0BFD-4ADD-A0AD-58A57B1334BB}"/>
                </c:ext>
              </c:extLst>
            </c:dLbl>
            <c:dLbl>
              <c:idx val="8"/>
              <c:delete val="1"/>
              <c:extLst>
                <c:ext xmlns:c15="http://schemas.microsoft.com/office/drawing/2012/chart" uri="{CE6537A1-D6FC-4f65-9D91-7224C49458BB}"/>
                <c:ext xmlns:c16="http://schemas.microsoft.com/office/drawing/2014/chart" uri="{C3380CC4-5D6E-409C-BE32-E72D297353CC}">
                  <c16:uniqueId val="{0000000F-0BFD-4ADD-A0AD-58A57B1334BB}"/>
                </c:ext>
              </c:extLst>
            </c:dLbl>
            <c:dLbl>
              <c:idx val="9"/>
              <c:layout>
                <c:manualLayout>
                  <c:x val="-9.8091724663251501E-2"/>
                  <c:y val="-5.381790886323268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0BFD-4ADD-A0AD-58A57B1334BB}"/>
                </c:ext>
              </c:extLst>
            </c:dLbl>
            <c:dLbl>
              <c:idx val="10"/>
              <c:layout>
                <c:manualLayout>
                  <c:x val="-5.8685017131727912E-2"/>
                  <c:y val="-0.1387792890296655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0BFD-4ADD-A0AD-58A57B1334BB}"/>
                </c:ext>
              </c:extLst>
            </c:dLbl>
            <c:dLbl>
              <c:idx val="11"/>
              <c:layout>
                <c:manualLayout>
                  <c:x val="9.4755075979125677E-2"/>
                  <c:y val="-7.799149520784727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0BFD-4ADD-A0AD-58A57B1334BB}"/>
                </c:ext>
              </c:extLst>
            </c:dLbl>
            <c:dLbl>
              <c:idx val="12"/>
              <c:layout>
                <c:manualLayout>
                  <c:x val="0.16542979791167872"/>
                  <c:y val="-8.323115392838434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0BFD-4ADD-A0AD-58A57B1334BB}"/>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'ASU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'ASU Chrts'!$D$54:$D$66</c:f>
              <c:numCache>
                <c:formatCode>"$"#,##0</c:formatCode>
                <c:ptCount val="13"/>
                <c:pt idx="0">
                  <c:v>35544538</c:v>
                </c:pt>
                <c:pt idx="1">
                  <c:v>6976789</c:v>
                </c:pt>
                <c:pt idx="3">
                  <c:v>6792999</c:v>
                </c:pt>
                <c:pt idx="4">
                  <c:v>0</c:v>
                </c:pt>
                <c:pt idx="5">
                  <c:v>44743500</c:v>
                </c:pt>
                <c:pt idx="6">
                  <c:v>32115992</c:v>
                </c:pt>
                <c:pt idx="7">
                  <c:v>11702283</c:v>
                </c:pt>
                <c:pt idx="8">
                  <c:v>0</c:v>
                </c:pt>
                <c:pt idx="9">
                  <c:v>12212232</c:v>
                </c:pt>
                <c:pt idx="10">
                  <c:v>882153</c:v>
                </c:pt>
                <c:pt idx="11">
                  <c:v>10470932</c:v>
                </c:pt>
                <c:pt idx="12">
                  <c:v>4906222</c:v>
                </c:pt>
              </c:numCache>
            </c:numRef>
          </c:val>
          <c:extLst>
            <c:ext xmlns:c16="http://schemas.microsoft.com/office/drawing/2014/chart" uri="{C3380CC4-5D6E-409C-BE32-E72D297353CC}">
              <c16:uniqueId val="{00000019-0BFD-4ADD-A0AD-58A57B1334BB}"/>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2"/>
          <c:y val="3.3873343151695247E-2"/>
        </c:manualLayout>
      </c:layout>
      <c:overlay val="0"/>
      <c:spPr>
        <a:noFill/>
        <a:ln w="25400">
          <a:noFill/>
        </a:ln>
      </c:spPr>
    </c:title>
    <c:autoTitleDeleted val="0"/>
    <c:plotArea>
      <c:layout>
        <c:manualLayout>
          <c:layoutTarget val="inner"/>
          <c:xMode val="edge"/>
          <c:yMode val="edge"/>
          <c:x val="0.38319839766865527"/>
          <c:y val="0.35198848492305207"/>
          <c:w val="0.22278481012658227"/>
          <c:h val="0.36453848361832131"/>
        </c:manualLayout>
      </c:layout>
      <c:pieChart>
        <c:varyColors val="1"/>
        <c:ser>
          <c:idx val="0"/>
          <c:order val="0"/>
          <c:tx>
            <c:strRef>
              <c:f>'ASU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4B82-48DB-9700-2CE3B752B0F0}"/>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4B82-48DB-9700-2CE3B752B0F0}"/>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4B82-48DB-9700-2CE3B752B0F0}"/>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4B82-48DB-9700-2CE3B752B0F0}"/>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4B82-48DB-9700-2CE3B752B0F0}"/>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4B82-48DB-9700-2CE3B752B0F0}"/>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4B82-48DB-9700-2CE3B752B0F0}"/>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4B82-48DB-9700-2CE3B752B0F0}"/>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4B82-48DB-9700-2CE3B752B0F0}"/>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4B82-48DB-9700-2CE3B752B0F0}"/>
              </c:ext>
            </c:extLst>
          </c:dPt>
          <c:dLbls>
            <c:dLbl>
              <c:idx val="0"/>
              <c:layout>
                <c:manualLayout>
                  <c:x val="-5.8815660714785757E-2"/>
                  <c:y val="0.1195132092721422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4B82-48DB-9700-2CE3B752B0F0}"/>
                </c:ext>
              </c:extLst>
            </c:dLbl>
            <c:dLbl>
              <c:idx val="1"/>
              <c:layout>
                <c:manualLayout>
                  <c:x val="-0.11471671488868322"/>
                  <c:y val="0.176221741374524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4B82-48DB-9700-2CE3B752B0F0}"/>
                </c:ext>
              </c:extLst>
            </c:dLbl>
            <c:dLbl>
              <c:idx val="2"/>
              <c:layout>
                <c:manualLayout>
                  <c:x val="-0.12818639934792431"/>
                  <c:y val="1.464826867647266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4B82-48DB-9700-2CE3B752B0F0}"/>
                </c:ext>
              </c:extLst>
            </c:dLbl>
            <c:dLbl>
              <c:idx val="3"/>
              <c:layout>
                <c:manualLayout>
                  <c:x val="-0.10026817899386903"/>
                  <c:y val="-8.449858476799378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4B82-48DB-9700-2CE3B752B0F0}"/>
                </c:ext>
              </c:extLst>
            </c:dLbl>
            <c:dLbl>
              <c:idx val="4"/>
              <c:layout>
                <c:manualLayout>
                  <c:x val="9.8289095971525429E-3"/>
                  <c:y val="-0.131048014131972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4B82-48DB-9700-2CE3B752B0F0}"/>
                </c:ext>
              </c:extLst>
            </c:dLbl>
            <c:dLbl>
              <c:idx val="5"/>
              <c:layout>
                <c:manualLayout>
                  <c:x val="0.10183716044346595"/>
                  <c:y val="-9.849837694486644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4B82-48DB-9700-2CE3B752B0F0}"/>
                </c:ext>
              </c:extLst>
            </c:dLbl>
            <c:dLbl>
              <c:idx val="6"/>
              <c:layout>
                <c:manualLayout>
                  <c:x val="0.11311604162204576"/>
                  <c:y val="-9.5653001855963045E-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4B82-48DB-9700-2CE3B752B0F0}"/>
                </c:ext>
              </c:extLst>
            </c:dLbl>
            <c:dLbl>
              <c:idx val="7"/>
              <c:layout>
                <c:manualLayout>
                  <c:x val="0.11976489023468216"/>
                  <c:y val="5.220367846935308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4B82-48DB-9700-2CE3B752B0F0}"/>
                </c:ext>
              </c:extLst>
            </c:dLbl>
            <c:dLbl>
              <c:idx val="8"/>
              <c:layout>
                <c:manualLayout>
                  <c:x val="0.10769853835447761"/>
                  <c:y val="1.905076398297838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4B82-48DB-9700-2CE3B752B0F0}"/>
                </c:ext>
              </c:extLst>
            </c:dLbl>
            <c:dLbl>
              <c:idx val="9"/>
              <c:layout>
                <c:manualLayout>
                  <c:x val="4.0559187448299769E-2"/>
                  <c:y val="8.111423639678809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4B82-48DB-9700-2CE3B752B0F0}"/>
                </c:ext>
              </c:extLst>
            </c:dLbl>
            <c:dLbl>
              <c:idx val="10"/>
              <c:layout>
                <c:manualLayout>
                  <c:x val="-0.13723133853369257"/>
                  <c:y val="9.3810086007399304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4B82-48DB-9700-2CE3B752B0F0}"/>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'ASU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'ASU Chrts'!$D$102:$D$112</c:f>
              <c:numCache>
                <c:formatCode>"$"#,##0</c:formatCode>
                <c:ptCount val="11"/>
                <c:pt idx="0">
                  <c:v>44416353</c:v>
                </c:pt>
                <c:pt idx="1">
                  <c:v>902658</c:v>
                </c:pt>
                <c:pt idx="2">
                  <c:v>1267934</c:v>
                </c:pt>
                <c:pt idx="3">
                  <c:v>6954976</c:v>
                </c:pt>
                <c:pt idx="4">
                  <c:v>9051053</c:v>
                </c:pt>
                <c:pt idx="5">
                  <c:v>18062079</c:v>
                </c:pt>
                <c:pt idx="6">
                  <c:v>7507723</c:v>
                </c:pt>
                <c:pt idx="7">
                  <c:v>20011386</c:v>
                </c:pt>
                <c:pt idx="8">
                  <c:v>17609666</c:v>
                </c:pt>
                <c:pt idx="9">
                  <c:v>1101123</c:v>
                </c:pt>
                <c:pt idx="10">
                  <c:v>2418380</c:v>
                </c:pt>
              </c:numCache>
            </c:numRef>
          </c:val>
          <c:extLst>
            <c:ext xmlns:c16="http://schemas.microsoft.com/office/drawing/2014/chart" uri="{C3380CC4-5D6E-409C-BE32-E72D297353CC}">
              <c16:uniqueId val="{00000015-4B82-48DB-9700-2CE3B752B0F0}"/>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9018529471147456"/>
          <c:y val="0.30242677225857301"/>
          <c:w val="0.22175375589363547"/>
          <c:h val="0.34917161753300846"/>
        </c:manualLayout>
      </c:layout>
      <c:pieChart>
        <c:varyColors val="1"/>
        <c:ser>
          <c:idx val="0"/>
          <c:order val="0"/>
          <c:tx>
            <c:strRef>
              <c:f>'UNT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4ACC-490C-B43B-9B319C8FFDE9}"/>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4ACC-490C-B43B-9B319C8FFDE9}"/>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4ACC-490C-B43B-9B319C8FFDE9}"/>
              </c:ext>
            </c:extLst>
          </c:dPt>
          <c:dLbls>
            <c:dLbl>
              <c:idx val="0"/>
              <c:layout>
                <c:manualLayout>
                  <c:x val="9.1915297918077024E-2"/>
                  <c:y val="-1.718476226266960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4ACC-490C-B43B-9B319C8FFDE9}"/>
                </c:ext>
              </c:extLst>
            </c:dLbl>
            <c:dLbl>
              <c:idx val="1"/>
              <c:layout>
                <c:manualLayout>
                  <c:x val="-3.0309568769967116E-2"/>
                  <c:y val="0.1192359408959912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4ACC-490C-B43B-9B319C8FFDE9}"/>
                </c:ext>
              </c:extLst>
            </c:dLbl>
            <c:dLbl>
              <c:idx val="2"/>
              <c:layout>
                <c:manualLayout>
                  <c:x val="-0.12120939181244735"/>
                  <c:y val="3.306872528556246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4ACC-490C-B43B-9B319C8FFDE9}"/>
                </c:ext>
              </c:extLst>
            </c:dLbl>
            <c:dLbl>
              <c:idx val="3"/>
              <c:layout>
                <c:manualLayout>
                  <c:x val="-2.6058170330518639E-2"/>
                  <c:y val="-4.295031141388132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4ACC-490C-B43B-9B319C8FFDE9}"/>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'UNT Chrts'!$C$9:$C$12</c:f>
              <c:strCache>
                <c:ptCount val="4"/>
                <c:pt idx="0">
                  <c:v>State of Texas</c:v>
                </c:pt>
                <c:pt idx="1">
                  <c:v>Student &amp; Parent</c:v>
                </c:pt>
                <c:pt idx="2">
                  <c:v>Federal Government</c:v>
                </c:pt>
                <c:pt idx="3">
                  <c:v>Institutional Resources</c:v>
                </c:pt>
              </c:strCache>
            </c:strRef>
          </c:cat>
          <c:val>
            <c:numRef>
              <c:f>'UNT Chrts'!$D$9:$D$12</c:f>
              <c:numCache>
                <c:formatCode>"$"#,##0</c:formatCode>
                <c:ptCount val="4"/>
                <c:pt idx="0">
                  <c:v>203993076</c:v>
                </c:pt>
                <c:pt idx="1">
                  <c:v>363524651</c:v>
                </c:pt>
                <c:pt idx="2">
                  <c:v>165506817</c:v>
                </c:pt>
                <c:pt idx="3">
                  <c:v>111282230</c:v>
                </c:pt>
              </c:numCache>
            </c:numRef>
          </c:val>
          <c:extLst>
            <c:ext xmlns:c16="http://schemas.microsoft.com/office/drawing/2014/chart" uri="{C3380CC4-5D6E-409C-BE32-E72D297353CC}">
              <c16:uniqueId val="{00000007-4ACC-490C-B43B-9B319C8FFDE9}"/>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316"/>
          <c:y val="4.2735042735042736E-2"/>
        </c:manualLayout>
      </c:layout>
      <c:overlay val="0"/>
      <c:spPr>
        <a:noFill/>
        <a:ln w="25400">
          <a:noFill/>
        </a:ln>
      </c:spPr>
    </c:title>
    <c:autoTitleDeleted val="0"/>
    <c:plotArea>
      <c:layout>
        <c:manualLayout>
          <c:layoutTarget val="inner"/>
          <c:xMode val="edge"/>
          <c:yMode val="edge"/>
          <c:x val="0.37925605233135135"/>
          <c:y val="0.29694789954651435"/>
          <c:w val="0.23085729580469441"/>
          <c:h val="0.36595607094410054"/>
        </c:manualLayout>
      </c:layout>
      <c:pieChart>
        <c:varyColors val="1"/>
        <c:ser>
          <c:idx val="0"/>
          <c:order val="0"/>
          <c:tx>
            <c:strRef>
              <c:f>'UNT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73CE-4CDC-9074-692B4021E2FD}"/>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73CE-4CDC-9074-692B4021E2FD}"/>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73CE-4CDC-9074-692B4021E2FD}"/>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73CE-4CDC-9074-692B4021E2FD}"/>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73CE-4CDC-9074-692B4021E2FD}"/>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73CE-4CDC-9074-692B4021E2FD}"/>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73CE-4CDC-9074-692B4021E2FD}"/>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73CE-4CDC-9074-692B4021E2FD}"/>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73CE-4CDC-9074-692B4021E2FD}"/>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73CE-4CDC-9074-692B4021E2FD}"/>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73CE-4CDC-9074-692B4021E2FD}"/>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73CE-4CDC-9074-692B4021E2FD}"/>
              </c:ext>
            </c:extLst>
          </c:dPt>
          <c:dLbls>
            <c:dLbl>
              <c:idx val="0"/>
              <c:layout>
                <c:manualLayout>
                  <c:x val="0.14645725168162746"/>
                  <c:y val="4.074610672803490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73CE-4CDC-9074-692B4021E2FD}"/>
                </c:ext>
              </c:extLst>
            </c:dLbl>
            <c:dLbl>
              <c:idx val="1"/>
              <c:layout>
                <c:manualLayout>
                  <c:x val="0.12194911246865217"/>
                  <c:y val="0.1220248214445886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73CE-4CDC-9074-692B4021E2FD}"/>
                </c:ext>
              </c:extLst>
            </c:dLbl>
            <c:dLbl>
              <c:idx val="2"/>
              <c:delete val="1"/>
              <c:extLst>
                <c:ext xmlns:c15="http://schemas.microsoft.com/office/drawing/2012/chart" uri="{CE6537A1-D6FC-4f65-9D91-7224C49458BB}"/>
                <c:ext xmlns:c16="http://schemas.microsoft.com/office/drawing/2014/chart" uri="{C3380CC4-5D6E-409C-BE32-E72D297353CC}">
                  <c16:uniqueId val="{00000003-73CE-4CDC-9074-692B4021E2FD}"/>
                </c:ext>
              </c:extLst>
            </c:dLbl>
            <c:dLbl>
              <c:idx val="3"/>
              <c:layout>
                <c:manualLayout>
                  <c:x val="2.426192172325391E-2"/>
                  <c:y val="0.2796859029381543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73CE-4CDC-9074-692B4021E2FD}"/>
                </c:ext>
              </c:extLst>
            </c:dLbl>
            <c:dLbl>
              <c:idx val="4"/>
              <c:delete val="1"/>
              <c:extLst>
                <c:ext xmlns:c15="http://schemas.microsoft.com/office/drawing/2012/chart" uri="{CE6537A1-D6FC-4f65-9D91-7224C49458BB}"/>
                <c:ext xmlns:c16="http://schemas.microsoft.com/office/drawing/2014/chart" uri="{C3380CC4-5D6E-409C-BE32-E72D297353CC}">
                  <c16:uniqueId val="{00000007-73CE-4CDC-9074-692B4021E2FD}"/>
                </c:ext>
              </c:extLst>
            </c:dLbl>
            <c:dLbl>
              <c:idx val="5"/>
              <c:layout>
                <c:manualLayout>
                  <c:x val="1.2779491113344449E-2"/>
                  <c:y val="9.9766864184301848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73CE-4CDC-9074-692B4021E2FD}"/>
                </c:ext>
              </c:extLst>
            </c:dLbl>
            <c:dLbl>
              <c:idx val="6"/>
              <c:layout>
                <c:manualLayout>
                  <c:x val="-4.9322419865186234E-2"/>
                  <c:y val="0.3537934038354949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73CE-4CDC-9074-692B4021E2FD}"/>
                </c:ext>
              </c:extLst>
            </c:dLbl>
            <c:dLbl>
              <c:idx val="7"/>
              <c:layout>
                <c:manualLayout>
                  <c:x val="-0.10283686971276296"/>
                  <c:y val="0.23543487109018227"/>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73CE-4CDC-9074-692B4021E2FD}"/>
                </c:ext>
              </c:extLst>
            </c:dLbl>
            <c:dLbl>
              <c:idx val="8"/>
              <c:layout>
                <c:manualLayout>
                  <c:x val="-0.13217058817246793"/>
                  <c:y val="9.860907299027589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73CE-4CDC-9074-692B4021E2FD}"/>
                </c:ext>
              </c:extLst>
            </c:dLbl>
            <c:dLbl>
              <c:idx val="9"/>
              <c:layout>
                <c:manualLayout>
                  <c:x val="-0.11188434639936931"/>
                  <c:y val="-4.454851777636179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73CE-4CDC-9074-692B4021E2FD}"/>
                </c:ext>
              </c:extLst>
            </c:dLbl>
            <c:dLbl>
              <c:idx val="10"/>
              <c:layout>
                <c:manualLayout>
                  <c:x val="-1.0333573186660172E-2"/>
                  <c:y val="-0.1222847460183837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73CE-4CDC-9074-692B4021E2FD}"/>
                </c:ext>
              </c:extLst>
            </c:dLbl>
            <c:dLbl>
              <c:idx val="11"/>
              <c:layout>
                <c:manualLayout>
                  <c:x val="9.3264822174734641E-2"/>
                  <c:y val="-5.494159434728659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73CE-4CDC-9074-692B4021E2FD}"/>
                </c:ext>
              </c:extLst>
            </c:dLbl>
            <c:dLbl>
              <c:idx val="12"/>
              <c:layout>
                <c:manualLayout>
                  <c:x val="0.20550190702770868"/>
                  <c:y val="-7.215566266718370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73CE-4CDC-9074-692B4021E2FD}"/>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'UNT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'UNT Chrts'!$D$54:$D$66</c:f>
              <c:numCache>
                <c:formatCode>"$"#,##0</c:formatCode>
                <c:ptCount val="13"/>
                <c:pt idx="0">
                  <c:v>134981091</c:v>
                </c:pt>
                <c:pt idx="1">
                  <c:v>31665422</c:v>
                </c:pt>
                <c:pt idx="3">
                  <c:v>37346563</c:v>
                </c:pt>
                <c:pt idx="4">
                  <c:v>0</c:v>
                </c:pt>
                <c:pt idx="5">
                  <c:v>363524651</c:v>
                </c:pt>
                <c:pt idx="6">
                  <c:v>165506817</c:v>
                </c:pt>
                <c:pt idx="7">
                  <c:v>30128512</c:v>
                </c:pt>
                <c:pt idx="8">
                  <c:v>587381</c:v>
                </c:pt>
                <c:pt idx="9">
                  <c:v>3948553</c:v>
                </c:pt>
                <c:pt idx="10">
                  <c:v>16640371</c:v>
                </c:pt>
                <c:pt idx="11">
                  <c:v>58331292</c:v>
                </c:pt>
                <c:pt idx="12">
                  <c:v>1646121</c:v>
                </c:pt>
              </c:numCache>
            </c:numRef>
          </c:val>
          <c:extLst>
            <c:ext xmlns:c16="http://schemas.microsoft.com/office/drawing/2014/chart" uri="{C3380CC4-5D6E-409C-BE32-E72D297353CC}">
              <c16:uniqueId val="{00000019-73CE-4CDC-9074-692B4021E2FD}"/>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244"/>
          <c:y val="3.3873343151695309E-2"/>
        </c:manualLayout>
      </c:layout>
      <c:overlay val="0"/>
      <c:spPr>
        <a:noFill/>
        <a:ln w="25400">
          <a:noFill/>
        </a:ln>
      </c:spPr>
    </c:title>
    <c:autoTitleDeleted val="0"/>
    <c:plotArea>
      <c:layout>
        <c:manualLayout>
          <c:layoutTarget val="inner"/>
          <c:xMode val="edge"/>
          <c:yMode val="edge"/>
          <c:x val="0.38440394317800297"/>
          <c:y val="0.29083754881823526"/>
          <c:w val="0.22519590114526841"/>
          <c:h val="0.3684837053025225"/>
        </c:manualLayout>
      </c:layout>
      <c:pieChart>
        <c:varyColors val="1"/>
        <c:ser>
          <c:idx val="0"/>
          <c:order val="0"/>
          <c:tx>
            <c:strRef>
              <c:f>'UNT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EF25-4993-9FDA-5AB17D18CDB7}"/>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EF25-4993-9FDA-5AB17D18CDB7}"/>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EF25-4993-9FDA-5AB17D18CDB7}"/>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EF25-4993-9FDA-5AB17D18CDB7}"/>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EF25-4993-9FDA-5AB17D18CDB7}"/>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EF25-4993-9FDA-5AB17D18CDB7}"/>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EF25-4993-9FDA-5AB17D18CDB7}"/>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EF25-4993-9FDA-5AB17D18CDB7}"/>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EF25-4993-9FDA-5AB17D18CDB7}"/>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EF25-4993-9FDA-5AB17D18CDB7}"/>
              </c:ext>
            </c:extLst>
          </c:dPt>
          <c:dLbls>
            <c:dLbl>
              <c:idx val="0"/>
              <c:layout>
                <c:manualLayout>
                  <c:x val="-0.12075083685317474"/>
                  <c:y val="5.423344874402916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EF25-4993-9FDA-5AB17D18CDB7}"/>
                </c:ext>
              </c:extLst>
            </c:dLbl>
            <c:dLbl>
              <c:idx val="1"/>
              <c:layout>
                <c:manualLayout>
                  <c:x val="-0.1246473221076818"/>
                  <c:y val="0.16077945787985928"/>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EF25-4993-9FDA-5AB17D18CDB7}"/>
                </c:ext>
              </c:extLst>
            </c:dLbl>
            <c:dLbl>
              <c:idx val="2"/>
              <c:layout>
                <c:manualLayout>
                  <c:x val="-0.11762223959543461"/>
                  <c:y val="5.197550793572145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EF25-4993-9FDA-5AB17D18CDB7}"/>
                </c:ext>
              </c:extLst>
            </c:dLbl>
            <c:dLbl>
              <c:idx val="3"/>
              <c:layout>
                <c:manualLayout>
                  <c:x val="-7.2698190217502401E-2"/>
                  <c:y val="-2.115710556170641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EF25-4993-9FDA-5AB17D18CDB7}"/>
                </c:ext>
              </c:extLst>
            </c:dLbl>
            <c:dLbl>
              <c:idx val="4"/>
              <c:layout>
                <c:manualLayout>
                  <c:x val="6.9164789123595674E-3"/>
                  <c:y val="-3.890206033766126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EF25-4993-9FDA-5AB17D18CDB7}"/>
                </c:ext>
              </c:extLst>
            </c:dLbl>
            <c:dLbl>
              <c:idx val="5"/>
              <c:layout>
                <c:manualLayout>
                  <c:x val="0.10337505280194406"/>
                  <c:y val="-2.917926341779221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EF25-4993-9FDA-5AB17D18CDB7}"/>
                </c:ext>
              </c:extLst>
            </c:dLbl>
            <c:dLbl>
              <c:idx val="6"/>
              <c:layout>
                <c:manualLayout>
                  <c:x val="0.10323964160055253"/>
                  <c:y val="8.273657972267917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EF25-4993-9FDA-5AB17D18CDB7}"/>
                </c:ext>
              </c:extLst>
            </c:dLbl>
            <c:dLbl>
              <c:idx val="7"/>
              <c:layout>
                <c:manualLayout>
                  <c:x val="0.11942753793747006"/>
                  <c:y val="0.1202582784419421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EF25-4993-9FDA-5AB17D18CDB7}"/>
                </c:ext>
              </c:extLst>
            </c:dLbl>
            <c:dLbl>
              <c:idx val="8"/>
              <c:layout>
                <c:manualLayout>
                  <c:x val="8.305602205069329E-2"/>
                  <c:y val="0.1472488986383857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EF25-4993-9FDA-5AB17D18CDB7}"/>
                </c:ext>
              </c:extLst>
            </c:dLbl>
            <c:dLbl>
              <c:idx val="9"/>
              <c:layout>
                <c:manualLayout>
                  <c:x val="-1.9663779147957458E-2"/>
                  <c:y val="0.1405805410142357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EF25-4993-9FDA-5AB17D18CDB7}"/>
                </c:ext>
              </c:extLst>
            </c:dLbl>
            <c:dLbl>
              <c:idx val="10"/>
              <c:layout>
                <c:manualLayout>
                  <c:x val="-0.18781195154236036"/>
                  <c:y val="0.12790410686768455"/>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EF25-4993-9FDA-5AB17D18CDB7}"/>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'UNT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'UNT Chrts'!$D$102:$D$112</c:f>
              <c:numCache>
                <c:formatCode>"$"#,##0</c:formatCode>
                <c:ptCount val="11"/>
                <c:pt idx="0">
                  <c:v>174635353</c:v>
                </c:pt>
                <c:pt idx="1">
                  <c:v>70216070</c:v>
                </c:pt>
                <c:pt idx="2">
                  <c:v>7491324</c:v>
                </c:pt>
                <c:pt idx="3">
                  <c:v>56259145</c:v>
                </c:pt>
                <c:pt idx="4">
                  <c:v>77644576</c:v>
                </c:pt>
                <c:pt idx="5">
                  <c:v>50738106</c:v>
                </c:pt>
                <c:pt idx="6">
                  <c:v>41696365</c:v>
                </c:pt>
                <c:pt idx="7">
                  <c:v>131956284</c:v>
                </c:pt>
                <c:pt idx="8">
                  <c:v>43345945</c:v>
                </c:pt>
                <c:pt idx="9">
                  <c:v>40988890</c:v>
                </c:pt>
                <c:pt idx="10">
                  <c:v>9253748</c:v>
                </c:pt>
              </c:numCache>
            </c:numRef>
          </c:val>
          <c:extLst>
            <c:ext xmlns:c16="http://schemas.microsoft.com/office/drawing/2014/chart" uri="{C3380CC4-5D6E-409C-BE32-E72D297353CC}">
              <c16:uniqueId val="{00000015-EF25-4993-9FDA-5AB17D18CDB7}"/>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 by Category
</a:t>
            </a:r>
          </a:p>
        </c:rich>
      </c:tx>
      <c:layout>
        <c:manualLayout>
          <c:xMode val="edge"/>
          <c:yMode val="edge"/>
          <c:x val="0.33454215775158658"/>
          <c:y val="2.6950354609929096E-2"/>
        </c:manualLayout>
      </c:layout>
      <c:overlay val="0"/>
      <c:spPr>
        <a:noFill/>
        <a:ln w="25400">
          <a:noFill/>
        </a:ln>
      </c:spPr>
    </c:title>
    <c:autoTitleDeleted val="0"/>
    <c:plotArea>
      <c:layout>
        <c:manualLayout>
          <c:layoutTarget val="inner"/>
          <c:xMode val="edge"/>
          <c:yMode val="edge"/>
          <c:x val="0.39018529471147467"/>
          <c:y val="0.30242677225857323"/>
          <c:w val="0.22175375589363547"/>
          <c:h val="0.34917161753300846"/>
        </c:manualLayout>
      </c:layout>
      <c:pieChart>
        <c:varyColors val="1"/>
        <c:ser>
          <c:idx val="0"/>
          <c:order val="0"/>
          <c:tx>
            <c:strRef>
              <c:f>'UNTD Chrts'!$C$7</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CE12-4B0A-9B46-809EE6B08A69}"/>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CE12-4B0A-9B46-809EE6B08A69}"/>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CE12-4B0A-9B46-809EE6B08A69}"/>
              </c:ext>
            </c:extLst>
          </c:dPt>
          <c:dLbls>
            <c:dLbl>
              <c:idx val="0"/>
              <c:layout>
                <c:manualLayout>
                  <c:x val="5.7104593851254493E-2"/>
                  <c:y val="0.17471117619179841"/>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6-CE12-4B0A-9B46-809EE6B08A69}"/>
                </c:ext>
              </c:extLst>
            </c:dLbl>
            <c:dLbl>
              <c:idx val="1"/>
              <c:layout>
                <c:manualLayout>
                  <c:x val="-6.2719581341421263E-2"/>
                  <c:y val="0.13443546958628153"/>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CE12-4B0A-9B46-809EE6B08A69}"/>
                </c:ext>
              </c:extLst>
            </c:dLbl>
            <c:dLbl>
              <c:idx val="2"/>
              <c:layout>
                <c:manualLayout>
                  <c:x val="-9.24005562530405E-2"/>
                  <c:y val="-6.002930426165469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CE12-4B0A-9B46-809EE6B08A69}"/>
                </c:ext>
              </c:extLst>
            </c:dLbl>
            <c:dLbl>
              <c:idx val="3"/>
              <c:layout>
                <c:manualLayout>
                  <c:x val="0.1876076138198238"/>
                  <c:y val="-1.445091461371272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CE12-4B0A-9B46-809EE6B08A69}"/>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'UNTD Chrts'!$C$9:$C$12</c:f>
              <c:strCache>
                <c:ptCount val="4"/>
                <c:pt idx="0">
                  <c:v>State of Texas</c:v>
                </c:pt>
                <c:pt idx="1">
                  <c:v>Student &amp; Parent</c:v>
                </c:pt>
                <c:pt idx="2">
                  <c:v>Federal Government</c:v>
                </c:pt>
                <c:pt idx="3">
                  <c:v>Institutional Resources</c:v>
                </c:pt>
              </c:strCache>
            </c:strRef>
          </c:cat>
          <c:val>
            <c:numRef>
              <c:f>'UNTD Chrts'!$D$9:$D$12</c:f>
              <c:numCache>
                <c:formatCode>"$"#,##0</c:formatCode>
                <c:ptCount val="4"/>
                <c:pt idx="0">
                  <c:v>33427985</c:v>
                </c:pt>
                <c:pt idx="1">
                  <c:v>30361512</c:v>
                </c:pt>
                <c:pt idx="2">
                  <c:v>22473380</c:v>
                </c:pt>
                <c:pt idx="3">
                  <c:v>4102300</c:v>
                </c:pt>
              </c:numCache>
            </c:numRef>
          </c:val>
          <c:extLst>
            <c:ext xmlns:c16="http://schemas.microsoft.com/office/drawing/2014/chart" uri="{C3380CC4-5D6E-409C-BE32-E72D297353CC}">
              <c16:uniqueId val="{00000007-CE12-4B0A-9B46-809EE6B08A69}"/>
            </c:ext>
          </c:extLst>
        </c:ser>
        <c:dLbls>
          <c:showLegendKey val="0"/>
          <c:showVal val="1"/>
          <c:showCatName val="1"/>
          <c:showSerName val="0"/>
          <c:showPercent val="1"/>
          <c:showBubbleSize val="0"/>
          <c:separator>
</c:separator>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Sources</a:t>
            </a:r>
          </a:p>
        </c:rich>
      </c:tx>
      <c:layout>
        <c:manualLayout>
          <c:xMode val="edge"/>
          <c:yMode val="edge"/>
          <c:x val="0.39638028051926349"/>
          <c:y val="4.2735042735042736E-2"/>
        </c:manualLayout>
      </c:layout>
      <c:overlay val="0"/>
      <c:spPr>
        <a:noFill/>
        <a:ln w="25400">
          <a:noFill/>
        </a:ln>
      </c:spPr>
    </c:title>
    <c:autoTitleDeleted val="0"/>
    <c:plotArea>
      <c:layout>
        <c:manualLayout>
          <c:layoutTarget val="inner"/>
          <c:xMode val="edge"/>
          <c:yMode val="edge"/>
          <c:x val="0.37925605233135135"/>
          <c:y val="0.29694789954651435"/>
          <c:w val="0.23085729580469441"/>
          <c:h val="0.36595607094410076"/>
        </c:manualLayout>
      </c:layout>
      <c:pieChart>
        <c:varyColors val="1"/>
        <c:ser>
          <c:idx val="0"/>
          <c:order val="0"/>
          <c:tx>
            <c:strRef>
              <c:f>'UNTD Chrts'!$C$52</c:f>
              <c:strCache>
                <c:ptCount val="1"/>
                <c:pt idx="0">
                  <c:v>Revenue</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1B42-4326-82E9-D23601BB451D}"/>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1B42-4326-82E9-D23601BB451D}"/>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1B42-4326-82E9-D23601BB451D}"/>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1B42-4326-82E9-D23601BB451D}"/>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1B42-4326-82E9-D23601BB451D}"/>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1B42-4326-82E9-D23601BB451D}"/>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1B42-4326-82E9-D23601BB451D}"/>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1B42-4326-82E9-D23601BB451D}"/>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1B42-4326-82E9-D23601BB451D}"/>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1B42-4326-82E9-D23601BB451D}"/>
              </c:ext>
            </c:extLst>
          </c:dPt>
          <c:dPt>
            <c:idx val="11"/>
            <c:bubble3D val="0"/>
            <c:spPr>
              <a:solidFill>
                <a:srgbClr val="00FFFF"/>
              </a:solidFill>
              <a:ln w="12700">
                <a:solidFill>
                  <a:srgbClr val="000000"/>
                </a:solidFill>
                <a:prstDash val="solid"/>
              </a:ln>
            </c:spPr>
            <c:extLst>
              <c:ext xmlns:c16="http://schemas.microsoft.com/office/drawing/2014/chart" uri="{C3380CC4-5D6E-409C-BE32-E72D297353CC}">
                <c16:uniqueId val="{00000015-1B42-4326-82E9-D23601BB451D}"/>
              </c:ext>
            </c:extLst>
          </c:dPt>
          <c:dPt>
            <c:idx val="12"/>
            <c:bubble3D val="0"/>
            <c:spPr>
              <a:solidFill>
                <a:srgbClr val="800080"/>
              </a:solidFill>
              <a:ln w="12700">
                <a:solidFill>
                  <a:srgbClr val="000000"/>
                </a:solidFill>
                <a:prstDash val="solid"/>
              </a:ln>
            </c:spPr>
            <c:extLst>
              <c:ext xmlns:c16="http://schemas.microsoft.com/office/drawing/2014/chart" uri="{C3380CC4-5D6E-409C-BE32-E72D297353CC}">
                <c16:uniqueId val="{00000017-1B42-4326-82E9-D23601BB451D}"/>
              </c:ext>
            </c:extLst>
          </c:dPt>
          <c:dLbls>
            <c:dLbl>
              <c:idx val="0"/>
              <c:layout>
                <c:manualLayout>
                  <c:x val="8.7887640137212522E-2"/>
                  <c:y val="8.0312285585758883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8-1B42-4326-82E9-D23601BB451D}"/>
                </c:ext>
              </c:extLst>
            </c:dLbl>
            <c:dLbl>
              <c:idx val="1"/>
              <c:layout>
                <c:manualLayout>
                  <c:x val="0.10576132858012281"/>
                  <c:y val="7.639758326277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1B42-4326-82E9-D23601BB451D}"/>
                </c:ext>
              </c:extLst>
            </c:dLbl>
            <c:dLbl>
              <c:idx val="2"/>
              <c:delete val="1"/>
              <c:extLst>
                <c:ext xmlns:c15="http://schemas.microsoft.com/office/drawing/2012/chart" uri="{CE6537A1-D6FC-4f65-9D91-7224C49458BB}"/>
                <c:ext xmlns:c16="http://schemas.microsoft.com/office/drawing/2014/chart" uri="{C3380CC4-5D6E-409C-BE32-E72D297353CC}">
                  <c16:uniqueId val="{00000003-1B42-4326-82E9-D23601BB451D}"/>
                </c:ext>
              </c:extLst>
            </c:dLbl>
            <c:dLbl>
              <c:idx val="3"/>
              <c:layout>
                <c:manualLayout>
                  <c:x val="-9.6839559863316688E-2"/>
                  <c:y val="0.1790366675804908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1B42-4326-82E9-D23601BB451D}"/>
                </c:ext>
              </c:extLst>
            </c:dLbl>
            <c:dLbl>
              <c:idx val="4"/>
              <c:delete val="1"/>
              <c:extLst>
                <c:ext xmlns:c15="http://schemas.microsoft.com/office/drawing/2012/chart" uri="{CE6537A1-D6FC-4f65-9D91-7224C49458BB}"/>
                <c:ext xmlns:c16="http://schemas.microsoft.com/office/drawing/2014/chart" uri="{C3380CC4-5D6E-409C-BE32-E72D297353CC}">
                  <c16:uniqueId val="{00000007-1B42-4326-82E9-D23601BB451D}"/>
                </c:ext>
              </c:extLst>
            </c:dLbl>
            <c:dLbl>
              <c:idx val="5"/>
              <c:layout>
                <c:manualLayout>
                  <c:x val="-0.1058198347705787"/>
                  <c:y val="3.468190582358545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1B42-4326-82E9-D23601BB451D}"/>
                </c:ext>
              </c:extLst>
            </c:dLbl>
            <c:dLbl>
              <c:idx val="6"/>
              <c:layout>
                <c:manualLayout>
                  <c:x val="-0.13314345443799697"/>
                  <c:y val="0.1723386885459439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1B42-4326-82E9-D23601BB451D}"/>
                </c:ext>
              </c:extLst>
            </c:dLbl>
            <c:dLbl>
              <c:idx val="7"/>
              <c:layout>
                <c:manualLayout>
                  <c:x val="-0.17102162867056639"/>
                  <c:y val="6.836128070714858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1B42-4326-82E9-D23601BB451D}"/>
                </c:ext>
              </c:extLst>
            </c:dLbl>
            <c:dLbl>
              <c:idx val="8"/>
              <c:delete val="1"/>
              <c:extLst>
                <c:ext xmlns:c15="http://schemas.microsoft.com/office/drawing/2012/chart" uri="{CE6537A1-D6FC-4f65-9D91-7224C49458BB}"/>
                <c:ext xmlns:c16="http://schemas.microsoft.com/office/drawing/2014/chart" uri="{C3380CC4-5D6E-409C-BE32-E72D297353CC}">
                  <c16:uniqueId val="{0000000F-1B42-4326-82E9-D23601BB451D}"/>
                </c:ext>
              </c:extLst>
            </c:dLbl>
            <c:dLbl>
              <c:idx val="9"/>
              <c:layout>
                <c:manualLayout>
                  <c:x val="-0.12947523916886428"/>
                  <c:y val="-8.3160842677313482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1B42-4326-82E9-D23601BB451D}"/>
                </c:ext>
              </c:extLst>
            </c:dLbl>
            <c:dLbl>
              <c:idx val="10"/>
              <c:layout>
                <c:manualLayout>
                  <c:x val="3.332007886142975E-2"/>
                  <c:y val="-8.388377366035118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3-1B42-4326-82E9-D23601BB451D}"/>
                </c:ext>
              </c:extLst>
            </c:dLbl>
            <c:dLbl>
              <c:idx val="11"/>
              <c:layout>
                <c:manualLayout>
                  <c:x val="0.18127070341737589"/>
                  <c:y val="-5.756320912895374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5-1B42-4326-82E9-D23601BB451D}"/>
                </c:ext>
              </c:extLst>
            </c:dLbl>
            <c:dLbl>
              <c:idx val="12"/>
              <c:layout>
                <c:manualLayout>
                  <c:x val="0.30808083910920497"/>
                  <c:y val="2.5452683841515597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7-1B42-4326-82E9-D23601BB451D}"/>
                </c:ext>
              </c:extLst>
            </c:dLbl>
            <c:spPr>
              <a:noFill/>
              <a:ln>
                <a:noFill/>
              </a:ln>
              <a:effectLst/>
            </c:sp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'UNTD Chrts'!$C$54:$C$66</c:f>
              <c:strCache>
                <c:ptCount val="13"/>
                <c:pt idx="0">
                  <c:v>State Appropriations</c:v>
                </c:pt>
                <c:pt idx="1">
                  <c:v>State Grants &amp;  Contracts</c:v>
                </c:pt>
                <c:pt idx="3">
                  <c:v>Higher Education Fund</c:v>
                </c:pt>
                <c:pt idx="4">
                  <c:v>Available University Fund Excellence</c:v>
                </c:pt>
                <c:pt idx="5">
                  <c:v>Tuition &amp; Fees</c:v>
                </c:pt>
                <c:pt idx="6">
                  <c:v>Federal Grants &amp; Contracts</c:v>
                </c:pt>
                <c:pt idx="7">
                  <c:v>Endowment &amp; Interest Income</c:v>
                </c:pt>
                <c:pt idx="8">
                  <c:v>Local Government Grants</c:v>
                </c:pt>
                <c:pt idx="9">
                  <c:v>Private Gifts &amp; Grants</c:v>
                </c:pt>
                <c:pt idx="10">
                  <c:v>Sales &amp; Services</c:v>
                </c:pt>
                <c:pt idx="11">
                  <c:v>Net Auxiliary  Enterprises</c:v>
                </c:pt>
                <c:pt idx="12">
                  <c:v>Other Income</c:v>
                </c:pt>
              </c:strCache>
            </c:strRef>
          </c:cat>
          <c:val>
            <c:numRef>
              <c:f>'UNTD Chrts'!$D$54:$D$66</c:f>
              <c:numCache>
                <c:formatCode>"$"#,##0</c:formatCode>
                <c:ptCount val="13"/>
                <c:pt idx="0">
                  <c:v>26574019</c:v>
                </c:pt>
                <c:pt idx="1">
                  <c:v>3499525</c:v>
                </c:pt>
                <c:pt idx="3">
                  <c:v>3354441</c:v>
                </c:pt>
                <c:pt idx="4">
                  <c:v>0</c:v>
                </c:pt>
                <c:pt idx="5">
                  <c:v>30361512</c:v>
                </c:pt>
                <c:pt idx="6">
                  <c:v>22473380</c:v>
                </c:pt>
                <c:pt idx="7">
                  <c:v>2074603</c:v>
                </c:pt>
                <c:pt idx="8">
                  <c:v>2368</c:v>
                </c:pt>
                <c:pt idx="9">
                  <c:v>496242</c:v>
                </c:pt>
                <c:pt idx="10">
                  <c:v>669477</c:v>
                </c:pt>
                <c:pt idx="11">
                  <c:v>467591</c:v>
                </c:pt>
                <c:pt idx="12">
                  <c:v>392019</c:v>
                </c:pt>
              </c:numCache>
            </c:numRef>
          </c:val>
          <c:extLst>
            <c:ext xmlns:c16="http://schemas.microsoft.com/office/drawing/2014/chart" uri="{C3380CC4-5D6E-409C-BE32-E72D297353CC}">
              <c16:uniqueId val="{00000019-1B42-4326-82E9-D23601BB451D}"/>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Arial"/>
                <a:ea typeface="Arial"/>
                <a:cs typeface="Arial"/>
              </a:defRPr>
            </a:pPr>
            <a:r>
              <a:rPr lang="en-US"/>
              <a:t>Operating Uses</a:t>
            </a:r>
          </a:p>
        </c:rich>
      </c:tx>
      <c:layout>
        <c:manualLayout>
          <c:xMode val="edge"/>
          <c:yMode val="edge"/>
          <c:x val="0.41576124995246255"/>
          <c:y val="3.3873343151695323E-2"/>
        </c:manualLayout>
      </c:layout>
      <c:overlay val="0"/>
      <c:spPr>
        <a:noFill/>
        <a:ln w="25400">
          <a:noFill/>
        </a:ln>
      </c:spPr>
    </c:title>
    <c:autoTitleDeleted val="0"/>
    <c:plotArea>
      <c:layout>
        <c:manualLayout>
          <c:layoutTarget val="inner"/>
          <c:xMode val="edge"/>
          <c:yMode val="edge"/>
          <c:x val="0.38440394317800314"/>
          <c:y val="0.29083754881823526"/>
          <c:w val="0.22519590114526841"/>
          <c:h val="0.36848370530252272"/>
        </c:manualLayout>
      </c:layout>
      <c:pieChart>
        <c:varyColors val="1"/>
        <c:ser>
          <c:idx val="0"/>
          <c:order val="0"/>
          <c:tx>
            <c:strRef>
              <c:f>'UNTD Chrts'!$C$102:$C$111</c:f>
              <c:strCache>
                <c:ptCount val="10"/>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strCache>
            </c:strRef>
          </c:tx>
          <c:spPr>
            <a:solidFill>
              <a:srgbClr val="9999FF"/>
            </a:solidFill>
            <a:ln w="12700">
              <a:solidFill>
                <a:srgbClr val="000000"/>
              </a:solidFill>
              <a:prstDash val="solid"/>
            </a:ln>
          </c:spPr>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909D-4BE5-B73C-D2751EDB7C12}"/>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3-909D-4BE5-B73C-D2751EDB7C12}"/>
              </c:ext>
            </c:extLst>
          </c:dPt>
          <c:dPt>
            <c:idx val="3"/>
            <c:bubble3D val="0"/>
            <c:spPr>
              <a:solidFill>
                <a:srgbClr val="CCFFFF"/>
              </a:solidFill>
              <a:ln w="12700">
                <a:solidFill>
                  <a:srgbClr val="000000"/>
                </a:solidFill>
                <a:prstDash val="solid"/>
              </a:ln>
            </c:spPr>
            <c:extLst>
              <c:ext xmlns:c16="http://schemas.microsoft.com/office/drawing/2014/chart" uri="{C3380CC4-5D6E-409C-BE32-E72D297353CC}">
                <c16:uniqueId val="{00000005-909D-4BE5-B73C-D2751EDB7C12}"/>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7-909D-4BE5-B73C-D2751EDB7C12}"/>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9-909D-4BE5-B73C-D2751EDB7C12}"/>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B-909D-4BE5-B73C-D2751EDB7C12}"/>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D-909D-4BE5-B73C-D2751EDB7C12}"/>
              </c:ext>
            </c:extLst>
          </c:dPt>
          <c:dPt>
            <c:idx val="8"/>
            <c:bubble3D val="0"/>
            <c:spPr>
              <a:solidFill>
                <a:srgbClr val="000080"/>
              </a:solidFill>
              <a:ln w="12700">
                <a:solidFill>
                  <a:srgbClr val="000000"/>
                </a:solidFill>
                <a:prstDash val="solid"/>
              </a:ln>
            </c:spPr>
            <c:extLst>
              <c:ext xmlns:c16="http://schemas.microsoft.com/office/drawing/2014/chart" uri="{C3380CC4-5D6E-409C-BE32-E72D297353CC}">
                <c16:uniqueId val="{0000000F-909D-4BE5-B73C-D2751EDB7C12}"/>
              </c:ext>
            </c:extLst>
          </c:dPt>
          <c:dPt>
            <c:idx val="9"/>
            <c:bubble3D val="0"/>
            <c:spPr>
              <a:solidFill>
                <a:srgbClr val="FF00FF"/>
              </a:solidFill>
              <a:ln w="12700">
                <a:solidFill>
                  <a:srgbClr val="000000"/>
                </a:solidFill>
                <a:prstDash val="solid"/>
              </a:ln>
            </c:spPr>
            <c:extLst>
              <c:ext xmlns:c16="http://schemas.microsoft.com/office/drawing/2014/chart" uri="{C3380CC4-5D6E-409C-BE32-E72D297353CC}">
                <c16:uniqueId val="{00000011-909D-4BE5-B73C-D2751EDB7C12}"/>
              </c:ext>
            </c:extLst>
          </c:dPt>
          <c:dPt>
            <c:idx val="10"/>
            <c:bubble3D val="0"/>
            <c:spPr>
              <a:solidFill>
                <a:srgbClr val="FFFF00"/>
              </a:solidFill>
              <a:ln w="12700">
                <a:solidFill>
                  <a:srgbClr val="000000"/>
                </a:solidFill>
                <a:prstDash val="solid"/>
              </a:ln>
            </c:spPr>
            <c:extLst>
              <c:ext xmlns:c16="http://schemas.microsoft.com/office/drawing/2014/chart" uri="{C3380CC4-5D6E-409C-BE32-E72D297353CC}">
                <c16:uniqueId val="{00000013-909D-4BE5-B73C-D2751EDB7C12}"/>
              </c:ext>
            </c:extLst>
          </c:dPt>
          <c:dLbls>
            <c:dLbl>
              <c:idx val="0"/>
              <c:layout>
                <c:manualLayout>
                  <c:x val="-0.12795954269937845"/>
                  <c:y val="2.069890389609340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4-909D-4BE5-B73C-D2751EDB7C12}"/>
                </c:ext>
              </c:extLst>
            </c:dLbl>
            <c:dLbl>
              <c:idx val="1"/>
              <c:layout>
                <c:manualLayout>
                  <c:x val="-0.1210430637870189"/>
                  <c:y val="8.5820234237477769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909D-4BE5-B73C-D2751EDB7C12}"/>
                </c:ext>
              </c:extLst>
            </c:dLbl>
            <c:dLbl>
              <c:idx val="2"/>
              <c:layout>
                <c:manualLayout>
                  <c:x val="-8.9988867184987151E-2"/>
                  <c:y val="-7.229914974246548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909D-4BE5-B73C-D2751EDB7C12}"/>
                </c:ext>
              </c:extLst>
            </c:dLbl>
            <c:dLbl>
              <c:idx val="3"/>
              <c:layout>
                <c:manualLayout>
                  <c:x val="-1.743144539660748E-2"/>
                  <c:y val="-0.1493768334993484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5-909D-4BE5-B73C-D2751EDB7C12}"/>
                </c:ext>
              </c:extLst>
            </c:dLbl>
            <c:dLbl>
              <c:idx val="4"/>
              <c:layout>
                <c:manualLayout>
                  <c:x val="0.11264416465668009"/>
                  <c:y val="-7.440922237649318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7-909D-4BE5-B73C-D2751EDB7C12}"/>
                </c:ext>
              </c:extLst>
            </c:dLbl>
            <c:dLbl>
              <c:idx val="5"/>
              <c:layout>
                <c:manualLayout>
                  <c:x val="9.3763409895717756E-2"/>
                  <c:y val="-3.706971254395855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9-909D-4BE5-B73C-D2751EDB7C12}"/>
                </c:ext>
              </c:extLst>
            </c:dLbl>
            <c:dLbl>
              <c:idx val="6"/>
              <c:layout>
                <c:manualLayout>
                  <c:x val="9.6031030356787339E-2"/>
                  <c:y val="7.0900770359016776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B-909D-4BE5-B73C-D2751EDB7C12}"/>
                </c:ext>
              </c:extLst>
            </c:dLbl>
            <c:dLbl>
              <c:idx val="7"/>
              <c:layout>
                <c:manualLayout>
                  <c:x val="0.11582309041192912"/>
                  <c:y val="4.1353695857842841E-2"/>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D-909D-4BE5-B73C-D2751EDB7C12}"/>
                </c:ext>
              </c:extLst>
            </c:dLbl>
            <c:dLbl>
              <c:idx val="8"/>
              <c:layout>
                <c:manualLayout>
                  <c:x val="6.0228264332837109E-2"/>
                  <c:y val="0.13344062059899969"/>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F-909D-4BE5-B73C-D2751EDB7C12}"/>
                </c:ext>
              </c:extLst>
            </c:dLbl>
            <c:dLbl>
              <c:idx val="9"/>
              <c:layout>
                <c:manualLayout>
                  <c:x val="-0.17465095484133658"/>
                  <c:y val="0.10310092919304516"/>
                </c:manualLayout>
              </c:layout>
              <c:showLegendKey val="0"/>
              <c:showVal val="1"/>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11-909D-4BE5-B73C-D2751EDB7C12}"/>
                </c:ext>
              </c:extLst>
            </c:dLbl>
            <c:dLbl>
              <c:idx val="10"/>
              <c:delete val="1"/>
              <c:extLst>
                <c:ext xmlns:c15="http://schemas.microsoft.com/office/drawing/2012/chart" uri="{CE6537A1-D6FC-4f65-9D91-7224C49458BB}"/>
                <c:ext xmlns:c16="http://schemas.microsoft.com/office/drawing/2014/chart" uri="{C3380CC4-5D6E-409C-BE32-E72D297353CC}">
                  <c16:uniqueId val="{00000013-909D-4BE5-B73C-D2751EDB7C12}"/>
                </c:ext>
              </c:extLst>
            </c:dLbl>
            <c:spPr>
              <a:noFill/>
              <a:ln>
                <a:noFill/>
              </a:ln>
              <a:effectLst/>
            </c:spPr>
            <c:txPr>
              <a:bodyPr/>
              <a:lstStyle/>
              <a:p>
                <a:pPr>
                  <a:defRPr sz="1475" baseline="0"/>
                </a:pPr>
                <a:endParaRPr lang="en-US"/>
              </a:p>
            </c:txPr>
            <c:showLegendKey val="0"/>
            <c:showVal val="1"/>
            <c:showCatName val="1"/>
            <c:showSerName val="0"/>
            <c:showPercent val="1"/>
            <c:showBubbleSize val="0"/>
            <c:separator>
</c:separator>
            <c:showLeaderLines val="1"/>
            <c:extLst>
              <c:ext xmlns:c15="http://schemas.microsoft.com/office/drawing/2012/chart" uri="{CE6537A1-D6FC-4f65-9D91-7224C49458BB}"/>
            </c:extLst>
          </c:dLbls>
          <c:cat>
            <c:strRef>
              <c:f>'UNTD Chrts'!$C$102:$C$112</c:f>
              <c:strCache>
                <c:ptCount val="11"/>
                <c:pt idx="0">
                  <c:v>Instruction</c:v>
                </c:pt>
                <c:pt idx="1">
                  <c:v>Research</c:v>
                </c:pt>
                <c:pt idx="2">
                  <c:v>Public Service</c:v>
                </c:pt>
                <c:pt idx="3">
                  <c:v>Academic Support</c:v>
                </c:pt>
                <c:pt idx="4">
                  <c:v>Student Services</c:v>
                </c:pt>
                <c:pt idx="5">
                  <c:v>Institutional Support</c:v>
                </c:pt>
                <c:pt idx="6">
                  <c:v>Operations &amp; Maintenance of Plant</c:v>
                </c:pt>
                <c:pt idx="7">
                  <c:v>Scholarships &amp; Fellowships</c:v>
                </c:pt>
                <c:pt idx="8">
                  <c:v>Auxiliary Enterprises</c:v>
                </c:pt>
                <c:pt idx="9">
                  <c:v>Capital Outlay</c:v>
                </c:pt>
                <c:pt idx="10">
                  <c:v>Other Expenses</c:v>
                </c:pt>
              </c:strCache>
            </c:strRef>
          </c:cat>
          <c:val>
            <c:numRef>
              <c:f>'UNTD Chrts'!$D$102:$D$112</c:f>
              <c:numCache>
                <c:formatCode>"$"#,##0</c:formatCode>
                <c:ptCount val="11"/>
                <c:pt idx="0">
                  <c:v>18068894</c:v>
                </c:pt>
                <c:pt idx="1">
                  <c:v>113533</c:v>
                </c:pt>
                <c:pt idx="2">
                  <c:v>2931830</c:v>
                </c:pt>
                <c:pt idx="3">
                  <c:v>4538691</c:v>
                </c:pt>
                <c:pt idx="4">
                  <c:v>8869650</c:v>
                </c:pt>
                <c:pt idx="5">
                  <c:v>7524014</c:v>
                </c:pt>
                <c:pt idx="6">
                  <c:v>6142514</c:v>
                </c:pt>
                <c:pt idx="7">
                  <c:v>16479268</c:v>
                </c:pt>
                <c:pt idx="8">
                  <c:v>730452</c:v>
                </c:pt>
                <c:pt idx="9">
                  <c:v>1963261</c:v>
                </c:pt>
                <c:pt idx="10">
                  <c:v>1972025</c:v>
                </c:pt>
              </c:numCache>
            </c:numRef>
          </c:val>
          <c:extLst>
            <c:ext xmlns:c16="http://schemas.microsoft.com/office/drawing/2014/chart" uri="{C3380CC4-5D6E-409C-BE32-E72D297353CC}">
              <c16:uniqueId val="{00000015-909D-4BE5-B73C-D2751EDB7C12}"/>
            </c:ext>
          </c:extLst>
        </c:ser>
        <c:dLbls>
          <c:showLegendKey val="0"/>
          <c:showVal val="1"/>
          <c:showCatName val="1"/>
          <c:showSerName val="0"/>
          <c:showPercent val="1"/>
          <c:showBubbleSize val="0"/>
          <c:separator>
</c:separator>
          <c:showLeaderLines val="1"/>
        </c:dLbls>
        <c:firstSliceAng val="17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400" b="1" i="0" u="none" strike="noStrike" baseline="0">
          <a:solidFill>
            <a:srgbClr val="000000"/>
          </a:solidFill>
          <a:latin typeface="Arial"/>
          <a:ea typeface="Arial"/>
          <a:cs typeface="Arial"/>
        </a:defRPr>
      </a:pPr>
      <a:endParaRPr lang="en-US"/>
    </a:p>
  </c:txPr>
  <c:printSettings>
    <c:headerFooter alignWithMargins="0"/>
    <c:pageMargins b="1" l="0.75000000000001465" r="0.75000000000001465" t="1" header="0.5" footer="0.5"/>
    <c:pageSetup orientation="landscape"/>
  </c:printSettings>
</c:chartSpace>
</file>

<file path=xl/drawings/_rels/drawing10.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chart" Target="../charts/chart22.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27.xml"/><Relationship Id="rId2" Type="http://schemas.openxmlformats.org/officeDocument/2006/relationships/chart" Target="../charts/chart26.xml"/><Relationship Id="rId1"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30.xml"/><Relationship Id="rId2" Type="http://schemas.openxmlformats.org/officeDocument/2006/relationships/chart" Target="../charts/chart29.xml"/><Relationship Id="rId1" Type="http://schemas.openxmlformats.org/officeDocument/2006/relationships/chart" Target="../charts/chart28.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33.xml"/><Relationship Id="rId2" Type="http://schemas.openxmlformats.org/officeDocument/2006/relationships/chart" Target="../charts/chart32.xml"/><Relationship Id="rId1" Type="http://schemas.openxmlformats.org/officeDocument/2006/relationships/chart" Target="../charts/chart31.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6.xml"/><Relationship Id="rId2" Type="http://schemas.openxmlformats.org/officeDocument/2006/relationships/chart" Target="../charts/chart35.xml"/><Relationship Id="rId1" Type="http://schemas.openxmlformats.org/officeDocument/2006/relationships/chart" Target="../charts/chart34.xml"/></Relationships>
</file>

<file path=xl/drawings/_rels/drawing16.xml.rels><?xml version="1.0" encoding="UTF-8" standalone="yes"?>
<Relationships xmlns="http://schemas.openxmlformats.org/package/2006/relationships"><Relationship Id="rId3" Type="http://schemas.openxmlformats.org/officeDocument/2006/relationships/chart" Target="../charts/chart39.xml"/><Relationship Id="rId2" Type="http://schemas.openxmlformats.org/officeDocument/2006/relationships/chart" Target="../charts/chart38.xml"/><Relationship Id="rId1" Type="http://schemas.openxmlformats.org/officeDocument/2006/relationships/chart" Target="../charts/chart37.xml"/></Relationships>
</file>

<file path=xl/drawings/_rels/drawing17.xml.rels><?xml version="1.0" encoding="UTF-8" standalone="yes"?>
<Relationships xmlns="http://schemas.openxmlformats.org/package/2006/relationships"><Relationship Id="rId3" Type="http://schemas.openxmlformats.org/officeDocument/2006/relationships/chart" Target="../charts/chart42.xml"/><Relationship Id="rId2" Type="http://schemas.openxmlformats.org/officeDocument/2006/relationships/chart" Target="../charts/chart41.xml"/><Relationship Id="rId1" Type="http://schemas.openxmlformats.org/officeDocument/2006/relationships/chart" Target="../charts/chart40.xml"/></Relationships>
</file>

<file path=xl/drawings/_rels/drawing18.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s>
</file>

<file path=xl/drawings/_rels/drawing19.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51.xml"/><Relationship Id="rId2" Type="http://schemas.openxmlformats.org/officeDocument/2006/relationships/chart" Target="../charts/chart50.xml"/><Relationship Id="rId1" Type="http://schemas.openxmlformats.org/officeDocument/2006/relationships/chart" Target="../charts/chart49.xml"/></Relationships>
</file>

<file path=xl/drawings/_rels/drawing21.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s>
</file>

<file path=xl/drawings/_rels/drawing22.xml.rels><?xml version="1.0" encoding="UTF-8" standalone="yes"?>
<Relationships xmlns="http://schemas.openxmlformats.org/package/2006/relationships"><Relationship Id="rId3" Type="http://schemas.openxmlformats.org/officeDocument/2006/relationships/chart" Target="../charts/chart57.xml"/><Relationship Id="rId2" Type="http://schemas.openxmlformats.org/officeDocument/2006/relationships/chart" Target="../charts/chart56.xml"/><Relationship Id="rId1" Type="http://schemas.openxmlformats.org/officeDocument/2006/relationships/chart" Target="../charts/chart55.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60.xml"/><Relationship Id="rId2" Type="http://schemas.openxmlformats.org/officeDocument/2006/relationships/chart" Target="../charts/chart59.xml"/><Relationship Id="rId1" Type="http://schemas.openxmlformats.org/officeDocument/2006/relationships/chart" Target="../charts/chart58.xml"/></Relationships>
</file>

<file path=xl/drawings/_rels/drawing24.xml.rels><?xml version="1.0" encoding="UTF-8" standalone="yes"?>
<Relationships xmlns="http://schemas.openxmlformats.org/package/2006/relationships"><Relationship Id="rId3" Type="http://schemas.openxmlformats.org/officeDocument/2006/relationships/chart" Target="../charts/chart63.xml"/><Relationship Id="rId2" Type="http://schemas.openxmlformats.org/officeDocument/2006/relationships/chart" Target="../charts/chart62.xml"/><Relationship Id="rId1" Type="http://schemas.openxmlformats.org/officeDocument/2006/relationships/chart" Target="../charts/chart61.xml"/></Relationships>
</file>

<file path=xl/drawings/_rels/drawing25.xml.rels><?xml version="1.0" encoding="UTF-8" standalone="yes"?>
<Relationships xmlns="http://schemas.openxmlformats.org/package/2006/relationships"><Relationship Id="rId3" Type="http://schemas.openxmlformats.org/officeDocument/2006/relationships/chart" Target="../charts/chart66.xml"/><Relationship Id="rId2" Type="http://schemas.openxmlformats.org/officeDocument/2006/relationships/chart" Target="../charts/chart65.xml"/><Relationship Id="rId1" Type="http://schemas.openxmlformats.org/officeDocument/2006/relationships/chart" Target="../charts/chart64.xml"/></Relationships>
</file>

<file path=xl/drawings/_rels/drawing26.xml.rels><?xml version="1.0" encoding="UTF-8" standalone="yes"?>
<Relationships xmlns="http://schemas.openxmlformats.org/package/2006/relationships"><Relationship Id="rId3" Type="http://schemas.openxmlformats.org/officeDocument/2006/relationships/chart" Target="../charts/chart69.xml"/><Relationship Id="rId2" Type="http://schemas.openxmlformats.org/officeDocument/2006/relationships/chart" Target="../charts/chart68.xml"/><Relationship Id="rId1" Type="http://schemas.openxmlformats.org/officeDocument/2006/relationships/chart" Target="../charts/chart67.xml"/></Relationships>
</file>

<file path=xl/drawings/_rels/drawing27.xml.rels><?xml version="1.0" encoding="UTF-8" standalone="yes"?>
<Relationships xmlns="http://schemas.openxmlformats.org/package/2006/relationships"><Relationship Id="rId3" Type="http://schemas.openxmlformats.org/officeDocument/2006/relationships/chart" Target="../charts/chart72.xml"/><Relationship Id="rId2" Type="http://schemas.openxmlformats.org/officeDocument/2006/relationships/chart" Target="../charts/chart71.xml"/><Relationship Id="rId1" Type="http://schemas.openxmlformats.org/officeDocument/2006/relationships/chart" Target="../charts/chart70.xml"/></Relationships>
</file>

<file path=xl/drawings/_rels/drawing28.xml.rels><?xml version="1.0" encoding="UTF-8" standalone="yes"?>
<Relationships xmlns="http://schemas.openxmlformats.org/package/2006/relationships"><Relationship Id="rId3" Type="http://schemas.openxmlformats.org/officeDocument/2006/relationships/chart" Target="../charts/chart75.xml"/><Relationship Id="rId2" Type="http://schemas.openxmlformats.org/officeDocument/2006/relationships/chart" Target="../charts/chart74.xml"/><Relationship Id="rId1" Type="http://schemas.openxmlformats.org/officeDocument/2006/relationships/chart" Target="../charts/chart73.xml"/></Relationships>
</file>

<file path=xl/drawings/_rels/drawing29.xml.rels><?xml version="1.0" encoding="UTF-8" standalone="yes"?>
<Relationships xmlns="http://schemas.openxmlformats.org/package/2006/relationships"><Relationship Id="rId3" Type="http://schemas.openxmlformats.org/officeDocument/2006/relationships/chart" Target="../charts/chart78.xml"/><Relationship Id="rId2" Type="http://schemas.openxmlformats.org/officeDocument/2006/relationships/chart" Target="../charts/chart77.xml"/><Relationship Id="rId1" Type="http://schemas.openxmlformats.org/officeDocument/2006/relationships/chart" Target="../charts/chart76.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0.xml.rels><?xml version="1.0" encoding="UTF-8" standalone="yes"?>
<Relationships xmlns="http://schemas.openxmlformats.org/package/2006/relationships"><Relationship Id="rId3" Type="http://schemas.openxmlformats.org/officeDocument/2006/relationships/chart" Target="../charts/chart81.xml"/><Relationship Id="rId2" Type="http://schemas.openxmlformats.org/officeDocument/2006/relationships/chart" Target="../charts/chart80.xml"/><Relationship Id="rId1" Type="http://schemas.openxmlformats.org/officeDocument/2006/relationships/chart" Target="../charts/chart79.xml"/></Relationships>
</file>

<file path=xl/drawings/_rels/drawing31.xml.rels><?xml version="1.0" encoding="UTF-8" standalone="yes"?>
<Relationships xmlns="http://schemas.openxmlformats.org/package/2006/relationships"><Relationship Id="rId3" Type="http://schemas.openxmlformats.org/officeDocument/2006/relationships/chart" Target="../charts/chart84.xml"/><Relationship Id="rId2" Type="http://schemas.openxmlformats.org/officeDocument/2006/relationships/chart" Target="../charts/chart83.xml"/><Relationship Id="rId1" Type="http://schemas.openxmlformats.org/officeDocument/2006/relationships/chart" Target="../charts/chart82.xml"/></Relationships>
</file>

<file path=xl/drawings/_rels/drawing32.xml.rels><?xml version="1.0" encoding="UTF-8" standalone="yes"?>
<Relationships xmlns="http://schemas.openxmlformats.org/package/2006/relationships"><Relationship Id="rId3" Type="http://schemas.openxmlformats.org/officeDocument/2006/relationships/chart" Target="../charts/chart87.xml"/><Relationship Id="rId2" Type="http://schemas.openxmlformats.org/officeDocument/2006/relationships/chart" Target="../charts/chart86.xml"/><Relationship Id="rId1" Type="http://schemas.openxmlformats.org/officeDocument/2006/relationships/chart" Target="../charts/chart85.xml"/></Relationships>
</file>

<file path=xl/drawings/_rels/drawing33.xml.rels><?xml version="1.0" encoding="UTF-8" standalone="yes"?>
<Relationships xmlns="http://schemas.openxmlformats.org/package/2006/relationships"><Relationship Id="rId3" Type="http://schemas.openxmlformats.org/officeDocument/2006/relationships/chart" Target="../charts/chart90.xml"/><Relationship Id="rId2" Type="http://schemas.openxmlformats.org/officeDocument/2006/relationships/chart" Target="../charts/chart89.xml"/><Relationship Id="rId1" Type="http://schemas.openxmlformats.org/officeDocument/2006/relationships/chart" Target="../charts/chart88.xml"/></Relationships>
</file>

<file path=xl/drawings/_rels/drawing34.xml.rels><?xml version="1.0" encoding="UTF-8" standalone="yes"?>
<Relationships xmlns="http://schemas.openxmlformats.org/package/2006/relationships"><Relationship Id="rId3" Type="http://schemas.openxmlformats.org/officeDocument/2006/relationships/chart" Target="../charts/chart93.xml"/><Relationship Id="rId2" Type="http://schemas.openxmlformats.org/officeDocument/2006/relationships/chart" Target="../charts/chart92.xml"/><Relationship Id="rId1" Type="http://schemas.openxmlformats.org/officeDocument/2006/relationships/chart" Target="../charts/chart91.xml"/></Relationships>
</file>

<file path=xl/drawings/_rels/drawing35.xml.rels><?xml version="1.0" encoding="UTF-8" standalone="yes"?>
<Relationships xmlns="http://schemas.openxmlformats.org/package/2006/relationships"><Relationship Id="rId3" Type="http://schemas.openxmlformats.org/officeDocument/2006/relationships/chart" Target="../charts/chart96.xml"/><Relationship Id="rId2" Type="http://schemas.openxmlformats.org/officeDocument/2006/relationships/chart" Target="../charts/chart95.xml"/><Relationship Id="rId1" Type="http://schemas.openxmlformats.org/officeDocument/2006/relationships/chart" Target="../charts/chart94.xml"/></Relationships>
</file>

<file path=xl/drawings/_rels/drawing36.xml.rels><?xml version="1.0" encoding="UTF-8" standalone="yes"?>
<Relationships xmlns="http://schemas.openxmlformats.org/package/2006/relationships"><Relationship Id="rId3" Type="http://schemas.openxmlformats.org/officeDocument/2006/relationships/chart" Target="../charts/chart99.xml"/><Relationship Id="rId2" Type="http://schemas.openxmlformats.org/officeDocument/2006/relationships/chart" Target="../charts/chart98.xml"/><Relationship Id="rId1" Type="http://schemas.openxmlformats.org/officeDocument/2006/relationships/chart" Target="../charts/chart97.xml"/></Relationships>
</file>

<file path=xl/drawings/_rels/drawing37.xml.rels><?xml version="1.0" encoding="UTF-8" standalone="yes"?>
<Relationships xmlns="http://schemas.openxmlformats.org/package/2006/relationships"><Relationship Id="rId3" Type="http://schemas.openxmlformats.org/officeDocument/2006/relationships/chart" Target="../charts/chart102.xml"/><Relationship Id="rId2" Type="http://schemas.openxmlformats.org/officeDocument/2006/relationships/chart" Target="../charts/chart101.xml"/><Relationship Id="rId1" Type="http://schemas.openxmlformats.org/officeDocument/2006/relationships/chart" Target="../charts/chart100.xml"/></Relationships>
</file>

<file path=xl/drawings/_rels/drawing38.xml.rels><?xml version="1.0" encoding="UTF-8" standalone="yes"?>
<Relationships xmlns="http://schemas.openxmlformats.org/package/2006/relationships"><Relationship Id="rId3" Type="http://schemas.openxmlformats.org/officeDocument/2006/relationships/chart" Target="../charts/chart105.xml"/><Relationship Id="rId2" Type="http://schemas.openxmlformats.org/officeDocument/2006/relationships/chart" Target="../charts/chart104.xml"/><Relationship Id="rId1" Type="http://schemas.openxmlformats.org/officeDocument/2006/relationships/chart" Target="../charts/chart103.xml"/></Relationships>
</file>

<file path=xl/drawings/_rels/drawing39.xml.rels><?xml version="1.0" encoding="UTF-8" standalone="yes"?>
<Relationships xmlns="http://schemas.openxmlformats.org/package/2006/relationships"><Relationship Id="rId3" Type="http://schemas.openxmlformats.org/officeDocument/2006/relationships/chart" Target="../charts/chart108.xml"/><Relationship Id="rId2" Type="http://schemas.openxmlformats.org/officeDocument/2006/relationships/chart" Target="../charts/chart107.xml"/><Relationship Id="rId1" Type="http://schemas.openxmlformats.org/officeDocument/2006/relationships/chart" Target="../charts/chart106.xml"/></Relationships>
</file>

<file path=xl/drawings/_rels/drawing4.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40.xml.rels><?xml version="1.0" encoding="UTF-8" standalone="yes"?>
<Relationships xmlns="http://schemas.openxmlformats.org/package/2006/relationships"><Relationship Id="rId3" Type="http://schemas.openxmlformats.org/officeDocument/2006/relationships/chart" Target="../charts/chart111.xml"/><Relationship Id="rId2" Type="http://schemas.openxmlformats.org/officeDocument/2006/relationships/chart" Target="../charts/chart110.xml"/><Relationship Id="rId1" Type="http://schemas.openxmlformats.org/officeDocument/2006/relationships/chart" Target="../charts/chart109.xml"/></Relationships>
</file>

<file path=xl/drawings/_rels/drawing41.xml.rels><?xml version="1.0" encoding="UTF-8" standalone="yes"?>
<Relationships xmlns="http://schemas.openxmlformats.org/package/2006/relationships"><Relationship Id="rId3" Type="http://schemas.openxmlformats.org/officeDocument/2006/relationships/chart" Target="../charts/chart114.xml"/><Relationship Id="rId2" Type="http://schemas.openxmlformats.org/officeDocument/2006/relationships/chart" Target="../charts/chart113.xml"/><Relationship Id="rId1" Type="http://schemas.openxmlformats.org/officeDocument/2006/relationships/chart" Target="../charts/chart112.xml"/></Relationships>
</file>

<file path=xl/drawings/_rels/drawing42.xml.rels><?xml version="1.0" encoding="UTF-8" standalone="yes"?>
<Relationships xmlns="http://schemas.openxmlformats.org/package/2006/relationships"><Relationship Id="rId3" Type="http://schemas.openxmlformats.org/officeDocument/2006/relationships/chart" Target="../charts/chart117.xml"/><Relationship Id="rId2" Type="http://schemas.openxmlformats.org/officeDocument/2006/relationships/chart" Target="../charts/chart116.xml"/><Relationship Id="rId1" Type="http://schemas.openxmlformats.org/officeDocument/2006/relationships/chart" Target="../charts/chart115.xml"/></Relationships>
</file>

<file path=xl/drawings/_rels/drawing43.xml.rels><?xml version="1.0" encoding="UTF-8" standalone="yes"?>
<Relationships xmlns="http://schemas.openxmlformats.org/package/2006/relationships"><Relationship Id="rId3" Type="http://schemas.openxmlformats.org/officeDocument/2006/relationships/chart" Target="../charts/chart120.xml"/><Relationship Id="rId2" Type="http://schemas.openxmlformats.org/officeDocument/2006/relationships/chart" Target="../charts/chart119.xml"/><Relationship Id="rId1" Type="http://schemas.openxmlformats.org/officeDocument/2006/relationships/chart" Target="../charts/chart118.xml"/></Relationships>
</file>

<file path=xl/drawings/_rels/drawing44.xml.rels><?xml version="1.0" encoding="UTF-8" standalone="yes"?>
<Relationships xmlns="http://schemas.openxmlformats.org/package/2006/relationships"><Relationship Id="rId3" Type="http://schemas.openxmlformats.org/officeDocument/2006/relationships/chart" Target="../charts/chart123.xml"/><Relationship Id="rId2" Type="http://schemas.openxmlformats.org/officeDocument/2006/relationships/chart" Target="../charts/chart122.xml"/><Relationship Id="rId1" Type="http://schemas.openxmlformats.org/officeDocument/2006/relationships/chart" Target="../charts/chart121.xml"/></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s>
</file>

<file path=xl/drawings/_rels/drawing8.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s>
</file>

<file path=xl/drawings/_rels/drawing9.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chart" Target="../charts/chart20.xml"/><Relationship Id="rId1"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twoCellAnchor>
    <xdr:from>
      <xdr:col>3</xdr:col>
      <xdr:colOff>9525</xdr:colOff>
      <xdr:row>3</xdr:row>
      <xdr:rowOff>152401</xdr:rowOff>
    </xdr:from>
    <xdr:to>
      <xdr:col>14</xdr:col>
      <xdr:colOff>990600</xdr:colOff>
      <xdr:row>7</xdr:row>
      <xdr:rowOff>95251</xdr:rowOff>
    </xdr:to>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3248025" y="638176"/>
          <a:ext cx="8924925" cy="5905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a:latin typeface="Arial" pitchFamily="34" charset="0"/>
              <a:cs typeface="Arial" pitchFamily="34" charset="0"/>
            </a:rPr>
            <a:t>Please refer inquiries regarding Almanac numbers to the Institution Point of Contact.  Have</a:t>
          </a:r>
          <a:r>
            <a:rPr lang="en-US" sz="1000" baseline="0">
              <a:latin typeface="Arial" pitchFamily="34" charset="0"/>
              <a:cs typeface="Arial" pitchFamily="34" charset="0"/>
            </a:rPr>
            <a:t> them ask the Point of Contact to refer to the "Sum" tab on their Sources &amp; Uses submission.  This approach will allow the caller to be referred only once for their answer.    See contact listing in the far right-hand columns:</a:t>
          </a:r>
          <a:endParaRPr lang="en-US" sz="1000">
            <a:latin typeface="Arial" pitchFamily="34" charset="0"/>
            <a:cs typeface="Arial"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31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84992</xdr:rowOff>
    </xdr:from>
    <xdr:to>
      <xdr:col>1</xdr:col>
      <xdr:colOff>0</xdr:colOff>
      <xdr:row>45</xdr:row>
      <xdr:rowOff>160459</xdr:rowOff>
    </xdr:to>
    <xdr:graphicFrame macro="">
      <xdr:nvGraphicFramePr>
        <xdr:cNvPr id="3" name="Chart 13">
          <a:extLst>
            <a:ext uri="{FF2B5EF4-FFF2-40B4-BE49-F238E27FC236}">
              <a16:creationId xmlns:a16="http://schemas.microsoft.com/office/drawing/2014/main" id="{00000000-0008-0000-3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3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3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31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11.xml><?xml version="1.0" encoding="utf-8"?>
<xdr:wsDr xmlns:xdr="http://schemas.openxmlformats.org/drawingml/2006/spreadsheetDrawing" xmlns:a="http://schemas.openxmlformats.org/drawingml/2006/main">
  <xdr:twoCellAnchor>
    <xdr:from>
      <xdr:col>25</xdr:col>
      <xdr:colOff>101600</xdr:colOff>
      <xdr:row>10</xdr:row>
      <xdr:rowOff>152400</xdr:rowOff>
    </xdr:from>
    <xdr:to>
      <xdr:col>28</xdr:col>
      <xdr:colOff>546100</xdr:colOff>
      <xdr:row>31</xdr:row>
      <xdr:rowOff>158750</xdr:rowOff>
    </xdr:to>
    <xdr:sp macro="" textlink="">
      <xdr:nvSpPr>
        <xdr:cNvPr id="3" name="TextBox 2">
          <a:extLst>
            <a:ext uri="{FF2B5EF4-FFF2-40B4-BE49-F238E27FC236}">
              <a16:creationId xmlns:a16="http://schemas.microsoft.com/office/drawing/2014/main" id="{00000000-0008-0000-3300-000003000000}"/>
            </a:ext>
          </a:extLst>
        </xdr:cNvPr>
        <xdr:cNvSpPr txBox="1"/>
      </xdr:nvSpPr>
      <xdr:spPr>
        <a:xfrm>
          <a:off x="26136600" y="2235200"/>
          <a:ext cx="4648200" cy="3600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100">
              <a:solidFill>
                <a:schemeClr val="dk1"/>
              </a:solidFill>
              <a:latin typeface="+mn-lt"/>
              <a:ea typeface="+mn-ea"/>
              <a:cs typeface="+mn-cs"/>
            </a:rPr>
            <a:t>Email 1-13-2010</a:t>
          </a:r>
        </a:p>
        <a:p>
          <a:r>
            <a:rPr lang="en-US" sz="1100">
              <a:solidFill>
                <a:schemeClr val="dk1"/>
              </a:solidFill>
              <a:latin typeface="+mn-lt"/>
              <a:ea typeface="+mn-ea"/>
              <a:cs typeface="+mn-cs"/>
            </a:rPr>
            <a:t>Ed,</a:t>
          </a:r>
        </a:p>
        <a:p>
          <a:r>
            <a:rPr lang="en-US" sz="1100">
              <a:solidFill>
                <a:schemeClr val="dk1"/>
              </a:solidFill>
              <a:latin typeface="+mn-lt"/>
              <a:ea typeface="+mn-ea"/>
              <a:cs typeface="+mn-cs"/>
            </a:rPr>
            <a:t>  Attached please find the revised file for Exemptions and Waivers.  The University of Texas at San Antonio has reviewed the amounts reported for Waivers, Remissions and Exemptions for both Tuition and Fees.  The amounts reported are correct.  Only Statutory Tuition has been waived.  UTSA unlike other institutions choose not to waive designated tuition and fees.  Per the attached email, exemptions for both tuition and fees are reported in the AFR and are already included in the Tuition –Gross and Fees - Gross amounts on the Sources and Uses report.  Let me know if you have additional questions. </a:t>
          </a:r>
        </a:p>
        <a:p>
          <a:r>
            <a:rPr lang="en-US" sz="1100">
              <a:solidFill>
                <a:schemeClr val="dk1"/>
              </a:solidFill>
              <a:latin typeface="+mn-lt"/>
              <a:ea typeface="+mn-ea"/>
              <a:cs typeface="+mn-cs"/>
            </a:rPr>
            <a:t>  Lenora   ------------------------------------------------------------------- </a:t>
          </a:r>
          <a:br>
            <a:rPr lang="en-US" sz="1100">
              <a:solidFill>
                <a:schemeClr val="dk1"/>
              </a:solidFill>
              <a:latin typeface="+mn-lt"/>
              <a:ea typeface="+mn-ea"/>
              <a:cs typeface="+mn-cs"/>
            </a:rPr>
          </a:br>
          <a:r>
            <a:rPr lang="en-US" sz="1100">
              <a:solidFill>
                <a:schemeClr val="dk1"/>
              </a:solidFill>
              <a:latin typeface="+mn-lt"/>
              <a:ea typeface="+mn-ea"/>
              <a:cs typeface="+mn-cs"/>
            </a:rPr>
            <a:t>Lenora C. Chapman, C.P.A. </a:t>
          </a:r>
          <a:br>
            <a:rPr lang="en-US" sz="1100">
              <a:solidFill>
                <a:schemeClr val="dk1"/>
              </a:solidFill>
              <a:latin typeface="+mn-lt"/>
              <a:ea typeface="+mn-ea"/>
              <a:cs typeface="+mn-cs"/>
            </a:rPr>
          </a:br>
          <a:r>
            <a:rPr lang="en-US" sz="1100">
              <a:solidFill>
                <a:schemeClr val="dk1"/>
              </a:solidFill>
              <a:latin typeface="+mn-lt"/>
              <a:ea typeface="+mn-ea"/>
              <a:cs typeface="+mn-cs"/>
            </a:rPr>
            <a:t>Assistant Vice President, </a:t>
          </a:r>
          <a:br>
            <a:rPr lang="en-US" sz="1100">
              <a:solidFill>
                <a:schemeClr val="dk1"/>
              </a:solidFill>
              <a:latin typeface="+mn-lt"/>
              <a:ea typeface="+mn-ea"/>
              <a:cs typeface="+mn-cs"/>
            </a:rPr>
          </a:br>
          <a:r>
            <a:rPr lang="en-US" sz="1100">
              <a:solidFill>
                <a:schemeClr val="dk1"/>
              </a:solidFill>
              <a:latin typeface="+mn-lt"/>
              <a:ea typeface="+mn-ea"/>
              <a:cs typeface="+mn-cs"/>
            </a:rPr>
            <a:t>Financial Affairs and Controller </a:t>
          </a:r>
          <a:br>
            <a:rPr lang="en-US" sz="1100">
              <a:solidFill>
                <a:schemeClr val="dk1"/>
              </a:solidFill>
              <a:latin typeface="+mn-lt"/>
              <a:ea typeface="+mn-ea"/>
              <a:cs typeface="+mn-cs"/>
            </a:rPr>
          </a:br>
          <a:r>
            <a:rPr lang="en-US" sz="1100">
              <a:solidFill>
                <a:schemeClr val="dk1"/>
              </a:solidFill>
              <a:latin typeface="+mn-lt"/>
              <a:ea typeface="+mn-ea"/>
              <a:cs typeface="+mn-cs"/>
            </a:rPr>
            <a:t>The University of Texas at San Antonio </a:t>
          </a:r>
          <a:br>
            <a:rPr lang="en-US" sz="1100">
              <a:solidFill>
                <a:schemeClr val="dk1"/>
              </a:solidFill>
              <a:latin typeface="+mn-lt"/>
              <a:ea typeface="+mn-ea"/>
              <a:cs typeface="+mn-cs"/>
            </a:rPr>
          </a:br>
          <a:r>
            <a:rPr lang="en-US" sz="1100">
              <a:solidFill>
                <a:schemeClr val="dk1"/>
              </a:solidFill>
              <a:latin typeface="+mn-lt"/>
              <a:ea typeface="+mn-ea"/>
              <a:cs typeface="+mn-cs"/>
            </a:rPr>
            <a:t>One UTSA Circle </a:t>
          </a:r>
          <a:br>
            <a:rPr lang="en-US" sz="1100">
              <a:solidFill>
                <a:schemeClr val="dk1"/>
              </a:solidFill>
              <a:latin typeface="+mn-lt"/>
              <a:ea typeface="+mn-ea"/>
              <a:cs typeface="+mn-cs"/>
            </a:rPr>
          </a:br>
          <a:r>
            <a:rPr lang="en-US" sz="1100">
              <a:solidFill>
                <a:schemeClr val="dk1"/>
              </a:solidFill>
              <a:latin typeface="+mn-lt"/>
              <a:ea typeface="+mn-ea"/>
              <a:cs typeface="+mn-cs"/>
            </a:rPr>
            <a:t>San Antonio, Texas  78249-0605 </a:t>
          </a:r>
          <a:br>
            <a:rPr lang="en-US" sz="1100">
              <a:solidFill>
                <a:schemeClr val="dk1"/>
              </a:solidFill>
              <a:latin typeface="+mn-lt"/>
              <a:ea typeface="+mn-ea"/>
              <a:cs typeface="+mn-cs"/>
            </a:rPr>
          </a:br>
          <a:r>
            <a:rPr lang="en-US" sz="1100">
              <a:solidFill>
                <a:schemeClr val="dk1"/>
              </a:solidFill>
              <a:latin typeface="+mn-lt"/>
              <a:ea typeface="+mn-ea"/>
              <a:cs typeface="+mn-cs"/>
            </a:rPr>
            <a:t>  </a:t>
          </a:r>
          <a:br>
            <a:rPr lang="en-US" sz="1100">
              <a:solidFill>
                <a:schemeClr val="dk1"/>
              </a:solidFill>
              <a:latin typeface="+mn-lt"/>
              <a:ea typeface="+mn-ea"/>
              <a:cs typeface="+mn-cs"/>
            </a:rPr>
          </a:br>
          <a:r>
            <a:rPr lang="en-US" sz="1100">
              <a:solidFill>
                <a:schemeClr val="dk1"/>
              </a:solidFill>
              <a:latin typeface="+mn-lt"/>
              <a:ea typeface="+mn-ea"/>
              <a:cs typeface="+mn-cs"/>
            </a:rPr>
            <a:t>(210) 458-6774 voice </a:t>
          </a:r>
          <a:br>
            <a:rPr lang="en-US" sz="1100">
              <a:solidFill>
                <a:schemeClr val="dk1"/>
              </a:solidFill>
              <a:latin typeface="+mn-lt"/>
              <a:ea typeface="+mn-ea"/>
              <a:cs typeface="+mn-cs"/>
            </a:rPr>
          </a:br>
          <a:r>
            <a:rPr lang="en-US" sz="1100">
              <a:solidFill>
                <a:schemeClr val="dk1"/>
              </a:solidFill>
              <a:latin typeface="+mn-lt"/>
              <a:ea typeface="+mn-ea"/>
              <a:cs typeface="+mn-cs"/>
            </a:rPr>
            <a:t>(210) 458-5805 fax </a:t>
          </a:r>
          <a:br>
            <a:rPr lang="en-US" sz="1100">
              <a:solidFill>
                <a:schemeClr val="dk1"/>
              </a:solidFill>
              <a:latin typeface="+mn-lt"/>
              <a:ea typeface="+mn-ea"/>
              <a:cs typeface="+mn-cs"/>
            </a:rPr>
          </a:br>
          <a:r>
            <a:rPr lang="en-US" sz="1100" u="sng">
              <a:solidFill>
                <a:schemeClr val="dk1"/>
              </a:solidFill>
              <a:latin typeface="+mn-lt"/>
              <a:ea typeface="+mn-ea"/>
              <a:cs typeface="+mn-cs"/>
              <a:hlinkClick xmlns:r="http://schemas.openxmlformats.org/officeDocument/2006/relationships" r:id=""/>
            </a:rPr>
            <a:t>lenora.chapman@utsa.edu </a:t>
          </a:r>
          <a:br>
            <a:rPr lang="en-US" sz="1100" u="sng">
              <a:solidFill>
                <a:schemeClr val="dk1"/>
              </a:solidFill>
              <a:latin typeface="+mn-lt"/>
              <a:ea typeface="+mn-ea"/>
              <a:cs typeface="+mn-cs"/>
              <a:hlinkClick xmlns:r="http://schemas.openxmlformats.org/officeDocument/2006/relationships" r:id=""/>
            </a:rPr>
          </a:br>
          <a:endParaRPr lang="en-US"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35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114300</xdr:rowOff>
    </xdr:from>
    <xdr:to>
      <xdr:col>1</xdr:col>
      <xdr:colOff>0</xdr:colOff>
      <xdr:row>46</xdr:row>
      <xdr:rowOff>28575</xdr:rowOff>
    </xdr:to>
    <xdr:graphicFrame macro="">
      <xdr:nvGraphicFramePr>
        <xdr:cNvPr id="3" name="Chart 13">
          <a:extLst>
            <a:ext uri="{FF2B5EF4-FFF2-40B4-BE49-F238E27FC236}">
              <a16:creationId xmlns:a16="http://schemas.microsoft.com/office/drawing/2014/main" id="{00000000-0008-0000-3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79863</xdr:rowOff>
    </xdr:from>
    <xdr:to>
      <xdr:col>1</xdr:col>
      <xdr:colOff>0</xdr:colOff>
      <xdr:row>90</xdr:row>
      <xdr:rowOff>126755</xdr:rowOff>
    </xdr:to>
    <xdr:graphicFrame macro="">
      <xdr:nvGraphicFramePr>
        <xdr:cNvPr id="4" name="Chart 15">
          <a:extLst>
            <a:ext uri="{FF2B5EF4-FFF2-40B4-BE49-F238E27FC236}">
              <a16:creationId xmlns:a16="http://schemas.microsoft.com/office/drawing/2014/main" id="{00000000-0008-0000-3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3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35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39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84992</xdr:rowOff>
    </xdr:from>
    <xdr:to>
      <xdr:col>1</xdr:col>
      <xdr:colOff>0</xdr:colOff>
      <xdr:row>45</xdr:row>
      <xdr:rowOff>160459</xdr:rowOff>
    </xdr:to>
    <xdr:graphicFrame macro="">
      <xdr:nvGraphicFramePr>
        <xdr:cNvPr id="3" name="Chart 13">
          <a:extLst>
            <a:ext uri="{FF2B5EF4-FFF2-40B4-BE49-F238E27FC236}">
              <a16:creationId xmlns:a16="http://schemas.microsoft.com/office/drawing/2014/main" id="{00000000-0008-0000-3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3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3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39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3D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70337</xdr:rowOff>
    </xdr:from>
    <xdr:to>
      <xdr:col>1</xdr:col>
      <xdr:colOff>0</xdr:colOff>
      <xdr:row>45</xdr:row>
      <xdr:rowOff>145804</xdr:rowOff>
    </xdr:to>
    <xdr:graphicFrame macro="">
      <xdr:nvGraphicFramePr>
        <xdr:cNvPr id="3" name="Chart 13">
          <a:extLst>
            <a:ext uri="{FF2B5EF4-FFF2-40B4-BE49-F238E27FC236}">
              <a16:creationId xmlns:a16="http://schemas.microsoft.com/office/drawing/2014/main" id="{00000000-0008-0000-3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3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3D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3D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41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84992</xdr:rowOff>
    </xdr:from>
    <xdr:to>
      <xdr:col>1</xdr:col>
      <xdr:colOff>0</xdr:colOff>
      <xdr:row>45</xdr:row>
      <xdr:rowOff>160459</xdr:rowOff>
    </xdr:to>
    <xdr:graphicFrame macro="">
      <xdr:nvGraphicFramePr>
        <xdr:cNvPr id="3" name="Chart 13">
          <a:extLst>
            <a:ext uri="{FF2B5EF4-FFF2-40B4-BE49-F238E27FC236}">
              <a16:creationId xmlns:a16="http://schemas.microsoft.com/office/drawing/2014/main" id="{00000000-0008-0000-4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4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95</xdr:row>
      <xdr:rowOff>52754</xdr:rowOff>
    </xdr:from>
    <xdr:to>
      <xdr:col>0</xdr:col>
      <xdr:colOff>10570552</xdr:colOff>
      <xdr:row>135</xdr:row>
      <xdr:rowOff>43229</xdr:rowOff>
    </xdr:to>
    <xdr:graphicFrame macro="">
      <xdr:nvGraphicFramePr>
        <xdr:cNvPr id="5" name="Chart 18">
          <a:extLst>
            <a:ext uri="{FF2B5EF4-FFF2-40B4-BE49-F238E27FC236}">
              <a16:creationId xmlns:a16="http://schemas.microsoft.com/office/drawing/2014/main" id="{00000000-0008-0000-4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41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45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114300</xdr:rowOff>
    </xdr:from>
    <xdr:to>
      <xdr:col>1</xdr:col>
      <xdr:colOff>0</xdr:colOff>
      <xdr:row>46</xdr:row>
      <xdr:rowOff>28575</xdr:rowOff>
    </xdr:to>
    <xdr:graphicFrame macro="">
      <xdr:nvGraphicFramePr>
        <xdr:cNvPr id="3" name="Chart 13">
          <a:extLst>
            <a:ext uri="{FF2B5EF4-FFF2-40B4-BE49-F238E27FC236}">
              <a16:creationId xmlns:a16="http://schemas.microsoft.com/office/drawing/2014/main" id="{00000000-0008-0000-4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4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4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45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49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84992</xdr:rowOff>
    </xdr:from>
    <xdr:to>
      <xdr:col>1</xdr:col>
      <xdr:colOff>0</xdr:colOff>
      <xdr:row>45</xdr:row>
      <xdr:rowOff>160459</xdr:rowOff>
    </xdr:to>
    <xdr:graphicFrame macro="">
      <xdr:nvGraphicFramePr>
        <xdr:cNvPr id="3" name="Chart 13">
          <a:extLst>
            <a:ext uri="{FF2B5EF4-FFF2-40B4-BE49-F238E27FC236}">
              <a16:creationId xmlns:a16="http://schemas.microsoft.com/office/drawing/2014/main" id="{00000000-0008-0000-4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4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94</xdr:row>
      <xdr:rowOff>155330</xdr:rowOff>
    </xdr:from>
    <xdr:to>
      <xdr:col>1</xdr:col>
      <xdr:colOff>0</xdr:colOff>
      <xdr:row>134</xdr:row>
      <xdr:rowOff>145806</xdr:rowOff>
    </xdr:to>
    <xdr:graphicFrame macro="">
      <xdr:nvGraphicFramePr>
        <xdr:cNvPr id="5" name="Chart 18">
          <a:extLst>
            <a:ext uri="{FF2B5EF4-FFF2-40B4-BE49-F238E27FC236}">
              <a16:creationId xmlns:a16="http://schemas.microsoft.com/office/drawing/2014/main" id="{00000000-0008-0000-4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49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4D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1</xdr:colOff>
      <xdr:row>4</xdr:row>
      <xdr:rowOff>114299</xdr:rowOff>
    </xdr:from>
    <xdr:to>
      <xdr:col>1</xdr:col>
      <xdr:colOff>0</xdr:colOff>
      <xdr:row>46</xdr:row>
      <xdr:rowOff>28574</xdr:rowOff>
    </xdr:to>
    <xdr:graphicFrame macro="">
      <xdr:nvGraphicFramePr>
        <xdr:cNvPr id="3" name="Chart 13">
          <a:extLst>
            <a:ext uri="{FF2B5EF4-FFF2-40B4-BE49-F238E27FC236}">
              <a16:creationId xmlns:a16="http://schemas.microsoft.com/office/drawing/2014/main" id="{00000000-0008-0000-4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4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4D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4D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19.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51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3</xdr:row>
      <xdr:rowOff>146538</xdr:rowOff>
    </xdr:from>
    <xdr:to>
      <xdr:col>1</xdr:col>
      <xdr:colOff>3663</xdr:colOff>
      <xdr:row>45</xdr:row>
      <xdr:rowOff>160458</xdr:rowOff>
    </xdr:to>
    <xdr:graphicFrame macro="">
      <xdr:nvGraphicFramePr>
        <xdr:cNvPr id="3" name="Chart 13">
          <a:extLst>
            <a:ext uri="{FF2B5EF4-FFF2-40B4-BE49-F238E27FC236}">
              <a16:creationId xmlns:a16="http://schemas.microsoft.com/office/drawing/2014/main" id="{00000000-0008-0000-5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5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5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51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350184</xdr:colOff>
      <xdr:row>78</xdr:row>
      <xdr:rowOff>58271</xdr:rowOff>
    </xdr:from>
    <xdr:to>
      <xdr:col>12</xdr:col>
      <xdr:colOff>897032</xdr:colOff>
      <xdr:row>81</xdr:row>
      <xdr:rowOff>123265</xdr:rowOff>
    </xdr:to>
    <xdr:sp macro="" textlink="">
      <xdr:nvSpPr>
        <xdr:cNvPr id="2" name="TextBox 1">
          <a:extLst>
            <a:ext uri="{FF2B5EF4-FFF2-40B4-BE49-F238E27FC236}">
              <a16:creationId xmlns:a16="http://schemas.microsoft.com/office/drawing/2014/main" id="{00000000-0008-0000-1100-000002000000}"/>
            </a:ext>
          </a:extLst>
        </xdr:cNvPr>
        <xdr:cNvSpPr txBox="1"/>
      </xdr:nvSpPr>
      <xdr:spPr>
        <a:xfrm>
          <a:off x="3241302" y="15264653"/>
          <a:ext cx="8682318" cy="53564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000">
              <a:latin typeface="Arial" pitchFamily="34" charset="0"/>
              <a:cs typeface="Arial" pitchFamily="34" charset="0"/>
            </a:rPr>
            <a:t>Please refer inquiries regarding Accountability numbers to the Institution Point of Contact.  Have</a:t>
          </a:r>
          <a:r>
            <a:rPr lang="en-US" sz="1000" baseline="0">
              <a:latin typeface="Arial" pitchFamily="34" charset="0"/>
              <a:cs typeface="Arial" pitchFamily="34" charset="0"/>
            </a:rPr>
            <a:t> them ask the Point of Contact to refer to the "Sum" tab on their Sources &amp; Uses submission.  This approach will allow the caller to be referred only once for their answer.    See contact listing in the far right-hand columns:</a:t>
          </a:r>
          <a:endParaRPr lang="en-US" sz="1000">
            <a:latin typeface="Arial" pitchFamily="34" charset="0"/>
            <a:cs typeface="Arial" pitchFamily="34" charset="0"/>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55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114300</xdr:rowOff>
    </xdr:from>
    <xdr:to>
      <xdr:col>1</xdr:col>
      <xdr:colOff>0</xdr:colOff>
      <xdr:row>46</xdr:row>
      <xdr:rowOff>28575</xdr:rowOff>
    </xdr:to>
    <xdr:graphicFrame macro="">
      <xdr:nvGraphicFramePr>
        <xdr:cNvPr id="3" name="Chart 13">
          <a:extLst>
            <a:ext uri="{FF2B5EF4-FFF2-40B4-BE49-F238E27FC236}">
              <a16:creationId xmlns:a16="http://schemas.microsoft.com/office/drawing/2014/main" id="{00000000-0008-0000-5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5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5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55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59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55684</xdr:rowOff>
    </xdr:from>
    <xdr:to>
      <xdr:col>1</xdr:col>
      <xdr:colOff>0</xdr:colOff>
      <xdr:row>45</xdr:row>
      <xdr:rowOff>131151</xdr:rowOff>
    </xdr:to>
    <xdr:graphicFrame macro="">
      <xdr:nvGraphicFramePr>
        <xdr:cNvPr id="3" name="Chart 13">
          <a:extLst>
            <a:ext uri="{FF2B5EF4-FFF2-40B4-BE49-F238E27FC236}">
              <a16:creationId xmlns:a16="http://schemas.microsoft.com/office/drawing/2014/main" id="{00000000-0008-0000-5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109171</xdr:rowOff>
    </xdr:from>
    <xdr:to>
      <xdr:col>1</xdr:col>
      <xdr:colOff>0</xdr:colOff>
      <xdr:row>90</xdr:row>
      <xdr:rowOff>156063</xdr:rowOff>
    </xdr:to>
    <xdr:graphicFrame macro="">
      <xdr:nvGraphicFramePr>
        <xdr:cNvPr id="4" name="Chart 15">
          <a:extLst>
            <a:ext uri="{FF2B5EF4-FFF2-40B4-BE49-F238E27FC236}">
              <a16:creationId xmlns:a16="http://schemas.microsoft.com/office/drawing/2014/main" id="{00000000-0008-0000-5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5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59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5D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70337</xdr:rowOff>
    </xdr:from>
    <xdr:to>
      <xdr:col>1</xdr:col>
      <xdr:colOff>0</xdr:colOff>
      <xdr:row>45</xdr:row>
      <xdr:rowOff>145804</xdr:rowOff>
    </xdr:to>
    <xdr:graphicFrame macro="">
      <xdr:nvGraphicFramePr>
        <xdr:cNvPr id="3" name="Chart 13">
          <a:extLst>
            <a:ext uri="{FF2B5EF4-FFF2-40B4-BE49-F238E27FC236}">
              <a16:creationId xmlns:a16="http://schemas.microsoft.com/office/drawing/2014/main" id="{00000000-0008-0000-5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79863</xdr:rowOff>
    </xdr:from>
    <xdr:to>
      <xdr:col>1</xdr:col>
      <xdr:colOff>0</xdr:colOff>
      <xdr:row>90</xdr:row>
      <xdr:rowOff>126755</xdr:rowOff>
    </xdr:to>
    <xdr:graphicFrame macro="">
      <xdr:nvGraphicFramePr>
        <xdr:cNvPr id="4" name="Chart 15">
          <a:extLst>
            <a:ext uri="{FF2B5EF4-FFF2-40B4-BE49-F238E27FC236}">
              <a16:creationId xmlns:a16="http://schemas.microsoft.com/office/drawing/2014/main" id="{00000000-0008-0000-5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95</xdr:row>
      <xdr:rowOff>23446</xdr:rowOff>
    </xdr:from>
    <xdr:to>
      <xdr:col>1</xdr:col>
      <xdr:colOff>0</xdr:colOff>
      <xdr:row>135</xdr:row>
      <xdr:rowOff>13921</xdr:rowOff>
    </xdr:to>
    <xdr:graphicFrame macro="">
      <xdr:nvGraphicFramePr>
        <xdr:cNvPr id="5" name="Chart 18">
          <a:extLst>
            <a:ext uri="{FF2B5EF4-FFF2-40B4-BE49-F238E27FC236}">
              <a16:creationId xmlns:a16="http://schemas.microsoft.com/office/drawing/2014/main" id="{00000000-0008-0000-5D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5D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61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99645</xdr:rowOff>
    </xdr:from>
    <xdr:to>
      <xdr:col>1</xdr:col>
      <xdr:colOff>0</xdr:colOff>
      <xdr:row>46</xdr:row>
      <xdr:rowOff>13920</xdr:rowOff>
    </xdr:to>
    <xdr:graphicFrame macro="">
      <xdr:nvGraphicFramePr>
        <xdr:cNvPr id="3" name="Chart 13">
          <a:extLst>
            <a:ext uri="{FF2B5EF4-FFF2-40B4-BE49-F238E27FC236}">
              <a16:creationId xmlns:a16="http://schemas.microsoft.com/office/drawing/2014/main" id="{00000000-0008-0000-6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6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95</xdr:row>
      <xdr:rowOff>8793</xdr:rowOff>
    </xdr:from>
    <xdr:to>
      <xdr:col>1</xdr:col>
      <xdr:colOff>0</xdr:colOff>
      <xdr:row>134</xdr:row>
      <xdr:rowOff>160460</xdr:rowOff>
    </xdr:to>
    <xdr:graphicFrame macro="">
      <xdr:nvGraphicFramePr>
        <xdr:cNvPr id="5" name="Chart 18">
          <a:extLst>
            <a:ext uri="{FF2B5EF4-FFF2-40B4-BE49-F238E27FC236}">
              <a16:creationId xmlns:a16="http://schemas.microsoft.com/office/drawing/2014/main" id="{00000000-0008-0000-6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6100-000006000000}"/>
            </a:ext>
          </a:extLst>
        </xdr:cNvPr>
        <xdr:cNvSpPr txBox="1">
          <a:spLocks noChangeArrowheads="1"/>
        </xdr:cNvSpPr>
      </xdr:nvSpPr>
      <xdr:spPr bwMode="auto">
        <a:xfrm>
          <a:off x="11106150" y="6105525"/>
          <a:ext cx="114301" cy="238125"/>
        </a:xfrm>
        <a:prstGeom prst="rect">
          <a:avLst/>
        </a:prstGeom>
        <a:noFill/>
        <a:ln w="9525" algn="ctr">
          <a:noFill/>
          <a:miter lim="800000"/>
          <a:headEnd/>
          <a:tailEnd/>
        </a:ln>
      </xdr:spPr>
    </xdr: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65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70338</xdr:rowOff>
    </xdr:from>
    <xdr:to>
      <xdr:col>1</xdr:col>
      <xdr:colOff>0</xdr:colOff>
      <xdr:row>45</xdr:row>
      <xdr:rowOff>145805</xdr:rowOff>
    </xdr:to>
    <xdr:graphicFrame macro="">
      <xdr:nvGraphicFramePr>
        <xdr:cNvPr id="3" name="Chart 13">
          <a:extLst>
            <a:ext uri="{FF2B5EF4-FFF2-40B4-BE49-F238E27FC236}">
              <a16:creationId xmlns:a16="http://schemas.microsoft.com/office/drawing/2014/main" id="{00000000-0008-0000-6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109171</xdr:rowOff>
    </xdr:from>
    <xdr:to>
      <xdr:col>1</xdr:col>
      <xdr:colOff>0</xdr:colOff>
      <xdr:row>90</xdr:row>
      <xdr:rowOff>156063</xdr:rowOff>
    </xdr:to>
    <xdr:graphicFrame macro="">
      <xdr:nvGraphicFramePr>
        <xdr:cNvPr id="4" name="Chart 15">
          <a:extLst>
            <a:ext uri="{FF2B5EF4-FFF2-40B4-BE49-F238E27FC236}">
              <a16:creationId xmlns:a16="http://schemas.microsoft.com/office/drawing/2014/main" id="{00000000-0008-0000-6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95</xdr:row>
      <xdr:rowOff>23446</xdr:rowOff>
    </xdr:from>
    <xdr:to>
      <xdr:col>1</xdr:col>
      <xdr:colOff>0</xdr:colOff>
      <xdr:row>135</xdr:row>
      <xdr:rowOff>13921</xdr:rowOff>
    </xdr:to>
    <xdr:graphicFrame macro="">
      <xdr:nvGraphicFramePr>
        <xdr:cNvPr id="5" name="Chart 18">
          <a:extLst>
            <a:ext uri="{FF2B5EF4-FFF2-40B4-BE49-F238E27FC236}">
              <a16:creationId xmlns:a16="http://schemas.microsoft.com/office/drawing/2014/main" id="{00000000-0008-0000-6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6500-000006000000}"/>
            </a:ext>
          </a:extLst>
        </xdr:cNvPr>
        <xdr:cNvSpPr txBox="1">
          <a:spLocks noChangeArrowheads="1"/>
        </xdr:cNvSpPr>
      </xdr:nvSpPr>
      <xdr:spPr bwMode="auto">
        <a:xfrm>
          <a:off x="11106150" y="6105525"/>
          <a:ext cx="114301" cy="238125"/>
        </a:xfrm>
        <a:prstGeom prst="rect">
          <a:avLst/>
        </a:prstGeom>
        <a:noFill/>
        <a:ln w="9525" algn="ctr">
          <a:noFill/>
          <a:miter lim="800000"/>
          <a:headEnd/>
          <a:tailEnd/>
        </a:ln>
      </xdr:spPr>
    </xdr: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142875</xdr:colOff>
      <xdr:row>84</xdr:row>
      <xdr:rowOff>142875</xdr:rowOff>
    </xdr:from>
    <xdr:to>
      <xdr:col>0</xdr:col>
      <xdr:colOff>1752600</xdr:colOff>
      <xdr:row>85</xdr:row>
      <xdr:rowOff>0</xdr:rowOff>
    </xdr:to>
    <xdr:sp macro="" textlink="">
      <xdr:nvSpPr>
        <xdr:cNvPr id="2" name="Text Box 2">
          <a:extLst>
            <a:ext uri="{FF2B5EF4-FFF2-40B4-BE49-F238E27FC236}">
              <a16:creationId xmlns:a16="http://schemas.microsoft.com/office/drawing/2014/main" id="{00000000-0008-0000-69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5</xdr:row>
      <xdr:rowOff>114300</xdr:rowOff>
    </xdr:from>
    <xdr:to>
      <xdr:col>1</xdr:col>
      <xdr:colOff>0</xdr:colOff>
      <xdr:row>47</xdr:row>
      <xdr:rowOff>28575</xdr:rowOff>
    </xdr:to>
    <xdr:graphicFrame macro="">
      <xdr:nvGraphicFramePr>
        <xdr:cNvPr id="3" name="Chart 13">
          <a:extLst>
            <a:ext uri="{FF2B5EF4-FFF2-40B4-BE49-F238E27FC236}">
              <a16:creationId xmlns:a16="http://schemas.microsoft.com/office/drawing/2014/main" id="{00000000-0008-0000-6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50</xdr:row>
      <xdr:rowOff>123825</xdr:rowOff>
    </xdr:from>
    <xdr:to>
      <xdr:col>1</xdr:col>
      <xdr:colOff>0</xdr:colOff>
      <xdr:row>92</xdr:row>
      <xdr:rowOff>9525</xdr:rowOff>
    </xdr:to>
    <xdr:graphicFrame macro="">
      <xdr:nvGraphicFramePr>
        <xdr:cNvPr id="4" name="Chart 15">
          <a:extLst>
            <a:ext uri="{FF2B5EF4-FFF2-40B4-BE49-F238E27FC236}">
              <a16:creationId xmlns:a16="http://schemas.microsoft.com/office/drawing/2014/main" id="{00000000-0008-0000-6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95</xdr:row>
      <xdr:rowOff>155330</xdr:rowOff>
    </xdr:from>
    <xdr:to>
      <xdr:col>1</xdr:col>
      <xdr:colOff>0</xdr:colOff>
      <xdr:row>135</xdr:row>
      <xdr:rowOff>145806</xdr:rowOff>
    </xdr:to>
    <xdr:graphicFrame macro="">
      <xdr:nvGraphicFramePr>
        <xdr:cNvPr id="5" name="Chart 18">
          <a:extLst>
            <a:ext uri="{FF2B5EF4-FFF2-40B4-BE49-F238E27FC236}">
              <a16:creationId xmlns:a16="http://schemas.microsoft.com/office/drawing/2014/main" id="{00000000-0008-0000-6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104776</xdr:rowOff>
    </xdr:to>
    <xdr:sp macro="" textlink="">
      <xdr:nvSpPr>
        <xdr:cNvPr id="6" name="Text Box 28">
          <a:extLst>
            <a:ext uri="{FF2B5EF4-FFF2-40B4-BE49-F238E27FC236}">
              <a16:creationId xmlns:a16="http://schemas.microsoft.com/office/drawing/2014/main" id="{00000000-0008-0000-69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6D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55685</xdr:rowOff>
    </xdr:from>
    <xdr:to>
      <xdr:col>1</xdr:col>
      <xdr:colOff>0</xdr:colOff>
      <xdr:row>45</xdr:row>
      <xdr:rowOff>131152</xdr:rowOff>
    </xdr:to>
    <xdr:graphicFrame macro="">
      <xdr:nvGraphicFramePr>
        <xdr:cNvPr id="3" name="Chart 13">
          <a:extLst>
            <a:ext uri="{FF2B5EF4-FFF2-40B4-BE49-F238E27FC236}">
              <a16:creationId xmlns:a16="http://schemas.microsoft.com/office/drawing/2014/main" id="{00000000-0008-0000-6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6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6D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6D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71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70338</xdr:rowOff>
    </xdr:from>
    <xdr:to>
      <xdr:col>0</xdr:col>
      <xdr:colOff>10554433</xdr:colOff>
      <xdr:row>45</xdr:row>
      <xdr:rowOff>145805</xdr:rowOff>
    </xdr:to>
    <xdr:graphicFrame macro="">
      <xdr:nvGraphicFramePr>
        <xdr:cNvPr id="3" name="Chart 13">
          <a:extLst>
            <a:ext uri="{FF2B5EF4-FFF2-40B4-BE49-F238E27FC236}">
              <a16:creationId xmlns:a16="http://schemas.microsoft.com/office/drawing/2014/main" id="{00000000-0008-0000-7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138479</xdr:rowOff>
    </xdr:from>
    <xdr:to>
      <xdr:col>1</xdr:col>
      <xdr:colOff>0</xdr:colOff>
      <xdr:row>91</xdr:row>
      <xdr:rowOff>24179</xdr:rowOff>
    </xdr:to>
    <xdr:graphicFrame macro="">
      <xdr:nvGraphicFramePr>
        <xdr:cNvPr id="4" name="Chart 15">
          <a:extLst>
            <a:ext uri="{FF2B5EF4-FFF2-40B4-BE49-F238E27FC236}">
              <a16:creationId xmlns:a16="http://schemas.microsoft.com/office/drawing/2014/main" id="{00000000-0008-0000-7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95</xdr:row>
      <xdr:rowOff>8792</xdr:rowOff>
    </xdr:from>
    <xdr:to>
      <xdr:col>1</xdr:col>
      <xdr:colOff>0</xdr:colOff>
      <xdr:row>134</xdr:row>
      <xdr:rowOff>160460</xdr:rowOff>
    </xdr:to>
    <xdr:graphicFrame macro="">
      <xdr:nvGraphicFramePr>
        <xdr:cNvPr id="5" name="Chart 18">
          <a:extLst>
            <a:ext uri="{FF2B5EF4-FFF2-40B4-BE49-F238E27FC236}">
              <a16:creationId xmlns:a16="http://schemas.microsoft.com/office/drawing/2014/main" id="{00000000-0008-0000-7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71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75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70339</xdr:rowOff>
    </xdr:from>
    <xdr:to>
      <xdr:col>1</xdr:col>
      <xdr:colOff>0</xdr:colOff>
      <xdr:row>45</xdr:row>
      <xdr:rowOff>145806</xdr:rowOff>
    </xdr:to>
    <xdr:graphicFrame macro="">
      <xdr:nvGraphicFramePr>
        <xdr:cNvPr id="3" name="Chart 13">
          <a:extLst>
            <a:ext uri="{FF2B5EF4-FFF2-40B4-BE49-F238E27FC236}">
              <a16:creationId xmlns:a16="http://schemas.microsoft.com/office/drawing/2014/main" id="{00000000-0008-0000-7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7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7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75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79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114300</xdr:rowOff>
    </xdr:from>
    <xdr:to>
      <xdr:col>1</xdr:col>
      <xdr:colOff>0</xdr:colOff>
      <xdr:row>46</xdr:row>
      <xdr:rowOff>28575</xdr:rowOff>
    </xdr:to>
    <xdr:graphicFrame macro="">
      <xdr:nvGraphicFramePr>
        <xdr:cNvPr id="3" name="Chart 13">
          <a:extLst>
            <a:ext uri="{FF2B5EF4-FFF2-40B4-BE49-F238E27FC236}">
              <a16:creationId xmlns:a16="http://schemas.microsoft.com/office/drawing/2014/main" id="{00000000-0008-0000-7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7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7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79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1">
          <a:extLst>
            <a:ext uri="{FF2B5EF4-FFF2-40B4-BE49-F238E27FC236}">
              <a16:creationId xmlns:a16="http://schemas.microsoft.com/office/drawing/2014/main" id="{00000000-0008-0000-15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114300</xdr:rowOff>
    </xdr:from>
    <xdr:to>
      <xdr:col>1</xdr:col>
      <xdr:colOff>0</xdr:colOff>
      <xdr:row>46</xdr:row>
      <xdr:rowOff>28575</xdr:rowOff>
    </xdr:to>
    <xdr:graphicFrame macro="">
      <xdr:nvGraphicFramePr>
        <xdr:cNvPr id="3" name="Chart 2">
          <a:extLst>
            <a:ext uri="{FF2B5EF4-FFF2-40B4-BE49-F238E27FC236}">
              <a16:creationId xmlns:a16="http://schemas.microsoft.com/office/drawing/2014/main" id="{00000000-0008-0000-1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0</xdr:col>
      <xdr:colOff>10550769</xdr:colOff>
      <xdr:row>91</xdr:row>
      <xdr:rowOff>9525</xdr:rowOff>
    </xdr:to>
    <xdr:graphicFrame macro="">
      <xdr:nvGraphicFramePr>
        <xdr:cNvPr id="4" name="Chart 3">
          <a:extLst>
            <a:ext uri="{FF2B5EF4-FFF2-40B4-BE49-F238E27FC236}">
              <a16:creationId xmlns:a16="http://schemas.microsoft.com/office/drawing/2014/main" id="{00000000-0008-0000-1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4">
          <a:extLst>
            <a:ext uri="{FF2B5EF4-FFF2-40B4-BE49-F238E27FC236}">
              <a16:creationId xmlns:a16="http://schemas.microsoft.com/office/drawing/2014/main" id="{00000000-0008-0000-1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1</xdr:col>
      <xdr:colOff>523875</xdr:colOff>
      <xdr:row>34</xdr:row>
      <xdr:rowOff>28575</xdr:rowOff>
    </xdr:from>
    <xdr:ext cx="110637" cy="237393"/>
    <xdr:sp macro="" textlink="">
      <xdr:nvSpPr>
        <xdr:cNvPr id="6" name="Text Box 5">
          <a:extLst>
            <a:ext uri="{FF2B5EF4-FFF2-40B4-BE49-F238E27FC236}">
              <a16:creationId xmlns:a16="http://schemas.microsoft.com/office/drawing/2014/main" id="{00000000-0008-0000-1500-000006000000}"/>
            </a:ext>
          </a:extLst>
        </xdr:cNvPr>
        <xdr:cNvSpPr txBox="1">
          <a:spLocks noChangeArrowheads="1"/>
        </xdr:cNvSpPr>
      </xdr:nvSpPr>
      <xdr:spPr bwMode="auto">
        <a:xfrm>
          <a:off x="11049000" y="6105525"/>
          <a:ext cx="110637" cy="237393"/>
        </a:xfrm>
        <a:prstGeom prst="rect">
          <a:avLst/>
        </a:prstGeom>
        <a:noFill/>
        <a:ln w="9525" algn="ctr">
          <a:noFill/>
          <a:miter lim="800000"/>
          <a:headEnd/>
          <a:tailEnd/>
        </a:ln>
        <a:effectLst/>
      </xdr:spPr>
    </xdr:sp>
    <xdr:clientData/>
  </xdr:oneCellAnchor>
</xdr:wsDr>
</file>

<file path=xl/drawings/drawing30.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7D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114300</xdr:rowOff>
    </xdr:from>
    <xdr:to>
      <xdr:col>1</xdr:col>
      <xdr:colOff>0</xdr:colOff>
      <xdr:row>46</xdr:row>
      <xdr:rowOff>28575</xdr:rowOff>
    </xdr:to>
    <xdr:graphicFrame macro="">
      <xdr:nvGraphicFramePr>
        <xdr:cNvPr id="3" name="Chart 13">
          <a:extLst>
            <a:ext uri="{FF2B5EF4-FFF2-40B4-BE49-F238E27FC236}">
              <a16:creationId xmlns:a16="http://schemas.microsoft.com/office/drawing/2014/main" id="{00000000-0008-0000-7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50</xdr:row>
      <xdr:rowOff>35902</xdr:rowOff>
    </xdr:from>
    <xdr:to>
      <xdr:col>1</xdr:col>
      <xdr:colOff>0</xdr:colOff>
      <xdr:row>91</xdr:row>
      <xdr:rowOff>82794</xdr:rowOff>
    </xdr:to>
    <xdr:graphicFrame macro="">
      <xdr:nvGraphicFramePr>
        <xdr:cNvPr id="4" name="Chart 15">
          <a:extLst>
            <a:ext uri="{FF2B5EF4-FFF2-40B4-BE49-F238E27FC236}">
              <a16:creationId xmlns:a16="http://schemas.microsoft.com/office/drawing/2014/main" id="{00000000-0008-0000-7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7D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7D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81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114300</xdr:rowOff>
    </xdr:from>
    <xdr:to>
      <xdr:col>1</xdr:col>
      <xdr:colOff>0</xdr:colOff>
      <xdr:row>46</xdr:row>
      <xdr:rowOff>28575</xdr:rowOff>
    </xdr:to>
    <xdr:graphicFrame macro="">
      <xdr:nvGraphicFramePr>
        <xdr:cNvPr id="3" name="Chart 13">
          <a:extLst>
            <a:ext uri="{FF2B5EF4-FFF2-40B4-BE49-F238E27FC236}">
              <a16:creationId xmlns:a16="http://schemas.microsoft.com/office/drawing/2014/main" id="{00000000-0008-0000-8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8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8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81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85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84991</xdr:rowOff>
    </xdr:from>
    <xdr:to>
      <xdr:col>1</xdr:col>
      <xdr:colOff>0</xdr:colOff>
      <xdr:row>45</xdr:row>
      <xdr:rowOff>160458</xdr:rowOff>
    </xdr:to>
    <xdr:graphicFrame macro="">
      <xdr:nvGraphicFramePr>
        <xdr:cNvPr id="3" name="Chart 13">
          <a:extLst>
            <a:ext uri="{FF2B5EF4-FFF2-40B4-BE49-F238E27FC236}">
              <a16:creationId xmlns:a16="http://schemas.microsoft.com/office/drawing/2014/main" id="{00000000-0008-0000-8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8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8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85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89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114300</xdr:rowOff>
    </xdr:from>
    <xdr:to>
      <xdr:col>1</xdr:col>
      <xdr:colOff>0</xdr:colOff>
      <xdr:row>46</xdr:row>
      <xdr:rowOff>28575</xdr:rowOff>
    </xdr:to>
    <xdr:graphicFrame macro="">
      <xdr:nvGraphicFramePr>
        <xdr:cNvPr id="3" name="Chart 13">
          <a:extLst>
            <a:ext uri="{FF2B5EF4-FFF2-40B4-BE49-F238E27FC236}">
              <a16:creationId xmlns:a16="http://schemas.microsoft.com/office/drawing/2014/main" id="{00000000-0008-0000-8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8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95</xdr:row>
      <xdr:rowOff>52754</xdr:rowOff>
    </xdr:from>
    <xdr:to>
      <xdr:col>1</xdr:col>
      <xdr:colOff>0</xdr:colOff>
      <xdr:row>135</xdr:row>
      <xdr:rowOff>43229</xdr:rowOff>
    </xdr:to>
    <xdr:graphicFrame macro="">
      <xdr:nvGraphicFramePr>
        <xdr:cNvPr id="5" name="Chart 18">
          <a:extLst>
            <a:ext uri="{FF2B5EF4-FFF2-40B4-BE49-F238E27FC236}">
              <a16:creationId xmlns:a16="http://schemas.microsoft.com/office/drawing/2014/main" id="{00000000-0008-0000-8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89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8D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55685</xdr:rowOff>
    </xdr:from>
    <xdr:to>
      <xdr:col>1</xdr:col>
      <xdr:colOff>0</xdr:colOff>
      <xdr:row>45</xdr:row>
      <xdr:rowOff>131152</xdr:rowOff>
    </xdr:to>
    <xdr:graphicFrame macro="">
      <xdr:nvGraphicFramePr>
        <xdr:cNvPr id="3" name="Chart 13">
          <a:extLst>
            <a:ext uri="{FF2B5EF4-FFF2-40B4-BE49-F238E27FC236}">
              <a16:creationId xmlns:a16="http://schemas.microsoft.com/office/drawing/2014/main" id="{00000000-0008-0000-8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8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8D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8D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91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70339</xdr:rowOff>
    </xdr:from>
    <xdr:to>
      <xdr:col>1</xdr:col>
      <xdr:colOff>0</xdr:colOff>
      <xdr:row>45</xdr:row>
      <xdr:rowOff>145806</xdr:rowOff>
    </xdr:to>
    <xdr:graphicFrame macro="">
      <xdr:nvGraphicFramePr>
        <xdr:cNvPr id="3" name="Chart 13">
          <a:extLst>
            <a:ext uri="{FF2B5EF4-FFF2-40B4-BE49-F238E27FC236}">
              <a16:creationId xmlns:a16="http://schemas.microsoft.com/office/drawing/2014/main" id="{00000000-0008-0000-9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109172</xdr:rowOff>
    </xdr:from>
    <xdr:to>
      <xdr:col>1</xdr:col>
      <xdr:colOff>0</xdr:colOff>
      <xdr:row>90</xdr:row>
      <xdr:rowOff>156064</xdr:rowOff>
    </xdr:to>
    <xdr:graphicFrame macro="">
      <xdr:nvGraphicFramePr>
        <xdr:cNvPr id="4" name="Chart 15">
          <a:extLst>
            <a:ext uri="{FF2B5EF4-FFF2-40B4-BE49-F238E27FC236}">
              <a16:creationId xmlns:a16="http://schemas.microsoft.com/office/drawing/2014/main" id="{00000000-0008-0000-9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9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91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36.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95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70339</xdr:rowOff>
    </xdr:from>
    <xdr:to>
      <xdr:col>1</xdr:col>
      <xdr:colOff>0</xdr:colOff>
      <xdr:row>45</xdr:row>
      <xdr:rowOff>145806</xdr:rowOff>
    </xdr:to>
    <xdr:graphicFrame macro="">
      <xdr:nvGraphicFramePr>
        <xdr:cNvPr id="3" name="Chart 13">
          <a:extLst>
            <a:ext uri="{FF2B5EF4-FFF2-40B4-BE49-F238E27FC236}">
              <a16:creationId xmlns:a16="http://schemas.microsoft.com/office/drawing/2014/main" id="{00000000-0008-0000-9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50</xdr:row>
      <xdr:rowOff>6596</xdr:rowOff>
    </xdr:from>
    <xdr:to>
      <xdr:col>1</xdr:col>
      <xdr:colOff>0</xdr:colOff>
      <xdr:row>91</xdr:row>
      <xdr:rowOff>1</xdr:rowOff>
    </xdr:to>
    <xdr:graphicFrame macro="">
      <xdr:nvGraphicFramePr>
        <xdr:cNvPr id="4" name="Chart 15">
          <a:extLst>
            <a:ext uri="{FF2B5EF4-FFF2-40B4-BE49-F238E27FC236}">
              <a16:creationId xmlns:a16="http://schemas.microsoft.com/office/drawing/2014/main" id="{00000000-0008-0000-9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9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9500-000006000000}"/>
            </a:ext>
          </a:extLst>
        </xdr:cNvPr>
        <xdr:cNvSpPr txBox="1">
          <a:spLocks noChangeArrowheads="1"/>
        </xdr:cNvSpPr>
      </xdr:nvSpPr>
      <xdr:spPr bwMode="auto">
        <a:xfrm>
          <a:off x="11106150" y="6105525"/>
          <a:ext cx="114301" cy="238125"/>
        </a:xfrm>
        <a:prstGeom prst="rect">
          <a:avLst/>
        </a:prstGeom>
        <a:noFill/>
        <a:ln w="9525" algn="ctr">
          <a:noFill/>
          <a:miter lim="800000"/>
          <a:headEnd/>
          <a:tailEnd/>
        </a:ln>
      </xdr:spPr>
    </xdr:sp>
    <xdr:clientData/>
  </xdr:twoCellAnchor>
</xdr:wsDr>
</file>

<file path=xl/drawings/drawing37.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99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68181</xdr:rowOff>
    </xdr:from>
    <xdr:to>
      <xdr:col>1</xdr:col>
      <xdr:colOff>0</xdr:colOff>
      <xdr:row>45</xdr:row>
      <xdr:rowOff>143109</xdr:rowOff>
    </xdr:to>
    <xdr:graphicFrame macro="">
      <xdr:nvGraphicFramePr>
        <xdr:cNvPr id="3" name="Chart 13">
          <a:extLst>
            <a:ext uri="{FF2B5EF4-FFF2-40B4-BE49-F238E27FC236}">
              <a16:creationId xmlns:a16="http://schemas.microsoft.com/office/drawing/2014/main" id="{00000000-0008-0000-9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120770</xdr:rowOff>
    </xdr:from>
    <xdr:to>
      <xdr:col>1</xdr:col>
      <xdr:colOff>0</xdr:colOff>
      <xdr:row>91</xdr:row>
      <xdr:rowOff>8626</xdr:rowOff>
    </xdr:to>
    <xdr:graphicFrame macro="">
      <xdr:nvGraphicFramePr>
        <xdr:cNvPr id="4" name="Chart 15">
          <a:extLst>
            <a:ext uri="{FF2B5EF4-FFF2-40B4-BE49-F238E27FC236}">
              <a16:creationId xmlns:a16="http://schemas.microsoft.com/office/drawing/2014/main" id="{00000000-0008-0000-9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8626</xdr:colOff>
      <xdr:row>95</xdr:row>
      <xdr:rowOff>34506</xdr:rowOff>
    </xdr:from>
    <xdr:to>
      <xdr:col>1</xdr:col>
      <xdr:colOff>0</xdr:colOff>
      <xdr:row>135</xdr:row>
      <xdr:rowOff>25879</xdr:rowOff>
    </xdr:to>
    <xdr:graphicFrame macro="">
      <xdr:nvGraphicFramePr>
        <xdr:cNvPr id="5" name="Chart 18">
          <a:extLst>
            <a:ext uri="{FF2B5EF4-FFF2-40B4-BE49-F238E27FC236}">
              <a16:creationId xmlns:a16="http://schemas.microsoft.com/office/drawing/2014/main" id="{00000000-0008-0000-9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526211</xdr:colOff>
      <xdr:row>34</xdr:row>
      <xdr:rowOff>25879</xdr:rowOff>
    </xdr:from>
    <xdr:to>
      <xdr:col>1</xdr:col>
      <xdr:colOff>641341</xdr:colOff>
      <xdr:row>35</xdr:row>
      <xdr:rowOff>103517</xdr:rowOff>
    </xdr:to>
    <xdr:sp macro="" textlink="">
      <xdr:nvSpPr>
        <xdr:cNvPr id="6" name="Text Box 28">
          <a:extLst>
            <a:ext uri="{FF2B5EF4-FFF2-40B4-BE49-F238E27FC236}">
              <a16:creationId xmlns:a16="http://schemas.microsoft.com/office/drawing/2014/main" id="{00000000-0008-0000-9900-000006000000}"/>
            </a:ext>
          </a:extLst>
        </xdr:cNvPr>
        <xdr:cNvSpPr txBox="1">
          <a:spLocks noChangeArrowheads="1"/>
        </xdr:cNvSpPr>
      </xdr:nvSpPr>
      <xdr:spPr bwMode="auto">
        <a:xfrm>
          <a:off x="11051336" y="6102829"/>
          <a:ext cx="109268" cy="239563"/>
        </a:xfrm>
        <a:prstGeom prst="rect">
          <a:avLst/>
        </a:prstGeom>
        <a:noFill/>
        <a:ln w="9525" algn="ctr">
          <a:noFill/>
          <a:miter lim="800000"/>
          <a:headEnd/>
          <a:tailEnd/>
        </a:ln>
      </xdr:spPr>
    </xdr:sp>
    <xdr:clientData/>
  </xdr:twoCellAnchor>
</xdr:wsDr>
</file>

<file path=xl/drawings/drawing38.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9D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114300</xdr:rowOff>
    </xdr:from>
    <xdr:to>
      <xdr:col>1</xdr:col>
      <xdr:colOff>0</xdr:colOff>
      <xdr:row>46</xdr:row>
      <xdr:rowOff>28575</xdr:rowOff>
    </xdr:to>
    <xdr:graphicFrame macro="">
      <xdr:nvGraphicFramePr>
        <xdr:cNvPr id="3" name="Chart 13">
          <a:extLst>
            <a:ext uri="{FF2B5EF4-FFF2-40B4-BE49-F238E27FC236}">
              <a16:creationId xmlns:a16="http://schemas.microsoft.com/office/drawing/2014/main" id="{00000000-0008-0000-9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9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9D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9D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39.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A1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114300</xdr:rowOff>
    </xdr:from>
    <xdr:to>
      <xdr:col>1</xdr:col>
      <xdr:colOff>0</xdr:colOff>
      <xdr:row>46</xdr:row>
      <xdr:rowOff>28575</xdr:rowOff>
    </xdr:to>
    <xdr:graphicFrame macro="">
      <xdr:nvGraphicFramePr>
        <xdr:cNvPr id="3" name="Chart 13">
          <a:extLst>
            <a:ext uri="{FF2B5EF4-FFF2-40B4-BE49-F238E27FC236}">
              <a16:creationId xmlns:a16="http://schemas.microsoft.com/office/drawing/2014/main" id="{00000000-0008-0000-A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A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A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A1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6146" name="Text Box 2">
          <a:extLst>
            <a:ext uri="{FF2B5EF4-FFF2-40B4-BE49-F238E27FC236}">
              <a16:creationId xmlns:a16="http://schemas.microsoft.com/office/drawing/2014/main" id="{00000000-0008-0000-1900-00000218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102579</xdr:rowOff>
    </xdr:from>
    <xdr:to>
      <xdr:col>1</xdr:col>
      <xdr:colOff>0</xdr:colOff>
      <xdr:row>46</xdr:row>
      <xdr:rowOff>17586</xdr:rowOff>
    </xdr:to>
    <xdr:graphicFrame macro="">
      <xdr:nvGraphicFramePr>
        <xdr:cNvPr id="45253" name="Chart 13">
          <a:extLst>
            <a:ext uri="{FF2B5EF4-FFF2-40B4-BE49-F238E27FC236}">
              <a16:creationId xmlns:a16="http://schemas.microsoft.com/office/drawing/2014/main" id="{00000000-0008-0000-1900-0000C5B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120162</xdr:rowOff>
    </xdr:from>
    <xdr:to>
      <xdr:col>1</xdr:col>
      <xdr:colOff>0</xdr:colOff>
      <xdr:row>91</xdr:row>
      <xdr:rowOff>6595</xdr:rowOff>
    </xdr:to>
    <xdr:graphicFrame macro="">
      <xdr:nvGraphicFramePr>
        <xdr:cNvPr id="45254" name="Chart 15">
          <a:extLst>
            <a:ext uri="{FF2B5EF4-FFF2-40B4-BE49-F238E27FC236}">
              <a16:creationId xmlns:a16="http://schemas.microsoft.com/office/drawing/2014/main" id="{00000000-0008-0000-1900-0000C6B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95</xdr:row>
      <xdr:rowOff>23447</xdr:rowOff>
    </xdr:from>
    <xdr:to>
      <xdr:col>0</xdr:col>
      <xdr:colOff>10570552</xdr:colOff>
      <xdr:row>135</xdr:row>
      <xdr:rowOff>13922</xdr:rowOff>
    </xdr:to>
    <xdr:graphicFrame macro="">
      <xdr:nvGraphicFramePr>
        <xdr:cNvPr id="45255" name="Chart 18">
          <a:extLst>
            <a:ext uri="{FF2B5EF4-FFF2-40B4-BE49-F238E27FC236}">
              <a16:creationId xmlns:a16="http://schemas.microsoft.com/office/drawing/2014/main" id="{00000000-0008-0000-1900-0000C7B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45256" name="Text Box 28">
          <a:extLst>
            <a:ext uri="{FF2B5EF4-FFF2-40B4-BE49-F238E27FC236}">
              <a16:creationId xmlns:a16="http://schemas.microsoft.com/office/drawing/2014/main" id="{00000000-0008-0000-1900-0000C8B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40.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A5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84992</xdr:rowOff>
    </xdr:from>
    <xdr:to>
      <xdr:col>1</xdr:col>
      <xdr:colOff>0</xdr:colOff>
      <xdr:row>45</xdr:row>
      <xdr:rowOff>160459</xdr:rowOff>
    </xdr:to>
    <xdr:graphicFrame macro="">
      <xdr:nvGraphicFramePr>
        <xdr:cNvPr id="3" name="Chart 13">
          <a:extLst>
            <a:ext uri="{FF2B5EF4-FFF2-40B4-BE49-F238E27FC236}">
              <a16:creationId xmlns:a16="http://schemas.microsoft.com/office/drawing/2014/main" id="{00000000-0008-0000-A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A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95</xdr:row>
      <xdr:rowOff>23446</xdr:rowOff>
    </xdr:from>
    <xdr:to>
      <xdr:col>1</xdr:col>
      <xdr:colOff>0</xdr:colOff>
      <xdr:row>135</xdr:row>
      <xdr:rowOff>13921</xdr:rowOff>
    </xdr:to>
    <xdr:graphicFrame macro="">
      <xdr:nvGraphicFramePr>
        <xdr:cNvPr id="5" name="Chart 18">
          <a:extLst>
            <a:ext uri="{FF2B5EF4-FFF2-40B4-BE49-F238E27FC236}">
              <a16:creationId xmlns:a16="http://schemas.microsoft.com/office/drawing/2014/main" id="{00000000-0008-0000-A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644038</xdr:colOff>
      <xdr:row>35</xdr:row>
      <xdr:rowOff>104775</xdr:rowOff>
    </xdr:to>
    <xdr:sp macro="" textlink="">
      <xdr:nvSpPr>
        <xdr:cNvPr id="6" name="Text Box 28">
          <a:extLst>
            <a:ext uri="{FF2B5EF4-FFF2-40B4-BE49-F238E27FC236}">
              <a16:creationId xmlns:a16="http://schemas.microsoft.com/office/drawing/2014/main" id="{00000000-0008-0000-A5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41.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A9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5</xdr:row>
      <xdr:rowOff>0</xdr:rowOff>
    </xdr:from>
    <xdr:to>
      <xdr:col>1</xdr:col>
      <xdr:colOff>0</xdr:colOff>
      <xdr:row>46</xdr:row>
      <xdr:rowOff>13922</xdr:rowOff>
    </xdr:to>
    <xdr:graphicFrame macro="">
      <xdr:nvGraphicFramePr>
        <xdr:cNvPr id="3" name="Chart 13">
          <a:extLst>
            <a:ext uri="{FF2B5EF4-FFF2-40B4-BE49-F238E27FC236}">
              <a16:creationId xmlns:a16="http://schemas.microsoft.com/office/drawing/2014/main" id="{00000000-0008-0000-A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A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A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104776</xdr:rowOff>
    </xdr:to>
    <xdr:sp macro="" textlink="">
      <xdr:nvSpPr>
        <xdr:cNvPr id="6" name="Text Box 28">
          <a:extLst>
            <a:ext uri="{FF2B5EF4-FFF2-40B4-BE49-F238E27FC236}">
              <a16:creationId xmlns:a16="http://schemas.microsoft.com/office/drawing/2014/main" id="{00000000-0008-0000-A9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42.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AD00-000002000000}"/>
            </a:ext>
          </a:extLst>
        </xdr:cNvPr>
        <xdr:cNvSpPr txBox="1">
          <a:spLocks noChangeArrowheads="1"/>
        </xdr:cNvSpPr>
      </xdr:nvSpPr>
      <xdr:spPr bwMode="auto">
        <a:xfrm>
          <a:off x="142875" y="14163675"/>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99647</xdr:rowOff>
    </xdr:from>
    <xdr:to>
      <xdr:col>1</xdr:col>
      <xdr:colOff>0</xdr:colOff>
      <xdr:row>46</xdr:row>
      <xdr:rowOff>13922</xdr:rowOff>
    </xdr:to>
    <xdr:graphicFrame macro="">
      <xdr:nvGraphicFramePr>
        <xdr:cNvPr id="3" name="Chart 13">
          <a:extLst>
            <a:ext uri="{FF2B5EF4-FFF2-40B4-BE49-F238E27FC236}">
              <a16:creationId xmlns:a16="http://schemas.microsoft.com/office/drawing/2014/main" id="{00000000-0008-0000-A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153132</xdr:rowOff>
    </xdr:from>
    <xdr:to>
      <xdr:col>1</xdr:col>
      <xdr:colOff>0</xdr:colOff>
      <xdr:row>91</xdr:row>
      <xdr:rowOff>38832</xdr:rowOff>
    </xdr:to>
    <xdr:graphicFrame macro="">
      <xdr:nvGraphicFramePr>
        <xdr:cNvPr id="4" name="Chart 15">
          <a:extLst>
            <a:ext uri="{FF2B5EF4-FFF2-40B4-BE49-F238E27FC236}">
              <a16:creationId xmlns:a16="http://schemas.microsoft.com/office/drawing/2014/main" id="{00000000-0008-0000-A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AD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AD00-000006000000}"/>
            </a:ext>
          </a:extLst>
        </xdr:cNvPr>
        <xdr:cNvSpPr txBox="1">
          <a:spLocks noChangeArrowheads="1"/>
        </xdr:cNvSpPr>
      </xdr:nvSpPr>
      <xdr:spPr bwMode="auto">
        <a:xfrm>
          <a:off x="11106150" y="6115050"/>
          <a:ext cx="120162" cy="238125"/>
        </a:xfrm>
        <a:prstGeom prst="rect">
          <a:avLst/>
        </a:prstGeom>
        <a:noFill/>
        <a:ln w="9525" algn="ctr">
          <a:noFill/>
          <a:miter lim="800000"/>
          <a:headEnd/>
          <a:tailEnd/>
        </a:ln>
      </xdr:spPr>
    </xdr:sp>
    <xdr:clientData/>
  </xdr:twoCellAnchor>
</xdr:wsDr>
</file>

<file path=xl/drawings/drawing43.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B100-000002000000}"/>
            </a:ext>
          </a:extLst>
        </xdr:cNvPr>
        <xdr:cNvSpPr txBox="1">
          <a:spLocks noChangeArrowheads="1"/>
        </xdr:cNvSpPr>
      </xdr:nvSpPr>
      <xdr:spPr bwMode="auto">
        <a:xfrm>
          <a:off x="142875" y="14335125"/>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99647</xdr:rowOff>
    </xdr:from>
    <xdr:to>
      <xdr:col>1</xdr:col>
      <xdr:colOff>0</xdr:colOff>
      <xdr:row>46</xdr:row>
      <xdr:rowOff>13922</xdr:rowOff>
    </xdr:to>
    <xdr:graphicFrame macro="">
      <xdr:nvGraphicFramePr>
        <xdr:cNvPr id="3" name="Chart 13">
          <a:extLst>
            <a:ext uri="{FF2B5EF4-FFF2-40B4-BE49-F238E27FC236}">
              <a16:creationId xmlns:a16="http://schemas.microsoft.com/office/drawing/2014/main" id="{00000000-0008-0000-B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153132</xdr:rowOff>
    </xdr:from>
    <xdr:to>
      <xdr:col>1</xdr:col>
      <xdr:colOff>0</xdr:colOff>
      <xdr:row>91</xdr:row>
      <xdr:rowOff>38832</xdr:rowOff>
    </xdr:to>
    <xdr:graphicFrame macro="">
      <xdr:nvGraphicFramePr>
        <xdr:cNvPr id="4" name="Chart 15">
          <a:extLst>
            <a:ext uri="{FF2B5EF4-FFF2-40B4-BE49-F238E27FC236}">
              <a16:creationId xmlns:a16="http://schemas.microsoft.com/office/drawing/2014/main" id="{00000000-0008-0000-B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B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B100-000006000000}"/>
            </a:ext>
          </a:extLst>
        </xdr:cNvPr>
        <xdr:cNvSpPr txBox="1">
          <a:spLocks noChangeArrowheads="1"/>
        </xdr:cNvSpPr>
      </xdr:nvSpPr>
      <xdr:spPr bwMode="auto">
        <a:xfrm>
          <a:off x="11106150" y="6286500"/>
          <a:ext cx="120162" cy="238125"/>
        </a:xfrm>
        <a:prstGeom prst="rect">
          <a:avLst/>
        </a:prstGeom>
        <a:noFill/>
        <a:ln w="9525" algn="ctr">
          <a:noFill/>
          <a:miter lim="800000"/>
          <a:headEnd/>
          <a:tailEnd/>
        </a:ln>
      </xdr:spPr>
    </xdr:sp>
    <xdr:clientData/>
  </xdr:twoCellAnchor>
</xdr:wsDr>
</file>

<file path=xl/drawings/drawing44.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B500-000002000000}"/>
            </a:ext>
          </a:extLst>
        </xdr:cNvPr>
        <xdr:cNvSpPr txBox="1">
          <a:spLocks noChangeArrowheads="1"/>
        </xdr:cNvSpPr>
      </xdr:nvSpPr>
      <xdr:spPr bwMode="auto">
        <a:xfrm>
          <a:off x="142875" y="14335125"/>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99647</xdr:rowOff>
    </xdr:from>
    <xdr:to>
      <xdr:col>1</xdr:col>
      <xdr:colOff>0</xdr:colOff>
      <xdr:row>46</xdr:row>
      <xdr:rowOff>13922</xdr:rowOff>
    </xdr:to>
    <xdr:graphicFrame macro="">
      <xdr:nvGraphicFramePr>
        <xdr:cNvPr id="3" name="Chart 13">
          <a:extLst>
            <a:ext uri="{FF2B5EF4-FFF2-40B4-BE49-F238E27FC236}">
              <a16:creationId xmlns:a16="http://schemas.microsoft.com/office/drawing/2014/main" id="{00000000-0008-0000-B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153132</xdr:rowOff>
    </xdr:from>
    <xdr:to>
      <xdr:col>1</xdr:col>
      <xdr:colOff>0</xdr:colOff>
      <xdr:row>91</xdr:row>
      <xdr:rowOff>38832</xdr:rowOff>
    </xdr:to>
    <xdr:graphicFrame macro="">
      <xdr:nvGraphicFramePr>
        <xdr:cNvPr id="4" name="Chart 15">
          <a:extLst>
            <a:ext uri="{FF2B5EF4-FFF2-40B4-BE49-F238E27FC236}">
              <a16:creationId xmlns:a16="http://schemas.microsoft.com/office/drawing/2014/main" id="{00000000-0008-0000-B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B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B500-000006000000}"/>
            </a:ext>
          </a:extLst>
        </xdr:cNvPr>
        <xdr:cNvSpPr txBox="1">
          <a:spLocks noChangeArrowheads="1"/>
        </xdr:cNvSpPr>
      </xdr:nvSpPr>
      <xdr:spPr bwMode="auto">
        <a:xfrm>
          <a:off x="11106150" y="6286500"/>
          <a:ext cx="120162" cy="238125"/>
        </a:xfrm>
        <a:prstGeom prst="rect">
          <a:avLst/>
        </a:prstGeom>
        <a:noFill/>
        <a:ln w="9525" algn="ctr">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1D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114300</xdr:rowOff>
    </xdr:from>
    <xdr:to>
      <xdr:col>1</xdr:col>
      <xdr:colOff>0</xdr:colOff>
      <xdr:row>46</xdr:row>
      <xdr:rowOff>28575</xdr:rowOff>
    </xdr:to>
    <xdr:graphicFrame macro="">
      <xdr:nvGraphicFramePr>
        <xdr:cNvPr id="3" name="Chart 13">
          <a:extLst>
            <a:ext uri="{FF2B5EF4-FFF2-40B4-BE49-F238E27FC236}">
              <a16:creationId xmlns:a16="http://schemas.microsoft.com/office/drawing/2014/main" id="{00000000-0008-0000-1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1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1D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104776</xdr:rowOff>
    </xdr:to>
    <xdr:sp macro="" textlink="">
      <xdr:nvSpPr>
        <xdr:cNvPr id="6" name="Text Box 28">
          <a:extLst>
            <a:ext uri="{FF2B5EF4-FFF2-40B4-BE49-F238E27FC236}">
              <a16:creationId xmlns:a16="http://schemas.microsoft.com/office/drawing/2014/main" id="{00000000-0008-0000-1D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21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99646</xdr:rowOff>
    </xdr:from>
    <xdr:to>
      <xdr:col>1</xdr:col>
      <xdr:colOff>0</xdr:colOff>
      <xdr:row>46</xdr:row>
      <xdr:rowOff>13921</xdr:rowOff>
    </xdr:to>
    <xdr:graphicFrame macro="">
      <xdr:nvGraphicFramePr>
        <xdr:cNvPr id="3" name="Chart 13">
          <a:extLst>
            <a:ext uri="{FF2B5EF4-FFF2-40B4-BE49-F238E27FC236}">
              <a16:creationId xmlns:a16="http://schemas.microsoft.com/office/drawing/2014/main" id="{00000000-0008-0000-2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50</xdr:row>
      <xdr:rowOff>65212</xdr:rowOff>
    </xdr:from>
    <xdr:to>
      <xdr:col>1</xdr:col>
      <xdr:colOff>0</xdr:colOff>
      <xdr:row>91</xdr:row>
      <xdr:rowOff>14654</xdr:rowOff>
    </xdr:to>
    <xdr:graphicFrame macro="">
      <xdr:nvGraphicFramePr>
        <xdr:cNvPr id="4" name="Chart 15">
          <a:extLst>
            <a:ext uri="{FF2B5EF4-FFF2-40B4-BE49-F238E27FC236}">
              <a16:creationId xmlns:a16="http://schemas.microsoft.com/office/drawing/2014/main" id="{00000000-0008-0000-2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94</xdr:row>
      <xdr:rowOff>140676</xdr:rowOff>
    </xdr:from>
    <xdr:to>
      <xdr:col>1</xdr:col>
      <xdr:colOff>0</xdr:colOff>
      <xdr:row>134</xdr:row>
      <xdr:rowOff>131152</xdr:rowOff>
    </xdr:to>
    <xdr:graphicFrame macro="">
      <xdr:nvGraphicFramePr>
        <xdr:cNvPr id="5" name="Chart 18">
          <a:extLst>
            <a:ext uri="{FF2B5EF4-FFF2-40B4-BE49-F238E27FC236}">
              <a16:creationId xmlns:a16="http://schemas.microsoft.com/office/drawing/2014/main" id="{00000000-0008-0000-2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21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25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99647</xdr:rowOff>
    </xdr:from>
    <xdr:to>
      <xdr:col>1</xdr:col>
      <xdr:colOff>0</xdr:colOff>
      <xdr:row>46</xdr:row>
      <xdr:rowOff>13922</xdr:rowOff>
    </xdr:to>
    <xdr:graphicFrame macro="">
      <xdr:nvGraphicFramePr>
        <xdr:cNvPr id="3" name="Chart 13">
          <a:extLst>
            <a:ext uri="{FF2B5EF4-FFF2-40B4-BE49-F238E27FC236}">
              <a16:creationId xmlns:a16="http://schemas.microsoft.com/office/drawing/2014/main" id="{00000000-0008-0000-2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123825</xdr:rowOff>
    </xdr:from>
    <xdr:to>
      <xdr:col>1</xdr:col>
      <xdr:colOff>0</xdr:colOff>
      <xdr:row>91</xdr:row>
      <xdr:rowOff>9525</xdr:rowOff>
    </xdr:to>
    <xdr:graphicFrame macro="">
      <xdr:nvGraphicFramePr>
        <xdr:cNvPr id="4" name="Chart 15">
          <a:extLst>
            <a:ext uri="{FF2B5EF4-FFF2-40B4-BE49-F238E27FC236}">
              <a16:creationId xmlns:a16="http://schemas.microsoft.com/office/drawing/2014/main" id="{00000000-0008-0000-2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2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25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142875</xdr:colOff>
      <xdr:row>84</xdr:row>
      <xdr:rowOff>142875</xdr:rowOff>
    </xdr:from>
    <xdr:to>
      <xdr:col>0</xdr:col>
      <xdr:colOff>1752600</xdr:colOff>
      <xdr:row>85</xdr:row>
      <xdr:rowOff>0</xdr:rowOff>
    </xdr:to>
    <xdr:sp macro="" textlink="">
      <xdr:nvSpPr>
        <xdr:cNvPr id="2" name="Text Box 2">
          <a:extLst>
            <a:ext uri="{FF2B5EF4-FFF2-40B4-BE49-F238E27FC236}">
              <a16:creationId xmlns:a16="http://schemas.microsoft.com/office/drawing/2014/main" id="{00000000-0008-0000-29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5</xdr:row>
      <xdr:rowOff>84992</xdr:rowOff>
    </xdr:from>
    <xdr:to>
      <xdr:col>1</xdr:col>
      <xdr:colOff>0</xdr:colOff>
      <xdr:row>46</xdr:row>
      <xdr:rowOff>160459</xdr:rowOff>
    </xdr:to>
    <xdr:graphicFrame macro="">
      <xdr:nvGraphicFramePr>
        <xdr:cNvPr id="3" name="Chart 13">
          <a:extLst>
            <a:ext uri="{FF2B5EF4-FFF2-40B4-BE49-F238E27FC236}">
              <a16:creationId xmlns:a16="http://schemas.microsoft.com/office/drawing/2014/main" id="{00000000-0008-0000-2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50</xdr:row>
      <xdr:rowOff>50556</xdr:rowOff>
    </xdr:from>
    <xdr:to>
      <xdr:col>1</xdr:col>
      <xdr:colOff>0</xdr:colOff>
      <xdr:row>91</xdr:row>
      <xdr:rowOff>97448</xdr:rowOff>
    </xdr:to>
    <xdr:graphicFrame macro="">
      <xdr:nvGraphicFramePr>
        <xdr:cNvPr id="4" name="Chart 15">
          <a:extLst>
            <a:ext uri="{FF2B5EF4-FFF2-40B4-BE49-F238E27FC236}">
              <a16:creationId xmlns:a16="http://schemas.microsoft.com/office/drawing/2014/main" id="{00000000-0008-0000-2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96</xdr:row>
      <xdr:rowOff>38100</xdr:rowOff>
    </xdr:from>
    <xdr:to>
      <xdr:col>1</xdr:col>
      <xdr:colOff>0</xdr:colOff>
      <xdr:row>136</xdr:row>
      <xdr:rowOff>28575</xdr:rowOff>
    </xdr:to>
    <xdr:graphicFrame macro="">
      <xdr:nvGraphicFramePr>
        <xdr:cNvPr id="5" name="Chart 18">
          <a:extLst>
            <a:ext uri="{FF2B5EF4-FFF2-40B4-BE49-F238E27FC236}">
              <a16:creationId xmlns:a16="http://schemas.microsoft.com/office/drawing/2014/main" id="{00000000-0008-0000-2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104776</xdr:rowOff>
    </xdr:to>
    <xdr:sp macro="" textlink="">
      <xdr:nvSpPr>
        <xdr:cNvPr id="6" name="Text Box 28">
          <a:extLst>
            <a:ext uri="{FF2B5EF4-FFF2-40B4-BE49-F238E27FC236}">
              <a16:creationId xmlns:a16="http://schemas.microsoft.com/office/drawing/2014/main" id="{00000000-0008-0000-29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142875</xdr:colOff>
      <xdr:row>83</xdr:row>
      <xdr:rowOff>142875</xdr:rowOff>
    </xdr:from>
    <xdr:to>
      <xdr:col>0</xdr:col>
      <xdr:colOff>1752600</xdr:colOff>
      <xdr:row>84</xdr:row>
      <xdr:rowOff>0</xdr:rowOff>
    </xdr:to>
    <xdr:sp macro="" textlink="">
      <xdr:nvSpPr>
        <xdr:cNvPr id="2" name="Text Box 2">
          <a:extLst>
            <a:ext uri="{FF2B5EF4-FFF2-40B4-BE49-F238E27FC236}">
              <a16:creationId xmlns:a16="http://schemas.microsoft.com/office/drawing/2014/main" id="{00000000-0008-0000-2D00-000002000000}"/>
            </a:ext>
          </a:extLst>
        </xdr:cNvPr>
        <xdr:cNvSpPr txBox="1">
          <a:spLocks noChangeArrowheads="1"/>
        </xdr:cNvSpPr>
      </xdr:nvSpPr>
      <xdr:spPr bwMode="auto">
        <a:xfrm>
          <a:off x="142875" y="14154150"/>
          <a:ext cx="1609725" cy="19050"/>
        </a:xfrm>
        <a:prstGeom prst="rect">
          <a:avLst/>
        </a:prstGeom>
        <a:solidFill>
          <a:srgbClr val="FFFFFF"/>
        </a:solidFill>
        <a:ln w="9525">
          <a:noFill/>
          <a:miter lim="800000"/>
          <a:headEnd/>
          <a:tailEnd/>
        </a:ln>
      </xdr:spPr>
      <xdr:txBody>
        <a:bodyPr vertOverflow="clip" wrap="square" lIns="64008" tIns="50292" rIns="64008" bIns="0" anchor="t" upright="1"/>
        <a:lstStyle/>
        <a:p>
          <a:pPr algn="ctr" rtl="0">
            <a:defRPr sz="1000"/>
          </a:pPr>
          <a:r>
            <a:rPr lang="en-US" sz="2800" b="1" i="0" strike="noStrike">
              <a:solidFill>
                <a:srgbClr val="969696"/>
              </a:solidFill>
              <a:latin typeface="Arial"/>
              <a:cs typeface="Arial"/>
            </a:rPr>
            <a:t>DRAFT</a:t>
          </a:r>
        </a:p>
      </xdr:txBody>
    </xdr:sp>
    <xdr:clientData/>
  </xdr:twoCellAnchor>
  <xdr:twoCellAnchor>
    <xdr:from>
      <xdr:col>0</xdr:col>
      <xdr:colOff>0</xdr:colOff>
      <xdr:row>4</xdr:row>
      <xdr:rowOff>70339</xdr:rowOff>
    </xdr:from>
    <xdr:to>
      <xdr:col>1</xdr:col>
      <xdr:colOff>0</xdr:colOff>
      <xdr:row>45</xdr:row>
      <xdr:rowOff>145806</xdr:rowOff>
    </xdr:to>
    <xdr:graphicFrame macro="">
      <xdr:nvGraphicFramePr>
        <xdr:cNvPr id="3" name="Chart 13">
          <a:extLst>
            <a:ext uri="{FF2B5EF4-FFF2-40B4-BE49-F238E27FC236}">
              <a16:creationId xmlns:a16="http://schemas.microsoft.com/office/drawing/2014/main" id="{00000000-0008-0000-2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49</xdr:row>
      <xdr:rowOff>94518</xdr:rowOff>
    </xdr:from>
    <xdr:to>
      <xdr:col>1</xdr:col>
      <xdr:colOff>0</xdr:colOff>
      <xdr:row>90</xdr:row>
      <xdr:rowOff>141410</xdr:rowOff>
    </xdr:to>
    <xdr:graphicFrame macro="">
      <xdr:nvGraphicFramePr>
        <xdr:cNvPr id="4" name="Chart 15">
          <a:extLst>
            <a:ext uri="{FF2B5EF4-FFF2-40B4-BE49-F238E27FC236}">
              <a16:creationId xmlns:a16="http://schemas.microsoft.com/office/drawing/2014/main" id="{00000000-0008-0000-2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95</xdr:row>
      <xdr:rowOff>38100</xdr:rowOff>
    </xdr:from>
    <xdr:to>
      <xdr:col>1</xdr:col>
      <xdr:colOff>0</xdr:colOff>
      <xdr:row>135</xdr:row>
      <xdr:rowOff>28575</xdr:rowOff>
    </xdr:to>
    <xdr:graphicFrame macro="">
      <xdr:nvGraphicFramePr>
        <xdr:cNvPr id="5" name="Chart 18">
          <a:extLst>
            <a:ext uri="{FF2B5EF4-FFF2-40B4-BE49-F238E27FC236}">
              <a16:creationId xmlns:a16="http://schemas.microsoft.com/office/drawing/2014/main" id="{00000000-0008-0000-2D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523875</xdr:colOff>
      <xdr:row>34</xdr:row>
      <xdr:rowOff>28575</xdr:rowOff>
    </xdr:from>
    <xdr:to>
      <xdr:col>1</xdr:col>
      <xdr:colOff>644037</xdr:colOff>
      <xdr:row>35</xdr:row>
      <xdr:rowOff>104775</xdr:rowOff>
    </xdr:to>
    <xdr:sp macro="" textlink="">
      <xdr:nvSpPr>
        <xdr:cNvPr id="6" name="Text Box 28">
          <a:extLst>
            <a:ext uri="{FF2B5EF4-FFF2-40B4-BE49-F238E27FC236}">
              <a16:creationId xmlns:a16="http://schemas.microsoft.com/office/drawing/2014/main" id="{00000000-0008-0000-2D00-000006000000}"/>
            </a:ext>
          </a:extLst>
        </xdr:cNvPr>
        <xdr:cNvSpPr txBox="1">
          <a:spLocks noChangeArrowheads="1"/>
        </xdr:cNvSpPr>
      </xdr:nvSpPr>
      <xdr:spPr bwMode="auto">
        <a:xfrm>
          <a:off x="11049000" y="6105525"/>
          <a:ext cx="114300" cy="238125"/>
        </a:xfrm>
        <a:prstGeom prst="rect">
          <a:avLst/>
        </a:prstGeom>
        <a:noFill/>
        <a:ln w="9525" algn="ctr">
          <a:no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HECB-AUVFS41\UserDoc$\FIN\AFRJEFF\PubInfo_Big%205_FY%202003_5%2027%2004_Finalredorev.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THECB-AUVFS41\UserDoc$\UserDoc$\Documents%20and%20Settings\cernosekj\Local%20Settings\Temporary%20Internet%20Files\OLK2E\FY2006C2swrk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HECB-AUVFS41\UserDoc$\buchananjs\My%20Documents\Sources%20&amp;%20Uses\Univ%20-%20Sources%20&amp;%20Uses%20FY%202020\0%20-%20Univ%20-%20S%20&amp;%20U%20-%20FY%202020%20-1%20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HECB-AUVFS41\UserDoc$\buchananjs\My%20Documents\Sources%20&amp;%20Uses\Univ%20-%20Sources%20&amp;%20Uses%20FY%202010\0%20-%20Univ%20-%20S%20&amp;%20U%20-%20FY%202010%20-%2031%20-%20Final.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HECB-AUVFS41\UserDoc$\buchananjs\My%20Documents\Sources%20&amp;%20Uses\Univ%20-%20Sources%20&amp;%20Uses%20FY%202012\0%20-%20Univ%20-%20S%20&amp;%20U%20-%20FY%202012%20-%207%20-%20Final.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HECB-AUVFS41\UserDoc$\Sources%20&amp;%20Uses\Univ%20-%20Sources%20&amp;%20Uses%20FY%202016\0%20-%20Univ%20-%20S%20&amp;%20U%20-%20FY%202016%20-%201%20Draf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HECB-AUVFS41\UserDoc$\Sources%20&amp;%20Uses\Univ%20-%20Sources%20&amp;%20Uses%20FY%202016\0%20-%20Univ%20-%20Research%20-%20FY%202016%20-%20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HECB-AUVFS41\UserDoc$\buchananjs\My%20Documents\Sources%20_%20Uses\Univ%20-%20Sources%20_%20Uses%20FY%202015\Univ%20Templates%20-%20FY%202015\Univ%20-%20S%20_%20U%20-%20FY%202015%20-%20Template%20-%202%20-%20Setup%20Ready%20w%20Rest%20Resh.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HECB-AUVFS41\UserDoc$\mciverje\My%20Documents\MyFiles\SCH-Univ\SRSCHLevFYTotal.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THECB-AUVFS41\UserDoc$\Documents%20and%20Settings\cernosekj\Local%20Settings\Temporary%20Internet%20Files\OLK2E\FY2006C2swrk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rkbookLayout"/>
      <sheetName val="PubInfo"/>
      <sheetName val="PubInfoB"/>
      <sheetName val="AdjustedDatareformat"/>
      <sheetName val="Adjustments"/>
      <sheetName val="Datareformat"/>
      <sheetName val="UTAustin"/>
      <sheetName val="TAMU"/>
      <sheetName val="UH"/>
      <sheetName val="UNT"/>
      <sheetName val="Tech"/>
      <sheetName val="SCHFTSE"/>
    </sheetNames>
    <sheetDataSet>
      <sheetData sheetId="0" refreshError="1"/>
      <sheetData sheetId="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TArl"/>
      <sheetName val="UTAustin"/>
      <sheetName val="UTDallas"/>
      <sheetName val="UTEP"/>
      <sheetName val="UTPanAm"/>
      <sheetName val="UTBrwnsville"/>
      <sheetName val="UTPB"/>
      <sheetName val="UTSA"/>
      <sheetName val="UTTyler"/>
      <sheetName val="TAMU"/>
      <sheetName val="TAMUG"/>
      <sheetName val="PVAMU"/>
      <sheetName val="Tarleton"/>
      <sheetName val="TAMUCommerce"/>
      <sheetName val="TAMUCorpusChristi"/>
      <sheetName val="TAMUKingsville"/>
      <sheetName val="TAMUInternational"/>
      <sheetName val="TAMUTexarkana"/>
      <sheetName val="WTAMU"/>
      <sheetName val="UH"/>
      <sheetName val="UHClearLake"/>
      <sheetName val="UHDowntown"/>
      <sheetName val="UHVictoria"/>
      <sheetName val="Midwestern"/>
      <sheetName val="UNorthTexas"/>
      <sheetName val="SFASU"/>
      <sheetName val="TSU"/>
      <sheetName val="Tech"/>
      <sheetName val="TWU"/>
      <sheetName val="AngeloState"/>
      <sheetName val="Lamar"/>
      <sheetName val="SamHouston"/>
      <sheetName val="TxStateSanMarcos"/>
      <sheetName val="SulRo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1">
          <cell r="A1" t="str">
            <v>Midwestern State University</v>
          </cell>
        </row>
        <row r="2">
          <cell r="A2" t="str">
            <v>SCHEDULE C-2:  EXPENSES BY OBJECT AND FUND GROUP</v>
          </cell>
          <cell r="AE2" t="str">
            <v>Schcol &amp; Fell</v>
          </cell>
          <cell r="AF2" t="str">
            <v>Schcol &amp; Fell</v>
          </cell>
        </row>
        <row r="3">
          <cell r="A3" t="str">
            <v>For the year ended August 31, 2006</v>
          </cell>
          <cell r="AF3" t="str">
            <v>Allowances</v>
          </cell>
        </row>
        <row r="4">
          <cell r="A4" t="str">
            <v>UNAUDITED</v>
          </cell>
        </row>
        <row r="5">
          <cell r="A5">
            <v>24</v>
          </cell>
        </row>
        <row r="6">
          <cell r="C6" t="str">
            <v>Salaries</v>
          </cell>
          <cell r="E6" t="str">
            <v>Payroll</v>
          </cell>
          <cell r="G6" t="str">
            <v>Costs of</v>
          </cell>
          <cell r="I6" t="str">
            <v>Professional</v>
          </cell>
          <cell r="M6" t="str">
            <v>Materials</v>
          </cell>
          <cell r="S6" t="str">
            <v>Repairs and</v>
          </cell>
          <cell r="U6" t="str">
            <v>Rentals and</v>
          </cell>
          <cell r="W6" t="str">
            <v>Printing and</v>
          </cell>
          <cell r="Y6" t="str">
            <v>Bad Debt</v>
          </cell>
          <cell r="AA6" t="str">
            <v xml:space="preserve">Claims and </v>
          </cell>
          <cell r="AC6" t="str">
            <v>Scholarships</v>
          </cell>
          <cell r="AG6" t="str">
            <v>Depreciation</v>
          </cell>
          <cell r="AI6" t="str">
            <v>Federal Sponsored</v>
          </cell>
          <cell r="AK6" t="str">
            <v>State Sponsored</v>
          </cell>
          <cell r="AM6" t="str">
            <v>Other</v>
          </cell>
          <cell r="AO6" t="str">
            <v>Subtotal</v>
          </cell>
          <cell r="AQ6" t="str">
            <v>Capital</v>
          </cell>
        </row>
        <row r="7">
          <cell r="C7" t="str">
            <v>and Wages</v>
          </cell>
          <cell r="E7" t="str">
            <v>Related Costs</v>
          </cell>
          <cell r="G7" t="str">
            <v>Goods Sold</v>
          </cell>
          <cell r="I7" t="str">
            <v>Fees and Services</v>
          </cell>
          <cell r="K7" t="str">
            <v>Travel</v>
          </cell>
          <cell r="M7" t="str">
            <v>and Supplies</v>
          </cell>
          <cell r="O7" t="str">
            <v>Utilities</v>
          </cell>
          <cell r="Q7" t="str">
            <v>Telecomm</v>
          </cell>
          <cell r="S7" t="str">
            <v>Maintenance</v>
          </cell>
          <cell r="U7" t="str">
            <v>Leases</v>
          </cell>
          <cell r="W7" t="str">
            <v>Reproduction</v>
          </cell>
          <cell r="Y7" t="str">
            <v>Expense</v>
          </cell>
          <cell r="AA7" t="str">
            <v>Losses</v>
          </cell>
          <cell r="AC7" t="str">
            <v>and Fellowships</v>
          </cell>
          <cell r="AG7" t="str">
            <v>and Amortization</v>
          </cell>
          <cell r="AI7" t="str">
            <v>Pass-Throughs</v>
          </cell>
          <cell r="AK7" t="str">
            <v>Pass-Throughs</v>
          </cell>
          <cell r="AM7" t="str">
            <v>Expenses</v>
          </cell>
          <cell r="AO7" t="str">
            <v>Operating Expenses</v>
          </cell>
          <cell r="AQ7" t="str">
            <v>Outlay</v>
          </cell>
          <cell r="AS7" t="str">
            <v>Total</v>
          </cell>
        </row>
        <row r="9">
          <cell r="A9" t="str">
            <v>EDUCATIONAL AND GENERAL</v>
          </cell>
        </row>
        <row r="10">
          <cell r="A10" t="str">
            <v xml:space="preserve">     Instruction</v>
          </cell>
          <cell r="B10" t="str">
            <v>$</v>
          </cell>
        </row>
        <row r="11">
          <cell r="A11" t="str">
            <v xml:space="preserve">     Research</v>
          </cell>
        </row>
        <row r="12">
          <cell r="A12" t="str">
            <v xml:space="preserve">     Public Service</v>
          </cell>
        </row>
        <row r="13">
          <cell r="A13" t="str">
            <v xml:space="preserve">     Hospitals/Clinics</v>
          </cell>
        </row>
        <row r="14">
          <cell r="A14" t="str">
            <v xml:space="preserve">     Academic Support</v>
          </cell>
        </row>
        <row r="15">
          <cell r="A15" t="str">
            <v xml:space="preserve">     Student Services</v>
          </cell>
        </row>
        <row r="16">
          <cell r="A16" t="str">
            <v xml:space="preserve">     Institutional Support</v>
          </cell>
        </row>
        <row r="17">
          <cell r="A17" t="str">
            <v xml:space="preserve">     Operation and Maintenance of Plant</v>
          </cell>
        </row>
        <row r="18">
          <cell r="A18" t="str">
            <v xml:space="preserve">     Scholarships and Fellowships</v>
          </cell>
        </row>
        <row r="19">
          <cell r="A19" t="str">
            <v xml:space="preserve">           Scholarship allowances</v>
          </cell>
        </row>
        <row r="20">
          <cell r="A20" t="str">
            <v xml:space="preserve">     Auxiliary Enterprises</v>
          </cell>
        </row>
        <row r="21">
          <cell r="A21" t="str">
            <v xml:space="preserve">     Amortization</v>
          </cell>
        </row>
        <row r="22">
          <cell r="A22" t="str">
            <v xml:space="preserve">   Total Educational and General</v>
          </cell>
        </row>
        <row r="25">
          <cell r="A25" t="str">
            <v>DESIGNATED</v>
          </cell>
        </row>
        <row r="26">
          <cell r="A26" t="str">
            <v xml:space="preserve">     Instruction</v>
          </cell>
        </row>
        <row r="27">
          <cell r="A27" t="str">
            <v xml:space="preserve">     Research</v>
          </cell>
        </row>
        <row r="28">
          <cell r="A28" t="str">
            <v xml:space="preserve">     Public Service</v>
          </cell>
        </row>
        <row r="29">
          <cell r="A29" t="str">
            <v xml:space="preserve">     Hospitals/Clinics</v>
          </cell>
        </row>
        <row r="30">
          <cell r="A30" t="str">
            <v xml:space="preserve">     Academic Support</v>
          </cell>
        </row>
        <row r="31">
          <cell r="A31" t="str">
            <v xml:space="preserve">     Student Services</v>
          </cell>
        </row>
        <row r="32">
          <cell r="A32" t="str">
            <v xml:space="preserve">     Institutional Support</v>
          </cell>
        </row>
        <row r="33">
          <cell r="A33" t="str">
            <v xml:space="preserve">     Operation and Maintenance of Plant</v>
          </cell>
        </row>
        <row r="34">
          <cell r="A34" t="str">
            <v xml:space="preserve">     Scholarships and Fellowships</v>
          </cell>
        </row>
        <row r="35">
          <cell r="A35" t="str">
            <v xml:space="preserve">          Scholarship Allowances</v>
          </cell>
        </row>
        <row r="36">
          <cell r="A36" t="str">
            <v xml:space="preserve">     Auxiliary Enterprises</v>
          </cell>
        </row>
        <row r="37">
          <cell r="A37" t="str">
            <v xml:space="preserve">     Amortization</v>
          </cell>
        </row>
        <row r="38">
          <cell r="A38" t="str">
            <v xml:space="preserve">   Total Designated</v>
          </cell>
        </row>
        <row r="41">
          <cell r="A41" t="str">
            <v>AUXILIARY ENTERPRISES</v>
          </cell>
        </row>
        <row r="42">
          <cell r="A42" t="str">
            <v xml:space="preserve">     Auxiliary Enterprises</v>
          </cell>
        </row>
        <row r="43">
          <cell r="A43" t="str">
            <v xml:space="preserve">          Scholarship Allowances</v>
          </cell>
        </row>
        <row r="44">
          <cell r="A44" t="str">
            <v xml:space="preserve">   Total Auxiliary Enterprises</v>
          </cell>
        </row>
        <row r="48">
          <cell r="A48" t="str">
            <v>RESTRICTED EXPENDABLE</v>
          </cell>
        </row>
        <row r="49">
          <cell r="A49" t="str">
            <v xml:space="preserve">     Instruction</v>
          </cell>
        </row>
        <row r="50">
          <cell r="A50" t="str">
            <v xml:space="preserve">     Research</v>
          </cell>
        </row>
        <row r="51">
          <cell r="A51" t="str">
            <v xml:space="preserve">     Public Service</v>
          </cell>
        </row>
        <row r="52">
          <cell r="A52" t="str">
            <v xml:space="preserve">     Hospitals/Clinics</v>
          </cell>
        </row>
        <row r="53">
          <cell r="A53" t="str">
            <v xml:space="preserve">     Academic Support</v>
          </cell>
        </row>
        <row r="54">
          <cell r="A54" t="str">
            <v xml:space="preserve">     Student Services</v>
          </cell>
        </row>
        <row r="55">
          <cell r="A55" t="str">
            <v xml:space="preserve">     Institutional Support</v>
          </cell>
        </row>
        <row r="56">
          <cell r="A56" t="str">
            <v xml:space="preserve">     Operation and Maintenance of Plant</v>
          </cell>
        </row>
        <row r="57">
          <cell r="A57" t="str">
            <v xml:space="preserve">     Scholarships and Fellowships</v>
          </cell>
        </row>
        <row r="58">
          <cell r="A58" t="str">
            <v xml:space="preserve">          Scholarship Allowances</v>
          </cell>
        </row>
        <row r="59">
          <cell r="A59" t="str">
            <v xml:space="preserve">     Auxiliary Enterprises</v>
          </cell>
        </row>
        <row r="60">
          <cell r="A60" t="str">
            <v xml:space="preserve">     Amortization</v>
          </cell>
        </row>
        <row r="61">
          <cell r="A61" t="str">
            <v xml:space="preserve">   Total Restricted Expendable</v>
          </cell>
        </row>
        <row r="64">
          <cell r="A64" t="str">
            <v>LOAN FUNDS</v>
          </cell>
        </row>
        <row r="65">
          <cell r="A65" t="str">
            <v xml:space="preserve">     Student Services</v>
          </cell>
        </row>
        <row r="68">
          <cell r="A68" t="str">
            <v>PLANT FUNDS</v>
          </cell>
        </row>
        <row r="69">
          <cell r="A69" t="str">
            <v xml:space="preserve">     Instruction</v>
          </cell>
        </row>
        <row r="70">
          <cell r="A70" t="str">
            <v xml:space="preserve">     Research</v>
          </cell>
        </row>
        <row r="71">
          <cell r="A71" t="str">
            <v xml:space="preserve">     Public Service</v>
          </cell>
        </row>
        <row r="72">
          <cell r="A72" t="str">
            <v xml:space="preserve">     Hospitals/Clinics</v>
          </cell>
        </row>
        <row r="73">
          <cell r="A73" t="str">
            <v xml:space="preserve">     Academic Support</v>
          </cell>
        </row>
        <row r="74">
          <cell r="A74" t="str">
            <v xml:space="preserve">     Student Services</v>
          </cell>
        </row>
        <row r="75">
          <cell r="A75" t="str">
            <v xml:space="preserve">     Institutional Support</v>
          </cell>
        </row>
        <row r="76">
          <cell r="A76" t="str">
            <v xml:space="preserve">     Operation and Maintenance of Plant</v>
          </cell>
        </row>
        <row r="77">
          <cell r="A77" t="str">
            <v xml:space="preserve">     Auxiliary Enterprises</v>
          </cell>
        </row>
        <row r="78">
          <cell r="A78" t="str">
            <v xml:space="preserve">     Depreciation (Investment in Plant)</v>
          </cell>
        </row>
        <row r="79">
          <cell r="A79" t="str">
            <v xml:space="preserve">   Total Plant Funds</v>
          </cell>
        </row>
        <row r="81">
          <cell r="A81" t="str">
            <v>AVAILABLE UNIVERSITY FUND</v>
          </cell>
        </row>
        <row r="82">
          <cell r="A82" t="str">
            <v>TOTAL OPERATING EXPENSES (Exh. B)</v>
          </cell>
          <cell r="B82" t="str">
            <v>$</v>
          </cell>
        </row>
        <row r="84">
          <cell r="A84" t="str">
            <v>Relevant Data Collection Totals</v>
          </cell>
        </row>
        <row r="85">
          <cell r="A85" t="str">
            <v xml:space="preserve">     Instruction</v>
          </cell>
          <cell r="B85" t="str">
            <v>$</v>
          </cell>
        </row>
        <row r="86">
          <cell r="A86" t="str">
            <v xml:space="preserve">     Research</v>
          </cell>
        </row>
        <row r="87">
          <cell r="A87" t="str">
            <v xml:space="preserve">     Public Service</v>
          </cell>
        </row>
        <row r="88">
          <cell r="A88" t="str">
            <v xml:space="preserve">     Hospitals/Clinics</v>
          </cell>
        </row>
        <row r="89">
          <cell r="A89" t="str">
            <v xml:space="preserve">     Academic Support</v>
          </cell>
        </row>
        <row r="90">
          <cell r="A90" t="str">
            <v xml:space="preserve">     Student Services</v>
          </cell>
        </row>
        <row r="91">
          <cell r="A91" t="str">
            <v xml:space="preserve">     Institutional Support</v>
          </cell>
        </row>
        <row r="92">
          <cell r="A92" t="str">
            <v xml:space="preserve">     Operation and Maintenance of Plant</v>
          </cell>
        </row>
        <row r="93">
          <cell r="A93" t="str">
            <v xml:space="preserve">     Scholarships and Fellowships</v>
          </cell>
        </row>
        <row r="94">
          <cell r="A94" t="str">
            <v xml:space="preserve">     Auxiliary Enterprises</v>
          </cell>
        </row>
        <row r="95">
          <cell r="A95" t="str">
            <v xml:space="preserve">     Depreciation (Investment in Plant)</v>
          </cell>
        </row>
        <row r="96">
          <cell r="A96" t="str">
            <v xml:space="preserve">   Totals</v>
          </cell>
          <cell r="B96" t="str">
            <v>$</v>
          </cell>
        </row>
        <row r="98">
          <cell r="A98" t="str">
            <v>Difference</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SREB Input"/>
      <sheetName val="Acad Space Model"/>
      <sheetName val="Acad Cost Study"/>
      <sheetName val="CS &amp; SP Smmy"/>
      <sheetName val="Acad CTG Costs"/>
      <sheetName val="ICUT Survey"/>
      <sheetName val="IFRS Smmy (2)"/>
      <sheetName val="IFRS Smmy"/>
      <sheetName val="Almanac 1"/>
      <sheetName val="Almanac 2"/>
      <sheetName val="TRB Eval U"/>
      <sheetName val="T&amp;F Summary"/>
      <sheetName val="Univ_IE_Context"/>
      <sheetName val="Univ_IE_Keys"/>
      <sheetName val="Univ Context NA"/>
      <sheetName val="Univ_IE_Keys NA"/>
      <sheetName val="Academic Acct Smmy"/>
      <sheetName val="ComRpt"/>
      <sheetName val="Smmy Acad SbS"/>
      <sheetName val="Smmy Chrts"/>
      <sheetName val="Smmy Sum"/>
      <sheetName val="Smmy FGD"/>
      <sheetName val="Smmy Fnts"/>
      <sheetName val="ARL Chrts"/>
      <sheetName val="ARL Sum"/>
      <sheetName val="ARL FGD"/>
      <sheetName val="ARL Fnts"/>
      <sheetName val="AUS1 Chrts"/>
      <sheetName val="AUS1 Sum"/>
      <sheetName val="AUS1 FGD"/>
      <sheetName val="AUS1 Fnts"/>
      <sheetName val="DAL Chrts"/>
      <sheetName val="DAL Sum"/>
      <sheetName val="DAL FGD"/>
      <sheetName val="DAL Fnts"/>
      <sheetName val="E-P Chrts"/>
      <sheetName val="E-P Sum"/>
      <sheetName val="E-P FGD"/>
      <sheetName val="E-P Fnts"/>
      <sheetName val="RGV1 Chrts"/>
      <sheetName val="RGV1 Sum"/>
      <sheetName val="RGV1 FGD"/>
      <sheetName val="RGV1 Fnts"/>
      <sheetName val="P-B Chrts"/>
      <sheetName val="P-B Sum"/>
      <sheetName val="P-B FGD"/>
      <sheetName val="P-B Fnts"/>
      <sheetName val="S-A Chrts"/>
      <sheetName val="S-A Sum"/>
      <sheetName val="S-A FGD"/>
      <sheetName val="S-A Fnts"/>
      <sheetName val="TYL Chrts"/>
      <sheetName val="TYL Sum"/>
      <sheetName val="TYL FGD"/>
      <sheetName val="TYL Fnts"/>
      <sheetName val="TAMU Chrts"/>
      <sheetName val="TAMU Sum"/>
      <sheetName val="TAMU FGD"/>
      <sheetName val="TAMU Fnts"/>
      <sheetName val="TAMUG Chrts"/>
      <sheetName val="TAMUG Sum"/>
      <sheetName val="TAMUG FGD"/>
      <sheetName val="TAMUG Fnts"/>
      <sheetName val="PVAMU Chrts"/>
      <sheetName val="PVAMU Sum"/>
      <sheetName val="PVAMU FGD"/>
      <sheetName val="PVAMU Fnts"/>
      <sheetName val="TARLST Chrts"/>
      <sheetName val="TARLST Sum"/>
      <sheetName val="TARLST FGD"/>
      <sheetName val="TARLST Fnts"/>
      <sheetName val="TAMUCC Chrts"/>
      <sheetName val="TAMUCC Sum"/>
      <sheetName val="TAMUCC FGD"/>
      <sheetName val="TAMUCC Fnts"/>
      <sheetName val="TAMUK Chrts"/>
      <sheetName val="TAMUK Sum"/>
      <sheetName val="TAMUK FGD"/>
      <sheetName val="TAMUK Fnts"/>
      <sheetName val="TAMIU Chrts"/>
      <sheetName val="TAMIU Sum"/>
      <sheetName val="TAMIU FGD"/>
      <sheetName val="TAMIU Fnts"/>
      <sheetName val="WTAMU Chrts"/>
      <sheetName val="WTAMU Sum"/>
      <sheetName val="WTAMU FGD"/>
      <sheetName val="WTAMU Fnts"/>
      <sheetName val="TAMUC Chrts"/>
      <sheetName val="TAMUC Sum"/>
      <sheetName val="TAMUC FGD"/>
      <sheetName val="TAMUC Fnts"/>
      <sheetName val="TAMUT Chrts"/>
      <sheetName val="TAMUT Sum"/>
      <sheetName val="TAMUT FGD"/>
      <sheetName val="TAMUT Fnts"/>
      <sheetName val="TAMUCT Chrts"/>
      <sheetName val="TAMUCT Sum"/>
      <sheetName val="TAMUCT FGD"/>
      <sheetName val="TAMUCT Fnts"/>
      <sheetName val="TAMUSA Chrts"/>
      <sheetName val="TAMUSA Sum"/>
      <sheetName val="TAMUSA FGD"/>
      <sheetName val="TAMUSA Fnts"/>
      <sheetName val="UH1 Chrts"/>
      <sheetName val="UH1 Sum"/>
      <sheetName val="UH1 FGD"/>
      <sheetName val="UH1 Fnts"/>
      <sheetName val="UHCL Chrts"/>
      <sheetName val="UHCL Sum"/>
      <sheetName val="UHCL FGD"/>
      <sheetName val="UHCL Fnts"/>
      <sheetName val="UHD Chrts"/>
      <sheetName val="UHD Sum"/>
      <sheetName val="UHD FGD"/>
      <sheetName val="UHD Fnts"/>
      <sheetName val="UHV Chrts"/>
      <sheetName val="UHV Sum"/>
      <sheetName val="UHV FGD"/>
      <sheetName val="UHV Fnts"/>
      <sheetName val="LU Chrts"/>
      <sheetName val="LU Sum"/>
      <sheetName val="LU FGD"/>
      <sheetName val="LU Fnts"/>
      <sheetName val="shsu1 Chrts"/>
      <sheetName val="shsu1 Sum"/>
      <sheetName val="shsu1 FGD"/>
      <sheetName val="shsu1 Fnts"/>
      <sheetName val="TXST Chrts"/>
      <sheetName val="TXST Sum"/>
      <sheetName val="TXST FGD"/>
      <sheetName val="TXST Fnts"/>
      <sheetName val="SRSU Chrts"/>
      <sheetName val="SRSU Sum"/>
      <sheetName val="SRSU FGD"/>
      <sheetName val="SRSU Fnts"/>
      <sheetName val="TTU Chrts"/>
      <sheetName val="TTU Sum"/>
      <sheetName val="TTU FGD"/>
      <sheetName val="TTU Fnts"/>
      <sheetName val="ASU Chrts"/>
      <sheetName val="ASU Sum"/>
      <sheetName val="ASU FGD"/>
      <sheetName val="ASU Fnts"/>
      <sheetName val="UNT Chrts"/>
      <sheetName val="UNT Sum"/>
      <sheetName val="UNT FGD"/>
      <sheetName val="UNT Fnts"/>
      <sheetName val="UNTD Chrts"/>
      <sheetName val="UNTD Sum"/>
      <sheetName val="UNTD FGD"/>
      <sheetName val="UNTD Fnts"/>
      <sheetName val="MidWST Chrts"/>
      <sheetName val="MidWST Sum"/>
      <sheetName val="MidWST FGD"/>
      <sheetName val="MidWST Fnts"/>
      <sheetName val="SFA Chrts"/>
      <sheetName val="SFA Sum"/>
      <sheetName val="SFA FGD"/>
      <sheetName val="SFA Fnts"/>
      <sheetName val="TSU Chrts"/>
      <sheetName val="TSU Sum"/>
      <sheetName val="TSU FGD"/>
      <sheetName val="TSU Fnts"/>
      <sheetName val="TWU Chrts"/>
      <sheetName val="TWU Sum"/>
      <sheetName val="TWU FGD"/>
      <sheetName val="TWU Fnts"/>
      <sheetName val="AUS Chrts"/>
      <sheetName val="AUS Sum"/>
      <sheetName val="AUS FGD"/>
      <sheetName val="AUS Fnts"/>
      <sheetName val="RGV Chrts"/>
      <sheetName val="RGV Sum"/>
      <sheetName val="RGV FGD"/>
      <sheetName val="RGV Fnts"/>
      <sheetName val="UH Chrts"/>
      <sheetName val="UH Sum"/>
      <sheetName val="UH FGD"/>
      <sheetName val="UH Fnts"/>
      <sheetName val="Shsu Chrts"/>
      <sheetName val="Shsu Sum"/>
      <sheetName val="Shsu FGD"/>
      <sheetName val="Shsu Fnts"/>
      <sheetName val="Names"/>
      <sheetName val="Input"/>
      <sheetName val="FTSE"/>
      <sheetName val="PeerGroups"/>
      <sheetName val="SystemGroups"/>
      <sheetName val="Balancing"/>
      <sheetName val="0 - Univ - S &amp; U - FY 2020 -1 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5">
          <cell r="B15">
            <v>154511028</v>
          </cell>
        </row>
      </sheetData>
      <sheetData sheetId="26"/>
      <sheetData sheetId="27"/>
      <sheetData sheetId="28"/>
      <sheetData sheetId="29">
        <row r="15">
          <cell r="B15">
            <v>786909961</v>
          </cell>
        </row>
      </sheetData>
      <sheetData sheetId="30"/>
      <sheetData sheetId="31"/>
      <sheetData sheetId="32"/>
      <sheetData sheetId="33">
        <row r="15">
          <cell r="B15">
            <v>123795871</v>
          </cell>
        </row>
      </sheetData>
      <sheetData sheetId="34"/>
      <sheetData sheetId="35"/>
      <sheetData sheetId="36"/>
      <sheetData sheetId="37">
        <row r="15">
          <cell r="B15">
            <v>132217337</v>
          </cell>
        </row>
      </sheetData>
      <sheetData sheetId="38"/>
      <sheetData sheetId="39"/>
      <sheetData sheetId="40"/>
      <sheetData sheetId="41">
        <row r="15">
          <cell r="B15">
            <v>149918157</v>
          </cell>
        </row>
      </sheetData>
      <sheetData sheetId="42"/>
      <sheetData sheetId="43"/>
      <sheetData sheetId="44"/>
      <sheetData sheetId="45">
        <row r="15">
          <cell r="B15">
            <v>43849858</v>
          </cell>
        </row>
      </sheetData>
      <sheetData sheetId="46"/>
      <sheetData sheetId="47"/>
      <sheetData sheetId="48"/>
      <sheetData sheetId="49">
        <row r="15">
          <cell r="B15">
            <v>158607508</v>
          </cell>
        </row>
      </sheetData>
      <sheetData sheetId="50"/>
      <sheetData sheetId="51"/>
      <sheetData sheetId="52"/>
      <sheetData sheetId="53">
        <row r="15">
          <cell r="B15">
            <v>53872752</v>
          </cell>
        </row>
      </sheetData>
      <sheetData sheetId="54"/>
      <sheetData sheetId="55"/>
      <sheetData sheetId="56"/>
      <sheetData sheetId="57">
        <row r="15">
          <cell r="B15">
            <v>589652293</v>
          </cell>
        </row>
      </sheetData>
      <sheetData sheetId="58"/>
      <sheetData sheetId="59"/>
      <sheetData sheetId="60"/>
      <sheetData sheetId="61">
        <row r="15">
          <cell r="B15">
            <v>26201344</v>
          </cell>
        </row>
      </sheetData>
      <sheetData sheetId="62"/>
      <sheetData sheetId="63"/>
      <sheetData sheetId="64"/>
      <sheetData sheetId="65">
        <row r="15">
          <cell r="B15">
            <v>98215450</v>
          </cell>
        </row>
      </sheetData>
      <sheetData sheetId="66"/>
      <sheetData sheetId="67"/>
      <sheetData sheetId="68"/>
      <sheetData sheetId="69">
        <row r="15">
          <cell r="B15">
            <v>65780888</v>
          </cell>
        </row>
      </sheetData>
      <sheetData sheetId="70"/>
      <sheetData sheetId="71"/>
      <sheetData sheetId="72"/>
      <sheetData sheetId="73">
        <row r="15">
          <cell r="B15">
            <v>80486148</v>
          </cell>
        </row>
      </sheetData>
      <sheetData sheetId="74"/>
      <sheetData sheetId="75"/>
      <sheetData sheetId="76"/>
      <sheetData sheetId="77">
        <row r="15">
          <cell r="B15">
            <v>64663867</v>
          </cell>
        </row>
      </sheetData>
      <sheetData sheetId="78"/>
      <sheetData sheetId="79"/>
      <sheetData sheetId="80"/>
      <sheetData sheetId="81">
        <row r="15">
          <cell r="B15">
            <v>55597444</v>
          </cell>
        </row>
      </sheetData>
      <sheetData sheetId="82"/>
      <sheetData sheetId="83"/>
      <sheetData sheetId="84"/>
      <sheetData sheetId="85">
        <row r="15">
          <cell r="B15">
            <v>55030546</v>
          </cell>
        </row>
      </sheetData>
      <sheetData sheetId="86"/>
      <sheetData sheetId="87"/>
      <sheetData sheetId="88"/>
      <sheetData sheetId="89">
        <row r="15">
          <cell r="B15">
            <v>70483802</v>
          </cell>
        </row>
      </sheetData>
      <sheetData sheetId="90"/>
      <sheetData sheetId="91"/>
      <sheetData sheetId="92"/>
      <sheetData sheetId="93">
        <row r="15">
          <cell r="B15">
            <v>26324601</v>
          </cell>
        </row>
      </sheetData>
      <sheetData sheetId="94"/>
      <sheetData sheetId="95"/>
      <sheetData sheetId="96"/>
      <sheetData sheetId="97">
        <row r="15">
          <cell r="B15">
            <v>19054453</v>
          </cell>
        </row>
      </sheetData>
      <sheetData sheetId="98"/>
      <sheetData sheetId="99"/>
      <sheetData sheetId="100"/>
      <sheetData sheetId="101">
        <row r="15">
          <cell r="B15">
            <v>34873664</v>
          </cell>
        </row>
      </sheetData>
      <sheetData sheetId="102"/>
      <sheetData sheetId="103"/>
      <sheetData sheetId="104"/>
      <sheetData sheetId="105">
        <row r="15">
          <cell r="B15">
            <v>303832633</v>
          </cell>
        </row>
      </sheetData>
      <sheetData sheetId="106"/>
      <sheetData sheetId="107"/>
      <sheetData sheetId="108"/>
      <sheetData sheetId="109">
        <row r="15">
          <cell r="B15">
            <v>44575895</v>
          </cell>
        </row>
      </sheetData>
      <sheetData sheetId="110"/>
      <sheetData sheetId="111"/>
      <sheetData sheetId="112"/>
      <sheetData sheetId="113">
        <row r="15">
          <cell r="B15">
            <v>51113160</v>
          </cell>
        </row>
      </sheetData>
      <sheetData sheetId="114"/>
      <sheetData sheetId="115"/>
      <sheetData sheetId="116"/>
      <sheetData sheetId="117">
        <row r="15">
          <cell r="B15">
            <v>24741884</v>
          </cell>
        </row>
      </sheetData>
      <sheetData sheetId="118"/>
      <sheetData sheetId="119"/>
      <sheetData sheetId="120"/>
      <sheetData sheetId="121">
        <row r="15">
          <cell r="B15">
            <v>83910900</v>
          </cell>
        </row>
      </sheetData>
      <sheetData sheetId="122"/>
      <sheetData sheetId="123"/>
      <sheetData sheetId="124"/>
      <sheetData sheetId="125">
        <row r="15">
          <cell r="B15">
            <v>107919525</v>
          </cell>
        </row>
      </sheetData>
      <sheetData sheetId="126"/>
      <sheetData sheetId="127"/>
      <sheetData sheetId="128"/>
      <sheetData sheetId="129">
        <row r="15">
          <cell r="B15">
            <v>211197383</v>
          </cell>
        </row>
      </sheetData>
      <sheetData sheetId="130"/>
      <sheetData sheetId="131"/>
      <sheetData sheetId="132"/>
      <sheetData sheetId="133">
        <row r="15">
          <cell r="B15">
            <v>24638865</v>
          </cell>
        </row>
      </sheetData>
      <sheetData sheetId="134"/>
      <sheetData sheetId="135"/>
      <sheetData sheetId="136"/>
      <sheetData sheetId="137">
        <row r="15">
          <cell r="B15">
            <v>269840987</v>
          </cell>
        </row>
      </sheetData>
      <sheetData sheetId="138"/>
      <sheetData sheetId="139"/>
      <sheetData sheetId="140"/>
      <sheetData sheetId="141">
        <row r="15">
          <cell r="B15">
            <v>46326520</v>
          </cell>
        </row>
      </sheetData>
      <sheetData sheetId="142"/>
      <sheetData sheetId="143"/>
      <sheetData sheetId="144"/>
      <sheetData sheetId="145">
        <row r="15">
          <cell r="B15">
            <v>198374074</v>
          </cell>
        </row>
      </sheetData>
      <sheetData sheetId="146"/>
      <sheetData sheetId="147"/>
      <sheetData sheetId="148"/>
      <sheetData sheetId="149">
        <row r="15">
          <cell r="B15">
            <v>30094764</v>
          </cell>
        </row>
      </sheetData>
      <sheetData sheetId="150"/>
      <sheetData sheetId="151"/>
      <sheetData sheetId="152"/>
      <sheetData sheetId="153">
        <row r="15">
          <cell r="B15">
            <v>37071657</v>
          </cell>
        </row>
      </sheetData>
      <sheetData sheetId="154"/>
      <sheetData sheetId="155"/>
      <sheetData sheetId="156"/>
      <sheetData sheetId="157">
        <row r="15">
          <cell r="B15">
            <v>75615738</v>
          </cell>
        </row>
      </sheetData>
      <sheetData sheetId="158"/>
      <sheetData sheetId="159"/>
      <sheetData sheetId="160"/>
      <sheetData sheetId="161">
        <row r="15">
          <cell r="B15">
            <v>88349259</v>
          </cell>
        </row>
      </sheetData>
      <sheetData sheetId="162"/>
      <sheetData sheetId="163"/>
      <sheetData sheetId="164"/>
      <sheetData sheetId="165">
        <row r="15">
          <cell r="B15">
            <v>92495779</v>
          </cell>
        </row>
      </sheetData>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ademic Space Model Smmy"/>
      <sheetName val="Acad Space Model"/>
      <sheetName val="CS &amp; SP Smmy"/>
      <sheetName val="Acad CTG Costs"/>
      <sheetName val="ICUT Survey"/>
      <sheetName val="Almanac"/>
      <sheetName val="Academic Accountability Smmy"/>
      <sheetName val="Smmy Acad SbS"/>
      <sheetName val="Smmy Chrts"/>
      <sheetName val="Smmy Sum"/>
      <sheetName val="Smmy FGD"/>
      <sheetName val="Smmy Fnts"/>
      <sheetName val="ARL Chrts"/>
      <sheetName val="ARL Sum"/>
      <sheetName val="ARL FGD"/>
      <sheetName val="ARL Fnts"/>
      <sheetName val="AUS Chrts"/>
      <sheetName val="AUS Sum"/>
      <sheetName val="AUS FGD"/>
      <sheetName val="AUS Fnts"/>
      <sheetName val="DAL Chrts"/>
      <sheetName val="DAL Sum"/>
      <sheetName val="DAL FGD"/>
      <sheetName val="DAL Fnts"/>
      <sheetName val="E-P Chrts"/>
      <sheetName val="E-P Sum"/>
      <sheetName val="E-P FGD"/>
      <sheetName val="E-P Fnts"/>
      <sheetName val="P-A Chrts"/>
      <sheetName val="P-A Sum"/>
      <sheetName val="P-A FGD"/>
      <sheetName val="P-A Fnts"/>
      <sheetName val="BRW Chrts"/>
      <sheetName val="BRW Sum"/>
      <sheetName val="BRW FGD"/>
      <sheetName val="BRW Fnts"/>
      <sheetName val="P-B Chrts"/>
      <sheetName val="P-B Sum"/>
      <sheetName val="P-B FGD"/>
      <sheetName val="P-B Fnts"/>
      <sheetName val="S-A Chrts"/>
      <sheetName val="S-A Sum"/>
      <sheetName val="S-A FGD"/>
      <sheetName val="S-A Fnts"/>
      <sheetName val="TYL Chrts"/>
      <sheetName val="TYL Sum"/>
      <sheetName val="TYL FGD"/>
      <sheetName val="TYL Fnts"/>
      <sheetName val="TAMU Chrts"/>
      <sheetName val="TAMU Sum"/>
      <sheetName val="TAMU FGD"/>
      <sheetName val="TAMU Fnts"/>
      <sheetName val="TAMUG Chrts"/>
      <sheetName val="TAMUG Sum"/>
      <sheetName val="TAMUG FGD"/>
      <sheetName val="TAMUG Fnts"/>
      <sheetName val="PVAMU Chrts"/>
      <sheetName val="PVAMU Sum"/>
      <sheetName val="PVAMU FGD"/>
      <sheetName val="PVAMU Fnts"/>
      <sheetName val="TARLST Chrts"/>
      <sheetName val="TARLST Sum"/>
      <sheetName val="TARLST FGD"/>
      <sheetName val="TARLST Fnts"/>
      <sheetName val="TAMUCC Chrts"/>
      <sheetName val="TAMUCC Sum"/>
      <sheetName val="TAMUCC FGD"/>
      <sheetName val="TAMUCC Fnts"/>
      <sheetName val="TAMUK Chrts"/>
      <sheetName val="TAMUK Sum"/>
      <sheetName val="TAMUK FGD"/>
      <sheetName val="TAMUK Fnts"/>
      <sheetName val="TAMIU Chrts"/>
      <sheetName val="TAMIU Sum"/>
      <sheetName val="TAMIU FGD"/>
      <sheetName val="TAMIU Fnts"/>
      <sheetName val="WTAMU Chrts"/>
      <sheetName val="WTAMU Sum"/>
      <sheetName val="WTAMU FGD"/>
      <sheetName val="WTAMU Fnts"/>
      <sheetName val="TAMUC Chrts"/>
      <sheetName val="TAMUC Sum"/>
      <sheetName val="TAMUC FGD"/>
      <sheetName val="TAMUC Fnts"/>
      <sheetName val="TAMUT Chrts"/>
      <sheetName val="TAMUT Sum"/>
      <sheetName val="TAMUT FGD"/>
      <sheetName val="TAMUT Fnts"/>
      <sheetName val="TAMUCT Chrts"/>
      <sheetName val="TAMUCT Sum"/>
      <sheetName val="TAMUCT FGD"/>
      <sheetName val="TAMUCT Fnts"/>
      <sheetName val="TAMUSA Chrts"/>
      <sheetName val="TAMUSA Sum"/>
      <sheetName val="TAMUSA FGD"/>
      <sheetName val="TAMUSA Fnts"/>
      <sheetName val="UH Chrts"/>
      <sheetName val="UH Sum"/>
      <sheetName val="UH FGD"/>
      <sheetName val="UH Fnts"/>
      <sheetName val="UHCL Chrts"/>
      <sheetName val="UHCL Sum"/>
      <sheetName val="UHCL FGD"/>
      <sheetName val="UHCL Fnts"/>
      <sheetName val="UHD Chrts"/>
      <sheetName val="UHD Sum"/>
      <sheetName val="UHD FGD"/>
      <sheetName val="UHD Fnts"/>
      <sheetName val="UHV Chrts"/>
      <sheetName val="UHV Sum"/>
      <sheetName val="UHV FGD"/>
      <sheetName val="UHV Fnts"/>
      <sheetName val="LU Chrts"/>
      <sheetName val="LU Sum"/>
      <sheetName val="LU FGD"/>
      <sheetName val="LU Fnts"/>
      <sheetName val="shsu Chrts"/>
      <sheetName val="shsu Sum"/>
      <sheetName val="shsu FGD"/>
      <sheetName val="shsu Fnts"/>
      <sheetName val="TXST Chrts"/>
      <sheetName val="TXST Sum"/>
      <sheetName val="TXST FGD"/>
      <sheetName val="TXST Fnts"/>
      <sheetName val="SRSU Chrts"/>
      <sheetName val="SRSU Sum"/>
      <sheetName val="SRSU FGD"/>
      <sheetName val="SRSU Fnts"/>
      <sheetName val="TTU Chrts"/>
      <sheetName val="TTU Sum"/>
      <sheetName val="TTU FGD"/>
      <sheetName val="TTU Fnts"/>
      <sheetName val="ASU Chrts"/>
      <sheetName val="ASU Sum"/>
      <sheetName val="ASU FGD"/>
      <sheetName val="ASU Fnts"/>
      <sheetName val="UNT Chrts"/>
      <sheetName val="UNT Sum"/>
      <sheetName val="UNT FGD"/>
      <sheetName val="UNT Fnts"/>
      <sheetName val="UNTD Chrts"/>
      <sheetName val="UNTD Sum"/>
      <sheetName val="UNTD FGD"/>
      <sheetName val="UNTD Fnts"/>
      <sheetName val="MidWST Chrts"/>
      <sheetName val="MidWST Sum"/>
      <sheetName val="MidWST FGD"/>
      <sheetName val="MidWST Fnts"/>
      <sheetName val="SFA Chrts"/>
      <sheetName val="SFA Sum"/>
      <sheetName val="SFA FGD"/>
      <sheetName val="SFA Fnts"/>
      <sheetName val="TSU Chrts"/>
      <sheetName val="TSU Sum"/>
      <sheetName val="TSU FGD"/>
      <sheetName val="TSU Fnts"/>
      <sheetName val="TWU Chrts"/>
      <sheetName val="TWU Sum"/>
      <sheetName val="TWU FGD"/>
      <sheetName val="TWU Fnts"/>
      <sheetName val="Names"/>
      <sheetName val="Input"/>
      <sheetName val="FTS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row r="11">
          <cell r="B11" t="str">
            <v>The University of Texas System</v>
          </cell>
          <cell r="C11" t="str">
            <v>UTS</v>
          </cell>
          <cell r="D11" t="str">
            <v>S40 - S &amp; U - FY 2010 - UTS.xlsx</v>
          </cell>
        </row>
        <row r="12">
          <cell r="B12" t="str">
            <v>The University of Texas at Arlington</v>
          </cell>
          <cell r="C12" t="str">
            <v>ARL</v>
          </cell>
          <cell r="D12" t="str">
            <v>40 - S &amp; U - FY 2010 - ARL.xlsx</v>
          </cell>
          <cell r="F12">
            <v>3452814</v>
          </cell>
          <cell r="I12" t="str">
            <v>003656</v>
          </cell>
        </row>
        <row r="13">
          <cell r="B13" t="str">
            <v>The University of Texas at Austin</v>
          </cell>
          <cell r="C13" t="str">
            <v>AUS</v>
          </cell>
          <cell r="D13" t="str">
            <v>50 - S &amp; U - FY 2010 - AUS.xlsx</v>
          </cell>
          <cell r="E13">
            <v>27534452</v>
          </cell>
          <cell r="I13" t="str">
            <v>003658</v>
          </cell>
        </row>
        <row r="14">
          <cell r="B14" t="str">
            <v>The University of Texas at Dallas</v>
          </cell>
          <cell r="C14" t="str">
            <v>DAL</v>
          </cell>
          <cell r="D14" t="str">
            <v>60 - S &amp; U - FY 2010 - DAL.xlsx</v>
          </cell>
          <cell r="F14">
            <v>5627594</v>
          </cell>
          <cell r="I14" t="str">
            <v>009741</v>
          </cell>
        </row>
        <row r="15">
          <cell r="B15" t="str">
            <v>The University of Texas at El Paso</v>
          </cell>
          <cell r="C15" t="str">
            <v>E-P</v>
          </cell>
          <cell r="D15" t="str">
            <v>70 - S &amp; U - FY 2010 - E-P.xlsx</v>
          </cell>
          <cell r="F15">
            <v>4263330</v>
          </cell>
          <cell r="I15" t="str">
            <v>003661</v>
          </cell>
        </row>
        <row r="16">
          <cell r="B16" t="str">
            <v>The University of Texas - Pan American</v>
          </cell>
          <cell r="C16" t="str">
            <v>P-A</v>
          </cell>
          <cell r="D16" t="str">
            <v>80 - S &amp; U - FY 2010 - P-A.xlsx</v>
          </cell>
          <cell r="F16">
            <v>740210</v>
          </cell>
          <cell r="G16">
            <v>13176800</v>
          </cell>
          <cell r="I16" t="str">
            <v>003599</v>
          </cell>
        </row>
        <row r="17">
          <cell r="B17" t="str">
            <v>The University of Texas at Brownsville</v>
          </cell>
          <cell r="C17" t="str">
            <v>BRW</v>
          </cell>
          <cell r="D17" t="str">
            <v>90 - S &amp; U - FY 2010 - BRW.xlsx</v>
          </cell>
          <cell r="F17">
            <v>668711</v>
          </cell>
          <cell r="G17">
            <v>4284677</v>
          </cell>
          <cell r="I17" t="str">
            <v>030646</v>
          </cell>
        </row>
        <row r="18">
          <cell r="B18" t="str">
            <v>The University of Texas of the Permian Basin</v>
          </cell>
          <cell r="C18" t="str">
            <v>P-B</v>
          </cell>
          <cell r="D18" t="str">
            <v>100 - S &amp; U - FY 2010 - P-B.xlsx</v>
          </cell>
          <cell r="F18">
            <v>250623</v>
          </cell>
          <cell r="I18" t="str">
            <v>009930</v>
          </cell>
        </row>
        <row r="19">
          <cell r="B19" t="str">
            <v>The University of Texas at San Antonio</v>
          </cell>
          <cell r="C19" t="str">
            <v>S-A</v>
          </cell>
          <cell r="D19" t="str">
            <v>110 - S &amp; U - FY 2010 - S-A.xlsx</v>
          </cell>
          <cell r="F19">
            <v>3402524</v>
          </cell>
          <cell r="I19" t="str">
            <v>010115</v>
          </cell>
        </row>
        <row r="20">
          <cell r="B20" t="str">
            <v>The University of Texas at Tyler</v>
          </cell>
          <cell r="C20" t="str">
            <v>TYL</v>
          </cell>
          <cell r="D20" t="str">
            <v>120 - S &amp; U - FY 2010 - TYL.xlsx</v>
          </cell>
          <cell r="F20">
            <v>228118</v>
          </cell>
          <cell r="I20" t="str">
            <v>011163</v>
          </cell>
        </row>
        <row r="21">
          <cell r="B21" t="str">
            <v>Texas A&amp;M University System</v>
          </cell>
          <cell r="C21" t="str">
            <v>TAMUS</v>
          </cell>
          <cell r="D21" t="str">
            <v>S130 - S &amp; U - FY 2010 - TAMUS.xlsx</v>
          </cell>
        </row>
        <row r="22">
          <cell r="B22" t="str">
            <v>Texas A&amp;M University</v>
          </cell>
          <cell r="C22" t="str">
            <v>TAMU</v>
          </cell>
          <cell r="D22" t="str">
            <v>130 - S &amp; U - FY 2010 - TAMU.xlsx</v>
          </cell>
          <cell r="E22">
            <v>28068280</v>
          </cell>
          <cell r="I22" t="str">
            <v>003632</v>
          </cell>
        </row>
        <row r="23">
          <cell r="B23" t="str">
            <v>Texas A&amp;M University at Galveston</v>
          </cell>
          <cell r="C23" t="str">
            <v>TAMUG</v>
          </cell>
          <cell r="D23" t="str">
            <v>140 - S &amp; U - FY 2010 - TAMUG.xlsx</v>
          </cell>
          <cell r="F23">
            <v>407402</v>
          </cell>
          <cell r="I23" t="str">
            <v>010298</v>
          </cell>
        </row>
        <row r="24">
          <cell r="B24" t="str">
            <v>Prairie View A &amp; M University</v>
          </cell>
          <cell r="C24" t="str">
            <v>PVAMU</v>
          </cell>
          <cell r="D24" t="str">
            <v>150 - S &amp; U - FY 2010 - PVAMU.xlsx</v>
          </cell>
          <cell r="I24" t="str">
            <v>003630</v>
          </cell>
        </row>
        <row r="25">
          <cell r="B25" t="str">
            <v>Tarleton State University</v>
          </cell>
          <cell r="C25" t="str">
            <v>TARLST</v>
          </cell>
          <cell r="D25" t="str">
            <v>160 - S &amp; U - FY 2010 - TARL ST.xlsx</v>
          </cell>
          <cell r="F25">
            <v>1115775</v>
          </cell>
          <cell r="I25" t="str">
            <v>003631</v>
          </cell>
        </row>
        <row r="26">
          <cell r="B26" t="str">
            <v>Texas A&amp;M University - Corpus Christi</v>
          </cell>
          <cell r="C26" t="str">
            <v>TAMUCC</v>
          </cell>
          <cell r="D26" t="str">
            <v>170 - S &amp; U - FY 2010 - TAMUCC.xlsx</v>
          </cell>
          <cell r="F26">
            <v>1495540</v>
          </cell>
          <cell r="G26">
            <v>8471116</v>
          </cell>
          <cell r="I26" t="str">
            <v>011161</v>
          </cell>
        </row>
        <row r="27">
          <cell r="B27" t="str">
            <v>Texas A&amp;M University - Kingsville</v>
          </cell>
          <cell r="C27" t="str">
            <v>TAMUK</v>
          </cell>
          <cell r="D27" t="str">
            <v>180 - S &amp; U - FY 2010 - TAMUK.xlsx</v>
          </cell>
          <cell r="F27">
            <v>1267265</v>
          </cell>
          <cell r="G27">
            <v>5167540</v>
          </cell>
          <cell r="I27" t="str">
            <v>003639</v>
          </cell>
        </row>
        <row r="28">
          <cell r="B28" t="str">
            <v>Texas A&amp;M International University</v>
          </cell>
          <cell r="C28" t="str">
            <v>TAMIU</v>
          </cell>
          <cell r="D28" t="str">
            <v>190 - S &amp; U - FY 2010 - TAMIU.xlsx</v>
          </cell>
          <cell r="F28">
            <v>34904</v>
          </cell>
          <cell r="G28">
            <v>3202241</v>
          </cell>
          <cell r="I28" t="str">
            <v>009651</v>
          </cell>
        </row>
        <row r="29">
          <cell r="B29" t="str">
            <v>West Texas A&amp;M University</v>
          </cell>
          <cell r="C29" t="str">
            <v>WTAMU</v>
          </cell>
          <cell r="D29" t="str">
            <v>200 - S &amp; U - FY 2010 - WTAMU.xlsx</v>
          </cell>
          <cell r="F29">
            <v>527219</v>
          </cell>
          <cell r="G29">
            <v>4886159</v>
          </cell>
          <cell r="I29" t="str">
            <v>003665</v>
          </cell>
        </row>
        <row r="30">
          <cell r="B30" t="str">
            <v>Texas A&amp;M University - Commerce</v>
          </cell>
          <cell r="C30" t="str">
            <v>TAMUC</v>
          </cell>
          <cell r="D30" t="str">
            <v>210 - S &amp; U - FY 2010 - TAMUC.xlsx</v>
          </cell>
          <cell r="F30">
            <v>218046</v>
          </cell>
          <cell r="G30">
            <v>5684047</v>
          </cell>
          <cell r="I30" t="str">
            <v>003565</v>
          </cell>
        </row>
        <row r="31">
          <cell r="B31" t="str">
            <v>Texas A&amp;M University - Texarkana</v>
          </cell>
          <cell r="C31" t="str">
            <v>TAMUT</v>
          </cell>
          <cell r="D31" t="str">
            <v>220 - S &amp; U - FY 2010 - TAMUT.xlsx</v>
          </cell>
          <cell r="G31">
            <v>1684587</v>
          </cell>
          <cell r="I31" t="str">
            <v>029269</v>
          </cell>
        </row>
        <row r="32">
          <cell r="B32" t="str">
            <v>Texas A&amp;M University - Central Texas</v>
          </cell>
          <cell r="C32" t="str">
            <v>TAMUCT</v>
          </cell>
          <cell r="D32" t="str">
            <v>223 - S &amp; U - FY 2010 - TAMUCT.xlsx</v>
          </cell>
          <cell r="I32" t="str">
            <v>103631</v>
          </cell>
        </row>
        <row r="33">
          <cell r="B33" t="str">
            <v>Texas A&amp;M University - San Antonio</v>
          </cell>
          <cell r="C33" t="str">
            <v>TAMUSA</v>
          </cell>
          <cell r="D33" t="str">
            <v>226 - S &amp; U - FY 2010 - TAMUSA.xlsx</v>
          </cell>
          <cell r="I33" t="str">
            <v>103639</v>
          </cell>
        </row>
        <row r="34">
          <cell r="B34" t="str">
            <v>Texas AgriLife Research</v>
          </cell>
          <cell r="C34" t="str">
            <v>TAR</v>
          </cell>
          <cell r="D34" t="str">
            <v>600 - S &amp; U - FY 2010 - TAR.xlsx</v>
          </cell>
          <cell r="I34" t="str">
            <v>000556</v>
          </cell>
        </row>
        <row r="35">
          <cell r="B35" t="str">
            <v>Texas AgriLife Extension Service</v>
          </cell>
          <cell r="C35" t="str">
            <v>TAES</v>
          </cell>
          <cell r="D35" t="str">
            <v>605 - S &amp; U - FY 2010 - TAES.xlsx</v>
          </cell>
          <cell r="I35" t="str">
            <v>000555</v>
          </cell>
        </row>
        <row r="36">
          <cell r="B36" t="str">
            <v>Texas Engineering Experiment Station</v>
          </cell>
          <cell r="C36" t="str">
            <v>TEES1</v>
          </cell>
          <cell r="D36" t="str">
            <v>610 - S &amp; U - FY 2010 - TEES1.xlsx</v>
          </cell>
          <cell r="I36" t="str">
            <v>000712</v>
          </cell>
        </row>
        <row r="37">
          <cell r="B37" t="str">
            <v>Texas Engineering Extension Service</v>
          </cell>
          <cell r="C37" t="str">
            <v>TEES2</v>
          </cell>
          <cell r="D37" t="str">
            <v>615 - S &amp; U - FY 2010 - TEES2.xlsx</v>
          </cell>
          <cell r="I37" t="str">
            <v>000716</v>
          </cell>
        </row>
        <row r="38">
          <cell r="B38" t="str">
            <v>Texas Forest Service</v>
          </cell>
          <cell r="C38" t="str">
            <v>TFS</v>
          </cell>
          <cell r="D38" t="str">
            <v>620 - S &amp; U - FY 2010 - TFS.xlsx</v>
          </cell>
          <cell r="I38" t="str">
            <v>000576</v>
          </cell>
        </row>
        <row r="39">
          <cell r="B39" t="str">
            <v>Texas Transportation Institute</v>
          </cell>
          <cell r="C39" t="str">
            <v>TTI</v>
          </cell>
          <cell r="D39" t="str">
            <v>625 - S &amp; U - FY 2010 - TTI.xlsx</v>
          </cell>
          <cell r="I39" t="str">
            <v>000727</v>
          </cell>
        </row>
        <row r="40">
          <cell r="B40" t="str">
            <v>Texas Vet. Medical Diagnostic Laboratory</v>
          </cell>
          <cell r="C40" t="str">
            <v>TVMDL</v>
          </cell>
          <cell r="D40" t="str">
            <v>630 - S &amp; U - FY 2010 - TVMDL.xlsx</v>
          </cell>
          <cell r="I40" t="str">
            <v>000557</v>
          </cell>
        </row>
        <row r="41">
          <cell r="B41" t="str">
            <v>Texas A&amp;M Research Foundation</v>
          </cell>
          <cell r="C41" t="str">
            <v>TAMRF</v>
          </cell>
          <cell r="D41" t="str">
            <v>635 - S &amp; U - FY 2010 - TAMRF.xlsx</v>
          </cell>
          <cell r="I41" t="str">
            <v>000518</v>
          </cell>
        </row>
        <row r="42">
          <cell r="B42" t="str">
            <v>University of Houston System</v>
          </cell>
          <cell r="C42" t="str">
            <v>UTS</v>
          </cell>
          <cell r="D42" t="str">
            <v>S230 - S &amp; U - FY 2010 - UHS.xlsx</v>
          </cell>
        </row>
        <row r="43">
          <cell r="B43" t="str">
            <v>University of Houston</v>
          </cell>
          <cell r="C43" t="str">
            <v>UH</v>
          </cell>
          <cell r="D43" t="str">
            <v>230 - S &amp; U - FY 2010 - UH.xlsx</v>
          </cell>
          <cell r="E43">
            <v>4535210</v>
          </cell>
          <cell r="F43">
            <v>6380651</v>
          </cell>
          <cell r="G43">
            <v>36091538</v>
          </cell>
          <cell r="I43" t="str">
            <v>003652</v>
          </cell>
        </row>
        <row r="44">
          <cell r="B44" t="str">
            <v>University of Houston - Clear Lake</v>
          </cell>
          <cell r="C44" t="str">
            <v>UHCL</v>
          </cell>
          <cell r="D44" t="str">
            <v>240 - S &amp; U - FY 2010 - UHCL.xlsx</v>
          </cell>
          <cell r="F44">
            <v>74975</v>
          </cell>
          <cell r="G44">
            <v>5355874</v>
          </cell>
          <cell r="I44" t="str">
            <v>011711</v>
          </cell>
        </row>
        <row r="45">
          <cell r="B45" t="str">
            <v>University of Houston - Downtown</v>
          </cell>
          <cell r="C45" t="str">
            <v>UHD</v>
          </cell>
          <cell r="D45" t="str">
            <v>250 - S &amp; U - FY 2010 - UHD.xlsx</v>
          </cell>
          <cell r="F45">
            <v>56984</v>
          </cell>
          <cell r="G45">
            <v>9548995</v>
          </cell>
          <cell r="I45" t="str">
            <v>012826</v>
          </cell>
        </row>
        <row r="46">
          <cell r="B46" t="str">
            <v>University of Houston - Victoria</v>
          </cell>
          <cell r="C46" t="str">
            <v>UHV</v>
          </cell>
          <cell r="D46" t="str">
            <v>260 - S &amp; U - FY 2010 - UHV.xlsx</v>
          </cell>
          <cell r="G46">
            <v>2335692</v>
          </cell>
          <cell r="I46" t="str">
            <v>013231</v>
          </cell>
        </row>
        <row r="47">
          <cell r="B47" t="str">
            <v>Texas State System</v>
          </cell>
          <cell r="C47" t="str">
            <v>TXSTS</v>
          </cell>
          <cell r="D47" t="str">
            <v>S270 - S &amp; U - FY 2010 - TXSTS.xlsx</v>
          </cell>
        </row>
        <row r="48">
          <cell r="B48" t="str">
            <v xml:space="preserve">Lamar University </v>
          </cell>
          <cell r="C48" t="str">
            <v>LU</v>
          </cell>
          <cell r="D48" t="str">
            <v>270 - S &amp; U - FY 2010 - LU.xlsx</v>
          </cell>
          <cell r="F48">
            <v>437890</v>
          </cell>
          <cell r="G48">
            <v>8028333</v>
          </cell>
          <cell r="I48" t="str">
            <v>003581</v>
          </cell>
        </row>
        <row r="49">
          <cell r="B49" t="str">
            <v>Sam Houston State University</v>
          </cell>
          <cell r="C49" t="str">
            <v>SHSU</v>
          </cell>
          <cell r="D49" t="str">
            <v>280 - S &amp; U - FY 2010 - SHSU.xlsx</v>
          </cell>
          <cell r="F49">
            <v>381074</v>
          </cell>
          <cell r="G49">
            <v>10184001</v>
          </cell>
          <cell r="I49" t="str">
            <v>003606</v>
          </cell>
        </row>
        <row r="50">
          <cell r="B50" t="str">
            <v>Texas State University - San Marcos</v>
          </cell>
          <cell r="C50" t="str">
            <v>TXST</v>
          </cell>
          <cell r="D50" t="str">
            <v>290 - S &amp; U - FY 2010 - TXST.xlsx</v>
          </cell>
          <cell r="F50">
            <v>1352702</v>
          </cell>
          <cell r="G50">
            <v>20258248</v>
          </cell>
          <cell r="I50" t="str">
            <v>003615</v>
          </cell>
        </row>
        <row r="51">
          <cell r="B51" t="str">
            <v>Sul Ross State University</v>
          </cell>
          <cell r="C51" t="str">
            <v>SRSU</v>
          </cell>
          <cell r="D51" t="str">
            <v>300 - S &amp; U - FY 2010 - SRSU.xlsx</v>
          </cell>
          <cell r="F51">
            <v>290581</v>
          </cell>
          <cell r="G51">
            <v>2479099</v>
          </cell>
          <cell r="I51" t="str">
            <v>003625</v>
          </cell>
        </row>
        <row r="52">
          <cell r="B52" t="str">
            <v>Texas Tech University System</v>
          </cell>
          <cell r="C52" t="str">
            <v>TTUS</v>
          </cell>
          <cell r="D52" t="str">
            <v>S310 - S &amp; U - FY 2010 - TTUS.xlsx</v>
          </cell>
        </row>
        <row r="53">
          <cell r="B53" t="str">
            <v>Texas Tech University</v>
          </cell>
          <cell r="C53" t="str">
            <v>TTU</v>
          </cell>
          <cell r="D53" t="str">
            <v>310 - S &amp; U - FY 2010 - TTU.xlsx</v>
          </cell>
          <cell r="E53">
            <v>2965865</v>
          </cell>
          <cell r="F53">
            <v>4868296</v>
          </cell>
          <cell r="G53">
            <v>27446656</v>
          </cell>
          <cell r="I53" t="str">
            <v>003644</v>
          </cell>
        </row>
        <row r="54">
          <cell r="B54" t="str">
            <v>Angelo State University</v>
          </cell>
          <cell r="C54" t="str">
            <v>ASU</v>
          </cell>
          <cell r="D54" t="str">
            <v>320 - S &amp; U - FY 2010 - ASU.xlsx</v>
          </cell>
          <cell r="F54">
            <v>41632</v>
          </cell>
          <cell r="G54">
            <v>3667497</v>
          </cell>
          <cell r="I54" t="str">
            <v>003541</v>
          </cell>
        </row>
        <row r="55">
          <cell r="B55" t="str">
            <v>University of North Texas System</v>
          </cell>
          <cell r="C55" t="str">
            <v>UNTS</v>
          </cell>
          <cell r="D55" t="str">
            <v>S330 - S &amp; U - FY 2010 - UNTS.xlsx</v>
          </cell>
        </row>
        <row r="56">
          <cell r="B56" t="str">
            <v>University of North Texas</v>
          </cell>
          <cell r="C56" t="str">
            <v>UNT</v>
          </cell>
          <cell r="D56" t="str">
            <v>330 - S &amp; U - FY 2010 - UNT.xlsx</v>
          </cell>
          <cell r="F56">
            <v>1602313</v>
          </cell>
          <cell r="G56">
            <v>27122687</v>
          </cell>
          <cell r="I56" t="str">
            <v>003594</v>
          </cell>
        </row>
        <row r="57">
          <cell r="B57" t="str">
            <v>University of North Texas at Dallas</v>
          </cell>
          <cell r="C57" t="str">
            <v>UNTD</v>
          </cell>
          <cell r="D57" t="str">
            <v>333 - S &amp; U - FY 2010 - UNTD.xlsx</v>
          </cell>
          <cell r="I57" t="str">
            <v>113594</v>
          </cell>
        </row>
        <row r="58">
          <cell r="B58" t="str">
            <v>Midwestern State University</v>
          </cell>
          <cell r="C58" t="str">
            <v>MidWST</v>
          </cell>
          <cell r="D58" t="str">
            <v>340 - S &amp; U - FY 2010 - MidWST.xlsx</v>
          </cell>
          <cell r="F58">
            <v>8286</v>
          </cell>
          <cell r="G58">
            <v>3810377</v>
          </cell>
          <cell r="I58" t="str">
            <v>003592</v>
          </cell>
        </row>
        <row r="59">
          <cell r="B59" t="str">
            <v>Stephen F. Austin State University</v>
          </cell>
          <cell r="C59" t="str">
            <v>SFA</v>
          </cell>
          <cell r="D59" t="str">
            <v>350 - S &amp; U - FY 2010 - SFA.xlsx</v>
          </cell>
          <cell r="F59">
            <v>634501</v>
          </cell>
          <cell r="G59">
            <v>6907643</v>
          </cell>
          <cell r="I59" t="str">
            <v>003624</v>
          </cell>
        </row>
        <row r="60">
          <cell r="B60" t="str">
            <v>Texas Southern University</v>
          </cell>
          <cell r="C60" t="str">
            <v>TSU</v>
          </cell>
          <cell r="D60" t="str">
            <v>360 - S &amp; U - FY 2010 - TSU.xlsx</v>
          </cell>
          <cell r="F60">
            <v>430341</v>
          </cell>
          <cell r="G60">
            <v>11283387</v>
          </cell>
          <cell r="I60" t="str">
            <v>003642</v>
          </cell>
        </row>
        <row r="61">
          <cell r="B61" t="str">
            <v>Texas Woman's University</v>
          </cell>
          <cell r="C61" t="str">
            <v>TWU</v>
          </cell>
          <cell r="D61" t="str">
            <v>370 - S &amp; U - FY 2010 - TWU.xlsx</v>
          </cell>
          <cell r="F61">
            <v>171113</v>
          </cell>
          <cell r="G61">
            <v>8615167</v>
          </cell>
          <cell r="I61" t="str">
            <v>003646</v>
          </cell>
        </row>
        <row r="62">
          <cell r="B62" t="str">
            <v>Lamar Institute of Technology</v>
          </cell>
          <cell r="C62" t="str">
            <v>LIT</v>
          </cell>
          <cell r="D62" t="str">
            <v>490 - S &amp; U - FY 2010 - LIT.xlsx</v>
          </cell>
          <cell r="G62">
            <v>1825332</v>
          </cell>
          <cell r="I62" t="str">
            <v>036273</v>
          </cell>
        </row>
        <row r="63">
          <cell r="B63" t="str">
            <v>Lamar State College - Orange</v>
          </cell>
          <cell r="C63" t="str">
            <v>LSCO</v>
          </cell>
          <cell r="D63" t="str">
            <v>500 - S &amp; U - FY 2010 - LSCO.xlsx</v>
          </cell>
          <cell r="G63">
            <v>1140745</v>
          </cell>
          <cell r="I63" t="str">
            <v>023582</v>
          </cell>
        </row>
        <row r="64">
          <cell r="B64" t="str">
            <v>Lamar State College - Port Arthur</v>
          </cell>
          <cell r="C64" t="str">
            <v>LSCPA</v>
          </cell>
          <cell r="D64" t="str">
            <v>510 - S &amp; U - FY 2010 - LSCPA.xlsx</v>
          </cell>
          <cell r="G64">
            <v>1217124</v>
          </cell>
          <cell r="I64" t="str">
            <v>023485</v>
          </cell>
        </row>
        <row r="65">
          <cell r="B65" t="str">
            <v>Texas State Technical College - Harlingen</v>
          </cell>
          <cell r="C65" t="str">
            <v>TSTCH</v>
          </cell>
          <cell r="D65" t="str">
            <v>520 - S &amp; U - FY 2010 - TSTCH.xlsx</v>
          </cell>
          <cell r="G65">
            <v>5775000</v>
          </cell>
          <cell r="I65" t="str">
            <v>009225</v>
          </cell>
        </row>
        <row r="66">
          <cell r="B66" t="str">
            <v>Texas State Technical College – West Texas</v>
          </cell>
          <cell r="C66" t="str">
            <v>TSTCWTX</v>
          </cell>
          <cell r="D66" t="str">
            <v>530 - S &amp; U - FY 2010 - TSTCWT.xlsx</v>
          </cell>
          <cell r="I66" t="str">
            <v>009932</v>
          </cell>
        </row>
        <row r="67">
          <cell r="B67" t="str">
            <v>Texas State Technical College - Marshall</v>
          </cell>
          <cell r="C67" t="str">
            <v>TSTCM</v>
          </cell>
          <cell r="D67" t="str">
            <v>540 - S &amp; U - FY 2010 - TSTCM.xlsx</v>
          </cell>
          <cell r="I67" t="str">
            <v>033965</v>
          </cell>
        </row>
        <row r="68">
          <cell r="B68" t="str">
            <v>Texas State Technical College - Waco</v>
          </cell>
          <cell r="C68" t="str">
            <v>TSTCW</v>
          </cell>
          <cell r="D68" t="str">
            <v>550 - S &amp; U - FY 2010 - TSTCW.xlsx</v>
          </cell>
          <cell r="I68" t="str">
            <v>003634</v>
          </cell>
        </row>
      </sheetData>
      <sheetData sheetId="161"/>
      <sheetData sheetId="16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ademic Space Model Smmy"/>
      <sheetName val="Index"/>
      <sheetName val="SREB Input"/>
      <sheetName val="Acad Space Model"/>
      <sheetName val="Acad Cost Study"/>
      <sheetName val="CS &amp; SP Smmy"/>
      <sheetName val="Acad CTG Costs"/>
      <sheetName val="ICUT Survey"/>
      <sheetName val="IFRS Smmy"/>
      <sheetName val="Almanac 1"/>
      <sheetName val="Almanac 2"/>
      <sheetName val="TRB Evaul U"/>
      <sheetName val="Univ_IE_Context"/>
      <sheetName val="Univ_IE_Keys"/>
      <sheetName val="Academic Accountability Smmy"/>
      <sheetName val="Smmy Acad SbS"/>
      <sheetName val="Smmy Chrts"/>
      <sheetName val="Smmy Sum"/>
      <sheetName val="Smmy FGD"/>
      <sheetName val="Smmy Fnts"/>
      <sheetName val="ARL Chrts"/>
      <sheetName val="ARL Sum"/>
      <sheetName val="ARL FGD"/>
      <sheetName val="ARL Fnts"/>
      <sheetName val="AUS Chrts"/>
      <sheetName val="AUS Sum"/>
      <sheetName val="AUS FGD"/>
      <sheetName val="AUS Fnts"/>
      <sheetName val="DAL Chrts"/>
      <sheetName val="DAL Sum"/>
      <sheetName val="DAL FGD"/>
      <sheetName val="DAL Fnts"/>
      <sheetName val="E-P Chrts"/>
      <sheetName val="E-P Sum"/>
      <sheetName val="E-P FGD"/>
      <sheetName val="E-P Fnts"/>
      <sheetName val="P-A Chrts"/>
      <sheetName val="P-A Sum"/>
      <sheetName val="P-A FGD"/>
      <sheetName val="P-A Fnts"/>
      <sheetName val="BRW Chrts"/>
      <sheetName val="BRW Sum"/>
      <sheetName val="BRW FGD"/>
      <sheetName val="BRW Fnts"/>
      <sheetName val="P-B Chrts"/>
      <sheetName val="P-B Sum"/>
      <sheetName val="P-B FGD"/>
      <sheetName val="P-B Fnts"/>
      <sheetName val="S-A Chrts"/>
      <sheetName val="S-A Sum"/>
      <sheetName val="S-A FGD"/>
      <sheetName val="S-A Fnts"/>
      <sheetName val="TYL Chrts"/>
      <sheetName val="TYL Sum"/>
      <sheetName val="TYL FGD"/>
      <sheetName val="TYL Fnts"/>
      <sheetName val="TAMU Chrts"/>
      <sheetName val="TAMU Sum"/>
      <sheetName val="TAMU FGD"/>
      <sheetName val="TAMU Fnts"/>
      <sheetName val="TAMUG Chrts"/>
      <sheetName val="TAMUG Sum"/>
      <sheetName val="TAMUG FGD"/>
      <sheetName val="TAMUG Fnts"/>
      <sheetName val="PVAMU Chrts"/>
      <sheetName val="PVAMU Sum"/>
      <sheetName val="PVAMU FGD"/>
      <sheetName val="PVAMU Fnts"/>
      <sheetName val="TARLST Chrts"/>
      <sheetName val="TARLST Sum"/>
      <sheetName val="TARLST FGD"/>
      <sheetName val="TARLST Fnts"/>
      <sheetName val="TAMUCC Chrts"/>
      <sheetName val="TAMUCC Sum"/>
      <sheetName val="TAMUCC FGD"/>
      <sheetName val="TAMUCC Fnts"/>
      <sheetName val="TAMUK Chrts"/>
      <sheetName val="TAMUK Sum"/>
      <sheetName val="TAMUK FGD"/>
      <sheetName val="TAMUK Fnts"/>
      <sheetName val="TAMIU Chrts"/>
      <sheetName val="TAMIU Sum"/>
      <sheetName val="TAMIU FGD"/>
      <sheetName val="TAMIU Fnts"/>
      <sheetName val="WTAMU Chrts"/>
      <sheetName val="WTAMU Sum"/>
      <sheetName val="WTAMU FGD"/>
      <sheetName val="WTAMU Fnts"/>
      <sheetName val="TAMUC Chrts"/>
      <sheetName val="TAMUC Sum"/>
      <sheetName val="TAMUC FGD"/>
      <sheetName val="TAMUC Fnts"/>
      <sheetName val="TAMUT Chrts"/>
      <sheetName val="TAMUT Sum"/>
      <sheetName val="TAMUT FGD"/>
      <sheetName val="TAMUT Fnts"/>
      <sheetName val="TAMUCT Chrts"/>
      <sheetName val="TAMUCT Sum"/>
      <sheetName val="TAMUCT FGD"/>
      <sheetName val="TAMUCT Fnts"/>
      <sheetName val="TAMUSA Chrts"/>
      <sheetName val="TAMUSA Sum"/>
      <sheetName val="TAMUSA FGD"/>
      <sheetName val="TAMUSA Fnts"/>
      <sheetName val="UH Chrts"/>
      <sheetName val="UH Sum"/>
      <sheetName val="UH FGD"/>
      <sheetName val="UH Fnts"/>
      <sheetName val="UHCL Chrts"/>
      <sheetName val="UHCL Sum"/>
      <sheetName val="UHCL FGD"/>
      <sheetName val="UHCL Fnts"/>
      <sheetName val="UHD Chrts"/>
      <sheetName val="UHD Sum"/>
      <sheetName val="UHD FGD"/>
      <sheetName val="UHD Fnts"/>
      <sheetName val="UHV Chrts"/>
      <sheetName val="UHV Sum"/>
      <sheetName val="UHV FGD"/>
      <sheetName val="UHV Fnts"/>
      <sheetName val="LU Chrts"/>
      <sheetName val="LU Sum"/>
      <sheetName val="LU FGD"/>
      <sheetName val="LU Fnts"/>
      <sheetName val="shsu Chrts"/>
      <sheetName val="shsu Sum"/>
      <sheetName val="shsu FGD"/>
      <sheetName val="shsu Fnts"/>
      <sheetName val="TXST Chrts"/>
      <sheetName val="TXST Sum"/>
      <sheetName val="TXST FGD"/>
      <sheetName val="TXST Fnts"/>
      <sheetName val="SRSU Chrts"/>
      <sheetName val="SRSU Sum"/>
      <sheetName val="SRSU FGD"/>
      <sheetName val="SRSU Fnts"/>
      <sheetName val="TTU Chrts"/>
      <sheetName val="TTU Sum"/>
      <sheetName val="TTU FGD"/>
      <sheetName val="TTU Fnts"/>
      <sheetName val="ASU Chrts"/>
      <sheetName val="ASU Sum"/>
      <sheetName val="ASU FGD"/>
      <sheetName val="ASU Fnts"/>
      <sheetName val="UNT Chrts"/>
      <sheetName val="UNT Sum"/>
      <sheetName val="UNT FGD"/>
      <sheetName val="UNT Fnts"/>
      <sheetName val="UNTD Chrts"/>
      <sheetName val="UNTD Sum"/>
      <sheetName val="UNTD FGD"/>
      <sheetName val="UNTD Fnts"/>
      <sheetName val="MidWST Chrts"/>
      <sheetName val="MidWST Sum"/>
      <sheetName val="MidWST FGD"/>
      <sheetName val="MidWST Fnts"/>
      <sheetName val="SFA Chrts"/>
      <sheetName val="SFA Sum"/>
      <sheetName val="SFA FGD"/>
      <sheetName val="SFA Fnts"/>
      <sheetName val="TSU Chrts"/>
      <sheetName val="TSU Sum"/>
      <sheetName val="TSU FGD"/>
      <sheetName val="TSU Fnts"/>
      <sheetName val="TWU Chrts"/>
      <sheetName val="TWU Sum"/>
      <sheetName val="TWU FGD"/>
      <sheetName val="TWU Fnts"/>
      <sheetName val="Names"/>
      <sheetName val="Input"/>
      <sheetName val="FT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ow r="11">
          <cell r="B11" t="str">
            <v>The University of Texas System</v>
          </cell>
        </row>
      </sheetData>
      <sheetData sheetId="169" refreshError="1"/>
      <sheetData sheetId="170">
        <row r="8">
          <cell r="C8" t="str">
            <v>The University of Texas at Arlington</v>
          </cell>
          <cell r="D8">
            <v>335937</v>
          </cell>
          <cell r="E8">
            <v>292557</v>
          </cell>
          <cell r="F8">
            <v>628494</v>
          </cell>
          <cell r="G8">
            <v>121578</v>
          </cell>
          <cell r="H8">
            <v>15118</v>
          </cell>
          <cell r="I8">
            <v>0</v>
          </cell>
          <cell r="J8">
            <v>0</v>
          </cell>
          <cell r="K8">
            <v>765190</v>
          </cell>
          <cell r="L8">
            <v>26855.43888888889</v>
          </cell>
          <cell r="N8">
            <v>26855.439999999999</v>
          </cell>
          <cell r="P8">
            <v>2348.04</v>
          </cell>
        </row>
        <row r="9">
          <cell r="C9" t="str">
            <v>The University of Texas at Austin</v>
          </cell>
          <cell r="D9">
            <v>618753</v>
          </cell>
          <cell r="E9">
            <v>430761</v>
          </cell>
          <cell r="F9">
            <v>1049514</v>
          </cell>
          <cell r="G9">
            <v>124093</v>
          </cell>
          <cell r="H9">
            <v>90074</v>
          </cell>
          <cell r="I9">
            <v>51701</v>
          </cell>
          <cell r="J9">
            <v>0</v>
          </cell>
          <cell r="K9">
            <v>1315382</v>
          </cell>
          <cell r="L9">
            <v>47312.661111111112</v>
          </cell>
          <cell r="N9">
            <v>47312.66</v>
          </cell>
          <cell r="P9">
            <v>5190.45</v>
          </cell>
        </row>
        <row r="10">
          <cell r="C10" t="str">
            <v>The University of Texas at Dallas</v>
          </cell>
          <cell r="D10">
            <v>142085</v>
          </cell>
          <cell r="E10">
            <v>167370</v>
          </cell>
          <cell r="F10">
            <v>309455</v>
          </cell>
          <cell r="G10">
            <v>104277</v>
          </cell>
          <cell r="H10">
            <v>20484</v>
          </cell>
          <cell r="I10">
            <v>1027</v>
          </cell>
          <cell r="J10">
            <v>0</v>
          </cell>
          <cell r="K10">
            <v>435243</v>
          </cell>
          <cell r="L10">
            <v>15840.833333333332</v>
          </cell>
          <cell r="N10">
            <v>15840.83</v>
          </cell>
          <cell r="P10">
            <v>1430.06</v>
          </cell>
        </row>
        <row r="11">
          <cell r="C11" t="str">
            <v>The University of Texas at El Paso</v>
          </cell>
          <cell r="D11">
            <v>269975</v>
          </cell>
          <cell r="E11">
            <v>187140</v>
          </cell>
          <cell r="F11">
            <v>457115</v>
          </cell>
          <cell r="G11">
            <v>50999</v>
          </cell>
          <cell r="H11">
            <v>7637</v>
          </cell>
          <cell r="I11">
            <v>1814</v>
          </cell>
          <cell r="J11">
            <v>0</v>
          </cell>
          <cell r="K11">
            <v>517565</v>
          </cell>
          <cell r="L11">
            <v>17861.986111111109</v>
          </cell>
          <cell r="N11">
            <v>17861.990000000002</v>
          </cell>
          <cell r="P11">
            <v>1567.52</v>
          </cell>
        </row>
        <row r="12">
          <cell r="C12" t="str">
            <v>The University of Texas - Pan American</v>
          </cell>
          <cell r="D12">
            <v>255801</v>
          </cell>
          <cell r="E12">
            <v>170825</v>
          </cell>
          <cell r="F12">
            <v>426626</v>
          </cell>
          <cell r="G12">
            <v>40577</v>
          </cell>
          <cell r="H12">
            <v>1911</v>
          </cell>
          <cell r="I12">
            <v>0</v>
          </cell>
          <cell r="J12">
            <v>0</v>
          </cell>
          <cell r="K12">
            <v>469114</v>
          </cell>
          <cell r="L12">
            <v>16017.741666666667</v>
          </cell>
          <cell r="N12">
            <v>16017.74</v>
          </cell>
          <cell r="P12">
            <v>1082.44</v>
          </cell>
        </row>
        <row r="13">
          <cell r="C13" t="str">
            <v>The University of Texas at Brownsville</v>
          </cell>
          <cell r="D13">
            <v>50796</v>
          </cell>
          <cell r="E13">
            <v>51252</v>
          </cell>
          <cell r="F13">
            <v>102048</v>
          </cell>
          <cell r="G13">
            <v>13906</v>
          </cell>
          <cell r="H13">
            <v>618</v>
          </cell>
          <cell r="I13">
            <v>0</v>
          </cell>
          <cell r="J13">
            <v>0</v>
          </cell>
          <cell r="K13">
            <v>116572</v>
          </cell>
          <cell r="L13">
            <v>4015.35</v>
          </cell>
          <cell r="N13">
            <v>4015.35</v>
          </cell>
          <cell r="P13">
            <v>671.34</v>
          </cell>
        </row>
        <row r="14">
          <cell r="C14" t="str">
            <v>The University of Texas of the Permian Basin</v>
          </cell>
          <cell r="D14">
            <v>39450</v>
          </cell>
          <cell r="E14">
            <v>34798</v>
          </cell>
          <cell r="F14">
            <v>74248</v>
          </cell>
          <cell r="G14">
            <v>8332</v>
          </cell>
          <cell r="H14">
            <v>0</v>
          </cell>
          <cell r="I14">
            <v>0</v>
          </cell>
          <cell r="J14">
            <v>0</v>
          </cell>
          <cell r="K14">
            <v>82580</v>
          </cell>
          <cell r="L14">
            <v>2822.1</v>
          </cell>
          <cell r="N14">
            <v>2822.1</v>
          </cell>
          <cell r="P14">
            <v>262.73</v>
          </cell>
        </row>
        <row r="15">
          <cell r="C15" t="str">
            <v>The University of Texas at San Antonio</v>
          </cell>
          <cell r="D15">
            <v>422315</v>
          </cell>
          <cell r="E15">
            <v>231373</v>
          </cell>
          <cell r="F15">
            <v>653688</v>
          </cell>
          <cell r="G15">
            <v>61352</v>
          </cell>
          <cell r="H15">
            <v>11091</v>
          </cell>
          <cell r="I15">
            <v>0</v>
          </cell>
          <cell r="J15">
            <v>0</v>
          </cell>
          <cell r="K15">
            <v>726131</v>
          </cell>
          <cell r="L15">
            <v>24962.1</v>
          </cell>
          <cell r="N15">
            <v>24962.1</v>
          </cell>
          <cell r="P15">
            <v>2094.8000000000002</v>
          </cell>
        </row>
        <row r="16">
          <cell r="C16" t="str">
            <v>The University of Texas at Tyler</v>
          </cell>
          <cell r="D16">
            <v>56343</v>
          </cell>
          <cell r="E16">
            <v>72963</v>
          </cell>
          <cell r="F16">
            <v>129306</v>
          </cell>
          <cell r="G16">
            <v>24031</v>
          </cell>
          <cell r="H16">
            <v>1152</v>
          </cell>
          <cell r="I16">
            <v>0</v>
          </cell>
          <cell r="J16">
            <v>0</v>
          </cell>
          <cell r="K16">
            <v>154489</v>
          </cell>
          <cell r="L16">
            <v>5375.4916666666668</v>
          </cell>
          <cell r="N16">
            <v>5375.49</v>
          </cell>
          <cell r="P16">
            <v>580.08999999999992</v>
          </cell>
        </row>
        <row r="17">
          <cell r="C17" t="str">
            <v>Texas A&amp;M University</v>
          </cell>
          <cell r="D17">
            <v>606744</v>
          </cell>
          <cell r="E17">
            <v>475339</v>
          </cell>
          <cell r="F17">
            <v>1082083</v>
          </cell>
          <cell r="G17">
            <v>103503</v>
          </cell>
          <cell r="H17">
            <v>73836</v>
          </cell>
          <cell r="I17">
            <v>0</v>
          </cell>
          <cell r="J17">
            <v>0</v>
          </cell>
          <cell r="K17">
            <v>1259422</v>
          </cell>
          <cell r="L17">
            <v>44484.058333333334</v>
          </cell>
          <cell r="N17">
            <v>44484.06</v>
          </cell>
          <cell r="P17">
            <v>4451.79</v>
          </cell>
        </row>
        <row r="18">
          <cell r="C18" t="str">
            <v>Texas A&amp;M University at Galveston</v>
          </cell>
          <cell r="D18">
            <v>36558</v>
          </cell>
          <cell r="E18">
            <v>18132</v>
          </cell>
          <cell r="F18">
            <v>54690</v>
          </cell>
          <cell r="G18">
            <v>931</v>
          </cell>
          <cell r="H18">
            <v>379</v>
          </cell>
          <cell r="I18">
            <v>0</v>
          </cell>
          <cell r="J18">
            <v>0</v>
          </cell>
          <cell r="K18">
            <v>56000</v>
          </cell>
          <cell r="L18">
            <v>1882.8472222222224</v>
          </cell>
          <cell r="N18">
            <v>1882.85</v>
          </cell>
          <cell r="P18">
            <v>243.99</v>
          </cell>
        </row>
        <row r="19">
          <cell r="C19" t="str">
            <v>Prairie View A&amp;M University</v>
          </cell>
          <cell r="D19">
            <v>133293</v>
          </cell>
          <cell r="E19">
            <v>48519</v>
          </cell>
          <cell r="F19">
            <v>181812</v>
          </cell>
          <cell r="G19">
            <v>24569</v>
          </cell>
          <cell r="H19">
            <v>2315</v>
          </cell>
          <cell r="I19">
            <v>0</v>
          </cell>
          <cell r="J19">
            <v>0</v>
          </cell>
          <cell r="K19">
            <v>208696</v>
          </cell>
          <cell r="L19">
            <v>7212.719444444444</v>
          </cell>
          <cell r="N19">
            <v>7212.72</v>
          </cell>
          <cell r="P19">
            <v>728.77</v>
          </cell>
        </row>
        <row r="20">
          <cell r="C20" t="str">
            <v>Tarleton State University</v>
          </cell>
          <cell r="D20">
            <v>124043</v>
          </cell>
          <cell r="E20">
            <v>96878</v>
          </cell>
          <cell r="F20">
            <v>220921</v>
          </cell>
          <cell r="G20">
            <v>21561</v>
          </cell>
          <cell r="H20">
            <v>814</v>
          </cell>
          <cell r="I20">
            <v>0</v>
          </cell>
          <cell r="J20">
            <v>0</v>
          </cell>
          <cell r="K20">
            <v>243296</v>
          </cell>
          <cell r="L20">
            <v>8307.6305555555555</v>
          </cell>
          <cell r="N20">
            <v>8307.6299999999992</v>
          </cell>
          <cell r="P20">
            <v>782.7</v>
          </cell>
        </row>
        <row r="21">
          <cell r="C21" t="str">
            <v>Texas A&amp;M University - Corpus Christi</v>
          </cell>
          <cell r="D21">
            <v>128525</v>
          </cell>
          <cell r="E21">
            <v>93314</v>
          </cell>
          <cell r="F21">
            <v>221839</v>
          </cell>
          <cell r="G21">
            <v>25791</v>
          </cell>
          <cell r="H21">
            <v>3165</v>
          </cell>
          <cell r="I21">
            <v>0</v>
          </cell>
          <cell r="J21">
            <v>0</v>
          </cell>
          <cell r="K21">
            <v>250795</v>
          </cell>
          <cell r="L21">
            <v>8645.0916666666672</v>
          </cell>
          <cell r="N21">
            <v>8645.09</v>
          </cell>
          <cell r="P21">
            <v>775.42000000000007</v>
          </cell>
        </row>
        <row r="22">
          <cell r="C22" t="str">
            <v>Texas A&amp;M University - Kingsville</v>
          </cell>
          <cell r="D22">
            <v>96229</v>
          </cell>
          <cell r="E22">
            <v>48219</v>
          </cell>
          <cell r="F22">
            <v>144448</v>
          </cell>
          <cell r="G22">
            <v>19390</v>
          </cell>
          <cell r="H22">
            <v>2361</v>
          </cell>
          <cell r="I22">
            <v>0</v>
          </cell>
          <cell r="J22">
            <v>0</v>
          </cell>
          <cell r="K22">
            <v>166199</v>
          </cell>
          <cell r="L22">
            <v>5754.0166666666673</v>
          </cell>
          <cell r="N22">
            <v>5754.02</v>
          </cell>
          <cell r="P22">
            <v>616.11</v>
          </cell>
        </row>
        <row r="23">
          <cell r="C23" t="str">
            <v>Texas A&amp;M International University</v>
          </cell>
          <cell r="D23">
            <v>80831</v>
          </cell>
          <cell r="E23">
            <v>57326</v>
          </cell>
          <cell r="F23">
            <v>138157</v>
          </cell>
          <cell r="G23">
            <v>11168</v>
          </cell>
          <cell r="H23">
            <v>405</v>
          </cell>
          <cell r="I23">
            <v>0</v>
          </cell>
          <cell r="J23">
            <v>0</v>
          </cell>
          <cell r="K23">
            <v>149730</v>
          </cell>
          <cell r="L23">
            <v>5093.0666666666666</v>
          </cell>
          <cell r="N23">
            <v>5093.07</v>
          </cell>
          <cell r="P23">
            <v>395.44</v>
          </cell>
        </row>
        <row r="24">
          <cell r="C24" t="str">
            <v>West Texas A&amp;M University</v>
          </cell>
          <cell r="D24">
            <v>102757</v>
          </cell>
          <cell r="E24">
            <v>69596</v>
          </cell>
          <cell r="F24">
            <v>172353</v>
          </cell>
          <cell r="G24">
            <v>20601</v>
          </cell>
          <cell r="H24">
            <v>172</v>
          </cell>
          <cell r="I24">
            <v>0</v>
          </cell>
          <cell r="J24">
            <v>0</v>
          </cell>
          <cell r="K24">
            <v>193126</v>
          </cell>
          <cell r="L24">
            <v>6613.030555555556</v>
          </cell>
          <cell r="N24">
            <v>6613.03</v>
          </cell>
          <cell r="P24">
            <v>606.69000000000005</v>
          </cell>
        </row>
        <row r="25">
          <cell r="C25" t="str">
            <v>Texas A&amp;M University - Commerce</v>
          </cell>
          <cell r="D25">
            <v>79058</v>
          </cell>
          <cell r="E25">
            <v>84193</v>
          </cell>
          <cell r="F25">
            <v>163251</v>
          </cell>
          <cell r="G25">
            <v>67584</v>
          </cell>
          <cell r="H25">
            <v>7319</v>
          </cell>
          <cell r="I25">
            <v>0</v>
          </cell>
          <cell r="J25">
            <v>0</v>
          </cell>
          <cell r="K25">
            <v>238154</v>
          </cell>
          <cell r="L25">
            <v>8664.311111111112</v>
          </cell>
          <cell r="N25">
            <v>8664.31</v>
          </cell>
          <cell r="P25">
            <v>726.69</v>
          </cell>
        </row>
        <row r="26">
          <cell r="C26" t="str">
            <v>Texas A&amp;M University - Texarkana</v>
          </cell>
          <cell r="D26">
            <v>14571</v>
          </cell>
          <cell r="E26">
            <v>20589</v>
          </cell>
          <cell r="F26">
            <v>35160</v>
          </cell>
          <cell r="G26">
            <v>7215</v>
          </cell>
          <cell r="H26">
            <v>0</v>
          </cell>
          <cell r="I26">
            <v>0</v>
          </cell>
          <cell r="J26">
            <v>0</v>
          </cell>
          <cell r="K26">
            <v>42375</v>
          </cell>
          <cell r="L26">
            <v>1472.625</v>
          </cell>
          <cell r="N26">
            <v>1472.63</v>
          </cell>
          <cell r="P26">
            <v>142.44</v>
          </cell>
        </row>
        <row r="27">
          <cell r="C27" t="str">
            <v>Texas A&amp;M University - Central Texas</v>
          </cell>
          <cell r="D27">
            <v>2326</v>
          </cell>
          <cell r="E27">
            <v>30130</v>
          </cell>
          <cell r="F27">
            <v>32456</v>
          </cell>
          <cell r="G27">
            <v>11720</v>
          </cell>
          <cell r="H27">
            <v>0</v>
          </cell>
          <cell r="I27">
            <v>0</v>
          </cell>
          <cell r="J27">
            <v>0</v>
          </cell>
          <cell r="K27">
            <v>44176</v>
          </cell>
          <cell r="L27">
            <v>1570.1999999999998</v>
          </cell>
          <cell r="N27">
            <v>1570.2</v>
          </cell>
          <cell r="P27">
            <v>164.35</v>
          </cell>
        </row>
        <row r="28">
          <cell r="C28" t="str">
            <v>Texas A&amp;M University - San Antonio</v>
          </cell>
          <cell r="D28">
            <v>4421</v>
          </cell>
          <cell r="E28">
            <v>52705</v>
          </cell>
          <cell r="F28">
            <v>57126</v>
          </cell>
          <cell r="G28">
            <v>15974</v>
          </cell>
          <cell r="H28">
            <v>0</v>
          </cell>
          <cell r="I28">
            <v>0</v>
          </cell>
          <cell r="J28">
            <v>0</v>
          </cell>
          <cell r="K28">
            <v>73100</v>
          </cell>
          <cell r="L28">
            <v>2569.7833333333333</v>
          </cell>
          <cell r="N28">
            <v>2569.7800000000002</v>
          </cell>
          <cell r="P28">
            <v>256.93</v>
          </cell>
        </row>
        <row r="29">
          <cell r="C29" t="str">
            <v>University of Houston</v>
          </cell>
          <cell r="D29">
            <v>445597</v>
          </cell>
          <cell r="E29">
            <v>336636</v>
          </cell>
          <cell r="F29">
            <v>782233</v>
          </cell>
          <cell r="G29">
            <v>94369</v>
          </cell>
          <cell r="H29">
            <v>27504</v>
          </cell>
          <cell r="I29">
            <v>40092</v>
          </cell>
          <cell r="J29">
            <v>16119</v>
          </cell>
          <cell r="K29">
            <v>960317</v>
          </cell>
          <cell r="L29">
            <v>33679.063235294125</v>
          </cell>
          <cell r="N29">
            <v>33679.06</v>
          </cell>
          <cell r="P29">
            <v>2906.5600000000004</v>
          </cell>
        </row>
        <row r="30">
          <cell r="C30" t="str">
            <v>University of Houston - Clear Lake</v>
          </cell>
          <cell r="D30">
            <v>0</v>
          </cell>
          <cell r="E30">
            <v>105066</v>
          </cell>
          <cell r="F30">
            <v>105066</v>
          </cell>
          <cell r="G30">
            <v>52882</v>
          </cell>
          <cell r="H30">
            <v>1336</v>
          </cell>
          <cell r="I30">
            <v>0</v>
          </cell>
          <cell r="J30">
            <v>0</v>
          </cell>
          <cell r="K30">
            <v>159284</v>
          </cell>
          <cell r="L30">
            <v>5779.8388888888894</v>
          </cell>
          <cell r="N30">
            <v>5779.84</v>
          </cell>
          <cell r="P30">
            <v>635.81999999999994</v>
          </cell>
        </row>
        <row r="31">
          <cell r="C31" t="str">
            <v>University of Houston - Downtown</v>
          </cell>
          <cell r="D31">
            <v>130739</v>
          </cell>
          <cell r="E31">
            <v>137601</v>
          </cell>
          <cell r="F31">
            <v>268340</v>
          </cell>
          <cell r="G31">
            <v>2741</v>
          </cell>
          <cell r="H31">
            <v>0</v>
          </cell>
          <cell r="I31">
            <v>0</v>
          </cell>
          <cell r="J31">
            <v>0</v>
          </cell>
          <cell r="K31">
            <v>271081</v>
          </cell>
          <cell r="L31">
            <v>9058.875</v>
          </cell>
          <cell r="N31">
            <v>9058.8799999999992</v>
          </cell>
          <cell r="P31">
            <v>852.37</v>
          </cell>
        </row>
        <row r="32">
          <cell r="C32" t="str">
            <v>University of Houston - Victoria</v>
          </cell>
          <cell r="D32">
            <v>12919</v>
          </cell>
          <cell r="E32">
            <v>45886</v>
          </cell>
          <cell r="F32">
            <v>58805</v>
          </cell>
          <cell r="G32">
            <v>26230</v>
          </cell>
          <cell r="H32">
            <v>0</v>
          </cell>
          <cell r="I32">
            <v>0</v>
          </cell>
          <cell r="J32">
            <v>0</v>
          </cell>
          <cell r="K32">
            <v>85035</v>
          </cell>
          <cell r="L32">
            <v>3053.0833333333335</v>
          </cell>
          <cell r="N32">
            <v>3053.08</v>
          </cell>
          <cell r="P32">
            <v>263.94</v>
          </cell>
        </row>
        <row r="33">
          <cell r="C33" t="str">
            <v xml:space="preserve">Lamar University </v>
          </cell>
          <cell r="D33">
            <v>168038</v>
          </cell>
          <cell r="E33">
            <v>69916</v>
          </cell>
          <cell r="F33">
            <v>237954</v>
          </cell>
          <cell r="G33">
            <v>76165</v>
          </cell>
          <cell r="H33">
            <v>5239</v>
          </cell>
          <cell r="I33">
            <v>0</v>
          </cell>
          <cell r="J33">
            <v>0</v>
          </cell>
          <cell r="K33">
            <v>319358</v>
          </cell>
          <cell r="L33">
            <v>11396.397222222222</v>
          </cell>
          <cell r="N33">
            <v>11396.4</v>
          </cell>
          <cell r="P33">
            <v>889.31</v>
          </cell>
        </row>
        <row r="34">
          <cell r="C34" t="str">
            <v>Sam Houston State University</v>
          </cell>
          <cell r="D34">
            <v>241086</v>
          </cell>
          <cell r="E34">
            <v>158838</v>
          </cell>
          <cell r="F34">
            <v>399924</v>
          </cell>
          <cell r="G34">
            <v>39424</v>
          </cell>
          <cell r="H34">
            <v>4188</v>
          </cell>
          <cell r="I34">
            <v>0</v>
          </cell>
          <cell r="J34">
            <v>0</v>
          </cell>
          <cell r="K34">
            <v>443536</v>
          </cell>
          <cell r="L34">
            <v>15206.133333333331</v>
          </cell>
          <cell r="N34">
            <v>15206.13</v>
          </cell>
          <cell r="P34">
            <v>1203.7</v>
          </cell>
        </row>
        <row r="35">
          <cell r="C35" t="str">
            <v>Texas State University - San Marcos</v>
          </cell>
          <cell r="D35">
            <v>469474</v>
          </cell>
          <cell r="E35">
            <v>290417</v>
          </cell>
          <cell r="F35">
            <v>759891</v>
          </cell>
          <cell r="G35">
            <v>71757</v>
          </cell>
          <cell r="H35">
            <v>4152</v>
          </cell>
          <cell r="I35">
            <v>3490</v>
          </cell>
          <cell r="J35">
            <v>0</v>
          </cell>
          <cell r="K35">
            <v>839290</v>
          </cell>
          <cell r="L35">
            <v>28695.658333333336</v>
          </cell>
          <cell r="N35">
            <v>28695.66</v>
          </cell>
          <cell r="P35">
            <v>2023.54</v>
          </cell>
        </row>
        <row r="36">
          <cell r="C36" t="str">
            <v>SUL ROSS RIO GRANDE COLLEGE</v>
          </cell>
          <cell r="D36">
            <v>586</v>
          </cell>
          <cell r="E36">
            <v>15221</v>
          </cell>
          <cell r="F36">
            <v>15807</v>
          </cell>
          <cell r="G36">
            <v>2781</v>
          </cell>
          <cell r="H36">
            <v>0</v>
          </cell>
          <cell r="I36">
            <v>0</v>
          </cell>
          <cell r="J36">
            <v>0</v>
          </cell>
          <cell r="K36">
            <v>18588</v>
          </cell>
          <cell r="L36">
            <v>642.77499999999998</v>
          </cell>
          <cell r="N36">
            <v>642.78</v>
          </cell>
          <cell r="P36">
            <v>62.1</v>
          </cell>
        </row>
        <row r="37">
          <cell r="C37" t="str">
            <v>Sul Ross State University</v>
          </cell>
          <cell r="D37">
            <v>28275</v>
          </cell>
          <cell r="E37">
            <v>8949</v>
          </cell>
          <cell r="F37">
            <v>37224</v>
          </cell>
          <cell r="G37">
            <v>8796</v>
          </cell>
          <cell r="H37">
            <v>0</v>
          </cell>
          <cell r="I37">
            <v>0</v>
          </cell>
          <cell r="J37">
            <v>0</v>
          </cell>
          <cell r="K37">
            <v>46020</v>
          </cell>
          <cell r="L37">
            <v>1607.3</v>
          </cell>
          <cell r="N37">
            <v>1607.3</v>
          </cell>
          <cell r="O37">
            <v>2250.08</v>
          </cell>
          <cell r="P37">
            <v>232.19</v>
          </cell>
          <cell r="Q37">
            <v>294.29000000000002</v>
          </cell>
          <cell r="S37">
            <v>0</v>
          </cell>
        </row>
        <row r="38">
          <cell r="C38" t="str">
            <v>Texas Tech University</v>
          </cell>
          <cell r="D38">
            <v>443657</v>
          </cell>
          <cell r="E38">
            <v>268678</v>
          </cell>
          <cell r="F38">
            <v>712335</v>
          </cell>
          <cell r="G38">
            <v>64730</v>
          </cell>
          <cell r="H38">
            <v>36517</v>
          </cell>
          <cell r="I38">
            <v>19903</v>
          </cell>
          <cell r="J38">
            <v>0</v>
          </cell>
          <cell r="K38">
            <v>833485</v>
          </cell>
          <cell r="L38">
            <v>29299.597222222223</v>
          </cell>
          <cell r="N38">
            <v>29299.599999999999</v>
          </cell>
          <cell r="P38">
            <v>3100.55</v>
          </cell>
        </row>
        <row r="39">
          <cell r="C39" t="str">
            <v>Angelo State University</v>
          </cell>
          <cell r="D39">
            <v>106803</v>
          </cell>
          <cell r="E39">
            <v>42753</v>
          </cell>
          <cell r="F39">
            <v>149556</v>
          </cell>
          <cell r="G39">
            <v>13647</v>
          </cell>
          <cell r="H39">
            <v>0</v>
          </cell>
          <cell r="I39">
            <v>2032</v>
          </cell>
          <cell r="J39">
            <v>0</v>
          </cell>
          <cell r="K39">
            <v>165235</v>
          </cell>
          <cell r="L39">
            <v>5638.4916666666668</v>
          </cell>
          <cell r="N39">
            <v>5638.49</v>
          </cell>
          <cell r="P39">
            <v>585.18000000000006</v>
          </cell>
        </row>
        <row r="40">
          <cell r="C40" t="str">
            <v>University of North Texas</v>
          </cell>
          <cell r="D40">
            <v>433614</v>
          </cell>
          <cell r="E40">
            <v>306333</v>
          </cell>
          <cell r="F40">
            <v>739947</v>
          </cell>
          <cell r="G40">
            <v>80284</v>
          </cell>
          <cell r="H40">
            <v>24854</v>
          </cell>
          <cell r="I40">
            <v>1278</v>
          </cell>
          <cell r="J40">
            <v>0</v>
          </cell>
          <cell r="K40">
            <v>846363</v>
          </cell>
          <cell r="L40">
            <v>29444.094444444447</v>
          </cell>
          <cell r="N40">
            <v>29444.09</v>
          </cell>
          <cell r="P40">
            <v>2817.1099999999997</v>
          </cell>
        </row>
        <row r="41">
          <cell r="C41" t="str">
            <v>University of North Texas at Dallas</v>
          </cell>
          <cell r="D41">
            <v>10037</v>
          </cell>
          <cell r="E41">
            <v>21921</v>
          </cell>
          <cell r="F41">
            <v>31958</v>
          </cell>
          <cell r="G41">
            <v>3903</v>
          </cell>
          <cell r="H41">
            <v>0</v>
          </cell>
          <cell r="I41">
            <v>0</v>
          </cell>
          <cell r="J41">
            <v>0</v>
          </cell>
          <cell r="K41">
            <v>35861</v>
          </cell>
          <cell r="L41">
            <v>1227.8916666666667</v>
          </cell>
          <cell r="N41">
            <v>1227.8900000000001</v>
          </cell>
          <cell r="P41">
            <v>107.25</v>
          </cell>
        </row>
        <row r="42">
          <cell r="C42" t="str">
            <v>Midwestern State University</v>
          </cell>
          <cell r="D42">
            <v>79960</v>
          </cell>
          <cell r="E42">
            <v>52944</v>
          </cell>
          <cell r="F42">
            <v>132904</v>
          </cell>
          <cell r="G42">
            <v>8072</v>
          </cell>
          <cell r="H42">
            <v>0</v>
          </cell>
          <cell r="I42">
            <v>0</v>
          </cell>
          <cell r="J42">
            <v>0</v>
          </cell>
          <cell r="K42">
            <v>140976</v>
          </cell>
          <cell r="L42">
            <v>4766.4666666666662</v>
          </cell>
          <cell r="N42">
            <v>4766.47</v>
          </cell>
          <cell r="P42">
            <v>500.63</v>
          </cell>
        </row>
        <row r="43">
          <cell r="C43" t="str">
            <v>Stephen F. Austin State University</v>
          </cell>
          <cell r="D43">
            <v>199360</v>
          </cell>
          <cell r="E43">
            <v>104276</v>
          </cell>
          <cell r="F43">
            <v>303636</v>
          </cell>
          <cell r="G43">
            <v>24901</v>
          </cell>
          <cell r="H43">
            <v>1322</v>
          </cell>
          <cell r="I43">
            <v>0</v>
          </cell>
          <cell r="J43">
            <v>0</v>
          </cell>
          <cell r="K43">
            <v>329859</v>
          </cell>
          <cell r="L43">
            <v>11232.186111111112</v>
          </cell>
          <cell r="N43">
            <v>11232.19</v>
          </cell>
          <cell r="P43">
            <v>1106.5999999999999</v>
          </cell>
        </row>
        <row r="44">
          <cell r="C44" t="str">
            <v>Texas Southern University</v>
          </cell>
          <cell r="D44">
            <v>131858</v>
          </cell>
          <cell r="E44">
            <v>44713</v>
          </cell>
          <cell r="F44">
            <v>176571</v>
          </cell>
          <cell r="G44">
            <v>24565</v>
          </cell>
          <cell r="H44">
            <v>3509</v>
          </cell>
          <cell r="I44">
            <v>31824</v>
          </cell>
          <cell r="J44">
            <v>0</v>
          </cell>
          <cell r="K44">
            <v>236469</v>
          </cell>
          <cell r="L44">
            <v>8430.1861111111102</v>
          </cell>
          <cell r="N44">
            <v>8430.19</v>
          </cell>
          <cell r="P44">
            <v>897.9</v>
          </cell>
        </row>
        <row r="45">
          <cell r="C45" t="str">
            <v>Texas Woman's University</v>
          </cell>
          <cell r="D45">
            <v>114524</v>
          </cell>
          <cell r="E45">
            <v>110381</v>
          </cell>
          <cell r="F45">
            <v>224905</v>
          </cell>
          <cell r="G45">
            <v>81981</v>
          </cell>
          <cell r="H45">
            <v>10943</v>
          </cell>
          <cell r="I45">
            <v>8357</v>
          </cell>
          <cell r="J45">
            <v>0</v>
          </cell>
          <cell r="K45">
            <v>326186</v>
          </cell>
          <cell r="L45">
            <v>11868.861111111111</v>
          </cell>
          <cell r="N45">
            <v>11868.86</v>
          </cell>
          <cell r="P45">
            <v>1166.0500000000002</v>
          </cell>
        </row>
        <row r="46">
          <cell r="C46" t="str">
            <v>TOTAL</v>
          </cell>
          <cell r="D46">
            <v>6617338</v>
          </cell>
          <cell r="E46">
            <v>4854508</v>
          </cell>
          <cell r="F46">
            <v>11471846</v>
          </cell>
          <cell r="G46">
            <v>1556380</v>
          </cell>
          <cell r="H46">
            <v>358415</v>
          </cell>
          <cell r="I46">
            <v>161518</v>
          </cell>
          <cell r="J46">
            <v>16119</v>
          </cell>
          <cell r="K46">
            <v>13564278</v>
          </cell>
          <cell r="L46">
            <v>474359.98267973866</v>
          </cell>
          <cell r="N46">
            <v>474360.00000000006</v>
          </cell>
          <cell r="P46">
            <v>44469.590000000004</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SREB Input"/>
      <sheetName val="Acad Space Model"/>
      <sheetName val="Acad Cost Study"/>
      <sheetName val="CS &amp; SP Smmy"/>
      <sheetName val="Acad CTG Costs"/>
      <sheetName val="ICUT Survey"/>
      <sheetName val="IFRS Smmy"/>
      <sheetName val="Almanac 1"/>
      <sheetName val="Almanac 2"/>
      <sheetName val="TRB Evaul U"/>
      <sheetName val="Univ_IE_Context"/>
      <sheetName val="Univ_IE_Keys"/>
      <sheetName val="Academic Acct Smmy"/>
      <sheetName val="Smmy Acad SbS"/>
      <sheetName val="Smmy Chrts"/>
      <sheetName val="Smmy Sum"/>
      <sheetName val="Smmy FGD"/>
      <sheetName val="Smmy Fnts"/>
      <sheetName val="ARL Chrts"/>
      <sheetName val="ARL Sum"/>
      <sheetName val="ARL FGD"/>
      <sheetName val="ARL Fnts"/>
      <sheetName val="AUS1 Chrts"/>
      <sheetName val="AUS1 Sum"/>
      <sheetName val="AUS1 FGD"/>
      <sheetName val="AUS1 Fnts"/>
      <sheetName val="DAL Chrts"/>
      <sheetName val="DAL Sum"/>
      <sheetName val="DAL FGD"/>
      <sheetName val="DAL Fnts"/>
      <sheetName val="E-P Chrts"/>
      <sheetName val="E-P Sum"/>
      <sheetName val="E-P FGD"/>
      <sheetName val="E-P Fnts"/>
      <sheetName val="RGV1 Chrts"/>
      <sheetName val="RGV1 Sum"/>
      <sheetName val="RGV1 FGD"/>
      <sheetName val="RGV1 Fnts"/>
      <sheetName val="P-B Chrts"/>
      <sheetName val="P-B Sum"/>
      <sheetName val="P-B FGD"/>
      <sheetName val="P-B Fnts"/>
      <sheetName val="S-A Chrts"/>
      <sheetName val="S-A Sum"/>
      <sheetName val="S-A FGD"/>
      <sheetName val="S-A Fnts"/>
      <sheetName val="TYL Chrts"/>
      <sheetName val="TYL Sum"/>
      <sheetName val="TYL FGD"/>
      <sheetName val="TYL Fnts"/>
      <sheetName val="TAMU Chrts"/>
      <sheetName val="TAMU Sum"/>
      <sheetName val="TAMU FGD"/>
      <sheetName val="TAMU Fnts"/>
      <sheetName val="TAMUG Chrts"/>
      <sheetName val="TAMUG Sum"/>
      <sheetName val="TAMUG FGD"/>
      <sheetName val="TAMUG Fnts"/>
      <sheetName val="PVAMU Chrts"/>
      <sheetName val="PVAMU Sum"/>
      <sheetName val="PVAMU FGD"/>
      <sheetName val="PVAMU Fnts"/>
      <sheetName val="TARLST Chrts"/>
      <sheetName val="TARLST Sum"/>
      <sheetName val="TARLST FGD"/>
      <sheetName val="TARLST Fnts"/>
      <sheetName val="TAMUCC Chrts"/>
      <sheetName val="TAMUCC Sum"/>
      <sheetName val="TAMUCC FGD"/>
      <sheetName val="TAMUCC Fnts"/>
      <sheetName val="TAMUK Chrts"/>
      <sheetName val="TAMUK Sum"/>
      <sheetName val="TAMUK FGD"/>
      <sheetName val="TAMUK Fnts"/>
      <sheetName val="TAMIU Chrts"/>
      <sheetName val="TAMIU Sum"/>
      <sheetName val="TAMIU FGD"/>
      <sheetName val="TAMIU Fnts"/>
      <sheetName val="WTAMU Chrts"/>
      <sheetName val="WTAMU Sum"/>
      <sheetName val="WTAMU FGD"/>
      <sheetName val="WTAMU Fnts"/>
      <sheetName val="TAMUC Chrts"/>
      <sheetName val="TAMUC Sum"/>
      <sheetName val="TAMUC FGD"/>
      <sheetName val="TAMUC Fnts"/>
      <sheetName val="TAMUT Chrts"/>
      <sheetName val="TAMUT Sum"/>
      <sheetName val="TAMUT FGD"/>
      <sheetName val="TAMUT Fnts"/>
      <sheetName val="TAMUCT Chrts"/>
      <sheetName val="TAMUCT Sum"/>
      <sheetName val="TAMUCT FGD"/>
      <sheetName val="TAMUCT Fnts"/>
      <sheetName val="TAMUSA Chrts"/>
      <sheetName val="TAMUSA Sum"/>
      <sheetName val="TAMUSA FGD"/>
      <sheetName val="TAMUSA Fnts"/>
      <sheetName val="UH Chrts"/>
      <sheetName val="UH Sum"/>
      <sheetName val="UH FGD"/>
      <sheetName val="UH Fnts"/>
      <sheetName val="UHCL Chrts"/>
      <sheetName val="UHCL Sum"/>
      <sheetName val="UHCL FGD"/>
      <sheetName val="UHCL Fnts"/>
      <sheetName val="UHD Chrts"/>
      <sheetName val="UHD Sum"/>
      <sheetName val="UHD FGD"/>
      <sheetName val="UHD Fnts"/>
      <sheetName val="UHV Chrts"/>
      <sheetName val="UHV Sum"/>
      <sheetName val="UHV FGD"/>
      <sheetName val="UHV Fnts"/>
      <sheetName val="LU Chrts"/>
      <sheetName val="LU Sum"/>
      <sheetName val="LU FGD"/>
      <sheetName val="LU Fnts"/>
      <sheetName val="shsu Chrts"/>
      <sheetName val="shsu Sum"/>
      <sheetName val="shsu FGD"/>
      <sheetName val="shsu Fnts"/>
      <sheetName val="TXST Chrts"/>
      <sheetName val="TXST Sum"/>
      <sheetName val="TXST FGD"/>
      <sheetName val="TXST Fnts"/>
      <sheetName val="SRSU Chrts"/>
      <sheetName val="SRSU Sum"/>
      <sheetName val="SRSU FGD"/>
      <sheetName val="SRSU Fnts"/>
      <sheetName val="TTU Chrts"/>
      <sheetName val="TTU Sum"/>
      <sheetName val="TTU FGD"/>
      <sheetName val="TTU Fnts"/>
      <sheetName val="ASU Chrts"/>
      <sheetName val="ASU Sum"/>
      <sheetName val="ASU FGD"/>
      <sheetName val="ASU Fnts"/>
      <sheetName val="UNT Chrts"/>
      <sheetName val="UNT Sum"/>
      <sheetName val="UNT FGD"/>
      <sheetName val="UNT Fnts"/>
      <sheetName val="UNTD Chrts"/>
      <sheetName val="UNTD Sum"/>
      <sheetName val="UNTD FGD"/>
      <sheetName val="UNTD Fnts"/>
      <sheetName val="MidWST Chrts"/>
      <sheetName val="MidWST Sum"/>
      <sheetName val="MidWST FGD"/>
      <sheetName val="MidWST Fnts"/>
      <sheetName val="SFA Chrts"/>
      <sheetName val="SFA Sum"/>
      <sheetName val="SFA FGD"/>
      <sheetName val="SFA Fnts"/>
      <sheetName val="TSU Chrts"/>
      <sheetName val="TSU Sum"/>
      <sheetName val="TSU FGD"/>
      <sheetName val="TSU Fnts"/>
      <sheetName val="TWU Chrts"/>
      <sheetName val="TWU Sum"/>
      <sheetName val="TWU FGD"/>
      <sheetName val="TWU Fnts"/>
      <sheetName val="AUS Chrts"/>
      <sheetName val="AUS Sum"/>
      <sheetName val="AUS FGD"/>
      <sheetName val="AUS Fnts"/>
      <sheetName val="RGV Chrts"/>
      <sheetName val="RGV Sum"/>
      <sheetName val="RGV FGD"/>
      <sheetName val="RGV Fnts"/>
      <sheetName val="Names"/>
      <sheetName val="Input"/>
      <sheetName val="FTSE"/>
      <sheetName val="Balanc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ow r="12">
          <cell r="M12">
            <v>5481.94</v>
          </cell>
        </row>
      </sheetData>
      <sheetData sheetId="13" refreshError="1"/>
      <sheetData sheetId="14" refreshError="1"/>
      <sheetData sheetId="15" refreshError="1"/>
      <sheetData sheetId="16">
        <row r="43">
          <cell r="C43" t="e">
            <v>#REF!</v>
          </cell>
        </row>
      </sheetData>
      <sheetData sheetId="17" refreshError="1"/>
      <sheetData sheetId="18" refreshError="1"/>
      <sheetData sheetId="19" refreshError="1"/>
      <sheetData sheetId="20">
        <row r="6">
          <cell r="C6">
            <v>28216.45</v>
          </cell>
        </row>
      </sheetData>
      <sheetData sheetId="21">
        <row r="92">
          <cell r="O92" t="str">
            <v>Janet Nascimbeni</v>
          </cell>
        </row>
      </sheetData>
      <sheetData sheetId="22" refreshError="1"/>
      <sheetData sheetId="23" refreshError="1"/>
      <sheetData sheetId="24">
        <row r="6">
          <cell r="C6">
            <v>46914.5</v>
          </cell>
        </row>
      </sheetData>
      <sheetData sheetId="25">
        <row r="92">
          <cell r="O92" t="str">
            <v>Marcy Lowther</v>
          </cell>
        </row>
      </sheetData>
      <sheetData sheetId="26" refreshError="1"/>
      <sheetData sheetId="27" refreshError="1"/>
      <sheetData sheetId="28">
        <row r="6">
          <cell r="C6">
            <v>19290.61</v>
          </cell>
        </row>
      </sheetData>
      <sheetData sheetId="29">
        <row r="92">
          <cell r="O92" t="str">
            <v>Cindy Milligan</v>
          </cell>
        </row>
      </sheetData>
      <sheetData sheetId="30" refreshError="1"/>
      <sheetData sheetId="31" refreshError="1"/>
      <sheetData sheetId="32">
        <row r="6">
          <cell r="C6">
            <v>18363.63</v>
          </cell>
        </row>
      </sheetData>
      <sheetData sheetId="33">
        <row r="92">
          <cell r="O92" t="str">
            <v>Anthony Turrietta</v>
          </cell>
        </row>
      </sheetData>
      <sheetData sheetId="34" refreshError="1"/>
      <sheetData sheetId="35" refreshError="1"/>
      <sheetData sheetId="36">
        <row r="6">
          <cell r="C6">
            <v>6127.06</v>
          </cell>
        </row>
      </sheetData>
      <sheetData sheetId="37">
        <row r="92">
          <cell r="O92" t="str">
            <v>Rosa M. Medellin</v>
          </cell>
        </row>
      </sheetData>
      <sheetData sheetId="38" refreshError="1"/>
      <sheetData sheetId="39" refreshError="1"/>
      <sheetData sheetId="40">
        <row r="6">
          <cell r="C6">
            <v>4063.26</v>
          </cell>
        </row>
      </sheetData>
      <sheetData sheetId="41">
        <row r="92">
          <cell r="O92" t="str">
            <v>Cuca Franco</v>
          </cell>
        </row>
      </sheetData>
      <sheetData sheetId="42" refreshError="1"/>
      <sheetData sheetId="43" refreshError="1"/>
      <sheetData sheetId="44">
        <row r="6">
          <cell r="C6">
            <v>22974.720000000001</v>
          </cell>
        </row>
      </sheetData>
      <sheetData sheetId="45">
        <row r="92">
          <cell r="O92" t="str">
            <v>Sheri Hardison</v>
          </cell>
        </row>
      </sheetData>
      <sheetData sheetId="46" refreshError="1"/>
      <sheetData sheetId="47" refreshError="1"/>
      <sheetData sheetId="48">
        <row r="6">
          <cell r="C6">
            <v>6407.63</v>
          </cell>
        </row>
      </sheetData>
      <sheetData sheetId="49">
        <row r="92">
          <cell r="O92" t="str">
            <v>Eva Burnett</v>
          </cell>
        </row>
      </sheetData>
      <sheetData sheetId="50" refreshError="1"/>
      <sheetData sheetId="51" refreshError="1"/>
      <sheetData sheetId="52">
        <row r="6">
          <cell r="C6">
            <v>50386.38</v>
          </cell>
        </row>
      </sheetData>
      <sheetData sheetId="53">
        <row r="92">
          <cell r="O92" t="str">
            <v>Monica Poehl</v>
          </cell>
        </row>
      </sheetData>
      <sheetData sheetId="54" refreshError="1"/>
      <sheetData sheetId="55" refreshError="1"/>
      <sheetData sheetId="56">
        <row r="6">
          <cell r="C6">
            <v>2176.0300000000002</v>
          </cell>
        </row>
      </sheetData>
      <sheetData sheetId="57">
        <row r="92">
          <cell r="O92" t="str">
            <v>Monica Poehl</v>
          </cell>
        </row>
      </sheetData>
      <sheetData sheetId="58" refreshError="1"/>
      <sheetData sheetId="59" refreshError="1"/>
      <sheetData sheetId="60">
        <row r="6">
          <cell r="C6">
            <v>7355.83</v>
          </cell>
        </row>
      </sheetData>
      <sheetData sheetId="61">
        <row r="92">
          <cell r="O92" t="str">
            <v>Monica Poehl</v>
          </cell>
        </row>
      </sheetData>
      <sheetData sheetId="62" refreshError="1"/>
      <sheetData sheetId="63" refreshError="1"/>
      <sheetData sheetId="64">
        <row r="6">
          <cell r="C6">
            <v>9796.32</v>
          </cell>
        </row>
      </sheetData>
      <sheetData sheetId="65">
        <row r="92">
          <cell r="O92" t="str">
            <v>Monica Poehl</v>
          </cell>
        </row>
      </sheetData>
      <sheetData sheetId="66" refreshError="1"/>
      <sheetData sheetId="67" refreshError="1"/>
      <sheetData sheetId="68">
        <row r="6">
          <cell r="C6">
            <v>9124.02</v>
          </cell>
        </row>
      </sheetData>
      <sheetData sheetId="69">
        <row r="92">
          <cell r="O92" t="str">
            <v>Monica Poehl</v>
          </cell>
        </row>
      </sheetData>
      <sheetData sheetId="70" refreshError="1"/>
      <sheetData sheetId="71" refreshError="1"/>
      <sheetData sheetId="72">
        <row r="6">
          <cell r="C6">
            <v>7399.5</v>
          </cell>
        </row>
      </sheetData>
      <sheetData sheetId="73">
        <row r="92">
          <cell r="O92" t="str">
            <v>Monica Poehl</v>
          </cell>
        </row>
      </sheetData>
      <sheetData sheetId="74" refreshError="1"/>
      <sheetData sheetId="75" refreshError="1"/>
      <sheetData sheetId="76">
        <row r="6">
          <cell r="C6">
            <v>5591.6</v>
          </cell>
        </row>
      </sheetData>
      <sheetData sheetId="77">
        <row r="92">
          <cell r="O92" t="str">
            <v>Monica Poehl</v>
          </cell>
        </row>
      </sheetData>
      <sheetData sheetId="78" refreshError="1"/>
      <sheetData sheetId="79" refreshError="1"/>
      <sheetData sheetId="80">
        <row r="6">
          <cell r="C6">
            <v>7453.64</v>
          </cell>
        </row>
      </sheetData>
      <sheetData sheetId="81">
        <row r="92">
          <cell r="O92" t="str">
            <v>Monica Poehl</v>
          </cell>
        </row>
      </sheetData>
      <sheetData sheetId="82" refreshError="1"/>
      <sheetData sheetId="83" refreshError="1"/>
      <sheetData sheetId="84">
        <row r="6">
          <cell r="C6">
            <v>9256.69</v>
          </cell>
        </row>
      </sheetData>
      <sheetData sheetId="85">
        <row r="92">
          <cell r="O92" t="str">
            <v>Monica Poehl</v>
          </cell>
        </row>
      </sheetData>
      <sheetData sheetId="86" refreshError="1"/>
      <sheetData sheetId="87" refreshError="1"/>
      <sheetData sheetId="88">
        <row r="6">
          <cell r="C6">
            <v>1368.73</v>
          </cell>
        </row>
      </sheetData>
      <sheetData sheetId="89">
        <row r="92">
          <cell r="O92" t="str">
            <v>Monica Poehl</v>
          </cell>
        </row>
      </sheetData>
      <sheetData sheetId="90" refreshError="1"/>
      <sheetData sheetId="91" refreshError="1"/>
      <sheetData sheetId="92">
        <row r="6">
          <cell r="C6">
            <v>1680.23</v>
          </cell>
        </row>
      </sheetData>
      <sheetData sheetId="93">
        <row r="92">
          <cell r="O92" t="str">
            <v>Monica Poehl</v>
          </cell>
        </row>
      </sheetData>
      <sheetData sheetId="94" refreshError="1"/>
      <sheetData sheetId="95" refreshError="1"/>
      <sheetData sheetId="96">
        <row r="6">
          <cell r="C6">
            <v>3007.94</v>
          </cell>
        </row>
      </sheetData>
      <sheetData sheetId="97">
        <row r="92">
          <cell r="O92" t="str">
            <v>Monica Poehl</v>
          </cell>
        </row>
      </sheetData>
      <sheetData sheetId="98" refreshError="1"/>
      <sheetData sheetId="99" refreshError="1"/>
      <sheetData sheetId="100">
        <row r="6">
          <cell r="C6">
            <v>34696.559999999998</v>
          </cell>
        </row>
      </sheetData>
      <sheetData sheetId="101">
        <row r="92">
          <cell r="O92" t="str">
            <v>David Ellis</v>
          </cell>
        </row>
      </sheetData>
      <sheetData sheetId="102" refreshError="1"/>
      <sheetData sheetId="103" refreshError="1"/>
      <sheetData sheetId="104">
        <row r="6">
          <cell r="C6">
            <v>6180.69</v>
          </cell>
        </row>
      </sheetData>
      <sheetData sheetId="105">
        <row r="92">
          <cell r="O92" t="str">
            <v>Bobby Kegresse</v>
          </cell>
        </row>
      </sheetData>
      <sheetData sheetId="106" refreshError="1"/>
      <sheetData sheetId="107" refreshError="1"/>
      <sheetData sheetId="108">
        <row r="6">
          <cell r="C6">
            <v>9792.35</v>
          </cell>
        </row>
      </sheetData>
      <sheetData sheetId="109">
        <row r="92">
          <cell r="O92" t="str">
            <v>Lila Murray</v>
          </cell>
        </row>
      </sheetData>
      <sheetData sheetId="110" refreshError="1"/>
      <sheetData sheetId="111" refreshError="1"/>
      <sheetData sheetId="112">
        <row r="6">
          <cell r="C6">
            <v>3129.65</v>
          </cell>
        </row>
      </sheetData>
      <sheetData sheetId="113">
        <row r="92">
          <cell r="O92" t="str">
            <v>June Nelson</v>
          </cell>
        </row>
      </sheetData>
      <sheetData sheetId="114" refreshError="1"/>
      <sheetData sheetId="115" refreshError="1"/>
      <sheetData sheetId="116">
        <row r="6">
          <cell r="C6">
            <v>12806.15</v>
          </cell>
        </row>
      </sheetData>
      <sheetData sheetId="117">
        <row r="92">
          <cell r="O92" t="str">
            <v>Cynthia Brown</v>
          </cell>
        </row>
      </sheetData>
      <sheetData sheetId="118" refreshError="1"/>
      <sheetData sheetId="119" refreshError="1"/>
      <sheetData sheetId="120">
        <row r="6">
          <cell r="C6">
            <v>16672.060000000001</v>
          </cell>
        </row>
      </sheetData>
      <sheetData sheetId="121">
        <row r="92">
          <cell r="O92" t="str">
            <v>Courtney Harvell</v>
          </cell>
        </row>
      </sheetData>
      <sheetData sheetId="122" refreshError="1"/>
      <sheetData sheetId="123" refreshError="1"/>
      <sheetData sheetId="124">
        <row r="6">
          <cell r="C6">
            <v>30667.279999999999</v>
          </cell>
        </row>
      </sheetData>
      <sheetData sheetId="125">
        <row r="92">
          <cell r="O92" t="str">
            <v>Lisa Braun</v>
          </cell>
        </row>
      </sheetData>
      <sheetData sheetId="126" refreshError="1"/>
      <sheetData sheetId="127" refreshError="1"/>
      <sheetData sheetId="128">
        <row r="6">
          <cell r="C6">
            <v>2124.88</v>
          </cell>
        </row>
      </sheetData>
      <sheetData sheetId="129">
        <row r="92">
          <cell r="O92" t="str">
            <v>John Young</v>
          </cell>
        </row>
      </sheetData>
      <sheetData sheetId="130" refreshError="1"/>
      <sheetData sheetId="131" refreshError="1"/>
      <sheetData sheetId="132">
        <row r="6">
          <cell r="C6">
            <v>31111.91</v>
          </cell>
        </row>
      </sheetData>
      <sheetData sheetId="133">
        <row r="92">
          <cell r="O92" t="str">
            <v>Shelby Jackson</v>
          </cell>
        </row>
      </sheetData>
      <sheetData sheetId="134" refreshError="1"/>
      <sheetData sheetId="135" refreshError="1"/>
      <sheetData sheetId="136">
        <row r="6">
          <cell r="C6">
            <v>5481.94</v>
          </cell>
        </row>
      </sheetData>
      <sheetData sheetId="137">
        <row r="92">
          <cell r="O92" t="str">
            <v>Janet Coleman</v>
          </cell>
        </row>
      </sheetData>
      <sheetData sheetId="138" refreshError="1"/>
      <sheetData sheetId="139" refreshError="1"/>
      <sheetData sheetId="140">
        <row r="6">
          <cell r="C6">
            <v>30299.91</v>
          </cell>
        </row>
      </sheetData>
      <sheetData sheetId="141">
        <row r="92">
          <cell r="O92" t="str">
            <v>Sheryl Overturf</v>
          </cell>
        </row>
      </sheetData>
      <sheetData sheetId="142" refreshError="1"/>
      <sheetData sheetId="143" refreshError="1"/>
      <sheetData sheetId="144">
        <row r="6">
          <cell r="C6">
            <v>1601.13</v>
          </cell>
        </row>
      </sheetData>
      <sheetData sheetId="145">
        <row r="92">
          <cell r="O92" t="str">
            <v>Elaina Blount</v>
          </cell>
        </row>
      </sheetData>
      <sheetData sheetId="146" refreshError="1"/>
      <sheetData sheetId="147" refreshError="1"/>
      <sheetData sheetId="148">
        <row r="6">
          <cell r="C6">
            <v>4607.49</v>
          </cell>
        </row>
      </sheetData>
      <sheetData sheetId="149">
        <row r="92">
          <cell r="O92" t="str">
            <v>Chris Stovall</v>
          </cell>
        </row>
      </sheetData>
      <sheetData sheetId="150" refreshError="1"/>
      <sheetData sheetId="151" refreshError="1"/>
      <sheetData sheetId="152">
        <row r="6">
          <cell r="C6">
            <v>10719.7</v>
          </cell>
        </row>
      </sheetData>
      <sheetData sheetId="153">
        <row r="92">
          <cell r="O92" t="str">
            <v>Dannette Sales</v>
          </cell>
        </row>
      </sheetData>
      <sheetData sheetId="154" refreshError="1"/>
      <sheetData sheetId="155" refreshError="1"/>
      <sheetData sheetId="156">
        <row r="6">
          <cell r="C6">
            <v>8080.94</v>
          </cell>
        </row>
      </sheetData>
      <sheetData sheetId="157">
        <row r="92">
          <cell r="O92" t="str">
            <v>Lavonda Horn</v>
          </cell>
        </row>
      </sheetData>
      <sheetData sheetId="158" refreshError="1"/>
      <sheetData sheetId="159" refreshError="1"/>
      <sheetData sheetId="160">
        <row r="6">
          <cell r="C6">
            <v>11854.92</v>
          </cell>
        </row>
      </sheetData>
      <sheetData sheetId="161">
        <row r="92">
          <cell r="O92" t="str">
            <v>Rodney Lane</v>
          </cell>
        </row>
      </sheetData>
      <sheetData sheetId="162" refreshError="1"/>
      <sheetData sheetId="163" refreshError="1"/>
      <sheetData sheetId="164">
        <row r="6">
          <cell r="C6" t="e">
            <v>#REF!</v>
          </cell>
        </row>
      </sheetData>
      <sheetData sheetId="165">
        <row r="92">
          <cell r="O92">
            <v>0</v>
          </cell>
        </row>
      </sheetData>
      <sheetData sheetId="166" refreshError="1"/>
      <sheetData sheetId="167" refreshError="1"/>
      <sheetData sheetId="168" refreshError="1"/>
      <sheetData sheetId="169" refreshError="1"/>
      <sheetData sheetId="170" refreshError="1"/>
      <sheetData sheetId="171" refreshError="1"/>
      <sheetData sheetId="172" refreshError="1"/>
      <sheetData sheetId="173">
        <row r="8">
          <cell r="C8" t="str">
            <v>The University of Texas at Arlington</v>
          </cell>
          <cell r="D8">
            <v>324390</v>
          </cell>
          <cell r="E8">
            <v>304274</v>
          </cell>
          <cell r="F8">
            <v>628664</v>
          </cell>
          <cell r="G8">
            <v>154757</v>
          </cell>
          <cell r="H8">
            <v>14630</v>
          </cell>
          <cell r="I8">
            <v>0</v>
          </cell>
          <cell r="J8">
            <v>0</v>
          </cell>
          <cell r="K8">
            <v>798051</v>
          </cell>
          <cell r="L8">
            <v>28216.45</v>
          </cell>
          <cell r="N8">
            <v>28216.45</v>
          </cell>
          <cell r="P8">
            <v>2457.83</v>
          </cell>
        </row>
        <row r="9">
          <cell r="C9" t="str">
            <v>The University of Texas at Austin -  All Disciplines (A+H+M)</v>
          </cell>
          <cell r="D9">
            <v>589039</v>
          </cell>
          <cell r="E9">
            <v>468348</v>
          </cell>
          <cell r="F9">
            <v>1057387</v>
          </cell>
          <cell r="G9">
            <v>115683</v>
          </cell>
          <cell r="H9">
            <v>86767</v>
          </cell>
          <cell r="I9">
            <v>48666</v>
          </cell>
          <cell r="J9">
            <v>0</v>
          </cell>
          <cell r="K9">
            <v>1308503</v>
          </cell>
          <cell r="L9">
            <v>46914.5</v>
          </cell>
          <cell r="N9">
            <v>46914.5</v>
          </cell>
          <cell r="P9">
            <v>5284.45</v>
          </cell>
        </row>
        <row r="10">
          <cell r="C10" t="str">
            <v>The University of Texas at Dallas</v>
          </cell>
          <cell r="D10">
            <v>188470</v>
          </cell>
          <cell r="E10">
            <v>190089</v>
          </cell>
          <cell r="F10">
            <v>378559</v>
          </cell>
          <cell r="G10">
            <v>137786</v>
          </cell>
          <cell r="H10">
            <v>16033</v>
          </cell>
          <cell r="I10">
            <v>964</v>
          </cell>
          <cell r="J10">
            <v>0</v>
          </cell>
          <cell r="K10">
            <v>533342</v>
          </cell>
          <cell r="L10">
            <v>19290.61</v>
          </cell>
          <cell r="N10">
            <v>19290.61</v>
          </cell>
          <cell r="P10">
            <v>1808.23</v>
          </cell>
        </row>
        <row r="11">
          <cell r="C11" t="str">
            <v>The University of Texas at El Paso</v>
          </cell>
          <cell r="D11">
            <v>284719</v>
          </cell>
          <cell r="E11">
            <v>194054</v>
          </cell>
          <cell r="F11">
            <v>478773</v>
          </cell>
          <cell r="G11">
            <v>45520</v>
          </cell>
          <cell r="H11">
            <v>7196</v>
          </cell>
          <cell r="I11">
            <v>2594</v>
          </cell>
          <cell r="J11">
            <v>0</v>
          </cell>
          <cell r="K11">
            <v>534083</v>
          </cell>
          <cell r="L11">
            <v>18363.63</v>
          </cell>
          <cell r="N11">
            <v>18363.63</v>
          </cell>
          <cell r="P11">
            <v>1612.97</v>
          </cell>
        </row>
        <row r="12">
          <cell r="C12" t="str">
            <v>The University of Texas RGV - All Disciplines (A+H+M)</v>
          </cell>
          <cell r="D12">
            <v>108651</v>
          </cell>
          <cell r="E12">
            <v>56667</v>
          </cell>
          <cell r="F12">
            <v>165318</v>
          </cell>
          <cell r="G12">
            <v>13359</v>
          </cell>
          <cell r="H12">
            <v>1077</v>
          </cell>
          <cell r="I12">
            <v>0</v>
          </cell>
          <cell r="J12">
            <v>0</v>
          </cell>
          <cell r="K12">
            <v>179754</v>
          </cell>
          <cell r="L12">
            <v>6127.06</v>
          </cell>
          <cell r="N12">
            <v>6127.06</v>
          </cell>
          <cell r="P12">
            <v>644.37</v>
          </cell>
        </row>
        <row r="13">
          <cell r="C13" t="str">
            <v>The University of Texas of the Permian Basin</v>
          </cell>
          <cell r="D13">
            <v>58140</v>
          </cell>
          <cell r="E13">
            <v>49239</v>
          </cell>
          <cell r="F13">
            <v>107379</v>
          </cell>
          <cell r="G13">
            <v>11615</v>
          </cell>
          <cell r="H13">
            <v>0</v>
          </cell>
          <cell r="I13">
            <v>0</v>
          </cell>
          <cell r="J13">
            <v>0</v>
          </cell>
          <cell r="K13">
            <v>118994</v>
          </cell>
          <cell r="L13">
            <v>4063.26</v>
          </cell>
          <cell r="N13">
            <v>4063.26</v>
          </cell>
          <cell r="P13">
            <v>307.48</v>
          </cell>
        </row>
        <row r="14">
          <cell r="C14" t="str">
            <v>The University of Texas at San Antonio</v>
          </cell>
          <cell r="D14">
            <v>376625</v>
          </cell>
          <cell r="E14">
            <v>224815</v>
          </cell>
          <cell r="F14">
            <v>601440</v>
          </cell>
          <cell r="G14">
            <v>54888</v>
          </cell>
          <cell r="H14">
            <v>11515</v>
          </cell>
          <cell r="I14">
            <v>0</v>
          </cell>
          <cell r="J14">
            <v>0</v>
          </cell>
          <cell r="K14">
            <v>667843</v>
          </cell>
          <cell r="L14">
            <v>22974.720000000001</v>
          </cell>
          <cell r="N14">
            <v>22974.720000000001</v>
          </cell>
          <cell r="P14">
            <v>2143.79</v>
          </cell>
        </row>
        <row r="15">
          <cell r="C15" t="str">
            <v>The University of Texas at Tyler</v>
          </cell>
          <cell r="D15">
            <v>64643</v>
          </cell>
          <cell r="E15">
            <v>79403</v>
          </cell>
          <cell r="F15">
            <v>144046</v>
          </cell>
          <cell r="G15">
            <v>36921</v>
          </cell>
          <cell r="H15">
            <v>1219</v>
          </cell>
          <cell r="I15">
            <v>0</v>
          </cell>
          <cell r="J15">
            <v>0</v>
          </cell>
          <cell r="K15">
            <v>182186</v>
          </cell>
          <cell r="L15">
            <v>6407.63</v>
          </cell>
          <cell r="N15">
            <v>6407.63</v>
          </cell>
          <cell r="P15">
            <v>671.85</v>
          </cell>
        </row>
        <row r="16">
          <cell r="C16" t="str">
            <v>Texas A&amp;M University</v>
          </cell>
          <cell r="D16">
            <v>694313</v>
          </cell>
          <cell r="E16">
            <v>512510</v>
          </cell>
          <cell r="F16">
            <v>1206823</v>
          </cell>
          <cell r="G16">
            <v>127746</v>
          </cell>
          <cell r="H16">
            <v>72749</v>
          </cell>
          <cell r="I16">
            <v>19070</v>
          </cell>
          <cell r="J16">
            <v>0</v>
          </cell>
          <cell r="K16">
            <v>1426388</v>
          </cell>
          <cell r="L16">
            <v>50386.38</v>
          </cell>
          <cell r="N16">
            <v>50386.38</v>
          </cell>
          <cell r="P16">
            <v>4682.43</v>
          </cell>
        </row>
        <row r="17">
          <cell r="C17" t="str">
            <v>Texas A&amp;M University at Galveston</v>
          </cell>
          <cell r="D17">
            <v>39572</v>
          </cell>
          <cell r="E17">
            <v>22906</v>
          </cell>
          <cell r="F17">
            <v>62478</v>
          </cell>
          <cell r="G17">
            <v>1517</v>
          </cell>
          <cell r="H17">
            <v>544</v>
          </cell>
          <cell r="I17">
            <v>0</v>
          </cell>
          <cell r="J17">
            <v>0</v>
          </cell>
          <cell r="K17">
            <v>64539</v>
          </cell>
          <cell r="L17">
            <v>2176.0300000000002</v>
          </cell>
          <cell r="N17">
            <v>2176.0300000000002</v>
          </cell>
          <cell r="P17">
            <v>257.58</v>
          </cell>
        </row>
        <row r="18">
          <cell r="C18" t="str">
            <v>Prairie View A&amp;M University</v>
          </cell>
          <cell r="D18">
            <v>135878</v>
          </cell>
          <cell r="E18">
            <v>53783</v>
          </cell>
          <cell r="F18">
            <v>189661</v>
          </cell>
          <cell r="G18">
            <v>21431</v>
          </cell>
          <cell r="H18">
            <v>2535</v>
          </cell>
          <cell r="I18">
            <v>0</v>
          </cell>
          <cell r="J18">
            <v>0</v>
          </cell>
          <cell r="K18">
            <v>213627</v>
          </cell>
          <cell r="L18">
            <v>7355.83</v>
          </cell>
          <cell r="N18">
            <v>7355.83</v>
          </cell>
          <cell r="P18">
            <v>767.87</v>
          </cell>
        </row>
        <row r="19">
          <cell r="C19" t="str">
            <v>Tarleton State University</v>
          </cell>
          <cell r="D19">
            <v>147288</v>
          </cell>
          <cell r="E19">
            <v>116282</v>
          </cell>
          <cell r="F19">
            <v>263570</v>
          </cell>
          <cell r="G19">
            <v>22373</v>
          </cell>
          <cell r="H19">
            <v>1412</v>
          </cell>
          <cell r="I19">
            <v>0</v>
          </cell>
          <cell r="J19">
            <v>0</v>
          </cell>
          <cell r="K19">
            <v>287355</v>
          </cell>
          <cell r="L19">
            <v>9796.32</v>
          </cell>
          <cell r="N19">
            <v>9796.32</v>
          </cell>
          <cell r="P19">
            <v>968.22</v>
          </cell>
        </row>
        <row r="20">
          <cell r="C20" t="str">
            <v>Texas A&amp;M University - Corpus Christi</v>
          </cell>
          <cell r="D20">
            <v>146505</v>
          </cell>
          <cell r="E20">
            <v>87341</v>
          </cell>
          <cell r="F20">
            <v>233846</v>
          </cell>
          <cell r="G20">
            <v>27849</v>
          </cell>
          <cell r="H20">
            <v>3038</v>
          </cell>
          <cell r="I20">
            <v>0</v>
          </cell>
          <cell r="J20">
            <v>0</v>
          </cell>
          <cell r="K20">
            <v>264733</v>
          </cell>
          <cell r="L20">
            <v>9124.02</v>
          </cell>
          <cell r="N20">
            <v>9124.02</v>
          </cell>
          <cell r="P20">
            <v>833.8</v>
          </cell>
        </row>
        <row r="21">
          <cell r="C21" t="str">
            <v>Texas A&amp;M University - Kingsville</v>
          </cell>
          <cell r="D21">
            <v>101477</v>
          </cell>
          <cell r="E21">
            <v>53840</v>
          </cell>
          <cell r="F21">
            <v>155317</v>
          </cell>
          <cell r="G21">
            <v>49237</v>
          </cell>
          <cell r="H21">
            <v>3073</v>
          </cell>
          <cell r="I21">
            <v>0</v>
          </cell>
          <cell r="J21">
            <v>0</v>
          </cell>
          <cell r="K21">
            <v>207627</v>
          </cell>
          <cell r="L21">
            <v>7399.5</v>
          </cell>
          <cell r="N21">
            <v>7399.5</v>
          </cell>
          <cell r="P21">
            <v>716.7</v>
          </cell>
        </row>
        <row r="22">
          <cell r="C22" t="str">
            <v>Texas A&amp;M International University</v>
          </cell>
          <cell r="D22">
            <v>92737</v>
          </cell>
          <cell r="E22">
            <v>58054</v>
          </cell>
          <cell r="F22">
            <v>150791</v>
          </cell>
          <cell r="G22">
            <v>13139</v>
          </cell>
          <cell r="H22">
            <v>320</v>
          </cell>
          <cell r="I22">
            <v>0</v>
          </cell>
          <cell r="J22">
            <v>0</v>
          </cell>
          <cell r="K22">
            <v>164250</v>
          </cell>
          <cell r="L22">
            <v>5591.6</v>
          </cell>
          <cell r="N22">
            <v>5591.6</v>
          </cell>
          <cell r="P22">
            <v>474.42</v>
          </cell>
        </row>
        <row r="23">
          <cell r="C23" t="str">
            <v>West Texas A&amp;M University</v>
          </cell>
          <cell r="D23">
            <v>107766</v>
          </cell>
          <cell r="E23">
            <v>77596</v>
          </cell>
          <cell r="F23">
            <v>185362</v>
          </cell>
          <cell r="G23">
            <v>30343</v>
          </cell>
          <cell r="H23">
            <v>191</v>
          </cell>
          <cell r="I23">
            <v>0</v>
          </cell>
          <cell r="J23">
            <v>0</v>
          </cell>
          <cell r="K23">
            <v>215896</v>
          </cell>
          <cell r="L23">
            <v>7453.64</v>
          </cell>
          <cell r="N23">
            <v>7453.64</v>
          </cell>
          <cell r="P23">
            <v>662.44</v>
          </cell>
        </row>
        <row r="24">
          <cell r="C24" t="str">
            <v>Texas A&amp;M University - Commerce</v>
          </cell>
          <cell r="D24">
            <v>91102</v>
          </cell>
          <cell r="E24">
            <v>85817</v>
          </cell>
          <cell r="F24">
            <v>176919</v>
          </cell>
          <cell r="G24">
            <v>70292</v>
          </cell>
          <cell r="H24">
            <v>7750</v>
          </cell>
          <cell r="I24">
            <v>0</v>
          </cell>
          <cell r="J24">
            <v>0</v>
          </cell>
          <cell r="K24">
            <v>254961</v>
          </cell>
          <cell r="L24">
            <v>9256.69</v>
          </cell>
          <cell r="N24">
            <v>9256.69</v>
          </cell>
          <cell r="P24">
            <v>879.08</v>
          </cell>
        </row>
        <row r="25">
          <cell r="C25" t="str">
            <v>Texas A&amp;M University - Texarkana</v>
          </cell>
          <cell r="D25">
            <v>15556</v>
          </cell>
          <cell r="E25">
            <v>17581</v>
          </cell>
          <cell r="F25">
            <v>33137</v>
          </cell>
          <cell r="G25">
            <v>6252</v>
          </cell>
          <cell r="H25">
            <v>66</v>
          </cell>
          <cell r="I25">
            <v>0</v>
          </cell>
          <cell r="J25">
            <v>0</v>
          </cell>
          <cell r="K25">
            <v>39455</v>
          </cell>
          <cell r="L25">
            <v>1368.73</v>
          </cell>
          <cell r="N25">
            <v>1368.73</v>
          </cell>
          <cell r="P25">
            <v>162.88999999999999</v>
          </cell>
        </row>
        <row r="26">
          <cell r="C26" t="str">
            <v>Texas A&amp;M University - Central Texas</v>
          </cell>
          <cell r="D26">
            <v>3295</v>
          </cell>
          <cell r="E26">
            <v>34528</v>
          </cell>
          <cell r="F26">
            <v>37823</v>
          </cell>
          <cell r="G26">
            <v>10067</v>
          </cell>
          <cell r="H26">
            <v>0</v>
          </cell>
          <cell r="I26">
            <v>0</v>
          </cell>
          <cell r="J26">
            <v>0</v>
          </cell>
          <cell r="K26">
            <v>47890</v>
          </cell>
          <cell r="L26">
            <v>1680.23</v>
          </cell>
          <cell r="N26">
            <v>1680.23</v>
          </cell>
          <cell r="P26">
            <v>189.25</v>
          </cell>
        </row>
        <row r="27">
          <cell r="C27" t="str">
            <v>Texas A&amp;M University - San Antonio</v>
          </cell>
          <cell r="D27">
            <v>5475</v>
          </cell>
          <cell r="E27">
            <v>65062</v>
          </cell>
          <cell r="F27">
            <v>70537</v>
          </cell>
          <cell r="G27">
            <v>15761</v>
          </cell>
          <cell r="H27">
            <v>0</v>
          </cell>
          <cell r="I27">
            <v>0</v>
          </cell>
          <cell r="J27">
            <v>0</v>
          </cell>
          <cell r="K27">
            <v>86298</v>
          </cell>
          <cell r="L27">
            <v>3007.94</v>
          </cell>
          <cell r="N27">
            <v>3007.94</v>
          </cell>
          <cell r="P27">
            <v>144.03</v>
          </cell>
        </row>
        <row r="28">
          <cell r="C28" t="str">
            <v>University of Houston</v>
          </cell>
          <cell r="D28">
            <v>455314</v>
          </cell>
          <cell r="E28">
            <v>365168</v>
          </cell>
          <cell r="F28">
            <v>820482</v>
          </cell>
          <cell r="G28">
            <v>88119</v>
          </cell>
          <cell r="H28">
            <v>29124</v>
          </cell>
          <cell r="I28">
            <v>38009</v>
          </cell>
          <cell r="J28">
            <v>16110</v>
          </cell>
          <cell r="K28">
            <v>991844</v>
          </cell>
          <cell r="L28">
            <v>34696.559999999998</v>
          </cell>
          <cell r="N28">
            <v>34696.559999999998</v>
          </cell>
          <cell r="P28">
            <v>3202.98</v>
          </cell>
        </row>
        <row r="29">
          <cell r="C29" t="str">
            <v>University of Houston - Clear Lake</v>
          </cell>
          <cell r="D29">
            <v>21364</v>
          </cell>
          <cell r="E29">
            <v>90978</v>
          </cell>
          <cell r="F29">
            <v>112342</v>
          </cell>
          <cell r="G29">
            <v>56623</v>
          </cell>
          <cell r="H29">
            <v>1380</v>
          </cell>
          <cell r="I29">
            <v>0</v>
          </cell>
          <cell r="J29">
            <v>0</v>
          </cell>
          <cell r="K29">
            <v>170345</v>
          </cell>
          <cell r="L29">
            <v>6180.69</v>
          </cell>
          <cell r="N29">
            <v>6180.69</v>
          </cell>
          <cell r="P29">
            <v>670.08</v>
          </cell>
        </row>
        <row r="30">
          <cell r="C30" t="str">
            <v>University of Houston - Downtown</v>
          </cell>
          <cell r="D30">
            <v>137124</v>
          </cell>
          <cell r="E30">
            <v>142954</v>
          </cell>
          <cell r="F30">
            <v>280078</v>
          </cell>
          <cell r="G30">
            <v>10954</v>
          </cell>
          <cell r="H30">
            <v>0</v>
          </cell>
          <cell r="I30">
            <v>0</v>
          </cell>
          <cell r="J30">
            <v>0</v>
          </cell>
          <cell r="K30">
            <v>291032</v>
          </cell>
          <cell r="L30">
            <v>9792.35</v>
          </cell>
          <cell r="N30">
            <v>9792.35</v>
          </cell>
          <cell r="P30">
            <v>860.42000000000007</v>
          </cell>
        </row>
        <row r="31">
          <cell r="C31" t="str">
            <v>University of Houston - Victoria</v>
          </cell>
          <cell r="D31">
            <v>21420</v>
          </cell>
          <cell r="E31">
            <v>47082</v>
          </cell>
          <cell r="F31">
            <v>68502</v>
          </cell>
          <cell r="G31">
            <v>20310</v>
          </cell>
          <cell r="H31">
            <v>0</v>
          </cell>
          <cell r="I31">
            <v>0</v>
          </cell>
          <cell r="J31">
            <v>0</v>
          </cell>
          <cell r="K31">
            <v>88812</v>
          </cell>
          <cell r="L31">
            <v>3129.65</v>
          </cell>
          <cell r="N31">
            <v>3129.65</v>
          </cell>
          <cell r="P31">
            <v>298.13</v>
          </cell>
        </row>
        <row r="32">
          <cell r="C32" t="str">
            <v xml:space="preserve">Lamar University </v>
          </cell>
          <cell r="D32">
            <v>138713</v>
          </cell>
          <cell r="E32">
            <v>83599</v>
          </cell>
          <cell r="F32">
            <v>222312</v>
          </cell>
          <cell r="G32">
            <v>119202</v>
          </cell>
          <cell r="H32">
            <v>7722</v>
          </cell>
          <cell r="I32">
            <v>0</v>
          </cell>
          <cell r="J32">
            <v>0</v>
          </cell>
          <cell r="K32">
            <v>349236</v>
          </cell>
          <cell r="L32">
            <v>12806.15</v>
          </cell>
          <cell r="N32">
            <v>12806.15</v>
          </cell>
          <cell r="P32">
            <v>958.08</v>
          </cell>
        </row>
        <row r="33">
          <cell r="C33" t="str">
            <v>Sam Houston State University</v>
          </cell>
          <cell r="D33">
            <v>262531</v>
          </cell>
          <cell r="E33">
            <v>183402</v>
          </cell>
          <cell r="F33">
            <v>445933</v>
          </cell>
          <cell r="G33">
            <v>38683</v>
          </cell>
          <cell r="H33">
            <v>3525</v>
          </cell>
          <cell r="I33">
            <v>0</v>
          </cell>
          <cell r="J33">
            <v>0</v>
          </cell>
          <cell r="K33">
            <v>488141</v>
          </cell>
          <cell r="L33">
            <v>16672.060000000001</v>
          </cell>
          <cell r="N33">
            <v>16672.060000000001</v>
          </cell>
          <cell r="P33">
            <v>1356.52</v>
          </cell>
        </row>
        <row r="34">
          <cell r="C34" t="str">
            <v>Texas State University</v>
          </cell>
          <cell r="D34">
            <v>512358</v>
          </cell>
          <cell r="E34">
            <v>313495</v>
          </cell>
          <cell r="F34">
            <v>825853</v>
          </cell>
          <cell r="G34">
            <v>64739</v>
          </cell>
          <cell r="H34">
            <v>5041</v>
          </cell>
          <cell r="I34">
            <v>3872</v>
          </cell>
          <cell r="J34">
            <v>0</v>
          </cell>
          <cell r="K34">
            <v>899505</v>
          </cell>
          <cell r="L34">
            <v>30667.279999999999</v>
          </cell>
          <cell r="N34">
            <v>30667.279999999999</v>
          </cell>
          <cell r="P34">
            <v>2179.29</v>
          </cell>
        </row>
        <row r="35">
          <cell r="C35" t="str">
            <v>SUL ROSS RIO GRANDE COLLEGE</v>
          </cell>
          <cell r="D35">
            <v>1051</v>
          </cell>
          <cell r="E35">
            <v>13322</v>
          </cell>
          <cell r="F35">
            <v>14373</v>
          </cell>
          <cell r="G35">
            <v>2853</v>
          </cell>
          <cell r="H35">
            <v>0</v>
          </cell>
          <cell r="I35">
            <v>0</v>
          </cell>
          <cell r="J35">
            <v>0</v>
          </cell>
          <cell r="K35">
            <v>17226</v>
          </cell>
          <cell r="L35">
            <v>597.98</v>
          </cell>
          <cell r="N35">
            <v>597.98</v>
          </cell>
          <cell r="P35">
            <v>64.349999999999994</v>
          </cell>
        </row>
        <row r="36">
          <cell r="C36" t="str">
            <v>Sul Ross State University</v>
          </cell>
          <cell r="D36">
            <v>25740</v>
          </cell>
          <cell r="E36">
            <v>7387</v>
          </cell>
          <cell r="F36">
            <v>33127</v>
          </cell>
          <cell r="G36">
            <v>10144</v>
          </cell>
          <cell r="H36">
            <v>0</v>
          </cell>
          <cell r="I36">
            <v>0</v>
          </cell>
          <cell r="J36">
            <v>0</v>
          </cell>
          <cell r="K36">
            <v>43271</v>
          </cell>
          <cell r="L36">
            <v>1526.9</v>
          </cell>
          <cell r="N36">
            <v>1526.9</v>
          </cell>
          <cell r="O36">
            <v>2124.88</v>
          </cell>
          <cell r="P36">
            <v>200.92000000000002</v>
          </cell>
          <cell r="Q36">
            <v>265.27</v>
          </cell>
          <cell r="S36">
            <v>0</v>
          </cell>
        </row>
        <row r="37">
          <cell r="C37" t="str">
            <v>Texas Tech University</v>
          </cell>
          <cell r="D37">
            <v>485733</v>
          </cell>
          <cell r="E37">
            <v>272991</v>
          </cell>
          <cell r="F37">
            <v>758724</v>
          </cell>
          <cell r="G37">
            <v>66223</v>
          </cell>
          <cell r="H37">
            <v>41222</v>
          </cell>
          <cell r="I37">
            <v>18521</v>
          </cell>
          <cell r="J37">
            <v>0</v>
          </cell>
          <cell r="K37">
            <v>884690</v>
          </cell>
          <cell r="L37">
            <v>31111.91</v>
          </cell>
          <cell r="N37">
            <v>31111.91</v>
          </cell>
          <cell r="P37">
            <v>3411.62</v>
          </cell>
        </row>
        <row r="38">
          <cell r="C38" t="str">
            <v>Angelo State University</v>
          </cell>
          <cell r="D38">
            <v>98349</v>
          </cell>
          <cell r="E38">
            <v>43243</v>
          </cell>
          <cell r="F38">
            <v>141592</v>
          </cell>
          <cell r="G38">
            <v>16147</v>
          </cell>
          <cell r="H38">
            <v>0</v>
          </cell>
          <cell r="I38">
            <v>2146</v>
          </cell>
          <cell r="J38">
            <v>0</v>
          </cell>
          <cell r="K38">
            <v>159885</v>
          </cell>
          <cell r="L38">
            <v>5481.94</v>
          </cell>
          <cell r="N38">
            <v>5481.94</v>
          </cell>
          <cell r="P38">
            <v>574.16999999999996</v>
          </cell>
        </row>
        <row r="39">
          <cell r="C39" t="str">
            <v>University of North Texas</v>
          </cell>
          <cell r="D39">
            <v>446956</v>
          </cell>
          <cell r="E39">
            <v>327463</v>
          </cell>
          <cell r="F39">
            <v>774419</v>
          </cell>
          <cell r="G39">
            <v>73777</v>
          </cell>
          <cell r="H39">
            <v>24335</v>
          </cell>
          <cell r="I39">
            <v>1439</v>
          </cell>
          <cell r="J39">
            <v>0</v>
          </cell>
          <cell r="K39">
            <v>873970</v>
          </cell>
          <cell r="L39">
            <v>30299.91</v>
          </cell>
          <cell r="N39">
            <v>30299.91</v>
          </cell>
          <cell r="P39">
            <v>2269.58</v>
          </cell>
        </row>
        <row r="40">
          <cell r="C40" t="str">
            <v>University of North Texas at Dallas</v>
          </cell>
          <cell r="D40">
            <v>16656</v>
          </cell>
          <cell r="E40">
            <v>25509</v>
          </cell>
          <cell r="F40">
            <v>42165</v>
          </cell>
          <cell r="G40">
            <v>4695</v>
          </cell>
          <cell r="H40">
            <v>0</v>
          </cell>
          <cell r="I40">
            <v>0</v>
          </cell>
          <cell r="J40">
            <v>0</v>
          </cell>
          <cell r="K40">
            <v>46860</v>
          </cell>
          <cell r="L40">
            <v>1601.13</v>
          </cell>
          <cell r="N40">
            <v>1601.13</v>
          </cell>
          <cell r="P40">
            <v>287.27999999999997</v>
          </cell>
        </row>
        <row r="41">
          <cell r="C41" t="str">
            <v>Midwestern State University</v>
          </cell>
          <cell r="D41">
            <v>79508</v>
          </cell>
          <cell r="E41">
            <v>46958</v>
          </cell>
          <cell r="F41">
            <v>126466</v>
          </cell>
          <cell r="G41">
            <v>9407</v>
          </cell>
          <cell r="H41">
            <v>0</v>
          </cell>
          <cell r="I41">
            <v>0</v>
          </cell>
          <cell r="J41">
            <v>0</v>
          </cell>
          <cell r="K41">
            <v>135873</v>
          </cell>
          <cell r="L41">
            <v>4607.49</v>
          </cell>
          <cell r="N41">
            <v>4607.49</v>
          </cell>
          <cell r="P41">
            <v>511.28999999999996</v>
          </cell>
        </row>
        <row r="42">
          <cell r="C42" t="str">
            <v>Stephen F. Austin State University</v>
          </cell>
          <cell r="D42">
            <v>183974</v>
          </cell>
          <cell r="E42">
            <v>101990</v>
          </cell>
          <cell r="F42">
            <v>285964</v>
          </cell>
          <cell r="G42">
            <v>26815</v>
          </cell>
          <cell r="H42">
            <v>1265</v>
          </cell>
          <cell r="I42">
            <v>0</v>
          </cell>
          <cell r="J42">
            <v>0</v>
          </cell>
          <cell r="K42">
            <v>314044</v>
          </cell>
          <cell r="L42">
            <v>10719.7</v>
          </cell>
          <cell r="N42">
            <v>10719.7</v>
          </cell>
          <cell r="P42">
            <v>1170.46</v>
          </cell>
        </row>
        <row r="43">
          <cell r="C43" t="str">
            <v>Texas Southern University</v>
          </cell>
          <cell r="D43">
            <v>129088</v>
          </cell>
          <cell r="E43">
            <v>49043</v>
          </cell>
          <cell r="F43">
            <v>178131</v>
          </cell>
          <cell r="G43">
            <v>18370</v>
          </cell>
          <cell r="H43">
            <v>2945</v>
          </cell>
          <cell r="I43">
            <v>29141</v>
          </cell>
          <cell r="J43">
            <v>0</v>
          </cell>
          <cell r="K43">
            <v>228587</v>
          </cell>
          <cell r="L43">
            <v>8080.94</v>
          </cell>
          <cell r="N43">
            <v>8080.94</v>
          </cell>
          <cell r="P43">
            <v>918.94</v>
          </cell>
        </row>
        <row r="44">
          <cell r="C44" t="str">
            <v>Texas Woman's University</v>
          </cell>
          <cell r="D44">
            <v>119823</v>
          </cell>
          <cell r="E44">
            <v>113193</v>
          </cell>
          <cell r="F44">
            <v>233016</v>
          </cell>
          <cell r="G44">
            <v>75148</v>
          </cell>
          <cell r="H44">
            <v>10177</v>
          </cell>
          <cell r="I44">
            <v>9388</v>
          </cell>
          <cell r="J44">
            <v>0</v>
          </cell>
          <cell r="K44">
            <v>327729</v>
          </cell>
          <cell r="L44">
            <v>11854.92</v>
          </cell>
          <cell r="N44">
            <v>11854.92</v>
          </cell>
          <cell r="P44">
            <v>1295.8600000000001</v>
          </cell>
        </row>
        <row r="45">
          <cell r="C45" t="str">
            <v>UNT School of Law</v>
          </cell>
          <cell r="D45">
            <v>0</v>
          </cell>
          <cell r="E45">
            <v>0</v>
          </cell>
          <cell r="F45">
            <v>0</v>
          </cell>
          <cell r="G45">
            <v>0</v>
          </cell>
          <cell r="H45">
            <v>0</v>
          </cell>
          <cell r="I45">
            <v>4270</v>
          </cell>
          <cell r="J45">
            <v>0</v>
          </cell>
          <cell r="K45">
            <v>4270</v>
          </cell>
          <cell r="L45">
            <v>177.92</v>
          </cell>
        </row>
        <row r="47">
          <cell r="C47" t="str">
            <v>TOTAL</v>
          </cell>
          <cell r="D47">
            <v>6711343</v>
          </cell>
          <cell r="E47">
            <v>4979966</v>
          </cell>
          <cell r="F47">
            <v>11691309</v>
          </cell>
          <cell r="G47">
            <v>1668745</v>
          </cell>
          <cell r="H47">
            <v>356851</v>
          </cell>
          <cell r="I47">
            <v>178080</v>
          </cell>
          <cell r="J47">
            <v>16110</v>
          </cell>
          <cell r="K47">
            <v>13911095</v>
          </cell>
          <cell r="L47">
            <v>486960.24999999994</v>
          </cell>
          <cell r="N47">
            <v>486782.32999999996</v>
          </cell>
          <cell r="P47">
            <v>45899.650000000009</v>
          </cell>
        </row>
      </sheetData>
      <sheetData sheetId="17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Acad Space Model"/>
      <sheetName val="Almanac"/>
      <sheetName val="Univ_Research"/>
      <sheetName val="Univ Research NA"/>
      <sheetName val="Healthcare"/>
      <sheetName val="List RR"/>
      <sheetName val="List"/>
      <sheetName val="Areo"/>
      <sheetName val="Summary"/>
      <sheetName val="ARL"/>
      <sheetName val="ARLRR"/>
      <sheetName val="AUS1"/>
      <sheetName val="DAL"/>
      <sheetName val="DALRR"/>
      <sheetName val="E-P"/>
      <sheetName val="E-PRR"/>
      <sheetName val="RGV1"/>
      <sheetName val="RGV1-RR"/>
      <sheetName val="P-B"/>
      <sheetName val="P-BRR"/>
      <sheetName val="S-A"/>
      <sheetName val="S-ARR"/>
      <sheetName val="TYL"/>
      <sheetName val="TYLRR"/>
      <sheetName val="TAMUComb"/>
      <sheetName val="TAMUG"/>
      <sheetName val="TAMUGRR"/>
      <sheetName val="PVAMU"/>
      <sheetName val="PVAMURR"/>
      <sheetName val="TARLST"/>
      <sheetName val="TARLSTRR"/>
      <sheetName val="TAMUCC"/>
      <sheetName val="TAMUCCRR"/>
      <sheetName val="TAMUK"/>
      <sheetName val="TAMUKRR"/>
      <sheetName val="TAMIU"/>
      <sheetName val="TAMIURR"/>
      <sheetName val="WTAMU"/>
      <sheetName val="WTAMURR"/>
      <sheetName val="TAMUC"/>
      <sheetName val="TAMUCRR"/>
      <sheetName val="TAMUT"/>
      <sheetName val="TAMUTRR"/>
      <sheetName val="TAMUCT"/>
      <sheetName val="TAMUCTRR"/>
      <sheetName val="TAMUSA"/>
      <sheetName val="TAMUSARR"/>
      <sheetName val="UH"/>
      <sheetName val="UHRR"/>
      <sheetName val="UHCL"/>
      <sheetName val="UHCLRR"/>
      <sheetName val="UHD"/>
      <sheetName val="UHDRR"/>
      <sheetName val="UHV"/>
      <sheetName val="UHVRR"/>
      <sheetName val="LU"/>
      <sheetName val="LURR"/>
      <sheetName val="SHSU"/>
      <sheetName val="SHSURR"/>
      <sheetName val="TXST"/>
      <sheetName val="TXSTRR"/>
      <sheetName val="SRSU"/>
      <sheetName val="SRSURR"/>
      <sheetName val="TTU"/>
      <sheetName val="TTURR"/>
      <sheetName val="ASU"/>
      <sheetName val="ASURR"/>
      <sheetName val="UNT"/>
      <sheetName val="UNTRR"/>
      <sheetName val="UNTD"/>
      <sheetName val="UNTDRR"/>
      <sheetName val="MidWST"/>
      <sheetName val="MidWSTRR"/>
      <sheetName val="SFA"/>
      <sheetName val="SFARR"/>
      <sheetName val="TSU"/>
      <sheetName val="TSURR"/>
      <sheetName val="TWU"/>
      <sheetName val="TWURR"/>
      <sheetName val="Blank"/>
      <sheetName val="TAMU Smmy"/>
      <sheetName val="TAMU"/>
      <sheetName val="TAR"/>
      <sheetName val="TAES"/>
      <sheetName val="TEES1"/>
      <sheetName val="TEES2"/>
      <sheetName val="TFS"/>
      <sheetName val="TTI"/>
      <sheetName val="TVMDL"/>
      <sheetName val="TAMRF"/>
      <sheetName val="TAMSR"/>
      <sheetName val="TAMTC"/>
      <sheetName val="TAMUS"/>
      <sheetName val="AUS"/>
      <sheetName val="RGV"/>
      <sheetName val="RGV-RR"/>
      <sheetName val="Input"/>
      <sheetName val="Names"/>
      <sheetName val="FTSE"/>
      <sheetName val="PeerGroups"/>
      <sheetName val="SystemGroups"/>
      <sheetName val="Balancing"/>
      <sheetName val="TAMU Smmy (2)"/>
      <sheetName val="Summary (2)"/>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ow r="8">
          <cell r="C8" t="str">
            <v>The University of Texas at Arlington</v>
          </cell>
          <cell r="R8">
            <v>508.9</v>
          </cell>
        </row>
        <row r="9">
          <cell r="C9" t="str">
            <v>The University of Texas at Austin -  All Disciplines (A+H+M)</v>
          </cell>
          <cell r="R9">
            <v>1673.98</v>
          </cell>
        </row>
        <row r="10">
          <cell r="C10" t="str">
            <v>The University of Texas at Dallas</v>
          </cell>
          <cell r="R10">
            <v>480</v>
          </cell>
        </row>
        <row r="11">
          <cell r="C11" t="str">
            <v>The University of Texas at El Paso</v>
          </cell>
          <cell r="R11">
            <v>458.88</v>
          </cell>
        </row>
        <row r="12">
          <cell r="C12" t="str">
            <v>The University of Texas RGV - All Disciplines (A+H+M)</v>
          </cell>
          <cell r="R12">
            <v>400.05</v>
          </cell>
        </row>
        <row r="13">
          <cell r="C13" t="str">
            <v>The University of Texas of the Permian Basin</v>
          </cell>
          <cell r="R13">
            <v>83.8</v>
          </cell>
        </row>
        <row r="14">
          <cell r="C14" t="str">
            <v>The University of Texas at San Antonio</v>
          </cell>
          <cell r="R14">
            <v>574.04</v>
          </cell>
        </row>
        <row r="15">
          <cell r="C15" t="str">
            <v>The University of Texas at Tyler</v>
          </cell>
          <cell r="R15">
            <v>204.68</v>
          </cell>
        </row>
        <row r="16">
          <cell r="C16" t="str">
            <v>Texas A&amp;M University</v>
          </cell>
          <cell r="R16">
            <v>1562.55</v>
          </cell>
        </row>
        <row r="17">
          <cell r="C17" t="str">
            <v>Texas A&amp;M University at Galveston</v>
          </cell>
          <cell r="R17">
            <v>54.25</v>
          </cell>
        </row>
        <row r="18">
          <cell r="C18" t="str">
            <v>Prairie View A &amp; M University</v>
          </cell>
          <cell r="R18">
            <v>182.33</v>
          </cell>
        </row>
        <row r="19">
          <cell r="C19" t="str">
            <v>Tarleton State University</v>
          </cell>
          <cell r="R19">
            <v>249.24</v>
          </cell>
        </row>
        <row r="20">
          <cell r="C20" t="str">
            <v>Texas A&amp;M University - Corpus Christi</v>
          </cell>
          <cell r="R20">
            <v>197.46</v>
          </cell>
        </row>
        <row r="21">
          <cell r="C21" t="str">
            <v>Texas A&amp;M University - Kingsville</v>
          </cell>
          <cell r="R21">
            <v>223.37</v>
          </cell>
        </row>
        <row r="22">
          <cell r="C22" t="str">
            <v>Texas A&amp;M International University</v>
          </cell>
          <cell r="R22">
            <v>132.53</v>
          </cell>
        </row>
        <row r="23">
          <cell r="C23" t="str">
            <v>West Texas A&amp;M University</v>
          </cell>
          <cell r="R23">
            <v>150.59</v>
          </cell>
        </row>
        <row r="24">
          <cell r="C24" t="str">
            <v>Texas A&amp;M University - Commerce</v>
          </cell>
          <cell r="R24">
            <v>237.19</v>
          </cell>
        </row>
        <row r="25">
          <cell r="C25" t="str">
            <v>Texas A&amp;M University - Texarkana</v>
          </cell>
          <cell r="R25">
            <v>59.1</v>
          </cell>
        </row>
        <row r="26">
          <cell r="C26" t="str">
            <v>Texas A&amp;M University - Central Texas</v>
          </cell>
          <cell r="R26">
            <v>67</v>
          </cell>
        </row>
        <row r="27">
          <cell r="C27" t="str">
            <v>Texas A&amp;M University - San Antonio</v>
          </cell>
          <cell r="R27">
            <v>71.25</v>
          </cell>
        </row>
        <row r="28">
          <cell r="C28" t="str">
            <v>University of Houston</v>
          </cell>
          <cell r="R28">
            <v>899.58</v>
          </cell>
        </row>
        <row r="29">
          <cell r="C29" t="str">
            <v>University of Houston - Clear Lake</v>
          </cell>
          <cell r="R29">
            <v>243.2</v>
          </cell>
        </row>
        <row r="30">
          <cell r="C30" t="str">
            <v>University of Houston - Downtown</v>
          </cell>
          <cell r="R30">
            <v>217.99</v>
          </cell>
        </row>
        <row r="31">
          <cell r="C31" t="str">
            <v>University of Houston - Victoria</v>
          </cell>
          <cell r="R31">
            <v>90</v>
          </cell>
        </row>
        <row r="32">
          <cell r="C32" t="str">
            <v xml:space="preserve">Lamar University </v>
          </cell>
          <cell r="R32">
            <v>296</v>
          </cell>
        </row>
        <row r="33">
          <cell r="C33" t="str">
            <v>Sam Houston State University</v>
          </cell>
          <cell r="R33">
            <v>392.31</v>
          </cell>
        </row>
        <row r="34">
          <cell r="C34" t="str">
            <v>Texas State University</v>
          </cell>
          <cell r="R34">
            <v>484.94</v>
          </cell>
        </row>
        <row r="35">
          <cell r="C35" t="str">
            <v>Sul Ross State University - Rio Grande</v>
          </cell>
          <cell r="R35">
            <v>25.8</v>
          </cell>
        </row>
        <row r="36">
          <cell r="C36" t="str">
            <v>Sul Ross State University</v>
          </cell>
          <cell r="Q36">
            <v>0</v>
          </cell>
          <cell r="R36">
            <v>62.31</v>
          </cell>
          <cell r="S36">
            <v>88.11</v>
          </cell>
        </row>
        <row r="37">
          <cell r="C37" t="str">
            <v>Texas Tech University</v>
          </cell>
          <cell r="R37">
            <v>975.38</v>
          </cell>
        </row>
        <row r="38">
          <cell r="C38" t="str">
            <v>Angelo State University</v>
          </cell>
          <cell r="R38">
            <v>179.41</v>
          </cell>
        </row>
        <row r="39">
          <cell r="C39" t="str">
            <v>University of North Texas</v>
          </cell>
          <cell r="R39">
            <v>534.48</v>
          </cell>
        </row>
        <row r="40">
          <cell r="C40" t="str">
            <v>University of North Texas at Dallas</v>
          </cell>
          <cell r="R40">
            <v>35.25</v>
          </cell>
        </row>
        <row r="41">
          <cell r="C41" t="str">
            <v>Midwestern State University</v>
          </cell>
          <cell r="R41">
            <v>180.9</v>
          </cell>
        </row>
        <row r="42">
          <cell r="C42" t="str">
            <v>Stephen F. Austin State University</v>
          </cell>
          <cell r="R42">
            <v>378.04</v>
          </cell>
        </row>
        <row r="43">
          <cell r="C43" t="str">
            <v>Texas Southern University</v>
          </cell>
          <cell r="R43">
            <v>246.03</v>
          </cell>
        </row>
        <row r="44">
          <cell r="C44" t="str">
            <v>Texas Woman's University</v>
          </cell>
          <cell r="R44">
            <v>304.89999999999998</v>
          </cell>
        </row>
        <row r="47">
          <cell r="R47">
            <v>13117.71</v>
          </cell>
        </row>
        <row r="49">
          <cell r="N49" t="str">
            <v>Not Used for Research</v>
          </cell>
          <cell r="R49">
            <v>13117.71</v>
          </cell>
        </row>
        <row r="50">
          <cell r="O50" t="str">
            <v>Not Used for Research</v>
          </cell>
          <cell r="R50" t="str">
            <v>Fall 2015</v>
          </cell>
          <cell r="S50" t="str">
            <v>Univ. moved to end of semester reporting, so use prior year data.</v>
          </cell>
        </row>
        <row r="51">
          <cell r="S51" t="str">
            <v>FY 16 will use Fall FY 15.</v>
          </cell>
        </row>
        <row r="52">
          <cell r="R52" t="str">
            <v>Checked Ok</v>
          </cell>
        </row>
        <row r="53">
          <cell r="R53">
            <v>42705</v>
          </cell>
        </row>
        <row r="57">
          <cell r="C57" t="str">
            <v>The University of Texas at Austin Medical School (M)</v>
          </cell>
          <cell r="E57" t="str">
            <v>The University of Texas at Austin Medical School (M)</v>
          </cell>
          <cell r="R57">
            <v>23.94</v>
          </cell>
        </row>
        <row r="58">
          <cell r="C58" t="str">
            <v>The University of Texas at Austin - Academic &amp; Health (A+H)</v>
          </cell>
          <cell r="E58" t="str">
            <v>The University of Texas at Austin - Academic &amp; Health (A+H)</v>
          </cell>
          <cell r="R58">
            <v>1650.04</v>
          </cell>
        </row>
        <row r="60">
          <cell r="C60" t="str">
            <v>The University of Texas Rio Grande Valley Medical School (M)</v>
          </cell>
          <cell r="E60" t="str">
            <v>The University of Texas Rio Grande Valley Medical School (M)</v>
          </cell>
          <cell r="R60">
            <v>24</v>
          </cell>
        </row>
        <row r="61">
          <cell r="C61" t="str">
            <v>The University of Texas RGV - Academic &amp; Health (A+H)</v>
          </cell>
          <cell r="E61" t="str">
            <v>The University of Texas RGV - Academic &amp; Health (A+H)</v>
          </cell>
          <cell r="R61">
            <v>376.05</v>
          </cell>
        </row>
      </sheetData>
      <sheetData sheetId="100"/>
      <sheetData sheetId="101"/>
      <sheetData sheetId="102" refreshError="1"/>
      <sheetData sheetId="103" refreshError="1"/>
      <sheetData sheetId="10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
      <sheetName val="Fund Group Detail (FGD)"/>
      <sheetName val="Research"/>
      <sheetName val="Restricted Research"/>
      <sheetName val="Utilities"/>
      <sheetName val="Fnts"/>
      <sheetName val="Names"/>
      <sheetName val="RE Output"/>
      <sheetName val="Data Out"/>
    </sheetNames>
    <sheetDataSet>
      <sheetData sheetId="0" refreshError="1"/>
      <sheetData sheetId="1" refreshError="1"/>
      <sheetData sheetId="2" refreshError="1"/>
      <sheetData sheetId="3" refreshError="1"/>
      <sheetData sheetId="4" refreshError="1"/>
      <sheetData sheetId="5" refreshError="1"/>
      <sheetData sheetId="6">
        <row r="11">
          <cell r="B11" t="str">
            <v>The University of Texas System</v>
          </cell>
        </row>
        <row r="12">
          <cell r="B12" t="str">
            <v>The University of Texas at Arlington</v>
          </cell>
        </row>
        <row r="13">
          <cell r="B13" t="str">
            <v>The University of Texas at Austin</v>
          </cell>
        </row>
        <row r="14">
          <cell r="B14" t="str">
            <v>The University of Texas at Dallas</v>
          </cell>
        </row>
        <row r="15">
          <cell r="B15" t="str">
            <v>The University of Texas at El Paso</v>
          </cell>
        </row>
        <row r="16">
          <cell r="B16" t="str">
            <v>The University of Texas - Pan American</v>
          </cell>
        </row>
        <row r="17">
          <cell r="B17" t="str">
            <v xml:space="preserve">The University of Texas at Brownsville </v>
          </cell>
        </row>
        <row r="18">
          <cell r="B18" t="str">
            <v>The University of Texas of the Permian Basin</v>
          </cell>
        </row>
        <row r="19">
          <cell r="B19" t="str">
            <v>The University of Texas at San Antonio</v>
          </cell>
        </row>
        <row r="20">
          <cell r="B20" t="str">
            <v>The University of Texas at Tyler</v>
          </cell>
        </row>
        <row r="21">
          <cell r="B21" t="str">
            <v>Texas A&amp;M University System</v>
          </cell>
        </row>
        <row r="22">
          <cell r="B22" t="str">
            <v>Texas A&amp;M University</v>
          </cell>
        </row>
        <row r="23">
          <cell r="B23" t="str">
            <v>Texas A&amp;M University at Galveston</v>
          </cell>
        </row>
        <row r="24">
          <cell r="B24" t="str">
            <v>Prairie View A&amp;M University</v>
          </cell>
        </row>
        <row r="25">
          <cell r="B25" t="str">
            <v>Tarleton State University</v>
          </cell>
        </row>
        <row r="26">
          <cell r="B26" t="str">
            <v>Texas A&amp;M University - Corpus Christi</v>
          </cell>
        </row>
        <row r="27">
          <cell r="B27" t="str">
            <v>Texas A&amp;M University - Kingsville</v>
          </cell>
        </row>
        <row r="28">
          <cell r="B28" t="str">
            <v>Texas A&amp;M International University</v>
          </cell>
        </row>
        <row r="29">
          <cell r="B29" t="str">
            <v>West Texas A&amp;M University</v>
          </cell>
        </row>
        <row r="30">
          <cell r="B30" t="str">
            <v>Texas A&amp;M University - Commerce</v>
          </cell>
        </row>
        <row r="31">
          <cell r="B31" t="str">
            <v>Texas A&amp;M University - Texarkana</v>
          </cell>
        </row>
        <row r="32">
          <cell r="B32" t="str">
            <v>Texas A&amp;M University - Central Texas</v>
          </cell>
        </row>
        <row r="33">
          <cell r="B33" t="str">
            <v>Texas A&amp;M University - San Antonio</v>
          </cell>
        </row>
        <row r="34">
          <cell r="B34" t="str">
            <v>Texas A&amp;M AgriLife Research</v>
          </cell>
        </row>
        <row r="35">
          <cell r="B35" t="str">
            <v>Texas A&amp;M AgriLife Extension Service</v>
          </cell>
        </row>
        <row r="36">
          <cell r="B36" t="str">
            <v>Texas A&amp;M Engineering Experiment Station</v>
          </cell>
        </row>
        <row r="37">
          <cell r="B37" t="str">
            <v>Texas A&amp;M Engineering Extension Service</v>
          </cell>
        </row>
        <row r="38">
          <cell r="B38" t="str">
            <v>Texas A&amp;M Forest Service</v>
          </cell>
        </row>
        <row r="39">
          <cell r="B39" t="str">
            <v>Texas A&amp;M Transportation Institute</v>
          </cell>
        </row>
        <row r="40">
          <cell r="B40" t="str">
            <v>Texas A&amp;M Vet. Medical Diagnostic Laboratory</v>
          </cell>
        </row>
        <row r="41">
          <cell r="B41" t="str">
            <v>Texas A&amp;M Research Foundation</v>
          </cell>
        </row>
        <row r="42">
          <cell r="B42" t="str">
            <v>University of Houston System</v>
          </cell>
        </row>
        <row r="43">
          <cell r="B43" t="str">
            <v>University of Houston</v>
          </cell>
        </row>
        <row r="44">
          <cell r="B44" t="str">
            <v>University of Houston - Clear Lake</v>
          </cell>
        </row>
        <row r="45">
          <cell r="B45" t="str">
            <v>University of Houston - Downtown</v>
          </cell>
        </row>
        <row r="46">
          <cell r="B46" t="str">
            <v>University of Houston - Victoria</v>
          </cell>
        </row>
        <row r="47">
          <cell r="B47" t="str">
            <v>Texas State System</v>
          </cell>
        </row>
        <row r="48">
          <cell r="B48" t="str">
            <v xml:space="preserve">Lamar University </v>
          </cell>
        </row>
        <row r="49">
          <cell r="B49" t="str">
            <v>Sam Houston State University</v>
          </cell>
        </row>
        <row r="50">
          <cell r="B50" t="str">
            <v>Texas State University</v>
          </cell>
        </row>
        <row r="51">
          <cell r="B51" t="str">
            <v>Sul Ross State University</v>
          </cell>
        </row>
        <row r="52">
          <cell r="B52" t="str">
            <v>Texas Tech University System</v>
          </cell>
        </row>
        <row r="53">
          <cell r="B53" t="str">
            <v>Texas Tech University</v>
          </cell>
        </row>
        <row r="54">
          <cell r="B54" t="str">
            <v>Angelo State University</v>
          </cell>
        </row>
        <row r="55">
          <cell r="B55" t="str">
            <v>University of North Texas System</v>
          </cell>
        </row>
        <row r="56">
          <cell r="B56" t="str">
            <v>University of North Texas</v>
          </cell>
        </row>
        <row r="57">
          <cell r="B57" t="str">
            <v>University of North Texas at Dallas</v>
          </cell>
        </row>
        <row r="58">
          <cell r="B58" t="str">
            <v>Midwestern State University</v>
          </cell>
        </row>
        <row r="59">
          <cell r="B59" t="str">
            <v>Stephen F. Austin State University</v>
          </cell>
        </row>
        <row r="60">
          <cell r="B60" t="str">
            <v>Texas Southern University</v>
          </cell>
        </row>
        <row r="61">
          <cell r="B61" t="str">
            <v>Texas Woman's University</v>
          </cell>
        </row>
        <row r="62">
          <cell r="B62" t="str">
            <v>Lamar Institute of Technology</v>
          </cell>
        </row>
        <row r="63">
          <cell r="B63" t="str">
            <v>Lamar State College - Orange</v>
          </cell>
        </row>
        <row r="64">
          <cell r="B64" t="str">
            <v>Lamar State College - Port Arthur</v>
          </cell>
        </row>
        <row r="65">
          <cell r="B65" t="str">
            <v>Texas State Technical College - Harlingen</v>
          </cell>
        </row>
        <row r="66">
          <cell r="B66" t="str">
            <v>Texas State Technical College - West Texas</v>
          </cell>
        </row>
        <row r="67">
          <cell r="B67" t="str">
            <v>Texas State Technical College - Marshall</v>
          </cell>
        </row>
        <row r="68">
          <cell r="B68" t="str">
            <v>Texas State Technical College - Waco</v>
          </cell>
        </row>
        <row r="69">
          <cell r="B69" t="str">
            <v>Texas State Technical College - System</v>
          </cell>
        </row>
      </sheetData>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Y84"/>
      <sheetName val="FY85"/>
      <sheetName val="FY86"/>
      <sheetName val="FY87"/>
      <sheetName val="FY88"/>
      <sheetName val="FY89"/>
      <sheetName val="FY90"/>
      <sheetName val="FY91"/>
      <sheetName val="FY92"/>
      <sheetName val="FY93"/>
      <sheetName val="FY94"/>
      <sheetName val="FY95"/>
      <sheetName val="FY96"/>
      <sheetName val="FY97"/>
      <sheetName val="FY98"/>
      <sheetName val="FY99"/>
      <sheetName val="FY00"/>
      <sheetName val="FY01"/>
      <sheetName val="FY02"/>
      <sheetName val="FY03"/>
      <sheetName val="FY04"/>
      <sheetName val="FY05"/>
      <sheetName val="FY06"/>
      <sheetName val="FY07"/>
      <sheetName val="FY08"/>
      <sheetName val="FY09"/>
      <sheetName val="Sheet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1">
          <cell r="A1" t="str">
            <v>STATE-FUNDED SEMESTER CREDIT HOURS BY LEVEL</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TArl"/>
      <sheetName val="UTAustin"/>
      <sheetName val="UTDallas"/>
      <sheetName val="UTEP"/>
      <sheetName val="UTPanAm"/>
      <sheetName val="UTBrwnsville"/>
      <sheetName val="UTPB"/>
      <sheetName val="UTSA"/>
      <sheetName val="UTTyler"/>
      <sheetName val="TAMU"/>
      <sheetName val="TAMUG"/>
      <sheetName val="PVAMU"/>
      <sheetName val="Tarleton"/>
      <sheetName val="TAMUCommerce"/>
      <sheetName val="TAMUCorpusChristi"/>
      <sheetName val="TAMUKingsville"/>
      <sheetName val="TAMUInternational"/>
      <sheetName val="TAMUTexarkana"/>
      <sheetName val="WTAMU"/>
      <sheetName val="UH"/>
      <sheetName val="UHClearLake"/>
      <sheetName val="UHDowntown"/>
      <sheetName val="UHVictoria"/>
      <sheetName val="Midwestern"/>
      <sheetName val="UNorthTexas"/>
      <sheetName val="SFASU"/>
      <sheetName val="TSU"/>
      <sheetName val="Tech"/>
      <sheetName val="TWU"/>
      <sheetName val="AngeloState"/>
      <sheetName val="Lamar"/>
      <sheetName val="SamHouston"/>
      <sheetName val="TxStateSanMarcos"/>
      <sheetName val="SulRo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1">
          <cell r="A1" t="str">
            <v>Midwestern State University</v>
          </cell>
        </row>
        <row r="2">
          <cell r="A2" t="str">
            <v>SCHEDULE C-2:  EXPENSES BY OBJECT AND FUND GROUP</v>
          </cell>
          <cell r="AE2" t="str">
            <v>Schcol &amp; Fell</v>
          </cell>
          <cell r="AF2" t="str">
            <v>Schcol &amp; Fell</v>
          </cell>
        </row>
        <row r="3">
          <cell r="A3" t="str">
            <v>For the year ended August 31, 2006</v>
          </cell>
          <cell r="AF3" t="str">
            <v>Allowances</v>
          </cell>
        </row>
        <row r="4">
          <cell r="A4" t="str">
            <v>UNAUDITED</v>
          </cell>
        </row>
        <row r="5">
          <cell r="A5">
            <v>24</v>
          </cell>
        </row>
        <row r="6">
          <cell r="C6" t="str">
            <v>Salaries</v>
          </cell>
          <cell r="E6" t="str">
            <v>Payroll</v>
          </cell>
          <cell r="G6" t="str">
            <v>Costs of</v>
          </cell>
          <cell r="I6" t="str">
            <v>Professional</v>
          </cell>
          <cell r="M6" t="str">
            <v>Materials</v>
          </cell>
          <cell r="S6" t="str">
            <v>Repairs and</v>
          </cell>
          <cell r="U6" t="str">
            <v>Rentals and</v>
          </cell>
          <cell r="W6" t="str">
            <v>Printing and</v>
          </cell>
          <cell r="Y6" t="str">
            <v>Bad Debt</v>
          </cell>
          <cell r="AA6" t="str">
            <v xml:space="preserve">Claims and </v>
          </cell>
          <cell r="AC6" t="str">
            <v>Scholarships</v>
          </cell>
          <cell r="AG6" t="str">
            <v>Depreciation</v>
          </cell>
          <cell r="AI6" t="str">
            <v>Federal Sponsored</v>
          </cell>
          <cell r="AK6" t="str">
            <v>State Sponsored</v>
          </cell>
          <cell r="AM6" t="str">
            <v>Other</v>
          </cell>
          <cell r="AO6" t="str">
            <v>Subtotal</v>
          </cell>
          <cell r="AQ6" t="str">
            <v>Capital</v>
          </cell>
        </row>
        <row r="7">
          <cell r="C7" t="str">
            <v>and Wages</v>
          </cell>
          <cell r="E7" t="str">
            <v>Related Costs</v>
          </cell>
          <cell r="G7" t="str">
            <v>Goods Sold</v>
          </cell>
          <cell r="I7" t="str">
            <v>Fees and Services</v>
          </cell>
          <cell r="K7" t="str">
            <v>Travel</v>
          </cell>
          <cell r="M7" t="str">
            <v>and Supplies</v>
          </cell>
          <cell r="O7" t="str">
            <v>Utilities</v>
          </cell>
          <cell r="Q7" t="str">
            <v>Telecomm</v>
          </cell>
          <cell r="S7" t="str">
            <v>Maintenance</v>
          </cell>
          <cell r="U7" t="str">
            <v>Leases</v>
          </cell>
          <cell r="W7" t="str">
            <v>Reproduction</v>
          </cell>
          <cell r="Y7" t="str">
            <v>Expense</v>
          </cell>
          <cell r="AA7" t="str">
            <v>Losses</v>
          </cell>
          <cell r="AC7" t="str">
            <v>and Fellowships</v>
          </cell>
          <cell r="AG7" t="str">
            <v>and Amortization</v>
          </cell>
          <cell r="AI7" t="str">
            <v>Pass-Throughs</v>
          </cell>
          <cell r="AK7" t="str">
            <v>Pass-Throughs</v>
          </cell>
          <cell r="AM7" t="str">
            <v>Expenses</v>
          </cell>
          <cell r="AO7" t="str">
            <v>Operating Expenses</v>
          </cell>
          <cell r="AQ7" t="str">
            <v>Outlay</v>
          </cell>
          <cell r="AS7" t="str">
            <v>Total</v>
          </cell>
        </row>
        <row r="9">
          <cell r="A9" t="str">
            <v>EDUCATIONAL AND GENERAL</v>
          </cell>
        </row>
        <row r="10">
          <cell r="A10" t="str">
            <v xml:space="preserve">     Instruction</v>
          </cell>
          <cell r="B10" t="str">
            <v>$</v>
          </cell>
        </row>
        <row r="11">
          <cell r="A11" t="str">
            <v xml:space="preserve">     Research</v>
          </cell>
        </row>
        <row r="12">
          <cell r="A12" t="str">
            <v xml:space="preserve">     Public Service</v>
          </cell>
        </row>
        <row r="13">
          <cell r="A13" t="str">
            <v xml:space="preserve">     Hospitals/Clinics</v>
          </cell>
        </row>
        <row r="14">
          <cell r="A14" t="str">
            <v xml:space="preserve">     Academic Support</v>
          </cell>
        </row>
        <row r="15">
          <cell r="A15" t="str">
            <v xml:space="preserve">     Student Services</v>
          </cell>
        </row>
        <row r="16">
          <cell r="A16" t="str">
            <v xml:space="preserve">     Institutional Support</v>
          </cell>
        </row>
        <row r="17">
          <cell r="A17" t="str">
            <v xml:space="preserve">     Operation and Maintenance of Plant</v>
          </cell>
        </row>
        <row r="18">
          <cell r="A18" t="str">
            <v xml:space="preserve">     Scholarships and Fellowships</v>
          </cell>
        </row>
        <row r="19">
          <cell r="A19" t="str">
            <v xml:space="preserve">           Scholarship allowances</v>
          </cell>
        </row>
        <row r="20">
          <cell r="A20" t="str">
            <v xml:space="preserve">     Auxiliary Enterprises</v>
          </cell>
        </row>
        <row r="21">
          <cell r="A21" t="str">
            <v xml:space="preserve">     Amortization</v>
          </cell>
        </row>
        <row r="22">
          <cell r="A22" t="str">
            <v xml:space="preserve">   Total Educational and General</v>
          </cell>
        </row>
        <row r="25">
          <cell r="A25" t="str">
            <v>DESIGNATED</v>
          </cell>
        </row>
        <row r="26">
          <cell r="A26" t="str">
            <v xml:space="preserve">     Instruction</v>
          </cell>
        </row>
        <row r="27">
          <cell r="A27" t="str">
            <v xml:space="preserve">     Research</v>
          </cell>
        </row>
        <row r="28">
          <cell r="A28" t="str">
            <v xml:space="preserve">     Public Service</v>
          </cell>
        </row>
        <row r="29">
          <cell r="A29" t="str">
            <v xml:space="preserve">     Hospitals/Clinics</v>
          </cell>
        </row>
        <row r="30">
          <cell r="A30" t="str">
            <v xml:space="preserve">     Academic Support</v>
          </cell>
        </row>
        <row r="31">
          <cell r="A31" t="str">
            <v xml:space="preserve">     Student Services</v>
          </cell>
        </row>
        <row r="32">
          <cell r="A32" t="str">
            <v xml:space="preserve">     Institutional Support</v>
          </cell>
        </row>
        <row r="33">
          <cell r="A33" t="str">
            <v xml:space="preserve">     Operation and Maintenance of Plant</v>
          </cell>
        </row>
        <row r="34">
          <cell r="A34" t="str">
            <v xml:space="preserve">     Scholarships and Fellowships</v>
          </cell>
        </row>
        <row r="35">
          <cell r="A35" t="str">
            <v xml:space="preserve">          Scholarship Allowances</v>
          </cell>
        </row>
        <row r="36">
          <cell r="A36" t="str">
            <v xml:space="preserve">     Auxiliary Enterprises</v>
          </cell>
        </row>
        <row r="37">
          <cell r="A37" t="str">
            <v xml:space="preserve">     Amortization</v>
          </cell>
        </row>
        <row r="38">
          <cell r="A38" t="str">
            <v xml:space="preserve">   Total Designated</v>
          </cell>
        </row>
        <row r="41">
          <cell r="A41" t="str">
            <v>AUXILIARY ENTERPRISES</v>
          </cell>
        </row>
        <row r="42">
          <cell r="A42" t="str">
            <v xml:space="preserve">     Auxiliary Enterprises</v>
          </cell>
        </row>
        <row r="43">
          <cell r="A43" t="str">
            <v xml:space="preserve">          Scholarship Allowances</v>
          </cell>
        </row>
        <row r="44">
          <cell r="A44" t="str">
            <v xml:space="preserve">   Total Auxiliary Enterprises</v>
          </cell>
        </row>
        <row r="48">
          <cell r="A48" t="str">
            <v>RESTRICTED EXPENDABLE</v>
          </cell>
        </row>
        <row r="49">
          <cell r="A49" t="str">
            <v xml:space="preserve">     Instruction</v>
          </cell>
        </row>
        <row r="50">
          <cell r="A50" t="str">
            <v xml:space="preserve">     Research</v>
          </cell>
        </row>
        <row r="51">
          <cell r="A51" t="str">
            <v xml:space="preserve">     Public Service</v>
          </cell>
        </row>
        <row r="52">
          <cell r="A52" t="str">
            <v xml:space="preserve">     Hospitals/Clinics</v>
          </cell>
        </row>
        <row r="53">
          <cell r="A53" t="str">
            <v xml:space="preserve">     Academic Support</v>
          </cell>
        </row>
        <row r="54">
          <cell r="A54" t="str">
            <v xml:space="preserve">     Student Services</v>
          </cell>
        </row>
        <row r="55">
          <cell r="A55" t="str">
            <v xml:space="preserve">     Institutional Support</v>
          </cell>
        </row>
        <row r="56">
          <cell r="A56" t="str">
            <v xml:space="preserve">     Operation and Maintenance of Plant</v>
          </cell>
        </row>
        <row r="57">
          <cell r="A57" t="str">
            <v xml:space="preserve">     Scholarships and Fellowships</v>
          </cell>
        </row>
        <row r="58">
          <cell r="A58" t="str">
            <v xml:space="preserve">          Scholarship Allowances</v>
          </cell>
        </row>
        <row r="59">
          <cell r="A59" t="str">
            <v xml:space="preserve">     Auxiliary Enterprises</v>
          </cell>
        </row>
        <row r="60">
          <cell r="A60" t="str">
            <v xml:space="preserve">     Amortization</v>
          </cell>
        </row>
        <row r="61">
          <cell r="A61" t="str">
            <v xml:space="preserve">   Total Restricted Expendable</v>
          </cell>
        </row>
        <row r="64">
          <cell r="A64" t="str">
            <v>LOAN FUNDS</v>
          </cell>
        </row>
        <row r="65">
          <cell r="A65" t="str">
            <v xml:space="preserve">     Student Services</v>
          </cell>
        </row>
        <row r="68">
          <cell r="A68" t="str">
            <v>PLANT FUNDS</v>
          </cell>
        </row>
        <row r="69">
          <cell r="A69" t="str">
            <v xml:space="preserve">     Instruction</v>
          </cell>
        </row>
        <row r="70">
          <cell r="A70" t="str">
            <v xml:space="preserve">     Research</v>
          </cell>
        </row>
        <row r="71">
          <cell r="A71" t="str">
            <v xml:space="preserve">     Public Service</v>
          </cell>
        </row>
        <row r="72">
          <cell r="A72" t="str">
            <v xml:space="preserve">     Hospitals/Clinics</v>
          </cell>
        </row>
        <row r="73">
          <cell r="A73" t="str">
            <v xml:space="preserve">     Academic Support</v>
          </cell>
        </row>
        <row r="74">
          <cell r="A74" t="str">
            <v xml:space="preserve">     Student Services</v>
          </cell>
        </row>
        <row r="75">
          <cell r="A75" t="str">
            <v xml:space="preserve">     Institutional Support</v>
          </cell>
        </row>
        <row r="76">
          <cell r="A76" t="str">
            <v xml:space="preserve">     Operation and Maintenance of Plant</v>
          </cell>
        </row>
        <row r="77">
          <cell r="A77" t="str">
            <v xml:space="preserve">     Auxiliary Enterprises</v>
          </cell>
        </row>
        <row r="78">
          <cell r="A78" t="str">
            <v xml:space="preserve">     Depreciation (Investment in Plant)</v>
          </cell>
        </row>
        <row r="79">
          <cell r="A79" t="str">
            <v xml:space="preserve">   Total Plant Funds</v>
          </cell>
        </row>
        <row r="81">
          <cell r="A81" t="str">
            <v>AVAILABLE UNIVERSITY FUND</v>
          </cell>
        </row>
        <row r="82">
          <cell r="A82" t="str">
            <v>TOTAL OPERATING EXPENSES (Exh. B)</v>
          </cell>
          <cell r="B82" t="str">
            <v>$</v>
          </cell>
        </row>
        <row r="84">
          <cell r="A84" t="str">
            <v>Relevant Data Collection Totals</v>
          </cell>
        </row>
        <row r="85">
          <cell r="A85" t="str">
            <v xml:space="preserve">     Instruction</v>
          </cell>
          <cell r="B85" t="str">
            <v>$</v>
          </cell>
        </row>
        <row r="86">
          <cell r="A86" t="str">
            <v xml:space="preserve">     Research</v>
          </cell>
        </row>
        <row r="87">
          <cell r="A87" t="str">
            <v xml:space="preserve">     Public Service</v>
          </cell>
        </row>
        <row r="88">
          <cell r="A88" t="str">
            <v xml:space="preserve">     Hospitals/Clinics</v>
          </cell>
        </row>
        <row r="89">
          <cell r="A89" t="str">
            <v xml:space="preserve">     Academic Support</v>
          </cell>
        </row>
        <row r="90">
          <cell r="A90" t="str">
            <v xml:space="preserve">     Student Services</v>
          </cell>
        </row>
        <row r="91">
          <cell r="A91" t="str">
            <v xml:space="preserve">     Institutional Support</v>
          </cell>
        </row>
        <row r="92">
          <cell r="A92" t="str">
            <v xml:space="preserve">     Operation and Maintenance of Plant</v>
          </cell>
        </row>
        <row r="93">
          <cell r="A93" t="str">
            <v xml:space="preserve">     Scholarships and Fellowships</v>
          </cell>
        </row>
        <row r="94">
          <cell r="A94" t="str">
            <v xml:space="preserve">     Auxiliary Enterprises</v>
          </cell>
        </row>
        <row r="95">
          <cell r="A95" t="str">
            <v xml:space="preserve">     Depreciation (Investment in Plant)</v>
          </cell>
        </row>
        <row r="96">
          <cell r="A96" t="str">
            <v xml:space="preserve">   Totals</v>
          </cell>
          <cell r="B96" t="str">
            <v>$</v>
          </cell>
        </row>
        <row r="98">
          <cell r="A98" t="str">
            <v>Difference</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10.bin"/><Relationship Id="rId4" Type="http://schemas.openxmlformats.org/officeDocument/2006/relationships/comments" Target="../comments2.xml"/></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3" Type="http://schemas.openxmlformats.org/officeDocument/2006/relationships/comments" Target="../comments28.xml"/><Relationship Id="rId2" Type="http://schemas.openxmlformats.org/officeDocument/2006/relationships/vmlDrawing" Target="../drawings/vmlDrawing28.vml"/><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3" Type="http://schemas.openxmlformats.org/officeDocument/2006/relationships/comments" Target="../comments29.xml"/><Relationship Id="rId2" Type="http://schemas.openxmlformats.org/officeDocument/2006/relationships/vmlDrawing" Target="../drawings/vmlDrawing29.vml"/><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3" Type="http://schemas.openxmlformats.org/officeDocument/2006/relationships/comments" Target="../comments30.xml"/><Relationship Id="rId2" Type="http://schemas.openxmlformats.org/officeDocument/2006/relationships/vmlDrawing" Target="../drawings/vmlDrawing30.vml"/><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1.vml"/><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3" Type="http://schemas.openxmlformats.org/officeDocument/2006/relationships/comments" Target="../comments32.xml"/><Relationship Id="rId2" Type="http://schemas.openxmlformats.org/officeDocument/2006/relationships/vmlDrawing" Target="../drawings/vmlDrawing32.vml"/><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3" Type="http://schemas.openxmlformats.org/officeDocument/2006/relationships/comments" Target="../comments33.xml"/><Relationship Id="rId2" Type="http://schemas.openxmlformats.org/officeDocument/2006/relationships/vmlDrawing" Target="../drawings/vmlDrawing33.vml"/><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3" Type="http://schemas.openxmlformats.org/officeDocument/2006/relationships/comments" Target="../comments34.xml"/><Relationship Id="rId2" Type="http://schemas.openxmlformats.org/officeDocument/2006/relationships/vmlDrawing" Target="../drawings/vmlDrawing34.vml"/><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3" Type="http://schemas.openxmlformats.org/officeDocument/2006/relationships/comments" Target="../comments35.xml"/><Relationship Id="rId2" Type="http://schemas.openxmlformats.org/officeDocument/2006/relationships/vmlDrawing" Target="../drawings/vmlDrawing35.vml"/><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3" Type="http://schemas.openxmlformats.org/officeDocument/2006/relationships/comments" Target="../comments36.xml"/><Relationship Id="rId2" Type="http://schemas.openxmlformats.org/officeDocument/2006/relationships/vmlDrawing" Target="../drawings/vmlDrawing36.vml"/><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3" Type="http://schemas.openxmlformats.org/officeDocument/2006/relationships/comments" Target="../comments37.xml"/><Relationship Id="rId2" Type="http://schemas.openxmlformats.org/officeDocument/2006/relationships/vmlDrawing" Target="../drawings/vmlDrawing37.vml"/><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3" Type="http://schemas.openxmlformats.org/officeDocument/2006/relationships/comments" Target="../comments38.xml"/><Relationship Id="rId2" Type="http://schemas.openxmlformats.org/officeDocument/2006/relationships/vmlDrawing" Target="../drawings/vmlDrawing38.vml"/><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3" Type="http://schemas.openxmlformats.org/officeDocument/2006/relationships/comments" Target="../comments39.xml"/><Relationship Id="rId2" Type="http://schemas.openxmlformats.org/officeDocument/2006/relationships/vmlDrawing" Target="../drawings/vmlDrawing39.vml"/><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3" Type="http://schemas.openxmlformats.org/officeDocument/2006/relationships/comments" Target="../comments40.xml"/><Relationship Id="rId2" Type="http://schemas.openxmlformats.org/officeDocument/2006/relationships/vmlDrawing" Target="../drawings/vmlDrawing40.vml"/><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3" Type="http://schemas.openxmlformats.org/officeDocument/2006/relationships/comments" Target="../comments41.xml"/><Relationship Id="rId2" Type="http://schemas.openxmlformats.org/officeDocument/2006/relationships/vmlDrawing" Target="../drawings/vmlDrawing41.vml"/><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158.bin"/></Relationships>
</file>

<file path=xl/worksheets/_rels/sheet159.xml.rels><?xml version="1.0" encoding="UTF-8" standalone="yes"?>
<Relationships xmlns="http://schemas.openxmlformats.org/package/2006/relationships"><Relationship Id="rId3" Type="http://schemas.openxmlformats.org/officeDocument/2006/relationships/comments" Target="../comments42.xml"/><Relationship Id="rId2" Type="http://schemas.openxmlformats.org/officeDocument/2006/relationships/vmlDrawing" Target="../drawings/vmlDrawing42.vml"/><Relationship Id="rId1" Type="http://schemas.openxmlformats.org/officeDocument/2006/relationships/printerSettings" Target="../printerSettings/printerSettings159.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2.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62.bin"/></Relationships>
</file>

<file path=xl/worksheets/_rels/sheet163.xml.rels><?xml version="1.0" encoding="UTF-8" standalone="yes"?>
<Relationships xmlns="http://schemas.openxmlformats.org/package/2006/relationships"><Relationship Id="rId3" Type="http://schemas.openxmlformats.org/officeDocument/2006/relationships/comments" Target="../comments43.xml"/><Relationship Id="rId2" Type="http://schemas.openxmlformats.org/officeDocument/2006/relationships/vmlDrawing" Target="../drawings/vmlDrawing43.vml"/><Relationship Id="rId1" Type="http://schemas.openxmlformats.org/officeDocument/2006/relationships/printerSettings" Target="../printerSettings/printerSettings163.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6.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166.bin"/></Relationships>
</file>

<file path=xl/worksheets/_rels/sheet167.xml.rels><?xml version="1.0" encoding="UTF-8" standalone="yes"?>
<Relationships xmlns="http://schemas.openxmlformats.org/package/2006/relationships"><Relationship Id="rId3" Type="http://schemas.openxmlformats.org/officeDocument/2006/relationships/comments" Target="../comments44.xml"/><Relationship Id="rId2" Type="http://schemas.openxmlformats.org/officeDocument/2006/relationships/vmlDrawing" Target="../drawings/vmlDrawing44.vml"/><Relationship Id="rId1" Type="http://schemas.openxmlformats.org/officeDocument/2006/relationships/printerSettings" Target="../printerSettings/printerSettings167.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170.bin"/></Relationships>
</file>

<file path=xl/worksheets/_rels/sheet171.xml.rels><?xml version="1.0" encoding="UTF-8" standalone="yes"?>
<Relationships xmlns="http://schemas.openxmlformats.org/package/2006/relationships"><Relationship Id="rId3" Type="http://schemas.openxmlformats.org/officeDocument/2006/relationships/comments" Target="../comments45.xml"/><Relationship Id="rId2" Type="http://schemas.openxmlformats.org/officeDocument/2006/relationships/vmlDrawing" Target="../drawings/vmlDrawing45.vml"/><Relationship Id="rId1" Type="http://schemas.openxmlformats.org/officeDocument/2006/relationships/printerSettings" Target="../printerSettings/printerSettings171.bin"/></Relationships>
</file>

<file path=xl/worksheets/_rels/sheet172.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73.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74.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174.bin"/></Relationships>
</file>

<file path=xl/worksheets/_rels/sheet175.xml.rels><?xml version="1.0" encoding="UTF-8" standalone="yes"?>
<Relationships xmlns="http://schemas.openxmlformats.org/package/2006/relationships"><Relationship Id="rId3" Type="http://schemas.openxmlformats.org/officeDocument/2006/relationships/comments" Target="../comments46.xml"/><Relationship Id="rId2" Type="http://schemas.openxmlformats.org/officeDocument/2006/relationships/vmlDrawing" Target="../drawings/vmlDrawing46.vml"/><Relationship Id="rId1" Type="http://schemas.openxmlformats.org/officeDocument/2006/relationships/printerSettings" Target="../printerSettings/printerSettings175.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78.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178.bin"/></Relationships>
</file>

<file path=xl/worksheets/_rels/sheet179.xml.rels><?xml version="1.0" encoding="UTF-8" standalone="yes"?>
<Relationships xmlns="http://schemas.openxmlformats.org/package/2006/relationships"><Relationship Id="rId3" Type="http://schemas.openxmlformats.org/officeDocument/2006/relationships/comments" Target="../comments47.xml"/><Relationship Id="rId2" Type="http://schemas.openxmlformats.org/officeDocument/2006/relationships/vmlDrawing" Target="../drawings/vmlDrawing47.vml"/><Relationship Id="rId1" Type="http://schemas.openxmlformats.org/officeDocument/2006/relationships/printerSettings" Target="../printerSettings/printerSettings179.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82.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182.bin"/></Relationships>
</file>

<file path=xl/worksheets/_rels/sheet183.xml.rels><?xml version="1.0" encoding="UTF-8" standalone="yes"?>
<Relationships xmlns="http://schemas.openxmlformats.org/package/2006/relationships"><Relationship Id="rId3" Type="http://schemas.openxmlformats.org/officeDocument/2006/relationships/comments" Target="../comments48.xml"/><Relationship Id="rId2" Type="http://schemas.openxmlformats.org/officeDocument/2006/relationships/vmlDrawing" Target="../drawings/vmlDrawing48.vml"/><Relationship Id="rId1" Type="http://schemas.openxmlformats.org/officeDocument/2006/relationships/printerSettings" Target="../printerSettings/printerSettings183.bin"/></Relationships>
</file>

<file path=xl/worksheets/_rels/sheet184.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87.xml.rels><?xml version="1.0" encoding="UTF-8" standalone="yes"?>
<Relationships xmlns="http://schemas.openxmlformats.org/package/2006/relationships"><Relationship Id="rId3" Type="http://schemas.openxmlformats.org/officeDocument/2006/relationships/comments" Target="../comments49.xml"/><Relationship Id="rId2" Type="http://schemas.openxmlformats.org/officeDocument/2006/relationships/vmlDrawing" Target="../drawings/vmlDrawing49.vml"/><Relationship Id="rId1" Type="http://schemas.openxmlformats.org/officeDocument/2006/relationships/printerSettings" Target="../printerSettings/printerSettings187.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189.xml.rels><?xml version="1.0" encoding="UTF-8" standalone="yes"?>
<Relationships xmlns="http://schemas.openxmlformats.org/package/2006/relationships"><Relationship Id="rId3" Type="http://schemas.openxmlformats.org/officeDocument/2006/relationships/hyperlink" Target="http://www.txhigheredaccountability.org/AcctPublic/Resources/PeerGroup" TargetMode="External"/><Relationship Id="rId2" Type="http://schemas.openxmlformats.org/officeDocument/2006/relationships/hyperlink" Target="http://www.txhighereddata.org/Interactive/Accountability/MastersReport.pdf" TargetMode="External"/><Relationship Id="rId1" Type="http://schemas.openxmlformats.org/officeDocument/2006/relationships/hyperlink" Target="http://www.thecb.state.tx.us/reports/PDF/3144.PDF?CFID=4700525&amp;CFTOKEN=58412805" TargetMode="External"/><Relationship Id="rId6" Type="http://schemas.openxmlformats.org/officeDocument/2006/relationships/comments" Target="../comments50.xml"/><Relationship Id="rId5" Type="http://schemas.openxmlformats.org/officeDocument/2006/relationships/vmlDrawing" Target="../drawings/vmlDrawing50.vml"/><Relationship Id="rId4" Type="http://schemas.openxmlformats.org/officeDocument/2006/relationships/printerSettings" Target="../printerSettings/printerSettings18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3" Type="http://schemas.openxmlformats.org/officeDocument/2006/relationships/comments" Target="../comments51.xml"/><Relationship Id="rId2" Type="http://schemas.openxmlformats.org/officeDocument/2006/relationships/vmlDrawing" Target="../drawings/vmlDrawing51.vml"/><Relationship Id="rId1" Type="http://schemas.openxmlformats.org/officeDocument/2006/relationships/printerSettings" Target="../printerSettings/printerSettings19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3"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8"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6"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1"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4"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7"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2"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7"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5"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3"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6"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0"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9"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6"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1"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4"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2"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5"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5"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3"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8"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0"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9"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1"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4"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9"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4"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2"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7"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0"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5" Type="http://schemas.openxmlformats.org/officeDocument/2006/relationships/printerSettings" Target="../printerSettings/printerSettings21.bin"/><Relationship Id="rId8"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3"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8"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6"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1"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4"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7"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2"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7"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5"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3"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6"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0"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9"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6"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1"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4"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2"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7" Type="http://schemas.openxmlformats.org/officeDocument/2006/relationships/comments" Target="../comments8.xml"/><Relationship Id="rId5"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5"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3"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8"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6" Type="http://schemas.openxmlformats.org/officeDocument/2006/relationships/vmlDrawing" Target="../drawings/vmlDrawing8.vml"/><Relationship Id="rId10"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9"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1"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4"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9"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14"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2"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27"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0"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5" Type="http://schemas.openxmlformats.org/officeDocument/2006/relationships/printerSettings" Target="../printerSettings/printerSettings23.bin"/><Relationship Id="rId8"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 Id="rId3" Type="http://schemas.openxmlformats.org/officeDocument/2006/relationships/externalLinkPath" Target="file:///\\THECB-AUVFS41\UserDoc$\BuchananJS\My%20Documents\Sources%20&amp;%20Uses\Univ%20-%20Sources%20&amp;%20Uses%20FY%202007\0%20-%20All%20Univ%20S%20&amp;%20U%20FY%202006%20-%20FINAL-2%20-%20Old%20Tab%20Names.xls" TargetMode="Externa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3" Type="http://schemas.openxmlformats.org/officeDocument/2006/relationships/comments" Target="../comments25.xml"/><Relationship Id="rId2" Type="http://schemas.openxmlformats.org/officeDocument/2006/relationships/vmlDrawing" Target="../drawings/vmlDrawing25.v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3" Type="http://schemas.openxmlformats.org/officeDocument/2006/relationships/comments" Target="../comments26.xml"/><Relationship Id="rId2" Type="http://schemas.openxmlformats.org/officeDocument/2006/relationships/vmlDrawing" Target="../drawings/vmlDrawing26.vml"/><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3" Type="http://schemas.openxmlformats.org/officeDocument/2006/relationships/comments" Target="../comments27.xml"/><Relationship Id="rId2" Type="http://schemas.openxmlformats.org/officeDocument/2006/relationships/vmlDrawing" Target="../drawings/vmlDrawing27.vml"/><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B1:J826"/>
  <sheetViews>
    <sheetView showGridLines="0" tabSelected="1" workbookViewId="0">
      <pane xSplit="2" ySplit="7" topLeftCell="C8" activePane="bottomRight" state="frozen"/>
      <selection activeCell="G3" sqref="G3"/>
      <selection pane="topRight" activeCell="G3" sqref="G3"/>
      <selection pane="bottomLeft" activeCell="G3" sqref="G3"/>
      <selection pane="bottomRight" activeCell="B4" sqref="B4"/>
    </sheetView>
  </sheetViews>
  <sheetFormatPr defaultRowHeight="12.75" outlineLevelRow="1"/>
  <cols>
    <col min="1" max="1" width="3.140625" customWidth="1"/>
    <col min="2" max="2" width="58.85546875" style="12" customWidth="1"/>
    <col min="3" max="3" width="8.7109375" style="820" customWidth="1"/>
    <col min="4" max="4" width="14" style="820" customWidth="1"/>
    <col min="5" max="5" width="8.140625" style="820" customWidth="1"/>
    <col min="6" max="6" width="9.140625" style="839"/>
    <col min="7" max="7" width="2.42578125" style="514" customWidth="1"/>
    <col min="8" max="8" width="22.140625" style="53" customWidth="1"/>
    <col min="9" max="9" width="15.85546875" style="53" customWidth="1"/>
    <col min="10" max="10" width="28.85546875" style="53" customWidth="1"/>
  </cols>
  <sheetData>
    <row r="1" spans="2:10" ht="22.5" customHeight="1" thickBot="1">
      <c r="B1" s="16" t="s">
        <v>1207</v>
      </c>
      <c r="C1" s="1611" t="s">
        <v>1203</v>
      </c>
      <c r="D1" s="1612"/>
      <c r="E1" s="1613"/>
      <c r="F1" s="53"/>
      <c r="G1" s="821"/>
    </row>
    <row r="2" spans="2:10">
      <c r="B2" s="27" t="s">
        <v>2381</v>
      </c>
      <c r="C2" s="821"/>
      <c r="D2" s="840" t="s">
        <v>1204</v>
      </c>
      <c r="E2" s="821"/>
    </row>
    <row r="3" spans="2:10">
      <c r="B3" s="27" t="s">
        <v>2490</v>
      </c>
      <c r="C3" s="821"/>
      <c r="D3" s="841" t="s">
        <v>1205</v>
      </c>
      <c r="E3" s="821"/>
    </row>
    <row r="4" spans="2:10" ht="13.5" thickBot="1">
      <c r="B4" s="1498">
        <v>44553</v>
      </c>
      <c r="C4" s="821"/>
      <c r="D4" s="841" t="s">
        <v>1206</v>
      </c>
      <c r="E4" s="821"/>
    </row>
    <row r="5" spans="2:10" ht="13.5" thickBot="1">
      <c r="D5" s="842"/>
      <c r="H5" s="1608" t="s">
        <v>1327</v>
      </c>
      <c r="I5" s="1609"/>
      <c r="J5" s="1610"/>
    </row>
    <row r="6" spans="2:10" ht="18.75" customHeight="1" thickBot="1">
      <c r="B6" s="816" t="s">
        <v>1279</v>
      </c>
      <c r="C6" s="830" t="s">
        <v>1201</v>
      </c>
      <c r="D6" s="843" t="s">
        <v>248</v>
      </c>
      <c r="E6" s="830" t="s">
        <v>764</v>
      </c>
      <c r="F6" s="838" t="s">
        <v>1202</v>
      </c>
      <c r="G6" s="263"/>
      <c r="H6" s="1605" t="s">
        <v>1084</v>
      </c>
      <c r="I6" s="1606"/>
      <c r="J6" s="1607"/>
    </row>
    <row r="7" spans="2:10" ht="15">
      <c r="B7" s="854" t="s">
        <v>1280</v>
      </c>
      <c r="C7" s="477"/>
      <c r="D7" s="844"/>
      <c r="E7" s="477"/>
      <c r="H7" s="810" t="s">
        <v>299</v>
      </c>
      <c r="I7" s="158" t="s">
        <v>703</v>
      </c>
      <c r="J7" s="810" t="s">
        <v>704</v>
      </c>
    </row>
    <row r="8" spans="2:10" ht="15">
      <c r="B8" s="476"/>
      <c r="C8" s="477"/>
      <c r="D8" s="844"/>
      <c r="E8" s="477"/>
      <c r="H8" s="814"/>
      <c r="I8" s="158"/>
      <c r="J8" s="814"/>
    </row>
    <row r="9" spans="2:10" ht="15.75">
      <c r="B9" s="475" t="s">
        <v>552</v>
      </c>
      <c r="C9" s="829"/>
      <c r="D9" s="845"/>
      <c r="E9" s="829"/>
      <c r="H9" s="763"/>
      <c r="I9" s="763"/>
      <c r="J9" s="763"/>
    </row>
    <row r="10" spans="2:10" hidden="1" outlineLevel="1">
      <c r="B10" t="s">
        <v>219</v>
      </c>
      <c r="C10" s="830" t="s">
        <v>1201</v>
      </c>
      <c r="D10" s="843" t="s">
        <v>248</v>
      </c>
      <c r="E10" s="830" t="s">
        <v>764</v>
      </c>
      <c r="F10" s="838" t="s">
        <v>1202</v>
      </c>
      <c r="G10" s="263"/>
      <c r="H10" s="528" t="str">
        <f>'ARL FGD'!$O$92</f>
        <v>Ting Chen</v>
      </c>
      <c r="I10" s="528" t="str">
        <f>'ARL FGD'!$Q$92</f>
        <v>817-272-7489</v>
      </c>
      <c r="J10" s="975" t="str">
        <f>HYPERLINK("Mailto:"&amp;'ARL FGD'!$T$92,'ARL FGD'!$T$92)</f>
        <v>ting.chen@uta.edu</v>
      </c>
    </row>
    <row r="11" spans="2:10" s="1110" customFormat="1" ht="25.5" hidden="1" outlineLevel="1">
      <c r="B11" s="1135" t="s">
        <v>2137</v>
      </c>
      <c r="C11" s="1136" t="s">
        <v>1201</v>
      </c>
      <c r="D11" s="1137" t="s">
        <v>248</v>
      </c>
      <c r="E11" s="1136" t="s">
        <v>764</v>
      </c>
      <c r="F11" s="1138" t="s">
        <v>1202</v>
      </c>
      <c r="G11" s="1139"/>
      <c r="H11" s="1140" t="str">
        <f>'AUS1 FGD'!$O$92</f>
        <v>Marcy Lowther</v>
      </c>
      <c r="I11" s="1140" t="str">
        <f>'AUS1 FGD'!$Q$92</f>
        <v>512-471-2808</v>
      </c>
      <c r="J11" s="1141" t="str">
        <f>HYPERLINK("Mailto:"&amp;'AUS1 FGD'!$T$92,'AUS1 FGD'!$T$92)</f>
        <v>mlowther@austin.utexas.edu</v>
      </c>
    </row>
    <row r="12" spans="2:10" hidden="1" outlineLevel="1">
      <c r="B12" t="s">
        <v>96</v>
      </c>
      <c r="C12" s="836" t="s">
        <v>1201</v>
      </c>
      <c r="D12" s="843" t="s">
        <v>248</v>
      </c>
      <c r="E12" s="830" t="s">
        <v>764</v>
      </c>
      <c r="F12" s="838" t="s">
        <v>1202</v>
      </c>
      <c r="G12" s="263"/>
      <c r="H12" s="528" t="str">
        <f>'DAL FGD'!$O$92</f>
        <v>Cindy Milligan</v>
      </c>
      <c r="I12" s="528" t="str">
        <f>'DAL FGD'!$Q$92</f>
        <v>(972) 883-2632</v>
      </c>
      <c r="J12" s="975" t="str">
        <f>HYPERLINK("Mailto:"&amp;'DAL FGD'!$T$92,'DAL FGD'!$T$92)</f>
        <v>cxm133830@utdallas.edu</v>
      </c>
    </row>
    <row r="13" spans="2:10" hidden="1" outlineLevel="1">
      <c r="B13" s="850" t="s">
        <v>97</v>
      </c>
      <c r="C13" s="836" t="s">
        <v>1201</v>
      </c>
      <c r="D13" s="843" t="s">
        <v>248</v>
      </c>
      <c r="E13" s="830" t="s">
        <v>764</v>
      </c>
      <c r="F13" s="838" t="s">
        <v>1202</v>
      </c>
      <c r="G13" s="263"/>
      <c r="H13" s="528" t="str">
        <f>'E-P FGD'!$O$92</f>
        <v>Daniel Dominguez</v>
      </c>
      <c r="I13" s="528" t="str">
        <f>'E-P FGD'!$Q$92</f>
        <v>(915)747-5083</v>
      </c>
      <c r="J13" s="975" t="str">
        <f>HYPERLINK("Mailto:"&amp;'E-P FGD'!$T$92,'E-P FGD'!$T$92)</f>
        <v>drdominguez@utep.edu</v>
      </c>
    </row>
    <row r="14" spans="2:10" s="1110" customFormat="1" ht="27" hidden="1" customHeight="1" outlineLevel="1">
      <c r="B14" s="1142" t="s">
        <v>2138</v>
      </c>
      <c r="C14" s="1138" t="s">
        <v>1201</v>
      </c>
      <c r="D14" s="1137" t="s">
        <v>248</v>
      </c>
      <c r="E14" s="1136" t="s">
        <v>764</v>
      </c>
      <c r="F14" s="1138" t="s">
        <v>1202</v>
      </c>
      <c r="G14" s="1139"/>
      <c r="H14" s="1140" t="str">
        <f>'RGV1 FGD'!$O$92</f>
        <v>Lilia M. St. Clair</v>
      </c>
      <c r="I14" s="1140" t="str">
        <f>'RGV1 FGD'!$Q$92</f>
        <v>956-665-7906</v>
      </c>
      <c r="J14" s="1141" t="str">
        <f>HYPERLINK("Mailto:"&amp;'RGV1 FGD'!$T$92,'RGV1 FGD'!$T$92)</f>
        <v>lilia.stclair@utrgv.edu</v>
      </c>
    </row>
    <row r="15" spans="2:10" hidden="1" outlineLevel="1">
      <c r="B15" s="850" t="s">
        <v>100</v>
      </c>
      <c r="C15" s="836" t="s">
        <v>1201</v>
      </c>
      <c r="D15" s="843" t="s">
        <v>248</v>
      </c>
      <c r="E15" s="830" t="s">
        <v>764</v>
      </c>
      <c r="F15" s="838" t="s">
        <v>1202</v>
      </c>
      <c r="G15" s="263"/>
      <c r="H15" s="528" t="str">
        <f>'P-B FGD'!$O$92</f>
        <v>Jana Juarez</v>
      </c>
      <c r="I15" s="528" t="str">
        <f>'P-B FGD'!$Q$92</f>
        <v>432-552-2717</v>
      </c>
      <c r="J15" s="975" t="str">
        <f>HYPERLINK("Mailto:"&amp;'P-B FGD'!$T$92,'P-B FGD'!$T$92)</f>
        <v>juarez_j@utpb.edu</v>
      </c>
    </row>
    <row r="16" spans="2:10" hidden="1" outlineLevel="1">
      <c r="B16" s="850" t="s">
        <v>101</v>
      </c>
      <c r="C16" s="836" t="s">
        <v>1201</v>
      </c>
      <c r="D16" s="843" t="s">
        <v>248</v>
      </c>
      <c r="E16" s="830" t="s">
        <v>764</v>
      </c>
      <c r="F16" s="838" t="s">
        <v>1202</v>
      </c>
      <c r="G16" s="263"/>
      <c r="H16" s="528" t="str">
        <f>'S-A FGD'!$O$92</f>
        <v>Sheri Hardison</v>
      </c>
      <c r="I16" s="528" t="str">
        <f>'S-A FGD'!$Q$92</f>
        <v>210-458-6774</v>
      </c>
      <c r="J16" s="975" t="str">
        <f>HYPERLINK("Mailto:"&amp;'S-A FGD'!$T$92,'S-A FGD'!$T$92)</f>
        <v>sheri.hardison@utsa.edu</v>
      </c>
    </row>
    <row r="17" spans="2:10" hidden="1" outlineLevel="1">
      <c r="B17" s="850" t="s">
        <v>102</v>
      </c>
      <c r="C17" s="836" t="s">
        <v>1201</v>
      </c>
      <c r="D17" s="843" t="s">
        <v>248</v>
      </c>
      <c r="E17" s="830" t="s">
        <v>764</v>
      </c>
      <c r="F17" s="838" t="s">
        <v>1202</v>
      </c>
      <c r="G17" s="263"/>
      <c r="H17" s="528" t="str">
        <f>'TYL FGD'!$O$92</f>
        <v>Brenda Golemon</v>
      </c>
      <c r="I17" s="528" t="str">
        <f>'TYL FGD'!$Q$92</f>
        <v>903-566-7319</v>
      </c>
      <c r="J17" s="975" t="str">
        <f>HYPERLINK("Mailto:"&amp;'TYL FGD'!$T$92,'TYL FGD'!$T$92)</f>
        <v>bgolemon@gmail.com</v>
      </c>
    </row>
    <row r="18" spans="2:10" ht="15" collapsed="1">
      <c r="B18" s="476"/>
      <c r="C18" s="477"/>
      <c r="D18" s="844"/>
      <c r="E18" s="477"/>
      <c r="H18" s="528"/>
      <c r="I18" s="528"/>
      <c r="J18" s="528"/>
    </row>
    <row r="19" spans="2:10" ht="15.75">
      <c r="B19" s="475" t="s">
        <v>554</v>
      </c>
      <c r="C19" s="829"/>
      <c r="D19" s="845"/>
      <c r="E19" s="829"/>
      <c r="H19" s="528"/>
      <c r="I19" s="528"/>
      <c r="J19" s="528"/>
    </row>
    <row r="20" spans="2:10" hidden="1" outlineLevel="1">
      <c r="B20" s="850" t="s">
        <v>103</v>
      </c>
      <c r="C20" s="836" t="s">
        <v>1201</v>
      </c>
      <c r="D20" s="843" t="s">
        <v>248</v>
      </c>
      <c r="E20" s="830" t="s">
        <v>764</v>
      </c>
      <c r="F20" s="838" t="s">
        <v>1202</v>
      </c>
      <c r="G20" s="263"/>
      <c r="H20" s="528" t="str">
        <f>'TAMU FGD'!$O$92</f>
        <v>Chris Arrington</v>
      </c>
      <c r="I20" s="528" t="str">
        <f>'TAMU FGD'!$Q$92</f>
        <v>979-458-9151</v>
      </c>
      <c r="J20" s="975" t="str">
        <f>HYPERLINK("Mailto:"&amp;'TAMU FGD'!$T$92,'TAMU FGD'!$T$92)</f>
        <v>carrington@tamus.edu</v>
      </c>
    </row>
    <row r="21" spans="2:10" hidden="1" outlineLevel="1">
      <c r="B21" s="850" t="s">
        <v>106</v>
      </c>
      <c r="C21" s="836" t="s">
        <v>1201</v>
      </c>
      <c r="D21" s="843" t="s">
        <v>248</v>
      </c>
      <c r="E21" s="830" t="s">
        <v>764</v>
      </c>
      <c r="F21" s="838" t="s">
        <v>1202</v>
      </c>
      <c r="G21" s="263"/>
      <c r="H21" s="528" t="str">
        <f>'TAMUG FGD'!$O$92</f>
        <v>Chris Arrington</v>
      </c>
      <c r="I21" s="528" t="str">
        <f>'TAMUG FGD'!$Q$92</f>
        <v>979-458-9151</v>
      </c>
      <c r="J21" s="975" t="str">
        <f>HYPERLINK("Mailto:"&amp;'TAMUG FGD'!$T$92,'TAMUG FGD'!$T$92)</f>
        <v>carrington@tamus.edu</v>
      </c>
    </row>
    <row r="22" spans="2:10" hidden="1" outlineLevel="1">
      <c r="B22" s="850" t="s">
        <v>107</v>
      </c>
      <c r="C22" s="836" t="s">
        <v>1201</v>
      </c>
      <c r="D22" s="843" t="s">
        <v>248</v>
      </c>
      <c r="E22" s="830" t="s">
        <v>764</v>
      </c>
      <c r="F22" s="838" t="s">
        <v>1202</v>
      </c>
      <c r="G22" s="263"/>
      <c r="H22" s="528" t="str">
        <f>'PVAMU FGD'!$O$92</f>
        <v>Chris Arrington</v>
      </c>
      <c r="I22" s="528" t="str">
        <f>'PVAMU FGD'!$Q$92</f>
        <v>979-458-9151</v>
      </c>
      <c r="J22" s="975" t="str">
        <f>HYPERLINK("Mailto:"&amp;'PVAMU FGD'!$T$92,'PVAMU FGD'!$T$92)</f>
        <v>carrington@tamus.edu</v>
      </c>
    </row>
    <row r="23" spans="2:10" hidden="1" outlineLevel="1">
      <c r="B23" s="850" t="s">
        <v>108</v>
      </c>
      <c r="C23" s="836" t="s">
        <v>1201</v>
      </c>
      <c r="D23" s="843" t="s">
        <v>248</v>
      </c>
      <c r="E23" s="830" t="s">
        <v>764</v>
      </c>
      <c r="F23" s="838" t="s">
        <v>1202</v>
      </c>
      <c r="G23" s="263"/>
      <c r="H23" s="528" t="str">
        <f>'TARLST FGD'!$O$92</f>
        <v>Chris Arrington</v>
      </c>
      <c r="I23" s="528" t="str">
        <f>'TARLST FGD'!$Q$92</f>
        <v>254-968-1643</v>
      </c>
      <c r="J23" s="975" t="str">
        <f>HYPERLINK("Mailto:"&amp;'TARLST FGD'!$T$92,'TARLST FGD'!$T$92)</f>
        <v>fincher@tarleton.edu</v>
      </c>
    </row>
    <row r="24" spans="2:10" hidden="1" outlineLevel="1">
      <c r="B24" s="850" t="s">
        <v>109</v>
      </c>
      <c r="C24" s="836" t="s">
        <v>1201</v>
      </c>
      <c r="D24" s="843" t="s">
        <v>248</v>
      </c>
      <c r="E24" s="830" t="s">
        <v>764</v>
      </c>
      <c r="F24" s="838" t="s">
        <v>1202</v>
      </c>
      <c r="G24" s="263"/>
      <c r="H24" s="528" t="str">
        <f>'TAMUCC FGD'!$O$92</f>
        <v>Chris Arrington</v>
      </c>
      <c r="I24" s="528" t="str">
        <f>'TAMUCC FGD'!$Q$92</f>
        <v>979-458-9151</v>
      </c>
      <c r="J24" s="975" t="str">
        <f>HYPERLINK("Mailto:"&amp;'TAMUCC FGD'!$T$92,'TAMUCC FGD'!$T$92)</f>
        <v>carrington@tamus.edu</v>
      </c>
    </row>
    <row r="25" spans="2:10" hidden="1" outlineLevel="1">
      <c r="B25" s="850" t="s">
        <v>110</v>
      </c>
      <c r="C25" s="836" t="s">
        <v>1201</v>
      </c>
      <c r="D25" s="843" t="s">
        <v>248</v>
      </c>
      <c r="E25" s="830" t="s">
        <v>764</v>
      </c>
      <c r="F25" s="838" t="s">
        <v>1202</v>
      </c>
      <c r="G25" s="263"/>
      <c r="H25" s="528" t="str">
        <f>'TAMUK FGD'!$O$92</f>
        <v>Chris Arrington</v>
      </c>
      <c r="I25" s="528" t="str">
        <f>'TAMUK FGD'!$Q$92</f>
        <v>979-458-9151</v>
      </c>
      <c r="J25" s="975" t="str">
        <f>HYPERLINK("Mailto:"&amp;'TAMUK FGD'!$T$92,'TAMUK FGD'!$T$92)</f>
        <v>carrington@tamus.edu</v>
      </c>
    </row>
    <row r="26" spans="2:10" hidden="1" outlineLevel="1">
      <c r="B26" s="850" t="s">
        <v>111</v>
      </c>
      <c r="C26" s="836" t="s">
        <v>1201</v>
      </c>
      <c r="D26" s="843" t="s">
        <v>248</v>
      </c>
      <c r="E26" s="830" t="s">
        <v>764</v>
      </c>
      <c r="F26" s="838" t="s">
        <v>1202</v>
      </c>
      <c r="G26" s="263"/>
      <c r="H26" s="528" t="str">
        <f>'TAMIU FGD'!$O$92</f>
        <v>Chris Arrington</v>
      </c>
      <c r="I26" s="528" t="str">
        <f>'TAMIU FGD'!$Q$92</f>
        <v>979-458-9151</v>
      </c>
      <c r="J26" s="975" t="str">
        <f>HYPERLINK("Mailto:"&amp;'TAMIU FGD'!$T$92,'TAMIU FGD'!$T$92)</f>
        <v>carrington@tamus.edu</v>
      </c>
    </row>
    <row r="27" spans="2:10" hidden="1" outlineLevel="1">
      <c r="B27" s="850" t="s">
        <v>112</v>
      </c>
      <c r="C27" s="836" t="s">
        <v>1201</v>
      </c>
      <c r="D27" s="843" t="s">
        <v>248</v>
      </c>
      <c r="E27" s="830" t="s">
        <v>764</v>
      </c>
      <c r="F27" s="838" t="s">
        <v>1202</v>
      </c>
      <c r="G27" s="263"/>
      <c r="H27" s="528" t="str">
        <f>'WTAMU FGD'!$O$92</f>
        <v>Chris Arrington</v>
      </c>
      <c r="I27" s="528" t="str">
        <f>'WTAMU FGD'!$Q$92</f>
        <v>979-458-9151</v>
      </c>
      <c r="J27" s="975" t="str">
        <f>HYPERLINK("Mailto:"&amp;'WTAMU FGD'!$T$92,'WTAMU FGD'!$T$92)</f>
        <v>carrington@tamus.edu</v>
      </c>
    </row>
    <row r="28" spans="2:10" hidden="1" outlineLevel="1">
      <c r="B28" s="850" t="s">
        <v>113</v>
      </c>
      <c r="C28" s="836" t="s">
        <v>1201</v>
      </c>
      <c r="D28" s="843" t="s">
        <v>248</v>
      </c>
      <c r="E28" s="830" t="s">
        <v>764</v>
      </c>
      <c r="F28" s="838" t="s">
        <v>1202</v>
      </c>
      <c r="G28" s="263"/>
      <c r="H28" s="528" t="str">
        <f>'TAMUC FGD'!$O$92</f>
        <v>Chris Arrington</v>
      </c>
      <c r="I28" s="528" t="str">
        <f>'TAMUC FGD'!$Q$92</f>
        <v>979-458-9151</v>
      </c>
      <c r="J28" s="975" t="str">
        <f>HYPERLINK("Mailto:"&amp;'TAMUC FGD'!$T$92,'TAMUC FGD'!$T$92)</f>
        <v>carrington@tamus.edu</v>
      </c>
    </row>
    <row r="29" spans="2:10" hidden="1" outlineLevel="1">
      <c r="B29" s="850" t="s">
        <v>114</v>
      </c>
      <c r="C29" s="836" t="s">
        <v>1201</v>
      </c>
      <c r="D29" s="843" t="s">
        <v>248</v>
      </c>
      <c r="E29" s="830" t="s">
        <v>764</v>
      </c>
      <c r="F29" s="838" t="s">
        <v>1202</v>
      </c>
      <c r="G29" s="263"/>
      <c r="H29" s="528" t="str">
        <f>'TAMUT FGD'!$O$92</f>
        <v>Chris Arrington</v>
      </c>
      <c r="I29" s="528" t="str">
        <f>'TAMUT FGD'!$Q$92</f>
        <v>979-458-9151</v>
      </c>
      <c r="J29" s="975" t="str">
        <f>HYPERLINK("Mailto:"&amp;'TAMUT FGD'!$T$92,'TAMUT FGD'!$T$92)</f>
        <v>carrington@tamus.edu</v>
      </c>
    </row>
    <row r="30" spans="2:10" hidden="1" outlineLevel="1">
      <c r="B30" s="851" t="s">
        <v>271</v>
      </c>
      <c r="C30" s="836" t="s">
        <v>1201</v>
      </c>
      <c r="D30" s="843" t="s">
        <v>248</v>
      </c>
      <c r="E30" s="830" t="s">
        <v>764</v>
      </c>
      <c r="F30" s="838" t="s">
        <v>1202</v>
      </c>
      <c r="G30" s="263"/>
      <c r="H30" s="528" t="str">
        <f>'TAMUCT FGD'!$O$92</f>
        <v>Chris Arrington</v>
      </c>
      <c r="I30" s="528" t="str">
        <f>'TAMUCT FGD'!$Q$92</f>
        <v>979-458-9151</v>
      </c>
      <c r="J30" s="975" t="str">
        <f>HYPERLINK("Mailto:"&amp;'TAMUCT FGD'!$T$92,'TAMUCT FGD'!$T$92)</f>
        <v>fincher@tarleton.edu</v>
      </c>
    </row>
    <row r="31" spans="2:10" hidden="1" outlineLevel="1">
      <c r="B31" s="851" t="s">
        <v>272</v>
      </c>
      <c r="C31" s="836" t="s">
        <v>1201</v>
      </c>
      <c r="D31" s="843" t="s">
        <v>248</v>
      </c>
      <c r="E31" s="830" t="s">
        <v>764</v>
      </c>
      <c r="F31" s="838" t="s">
        <v>1202</v>
      </c>
      <c r="G31" s="263"/>
      <c r="H31" s="528" t="str">
        <f>'TAMUSA FGD'!$O$92</f>
        <v>Chris Arrington</v>
      </c>
      <c r="I31" s="528" t="str">
        <f>'TAMUSA FGD'!$Q$92</f>
        <v>979-458-9151</v>
      </c>
      <c r="J31" s="975" t="str">
        <f>HYPERLINK("Mailto:"&amp;'TAMUSA FGD'!$T$92,'TAMUSA FGD'!$T$92)</f>
        <v>carrington@tamus.edu</v>
      </c>
    </row>
    <row r="32" spans="2:10" ht="15" collapsed="1">
      <c r="B32" s="817"/>
      <c r="C32" s="831"/>
      <c r="D32" s="846"/>
      <c r="E32" s="831"/>
      <c r="H32" s="528"/>
      <c r="I32" s="528"/>
      <c r="J32" s="528"/>
    </row>
    <row r="33" spans="2:10" ht="15.75">
      <c r="B33" s="818" t="s">
        <v>556</v>
      </c>
      <c r="C33" s="832"/>
      <c r="D33" s="847"/>
      <c r="E33" s="832"/>
      <c r="H33" s="528"/>
      <c r="I33" s="528"/>
      <c r="J33" s="528"/>
    </row>
    <row r="34" spans="2:10" s="1110" customFormat="1" ht="25.5" hidden="1" outlineLevel="1">
      <c r="B34" s="1142" t="s">
        <v>2265</v>
      </c>
      <c r="C34" s="1138" t="s">
        <v>1201</v>
      </c>
      <c r="D34" s="1137" t="s">
        <v>248</v>
      </c>
      <c r="E34" s="1136" t="s">
        <v>764</v>
      </c>
      <c r="F34" s="1138" t="s">
        <v>1202</v>
      </c>
      <c r="G34" s="1139"/>
      <c r="H34" s="1140" t="str">
        <f>'UH1 FGD'!$O$92</f>
        <v>CHARLOTTE HOTZ</v>
      </c>
      <c r="I34" s="1140" t="str">
        <f>'UH1 FGD'!$Q$92</f>
        <v>713.743.5296</v>
      </c>
      <c r="J34" s="1141" t="str">
        <f>HYPERLINK("Mailto:"&amp;'UH1 FGD'!$T$92,'UH1 FGD'!$T$92)</f>
        <v>cahotz@uh.edu</v>
      </c>
    </row>
    <row r="35" spans="2:10" hidden="1" outlineLevel="1">
      <c r="B35" s="850" t="s">
        <v>116</v>
      </c>
      <c r="C35" s="836" t="s">
        <v>1201</v>
      </c>
      <c r="D35" s="843" t="s">
        <v>248</v>
      </c>
      <c r="E35" s="830" t="s">
        <v>764</v>
      </c>
      <c r="F35" s="838" t="s">
        <v>1202</v>
      </c>
      <c r="G35" s="263"/>
      <c r="H35" s="528" t="str">
        <f>'UHCL FGD'!$O$92</f>
        <v>Mila Bautista</v>
      </c>
      <c r="I35" s="528" t="str">
        <f>'UHCL FGD'!$Q$92</f>
        <v>281-283-2129</v>
      </c>
      <c r="J35" s="975" t="str">
        <f>HYPERLINK("Mailto:"&amp;'UHCL FGD'!$T$92,'UHCL FGD'!$T$92)</f>
        <v>BautistaM@uhcl.edu</v>
      </c>
    </row>
    <row r="36" spans="2:10" hidden="1" outlineLevel="1">
      <c r="B36" s="850" t="s">
        <v>117</v>
      </c>
      <c r="C36" s="836" t="s">
        <v>1201</v>
      </c>
      <c r="D36" s="843" t="s">
        <v>248</v>
      </c>
      <c r="E36" s="830" t="s">
        <v>764</v>
      </c>
      <c r="F36" s="838" t="s">
        <v>1202</v>
      </c>
      <c r="G36" s="263"/>
      <c r="H36" s="528" t="str">
        <f>'UHD FGD'!$O$92</f>
        <v>Alice Tsai</v>
      </c>
      <c r="I36" s="528" t="str">
        <f>'UHD FGD'!$Q$92</f>
        <v>713-221-8098</v>
      </c>
      <c r="J36" s="975" t="str">
        <f>HYPERLINK("Mailto:"&amp;'UHD FGD'!$T$92,'UHD FGD'!$T$92)</f>
        <v>Tsaia@uhd.edu</v>
      </c>
    </row>
    <row r="37" spans="2:10" hidden="1" outlineLevel="1">
      <c r="B37" s="850" t="s">
        <v>118</v>
      </c>
      <c r="C37" s="836" t="s">
        <v>1201</v>
      </c>
      <c r="D37" s="843" t="s">
        <v>248</v>
      </c>
      <c r="E37" s="830" t="s">
        <v>764</v>
      </c>
      <c r="F37" s="838" t="s">
        <v>1202</v>
      </c>
      <c r="G37" s="263"/>
      <c r="H37" s="528" t="str">
        <f>'UHV FGD'!$O$92</f>
        <v>June Nelson</v>
      </c>
      <c r="I37" s="528" t="str">
        <f>'UHV FGD'!$Q$92</f>
        <v>361-570-4873</v>
      </c>
      <c r="J37" s="975" t="str">
        <f>HYPERLINK("Mailto:"&amp;'UHV FGD'!$T$92,'UHV FGD'!$T$92)</f>
        <v>nelsonj@uhv.edu</v>
      </c>
    </row>
    <row r="38" spans="2:10" ht="15" collapsed="1">
      <c r="B38" s="476"/>
      <c r="C38" s="477"/>
      <c r="D38" s="844"/>
      <c r="E38" s="477"/>
      <c r="H38" s="528"/>
      <c r="I38" s="528"/>
      <c r="J38" s="528"/>
    </row>
    <row r="39" spans="2:10" ht="15.75">
      <c r="B39" s="475" t="s">
        <v>557</v>
      </c>
      <c r="C39" s="829"/>
      <c r="D39" s="845"/>
      <c r="E39" s="829"/>
      <c r="H39" s="528"/>
      <c r="I39" s="528"/>
      <c r="J39" s="528"/>
    </row>
    <row r="40" spans="2:10" hidden="1" outlineLevel="1">
      <c r="B40" s="850" t="s">
        <v>215</v>
      </c>
      <c r="C40" s="836" t="s">
        <v>1201</v>
      </c>
      <c r="D40" s="843" t="s">
        <v>248</v>
      </c>
      <c r="E40" s="830" t="s">
        <v>764</v>
      </c>
      <c r="F40" s="838" t="s">
        <v>1202</v>
      </c>
      <c r="G40" s="263"/>
      <c r="H40" s="528" t="str">
        <f>'LU FGD'!$O$92</f>
        <v>Cynthia Brown</v>
      </c>
      <c r="I40" s="528" t="str">
        <f>'LU FGD'!$Q$92</f>
        <v>409-880-7925</v>
      </c>
      <c r="J40" s="975" t="str">
        <f>HYPERLINK("Mailto:"&amp;'LU FGD'!$T$92,'LU FGD'!$T$92)</f>
        <v>clbrown@lamar.edu</v>
      </c>
    </row>
    <row r="41" spans="2:10" s="1110" customFormat="1" ht="25.5" hidden="1" outlineLevel="1">
      <c r="B41" s="1142" t="s">
        <v>2266</v>
      </c>
      <c r="C41" s="1138" t="s">
        <v>1201</v>
      </c>
      <c r="D41" s="1137" t="s">
        <v>248</v>
      </c>
      <c r="E41" s="1136" t="s">
        <v>764</v>
      </c>
      <c r="F41" s="1138" t="s">
        <v>1202</v>
      </c>
      <c r="G41" s="1139"/>
      <c r="H41" s="1140" t="str">
        <f>'shsu1 FGD'!$O$92</f>
        <v>Amanda Withers</v>
      </c>
      <c r="I41" s="1140" t="str">
        <f>'shsu1 FGD'!$Q$92</f>
        <v>936-294-2289</v>
      </c>
      <c r="J41" s="1141" t="str">
        <f>HYPERLINK("Mailto:"&amp;'shsu1 FGD'!$T$92,'shsu1 FGD'!$T$92)</f>
        <v>withers@shsu.edu</v>
      </c>
    </row>
    <row r="42" spans="2:10" hidden="1" outlineLevel="1">
      <c r="B42" s="850" t="s">
        <v>1289</v>
      </c>
      <c r="C42" s="836" t="s">
        <v>1201</v>
      </c>
      <c r="D42" s="843" t="s">
        <v>248</v>
      </c>
      <c r="E42" s="830" t="s">
        <v>764</v>
      </c>
      <c r="F42" s="838" t="s">
        <v>1202</v>
      </c>
      <c r="G42" s="263"/>
      <c r="H42" s="528" t="str">
        <f>'TXST FGD'!$O$92</f>
        <v>Cindy Haley</v>
      </c>
      <c r="I42" s="528" t="str">
        <f>'TXST FGD'!$Q$92</f>
        <v>512-245-2087</v>
      </c>
      <c r="J42" s="975" t="str">
        <f>HYPERLINK("Mailto:"&amp;'TXST FGD'!$T$92,'TXST FGD'!$T$92)</f>
        <v>cindy.haley@txstate.edu</v>
      </c>
    </row>
    <row r="43" spans="2:10" hidden="1" outlineLevel="1">
      <c r="B43" s="850" t="s">
        <v>120</v>
      </c>
      <c r="C43" s="836" t="s">
        <v>1201</v>
      </c>
      <c r="D43" s="843" t="s">
        <v>248</v>
      </c>
      <c r="E43" s="830" t="s">
        <v>764</v>
      </c>
      <c r="F43" s="838" t="s">
        <v>1202</v>
      </c>
      <c r="G43" s="263"/>
      <c r="H43" s="528" t="str">
        <f>'SRSU FGD'!$O$92</f>
        <v>Bonnie Albright</v>
      </c>
      <c r="I43" s="528" t="str">
        <f>'SRSU FGD'!$Q$92</f>
        <v>432-837-8078</v>
      </c>
      <c r="J43" s="975" t="str">
        <f>HYPERLINK("Mailto:"&amp;'SRSU FGD'!$T$92,'SRSU FGD'!$T$92)</f>
        <v>bonnie.albright@sulross.edu</v>
      </c>
    </row>
    <row r="44" spans="2:10" ht="15" collapsed="1">
      <c r="B44" s="476"/>
      <c r="C44" s="477"/>
      <c r="D44" s="844"/>
      <c r="E44" s="477"/>
      <c r="H44" s="528"/>
      <c r="I44" s="528"/>
      <c r="J44" s="528"/>
    </row>
    <row r="45" spans="2:10" ht="15.75">
      <c r="B45" s="475" t="s">
        <v>559</v>
      </c>
      <c r="C45" s="829"/>
      <c r="D45" s="845"/>
      <c r="E45" s="829"/>
      <c r="H45" s="528"/>
      <c r="I45" s="528"/>
      <c r="J45" s="528"/>
    </row>
    <row r="46" spans="2:10" hidden="1" outlineLevel="1">
      <c r="B46" s="850" t="s">
        <v>121</v>
      </c>
      <c r="C46" s="836" t="s">
        <v>1201</v>
      </c>
      <c r="D46" s="843" t="s">
        <v>248</v>
      </c>
      <c r="E46" s="830" t="s">
        <v>764</v>
      </c>
      <c r="F46" s="838" t="s">
        <v>1202</v>
      </c>
      <c r="G46" s="263"/>
      <c r="H46" s="528" t="str">
        <f>'TTU FGD'!$O$92</f>
        <v>Lori Eppler</v>
      </c>
      <c r="I46" s="528" t="str">
        <f>'TTU FGD'!$Q$92</f>
        <v>806-834-4640</v>
      </c>
      <c r="J46" s="975" t="str">
        <f>HYPERLINK("Mailto:"&amp;'TTU FGD'!$T$92,'TTU FGD'!$T$92)</f>
        <v>lori.eppler@ttu.edu</v>
      </c>
    </row>
    <row r="47" spans="2:10" hidden="1" outlineLevel="1">
      <c r="B47" s="850" t="s">
        <v>122</v>
      </c>
      <c r="C47" s="836" t="s">
        <v>1201</v>
      </c>
      <c r="D47" s="843" t="s">
        <v>248</v>
      </c>
      <c r="E47" s="830" t="s">
        <v>764</v>
      </c>
      <c r="F47" s="838" t="s">
        <v>1202</v>
      </c>
      <c r="G47" s="263"/>
      <c r="H47" s="528" t="str">
        <f>'ASU FGD'!$O$92</f>
        <v>Janet Coleman</v>
      </c>
      <c r="I47" s="528" t="str">
        <f>'ASU FGD'!$Q$92</f>
        <v>325-942-2014</v>
      </c>
      <c r="J47" s="975" t="str">
        <f>HYPERLINK("Mailto:"&amp;'ASU FGD'!$T$92,'ASU FGD'!$T$92)</f>
        <v>janet.coleman@angelo.edu</v>
      </c>
    </row>
    <row r="48" spans="2:10" hidden="1" outlineLevel="1">
      <c r="B48" s="850" t="s">
        <v>124</v>
      </c>
      <c r="C48" s="836" t="s">
        <v>1201</v>
      </c>
      <c r="D48" s="843" t="s">
        <v>248</v>
      </c>
      <c r="E48" s="830" t="s">
        <v>764</v>
      </c>
      <c r="F48" s="838" t="s">
        <v>1202</v>
      </c>
      <c r="G48" s="263"/>
      <c r="H48" s="528" t="str">
        <f>'MidWST FGD'!$O$92</f>
        <v>Chris Stovall</v>
      </c>
      <c r="I48" s="528" t="str">
        <f>'MidWST FGD'!$Q$92</f>
        <v>(940) 397-4273</v>
      </c>
      <c r="J48" s="975" t="str">
        <f>HYPERLINK("Mailto:"&amp;'MidWST FGD'!$T$92,'MidWST FGD'!$T$92)</f>
        <v>chris.stovall@msutexas.edu</v>
      </c>
    </row>
    <row r="49" spans="2:10" ht="15" collapsed="1">
      <c r="B49" s="476"/>
      <c r="C49" s="477"/>
      <c r="D49" s="844"/>
      <c r="E49" s="477"/>
      <c r="H49" s="528"/>
      <c r="I49" s="528"/>
      <c r="J49" s="528"/>
    </row>
    <row r="50" spans="2:10" ht="15.75">
      <c r="B50" s="475" t="s">
        <v>561</v>
      </c>
      <c r="C50" s="829"/>
      <c r="D50" s="845"/>
      <c r="E50" s="829"/>
      <c r="H50" s="528"/>
      <c r="I50" s="528"/>
      <c r="J50" s="528"/>
    </row>
    <row r="51" spans="2:10" hidden="1" outlineLevel="1">
      <c r="B51" s="850" t="s">
        <v>123</v>
      </c>
      <c r="C51" s="836" t="s">
        <v>1201</v>
      </c>
      <c r="D51" s="843" t="s">
        <v>248</v>
      </c>
      <c r="E51" s="830" t="s">
        <v>764</v>
      </c>
      <c r="F51" s="838" t="s">
        <v>1202</v>
      </c>
      <c r="G51" s="263"/>
      <c r="H51" s="528" t="str">
        <f>'UNT FGD'!$O$92</f>
        <v>Leydi Carter</v>
      </c>
      <c r="I51" s="528" t="str">
        <f>'UNT FGD'!$Q$92</f>
        <v>(940) 369-5089</v>
      </c>
      <c r="J51" s="975" t="str">
        <f>HYPERLINK("Mailto:"&amp;'UNT FGD'!$T$92,'UNT FGD'!$T$92)</f>
        <v>Leydi.Carter@untsystem.edu</v>
      </c>
    </row>
    <row r="52" spans="2:10" hidden="1" outlineLevel="1">
      <c r="B52" s="851" t="s">
        <v>270</v>
      </c>
      <c r="C52" s="836" t="s">
        <v>1201</v>
      </c>
      <c r="D52" s="843" t="s">
        <v>248</v>
      </c>
      <c r="E52" s="830" t="s">
        <v>764</v>
      </c>
      <c r="F52" s="838" t="s">
        <v>1202</v>
      </c>
      <c r="G52" s="263"/>
      <c r="H52" s="528" t="str">
        <f>'UNTD FGD'!$O$92</f>
        <v>Gia Doss</v>
      </c>
      <c r="I52" s="528">
        <f>'UNTD FGD'!$Q$92</f>
        <v>0</v>
      </c>
      <c r="J52" s="975" t="str">
        <f>HYPERLINK("Mailto:"&amp;'UNTD FGD'!$T$92,'UNTD FGD'!$T$92)</f>
        <v>Gia.Doss@untsystem.edu</v>
      </c>
    </row>
    <row r="53" spans="2:10" ht="15" collapsed="1">
      <c r="B53" s="476"/>
      <c r="C53" s="477"/>
      <c r="D53" s="844"/>
      <c r="E53" s="477"/>
      <c r="H53" s="528"/>
      <c r="I53" s="528"/>
      <c r="J53" s="528"/>
    </row>
    <row r="54" spans="2:10" ht="15.75">
      <c r="B54" s="819" t="s">
        <v>1195</v>
      </c>
      <c r="C54" s="833"/>
      <c r="D54" s="848"/>
      <c r="E54" s="833"/>
      <c r="H54" s="528"/>
      <c r="I54" s="528"/>
      <c r="J54" s="528"/>
    </row>
    <row r="55" spans="2:10" hidden="1" outlineLevel="1">
      <c r="B55" s="850" t="s">
        <v>125</v>
      </c>
      <c r="C55" s="836" t="s">
        <v>1201</v>
      </c>
      <c r="D55" s="843" t="s">
        <v>248</v>
      </c>
      <c r="E55" s="830" t="s">
        <v>764</v>
      </c>
      <c r="F55" s="838" t="s">
        <v>1202</v>
      </c>
      <c r="G55" s="263"/>
      <c r="H55" s="528" t="str">
        <f>'SFA FGD'!$O$92</f>
        <v>Dannette Sales</v>
      </c>
      <c r="I55" s="528" t="str">
        <f>'SFA FGD'!$Q$92</f>
        <v>(936) 468-2354</v>
      </c>
      <c r="J55" s="975" t="str">
        <f>HYPERLINK("Mailto:"&amp;'SFA FGD'!$T$92,'SFA FGD'!$T$92)</f>
        <v>salesdl@sfasu.edu</v>
      </c>
    </row>
    <row r="56" spans="2:10" hidden="1" outlineLevel="1">
      <c r="B56" s="850" t="s">
        <v>126</v>
      </c>
      <c r="C56" s="836" t="s">
        <v>1201</v>
      </c>
      <c r="D56" s="843" t="s">
        <v>248</v>
      </c>
      <c r="E56" s="830" t="s">
        <v>764</v>
      </c>
      <c r="F56" s="838" t="s">
        <v>1202</v>
      </c>
      <c r="G56" s="263"/>
      <c r="H56" s="528" t="str">
        <f>'TSU FGD'!$O$92</f>
        <v>Bobbie Phelps</v>
      </c>
      <c r="I56" s="528" t="str">
        <f>'TSU FGD'!$Q$92</f>
        <v>713-313-6890</v>
      </c>
      <c r="J56" s="975" t="str">
        <f>HYPERLINK("Mailto:"&amp;'TSU FGD'!$T$92,'TSU FGD'!$T$92)</f>
        <v>bobbie.phelps@tsu.edu</v>
      </c>
    </row>
    <row r="57" spans="2:10" hidden="1" outlineLevel="1">
      <c r="B57" s="850" t="s">
        <v>127</v>
      </c>
      <c r="C57" s="836" t="s">
        <v>1201</v>
      </c>
      <c r="D57" s="843" t="s">
        <v>248</v>
      </c>
      <c r="E57" s="830" t="s">
        <v>764</v>
      </c>
      <c r="F57" s="838" t="s">
        <v>1202</v>
      </c>
      <c r="G57" s="263"/>
      <c r="H57" s="528" t="str">
        <f>'TWU FGD'!$O$92</f>
        <v>June Orth</v>
      </c>
      <c r="I57" s="528" t="str">
        <f>'TWU FGD'!$Q$92</f>
        <v>940-898-3522</v>
      </c>
      <c r="J57" s="975" t="str">
        <f>HYPERLINK("Mailto:"&amp;'TWU FGD'!$T$92,'TWU FGD'!$T$92)</f>
        <v>borth@twu.edu</v>
      </c>
    </row>
    <row r="58" spans="2:10" ht="15.75" collapsed="1" thickBot="1">
      <c r="B58" s="476"/>
      <c r="C58" s="477"/>
      <c r="D58" s="849"/>
      <c r="E58" s="477"/>
      <c r="H58" s="114"/>
      <c r="I58" s="114"/>
      <c r="J58" s="114"/>
    </row>
    <row r="59" spans="2:10" ht="15">
      <c r="B59" s="476"/>
      <c r="C59" s="477"/>
      <c r="D59" s="477"/>
      <c r="E59" s="477"/>
      <c r="H59" s="114"/>
      <c r="I59" s="114"/>
      <c r="J59" s="114"/>
    </row>
    <row r="60" spans="2:10">
      <c r="B60" s="27" t="s">
        <v>1407</v>
      </c>
      <c r="H60" s="114"/>
      <c r="I60" s="114"/>
      <c r="J60" s="114"/>
    </row>
    <row r="61" spans="2:10" hidden="1" outlineLevel="1">
      <c r="B61" s="264" t="s">
        <v>1408</v>
      </c>
      <c r="C61" s="830" t="s">
        <v>1201</v>
      </c>
      <c r="D61" s="843" t="s">
        <v>248</v>
      </c>
      <c r="E61" s="830" t="s">
        <v>764</v>
      </c>
      <c r="F61" s="838" t="s">
        <v>1202</v>
      </c>
      <c r="G61" s="263"/>
      <c r="H61" s="528" t="str">
        <f>'AUS FGD'!$O$99</f>
        <v>Marcy Lowther</v>
      </c>
      <c r="I61" s="528" t="str">
        <f>'AUS FGD'!$Q$99</f>
        <v>512-471-2808</v>
      </c>
      <c r="J61" s="975" t="str">
        <f>HYPERLINK("Mailto:"&amp;'AUS FGD'!$T$99,'AUS FGD'!$T$99)</f>
        <v>mlowther@austin.utexas.edu</v>
      </c>
    </row>
    <row r="62" spans="2:10" ht="13.5" hidden="1" customHeight="1" outlineLevel="1">
      <c r="B62" s="850" t="s">
        <v>1409</v>
      </c>
      <c r="C62" s="836" t="s">
        <v>1201</v>
      </c>
      <c r="D62" s="852" t="s">
        <v>248</v>
      </c>
      <c r="E62" s="853" t="s">
        <v>764</v>
      </c>
      <c r="F62" s="836" t="s">
        <v>1202</v>
      </c>
      <c r="G62" s="263"/>
      <c r="H62" s="528" t="str">
        <f>'RGV FGD'!$O$99</f>
        <v>Lilia M. St. Clair</v>
      </c>
      <c r="I62" s="528" t="str">
        <f>'RGV FGD'!$Q$99</f>
        <v>956-665-7906</v>
      </c>
      <c r="J62" s="975" t="str">
        <f>HYPERLINK("Mailto:"&amp;'RGV FGD'!$T$99,'RGV FGD'!$T$99)</f>
        <v>lilia.stclair@utrgv.edu</v>
      </c>
    </row>
    <row r="63" spans="2:10" hidden="1" outlineLevel="1">
      <c r="B63" s="264" t="s">
        <v>2268</v>
      </c>
      <c r="C63" s="836" t="s">
        <v>1201</v>
      </c>
      <c r="D63" s="852" t="s">
        <v>248</v>
      </c>
      <c r="E63" s="836" t="s">
        <v>764</v>
      </c>
      <c r="F63" s="1542" t="s">
        <v>1202</v>
      </c>
      <c r="G63"/>
      <c r="H63" t="str">
        <f>'UH FGD'!$O$99</f>
        <v>CHARLOTTE HOTZ</v>
      </c>
      <c r="I63" t="str">
        <f>'UH FGD'!$Q$99</f>
        <v>713.743.5296</v>
      </c>
      <c r="J63" s="1542" t="str">
        <f>HYPERLINK("Mailto:"&amp;'UH FGD'!$T$99,'UH FGD'!$T$99)</f>
        <v>cahotz@uh.edu</v>
      </c>
    </row>
    <row r="64" spans="2:10" hidden="1" outlineLevel="1">
      <c r="B64" s="264" t="s">
        <v>2269</v>
      </c>
      <c r="C64" s="836" t="s">
        <v>1201</v>
      </c>
      <c r="D64" s="852" t="s">
        <v>248</v>
      </c>
      <c r="E64" s="836" t="s">
        <v>764</v>
      </c>
      <c r="F64" s="1542" t="s">
        <v>1202</v>
      </c>
      <c r="G64"/>
      <c r="H64" t="str">
        <f>'Shsu FGD'!$O$99</f>
        <v>Amanda Withers</v>
      </c>
      <c r="I64" t="str">
        <f>'Shsu FGD'!$Q$99</f>
        <v>936-294-2289</v>
      </c>
      <c r="J64" s="1542" t="str">
        <f>HYPERLINK("Mailto:"&amp;'Shsu FGD'!$T$99,'Shsu FGD'!$T$99)</f>
        <v>withers@shsu.edu</v>
      </c>
    </row>
    <row r="65" spans="2:10" collapsed="1">
      <c r="H65" s="114"/>
      <c r="I65" s="114"/>
      <c r="J65" s="114"/>
    </row>
    <row r="66" spans="2:10" ht="15.75">
      <c r="B66" s="819" t="s">
        <v>1211</v>
      </c>
      <c r="C66" s="477"/>
      <c r="D66" s="477"/>
      <c r="E66" s="477"/>
      <c r="H66" s="114"/>
      <c r="I66" s="114"/>
      <c r="J66" s="114"/>
    </row>
    <row r="67" spans="2:10" ht="15">
      <c r="B67" s="854" t="s">
        <v>1208</v>
      </c>
      <c r="C67" s="477"/>
      <c r="D67" s="477"/>
      <c r="E67" s="477"/>
      <c r="H67" s="114"/>
      <c r="I67" s="114"/>
      <c r="J67" s="114"/>
    </row>
    <row r="68" spans="2:10" ht="15">
      <c r="B68" s="854" t="s">
        <v>1209</v>
      </c>
      <c r="C68" s="477"/>
      <c r="D68" s="477"/>
      <c r="E68" s="477"/>
      <c r="H68" s="114"/>
      <c r="I68" s="114"/>
      <c r="J68" s="114"/>
    </row>
    <row r="69" spans="2:10" ht="15">
      <c r="B69" s="854" t="s">
        <v>1210</v>
      </c>
      <c r="C69" s="477"/>
      <c r="D69" s="477"/>
      <c r="E69" s="477"/>
      <c r="H69" s="114"/>
      <c r="I69" s="114"/>
      <c r="J69" s="114"/>
    </row>
    <row r="70" spans="2:10" ht="15">
      <c r="B70" s="476"/>
      <c r="C70" s="477"/>
      <c r="D70" s="477"/>
      <c r="E70" s="477"/>
      <c r="H70" s="114"/>
      <c r="I70" s="114"/>
      <c r="J70" s="114"/>
    </row>
    <row r="71" spans="2:10" ht="15.75">
      <c r="B71" s="819" t="s">
        <v>1212</v>
      </c>
      <c r="C71" s="477"/>
      <c r="D71" s="477"/>
      <c r="E71" s="477"/>
      <c r="H71" s="114"/>
      <c r="I71" s="114"/>
      <c r="J71" s="114"/>
    </row>
    <row r="72" spans="2:10">
      <c r="B72" s="854" t="s">
        <v>2235</v>
      </c>
      <c r="H72" s="114"/>
      <c r="I72" s="114"/>
      <c r="J72" s="114"/>
    </row>
    <row r="73" spans="2:10">
      <c r="B73" s="854" t="s">
        <v>1233</v>
      </c>
      <c r="H73" s="114"/>
      <c r="I73" s="114"/>
      <c r="J73" s="114"/>
    </row>
    <row r="74" spans="2:10" s="854" customFormat="1">
      <c r="B74" s="854" t="s">
        <v>2236</v>
      </c>
    </row>
    <row r="75" spans="2:10" ht="15">
      <c r="B75" s="854" t="s">
        <v>2234</v>
      </c>
      <c r="C75" s="834"/>
      <c r="D75" s="834"/>
      <c r="E75" s="834"/>
      <c r="H75" s="114"/>
      <c r="I75" s="114"/>
      <c r="J75" s="114"/>
    </row>
    <row r="76" spans="2:10" ht="15">
      <c r="B76" s="854" t="s">
        <v>2281</v>
      </c>
      <c r="C76" s="834"/>
      <c r="D76" s="834"/>
      <c r="E76" s="834"/>
      <c r="H76" s="114"/>
      <c r="I76" s="114"/>
      <c r="J76" s="114"/>
    </row>
    <row r="77" spans="2:10" ht="15">
      <c r="B77" s="854"/>
      <c r="C77" s="834"/>
      <c r="D77" s="834"/>
      <c r="E77" s="834"/>
      <c r="H77" s="114"/>
      <c r="I77" s="114"/>
      <c r="J77" s="114"/>
    </row>
    <row r="78" spans="2:10" ht="15">
      <c r="B78" s="854" t="s">
        <v>2240</v>
      </c>
      <c r="C78" s="834"/>
      <c r="D78" s="834"/>
      <c r="E78" s="834"/>
      <c r="H78" s="114"/>
      <c r="I78" s="114"/>
      <c r="J78" s="114"/>
    </row>
    <row r="79" spans="2:10" ht="15">
      <c r="B79" s="854" t="s">
        <v>2237</v>
      </c>
      <c r="C79" s="834"/>
      <c r="D79" s="834"/>
      <c r="E79" s="834"/>
      <c r="H79" s="114"/>
      <c r="I79" s="114"/>
      <c r="J79" s="114"/>
    </row>
    <row r="80" spans="2:10" ht="15">
      <c r="B80" s="854" t="s">
        <v>2238</v>
      </c>
      <c r="C80" s="834"/>
      <c r="D80" s="834"/>
      <c r="E80" s="834"/>
      <c r="H80" s="114"/>
      <c r="I80" s="114"/>
      <c r="J80" s="114"/>
    </row>
    <row r="81" spans="2:10" ht="15">
      <c r="B81" s="854" t="s">
        <v>2239</v>
      </c>
      <c r="C81" s="834"/>
      <c r="D81" s="834"/>
      <c r="E81" s="834"/>
      <c r="H81" s="114"/>
      <c r="I81" s="114"/>
      <c r="J81" s="114"/>
    </row>
    <row r="82" spans="2:10" ht="15">
      <c r="B82" s="854" t="s">
        <v>2241</v>
      </c>
      <c r="C82" s="834"/>
      <c r="D82" s="834"/>
      <c r="E82" s="834"/>
      <c r="H82" s="114"/>
      <c r="I82" s="114"/>
      <c r="J82" s="114"/>
    </row>
    <row r="83" spans="2:10">
      <c r="B83" s="854"/>
      <c r="H83" s="114"/>
      <c r="I83" s="114"/>
      <c r="J83" s="114"/>
    </row>
    <row r="84" spans="2:10">
      <c r="B84" s="854"/>
      <c r="H84" s="114"/>
      <c r="I84" s="114"/>
      <c r="J84" s="114"/>
    </row>
    <row r="85" spans="2:10">
      <c r="H85" s="114"/>
      <c r="I85" s="114"/>
      <c r="J85" s="114"/>
    </row>
    <row r="86" spans="2:10">
      <c r="H86" s="114"/>
      <c r="I86" s="114"/>
      <c r="J86" s="114"/>
    </row>
    <row r="87" spans="2:10">
      <c r="H87" s="114"/>
      <c r="I87" s="114"/>
      <c r="J87" s="114"/>
    </row>
    <row r="88" spans="2:10">
      <c r="H88" s="114"/>
      <c r="I88" s="114"/>
      <c r="J88" s="114"/>
    </row>
    <row r="89" spans="2:10">
      <c r="H89" s="114"/>
      <c r="I89" s="114"/>
      <c r="J89" s="114"/>
    </row>
    <row r="90" spans="2:10">
      <c r="H90" s="114"/>
      <c r="I90" s="114"/>
      <c r="J90" s="114"/>
    </row>
    <row r="91" spans="2:10">
      <c r="H91" s="114"/>
      <c r="I91" s="114"/>
      <c r="J91" s="114"/>
    </row>
    <row r="92" spans="2:10">
      <c r="H92" s="114"/>
      <c r="I92" s="114"/>
      <c r="J92" s="114"/>
    </row>
    <row r="93" spans="2:10">
      <c r="H93" s="114"/>
      <c r="I93" s="114"/>
      <c r="J93" s="114"/>
    </row>
    <row r="94" spans="2:10">
      <c r="H94" s="114"/>
      <c r="I94" s="114"/>
      <c r="J94" s="114"/>
    </row>
    <row r="95" spans="2:10">
      <c r="H95" s="114"/>
      <c r="I95" s="114"/>
      <c r="J95" s="114"/>
    </row>
    <row r="96" spans="2:10">
      <c r="H96" s="114"/>
      <c r="I96" s="114"/>
      <c r="J96" s="114"/>
    </row>
    <row r="97" spans="8:10">
      <c r="H97" s="114"/>
      <c r="I97" s="114"/>
      <c r="J97" s="114"/>
    </row>
    <row r="98" spans="8:10">
      <c r="H98" s="114"/>
      <c r="I98" s="114"/>
      <c r="J98" s="114"/>
    </row>
    <row r="99" spans="8:10">
      <c r="H99" s="114"/>
      <c r="I99" s="114"/>
      <c r="J99" s="114"/>
    </row>
    <row r="100" spans="8:10">
      <c r="H100" s="114"/>
      <c r="I100" s="114"/>
      <c r="J100" s="114"/>
    </row>
    <row r="101" spans="8:10">
      <c r="H101" s="114"/>
      <c r="I101" s="114"/>
      <c r="J101" s="114"/>
    </row>
    <row r="102" spans="8:10">
      <c r="H102" s="114"/>
      <c r="I102" s="114"/>
      <c r="J102" s="114"/>
    </row>
    <row r="103" spans="8:10">
      <c r="H103" s="114"/>
      <c r="I103" s="114"/>
      <c r="J103" s="114"/>
    </row>
    <row r="104" spans="8:10">
      <c r="H104" s="114"/>
      <c r="I104" s="114"/>
      <c r="J104" s="114"/>
    </row>
    <row r="105" spans="8:10">
      <c r="H105" s="114"/>
      <c r="I105" s="114"/>
      <c r="J105" s="114"/>
    </row>
    <row r="106" spans="8:10">
      <c r="H106" s="114"/>
      <c r="I106" s="114"/>
      <c r="J106" s="114"/>
    </row>
    <row r="107" spans="8:10">
      <c r="H107" s="114"/>
      <c r="I107" s="114"/>
      <c r="J107" s="114"/>
    </row>
    <row r="108" spans="8:10">
      <c r="H108" s="114"/>
      <c r="I108" s="114"/>
      <c r="J108" s="114"/>
    </row>
    <row r="109" spans="8:10">
      <c r="H109" s="114"/>
      <c r="I109" s="114"/>
      <c r="J109" s="114"/>
    </row>
    <row r="110" spans="8:10">
      <c r="H110" s="114"/>
      <c r="I110" s="114"/>
      <c r="J110" s="114"/>
    </row>
    <row r="111" spans="8:10">
      <c r="H111" s="114"/>
      <c r="I111" s="114"/>
      <c r="J111" s="114"/>
    </row>
    <row r="112" spans="8:10">
      <c r="H112" s="114"/>
      <c r="I112" s="114"/>
      <c r="J112" s="114"/>
    </row>
    <row r="113" spans="8:10">
      <c r="H113" s="114"/>
      <c r="I113" s="114"/>
      <c r="J113" s="114"/>
    </row>
    <row r="114" spans="8:10">
      <c r="H114" s="114"/>
      <c r="I114" s="114"/>
      <c r="J114" s="114"/>
    </row>
    <row r="115" spans="8:10">
      <c r="H115" s="114"/>
      <c r="I115" s="114"/>
      <c r="J115" s="114"/>
    </row>
    <row r="116" spans="8:10">
      <c r="H116" s="114"/>
      <c r="I116" s="114"/>
      <c r="J116" s="114"/>
    </row>
    <row r="117" spans="8:10">
      <c r="H117" s="114"/>
      <c r="I117" s="114"/>
      <c r="J117" s="114"/>
    </row>
    <row r="118" spans="8:10">
      <c r="H118" s="114"/>
      <c r="I118" s="114"/>
      <c r="J118" s="114"/>
    </row>
    <row r="119" spans="8:10">
      <c r="H119" s="114"/>
      <c r="I119" s="114"/>
      <c r="J119" s="114"/>
    </row>
    <row r="120" spans="8:10">
      <c r="H120" s="114"/>
      <c r="I120" s="114"/>
      <c r="J120" s="114"/>
    </row>
    <row r="121" spans="8:10">
      <c r="H121" s="114"/>
      <c r="I121" s="114"/>
      <c r="J121" s="114"/>
    </row>
    <row r="122" spans="8:10">
      <c r="H122" s="114"/>
      <c r="I122" s="114"/>
      <c r="J122" s="114"/>
    </row>
    <row r="123" spans="8:10">
      <c r="H123" s="114"/>
      <c r="I123" s="114"/>
      <c r="J123" s="114"/>
    </row>
    <row r="124" spans="8:10">
      <c r="H124" s="114"/>
      <c r="I124" s="114"/>
      <c r="J124" s="114"/>
    </row>
    <row r="125" spans="8:10">
      <c r="H125" s="114"/>
      <c r="I125" s="114"/>
      <c r="J125" s="114"/>
    </row>
    <row r="126" spans="8:10">
      <c r="H126" s="114"/>
      <c r="I126" s="114"/>
      <c r="J126" s="114"/>
    </row>
    <row r="127" spans="8:10">
      <c r="H127" s="114"/>
      <c r="I127" s="114"/>
      <c r="J127" s="114"/>
    </row>
    <row r="128" spans="8:10">
      <c r="H128" s="114"/>
      <c r="I128" s="114"/>
      <c r="J128" s="114"/>
    </row>
    <row r="129" spans="8:10">
      <c r="H129" s="114"/>
      <c r="I129" s="114"/>
      <c r="J129" s="114"/>
    </row>
    <row r="130" spans="8:10">
      <c r="H130" s="114"/>
      <c r="I130" s="114"/>
      <c r="J130" s="114"/>
    </row>
    <row r="131" spans="8:10">
      <c r="H131" s="114"/>
      <c r="I131" s="114"/>
      <c r="J131" s="114"/>
    </row>
    <row r="132" spans="8:10">
      <c r="H132" s="114"/>
      <c r="I132" s="114"/>
      <c r="J132" s="114"/>
    </row>
    <row r="133" spans="8:10">
      <c r="H133" s="114"/>
      <c r="I133" s="114"/>
      <c r="J133" s="114"/>
    </row>
    <row r="134" spans="8:10">
      <c r="H134" s="114"/>
      <c r="I134" s="114"/>
      <c r="J134" s="114"/>
    </row>
    <row r="135" spans="8:10">
      <c r="H135" s="114"/>
      <c r="I135" s="114"/>
      <c r="J135" s="114"/>
    </row>
    <row r="136" spans="8:10">
      <c r="H136" s="114"/>
      <c r="I136" s="114"/>
      <c r="J136" s="114"/>
    </row>
    <row r="137" spans="8:10">
      <c r="H137" s="114"/>
      <c r="I137" s="114"/>
      <c r="J137" s="114"/>
    </row>
    <row r="138" spans="8:10">
      <c r="H138" s="114"/>
      <c r="I138" s="114"/>
      <c r="J138" s="114"/>
    </row>
    <row r="139" spans="8:10">
      <c r="H139" s="114"/>
      <c r="I139" s="114"/>
      <c r="J139" s="114"/>
    </row>
    <row r="140" spans="8:10">
      <c r="H140" s="114"/>
      <c r="I140" s="114"/>
      <c r="J140" s="114"/>
    </row>
    <row r="141" spans="8:10">
      <c r="H141" s="114"/>
      <c r="I141" s="114"/>
      <c r="J141" s="114"/>
    </row>
    <row r="142" spans="8:10">
      <c r="H142" s="114"/>
      <c r="I142" s="114"/>
      <c r="J142" s="114"/>
    </row>
    <row r="143" spans="8:10">
      <c r="H143" s="114"/>
      <c r="I143" s="114"/>
      <c r="J143" s="114"/>
    </row>
    <row r="144" spans="8:10">
      <c r="H144" s="114"/>
      <c r="I144" s="114"/>
      <c r="J144" s="114"/>
    </row>
    <row r="145" spans="8:10">
      <c r="H145" s="114"/>
      <c r="I145" s="114"/>
      <c r="J145" s="114"/>
    </row>
    <row r="146" spans="8:10">
      <c r="H146" s="114"/>
      <c r="I146" s="114"/>
      <c r="J146" s="114"/>
    </row>
    <row r="147" spans="8:10">
      <c r="H147" s="114"/>
      <c r="I147" s="114"/>
      <c r="J147" s="114"/>
    </row>
    <row r="148" spans="8:10">
      <c r="H148" s="114"/>
      <c r="I148" s="114"/>
      <c r="J148" s="114"/>
    </row>
    <row r="149" spans="8:10">
      <c r="H149" s="114"/>
      <c r="I149" s="114"/>
      <c r="J149" s="114"/>
    </row>
    <row r="150" spans="8:10">
      <c r="H150" s="114"/>
      <c r="I150" s="114"/>
      <c r="J150" s="114"/>
    </row>
    <row r="151" spans="8:10">
      <c r="H151" s="114"/>
      <c r="I151" s="114"/>
      <c r="J151" s="114"/>
    </row>
    <row r="152" spans="8:10">
      <c r="H152" s="114"/>
      <c r="I152" s="114"/>
      <c r="J152" s="114"/>
    </row>
    <row r="153" spans="8:10">
      <c r="H153" s="114"/>
      <c r="I153" s="114"/>
      <c r="J153" s="114"/>
    </row>
    <row r="154" spans="8:10">
      <c r="H154" s="114"/>
      <c r="I154" s="114"/>
      <c r="J154" s="114"/>
    </row>
    <row r="155" spans="8:10">
      <c r="H155" s="114"/>
      <c r="I155" s="114"/>
      <c r="J155" s="114"/>
    </row>
    <row r="156" spans="8:10">
      <c r="H156" s="114"/>
      <c r="I156" s="114"/>
      <c r="J156" s="114"/>
    </row>
    <row r="157" spans="8:10">
      <c r="H157" s="114"/>
      <c r="I157" s="114"/>
      <c r="J157" s="114"/>
    </row>
    <row r="158" spans="8:10">
      <c r="H158" s="114"/>
      <c r="I158" s="114"/>
      <c r="J158" s="114"/>
    </row>
    <row r="159" spans="8:10">
      <c r="H159" s="114"/>
      <c r="I159" s="114"/>
      <c r="J159" s="114"/>
    </row>
    <row r="160" spans="8:10">
      <c r="H160" s="114"/>
      <c r="I160" s="114"/>
      <c r="J160" s="114"/>
    </row>
    <row r="161" spans="8:10">
      <c r="H161" s="114"/>
      <c r="I161" s="114"/>
      <c r="J161" s="114"/>
    </row>
    <row r="162" spans="8:10">
      <c r="H162" s="114"/>
      <c r="I162" s="114"/>
      <c r="J162" s="114"/>
    </row>
    <row r="163" spans="8:10">
      <c r="H163" s="114"/>
      <c r="I163" s="114"/>
      <c r="J163" s="114"/>
    </row>
    <row r="164" spans="8:10">
      <c r="H164" s="114"/>
      <c r="I164" s="114"/>
      <c r="J164" s="114"/>
    </row>
    <row r="165" spans="8:10">
      <c r="H165" s="114"/>
      <c r="I165" s="114"/>
      <c r="J165" s="114"/>
    </row>
    <row r="166" spans="8:10">
      <c r="H166" s="114"/>
      <c r="I166" s="114"/>
      <c r="J166" s="114"/>
    </row>
    <row r="167" spans="8:10">
      <c r="H167" s="114"/>
      <c r="I167" s="114"/>
      <c r="J167" s="114"/>
    </row>
    <row r="168" spans="8:10">
      <c r="H168" s="114"/>
      <c r="I168" s="114"/>
      <c r="J168" s="114"/>
    </row>
    <row r="169" spans="8:10">
      <c r="H169" s="114"/>
      <c r="I169" s="114"/>
      <c r="J169" s="114"/>
    </row>
    <row r="170" spans="8:10">
      <c r="H170" s="114"/>
      <c r="I170" s="114"/>
      <c r="J170" s="114"/>
    </row>
    <row r="171" spans="8:10">
      <c r="H171" s="114"/>
      <c r="I171" s="114"/>
      <c r="J171" s="114"/>
    </row>
    <row r="172" spans="8:10">
      <c r="H172" s="114"/>
      <c r="I172" s="114"/>
      <c r="J172" s="114"/>
    </row>
    <row r="173" spans="8:10">
      <c r="H173" s="114"/>
      <c r="I173" s="114"/>
      <c r="J173" s="114"/>
    </row>
    <row r="174" spans="8:10">
      <c r="H174" s="114"/>
      <c r="I174" s="114"/>
      <c r="J174" s="114"/>
    </row>
    <row r="175" spans="8:10">
      <c r="H175" s="114"/>
      <c r="I175" s="114"/>
      <c r="J175" s="114"/>
    </row>
    <row r="176" spans="8:10">
      <c r="H176" s="114"/>
      <c r="I176" s="114"/>
      <c r="J176" s="114"/>
    </row>
    <row r="177" spans="8:10">
      <c r="H177" s="114"/>
      <c r="I177" s="114"/>
      <c r="J177" s="114"/>
    </row>
    <row r="178" spans="8:10">
      <c r="H178" s="114"/>
      <c r="I178" s="114"/>
      <c r="J178" s="114"/>
    </row>
    <row r="179" spans="8:10">
      <c r="H179" s="114"/>
      <c r="I179" s="114"/>
      <c r="J179" s="114"/>
    </row>
    <row r="180" spans="8:10">
      <c r="H180" s="114"/>
      <c r="I180" s="114"/>
      <c r="J180" s="114"/>
    </row>
    <row r="181" spans="8:10">
      <c r="H181" s="114"/>
      <c r="I181" s="114"/>
      <c r="J181" s="114"/>
    </row>
    <row r="182" spans="8:10">
      <c r="H182" s="114"/>
      <c r="I182" s="114"/>
      <c r="J182" s="114"/>
    </row>
    <row r="183" spans="8:10">
      <c r="H183" s="114"/>
      <c r="I183" s="114"/>
      <c r="J183" s="114"/>
    </row>
    <row r="184" spans="8:10">
      <c r="H184" s="114"/>
      <c r="I184" s="114"/>
      <c r="J184" s="114"/>
    </row>
    <row r="185" spans="8:10">
      <c r="H185" s="114"/>
      <c r="I185" s="114"/>
      <c r="J185" s="114"/>
    </row>
    <row r="186" spans="8:10">
      <c r="H186" s="114"/>
      <c r="I186" s="114"/>
      <c r="J186" s="114"/>
    </row>
    <row r="187" spans="8:10">
      <c r="H187" s="114"/>
      <c r="I187" s="114"/>
      <c r="J187" s="114"/>
    </row>
    <row r="188" spans="8:10">
      <c r="H188" s="114"/>
      <c r="I188" s="114"/>
      <c r="J188" s="114"/>
    </row>
    <row r="189" spans="8:10">
      <c r="H189" s="114"/>
      <c r="I189" s="114"/>
      <c r="J189" s="114"/>
    </row>
    <row r="190" spans="8:10">
      <c r="H190" s="114"/>
      <c r="I190" s="114"/>
      <c r="J190" s="114"/>
    </row>
    <row r="191" spans="8:10">
      <c r="H191" s="114"/>
      <c r="I191" s="114"/>
      <c r="J191" s="114"/>
    </row>
    <row r="192" spans="8:10">
      <c r="H192" s="114"/>
      <c r="I192" s="114"/>
      <c r="J192" s="114"/>
    </row>
    <row r="193" spans="8:10">
      <c r="H193" s="114"/>
      <c r="I193" s="114"/>
      <c r="J193" s="114"/>
    </row>
    <row r="194" spans="8:10">
      <c r="H194" s="114"/>
      <c r="I194" s="114"/>
      <c r="J194" s="114"/>
    </row>
    <row r="195" spans="8:10">
      <c r="H195" s="114"/>
      <c r="I195" s="114"/>
      <c r="J195" s="114"/>
    </row>
    <row r="196" spans="8:10">
      <c r="H196" s="114"/>
      <c r="I196" s="114"/>
      <c r="J196" s="114"/>
    </row>
    <row r="197" spans="8:10">
      <c r="H197" s="114"/>
      <c r="I197" s="114"/>
      <c r="J197" s="114"/>
    </row>
    <row r="198" spans="8:10">
      <c r="H198" s="114"/>
      <c r="I198" s="114"/>
      <c r="J198" s="114"/>
    </row>
    <row r="199" spans="8:10">
      <c r="H199" s="114"/>
      <c r="I199" s="114"/>
      <c r="J199" s="114"/>
    </row>
    <row r="200" spans="8:10">
      <c r="H200" s="114"/>
      <c r="I200" s="114"/>
      <c r="J200" s="114"/>
    </row>
    <row r="201" spans="8:10">
      <c r="H201" s="114"/>
      <c r="I201" s="114"/>
      <c r="J201" s="114"/>
    </row>
    <row r="202" spans="8:10">
      <c r="H202" s="114"/>
      <c r="I202" s="114"/>
      <c r="J202" s="114"/>
    </row>
    <row r="203" spans="8:10">
      <c r="H203" s="114"/>
      <c r="I203" s="114"/>
      <c r="J203" s="114"/>
    </row>
    <row r="204" spans="8:10">
      <c r="H204" s="114"/>
      <c r="I204" s="114"/>
      <c r="J204" s="114"/>
    </row>
    <row r="205" spans="8:10">
      <c r="H205" s="114"/>
      <c r="I205" s="114"/>
      <c r="J205" s="114"/>
    </row>
    <row r="206" spans="8:10">
      <c r="H206" s="114"/>
      <c r="I206" s="114"/>
      <c r="J206" s="114"/>
    </row>
    <row r="207" spans="8:10">
      <c r="H207" s="114"/>
      <c r="I207" s="114"/>
      <c r="J207" s="114"/>
    </row>
    <row r="208" spans="8:10">
      <c r="H208" s="114"/>
      <c r="I208" s="114"/>
      <c r="J208" s="114"/>
    </row>
    <row r="209" spans="8:10">
      <c r="H209" s="114"/>
      <c r="I209" s="114"/>
      <c r="J209" s="114"/>
    </row>
    <row r="210" spans="8:10">
      <c r="H210" s="114"/>
      <c r="I210" s="114"/>
      <c r="J210" s="114"/>
    </row>
    <row r="211" spans="8:10">
      <c r="H211" s="114"/>
      <c r="I211" s="114"/>
      <c r="J211" s="114"/>
    </row>
    <row r="212" spans="8:10">
      <c r="H212" s="114"/>
      <c r="I212" s="114"/>
      <c r="J212" s="114"/>
    </row>
    <row r="213" spans="8:10">
      <c r="H213" s="114"/>
      <c r="I213" s="114"/>
      <c r="J213" s="114"/>
    </row>
    <row r="214" spans="8:10">
      <c r="H214" s="114"/>
      <c r="I214" s="114"/>
      <c r="J214" s="114"/>
    </row>
    <row r="215" spans="8:10">
      <c r="H215" s="114"/>
      <c r="I215" s="114"/>
      <c r="J215" s="114"/>
    </row>
    <row r="216" spans="8:10">
      <c r="H216" s="114"/>
      <c r="I216" s="114"/>
      <c r="J216" s="114"/>
    </row>
    <row r="217" spans="8:10">
      <c r="H217" s="114"/>
      <c r="I217" s="114"/>
      <c r="J217" s="114"/>
    </row>
    <row r="218" spans="8:10">
      <c r="H218" s="114"/>
      <c r="I218" s="114"/>
      <c r="J218" s="114"/>
    </row>
    <row r="219" spans="8:10">
      <c r="H219" s="114"/>
      <c r="I219" s="114"/>
      <c r="J219" s="114"/>
    </row>
    <row r="220" spans="8:10">
      <c r="H220" s="114"/>
      <c r="I220" s="114"/>
      <c r="J220" s="114"/>
    </row>
    <row r="221" spans="8:10">
      <c r="H221" s="114"/>
      <c r="I221" s="114"/>
      <c r="J221" s="114"/>
    </row>
    <row r="222" spans="8:10">
      <c r="H222" s="114"/>
      <c r="I222" s="114"/>
      <c r="J222" s="114"/>
    </row>
    <row r="223" spans="8:10">
      <c r="H223" s="114"/>
      <c r="I223" s="114"/>
      <c r="J223" s="114"/>
    </row>
    <row r="224" spans="8:10">
      <c r="H224" s="114"/>
      <c r="I224" s="114"/>
      <c r="J224" s="114"/>
    </row>
    <row r="225" spans="8:10">
      <c r="H225" s="114"/>
      <c r="I225" s="114"/>
      <c r="J225" s="114"/>
    </row>
    <row r="226" spans="8:10">
      <c r="H226" s="114"/>
      <c r="I226" s="114"/>
      <c r="J226" s="114"/>
    </row>
    <row r="227" spans="8:10">
      <c r="H227" s="114"/>
      <c r="I227" s="114"/>
      <c r="J227" s="114"/>
    </row>
    <row r="228" spans="8:10">
      <c r="H228" s="114"/>
      <c r="I228" s="114"/>
      <c r="J228" s="114"/>
    </row>
    <row r="229" spans="8:10">
      <c r="H229" s="114"/>
      <c r="I229" s="114"/>
      <c r="J229" s="114"/>
    </row>
    <row r="230" spans="8:10">
      <c r="H230" s="114"/>
      <c r="I230" s="114"/>
      <c r="J230" s="114"/>
    </row>
    <row r="231" spans="8:10">
      <c r="H231" s="114"/>
      <c r="I231" s="114"/>
      <c r="J231" s="114"/>
    </row>
    <row r="232" spans="8:10">
      <c r="H232" s="114"/>
      <c r="I232" s="114"/>
      <c r="J232" s="114"/>
    </row>
    <row r="233" spans="8:10">
      <c r="H233" s="114"/>
      <c r="I233" s="114"/>
      <c r="J233" s="114"/>
    </row>
    <row r="234" spans="8:10">
      <c r="H234" s="114"/>
      <c r="I234" s="114"/>
      <c r="J234" s="114"/>
    </row>
    <row r="235" spans="8:10">
      <c r="H235" s="114"/>
      <c r="I235" s="114"/>
      <c r="J235" s="114"/>
    </row>
    <row r="236" spans="8:10">
      <c r="H236" s="114"/>
      <c r="I236" s="114"/>
      <c r="J236" s="114"/>
    </row>
    <row r="237" spans="8:10">
      <c r="H237" s="114"/>
      <c r="I237" s="114"/>
      <c r="J237" s="114"/>
    </row>
    <row r="238" spans="8:10">
      <c r="H238" s="114"/>
      <c r="I238" s="114"/>
      <c r="J238" s="114"/>
    </row>
    <row r="239" spans="8:10">
      <c r="H239" s="114"/>
      <c r="I239" s="114"/>
      <c r="J239" s="114"/>
    </row>
    <row r="240" spans="8:10">
      <c r="H240" s="114"/>
      <c r="I240" s="114"/>
      <c r="J240" s="114"/>
    </row>
    <row r="241" spans="8:10">
      <c r="H241" s="114"/>
      <c r="I241" s="114"/>
      <c r="J241" s="114"/>
    </row>
    <row r="242" spans="8:10">
      <c r="H242" s="114"/>
      <c r="I242" s="114"/>
      <c r="J242" s="114"/>
    </row>
    <row r="243" spans="8:10">
      <c r="H243" s="114"/>
      <c r="I243" s="114"/>
      <c r="J243" s="114"/>
    </row>
    <row r="244" spans="8:10">
      <c r="H244" s="114"/>
      <c r="I244" s="114"/>
      <c r="J244" s="114"/>
    </row>
    <row r="245" spans="8:10">
      <c r="H245" s="114"/>
      <c r="I245" s="114"/>
      <c r="J245" s="114"/>
    </row>
    <row r="246" spans="8:10">
      <c r="H246" s="114"/>
      <c r="I246" s="114"/>
      <c r="J246" s="114"/>
    </row>
    <row r="247" spans="8:10">
      <c r="H247" s="114"/>
      <c r="I247" s="114"/>
      <c r="J247" s="114"/>
    </row>
    <row r="248" spans="8:10">
      <c r="H248" s="114"/>
      <c r="I248" s="114"/>
      <c r="J248" s="114"/>
    </row>
    <row r="249" spans="8:10">
      <c r="H249" s="114"/>
      <c r="I249" s="114"/>
      <c r="J249" s="114"/>
    </row>
    <row r="250" spans="8:10">
      <c r="H250" s="114"/>
      <c r="I250" s="114"/>
      <c r="J250" s="114"/>
    </row>
    <row r="251" spans="8:10">
      <c r="H251" s="114"/>
      <c r="I251" s="114"/>
      <c r="J251" s="114"/>
    </row>
    <row r="252" spans="8:10">
      <c r="H252" s="114"/>
      <c r="I252" s="114"/>
      <c r="J252" s="114"/>
    </row>
    <row r="253" spans="8:10">
      <c r="H253" s="114"/>
      <c r="I253" s="114"/>
      <c r="J253" s="114"/>
    </row>
    <row r="254" spans="8:10">
      <c r="H254" s="114"/>
      <c r="I254" s="114"/>
      <c r="J254" s="114"/>
    </row>
    <row r="255" spans="8:10">
      <c r="H255" s="114"/>
      <c r="I255" s="114"/>
      <c r="J255" s="114"/>
    </row>
    <row r="256" spans="8:10">
      <c r="H256" s="114"/>
      <c r="I256" s="114"/>
      <c r="J256" s="114"/>
    </row>
    <row r="257" spans="8:10">
      <c r="H257" s="114"/>
      <c r="I257" s="114"/>
      <c r="J257" s="114"/>
    </row>
    <row r="258" spans="8:10">
      <c r="H258" s="114"/>
      <c r="I258" s="114"/>
      <c r="J258" s="114"/>
    </row>
    <row r="259" spans="8:10">
      <c r="H259" s="114"/>
      <c r="I259" s="114"/>
      <c r="J259" s="114"/>
    </row>
    <row r="260" spans="8:10">
      <c r="H260" s="114"/>
      <c r="I260" s="114"/>
      <c r="J260" s="114"/>
    </row>
    <row r="261" spans="8:10">
      <c r="H261" s="114"/>
      <c r="I261" s="114"/>
      <c r="J261" s="114"/>
    </row>
    <row r="262" spans="8:10">
      <c r="H262" s="114"/>
      <c r="I262" s="114"/>
      <c r="J262" s="114"/>
    </row>
    <row r="263" spans="8:10">
      <c r="H263" s="114"/>
      <c r="I263" s="114"/>
      <c r="J263" s="114"/>
    </row>
    <row r="264" spans="8:10">
      <c r="H264" s="114"/>
      <c r="I264" s="114"/>
      <c r="J264" s="114"/>
    </row>
    <row r="265" spans="8:10">
      <c r="H265" s="114"/>
      <c r="I265" s="114"/>
      <c r="J265" s="114"/>
    </row>
    <row r="266" spans="8:10">
      <c r="H266" s="114"/>
      <c r="I266" s="114"/>
      <c r="J266" s="114"/>
    </row>
    <row r="267" spans="8:10">
      <c r="H267" s="114"/>
      <c r="I267" s="114"/>
      <c r="J267" s="114"/>
    </row>
    <row r="268" spans="8:10">
      <c r="H268" s="114"/>
      <c r="I268" s="114"/>
      <c r="J268" s="114"/>
    </row>
    <row r="269" spans="8:10">
      <c r="H269" s="114"/>
      <c r="I269" s="114"/>
      <c r="J269" s="114"/>
    </row>
    <row r="270" spans="8:10">
      <c r="H270" s="114"/>
      <c r="I270" s="114"/>
      <c r="J270" s="114"/>
    </row>
    <row r="271" spans="8:10">
      <c r="H271" s="114"/>
      <c r="I271" s="114"/>
      <c r="J271" s="114"/>
    </row>
    <row r="272" spans="8:10">
      <c r="H272" s="114"/>
      <c r="I272" s="114"/>
      <c r="J272" s="114"/>
    </row>
    <row r="273" spans="8:10">
      <c r="H273" s="114"/>
      <c r="I273" s="114"/>
      <c r="J273" s="114"/>
    </row>
    <row r="274" spans="8:10">
      <c r="H274" s="114"/>
      <c r="I274" s="114"/>
      <c r="J274" s="114"/>
    </row>
    <row r="275" spans="8:10">
      <c r="H275" s="114"/>
      <c r="I275" s="114"/>
      <c r="J275" s="114"/>
    </row>
    <row r="276" spans="8:10">
      <c r="H276" s="114"/>
      <c r="I276" s="114"/>
      <c r="J276" s="114"/>
    </row>
    <row r="277" spans="8:10">
      <c r="H277" s="114"/>
      <c r="I277" s="114"/>
      <c r="J277" s="114"/>
    </row>
    <row r="278" spans="8:10">
      <c r="H278" s="114"/>
      <c r="I278" s="114"/>
      <c r="J278" s="114"/>
    </row>
    <row r="279" spans="8:10">
      <c r="H279" s="114"/>
      <c r="I279" s="114"/>
      <c r="J279" s="114"/>
    </row>
    <row r="280" spans="8:10">
      <c r="H280" s="114"/>
      <c r="I280" s="114"/>
      <c r="J280" s="114"/>
    </row>
    <row r="281" spans="8:10">
      <c r="H281" s="114"/>
      <c r="I281" s="114"/>
      <c r="J281" s="114"/>
    </row>
    <row r="282" spans="8:10">
      <c r="H282" s="114"/>
      <c r="I282" s="114"/>
      <c r="J282" s="114"/>
    </row>
    <row r="283" spans="8:10">
      <c r="H283" s="114"/>
      <c r="I283" s="114"/>
      <c r="J283" s="114"/>
    </row>
    <row r="284" spans="8:10">
      <c r="H284" s="114"/>
      <c r="I284" s="114"/>
      <c r="J284" s="114"/>
    </row>
    <row r="285" spans="8:10">
      <c r="H285" s="114"/>
      <c r="I285" s="114"/>
      <c r="J285" s="114"/>
    </row>
    <row r="286" spans="8:10">
      <c r="H286" s="114"/>
      <c r="I286" s="114"/>
      <c r="J286" s="114"/>
    </row>
    <row r="287" spans="8:10">
      <c r="H287" s="114"/>
      <c r="I287" s="114"/>
      <c r="J287" s="114"/>
    </row>
    <row r="288" spans="8:10">
      <c r="H288" s="114"/>
      <c r="I288" s="114"/>
      <c r="J288" s="114"/>
    </row>
    <row r="289" spans="8:10">
      <c r="H289" s="114"/>
      <c r="I289" s="114"/>
      <c r="J289" s="114"/>
    </row>
    <row r="290" spans="8:10">
      <c r="H290" s="114"/>
      <c r="I290" s="114"/>
      <c r="J290" s="114"/>
    </row>
    <row r="291" spans="8:10">
      <c r="H291" s="114"/>
      <c r="I291" s="114"/>
      <c r="J291" s="114"/>
    </row>
    <row r="292" spans="8:10">
      <c r="H292" s="114"/>
      <c r="I292" s="114"/>
      <c r="J292" s="114"/>
    </row>
    <row r="293" spans="8:10">
      <c r="H293" s="114"/>
      <c r="I293" s="114"/>
      <c r="J293" s="114"/>
    </row>
    <row r="294" spans="8:10">
      <c r="H294" s="114"/>
      <c r="I294" s="114"/>
      <c r="J294" s="114"/>
    </row>
    <row r="295" spans="8:10">
      <c r="H295" s="114"/>
      <c r="I295" s="114"/>
      <c r="J295" s="114"/>
    </row>
    <row r="296" spans="8:10">
      <c r="H296" s="114"/>
      <c r="I296" s="114"/>
      <c r="J296" s="114"/>
    </row>
    <row r="297" spans="8:10">
      <c r="H297" s="114"/>
      <c r="I297" s="114"/>
      <c r="J297" s="114"/>
    </row>
    <row r="298" spans="8:10">
      <c r="H298" s="114"/>
      <c r="I298" s="114"/>
      <c r="J298" s="114"/>
    </row>
    <row r="299" spans="8:10">
      <c r="H299" s="114"/>
      <c r="I299" s="114"/>
      <c r="J299" s="114"/>
    </row>
    <row r="300" spans="8:10">
      <c r="H300" s="114"/>
      <c r="I300" s="114"/>
      <c r="J300" s="114"/>
    </row>
    <row r="301" spans="8:10">
      <c r="H301" s="114"/>
      <c r="I301" s="114"/>
      <c r="J301" s="114"/>
    </row>
    <row r="302" spans="8:10">
      <c r="H302" s="114"/>
      <c r="I302" s="114"/>
      <c r="J302" s="114"/>
    </row>
    <row r="303" spans="8:10">
      <c r="H303" s="114"/>
      <c r="I303" s="114"/>
      <c r="J303" s="114"/>
    </row>
    <row r="304" spans="8:10">
      <c r="H304" s="114"/>
      <c r="I304" s="114"/>
      <c r="J304" s="114"/>
    </row>
    <row r="305" spans="8:10">
      <c r="H305" s="114"/>
      <c r="I305" s="114"/>
      <c r="J305" s="114"/>
    </row>
    <row r="306" spans="8:10">
      <c r="H306" s="114"/>
      <c r="I306" s="114"/>
      <c r="J306" s="114"/>
    </row>
    <row r="307" spans="8:10">
      <c r="H307" s="114"/>
      <c r="I307" s="114"/>
      <c r="J307" s="114"/>
    </row>
    <row r="308" spans="8:10">
      <c r="H308" s="114"/>
      <c r="I308" s="114"/>
      <c r="J308" s="114"/>
    </row>
    <row r="309" spans="8:10">
      <c r="H309" s="114"/>
      <c r="I309" s="114"/>
      <c r="J309" s="114"/>
    </row>
    <row r="310" spans="8:10">
      <c r="H310" s="114"/>
      <c r="I310" s="114"/>
      <c r="J310" s="114"/>
    </row>
    <row r="311" spans="8:10">
      <c r="H311" s="114"/>
      <c r="I311" s="114"/>
      <c r="J311" s="114"/>
    </row>
    <row r="312" spans="8:10">
      <c r="H312" s="114"/>
      <c r="I312" s="114"/>
      <c r="J312" s="114"/>
    </row>
    <row r="313" spans="8:10">
      <c r="H313" s="114"/>
      <c r="I313" s="114"/>
      <c r="J313" s="114"/>
    </row>
    <row r="314" spans="8:10">
      <c r="H314" s="114"/>
      <c r="I314" s="114"/>
      <c r="J314" s="114"/>
    </row>
    <row r="315" spans="8:10">
      <c r="H315" s="114"/>
      <c r="I315" s="114"/>
      <c r="J315" s="114"/>
    </row>
    <row r="316" spans="8:10">
      <c r="H316" s="114"/>
      <c r="I316" s="114"/>
      <c r="J316" s="114"/>
    </row>
    <row r="317" spans="8:10">
      <c r="H317" s="114"/>
      <c r="I317" s="114"/>
      <c r="J317" s="114"/>
    </row>
    <row r="318" spans="8:10">
      <c r="H318" s="114"/>
      <c r="I318" s="114"/>
      <c r="J318" s="114"/>
    </row>
    <row r="319" spans="8:10">
      <c r="H319" s="114"/>
      <c r="I319" s="114"/>
      <c r="J319" s="114"/>
    </row>
    <row r="320" spans="8:10">
      <c r="H320" s="114"/>
      <c r="I320" s="114"/>
      <c r="J320" s="114"/>
    </row>
    <row r="321" spans="8:10">
      <c r="H321" s="114"/>
      <c r="I321" s="114"/>
      <c r="J321" s="114"/>
    </row>
    <row r="322" spans="8:10">
      <c r="H322" s="114"/>
      <c r="I322" s="114"/>
      <c r="J322" s="114"/>
    </row>
    <row r="323" spans="8:10">
      <c r="H323" s="114"/>
      <c r="I323" s="114"/>
      <c r="J323" s="114"/>
    </row>
    <row r="324" spans="8:10">
      <c r="H324" s="114"/>
      <c r="I324" s="114"/>
      <c r="J324" s="114"/>
    </row>
    <row r="325" spans="8:10">
      <c r="H325" s="114"/>
      <c r="I325" s="114"/>
      <c r="J325" s="114"/>
    </row>
    <row r="326" spans="8:10">
      <c r="H326" s="114"/>
      <c r="I326" s="114"/>
      <c r="J326" s="114"/>
    </row>
    <row r="327" spans="8:10">
      <c r="H327" s="114"/>
      <c r="I327" s="114"/>
      <c r="J327" s="114"/>
    </row>
    <row r="328" spans="8:10">
      <c r="H328" s="114"/>
      <c r="I328" s="114"/>
      <c r="J328" s="114"/>
    </row>
    <row r="329" spans="8:10">
      <c r="H329" s="114"/>
      <c r="I329" s="114"/>
      <c r="J329" s="114"/>
    </row>
    <row r="330" spans="8:10">
      <c r="H330" s="114"/>
      <c r="I330" s="114"/>
      <c r="J330" s="114"/>
    </row>
    <row r="331" spans="8:10">
      <c r="H331" s="114"/>
      <c r="I331" s="114"/>
      <c r="J331" s="114"/>
    </row>
    <row r="332" spans="8:10">
      <c r="H332" s="114"/>
      <c r="I332" s="114"/>
      <c r="J332" s="114"/>
    </row>
    <row r="333" spans="8:10">
      <c r="H333" s="114"/>
      <c r="I333" s="114"/>
      <c r="J333" s="114"/>
    </row>
    <row r="334" spans="8:10">
      <c r="H334" s="114"/>
      <c r="I334" s="114"/>
      <c r="J334" s="114"/>
    </row>
    <row r="335" spans="8:10">
      <c r="H335" s="114"/>
      <c r="I335" s="114"/>
      <c r="J335" s="114"/>
    </row>
    <row r="336" spans="8:10">
      <c r="H336" s="114"/>
      <c r="I336" s="114"/>
      <c r="J336" s="114"/>
    </row>
    <row r="337" spans="8:10">
      <c r="H337" s="114"/>
      <c r="I337" s="114"/>
      <c r="J337" s="114"/>
    </row>
    <row r="338" spans="8:10">
      <c r="H338" s="114"/>
      <c r="I338" s="114"/>
      <c r="J338" s="114"/>
    </row>
    <row r="339" spans="8:10">
      <c r="H339" s="114"/>
      <c r="I339" s="114"/>
      <c r="J339" s="114"/>
    </row>
    <row r="340" spans="8:10">
      <c r="H340" s="114"/>
      <c r="I340" s="114"/>
      <c r="J340" s="114"/>
    </row>
    <row r="341" spans="8:10">
      <c r="H341" s="114"/>
      <c r="I341" s="114"/>
      <c r="J341" s="114"/>
    </row>
    <row r="342" spans="8:10">
      <c r="H342" s="114"/>
      <c r="I342" s="114"/>
      <c r="J342" s="114"/>
    </row>
    <row r="343" spans="8:10">
      <c r="H343" s="114"/>
      <c r="I343" s="114"/>
      <c r="J343" s="114"/>
    </row>
    <row r="344" spans="8:10">
      <c r="H344" s="114"/>
      <c r="I344" s="114"/>
      <c r="J344" s="114"/>
    </row>
    <row r="345" spans="8:10">
      <c r="H345" s="114"/>
      <c r="I345" s="114"/>
      <c r="J345" s="114"/>
    </row>
    <row r="346" spans="8:10">
      <c r="H346" s="114"/>
      <c r="I346" s="114"/>
      <c r="J346" s="114"/>
    </row>
    <row r="347" spans="8:10">
      <c r="H347" s="114"/>
      <c r="I347" s="114"/>
      <c r="J347" s="114"/>
    </row>
    <row r="348" spans="8:10">
      <c r="H348" s="114"/>
      <c r="I348" s="114"/>
      <c r="J348" s="114"/>
    </row>
    <row r="349" spans="8:10">
      <c r="H349" s="114"/>
      <c r="I349" s="114"/>
      <c r="J349" s="114"/>
    </row>
    <row r="350" spans="8:10">
      <c r="H350" s="114"/>
      <c r="I350" s="114"/>
      <c r="J350" s="114"/>
    </row>
    <row r="351" spans="8:10">
      <c r="H351" s="114"/>
      <c r="I351" s="114"/>
      <c r="J351" s="114"/>
    </row>
    <row r="352" spans="8:10">
      <c r="H352" s="114"/>
      <c r="I352" s="114"/>
      <c r="J352" s="114"/>
    </row>
    <row r="353" spans="8:10">
      <c r="H353" s="114"/>
      <c r="I353" s="114"/>
      <c r="J353" s="114"/>
    </row>
    <row r="354" spans="8:10">
      <c r="H354" s="114"/>
      <c r="I354" s="114"/>
      <c r="J354" s="114"/>
    </row>
    <row r="355" spans="8:10">
      <c r="H355" s="114"/>
      <c r="I355" s="114"/>
      <c r="J355" s="114"/>
    </row>
    <row r="356" spans="8:10">
      <c r="H356" s="114"/>
      <c r="I356" s="114"/>
      <c r="J356" s="114"/>
    </row>
    <row r="357" spans="8:10">
      <c r="H357" s="114"/>
      <c r="I357" s="114"/>
      <c r="J357" s="114"/>
    </row>
    <row r="358" spans="8:10">
      <c r="H358" s="114"/>
      <c r="I358" s="114"/>
      <c r="J358" s="114"/>
    </row>
    <row r="359" spans="8:10">
      <c r="H359" s="114"/>
      <c r="I359" s="114"/>
      <c r="J359" s="114"/>
    </row>
    <row r="360" spans="8:10">
      <c r="H360" s="114"/>
      <c r="I360" s="114"/>
      <c r="J360" s="114"/>
    </row>
    <row r="361" spans="8:10">
      <c r="H361" s="114"/>
      <c r="I361" s="114"/>
      <c r="J361" s="114"/>
    </row>
    <row r="362" spans="8:10">
      <c r="H362" s="114"/>
      <c r="I362" s="114"/>
      <c r="J362" s="114"/>
    </row>
    <row r="363" spans="8:10">
      <c r="H363" s="114"/>
      <c r="I363" s="114"/>
      <c r="J363" s="114"/>
    </row>
    <row r="364" spans="8:10">
      <c r="H364" s="114"/>
      <c r="I364" s="114"/>
      <c r="J364" s="114"/>
    </row>
    <row r="365" spans="8:10">
      <c r="H365" s="114"/>
      <c r="I365" s="114"/>
      <c r="J365" s="114"/>
    </row>
    <row r="366" spans="8:10">
      <c r="H366" s="114"/>
      <c r="I366" s="114"/>
      <c r="J366" s="114"/>
    </row>
    <row r="367" spans="8:10">
      <c r="H367" s="114"/>
      <c r="I367" s="114"/>
      <c r="J367" s="114"/>
    </row>
    <row r="368" spans="8:10">
      <c r="H368" s="114"/>
      <c r="I368" s="114"/>
      <c r="J368" s="114"/>
    </row>
    <row r="369" spans="8:10">
      <c r="H369" s="114"/>
      <c r="I369" s="114"/>
      <c r="J369" s="114"/>
    </row>
    <row r="370" spans="8:10">
      <c r="H370" s="114"/>
      <c r="I370" s="114"/>
      <c r="J370" s="114"/>
    </row>
    <row r="371" spans="8:10">
      <c r="H371" s="114"/>
      <c r="I371" s="114"/>
      <c r="J371" s="114"/>
    </row>
    <row r="372" spans="8:10">
      <c r="H372" s="114"/>
      <c r="I372" s="114"/>
      <c r="J372" s="114"/>
    </row>
    <row r="373" spans="8:10">
      <c r="H373" s="114"/>
      <c r="I373" s="114"/>
      <c r="J373" s="114"/>
    </row>
    <row r="374" spans="8:10">
      <c r="H374" s="114"/>
      <c r="I374" s="114"/>
      <c r="J374" s="114"/>
    </row>
    <row r="375" spans="8:10">
      <c r="H375" s="114"/>
      <c r="I375" s="114"/>
      <c r="J375" s="114"/>
    </row>
    <row r="376" spans="8:10">
      <c r="H376" s="114"/>
      <c r="I376" s="114"/>
      <c r="J376" s="114"/>
    </row>
    <row r="377" spans="8:10">
      <c r="H377" s="114"/>
      <c r="I377" s="114"/>
      <c r="J377" s="114"/>
    </row>
    <row r="378" spans="8:10">
      <c r="H378" s="114"/>
      <c r="I378" s="114"/>
      <c r="J378" s="114"/>
    </row>
    <row r="379" spans="8:10">
      <c r="H379" s="114"/>
      <c r="I379" s="114"/>
      <c r="J379" s="114"/>
    </row>
    <row r="380" spans="8:10">
      <c r="H380" s="114"/>
      <c r="I380" s="114"/>
      <c r="J380" s="114"/>
    </row>
    <row r="381" spans="8:10">
      <c r="H381" s="114"/>
      <c r="I381" s="114"/>
      <c r="J381" s="114"/>
    </row>
    <row r="382" spans="8:10">
      <c r="H382" s="114"/>
      <c r="I382" s="114"/>
      <c r="J382" s="114"/>
    </row>
    <row r="383" spans="8:10">
      <c r="H383" s="114"/>
      <c r="I383" s="114"/>
      <c r="J383" s="114"/>
    </row>
    <row r="384" spans="8:10">
      <c r="H384" s="114"/>
      <c r="I384" s="114"/>
      <c r="J384" s="114"/>
    </row>
    <row r="385" spans="8:10">
      <c r="H385" s="114"/>
      <c r="I385" s="114"/>
      <c r="J385" s="114"/>
    </row>
    <row r="386" spans="8:10">
      <c r="H386" s="114"/>
      <c r="I386" s="114"/>
      <c r="J386" s="114"/>
    </row>
    <row r="387" spans="8:10">
      <c r="H387" s="114"/>
      <c r="I387" s="114"/>
      <c r="J387" s="114"/>
    </row>
    <row r="388" spans="8:10">
      <c r="H388" s="114"/>
      <c r="I388" s="114"/>
      <c r="J388" s="114"/>
    </row>
    <row r="389" spans="8:10">
      <c r="H389" s="114"/>
      <c r="I389" s="114"/>
      <c r="J389" s="114"/>
    </row>
    <row r="390" spans="8:10">
      <c r="H390" s="114"/>
      <c r="I390" s="114"/>
      <c r="J390" s="114"/>
    </row>
    <row r="391" spans="8:10">
      <c r="H391" s="114"/>
      <c r="I391" s="114"/>
      <c r="J391" s="114"/>
    </row>
    <row r="392" spans="8:10">
      <c r="H392" s="114"/>
      <c r="I392" s="114"/>
      <c r="J392" s="114"/>
    </row>
    <row r="393" spans="8:10">
      <c r="H393" s="114"/>
      <c r="I393" s="114"/>
      <c r="J393" s="114"/>
    </row>
    <row r="394" spans="8:10">
      <c r="H394" s="114"/>
      <c r="I394" s="114"/>
      <c r="J394" s="114"/>
    </row>
    <row r="395" spans="8:10">
      <c r="H395" s="114"/>
      <c r="I395" s="114"/>
      <c r="J395" s="114"/>
    </row>
    <row r="396" spans="8:10">
      <c r="H396" s="114"/>
      <c r="I396" s="114"/>
      <c r="J396" s="114"/>
    </row>
    <row r="397" spans="8:10">
      <c r="H397" s="114"/>
      <c r="I397" s="114"/>
      <c r="J397" s="114"/>
    </row>
    <row r="398" spans="8:10">
      <c r="H398" s="114"/>
      <c r="I398" s="114"/>
      <c r="J398" s="114"/>
    </row>
    <row r="399" spans="8:10">
      <c r="H399" s="114"/>
      <c r="I399" s="114"/>
      <c r="J399" s="114"/>
    </row>
    <row r="400" spans="8:10">
      <c r="H400" s="114"/>
      <c r="I400" s="114"/>
      <c r="J400" s="114"/>
    </row>
    <row r="401" spans="8:10">
      <c r="H401" s="114"/>
      <c r="I401" s="114"/>
      <c r="J401" s="114"/>
    </row>
    <row r="402" spans="8:10">
      <c r="H402" s="114"/>
      <c r="I402" s="114"/>
      <c r="J402" s="114"/>
    </row>
    <row r="403" spans="8:10">
      <c r="H403" s="114"/>
      <c r="I403" s="114"/>
      <c r="J403" s="114"/>
    </row>
    <row r="404" spans="8:10">
      <c r="H404" s="114"/>
      <c r="I404" s="114"/>
      <c r="J404" s="114"/>
    </row>
    <row r="405" spans="8:10">
      <c r="H405" s="114"/>
      <c r="I405" s="114"/>
      <c r="J405" s="114"/>
    </row>
    <row r="406" spans="8:10">
      <c r="H406" s="114"/>
      <c r="I406" s="114"/>
      <c r="J406" s="114"/>
    </row>
    <row r="407" spans="8:10">
      <c r="H407" s="114"/>
      <c r="I407" s="114"/>
      <c r="J407" s="114"/>
    </row>
    <row r="408" spans="8:10">
      <c r="H408" s="114"/>
      <c r="I408" s="114"/>
      <c r="J408" s="114"/>
    </row>
    <row r="409" spans="8:10">
      <c r="H409" s="114"/>
      <c r="I409" s="114"/>
      <c r="J409" s="114"/>
    </row>
    <row r="410" spans="8:10">
      <c r="H410" s="114"/>
      <c r="I410" s="114"/>
      <c r="J410" s="114"/>
    </row>
    <row r="411" spans="8:10">
      <c r="H411" s="114"/>
      <c r="I411" s="114"/>
      <c r="J411" s="114"/>
    </row>
    <row r="412" spans="8:10">
      <c r="H412" s="114"/>
      <c r="I412" s="114"/>
      <c r="J412" s="114"/>
    </row>
    <row r="413" spans="8:10">
      <c r="H413" s="114"/>
      <c r="I413" s="114"/>
      <c r="J413" s="114"/>
    </row>
    <row r="414" spans="8:10">
      <c r="H414" s="114"/>
      <c r="I414" s="114"/>
      <c r="J414" s="114"/>
    </row>
    <row r="415" spans="8:10">
      <c r="H415" s="114"/>
      <c r="I415" s="114"/>
      <c r="J415" s="114"/>
    </row>
    <row r="416" spans="8:10">
      <c r="H416" s="114"/>
      <c r="I416" s="114"/>
      <c r="J416" s="114"/>
    </row>
    <row r="417" spans="8:10">
      <c r="H417" s="114"/>
      <c r="I417" s="114"/>
      <c r="J417" s="114"/>
    </row>
    <row r="418" spans="8:10">
      <c r="H418" s="114"/>
      <c r="I418" s="114"/>
      <c r="J418" s="114"/>
    </row>
    <row r="419" spans="8:10">
      <c r="H419" s="114"/>
      <c r="I419" s="114"/>
      <c r="J419" s="114"/>
    </row>
    <row r="420" spans="8:10">
      <c r="H420" s="114"/>
      <c r="I420" s="114"/>
      <c r="J420" s="114"/>
    </row>
    <row r="421" spans="8:10">
      <c r="H421" s="114"/>
      <c r="I421" s="114"/>
      <c r="J421" s="114"/>
    </row>
    <row r="422" spans="8:10">
      <c r="H422" s="114"/>
      <c r="I422" s="114"/>
      <c r="J422" s="114"/>
    </row>
    <row r="423" spans="8:10">
      <c r="H423" s="114"/>
      <c r="I423" s="114"/>
      <c r="J423" s="114"/>
    </row>
    <row r="424" spans="8:10">
      <c r="H424" s="114"/>
      <c r="I424" s="114"/>
      <c r="J424" s="114"/>
    </row>
    <row r="425" spans="8:10">
      <c r="H425" s="114"/>
      <c r="I425" s="114"/>
      <c r="J425" s="114"/>
    </row>
    <row r="426" spans="8:10">
      <c r="H426" s="114"/>
      <c r="I426" s="114"/>
      <c r="J426" s="114"/>
    </row>
    <row r="427" spans="8:10">
      <c r="H427" s="114"/>
      <c r="I427" s="114"/>
      <c r="J427" s="114"/>
    </row>
    <row r="428" spans="8:10">
      <c r="H428" s="114"/>
      <c r="I428" s="114"/>
      <c r="J428" s="114"/>
    </row>
    <row r="429" spans="8:10">
      <c r="H429" s="114"/>
      <c r="I429" s="114"/>
      <c r="J429" s="114"/>
    </row>
    <row r="430" spans="8:10">
      <c r="H430" s="114"/>
      <c r="I430" s="114"/>
      <c r="J430" s="114"/>
    </row>
    <row r="431" spans="8:10">
      <c r="H431" s="114"/>
      <c r="I431" s="114"/>
      <c r="J431" s="114"/>
    </row>
    <row r="432" spans="8:10">
      <c r="H432" s="114"/>
      <c r="I432" s="114"/>
      <c r="J432" s="114"/>
    </row>
    <row r="433" spans="8:10">
      <c r="H433" s="114"/>
      <c r="I433" s="114"/>
      <c r="J433" s="114"/>
    </row>
    <row r="434" spans="8:10">
      <c r="H434" s="114"/>
      <c r="I434" s="114"/>
      <c r="J434" s="114"/>
    </row>
    <row r="435" spans="8:10">
      <c r="H435" s="114"/>
      <c r="I435" s="114"/>
      <c r="J435" s="114"/>
    </row>
    <row r="436" spans="8:10">
      <c r="H436" s="114"/>
      <c r="I436" s="114"/>
      <c r="J436" s="114"/>
    </row>
    <row r="437" spans="8:10">
      <c r="H437" s="114"/>
      <c r="I437" s="114"/>
      <c r="J437" s="114"/>
    </row>
    <row r="438" spans="8:10">
      <c r="H438" s="114"/>
      <c r="I438" s="114"/>
      <c r="J438" s="114"/>
    </row>
    <row r="439" spans="8:10">
      <c r="H439" s="114"/>
      <c r="I439" s="114"/>
      <c r="J439" s="114"/>
    </row>
    <row r="440" spans="8:10">
      <c r="H440" s="114"/>
      <c r="I440" s="114"/>
      <c r="J440" s="114"/>
    </row>
    <row r="441" spans="8:10">
      <c r="H441" s="114"/>
      <c r="I441" s="114"/>
      <c r="J441" s="114"/>
    </row>
    <row r="442" spans="8:10">
      <c r="H442" s="114"/>
      <c r="I442" s="114"/>
      <c r="J442" s="114"/>
    </row>
    <row r="443" spans="8:10">
      <c r="H443" s="114"/>
      <c r="I443" s="114"/>
      <c r="J443" s="114"/>
    </row>
    <row r="444" spans="8:10">
      <c r="H444" s="114"/>
      <c r="I444" s="114"/>
      <c r="J444" s="114"/>
    </row>
    <row r="445" spans="8:10">
      <c r="H445" s="114"/>
      <c r="I445" s="114"/>
      <c r="J445" s="114"/>
    </row>
    <row r="446" spans="8:10">
      <c r="H446" s="114"/>
      <c r="I446" s="114"/>
      <c r="J446" s="114"/>
    </row>
    <row r="447" spans="8:10">
      <c r="H447" s="114"/>
      <c r="I447" s="114"/>
      <c r="J447" s="114"/>
    </row>
    <row r="448" spans="8:10">
      <c r="H448" s="114"/>
      <c r="I448" s="114"/>
      <c r="J448" s="114"/>
    </row>
    <row r="449" spans="8:10">
      <c r="H449" s="114"/>
      <c r="I449" s="114"/>
      <c r="J449" s="114"/>
    </row>
    <row r="450" spans="8:10">
      <c r="H450" s="114"/>
      <c r="I450" s="114"/>
      <c r="J450" s="114"/>
    </row>
    <row r="451" spans="8:10">
      <c r="H451" s="114"/>
      <c r="I451" s="114"/>
      <c r="J451" s="114"/>
    </row>
    <row r="452" spans="8:10">
      <c r="H452" s="114"/>
      <c r="I452" s="114"/>
      <c r="J452" s="114"/>
    </row>
    <row r="453" spans="8:10">
      <c r="H453" s="114"/>
      <c r="I453" s="114"/>
      <c r="J453" s="114"/>
    </row>
    <row r="454" spans="8:10">
      <c r="H454" s="114"/>
      <c r="I454" s="114"/>
      <c r="J454" s="114"/>
    </row>
    <row r="455" spans="8:10">
      <c r="H455" s="114"/>
      <c r="I455" s="114"/>
      <c r="J455" s="114"/>
    </row>
    <row r="456" spans="8:10">
      <c r="H456" s="114"/>
      <c r="I456" s="114"/>
      <c r="J456" s="114"/>
    </row>
    <row r="457" spans="8:10">
      <c r="H457" s="114"/>
      <c r="I457" s="114"/>
      <c r="J457" s="114"/>
    </row>
    <row r="458" spans="8:10">
      <c r="H458" s="114"/>
      <c r="I458" s="114"/>
      <c r="J458" s="114"/>
    </row>
    <row r="459" spans="8:10">
      <c r="H459" s="114"/>
      <c r="I459" s="114"/>
      <c r="J459" s="114"/>
    </row>
    <row r="460" spans="8:10">
      <c r="H460" s="114"/>
      <c r="I460" s="114"/>
      <c r="J460" s="114"/>
    </row>
    <row r="461" spans="8:10">
      <c r="H461" s="114"/>
      <c r="I461" s="114"/>
      <c r="J461" s="114"/>
    </row>
    <row r="462" spans="8:10">
      <c r="H462" s="114"/>
      <c r="I462" s="114"/>
      <c r="J462" s="114"/>
    </row>
    <row r="463" spans="8:10">
      <c r="H463" s="114"/>
      <c r="I463" s="114"/>
      <c r="J463" s="114"/>
    </row>
    <row r="464" spans="8:10">
      <c r="H464" s="114"/>
      <c r="I464" s="114"/>
      <c r="J464" s="114"/>
    </row>
    <row r="465" spans="8:10">
      <c r="H465" s="114"/>
      <c r="I465" s="114"/>
      <c r="J465" s="114"/>
    </row>
    <row r="466" spans="8:10">
      <c r="H466" s="114"/>
      <c r="I466" s="114"/>
      <c r="J466" s="114"/>
    </row>
    <row r="467" spans="8:10">
      <c r="H467" s="114"/>
      <c r="I467" s="114"/>
      <c r="J467" s="114"/>
    </row>
    <row r="468" spans="8:10">
      <c r="H468" s="114"/>
      <c r="I468" s="114"/>
      <c r="J468" s="114"/>
    </row>
    <row r="469" spans="8:10">
      <c r="H469" s="114"/>
      <c r="I469" s="114"/>
      <c r="J469" s="114"/>
    </row>
    <row r="470" spans="8:10">
      <c r="H470" s="114"/>
      <c r="I470" s="114"/>
      <c r="J470" s="114"/>
    </row>
    <row r="471" spans="8:10">
      <c r="H471" s="114"/>
      <c r="I471" s="114"/>
      <c r="J471" s="114"/>
    </row>
    <row r="472" spans="8:10">
      <c r="H472" s="114"/>
      <c r="I472" s="114"/>
      <c r="J472" s="114"/>
    </row>
    <row r="473" spans="8:10">
      <c r="H473" s="114"/>
      <c r="I473" s="114"/>
      <c r="J473" s="114"/>
    </row>
    <row r="474" spans="8:10">
      <c r="H474" s="114"/>
      <c r="I474" s="114"/>
      <c r="J474" s="114"/>
    </row>
    <row r="475" spans="8:10">
      <c r="H475" s="114"/>
      <c r="I475" s="114"/>
      <c r="J475" s="114"/>
    </row>
    <row r="476" spans="8:10">
      <c r="H476" s="114"/>
      <c r="I476" s="114"/>
      <c r="J476" s="114"/>
    </row>
    <row r="477" spans="8:10">
      <c r="H477" s="114"/>
      <c r="I477" s="114"/>
      <c r="J477" s="114"/>
    </row>
    <row r="478" spans="8:10">
      <c r="H478" s="114"/>
      <c r="I478" s="114"/>
      <c r="J478" s="114"/>
    </row>
    <row r="479" spans="8:10">
      <c r="H479" s="114"/>
      <c r="I479" s="114"/>
      <c r="J479" s="114"/>
    </row>
    <row r="480" spans="8:10">
      <c r="H480" s="114"/>
      <c r="I480" s="114"/>
      <c r="J480" s="114"/>
    </row>
    <row r="481" spans="8:10">
      <c r="H481" s="114"/>
      <c r="I481" s="114"/>
      <c r="J481" s="114"/>
    </row>
    <row r="482" spans="8:10">
      <c r="H482" s="114"/>
      <c r="I482" s="114"/>
      <c r="J482" s="114"/>
    </row>
    <row r="483" spans="8:10">
      <c r="H483" s="114"/>
      <c r="I483" s="114"/>
      <c r="J483" s="114"/>
    </row>
    <row r="484" spans="8:10">
      <c r="H484" s="114"/>
      <c r="I484" s="114"/>
      <c r="J484" s="114"/>
    </row>
    <row r="485" spans="8:10">
      <c r="H485" s="114"/>
      <c r="I485" s="114"/>
      <c r="J485" s="114"/>
    </row>
    <row r="486" spans="8:10">
      <c r="H486" s="114"/>
      <c r="I486" s="114"/>
      <c r="J486" s="114"/>
    </row>
    <row r="487" spans="8:10">
      <c r="H487" s="114"/>
      <c r="I487" s="114"/>
      <c r="J487" s="114"/>
    </row>
    <row r="488" spans="8:10">
      <c r="H488" s="114"/>
      <c r="I488" s="114"/>
      <c r="J488" s="114"/>
    </row>
    <row r="489" spans="8:10">
      <c r="H489" s="114"/>
      <c r="I489" s="114"/>
      <c r="J489" s="114"/>
    </row>
    <row r="490" spans="8:10">
      <c r="H490" s="114"/>
      <c r="I490" s="114"/>
      <c r="J490" s="114"/>
    </row>
    <row r="491" spans="8:10">
      <c r="H491" s="114"/>
      <c r="I491" s="114"/>
      <c r="J491" s="114"/>
    </row>
    <row r="492" spans="8:10">
      <c r="H492" s="114"/>
      <c r="I492" s="114"/>
      <c r="J492" s="114"/>
    </row>
    <row r="493" spans="8:10">
      <c r="H493" s="114"/>
      <c r="I493" s="114"/>
      <c r="J493" s="114"/>
    </row>
    <row r="494" spans="8:10">
      <c r="H494" s="114"/>
      <c r="I494" s="114"/>
      <c r="J494" s="114"/>
    </row>
    <row r="495" spans="8:10">
      <c r="H495" s="114"/>
      <c r="I495" s="114"/>
      <c r="J495" s="114"/>
    </row>
    <row r="496" spans="8:10">
      <c r="H496" s="114"/>
      <c r="I496" s="114"/>
      <c r="J496" s="114"/>
    </row>
    <row r="497" spans="8:10">
      <c r="H497" s="114"/>
      <c r="I497" s="114"/>
      <c r="J497" s="114"/>
    </row>
    <row r="498" spans="8:10">
      <c r="H498" s="114"/>
      <c r="I498" s="114"/>
      <c r="J498" s="114"/>
    </row>
    <row r="499" spans="8:10">
      <c r="H499" s="114"/>
      <c r="I499" s="114"/>
      <c r="J499" s="114"/>
    </row>
    <row r="500" spans="8:10">
      <c r="H500" s="114"/>
      <c r="I500" s="114"/>
      <c r="J500" s="114"/>
    </row>
    <row r="501" spans="8:10">
      <c r="H501" s="114"/>
      <c r="I501" s="114"/>
      <c r="J501" s="114"/>
    </row>
    <row r="502" spans="8:10">
      <c r="H502" s="114"/>
      <c r="I502" s="114"/>
      <c r="J502" s="114"/>
    </row>
    <row r="503" spans="8:10">
      <c r="H503" s="114"/>
      <c r="I503" s="114"/>
      <c r="J503" s="114"/>
    </row>
    <row r="504" spans="8:10">
      <c r="H504" s="114"/>
      <c r="I504" s="114"/>
      <c r="J504" s="114"/>
    </row>
    <row r="505" spans="8:10">
      <c r="H505" s="114"/>
      <c r="I505" s="114"/>
      <c r="J505" s="114"/>
    </row>
    <row r="506" spans="8:10">
      <c r="H506" s="114"/>
      <c r="I506" s="114"/>
      <c r="J506" s="114"/>
    </row>
    <row r="507" spans="8:10">
      <c r="H507" s="114"/>
      <c r="I507" s="114"/>
      <c r="J507" s="114"/>
    </row>
    <row r="508" spans="8:10">
      <c r="H508" s="114"/>
      <c r="I508" s="114"/>
      <c r="J508" s="114"/>
    </row>
    <row r="509" spans="8:10">
      <c r="H509" s="114"/>
      <c r="I509" s="114"/>
      <c r="J509" s="114"/>
    </row>
    <row r="510" spans="8:10">
      <c r="H510" s="114"/>
      <c r="I510" s="114"/>
      <c r="J510" s="114"/>
    </row>
    <row r="511" spans="8:10">
      <c r="H511" s="114"/>
      <c r="I511" s="114"/>
      <c r="J511" s="114"/>
    </row>
    <row r="512" spans="8:10">
      <c r="H512" s="114"/>
      <c r="I512" s="114"/>
      <c r="J512" s="114"/>
    </row>
    <row r="513" spans="8:10">
      <c r="H513" s="114"/>
      <c r="I513" s="114"/>
      <c r="J513" s="114"/>
    </row>
    <row r="514" spans="8:10">
      <c r="H514" s="114"/>
      <c r="I514" s="114"/>
      <c r="J514" s="114"/>
    </row>
    <row r="515" spans="8:10">
      <c r="H515" s="114"/>
      <c r="I515" s="114"/>
      <c r="J515" s="114"/>
    </row>
    <row r="516" spans="8:10">
      <c r="H516" s="114"/>
      <c r="I516" s="114"/>
      <c r="J516" s="114"/>
    </row>
    <row r="517" spans="8:10">
      <c r="H517" s="114"/>
      <c r="I517" s="114"/>
      <c r="J517" s="114"/>
    </row>
    <row r="518" spans="8:10">
      <c r="H518" s="114"/>
      <c r="I518" s="114"/>
      <c r="J518" s="114"/>
    </row>
    <row r="519" spans="8:10">
      <c r="H519" s="114"/>
      <c r="I519" s="114"/>
      <c r="J519" s="114"/>
    </row>
    <row r="520" spans="8:10">
      <c r="H520" s="114"/>
      <c r="I520" s="114"/>
      <c r="J520" s="114"/>
    </row>
    <row r="521" spans="8:10">
      <c r="H521" s="114"/>
      <c r="I521" s="114"/>
      <c r="J521" s="114"/>
    </row>
    <row r="522" spans="8:10">
      <c r="H522" s="114"/>
      <c r="I522" s="114"/>
      <c r="J522" s="114"/>
    </row>
    <row r="523" spans="8:10">
      <c r="H523" s="114"/>
      <c r="I523" s="114"/>
      <c r="J523" s="114"/>
    </row>
    <row r="524" spans="8:10">
      <c r="H524" s="114"/>
      <c r="I524" s="114"/>
      <c r="J524" s="114"/>
    </row>
    <row r="525" spans="8:10">
      <c r="H525" s="114"/>
      <c r="I525" s="114"/>
      <c r="J525" s="114"/>
    </row>
    <row r="526" spans="8:10">
      <c r="H526" s="114"/>
      <c r="I526" s="114"/>
      <c r="J526" s="114"/>
    </row>
    <row r="527" spans="8:10">
      <c r="H527" s="114"/>
      <c r="I527" s="114"/>
      <c r="J527" s="114"/>
    </row>
    <row r="528" spans="8:10">
      <c r="H528" s="114"/>
      <c r="I528" s="114"/>
      <c r="J528" s="114"/>
    </row>
    <row r="529" spans="8:10">
      <c r="H529" s="114"/>
      <c r="I529" s="114"/>
      <c r="J529" s="114"/>
    </row>
    <row r="530" spans="8:10">
      <c r="H530" s="114"/>
      <c r="I530" s="114"/>
      <c r="J530" s="114"/>
    </row>
    <row r="531" spans="8:10">
      <c r="H531" s="114"/>
      <c r="I531" s="114"/>
      <c r="J531" s="114"/>
    </row>
    <row r="532" spans="8:10">
      <c r="H532" s="114"/>
      <c r="I532" s="114"/>
      <c r="J532" s="114"/>
    </row>
    <row r="533" spans="8:10">
      <c r="H533" s="114"/>
      <c r="I533" s="114"/>
      <c r="J533" s="114"/>
    </row>
    <row r="534" spans="8:10">
      <c r="H534" s="114"/>
      <c r="I534" s="114"/>
      <c r="J534" s="114"/>
    </row>
    <row r="535" spans="8:10">
      <c r="H535" s="114"/>
      <c r="I535" s="114"/>
      <c r="J535" s="114"/>
    </row>
    <row r="536" spans="8:10">
      <c r="H536" s="114"/>
      <c r="I536" s="114"/>
      <c r="J536" s="114"/>
    </row>
    <row r="537" spans="8:10">
      <c r="H537" s="114"/>
      <c r="I537" s="114"/>
      <c r="J537" s="114"/>
    </row>
    <row r="538" spans="8:10">
      <c r="H538" s="114"/>
      <c r="I538" s="114"/>
      <c r="J538" s="114"/>
    </row>
    <row r="539" spans="8:10">
      <c r="H539" s="114"/>
      <c r="I539" s="114"/>
      <c r="J539" s="114"/>
    </row>
    <row r="540" spans="8:10">
      <c r="H540" s="114"/>
      <c r="I540" s="114"/>
      <c r="J540" s="114"/>
    </row>
    <row r="541" spans="8:10">
      <c r="H541" s="114"/>
      <c r="I541" s="114"/>
      <c r="J541" s="114"/>
    </row>
    <row r="542" spans="8:10">
      <c r="H542" s="114"/>
      <c r="I542" s="114"/>
      <c r="J542" s="114"/>
    </row>
    <row r="543" spans="8:10">
      <c r="H543" s="114"/>
      <c r="I543" s="114"/>
      <c r="J543" s="114"/>
    </row>
    <row r="544" spans="8:10">
      <c r="H544" s="114"/>
      <c r="I544" s="114"/>
      <c r="J544" s="114"/>
    </row>
    <row r="545" spans="8:10">
      <c r="H545" s="114"/>
      <c r="I545" s="114"/>
      <c r="J545" s="114"/>
    </row>
    <row r="546" spans="8:10">
      <c r="H546" s="114"/>
      <c r="I546" s="114"/>
      <c r="J546" s="114"/>
    </row>
    <row r="547" spans="8:10">
      <c r="H547" s="114"/>
      <c r="I547" s="114"/>
      <c r="J547" s="114"/>
    </row>
    <row r="548" spans="8:10">
      <c r="H548" s="114"/>
      <c r="I548" s="114"/>
      <c r="J548" s="114"/>
    </row>
    <row r="549" spans="8:10">
      <c r="H549" s="114"/>
      <c r="I549" s="114"/>
      <c r="J549" s="114"/>
    </row>
    <row r="550" spans="8:10">
      <c r="H550" s="114"/>
      <c r="I550" s="114"/>
      <c r="J550" s="114"/>
    </row>
    <row r="551" spans="8:10">
      <c r="H551" s="114"/>
      <c r="I551" s="114"/>
      <c r="J551" s="114"/>
    </row>
    <row r="552" spans="8:10">
      <c r="H552" s="114"/>
      <c r="I552" s="114"/>
      <c r="J552" s="114"/>
    </row>
    <row r="553" spans="8:10">
      <c r="H553" s="114"/>
      <c r="I553" s="114"/>
      <c r="J553" s="114"/>
    </row>
    <row r="554" spans="8:10">
      <c r="H554" s="114"/>
      <c r="I554" s="114"/>
      <c r="J554" s="114"/>
    </row>
    <row r="555" spans="8:10">
      <c r="H555" s="114"/>
      <c r="I555" s="114"/>
      <c r="J555" s="114"/>
    </row>
    <row r="556" spans="8:10">
      <c r="H556" s="114"/>
      <c r="I556" s="114"/>
      <c r="J556" s="114"/>
    </row>
    <row r="557" spans="8:10">
      <c r="H557" s="114"/>
      <c r="I557" s="114"/>
      <c r="J557" s="114"/>
    </row>
    <row r="558" spans="8:10">
      <c r="H558" s="114"/>
      <c r="I558" s="114"/>
      <c r="J558" s="114"/>
    </row>
    <row r="559" spans="8:10">
      <c r="H559" s="114"/>
      <c r="I559" s="114"/>
      <c r="J559" s="114"/>
    </row>
    <row r="560" spans="8:10">
      <c r="H560" s="114"/>
      <c r="I560" s="114"/>
      <c r="J560" s="114"/>
    </row>
    <row r="561" spans="8:10">
      <c r="H561" s="114"/>
      <c r="I561" s="114"/>
      <c r="J561" s="114"/>
    </row>
    <row r="562" spans="8:10">
      <c r="H562" s="114"/>
      <c r="I562" s="114"/>
      <c r="J562" s="114"/>
    </row>
    <row r="563" spans="8:10">
      <c r="H563" s="114"/>
      <c r="I563" s="114"/>
      <c r="J563" s="114"/>
    </row>
    <row r="564" spans="8:10">
      <c r="H564" s="114"/>
      <c r="I564" s="114"/>
      <c r="J564" s="114"/>
    </row>
    <row r="565" spans="8:10">
      <c r="H565" s="114"/>
      <c r="I565" s="114"/>
      <c r="J565" s="114"/>
    </row>
    <row r="566" spans="8:10">
      <c r="H566" s="114"/>
      <c r="I566" s="114"/>
      <c r="J566" s="114"/>
    </row>
    <row r="567" spans="8:10">
      <c r="H567" s="114"/>
      <c r="I567" s="114"/>
      <c r="J567" s="114"/>
    </row>
    <row r="568" spans="8:10">
      <c r="H568" s="114"/>
      <c r="I568" s="114"/>
      <c r="J568" s="114"/>
    </row>
    <row r="569" spans="8:10">
      <c r="H569" s="114"/>
      <c r="I569" s="114"/>
      <c r="J569" s="114"/>
    </row>
    <row r="570" spans="8:10">
      <c r="H570" s="114"/>
      <c r="I570" s="114"/>
      <c r="J570" s="114"/>
    </row>
    <row r="571" spans="8:10">
      <c r="H571" s="114"/>
      <c r="I571" s="114"/>
      <c r="J571" s="114"/>
    </row>
    <row r="572" spans="8:10">
      <c r="H572" s="114"/>
      <c r="I572" s="114"/>
      <c r="J572" s="114"/>
    </row>
    <row r="573" spans="8:10">
      <c r="H573" s="114"/>
      <c r="I573" s="114"/>
      <c r="J573" s="114"/>
    </row>
    <row r="574" spans="8:10">
      <c r="H574" s="114"/>
      <c r="I574" s="114"/>
      <c r="J574" s="114"/>
    </row>
    <row r="575" spans="8:10">
      <c r="H575" s="114"/>
      <c r="I575" s="114"/>
      <c r="J575" s="114"/>
    </row>
    <row r="576" spans="8:10">
      <c r="H576" s="114"/>
      <c r="I576" s="114"/>
      <c r="J576" s="114"/>
    </row>
    <row r="577" spans="8:10">
      <c r="H577" s="114"/>
      <c r="I577" s="114"/>
      <c r="J577" s="114"/>
    </row>
    <row r="578" spans="8:10">
      <c r="H578" s="114"/>
      <c r="I578" s="114"/>
      <c r="J578" s="114"/>
    </row>
    <row r="579" spans="8:10">
      <c r="H579" s="114"/>
      <c r="I579" s="114"/>
      <c r="J579" s="114"/>
    </row>
    <row r="580" spans="8:10">
      <c r="H580" s="114"/>
      <c r="I580" s="114"/>
      <c r="J580" s="114"/>
    </row>
    <row r="581" spans="8:10">
      <c r="H581" s="114"/>
      <c r="I581" s="114"/>
      <c r="J581" s="114"/>
    </row>
    <row r="582" spans="8:10">
      <c r="H582" s="114"/>
      <c r="I582" s="114"/>
      <c r="J582" s="114"/>
    </row>
    <row r="583" spans="8:10">
      <c r="H583" s="114"/>
      <c r="I583" s="114"/>
      <c r="J583" s="114"/>
    </row>
    <row r="584" spans="8:10">
      <c r="H584" s="114"/>
      <c r="I584" s="114"/>
      <c r="J584" s="114"/>
    </row>
    <row r="585" spans="8:10">
      <c r="H585" s="114"/>
      <c r="I585" s="114"/>
      <c r="J585" s="114"/>
    </row>
    <row r="586" spans="8:10">
      <c r="H586" s="114"/>
      <c r="I586" s="114"/>
      <c r="J586" s="114"/>
    </row>
    <row r="587" spans="8:10">
      <c r="H587" s="114"/>
      <c r="I587" s="114"/>
      <c r="J587" s="114"/>
    </row>
    <row r="588" spans="8:10">
      <c r="H588" s="114"/>
      <c r="I588" s="114"/>
      <c r="J588" s="114"/>
    </row>
    <row r="589" spans="8:10">
      <c r="H589" s="114"/>
      <c r="I589" s="114"/>
      <c r="J589" s="114"/>
    </row>
    <row r="590" spans="8:10">
      <c r="H590" s="114"/>
      <c r="I590" s="114"/>
      <c r="J590" s="114"/>
    </row>
    <row r="591" spans="8:10">
      <c r="H591" s="114"/>
      <c r="I591" s="114"/>
      <c r="J591" s="114"/>
    </row>
    <row r="592" spans="8:10">
      <c r="H592" s="114"/>
      <c r="I592" s="114"/>
      <c r="J592" s="114"/>
    </row>
    <row r="593" spans="8:10">
      <c r="H593" s="114"/>
      <c r="I593" s="114"/>
      <c r="J593" s="114"/>
    </row>
    <row r="594" spans="8:10">
      <c r="H594" s="114"/>
      <c r="I594" s="114"/>
      <c r="J594" s="114"/>
    </row>
    <row r="595" spans="8:10">
      <c r="H595" s="114"/>
      <c r="I595" s="114"/>
      <c r="J595" s="114"/>
    </row>
    <row r="596" spans="8:10">
      <c r="H596" s="114"/>
      <c r="I596" s="114"/>
      <c r="J596" s="114"/>
    </row>
    <row r="597" spans="8:10">
      <c r="H597" s="114"/>
      <c r="I597" s="114"/>
      <c r="J597" s="114"/>
    </row>
    <row r="598" spans="8:10">
      <c r="H598" s="114"/>
      <c r="I598" s="114"/>
      <c r="J598" s="114"/>
    </row>
    <row r="599" spans="8:10">
      <c r="H599" s="114"/>
      <c r="I599" s="114"/>
      <c r="J599" s="114"/>
    </row>
    <row r="600" spans="8:10">
      <c r="H600" s="114"/>
      <c r="I600" s="114"/>
      <c r="J600" s="114"/>
    </row>
    <row r="601" spans="8:10">
      <c r="H601" s="114"/>
      <c r="I601" s="114"/>
      <c r="J601" s="114"/>
    </row>
    <row r="602" spans="8:10">
      <c r="H602" s="114"/>
      <c r="I602" s="114"/>
      <c r="J602" s="114"/>
    </row>
    <row r="603" spans="8:10">
      <c r="H603" s="114"/>
      <c r="I603" s="114"/>
      <c r="J603" s="114"/>
    </row>
    <row r="604" spans="8:10">
      <c r="H604" s="114"/>
      <c r="I604" s="114"/>
      <c r="J604" s="114"/>
    </row>
    <row r="605" spans="8:10">
      <c r="H605" s="114"/>
      <c r="I605" s="114"/>
      <c r="J605" s="114"/>
    </row>
    <row r="606" spans="8:10">
      <c r="H606" s="114"/>
      <c r="I606" s="114"/>
      <c r="J606" s="114"/>
    </row>
    <row r="607" spans="8:10">
      <c r="H607" s="114"/>
      <c r="I607" s="114"/>
      <c r="J607" s="114"/>
    </row>
    <row r="608" spans="8:10">
      <c r="H608" s="114"/>
      <c r="I608" s="114"/>
      <c r="J608" s="114"/>
    </row>
    <row r="609" spans="8:10">
      <c r="H609" s="114"/>
      <c r="I609" s="114"/>
      <c r="J609" s="114"/>
    </row>
    <row r="610" spans="8:10">
      <c r="H610" s="114"/>
      <c r="I610" s="114"/>
      <c r="J610" s="114"/>
    </row>
    <row r="611" spans="8:10">
      <c r="H611" s="114"/>
      <c r="I611" s="114"/>
      <c r="J611" s="114"/>
    </row>
    <row r="612" spans="8:10">
      <c r="H612" s="114"/>
      <c r="I612" s="114"/>
      <c r="J612" s="114"/>
    </row>
    <row r="613" spans="8:10">
      <c r="H613" s="114"/>
      <c r="I613" s="114"/>
      <c r="J613" s="114"/>
    </row>
    <row r="614" spans="8:10">
      <c r="H614" s="114"/>
      <c r="I614" s="114"/>
      <c r="J614" s="114"/>
    </row>
    <row r="615" spans="8:10">
      <c r="H615" s="114"/>
      <c r="I615" s="114"/>
      <c r="J615" s="114"/>
    </row>
    <row r="616" spans="8:10">
      <c r="H616" s="114"/>
      <c r="I616" s="114"/>
      <c r="J616" s="114"/>
    </row>
    <row r="617" spans="8:10">
      <c r="H617" s="114"/>
      <c r="I617" s="114"/>
      <c r="J617" s="114"/>
    </row>
    <row r="618" spans="8:10">
      <c r="H618" s="114"/>
      <c r="I618" s="114"/>
      <c r="J618" s="114"/>
    </row>
    <row r="619" spans="8:10">
      <c r="H619" s="114"/>
      <c r="I619" s="114"/>
      <c r="J619" s="114"/>
    </row>
    <row r="620" spans="8:10">
      <c r="H620" s="114"/>
      <c r="I620" s="114"/>
      <c r="J620" s="114"/>
    </row>
    <row r="621" spans="8:10">
      <c r="H621" s="114"/>
      <c r="I621" s="114"/>
      <c r="J621" s="114"/>
    </row>
    <row r="622" spans="8:10">
      <c r="H622" s="114"/>
      <c r="I622" s="114"/>
      <c r="J622" s="114"/>
    </row>
    <row r="623" spans="8:10">
      <c r="H623" s="114"/>
      <c r="I623" s="114"/>
      <c r="J623" s="114"/>
    </row>
    <row r="624" spans="8:10">
      <c r="H624" s="114"/>
      <c r="I624" s="114"/>
      <c r="J624" s="114"/>
    </row>
    <row r="625" spans="8:10">
      <c r="H625" s="114"/>
      <c r="I625" s="114"/>
      <c r="J625" s="114"/>
    </row>
    <row r="626" spans="8:10">
      <c r="H626" s="114"/>
      <c r="I626" s="114"/>
      <c r="J626" s="114"/>
    </row>
    <row r="627" spans="8:10">
      <c r="H627" s="114"/>
      <c r="I627" s="114"/>
      <c r="J627" s="114"/>
    </row>
    <row r="628" spans="8:10">
      <c r="H628" s="114"/>
      <c r="I628" s="114"/>
      <c r="J628" s="114"/>
    </row>
    <row r="629" spans="8:10">
      <c r="H629" s="114"/>
      <c r="I629" s="114"/>
      <c r="J629" s="114"/>
    </row>
    <row r="630" spans="8:10">
      <c r="H630" s="114"/>
      <c r="I630" s="114"/>
      <c r="J630" s="114"/>
    </row>
    <row r="631" spans="8:10">
      <c r="H631" s="114"/>
      <c r="I631" s="114"/>
      <c r="J631" s="114"/>
    </row>
    <row r="632" spans="8:10">
      <c r="H632" s="114"/>
      <c r="I632" s="114"/>
      <c r="J632" s="114"/>
    </row>
    <row r="633" spans="8:10">
      <c r="H633" s="114"/>
      <c r="I633" s="114"/>
      <c r="J633" s="114"/>
    </row>
    <row r="634" spans="8:10">
      <c r="H634" s="114"/>
      <c r="I634" s="114"/>
      <c r="J634" s="114"/>
    </row>
    <row r="635" spans="8:10">
      <c r="H635" s="114"/>
      <c r="I635" s="114"/>
      <c r="J635" s="114"/>
    </row>
    <row r="636" spans="8:10">
      <c r="H636" s="114"/>
      <c r="I636" s="114"/>
      <c r="J636" s="114"/>
    </row>
    <row r="637" spans="8:10">
      <c r="H637" s="114"/>
      <c r="I637" s="114"/>
      <c r="J637" s="114"/>
    </row>
    <row r="638" spans="8:10">
      <c r="H638" s="114"/>
      <c r="I638" s="114"/>
      <c r="J638" s="114"/>
    </row>
    <row r="639" spans="8:10">
      <c r="H639" s="114"/>
      <c r="I639" s="114"/>
      <c r="J639" s="114"/>
    </row>
    <row r="640" spans="8:10">
      <c r="H640" s="114"/>
      <c r="I640" s="114"/>
      <c r="J640" s="114"/>
    </row>
    <row r="641" spans="8:10">
      <c r="H641" s="114"/>
      <c r="I641" s="114"/>
      <c r="J641" s="114"/>
    </row>
    <row r="642" spans="8:10">
      <c r="H642" s="114"/>
      <c r="I642" s="114"/>
      <c r="J642" s="114"/>
    </row>
    <row r="643" spans="8:10">
      <c r="H643" s="114"/>
      <c r="I643" s="114"/>
      <c r="J643" s="114"/>
    </row>
    <row r="644" spans="8:10">
      <c r="H644" s="114"/>
      <c r="I644" s="114"/>
      <c r="J644" s="114"/>
    </row>
    <row r="645" spans="8:10">
      <c r="H645" s="114"/>
      <c r="I645" s="114"/>
      <c r="J645" s="114"/>
    </row>
    <row r="646" spans="8:10">
      <c r="H646" s="114"/>
      <c r="I646" s="114"/>
      <c r="J646" s="114"/>
    </row>
    <row r="647" spans="8:10">
      <c r="H647" s="114"/>
      <c r="I647" s="114"/>
      <c r="J647" s="114"/>
    </row>
    <row r="648" spans="8:10">
      <c r="H648" s="114"/>
      <c r="I648" s="114"/>
      <c r="J648" s="114"/>
    </row>
    <row r="649" spans="8:10">
      <c r="H649" s="114"/>
      <c r="I649" s="114"/>
      <c r="J649" s="114"/>
    </row>
    <row r="650" spans="8:10">
      <c r="H650" s="114"/>
      <c r="I650" s="114"/>
      <c r="J650" s="114"/>
    </row>
    <row r="651" spans="8:10">
      <c r="H651" s="114"/>
      <c r="I651" s="114"/>
      <c r="J651" s="114"/>
    </row>
    <row r="652" spans="8:10">
      <c r="H652" s="114"/>
      <c r="I652" s="114"/>
      <c r="J652" s="114"/>
    </row>
    <row r="653" spans="8:10">
      <c r="H653" s="114"/>
      <c r="I653" s="114"/>
      <c r="J653" s="114"/>
    </row>
    <row r="654" spans="8:10">
      <c r="H654" s="114"/>
      <c r="I654" s="114"/>
      <c r="J654" s="114"/>
    </row>
    <row r="655" spans="8:10">
      <c r="H655" s="114"/>
      <c r="I655" s="114"/>
      <c r="J655" s="114"/>
    </row>
    <row r="656" spans="8:10">
      <c r="H656" s="114"/>
      <c r="I656" s="114"/>
      <c r="J656" s="114"/>
    </row>
    <row r="657" spans="8:10">
      <c r="H657" s="114"/>
      <c r="I657" s="114"/>
      <c r="J657" s="114"/>
    </row>
    <row r="658" spans="8:10">
      <c r="H658" s="114"/>
      <c r="I658" s="114"/>
      <c r="J658" s="114"/>
    </row>
    <row r="659" spans="8:10">
      <c r="H659" s="114"/>
      <c r="I659" s="114"/>
      <c r="J659" s="114"/>
    </row>
    <row r="660" spans="8:10">
      <c r="H660" s="114"/>
      <c r="I660" s="114"/>
      <c r="J660" s="114"/>
    </row>
    <row r="661" spans="8:10">
      <c r="H661" s="114"/>
      <c r="I661" s="114"/>
      <c r="J661" s="114"/>
    </row>
    <row r="662" spans="8:10">
      <c r="H662" s="114"/>
      <c r="I662" s="114"/>
      <c r="J662" s="114"/>
    </row>
    <row r="663" spans="8:10">
      <c r="H663" s="114"/>
      <c r="I663" s="114"/>
      <c r="J663" s="114"/>
    </row>
    <row r="664" spans="8:10">
      <c r="H664" s="114"/>
      <c r="I664" s="114"/>
      <c r="J664" s="114"/>
    </row>
    <row r="665" spans="8:10">
      <c r="H665" s="114"/>
      <c r="I665" s="114"/>
      <c r="J665" s="114"/>
    </row>
    <row r="666" spans="8:10">
      <c r="H666" s="114"/>
      <c r="I666" s="114"/>
      <c r="J666" s="114"/>
    </row>
    <row r="667" spans="8:10">
      <c r="H667" s="114"/>
      <c r="I667" s="114"/>
      <c r="J667" s="114"/>
    </row>
    <row r="668" spans="8:10">
      <c r="H668" s="114"/>
      <c r="I668" s="114"/>
      <c r="J668" s="114"/>
    </row>
    <row r="669" spans="8:10">
      <c r="H669" s="114"/>
      <c r="I669" s="114"/>
      <c r="J669" s="114"/>
    </row>
    <row r="670" spans="8:10">
      <c r="H670" s="114"/>
      <c r="I670" s="114"/>
      <c r="J670" s="114"/>
    </row>
    <row r="671" spans="8:10">
      <c r="H671" s="114"/>
      <c r="I671" s="114"/>
      <c r="J671" s="114"/>
    </row>
    <row r="672" spans="8:10">
      <c r="H672" s="114"/>
      <c r="I672" s="114"/>
      <c r="J672" s="114"/>
    </row>
    <row r="673" spans="8:10">
      <c r="H673" s="114"/>
      <c r="I673" s="114"/>
      <c r="J673" s="114"/>
    </row>
    <row r="674" spans="8:10">
      <c r="H674" s="114"/>
      <c r="I674" s="114"/>
      <c r="J674" s="114"/>
    </row>
    <row r="675" spans="8:10">
      <c r="H675" s="114"/>
      <c r="I675" s="114"/>
      <c r="J675" s="114"/>
    </row>
    <row r="676" spans="8:10">
      <c r="H676" s="114"/>
      <c r="I676" s="114"/>
      <c r="J676" s="114"/>
    </row>
    <row r="677" spans="8:10">
      <c r="H677" s="114"/>
      <c r="I677" s="114"/>
      <c r="J677" s="114"/>
    </row>
    <row r="678" spans="8:10">
      <c r="H678" s="114"/>
      <c r="I678" s="114"/>
      <c r="J678" s="114"/>
    </row>
    <row r="679" spans="8:10">
      <c r="H679" s="114"/>
      <c r="I679" s="114"/>
      <c r="J679" s="114"/>
    </row>
    <row r="680" spans="8:10">
      <c r="H680" s="114"/>
      <c r="I680" s="114"/>
      <c r="J680" s="114"/>
    </row>
    <row r="681" spans="8:10">
      <c r="H681" s="114"/>
      <c r="I681" s="114"/>
      <c r="J681" s="114"/>
    </row>
    <row r="682" spans="8:10">
      <c r="H682" s="114"/>
      <c r="I682" s="114"/>
      <c r="J682" s="114"/>
    </row>
    <row r="683" spans="8:10">
      <c r="H683" s="114"/>
      <c r="I683" s="114"/>
      <c r="J683" s="114"/>
    </row>
    <row r="684" spans="8:10">
      <c r="H684" s="114"/>
      <c r="I684" s="114"/>
      <c r="J684" s="114"/>
    </row>
    <row r="685" spans="8:10">
      <c r="H685" s="114"/>
      <c r="I685" s="114"/>
      <c r="J685" s="114"/>
    </row>
    <row r="686" spans="8:10">
      <c r="H686" s="114"/>
      <c r="I686" s="114"/>
      <c r="J686" s="114"/>
    </row>
    <row r="687" spans="8:10">
      <c r="H687" s="114"/>
      <c r="I687" s="114"/>
      <c r="J687" s="114"/>
    </row>
    <row r="688" spans="8:10">
      <c r="H688" s="114"/>
      <c r="I688" s="114"/>
      <c r="J688" s="114"/>
    </row>
    <row r="689" spans="8:10">
      <c r="H689" s="114"/>
      <c r="I689" s="114"/>
      <c r="J689" s="114"/>
    </row>
    <row r="690" spans="8:10">
      <c r="H690" s="114"/>
      <c r="I690" s="114"/>
      <c r="J690" s="114"/>
    </row>
    <row r="691" spans="8:10">
      <c r="H691" s="114"/>
      <c r="I691" s="114"/>
      <c r="J691" s="114"/>
    </row>
    <row r="692" spans="8:10">
      <c r="H692" s="114"/>
      <c r="I692" s="114"/>
      <c r="J692" s="114"/>
    </row>
    <row r="693" spans="8:10">
      <c r="H693" s="114"/>
      <c r="I693" s="114"/>
      <c r="J693" s="114"/>
    </row>
    <row r="694" spans="8:10">
      <c r="H694" s="114"/>
      <c r="I694" s="114"/>
      <c r="J694" s="114"/>
    </row>
    <row r="695" spans="8:10">
      <c r="H695" s="114"/>
      <c r="I695" s="114"/>
      <c r="J695" s="114"/>
    </row>
    <row r="696" spans="8:10">
      <c r="H696" s="114"/>
      <c r="I696" s="114"/>
      <c r="J696" s="114"/>
    </row>
    <row r="697" spans="8:10">
      <c r="H697" s="114"/>
      <c r="I697" s="114"/>
      <c r="J697" s="114"/>
    </row>
    <row r="698" spans="8:10">
      <c r="H698" s="114"/>
      <c r="I698" s="114"/>
      <c r="J698" s="114"/>
    </row>
    <row r="699" spans="8:10">
      <c r="H699" s="114"/>
      <c r="I699" s="114"/>
      <c r="J699" s="114"/>
    </row>
    <row r="700" spans="8:10">
      <c r="H700" s="114"/>
      <c r="I700" s="114"/>
      <c r="J700" s="114"/>
    </row>
    <row r="701" spans="8:10">
      <c r="H701" s="114"/>
      <c r="I701" s="114"/>
      <c r="J701" s="114"/>
    </row>
    <row r="702" spans="8:10">
      <c r="H702" s="114"/>
      <c r="I702" s="114"/>
      <c r="J702" s="114"/>
    </row>
    <row r="703" spans="8:10">
      <c r="H703" s="114"/>
      <c r="I703" s="114"/>
      <c r="J703" s="114"/>
    </row>
    <row r="704" spans="8:10">
      <c r="H704" s="114"/>
      <c r="I704" s="114"/>
      <c r="J704" s="114"/>
    </row>
    <row r="705" spans="8:10">
      <c r="H705" s="114"/>
      <c r="I705" s="114"/>
      <c r="J705" s="114"/>
    </row>
    <row r="706" spans="8:10">
      <c r="H706" s="114"/>
      <c r="I706" s="114"/>
      <c r="J706" s="114"/>
    </row>
    <row r="707" spans="8:10">
      <c r="H707" s="114"/>
      <c r="I707" s="114"/>
      <c r="J707" s="114"/>
    </row>
    <row r="708" spans="8:10">
      <c r="H708" s="114"/>
      <c r="I708" s="114"/>
      <c r="J708" s="114"/>
    </row>
    <row r="709" spans="8:10">
      <c r="H709" s="114"/>
      <c r="I709" s="114"/>
      <c r="J709" s="114"/>
    </row>
    <row r="710" spans="8:10">
      <c r="H710" s="114"/>
      <c r="I710" s="114"/>
      <c r="J710" s="114"/>
    </row>
    <row r="711" spans="8:10">
      <c r="H711" s="114"/>
      <c r="I711" s="114"/>
      <c r="J711" s="114"/>
    </row>
    <row r="712" spans="8:10">
      <c r="H712" s="114"/>
      <c r="I712" s="114"/>
      <c r="J712" s="114"/>
    </row>
    <row r="713" spans="8:10">
      <c r="H713" s="114"/>
      <c r="I713" s="114"/>
      <c r="J713" s="114"/>
    </row>
    <row r="714" spans="8:10">
      <c r="H714" s="114"/>
      <c r="I714" s="114"/>
      <c r="J714" s="114"/>
    </row>
    <row r="715" spans="8:10">
      <c r="H715" s="114"/>
      <c r="I715" s="114"/>
      <c r="J715" s="114"/>
    </row>
    <row r="716" spans="8:10">
      <c r="H716" s="114"/>
      <c r="I716" s="114"/>
      <c r="J716" s="114"/>
    </row>
    <row r="717" spans="8:10">
      <c r="H717" s="114"/>
      <c r="I717" s="114"/>
      <c r="J717" s="114"/>
    </row>
    <row r="718" spans="8:10">
      <c r="H718" s="114"/>
      <c r="I718" s="114"/>
      <c r="J718" s="114"/>
    </row>
    <row r="719" spans="8:10">
      <c r="H719" s="114"/>
      <c r="I719" s="114"/>
      <c r="J719" s="114"/>
    </row>
    <row r="720" spans="8:10">
      <c r="H720" s="114"/>
      <c r="I720" s="114"/>
      <c r="J720" s="114"/>
    </row>
    <row r="721" spans="8:10">
      <c r="H721" s="114"/>
      <c r="I721" s="114"/>
      <c r="J721" s="114"/>
    </row>
    <row r="722" spans="8:10">
      <c r="H722" s="114"/>
      <c r="I722" s="114"/>
      <c r="J722" s="114"/>
    </row>
    <row r="723" spans="8:10">
      <c r="H723" s="114"/>
      <c r="I723" s="114"/>
      <c r="J723" s="114"/>
    </row>
    <row r="724" spans="8:10">
      <c r="H724" s="114"/>
      <c r="I724" s="114"/>
      <c r="J724" s="114"/>
    </row>
    <row r="725" spans="8:10">
      <c r="H725" s="114"/>
      <c r="I725" s="114"/>
      <c r="J725" s="114"/>
    </row>
    <row r="726" spans="8:10">
      <c r="H726" s="114"/>
      <c r="I726" s="114"/>
      <c r="J726" s="114"/>
    </row>
    <row r="727" spans="8:10">
      <c r="H727" s="114"/>
      <c r="I727" s="114"/>
      <c r="J727" s="114"/>
    </row>
    <row r="728" spans="8:10">
      <c r="H728" s="114"/>
      <c r="I728" s="114"/>
      <c r="J728" s="114"/>
    </row>
    <row r="729" spans="8:10">
      <c r="H729" s="114"/>
      <c r="I729" s="114"/>
      <c r="J729" s="114"/>
    </row>
    <row r="730" spans="8:10">
      <c r="H730" s="114"/>
      <c r="I730" s="114"/>
      <c r="J730" s="114"/>
    </row>
    <row r="731" spans="8:10">
      <c r="H731" s="114"/>
      <c r="I731" s="114"/>
      <c r="J731" s="114"/>
    </row>
    <row r="732" spans="8:10">
      <c r="H732" s="114"/>
      <c r="I732" s="114"/>
      <c r="J732" s="114"/>
    </row>
    <row r="733" spans="8:10">
      <c r="H733" s="114"/>
      <c r="I733" s="114"/>
      <c r="J733" s="114"/>
    </row>
    <row r="734" spans="8:10">
      <c r="H734" s="114"/>
      <c r="I734" s="114"/>
      <c r="J734" s="114"/>
    </row>
    <row r="735" spans="8:10">
      <c r="H735" s="114"/>
      <c r="I735" s="114"/>
      <c r="J735" s="114"/>
    </row>
    <row r="736" spans="8:10">
      <c r="H736" s="114"/>
      <c r="I736" s="114"/>
      <c r="J736" s="114"/>
    </row>
    <row r="737" spans="8:10">
      <c r="H737" s="114"/>
      <c r="I737" s="114"/>
      <c r="J737" s="114"/>
    </row>
    <row r="738" spans="8:10">
      <c r="H738" s="114"/>
      <c r="I738" s="114"/>
      <c r="J738" s="114"/>
    </row>
    <row r="739" spans="8:10">
      <c r="H739" s="114"/>
      <c r="I739" s="114"/>
      <c r="J739" s="114"/>
    </row>
    <row r="740" spans="8:10">
      <c r="H740" s="114"/>
      <c r="I740" s="114"/>
      <c r="J740" s="114"/>
    </row>
    <row r="741" spans="8:10">
      <c r="H741" s="114"/>
      <c r="I741" s="114"/>
      <c r="J741" s="114"/>
    </row>
    <row r="742" spans="8:10">
      <c r="H742" s="114"/>
      <c r="I742" s="114"/>
      <c r="J742" s="114"/>
    </row>
    <row r="743" spans="8:10">
      <c r="H743" s="114"/>
      <c r="I743" s="114"/>
      <c r="J743" s="114"/>
    </row>
    <row r="744" spans="8:10">
      <c r="H744" s="114"/>
      <c r="I744" s="114"/>
      <c r="J744" s="114"/>
    </row>
    <row r="745" spans="8:10">
      <c r="H745" s="114"/>
      <c r="I745" s="114"/>
      <c r="J745" s="114"/>
    </row>
    <row r="746" spans="8:10">
      <c r="H746" s="114"/>
      <c r="I746" s="114"/>
      <c r="J746" s="114"/>
    </row>
    <row r="747" spans="8:10">
      <c r="H747" s="114"/>
      <c r="I747" s="114"/>
      <c r="J747" s="114"/>
    </row>
    <row r="748" spans="8:10">
      <c r="H748" s="114"/>
      <c r="I748" s="114"/>
      <c r="J748" s="114"/>
    </row>
    <row r="749" spans="8:10">
      <c r="H749" s="114"/>
      <c r="I749" s="114"/>
      <c r="J749" s="114"/>
    </row>
    <row r="750" spans="8:10">
      <c r="H750" s="114"/>
      <c r="I750" s="114"/>
      <c r="J750" s="114"/>
    </row>
    <row r="751" spans="8:10">
      <c r="H751" s="114"/>
      <c r="I751" s="114"/>
      <c r="J751" s="114"/>
    </row>
    <row r="752" spans="8:10">
      <c r="H752" s="114"/>
      <c r="I752" s="114"/>
      <c r="J752" s="114"/>
    </row>
    <row r="753" spans="8:10">
      <c r="H753" s="114"/>
      <c r="I753" s="114"/>
      <c r="J753" s="114"/>
    </row>
    <row r="754" spans="8:10">
      <c r="H754" s="114"/>
      <c r="I754" s="114"/>
      <c r="J754" s="114"/>
    </row>
    <row r="755" spans="8:10">
      <c r="H755" s="114"/>
      <c r="I755" s="114"/>
      <c r="J755" s="114"/>
    </row>
    <row r="756" spans="8:10">
      <c r="H756" s="114"/>
      <c r="I756" s="114"/>
      <c r="J756" s="114"/>
    </row>
    <row r="757" spans="8:10">
      <c r="H757" s="114"/>
      <c r="I757" s="114"/>
      <c r="J757" s="114"/>
    </row>
    <row r="758" spans="8:10">
      <c r="H758" s="114"/>
      <c r="I758" s="114"/>
      <c r="J758" s="114"/>
    </row>
    <row r="759" spans="8:10">
      <c r="H759" s="114"/>
      <c r="I759" s="114"/>
      <c r="J759" s="114"/>
    </row>
    <row r="760" spans="8:10">
      <c r="H760" s="114"/>
      <c r="I760" s="114"/>
      <c r="J760" s="114"/>
    </row>
    <row r="761" spans="8:10">
      <c r="H761" s="114"/>
      <c r="I761" s="114"/>
      <c r="J761" s="114"/>
    </row>
    <row r="762" spans="8:10">
      <c r="H762" s="114"/>
      <c r="I762" s="114"/>
      <c r="J762" s="114"/>
    </row>
    <row r="763" spans="8:10">
      <c r="H763" s="114"/>
      <c r="I763" s="114"/>
      <c r="J763" s="114"/>
    </row>
    <row r="764" spans="8:10">
      <c r="H764" s="114"/>
      <c r="I764" s="114"/>
      <c r="J764" s="114"/>
    </row>
    <row r="765" spans="8:10">
      <c r="H765" s="114"/>
      <c r="I765" s="114"/>
      <c r="J765" s="114"/>
    </row>
    <row r="766" spans="8:10">
      <c r="H766" s="114"/>
      <c r="I766" s="114"/>
      <c r="J766" s="114"/>
    </row>
    <row r="767" spans="8:10">
      <c r="H767" s="114"/>
      <c r="I767" s="114"/>
      <c r="J767" s="114"/>
    </row>
    <row r="768" spans="8:10">
      <c r="H768" s="114"/>
      <c r="I768" s="114"/>
      <c r="J768" s="114"/>
    </row>
    <row r="769" spans="8:10">
      <c r="H769" s="114"/>
      <c r="I769" s="114"/>
      <c r="J769" s="114"/>
    </row>
    <row r="770" spans="8:10">
      <c r="H770" s="114"/>
      <c r="I770" s="114"/>
      <c r="J770" s="114"/>
    </row>
    <row r="771" spans="8:10">
      <c r="H771" s="114"/>
      <c r="I771" s="114"/>
      <c r="J771" s="114"/>
    </row>
    <row r="772" spans="8:10">
      <c r="H772" s="114"/>
      <c r="I772" s="114"/>
      <c r="J772" s="114"/>
    </row>
    <row r="773" spans="8:10">
      <c r="H773" s="114"/>
      <c r="I773" s="114"/>
      <c r="J773" s="114"/>
    </row>
    <row r="774" spans="8:10">
      <c r="H774" s="114"/>
      <c r="I774" s="114"/>
      <c r="J774" s="114"/>
    </row>
    <row r="775" spans="8:10">
      <c r="H775" s="114"/>
      <c r="I775" s="114"/>
      <c r="J775" s="114"/>
    </row>
    <row r="776" spans="8:10">
      <c r="H776" s="114"/>
      <c r="I776" s="114"/>
      <c r="J776" s="114"/>
    </row>
    <row r="777" spans="8:10">
      <c r="H777" s="114"/>
      <c r="I777" s="114"/>
      <c r="J777" s="114"/>
    </row>
    <row r="778" spans="8:10">
      <c r="H778" s="114"/>
      <c r="I778" s="114"/>
      <c r="J778" s="114"/>
    </row>
    <row r="779" spans="8:10">
      <c r="H779" s="114"/>
      <c r="I779" s="114"/>
      <c r="J779" s="114"/>
    </row>
    <row r="780" spans="8:10">
      <c r="H780" s="114"/>
      <c r="I780" s="114"/>
      <c r="J780" s="114"/>
    </row>
    <row r="781" spans="8:10">
      <c r="H781" s="114"/>
      <c r="I781" s="114"/>
      <c r="J781" s="114"/>
    </row>
    <row r="782" spans="8:10">
      <c r="H782" s="114"/>
      <c r="I782" s="114"/>
      <c r="J782" s="114"/>
    </row>
    <row r="783" spans="8:10">
      <c r="H783" s="114"/>
      <c r="I783" s="114"/>
      <c r="J783" s="114"/>
    </row>
    <row r="784" spans="8:10">
      <c r="H784" s="114"/>
      <c r="I784" s="114"/>
      <c r="J784" s="114"/>
    </row>
    <row r="785" spans="8:10">
      <c r="H785" s="114"/>
      <c r="I785" s="114"/>
      <c r="J785" s="114"/>
    </row>
    <row r="786" spans="8:10">
      <c r="H786" s="114"/>
      <c r="I786" s="114"/>
      <c r="J786" s="114"/>
    </row>
    <row r="787" spans="8:10">
      <c r="H787" s="114"/>
      <c r="I787" s="114"/>
      <c r="J787" s="114"/>
    </row>
    <row r="788" spans="8:10">
      <c r="H788" s="114"/>
      <c r="I788" s="114"/>
      <c r="J788" s="114"/>
    </row>
    <row r="789" spans="8:10">
      <c r="H789" s="114"/>
      <c r="I789" s="114"/>
      <c r="J789" s="114"/>
    </row>
    <row r="790" spans="8:10">
      <c r="H790" s="114"/>
      <c r="I790" s="114"/>
      <c r="J790" s="114"/>
    </row>
    <row r="791" spans="8:10">
      <c r="H791" s="114"/>
      <c r="I791" s="114"/>
      <c r="J791" s="114"/>
    </row>
    <row r="792" spans="8:10">
      <c r="H792" s="114"/>
      <c r="I792" s="114"/>
      <c r="J792" s="114"/>
    </row>
    <row r="793" spans="8:10">
      <c r="H793" s="114"/>
      <c r="I793" s="114"/>
      <c r="J793" s="114"/>
    </row>
    <row r="794" spans="8:10">
      <c r="H794" s="114"/>
      <c r="I794" s="114"/>
      <c r="J794" s="114"/>
    </row>
    <row r="795" spans="8:10">
      <c r="H795" s="114"/>
      <c r="I795" s="114"/>
      <c r="J795" s="114"/>
    </row>
    <row r="796" spans="8:10">
      <c r="H796" s="114"/>
      <c r="I796" s="114"/>
      <c r="J796" s="114"/>
    </row>
    <row r="797" spans="8:10">
      <c r="H797" s="114"/>
      <c r="I797" s="114"/>
      <c r="J797" s="114"/>
    </row>
    <row r="798" spans="8:10">
      <c r="H798" s="114"/>
      <c r="I798" s="114"/>
      <c r="J798" s="114"/>
    </row>
    <row r="799" spans="8:10">
      <c r="H799" s="114"/>
      <c r="I799" s="114"/>
      <c r="J799" s="114"/>
    </row>
    <row r="800" spans="8:10">
      <c r="H800" s="114"/>
      <c r="I800" s="114"/>
      <c r="J800" s="114"/>
    </row>
    <row r="801" spans="8:10">
      <c r="H801" s="114"/>
      <c r="I801" s="114"/>
      <c r="J801" s="114"/>
    </row>
    <row r="802" spans="8:10">
      <c r="H802" s="114"/>
      <c r="I802" s="114"/>
      <c r="J802" s="114"/>
    </row>
    <row r="803" spans="8:10">
      <c r="H803" s="114"/>
      <c r="I803" s="114"/>
      <c r="J803" s="114"/>
    </row>
    <row r="804" spans="8:10">
      <c r="H804" s="114"/>
      <c r="I804" s="114"/>
      <c r="J804" s="114"/>
    </row>
    <row r="805" spans="8:10">
      <c r="H805" s="114"/>
      <c r="I805" s="114"/>
      <c r="J805" s="114"/>
    </row>
    <row r="806" spans="8:10">
      <c r="H806" s="114"/>
      <c r="I806" s="114"/>
      <c r="J806" s="114"/>
    </row>
    <row r="807" spans="8:10">
      <c r="H807" s="114"/>
      <c r="I807" s="114"/>
      <c r="J807" s="114"/>
    </row>
    <row r="808" spans="8:10">
      <c r="H808" s="114"/>
      <c r="I808" s="114"/>
      <c r="J808" s="114"/>
    </row>
    <row r="809" spans="8:10">
      <c r="H809" s="114"/>
      <c r="I809" s="114"/>
      <c r="J809" s="114"/>
    </row>
    <row r="810" spans="8:10">
      <c r="H810" s="114"/>
      <c r="I810" s="114"/>
      <c r="J810" s="114"/>
    </row>
    <row r="811" spans="8:10">
      <c r="H811" s="114"/>
      <c r="I811" s="114"/>
      <c r="J811" s="114"/>
    </row>
    <row r="812" spans="8:10">
      <c r="H812" s="114"/>
      <c r="I812" s="114"/>
      <c r="J812" s="114"/>
    </row>
    <row r="813" spans="8:10">
      <c r="H813" s="114"/>
      <c r="I813" s="114"/>
      <c r="J813" s="114"/>
    </row>
    <row r="814" spans="8:10">
      <c r="H814" s="114"/>
      <c r="I814" s="114"/>
      <c r="J814" s="114"/>
    </row>
    <row r="815" spans="8:10">
      <c r="H815" s="114"/>
      <c r="I815" s="114"/>
      <c r="J815" s="114"/>
    </row>
    <row r="816" spans="8:10">
      <c r="H816" s="114"/>
      <c r="I816" s="114"/>
      <c r="J816" s="114"/>
    </row>
    <row r="817" spans="8:10">
      <c r="H817" s="114"/>
      <c r="I817" s="114"/>
      <c r="J817" s="114"/>
    </row>
    <row r="818" spans="8:10">
      <c r="H818" s="114"/>
      <c r="I818" s="114"/>
      <c r="J818" s="114"/>
    </row>
    <row r="819" spans="8:10">
      <c r="H819" s="114"/>
      <c r="I819" s="114"/>
      <c r="J819" s="114"/>
    </row>
    <row r="820" spans="8:10">
      <c r="H820" s="114"/>
      <c r="I820" s="114"/>
      <c r="J820" s="114"/>
    </row>
    <row r="821" spans="8:10">
      <c r="H821" s="114"/>
      <c r="I821" s="114"/>
      <c r="J821" s="114"/>
    </row>
    <row r="822" spans="8:10">
      <c r="H822" s="114"/>
      <c r="I822" s="114"/>
      <c r="J822" s="114"/>
    </row>
    <row r="823" spans="8:10">
      <c r="H823" s="114"/>
      <c r="I823" s="114"/>
      <c r="J823" s="114"/>
    </row>
    <row r="824" spans="8:10">
      <c r="H824" s="114"/>
      <c r="I824" s="114"/>
      <c r="J824" s="114"/>
    </row>
    <row r="825" spans="8:10">
      <c r="H825" s="114"/>
      <c r="I825" s="114"/>
      <c r="J825" s="114"/>
    </row>
    <row r="826" spans="8:10">
      <c r="H826" s="114"/>
      <c r="I826" s="114"/>
      <c r="J826" s="114"/>
    </row>
  </sheetData>
  <mergeCells count="3">
    <mergeCell ref="H6:J6"/>
    <mergeCell ref="H5:J5"/>
    <mergeCell ref="C1:E1"/>
  </mergeCells>
  <hyperlinks>
    <hyperlink ref="C10" location="'ARL Chrts'!A1" display="Charts" xr:uid="{00000000-0004-0000-0000-000000000000}"/>
    <hyperlink ref="C6" location="'Smmy Chrts'!A1" display="Charts" xr:uid="{00000000-0004-0000-0000-000001000000}"/>
    <hyperlink ref="C11" location="'AUS1 Chrts'!A1" display="Charts" xr:uid="{00000000-0004-0000-0000-000002000000}"/>
    <hyperlink ref="D6" location="'Smmy Sum'!A1" display="Summary" xr:uid="{00000000-0004-0000-0000-000003000000}"/>
    <hyperlink ref="E6" location="'Smmy FGD'!A1" display="FGD" xr:uid="{00000000-0004-0000-0000-000004000000}"/>
    <hyperlink ref="F6" location="'Smmy Fnts'!A1" display="Footnotes" xr:uid="{00000000-0004-0000-0000-000005000000}"/>
    <hyperlink ref="D10" location="'ARL Sum'!A1" display="Summary" xr:uid="{00000000-0004-0000-0000-000006000000}"/>
    <hyperlink ref="E10" location="'ARL FGD'!A1" display="FGD" xr:uid="{00000000-0004-0000-0000-000007000000}"/>
    <hyperlink ref="F10" location="'ARL Fnts'!A1" display="Footnotes" xr:uid="{00000000-0004-0000-0000-000008000000}"/>
    <hyperlink ref="D11" location="'AUS1 Sum'!A1" display="Summary" xr:uid="{00000000-0004-0000-0000-000009000000}"/>
    <hyperlink ref="E11" location="'AUS1 FGD'!A1" display="FGD" xr:uid="{00000000-0004-0000-0000-00000A000000}"/>
    <hyperlink ref="F11" location="'AUS1 Fnts'!A1" display="Footnotes" xr:uid="{00000000-0004-0000-0000-00000B000000}"/>
    <hyperlink ref="C12" location="'DAL Chrts'!A1" display="Charts" xr:uid="{00000000-0004-0000-0000-00000C000000}"/>
    <hyperlink ref="D12" location="'DAL Sum'!A1" display="Summary" xr:uid="{00000000-0004-0000-0000-00000D000000}"/>
    <hyperlink ref="E12" location="'DAL FGD'!A1" display="FGD" xr:uid="{00000000-0004-0000-0000-00000E000000}"/>
    <hyperlink ref="F12" location="'DAL Fnts'!A1" display="Footnotes" xr:uid="{00000000-0004-0000-0000-00000F000000}"/>
    <hyperlink ref="C13" location="'E-P Chrts'!A1" display="Charts" xr:uid="{00000000-0004-0000-0000-000010000000}"/>
    <hyperlink ref="D13" location="'E-P Sum'!A1" display="Summary" xr:uid="{00000000-0004-0000-0000-000011000000}"/>
    <hyperlink ref="E13" location="'E-P FGD'!A1" display="FGD" xr:uid="{00000000-0004-0000-0000-000012000000}"/>
    <hyperlink ref="F13" location="'E-P Fnts'!A1" display="Footnotes" xr:uid="{00000000-0004-0000-0000-000013000000}"/>
    <hyperlink ref="C14" location="'RGV1 Chrts'!A1" display="Charts" xr:uid="{00000000-0004-0000-0000-000014000000}"/>
    <hyperlink ref="D14" location="'RGV1 Sum'!A1" display="Summary" xr:uid="{00000000-0004-0000-0000-000015000000}"/>
    <hyperlink ref="E14" location="'RGV1 FGD'!A1" display="FGD" xr:uid="{00000000-0004-0000-0000-000016000000}"/>
    <hyperlink ref="F14" location="'RGV1 Fnts'!A1" display="Footnotes" xr:uid="{00000000-0004-0000-0000-000017000000}"/>
    <hyperlink ref="C15" location="'P-B Chrts'!A1" display="Charts" xr:uid="{00000000-0004-0000-0000-000018000000}"/>
    <hyperlink ref="D15" location="'P-B Sum'!A1" display="Summary" xr:uid="{00000000-0004-0000-0000-000019000000}"/>
    <hyperlink ref="E15" location="'P-B FGD'!A1" display="FGD" xr:uid="{00000000-0004-0000-0000-00001A000000}"/>
    <hyperlink ref="F15" location="'P-B Fnts'!A1" display="Footnotes" xr:uid="{00000000-0004-0000-0000-00001B000000}"/>
    <hyperlink ref="C16" location="'S-A Chrts'!A1" display="Charts" xr:uid="{00000000-0004-0000-0000-00001C000000}"/>
    <hyperlink ref="D16" location="'S-A Sum'!A1" display="Summary" xr:uid="{00000000-0004-0000-0000-00001D000000}"/>
    <hyperlink ref="E16" location="'S-A FGD'!A1" display="FGD" xr:uid="{00000000-0004-0000-0000-00001E000000}"/>
    <hyperlink ref="F16" location="'S-A Fnts'!A1" display="Footnotes" xr:uid="{00000000-0004-0000-0000-00001F000000}"/>
    <hyperlink ref="C17" location="'TYL Chrts'!A1" display="Charts" xr:uid="{00000000-0004-0000-0000-000020000000}"/>
    <hyperlink ref="D17" location="'TYL Sum'!A1" display="Summary" xr:uid="{00000000-0004-0000-0000-000021000000}"/>
    <hyperlink ref="E17" location="'TYL FGD'!A1" display="FGD" xr:uid="{00000000-0004-0000-0000-000022000000}"/>
    <hyperlink ref="F17" location="'TYL Fnts'!A1" display="Footnotes" xr:uid="{00000000-0004-0000-0000-000023000000}"/>
    <hyperlink ref="C20" location="'TAMU Chrts'!A1" display="Charts" xr:uid="{00000000-0004-0000-0000-000024000000}"/>
    <hyperlink ref="D20" location="'TAMU Sum'!A1" display="Summary" xr:uid="{00000000-0004-0000-0000-000025000000}"/>
    <hyperlink ref="E20" location="'TAMU FGD'!A1" display="FGD" xr:uid="{00000000-0004-0000-0000-000026000000}"/>
    <hyperlink ref="F20" location="'TAMU Fnts'!A1" display="Footnotes" xr:uid="{00000000-0004-0000-0000-000027000000}"/>
    <hyperlink ref="C21" location="'TAMUG Chrts'!A1" display="Charts" xr:uid="{00000000-0004-0000-0000-000028000000}"/>
    <hyperlink ref="D21" location="'TAMUG Sum'!A1" display="Summary" xr:uid="{00000000-0004-0000-0000-000029000000}"/>
    <hyperlink ref="E21" location="'TAMUG FGD'!A1" display="FGD" xr:uid="{00000000-0004-0000-0000-00002A000000}"/>
    <hyperlink ref="F21" location="'TAMUG Fnts'!A1" display="Footnotes" xr:uid="{00000000-0004-0000-0000-00002B000000}"/>
    <hyperlink ref="C22" location="'PVAMU Chrts'!A1" display="Charts" xr:uid="{00000000-0004-0000-0000-00002C000000}"/>
    <hyperlink ref="D22" location="'PVAMU Sum'!A1" display="Summary" xr:uid="{00000000-0004-0000-0000-00002D000000}"/>
    <hyperlink ref="E22" location="'PVAMU FGD'!A1" display="FGD" xr:uid="{00000000-0004-0000-0000-00002E000000}"/>
    <hyperlink ref="F22" location="'PVAMU Fnts'!A1" display="Footnotes" xr:uid="{00000000-0004-0000-0000-00002F000000}"/>
    <hyperlink ref="C23" location="'TARLST Chrts'!A1" display="Charts" xr:uid="{00000000-0004-0000-0000-000030000000}"/>
    <hyperlink ref="D23" location="'TARLST Sum'!A1" display="Summary" xr:uid="{00000000-0004-0000-0000-000031000000}"/>
    <hyperlink ref="E23" location="'TARLST FGD'!A1" display="FGD" xr:uid="{00000000-0004-0000-0000-000032000000}"/>
    <hyperlink ref="F23" location="'TAMUK Fnts'!A1" display="Footnotes" xr:uid="{00000000-0004-0000-0000-000033000000}"/>
    <hyperlink ref="C24" location="'TAMUCC Chrts'!A1" display="Charts" xr:uid="{00000000-0004-0000-0000-000034000000}"/>
    <hyperlink ref="D24" location="'TAMUCC Sum'!A1" display="Summary" xr:uid="{00000000-0004-0000-0000-000035000000}"/>
    <hyperlink ref="E24" location="'TAMUCC FGD'!A1" display="FGD" xr:uid="{00000000-0004-0000-0000-000036000000}"/>
    <hyperlink ref="F24" location="'TAMUCC Fnts'!A1" display="Footnotes" xr:uid="{00000000-0004-0000-0000-000037000000}"/>
    <hyperlink ref="C25" location="'TAMUK Chrts'!A1" display="Charts" xr:uid="{00000000-0004-0000-0000-000038000000}"/>
    <hyperlink ref="D25" location="'TAMUK Sum'!A1" display="Summary" xr:uid="{00000000-0004-0000-0000-000039000000}"/>
    <hyperlink ref="E25" location="'TAMUK FGD'!A1" display="FGD" xr:uid="{00000000-0004-0000-0000-00003A000000}"/>
    <hyperlink ref="F25" location="'TAMUK Fnts'!A1" display="Footnotes" xr:uid="{00000000-0004-0000-0000-00003B000000}"/>
    <hyperlink ref="C26" location="'TAMIU Chrts'!A1" display="Charts" xr:uid="{00000000-0004-0000-0000-00003C000000}"/>
    <hyperlink ref="D26" location="'TAMIU Sum'!A1" display="Summary" xr:uid="{00000000-0004-0000-0000-00003D000000}"/>
    <hyperlink ref="E26" location="'TAMIU FGD'!A1" display="FGD" xr:uid="{00000000-0004-0000-0000-00003E000000}"/>
    <hyperlink ref="F26" location="'TAMIU Fnts'!A1" display="Footnotes" xr:uid="{00000000-0004-0000-0000-00003F000000}"/>
    <hyperlink ref="C27" location="'WTAMU Chrts'!A1" display="Charts" xr:uid="{00000000-0004-0000-0000-000040000000}"/>
    <hyperlink ref="D27" location="'WTAMU Sum'!A1" display="Summary" xr:uid="{00000000-0004-0000-0000-000041000000}"/>
    <hyperlink ref="E27" location="'WTAMU FGD'!A1" display="FGD" xr:uid="{00000000-0004-0000-0000-000042000000}"/>
    <hyperlink ref="F27" location="'WTAMU Fnts'!A1" display="Footnotes" xr:uid="{00000000-0004-0000-0000-000043000000}"/>
    <hyperlink ref="C28" location="'TAMUC Chrts'!A1" display="Charts" xr:uid="{00000000-0004-0000-0000-000044000000}"/>
    <hyperlink ref="D28" location="'TAMUC Sum'!A1" display="Summary" xr:uid="{00000000-0004-0000-0000-000045000000}"/>
    <hyperlink ref="E28" location="'TAMUC FGD'!A1" display="FGD" xr:uid="{00000000-0004-0000-0000-000046000000}"/>
    <hyperlink ref="F28" location="'TAMUC Fnts'!A1" display="Footnotes" xr:uid="{00000000-0004-0000-0000-000047000000}"/>
    <hyperlink ref="C29" location="'TAMUT Chrts'!A1" display="Charts" xr:uid="{00000000-0004-0000-0000-000048000000}"/>
    <hyperlink ref="D29" location="'TAMUT Sum'!A1" display="Summary" xr:uid="{00000000-0004-0000-0000-000049000000}"/>
    <hyperlink ref="E29" location="'TAMUT FGD'!A1" display="FGD" xr:uid="{00000000-0004-0000-0000-00004A000000}"/>
    <hyperlink ref="F29" location="'TAMUT Fnts'!A1" display="Footnotes" xr:uid="{00000000-0004-0000-0000-00004B000000}"/>
    <hyperlink ref="C30" location="'TAMUCT Chrts'!A1" display="Charts" xr:uid="{00000000-0004-0000-0000-00004C000000}"/>
    <hyperlink ref="D30" location="'TAMUCT Sum'!A1" display="Summary" xr:uid="{00000000-0004-0000-0000-00004D000000}"/>
    <hyperlink ref="E30" location="'TAMUCT FGD'!A1" display="FGD" xr:uid="{00000000-0004-0000-0000-00004E000000}"/>
    <hyperlink ref="F30" location="'TAMUCT Fnts'!A1" display="Footnotes" xr:uid="{00000000-0004-0000-0000-00004F000000}"/>
    <hyperlink ref="C31" location="'TAMUSA Chrts'!A1" display="Charts" xr:uid="{00000000-0004-0000-0000-000050000000}"/>
    <hyperlink ref="D31" location="'TAMUSA Sum'!A1" display="Summary" xr:uid="{00000000-0004-0000-0000-000051000000}"/>
    <hyperlink ref="E31" location="'TAMUSA FGD'!A1" display="FGD" xr:uid="{00000000-0004-0000-0000-000052000000}"/>
    <hyperlink ref="F31" location="'TAMUSA Fnts'!A1" display="Footnotes" xr:uid="{00000000-0004-0000-0000-000053000000}"/>
    <hyperlink ref="C34" location="'UH Chrts'!A1" display="Charts" xr:uid="{00000000-0004-0000-0000-000054000000}"/>
    <hyperlink ref="D34" location="'UH Sum'!A1" display="Summary" xr:uid="{00000000-0004-0000-0000-000055000000}"/>
    <hyperlink ref="E34" location="'UH FGD'!A1" display="FGD" xr:uid="{00000000-0004-0000-0000-000056000000}"/>
    <hyperlink ref="F34" location="'UH Fnts'!A1" display="Footnotes" xr:uid="{00000000-0004-0000-0000-000057000000}"/>
    <hyperlink ref="C35" location="'UHCL Chrts'!A1" display="Charts" xr:uid="{00000000-0004-0000-0000-000058000000}"/>
    <hyperlink ref="D35" location="'UHCL Sum'!A1" display="Summary" xr:uid="{00000000-0004-0000-0000-000059000000}"/>
    <hyperlink ref="E35" location="'UHCL FGD'!A1" display="FGD" xr:uid="{00000000-0004-0000-0000-00005A000000}"/>
    <hyperlink ref="F35" location="'UHCL Fnts'!A1" display="Footnotes" xr:uid="{00000000-0004-0000-0000-00005B000000}"/>
    <hyperlink ref="C36" location="'UHD Chrts'!A1" display="Charts" xr:uid="{00000000-0004-0000-0000-00005C000000}"/>
    <hyperlink ref="D36" location="'UHD Sum'!A1" display="Summary" xr:uid="{00000000-0004-0000-0000-00005D000000}"/>
    <hyperlink ref="E36" location="'UHD FGD'!A1" display="FGD" xr:uid="{00000000-0004-0000-0000-00005E000000}"/>
    <hyperlink ref="F36" location="'UHD Fnts'!A1" display="Footnotes" xr:uid="{00000000-0004-0000-0000-00005F000000}"/>
    <hyperlink ref="C37" location="'UHV Chrts'!A1" display="Charts" xr:uid="{00000000-0004-0000-0000-000060000000}"/>
    <hyperlink ref="D37" location="'UHV Sum'!A1" display="Summary" xr:uid="{00000000-0004-0000-0000-000061000000}"/>
    <hyperlink ref="E37" location="'UHV FGD'!A1" display="FGD" xr:uid="{00000000-0004-0000-0000-000062000000}"/>
    <hyperlink ref="F37" location="'UHV Fnts'!A1" display="Footnotes" xr:uid="{00000000-0004-0000-0000-000063000000}"/>
    <hyperlink ref="C40" location="'LU Chrts'!A1" display="Charts" xr:uid="{00000000-0004-0000-0000-000064000000}"/>
    <hyperlink ref="D40" location="'LU Sum'!A1" display="Summary" xr:uid="{00000000-0004-0000-0000-000065000000}"/>
    <hyperlink ref="E40" location="'LU FGD'!A1" display="FGD" xr:uid="{00000000-0004-0000-0000-000066000000}"/>
    <hyperlink ref="F40" location="'LU Fnts'!A1" display="Footnotes" xr:uid="{00000000-0004-0000-0000-000067000000}"/>
    <hyperlink ref="C41" location="'shsu1 Chrts'!A1" display="Charts" xr:uid="{00000000-0004-0000-0000-000068000000}"/>
    <hyperlink ref="D41" location="'shsu1 Sum'!A1" display="Summary" xr:uid="{00000000-0004-0000-0000-000069000000}"/>
    <hyperlink ref="E41" location="'shsu1 FGD'!A1" display="FGD" xr:uid="{00000000-0004-0000-0000-00006A000000}"/>
    <hyperlink ref="F41" location="'shsu1 Fnts'!A1" display="Footnotes" xr:uid="{00000000-0004-0000-0000-00006B000000}"/>
    <hyperlink ref="C42" location="'TXST Chrts'!A1" display="Charts" xr:uid="{00000000-0004-0000-0000-00006C000000}"/>
    <hyperlink ref="D42" location="'TXST Sum'!A1" display="Summary" xr:uid="{00000000-0004-0000-0000-00006D000000}"/>
    <hyperlink ref="E42" location="'TXST FGD'!A1" display="FGD" xr:uid="{00000000-0004-0000-0000-00006E000000}"/>
    <hyperlink ref="F42" location="'TXST Fnts'!A1" display="Footnotes" xr:uid="{00000000-0004-0000-0000-00006F000000}"/>
    <hyperlink ref="C43" location="'SRSU Chrts'!A1" display="Charts" xr:uid="{00000000-0004-0000-0000-000070000000}"/>
    <hyperlink ref="D43" location="'SRSU Sum'!A1" display="Summary" xr:uid="{00000000-0004-0000-0000-000071000000}"/>
    <hyperlink ref="E43" location="'SRSU FGD'!A1" display="FGD" xr:uid="{00000000-0004-0000-0000-000072000000}"/>
    <hyperlink ref="F43" location="'SRSU Fnts'!A1" display="Footnotes" xr:uid="{00000000-0004-0000-0000-000073000000}"/>
    <hyperlink ref="C46" location="'TTU Chrts'!A1" display="Charts" xr:uid="{00000000-0004-0000-0000-000074000000}"/>
    <hyperlink ref="D46" location="'TTU Sum'!A1" display="Summary" xr:uid="{00000000-0004-0000-0000-000075000000}"/>
    <hyperlink ref="E46" location="'TTU FGD'!A1" display="FGD" xr:uid="{00000000-0004-0000-0000-000076000000}"/>
    <hyperlink ref="F46" location="'TTU Fnts'!A1" display="Footnotes" xr:uid="{00000000-0004-0000-0000-000077000000}"/>
    <hyperlink ref="C47" location="'ASU Chrts'!A1" display="Charts" xr:uid="{00000000-0004-0000-0000-000078000000}"/>
    <hyperlink ref="D47" location="'ASU Sum'!A1" display="Summary" xr:uid="{00000000-0004-0000-0000-000079000000}"/>
    <hyperlink ref="E47" location="'ASU FGD'!A1" display="FGD" xr:uid="{00000000-0004-0000-0000-00007A000000}"/>
    <hyperlink ref="F47" location="'ASU Fnts'!A1" display="Footnotes" xr:uid="{00000000-0004-0000-0000-00007B000000}"/>
    <hyperlink ref="C51" location="'UNT Chrts'!A1" display="Charts" xr:uid="{00000000-0004-0000-0000-00007C000000}"/>
    <hyperlink ref="D51" location="'UNT Sum'!A1" display="Summary" xr:uid="{00000000-0004-0000-0000-00007D000000}"/>
    <hyperlink ref="E51" location="'UNT FGD'!A1" display="FGD" xr:uid="{00000000-0004-0000-0000-00007E000000}"/>
    <hyperlink ref="F51" location="'UNT Fnts'!A1" display="Footnotes" xr:uid="{00000000-0004-0000-0000-00007F000000}"/>
    <hyperlink ref="C52" location="'UNTD Chrts'!A1" display="Charts" xr:uid="{00000000-0004-0000-0000-000080000000}"/>
    <hyperlink ref="D52" location="'UNTD Sum'!A1" display="Summary" xr:uid="{00000000-0004-0000-0000-000081000000}"/>
    <hyperlink ref="E52" location="'UNTD FGD'!A1" display="FGD" xr:uid="{00000000-0004-0000-0000-000082000000}"/>
    <hyperlink ref="F52" location="'UNTD Fnts'!A1" display="Footnotes" xr:uid="{00000000-0004-0000-0000-000083000000}"/>
    <hyperlink ref="C48" location="'MidWST Chrts'!A1" display="Charts" xr:uid="{00000000-0004-0000-0000-000084000000}"/>
    <hyperlink ref="D48" location="'MidWST Sum'!A1" display="Summary" xr:uid="{00000000-0004-0000-0000-000085000000}"/>
    <hyperlink ref="E48" location="'MidWST FGD'!A1" display="FGD" xr:uid="{00000000-0004-0000-0000-000086000000}"/>
    <hyperlink ref="F48" location="'MidWST Fnts'!A1" display="Footnotes" xr:uid="{00000000-0004-0000-0000-000087000000}"/>
    <hyperlink ref="C55" location="'SFA Chrts'!A1" display="Charts" xr:uid="{00000000-0004-0000-0000-000088000000}"/>
    <hyperlink ref="D55" location="'SFA Sum'!A1" display="Summary" xr:uid="{00000000-0004-0000-0000-000089000000}"/>
    <hyperlink ref="E55" location="'SFA FGD'!A1" display="FGD" xr:uid="{00000000-0004-0000-0000-00008A000000}"/>
    <hyperlink ref="F55" location="'SFA Fnts'!A1" display="Footnotes" xr:uid="{00000000-0004-0000-0000-00008B000000}"/>
    <hyperlink ref="C56" location="'TSU Chrts'!A1" display="Charts" xr:uid="{00000000-0004-0000-0000-00008C000000}"/>
    <hyperlink ref="D56" location="'TSU Sum'!A1" display="Summary" xr:uid="{00000000-0004-0000-0000-00008D000000}"/>
    <hyperlink ref="E56" location="'TSU FGD'!A1" display="FGD" xr:uid="{00000000-0004-0000-0000-00008E000000}"/>
    <hyperlink ref="F56" location="'TSU Fnts'!A1" display="Footnotes" xr:uid="{00000000-0004-0000-0000-00008F000000}"/>
    <hyperlink ref="C57" location="'TWU Chrts'!A1" display="Charts" xr:uid="{00000000-0004-0000-0000-000090000000}"/>
    <hyperlink ref="D57" location="'TWU Sum'!A1" display="Summary" xr:uid="{00000000-0004-0000-0000-000091000000}"/>
    <hyperlink ref="E57" location="'TWU FGD'!A1" display="FGD" xr:uid="{00000000-0004-0000-0000-000092000000}"/>
    <hyperlink ref="F57" location="'TWU Fnts'!A1" display="Footnotes" xr:uid="{00000000-0004-0000-0000-000093000000}"/>
    <hyperlink ref="B7" location="'Smmy Acad SbS'!A1" display="University Institutions - Side by Side Summary" xr:uid="{00000000-0004-0000-0000-000094000000}"/>
    <hyperlink ref="B67" location="FTSE!A1" display="FTSE &amp; FTFE " xr:uid="{00000000-0004-0000-0000-000095000000}"/>
    <hyperlink ref="B68" location="Names!A1" display="Names Schedule" xr:uid="{00000000-0004-0000-0000-000096000000}"/>
    <hyperlink ref="B69" location="Input!A1" display="Template Input Schedule" xr:uid="{00000000-0004-0000-0000-000097000000}"/>
    <hyperlink ref="B75" location="'Almanac 1'!A1" display="Almanac" xr:uid="{00000000-0004-0000-0000-000098000000}"/>
    <hyperlink ref="B73" location="'Acad Cost Study'!A1" display="Academic Cost Study" xr:uid="{00000000-0004-0000-0000-000099000000}"/>
    <hyperlink ref="C61" location="'AUS Chrts'!A1" display="Charts" xr:uid="{00000000-0004-0000-0000-00009A000000}"/>
    <hyperlink ref="D61" location="'AUS Sum'!A1" display="Summary" xr:uid="{00000000-0004-0000-0000-00009B000000}"/>
    <hyperlink ref="E61" location="'AUS FGD'!A1" display="FGD" xr:uid="{00000000-0004-0000-0000-00009C000000}"/>
    <hyperlink ref="F61" location="'AUS Fnts'!A1" display="Footnotes" xr:uid="{00000000-0004-0000-0000-00009D000000}"/>
    <hyperlink ref="C62" location="'RGV Chrts'!A1" display="Charts" xr:uid="{00000000-0004-0000-0000-00009E000000}"/>
    <hyperlink ref="D62" location="'RGV Sum'!A1" display="Summary" xr:uid="{00000000-0004-0000-0000-00009F000000}"/>
    <hyperlink ref="E62" location="'RGV FGD'!A1" display="FGD" xr:uid="{00000000-0004-0000-0000-0000A0000000}"/>
    <hyperlink ref="F62" location="'RGV Fnts'!A1" display="Footnotes" xr:uid="{00000000-0004-0000-0000-0000A1000000}"/>
    <hyperlink ref="B72" location="'SREB Input'!A1" display="SREB Input" xr:uid="{00000000-0004-0000-0000-0000A2000000}"/>
    <hyperlink ref="B74" location="'IFRS Smmy (2)'!A1" display="IFRS Smmy (2)" xr:uid="{00000000-0004-0000-0000-0000A3000000}"/>
    <hyperlink ref="B76" location="'Almanac 2'!A1" display="Almamac 2" xr:uid="{00000000-0004-0000-0000-0000A4000000}"/>
    <hyperlink ref="B78" location="'T&amp;F Summary'!A1" display="T&amp;F Summary" xr:uid="{00000000-0004-0000-0000-0000A6000000}"/>
    <hyperlink ref="B79" location="Univ_IE_Keys!A1" display="Univ_IE_Keys" xr:uid="{00000000-0004-0000-0000-0000A7000000}"/>
    <hyperlink ref="B80" location="'Univ Context NA'!A1" display="Univ Context NA" xr:uid="{00000000-0004-0000-0000-0000A8000000}"/>
    <hyperlink ref="B81" location="Univ_IE_Keys!A1" display="Univ_IE_ NA" xr:uid="{00000000-0004-0000-0000-0000A9000000}"/>
    <hyperlink ref="B82" location="ComRpt!A1" display="ComRpt" xr:uid="{00000000-0004-0000-0000-0000AA000000}"/>
    <hyperlink ref="C63" location="'UH Chrts'!Print_Area" display="Charts" xr:uid="{00000000-0004-0000-0000-0000AB000000}"/>
    <hyperlink ref="D63" location="'UH Sum'!A1" display="Summary" xr:uid="{00000000-0004-0000-0000-0000AC000000}"/>
    <hyperlink ref="E63" location="'UH FGD'!A1" display="FGD" xr:uid="{00000000-0004-0000-0000-0000AD000000}"/>
    <hyperlink ref="F63" location="'RGV Fnts'!A1" display="Footnotes" xr:uid="{00000000-0004-0000-0000-0000AE000000}"/>
    <hyperlink ref="C64" location="'UH Chrts'!Print_Area" display="Charts" xr:uid="{00000000-0004-0000-0000-0000AF000000}"/>
    <hyperlink ref="D64" location="'Shsu Sum'!A1" display="Summary" xr:uid="{00000000-0004-0000-0000-0000B0000000}"/>
    <hyperlink ref="E64" location="'Shsu FGD'!A1" display="FGD" xr:uid="{00000000-0004-0000-0000-0000B1000000}"/>
    <hyperlink ref="F64" location="'Shsu Fnts'!A1" display="Footnotes" xr:uid="{00000000-0004-0000-0000-0000B2000000}"/>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39997558519241921"/>
  </sheetPr>
  <dimension ref="A1:T805"/>
  <sheetViews>
    <sheetView showGridLines="0" zoomScale="85" zoomScaleNormal="85" workbookViewId="0">
      <pane xSplit="3" ySplit="10" topLeftCell="D11" activePane="bottomRight" state="frozen"/>
      <selection activeCell="F74" sqref="E74:F74"/>
      <selection pane="topRight" activeCell="F74" sqref="E74:F74"/>
      <selection pane="bottomLeft" activeCell="F74" sqref="E74:F74"/>
      <selection pane="bottomRight"/>
    </sheetView>
  </sheetViews>
  <sheetFormatPr defaultColWidth="9.140625" defaultRowHeight="12.75"/>
  <cols>
    <col min="1" max="1" width="6.28515625" style="480" customWidth="1"/>
    <col min="2" max="2" width="10.140625" style="53" customWidth="1"/>
    <col min="3" max="3" width="38.85546875" style="53" customWidth="1"/>
    <col min="4" max="4" width="9.5703125" style="53" customWidth="1"/>
    <col min="5" max="5" width="9.7109375" style="154" customWidth="1"/>
    <col min="6" max="6" width="11.140625" style="53" customWidth="1"/>
    <col min="7" max="7" width="10.5703125" style="154" customWidth="1"/>
    <col min="8" max="8" width="10.42578125" style="154" customWidth="1"/>
    <col min="9" max="9" width="12.28515625" style="154" customWidth="1"/>
    <col min="10" max="10" width="10" style="53" customWidth="1"/>
    <col min="11" max="11" width="12.28515625" style="154" customWidth="1"/>
    <col min="12" max="12" width="12.85546875" style="53" customWidth="1"/>
    <col min="13" max="13" width="13" style="53" customWidth="1"/>
    <col min="14" max="14" width="9.140625" style="53" customWidth="1"/>
    <col min="15" max="15" width="15.140625" style="53" customWidth="1"/>
    <col min="16" max="16" width="13.28515625" style="53" customWidth="1"/>
    <col min="17" max="17" width="4.85546875" style="53" customWidth="1"/>
    <col min="18" max="18" width="20.140625" style="53" customWidth="1"/>
    <col min="19" max="19" width="16.42578125" style="53" customWidth="1"/>
    <col min="20" max="20" width="26" style="53" customWidth="1"/>
    <col min="21" max="16384" width="9.140625" style="53"/>
  </cols>
  <sheetData>
    <row r="1" spans="1:20" ht="13.5" thickBot="1">
      <c r="B1" s="53" t="s">
        <v>1353</v>
      </c>
      <c r="E1" s="114"/>
      <c r="F1" s="587" t="s">
        <v>131</v>
      </c>
      <c r="G1" s="114"/>
      <c r="H1" s="116"/>
      <c r="I1" s="343"/>
      <c r="K1" s="855" t="s">
        <v>1200</v>
      </c>
      <c r="L1" s="114"/>
      <c r="M1" s="114"/>
      <c r="N1" s="114"/>
    </row>
    <row r="2" spans="1:20">
      <c r="E2" s="114"/>
      <c r="F2" s="587" t="s">
        <v>2385</v>
      </c>
      <c r="G2" s="114"/>
      <c r="H2" s="114"/>
      <c r="I2" s="114"/>
      <c r="J2" s="114"/>
      <c r="K2" s="114"/>
      <c r="L2" s="114"/>
      <c r="M2" s="114"/>
      <c r="N2" s="114"/>
      <c r="R2" s="53" t="s">
        <v>2485</v>
      </c>
    </row>
    <row r="3" spans="1:20">
      <c r="E3" s="114"/>
      <c r="F3" s="908" t="s">
        <v>2484</v>
      </c>
      <c r="G3" s="114"/>
      <c r="H3" s="114"/>
      <c r="I3" s="114"/>
      <c r="J3" s="114"/>
      <c r="K3" s="114"/>
      <c r="L3" s="114"/>
      <c r="M3" s="114"/>
      <c r="N3" s="114"/>
      <c r="O3" s="1657" t="s">
        <v>2478</v>
      </c>
      <c r="P3" s="1658"/>
    </row>
    <row r="4" spans="1:20">
      <c r="B4" s="215" t="s">
        <v>1093</v>
      </c>
      <c r="E4" s="114"/>
      <c r="G4" s="587"/>
      <c r="H4" s="114"/>
      <c r="I4" s="114"/>
      <c r="J4" s="114"/>
      <c r="K4" s="114"/>
      <c r="L4" s="114"/>
      <c r="M4" s="114"/>
      <c r="N4" s="114"/>
      <c r="O4" s="1659" t="s">
        <v>2203</v>
      </c>
      <c r="P4" s="1660"/>
    </row>
    <row r="5" spans="1:20">
      <c r="B5" s="215"/>
      <c r="E5" s="114"/>
      <c r="G5" s="587"/>
      <c r="H5" s="114"/>
      <c r="I5" s="114"/>
      <c r="J5" s="114"/>
      <c r="K5" s="114"/>
      <c r="L5" s="114"/>
      <c r="M5" s="114"/>
      <c r="N5" s="114"/>
    </row>
    <row r="6" spans="1:20">
      <c r="B6" s="215"/>
      <c r="E6" s="114"/>
      <c r="G6" s="587"/>
      <c r="H6" s="114"/>
      <c r="I6" s="114"/>
      <c r="J6" s="114"/>
      <c r="K6" s="114"/>
      <c r="L6" s="114"/>
      <c r="M6" s="114"/>
      <c r="N6" s="114"/>
    </row>
    <row r="7" spans="1:20">
      <c r="B7" s="1043" t="s">
        <v>1339</v>
      </c>
      <c r="C7" s="971"/>
      <c r="E7" s="114"/>
      <c r="G7" s="587"/>
      <c r="H7" s="114"/>
      <c r="I7" s="114"/>
      <c r="J7" s="114"/>
      <c r="K7" s="114"/>
      <c r="L7" s="114"/>
      <c r="M7" s="114"/>
      <c r="N7" s="114"/>
    </row>
    <row r="8" spans="1:20">
      <c r="B8" s="215"/>
      <c r="E8" s="114"/>
      <c r="G8" s="587"/>
      <c r="H8" s="114"/>
      <c r="I8" s="114"/>
      <c r="J8" s="114"/>
      <c r="K8" s="114"/>
      <c r="L8" s="114"/>
      <c r="M8" s="114"/>
      <c r="N8" s="114"/>
    </row>
    <row r="9" spans="1:20" ht="15.75" customHeight="1">
      <c r="B9" s="215" t="s">
        <v>1316</v>
      </c>
      <c r="D9" s="1649" t="s">
        <v>1066</v>
      </c>
      <c r="E9" s="1650"/>
      <c r="F9" s="1650"/>
      <c r="G9" s="1650"/>
      <c r="H9" s="1650"/>
      <c r="I9" s="1650"/>
      <c r="J9" s="1654" t="s">
        <v>1070</v>
      </c>
      <c r="K9" s="1655"/>
      <c r="L9" s="1655"/>
      <c r="M9" s="1655"/>
      <c r="N9" s="1656"/>
      <c r="O9" s="1649" t="s">
        <v>1094</v>
      </c>
      <c r="P9" s="1651"/>
      <c r="R9" s="1649" t="s">
        <v>1084</v>
      </c>
      <c r="S9" s="1650"/>
      <c r="T9" s="1651"/>
    </row>
    <row r="10" spans="1:20" s="123" customFormat="1" ht="51.75" customHeight="1">
      <c r="A10" s="123" t="s">
        <v>1123</v>
      </c>
      <c r="B10" s="106" t="s">
        <v>132</v>
      </c>
      <c r="C10" s="118"/>
      <c r="D10" s="637" t="s">
        <v>265</v>
      </c>
      <c r="E10" s="637" t="s">
        <v>84</v>
      </c>
      <c r="F10" s="637" t="s">
        <v>1096</v>
      </c>
      <c r="G10" s="637" t="s">
        <v>1067</v>
      </c>
      <c r="H10" s="637" t="s">
        <v>1068</v>
      </c>
      <c r="I10" s="637" t="s">
        <v>1069</v>
      </c>
      <c r="J10" s="638" t="s">
        <v>1073</v>
      </c>
      <c r="K10" s="639" t="s">
        <v>1071</v>
      </c>
      <c r="L10" s="639" t="s">
        <v>1072</v>
      </c>
      <c r="M10" s="640" t="s">
        <v>1240</v>
      </c>
      <c r="N10" s="640" t="s">
        <v>1075</v>
      </c>
      <c r="O10" s="1064" t="s">
        <v>1085</v>
      </c>
      <c r="P10" s="1065" t="s">
        <v>1097</v>
      </c>
      <c r="R10" s="641" t="s">
        <v>299</v>
      </c>
      <c r="S10" s="642" t="s">
        <v>703</v>
      </c>
      <c r="T10" s="641" t="s">
        <v>704</v>
      </c>
    </row>
    <row r="11" spans="1:20" ht="12.75" customHeight="1">
      <c r="A11" s="480">
        <v>301</v>
      </c>
      <c r="B11" s="1000">
        <v>20</v>
      </c>
      <c r="C11" s="53" t="s">
        <v>1238</v>
      </c>
      <c r="D11" s="1044" t="s">
        <v>1098</v>
      </c>
      <c r="E11" s="1044"/>
      <c r="F11" s="1044"/>
      <c r="G11" s="1044"/>
      <c r="H11" s="1044"/>
      <c r="I11" s="1044"/>
      <c r="J11" s="1045" t="s">
        <v>1098</v>
      </c>
      <c r="K11" s="1045"/>
      <c r="L11" s="1045"/>
      <c r="M11" s="1045"/>
      <c r="N11" s="1045"/>
      <c r="O11" s="1046" t="s">
        <v>2197</v>
      </c>
      <c r="P11" s="1046" t="s">
        <v>2197</v>
      </c>
      <c r="R11" s="528" t="str">
        <f>'SRSU FGD'!$O$92</f>
        <v>Bonnie Albright</v>
      </c>
      <c r="S11" s="528" t="str">
        <f>'SRSU FGD'!$Q$92</f>
        <v>432-837-8078</v>
      </c>
      <c r="T11" s="528" t="str">
        <f>'SRSU FGD'!$T$92</f>
        <v>bonnie.albright@sulross.edu</v>
      </c>
    </row>
    <row r="12" spans="1:20">
      <c r="A12" s="480">
        <v>320</v>
      </c>
      <c r="B12" s="1000">
        <v>3541</v>
      </c>
      <c r="C12" s="53" t="s">
        <v>122</v>
      </c>
      <c r="D12" s="1047">
        <f>'ASU Sum'!$C$6</f>
        <v>7617.63</v>
      </c>
      <c r="E12" s="1048">
        <f>'ASU Sum'!$J$33</f>
        <v>19537</v>
      </c>
      <c r="F12" s="1048">
        <f>'ASU Sum'!$J$20</f>
        <v>5001</v>
      </c>
      <c r="G12" s="1048">
        <f>'ASU Sum'!$J$15</f>
        <v>6474</v>
      </c>
      <c r="H12" s="1048">
        <f>'ASU Sum'!$J$23</f>
        <v>4216</v>
      </c>
      <c r="I12" s="1048">
        <f>'ASU Sum'!$J$32</f>
        <v>3846</v>
      </c>
      <c r="J12" s="1049">
        <f>'ASU Sum'!$K$49</f>
        <v>14075.1</v>
      </c>
      <c r="K12" s="1049">
        <f>'ASU Sum'!$L$49</f>
        <v>6862.24</v>
      </c>
      <c r="L12" s="1049">
        <f>'ASU Sum'!$M$49</f>
        <v>3402.41</v>
      </c>
      <c r="M12" s="1050">
        <f>'ASU Sum'!$N$49</f>
        <v>3356.66</v>
      </c>
      <c r="N12" s="1050">
        <f>'ASU Sum'!$O$49</f>
        <v>453.8</v>
      </c>
      <c r="O12" s="1051">
        <v>905453</v>
      </c>
      <c r="P12" s="1051">
        <v>1409</v>
      </c>
      <c r="R12" s="528" t="str">
        <f>'ASU FGD'!$O$92</f>
        <v>Janet Coleman</v>
      </c>
      <c r="S12" s="528" t="str">
        <f>'ASU FGD'!$Q$92</f>
        <v>325-942-2014</v>
      </c>
      <c r="T12" s="528" t="str">
        <f>'ASU FGD'!$T$92</f>
        <v>janet.coleman@angelo.edu</v>
      </c>
    </row>
    <row r="13" spans="1:20">
      <c r="A13" s="480">
        <v>210</v>
      </c>
      <c r="B13" s="1000">
        <v>3565</v>
      </c>
      <c r="C13" s="53" t="s">
        <v>113</v>
      </c>
      <c r="D13" s="1047">
        <f>'TAMUC Sum'!$C$6</f>
        <v>9311.4500000000007</v>
      </c>
      <c r="E13" s="1049">
        <f>'TAMUC Sum'!$J$33</f>
        <v>21792</v>
      </c>
      <c r="F13" s="1049">
        <f>'TAMUC Sum'!$J$20</f>
        <v>7120</v>
      </c>
      <c r="G13" s="1049">
        <f>'TAMUC Sum'!$J$15</f>
        <v>7541</v>
      </c>
      <c r="H13" s="1049">
        <f>'TAMUC Sum'!$J$23</f>
        <v>4773</v>
      </c>
      <c r="I13" s="1049">
        <f>'TAMUC Sum'!$J$32</f>
        <v>2358</v>
      </c>
      <c r="J13" s="1049">
        <f>'TAMUC Sum'!$K$49</f>
        <v>15870.69</v>
      </c>
      <c r="K13" s="1049">
        <f>'TAMUC Sum'!$L$49</f>
        <v>8208.5</v>
      </c>
      <c r="L13" s="1049">
        <f>'TAMUC Sum'!$M$49</f>
        <v>4335.2</v>
      </c>
      <c r="M13" s="1052">
        <f>'TAMUC Sum'!$N$49</f>
        <v>3053.59</v>
      </c>
      <c r="N13" s="1052">
        <f>'TAMUC Sum'!$O$49</f>
        <v>273.39</v>
      </c>
      <c r="O13" s="1053">
        <v>3287037</v>
      </c>
      <c r="P13" s="1053">
        <v>6640</v>
      </c>
      <c r="R13" s="528" t="str">
        <f>'TAMUCT FGD'!$O$92</f>
        <v>Chris Arrington</v>
      </c>
      <c r="S13" s="528" t="str">
        <f>'TAMUCT FGD'!$Q$92</f>
        <v>979-458-9151</v>
      </c>
      <c r="T13" s="528" t="str">
        <f>'TAMUCT FGD'!$T$92</f>
        <v>fincher@tarleton.edu</v>
      </c>
    </row>
    <row r="14" spans="1:20">
      <c r="A14" s="480">
        <v>270</v>
      </c>
      <c r="B14" s="1000">
        <v>3581</v>
      </c>
      <c r="C14" s="53" t="s">
        <v>215</v>
      </c>
      <c r="D14" s="1047">
        <f>'LU Sum'!$C$6</f>
        <v>13516.8</v>
      </c>
      <c r="E14" s="1049">
        <f>'LU Sum'!$J$33</f>
        <v>18306</v>
      </c>
      <c r="F14" s="1049">
        <f>'LU Sum'!$J$20</f>
        <v>7816</v>
      </c>
      <c r="G14" s="1049">
        <f>'LU Sum'!$J$15</f>
        <v>5849</v>
      </c>
      <c r="H14" s="1049">
        <f>'LU Sum'!$J$23</f>
        <v>3863</v>
      </c>
      <c r="I14" s="1049">
        <f>'LU Sum'!$J$32</f>
        <v>778</v>
      </c>
      <c r="J14" s="1049">
        <f>'LU Sum'!$K$49</f>
        <v>15717.85</v>
      </c>
      <c r="K14" s="1049">
        <f>'LU Sum'!$L$49</f>
        <v>8554.5300000000007</v>
      </c>
      <c r="L14" s="1049">
        <f>'LU Sum'!$M$49</f>
        <v>3647.31</v>
      </c>
      <c r="M14" s="1052">
        <f>'LU Sum'!$N$49</f>
        <v>3400.14</v>
      </c>
      <c r="N14" s="1052">
        <f>'LU Sum'!$O$49</f>
        <v>115.87</v>
      </c>
      <c r="O14" s="1053">
        <v>2963282</v>
      </c>
      <c r="P14" s="1053">
        <v>10475</v>
      </c>
      <c r="R14" s="528" t="str">
        <f>'LU FGD'!$O$92</f>
        <v>Cynthia Brown</v>
      </c>
      <c r="S14" s="528" t="str">
        <f>'LU FGD'!$Q$92</f>
        <v>409-880-7925</v>
      </c>
      <c r="T14" s="528" t="str">
        <f>'LU FGD'!$T$92</f>
        <v>clbrown@lamar.edu</v>
      </c>
    </row>
    <row r="15" spans="1:20">
      <c r="A15" s="480">
        <v>340</v>
      </c>
      <c r="B15" s="1000">
        <v>3592</v>
      </c>
      <c r="C15" s="53" t="s">
        <v>124</v>
      </c>
      <c r="D15" s="1047">
        <f>'MidWST Sum'!$C$6</f>
        <v>4322.33</v>
      </c>
      <c r="E15" s="1049">
        <f>'MidWST Sum'!$J$33</f>
        <v>24190</v>
      </c>
      <c r="F15" s="1049">
        <f>'MidWST Sum'!$J$20</f>
        <v>7759</v>
      </c>
      <c r="G15" s="1049">
        <f>'MidWST Sum'!$J$15</f>
        <v>8248</v>
      </c>
      <c r="H15" s="1049">
        <f>'MidWST Sum'!$J$23</f>
        <v>5404</v>
      </c>
      <c r="I15" s="1049">
        <f>'MidWST Sum'!$J$32</f>
        <v>2779</v>
      </c>
      <c r="J15" s="1049">
        <f>'MidWST Sum'!$K$49</f>
        <v>23622.03</v>
      </c>
      <c r="K15" s="1049">
        <f>'MidWST Sum'!$L$49</f>
        <v>11393.6</v>
      </c>
      <c r="L15" s="1049">
        <f>'MidWST Sum'!$M$49</f>
        <v>7152.37</v>
      </c>
      <c r="M15" s="1052">
        <f>'MidWST Sum'!$N$49</f>
        <v>3700.52</v>
      </c>
      <c r="N15" s="1052">
        <f>'MidWST Sum'!$O$49</f>
        <v>1375.54</v>
      </c>
      <c r="O15" s="1053">
        <v>853174</v>
      </c>
      <c r="P15" s="1053">
        <v>4413</v>
      </c>
      <c r="R15" s="528" t="str">
        <f>'MidWST FGD'!$O$92</f>
        <v>Chris Stovall</v>
      </c>
      <c r="S15" s="528" t="str">
        <f>'MidWST FGD'!$Q$92</f>
        <v>(940) 397-4273</v>
      </c>
      <c r="T15" s="528" t="str">
        <f>'MidWST FGD'!$T$92</f>
        <v>chris.stovall@msutexas.edu</v>
      </c>
    </row>
    <row r="16" spans="1:20">
      <c r="A16" s="480">
        <v>330</v>
      </c>
      <c r="B16" s="1000">
        <v>3594</v>
      </c>
      <c r="C16" s="53" t="s">
        <v>123</v>
      </c>
      <c r="D16" s="1047">
        <f>'UNT Sum'!$C$6</f>
        <v>34726.76</v>
      </c>
      <c r="E16" s="1049">
        <f>'UNT Sum'!$J$33</f>
        <v>22137</v>
      </c>
      <c r="F16" s="1049">
        <f>'UNT Sum'!$J$20</f>
        <v>9973</v>
      </c>
      <c r="G16" s="1049">
        <f>'UNT Sum'!$J$15</f>
        <v>5874</v>
      </c>
      <c r="H16" s="1049">
        <f>'UNT Sum'!$J$23</f>
        <v>4766</v>
      </c>
      <c r="I16" s="1049">
        <f>'UNT Sum'!$J$32</f>
        <v>1524</v>
      </c>
      <c r="J16" s="1049">
        <f>'UNT Sum'!$K$49</f>
        <v>18787.04</v>
      </c>
      <c r="K16" s="1049">
        <f>'UNT Sum'!$L$49</f>
        <v>8670.85</v>
      </c>
      <c r="L16" s="1049">
        <f>'UNT Sum'!$M$49</f>
        <v>6014.39</v>
      </c>
      <c r="M16" s="1052">
        <f>'UNT Sum'!$N$49</f>
        <v>2661.76</v>
      </c>
      <c r="N16" s="1052">
        <f>'UNT Sum'!$O$49</f>
        <v>1440.03</v>
      </c>
      <c r="O16" s="1053">
        <v>80155275</v>
      </c>
      <c r="P16" s="1053">
        <v>38763</v>
      </c>
      <c r="R16" s="528" t="str">
        <f>'UNT FGD'!$O$92</f>
        <v>Leydi Carter</v>
      </c>
      <c r="S16" s="528" t="str">
        <f>'UNT FGD'!$Q$92</f>
        <v>(940) 369-5089</v>
      </c>
      <c r="T16" s="528" t="str">
        <f>'UNT FGD'!$T$92</f>
        <v>Leydi.Carter@untsystem.edu</v>
      </c>
    </row>
    <row r="17" spans="1:20" ht="25.5">
      <c r="A17" s="1111">
        <v>91</v>
      </c>
      <c r="B17" s="1178">
        <v>3599</v>
      </c>
      <c r="C17" s="1179" t="s">
        <v>1401</v>
      </c>
      <c r="D17" s="1180">
        <f>'RGV1 Sum'!$C$6</f>
        <v>28382.37</v>
      </c>
      <c r="E17" s="1181">
        <f>'RGV1 Sum'!$J$33</f>
        <v>21162</v>
      </c>
      <c r="F17" s="1181">
        <f>'RGV1 Sum'!$J$20</f>
        <v>4510</v>
      </c>
      <c r="G17" s="1181">
        <f>'RGV1 Sum'!$J$15</f>
        <v>5385</v>
      </c>
      <c r="H17" s="1181">
        <f>'RGV1 Sum'!$J$23</f>
        <v>8696</v>
      </c>
      <c r="I17" s="1181">
        <f>'RGV1 Sum'!$J$32</f>
        <v>2571</v>
      </c>
      <c r="J17" s="1181">
        <f>'RGV1 Sum'!$K$49</f>
        <v>16038.38</v>
      </c>
      <c r="K17" s="1181">
        <f>'RGV1 Sum'!$L$49</f>
        <v>7679.75</v>
      </c>
      <c r="L17" s="1181">
        <f>'RGV1 Sum'!$M$49</f>
        <v>5454.34</v>
      </c>
      <c r="M17" s="1182">
        <f>'RGV1 Sum'!$N$49</f>
        <v>2608.7800000000002</v>
      </c>
      <c r="N17" s="1182">
        <f>'RGV1 Sum'!$O$49</f>
        <v>295.52</v>
      </c>
      <c r="O17" s="1183">
        <v>31484672</v>
      </c>
      <c r="P17" s="1183">
        <v>24434</v>
      </c>
      <c r="Q17" s="776"/>
      <c r="R17" s="1140" t="str">
        <f>'RGV1 FGD'!$O$92</f>
        <v>Lilia M. St. Clair</v>
      </c>
      <c r="S17" s="1140" t="str">
        <f>'RGV1 FGD'!$Q$92</f>
        <v>956-665-7906</v>
      </c>
      <c r="T17" s="1140" t="str">
        <f>'RGV1 FGD'!$T$92</f>
        <v>lilia.stclair@utrgv.edu</v>
      </c>
    </row>
    <row r="18" spans="1:20">
      <c r="A18" s="480">
        <v>281</v>
      </c>
      <c r="B18" s="1000">
        <v>3606</v>
      </c>
      <c r="C18" s="116" t="s">
        <v>2263</v>
      </c>
      <c r="D18" s="1054">
        <f>'shsu1 Sum'!$C$6</f>
        <v>17594.09</v>
      </c>
      <c r="E18" s="1055">
        <f>'shsu1 Sum'!$J$33</f>
        <v>22038</v>
      </c>
      <c r="F18" s="1055">
        <f>'shsu1 Sum'!$J$20</f>
        <v>9449</v>
      </c>
      <c r="G18" s="1055">
        <f>'shsu1 Sum'!$J$15</f>
        <v>6101</v>
      </c>
      <c r="H18" s="1055">
        <f>'shsu1 Sum'!$J$23</f>
        <v>4314</v>
      </c>
      <c r="I18" s="1055">
        <f>'shsu1 Sum'!$J$32</f>
        <v>2174</v>
      </c>
      <c r="J18" s="1055">
        <f>'shsu1 Sum'!$K$49</f>
        <v>16512.41</v>
      </c>
      <c r="K18" s="1055">
        <f>'shsu1 Sum'!$L$49</f>
        <v>8971.61</v>
      </c>
      <c r="L18" s="1055">
        <f>'shsu1 Sum'!$M$49</f>
        <v>4473.29</v>
      </c>
      <c r="M18" s="1056">
        <f>'shsu1 Sum'!$N$49</f>
        <v>2786.95</v>
      </c>
      <c r="N18" s="1056">
        <f>'shsu1 Sum'!$O$49</f>
        <v>280.57</v>
      </c>
      <c r="O18" s="1057">
        <v>10862741</v>
      </c>
      <c r="P18" s="1057">
        <v>14223</v>
      </c>
      <c r="R18" s="528" t="str">
        <f>'shsu1 FGD'!$O$92</f>
        <v>Amanda Withers</v>
      </c>
      <c r="S18" s="528" t="str">
        <f>'shsu1 FGD'!$Q$92</f>
        <v>936-294-2289</v>
      </c>
      <c r="T18" s="528" t="str">
        <f>'shsu1 FGD'!$T$92</f>
        <v>withers@shsu.edu</v>
      </c>
    </row>
    <row r="19" spans="1:20">
      <c r="A19" s="480">
        <v>290</v>
      </c>
      <c r="B19" s="1000">
        <v>3615</v>
      </c>
      <c r="C19" s="53" t="s">
        <v>1273</v>
      </c>
      <c r="D19" s="1047">
        <f>'TXST Sum'!$C$6</f>
        <v>31295.23</v>
      </c>
      <c r="E19" s="1049">
        <f>'TXST Sum'!$J$33</f>
        <v>20446</v>
      </c>
      <c r="F19" s="1049">
        <f>'TXST Sum'!$J$20</f>
        <v>7750</v>
      </c>
      <c r="G19" s="1049">
        <f>'TXST Sum'!$J$15</f>
        <v>6610</v>
      </c>
      <c r="H19" s="1049">
        <f>'TXST Sum'!$J$23</f>
        <v>4559</v>
      </c>
      <c r="I19" s="1049">
        <f>'TXST Sum'!$J$32</f>
        <v>1527</v>
      </c>
      <c r="J19" s="1049">
        <f>'TXST Sum'!$K$49</f>
        <v>16139.92</v>
      </c>
      <c r="K19" s="1049">
        <f>'TXST Sum'!$L$49</f>
        <v>9867.52</v>
      </c>
      <c r="L19" s="1049">
        <f>'TXST Sum'!$M$49</f>
        <v>3120.27</v>
      </c>
      <c r="M19" s="1052">
        <f>'TXST Sum'!$N$49</f>
        <v>2825.97</v>
      </c>
      <c r="N19" s="1052">
        <f>'TXST Sum'!$O$49</f>
        <v>326.16000000000003</v>
      </c>
      <c r="O19" s="1053">
        <v>72510342</v>
      </c>
      <c r="P19" s="1053">
        <v>71211</v>
      </c>
      <c r="R19" s="528" t="str">
        <f>'TXST FGD'!$O$92</f>
        <v>Cindy Haley</v>
      </c>
      <c r="S19" s="528" t="str">
        <f>'TXST FGD'!$Q$92</f>
        <v>512-245-2087</v>
      </c>
      <c r="T19" s="528" t="str">
        <f>'TXST FGD'!$T$92</f>
        <v>cindy.haley@txstate.edu</v>
      </c>
    </row>
    <row r="20" spans="1:20">
      <c r="A20" s="480">
        <v>350</v>
      </c>
      <c r="B20" s="1000">
        <v>3624</v>
      </c>
      <c r="C20" s="53" t="s">
        <v>125</v>
      </c>
      <c r="D20" s="1047">
        <f>'SFA Sum'!$C$6</f>
        <v>10368.98</v>
      </c>
      <c r="E20" s="1049">
        <f>'SFA Sum'!$J$33</f>
        <v>23562</v>
      </c>
      <c r="F20" s="1049">
        <f>'SFA Sum'!$J$20</f>
        <v>7356</v>
      </c>
      <c r="G20" s="1049">
        <f>'SFA Sum'!$J$15</f>
        <v>6768</v>
      </c>
      <c r="H20" s="1049">
        <f>'SFA Sum'!$J$23</f>
        <v>7184</v>
      </c>
      <c r="I20" s="1049">
        <f>'SFA Sum'!$J$32</f>
        <v>2254</v>
      </c>
      <c r="J20" s="1049">
        <f>'SFA Sum'!$K$49</f>
        <v>20262.3</v>
      </c>
      <c r="K20" s="1049">
        <f>'SFA Sum'!$L$49</f>
        <v>9292.69</v>
      </c>
      <c r="L20" s="1049">
        <f>'SFA Sum'!$M$49</f>
        <v>4005.92</v>
      </c>
      <c r="M20" s="1052">
        <f>'SFA Sum'!$N$49</f>
        <v>5000.8999999999996</v>
      </c>
      <c r="N20" s="1052">
        <f>'SFA Sum'!$O$49</f>
        <v>1962.79</v>
      </c>
      <c r="O20" s="1053">
        <v>3982594</v>
      </c>
      <c r="P20" s="1053">
        <v>3974</v>
      </c>
      <c r="R20" s="528" t="str">
        <f>'SFA FGD'!$O$92</f>
        <v>Dannette Sales</v>
      </c>
      <c r="S20" s="528" t="str">
        <f>'SFA FGD'!$Q$92</f>
        <v>(936) 468-2354</v>
      </c>
      <c r="T20" s="528" t="str">
        <f>'SFA FGD'!$T$92</f>
        <v>salesdl@sfasu.edu</v>
      </c>
    </row>
    <row r="21" spans="1:20">
      <c r="A21" s="480">
        <v>300</v>
      </c>
      <c r="B21" s="1000">
        <v>3625</v>
      </c>
      <c r="C21" s="53" t="s">
        <v>1239</v>
      </c>
      <c r="D21" s="1054">
        <f>'SRSU Sum'!$C$6</f>
        <v>1712.5099999999998</v>
      </c>
      <c r="E21" s="1055">
        <f>'SRSU Sum'!$J$33</f>
        <v>33547</v>
      </c>
      <c r="F21" s="1055">
        <f>'SRSU Sum'!$J$20</f>
        <v>5652</v>
      </c>
      <c r="G21" s="1055">
        <f>'SRSU Sum'!$J$15</f>
        <v>13832</v>
      </c>
      <c r="H21" s="1055">
        <f>'SRSU Sum'!$J$23</f>
        <v>7897</v>
      </c>
      <c r="I21" s="1055">
        <f>'SRSU Sum'!$J$32</f>
        <v>6166</v>
      </c>
      <c r="J21" s="1055">
        <f>'SRSU Sum'!$K$49</f>
        <v>26183.14</v>
      </c>
      <c r="K21" s="1055">
        <f>'SRSU Sum'!$L$49</f>
        <v>9245.06</v>
      </c>
      <c r="L21" s="1055">
        <f>'SRSU Sum'!$M$49</f>
        <v>5537</v>
      </c>
      <c r="M21" s="1056">
        <f>'SRSU Sum'!$N$49</f>
        <v>11134.43</v>
      </c>
      <c r="N21" s="1056">
        <f>'SRSU Sum'!$O$49</f>
        <v>266.64999999999998</v>
      </c>
      <c r="O21" s="1057">
        <v>1847792</v>
      </c>
      <c r="P21" s="1057">
        <v>11326</v>
      </c>
      <c r="R21" s="528" t="str">
        <f>'SRSU FGD'!$O$92</f>
        <v>Bonnie Albright</v>
      </c>
      <c r="S21" s="528" t="str">
        <f>'SRSU FGD'!$Q$92</f>
        <v>432-837-8078</v>
      </c>
      <c r="T21" s="528" t="str">
        <f>'SRSU FGD'!$T$92</f>
        <v>bonnie.albright@sulross.edu</v>
      </c>
    </row>
    <row r="22" spans="1:20">
      <c r="A22" s="480">
        <v>150</v>
      </c>
      <c r="B22" s="1000">
        <v>3630</v>
      </c>
      <c r="C22" s="53" t="s">
        <v>107</v>
      </c>
      <c r="D22" s="1047">
        <f>'PVAMU Sum'!$C$6</f>
        <v>8069.33</v>
      </c>
      <c r="E22" s="1049">
        <f>'PVAMU Sum'!$J$33</f>
        <v>37100</v>
      </c>
      <c r="F22" s="1049">
        <f>'PVAMU Sum'!$J$20</f>
        <v>6604</v>
      </c>
      <c r="G22" s="1049">
        <f>'PVAMU Sum'!$J$15</f>
        <v>11819</v>
      </c>
      <c r="H22" s="1049">
        <f>'PVAMU Sum'!$J$23</f>
        <v>12991</v>
      </c>
      <c r="I22" s="1049">
        <f>'PVAMU Sum'!$J$32</f>
        <v>5686</v>
      </c>
      <c r="J22" s="1049">
        <f>'PVAMU Sum'!$K$49</f>
        <v>28822.51</v>
      </c>
      <c r="K22" s="1049">
        <f>'PVAMU Sum'!$L$49</f>
        <v>11407.61</v>
      </c>
      <c r="L22" s="1049">
        <f>'PVAMU Sum'!$M$49</f>
        <v>11738.71</v>
      </c>
      <c r="M22" s="1052">
        <f>'PVAMU Sum'!$N$49</f>
        <v>5140.95</v>
      </c>
      <c r="N22" s="1052">
        <f>'PVAMU Sum'!$O$49</f>
        <v>535.24</v>
      </c>
      <c r="O22" s="1053">
        <v>17518762</v>
      </c>
      <c r="P22" s="1053">
        <v>45931</v>
      </c>
      <c r="R22" s="528" t="str">
        <f>'PVAMU FGD'!$O$92</f>
        <v>Chris Arrington</v>
      </c>
      <c r="S22" s="528" t="str">
        <f>'PVAMU FGD'!$Q$92</f>
        <v>979-458-9151</v>
      </c>
      <c r="T22" s="528" t="str">
        <f>'PVAMU FGD'!$T$92</f>
        <v>carrington@tamus.edu</v>
      </c>
    </row>
    <row r="23" spans="1:20">
      <c r="A23" s="480">
        <v>160</v>
      </c>
      <c r="B23" s="1000">
        <v>3631</v>
      </c>
      <c r="C23" s="53" t="s">
        <v>108</v>
      </c>
      <c r="D23" s="1047">
        <f>'TARLST Sum'!$C$6</f>
        <v>11555.57</v>
      </c>
      <c r="E23" s="1049">
        <f>'TARLST Sum'!$J$33</f>
        <v>19733</v>
      </c>
      <c r="F23" s="1049">
        <f>'TARLST Sum'!$J$20</f>
        <v>7206</v>
      </c>
      <c r="G23" s="1049">
        <f>'TARLST Sum'!$J$15</f>
        <v>5447</v>
      </c>
      <c r="H23" s="1049">
        <f>'TARLST Sum'!$J$23</f>
        <v>4955</v>
      </c>
      <c r="I23" s="1049">
        <f>'TARLST Sum'!$J$32</f>
        <v>2125</v>
      </c>
      <c r="J23" s="1049">
        <f>'TARLST Sum'!$K$49</f>
        <v>14707.93</v>
      </c>
      <c r="K23" s="1049">
        <f>'TARLST Sum'!$L$49</f>
        <v>7709.65</v>
      </c>
      <c r="L23" s="1049">
        <f>'TARLST Sum'!$M$49</f>
        <v>3982.67</v>
      </c>
      <c r="M23" s="1052">
        <f>'TARLST Sum'!$N$49</f>
        <v>2616.2199999999998</v>
      </c>
      <c r="N23" s="1052">
        <f>'TARLST Sum'!$O$49</f>
        <v>399.4</v>
      </c>
      <c r="O23" s="1053">
        <v>16531178</v>
      </c>
      <c r="P23" s="1053">
        <v>26833</v>
      </c>
      <c r="R23" s="528" t="str">
        <f>'TARLST FGD'!$O$92</f>
        <v>Chris Arrington</v>
      </c>
      <c r="S23" s="528" t="str">
        <f>'TARLST FGD'!$Q$92</f>
        <v>254-968-1643</v>
      </c>
      <c r="T23" s="528" t="str">
        <f>'TARLST FGD'!$T$92</f>
        <v>fincher@tarleton.edu</v>
      </c>
    </row>
    <row r="24" spans="1:20">
      <c r="A24" s="480">
        <v>130</v>
      </c>
      <c r="B24" s="1000">
        <v>3632</v>
      </c>
      <c r="C24" s="53" t="s">
        <v>103</v>
      </c>
      <c r="D24" s="1047">
        <f>'TAMU Sum'!$C$6</f>
        <v>58149.98</v>
      </c>
      <c r="E24" s="1049">
        <f>'TAMU Sum'!$J$33</f>
        <v>35666</v>
      </c>
      <c r="F24" s="1049">
        <f>'TAMU Sum'!$J$20</f>
        <v>11138</v>
      </c>
      <c r="G24" s="1049">
        <f>'TAMU Sum'!$J$15</f>
        <v>11191</v>
      </c>
      <c r="H24" s="1049">
        <f>'TAMU Sum'!$J$23</f>
        <v>4689</v>
      </c>
      <c r="I24" s="1049">
        <f>'TAMU Sum'!$J$32</f>
        <v>8648</v>
      </c>
      <c r="J24" s="1049">
        <f>'TAMU Sum'!$K$49</f>
        <v>28534.81</v>
      </c>
      <c r="K24" s="1049">
        <f>'TAMU Sum'!$L$49</f>
        <v>18712.3</v>
      </c>
      <c r="L24" s="1049">
        <f>'TAMU Sum'!$M$49</f>
        <v>3844.59</v>
      </c>
      <c r="M24" s="1052">
        <f>'TAMU Sum'!$N$49</f>
        <v>4490.5</v>
      </c>
      <c r="N24" s="1052">
        <f>'TAMU Sum'!$O$49</f>
        <v>1487.41</v>
      </c>
      <c r="O24" s="1053">
        <v>953569385</v>
      </c>
      <c r="P24" s="1053">
        <v>390882</v>
      </c>
      <c r="R24" s="528" t="str">
        <f>'TAMU FGD'!$O$92</f>
        <v>Chris Arrington</v>
      </c>
      <c r="S24" s="528" t="str">
        <f>'TAMU FGD'!$Q$92</f>
        <v>979-458-9151</v>
      </c>
      <c r="T24" s="528" t="str">
        <f>'TAMU FGD'!$T$92</f>
        <v>carrington@tamus.edu</v>
      </c>
    </row>
    <row r="25" spans="1:20">
      <c r="A25" s="480">
        <v>180</v>
      </c>
      <c r="B25" s="1000">
        <v>3639</v>
      </c>
      <c r="C25" s="53" t="s">
        <v>110</v>
      </c>
      <c r="D25" s="1047">
        <f>'TAMUK Sum'!$C$6</f>
        <v>5616.08</v>
      </c>
      <c r="E25" s="1049">
        <f>'TAMUK Sum'!$J$33</f>
        <v>29460</v>
      </c>
      <c r="F25" s="1049">
        <f>'TAMUK Sum'!$J$20</f>
        <v>6083</v>
      </c>
      <c r="G25" s="1049">
        <f>'TAMUK Sum'!$J$15</f>
        <v>11125</v>
      </c>
      <c r="H25" s="1049">
        <f>'TAMUK Sum'!$J$23</f>
        <v>8417</v>
      </c>
      <c r="I25" s="1049">
        <f>'TAMUK Sum'!$J$32</f>
        <v>3835</v>
      </c>
      <c r="J25" s="1049">
        <f>'TAMUK Sum'!$K$49</f>
        <v>23448.07</v>
      </c>
      <c r="K25" s="1049">
        <f>'TAMUK Sum'!$L$49</f>
        <v>13170.56</v>
      </c>
      <c r="L25" s="1049">
        <f>'TAMUK Sum'!$M$49</f>
        <v>5406.39</v>
      </c>
      <c r="M25" s="1052">
        <f>'TAMUK Sum'!$N$49</f>
        <v>4240.3</v>
      </c>
      <c r="N25" s="1052">
        <f>'TAMUK Sum'!$O$49</f>
        <v>630.82000000000005</v>
      </c>
      <c r="O25" s="1053">
        <v>21267341</v>
      </c>
      <c r="P25" s="1053">
        <v>62789</v>
      </c>
      <c r="R25" s="528" t="str">
        <f>'TAMUK FGD'!$O$92</f>
        <v>Chris Arrington</v>
      </c>
      <c r="S25" s="528" t="str">
        <f>'TAMUK FGD'!$Q$92</f>
        <v>979-458-9151</v>
      </c>
      <c r="T25" s="528" t="str">
        <f>'TAMUK FGD'!$T$92</f>
        <v>carrington@tamus.edu</v>
      </c>
    </row>
    <row r="26" spans="1:20">
      <c r="A26" s="480">
        <v>360</v>
      </c>
      <c r="B26" s="1000">
        <v>3642</v>
      </c>
      <c r="C26" s="53" t="s">
        <v>126</v>
      </c>
      <c r="D26" s="1047">
        <f>'TSU Sum'!$C$6</f>
        <v>6445.64</v>
      </c>
      <c r="E26" s="1049">
        <f>'TSU Sum'!$J$33</f>
        <v>37566</v>
      </c>
      <c r="F26" s="1049">
        <f>'TSU Sum'!$J$20</f>
        <v>7528</v>
      </c>
      <c r="G26" s="1049">
        <f>'TSU Sum'!$J$15</f>
        <v>12344</v>
      </c>
      <c r="H26" s="1049">
        <f>'TSU Sum'!$J$23</f>
        <v>13861</v>
      </c>
      <c r="I26" s="1049">
        <f>'TSU Sum'!$J$32</f>
        <v>3833</v>
      </c>
      <c r="J26" s="1049">
        <f>'TSU Sum'!$K$49</f>
        <v>32731.48</v>
      </c>
      <c r="K26" s="1049">
        <f>'TSU Sum'!$L$49</f>
        <v>14788.46</v>
      </c>
      <c r="L26" s="1049">
        <f>'TSU Sum'!$M$49</f>
        <v>6578.08</v>
      </c>
      <c r="M26" s="1052">
        <f>'TSU Sum'!$N$49</f>
        <v>10490.46</v>
      </c>
      <c r="N26" s="1052">
        <f>'TSU Sum'!$O$49</f>
        <v>874.48</v>
      </c>
      <c r="O26" s="1053">
        <v>4317878</v>
      </c>
      <c r="P26" s="1053">
        <v>13460</v>
      </c>
      <c r="R26" s="528" t="str">
        <f>'TSU FGD'!$O$92</f>
        <v>Bobbie Phelps</v>
      </c>
      <c r="S26" s="528" t="str">
        <f>'TSU FGD'!$Q$92</f>
        <v>713-313-6890</v>
      </c>
      <c r="T26" s="528" t="str">
        <f>'TSU FGD'!$T$92</f>
        <v>bobbie.phelps@tsu.edu</v>
      </c>
    </row>
    <row r="27" spans="1:20">
      <c r="A27" s="480">
        <v>310</v>
      </c>
      <c r="B27" s="1000">
        <v>3644</v>
      </c>
      <c r="C27" s="53" t="s">
        <v>121</v>
      </c>
      <c r="D27" s="1047">
        <f>'TTU Sum'!$C$6</f>
        <v>36035.31</v>
      </c>
      <c r="E27" s="1049">
        <f>'TTU Sum'!$J$33</f>
        <v>24638</v>
      </c>
      <c r="F27" s="1049">
        <f>'TTU Sum'!$J$20</f>
        <v>9792</v>
      </c>
      <c r="G27" s="1049">
        <f>'TTU Sum'!$J$15</f>
        <v>7316</v>
      </c>
      <c r="H27" s="1049">
        <f>'TTU Sum'!$J$23</f>
        <v>3520</v>
      </c>
      <c r="I27" s="1049">
        <f>'TTU Sum'!$J$32</f>
        <v>4010</v>
      </c>
      <c r="J27" s="1049">
        <f>'TTU Sum'!$K$49</f>
        <v>19423.95</v>
      </c>
      <c r="K27" s="1049">
        <f>'TTU Sum'!$L$49</f>
        <v>12674.48</v>
      </c>
      <c r="L27" s="1049">
        <f>'TTU Sum'!$M$49</f>
        <v>3240.22</v>
      </c>
      <c r="M27" s="1052">
        <f>'TTU Sum'!$N$49</f>
        <v>2799.59</v>
      </c>
      <c r="N27" s="1052">
        <f>'TTU Sum'!$O$49</f>
        <v>709.66</v>
      </c>
      <c r="O27" s="1053">
        <v>191295164</v>
      </c>
      <c r="P27" s="1053">
        <v>62201</v>
      </c>
      <c r="R27" s="528" t="str">
        <f>'TTU FGD'!$O$92</f>
        <v>Lori Eppler</v>
      </c>
      <c r="S27" s="528" t="str">
        <f>'TTU FGD'!$Q$92</f>
        <v>806-834-4640</v>
      </c>
      <c r="T27" s="528" t="str">
        <f>'TTU FGD'!$T$92</f>
        <v>lori.eppler@ttu.edu</v>
      </c>
    </row>
    <row r="28" spans="1:20">
      <c r="A28" s="480">
        <v>370</v>
      </c>
      <c r="B28" s="1001">
        <v>3646</v>
      </c>
      <c r="C28" s="56" t="s">
        <v>127</v>
      </c>
      <c r="D28" s="1054">
        <f>'TWU Sum'!$C$6</f>
        <v>13026.58</v>
      </c>
      <c r="E28" s="1055">
        <f>'TWU Sum'!$J$33</f>
        <v>18797</v>
      </c>
      <c r="F28" s="1055">
        <f>'TWU Sum'!$J$20</f>
        <v>6845</v>
      </c>
      <c r="G28" s="1055">
        <f>'TWU Sum'!$J$15</f>
        <v>7357</v>
      </c>
      <c r="H28" s="1055">
        <f>'TWU Sum'!$J$23</f>
        <v>3232</v>
      </c>
      <c r="I28" s="1055">
        <f>'TWU Sum'!$J$32</f>
        <v>1363</v>
      </c>
      <c r="J28" s="1055">
        <f>'TWU Sum'!$K$49</f>
        <v>14740.87</v>
      </c>
      <c r="K28" s="1055">
        <f>'TWU Sum'!$L$49</f>
        <v>9166.44</v>
      </c>
      <c r="L28" s="1055">
        <f>'TWU Sum'!$M$49</f>
        <v>1331.34</v>
      </c>
      <c r="M28" s="1056">
        <f>'TWU Sum'!$N$49</f>
        <v>4163.34</v>
      </c>
      <c r="N28" s="1056">
        <f>'TWU Sum'!$O$49</f>
        <v>79.75</v>
      </c>
      <c r="O28" s="1053">
        <v>4672948</v>
      </c>
      <c r="P28" s="1053">
        <v>6944</v>
      </c>
      <c r="R28" s="528" t="str">
        <f>'TWU FGD'!$O$92</f>
        <v>June Orth</v>
      </c>
      <c r="S28" s="528" t="str">
        <f>'TWU FGD'!$Q$92</f>
        <v>940-898-3522</v>
      </c>
      <c r="T28" s="528" t="str">
        <f>'TWU FGD'!$T$92</f>
        <v>borth@twu.edu</v>
      </c>
    </row>
    <row r="29" spans="1:20">
      <c r="A29" s="480">
        <v>231</v>
      </c>
      <c r="B29" s="1000">
        <v>3652</v>
      </c>
      <c r="C29" s="116" t="s">
        <v>2259</v>
      </c>
      <c r="D29" s="1047">
        <f>'UH1 Sum'!$C$6</f>
        <v>40310.42</v>
      </c>
      <c r="E29" s="1049">
        <f>'UH1 Sum'!$J$33</f>
        <v>31969</v>
      </c>
      <c r="F29" s="1049">
        <f>'UH1 Sum'!$J$20</f>
        <v>9407</v>
      </c>
      <c r="G29" s="1049">
        <f>'UH1 Sum'!$J$15</f>
        <v>7531</v>
      </c>
      <c r="H29" s="1049">
        <f>'UH1 Sum'!$J$23</f>
        <v>6534</v>
      </c>
      <c r="I29" s="1049">
        <f>'UH1 Sum'!$J$32</f>
        <v>8497</v>
      </c>
      <c r="J29" s="1049">
        <f>'UH1 Sum'!$K$49</f>
        <v>25351.71</v>
      </c>
      <c r="K29" s="1049">
        <f>'UH1 Sum'!$L$49</f>
        <v>14976.26</v>
      </c>
      <c r="L29" s="1049">
        <f>'UH1 Sum'!$M$49</f>
        <v>2882.5</v>
      </c>
      <c r="M29" s="1052">
        <f>'UH1 Sum'!$N$49</f>
        <v>3589.05</v>
      </c>
      <c r="N29" s="1052">
        <f>'UH1 Sum'!$O$49</f>
        <v>3903.9</v>
      </c>
      <c r="O29" s="1053">
        <v>178873584</v>
      </c>
      <c r="P29" s="1053">
        <v>99363</v>
      </c>
      <c r="R29" s="528" t="str">
        <f>'UH1 FGD'!$O$92</f>
        <v>CHARLOTTE HOTZ</v>
      </c>
      <c r="S29" s="528" t="str">
        <f>'UH1 FGD'!$Q$92</f>
        <v>713.743.5296</v>
      </c>
      <c r="T29" s="528" t="str">
        <f>'UH1 FGD'!$T$92</f>
        <v>cahotz@uh.edu</v>
      </c>
    </row>
    <row r="30" spans="1:20">
      <c r="A30" s="480">
        <v>40</v>
      </c>
      <c r="B30" s="1000">
        <v>3656</v>
      </c>
      <c r="C30" s="53" t="s">
        <v>219</v>
      </c>
      <c r="D30" s="1047">
        <f>'ARL Sum'!$C$6</f>
        <v>34362.15</v>
      </c>
      <c r="E30" s="1049">
        <f>'ARL Sum'!$J$33</f>
        <v>22072</v>
      </c>
      <c r="F30" s="1049">
        <f>'ARL Sum'!$J$20</f>
        <v>9706</v>
      </c>
      <c r="G30" s="1049">
        <f>'ARL Sum'!$J$15</f>
        <v>4679</v>
      </c>
      <c r="H30" s="1049">
        <f>'ARL Sum'!$J$23</f>
        <v>5133</v>
      </c>
      <c r="I30" s="1049">
        <f>'ARL Sum'!$J$32</f>
        <v>2554</v>
      </c>
      <c r="J30" s="1049">
        <f>'ARL Sum'!$K$49</f>
        <v>18401.740000000002</v>
      </c>
      <c r="K30" s="1049">
        <f>'ARL Sum'!$L$49</f>
        <v>10563.56</v>
      </c>
      <c r="L30" s="1049">
        <f>'ARL Sum'!$M$49</f>
        <v>5051.7</v>
      </c>
      <c r="M30" s="1052">
        <f>'ARL Sum'!$N$49</f>
        <v>2660.36</v>
      </c>
      <c r="N30" s="1052">
        <f>'ARL Sum'!$O$49</f>
        <v>126.11</v>
      </c>
      <c r="O30" s="1053">
        <v>117412814</v>
      </c>
      <c r="P30" s="1053">
        <v>120383</v>
      </c>
      <c r="R30" s="528" t="str">
        <f>'ARL FGD'!$O$92</f>
        <v>Ting Chen</v>
      </c>
      <c r="S30" s="528" t="str">
        <f>'ARL FGD'!$Q$92</f>
        <v>817-272-7489</v>
      </c>
      <c r="T30" s="528" t="str">
        <f>'ARL FGD'!$T$92</f>
        <v>ting.chen@uta.edu</v>
      </c>
    </row>
    <row r="31" spans="1:20">
      <c r="A31" s="480">
        <v>51</v>
      </c>
      <c r="B31" s="1000">
        <v>3658</v>
      </c>
      <c r="C31" s="1130" t="s">
        <v>1375</v>
      </c>
      <c r="D31" s="1047">
        <f>'AUS1 Sum'!$C$6</f>
        <v>47534.87</v>
      </c>
      <c r="E31" s="1049">
        <f>'AUS1 Sum'!$J$33</f>
        <v>63292</v>
      </c>
      <c r="F31" s="1049">
        <f>'AUS1 Sum'!$J$20</f>
        <v>10245</v>
      </c>
      <c r="G31" s="1049">
        <f>'AUS1 Sum'!$J$15</f>
        <v>16405</v>
      </c>
      <c r="H31" s="1049">
        <f>'AUS1 Sum'!$J$23</f>
        <v>12609</v>
      </c>
      <c r="I31" s="1049">
        <f>'AUS1 Sum'!$J$32</f>
        <v>24033</v>
      </c>
      <c r="J31" s="1049">
        <f>'AUS1 Sum'!$K$49</f>
        <v>46662.23</v>
      </c>
      <c r="K31" s="1049">
        <f>'AUS1 Sum'!$L$49</f>
        <v>31758.560000000001</v>
      </c>
      <c r="L31" s="1049">
        <f>'AUS1 Sum'!$M$49</f>
        <v>4441.1099999999997</v>
      </c>
      <c r="M31" s="1052">
        <f>'AUS1 Sum'!$N$49</f>
        <v>8649.57</v>
      </c>
      <c r="N31" s="1052">
        <f>'AUS1 Sum'!$O$49</f>
        <v>1813</v>
      </c>
      <c r="O31" s="1053">
        <v>699286224</v>
      </c>
      <c r="P31" s="1053">
        <v>352878</v>
      </c>
      <c r="R31" s="528" t="str">
        <f>'AUS1 FGD'!$O$92</f>
        <v>Marcy Lowther</v>
      </c>
      <c r="S31" s="528" t="str">
        <f>'AUS1 FGD'!$Q$92</f>
        <v>512-471-2808</v>
      </c>
      <c r="T31" s="528" t="str">
        <f>'AUS1 FGD'!$T$92</f>
        <v>mlowther@austin.utexas.edu</v>
      </c>
    </row>
    <row r="32" spans="1:20">
      <c r="A32" s="480">
        <v>70</v>
      </c>
      <c r="B32" s="1000">
        <v>3661</v>
      </c>
      <c r="C32" s="53" t="s">
        <v>97</v>
      </c>
      <c r="D32" s="1047">
        <f>'E-P Sum'!$C$6</f>
        <v>19488.8</v>
      </c>
      <c r="E32" s="1049">
        <f>'E-P Sum'!$J$33</f>
        <v>26671</v>
      </c>
      <c r="F32" s="1049">
        <f>'E-P Sum'!$J$20</f>
        <v>7197</v>
      </c>
      <c r="G32" s="1049">
        <f>'E-P Sum'!$J$15</f>
        <v>6842</v>
      </c>
      <c r="H32" s="1049">
        <f>'E-P Sum'!$J$23</f>
        <v>10597</v>
      </c>
      <c r="I32" s="1049">
        <f>'E-P Sum'!$J$32</f>
        <v>2035</v>
      </c>
      <c r="J32" s="1049">
        <f>'E-P Sum'!$K$49</f>
        <v>22295.61</v>
      </c>
      <c r="K32" s="1049">
        <f>'E-P Sum'!$L$49</f>
        <v>11686.92</v>
      </c>
      <c r="L32" s="1049">
        <f>'E-P Sum'!$M$49</f>
        <v>6993.44</v>
      </c>
      <c r="M32" s="1052">
        <f>'E-P Sum'!$N$49</f>
        <v>3116.58</v>
      </c>
      <c r="N32" s="1052">
        <f>'E-P Sum'!$O$49</f>
        <v>498.67</v>
      </c>
      <c r="O32" s="1053">
        <v>106594279</v>
      </c>
      <c r="P32" s="1053">
        <v>185780</v>
      </c>
      <c r="R32" s="528" t="str">
        <f>'E-P FGD'!$O$92</f>
        <v>Daniel Dominguez</v>
      </c>
      <c r="S32" s="528" t="str">
        <f>'E-P FGD'!$Q$92</f>
        <v>(915)747-5083</v>
      </c>
      <c r="T32" s="528" t="str">
        <f>'E-P FGD'!$T$92</f>
        <v>drdominguez@utep.edu</v>
      </c>
    </row>
    <row r="33" spans="1:20">
      <c r="A33" s="480">
        <v>200</v>
      </c>
      <c r="B33" s="1001">
        <v>3665</v>
      </c>
      <c r="C33" s="56" t="s">
        <v>112</v>
      </c>
      <c r="D33" s="1054">
        <f>'WTAMU Sum'!$C$6</f>
        <v>7724.93</v>
      </c>
      <c r="E33" s="1055">
        <f>'WTAMU Sum'!$J$33</f>
        <v>21780</v>
      </c>
      <c r="F33" s="1055">
        <f>'WTAMU Sum'!$J$20</f>
        <v>6682</v>
      </c>
      <c r="G33" s="1055">
        <f>'WTAMU Sum'!$J$15</f>
        <v>7054</v>
      </c>
      <c r="H33" s="1055">
        <f>'WTAMU Sum'!$J$23</f>
        <v>4424</v>
      </c>
      <c r="I33" s="1055">
        <f>'WTAMU Sum'!$J$32</f>
        <v>3620</v>
      </c>
      <c r="J33" s="1055">
        <f>'WTAMU Sum'!$K$49</f>
        <v>16987.189999999999</v>
      </c>
      <c r="K33" s="1055">
        <f>'WTAMU Sum'!$L$49</f>
        <v>8689.82</v>
      </c>
      <c r="L33" s="1055">
        <f>'WTAMU Sum'!$M$49</f>
        <v>3609.3</v>
      </c>
      <c r="M33" s="1056">
        <f>'WTAMU Sum'!$N$49</f>
        <v>4298.74</v>
      </c>
      <c r="N33" s="1056">
        <f>'WTAMU Sum'!$O$49</f>
        <v>389.34</v>
      </c>
      <c r="O33" s="1053">
        <v>9784396</v>
      </c>
      <c r="P33" s="1053">
        <v>16194</v>
      </c>
      <c r="R33" s="528" t="str">
        <f>'WTAMU FGD'!$O$92</f>
        <v>Chris Arrington</v>
      </c>
      <c r="S33" s="528" t="str">
        <f>'WTAMU FGD'!$Q$92</f>
        <v>979-458-9151</v>
      </c>
      <c r="T33" s="528" t="str">
        <f>'WTAMU FGD'!$T$92</f>
        <v>carrington@tamus.edu</v>
      </c>
    </row>
    <row r="34" spans="1:20">
      <c r="A34" s="480">
        <v>190</v>
      </c>
      <c r="B34" s="1000">
        <v>9651</v>
      </c>
      <c r="C34" s="53" t="s">
        <v>111</v>
      </c>
      <c r="D34" s="1047">
        <f>'TAMIU Sum'!$C$6</f>
        <v>6962.28</v>
      </c>
      <c r="E34" s="1049">
        <f>'TAMIU Sum'!$J$33</f>
        <v>21974</v>
      </c>
      <c r="F34" s="1049">
        <f>'TAMIU Sum'!$J$20</f>
        <v>4508</v>
      </c>
      <c r="G34" s="1049">
        <f>'TAMIU Sum'!$J$15</f>
        <v>8129</v>
      </c>
      <c r="H34" s="1049">
        <f>'TAMIU Sum'!$J$23</f>
        <v>7434</v>
      </c>
      <c r="I34" s="1049">
        <f>'TAMIU Sum'!$J$32</f>
        <v>1903</v>
      </c>
      <c r="J34" s="1049">
        <f>'TAMIU Sum'!$K$49</f>
        <v>16991.47</v>
      </c>
      <c r="K34" s="1049">
        <f>'TAMIU Sum'!$L$49</f>
        <v>8019.87</v>
      </c>
      <c r="L34" s="1049">
        <f>'TAMIU Sum'!$M$49</f>
        <v>5439.84</v>
      </c>
      <c r="M34" s="1052">
        <f>'TAMIU Sum'!$N$49</f>
        <v>3053.55</v>
      </c>
      <c r="N34" s="1052">
        <f>'TAMIU Sum'!$O$49</f>
        <v>478.21</v>
      </c>
      <c r="O34" s="1053">
        <v>3226055</v>
      </c>
      <c r="P34" s="1053">
        <v>19729</v>
      </c>
      <c r="R34" s="528" t="str">
        <f>'TAMIU FGD'!$O$92</f>
        <v>Chris Arrington</v>
      </c>
      <c r="S34" s="528" t="str">
        <f>'TAMIU FGD'!$Q$92</f>
        <v>979-458-9151</v>
      </c>
      <c r="T34" s="528" t="str">
        <f>'TAMIU FGD'!$T$92</f>
        <v>carrington@tamus.edu</v>
      </c>
    </row>
    <row r="35" spans="1:20">
      <c r="A35" s="480">
        <v>60</v>
      </c>
      <c r="B35" s="1000">
        <v>9741</v>
      </c>
      <c r="C35" s="53" t="s">
        <v>96</v>
      </c>
      <c r="D35" s="1047">
        <f>'DAL Sum'!$C$6</f>
        <v>24167.85</v>
      </c>
      <c r="E35" s="1049">
        <f>'DAL Sum'!$J$33</f>
        <v>27184</v>
      </c>
      <c r="F35" s="1049">
        <f>'DAL Sum'!$J$20</f>
        <v>11547</v>
      </c>
      <c r="G35" s="1049">
        <f>'DAL Sum'!$J$15</f>
        <v>5356</v>
      </c>
      <c r="H35" s="1049">
        <f>'DAL Sum'!$J$23</f>
        <v>5924</v>
      </c>
      <c r="I35" s="1049">
        <f>'DAL Sum'!$J$32</f>
        <v>4357</v>
      </c>
      <c r="J35" s="1049">
        <f>'DAL Sum'!$K$49</f>
        <v>22355.24</v>
      </c>
      <c r="K35" s="1049">
        <f>'DAL Sum'!$L$49</f>
        <v>14870.53</v>
      </c>
      <c r="L35" s="1049">
        <f>'DAL Sum'!$M$49</f>
        <v>3265.92</v>
      </c>
      <c r="M35" s="1052">
        <f>'DAL Sum'!$N$49</f>
        <v>3691.89</v>
      </c>
      <c r="N35" s="1052">
        <f>'DAL Sum'!$O$49</f>
        <v>526.9</v>
      </c>
      <c r="O35" s="1053">
        <v>122825449</v>
      </c>
      <c r="P35" s="1053">
        <v>165790</v>
      </c>
      <c r="R35" s="528" t="str">
        <f>'DAL FGD'!$O$92</f>
        <v>Cindy Milligan</v>
      </c>
      <c r="S35" s="528" t="str">
        <f>'DAL FGD'!$Q$92</f>
        <v>(972) 883-2632</v>
      </c>
      <c r="T35" s="528" t="str">
        <f>'DAL FGD'!$T$92</f>
        <v>cxm133830@utdallas.edu</v>
      </c>
    </row>
    <row r="36" spans="1:20">
      <c r="A36" s="480">
        <v>100</v>
      </c>
      <c r="B36" s="1000">
        <v>9930</v>
      </c>
      <c r="C36" s="53" t="s">
        <v>100</v>
      </c>
      <c r="D36" s="1054">
        <f>'P-B Sum'!$C$6</f>
        <v>4255.68</v>
      </c>
      <c r="E36" s="1049">
        <f>'P-B Sum'!$J$33</f>
        <v>24866</v>
      </c>
      <c r="F36" s="1049">
        <f>'P-B Sum'!$J$20</f>
        <v>6947</v>
      </c>
      <c r="G36" s="1049">
        <f>'P-B Sum'!$J$15</f>
        <v>10108</v>
      </c>
      <c r="H36" s="1049">
        <f>'P-B Sum'!$J$23</f>
        <v>5190</v>
      </c>
      <c r="I36" s="1049">
        <f>'P-B Sum'!$J$32</f>
        <v>2621</v>
      </c>
      <c r="J36" s="1049">
        <f>'P-B Sum'!$K$49</f>
        <v>20217.11</v>
      </c>
      <c r="K36" s="1049">
        <f>'P-B Sum'!$L$49</f>
        <v>10722.21</v>
      </c>
      <c r="L36" s="1049">
        <f>'P-B Sum'!$M$49</f>
        <v>3540.25</v>
      </c>
      <c r="M36" s="1052">
        <f>'P-B Sum'!$N$49</f>
        <v>5141.72</v>
      </c>
      <c r="N36" s="1052">
        <f>'P-B Sum'!$O$49</f>
        <v>812.92</v>
      </c>
      <c r="O36" s="1053">
        <v>3503667</v>
      </c>
      <c r="P36" s="1053">
        <v>20677</v>
      </c>
      <c r="R36" s="528" t="str">
        <f>'P-B FGD'!$O$92</f>
        <v>Jana Juarez</v>
      </c>
      <c r="S36" s="528" t="str">
        <f>'P-B FGD'!$Q$92</f>
        <v>432-552-2717</v>
      </c>
      <c r="T36" s="528" t="str">
        <f>'P-B FGD'!$T$92</f>
        <v>juarez_j@utpb.edu</v>
      </c>
    </row>
    <row r="37" spans="1:20">
      <c r="A37" s="480">
        <v>110</v>
      </c>
      <c r="B37" s="1000">
        <v>10115</v>
      </c>
      <c r="C37" s="53" t="s">
        <v>101</v>
      </c>
      <c r="D37" s="1047">
        <f>'S-A Sum'!$C$6</f>
        <v>28396.57</v>
      </c>
      <c r="E37" s="1049">
        <f>'S-A Sum'!$J$33</f>
        <v>25557</v>
      </c>
      <c r="F37" s="1049">
        <f>'S-A Sum'!$J$20</f>
        <v>8036</v>
      </c>
      <c r="G37" s="1049">
        <f>'S-A Sum'!$J$15</f>
        <v>5711</v>
      </c>
      <c r="H37" s="1049">
        <f>'S-A Sum'!$J$23</f>
        <v>7075</v>
      </c>
      <c r="I37" s="1049">
        <f>'S-A Sum'!$J$32</f>
        <v>4735</v>
      </c>
      <c r="J37" s="1049">
        <f>'S-A Sum'!$K$49</f>
        <v>18804.25</v>
      </c>
      <c r="K37" s="1049">
        <f>'S-A Sum'!$L$49</f>
        <v>10416.780000000001</v>
      </c>
      <c r="L37" s="1049">
        <f>'S-A Sum'!$M$49</f>
        <v>4107.3</v>
      </c>
      <c r="M37" s="1052">
        <f>'S-A Sum'!$N$49</f>
        <v>2943.27</v>
      </c>
      <c r="N37" s="1052">
        <f>'S-A Sum'!$O$49</f>
        <v>1336.91</v>
      </c>
      <c r="O37" s="1053">
        <v>140065363</v>
      </c>
      <c r="P37" s="1053">
        <v>100552</v>
      </c>
      <c r="R37" s="528" t="str">
        <f>'S-A FGD'!$O$92</f>
        <v>Sheri Hardison</v>
      </c>
      <c r="S37" s="528" t="str">
        <f>'S-A FGD'!$Q$92</f>
        <v>210-458-6774</v>
      </c>
      <c r="T37" s="528" t="str">
        <f>'S-A FGD'!$T$92</f>
        <v>sheri.hardison@utsa.edu</v>
      </c>
    </row>
    <row r="38" spans="1:20">
      <c r="A38" s="480">
        <v>140</v>
      </c>
      <c r="B38" s="1000">
        <v>10298</v>
      </c>
      <c r="C38" s="53" t="s">
        <v>106</v>
      </c>
      <c r="D38" s="1054">
        <f>'TAMUG Sum'!$C$6</f>
        <v>1732.87</v>
      </c>
      <c r="E38" s="1055">
        <f>'TAMUG Sum'!$J$33</f>
        <v>65486</v>
      </c>
      <c r="F38" s="1055">
        <f>'TAMUG Sum'!$J$20</f>
        <v>12287</v>
      </c>
      <c r="G38" s="1055">
        <f>'TAMUG Sum'!$J$15</f>
        <v>40976</v>
      </c>
      <c r="H38" s="1055">
        <f>'TAMUG Sum'!$J$23</f>
        <v>5913</v>
      </c>
      <c r="I38" s="1055">
        <f>'TAMUG Sum'!$J$32</f>
        <v>6310</v>
      </c>
      <c r="J38" s="1055">
        <f>'TAMUG Sum'!$K$49</f>
        <v>31245.87</v>
      </c>
      <c r="K38" s="1055">
        <f>'TAMUG Sum'!$L$49</f>
        <v>19220.29</v>
      </c>
      <c r="L38" s="1055">
        <f>'TAMUG Sum'!$M$49</f>
        <v>3511.77</v>
      </c>
      <c r="M38" s="1056">
        <f>'TAMUG Sum'!$N$49</f>
        <v>8103.5</v>
      </c>
      <c r="N38" s="1056">
        <f>'TAMUG Sum'!$O$49</f>
        <v>410.31</v>
      </c>
      <c r="O38" s="1053">
        <v>7612682</v>
      </c>
      <c r="P38" s="1053">
        <v>61372</v>
      </c>
      <c r="R38" s="528" t="str">
        <f>'TAMUG FGD'!$O$92</f>
        <v>Chris Arrington</v>
      </c>
      <c r="S38" s="528" t="str">
        <f>'TAMUG FGD'!$Q$92</f>
        <v>979-458-9151</v>
      </c>
      <c r="T38" s="528" t="str">
        <f>'TAMUG FGD'!$T$92</f>
        <v>carrington@tamus.edu</v>
      </c>
    </row>
    <row r="39" spans="1:20">
      <c r="A39" s="480">
        <v>170</v>
      </c>
      <c r="B39" s="1000">
        <v>11161</v>
      </c>
      <c r="C39" s="53" t="s">
        <v>109</v>
      </c>
      <c r="D39" s="1047">
        <f>'TAMUCC Sum'!$C$6</f>
        <v>9336.2800000000007</v>
      </c>
      <c r="E39" s="1049">
        <f>'TAMUCC Sum'!$J$33</f>
        <v>25438</v>
      </c>
      <c r="F39" s="1049">
        <f>'TAMUCC Sum'!$J$20</f>
        <v>7243</v>
      </c>
      <c r="G39" s="1049">
        <f>'TAMUCC Sum'!$J$15</f>
        <v>8646</v>
      </c>
      <c r="H39" s="1049">
        <f>'TAMUCC Sum'!$J$23</f>
        <v>6927</v>
      </c>
      <c r="I39" s="1049">
        <f>'TAMUCC Sum'!$J$32</f>
        <v>2622</v>
      </c>
      <c r="J39" s="1049">
        <f>'TAMUCC Sum'!$K$49</f>
        <v>22554.28</v>
      </c>
      <c r="K39" s="1049">
        <f>'TAMUCC Sum'!$L$49</f>
        <v>13014.99</v>
      </c>
      <c r="L39" s="1049">
        <f>'TAMUCC Sum'!$M$49</f>
        <v>5330.01</v>
      </c>
      <c r="M39" s="1052">
        <f>'TAMUCC Sum'!$N$49</f>
        <v>3063.49</v>
      </c>
      <c r="N39" s="1052">
        <f>'TAMUCC Sum'!$O$49</f>
        <v>1145.79</v>
      </c>
      <c r="O39" s="1053">
        <v>28408030</v>
      </c>
      <c r="P39" s="1053">
        <v>92473</v>
      </c>
      <c r="R39" s="528" t="str">
        <f>'TAMUCC FGD'!$O$92</f>
        <v>Chris Arrington</v>
      </c>
      <c r="S39" s="528" t="str">
        <f>'TAMUCC FGD'!$Q$92</f>
        <v>979-458-9151</v>
      </c>
      <c r="T39" s="528" t="str">
        <f>'TAMUCC FGD'!$T$92</f>
        <v>carrington@tamus.edu</v>
      </c>
    </row>
    <row r="40" spans="1:20">
      <c r="A40" s="480">
        <v>120</v>
      </c>
      <c r="B40" s="1000">
        <v>11163</v>
      </c>
      <c r="C40" s="53" t="s">
        <v>102</v>
      </c>
      <c r="D40" s="1047">
        <f>'TYL Sum'!$C$6</f>
        <v>7607.2</v>
      </c>
      <c r="E40" s="1049">
        <f>'TYL Sum'!$J$33</f>
        <v>19853</v>
      </c>
      <c r="F40" s="1049">
        <f>'TYL Sum'!$J$20</f>
        <v>6871</v>
      </c>
      <c r="G40" s="1049">
        <f>'TYL Sum'!$J$15</f>
        <v>6948</v>
      </c>
      <c r="H40" s="1049">
        <f>'TYL Sum'!$J$23</f>
        <v>3051</v>
      </c>
      <c r="I40" s="1049">
        <f>'TYL Sum'!$J$32</f>
        <v>2983</v>
      </c>
      <c r="J40" s="1049">
        <f>'TYL Sum'!$K$49</f>
        <v>17599.580000000002</v>
      </c>
      <c r="K40" s="1049">
        <f>'TYL Sum'!$L$49</f>
        <v>10418.549999999999</v>
      </c>
      <c r="L40" s="1049">
        <f>'TYL Sum'!$M$49</f>
        <v>3523.97</v>
      </c>
      <c r="M40" s="1052">
        <f>'TYL Sum'!$N$49</f>
        <v>3557.51</v>
      </c>
      <c r="N40" s="1052">
        <f>'TYL Sum'!$O$49</f>
        <v>99.56</v>
      </c>
      <c r="O40" s="1053">
        <v>2383912</v>
      </c>
      <c r="P40" s="1053">
        <v>7114</v>
      </c>
      <c r="R40" s="528" t="str">
        <f>'TYL FGD'!$O$92</f>
        <v>Brenda Golemon</v>
      </c>
      <c r="S40" s="528" t="str">
        <f>'TYL FGD'!$Q$92</f>
        <v>903-566-7319</v>
      </c>
      <c r="T40" s="528" t="str">
        <f>'TYL FGD'!$T$92</f>
        <v>bgolemon@gmail.com</v>
      </c>
    </row>
    <row r="41" spans="1:20">
      <c r="A41" s="480">
        <v>240</v>
      </c>
      <c r="B41" s="1000">
        <v>11711</v>
      </c>
      <c r="C41" s="53" t="s">
        <v>116</v>
      </c>
      <c r="D41" s="1047">
        <f>'UHCL Sum'!$C$6</f>
        <v>6762.63</v>
      </c>
      <c r="E41" s="1049">
        <f>'UHCL Sum'!$J$33</f>
        <v>21653</v>
      </c>
      <c r="F41" s="1049">
        <f>'UHCL Sum'!$J$20</f>
        <v>7595</v>
      </c>
      <c r="G41" s="1049">
        <f>'UHCL Sum'!$J$15</f>
        <v>6957</v>
      </c>
      <c r="H41" s="1049">
        <f>'UHCL Sum'!$J$23</f>
        <v>5553</v>
      </c>
      <c r="I41" s="1049">
        <f>'UHCL Sum'!$J$32</f>
        <v>1548</v>
      </c>
      <c r="J41" s="1049">
        <f>'UHCL Sum'!$K$49</f>
        <v>21353.82</v>
      </c>
      <c r="K41" s="1049">
        <f>'UHCL Sum'!$L$49</f>
        <v>11213.99</v>
      </c>
      <c r="L41" s="1049">
        <f>'UHCL Sum'!$M$49</f>
        <v>3937.75</v>
      </c>
      <c r="M41" s="1052">
        <f>'UHCL Sum'!$N$49</f>
        <v>4085.68</v>
      </c>
      <c r="N41" s="1052">
        <f>'UHCL Sum'!$O$49</f>
        <v>2116.39</v>
      </c>
      <c r="O41" s="1053">
        <v>1740704</v>
      </c>
      <c r="P41" s="1053">
        <v>4381</v>
      </c>
      <c r="R41" s="528" t="str">
        <f>'UHCL FGD'!$O$92</f>
        <v>Mila Bautista</v>
      </c>
      <c r="S41" s="528" t="str">
        <f>'UHCL FGD'!$Q$92</f>
        <v>281-283-2129</v>
      </c>
      <c r="T41" s="528" t="str">
        <f>'UHCL FGD'!$T$92</f>
        <v>BautistaM@uhcl.edu</v>
      </c>
    </row>
    <row r="42" spans="1:20">
      <c r="A42" s="480">
        <v>250</v>
      </c>
      <c r="B42" s="1000">
        <v>12826</v>
      </c>
      <c r="C42" s="53" t="s">
        <v>117</v>
      </c>
      <c r="D42" s="1047">
        <f>'UHD Sum'!$C$6</f>
        <v>11193.03</v>
      </c>
      <c r="E42" s="1049">
        <f>'UHD Sum'!$J$33</f>
        <v>17386</v>
      </c>
      <c r="F42" s="1049">
        <f>'UHD Sum'!$J$20</f>
        <v>5877</v>
      </c>
      <c r="G42" s="1049">
        <f>'UHD Sum'!$J$15</f>
        <v>4442</v>
      </c>
      <c r="H42" s="1049">
        <f>'UHD Sum'!$J$23</f>
        <v>5711</v>
      </c>
      <c r="I42" s="1049">
        <f>'UHD Sum'!$J$32</f>
        <v>1356</v>
      </c>
      <c r="J42" s="1049">
        <f>'UHD Sum'!$K$49</f>
        <v>14933.44</v>
      </c>
      <c r="K42" s="1049">
        <f>'UHD Sum'!$L$49</f>
        <v>7860.89</v>
      </c>
      <c r="L42" s="1049">
        <f>'UHD Sum'!$M$49</f>
        <v>3682.58</v>
      </c>
      <c r="M42" s="1052">
        <f>'UHD Sum'!$N$49</f>
        <v>2899.06</v>
      </c>
      <c r="N42" s="1052">
        <f>'UHD Sum'!$O$49</f>
        <v>490.91</v>
      </c>
      <c r="O42" s="1053">
        <v>2040315</v>
      </c>
      <c r="P42" s="1053">
        <v>6377</v>
      </c>
      <c r="R42" s="528" t="str">
        <f>'UHD FGD'!$O$92</f>
        <v>Alice Tsai</v>
      </c>
      <c r="S42" s="528" t="str">
        <f>'UHD FGD'!$Q$92</f>
        <v>713-221-8098</v>
      </c>
      <c r="T42" s="528" t="str">
        <f>'UHD FGD'!$T$92</f>
        <v>Tsaia@uhd.edu</v>
      </c>
    </row>
    <row r="43" spans="1:20">
      <c r="A43" s="480">
        <v>260</v>
      </c>
      <c r="B43" s="1000">
        <v>13231</v>
      </c>
      <c r="C43" s="53" t="s">
        <v>118</v>
      </c>
      <c r="D43" s="1047">
        <f>'UHV Sum'!$C$6</f>
        <v>3604.5</v>
      </c>
      <c r="E43" s="1049">
        <f>'UHV Sum'!$J$33</f>
        <v>18664</v>
      </c>
      <c r="F43" s="1049">
        <f>'UHV Sum'!$J$20</f>
        <v>6483</v>
      </c>
      <c r="G43" s="1049">
        <f>'UHV Sum'!$J$15</f>
        <v>6495</v>
      </c>
      <c r="H43" s="1049">
        <f>'UHV Sum'!$J$23</f>
        <v>4342</v>
      </c>
      <c r="I43" s="1049">
        <f>'UHV Sum'!$J$32</f>
        <v>1344</v>
      </c>
      <c r="J43" s="1049">
        <f>'UHV Sum'!$K$49</f>
        <v>16916.98</v>
      </c>
      <c r="K43" s="1049">
        <f>'UHV Sum'!$L$49</f>
        <v>9695.83</v>
      </c>
      <c r="L43" s="1049">
        <f>'UHV Sum'!$M$49</f>
        <v>3753.95</v>
      </c>
      <c r="M43" s="1052">
        <f>'UHV Sum'!$N$49</f>
        <v>2533.29</v>
      </c>
      <c r="N43" s="1052">
        <f>'UHV Sum'!$O$49</f>
        <v>933.91</v>
      </c>
      <c r="O43" s="1053">
        <v>77675</v>
      </c>
      <c r="P43" s="1053">
        <v>678</v>
      </c>
      <c r="R43" s="528" t="str">
        <f>'UHV FGD'!$O$92</f>
        <v>June Nelson</v>
      </c>
      <c r="S43" s="528" t="str">
        <f>'UHV FGD'!$Q$92</f>
        <v>361-570-4873</v>
      </c>
      <c r="T43" s="528" t="str">
        <f>'UHV FGD'!$T$92</f>
        <v>nelsonj@uhv.edu</v>
      </c>
    </row>
    <row r="44" spans="1:20" s="776" customFormat="1" ht="15.75" customHeight="1">
      <c r="A44" s="480">
        <v>220</v>
      </c>
      <c r="B44" s="1000">
        <v>29269</v>
      </c>
      <c r="C44" s="53" t="s">
        <v>114</v>
      </c>
      <c r="D44" s="1047">
        <f>'TAMUT Sum'!$C$6</f>
        <v>1651.54</v>
      </c>
      <c r="E44" s="1049">
        <f>'TAMUT Sum'!$J$33</f>
        <v>32281</v>
      </c>
      <c r="F44" s="1049">
        <f>'TAMUT Sum'!$J$20</f>
        <v>6434</v>
      </c>
      <c r="G44" s="1049">
        <f>'TAMUT Sum'!$J$15</f>
        <v>17303</v>
      </c>
      <c r="H44" s="1049">
        <f>'TAMUT Sum'!$J$23</f>
        <v>5901</v>
      </c>
      <c r="I44" s="1049">
        <f>'TAMUT Sum'!$J$32</f>
        <v>2643</v>
      </c>
      <c r="J44" s="1049">
        <f>'TAMUT Sum'!$K$49</f>
        <v>23642.44</v>
      </c>
      <c r="K44" s="1049">
        <f>'TAMUT Sum'!$L$49</f>
        <v>12110.56</v>
      </c>
      <c r="L44" s="1049">
        <f>'TAMUT Sum'!$M$49</f>
        <v>5525.93</v>
      </c>
      <c r="M44" s="1052">
        <f>'TAMUT Sum'!$N$49</f>
        <v>4348.84</v>
      </c>
      <c r="N44" s="1052">
        <f>'TAMUT Sum'!$O$49</f>
        <v>1657.11</v>
      </c>
      <c r="O44" s="1053">
        <v>41451</v>
      </c>
      <c r="P44" s="1053">
        <v>543</v>
      </c>
      <c r="Q44" s="53"/>
      <c r="R44" s="528" t="str">
        <f>'TAMUT FGD'!$O$92</f>
        <v>Chris Arrington</v>
      </c>
      <c r="S44" s="528" t="str">
        <f>'TAMUT FGD'!$Q$92</f>
        <v>979-458-9151</v>
      </c>
      <c r="T44" s="528" t="str">
        <f>'TAMUT FGD'!$T$92</f>
        <v>carrington@tamus.edu</v>
      </c>
    </row>
    <row r="45" spans="1:20">
      <c r="A45" s="480">
        <v>223</v>
      </c>
      <c r="B45" s="1000">
        <v>42295</v>
      </c>
      <c r="C45" s="53" t="s">
        <v>271</v>
      </c>
      <c r="D45" s="1047">
        <f>'TAMUCT Sum'!$C$6</f>
        <v>1606.96</v>
      </c>
      <c r="E45" s="1049">
        <f>'TAMUCT Sum'!$J$33</f>
        <v>25920</v>
      </c>
      <c r="F45" s="1049">
        <f>'TAMUCT Sum'!$J$20</f>
        <v>7879</v>
      </c>
      <c r="G45" s="1049">
        <f>'TAMUCT Sum'!$J$15</f>
        <v>11696</v>
      </c>
      <c r="H45" s="1049">
        <f>'TAMUCT Sum'!$J$23</f>
        <v>5059</v>
      </c>
      <c r="I45" s="1049">
        <f>'TAMUCT Sum'!$J$32</f>
        <v>1286</v>
      </c>
      <c r="J45" s="1049">
        <f>'TAMUCT Sum'!$K$49</f>
        <v>21920.26</v>
      </c>
      <c r="K45" s="1049">
        <f>'TAMUCT Sum'!$L$49</f>
        <v>11028.03</v>
      </c>
      <c r="L45" s="1049">
        <f>'TAMUCT Sum'!$M$49</f>
        <v>5932.79</v>
      </c>
      <c r="M45" s="1052">
        <f>'TAMUCT Sum'!$N$49</f>
        <v>4095.57</v>
      </c>
      <c r="N45" s="1052">
        <f>'TAMUCT Sum'!$O$49</f>
        <v>863.87</v>
      </c>
      <c r="O45" s="1053">
        <v>1239537</v>
      </c>
      <c r="P45" s="1053">
        <v>10831</v>
      </c>
      <c r="R45" s="528" t="str">
        <f>'TAMUCT FGD'!$O$92</f>
        <v>Chris Arrington</v>
      </c>
      <c r="S45" s="528" t="str">
        <f>'TAMUCT FGD'!$Q$92</f>
        <v>979-458-9151</v>
      </c>
      <c r="T45" s="528" t="str">
        <f>'TAMUCT FGD'!$T$92</f>
        <v>fincher@tarleton.edu</v>
      </c>
    </row>
    <row r="46" spans="1:20">
      <c r="A46" s="480">
        <v>333</v>
      </c>
      <c r="B46" s="1001">
        <v>42421</v>
      </c>
      <c r="C46" s="56" t="s">
        <v>270</v>
      </c>
      <c r="D46" s="1054">
        <f>'UNTD Sum'!$C$6</f>
        <v>3464.14</v>
      </c>
      <c r="E46" s="1055">
        <f>'UNTD Sum'!$J$33</f>
        <v>25950</v>
      </c>
      <c r="F46" s="1055">
        <f>'UNTD Sum'!$J$20</f>
        <v>8765</v>
      </c>
      <c r="G46" s="1055">
        <f>'UNTD Sum'!$J$15</f>
        <v>9649</v>
      </c>
      <c r="H46" s="1055">
        <f>'UNTD Sum'!$J$23</f>
        <v>6487</v>
      </c>
      <c r="I46" s="1055">
        <f>'UNTD Sum'!$J$32</f>
        <v>1049</v>
      </c>
      <c r="J46" s="1055">
        <f>'UNTD Sum'!$K$49</f>
        <v>18888.78</v>
      </c>
      <c r="K46" s="1055">
        <f>'UNTD Sum'!$L$49</f>
        <v>6558.95</v>
      </c>
      <c r="L46" s="1055">
        <f>'UNTD Sum'!$M$49</f>
        <v>7317.52</v>
      </c>
      <c r="M46" s="1056">
        <f>'UNTD Sum'!$N$49</f>
        <v>3945.14</v>
      </c>
      <c r="N46" s="1056">
        <f>'UNTD Sum'!$O$49</f>
        <v>1067.17</v>
      </c>
      <c r="O46" s="1053">
        <v>115605</v>
      </c>
      <c r="P46" s="1053">
        <v>1250</v>
      </c>
      <c r="R46" s="528" t="str">
        <f>'UNTD FGD'!$O$92</f>
        <v>Gia Doss</v>
      </c>
      <c r="S46" s="528">
        <f>'UNTD FGD'!$Q$92</f>
        <v>0</v>
      </c>
      <c r="T46" s="528" t="str">
        <f>'UNTD FGD'!$T$92</f>
        <v>Gia.Doss@untsystem.edu</v>
      </c>
    </row>
    <row r="47" spans="1:20">
      <c r="A47" s="480">
        <v>226</v>
      </c>
      <c r="B47" s="1002">
        <v>42485</v>
      </c>
      <c r="C47" s="133" t="s">
        <v>272</v>
      </c>
      <c r="D47" s="1058">
        <f>'TAMUSA Sum'!$C$6</f>
        <v>4763.3599999999997</v>
      </c>
      <c r="E47" s="1059">
        <f>'TAMUSA Sum'!$J$33</f>
        <v>23059</v>
      </c>
      <c r="F47" s="1059">
        <f>'TAMUSA Sum'!$J$20</f>
        <v>6103</v>
      </c>
      <c r="G47" s="1059">
        <f>'TAMUSA Sum'!$J$15</f>
        <v>7996</v>
      </c>
      <c r="H47" s="1059">
        <f>'TAMUSA Sum'!$J$23</f>
        <v>7424</v>
      </c>
      <c r="I47" s="1059">
        <f>'TAMUSA Sum'!$J$32</f>
        <v>1536</v>
      </c>
      <c r="J47" s="1059">
        <f>'TAMUSA Sum'!$K$49</f>
        <v>20622.080000000002</v>
      </c>
      <c r="K47" s="1059">
        <f>'TAMUSA Sum'!$L$49</f>
        <v>7731.21</v>
      </c>
      <c r="L47" s="1059">
        <f>'TAMUSA Sum'!$M$49</f>
        <v>8379.56</v>
      </c>
      <c r="M47" s="1060">
        <f>'TAMUSA Sum'!$N$49</f>
        <v>4379.72</v>
      </c>
      <c r="N47" s="1060">
        <f>'TAMUSA Sum'!$O$49</f>
        <v>131.59</v>
      </c>
      <c r="O47" s="1053">
        <v>280442</v>
      </c>
      <c r="P47" s="1053">
        <v>1549</v>
      </c>
      <c r="R47" s="528" t="str">
        <f>'TAMUSA FGD'!$O$92</f>
        <v>Chris Arrington</v>
      </c>
      <c r="S47" s="528" t="str">
        <f>'TAMUSA FGD'!$Q$92</f>
        <v>979-458-9151</v>
      </c>
      <c r="T47" s="528" t="str">
        <f>'TAMUSA FGD'!$T$92</f>
        <v>carrington@tamus.edu</v>
      </c>
    </row>
    <row r="48" spans="1:20" ht="13.5" thickBot="1">
      <c r="A48" s="139"/>
      <c r="B48" s="139">
        <f>COUNTA(B11:B47)</f>
        <v>37</v>
      </c>
      <c r="C48" s="140" t="s">
        <v>207</v>
      </c>
      <c r="D48" s="1061">
        <f>SUM(D11:D47)</f>
        <v>562672.70000000007</v>
      </c>
      <c r="E48" s="1062">
        <f>'Smmy Sum'!$J$69</f>
        <v>28675</v>
      </c>
      <c r="F48" s="1062">
        <f>'Smmy Sum'!$J$56</f>
        <v>8612</v>
      </c>
      <c r="G48" s="1062">
        <f>'Smmy Sum'!$J$51</f>
        <v>8134</v>
      </c>
      <c r="H48" s="1062">
        <f>'Smmy Sum'!$J$59</f>
        <v>6398</v>
      </c>
      <c r="I48" s="1062">
        <f>'Smmy Sum'!$J$68</f>
        <v>5531</v>
      </c>
      <c r="J48" s="1063">
        <f>'Smmy Sum'!$K$85</f>
        <v>22659.63</v>
      </c>
      <c r="K48" s="1062">
        <f>'Smmy Sum'!$L$85</f>
        <v>13265.58</v>
      </c>
      <c r="L48" s="1062">
        <f>'Smmy Sum'!$M$85</f>
        <v>4390.2</v>
      </c>
      <c r="M48" s="1062">
        <f>'Smmy Sum'!$N$85</f>
        <v>3935.8</v>
      </c>
      <c r="N48" s="1062">
        <f>'Smmy Sum'!$O$85</f>
        <v>1068.05</v>
      </c>
      <c r="O48" s="1062">
        <v>2843537202</v>
      </c>
      <c r="P48" s="1062">
        <v>132789</v>
      </c>
    </row>
    <row r="49" spans="1:15" s="114" customFormat="1" ht="13.5" thickTop="1">
      <c r="A49" s="145"/>
      <c r="D49" s="354"/>
    </row>
    <row r="50" spans="1:15" s="114" customFormat="1">
      <c r="A50" s="145"/>
      <c r="J50" s="735"/>
      <c r="K50" s="735"/>
      <c r="L50" s="735"/>
      <c r="M50" s="735"/>
      <c r="N50" s="735"/>
    </row>
    <row r="51" spans="1:15" s="114" customFormat="1">
      <c r="A51" s="145"/>
      <c r="C51" s="146"/>
      <c r="D51" s="146"/>
      <c r="O51" s="68"/>
    </row>
    <row r="52" spans="1:15" s="114" customFormat="1">
      <c r="A52" s="145"/>
      <c r="C52" s="146"/>
      <c r="D52" s="146"/>
      <c r="O52" s="68"/>
    </row>
    <row r="53" spans="1:15" s="114" customFormat="1">
      <c r="A53" s="145"/>
      <c r="C53" s="146"/>
      <c r="D53" s="146"/>
      <c r="E53" s="114" t="s">
        <v>1139</v>
      </c>
      <c r="F53" s="114" t="s">
        <v>1139</v>
      </c>
      <c r="I53" s="114" t="s">
        <v>1139</v>
      </c>
      <c r="K53" s="114" t="s">
        <v>1139</v>
      </c>
      <c r="L53" s="114" t="s">
        <v>1139</v>
      </c>
      <c r="M53" s="114" t="s">
        <v>1139</v>
      </c>
      <c r="N53" s="114" t="s">
        <v>1139</v>
      </c>
      <c r="O53" s="68"/>
    </row>
    <row r="54" spans="1:15" s="114" customFormat="1">
      <c r="A54" s="145"/>
      <c r="C54" s="146"/>
      <c r="D54" s="146"/>
      <c r="E54" s="114" t="s">
        <v>1140</v>
      </c>
      <c r="F54" s="114" t="s">
        <v>1140</v>
      </c>
      <c r="I54" s="114" t="s">
        <v>1140</v>
      </c>
      <c r="K54" s="114" t="s">
        <v>1140</v>
      </c>
      <c r="L54" s="114" t="s">
        <v>1140</v>
      </c>
      <c r="M54" s="114" t="s">
        <v>1140</v>
      </c>
      <c r="N54" s="114" t="s">
        <v>1140</v>
      </c>
      <c r="O54" s="68"/>
    </row>
    <row r="55" spans="1:15" s="114" customFormat="1">
      <c r="A55" s="145"/>
      <c r="C55" s="146"/>
      <c r="D55" s="146"/>
      <c r="K55" s="114" t="s">
        <v>1141</v>
      </c>
      <c r="L55" s="114" t="s">
        <v>1141</v>
      </c>
      <c r="M55" s="114" t="s">
        <v>1141</v>
      </c>
      <c r="N55" s="114" t="s">
        <v>1141</v>
      </c>
      <c r="O55" s="68"/>
    </row>
    <row r="56" spans="1:15" s="114" customFormat="1">
      <c r="A56" s="145"/>
      <c r="B56" s="114" t="s">
        <v>1402</v>
      </c>
      <c r="D56" s="645">
        <f>'Smmy Sum'!C42</f>
        <v>562672.70000000007</v>
      </c>
    </row>
    <row r="57" spans="1:15" s="114" customFormat="1">
      <c r="A57" s="145"/>
      <c r="D57" s="645">
        <f>D48-D56</f>
        <v>0</v>
      </c>
    </row>
    <row r="58" spans="1:15" s="114" customFormat="1">
      <c r="A58" s="145"/>
    </row>
    <row r="59" spans="1:15" s="114" customFormat="1">
      <c r="A59" s="145"/>
    </row>
    <row r="60" spans="1:15" s="114" customFormat="1">
      <c r="A60" s="145"/>
      <c r="C60" s="114" t="s">
        <v>218</v>
      </c>
      <c r="D60" s="746" t="s">
        <v>1147</v>
      </c>
      <c r="E60" s="747" t="s">
        <v>917</v>
      </c>
      <c r="F60" s="747" t="s">
        <v>1218</v>
      </c>
      <c r="G60" s="747" t="s">
        <v>491</v>
      </c>
      <c r="H60" s="747" t="s">
        <v>494</v>
      </c>
      <c r="I60" s="748" t="s">
        <v>908</v>
      </c>
      <c r="J60" s="746" t="s">
        <v>1219</v>
      </c>
      <c r="K60" s="747" t="s">
        <v>1220</v>
      </c>
      <c r="L60" s="747" t="s">
        <v>1221</v>
      </c>
      <c r="M60" s="747" t="s">
        <v>1222</v>
      </c>
      <c r="N60" s="748" t="s">
        <v>1223</v>
      </c>
    </row>
    <row r="61" spans="1:15" s="114" customFormat="1">
      <c r="A61" s="145"/>
      <c r="C61" s="114" t="s">
        <v>1148</v>
      </c>
      <c r="D61" s="749" t="s">
        <v>1151</v>
      </c>
      <c r="E61" s="750" t="s">
        <v>827</v>
      </c>
      <c r="F61" s="750" t="s">
        <v>483</v>
      </c>
      <c r="G61" s="750" t="s">
        <v>1224</v>
      </c>
      <c r="H61" s="750" t="s">
        <v>484</v>
      </c>
      <c r="I61" s="751" t="s">
        <v>818</v>
      </c>
      <c r="J61" s="749" t="s">
        <v>1099</v>
      </c>
      <c r="K61" s="750" t="s">
        <v>1100</v>
      </c>
      <c r="L61" s="750" t="s">
        <v>1101</v>
      </c>
      <c r="M61" s="750" t="s">
        <v>1146</v>
      </c>
      <c r="N61" s="751" t="s">
        <v>1225</v>
      </c>
      <c r="O61" s="145"/>
    </row>
    <row r="62" spans="1:15" s="114" customFormat="1">
      <c r="A62" s="145"/>
    </row>
    <row r="63" spans="1:15" s="114" customFormat="1">
      <c r="A63" s="145"/>
    </row>
    <row r="64" spans="1:15" s="114" customFormat="1">
      <c r="A64" s="145"/>
      <c r="B64" s="53"/>
      <c r="C64" s="53"/>
      <c r="D64" s="528"/>
      <c r="E64" s="528"/>
      <c r="F64" s="528"/>
    </row>
    <row r="65" spans="1:16" s="114" customFormat="1">
      <c r="A65" s="145"/>
      <c r="B65" s="53" t="s">
        <v>2373</v>
      </c>
      <c r="C65" s="53"/>
      <c r="D65" s="528"/>
      <c r="E65" s="528"/>
      <c r="F65" s="528"/>
    </row>
    <row r="66" spans="1:16" s="114" customFormat="1">
      <c r="A66" s="145"/>
      <c r="B66" s="963">
        <v>44231</v>
      </c>
      <c r="C66" s="53"/>
      <c r="D66" s="528"/>
      <c r="E66" s="528"/>
      <c r="F66" s="528"/>
    </row>
    <row r="67" spans="1:16" s="114" customFormat="1">
      <c r="A67" s="145"/>
      <c r="B67" s="53"/>
      <c r="C67" s="53"/>
      <c r="D67" s="528"/>
      <c r="E67" s="528"/>
      <c r="F67" s="528"/>
      <c r="G67" s="528"/>
      <c r="H67" s="528"/>
      <c r="I67" s="528"/>
      <c r="J67" s="528"/>
      <c r="K67" s="528"/>
      <c r="L67" s="528"/>
      <c r="M67" s="528"/>
      <c r="N67" s="528"/>
      <c r="O67" s="528"/>
    </row>
    <row r="68" spans="1:16" s="114" customFormat="1">
      <c r="A68" s="145"/>
    </row>
    <row r="69" spans="1:16" s="114" customFormat="1">
      <c r="A69" s="145"/>
    </row>
    <row r="70" spans="1:16" s="114" customFormat="1">
      <c r="A70" s="145"/>
      <c r="C70" s="114" t="s">
        <v>1348</v>
      </c>
    </row>
    <row r="71" spans="1:16" s="114" customFormat="1">
      <c r="A71" s="145"/>
      <c r="C71" s="1450">
        <v>44231</v>
      </c>
      <c r="D71" s="114">
        <v>562752.52999999991</v>
      </c>
      <c r="E71" s="114">
        <v>26520</v>
      </c>
      <c r="F71" s="114">
        <v>8363</v>
      </c>
      <c r="G71" s="114">
        <v>8766</v>
      </c>
      <c r="H71" s="114">
        <v>4656</v>
      </c>
      <c r="I71" s="114">
        <v>4735</v>
      </c>
      <c r="J71" s="114">
        <v>21746.69</v>
      </c>
      <c r="K71" s="114">
        <v>13331.43</v>
      </c>
      <c r="L71" s="114">
        <v>3698.5</v>
      </c>
      <c r="M71" s="114">
        <v>3789.95</v>
      </c>
      <c r="N71" s="114">
        <v>926.8</v>
      </c>
      <c r="O71" s="114">
        <v>2843537202</v>
      </c>
      <c r="P71" s="114">
        <v>132789</v>
      </c>
    </row>
    <row r="72" spans="1:16" s="114" customFormat="1">
      <c r="A72" s="145"/>
    </row>
    <row r="73" spans="1:16" s="114" customFormat="1">
      <c r="A73" s="145"/>
      <c r="D73" s="968">
        <f>D71-D48</f>
        <v>79.829999999841675</v>
      </c>
      <c r="E73" s="968">
        <f t="shared" ref="E73:P73" si="0">E71-E48</f>
        <v>-2155</v>
      </c>
      <c r="F73" s="968">
        <f t="shared" si="0"/>
        <v>-249</v>
      </c>
      <c r="G73" s="968">
        <f t="shared" si="0"/>
        <v>632</v>
      </c>
      <c r="H73" s="968">
        <f t="shared" si="0"/>
        <v>-1742</v>
      </c>
      <c r="I73" s="968">
        <f t="shared" si="0"/>
        <v>-796</v>
      </c>
      <c r="J73" s="968">
        <f t="shared" si="0"/>
        <v>-912.94000000000233</v>
      </c>
      <c r="K73" s="968">
        <f t="shared" si="0"/>
        <v>65.850000000000364</v>
      </c>
      <c r="L73" s="968">
        <f t="shared" si="0"/>
        <v>-691.69999999999982</v>
      </c>
      <c r="M73" s="968">
        <f t="shared" si="0"/>
        <v>-145.85000000000036</v>
      </c>
      <c r="N73" s="968">
        <f t="shared" si="0"/>
        <v>-141.25</v>
      </c>
      <c r="O73" s="968">
        <f t="shared" si="0"/>
        <v>0</v>
      </c>
      <c r="P73" s="968">
        <f t="shared" si="0"/>
        <v>0</v>
      </c>
    </row>
    <row r="74" spans="1:16" s="114" customFormat="1">
      <c r="A74" s="145"/>
    </row>
    <row r="75" spans="1:16" s="114" customFormat="1">
      <c r="A75" s="145"/>
    </row>
    <row r="76" spans="1:16" s="114" customFormat="1">
      <c r="A76" s="145"/>
    </row>
    <row r="77" spans="1:16" s="114" customFormat="1">
      <c r="A77" s="145"/>
    </row>
    <row r="78" spans="1:16" s="114" customFormat="1">
      <c r="A78" s="145"/>
    </row>
    <row r="79" spans="1:16" s="114" customFormat="1">
      <c r="A79" s="145"/>
    </row>
    <row r="80" spans="1:16" s="114" customFormat="1">
      <c r="A80" s="145"/>
    </row>
    <row r="81" spans="1:1" s="114" customFormat="1">
      <c r="A81" s="145"/>
    </row>
    <row r="82" spans="1:1" s="114" customFormat="1">
      <c r="A82" s="145"/>
    </row>
    <row r="83" spans="1:1" s="114" customFormat="1">
      <c r="A83" s="145"/>
    </row>
    <row r="84" spans="1:1" s="114" customFormat="1">
      <c r="A84" s="145"/>
    </row>
    <row r="85" spans="1:1" s="114" customFormat="1">
      <c r="A85" s="145"/>
    </row>
    <row r="86" spans="1:1" s="114" customFormat="1">
      <c r="A86" s="145"/>
    </row>
    <row r="87" spans="1:1" s="114" customFormat="1">
      <c r="A87" s="145"/>
    </row>
    <row r="88" spans="1:1" s="114" customFormat="1">
      <c r="A88" s="145"/>
    </row>
    <row r="89" spans="1:1" s="114" customFormat="1">
      <c r="A89" s="145"/>
    </row>
    <row r="90" spans="1:1" s="114" customFormat="1">
      <c r="A90" s="145"/>
    </row>
    <row r="91" spans="1:1" s="114" customFormat="1">
      <c r="A91" s="145"/>
    </row>
    <row r="92" spans="1:1" s="114" customFormat="1">
      <c r="A92" s="145"/>
    </row>
    <row r="93" spans="1:1" s="114" customFormat="1">
      <c r="A93" s="145"/>
    </row>
    <row r="94" spans="1:1" s="114" customFormat="1">
      <c r="A94" s="145"/>
    </row>
    <row r="95" spans="1:1" s="114" customFormat="1">
      <c r="A95" s="145"/>
    </row>
    <row r="96" spans="1:1" s="114" customFormat="1">
      <c r="A96" s="145"/>
    </row>
    <row r="97" spans="1:1" s="114" customFormat="1">
      <c r="A97" s="145"/>
    </row>
    <row r="98" spans="1:1" s="114" customFormat="1">
      <c r="A98" s="145"/>
    </row>
    <row r="99" spans="1:1" s="114" customFormat="1">
      <c r="A99" s="145"/>
    </row>
    <row r="100" spans="1:1" s="114" customFormat="1">
      <c r="A100" s="145"/>
    </row>
    <row r="101" spans="1:1" s="114" customFormat="1">
      <c r="A101" s="145"/>
    </row>
    <row r="102" spans="1:1" s="114" customFormat="1">
      <c r="A102" s="145"/>
    </row>
    <row r="103" spans="1:1" s="114" customFormat="1">
      <c r="A103" s="145"/>
    </row>
    <row r="104" spans="1:1" s="114" customFormat="1">
      <c r="A104" s="145"/>
    </row>
    <row r="105" spans="1:1" s="114" customFormat="1">
      <c r="A105" s="145"/>
    </row>
    <row r="106" spans="1:1" s="114" customFormat="1">
      <c r="A106" s="145"/>
    </row>
    <row r="107" spans="1:1" s="114" customFormat="1">
      <c r="A107" s="145"/>
    </row>
    <row r="108" spans="1:1" s="114" customFormat="1">
      <c r="A108" s="145"/>
    </row>
    <row r="109" spans="1:1" s="114" customFormat="1">
      <c r="A109" s="145"/>
    </row>
    <row r="110" spans="1:1" s="114" customFormat="1">
      <c r="A110" s="145"/>
    </row>
    <row r="111" spans="1:1" s="114" customFormat="1">
      <c r="A111" s="145"/>
    </row>
    <row r="112" spans="1:1" s="114" customFormat="1">
      <c r="A112" s="145"/>
    </row>
    <row r="113" spans="1:1" s="114" customFormat="1">
      <c r="A113" s="145"/>
    </row>
    <row r="114" spans="1:1" s="114" customFormat="1">
      <c r="A114" s="145"/>
    </row>
    <row r="115" spans="1:1" s="114" customFormat="1">
      <c r="A115" s="145"/>
    </row>
    <row r="116" spans="1:1" s="114" customFormat="1">
      <c r="A116" s="145"/>
    </row>
    <row r="117" spans="1:1" s="114" customFormat="1">
      <c r="A117" s="145"/>
    </row>
    <row r="118" spans="1:1" s="114" customFormat="1">
      <c r="A118" s="145"/>
    </row>
    <row r="119" spans="1:1" s="114" customFormat="1">
      <c r="A119" s="145"/>
    </row>
    <row r="120" spans="1:1" s="114" customFormat="1">
      <c r="A120" s="145"/>
    </row>
    <row r="121" spans="1:1" s="114" customFormat="1">
      <c r="A121" s="145"/>
    </row>
    <row r="122" spans="1:1" s="114" customFormat="1">
      <c r="A122" s="145"/>
    </row>
    <row r="123" spans="1:1" s="114" customFormat="1">
      <c r="A123" s="145"/>
    </row>
    <row r="124" spans="1:1" s="114" customFormat="1">
      <c r="A124" s="145"/>
    </row>
    <row r="125" spans="1:1" s="114" customFormat="1">
      <c r="A125" s="145"/>
    </row>
    <row r="126" spans="1:1" s="114" customFormat="1">
      <c r="A126" s="145"/>
    </row>
    <row r="127" spans="1:1" s="114" customFormat="1">
      <c r="A127" s="145"/>
    </row>
    <row r="128" spans="1:1" s="114" customFormat="1">
      <c r="A128" s="145"/>
    </row>
    <row r="129" spans="1:1" s="114" customFormat="1">
      <c r="A129" s="145"/>
    </row>
    <row r="130" spans="1:1" s="114" customFormat="1">
      <c r="A130" s="145"/>
    </row>
    <row r="131" spans="1:1" s="114" customFormat="1">
      <c r="A131" s="145"/>
    </row>
    <row r="132" spans="1:1" s="114" customFormat="1">
      <c r="A132" s="145"/>
    </row>
    <row r="133" spans="1:1" s="114" customFormat="1">
      <c r="A133" s="145"/>
    </row>
    <row r="134" spans="1:1" s="114" customFormat="1">
      <c r="A134" s="145"/>
    </row>
    <row r="135" spans="1:1" s="114" customFormat="1">
      <c r="A135" s="145"/>
    </row>
    <row r="136" spans="1:1" s="114" customFormat="1">
      <c r="A136" s="145"/>
    </row>
    <row r="137" spans="1:1" s="114" customFormat="1">
      <c r="A137" s="145"/>
    </row>
    <row r="138" spans="1:1" s="114" customFormat="1">
      <c r="A138" s="145"/>
    </row>
    <row r="139" spans="1:1" s="114" customFormat="1">
      <c r="A139" s="145"/>
    </row>
    <row r="140" spans="1:1" s="114" customFormat="1">
      <c r="A140" s="145"/>
    </row>
    <row r="141" spans="1:1" s="114" customFormat="1">
      <c r="A141" s="145"/>
    </row>
    <row r="142" spans="1:1" s="114" customFormat="1">
      <c r="A142" s="145"/>
    </row>
    <row r="143" spans="1:1" s="114" customFormat="1">
      <c r="A143" s="145"/>
    </row>
    <row r="144" spans="1:1" s="114" customFormat="1">
      <c r="A144" s="145"/>
    </row>
    <row r="145" spans="1:1" s="114" customFormat="1">
      <c r="A145" s="145"/>
    </row>
    <row r="146" spans="1:1" s="114" customFormat="1">
      <c r="A146" s="145"/>
    </row>
    <row r="147" spans="1:1" s="114" customFormat="1">
      <c r="A147" s="145"/>
    </row>
    <row r="148" spans="1:1" s="114" customFormat="1">
      <c r="A148" s="145"/>
    </row>
    <row r="149" spans="1:1" s="114" customFormat="1">
      <c r="A149" s="145"/>
    </row>
    <row r="150" spans="1:1" s="114" customFormat="1">
      <c r="A150" s="145"/>
    </row>
    <row r="151" spans="1:1" s="114" customFormat="1">
      <c r="A151" s="145"/>
    </row>
    <row r="152" spans="1:1" s="114" customFormat="1">
      <c r="A152" s="145"/>
    </row>
    <row r="153" spans="1:1" s="114" customFormat="1">
      <c r="A153" s="145"/>
    </row>
    <row r="154" spans="1:1" s="114" customFormat="1">
      <c r="A154" s="145"/>
    </row>
    <row r="155" spans="1:1" s="114" customFormat="1">
      <c r="A155" s="145"/>
    </row>
    <row r="156" spans="1:1" s="114" customFormat="1">
      <c r="A156" s="145"/>
    </row>
    <row r="157" spans="1:1" s="114" customFormat="1">
      <c r="A157" s="145"/>
    </row>
    <row r="158" spans="1:1" s="114" customFormat="1">
      <c r="A158" s="145"/>
    </row>
    <row r="159" spans="1:1" s="114" customFormat="1">
      <c r="A159" s="145"/>
    </row>
    <row r="160" spans="1:1" s="114" customFormat="1">
      <c r="A160" s="145"/>
    </row>
    <row r="161" spans="1:1" s="114" customFormat="1">
      <c r="A161" s="145"/>
    </row>
    <row r="162" spans="1:1" s="114" customFormat="1">
      <c r="A162" s="145"/>
    </row>
    <row r="163" spans="1:1" s="114" customFormat="1">
      <c r="A163" s="145"/>
    </row>
    <row r="164" spans="1:1" s="114" customFormat="1">
      <c r="A164" s="145"/>
    </row>
    <row r="165" spans="1:1" s="114" customFormat="1">
      <c r="A165" s="145"/>
    </row>
    <row r="166" spans="1:1" s="114" customFormat="1">
      <c r="A166" s="145"/>
    </row>
    <row r="167" spans="1:1" s="114" customFormat="1">
      <c r="A167" s="145"/>
    </row>
    <row r="168" spans="1:1" s="114" customFormat="1">
      <c r="A168" s="145"/>
    </row>
    <row r="169" spans="1:1" s="114" customFormat="1">
      <c r="A169" s="145"/>
    </row>
    <row r="170" spans="1:1" s="114" customFormat="1">
      <c r="A170" s="145"/>
    </row>
    <row r="171" spans="1:1" s="114" customFormat="1">
      <c r="A171" s="145"/>
    </row>
    <row r="172" spans="1:1" s="114" customFormat="1">
      <c r="A172" s="145"/>
    </row>
    <row r="173" spans="1:1" s="114" customFormat="1">
      <c r="A173" s="145"/>
    </row>
    <row r="174" spans="1:1" s="114" customFormat="1">
      <c r="A174" s="145"/>
    </row>
    <row r="175" spans="1:1" s="114" customFormat="1">
      <c r="A175" s="145"/>
    </row>
    <row r="176" spans="1:1" s="114" customFormat="1">
      <c r="A176" s="145"/>
    </row>
    <row r="177" spans="1:1" s="114" customFormat="1">
      <c r="A177" s="145"/>
    </row>
    <row r="178" spans="1:1" s="114" customFormat="1">
      <c r="A178" s="145"/>
    </row>
    <row r="179" spans="1:1" s="114" customFormat="1">
      <c r="A179" s="145"/>
    </row>
    <row r="180" spans="1:1" s="114" customFormat="1">
      <c r="A180" s="145"/>
    </row>
    <row r="181" spans="1:1" s="114" customFormat="1">
      <c r="A181" s="145"/>
    </row>
    <row r="182" spans="1:1" s="114" customFormat="1">
      <c r="A182" s="145"/>
    </row>
    <row r="183" spans="1:1" s="114" customFormat="1">
      <c r="A183" s="145"/>
    </row>
    <row r="184" spans="1:1" s="114" customFormat="1">
      <c r="A184" s="145"/>
    </row>
    <row r="185" spans="1:1" s="114" customFormat="1">
      <c r="A185" s="145"/>
    </row>
    <row r="186" spans="1:1" s="114" customFormat="1">
      <c r="A186" s="145"/>
    </row>
    <row r="187" spans="1:1" s="114" customFormat="1">
      <c r="A187" s="145"/>
    </row>
    <row r="188" spans="1:1" s="114" customFormat="1">
      <c r="A188" s="145"/>
    </row>
    <row r="189" spans="1:1" s="114" customFormat="1">
      <c r="A189" s="145"/>
    </row>
    <row r="190" spans="1:1" s="114" customFormat="1">
      <c r="A190" s="145"/>
    </row>
    <row r="191" spans="1:1" s="114" customFormat="1">
      <c r="A191" s="145"/>
    </row>
    <row r="192" spans="1:1" s="114" customFormat="1">
      <c r="A192" s="145"/>
    </row>
    <row r="193" spans="1:1" s="114" customFormat="1">
      <c r="A193" s="145"/>
    </row>
    <row r="194" spans="1:1" s="114" customFormat="1">
      <c r="A194" s="145"/>
    </row>
    <row r="195" spans="1:1" s="114" customFormat="1">
      <c r="A195" s="145"/>
    </row>
    <row r="196" spans="1:1" s="114" customFormat="1">
      <c r="A196" s="145"/>
    </row>
    <row r="197" spans="1:1" s="114" customFormat="1">
      <c r="A197" s="145"/>
    </row>
    <row r="198" spans="1:1" s="114" customFormat="1">
      <c r="A198" s="145"/>
    </row>
    <row r="199" spans="1:1" s="114" customFormat="1">
      <c r="A199" s="145"/>
    </row>
    <row r="200" spans="1:1" s="114" customFormat="1">
      <c r="A200" s="145"/>
    </row>
    <row r="201" spans="1:1" s="114" customFormat="1">
      <c r="A201" s="145"/>
    </row>
    <row r="202" spans="1:1" s="114" customFormat="1">
      <c r="A202" s="145"/>
    </row>
    <row r="203" spans="1:1" s="114" customFormat="1">
      <c r="A203" s="145"/>
    </row>
    <row r="204" spans="1:1" s="114" customFormat="1">
      <c r="A204" s="145"/>
    </row>
    <row r="205" spans="1:1" s="114" customFormat="1">
      <c r="A205" s="145"/>
    </row>
    <row r="206" spans="1:1" s="114" customFormat="1">
      <c r="A206" s="145"/>
    </row>
    <row r="207" spans="1:1" s="114" customFormat="1">
      <c r="A207" s="145"/>
    </row>
    <row r="208" spans="1:1" s="114" customFormat="1">
      <c r="A208" s="145"/>
    </row>
    <row r="209" spans="1:1" s="114" customFormat="1">
      <c r="A209" s="145"/>
    </row>
    <row r="210" spans="1:1" s="114" customFormat="1">
      <c r="A210" s="145"/>
    </row>
    <row r="211" spans="1:1" s="114" customFormat="1">
      <c r="A211" s="145"/>
    </row>
    <row r="212" spans="1:1" s="114" customFormat="1">
      <c r="A212" s="145"/>
    </row>
    <row r="213" spans="1:1" s="114" customFormat="1">
      <c r="A213" s="145"/>
    </row>
    <row r="214" spans="1:1" s="114" customFormat="1">
      <c r="A214" s="145"/>
    </row>
    <row r="215" spans="1:1" s="114" customFormat="1">
      <c r="A215" s="145"/>
    </row>
    <row r="216" spans="1:1" s="114" customFormat="1">
      <c r="A216" s="145"/>
    </row>
    <row r="217" spans="1:1" s="114" customFormat="1">
      <c r="A217" s="145"/>
    </row>
    <row r="218" spans="1:1" s="114" customFormat="1">
      <c r="A218" s="145"/>
    </row>
    <row r="219" spans="1:1" s="114" customFormat="1">
      <c r="A219" s="145"/>
    </row>
    <row r="220" spans="1:1" s="114" customFormat="1">
      <c r="A220" s="145"/>
    </row>
    <row r="221" spans="1:1" s="114" customFormat="1">
      <c r="A221" s="145"/>
    </row>
    <row r="222" spans="1:1" s="114" customFormat="1">
      <c r="A222" s="145"/>
    </row>
    <row r="223" spans="1:1" s="114" customFormat="1">
      <c r="A223" s="145"/>
    </row>
    <row r="224" spans="1:1" s="114" customFormat="1">
      <c r="A224" s="145"/>
    </row>
    <row r="225" spans="1:1" s="114" customFormat="1">
      <c r="A225" s="145"/>
    </row>
    <row r="226" spans="1:1" s="114" customFormat="1">
      <c r="A226" s="145"/>
    </row>
    <row r="227" spans="1:1" s="114" customFormat="1">
      <c r="A227" s="145"/>
    </row>
    <row r="228" spans="1:1" s="114" customFormat="1">
      <c r="A228" s="145"/>
    </row>
    <row r="229" spans="1:1" s="114" customFormat="1">
      <c r="A229" s="145"/>
    </row>
    <row r="230" spans="1:1" s="114" customFormat="1">
      <c r="A230" s="145"/>
    </row>
    <row r="231" spans="1:1" s="114" customFormat="1">
      <c r="A231" s="145"/>
    </row>
    <row r="232" spans="1:1" s="114" customFormat="1">
      <c r="A232" s="145"/>
    </row>
    <row r="233" spans="1:1" s="114" customFormat="1">
      <c r="A233" s="145"/>
    </row>
    <row r="234" spans="1:1" s="114" customFormat="1">
      <c r="A234" s="145"/>
    </row>
    <row r="235" spans="1:1" s="114" customFormat="1">
      <c r="A235" s="145"/>
    </row>
    <row r="236" spans="1:1" s="114" customFormat="1">
      <c r="A236" s="145"/>
    </row>
    <row r="237" spans="1:1" s="114" customFormat="1">
      <c r="A237" s="145"/>
    </row>
    <row r="238" spans="1:1" s="114" customFormat="1">
      <c r="A238" s="145"/>
    </row>
    <row r="239" spans="1:1" s="114" customFormat="1">
      <c r="A239" s="145"/>
    </row>
    <row r="240" spans="1:1" s="114" customFormat="1">
      <c r="A240" s="145"/>
    </row>
    <row r="241" spans="1:1" s="114" customFormat="1">
      <c r="A241" s="145"/>
    </row>
    <row r="242" spans="1:1" s="114" customFormat="1">
      <c r="A242" s="145"/>
    </row>
    <row r="243" spans="1:1" s="114" customFormat="1">
      <c r="A243" s="145"/>
    </row>
    <row r="244" spans="1:1" s="114" customFormat="1">
      <c r="A244" s="145"/>
    </row>
    <row r="245" spans="1:1" s="114" customFormat="1">
      <c r="A245" s="145"/>
    </row>
    <row r="246" spans="1:1" s="114" customFormat="1">
      <c r="A246" s="145"/>
    </row>
    <row r="247" spans="1:1" s="114" customFormat="1">
      <c r="A247" s="145"/>
    </row>
    <row r="248" spans="1:1" s="114" customFormat="1">
      <c r="A248" s="145"/>
    </row>
    <row r="249" spans="1:1" s="114" customFormat="1">
      <c r="A249" s="145"/>
    </row>
    <row r="250" spans="1:1" s="114" customFormat="1">
      <c r="A250" s="145"/>
    </row>
    <row r="251" spans="1:1" s="114" customFormat="1">
      <c r="A251" s="145"/>
    </row>
    <row r="252" spans="1:1" s="114" customFormat="1">
      <c r="A252" s="145"/>
    </row>
    <row r="253" spans="1:1" s="114" customFormat="1">
      <c r="A253" s="145"/>
    </row>
    <row r="254" spans="1:1" s="114" customFormat="1">
      <c r="A254" s="145"/>
    </row>
    <row r="255" spans="1:1" s="114" customFormat="1">
      <c r="A255" s="145"/>
    </row>
    <row r="256" spans="1:1" s="114" customFormat="1">
      <c r="A256" s="145"/>
    </row>
    <row r="257" spans="1:1" s="114" customFormat="1">
      <c r="A257" s="145"/>
    </row>
    <row r="258" spans="1:1" s="114" customFormat="1">
      <c r="A258" s="145"/>
    </row>
    <row r="259" spans="1:1" s="114" customFormat="1">
      <c r="A259" s="145"/>
    </row>
    <row r="260" spans="1:1" s="114" customFormat="1">
      <c r="A260" s="145"/>
    </row>
    <row r="261" spans="1:1" s="114" customFormat="1">
      <c r="A261" s="145"/>
    </row>
    <row r="262" spans="1:1" s="114" customFormat="1">
      <c r="A262" s="145"/>
    </row>
    <row r="263" spans="1:1" s="114" customFormat="1">
      <c r="A263" s="145"/>
    </row>
    <row r="264" spans="1:1" s="114" customFormat="1">
      <c r="A264" s="145"/>
    </row>
    <row r="265" spans="1:1" s="114" customFormat="1">
      <c r="A265" s="145"/>
    </row>
    <row r="266" spans="1:1" s="114" customFormat="1">
      <c r="A266" s="145"/>
    </row>
    <row r="267" spans="1:1" s="114" customFormat="1">
      <c r="A267" s="145"/>
    </row>
    <row r="268" spans="1:1" s="114" customFormat="1">
      <c r="A268" s="145"/>
    </row>
    <row r="269" spans="1:1" s="114" customFormat="1">
      <c r="A269" s="145"/>
    </row>
    <row r="270" spans="1:1" s="114" customFormat="1">
      <c r="A270" s="145"/>
    </row>
    <row r="271" spans="1:1" s="114" customFormat="1">
      <c r="A271" s="145"/>
    </row>
    <row r="272" spans="1:1" s="114" customFormat="1">
      <c r="A272" s="145"/>
    </row>
    <row r="273" spans="1:1" s="114" customFormat="1">
      <c r="A273" s="145"/>
    </row>
    <row r="274" spans="1:1" s="114" customFormat="1">
      <c r="A274" s="145"/>
    </row>
    <row r="275" spans="1:1" s="114" customFormat="1">
      <c r="A275" s="145"/>
    </row>
    <row r="276" spans="1:1" s="114" customFormat="1">
      <c r="A276" s="145"/>
    </row>
    <row r="277" spans="1:1" s="114" customFormat="1">
      <c r="A277" s="145"/>
    </row>
    <row r="278" spans="1:1" s="114" customFormat="1">
      <c r="A278" s="145"/>
    </row>
    <row r="279" spans="1:1" s="114" customFormat="1">
      <c r="A279" s="145"/>
    </row>
    <row r="280" spans="1:1" s="114" customFormat="1">
      <c r="A280" s="145"/>
    </row>
    <row r="281" spans="1:1" s="114" customFormat="1">
      <c r="A281" s="145"/>
    </row>
    <row r="282" spans="1:1" s="114" customFormat="1">
      <c r="A282" s="145"/>
    </row>
    <row r="283" spans="1:1" s="114" customFormat="1">
      <c r="A283" s="145"/>
    </row>
    <row r="284" spans="1:1" s="114" customFormat="1">
      <c r="A284" s="145"/>
    </row>
    <row r="285" spans="1:1" s="114" customFormat="1">
      <c r="A285" s="145"/>
    </row>
    <row r="286" spans="1:1" s="114" customFormat="1">
      <c r="A286" s="145"/>
    </row>
    <row r="287" spans="1:1" s="114" customFormat="1">
      <c r="A287" s="145"/>
    </row>
    <row r="288" spans="1:1" s="114" customFormat="1">
      <c r="A288" s="145"/>
    </row>
    <row r="289" spans="1:1" s="114" customFormat="1">
      <c r="A289" s="145"/>
    </row>
    <row r="290" spans="1:1" s="114" customFormat="1">
      <c r="A290" s="145"/>
    </row>
    <row r="291" spans="1:1" s="114" customFormat="1">
      <c r="A291" s="145"/>
    </row>
    <row r="292" spans="1:1" s="114" customFormat="1">
      <c r="A292" s="145"/>
    </row>
    <row r="293" spans="1:1" s="114" customFormat="1">
      <c r="A293" s="145"/>
    </row>
    <row r="294" spans="1:1" s="114" customFormat="1">
      <c r="A294" s="145"/>
    </row>
    <row r="295" spans="1:1" s="114" customFormat="1">
      <c r="A295" s="145"/>
    </row>
    <row r="296" spans="1:1" s="114" customFormat="1">
      <c r="A296" s="145"/>
    </row>
    <row r="297" spans="1:1" s="114" customFormat="1">
      <c r="A297" s="145"/>
    </row>
    <row r="298" spans="1:1" s="114" customFormat="1">
      <c r="A298" s="145"/>
    </row>
    <row r="299" spans="1:1" s="114" customFormat="1">
      <c r="A299" s="145"/>
    </row>
    <row r="300" spans="1:1" s="114" customFormat="1">
      <c r="A300" s="145"/>
    </row>
    <row r="301" spans="1:1" s="114" customFormat="1">
      <c r="A301" s="145"/>
    </row>
    <row r="302" spans="1:1" s="114" customFormat="1">
      <c r="A302" s="145"/>
    </row>
    <row r="303" spans="1:1" s="114" customFormat="1">
      <c r="A303" s="145"/>
    </row>
    <row r="304" spans="1:1" s="114" customFormat="1">
      <c r="A304" s="145"/>
    </row>
    <row r="305" spans="1:1" s="114" customFormat="1">
      <c r="A305" s="145"/>
    </row>
    <row r="306" spans="1:1" s="114" customFormat="1">
      <c r="A306" s="145"/>
    </row>
    <row r="307" spans="1:1" s="114" customFormat="1">
      <c r="A307" s="145"/>
    </row>
    <row r="308" spans="1:1" s="114" customFormat="1">
      <c r="A308" s="145"/>
    </row>
    <row r="309" spans="1:1" s="114" customFormat="1">
      <c r="A309" s="145"/>
    </row>
    <row r="310" spans="1:1" s="114" customFormat="1">
      <c r="A310" s="145"/>
    </row>
    <row r="311" spans="1:1" s="114" customFormat="1">
      <c r="A311" s="145"/>
    </row>
    <row r="312" spans="1:1" s="114" customFormat="1">
      <c r="A312" s="145"/>
    </row>
    <row r="313" spans="1:1" s="114" customFormat="1">
      <c r="A313" s="145"/>
    </row>
    <row r="314" spans="1:1" s="114" customFormat="1">
      <c r="A314" s="145"/>
    </row>
    <row r="315" spans="1:1" s="114" customFormat="1">
      <c r="A315" s="145"/>
    </row>
    <row r="316" spans="1:1" s="114" customFormat="1">
      <c r="A316" s="145"/>
    </row>
    <row r="317" spans="1:1" s="114" customFormat="1">
      <c r="A317" s="145"/>
    </row>
    <row r="318" spans="1:1" s="114" customFormat="1">
      <c r="A318" s="145"/>
    </row>
    <row r="319" spans="1:1" s="114" customFormat="1">
      <c r="A319" s="145"/>
    </row>
    <row r="320" spans="1:1" s="114" customFormat="1">
      <c r="A320" s="145"/>
    </row>
    <row r="321" spans="1:1" s="114" customFormat="1">
      <c r="A321" s="145"/>
    </row>
    <row r="322" spans="1:1" s="114" customFormat="1">
      <c r="A322" s="145"/>
    </row>
    <row r="323" spans="1:1" s="114" customFormat="1">
      <c r="A323" s="145"/>
    </row>
    <row r="324" spans="1:1" s="114" customFormat="1">
      <c r="A324" s="145"/>
    </row>
    <row r="325" spans="1:1" s="114" customFormat="1">
      <c r="A325" s="145"/>
    </row>
    <row r="326" spans="1:1" s="114" customFormat="1">
      <c r="A326" s="145"/>
    </row>
    <row r="327" spans="1:1" s="114" customFormat="1">
      <c r="A327" s="145"/>
    </row>
    <row r="328" spans="1:1" s="114" customFormat="1">
      <c r="A328" s="145"/>
    </row>
    <row r="329" spans="1:1" s="114" customFormat="1">
      <c r="A329" s="145"/>
    </row>
    <row r="330" spans="1:1" s="114" customFormat="1">
      <c r="A330" s="145"/>
    </row>
    <row r="331" spans="1:1" s="114" customFormat="1">
      <c r="A331" s="145"/>
    </row>
    <row r="332" spans="1:1" s="114" customFormat="1">
      <c r="A332" s="145"/>
    </row>
    <row r="333" spans="1:1" s="114" customFormat="1">
      <c r="A333" s="145"/>
    </row>
    <row r="334" spans="1:1" s="114" customFormat="1">
      <c r="A334" s="145"/>
    </row>
    <row r="335" spans="1:1" s="114" customFormat="1">
      <c r="A335" s="145"/>
    </row>
    <row r="336" spans="1:1" s="114" customFormat="1">
      <c r="A336" s="145"/>
    </row>
    <row r="337" spans="1:1" s="114" customFormat="1">
      <c r="A337" s="145"/>
    </row>
    <row r="338" spans="1:1" s="114" customFormat="1">
      <c r="A338" s="145"/>
    </row>
    <row r="339" spans="1:1" s="114" customFormat="1">
      <c r="A339" s="145"/>
    </row>
    <row r="340" spans="1:1" s="114" customFormat="1">
      <c r="A340" s="145"/>
    </row>
    <row r="341" spans="1:1" s="114" customFormat="1">
      <c r="A341" s="145"/>
    </row>
    <row r="342" spans="1:1" s="114" customFormat="1">
      <c r="A342" s="145"/>
    </row>
    <row r="343" spans="1:1" s="114" customFormat="1">
      <c r="A343" s="145"/>
    </row>
    <row r="344" spans="1:1" s="114" customFormat="1">
      <c r="A344" s="145"/>
    </row>
    <row r="345" spans="1:1" s="114" customFormat="1">
      <c r="A345" s="145"/>
    </row>
    <row r="346" spans="1:1" s="114" customFormat="1">
      <c r="A346" s="145"/>
    </row>
    <row r="347" spans="1:1" s="114" customFormat="1">
      <c r="A347" s="145"/>
    </row>
    <row r="348" spans="1:1" s="114" customFormat="1">
      <c r="A348" s="145"/>
    </row>
    <row r="349" spans="1:1" s="114" customFormat="1">
      <c r="A349" s="145"/>
    </row>
    <row r="350" spans="1:1" s="114" customFormat="1">
      <c r="A350" s="145"/>
    </row>
    <row r="351" spans="1:1" s="114" customFormat="1">
      <c r="A351" s="145"/>
    </row>
    <row r="352" spans="1:1" s="114" customFormat="1">
      <c r="A352" s="145"/>
    </row>
    <row r="353" spans="1:1" s="114" customFormat="1">
      <c r="A353" s="145"/>
    </row>
    <row r="354" spans="1:1" s="114" customFormat="1">
      <c r="A354" s="145"/>
    </row>
    <row r="355" spans="1:1" s="114" customFormat="1">
      <c r="A355" s="145"/>
    </row>
    <row r="356" spans="1:1" s="114" customFormat="1">
      <c r="A356" s="145"/>
    </row>
    <row r="357" spans="1:1" s="114" customFormat="1">
      <c r="A357" s="145"/>
    </row>
    <row r="358" spans="1:1" s="114" customFormat="1">
      <c r="A358" s="145"/>
    </row>
    <row r="359" spans="1:1" s="114" customFormat="1">
      <c r="A359" s="145"/>
    </row>
    <row r="360" spans="1:1" s="114" customFormat="1">
      <c r="A360" s="145"/>
    </row>
    <row r="361" spans="1:1" s="114" customFormat="1">
      <c r="A361" s="145"/>
    </row>
    <row r="362" spans="1:1" s="114" customFormat="1">
      <c r="A362" s="145"/>
    </row>
    <row r="363" spans="1:1" s="114" customFormat="1">
      <c r="A363" s="145"/>
    </row>
    <row r="364" spans="1:1" s="114" customFormat="1">
      <c r="A364" s="145"/>
    </row>
    <row r="365" spans="1:1" s="114" customFormat="1">
      <c r="A365" s="145"/>
    </row>
    <row r="366" spans="1:1" s="114" customFormat="1">
      <c r="A366" s="145"/>
    </row>
    <row r="367" spans="1:1" s="114" customFormat="1">
      <c r="A367" s="145"/>
    </row>
    <row r="368" spans="1:1" s="114" customFormat="1">
      <c r="A368" s="145"/>
    </row>
    <row r="369" spans="1:1" s="114" customFormat="1">
      <c r="A369" s="145"/>
    </row>
    <row r="370" spans="1:1" s="114" customFormat="1">
      <c r="A370" s="145"/>
    </row>
    <row r="371" spans="1:1" s="114" customFormat="1">
      <c r="A371" s="145"/>
    </row>
    <row r="372" spans="1:1" s="114" customFormat="1">
      <c r="A372" s="145"/>
    </row>
    <row r="373" spans="1:1" s="114" customFormat="1">
      <c r="A373" s="145"/>
    </row>
    <row r="374" spans="1:1" s="114" customFormat="1">
      <c r="A374" s="145"/>
    </row>
    <row r="375" spans="1:1" s="114" customFormat="1">
      <c r="A375" s="145"/>
    </row>
    <row r="376" spans="1:1" s="114" customFormat="1">
      <c r="A376" s="145"/>
    </row>
    <row r="377" spans="1:1" s="114" customFormat="1">
      <c r="A377" s="145"/>
    </row>
    <row r="378" spans="1:1" s="114" customFormat="1">
      <c r="A378" s="145"/>
    </row>
    <row r="379" spans="1:1" s="114" customFormat="1">
      <c r="A379" s="145"/>
    </row>
    <row r="380" spans="1:1" s="114" customFormat="1">
      <c r="A380" s="145"/>
    </row>
    <row r="381" spans="1:1" s="114" customFormat="1">
      <c r="A381" s="145"/>
    </row>
    <row r="382" spans="1:1" s="114" customFormat="1">
      <c r="A382" s="145"/>
    </row>
    <row r="383" spans="1:1" s="114" customFormat="1">
      <c r="A383" s="145"/>
    </row>
    <row r="384" spans="1:1" s="114" customFormat="1">
      <c r="A384" s="145"/>
    </row>
    <row r="385" spans="1:1" s="114" customFormat="1">
      <c r="A385" s="145"/>
    </row>
    <row r="386" spans="1:1" s="114" customFormat="1">
      <c r="A386" s="145"/>
    </row>
    <row r="387" spans="1:1" s="114" customFormat="1">
      <c r="A387" s="145"/>
    </row>
    <row r="388" spans="1:1" s="114" customFormat="1">
      <c r="A388" s="145"/>
    </row>
    <row r="389" spans="1:1" s="114" customFormat="1">
      <c r="A389" s="145"/>
    </row>
    <row r="390" spans="1:1" s="114" customFormat="1">
      <c r="A390" s="145"/>
    </row>
    <row r="391" spans="1:1" s="114" customFormat="1">
      <c r="A391" s="145"/>
    </row>
    <row r="392" spans="1:1" s="114" customFormat="1">
      <c r="A392" s="145"/>
    </row>
    <row r="393" spans="1:1" s="114" customFormat="1">
      <c r="A393" s="145"/>
    </row>
    <row r="394" spans="1:1" s="114" customFormat="1">
      <c r="A394" s="145"/>
    </row>
    <row r="395" spans="1:1" s="114" customFormat="1">
      <c r="A395" s="145"/>
    </row>
    <row r="396" spans="1:1" s="114" customFormat="1">
      <c r="A396" s="145"/>
    </row>
    <row r="397" spans="1:1" s="114" customFormat="1">
      <c r="A397" s="145"/>
    </row>
    <row r="398" spans="1:1" s="114" customFormat="1">
      <c r="A398" s="145"/>
    </row>
    <row r="399" spans="1:1" s="114" customFormat="1">
      <c r="A399" s="145"/>
    </row>
    <row r="400" spans="1:1" s="114" customFormat="1">
      <c r="A400" s="145"/>
    </row>
    <row r="401" spans="1:1" s="114" customFormat="1">
      <c r="A401" s="145"/>
    </row>
    <row r="402" spans="1:1" s="114" customFormat="1">
      <c r="A402" s="145"/>
    </row>
    <row r="403" spans="1:1" s="114" customFormat="1">
      <c r="A403" s="145"/>
    </row>
    <row r="404" spans="1:1" s="114" customFormat="1">
      <c r="A404" s="145"/>
    </row>
    <row r="405" spans="1:1" s="114" customFormat="1">
      <c r="A405" s="145"/>
    </row>
    <row r="406" spans="1:1" s="114" customFormat="1">
      <c r="A406" s="145"/>
    </row>
    <row r="407" spans="1:1" s="114" customFormat="1">
      <c r="A407" s="145"/>
    </row>
    <row r="408" spans="1:1" s="114" customFormat="1">
      <c r="A408" s="145"/>
    </row>
    <row r="409" spans="1:1" s="114" customFormat="1">
      <c r="A409" s="145"/>
    </row>
    <row r="410" spans="1:1" s="114" customFormat="1">
      <c r="A410" s="145"/>
    </row>
    <row r="411" spans="1:1" s="114" customFormat="1">
      <c r="A411" s="145"/>
    </row>
    <row r="412" spans="1:1" s="114" customFormat="1">
      <c r="A412" s="145"/>
    </row>
    <row r="413" spans="1:1" s="114" customFormat="1">
      <c r="A413" s="145"/>
    </row>
    <row r="414" spans="1:1" s="114" customFormat="1">
      <c r="A414" s="145"/>
    </row>
    <row r="415" spans="1:1" s="114" customFormat="1">
      <c r="A415" s="145"/>
    </row>
    <row r="416" spans="1:1" s="114" customFormat="1">
      <c r="A416" s="145"/>
    </row>
    <row r="417" spans="1:1" s="114" customFormat="1">
      <c r="A417" s="145"/>
    </row>
    <row r="418" spans="1:1" s="114" customFormat="1">
      <c r="A418" s="145"/>
    </row>
    <row r="419" spans="1:1" s="114" customFormat="1">
      <c r="A419" s="145"/>
    </row>
    <row r="420" spans="1:1" s="114" customFormat="1">
      <c r="A420" s="145"/>
    </row>
    <row r="421" spans="1:1" s="114" customFormat="1">
      <c r="A421" s="145"/>
    </row>
    <row r="422" spans="1:1" s="114" customFormat="1">
      <c r="A422" s="145"/>
    </row>
    <row r="423" spans="1:1" s="114" customFormat="1">
      <c r="A423" s="145"/>
    </row>
    <row r="424" spans="1:1" s="114" customFormat="1">
      <c r="A424" s="145"/>
    </row>
    <row r="425" spans="1:1" s="114" customFormat="1">
      <c r="A425" s="145"/>
    </row>
    <row r="426" spans="1:1" s="114" customFormat="1">
      <c r="A426" s="145"/>
    </row>
    <row r="427" spans="1:1" s="114" customFormat="1">
      <c r="A427" s="145"/>
    </row>
    <row r="428" spans="1:1" s="114" customFormat="1">
      <c r="A428" s="145"/>
    </row>
    <row r="429" spans="1:1" s="114" customFormat="1">
      <c r="A429" s="145"/>
    </row>
    <row r="430" spans="1:1" s="114" customFormat="1">
      <c r="A430" s="145"/>
    </row>
    <row r="431" spans="1:1" s="114" customFormat="1">
      <c r="A431" s="145"/>
    </row>
    <row r="432" spans="1:1" s="114" customFormat="1">
      <c r="A432" s="145"/>
    </row>
    <row r="433" spans="1:1" s="114" customFormat="1">
      <c r="A433" s="145"/>
    </row>
    <row r="434" spans="1:1" s="114" customFormat="1">
      <c r="A434" s="145"/>
    </row>
    <row r="435" spans="1:1" s="114" customFormat="1">
      <c r="A435" s="145"/>
    </row>
    <row r="436" spans="1:1" s="114" customFormat="1">
      <c r="A436" s="145"/>
    </row>
    <row r="437" spans="1:1" s="114" customFormat="1">
      <c r="A437" s="145"/>
    </row>
    <row r="438" spans="1:1" s="114" customFormat="1">
      <c r="A438" s="145"/>
    </row>
    <row r="439" spans="1:1" s="114" customFormat="1">
      <c r="A439" s="145"/>
    </row>
    <row r="440" spans="1:1" s="114" customFormat="1">
      <c r="A440" s="145"/>
    </row>
    <row r="441" spans="1:1" s="114" customFormat="1">
      <c r="A441" s="145"/>
    </row>
    <row r="442" spans="1:1" s="114" customFormat="1">
      <c r="A442" s="145"/>
    </row>
    <row r="443" spans="1:1" s="114" customFormat="1">
      <c r="A443" s="145"/>
    </row>
    <row r="444" spans="1:1" s="114" customFormat="1">
      <c r="A444" s="145"/>
    </row>
    <row r="445" spans="1:1" s="114" customFormat="1">
      <c r="A445" s="145"/>
    </row>
    <row r="446" spans="1:1" s="114" customFormat="1">
      <c r="A446" s="145"/>
    </row>
    <row r="447" spans="1:1" s="114" customFormat="1">
      <c r="A447" s="145"/>
    </row>
    <row r="448" spans="1:1" s="114" customFormat="1">
      <c r="A448" s="145"/>
    </row>
    <row r="449" spans="1:1" s="114" customFormat="1">
      <c r="A449" s="145"/>
    </row>
    <row r="450" spans="1:1" s="114" customFormat="1">
      <c r="A450" s="145"/>
    </row>
    <row r="451" spans="1:1" s="114" customFormat="1">
      <c r="A451" s="145"/>
    </row>
    <row r="452" spans="1:1" s="114" customFormat="1">
      <c r="A452" s="145"/>
    </row>
    <row r="453" spans="1:1" s="114" customFormat="1">
      <c r="A453" s="145"/>
    </row>
    <row r="454" spans="1:1" s="114" customFormat="1">
      <c r="A454" s="145"/>
    </row>
    <row r="455" spans="1:1" s="114" customFormat="1">
      <c r="A455" s="145"/>
    </row>
    <row r="456" spans="1:1" s="114" customFormat="1">
      <c r="A456" s="145"/>
    </row>
    <row r="457" spans="1:1" s="114" customFormat="1">
      <c r="A457" s="145"/>
    </row>
    <row r="458" spans="1:1" s="114" customFormat="1">
      <c r="A458" s="145"/>
    </row>
    <row r="459" spans="1:1" s="114" customFormat="1">
      <c r="A459" s="145"/>
    </row>
    <row r="460" spans="1:1" s="114" customFormat="1">
      <c r="A460" s="145"/>
    </row>
    <row r="461" spans="1:1" s="114" customFormat="1">
      <c r="A461" s="145"/>
    </row>
    <row r="462" spans="1:1" s="114" customFormat="1">
      <c r="A462" s="145"/>
    </row>
    <row r="463" spans="1:1" s="114" customFormat="1">
      <c r="A463" s="145"/>
    </row>
    <row r="464" spans="1:1" s="114" customFormat="1">
      <c r="A464" s="145"/>
    </row>
    <row r="465" spans="1:1" s="114" customFormat="1">
      <c r="A465" s="145"/>
    </row>
    <row r="466" spans="1:1" s="114" customFormat="1">
      <c r="A466" s="145"/>
    </row>
    <row r="467" spans="1:1" s="114" customFormat="1">
      <c r="A467" s="145"/>
    </row>
    <row r="468" spans="1:1" s="114" customFormat="1">
      <c r="A468" s="145"/>
    </row>
    <row r="469" spans="1:1" s="114" customFormat="1">
      <c r="A469" s="145"/>
    </row>
    <row r="470" spans="1:1" s="114" customFormat="1">
      <c r="A470" s="145"/>
    </row>
    <row r="471" spans="1:1" s="114" customFormat="1">
      <c r="A471" s="145"/>
    </row>
    <row r="472" spans="1:1" s="114" customFormat="1">
      <c r="A472" s="145"/>
    </row>
    <row r="473" spans="1:1" s="114" customFormat="1">
      <c r="A473" s="145"/>
    </row>
    <row r="474" spans="1:1" s="114" customFormat="1">
      <c r="A474" s="145"/>
    </row>
    <row r="475" spans="1:1" s="114" customFormat="1">
      <c r="A475" s="145"/>
    </row>
    <row r="476" spans="1:1" s="114" customFormat="1">
      <c r="A476" s="145"/>
    </row>
    <row r="477" spans="1:1" s="114" customFormat="1">
      <c r="A477" s="145"/>
    </row>
    <row r="478" spans="1:1" s="114" customFormat="1">
      <c r="A478" s="145"/>
    </row>
    <row r="479" spans="1:1" s="114" customFormat="1">
      <c r="A479" s="145"/>
    </row>
    <row r="480" spans="1:1" s="114" customFormat="1">
      <c r="A480" s="145"/>
    </row>
    <row r="481" spans="1:1" s="114" customFormat="1">
      <c r="A481" s="145"/>
    </row>
    <row r="482" spans="1:1" s="114" customFormat="1">
      <c r="A482" s="145"/>
    </row>
    <row r="483" spans="1:1" s="114" customFormat="1">
      <c r="A483" s="145"/>
    </row>
    <row r="484" spans="1:1" s="114" customFormat="1">
      <c r="A484" s="145"/>
    </row>
    <row r="485" spans="1:1" s="114" customFormat="1">
      <c r="A485" s="145"/>
    </row>
    <row r="486" spans="1:1" s="114" customFormat="1">
      <c r="A486" s="145"/>
    </row>
    <row r="487" spans="1:1" s="114" customFormat="1">
      <c r="A487" s="145"/>
    </row>
    <row r="488" spans="1:1" s="114" customFormat="1">
      <c r="A488" s="145"/>
    </row>
    <row r="489" spans="1:1" s="114" customFormat="1">
      <c r="A489" s="145"/>
    </row>
    <row r="490" spans="1:1" s="114" customFormat="1">
      <c r="A490" s="145"/>
    </row>
    <row r="491" spans="1:1" s="114" customFormat="1">
      <c r="A491" s="145"/>
    </row>
    <row r="492" spans="1:1" s="114" customFormat="1">
      <c r="A492" s="145"/>
    </row>
    <row r="493" spans="1:1" s="114" customFormat="1">
      <c r="A493" s="145"/>
    </row>
    <row r="494" spans="1:1" s="114" customFormat="1">
      <c r="A494" s="145"/>
    </row>
    <row r="495" spans="1:1" s="114" customFormat="1">
      <c r="A495" s="145"/>
    </row>
    <row r="496" spans="1:1" s="114" customFormat="1">
      <c r="A496" s="145"/>
    </row>
    <row r="497" spans="1:1" s="114" customFormat="1">
      <c r="A497" s="145"/>
    </row>
    <row r="498" spans="1:1" s="114" customFormat="1">
      <c r="A498" s="145"/>
    </row>
    <row r="499" spans="1:1" s="114" customFormat="1">
      <c r="A499" s="145"/>
    </row>
    <row r="500" spans="1:1" s="114" customFormat="1">
      <c r="A500" s="145"/>
    </row>
    <row r="501" spans="1:1" s="114" customFormat="1">
      <c r="A501" s="145"/>
    </row>
    <row r="502" spans="1:1" s="114" customFormat="1">
      <c r="A502" s="145"/>
    </row>
    <row r="503" spans="1:1" s="114" customFormat="1">
      <c r="A503" s="145"/>
    </row>
    <row r="504" spans="1:1" s="114" customFormat="1">
      <c r="A504" s="145"/>
    </row>
    <row r="505" spans="1:1" s="114" customFormat="1">
      <c r="A505" s="145"/>
    </row>
    <row r="506" spans="1:1" s="114" customFormat="1">
      <c r="A506" s="145"/>
    </row>
    <row r="507" spans="1:1" s="114" customFormat="1">
      <c r="A507" s="145"/>
    </row>
    <row r="508" spans="1:1" s="114" customFormat="1">
      <c r="A508" s="145"/>
    </row>
    <row r="509" spans="1:1" s="114" customFormat="1">
      <c r="A509" s="145"/>
    </row>
    <row r="510" spans="1:1" s="114" customFormat="1">
      <c r="A510" s="145"/>
    </row>
    <row r="511" spans="1:1" s="114" customFormat="1">
      <c r="A511" s="145"/>
    </row>
    <row r="512" spans="1:1" s="114" customFormat="1">
      <c r="A512" s="145"/>
    </row>
    <row r="513" spans="1:1" s="114" customFormat="1">
      <c r="A513" s="145"/>
    </row>
    <row r="514" spans="1:1" s="114" customFormat="1">
      <c r="A514" s="145"/>
    </row>
    <row r="515" spans="1:1" s="114" customFormat="1">
      <c r="A515" s="145"/>
    </row>
    <row r="516" spans="1:1" s="114" customFormat="1">
      <c r="A516" s="145"/>
    </row>
    <row r="517" spans="1:1" s="114" customFormat="1">
      <c r="A517" s="145"/>
    </row>
    <row r="518" spans="1:1" s="114" customFormat="1">
      <c r="A518" s="145"/>
    </row>
    <row r="519" spans="1:1" s="114" customFormat="1">
      <c r="A519" s="145"/>
    </row>
    <row r="520" spans="1:1" s="114" customFormat="1">
      <c r="A520" s="145"/>
    </row>
    <row r="521" spans="1:1" s="114" customFormat="1">
      <c r="A521" s="145"/>
    </row>
    <row r="522" spans="1:1" s="114" customFormat="1">
      <c r="A522" s="145"/>
    </row>
    <row r="523" spans="1:1" s="114" customFormat="1">
      <c r="A523" s="145"/>
    </row>
    <row r="524" spans="1:1" s="114" customFormat="1">
      <c r="A524" s="145"/>
    </row>
    <row r="525" spans="1:1" s="114" customFormat="1">
      <c r="A525" s="145"/>
    </row>
    <row r="526" spans="1:1" s="114" customFormat="1">
      <c r="A526" s="145"/>
    </row>
    <row r="527" spans="1:1" s="114" customFormat="1">
      <c r="A527" s="145"/>
    </row>
    <row r="528" spans="1:1" s="114" customFormat="1">
      <c r="A528" s="145"/>
    </row>
    <row r="529" spans="1:1" s="114" customFormat="1">
      <c r="A529" s="145"/>
    </row>
    <row r="530" spans="1:1" s="114" customFormat="1">
      <c r="A530" s="145"/>
    </row>
    <row r="531" spans="1:1" s="114" customFormat="1">
      <c r="A531" s="145"/>
    </row>
    <row r="532" spans="1:1" s="114" customFormat="1">
      <c r="A532" s="145"/>
    </row>
    <row r="533" spans="1:1" s="114" customFormat="1">
      <c r="A533" s="145"/>
    </row>
    <row r="534" spans="1:1" s="114" customFormat="1">
      <c r="A534" s="145"/>
    </row>
    <row r="535" spans="1:1" s="114" customFormat="1">
      <c r="A535" s="145"/>
    </row>
    <row r="536" spans="1:1" s="114" customFormat="1">
      <c r="A536" s="145"/>
    </row>
    <row r="537" spans="1:1" s="114" customFormat="1">
      <c r="A537" s="145"/>
    </row>
    <row r="538" spans="1:1" s="114" customFormat="1">
      <c r="A538" s="145"/>
    </row>
    <row r="539" spans="1:1" s="114" customFormat="1">
      <c r="A539" s="145"/>
    </row>
    <row r="540" spans="1:1" s="114" customFormat="1">
      <c r="A540" s="145"/>
    </row>
    <row r="541" spans="1:1" s="114" customFormat="1">
      <c r="A541" s="145"/>
    </row>
    <row r="542" spans="1:1" s="114" customFormat="1">
      <c r="A542" s="145"/>
    </row>
    <row r="543" spans="1:1" s="114" customFormat="1">
      <c r="A543" s="145"/>
    </row>
    <row r="544" spans="1:1" s="114" customFormat="1">
      <c r="A544" s="145"/>
    </row>
    <row r="545" spans="1:1" s="114" customFormat="1">
      <c r="A545" s="145"/>
    </row>
    <row r="546" spans="1:1" s="114" customFormat="1">
      <c r="A546" s="145"/>
    </row>
    <row r="547" spans="1:1" s="114" customFormat="1">
      <c r="A547" s="145"/>
    </row>
    <row r="548" spans="1:1" s="114" customFormat="1">
      <c r="A548" s="145"/>
    </row>
    <row r="549" spans="1:1" s="114" customFormat="1">
      <c r="A549" s="145"/>
    </row>
    <row r="550" spans="1:1" s="114" customFormat="1">
      <c r="A550" s="145"/>
    </row>
    <row r="551" spans="1:1" s="114" customFormat="1">
      <c r="A551" s="145"/>
    </row>
    <row r="552" spans="1:1" s="114" customFormat="1">
      <c r="A552" s="145"/>
    </row>
    <row r="553" spans="1:1" s="114" customFormat="1">
      <c r="A553" s="145"/>
    </row>
    <row r="554" spans="1:1" s="114" customFormat="1">
      <c r="A554" s="145"/>
    </row>
    <row r="555" spans="1:1" s="114" customFormat="1">
      <c r="A555" s="145"/>
    </row>
    <row r="556" spans="1:1" s="114" customFormat="1">
      <c r="A556" s="145"/>
    </row>
    <row r="557" spans="1:1" s="114" customFormat="1">
      <c r="A557" s="145"/>
    </row>
    <row r="558" spans="1:1" s="114" customFormat="1">
      <c r="A558" s="145"/>
    </row>
    <row r="559" spans="1:1" s="114" customFormat="1">
      <c r="A559" s="145"/>
    </row>
    <row r="560" spans="1:1" s="114" customFormat="1">
      <c r="A560" s="145"/>
    </row>
    <row r="561" spans="1:1" s="114" customFormat="1">
      <c r="A561" s="145"/>
    </row>
    <row r="562" spans="1:1" s="114" customFormat="1">
      <c r="A562" s="145"/>
    </row>
    <row r="563" spans="1:1" s="114" customFormat="1">
      <c r="A563" s="145"/>
    </row>
    <row r="564" spans="1:1" s="114" customFormat="1">
      <c r="A564" s="145"/>
    </row>
    <row r="565" spans="1:1" s="114" customFormat="1">
      <c r="A565" s="145"/>
    </row>
    <row r="566" spans="1:1" s="114" customFormat="1">
      <c r="A566" s="145"/>
    </row>
    <row r="567" spans="1:1" s="114" customFormat="1">
      <c r="A567" s="145"/>
    </row>
    <row r="568" spans="1:1" s="114" customFormat="1">
      <c r="A568" s="145"/>
    </row>
    <row r="569" spans="1:1" s="114" customFormat="1">
      <c r="A569" s="145"/>
    </row>
    <row r="570" spans="1:1" s="114" customFormat="1">
      <c r="A570" s="145"/>
    </row>
    <row r="571" spans="1:1" s="114" customFormat="1">
      <c r="A571" s="145"/>
    </row>
    <row r="572" spans="1:1" s="114" customFormat="1">
      <c r="A572" s="145"/>
    </row>
    <row r="573" spans="1:1" s="114" customFormat="1">
      <c r="A573" s="145"/>
    </row>
    <row r="574" spans="1:1" s="114" customFormat="1">
      <c r="A574" s="145"/>
    </row>
    <row r="575" spans="1:1" s="114" customFormat="1">
      <c r="A575" s="145"/>
    </row>
    <row r="576" spans="1:1" s="114" customFormat="1">
      <c r="A576" s="145"/>
    </row>
    <row r="577" spans="1:1" s="114" customFormat="1">
      <c r="A577" s="145"/>
    </row>
    <row r="578" spans="1:1" s="114" customFormat="1">
      <c r="A578" s="145"/>
    </row>
    <row r="579" spans="1:1" s="114" customFormat="1">
      <c r="A579" s="145"/>
    </row>
    <row r="580" spans="1:1" s="114" customFormat="1">
      <c r="A580" s="145"/>
    </row>
    <row r="581" spans="1:1" s="114" customFormat="1">
      <c r="A581" s="145"/>
    </row>
    <row r="582" spans="1:1" s="114" customFormat="1">
      <c r="A582" s="145"/>
    </row>
    <row r="583" spans="1:1" s="114" customFormat="1">
      <c r="A583" s="145"/>
    </row>
    <row r="584" spans="1:1" s="114" customFormat="1">
      <c r="A584" s="145"/>
    </row>
    <row r="585" spans="1:1" s="114" customFormat="1">
      <c r="A585" s="145"/>
    </row>
    <row r="586" spans="1:1" s="114" customFormat="1">
      <c r="A586" s="145"/>
    </row>
    <row r="587" spans="1:1" s="114" customFormat="1">
      <c r="A587" s="145"/>
    </row>
    <row r="588" spans="1:1" s="114" customFormat="1">
      <c r="A588" s="145"/>
    </row>
    <row r="589" spans="1:1" s="114" customFormat="1">
      <c r="A589" s="145"/>
    </row>
    <row r="590" spans="1:1" s="114" customFormat="1">
      <c r="A590" s="145"/>
    </row>
    <row r="591" spans="1:1" s="114" customFormat="1">
      <c r="A591" s="145"/>
    </row>
    <row r="592" spans="1:1" s="114" customFormat="1">
      <c r="A592" s="145"/>
    </row>
    <row r="593" spans="1:1" s="114" customFormat="1">
      <c r="A593" s="145"/>
    </row>
    <row r="594" spans="1:1" s="114" customFormat="1">
      <c r="A594" s="145"/>
    </row>
    <row r="595" spans="1:1" s="114" customFormat="1">
      <c r="A595" s="145"/>
    </row>
    <row r="596" spans="1:1" s="114" customFormat="1">
      <c r="A596" s="145"/>
    </row>
    <row r="597" spans="1:1" s="114" customFormat="1">
      <c r="A597" s="145"/>
    </row>
    <row r="598" spans="1:1" s="114" customFormat="1">
      <c r="A598" s="145"/>
    </row>
    <row r="599" spans="1:1" s="114" customFormat="1">
      <c r="A599" s="145"/>
    </row>
    <row r="600" spans="1:1" s="114" customFormat="1">
      <c r="A600" s="145"/>
    </row>
    <row r="601" spans="1:1" s="114" customFormat="1">
      <c r="A601" s="145"/>
    </row>
    <row r="602" spans="1:1" s="114" customFormat="1">
      <c r="A602" s="145"/>
    </row>
    <row r="603" spans="1:1" s="114" customFormat="1">
      <c r="A603" s="145"/>
    </row>
    <row r="604" spans="1:1" s="114" customFormat="1">
      <c r="A604" s="145"/>
    </row>
    <row r="605" spans="1:1" s="114" customFormat="1">
      <c r="A605" s="145"/>
    </row>
    <row r="606" spans="1:1" s="114" customFormat="1">
      <c r="A606" s="145"/>
    </row>
    <row r="607" spans="1:1" s="114" customFormat="1">
      <c r="A607" s="145"/>
    </row>
    <row r="608" spans="1:1" s="114" customFormat="1">
      <c r="A608" s="145"/>
    </row>
    <row r="609" spans="1:1" s="114" customFormat="1">
      <c r="A609" s="145"/>
    </row>
    <row r="610" spans="1:1" s="114" customFormat="1">
      <c r="A610" s="145"/>
    </row>
    <row r="611" spans="1:1" s="114" customFormat="1">
      <c r="A611" s="145"/>
    </row>
    <row r="612" spans="1:1" s="114" customFormat="1">
      <c r="A612" s="145"/>
    </row>
    <row r="613" spans="1:1" s="114" customFormat="1">
      <c r="A613" s="145"/>
    </row>
    <row r="614" spans="1:1" s="114" customFormat="1">
      <c r="A614" s="145"/>
    </row>
    <row r="615" spans="1:1" s="114" customFormat="1">
      <c r="A615" s="145"/>
    </row>
    <row r="616" spans="1:1" s="114" customFormat="1">
      <c r="A616" s="145"/>
    </row>
    <row r="617" spans="1:1" s="114" customFormat="1">
      <c r="A617" s="145"/>
    </row>
    <row r="618" spans="1:1" s="114" customFormat="1">
      <c r="A618" s="145"/>
    </row>
    <row r="619" spans="1:1" s="114" customFormat="1">
      <c r="A619" s="145"/>
    </row>
    <row r="620" spans="1:1" s="114" customFormat="1">
      <c r="A620" s="145"/>
    </row>
    <row r="621" spans="1:1" s="114" customFormat="1">
      <c r="A621" s="145"/>
    </row>
    <row r="622" spans="1:1" s="114" customFormat="1">
      <c r="A622" s="145"/>
    </row>
    <row r="623" spans="1:1" s="114" customFormat="1">
      <c r="A623" s="145"/>
    </row>
    <row r="624" spans="1:1" s="114" customFormat="1">
      <c r="A624" s="145"/>
    </row>
    <row r="625" spans="1:1" s="114" customFormat="1">
      <c r="A625" s="145"/>
    </row>
    <row r="626" spans="1:1" s="114" customFormat="1">
      <c r="A626" s="145"/>
    </row>
    <row r="627" spans="1:1" s="114" customFormat="1">
      <c r="A627" s="145"/>
    </row>
    <row r="628" spans="1:1" s="114" customFormat="1">
      <c r="A628" s="145"/>
    </row>
    <row r="629" spans="1:1" s="114" customFormat="1">
      <c r="A629" s="145"/>
    </row>
    <row r="630" spans="1:1" s="114" customFormat="1">
      <c r="A630" s="145"/>
    </row>
    <row r="631" spans="1:1" s="114" customFormat="1">
      <c r="A631" s="145"/>
    </row>
    <row r="632" spans="1:1" s="114" customFormat="1">
      <c r="A632" s="145"/>
    </row>
    <row r="633" spans="1:1" s="114" customFormat="1">
      <c r="A633" s="145"/>
    </row>
    <row r="634" spans="1:1" s="114" customFormat="1">
      <c r="A634" s="145"/>
    </row>
    <row r="635" spans="1:1" s="114" customFormat="1">
      <c r="A635" s="145"/>
    </row>
    <row r="636" spans="1:1" s="114" customFormat="1">
      <c r="A636" s="145"/>
    </row>
    <row r="637" spans="1:1" s="114" customFormat="1">
      <c r="A637" s="145"/>
    </row>
    <row r="638" spans="1:1" s="114" customFormat="1">
      <c r="A638" s="145"/>
    </row>
    <row r="639" spans="1:1" s="114" customFormat="1">
      <c r="A639" s="145"/>
    </row>
    <row r="640" spans="1:1" s="114" customFormat="1">
      <c r="A640" s="145"/>
    </row>
    <row r="641" spans="1:1" s="114" customFormat="1">
      <c r="A641" s="145"/>
    </row>
    <row r="642" spans="1:1" s="114" customFormat="1">
      <c r="A642" s="145"/>
    </row>
    <row r="643" spans="1:1" s="114" customFormat="1">
      <c r="A643" s="145"/>
    </row>
    <row r="644" spans="1:1" s="114" customFormat="1">
      <c r="A644" s="145"/>
    </row>
    <row r="645" spans="1:1" s="114" customFormat="1">
      <c r="A645" s="145"/>
    </row>
    <row r="646" spans="1:1" s="114" customFormat="1">
      <c r="A646" s="145"/>
    </row>
    <row r="647" spans="1:1" s="114" customFormat="1">
      <c r="A647" s="145"/>
    </row>
    <row r="648" spans="1:1" s="114" customFormat="1">
      <c r="A648" s="145"/>
    </row>
    <row r="649" spans="1:1" s="114" customFormat="1">
      <c r="A649" s="145"/>
    </row>
    <row r="650" spans="1:1" s="114" customFormat="1">
      <c r="A650" s="145"/>
    </row>
    <row r="651" spans="1:1" s="114" customFormat="1">
      <c r="A651" s="145"/>
    </row>
    <row r="652" spans="1:1" s="114" customFormat="1">
      <c r="A652" s="145"/>
    </row>
    <row r="653" spans="1:1" s="114" customFormat="1">
      <c r="A653" s="145"/>
    </row>
    <row r="654" spans="1:1" s="114" customFormat="1">
      <c r="A654" s="145"/>
    </row>
    <row r="655" spans="1:1" s="114" customFormat="1">
      <c r="A655" s="145"/>
    </row>
    <row r="656" spans="1:1" s="114" customFormat="1">
      <c r="A656" s="145"/>
    </row>
    <row r="657" spans="1:1" s="114" customFormat="1">
      <c r="A657" s="145"/>
    </row>
    <row r="658" spans="1:1" s="114" customFormat="1">
      <c r="A658" s="145"/>
    </row>
    <row r="659" spans="1:1" s="114" customFormat="1">
      <c r="A659" s="145"/>
    </row>
    <row r="660" spans="1:1" s="114" customFormat="1">
      <c r="A660" s="145"/>
    </row>
    <row r="661" spans="1:1" s="114" customFormat="1">
      <c r="A661" s="145"/>
    </row>
    <row r="662" spans="1:1" s="114" customFormat="1">
      <c r="A662" s="145"/>
    </row>
    <row r="663" spans="1:1" s="114" customFormat="1">
      <c r="A663" s="145"/>
    </row>
    <row r="664" spans="1:1" s="114" customFormat="1">
      <c r="A664" s="145"/>
    </row>
    <row r="665" spans="1:1" s="114" customFormat="1">
      <c r="A665" s="145"/>
    </row>
    <row r="666" spans="1:1" s="114" customFormat="1">
      <c r="A666" s="145"/>
    </row>
    <row r="667" spans="1:1" s="114" customFormat="1">
      <c r="A667" s="145"/>
    </row>
    <row r="668" spans="1:1" s="114" customFormat="1">
      <c r="A668" s="145"/>
    </row>
    <row r="669" spans="1:1" s="114" customFormat="1">
      <c r="A669" s="145"/>
    </row>
    <row r="670" spans="1:1" s="114" customFormat="1">
      <c r="A670" s="145"/>
    </row>
    <row r="671" spans="1:1" s="114" customFormat="1">
      <c r="A671" s="145"/>
    </row>
    <row r="672" spans="1:1" s="114" customFormat="1">
      <c r="A672" s="145"/>
    </row>
    <row r="673" spans="1:1" s="114" customFormat="1">
      <c r="A673" s="145"/>
    </row>
    <row r="674" spans="1:1" s="114" customFormat="1">
      <c r="A674" s="145"/>
    </row>
    <row r="675" spans="1:1" s="114" customFormat="1">
      <c r="A675" s="145"/>
    </row>
    <row r="676" spans="1:1" s="114" customFormat="1">
      <c r="A676" s="145"/>
    </row>
    <row r="677" spans="1:1" s="114" customFormat="1">
      <c r="A677" s="145"/>
    </row>
    <row r="678" spans="1:1" s="114" customFormat="1">
      <c r="A678" s="145"/>
    </row>
    <row r="679" spans="1:1" s="114" customFormat="1">
      <c r="A679" s="145"/>
    </row>
    <row r="680" spans="1:1" s="114" customFormat="1">
      <c r="A680" s="145"/>
    </row>
    <row r="681" spans="1:1" s="114" customFormat="1">
      <c r="A681" s="145"/>
    </row>
    <row r="682" spans="1:1" s="114" customFormat="1">
      <c r="A682" s="145"/>
    </row>
    <row r="683" spans="1:1" s="114" customFormat="1">
      <c r="A683" s="145"/>
    </row>
    <row r="684" spans="1:1" s="114" customFormat="1">
      <c r="A684" s="145"/>
    </row>
    <row r="685" spans="1:1" s="114" customFormat="1">
      <c r="A685" s="145"/>
    </row>
    <row r="686" spans="1:1" s="114" customFormat="1">
      <c r="A686" s="145"/>
    </row>
    <row r="687" spans="1:1" s="114" customFormat="1">
      <c r="A687" s="145"/>
    </row>
    <row r="688" spans="1:1" s="114" customFormat="1">
      <c r="A688" s="145"/>
    </row>
    <row r="689" spans="1:1" s="114" customFormat="1">
      <c r="A689" s="145"/>
    </row>
    <row r="690" spans="1:1" s="114" customFormat="1">
      <c r="A690" s="145"/>
    </row>
    <row r="691" spans="1:1" s="114" customFormat="1">
      <c r="A691" s="145"/>
    </row>
    <row r="692" spans="1:1" s="114" customFormat="1">
      <c r="A692" s="145"/>
    </row>
    <row r="693" spans="1:1" s="114" customFormat="1">
      <c r="A693" s="145"/>
    </row>
    <row r="694" spans="1:1" s="114" customFormat="1">
      <c r="A694" s="145"/>
    </row>
    <row r="695" spans="1:1" s="114" customFormat="1">
      <c r="A695" s="145"/>
    </row>
    <row r="696" spans="1:1" s="114" customFormat="1">
      <c r="A696" s="145"/>
    </row>
    <row r="697" spans="1:1" s="114" customFormat="1">
      <c r="A697" s="145"/>
    </row>
    <row r="698" spans="1:1" s="114" customFormat="1">
      <c r="A698" s="145"/>
    </row>
    <row r="699" spans="1:1" s="114" customFormat="1">
      <c r="A699" s="145"/>
    </row>
    <row r="700" spans="1:1" s="114" customFormat="1">
      <c r="A700" s="145"/>
    </row>
    <row r="701" spans="1:1" s="114" customFormat="1">
      <c r="A701" s="145"/>
    </row>
    <row r="702" spans="1:1" s="114" customFormat="1">
      <c r="A702" s="145"/>
    </row>
    <row r="703" spans="1:1" s="114" customFormat="1">
      <c r="A703" s="145"/>
    </row>
    <row r="704" spans="1:1" s="114" customFormat="1">
      <c r="A704" s="145"/>
    </row>
    <row r="705" spans="1:1" s="114" customFormat="1">
      <c r="A705" s="145"/>
    </row>
    <row r="706" spans="1:1" s="114" customFormat="1">
      <c r="A706" s="145"/>
    </row>
    <row r="707" spans="1:1" s="114" customFormat="1">
      <c r="A707" s="145"/>
    </row>
    <row r="708" spans="1:1" s="114" customFormat="1">
      <c r="A708" s="145"/>
    </row>
    <row r="709" spans="1:1" s="114" customFormat="1">
      <c r="A709" s="145"/>
    </row>
    <row r="710" spans="1:1" s="114" customFormat="1">
      <c r="A710" s="145"/>
    </row>
    <row r="711" spans="1:1" s="114" customFormat="1">
      <c r="A711" s="145"/>
    </row>
    <row r="712" spans="1:1" s="114" customFormat="1">
      <c r="A712" s="145"/>
    </row>
    <row r="713" spans="1:1" s="114" customFormat="1">
      <c r="A713" s="145"/>
    </row>
    <row r="714" spans="1:1" s="114" customFormat="1">
      <c r="A714" s="145"/>
    </row>
    <row r="715" spans="1:1" s="114" customFormat="1">
      <c r="A715" s="145"/>
    </row>
    <row r="716" spans="1:1" s="114" customFormat="1">
      <c r="A716" s="145"/>
    </row>
    <row r="717" spans="1:1" s="114" customFormat="1">
      <c r="A717" s="145"/>
    </row>
    <row r="718" spans="1:1" s="114" customFormat="1">
      <c r="A718" s="145"/>
    </row>
    <row r="719" spans="1:1" s="114" customFormat="1">
      <c r="A719" s="145"/>
    </row>
    <row r="720" spans="1:1" s="114" customFormat="1">
      <c r="A720" s="145"/>
    </row>
    <row r="721" spans="1:1" s="114" customFormat="1">
      <c r="A721" s="145"/>
    </row>
    <row r="722" spans="1:1" s="114" customFormat="1">
      <c r="A722" s="145"/>
    </row>
    <row r="723" spans="1:1" s="114" customFormat="1">
      <c r="A723" s="145"/>
    </row>
    <row r="724" spans="1:1" s="114" customFormat="1">
      <c r="A724" s="145"/>
    </row>
    <row r="725" spans="1:1" s="114" customFormat="1">
      <c r="A725" s="145"/>
    </row>
    <row r="726" spans="1:1" s="114" customFormat="1">
      <c r="A726" s="145"/>
    </row>
    <row r="727" spans="1:1" s="114" customFormat="1">
      <c r="A727" s="145"/>
    </row>
    <row r="728" spans="1:1" s="114" customFormat="1">
      <c r="A728" s="145"/>
    </row>
    <row r="729" spans="1:1" s="114" customFormat="1">
      <c r="A729" s="145"/>
    </row>
    <row r="730" spans="1:1" s="114" customFormat="1">
      <c r="A730" s="145"/>
    </row>
    <row r="731" spans="1:1" s="114" customFormat="1">
      <c r="A731" s="145"/>
    </row>
    <row r="732" spans="1:1" s="114" customFormat="1">
      <c r="A732" s="145"/>
    </row>
    <row r="733" spans="1:1" s="114" customFormat="1">
      <c r="A733" s="145"/>
    </row>
    <row r="734" spans="1:1" s="114" customFormat="1">
      <c r="A734" s="145"/>
    </row>
    <row r="735" spans="1:1" s="114" customFormat="1">
      <c r="A735" s="145"/>
    </row>
    <row r="736" spans="1:1" s="114" customFormat="1">
      <c r="A736" s="145"/>
    </row>
    <row r="737" spans="1:1" s="114" customFormat="1">
      <c r="A737" s="145"/>
    </row>
    <row r="738" spans="1:1" s="114" customFormat="1">
      <c r="A738" s="145"/>
    </row>
    <row r="739" spans="1:1" s="114" customFormat="1">
      <c r="A739" s="145"/>
    </row>
    <row r="740" spans="1:1" s="114" customFormat="1">
      <c r="A740" s="145"/>
    </row>
    <row r="741" spans="1:1" s="114" customFormat="1">
      <c r="A741" s="145"/>
    </row>
    <row r="742" spans="1:1" s="114" customFormat="1">
      <c r="A742" s="145"/>
    </row>
    <row r="743" spans="1:1" s="114" customFormat="1">
      <c r="A743" s="145"/>
    </row>
    <row r="744" spans="1:1" s="114" customFormat="1">
      <c r="A744" s="145"/>
    </row>
    <row r="745" spans="1:1" s="114" customFormat="1">
      <c r="A745" s="145"/>
    </row>
    <row r="746" spans="1:1" s="114" customFormat="1">
      <c r="A746" s="145"/>
    </row>
    <row r="747" spans="1:1" s="114" customFormat="1">
      <c r="A747" s="145"/>
    </row>
    <row r="748" spans="1:1" s="114" customFormat="1">
      <c r="A748" s="145"/>
    </row>
    <row r="749" spans="1:1" s="114" customFormat="1">
      <c r="A749" s="145"/>
    </row>
    <row r="750" spans="1:1" s="114" customFormat="1">
      <c r="A750" s="145"/>
    </row>
    <row r="751" spans="1:1" s="114" customFormat="1">
      <c r="A751" s="145"/>
    </row>
    <row r="752" spans="1:1" s="114" customFormat="1">
      <c r="A752" s="145"/>
    </row>
    <row r="753" spans="1:1" s="114" customFormat="1">
      <c r="A753" s="145"/>
    </row>
    <row r="754" spans="1:1" s="114" customFormat="1">
      <c r="A754" s="145"/>
    </row>
    <row r="755" spans="1:1" s="114" customFormat="1">
      <c r="A755" s="145"/>
    </row>
    <row r="756" spans="1:1" s="114" customFormat="1">
      <c r="A756" s="145"/>
    </row>
    <row r="757" spans="1:1" s="114" customFormat="1">
      <c r="A757" s="145"/>
    </row>
    <row r="758" spans="1:1" s="114" customFormat="1">
      <c r="A758" s="145"/>
    </row>
    <row r="759" spans="1:1" s="114" customFormat="1">
      <c r="A759" s="145"/>
    </row>
    <row r="760" spans="1:1" s="114" customFormat="1">
      <c r="A760" s="145"/>
    </row>
    <row r="761" spans="1:1" s="114" customFormat="1">
      <c r="A761" s="145"/>
    </row>
    <row r="762" spans="1:1" s="114" customFormat="1">
      <c r="A762" s="145"/>
    </row>
    <row r="763" spans="1:1" s="114" customFormat="1">
      <c r="A763" s="145"/>
    </row>
    <row r="764" spans="1:1" s="114" customFormat="1">
      <c r="A764" s="145"/>
    </row>
    <row r="765" spans="1:1" s="114" customFormat="1">
      <c r="A765" s="145"/>
    </row>
    <row r="766" spans="1:1" s="114" customFormat="1">
      <c r="A766" s="145"/>
    </row>
    <row r="767" spans="1:1" s="114" customFormat="1">
      <c r="A767" s="145"/>
    </row>
    <row r="768" spans="1:1" s="114" customFormat="1">
      <c r="A768" s="145"/>
    </row>
    <row r="769" spans="1:1" s="114" customFormat="1">
      <c r="A769" s="145"/>
    </row>
    <row r="770" spans="1:1" s="114" customFormat="1">
      <c r="A770" s="145"/>
    </row>
    <row r="771" spans="1:1" s="114" customFormat="1">
      <c r="A771" s="145"/>
    </row>
    <row r="772" spans="1:1" s="114" customFormat="1">
      <c r="A772" s="145"/>
    </row>
    <row r="773" spans="1:1" s="114" customFormat="1">
      <c r="A773" s="145"/>
    </row>
    <row r="774" spans="1:1" s="114" customFormat="1">
      <c r="A774" s="145"/>
    </row>
    <row r="775" spans="1:1" s="114" customFormat="1">
      <c r="A775" s="145"/>
    </row>
    <row r="776" spans="1:1" s="114" customFormat="1">
      <c r="A776" s="145"/>
    </row>
    <row r="777" spans="1:1" s="114" customFormat="1">
      <c r="A777" s="145"/>
    </row>
    <row r="778" spans="1:1" s="114" customFormat="1">
      <c r="A778" s="145"/>
    </row>
    <row r="779" spans="1:1" s="114" customFormat="1">
      <c r="A779" s="145"/>
    </row>
    <row r="780" spans="1:1" s="114" customFormat="1">
      <c r="A780" s="145"/>
    </row>
    <row r="781" spans="1:1" s="114" customFormat="1">
      <c r="A781" s="145"/>
    </row>
    <row r="782" spans="1:1" s="114" customFormat="1">
      <c r="A782" s="145"/>
    </row>
    <row r="783" spans="1:1" s="114" customFormat="1">
      <c r="A783" s="145"/>
    </row>
    <row r="784" spans="1:1" s="114" customFormat="1">
      <c r="A784" s="145"/>
    </row>
    <row r="785" spans="1:1" s="114" customFormat="1">
      <c r="A785" s="145"/>
    </row>
    <row r="786" spans="1:1" s="114" customFormat="1">
      <c r="A786" s="145"/>
    </row>
    <row r="787" spans="1:1" s="114" customFormat="1">
      <c r="A787" s="145"/>
    </row>
    <row r="788" spans="1:1" s="114" customFormat="1">
      <c r="A788" s="145"/>
    </row>
    <row r="789" spans="1:1" s="114" customFormat="1">
      <c r="A789" s="145"/>
    </row>
    <row r="790" spans="1:1" s="114" customFormat="1">
      <c r="A790" s="145"/>
    </row>
    <row r="791" spans="1:1" s="114" customFormat="1">
      <c r="A791" s="145"/>
    </row>
    <row r="792" spans="1:1" s="114" customFormat="1">
      <c r="A792" s="145"/>
    </row>
    <row r="793" spans="1:1" s="114" customFormat="1">
      <c r="A793" s="145"/>
    </row>
    <row r="794" spans="1:1" s="114" customFormat="1">
      <c r="A794" s="145"/>
    </row>
    <row r="795" spans="1:1" s="114" customFormat="1">
      <c r="A795" s="145"/>
    </row>
    <row r="796" spans="1:1" s="114" customFormat="1">
      <c r="A796" s="145"/>
    </row>
    <row r="797" spans="1:1" s="114" customFormat="1">
      <c r="A797" s="145"/>
    </row>
    <row r="798" spans="1:1" s="114" customFormat="1">
      <c r="A798" s="145"/>
    </row>
    <row r="799" spans="1:1" s="114" customFormat="1">
      <c r="A799" s="145"/>
    </row>
    <row r="800" spans="1:1" s="114" customFormat="1">
      <c r="A800" s="145"/>
    </row>
    <row r="801" spans="1:11" s="114" customFormat="1">
      <c r="A801" s="145"/>
    </row>
    <row r="802" spans="1:11" s="114" customFormat="1">
      <c r="A802" s="145"/>
    </row>
    <row r="803" spans="1:11" s="114" customFormat="1">
      <c r="A803" s="145"/>
    </row>
    <row r="804" spans="1:11" s="114" customFormat="1">
      <c r="A804" s="145"/>
    </row>
    <row r="805" spans="1:11">
      <c r="A805" s="666"/>
      <c r="C805" s="114"/>
      <c r="D805" s="114"/>
      <c r="E805" s="114"/>
      <c r="F805" s="114"/>
      <c r="G805" s="114"/>
      <c r="H805" s="53"/>
      <c r="I805" s="53"/>
      <c r="K805" s="53"/>
    </row>
  </sheetData>
  <sortState xmlns:xlrd2="http://schemas.microsoft.com/office/spreadsheetml/2017/richdata2" ref="A11:T47">
    <sortCondition ref="B11:B47"/>
  </sortState>
  <mergeCells count="6">
    <mergeCell ref="D9:I9"/>
    <mergeCell ref="J9:N9"/>
    <mergeCell ref="O9:P9"/>
    <mergeCell ref="R9:T9"/>
    <mergeCell ref="O3:P3"/>
    <mergeCell ref="O4:P4"/>
  </mergeCells>
  <hyperlinks>
    <hyperlink ref="K1" location="Index!A1" display="Return to Index" xr:uid="{00000000-0004-0000-0900-000000000000}"/>
  </hyperlinks>
  <printOptions horizontalCentered="1"/>
  <pageMargins left="0.25" right="0.25" top="0.5" bottom="0.5" header="0.5" footer="0.5"/>
  <pageSetup scale="86" orientation="landscape" horizontalDpi="1200" verticalDpi="1200" r:id="rId1"/>
  <headerFooter alignWithMargins="0">
    <oddFooter>&amp;L&amp;8Planning &amp; Accountability&amp;R&amp;8&amp;D</oddFooter>
  </headerFooter>
  <colBreaks count="1" manualBreakCount="1">
    <brk id="10" max="51" man="1"/>
  </colBreaks>
  <drawing r:id="rId2"/>
  <legacyDrawing r:id="rId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4.85546875" style="164" customWidth="1"/>
    <col min="15" max="15" width="14.42578125" style="261" customWidth="1"/>
    <col min="16" max="16" width="25.7109375" style="264" customWidth="1"/>
    <col min="17" max="17" width="16.42578125" style="264" customWidth="1"/>
    <col min="18" max="18" width="17.28515625" style="264" customWidth="1"/>
    <col min="19" max="19" width="1.7109375" style="264" customWidth="1"/>
    <col min="20" max="20" width="17.140625" style="264" customWidth="1"/>
    <col min="21" max="21" width="16.85546875" style="264" customWidth="1"/>
    <col min="22" max="23" width="19.28515625" style="264" customWidth="1"/>
    <col min="24" max="24" width="16.855468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13" t="str">
        <f>'TAMUCT Chrts'!$A$1</f>
        <v>Texas A&amp;M University - Central Texas</v>
      </c>
      <c r="C2" s="1713"/>
      <c r="D2" s="1713"/>
      <c r="E2" s="1713"/>
      <c r="F2" s="1742"/>
      <c r="G2" s="160"/>
      <c r="H2" s="161"/>
      <c r="I2" s="320" t="str">
        <f>IF($B$2&lt;&gt;Input!$B$24,"Name Mismatch","")</f>
        <v/>
      </c>
      <c r="J2" s="168"/>
      <c r="K2" s="169"/>
      <c r="L2" s="169"/>
      <c r="M2" s="170"/>
      <c r="O2" s="835" t="s">
        <v>1200</v>
      </c>
      <c r="P2" s="36"/>
    </row>
    <row r="3" spans="1:28" ht="20.25">
      <c r="A3" s="184">
        <v>2</v>
      </c>
      <c r="B3" s="1713" t="str">
        <f>'Smmy Chrts'!$A$2</f>
        <v>For the Year Ended August 31, 2021</v>
      </c>
      <c r="C3" s="1713"/>
      <c r="D3" s="1713"/>
      <c r="E3" s="1713"/>
      <c r="F3" s="1742"/>
      <c r="G3" s="161"/>
      <c r="H3" s="161"/>
      <c r="I3" s="169"/>
      <c r="J3" s="168"/>
      <c r="K3" s="169"/>
      <c r="L3" s="169"/>
      <c r="M3" s="170"/>
      <c r="O3" s="74"/>
    </row>
    <row r="4" spans="1:28" ht="20.25">
      <c r="A4" s="184">
        <v>3</v>
      </c>
      <c r="B4" s="1713" t="str">
        <f>'Smmy Chrts'!$A$3</f>
        <v>Source: FY 2021 Annual Financial Report</v>
      </c>
      <c r="C4" s="1713"/>
      <c r="D4" s="1713"/>
      <c r="E4" s="1713"/>
      <c r="F4" s="1742"/>
      <c r="G4" s="161"/>
      <c r="H4" s="161"/>
      <c r="I4" s="169"/>
      <c r="J4" s="168"/>
      <c r="K4" s="169"/>
      <c r="L4" s="169"/>
      <c r="M4" s="170"/>
      <c r="O4" s="74"/>
      <c r="P4" s="1744" t="s">
        <v>93</v>
      </c>
      <c r="Q4" s="1745"/>
      <c r="T4" s="36" t="s">
        <v>250</v>
      </c>
    </row>
    <row r="5" spans="1:28">
      <c r="A5" s="184">
        <v>4</v>
      </c>
      <c r="B5" s="160"/>
      <c r="C5" s="160"/>
      <c r="D5" s="160"/>
      <c r="E5" s="160"/>
      <c r="F5" s="160"/>
      <c r="G5" s="160"/>
      <c r="H5" s="160"/>
      <c r="I5" s="160"/>
      <c r="J5" s="160"/>
      <c r="K5" s="160"/>
      <c r="L5" s="160"/>
      <c r="M5" s="166"/>
      <c r="O5" s="262"/>
    </row>
    <row r="6" spans="1:28">
      <c r="A6" s="184">
        <v>5</v>
      </c>
      <c r="B6" s="1715" t="str">
        <f>'Smmy Chrts'!$C$32</f>
        <v>Detail Worksheet FY 2021</v>
      </c>
      <c r="C6" s="1715"/>
      <c r="D6" s="1743"/>
      <c r="E6" s="1743"/>
      <c r="F6" s="1743"/>
      <c r="G6" s="1743"/>
      <c r="H6" s="1743"/>
      <c r="I6" s="1743"/>
      <c r="J6" s="1743"/>
      <c r="K6" s="1743"/>
      <c r="L6" s="1743"/>
      <c r="M6" s="1743"/>
      <c r="O6" s="265"/>
    </row>
    <row r="7" spans="1:28">
      <c r="A7" s="184">
        <v>6</v>
      </c>
      <c r="B7" s="172"/>
      <c r="C7" s="172"/>
      <c r="D7" s="160"/>
      <c r="E7" s="160"/>
      <c r="F7" s="160"/>
      <c r="G7" s="160"/>
      <c r="H7" s="160"/>
      <c r="I7" s="160"/>
      <c r="J7" s="160"/>
      <c r="K7" s="160"/>
      <c r="L7" s="160"/>
      <c r="M7" s="173" t="str">
        <f>'Smmy Chrts'!$C$33</f>
        <v>FY 2021</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Input!$M$24</f>
        <v>18317955</v>
      </c>
      <c r="E10" s="372">
        <f>Input!$N$24</f>
        <v>0</v>
      </c>
      <c r="F10" s="372">
        <f>Input!$O$24</f>
        <v>0</v>
      </c>
      <c r="G10" s="372">
        <f>Input!$P$24</f>
        <v>0</v>
      </c>
      <c r="H10" s="372">
        <f>Input!$Q$24</f>
        <v>0</v>
      </c>
      <c r="I10" s="372">
        <f>Input!$R$24</f>
        <v>0</v>
      </c>
      <c r="J10" s="372">
        <f>Input!$S$24</f>
        <v>0</v>
      </c>
      <c r="K10" s="372">
        <f>Input!$T$24</f>
        <v>0</v>
      </c>
      <c r="L10" s="372">
        <f>Input!$U$24</f>
        <v>0</v>
      </c>
      <c r="M10" s="373">
        <f t="shared" ref="M10:M15" si="0">D10+E10+F10+G10+H10+I10+J10+K10+L10</f>
        <v>18317955</v>
      </c>
      <c r="N10" s="160"/>
      <c r="O10" s="271"/>
      <c r="P10" s="1718" t="s">
        <v>575</v>
      </c>
      <c r="U10" s="268"/>
    </row>
    <row r="11" spans="1:28">
      <c r="A11" s="184">
        <v>10</v>
      </c>
      <c r="B11" s="160" t="s">
        <v>2</v>
      </c>
      <c r="C11" s="160"/>
      <c r="D11" s="372">
        <f>Input!$V$24</f>
        <v>460509</v>
      </c>
      <c r="E11" s="372">
        <f>Input!$W$24</f>
        <v>16000</v>
      </c>
      <c r="F11" s="372">
        <f>Input!$X$24</f>
        <v>0</v>
      </c>
      <c r="G11" s="372">
        <f>Input!$Y$24</f>
        <v>0</v>
      </c>
      <c r="H11" s="372">
        <f>Input!$Z$24</f>
        <v>0</v>
      </c>
      <c r="I11" s="372">
        <f>Input!$AA$24</f>
        <v>0</v>
      </c>
      <c r="J11" s="372">
        <f>Input!$AB$24</f>
        <v>0</v>
      </c>
      <c r="K11" s="372">
        <f>Input!$AC$24</f>
        <v>0</v>
      </c>
      <c r="L11" s="372">
        <f>Input!$AD$24</f>
        <v>0</v>
      </c>
      <c r="M11" s="373">
        <f t="shared" si="0"/>
        <v>476509</v>
      </c>
      <c r="N11" s="160"/>
      <c r="O11" s="482"/>
      <c r="P11" s="1719"/>
      <c r="U11" s="268"/>
    </row>
    <row r="12" spans="1:28" ht="12.75" hidden="1" customHeight="1">
      <c r="B12" s="160" t="s">
        <v>1410</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Input!$AN$24</f>
        <v>0</v>
      </c>
      <c r="E13" s="372">
        <f>Input!$AO$24</f>
        <v>0</v>
      </c>
      <c r="F13" s="372">
        <f>Input!$AP$24</f>
        <v>0</v>
      </c>
      <c r="G13" s="372">
        <f>Input!$AQ$24</f>
        <v>0</v>
      </c>
      <c r="H13" s="372">
        <f>Input!$AR$24</f>
        <v>0</v>
      </c>
      <c r="I13" s="372">
        <f>Input!$AS$24</f>
        <v>0</v>
      </c>
      <c r="J13" s="372">
        <f>Input!$AT$24</f>
        <v>0</v>
      </c>
      <c r="K13" s="372">
        <f>Input!$AU$24</f>
        <v>0</v>
      </c>
      <c r="L13" s="372">
        <f>Input!$AV$24</f>
        <v>0</v>
      </c>
      <c r="M13" s="373">
        <f t="shared" si="0"/>
        <v>0</v>
      </c>
      <c r="N13" s="160"/>
      <c r="O13" s="482" t="str">
        <f>IF(P13&lt;&gt;M13,"Out of Balance","Balanced")</f>
        <v>Balanced</v>
      </c>
      <c r="P13" s="484">
        <f>IFERROR(VLOOKUP($B$2,AMTLU,6,FALSE),0)</f>
        <v>0</v>
      </c>
      <c r="U13" s="268"/>
    </row>
    <row r="14" spans="1:28">
      <c r="A14" s="184">
        <v>13</v>
      </c>
      <c r="B14" s="160" t="s">
        <v>49</v>
      </c>
      <c r="C14" s="160"/>
      <c r="D14" s="372">
        <f>Input!$AW$24</f>
        <v>0</v>
      </c>
      <c r="E14" s="372">
        <f>Input!$AX$24</f>
        <v>0</v>
      </c>
      <c r="F14" s="372">
        <f>Input!$AY$24</f>
        <v>0</v>
      </c>
      <c r="G14" s="372">
        <f>Input!$AZ$24</f>
        <v>0</v>
      </c>
      <c r="H14" s="372">
        <f>Input!$BA$24</f>
        <v>0</v>
      </c>
      <c r="I14" s="372">
        <f>Input!$BB$24</f>
        <v>0</v>
      </c>
      <c r="J14" s="372">
        <f>Input!$BC$24</f>
        <v>0</v>
      </c>
      <c r="K14" s="372">
        <f>Input!$BD$24</f>
        <v>0</v>
      </c>
      <c r="L14" s="372">
        <f>Input!$BE$24</f>
        <v>0</v>
      </c>
      <c r="M14" s="373">
        <f t="shared" si="0"/>
        <v>0</v>
      </c>
      <c r="N14" s="160"/>
      <c r="O14" s="482"/>
      <c r="P14" s="485"/>
    </row>
    <row r="15" spans="1:28" ht="15">
      <c r="A15" s="184">
        <v>14</v>
      </c>
      <c r="B15" s="176" t="s">
        <v>3</v>
      </c>
      <c r="C15" s="176"/>
      <c r="D15" s="374">
        <f t="shared" ref="D15:L15" si="1">SUM(D10:D14)</f>
        <v>18778464</v>
      </c>
      <c r="E15" s="374">
        <f t="shared" si="1"/>
        <v>16000</v>
      </c>
      <c r="F15" s="374">
        <f t="shared" si="1"/>
        <v>0</v>
      </c>
      <c r="G15" s="374">
        <f t="shared" si="1"/>
        <v>0</v>
      </c>
      <c r="H15" s="374">
        <f t="shared" si="1"/>
        <v>0</v>
      </c>
      <c r="I15" s="374">
        <f t="shared" si="1"/>
        <v>0</v>
      </c>
      <c r="J15" s="374">
        <f t="shared" si="1"/>
        <v>0</v>
      </c>
      <c r="K15" s="374">
        <f t="shared" si="1"/>
        <v>0</v>
      </c>
      <c r="L15" s="374">
        <f t="shared" si="1"/>
        <v>0</v>
      </c>
      <c r="M15" s="374">
        <f t="shared" si="0"/>
        <v>18794464</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58" t="s">
        <v>1042</v>
      </c>
      <c r="C18" s="558"/>
      <c r="D18" s="374">
        <f t="shared" ref="D18:L18" si="2">D23-SUM(D19:D22)</f>
        <v>3612726</v>
      </c>
      <c r="E18" s="374">
        <f t="shared" si="2"/>
        <v>9013187</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12625913</v>
      </c>
      <c r="V18" s="327"/>
      <c r="X18" s="330"/>
    </row>
    <row r="19" spans="1:26" s="264" customFormat="1" ht="12.75" customHeight="1" thickTop="1" thickBot="1">
      <c r="A19" s="263"/>
      <c r="B19" s="261" t="s">
        <v>722</v>
      </c>
      <c r="C19" s="261"/>
      <c r="D19" s="372">
        <f>Input!$BF$24</f>
        <v>-861313</v>
      </c>
      <c r="E19" s="372">
        <f>Input!$BG$24</f>
        <v>0</v>
      </c>
      <c r="F19" s="372">
        <f>Input!$BH$24</f>
        <v>0</v>
      </c>
      <c r="G19" s="372">
        <f>Input!$BI$24</f>
        <v>0</v>
      </c>
      <c r="H19" s="372">
        <f>Input!$BJ$24</f>
        <v>0</v>
      </c>
      <c r="I19" s="372">
        <f>Input!$BK$24</f>
        <v>0</v>
      </c>
      <c r="J19" s="372">
        <f>Input!$BL$24</f>
        <v>0</v>
      </c>
      <c r="K19" s="372">
        <f>Input!$BM$24</f>
        <v>0</v>
      </c>
      <c r="L19" s="372">
        <f>Input!$BN$24</f>
        <v>0</v>
      </c>
      <c r="M19" s="373">
        <f t="shared" si="3"/>
        <v>-861313</v>
      </c>
      <c r="O19" s="1732" t="s">
        <v>1294</v>
      </c>
      <c r="P19" s="1733"/>
      <c r="Q19" s="1733"/>
      <c r="R19" s="1734"/>
      <c r="T19" s="1735" t="s">
        <v>1043</v>
      </c>
      <c r="U19" s="1736"/>
      <c r="V19" s="1736"/>
      <c r="W19" s="1736"/>
      <c r="X19" s="1737"/>
    </row>
    <row r="20" spans="1:26" s="264" customFormat="1" ht="12.75" customHeight="1" thickTop="1">
      <c r="A20" s="263"/>
      <c r="B20" s="261" t="s">
        <v>723</v>
      </c>
      <c r="C20" s="261"/>
      <c r="D20" s="372">
        <f>Input!$BO$24</f>
        <v>0</v>
      </c>
      <c r="E20" s="372">
        <f>Input!$BP$24</f>
        <v>0</v>
      </c>
      <c r="F20" s="372">
        <f>Input!$BQ$24</f>
        <v>0</v>
      </c>
      <c r="G20" s="372">
        <f>Input!$BR$24</f>
        <v>0</v>
      </c>
      <c r="H20" s="372">
        <f>Input!$BS$24</f>
        <v>0</v>
      </c>
      <c r="I20" s="372">
        <f>Input!$BT$24</f>
        <v>0</v>
      </c>
      <c r="J20" s="372">
        <f>Input!$BU$24</f>
        <v>0</v>
      </c>
      <c r="K20" s="372">
        <f>Input!$BV$24</f>
        <v>0</v>
      </c>
      <c r="L20" s="372">
        <f>Input!$BW$24</f>
        <v>0</v>
      </c>
      <c r="M20" s="373">
        <f t="shared" si="3"/>
        <v>0</v>
      </c>
      <c r="O20" s="421" t="s">
        <v>288</v>
      </c>
      <c r="P20" s="422"/>
      <c r="Q20" s="414"/>
      <c r="R20" s="559"/>
      <c r="T20" s="560" t="s">
        <v>1044</v>
      </c>
      <c r="U20" s="266"/>
      <c r="V20" s="266"/>
      <c r="X20" s="425"/>
    </row>
    <row r="21" spans="1:26" s="264" customFormat="1">
      <c r="A21" s="263"/>
      <c r="B21" s="261" t="s">
        <v>724</v>
      </c>
      <c r="C21" s="261"/>
      <c r="D21" s="372">
        <f>Input!$BX$24</f>
        <v>0</v>
      </c>
      <c r="E21" s="372">
        <f>Input!$BY$24</f>
        <v>0</v>
      </c>
      <c r="F21" s="372">
        <f>Input!$BZ$24</f>
        <v>0</v>
      </c>
      <c r="G21" s="372">
        <f>Input!$CA$24</f>
        <v>0</v>
      </c>
      <c r="H21" s="372">
        <f>Input!$CB$24</f>
        <v>0</v>
      </c>
      <c r="I21" s="372">
        <f>Input!$CC$24</f>
        <v>0</v>
      </c>
      <c r="J21" s="372">
        <f>Input!$CD$24</f>
        <v>0</v>
      </c>
      <c r="K21" s="372">
        <f>Input!$CE$24</f>
        <v>0</v>
      </c>
      <c r="L21" s="372">
        <f>Input!$CF$24</f>
        <v>0</v>
      </c>
      <c r="M21" s="373">
        <f t="shared" si="3"/>
        <v>0</v>
      </c>
      <c r="O21" s="434"/>
      <c r="R21" s="561"/>
      <c r="T21" s="650" t="s">
        <v>1045</v>
      </c>
      <c r="U21" s="266"/>
      <c r="V21" s="266"/>
      <c r="W21" s="651">
        <f>M44</f>
        <v>12660399</v>
      </c>
      <c r="X21" s="425"/>
      <c r="Z21" s="330"/>
    </row>
    <row r="22" spans="1:26" s="264" customFormat="1">
      <c r="A22" s="263"/>
      <c r="B22" s="261" t="s">
        <v>725</v>
      </c>
      <c r="C22" s="261"/>
      <c r="D22" s="372">
        <f>Input!$CG$24</f>
        <v>0</v>
      </c>
      <c r="E22" s="372">
        <f>Input!$CH$24</f>
        <v>0</v>
      </c>
      <c r="F22" s="372">
        <f>Input!$CI$24</f>
        <v>0</v>
      </c>
      <c r="G22" s="372">
        <f>Input!$CJ$24</f>
        <v>0</v>
      </c>
      <c r="H22" s="372">
        <f>Input!$CK$24</f>
        <v>0</v>
      </c>
      <c r="I22" s="372">
        <f>Input!$CL$24</f>
        <v>0</v>
      </c>
      <c r="J22" s="372">
        <f>Input!$CM$24</f>
        <v>0</v>
      </c>
      <c r="K22" s="372">
        <f>Input!$CN$24</f>
        <v>0</v>
      </c>
      <c r="L22" s="372">
        <f>Input!$CO$24</f>
        <v>0</v>
      </c>
      <c r="M22" s="373">
        <f t="shared" si="3"/>
        <v>0</v>
      </c>
      <c r="N22" s="270"/>
      <c r="O22" s="434" t="s">
        <v>1046</v>
      </c>
      <c r="P22" s="276"/>
      <c r="Q22" s="424">
        <f>M23</f>
        <v>11764600</v>
      </c>
      <c r="R22" s="562"/>
      <c r="T22" s="650" t="s">
        <v>1047</v>
      </c>
      <c r="U22" s="266"/>
      <c r="V22" s="266"/>
      <c r="W22" s="652">
        <f>R30*-1</f>
        <v>4312520</v>
      </c>
      <c r="X22" s="425"/>
    </row>
    <row r="23" spans="1:26" s="264" customFormat="1" ht="12.75" customHeight="1">
      <c r="A23" s="263"/>
      <c r="B23" s="558" t="s">
        <v>726</v>
      </c>
      <c r="C23" s="563"/>
      <c r="D23" s="564">
        <f>Input!$CP$24</f>
        <v>2751413</v>
      </c>
      <c r="E23" s="564">
        <f>Input!$CQ$24</f>
        <v>9013187</v>
      </c>
      <c r="F23" s="564">
        <f>Input!$CR$24</f>
        <v>0</v>
      </c>
      <c r="G23" s="564">
        <f>Input!$CS$24</f>
        <v>0</v>
      </c>
      <c r="H23" s="564">
        <f>Input!$CT$24</f>
        <v>0</v>
      </c>
      <c r="I23" s="564">
        <f>Input!$CU$24</f>
        <v>0</v>
      </c>
      <c r="J23" s="564">
        <f>Input!$CV$24</f>
        <v>0</v>
      </c>
      <c r="K23" s="564">
        <f>Input!$CW$24</f>
        <v>0</v>
      </c>
      <c r="L23" s="564">
        <f>Input!$CX$24</f>
        <v>0</v>
      </c>
      <c r="M23" s="565">
        <f t="shared" si="3"/>
        <v>11764600</v>
      </c>
      <c r="O23" s="434"/>
      <c r="P23" s="276"/>
      <c r="Q23" s="424"/>
      <c r="R23" s="562"/>
      <c r="T23" s="560" t="s">
        <v>1230</v>
      </c>
      <c r="U23" s="266"/>
      <c r="V23" s="266"/>
      <c r="W23" s="276"/>
      <c r="X23" s="425">
        <f>SUM(W21:W22)</f>
        <v>16972919</v>
      </c>
      <c r="Z23" s="330"/>
    </row>
    <row r="24" spans="1:26" s="264" customFormat="1" ht="12.75" customHeight="1">
      <c r="A24" s="263"/>
      <c r="B24" s="261" t="s">
        <v>727</v>
      </c>
      <c r="C24" s="566"/>
      <c r="D24" s="372">
        <f>Input!$CY$24</f>
        <v>0</v>
      </c>
      <c r="E24" s="372">
        <f>Input!$CZ$24</f>
        <v>0</v>
      </c>
      <c r="F24" s="372">
        <f>Input!$DA$24</f>
        <v>0</v>
      </c>
      <c r="G24" s="372">
        <f>Input!$DB$24</f>
        <v>0</v>
      </c>
      <c r="H24" s="372">
        <f>Input!$DC$24</f>
        <v>0</v>
      </c>
      <c r="I24" s="372">
        <f>Input!$DD$24</f>
        <v>0</v>
      </c>
      <c r="J24" s="372">
        <f>Input!$DE$24</f>
        <v>0</v>
      </c>
      <c r="K24" s="372">
        <f>Input!$DF$24</f>
        <v>0</v>
      </c>
      <c r="L24" s="372">
        <f>Input!$DG$24</f>
        <v>0</v>
      </c>
      <c r="M24" s="567">
        <f t="shared" si="3"/>
        <v>0</v>
      </c>
      <c r="O24" s="417" t="s">
        <v>1048</v>
      </c>
      <c r="P24" s="276"/>
      <c r="Q24" s="327"/>
      <c r="R24" s="646">
        <f>SUM(M24:M28)</f>
        <v>-2989332</v>
      </c>
      <c r="T24" s="560"/>
      <c r="U24" s="266"/>
      <c r="V24" s="266"/>
      <c r="X24" s="425"/>
      <c r="Z24" s="330"/>
    </row>
    <row r="25" spans="1:26" s="264" customFormat="1" ht="12.75" customHeight="1">
      <c r="A25" s="263"/>
      <c r="B25" s="261" t="s">
        <v>728</v>
      </c>
      <c r="C25" s="566"/>
      <c r="D25" s="372">
        <f>Input!$DH$24</f>
        <v>0</v>
      </c>
      <c r="E25" s="372">
        <f>Input!$DI$24</f>
        <v>0</v>
      </c>
      <c r="F25" s="372">
        <f>Input!$DJ$24</f>
        <v>0</v>
      </c>
      <c r="G25" s="372">
        <f>Input!$DK$24</f>
        <v>0</v>
      </c>
      <c r="H25" s="372">
        <f>Input!$DL$24</f>
        <v>0</v>
      </c>
      <c r="I25" s="372">
        <f>Input!$DM$24</f>
        <v>0</v>
      </c>
      <c r="J25" s="372">
        <f>Input!$DN$24</f>
        <v>0</v>
      </c>
      <c r="K25" s="372">
        <f>Input!$DO$24</f>
        <v>0</v>
      </c>
      <c r="L25" s="372">
        <f>Input!$DP$24</f>
        <v>0</v>
      </c>
      <c r="M25" s="567">
        <f t="shared" si="3"/>
        <v>0</v>
      </c>
      <c r="O25" s="434"/>
      <c r="P25" s="276"/>
      <c r="Q25" s="327"/>
      <c r="R25" s="646"/>
      <c r="T25" s="568" t="s">
        <v>1103</v>
      </c>
      <c r="U25" s="569"/>
      <c r="V25" s="569"/>
      <c r="W25" s="653">
        <f>(M26+M39)*-1</f>
        <v>1567660</v>
      </c>
      <c r="X25" s="425"/>
      <c r="Z25" s="330"/>
    </row>
    <row r="26" spans="1:26" s="264" customFormat="1" ht="12.75" customHeight="1">
      <c r="A26" s="263"/>
      <c r="B26" s="261" t="s">
        <v>729</v>
      </c>
      <c r="C26" s="566"/>
      <c r="D26" s="372">
        <f>Input!$DQ$24</f>
        <v>-261357</v>
      </c>
      <c r="E26" s="372">
        <f>Input!$DR$24</f>
        <v>-1306303</v>
      </c>
      <c r="F26" s="372">
        <f>Input!$DS$24</f>
        <v>0</v>
      </c>
      <c r="G26" s="372">
        <f>Input!$DT$24</f>
        <v>0</v>
      </c>
      <c r="H26" s="372">
        <f>Input!$DU$24</f>
        <v>0</v>
      </c>
      <c r="I26" s="372">
        <f>Input!$DV$24</f>
        <v>0</v>
      </c>
      <c r="J26" s="372">
        <f>Input!$DW$24</f>
        <v>0</v>
      </c>
      <c r="K26" s="372">
        <f>Input!$DX$24</f>
        <v>0</v>
      </c>
      <c r="L26" s="372">
        <f>Input!$DY$24</f>
        <v>0</v>
      </c>
      <c r="M26" s="567">
        <f t="shared" si="3"/>
        <v>-1567660</v>
      </c>
      <c r="O26" s="434" t="s">
        <v>1049</v>
      </c>
      <c r="P26" s="276"/>
      <c r="Q26" s="427">
        <f>M36</f>
        <v>5208319</v>
      </c>
      <c r="R26" s="570"/>
      <c r="T26" s="560" t="s">
        <v>1104</v>
      </c>
      <c r="U26" s="266"/>
      <c r="V26" s="266"/>
      <c r="W26" s="571">
        <f>(M21+M34)*-1</f>
        <v>0</v>
      </c>
      <c r="X26" s="425"/>
      <c r="Z26" s="330"/>
    </row>
    <row r="27" spans="1:26" s="264" customFormat="1">
      <c r="A27" s="263"/>
      <c r="B27" s="261" t="s">
        <v>730</v>
      </c>
      <c r="C27" s="566"/>
      <c r="D27" s="372">
        <f>Input!$DZ$24</f>
        <v>0</v>
      </c>
      <c r="E27" s="372">
        <f>Input!$EA$24</f>
        <v>0</v>
      </c>
      <c r="F27" s="372">
        <f>Input!$EB$24</f>
        <v>0</v>
      </c>
      <c r="G27" s="372">
        <f>Input!$EC$24</f>
        <v>0</v>
      </c>
      <c r="H27" s="372">
        <f>Input!$ED$24</f>
        <v>0</v>
      </c>
      <c r="I27" s="372">
        <f>Input!$EE$24</f>
        <v>0</v>
      </c>
      <c r="J27" s="372">
        <f>Input!$EF$24</f>
        <v>0</v>
      </c>
      <c r="K27" s="372">
        <f>Input!$EG$24</f>
        <v>0</v>
      </c>
      <c r="L27" s="372">
        <f>Input!EH6</f>
        <v>0</v>
      </c>
      <c r="M27" s="567">
        <f t="shared" si="3"/>
        <v>0</v>
      </c>
      <c r="O27" s="434"/>
      <c r="P27" s="276"/>
      <c r="Q27" s="427"/>
      <c r="R27" s="570"/>
      <c r="T27" s="650" t="s">
        <v>1105</v>
      </c>
      <c r="U27" s="584"/>
      <c r="V27" s="584"/>
      <c r="W27" s="654">
        <f>SUM(W25:W26)</f>
        <v>1567660</v>
      </c>
      <c r="X27" s="655"/>
    </row>
    <row r="28" spans="1:26" s="264" customFormat="1">
      <c r="A28" s="263"/>
      <c r="B28" s="261" t="s">
        <v>2133</v>
      </c>
      <c r="C28" s="566"/>
      <c r="D28" s="372">
        <f>Input!$EI$24</f>
        <v>-437764</v>
      </c>
      <c r="E28" s="372">
        <f>Input!$EJ$24</f>
        <v>-983908</v>
      </c>
      <c r="F28" s="372">
        <f>Input!$EK$24</f>
        <v>0</v>
      </c>
      <c r="G28" s="372">
        <f>Input!$EL$24</f>
        <v>0</v>
      </c>
      <c r="H28" s="372">
        <f>Input!$EM$24</f>
        <v>0</v>
      </c>
      <c r="I28" s="372">
        <f>Input!$EN$24</f>
        <v>0</v>
      </c>
      <c r="J28" s="372">
        <f>Input!$EO$24</f>
        <v>0</v>
      </c>
      <c r="K28" s="372">
        <f>Input!$EP$24</f>
        <v>0</v>
      </c>
      <c r="L28" s="372">
        <f>Input!$EQ$24</f>
        <v>0</v>
      </c>
      <c r="M28" s="567">
        <f t="shared" si="3"/>
        <v>-1421672</v>
      </c>
      <c r="O28" s="417" t="s">
        <v>1050</v>
      </c>
      <c r="Q28" s="429"/>
      <c r="R28" s="646">
        <f>SUM(M37:M41)</f>
        <v>-1323188</v>
      </c>
      <c r="T28" s="560" t="s">
        <v>1106</v>
      </c>
      <c r="U28" s="266"/>
      <c r="V28" s="266"/>
      <c r="W28" s="425">
        <f>(M27+M40)*-1</f>
        <v>0</v>
      </c>
      <c r="X28" s="655"/>
      <c r="Z28" s="330"/>
    </row>
    <row r="29" spans="1:26" s="264" customFormat="1" ht="12" customHeight="1">
      <c r="A29" s="263"/>
      <c r="B29" s="575" t="s">
        <v>39</v>
      </c>
      <c r="C29" s="563"/>
      <c r="D29" s="374">
        <f t="shared" ref="D29:L29" si="4">SUM(D23:D28)</f>
        <v>2052292</v>
      </c>
      <c r="E29" s="374">
        <f t="shared" si="4"/>
        <v>6722976</v>
      </c>
      <c r="F29" s="374">
        <f t="shared" si="4"/>
        <v>0</v>
      </c>
      <c r="G29" s="374">
        <f t="shared" si="4"/>
        <v>0</v>
      </c>
      <c r="H29" s="374">
        <f t="shared" si="4"/>
        <v>0</v>
      </c>
      <c r="I29" s="374">
        <f t="shared" si="4"/>
        <v>0</v>
      </c>
      <c r="J29" s="374">
        <f t="shared" si="4"/>
        <v>0</v>
      </c>
      <c r="K29" s="374">
        <f t="shared" si="4"/>
        <v>0</v>
      </c>
      <c r="L29" s="374">
        <f t="shared" si="4"/>
        <v>0</v>
      </c>
      <c r="M29" s="374">
        <f t="shared" si="3"/>
        <v>8775268</v>
      </c>
      <c r="O29" s="417"/>
      <c r="Q29" s="429"/>
      <c r="R29" s="576"/>
      <c r="T29" s="560" t="s">
        <v>1107</v>
      </c>
      <c r="U29" s="266"/>
      <c r="V29" s="266"/>
      <c r="W29" s="571">
        <f>(M22+M35)*-1</f>
        <v>0</v>
      </c>
      <c r="X29" s="655"/>
    </row>
    <row r="30" spans="1:26" s="264" customFormat="1" ht="16.5" customHeight="1">
      <c r="A30" s="263"/>
      <c r="B30" s="261"/>
      <c r="C30" s="566"/>
      <c r="D30" s="566"/>
      <c r="E30" s="566"/>
      <c r="F30" s="566"/>
      <c r="G30" s="566"/>
      <c r="H30" s="566"/>
      <c r="I30" s="566"/>
      <c r="J30" s="566"/>
      <c r="K30" s="566"/>
      <c r="L30" s="566"/>
      <c r="M30" s="567"/>
      <c r="O30" s="431" t="s">
        <v>289</v>
      </c>
      <c r="P30" s="432"/>
      <c r="Q30" s="433">
        <f>Q26+Q22</f>
        <v>16972919</v>
      </c>
      <c r="R30" s="647">
        <f>R28+R24</f>
        <v>-4312520</v>
      </c>
      <c r="T30" s="650" t="s">
        <v>1108</v>
      </c>
      <c r="U30" s="584"/>
      <c r="V30" s="584"/>
      <c r="W30" s="654">
        <f>SUM(W28:W29)</f>
        <v>0</v>
      </c>
      <c r="X30" s="655"/>
    </row>
    <row r="31" spans="1:26" s="264" customFormat="1" ht="12.75" customHeight="1">
      <c r="A31" s="263"/>
      <c r="B31" s="558" t="s">
        <v>1052</v>
      </c>
      <c r="C31" s="558"/>
      <c r="D31" s="374">
        <f t="shared" ref="D31:L31" si="5">D36-SUM(D32:D35)</f>
        <v>28961</v>
      </c>
      <c r="E31" s="374">
        <f t="shared" si="5"/>
        <v>5178483</v>
      </c>
      <c r="F31" s="374">
        <f t="shared" si="5"/>
        <v>0</v>
      </c>
      <c r="G31" s="374">
        <f t="shared" si="5"/>
        <v>875</v>
      </c>
      <c r="H31" s="374">
        <f t="shared" si="5"/>
        <v>0</v>
      </c>
      <c r="I31" s="374">
        <f t="shared" si="5"/>
        <v>0</v>
      </c>
      <c r="J31" s="374">
        <f t="shared" si="5"/>
        <v>0</v>
      </c>
      <c r="K31" s="374">
        <f t="shared" si="5"/>
        <v>0</v>
      </c>
      <c r="L31" s="374">
        <f t="shared" si="5"/>
        <v>0</v>
      </c>
      <c r="M31" s="374">
        <f t="shared" ref="M31:M42" si="6">D31+E31+F31+G31+H31+I31+J31+K31+L31</f>
        <v>5208319</v>
      </c>
      <c r="O31" s="434" t="s">
        <v>290</v>
      </c>
      <c r="P31" s="276"/>
      <c r="Q31" s="335"/>
      <c r="R31" s="562"/>
      <c r="T31" s="572" t="s">
        <v>1109</v>
      </c>
      <c r="U31" s="573"/>
      <c r="V31" s="573"/>
      <c r="W31" s="574">
        <f>W27+W30</f>
        <v>1567660</v>
      </c>
      <c r="X31" s="425"/>
      <c r="Z31" s="330"/>
    </row>
    <row r="32" spans="1:26" s="264" customFormat="1" ht="12.75" customHeight="1">
      <c r="A32" s="263"/>
      <c r="B32" s="261" t="s">
        <v>722</v>
      </c>
      <c r="C32" s="261"/>
      <c r="D32" s="372">
        <f>Input!$ER$24</f>
        <v>0</v>
      </c>
      <c r="E32" s="372">
        <f>Input!$ES$24</f>
        <v>0</v>
      </c>
      <c r="F32" s="372">
        <f>Input!$ET$24</f>
        <v>0</v>
      </c>
      <c r="G32" s="372">
        <f>Input!$EU$24</f>
        <v>0</v>
      </c>
      <c r="H32" s="372">
        <f>Input!$EV$24</f>
        <v>0</v>
      </c>
      <c r="I32" s="372">
        <f>Input!$EW$24</f>
        <v>0</v>
      </c>
      <c r="J32" s="372">
        <f>Input!$EX$24</f>
        <v>0</v>
      </c>
      <c r="K32" s="372">
        <f>Input!$EY$24</f>
        <v>0</v>
      </c>
      <c r="L32" s="372">
        <f>Input!$EZ$24</f>
        <v>0</v>
      </c>
      <c r="M32" s="567">
        <f t="shared" si="6"/>
        <v>0</v>
      </c>
      <c r="O32" s="415" t="s">
        <v>1295</v>
      </c>
      <c r="P32" s="416"/>
      <c r="Q32" s="577">
        <f>Input!$SQ$24</f>
        <v>16972919</v>
      </c>
      <c r="R32" s="578"/>
      <c r="T32" s="560"/>
      <c r="U32" s="266"/>
      <c r="V32" s="266"/>
      <c r="X32" s="425"/>
      <c r="Z32" s="330"/>
    </row>
    <row r="33" spans="1:24" s="264" customFormat="1">
      <c r="A33" s="263"/>
      <c r="B33" s="261" t="s">
        <v>723</v>
      </c>
      <c r="C33" s="261"/>
      <c r="D33" s="372">
        <f>Input!$FA$24</f>
        <v>0</v>
      </c>
      <c r="E33" s="372">
        <f>Input!$FB$24</f>
        <v>0</v>
      </c>
      <c r="F33" s="372">
        <f>Input!$FC$24</f>
        <v>0</v>
      </c>
      <c r="G33" s="372">
        <f>Input!$FD$24</f>
        <v>0</v>
      </c>
      <c r="H33" s="372">
        <f>Input!$FE$24</f>
        <v>0</v>
      </c>
      <c r="I33" s="372">
        <f>Input!$FF$24</f>
        <v>0</v>
      </c>
      <c r="J33" s="372">
        <f>Input!$FG$24</f>
        <v>0</v>
      </c>
      <c r="K33" s="372">
        <f>Input!$FH$24</f>
        <v>0</v>
      </c>
      <c r="L33" s="372">
        <f>Input!$FI$24</f>
        <v>0</v>
      </c>
      <c r="M33" s="567">
        <f t="shared" si="6"/>
        <v>0</v>
      </c>
      <c r="O33" s="415"/>
      <c r="P33" s="416"/>
      <c r="Q33" s="327"/>
      <c r="R33" s="578"/>
      <c r="T33" s="560" t="s">
        <v>1051</v>
      </c>
      <c r="U33" s="266"/>
      <c r="V33" s="266"/>
      <c r="W33" s="334">
        <f>(M19+M32)*-1</f>
        <v>861313</v>
      </c>
      <c r="X33" s="425"/>
    </row>
    <row r="34" spans="1:24" s="264" customFormat="1">
      <c r="A34" s="263"/>
      <c r="B34" s="261" t="s">
        <v>724</v>
      </c>
      <c r="C34" s="261"/>
      <c r="D34" s="372">
        <f>Input!$FJ$24</f>
        <v>0</v>
      </c>
      <c r="E34" s="372">
        <f>Input!$FK$24</f>
        <v>0</v>
      </c>
      <c r="F34" s="372">
        <f>Input!$FL$24</f>
        <v>0</v>
      </c>
      <c r="G34" s="372">
        <f>Input!$FM$24</f>
        <v>0</v>
      </c>
      <c r="H34" s="372">
        <f>Input!$FN$24</f>
        <v>0</v>
      </c>
      <c r="I34" s="372">
        <f>Input!$FO$24</f>
        <v>0</v>
      </c>
      <c r="J34" s="372">
        <f>Input!$FP$24</f>
        <v>0</v>
      </c>
      <c r="K34" s="372">
        <f>Input!$FQ$24</f>
        <v>0</v>
      </c>
      <c r="L34" s="372">
        <f>Input!$FR$24</f>
        <v>0</v>
      </c>
      <c r="M34" s="567">
        <f t="shared" si="6"/>
        <v>0</v>
      </c>
      <c r="O34" s="435" t="s">
        <v>1296</v>
      </c>
      <c r="P34" s="436"/>
      <c r="Q34" s="264" t="s">
        <v>291</v>
      </c>
      <c r="R34" s="648">
        <f>Input!$SR$24</f>
        <v>-4312520</v>
      </c>
      <c r="T34" s="560" t="s">
        <v>1110</v>
      </c>
      <c r="U34" s="266"/>
      <c r="V34" s="266"/>
      <c r="W34" s="430">
        <f>(M24+M37)*-1</f>
        <v>0</v>
      </c>
      <c r="X34" s="425"/>
    </row>
    <row r="35" spans="1:24" s="264" customFormat="1" ht="13.5" thickBot="1">
      <c r="A35" s="263"/>
      <c r="B35" s="261" t="s">
        <v>725</v>
      </c>
      <c r="C35" s="261"/>
      <c r="D35" s="372">
        <f>Input!$FS$24</f>
        <v>0</v>
      </c>
      <c r="E35" s="372">
        <f>Input!$FT$24</f>
        <v>0</v>
      </c>
      <c r="F35" s="372">
        <f>Input!$FU$24</f>
        <v>0</v>
      </c>
      <c r="G35" s="372">
        <f>Input!$FV$24</f>
        <v>0</v>
      </c>
      <c r="H35" s="372">
        <f>Input!$FW$24</f>
        <v>0</v>
      </c>
      <c r="I35" s="372">
        <f>Input!$FX$24</f>
        <v>0</v>
      </c>
      <c r="J35" s="372">
        <f>Input!$FY$24</f>
        <v>0</v>
      </c>
      <c r="K35" s="372">
        <f>Input!$FZ$24</f>
        <v>0</v>
      </c>
      <c r="L35" s="372">
        <f>Input!$GA$24</f>
        <v>0</v>
      </c>
      <c r="M35" s="567">
        <f t="shared" si="6"/>
        <v>0</v>
      </c>
      <c r="O35" s="418" t="s">
        <v>286</v>
      </c>
      <c r="P35" s="419"/>
      <c r="Q35" s="420">
        <f>Q30-Q32</f>
        <v>0</v>
      </c>
      <c r="R35" s="649">
        <f>R30-R34</f>
        <v>0</v>
      </c>
      <c r="T35" s="650" t="s">
        <v>1111</v>
      </c>
      <c r="U35" s="584"/>
      <c r="V35" s="584"/>
      <c r="W35" s="656">
        <f>SUM(W33:W34)</f>
        <v>861313</v>
      </c>
      <c r="X35" s="655"/>
    </row>
    <row r="36" spans="1:24" s="264" customFormat="1" ht="13.5" thickTop="1">
      <c r="A36" s="263"/>
      <c r="B36" s="558" t="s">
        <v>732</v>
      </c>
      <c r="C36" s="563"/>
      <c r="D36" s="564">
        <f>Input!$GB$24</f>
        <v>28961</v>
      </c>
      <c r="E36" s="564">
        <f>Input!$GC$24</f>
        <v>5178483</v>
      </c>
      <c r="F36" s="564">
        <f>Input!$GD$24</f>
        <v>0</v>
      </c>
      <c r="G36" s="564">
        <f>Input!$GE$24</f>
        <v>875</v>
      </c>
      <c r="H36" s="564">
        <f>Input!$GF$24</f>
        <v>0</v>
      </c>
      <c r="I36" s="564">
        <f>Input!$GG$24</f>
        <v>0</v>
      </c>
      <c r="J36" s="564">
        <f>Input!$GH$24</f>
        <v>0</v>
      </c>
      <c r="K36" s="564">
        <f>Input!$GI$24</f>
        <v>0</v>
      </c>
      <c r="L36" s="564">
        <f>Input!$GJ$24</f>
        <v>0</v>
      </c>
      <c r="M36" s="565">
        <f t="shared" si="6"/>
        <v>5208319</v>
      </c>
      <c r="O36" s="261"/>
      <c r="Q36" s="412" t="str">
        <f>IF(Q30&lt;&gt;Q32,"Out of Balance","Balanced")</f>
        <v>Balanced</v>
      </c>
      <c r="R36" s="412" t="str">
        <f>IF(R30&lt;&gt;R34,"Out of Balance","Balanced")</f>
        <v>Balanced</v>
      </c>
      <c r="T36" s="560" t="s">
        <v>1053</v>
      </c>
      <c r="U36" s="266"/>
      <c r="V36" s="266"/>
      <c r="W36" s="334">
        <f>(M20+M33)*-1</f>
        <v>0</v>
      </c>
      <c r="X36" s="425"/>
    </row>
    <row r="37" spans="1:24" s="264" customFormat="1">
      <c r="A37" s="263"/>
      <c r="B37" s="261" t="s">
        <v>727</v>
      </c>
      <c r="C37" s="566"/>
      <c r="D37" s="372">
        <f>Input!$GK$24</f>
        <v>0</v>
      </c>
      <c r="E37" s="372">
        <f>Input!$GL$24</f>
        <v>0</v>
      </c>
      <c r="F37" s="372">
        <f>Input!$GM$24</f>
        <v>0</v>
      </c>
      <c r="G37" s="372">
        <f>Input!$GN$24</f>
        <v>0</v>
      </c>
      <c r="H37" s="372">
        <f>Input!$GO$24</f>
        <v>0</v>
      </c>
      <c r="I37" s="372">
        <f>Input!$GP$24</f>
        <v>0</v>
      </c>
      <c r="J37" s="372">
        <f>Input!$GQ$24</f>
        <v>0</v>
      </c>
      <c r="K37" s="372">
        <f>Input!$GR$24</f>
        <v>0</v>
      </c>
      <c r="L37" s="372">
        <f>Input!$GS$24</f>
        <v>0</v>
      </c>
      <c r="M37" s="567">
        <f t="shared" si="6"/>
        <v>0</v>
      </c>
      <c r="O37" s="261"/>
      <c r="T37" s="560" t="s">
        <v>1112</v>
      </c>
      <c r="U37" s="266"/>
      <c r="V37" s="266"/>
      <c r="W37" s="430">
        <f>(M25+M38)*-1</f>
        <v>0</v>
      </c>
      <c r="X37" s="655"/>
    </row>
    <row r="38" spans="1:24" s="264" customFormat="1">
      <c r="A38" s="263"/>
      <c r="B38" s="261" t="s">
        <v>728</v>
      </c>
      <c r="C38" s="566"/>
      <c r="D38" s="372">
        <f>Input!$GT$24</f>
        <v>0</v>
      </c>
      <c r="E38" s="372">
        <f>Input!$GU$24</f>
        <v>0</v>
      </c>
      <c r="F38" s="372">
        <f>Input!$GV$24</f>
        <v>0</v>
      </c>
      <c r="G38" s="372">
        <f>Input!$GW$24</f>
        <v>0</v>
      </c>
      <c r="H38" s="372">
        <f>Input!$GX$24</f>
        <v>0</v>
      </c>
      <c r="I38" s="372">
        <f>Input!$GY$24</f>
        <v>0</v>
      </c>
      <c r="J38" s="372">
        <f>Input!$GZ$24</f>
        <v>0</v>
      </c>
      <c r="K38" s="372">
        <f>Input!$HA$24</f>
        <v>0</v>
      </c>
      <c r="L38" s="372">
        <f>Input!$HB$24</f>
        <v>0</v>
      </c>
      <c r="M38" s="567">
        <f t="shared" si="6"/>
        <v>0</v>
      </c>
      <c r="O38" s="261"/>
      <c r="T38" s="650" t="s">
        <v>1113</v>
      </c>
      <c r="U38" s="584"/>
      <c r="V38" s="584"/>
      <c r="W38" s="656">
        <f>SUM(W36:W37)</f>
        <v>0</v>
      </c>
      <c r="X38" s="425"/>
    </row>
    <row r="39" spans="1:24" s="264" customFormat="1">
      <c r="A39" s="263"/>
      <c r="B39" s="261" t="s">
        <v>729</v>
      </c>
      <c r="C39" s="566"/>
      <c r="D39" s="372">
        <f>Input!$HC$24</f>
        <v>0</v>
      </c>
      <c r="E39" s="372">
        <f>Input!$HD$24</f>
        <v>0</v>
      </c>
      <c r="F39" s="372">
        <f>Input!$HE$24</f>
        <v>0</v>
      </c>
      <c r="G39" s="372">
        <f>Input!$HF$24</f>
        <v>0</v>
      </c>
      <c r="H39" s="372">
        <f>Input!$HG$24</f>
        <v>0</v>
      </c>
      <c r="I39" s="372">
        <f>Input!$HH$24</f>
        <v>0</v>
      </c>
      <c r="J39" s="372">
        <f>Input!$HI$24</f>
        <v>0</v>
      </c>
      <c r="K39" s="372">
        <f>Input!$HJ$24</f>
        <v>0</v>
      </c>
      <c r="L39" s="372">
        <f>Input!$HK$24</f>
        <v>0</v>
      </c>
      <c r="M39" s="567">
        <f t="shared" si="6"/>
        <v>0</v>
      </c>
      <c r="O39" s="261"/>
      <c r="T39" s="560" t="s">
        <v>1054</v>
      </c>
      <c r="U39" s="266"/>
      <c r="V39" s="266"/>
      <c r="W39" s="334"/>
      <c r="X39" s="425">
        <f>W38+W35</f>
        <v>861313</v>
      </c>
    </row>
    <row r="40" spans="1:24" s="264" customFormat="1">
      <c r="A40" s="263"/>
      <c r="B40" s="261" t="s">
        <v>730</v>
      </c>
      <c r="C40" s="566"/>
      <c r="D40" s="372">
        <f>Input!$HL$24</f>
        <v>0</v>
      </c>
      <c r="E40" s="372">
        <f>Input!$HM$24</f>
        <v>0</v>
      </c>
      <c r="F40" s="372">
        <f>Input!$HN$24</f>
        <v>0</v>
      </c>
      <c r="G40" s="372">
        <f>Input!$HO$24</f>
        <v>0</v>
      </c>
      <c r="H40" s="372">
        <f>Input!$HP$24</f>
        <v>0</v>
      </c>
      <c r="I40" s="372">
        <f>Input!$HQ$24</f>
        <v>0</v>
      </c>
      <c r="J40" s="372">
        <f>Input!$HR$24</f>
        <v>0</v>
      </c>
      <c r="K40" s="372">
        <f>Input!$HS$24</f>
        <v>0</v>
      </c>
      <c r="L40" s="372">
        <f>Input!$HT$24</f>
        <v>0</v>
      </c>
      <c r="M40" s="567">
        <f t="shared" si="6"/>
        <v>0</v>
      </c>
      <c r="O40" s="261"/>
      <c r="T40" s="560"/>
      <c r="U40" s="261"/>
      <c r="V40" s="261"/>
      <c r="W40" s="261"/>
      <c r="X40" s="655"/>
    </row>
    <row r="41" spans="1:24" s="264" customFormat="1">
      <c r="A41" s="263"/>
      <c r="B41" s="261" t="s">
        <v>2133</v>
      </c>
      <c r="C41" s="566"/>
      <c r="D41" s="372">
        <f>Input!$HU$24</f>
        <v>-7359</v>
      </c>
      <c r="E41" s="372">
        <f>Input!$HV$24</f>
        <v>-1315829</v>
      </c>
      <c r="F41" s="372">
        <f>Input!$HW$24</f>
        <v>0</v>
      </c>
      <c r="G41" s="372">
        <f>Input!$HX$24</f>
        <v>0</v>
      </c>
      <c r="H41" s="372">
        <f>Input!$HY$24</f>
        <v>0</v>
      </c>
      <c r="I41" s="372">
        <f>Input!$HZ$24</f>
        <v>0</v>
      </c>
      <c r="J41" s="372">
        <f>Input!$IA$24</f>
        <v>0</v>
      </c>
      <c r="K41" s="372">
        <f>Input!$IB$24</f>
        <v>0</v>
      </c>
      <c r="L41" s="372">
        <f>Input!$IC$24</f>
        <v>0</v>
      </c>
      <c r="M41" s="567">
        <f t="shared" si="6"/>
        <v>-1323188</v>
      </c>
      <c r="O41"/>
      <c r="P41"/>
      <c r="Q41"/>
      <c r="R41"/>
      <c r="S41"/>
      <c r="T41" s="560" t="s">
        <v>1104</v>
      </c>
      <c r="U41" s="266"/>
      <c r="V41" s="266"/>
      <c r="W41" s="330">
        <f>(M21+M34)*-1</f>
        <v>0</v>
      </c>
      <c r="X41" s="425"/>
    </row>
    <row r="42" spans="1:24" s="264" customFormat="1">
      <c r="A42" s="263"/>
      <c r="B42" s="575" t="s">
        <v>40</v>
      </c>
      <c r="C42" s="563"/>
      <c r="D42" s="374">
        <f t="shared" ref="D42:L42" si="7">SUM(D36:D41)</f>
        <v>21602</v>
      </c>
      <c r="E42" s="374">
        <f t="shared" si="7"/>
        <v>3862654</v>
      </c>
      <c r="F42" s="374">
        <f t="shared" si="7"/>
        <v>0</v>
      </c>
      <c r="G42" s="374">
        <f t="shared" si="7"/>
        <v>875</v>
      </c>
      <c r="H42" s="374">
        <f t="shared" si="7"/>
        <v>0</v>
      </c>
      <c r="I42" s="374">
        <f t="shared" si="7"/>
        <v>0</v>
      </c>
      <c r="J42" s="374">
        <f t="shared" si="7"/>
        <v>0</v>
      </c>
      <c r="K42" s="374">
        <f t="shared" si="7"/>
        <v>0</v>
      </c>
      <c r="L42" s="374">
        <f t="shared" si="7"/>
        <v>0</v>
      </c>
      <c r="M42" s="374">
        <f t="shared" si="6"/>
        <v>3885131</v>
      </c>
      <c r="O42"/>
      <c r="P42"/>
      <c r="Q42"/>
      <c r="R42"/>
      <c r="S42"/>
      <c r="T42" s="560" t="s">
        <v>1107</v>
      </c>
      <c r="U42" s="266"/>
      <c r="V42" s="266"/>
      <c r="W42" s="430">
        <f>(M22+M35)*-1</f>
        <v>0</v>
      </c>
      <c r="X42" s="425"/>
    </row>
    <row r="43" spans="1:24" s="264" customFormat="1">
      <c r="A43" s="263"/>
      <c r="B43" s="261"/>
      <c r="C43" s="566"/>
      <c r="D43" s="566"/>
      <c r="E43" s="566"/>
      <c r="F43" s="566"/>
      <c r="G43" s="566"/>
      <c r="H43" s="566"/>
      <c r="I43" s="566"/>
      <c r="J43" s="566"/>
      <c r="K43" s="566"/>
      <c r="L43" s="566"/>
      <c r="M43" s="567"/>
      <c r="O43"/>
      <c r="P43"/>
      <c r="Q43"/>
      <c r="R43"/>
      <c r="S43"/>
      <c r="T43" s="650" t="s">
        <v>1114</v>
      </c>
      <c r="U43" s="584"/>
      <c r="V43" s="584"/>
      <c r="W43" s="656">
        <f>SUM(W41:W42)</f>
        <v>0</v>
      </c>
      <c r="X43" s="655"/>
    </row>
    <row r="44" spans="1:24" s="264" customFormat="1" ht="13.5" customHeight="1">
      <c r="A44" s="263"/>
      <c r="B44" s="575" t="s">
        <v>1055</v>
      </c>
      <c r="C44" s="563"/>
      <c r="D44" s="374">
        <f t="shared" ref="D44:L44" si="8">D42+D29</f>
        <v>2073894</v>
      </c>
      <c r="E44" s="374">
        <f t="shared" si="8"/>
        <v>10585630</v>
      </c>
      <c r="F44" s="374">
        <f t="shared" si="8"/>
        <v>0</v>
      </c>
      <c r="G44" s="374">
        <f t="shared" si="8"/>
        <v>875</v>
      </c>
      <c r="H44" s="374">
        <f t="shared" si="8"/>
        <v>0</v>
      </c>
      <c r="I44" s="374">
        <f t="shared" si="8"/>
        <v>0</v>
      </c>
      <c r="J44" s="374">
        <f t="shared" si="8"/>
        <v>0</v>
      </c>
      <c r="K44" s="374">
        <f t="shared" si="8"/>
        <v>0</v>
      </c>
      <c r="L44" s="374">
        <f t="shared" si="8"/>
        <v>0</v>
      </c>
      <c r="M44" s="374">
        <f>D44+E44+F44+G44+H44+I44+J44+K44+L44</f>
        <v>12660399</v>
      </c>
      <c r="O44"/>
      <c r="P44"/>
      <c r="Q44"/>
      <c r="R44"/>
      <c r="S44"/>
      <c r="T44" s="560"/>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0"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0" t="s">
        <v>1112</v>
      </c>
      <c r="U46" s="266"/>
      <c r="V46" s="266"/>
      <c r="W46" s="430">
        <f>(M25+M38)*-1</f>
        <v>0</v>
      </c>
      <c r="X46" s="425"/>
    </row>
    <row r="47" spans="1:24">
      <c r="A47" s="184">
        <v>30</v>
      </c>
      <c r="B47" s="176" t="s">
        <v>7</v>
      </c>
      <c r="C47" s="176"/>
      <c r="D47" s="375">
        <f>Input!$ID$24</f>
        <v>0</v>
      </c>
      <c r="E47" s="375">
        <f>Input!$IE$24</f>
        <v>38118</v>
      </c>
      <c r="F47" s="375">
        <f>Input!$IF$24</f>
        <v>0</v>
      </c>
      <c r="G47" s="375">
        <f>Input!$IG$24</f>
        <v>8092176</v>
      </c>
      <c r="H47" s="375">
        <f>Input!$IH$24</f>
        <v>0</v>
      </c>
      <c r="I47" s="375">
        <f>Input!$II$24</f>
        <v>0</v>
      </c>
      <c r="J47" s="375">
        <f>Input!$IJ$24</f>
        <v>0</v>
      </c>
      <c r="K47" s="375">
        <f>Input!$IK$24</f>
        <v>0</v>
      </c>
      <c r="L47" s="375">
        <f>Input!$IL$24</f>
        <v>0</v>
      </c>
      <c r="M47" s="374">
        <f>D47+E47+F47+G47+H47+I47+J47+K47+L47</f>
        <v>8130294</v>
      </c>
      <c r="N47" s="160"/>
      <c r="O47"/>
      <c r="P47"/>
      <c r="Q47"/>
      <c r="R47"/>
      <c r="S47"/>
      <c r="T47" s="657" t="s">
        <v>1115</v>
      </c>
      <c r="U47" s="27"/>
      <c r="V47" s="27"/>
      <c r="W47" s="656">
        <f>SUM(W45:W46)</f>
        <v>0</v>
      </c>
      <c r="X47" s="655"/>
    </row>
    <row r="48" spans="1:24">
      <c r="A48" s="184">
        <v>31</v>
      </c>
      <c r="B48" s="160"/>
      <c r="C48" s="160"/>
      <c r="D48" s="373"/>
      <c r="E48" s="373"/>
      <c r="F48" s="373"/>
      <c r="G48" s="373"/>
      <c r="H48" s="373"/>
      <c r="I48" s="373"/>
      <c r="J48" s="373"/>
      <c r="K48" s="373"/>
      <c r="L48" s="373"/>
      <c r="M48" s="373"/>
      <c r="N48" s="160"/>
      <c r="O48"/>
      <c r="P48"/>
      <c r="Q48"/>
      <c r="R48"/>
      <c r="S48"/>
      <c r="T48" s="560"/>
      <c r="U48" s="261"/>
      <c r="V48" s="261"/>
      <c r="W48" s="261"/>
      <c r="X48" s="658">
        <f>W43-W47</f>
        <v>0</v>
      </c>
    </row>
    <row r="49" spans="1:28">
      <c r="A49" s="184">
        <v>32</v>
      </c>
      <c r="B49" s="172" t="s">
        <v>8</v>
      </c>
      <c r="C49" s="172"/>
      <c r="D49" s="373"/>
      <c r="E49" s="373"/>
      <c r="F49" s="373"/>
      <c r="G49" s="373"/>
      <c r="H49" s="373"/>
      <c r="I49" s="373"/>
      <c r="J49" s="373"/>
      <c r="K49" s="373"/>
      <c r="L49" s="373"/>
      <c r="M49" s="373"/>
      <c r="N49" s="160"/>
      <c r="O49" s="273"/>
      <c r="T49" s="579" t="s">
        <v>287</v>
      </c>
      <c r="U49" s="511"/>
      <c r="V49" s="580"/>
      <c r="W49" s="580"/>
      <c r="X49" s="574">
        <f>SUM(X23:X48)</f>
        <v>17834232</v>
      </c>
    </row>
    <row r="50" spans="1:28">
      <c r="A50" s="184">
        <v>33</v>
      </c>
      <c r="B50" s="160" t="s">
        <v>42</v>
      </c>
      <c r="C50" s="160"/>
      <c r="D50" s="372">
        <f>Input!$IM$24</f>
        <v>9927</v>
      </c>
      <c r="E50" s="372">
        <f>Input!$IN$24</f>
        <v>1000824</v>
      </c>
      <c r="F50" s="372">
        <f>Input!$IO$24</f>
        <v>0</v>
      </c>
      <c r="G50" s="372">
        <f>Input!$IP$24</f>
        <v>3557</v>
      </c>
      <c r="H50" s="372">
        <f>Input!$IQ$24</f>
        <v>0</v>
      </c>
      <c r="I50" s="372">
        <f>Input!$IR$24</f>
        <v>0</v>
      </c>
      <c r="J50" s="372">
        <f>Input!$IS$24</f>
        <v>0</v>
      </c>
      <c r="K50" s="372">
        <f>Input!$IT$24</f>
        <v>0</v>
      </c>
      <c r="L50" s="372">
        <f>Input!$IU$24</f>
        <v>0</v>
      </c>
      <c r="M50" s="373">
        <f t="shared" ref="M50:M57" si="9">D50+E50+F50+G50+H50+I50+J50+K50+L50</f>
        <v>1014308</v>
      </c>
      <c r="N50" s="160"/>
      <c r="O50" s="273"/>
      <c r="U50" s="275"/>
    </row>
    <row r="51" spans="1:28">
      <c r="A51" s="184">
        <v>34</v>
      </c>
      <c r="B51" s="160" t="s">
        <v>9</v>
      </c>
      <c r="C51" s="160"/>
      <c r="D51" s="372">
        <f>Input!$IV$24</f>
        <v>0</v>
      </c>
      <c r="E51" s="372">
        <f>Input!$IW$24</f>
        <v>0</v>
      </c>
      <c r="F51" s="372">
        <f>Input!$IX$24</f>
        <v>0</v>
      </c>
      <c r="G51" s="372">
        <f>Input!$IY$24</f>
        <v>0</v>
      </c>
      <c r="H51" s="372">
        <f>Input!$IZ$24</f>
        <v>0</v>
      </c>
      <c r="I51" s="372">
        <f>Input!$JA$24</f>
        <v>0</v>
      </c>
      <c r="J51" s="372">
        <f>Input!$JB$24</f>
        <v>0</v>
      </c>
      <c r="K51" s="372">
        <f>Input!$JC$24</f>
        <v>0</v>
      </c>
      <c r="L51" s="372">
        <f>Input!$JD$24</f>
        <v>0</v>
      </c>
      <c r="M51" s="376">
        <f t="shared" si="9"/>
        <v>0</v>
      </c>
      <c r="N51" s="160"/>
      <c r="Y51" s="277"/>
    </row>
    <row r="52" spans="1:28">
      <c r="A52" s="184">
        <v>35</v>
      </c>
      <c r="B52" s="160" t="s">
        <v>10</v>
      </c>
      <c r="C52" s="160"/>
      <c r="D52" s="372">
        <f>Input!$JE$24</f>
        <v>0</v>
      </c>
      <c r="E52" s="372">
        <f>Input!$JF$24</f>
        <v>470652</v>
      </c>
      <c r="F52" s="372">
        <f>Input!$JG$24</f>
        <v>0</v>
      </c>
      <c r="G52" s="372">
        <f>Input!$JH$24</f>
        <v>159863</v>
      </c>
      <c r="H52" s="372">
        <f>Input!$JI$24</f>
        <v>0</v>
      </c>
      <c r="I52" s="372">
        <f>Input!$JJ$24</f>
        <v>0</v>
      </c>
      <c r="J52" s="372">
        <f>Input!$JK$24</f>
        <v>0</v>
      </c>
      <c r="K52" s="372">
        <f>Input!$JL$24</f>
        <v>0</v>
      </c>
      <c r="L52" s="372">
        <f>Input!$JM$24</f>
        <v>0</v>
      </c>
      <c r="M52" s="373">
        <f t="shared" si="9"/>
        <v>630515</v>
      </c>
      <c r="N52" s="160"/>
      <c r="O52" s="273"/>
      <c r="P52" s="278"/>
    </row>
    <row r="53" spans="1:28">
      <c r="A53" s="184">
        <v>36</v>
      </c>
      <c r="B53" s="160" t="s">
        <v>11</v>
      </c>
      <c r="C53" s="160"/>
      <c r="D53" s="372">
        <f>Input!$JN$24</f>
        <v>0</v>
      </c>
      <c r="E53" s="372">
        <f>Input!$JO$24</f>
        <v>158298</v>
      </c>
      <c r="F53" s="372">
        <f>Input!$JP$24</f>
        <v>0</v>
      </c>
      <c r="G53" s="372">
        <f>Input!$JQ$24</f>
        <v>102584</v>
      </c>
      <c r="H53" s="372">
        <f>Input!$JR$24</f>
        <v>0</v>
      </c>
      <c r="I53" s="372">
        <f>Input!$JS$24</f>
        <v>0</v>
      </c>
      <c r="J53" s="372">
        <f>Input!$JT$24</f>
        <v>0</v>
      </c>
      <c r="K53" s="372">
        <f>Input!$JU$24</f>
        <v>0</v>
      </c>
      <c r="L53" s="372">
        <f>Input!$JV$24</f>
        <v>0</v>
      </c>
      <c r="M53" s="373">
        <f t="shared" si="9"/>
        <v>260882</v>
      </c>
      <c r="N53" s="160"/>
      <c r="O53" s="273"/>
    </row>
    <row r="54" spans="1:28" ht="13.5" thickBot="1">
      <c r="A54" s="184">
        <v>37</v>
      </c>
      <c r="B54" s="177" t="s">
        <v>2134</v>
      </c>
      <c r="C54" s="177"/>
      <c r="D54" s="372">
        <f>Input!$JW$24</f>
        <v>0</v>
      </c>
      <c r="E54" s="372">
        <f>Input!$JX$24</f>
        <v>0</v>
      </c>
      <c r="F54" s="372">
        <f>Input!$JY$24</f>
        <v>50756</v>
      </c>
      <c r="G54" s="372">
        <f>Input!$JZ$24</f>
        <v>0</v>
      </c>
      <c r="H54" s="372">
        <f>Input!$KA$24</f>
        <v>0</v>
      </c>
      <c r="I54" s="372">
        <f>Input!$KB$24</f>
        <v>0</v>
      </c>
      <c r="J54" s="372">
        <f>Input!$KC$24</f>
        <v>0</v>
      </c>
      <c r="K54" s="372">
        <f>Input!$KD$24</f>
        <v>0</v>
      </c>
      <c r="L54" s="372">
        <f>Input!$KE$24</f>
        <v>0</v>
      </c>
      <c r="M54" s="373">
        <f t="shared" si="9"/>
        <v>50756</v>
      </c>
      <c r="N54" s="160"/>
      <c r="O54" s="273"/>
    </row>
    <row r="55" spans="1:28" ht="14.25" thickTop="1" thickBot="1">
      <c r="A55" s="184">
        <v>38</v>
      </c>
      <c r="B55" s="160" t="s">
        <v>43</v>
      </c>
      <c r="C55" s="160"/>
      <c r="D55" s="372">
        <f>Input!$KF$24</f>
        <v>691</v>
      </c>
      <c r="E55" s="372">
        <f>Input!$KG$24</f>
        <v>1378362</v>
      </c>
      <c r="F55" s="372">
        <f>Input!$KH$24</f>
        <v>1390</v>
      </c>
      <c r="G55" s="372">
        <f>Input!$KI$24</f>
        <v>-1218435</v>
      </c>
      <c r="H55" s="372">
        <f>Input!$KJ$24</f>
        <v>1676</v>
      </c>
      <c r="I55" s="372">
        <f>Input!$KK$24</f>
        <v>0</v>
      </c>
      <c r="J55" s="372">
        <f>Input!$KL$24</f>
        <v>0</v>
      </c>
      <c r="K55" s="372">
        <f>Input!$KM$24</f>
        <v>0</v>
      </c>
      <c r="L55" s="372">
        <f>Input!$KN$24</f>
        <v>0</v>
      </c>
      <c r="M55" s="373">
        <f t="shared" si="9"/>
        <v>163684</v>
      </c>
      <c r="N55" s="160"/>
      <c r="O55" s="1616" t="s">
        <v>251</v>
      </c>
      <c r="P55" s="1617"/>
      <c r="Q55" s="1617"/>
      <c r="R55" s="1618"/>
      <c r="S55" s="437"/>
      <c r="T55" s="1619" t="s">
        <v>252</v>
      </c>
      <c r="U55" s="1620"/>
      <c r="V55" s="1620"/>
      <c r="W55" s="1620"/>
      <c r="X55" s="1621"/>
      <c r="Y55" s="320"/>
      <c r="Z55" s="1749" t="s">
        <v>1301</v>
      </c>
      <c r="AA55" s="1750"/>
      <c r="AB55" s="1751"/>
    </row>
    <row r="56" spans="1:28" ht="13.5" customHeight="1" thickTop="1">
      <c r="A56" s="184">
        <v>39</v>
      </c>
      <c r="B56" s="176" t="s">
        <v>3</v>
      </c>
      <c r="C56" s="176"/>
      <c r="D56" s="374">
        <f>SUM(D50:D55)</f>
        <v>10618</v>
      </c>
      <c r="E56" s="374">
        <f t="shared" ref="E56:L56" si="10">SUM(E50:E55)</f>
        <v>3008136</v>
      </c>
      <c r="F56" s="374">
        <f t="shared" si="10"/>
        <v>52146</v>
      </c>
      <c r="G56" s="374">
        <f t="shared" si="10"/>
        <v>-952431</v>
      </c>
      <c r="H56" s="374">
        <f t="shared" si="10"/>
        <v>1676</v>
      </c>
      <c r="I56" s="374">
        <f t="shared" si="10"/>
        <v>0</v>
      </c>
      <c r="J56" s="374">
        <f t="shared" si="10"/>
        <v>0</v>
      </c>
      <c r="K56" s="374">
        <f t="shared" si="10"/>
        <v>0</v>
      </c>
      <c r="L56" s="374">
        <f t="shared" si="10"/>
        <v>0</v>
      </c>
      <c r="M56" s="374">
        <f t="shared" si="9"/>
        <v>2120145</v>
      </c>
      <c r="N56" s="160"/>
      <c r="O56" s="1622" t="s">
        <v>1135</v>
      </c>
      <c r="P56" s="1625" t="s">
        <v>254</v>
      </c>
      <c r="Q56" s="1625" t="s">
        <v>292</v>
      </c>
      <c r="R56" s="1628" t="s">
        <v>1063</v>
      </c>
      <c r="S56" s="280"/>
      <c r="T56" s="1739" t="s">
        <v>1136</v>
      </c>
      <c r="U56" s="1637" t="s">
        <v>254</v>
      </c>
      <c r="V56" s="1634" t="s">
        <v>256</v>
      </c>
      <c r="W56" s="1637" t="s">
        <v>257</v>
      </c>
      <c r="X56" s="1638" t="s">
        <v>1064</v>
      </c>
      <c r="Z56" s="1754" t="s">
        <v>1302</v>
      </c>
      <c r="AA56" s="1747" t="s">
        <v>1303</v>
      </c>
      <c r="AB56" s="1752" t="s">
        <v>238</v>
      </c>
    </row>
    <row r="57" spans="1:28">
      <c r="A57" s="184">
        <v>40</v>
      </c>
      <c r="B57" s="162" t="s">
        <v>68</v>
      </c>
      <c r="C57" s="162"/>
      <c r="D57" s="374">
        <f>D15+D44+D47+D56</f>
        <v>20862976</v>
      </c>
      <c r="E57" s="374">
        <f t="shared" ref="E57:L57" si="11">E15+E44+E47+E56</f>
        <v>13647884</v>
      </c>
      <c r="F57" s="374">
        <f t="shared" si="11"/>
        <v>52146</v>
      </c>
      <c r="G57" s="374">
        <f t="shared" si="11"/>
        <v>7140620</v>
      </c>
      <c r="H57" s="374">
        <f t="shared" si="11"/>
        <v>1676</v>
      </c>
      <c r="I57" s="374">
        <f t="shared" si="11"/>
        <v>0</v>
      </c>
      <c r="J57" s="374">
        <f t="shared" si="11"/>
        <v>0</v>
      </c>
      <c r="K57" s="374">
        <f t="shared" si="11"/>
        <v>0</v>
      </c>
      <c r="L57" s="374">
        <f t="shared" si="11"/>
        <v>0</v>
      </c>
      <c r="M57" s="374">
        <f t="shared" si="9"/>
        <v>41705302</v>
      </c>
      <c r="N57" s="160"/>
      <c r="O57" s="1623"/>
      <c r="P57" s="1626"/>
      <c r="Q57" s="1626"/>
      <c r="R57" s="1629"/>
      <c r="S57" s="280"/>
      <c r="T57" s="1740"/>
      <c r="U57" s="1626"/>
      <c r="V57" s="1635"/>
      <c r="W57" s="1626"/>
      <c r="X57" s="1639"/>
      <c r="Z57" s="1755"/>
      <c r="AA57" s="1747"/>
      <c r="AB57" s="1752"/>
    </row>
    <row r="58" spans="1:28">
      <c r="A58" s="184">
        <v>41</v>
      </c>
      <c r="B58" s="160"/>
      <c r="C58" s="160"/>
      <c r="D58" s="373"/>
      <c r="E58" s="373"/>
      <c r="F58" s="373"/>
      <c r="G58" s="373"/>
      <c r="H58" s="373"/>
      <c r="I58" s="373"/>
      <c r="J58" s="373"/>
      <c r="K58" s="373"/>
      <c r="L58" s="373"/>
      <c r="M58" s="373"/>
      <c r="N58" s="160"/>
      <c r="O58" s="1623"/>
      <c r="P58" s="1626"/>
      <c r="Q58" s="1626"/>
      <c r="R58" s="1629"/>
      <c r="S58" s="280"/>
      <c r="T58" s="1740"/>
      <c r="U58" s="1626"/>
      <c r="V58" s="1635"/>
      <c r="W58" s="1626"/>
      <c r="X58" s="1639"/>
      <c r="Z58" s="1755"/>
      <c r="AA58" s="1747"/>
      <c r="AB58" s="1752"/>
    </row>
    <row r="59" spans="1:28" ht="14.25" customHeight="1">
      <c r="A59" s="184">
        <v>42</v>
      </c>
      <c r="B59" s="174" t="s">
        <v>72</v>
      </c>
      <c r="C59" s="174"/>
      <c r="D59" s="377"/>
      <c r="E59" s="377"/>
      <c r="F59" s="377"/>
      <c r="G59" s="1746" t="str">
        <f>IF(OR(P105&gt;0,P106&lt;&gt;0,P107&lt;&gt;0),"Do not Enter Cents - Whole Dollars Only","")</f>
        <v/>
      </c>
      <c r="H59" s="1746"/>
      <c r="I59" s="1746"/>
      <c r="J59" s="1746"/>
      <c r="K59" s="1746"/>
      <c r="L59" s="377"/>
      <c r="M59" s="377"/>
      <c r="N59" s="160"/>
      <c r="O59" s="1624"/>
      <c r="P59" s="1627"/>
      <c r="Q59" s="1627"/>
      <c r="R59" s="1630"/>
      <c r="S59" s="280"/>
      <c r="T59" s="1741"/>
      <c r="U59" s="1627"/>
      <c r="V59" s="1636"/>
      <c r="W59" s="1627"/>
      <c r="X59" s="1640"/>
      <c r="Z59" s="1756"/>
      <c r="AA59" s="1748"/>
      <c r="AB59" s="1753"/>
    </row>
    <row r="60" spans="1:28" ht="13.5" thickBot="1">
      <c r="A60" s="184">
        <v>43</v>
      </c>
      <c r="B60" s="160" t="s">
        <v>14</v>
      </c>
      <c r="C60" s="160"/>
      <c r="D60" s="372">
        <f>Input!$KO$24</f>
        <v>7546776</v>
      </c>
      <c r="E60" s="372">
        <f>Input!$KP$24</f>
        <v>3271834</v>
      </c>
      <c r="F60" s="372">
        <f>Input!$KQ$24</f>
        <v>0</v>
      </c>
      <c r="G60" s="372">
        <f>Input!$KR$24</f>
        <v>30911</v>
      </c>
      <c r="H60" s="372">
        <f>Input!$KS$24</f>
        <v>0</v>
      </c>
      <c r="I60" s="372">
        <f>Input!$KT$24</f>
        <v>0</v>
      </c>
      <c r="J60" s="372">
        <f>Input!$KU$24</f>
        <v>0</v>
      </c>
      <c r="K60" s="372">
        <f>Input!$KV$24</f>
        <v>0</v>
      </c>
      <c r="L60" s="372">
        <f>Input!$KW$24</f>
        <v>0</v>
      </c>
      <c r="M60" s="373">
        <f t="shared" ref="M60:M71" si="12">D60+E60+F60+G60+H60+I60+J60+K60+L60</f>
        <v>10849521</v>
      </c>
      <c r="N60" s="160"/>
      <c r="O60" s="282">
        <f>D60+E60+G60+J60</f>
        <v>10849521</v>
      </c>
      <c r="P60" s="518">
        <f>Input!$SS$24</f>
        <v>3932</v>
      </c>
      <c r="Q60" s="438" t="s">
        <v>259</v>
      </c>
      <c r="R60" s="284">
        <f>SUM(O60:P60)</f>
        <v>10853453</v>
      </c>
      <c r="S60" s="439"/>
      <c r="T60" s="286">
        <f t="shared" ref="T60:T67" si="13">D60+E60+G60</f>
        <v>10849521</v>
      </c>
      <c r="U60" s="287">
        <f t="shared" ref="U60:U67" si="14">P60</f>
        <v>3932</v>
      </c>
      <c r="V60" s="289">
        <f>Input!$TC$24</f>
        <v>0</v>
      </c>
      <c r="W60" s="289">
        <f>Input!$TK$24</f>
        <v>0</v>
      </c>
      <c r="X60" s="290">
        <f t="shared" ref="X60:X66" si="15">T60+U60-V60-W60</f>
        <v>10853453</v>
      </c>
      <c r="Z60" s="292" t="s">
        <v>14</v>
      </c>
      <c r="AA60" s="520">
        <f>Input!$TS$24</f>
        <v>10849521</v>
      </c>
      <c r="AB60" s="293">
        <f t="shared" ref="AB60:AB68" si="16">AA60-M60</f>
        <v>0</v>
      </c>
    </row>
    <row r="61" spans="1:28" ht="14.25" thickTop="1" thickBot="1">
      <c r="A61" s="184">
        <v>44</v>
      </c>
      <c r="B61" s="160" t="s">
        <v>15</v>
      </c>
      <c r="C61" s="160"/>
      <c r="D61" s="372">
        <f>Input!$KX$24</f>
        <v>292920</v>
      </c>
      <c r="E61" s="372">
        <f>Input!$KY$24</f>
        <v>131619</v>
      </c>
      <c r="F61" s="372">
        <f>Input!$KZ$24</f>
        <v>0</v>
      </c>
      <c r="G61" s="372">
        <f>Input!$LA$24</f>
        <v>697095</v>
      </c>
      <c r="H61" s="372">
        <f>Input!$LB$24</f>
        <v>0</v>
      </c>
      <c r="I61" s="372">
        <f>Input!$LC$24</f>
        <v>0</v>
      </c>
      <c r="J61" s="372">
        <f>Input!$LD$24</f>
        <v>0</v>
      </c>
      <c r="K61" s="372">
        <f>Input!$LE$24</f>
        <v>0</v>
      </c>
      <c r="L61" s="372">
        <f>Input!$LF$24</f>
        <v>0</v>
      </c>
      <c r="M61" s="373">
        <f t="shared" si="12"/>
        <v>1121634</v>
      </c>
      <c r="N61" s="160"/>
      <c r="O61" s="440">
        <f t="shared" ref="O61:O67" si="17">D61+E61+G61+J61</f>
        <v>1121634</v>
      </c>
      <c r="P61" s="518">
        <f>Input!$ST$24</f>
        <v>47460</v>
      </c>
      <c r="Q61" s="441" t="s">
        <v>259</v>
      </c>
      <c r="R61" s="295">
        <f>SUM(O61:P61)</f>
        <v>1169094</v>
      </c>
      <c r="S61" s="442"/>
      <c r="T61" s="296">
        <f t="shared" si="13"/>
        <v>1121634</v>
      </c>
      <c r="U61" s="297">
        <f t="shared" si="14"/>
        <v>47460</v>
      </c>
      <c r="V61" s="299">
        <f>Input!$TD$24</f>
        <v>256931</v>
      </c>
      <c r="W61" s="299">
        <f>Input!$TL$24</f>
        <v>0</v>
      </c>
      <c r="X61" s="300">
        <f t="shared" si="15"/>
        <v>912163</v>
      </c>
      <c r="Z61" s="292" t="s">
        <v>15</v>
      </c>
      <c r="AA61" s="518">
        <f>Input!$TT$24</f>
        <v>1121634</v>
      </c>
      <c r="AB61" s="301">
        <f t="shared" si="16"/>
        <v>0</v>
      </c>
    </row>
    <row r="62" spans="1:28" ht="13.5" thickTop="1">
      <c r="A62" s="184">
        <v>45</v>
      </c>
      <c r="B62" s="160" t="s">
        <v>16</v>
      </c>
      <c r="C62" s="160"/>
      <c r="D62" s="372">
        <f>Input!$LG$24</f>
        <v>0</v>
      </c>
      <c r="E62" s="372">
        <f>Input!$LH$24</f>
        <v>5839</v>
      </c>
      <c r="F62" s="372">
        <f>Input!$LI$24</f>
        <v>0</v>
      </c>
      <c r="G62" s="372">
        <f>Input!$LJ$24</f>
        <v>16595</v>
      </c>
      <c r="H62" s="372">
        <f>Input!$LK$24</f>
        <v>0</v>
      </c>
      <c r="I62" s="372">
        <f>Input!$LL$24</f>
        <v>0</v>
      </c>
      <c r="J62" s="372">
        <f>Input!$LM$24</f>
        <v>0</v>
      </c>
      <c r="K62" s="372">
        <f>Input!$LN$24</f>
        <v>0</v>
      </c>
      <c r="L62" s="372">
        <f>Input!$LO$24</f>
        <v>0</v>
      </c>
      <c r="M62" s="373">
        <f t="shared" si="12"/>
        <v>22434</v>
      </c>
      <c r="N62" s="160"/>
      <c r="O62" s="440">
        <f t="shared" si="17"/>
        <v>22434</v>
      </c>
      <c r="P62" s="518">
        <f>Input!$SU$24</f>
        <v>0</v>
      </c>
      <c r="Q62" s="441" t="s">
        <v>259</v>
      </c>
      <c r="R62" s="302" t="s">
        <v>259</v>
      </c>
      <c r="S62" s="442"/>
      <c r="T62" s="296">
        <f t="shared" si="13"/>
        <v>22434</v>
      </c>
      <c r="U62" s="297">
        <f t="shared" si="14"/>
        <v>0</v>
      </c>
      <c r="V62" s="299">
        <f>Input!$TE$24</f>
        <v>0</v>
      </c>
      <c r="W62" s="299">
        <f>Input!$TM$24</f>
        <v>0</v>
      </c>
      <c r="X62" s="303">
        <f t="shared" si="15"/>
        <v>22434</v>
      </c>
      <c r="Z62" s="292" t="s">
        <v>16</v>
      </c>
      <c r="AA62" s="518">
        <f>Input!$TU$24</f>
        <v>22434</v>
      </c>
      <c r="AB62" s="301">
        <f t="shared" si="16"/>
        <v>0</v>
      </c>
    </row>
    <row r="63" spans="1:28">
      <c r="A63" s="184">
        <v>46</v>
      </c>
      <c r="B63" s="160" t="s">
        <v>17</v>
      </c>
      <c r="C63" s="160"/>
      <c r="D63" s="372">
        <f>Input!$LP$24</f>
        <v>2531158</v>
      </c>
      <c r="E63" s="372">
        <f>Input!$LQ$24</f>
        <v>3172485</v>
      </c>
      <c r="F63" s="372">
        <f>Input!$LR$24</f>
        <v>0</v>
      </c>
      <c r="G63" s="372">
        <f>Input!$LS$24</f>
        <v>46801</v>
      </c>
      <c r="H63" s="372">
        <f>Input!$LT$24</f>
        <v>0</v>
      </c>
      <c r="I63" s="372">
        <f>Input!$LU$24</f>
        <v>0</v>
      </c>
      <c r="J63" s="372">
        <f>Input!$LV$24</f>
        <v>0</v>
      </c>
      <c r="K63" s="372">
        <f>Input!$LW$24</f>
        <v>0</v>
      </c>
      <c r="L63" s="372">
        <f>Input!$LX$24</f>
        <v>0</v>
      </c>
      <c r="M63" s="373">
        <f t="shared" si="12"/>
        <v>5750444</v>
      </c>
      <c r="N63" s="160"/>
      <c r="O63" s="440">
        <f t="shared" si="17"/>
        <v>5750444</v>
      </c>
      <c r="P63" s="518">
        <f>Input!$SV$24</f>
        <v>157264</v>
      </c>
      <c r="Q63" s="441" t="s">
        <v>259</v>
      </c>
      <c r="R63" s="295">
        <f t="shared" ref="R63:R65" si="18">SUM(O63:P63)</f>
        <v>5907708</v>
      </c>
      <c r="S63" s="442"/>
      <c r="T63" s="296">
        <f t="shared" si="13"/>
        <v>5750444</v>
      </c>
      <c r="U63" s="297">
        <f t="shared" si="14"/>
        <v>157264</v>
      </c>
      <c r="V63" s="299">
        <f>Input!$TF$24</f>
        <v>0</v>
      </c>
      <c r="W63" s="299">
        <f>Input!$TN$24</f>
        <v>0</v>
      </c>
      <c r="X63" s="303">
        <f t="shared" si="15"/>
        <v>5907708</v>
      </c>
      <c r="Z63" s="292" t="s">
        <v>17</v>
      </c>
      <c r="AA63" s="518">
        <f>Input!$TV$24</f>
        <v>5750444</v>
      </c>
      <c r="AB63" s="301">
        <f t="shared" si="16"/>
        <v>0</v>
      </c>
    </row>
    <row r="64" spans="1:28">
      <c r="A64" s="184">
        <v>47</v>
      </c>
      <c r="B64" s="160" t="s">
        <v>18</v>
      </c>
      <c r="C64" s="160"/>
      <c r="D64" s="372">
        <f>Input!$LY$24</f>
        <v>1895827</v>
      </c>
      <c r="E64" s="372">
        <f>Input!$LZ$24</f>
        <v>3383225</v>
      </c>
      <c r="F64" s="372">
        <f>Input!$MA$24</f>
        <v>0</v>
      </c>
      <c r="G64" s="372">
        <f>Input!$MB$24</f>
        <v>429287</v>
      </c>
      <c r="H64" s="372">
        <f>Input!$MC$24</f>
        <v>-3381</v>
      </c>
      <c r="I64" s="372">
        <f>Input!$MD$24</f>
        <v>0</v>
      </c>
      <c r="J64" s="372">
        <f>Input!$ME$24</f>
        <v>0</v>
      </c>
      <c r="K64" s="372">
        <f>Input!$MF$24</f>
        <v>0</v>
      </c>
      <c r="L64" s="372">
        <f>Input!$MG$24</f>
        <v>0</v>
      </c>
      <c r="M64" s="373">
        <f t="shared" si="12"/>
        <v>5704958</v>
      </c>
      <c r="N64" s="160"/>
      <c r="O64" s="440">
        <f t="shared" si="17"/>
        <v>5708339</v>
      </c>
      <c r="P64" s="518">
        <f>Input!$SW$24</f>
        <v>43419</v>
      </c>
      <c r="Q64" s="518">
        <f>Input!$TB$24</f>
        <v>0</v>
      </c>
      <c r="R64" s="295">
        <f>SUM(O64:P64)-Q64</f>
        <v>5751758</v>
      </c>
      <c r="S64" s="442"/>
      <c r="T64" s="296">
        <f t="shared" si="13"/>
        <v>5708339</v>
      </c>
      <c r="U64" s="297">
        <f t="shared" si="14"/>
        <v>43419</v>
      </c>
      <c r="V64" s="299">
        <f>Input!$TG$24</f>
        <v>0</v>
      </c>
      <c r="W64" s="299">
        <f>Input!$TO$24</f>
        <v>0</v>
      </c>
      <c r="X64" s="303">
        <f t="shared" si="15"/>
        <v>5751758</v>
      </c>
      <c r="Z64" s="292" t="s">
        <v>18</v>
      </c>
      <c r="AA64" s="518">
        <f>Input!$TW$24</f>
        <v>5704958</v>
      </c>
      <c r="AB64" s="301">
        <f t="shared" si="16"/>
        <v>0</v>
      </c>
    </row>
    <row r="65" spans="1:28">
      <c r="A65" s="184">
        <v>48</v>
      </c>
      <c r="B65" s="160" t="s">
        <v>19</v>
      </c>
      <c r="C65" s="160"/>
      <c r="D65" s="372">
        <f>Input!$MH$24</f>
        <v>2375218</v>
      </c>
      <c r="E65" s="372">
        <f>Input!$MI$24</f>
        <v>1220675</v>
      </c>
      <c r="F65" s="372">
        <f>Input!$MJ$24</f>
        <v>0</v>
      </c>
      <c r="G65" s="372">
        <f>Input!$MK$24</f>
        <v>655622</v>
      </c>
      <c r="H65" s="372">
        <f>Input!$ML$24</f>
        <v>0</v>
      </c>
      <c r="I65" s="372">
        <f>Input!$MM$24</f>
        <v>0</v>
      </c>
      <c r="J65" s="372">
        <f>Input!$MN$24</f>
        <v>0</v>
      </c>
      <c r="K65" s="372">
        <f>Input!$MO$24</f>
        <v>0</v>
      </c>
      <c r="L65" s="372">
        <f>Input!$MP$24</f>
        <v>0</v>
      </c>
      <c r="M65" s="373">
        <f t="shared" si="12"/>
        <v>4251515</v>
      </c>
      <c r="N65" s="160"/>
      <c r="O65" s="440">
        <f t="shared" si="17"/>
        <v>4251515</v>
      </c>
      <c r="P65" s="518">
        <f>Input!$SX$24</f>
        <v>5152</v>
      </c>
      <c r="Q65" s="441" t="s">
        <v>259</v>
      </c>
      <c r="R65" s="295">
        <f t="shared" si="18"/>
        <v>4256667</v>
      </c>
      <c r="S65" s="442"/>
      <c r="T65" s="296">
        <f t="shared" si="13"/>
        <v>4251515</v>
      </c>
      <c r="U65" s="297">
        <f t="shared" si="14"/>
        <v>5152</v>
      </c>
      <c r="V65" s="299">
        <f>Input!$TH$24</f>
        <v>0</v>
      </c>
      <c r="W65" s="299">
        <f>Input!$TP$24</f>
        <v>0</v>
      </c>
      <c r="X65" s="303">
        <f t="shared" si="15"/>
        <v>4256667</v>
      </c>
      <c r="Z65" s="292" t="s">
        <v>19</v>
      </c>
      <c r="AA65" s="518">
        <f>Input!$TX$24</f>
        <v>4251515</v>
      </c>
      <c r="AB65" s="301">
        <f t="shared" si="16"/>
        <v>0</v>
      </c>
    </row>
    <row r="66" spans="1:28">
      <c r="A66" s="184">
        <v>49</v>
      </c>
      <c r="B66" s="160" t="s">
        <v>20</v>
      </c>
      <c r="C66" s="160"/>
      <c r="D66" s="372">
        <f>Input!$MQ$24</f>
        <v>1757140</v>
      </c>
      <c r="E66" s="372">
        <f>Input!$MR$24</f>
        <v>572768</v>
      </c>
      <c r="F66" s="372">
        <f>Input!$MS$24</f>
        <v>0</v>
      </c>
      <c r="G66" s="372">
        <f>Input!$MT$24</f>
        <v>0</v>
      </c>
      <c r="H66" s="372">
        <f>Input!$MU$24</f>
        <v>0</v>
      </c>
      <c r="I66" s="372">
        <f>Input!$MV$24</f>
        <v>0</v>
      </c>
      <c r="J66" s="372">
        <f>Input!$MW$24</f>
        <v>0</v>
      </c>
      <c r="K66" s="372">
        <f>Input!$MX$24</f>
        <v>0</v>
      </c>
      <c r="L66" s="372">
        <f>Input!$MY$24</f>
        <v>0</v>
      </c>
      <c r="M66" s="373">
        <f t="shared" si="12"/>
        <v>2329908</v>
      </c>
      <c r="N66" s="160"/>
      <c r="O66" s="440">
        <f t="shared" si="17"/>
        <v>2329908</v>
      </c>
      <c r="P66" s="518">
        <f>Input!$SY$24</f>
        <v>0</v>
      </c>
      <c r="Q66" s="441" t="s">
        <v>259</v>
      </c>
      <c r="R66" s="304" t="s">
        <v>259</v>
      </c>
      <c r="S66" s="442"/>
      <c r="T66" s="296">
        <f t="shared" si="13"/>
        <v>2329908</v>
      </c>
      <c r="U66" s="297">
        <f t="shared" si="14"/>
        <v>0</v>
      </c>
      <c r="V66" s="299">
        <f>Input!$TI$24</f>
        <v>0</v>
      </c>
      <c r="W66" s="299">
        <f>Input!$TQ$24</f>
        <v>0</v>
      </c>
      <c r="X66" s="303">
        <f t="shared" si="15"/>
        <v>2329908</v>
      </c>
      <c r="Z66" s="292" t="s">
        <v>260</v>
      </c>
      <c r="AA66" s="518">
        <f>Input!$TY$24</f>
        <v>2329908</v>
      </c>
      <c r="AB66" s="301">
        <f t="shared" si="16"/>
        <v>0</v>
      </c>
    </row>
    <row r="67" spans="1:28" ht="13.5" thickBot="1">
      <c r="A67" s="184">
        <v>50</v>
      </c>
      <c r="B67" s="160" t="s">
        <v>21</v>
      </c>
      <c r="C67" s="160"/>
      <c r="D67" s="372">
        <f>Input!$MZ$24</f>
        <v>422953</v>
      </c>
      <c r="E67" s="372">
        <f>Input!$NA$24</f>
        <v>1779640</v>
      </c>
      <c r="F67" s="372">
        <f>Input!$NB$24</f>
        <v>0</v>
      </c>
      <c r="G67" s="372">
        <f>Input!$NC$24</f>
        <v>1626205</v>
      </c>
      <c r="H67" s="372">
        <f>Input!$ND$24</f>
        <v>0</v>
      </c>
      <c r="I67" s="372">
        <f>Input!$NE$24</f>
        <v>0</v>
      </c>
      <c r="J67" s="372">
        <f>Input!$NF$24</f>
        <v>0</v>
      </c>
      <c r="K67" s="372">
        <f>Input!$NG$24</f>
        <v>0</v>
      </c>
      <c r="L67" s="372">
        <f>Input!$NH$24</f>
        <v>0</v>
      </c>
      <c r="M67" s="373">
        <f t="shared" si="12"/>
        <v>3828798</v>
      </c>
      <c r="N67" s="160"/>
      <c r="O67" s="440">
        <f t="shared" si="17"/>
        <v>3828798</v>
      </c>
      <c r="P67" s="518">
        <f>Input!$SZ$24</f>
        <v>0</v>
      </c>
      <c r="Q67" s="441" t="s">
        <v>259</v>
      </c>
      <c r="R67" s="304" t="s">
        <v>259</v>
      </c>
      <c r="S67" s="442"/>
      <c r="T67" s="306">
        <f t="shared" si="13"/>
        <v>3828798</v>
      </c>
      <c r="U67" s="307">
        <f t="shared" si="14"/>
        <v>0</v>
      </c>
      <c r="V67" s="308">
        <f>Input!$TJ$24</f>
        <v>0</v>
      </c>
      <c r="W67" s="308">
        <f>Input!$TR$24</f>
        <v>0</v>
      </c>
      <c r="X67" s="303">
        <f>U67+T67-V67-W67</f>
        <v>3828798</v>
      </c>
      <c r="Z67" s="292" t="s">
        <v>21</v>
      </c>
      <c r="AA67" s="518">
        <f>Input!$TZ$24</f>
        <v>3828798</v>
      </c>
      <c r="AB67" s="301">
        <f t="shared" si="16"/>
        <v>0</v>
      </c>
    </row>
    <row r="68" spans="1:28" ht="14.25" thickTop="1" thickBot="1">
      <c r="A68" s="184">
        <v>51</v>
      </c>
      <c r="B68" s="160" t="s">
        <v>2135</v>
      </c>
      <c r="C68" s="160"/>
      <c r="D68" s="372">
        <f>Input!$NI$24</f>
        <v>0</v>
      </c>
      <c r="E68" s="372">
        <f>Input!$NJ$24</f>
        <v>0</v>
      </c>
      <c r="F68" s="372">
        <f>Input!$NK$24</f>
        <v>148590</v>
      </c>
      <c r="G68" s="372">
        <f>Input!$NL$24</f>
        <v>0</v>
      </c>
      <c r="H68" s="372">
        <f>Input!$NM$24</f>
        <v>0</v>
      </c>
      <c r="I68" s="372">
        <f>Input!$NN$24</f>
        <v>0</v>
      </c>
      <c r="J68" s="372">
        <f>Input!$NO$24</f>
        <v>0</v>
      </c>
      <c r="K68" s="372">
        <f>Input!$NP$24</f>
        <v>0</v>
      </c>
      <c r="L68" s="372">
        <f>Input!$NQ$24</f>
        <v>0</v>
      </c>
      <c r="M68" s="373">
        <f t="shared" si="12"/>
        <v>148590</v>
      </c>
      <c r="N68" s="160"/>
      <c r="O68" s="309" t="s">
        <v>259</v>
      </c>
      <c r="P68" s="519">
        <f>Input!$TA$24</f>
        <v>0</v>
      </c>
      <c r="Q68" s="444" t="s">
        <v>259</v>
      </c>
      <c r="R68" s="311" t="s">
        <v>259</v>
      </c>
      <c r="S68" s="442"/>
      <c r="T68" s="305"/>
      <c r="U68" s="305"/>
      <c r="V68" s="312" t="s">
        <v>261</v>
      </c>
      <c r="W68" s="313"/>
      <c r="X68" s="314">
        <f>SUM(X60:X67)</f>
        <v>33862889</v>
      </c>
      <c r="Z68" s="292" t="s">
        <v>22</v>
      </c>
      <c r="AA68" s="518">
        <f>Input!$UA$24</f>
        <v>148590</v>
      </c>
      <c r="AB68" s="301">
        <f t="shared" si="16"/>
        <v>0</v>
      </c>
    </row>
    <row r="69" spans="1:28" ht="14.25" thickTop="1" thickBot="1">
      <c r="A69" s="184">
        <v>52</v>
      </c>
      <c r="B69" s="161" t="s">
        <v>59</v>
      </c>
      <c r="C69" s="161"/>
      <c r="D69" s="372">
        <f>Input!$NR$24</f>
        <v>104055</v>
      </c>
      <c r="E69" s="372">
        <f>Input!$NS$24</f>
        <v>100560</v>
      </c>
      <c r="F69" s="372">
        <f>Input!$NT$24</f>
        <v>0</v>
      </c>
      <c r="G69" s="372">
        <f>Input!$NU$24</f>
        <v>52612</v>
      </c>
      <c r="H69" s="372">
        <f>Input!$NV$24</f>
        <v>0</v>
      </c>
      <c r="I69" s="372">
        <f>Input!$NW$24</f>
        <v>0</v>
      </c>
      <c r="J69" s="372">
        <f>Input!$NX$24</f>
        <v>0</v>
      </c>
      <c r="K69" s="372">
        <f>Input!$NY$24</f>
        <v>0</v>
      </c>
      <c r="L69" s="372">
        <f>Input!$NZ$24</f>
        <v>0</v>
      </c>
      <c r="M69" s="373">
        <f t="shared" si="12"/>
        <v>257227</v>
      </c>
      <c r="N69" s="160"/>
      <c r="O69" s="315"/>
      <c r="P69" s="316">
        <f>SUM(P60:P68)</f>
        <v>257227</v>
      </c>
      <c r="Q69" s="316">
        <f>SUM(Q64:Q68)</f>
        <v>0</v>
      </c>
      <c r="R69" s="317">
        <f>SUM(R60:R65)</f>
        <v>27938680</v>
      </c>
      <c r="S69" s="316"/>
      <c r="T69" s="305"/>
      <c r="U69" s="305"/>
      <c r="V69" s="305"/>
      <c r="W69" s="277"/>
      <c r="X69" s="277"/>
      <c r="Y69" s="277"/>
      <c r="Z69" s="292" t="s">
        <v>285</v>
      </c>
      <c r="AA69" s="445">
        <f>M88*-1</f>
        <v>5769238</v>
      </c>
      <c r="AB69" s="301">
        <f>AA69+M88</f>
        <v>0</v>
      </c>
    </row>
    <row r="70" spans="1:28" ht="14.25" thickTop="1" thickBot="1">
      <c r="A70" s="184">
        <v>53</v>
      </c>
      <c r="B70" s="178" t="s">
        <v>44</v>
      </c>
      <c r="C70" s="178"/>
      <c r="D70" s="378">
        <f>Input!$OA$24</f>
        <v>0</v>
      </c>
      <c r="E70" s="378">
        <f>Input!$OB$24</f>
        <v>120512</v>
      </c>
      <c r="F70" s="378">
        <f>Input!$OC$24</f>
        <v>0</v>
      </c>
      <c r="G70" s="378">
        <f>Input!$OD$24</f>
        <v>0</v>
      </c>
      <c r="H70" s="378">
        <f>Input!$OE$24</f>
        <v>0</v>
      </c>
      <c r="I70" s="378">
        <f>Input!$OF$24</f>
        <v>0</v>
      </c>
      <c r="J70" s="378">
        <f>Input!$OG$24</f>
        <v>0</v>
      </c>
      <c r="K70" s="378">
        <f>Input!$OH$24</f>
        <v>0</v>
      </c>
      <c r="L70" s="378">
        <f>Input!$OI$24</f>
        <v>1010461</v>
      </c>
      <c r="M70" s="373">
        <f t="shared" si="12"/>
        <v>1130973</v>
      </c>
      <c r="N70" s="160"/>
      <c r="O70" s="320"/>
      <c r="P70" s="516" t="str">
        <f>IF(P69&lt;&gt;M69,"Out of Balance","Balanced")</f>
        <v>Balanced</v>
      </c>
      <c r="Q70" s="318"/>
      <c r="R70" s="305"/>
      <c r="S70" s="305"/>
      <c r="T70" s="305"/>
      <c r="U70" s="277"/>
      <c r="V70" s="1738" t="str">
        <f>IF(X68-INT(X68)&lt;&gt;0,"Whole Dollars Only","")</f>
        <v/>
      </c>
      <c r="W70" s="1738"/>
      <c r="X70" s="537"/>
      <c r="Y70" s="319"/>
      <c r="Z70" s="410" t="s">
        <v>262</v>
      </c>
      <c r="AA70" s="446" t="s">
        <v>259</v>
      </c>
      <c r="AB70" s="411">
        <f>M90</f>
        <v>0</v>
      </c>
    </row>
    <row r="71" spans="1:28" ht="13.5" thickTop="1">
      <c r="A71" s="184">
        <v>54</v>
      </c>
      <c r="B71" s="162" t="s">
        <v>69</v>
      </c>
      <c r="C71" s="162"/>
      <c r="D71" s="374">
        <f>SUM(D60:D70)</f>
        <v>16926047</v>
      </c>
      <c r="E71" s="374">
        <f>SUM(E60:E70)</f>
        <v>13759157</v>
      </c>
      <c r="F71" s="374">
        <f t="shared" ref="F71:L71" si="19">SUM(F60:F70)</f>
        <v>148590</v>
      </c>
      <c r="G71" s="374">
        <f t="shared" si="19"/>
        <v>3555128</v>
      </c>
      <c r="H71" s="374">
        <f t="shared" si="19"/>
        <v>-3381</v>
      </c>
      <c r="I71" s="374">
        <f t="shared" si="19"/>
        <v>0</v>
      </c>
      <c r="J71" s="374">
        <f t="shared" si="19"/>
        <v>0</v>
      </c>
      <c r="K71" s="374">
        <f t="shared" si="19"/>
        <v>0</v>
      </c>
      <c r="L71" s="374">
        <f t="shared" si="19"/>
        <v>1010461</v>
      </c>
      <c r="M71" s="374">
        <f t="shared" si="12"/>
        <v>35396002</v>
      </c>
      <c r="N71" s="160"/>
      <c r="O71" s="322"/>
      <c r="P71" s="1738" t="str">
        <f>IF(P69-INT(P69)&lt;&gt;0,"Whole Dollars Only","")</f>
        <v/>
      </c>
      <c r="Q71" s="1738"/>
      <c r="R71" s="323"/>
      <c r="S71" s="323"/>
      <c r="T71" s="323"/>
      <c r="U71" s="291"/>
      <c r="V71" s="324"/>
      <c r="W71" s="321"/>
      <c r="X71" s="321"/>
      <c r="Y71" s="321"/>
      <c r="Z71" s="318"/>
      <c r="AA71" s="325">
        <f>SUM(AA60:AA70)</f>
        <v>39777040</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Input!$OJ$24</f>
        <v>0</v>
      </c>
      <c r="E74" s="372">
        <f>Input!$OK$24</f>
        <v>0</v>
      </c>
      <c r="F74" s="372">
        <f>Input!$OL$24</f>
        <v>0</v>
      </c>
      <c r="G74" s="372">
        <f>Input!$OM$24</f>
        <v>0</v>
      </c>
      <c r="H74" s="372">
        <f>Input!$ON$24</f>
        <v>0</v>
      </c>
      <c r="I74" s="372">
        <f>Input!$OO$24</f>
        <v>0</v>
      </c>
      <c r="J74" s="372">
        <f>Input!$OP$24</f>
        <v>0</v>
      </c>
      <c r="K74" s="372">
        <f>Input!$OQ$24</f>
        <v>0</v>
      </c>
      <c r="L74" s="372">
        <f>Input!$OR$24</f>
        <v>0</v>
      </c>
      <c r="M74" s="373">
        <f>D74+E74+F74+G74+H74+I74+J74+K74+L74</f>
        <v>0</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Input!$OS$24</f>
        <v>82352</v>
      </c>
      <c r="E75" s="372">
        <f>Input!$OT$24</f>
        <v>4686415</v>
      </c>
      <c r="F75" s="372">
        <f>Input!$OU$24</f>
        <v>96655</v>
      </c>
      <c r="G75" s="372">
        <f>Input!$OV$24</f>
        <v>-2740052</v>
      </c>
      <c r="H75" s="372">
        <f>Input!$OW$24</f>
        <v>0</v>
      </c>
      <c r="I75" s="372">
        <f>Input!$OX$24</f>
        <v>46662</v>
      </c>
      <c r="J75" s="372">
        <f>Input!$OY$24</f>
        <v>0</v>
      </c>
      <c r="K75" s="372">
        <f>Input!$OZ$24</f>
        <v>0</v>
      </c>
      <c r="L75" s="372">
        <f>Input!$PA$24</f>
        <v>0</v>
      </c>
      <c r="M75" s="373">
        <f>D75+E75+F75+G75+H75+I75+J75+K75+L75</f>
        <v>2172032</v>
      </c>
      <c r="N75" s="160"/>
      <c r="O75" s="1723" t="str">
        <f>IF(M85&lt;0,"Footnote 11 is N/A - No Data Entry Required","Footnote 11")</f>
        <v>Footnote 11</v>
      </c>
      <c r="P75" s="1724"/>
      <c r="Q75" s="1724"/>
      <c r="R75" s="1725"/>
      <c r="S75" s="330"/>
      <c r="T75" s="330"/>
      <c r="U75" s="327"/>
      <c r="V75" s="276"/>
      <c r="W75" s="331"/>
      <c r="X75" s="331"/>
      <c r="Y75" s="328"/>
      <c r="Z75" s="328"/>
      <c r="AA75" s="276"/>
      <c r="AB75" s="276" t="s">
        <v>293</v>
      </c>
    </row>
    <row r="76" spans="1:28" ht="13.5" thickTop="1">
      <c r="A76" s="184">
        <v>59</v>
      </c>
      <c r="B76" s="160" t="s">
        <v>45</v>
      </c>
      <c r="C76" s="160"/>
      <c r="D76" s="372">
        <f>Input!$PB$24</f>
        <v>0</v>
      </c>
      <c r="E76" s="372">
        <f>Input!$PC$24</f>
        <v>0</v>
      </c>
      <c r="F76" s="372">
        <f>Input!$PD$24</f>
        <v>0</v>
      </c>
      <c r="G76" s="372">
        <f>Input!$PE$24</f>
        <v>0</v>
      </c>
      <c r="H76" s="372">
        <f>Input!$PF$24</f>
        <v>0</v>
      </c>
      <c r="I76" s="372">
        <f>Input!$PG$24</f>
        <v>0</v>
      </c>
      <c r="J76" s="372">
        <f>Input!$PH$24</f>
        <v>0</v>
      </c>
      <c r="K76" s="372">
        <f>Input!$PI$24</f>
        <v>0</v>
      </c>
      <c r="L76" s="372">
        <f>Input!$PJ$24</f>
        <v>0</v>
      </c>
      <c r="M76" s="373">
        <f>D76+E76+F76+G76+H76+I76+J76+K76+L76</f>
        <v>0</v>
      </c>
      <c r="N76" s="160"/>
      <c r="O76" s="487" t="s">
        <v>583</v>
      </c>
      <c r="P76" s="488"/>
      <c r="Q76" s="489"/>
      <c r="R76" s="490">
        <f>IF($M$85&lt;0,"N/A",$M$85)</f>
        <v>6520373</v>
      </c>
      <c r="S76" s="330"/>
      <c r="T76" s="330"/>
      <c r="U76" s="327"/>
      <c r="V76" s="276"/>
      <c r="W76" s="331"/>
      <c r="X76" s="331"/>
      <c r="Y76" s="331"/>
      <c r="Z76" s="331"/>
      <c r="AA76" s="276"/>
      <c r="AB76" s="276"/>
    </row>
    <row r="77" spans="1:28">
      <c r="A77" s="184">
        <v>60</v>
      </c>
      <c r="B77" s="160" t="s">
        <v>46</v>
      </c>
      <c r="C77" s="160"/>
      <c r="D77" s="372">
        <f>Input!$PK$24</f>
        <v>-4539061</v>
      </c>
      <c r="E77" s="372">
        <f>Input!$PL$24</f>
        <v>0</v>
      </c>
      <c r="F77" s="372">
        <f>Input!$PM$24</f>
        <v>0</v>
      </c>
      <c r="G77" s="372">
        <f>Input!$PN$24</f>
        <v>0</v>
      </c>
      <c r="H77" s="372">
        <f>Input!$PO$24</f>
        <v>0</v>
      </c>
      <c r="I77" s="372">
        <f>Input!$PP$24</f>
        <v>0</v>
      </c>
      <c r="J77" s="372">
        <f>Input!$PQ$24</f>
        <v>0</v>
      </c>
      <c r="K77" s="372">
        <f>Input!$PR$24</f>
        <v>0</v>
      </c>
      <c r="L77" s="372">
        <f>Input!$PS$24</f>
        <v>0</v>
      </c>
      <c r="M77" s="373">
        <f>D77+E77+F77+G77+H77+I77+J77+K77+L77</f>
        <v>-4539061</v>
      </c>
      <c r="N77" s="160"/>
      <c r="O77" s="491" t="s">
        <v>584</v>
      </c>
      <c r="P77" s="334"/>
      <c r="Q77" s="334"/>
      <c r="R77" s="521">
        <f>Input!$UB$24</f>
        <v>3942271</v>
      </c>
      <c r="S77" s="330"/>
      <c r="T77" s="330"/>
      <c r="U77" s="327"/>
      <c r="V77" s="276"/>
      <c r="W77" s="331"/>
      <c r="X77" s="331"/>
      <c r="Y77" s="331"/>
      <c r="Z77" s="331"/>
      <c r="AA77" s="276"/>
      <c r="AB77" s="276"/>
    </row>
    <row r="78" spans="1:28">
      <c r="A78" s="184">
        <v>61</v>
      </c>
      <c r="B78" s="162" t="s">
        <v>3</v>
      </c>
      <c r="C78" s="162"/>
      <c r="D78" s="374">
        <f t="shared" ref="D78:L78" si="20">SUM(D74:D77)</f>
        <v>-4456709</v>
      </c>
      <c r="E78" s="374">
        <f t="shared" si="20"/>
        <v>4686415</v>
      </c>
      <c r="F78" s="374">
        <f t="shared" si="20"/>
        <v>96655</v>
      </c>
      <c r="G78" s="374">
        <f t="shared" si="20"/>
        <v>-2740052</v>
      </c>
      <c r="H78" s="374">
        <f t="shared" si="20"/>
        <v>0</v>
      </c>
      <c r="I78" s="374">
        <f t="shared" si="20"/>
        <v>46662</v>
      </c>
      <c r="J78" s="374">
        <f t="shared" si="20"/>
        <v>0</v>
      </c>
      <c r="K78" s="374">
        <f t="shared" si="20"/>
        <v>0</v>
      </c>
      <c r="L78" s="374">
        <f t="shared" si="20"/>
        <v>0</v>
      </c>
      <c r="M78" s="374">
        <f>D78+E78+F78+G78+H78+I78+J78+K78+L78</f>
        <v>-2367029</v>
      </c>
      <c r="N78" s="160"/>
      <c r="O78" s="491" t="s">
        <v>585</v>
      </c>
      <c r="P78" s="276"/>
      <c r="Q78" s="334"/>
      <c r="R78" s="492">
        <f>IF($M$85&lt;0,"",$R$76-$R$77)</f>
        <v>2578102</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3"/>
      <c r="P79" s="276"/>
      <c r="Q79" s="334"/>
      <c r="R79" s="494"/>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5" t="s">
        <v>586</v>
      </c>
      <c r="P80" s="276"/>
      <c r="Q80" s="334"/>
      <c r="R80" s="521">
        <f>Input!$UC$24</f>
        <v>2544892</v>
      </c>
      <c r="S80" s="330"/>
      <c r="T80" s="330"/>
      <c r="U80" s="334"/>
      <c r="V80" s="276"/>
      <c r="W80" s="328"/>
      <c r="X80" s="328"/>
      <c r="Y80" s="331"/>
      <c r="Z80" s="331"/>
      <c r="AA80" s="276"/>
      <c r="AB80" s="276"/>
    </row>
    <row r="81" spans="1:28">
      <c r="A81" s="184">
        <v>64</v>
      </c>
      <c r="B81" s="160" t="s">
        <v>47</v>
      </c>
      <c r="C81" s="160"/>
      <c r="D81" s="372">
        <f>Input!$PT$24</f>
        <v>308628</v>
      </c>
      <c r="E81" s="372">
        <f>Input!$PU$24</f>
        <v>2073883</v>
      </c>
      <c r="F81" s="372">
        <f>Input!$PV$24</f>
        <v>0</v>
      </c>
      <c r="G81" s="372">
        <f>Input!$PW$24</f>
        <v>0</v>
      </c>
      <c r="H81" s="372">
        <f>Input!$PX$24</f>
        <v>0</v>
      </c>
      <c r="I81" s="372">
        <f>Input!$PY$24</f>
        <v>162381</v>
      </c>
      <c r="J81" s="372">
        <f>Input!$PZ$24</f>
        <v>0</v>
      </c>
      <c r="K81" s="372">
        <f>Input!$QA$24</f>
        <v>0</v>
      </c>
      <c r="L81" s="372">
        <f>Input!$QB$24</f>
        <v>0</v>
      </c>
      <c r="M81" s="373">
        <f>D81+E81+F81+G81+H81+I81+J81+K81+L81</f>
        <v>2544892</v>
      </c>
      <c r="N81" s="160"/>
      <c r="O81" s="496" t="s">
        <v>587</v>
      </c>
      <c r="P81" s="276"/>
      <c r="Q81" s="276"/>
      <c r="R81" s="497"/>
      <c r="S81" s="330"/>
      <c r="T81" s="330"/>
      <c r="W81" s="276"/>
      <c r="X81" s="276"/>
      <c r="Y81" s="331"/>
      <c r="Z81" s="331"/>
      <c r="AA81" s="276"/>
      <c r="AB81" s="276"/>
    </row>
    <row r="82" spans="1:28">
      <c r="A82" s="184">
        <v>65</v>
      </c>
      <c r="B82" s="160" t="s">
        <v>48</v>
      </c>
      <c r="C82" s="160"/>
      <c r="D82" s="372">
        <f>Input!$QC$24</f>
        <v>0</v>
      </c>
      <c r="E82" s="372">
        <f>Input!$QD$24</f>
        <v>0</v>
      </c>
      <c r="F82" s="372">
        <f>Input!$QE$24</f>
        <v>0</v>
      </c>
      <c r="G82" s="372">
        <f>Input!$QF$24</f>
        <v>0</v>
      </c>
      <c r="H82" s="372">
        <f>Input!$QG$24</f>
        <v>0</v>
      </c>
      <c r="I82" s="372">
        <f>Input!$QH$24</f>
        <v>33210</v>
      </c>
      <c r="J82" s="372">
        <f>Input!$QI$24</f>
        <v>0</v>
      </c>
      <c r="K82" s="372">
        <f>Input!$QJ$24</f>
        <v>0</v>
      </c>
      <c r="L82" s="372">
        <f>Input!$QK$24</f>
        <v>0</v>
      </c>
      <c r="M82" s="373">
        <f>D82+E82+F82+G82+H82+I82+J82+K82+L82</f>
        <v>33210</v>
      </c>
      <c r="N82" s="160"/>
      <c r="O82" s="498" t="s">
        <v>588</v>
      </c>
      <c r="P82" s="276"/>
      <c r="Q82" s="276"/>
      <c r="R82" s="492">
        <f>IFERROR($R$78-$R$80,"")</f>
        <v>33210</v>
      </c>
      <c r="Y82" s="331"/>
      <c r="Z82" s="401"/>
      <c r="AA82" s="268"/>
      <c r="AB82" s="268"/>
    </row>
    <row r="83" spans="1:28">
      <c r="A83" s="184">
        <v>66</v>
      </c>
      <c r="B83" s="162" t="s">
        <v>3</v>
      </c>
      <c r="C83" s="162"/>
      <c r="D83" s="374">
        <f t="shared" ref="D83:L83" si="21">SUM(D81:D82)</f>
        <v>308628</v>
      </c>
      <c r="E83" s="374">
        <f t="shared" si="21"/>
        <v>2073883</v>
      </c>
      <c r="F83" s="374">
        <f t="shared" si="21"/>
        <v>0</v>
      </c>
      <c r="G83" s="374">
        <f t="shared" si="21"/>
        <v>0</v>
      </c>
      <c r="H83" s="374">
        <f t="shared" si="21"/>
        <v>0</v>
      </c>
      <c r="I83" s="374">
        <f t="shared" si="21"/>
        <v>195591</v>
      </c>
      <c r="J83" s="374">
        <f t="shared" si="21"/>
        <v>0</v>
      </c>
      <c r="K83" s="374">
        <f t="shared" si="21"/>
        <v>0</v>
      </c>
      <c r="L83" s="374">
        <f t="shared" si="21"/>
        <v>0</v>
      </c>
      <c r="M83" s="374">
        <f>D83+E83+F83+G83+H83+I83+J83+K83+L83</f>
        <v>2578102</v>
      </c>
      <c r="N83" s="160"/>
      <c r="O83" s="493"/>
      <c r="P83" s="276"/>
      <c r="Q83" s="276"/>
      <c r="R83" s="497"/>
      <c r="Y83" s="163"/>
      <c r="Z83" s="447"/>
      <c r="AA83" s="439"/>
      <c r="AB83" s="448"/>
    </row>
    <row r="84" spans="1:28" ht="13.5" thickBot="1">
      <c r="A84" s="184">
        <v>67</v>
      </c>
      <c r="B84" s="160"/>
      <c r="C84" s="160"/>
      <c r="D84" s="373"/>
      <c r="E84" s="373"/>
      <c r="F84" s="373"/>
      <c r="G84" s="373"/>
      <c r="H84" s="373"/>
      <c r="I84" s="373"/>
      <c r="J84" s="373"/>
      <c r="K84" s="373"/>
      <c r="L84" s="373"/>
      <c r="M84" s="373"/>
      <c r="N84" s="160"/>
      <c r="O84" s="499" t="s">
        <v>589</v>
      </c>
      <c r="P84" s="500"/>
      <c r="Q84" s="500"/>
      <c r="R84" s="501">
        <f>IFERROR((R82+R80)-R78,"")</f>
        <v>0</v>
      </c>
      <c r="Y84" s="268"/>
      <c r="Z84" s="447"/>
      <c r="AA84" s="439"/>
      <c r="AB84" s="449"/>
    </row>
    <row r="85" spans="1:28" ht="13.5" thickTop="1">
      <c r="A85" s="184">
        <v>68</v>
      </c>
      <c r="B85" s="162" t="s">
        <v>574</v>
      </c>
      <c r="C85" s="162"/>
      <c r="D85" s="374">
        <f t="shared" ref="D85:L85" si="22">D57-D71+D78+D83</f>
        <v>-211152</v>
      </c>
      <c r="E85" s="374">
        <f t="shared" si="22"/>
        <v>6649025</v>
      </c>
      <c r="F85" s="374">
        <f t="shared" si="22"/>
        <v>211</v>
      </c>
      <c r="G85" s="374">
        <f t="shared" si="22"/>
        <v>845440</v>
      </c>
      <c r="H85" s="374">
        <f t="shared" si="22"/>
        <v>5057</v>
      </c>
      <c r="I85" s="374">
        <f t="shared" si="22"/>
        <v>242253</v>
      </c>
      <c r="J85" s="374">
        <f t="shared" si="22"/>
        <v>0</v>
      </c>
      <c r="K85" s="374">
        <f t="shared" si="22"/>
        <v>0</v>
      </c>
      <c r="L85" s="374">
        <f t="shared" si="22"/>
        <v>-1010461</v>
      </c>
      <c r="M85" s="374">
        <f>D85+E85+F85+G85+H85+I85+J85+K85+L85</f>
        <v>6520373</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Input!$QL$24</f>
        <v>0</v>
      </c>
      <c r="E87" s="372">
        <f>Input!$QM$24</f>
        <v>0</v>
      </c>
      <c r="F87" s="372">
        <f>Input!$QN$24</f>
        <v>0</v>
      </c>
      <c r="G87" s="372">
        <f>Input!$QO$24</f>
        <v>0</v>
      </c>
      <c r="H87" s="372">
        <f>Input!$QP$24</f>
        <v>0</v>
      </c>
      <c r="I87" s="372">
        <f>Input!$QQ$24</f>
        <v>0</v>
      </c>
      <c r="J87" s="372">
        <f>Input!$QR$24</f>
        <v>0</v>
      </c>
      <c r="K87" s="372">
        <f>Input!$QS$24</f>
        <v>0</v>
      </c>
      <c r="L87" s="372">
        <f>Input!$QT$24</f>
        <v>0</v>
      </c>
      <c r="M87" s="329">
        <f>D87+E87+F87+G87+H87+I87+J87+K87+L87</f>
        <v>0</v>
      </c>
      <c r="N87" s="160"/>
      <c r="Y87" s="268"/>
      <c r="Z87" s="447"/>
      <c r="AA87" s="439"/>
      <c r="AB87" s="449"/>
    </row>
    <row r="88" spans="1:28">
      <c r="A88" s="184">
        <v>72</v>
      </c>
      <c r="B88" s="160" t="s">
        <v>66</v>
      </c>
      <c r="C88" s="160"/>
      <c r="D88" s="372">
        <f>Input!$QU$24</f>
        <v>0</v>
      </c>
      <c r="E88" s="372">
        <f>Input!$QV$24</f>
        <v>0</v>
      </c>
      <c r="F88" s="372">
        <f>Input!$QW$24</f>
        <v>0</v>
      </c>
      <c r="G88" s="372">
        <f>Input!$QX$24</f>
        <v>0</v>
      </c>
      <c r="H88" s="372">
        <f>Input!$QY$24</f>
        <v>0</v>
      </c>
      <c r="I88" s="372">
        <f>Input!$QZ$24</f>
        <v>0</v>
      </c>
      <c r="J88" s="372">
        <f>Input!$RA$24</f>
        <v>0</v>
      </c>
      <c r="K88" s="372">
        <f>Input!$RB$24</f>
        <v>0</v>
      </c>
      <c r="L88" s="372">
        <f>Input!$RC$24</f>
        <v>-5769238</v>
      </c>
      <c r="M88" s="373">
        <f>D88+E88+F88+G88+H88+I88+J88+K88+L88</f>
        <v>-5769238</v>
      </c>
      <c r="N88" s="160"/>
      <c r="O88" s="270"/>
      <c r="P88" s="335"/>
      <c r="Y88" s="268"/>
      <c r="Z88" s="447"/>
      <c r="AA88" s="439"/>
      <c r="AB88" s="449"/>
    </row>
    <row r="89" spans="1:28" s="264" customFormat="1">
      <c r="A89" s="263"/>
      <c r="B89" s="171" t="s">
        <v>216</v>
      </c>
      <c r="C89" s="171"/>
      <c r="D89" s="372">
        <f>Input!$RD$24</f>
        <v>0</v>
      </c>
      <c r="E89" s="372">
        <f>Input!$RE$24</f>
        <v>0</v>
      </c>
      <c r="F89" s="372">
        <f>Input!$RF$24</f>
        <v>0</v>
      </c>
      <c r="G89" s="372">
        <f>Input!$RG$24</f>
        <v>0</v>
      </c>
      <c r="H89" s="372">
        <f>Input!$RH$24</f>
        <v>0</v>
      </c>
      <c r="I89" s="372">
        <f>Input!$RI$24</f>
        <v>0</v>
      </c>
      <c r="J89" s="372">
        <f>Input!$RJ$24</f>
        <v>0</v>
      </c>
      <c r="K89" s="372">
        <f>Input!$RK$24</f>
        <v>0</v>
      </c>
      <c r="L89" s="372">
        <f>Input!$RL$24</f>
        <v>3242341</v>
      </c>
      <c r="M89" s="373">
        <f t="shared" ref="M89:M91" si="23">D89+E89+F89+G89+H89+I89+J89+K89+L89</f>
        <v>3242341</v>
      </c>
      <c r="N89" s="160"/>
      <c r="O89" s="1726" t="s">
        <v>1355</v>
      </c>
      <c r="P89" s="1727"/>
      <c r="Q89" s="1727"/>
      <c r="R89" s="1727"/>
      <c r="S89" s="1727"/>
      <c r="T89" s="1727"/>
      <c r="U89" s="1728"/>
      <c r="Y89" s="268"/>
      <c r="Z89" s="447"/>
      <c r="AA89" s="439"/>
      <c r="AB89" s="449"/>
    </row>
    <row r="90" spans="1:28" s="264" customFormat="1">
      <c r="A90" s="263"/>
      <c r="B90" s="171" t="s">
        <v>105</v>
      </c>
      <c r="C90" s="171"/>
      <c r="D90" s="372">
        <f>Input!$RM$24</f>
        <v>0</v>
      </c>
      <c r="E90" s="372">
        <f>Input!$RN$24</f>
        <v>0</v>
      </c>
      <c r="F90" s="372">
        <f>Input!$RO$24</f>
        <v>0</v>
      </c>
      <c r="G90" s="372">
        <f>Input!$RP$24</f>
        <v>0</v>
      </c>
      <c r="H90" s="372">
        <f>Input!$RQ$24</f>
        <v>0</v>
      </c>
      <c r="I90" s="372">
        <f>Input!$RR$24</f>
        <v>0</v>
      </c>
      <c r="J90" s="372">
        <f>Input!$RS$24</f>
        <v>0</v>
      </c>
      <c r="K90" s="372">
        <f>Input!$RT$24</f>
        <v>0</v>
      </c>
      <c r="L90" s="372">
        <f>Input!$RU$24</f>
        <v>0</v>
      </c>
      <c r="M90" s="373">
        <f t="shared" si="23"/>
        <v>0</v>
      </c>
      <c r="N90" s="160"/>
      <c r="O90" s="502" t="s">
        <v>590</v>
      </c>
      <c r="P90" s="423"/>
      <c r="Q90" s="502" t="s">
        <v>591</v>
      </c>
      <c r="R90" s="423"/>
      <c r="S90" s="503"/>
      <c r="T90" s="502" t="s">
        <v>592</v>
      </c>
      <c r="U90" s="423"/>
      <c r="Y90" s="268"/>
      <c r="Z90" s="447"/>
      <c r="AA90" s="439"/>
      <c r="AB90" s="449"/>
    </row>
    <row r="91" spans="1:28" s="264" customFormat="1">
      <c r="A91" s="263"/>
      <c r="B91" s="171" t="s">
        <v>128</v>
      </c>
      <c r="C91" s="171"/>
      <c r="D91" s="372">
        <f>Input!$RV$24</f>
        <v>0</v>
      </c>
      <c r="E91" s="372">
        <f>Input!$RW$24</f>
        <v>0</v>
      </c>
      <c r="F91" s="372">
        <f>Input!$RX$24</f>
        <v>0</v>
      </c>
      <c r="G91" s="372">
        <f>Input!$RY$24</f>
        <v>0</v>
      </c>
      <c r="H91" s="372">
        <f>Input!$RZ$24</f>
        <v>0</v>
      </c>
      <c r="I91" s="372">
        <f>Input!$SA$24</f>
        <v>0</v>
      </c>
      <c r="J91" s="372">
        <f>Input!$SB$24</f>
        <v>0</v>
      </c>
      <c r="K91" s="372">
        <f>Input!$SC$24</f>
        <v>0</v>
      </c>
      <c r="L91" s="372">
        <f>Input!$SD$24</f>
        <v>1677</v>
      </c>
      <c r="M91" s="373">
        <f t="shared" si="23"/>
        <v>1677</v>
      </c>
      <c r="N91" s="160"/>
      <c r="O91" s="504"/>
      <c r="P91" s="505"/>
      <c r="Q91" s="504"/>
      <c r="R91" s="426"/>
      <c r="S91" s="276"/>
      <c r="T91" s="506"/>
      <c r="U91" s="426"/>
      <c r="Y91" s="268"/>
      <c r="Z91" s="447"/>
      <c r="AA91" s="439"/>
      <c r="AB91" s="449"/>
    </row>
    <row r="92" spans="1:28" s="264" customFormat="1">
      <c r="A92" s="263"/>
      <c r="B92" s="160" t="s">
        <v>67</v>
      </c>
      <c r="C92" s="160"/>
      <c r="D92" s="372">
        <f>Input!$SE$24</f>
        <v>104055</v>
      </c>
      <c r="E92" s="372">
        <f>Input!$SF$24</f>
        <v>100560</v>
      </c>
      <c r="F92" s="372">
        <f>Input!$SG$24</f>
        <v>0</v>
      </c>
      <c r="G92" s="372">
        <f>Input!$SH$24</f>
        <v>52612</v>
      </c>
      <c r="H92" s="372">
        <f>Input!$SI$24</f>
        <v>0</v>
      </c>
      <c r="I92" s="372">
        <f>Input!$SJ$24</f>
        <v>0</v>
      </c>
      <c r="J92" s="372">
        <f>Input!$SK$24</f>
        <v>0</v>
      </c>
      <c r="K92" s="372">
        <f>Input!$SL$24</f>
        <v>0</v>
      </c>
      <c r="L92" s="372">
        <f>Input!$SM$24</f>
        <v>0</v>
      </c>
      <c r="M92" s="373">
        <f>D92+E92+F92+G92+H92+I92+J92+K92+L92</f>
        <v>257227</v>
      </c>
      <c r="N92" s="160"/>
      <c r="O92" s="1729" t="str">
        <f>Input!UF$24</f>
        <v>Chris Arrington</v>
      </c>
      <c r="P92" s="1730"/>
      <c r="Q92" s="1729" t="str">
        <f>Input!$UG$24</f>
        <v>979-458-9151</v>
      </c>
      <c r="R92" s="1730"/>
      <c r="S92" s="276"/>
      <c r="T92" s="1731" t="str">
        <f>HYPERLINK("Mailto:"&amp;Input!$UH$17,Input!$UH$17)</f>
        <v>fincher@tarleton.edu</v>
      </c>
      <c r="U92" s="1730"/>
      <c r="Y92" s="268"/>
      <c r="Z92" s="447"/>
      <c r="AA92" s="442"/>
      <c r="AB92" s="449"/>
    </row>
    <row r="93" spans="1:28" ht="13.5" thickBot="1">
      <c r="B93" s="179" t="s">
        <v>58</v>
      </c>
      <c r="C93" s="179"/>
      <c r="D93" s="380">
        <f t="shared" ref="D93:K93" si="24">SUM(D85:D92)</f>
        <v>-107097</v>
      </c>
      <c r="E93" s="380">
        <f t="shared" si="24"/>
        <v>6749585</v>
      </c>
      <c r="F93" s="380">
        <f t="shared" si="24"/>
        <v>211</v>
      </c>
      <c r="G93" s="380">
        <f t="shared" si="24"/>
        <v>898052</v>
      </c>
      <c r="H93" s="380">
        <f t="shared" si="24"/>
        <v>5057</v>
      </c>
      <c r="I93" s="380">
        <f t="shared" si="24"/>
        <v>242253</v>
      </c>
      <c r="J93" s="380">
        <f t="shared" si="24"/>
        <v>0</v>
      </c>
      <c r="K93" s="380">
        <f t="shared" si="24"/>
        <v>0</v>
      </c>
      <c r="L93" s="380">
        <f>SUM(L85:L92)</f>
        <v>-3535681</v>
      </c>
      <c r="M93" s="380">
        <f>D93+E93+F93+G93+H93+I93+J93+K93+L93</f>
        <v>4252380</v>
      </c>
      <c r="N93" s="160"/>
      <c r="O93" s="506"/>
      <c r="P93" s="507"/>
      <c r="Q93" s="276"/>
      <c r="R93" s="276"/>
      <c r="S93" s="276"/>
      <c r="T93" s="507"/>
      <c r="U93" s="508"/>
      <c r="Y93" s="268"/>
      <c r="Z93" s="447"/>
      <c r="AA93" s="442"/>
      <c r="AB93" s="449"/>
    </row>
    <row r="94" spans="1:28" ht="13.5" thickTop="1">
      <c r="C94" s="160"/>
      <c r="D94" s="165"/>
      <c r="E94" s="165"/>
      <c r="F94" s="165"/>
      <c r="G94" s="165"/>
      <c r="H94" s="165"/>
      <c r="I94" s="165"/>
      <c r="J94" s="165"/>
      <c r="K94" s="165"/>
      <c r="L94" s="165"/>
      <c r="M94" s="180"/>
      <c r="N94" s="160"/>
      <c r="O94" s="1720" t="s">
        <v>593</v>
      </c>
      <c r="P94" s="1721"/>
      <c r="Q94" s="1721"/>
      <c r="R94" s="1721"/>
      <c r="S94" s="1721"/>
      <c r="T94" s="1721"/>
      <c r="U94" s="1722"/>
      <c r="Y94" s="268"/>
      <c r="Z94" s="451"/>
      <c r="AA94" s="442"/>
      <c r="AB94" s="449"/>
    </row>
    <row r="95" spans="1:28">
      <c r="B95" s="171" t="s">
        <v>1369</v>
      </c>
      <c r="C95" s="169"/>
      <c r="D95" s="165"/>
      <c r="E95" s="165"/>
      <c r="F95" s="165"/>
      <c r="G95" s="165"/>
      <c r="H95" s="165"/>
      <c r="I95" s="165"/>
      <c r="J95" s="165"/>
      <c r="K95" s="165"/>
      <c r="L95" s="165"/>
      <c r="M95" s="180"/>
      <c r="N95" s="160"/>
      <c r="O95" s="1720"/>
      <c r="P95" s="1721"/>
      <c r="Q95" s="1721"/>
      <c r="R95" s="1721"/>
      <c r="S95" s="1721"/>
      <c r="T95" s="1721"/>
      <c r="U95" s="1722"/>
      <c r="Y95" s="268"/>
      <c r="Z95" s="452"/>
      <c r="AA95" s="453"/>
      <c r="AB95" s="454"/>
    </row>
    <row r="96" spans="1:28">
      <c r="B96" s="169" t="s">
        <v>80</v>
      </c>
      <c r="C96" s="160"/>
      <c r="D96" s="165"/>
      <c r="E96" s="165"/>
      <c r="F96" s="165"/>
      <c r="G96" s="165"/>
      <c r="H96" s="165"/>
      <c r="I96" s="165"/>
      <c r="J96" s="165"/>
      <c r="K96" s="165"/>
      <c r="L96" s="165"/>
      <c r="M96" s="180"/>
      <c r="N96" s="160"/>
      <c r="O96" s="509"/>
      <c r="P96" s="510"/>
      <c r="Q96" s="511"/>
      <c r="R96" s="511"/>
      <c r="S96" s="511"/>
      <c r="T96" s="510"/>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Input!$SN$24</f>
        <v>4252380</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3" t="str">
        <f>IF($L$118&lt;&gt;Input!$F$24,"Out of Balance","Balanced")</f>
        <v>Balanced</v>
      </c>
      <c r="M102" s="517"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32883684</v>
      </c>
      <c r="E105" s="373">
        <f>SUM($E$10:$E$14)+SUM($E$19:$E$28)+SUM($E$32:$E$41)+$E$47+SUM($E$50:$E$55)+SUM($E$60:$E$70)+SUM($E$74:$E$77)+SUM($E$81:$E$82)+SUM($E$87:$E$92)</f>
        <v>34267899</v>
      </c>
      <c r="F105" s="373">
        <f>SUM($F$10:$F$14)+SUM($F$19:$F$28)+SUM($F$32:$F$41)+$F$47+SUM($F$50:$F$55)+SUM($F$60:$F$70)+SUM($F$74:$F$77)+SUM($F$81:$F$82)+SUM($F$87:$F$92)</f>
        <v>297391</v>
      </c>
      <c r="G105" s="373">
        <f>SUM($G$10:$G$14)+SUM($G$19:$G$28)+SUM($G$32:$G$41)+$G$47+SUM($G$50:$G$55)+SUM($G$60:$G$70)+SUM($G$74:$G$77)+SUM($G$81:$G$82)+SUM($G$87:$G$92)</f>
        <v>8008308</v>
      </c>
      <c r="H105" s="373">
        <f>SUM($H$10:$H$14)+SUM($H$19:$H$28)+SUM($H$32:$H$41)+$H$47+SUM($H$50:$H$55)+SUM($H$60:$H$70)+SUM($H$74:$H$77)+SUM($H$81:$H$82)+SUM($H$87:$H$92)</f>
        <v>-1705</v>
      </c>
      <c r="I105" s="373">
        <f>SUM($I$10:$I$14)+SUM($I$19:$I$28)+SUM($I$32:$I$41)+$I$47+SUM($I$50:$I$55)+SUM($I$60:$I$70)+SUM($I$74:$I$77)+SUM($I$81:$I$82)+SUM($I$87:$I$92)</f>
        <v>242253</v>
      </c>
      <c r="J105" s="373">
        <f>SUM($J$10:$J$14)+SUM($J$19:$J$28)+SUM($J$32:$J$41)+$J$47+SUM($J$50:$J$55)+SUM($J$60:$J$70)+SUM($J$74:$J$77)+SUM($J$81:$J$82)+SUM($J$87:$J$92)</f>
        <v>0</v>
      </c>
      <c r="K105" s="373">
        <f>SUM($K$10:$K$14)+SUM($K$19:$K$28)+SUM($K$32:$K$41)+$K$47+SUM($K$50:$K$55)+SUM($K$60:$K$70)+SUM($K$74:$K$77)+SUM($K$81:$K$82)+SUM($K$87:$K$92)</f>
        <v>0</v>
      </c>
      <c r="L105" s="373">
        <f>SUM($L$10:$L$14)+SUM($L$19:$L$28)+SUM($L$32:$L$41)+$L$47+SUM($L$50:$L$55)+SUM($L$60:$L$70)+SUM($L$74:$L$77)+SUM($L$81:$L$82)+SUM($L$87:$L$92)</f>
        <v>-1514759</v>
      </c>
      <c r="M105" s="373"/>
      <c r="N105" s="264"/>
      <c r="O105" s="373"/>
      <c r="P105" s="450">
        <f>M18-INT(M18)</f>
        <v>0</v>
      </c>
    </row>
    <row r="106" spans="2:28">
      <c r="B106" s="261"/>
      <c r="C106" s="261"/>
      <c r="D106" s="261"/>
      <c r="E106" s="261"/>
      <c r="F106" s="261"/>
      <c r="G106" s="261"/>
      <c r="H106" s="261"/>
      <c r="I106" s="261"/>
      <c r="J106" s="261"/>
      <c r="K106" s="261"/>
      <c r="L106" s="373">
        <f>SUM($D$105:$L$105)</f>
        <v>74183071</v>
      </c>
      <c r="M106" s="261"/>
      <c r="N106" s="264"/>
      <c r="O106" s="373"/>
      <c r="P106" s="450">
        <f>M31-INT(M31)</f>
        <v>0</v>
      </c>
    </row>
    <row r="107" spans="2:28">
      <c r="B107" s="261"/>
      <c r="C107" s="261"/>
      <c r="D107" s="261"/>
      <c r="E107" s="261"/>
      <c r="F107" s="261"/>
      <c r="G107" s="261"/>
      <c r="H107" s="261"/>
      <c r="I107" s="261"/>
      <c r="J107" s="261" t="s">
        <v>1299</v>
      </c>
      <c r="K107" s="261"/>
      <c r="L107" s="373">
        <f>$M$100</f>
        <v>4252380</v>
      </c>
      <c r="M107" s="261"/>
      <c r="N107" s="264"/>
      <c r="O107" s="373"/>
      <c r="P107" s="450">
        <f>M93-INT(M93)</f>
        <v>0</v>
      </c>
    </row>
    <row r="108" spans="2:28">
      <c r="B108" s="261"/>
      <c r="C108" s="261"/>
      <c r="D108" s="261"/>
      <c r="E108" s="261"/>
      <c r="F108" s="261"/>
      <c r="G108" s="261"/>
      <c r="H108" s="261"/>
      <c r="I108" s="261"/>
      <c r="J108" s="261" t="s">
        <v>1300</v>
      </c>
      <c r="K108" s="261"/>
      <c r="L108" s="512">
        <f>$Q$32</f>
        <v>16972919</v>
      </c>
      <c r="M108" s="261"/>
      <c r="N108" s="264"/>
      <c r="O108" s="373"/>
    </row>
    <row r="109" spans="2:28">
      <c r="B109" s="261"/>
      <c r="C109" s="261"/>
      <c r="D109" s="261"/>
      <c r="E109" s="261"/>
      <c r="F109" s="261"/>
      <c r="G109" s="261"/>
      <c r="H109" s="261"/>
      <c r="I109" s="261"/>
      <c r="J109" s="261" t="s">
        <v>1300</v>
      </c>
      <c r="K109" s="261"/>
      <c r="L109" s="512">
        <f>$R$34</f>
        <v>-4312520</v>
      </c>
      <c r="M109" s="261"/>
      <c r="N109" s="264"/>
      <c r="O109" s="373"/>
    </row>
    <row r="110" spans="2:28">
      <c r="B110" s="261"/>
      <c r="C110" s="261"/>
      <c r="D110" s="261"/>
      <c r="E110" s="261"/>
      <c r="F110" s="261"/>
      <c r="G110" s="261"/>
      <c r="H110" s="261"/>
      <c r="I110" s="261"/>
      <c r="J110" s="261" t="s">
        <v>29</v>
      </c>
      <c r="K110" s="261"/>
      <c r="L110" s="512">
        <f>SUM($P$60:$P$68)</f>
        <v>257227</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2">
        <f>SUM($V$60:$V$67)</f>
        <v>256931</v>
      </c>
      <c r="M112" s="261"/>
      <c r="N112" s="264"/>
      <c r="O112" s="373"/>
    </row>
    <row r="113" spans="2:15">
      <c r="B113" s="261"/>
      <c r="C113" s="261"/>
      <c r="D113" s="261"/>
      <c r="E113" s="261"/>
      <c r="F113" s="261"/>
      <c r="G113" s="261"/>
      <c r="H113" s="261"/>
      <c r="I113" s="261"/>
      <c r="J113" s="261" t="s">
        <v>596</v>
      </c>
      <c r="K113" s="261"/>
      <c r="L113" s="512">
        <f>SUM($W$60:$W$67)</f>
        <v>0</v>
      </c>
      <c r="M113" s="261"/>
      <c r="N113" s="264"/>
      <c r="O113" s="373"/>
    </row>
    <row r="114" spans="2:15">
      <c r="B114" s="261"/>
      <c r="C114" s="261"/>
      <c r="D114" s="261"/>
      <c r="E114" s="261"/>
      <c r="F114" s="261"/>
      <c r="G114" s="261"/>
      <c r="H114" s="261"/>
      <c r="I114" s="261"/>
      <c r="J114" s="261" t="s">
        <v>258</v>
      </c>
      <c r="K114" s="261"/>
      <c r="L114" s="512">
        <f>SUM($AA$60:$AA$68)</f>
        <v>34007802</v>
      </c>
      <c r="M114" s="261"/>
      <c r="N114" s="264"/>
      <c r="O114" s="373"/>
    </row>
    <row r="115" spans="2:15">
      <c r="B115" s="261"/>
      <c r="C115" s="261"/>
      <c r="D115" s="261"/>
      <c r="E115" s="261"/>
      <c r="F115" s="261"/>
      <c r="G115" s="261"/>
      <c r="H115" s="261"/>
      <c r="I115" s="261"/>
      <c r="J115" s="261" t="s">
        <v>597</v>
      </c>
      <c r="K115" s="261"/>
      <c r="L115" s="512">
        <f>$R$77</f>
        <v>3942271</v>
      </c>
      <c r="M115" s="261"/>
      <c r="N115" s="264"/>
      <c r="O115" s="373"/>
    </row>
    <row r="116" spans="2:15">
      <c r="B116" s="261"/>
      <c r="C116" s="261"/>
      <c r="D116" s="261"/>
      <c r="E116" s="261"/>
      <c r="F116" s="261"/>
      <c r="G116" s="261"/>
      <c r="H116" s="261"/>
      <c r="I116" s="261"/>
      <c r="J116" s="261" t="s">
        <v>597</v>
      </c>
      <c r="K116" s="261"/>
      <c r="L116" s="512">
        <f>$R$80</f>
        <v>2544892</v>
      </c>
      <c r="M116" s="261"/>
      <c r="N116" s="264"/>
      <c r="O116" s="373"/>
    </row>
    <row r="117" spans="2:15">
      <c r="B117" s="261"/>
      <c r="C117" s="261"/>
      <c r="D117" s="261"/>
      <c r="E117" s="261"/>
      <c r="F117" s="261"/>
      <c r="G117" s="261"/>
      <c r="H117" s="261"/>
      <c r="I117" s="261"/>
      <c r="J117" s="261" t="s">
        <v>1231</v>
      </c>
      <c r="K117" s="261"/>
      <c r="L117" s="1008">
        <f>VLOOKUP(B2,Names!B5:$C$87,2,FALSE)</f>
        <v>42295</v>
      </c>
      <c r="M117" s="261"/>
      <c r="N117" s="264"/>
      <c r="O117" s="373"/>
    </row>
    <row r="118" spans="2:15">
      <c r="B118" s="261"/>
      <c r="C118" s="261"/>
      <c r="D118" s="261"/>
      <c r="E118" s="261"/>
      <c r="F118" s="261"/>
      <c r="G118" s="261"/>
      <c r="H118" s="261"/>
      <c r="I118" s="261"/>
      <c r="J118" s="261"/>
      <c r="K118" s="261"/>
      <c r="L118" s="373">
        <f>SUM(L106:L117)</f>
        <v>132147268</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V70:W70"/>
    <mergeCell ref="O56:O59"/>
    <mergeCell ref="P56:P59"/>
    <mergeCell ref="Q56:Q59"/>
    <mergeCell ref="T56:T59"/>
    <mergeCell ref="U56:U59"/>
    <mergeCell ref="V56:V59"/>
    <mergeCell ref="W56:W59"/>
    <mergeCell ref="R56:R59"/>
    <mergeCell ref="AA56:AA59"/>
    <mergeCell ref="X56:X59"/>
    <mergeCell ref="AB56:AB59"/>
    <mergeCell ref="T55:X55"/>
    <mergeCell ref="Z55:AB55"/>
    <mergeCell ref="T19:X19"/>
    <mergeCell ref="Z56:Z59"/>
    <mergeCell ref="B2:F2"/>
    <mergeCell ref="B3:F3"/>
    <mergeCell ref="B4:F4"/>
    <mergeCell ref="O75:R75"/>
    <mergeCell ref="P4:Q4"/>
    <mergeCell ref="B6:M6"/>
    <mergeCell ref="P10:P11"/>
    <mergeCell ref="G59:K59"/>
    <mergeCell ref="P71:Q71"/>
    <mergeCell ref="O55:R55"/>
    <mergeCell ref="O19:R19"/>
    <mergeCell ref="O89:U89"/>
    <mergeCell ref="O92:P92"/>
    <mergeCell ref="Q92:R92"/>
    <mergeCell ref="T92:U92"/>
    <mergeCell ref="O94:U95"/>
  </mergeCells>
  <conditionalFormatting sqref="U87:X88 O88:Q88">
    <cfRule type="cellIs" dxfId="778" priority="212" stopIfTrue="1" operator="notEqual">
      <formula>#REF!</formula>
    </cfRule>
  </conditionalFormatting>
  <conditionalFormatting sqref="P70">
    <cfRule type="expression" dxfId="777" priority="194">
      <formula>$P$69&lt;&gt;$M$69</formula>
    </cfRule>
  </conditionalFormatting>
  <conditionalFormatting sqref="AB72">
    <cfRule type="expression" dxfId="776" priority="193">
      <formula>$AB$71&lt;&gt;0</formula>
    </cfRule>
  </conditionalFormatting>
  <conditionalFormatting sqref="P71">
    <cfRule type="expression" dxfId="775" priority="192">
      <formula>P69-INT(P69)</formula>
    </cfRule>
  </conditionalFormatting>
  <conditionalFormatting sqref="V70">
    <cfRule type="expression" dxfId="774" priority="190">
      <formula>X68-INT(X68)</formula>
    </cfRule>
  </conditionalFormatting>
  <conditionalFormatting sqref="O12">
    <cfRule type="expression" dxfId="773" priority="181">
      <formula>$P$12&lt;&gt;$M$12</formula>
    </cfRule>
  </conditionalFormatting>
  <conditionalFormatting sqref="U87:U88 O88:Q88">
    <cfRule type="cellIs" dxfId="772" priority="174" stopIfTrue="1" operator="notEqual">
      <formula>#REF!</formula>
    </cfRule>
  </conditionalFormatting>
  <conditionalFormatting sqref="R84">
    <cfRule type="expression" priority="172" stopIfTrue="1">
      <formula>$M$85&lt;0</formula>
    </cfRule>
    <cfRule type="expression" dxfId="771" priority="173">
      <formula>$S$85&lt;&gt;0</formula>
    </cfRule>
  </conditionalFormatting>
  <conditionalFormatting sqref="R80 R77">
    <cfRule type="expression" dxfId="770" priority="170" stopIfTrue="1">
      <formula>$M$85&gt;=0</formula>
    </cfRule>
    <cfRule type="expression" priority="171">
      <formula>$M$85&lt;0</formula>
    </cfRule>
  </conditionalFormatting>
  <conditionalFormatting sqref="U87:U88 O88:Q88">
    <cfRule type="cellIs" dxfId="769" priority="169" stopIfTrue="1" operator="notEqual">
      <formula>#REF!</formula>
    </cfRule>
  </conditionalFormatting>
  <conditionalFormatting sqref="O13">
    <cfRule type="expression" dxfId="768" priority="153">
      <formula>$P$13&lt;&gt;$M$13</formula>
    </cfRule>
  </conditionalFormatting>
  <conditionalFormatting sqref="U87:U88 O88:Q88">
    <cfRule type="cellIs" dxfId="767" priority="152" stopIfTrue="1" operator="notEqual">
      <formula>#REF!</formula>
    </cfRule>
  </conditionalFormatting>
  <conditionalFormatting sqref="Q36">
    <cfRule type="expression" dxfId="766" priority="31">
      <formula>#REF!&lt;&gt;#REF!</formula>
    </cfRule>
  </conditionalFormatting>
  <conditionalFormatting sqref="R35">
    <cfRule type="expression" dxfId="765" priority="30">
      <formula>#REF!&lt;&gt;0</formula>
    </cfRule>
  </conditionalFormatting>
  <conditionalFormatting sqref="Q35">
    <cfRule type="expression" dxfId="764" priority="29">
      <formula>#REF!&lt;&gt;0</formula>
    </cfRule>
  </conditionalFormatting>
  <conditionalFormatting sqref="R36">
    <cfRule type="expression" dxfId="763" priority="28">
      <formula>#REF!&lt;&gt;#REF!</formula>
    </cfRule>
  </conditionalFormatting>
  <conditionalFormatting sqref="D93:M98 T94:T95 R90:S95 U87:X91 T90:T91 Y90:Y95 O88:O92 P88:Q93 U93:X93 V92:X92">
    <cfRule type="cellIs" dxfId="762" priority="27" stopIfTrue="1" operator="notEqual">
      <formula>#REF!</formula>
    </cfRule>
  </conditionalFormatting>
  <conditionalFormatting sqref="P70">
    <cfRule type="expression" dxfId="761" priority="26">
      <formula>$P$69&lt;&gt;$M$69</formula>
    </cfRule>
  </conditionalFormatting>
  <conditionalFormatting sqref="AB72">
    <cfRule type="expression" dxfId="760" priority="25">
      <formula>$AB$71&lt;&gt;0</formula>
    </cfRule>
  </conditionalFormatting>
  <conditionalFormatting sqref="P71">
    <cfRule type="expression" dxfId="759" priority="24">
      <formula>P69-INT(P69)</formula>
    </cfRule>
  </conditionalFormatting>
  <conditionalFormatting sqref="V70">
    <cfRule type="expression" dxfId="758" priority="23">
      <formula>X68-INT(X68)</formula>
    </cfRule>
  </conditionalFormatting>
  <conditionalFormatting sqref="O12">
    <cfRule type="expression" dxfId="757" priority="22">
      <formula>$P$12&lt;&gt;$M$12</formula>
    </cfRule>
  </conditionalFormatting>
  <conditionalFormatting sqref="T94:T95 R90:S95 U87:U91 T90:T91 O88:O92 P88:Q93 U93">
    <cfRule type="cellIs" dxfId="756" priority="20" stopIfTrue="1" operator="notEqual">
      <formula>#REF!</formula>
    </cfRule>
  </conditionalFormatting>
  <conditionalFormatting sqref="R84">
    <cfRule type="expression" priority="18" stopIfTrue="1">
      <formula>$M$85&lt;0</formula>
    </cfRule>
    <cfRule type="expression" dxfId="755" priority="19">
      <formula>$S$85&lt;&gt;0</formula>
    </cfRule>
  </conditionalFormatting>
  <conditionalFormatting sqref="R80 R77">
    <cfRule type="expression" dxfId="754" priority="16" stopIfTrue="1">
      <formula>$M$85&gt;=0</formula>
    </cfRule>
    <cfRule type="expression" priority="17">
      <formula>$M$85&lt;0</formula>
    </cfRule>
  </conditionalFormatting>
  <conditionalFormatting sqref="U87:U88 R89:U91 O88:Q92 R92:S92">
    <cfRule type="cellIs" dxfId="753" priority="15" stopIfTrue="1" operator="notEqual">
      <formula>#REF!</formula>
    </cfRule>
  </conditionalFormatting>
  <conditionalFormatting sqref="M101">
    <cfRule type="expression" dxfId="752" priority="14">
      <formula>$M$101&lt;&gt;0</formula>
    </cfRule>
  </conditionalFormatting>
  <conditionalFormatting sqref="M102">
    <cfRule type="expression" dxfId="751" priority="13">
      <formula>$M$93&lt;&gt;$M$100</formula>
    </cfRule>
  </conditionalFormatting>
  <conditionalFormatting sqref="U87:U91 R90:T91 O88:Q92 R92:S92">
    <cfRule type="cellIs" dxfId="750" priority="12" stopIfTrue="1" operator="notEqual">
      <formula>#REF!</formula>
    </cfRule>
  </conditionalFormatting>
  <conditionalFormatting sqref="T89:U89 Q91 T90 O89:O90 P89:Q89 R89:S91">
    <cfRule type="cellIs" dxfId="749" priority="11" stopIfTrue="1" operator="notEqual">
      <formula>#REF!</formula>
    </cfRule>
  </conditionalFormatting>
  <conditionalFormatting sqref="Q36">
    <cfRule type="expression" dxfId="748" priority="10">
      <formula>#REF!&lt;&gt;#REF!</formula>
    </cfRule>
  </conditionalFormatting>
  <conditionalFormatting sqref="R35">
    <cfRule type="expression" dxfId="747" priority="9">
      <formula>#REF!&lt;&gt;0</formula>
    </cfRule>
  </conditionalFormatting>
  <conditionalFormatting sqref="Q35">
    <cfRule type="expression" dxfId="746" priority="8">
      <formula>#REF!&lt;&gt;0</formula>
    </cfRule>
  </conditionalFormatting>
  <conditionalFormatting sqref="R36">
    <cfRule type="expression" dxfId="745" priority="7">
      <formula>#REF!&lt;&gt;#REF!</formula>
    </cfRule>
  </conditionalFormatting>
  <conditionalFormatting sqref="G59:K59">
    <cfRule type="expression" dxfId="744" priority="5">
      <formula>OR($P$105&gt;0,$P$106&lt;&gt;0,$P$107&lt;&gt;0)</formula>
    </cfRule>
  </conditionalFormatting>
  <conditionalFormatting sqref="T92:U92">
    <cfRule type="cellIs" dxfId="743" priority="4" stopIfTrue="1" operator="notEqual">
      <formula>#REF!</formula>
    </cfRule>
  </conditionalFormatting>
  <conditionalFormatting sqref="T92:U92">
    <cfRule type="cellIs" dxfId="742" priority="3" stopIfTrue="1" operator="notEqual">
      <formula>#REF!</formula>
    </cfRule>
  </conditionalFormatting>
  <conditionalFormatting sqref="T92:U92">
    <cfRule type="cellIs" dxfId="741" priority="2" stopIfTrue="1" operator="notEqual">
      <formula>#REF!</formula>
    </cfRule>
  </conditionalFormatting>
  <conditionalFormatting sqref="T92:U92">
    <cfRule type="cellIs" dxfId="740" priority="1" stopIfTrue="1" operator="notEqual">
      <formula>#REF!</formula>
    </cfRule>
  </conditionalFormatting>
  <hyperlinks>
    <hyperlink ref="O2" location="Index!A1" display="Return to Index" xr:uid="{00000000-0004-0000-6300-000000000000}"/>
  </hyperlinks>
  <printOptions horizontalCentered="1"/>
  <pageMargins left="0.5" right="0.5" top="0.25" bottom="0.25" header="0" footer="0.25"/>
  <pageSetup scale="10" orientation="landscape"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G30"/>
  <sheetViews>
    <sheetView showGridLines="0" zoomScale="80" zoomScaleNormal="80" workbookViewId="0">
      <selection activeCell="E74" sqref="E74:F74"/>
    </sheetView>
  </sheetViews>
  <sheetFormatPr defaultColWidth="9.140625" defaultRowHeight="12.75"/>
  <cols>
    <col min="1" max="1" width="7" style="53" customWidth="1"/>
    <col min="2" max="2" width="93.140625" style="53" customWidth="1"/>
    <col min="3" max="3" width="19.85546875" style="53" customWidth="1"/>
    <col min="4" max="9" width="9.140625" style="53"/>
    <col min="10" max="10" width="14.28515625" style="53" customWidth="1"/>
    <col min="11" max="16384" width="9.140625" style="53"/>
  </cols>
  <sheetData>
    <row r="1" spans="2:6" ht="18.75" thickBot="1">
      <c r="B1" s="466" t="str">
        <f>'TAMUCT Chrts'!$A$1</f>
        <v>Texas A&amp;M University - Central Texas</v>
      </c>
      <c r="C1" s="835" t="s">
        <v>1200</v>
      </c>
    </row>
    <row r="2" spans="2:6">
      <c r="B2" s="393" t="str">
        <f>'Smmy Chrts'!$A$2</f>
        <v>For the Year Ended August 31, 2021</v>
      </c>
    </row>
    <row r="3" spans="2:6">
      <c r="B3" s="393" t="str">
        <f>'Smmy Chrts'!$A$3</f>
        <v>Source: FY 2021 Annual Financial Report</v>
      </c>
    </row>
    <row r="5" spans="2:6" customFormat="1">
      <c r="B5" s="529" t="s">
        <v>705</v>
      </c>
    </row>
    <row r="6" spans="2:6" customFormat="1">
      <c r="B6" s="530"/>
    </row>
    <row r="7" spans="2:6" customFormat="1" ht="226.5" customHeight="1">
      <c r="B7" s="531" t="s">
        <v>706</v>
      </c>
      <c r="C7" s="532"/>
    </row>
    <row r="8" spans="2:6" customFormat="1" ht="263.25" customHeight="1">
      <c r="B8" s="531" t="s">
        <v>707</v>
      </c>
    </row>
    <row r="9" spans="2:6" ht="64.5" customHeight="1">
      <c r="B9" s="533" t="str">
        <f>IF('TAMUCT FGD'!$R$76="N/A","FN11.  N/A",$B$20&amp;$B$21&amp;$B$22&amp;$B$23&amp;$B$24&amp;$B$25&amp;$B$26&amp;$B$27&amp;$B$28&amp;$B$29&amp;$B$30)</f>
        <v>FN11: Of the net increase of $6,520,373 approximately $3.9 million represents revenues received but not yet expended. This income is fully committed to program expenditures and capital disbursements. The remaining $2.6 million represents non-expendable funds from unrealized gains and additions to permanent endowments of approximately $2.5 million and $33 thousand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TEXT(IF('TAMUCT FGD'!$M$85&lt;0,"N/A",'TAMUCT FGD'!$M$85),"$* #,##0;$* (#,##0)")</f>
        <v>$6,520,373</v>
      </c>
      <c r="C21" s="480"/>
      <c r="D21" s="480"/>
      <c r="E21" s="480"/>
      <c r="G21" s="105"/>
    </row>
    <row r="22" spans="1:7">
      <c r="B22" s="105" t="s">
        <v>682</v>
      </c>
    </row>
    <row r="23" spans="1:7">
      <c r="A23" s="53">
        <v>61</v>
      </c>
      <c r="B23" s="515" t="str">
        <f>IF(ABS('TAMUCT FGD'!$R$77)&gt;=1000000,TEXT('TAMUCT FGD'!$R$77/1000000,"$* #,##0.0;$* (#,##0.0)")&amp;" million",IF(ABS('TAMUCT FGD'!$R$77)&lt;1000,TEXT('TAMUCT FGD'!$R$77,"$* #,##0;$* (#,##0)"),TEXT('TAMUCT FGD'!$R$77/1000,"$* #,##0;$* (#,##0)")&amp;" thousand"))</f>
        <v>$3.9 million</v>
      </c>
      <c r="C23" s="515"/>
      <c r="E23" s="515"/>
    </row>
    <row r="24" spans="1:7">
      <c r="B24" s="105" t="s">
        <v>708</v>
      </c>
    </row>
    <row r="25" spans="1:7">
      <c r="A25" s="53">
        <v>62</v>
      </c>
      <c r="B25" s="515" t="str">
        <f>IF(ABS('TAMUCT FGD'!$R$78)&gt;=1000000,TEXT('TAMUCT FGD'!$R$78/1000000,"$* #,##0.0;$* (#,##0.0)")&amp;" million",IF(ABS('TAMUCT FGD'!$R$78)&lt;1000,TEXT('TAMUCT FGD'!$R$78,"$* #,##0;$* (#,##0)"),TEXT('TAMUCT FGD'!$R$78/1000,"$* #,##0;$* (#,##0)")&amp;" thousand"))</f>
        <v>$2.6 million</v>
      </c>
      <c r="C25" s="515"/>
      <c r="E25" s="515"/>
    </row>
    <row r="26" spans="1:7">
      <c r="B26" s="105" t="s">
        <v>683</v>
      </c>
    </row>
    <row r="27" spans="1:7">
      <c r="A27" s="53">
        <v>64</v>
      </c>
      <c r="B27" s="515" t="str">
        <f>IF(ABS('TAMUCT FGD'!$R$80)&gt;=1000000,TEXT('TAMUCT FGD'!$R$80/1000000,"$* #,##0.0;$* (#,##0.0)")&amp;" million",IF(ABS('TAMUCT FGD'!$R$80)&lt;1000,TEXT('TAMUCT FGD'!$R$80,"$* #,##0;$* (#,##0)"),TEXT('TAMUCT FGD'!$R$80/1000,"$* #,##0;$* (#,##0)")&amp;" thousand"))</f>
        <v>$2.5 million</v>
      </c>
      <c r="C27" s="515"/>
      <c r="E27" s="515"/>
    </row>
    <row r="28" spans="1:7">
      <c r="B28" s="105" t="s">
        <v>684</v>
      </c>
    </row>
    <row r="29" spans="1:7">
      <c r="A29" s="53">
        <v>66</v>
      </c>
      <c r="B29" s="515" t="str">
        <f>IF(ABS('TAMUCT FGD'!$R$82)&gt;=1000000,TEXT('TAMUCT FGD'!$R$82/1000000,"$* #,##0.0;$* (#,##0.0)")&amp;" million",IF(ABS('TAMUCT FGD'!$R$82)&lt;1000,TEXT('TAMUCT FGD'!$R$82,"$* #,##0;$* (#,##0)"),TEXT('TAMUCT FGD'!$R$82/1000,"$* #,##0;$* (#,##0)")&amp;" thousand"))</f>
        <v>$33 thousand</v>
      </c>
      <c r="C29" s="515"/>
      <c r="E29" s="515"/>
    </row>
    <row r="30" spans="1:7">
      <c r="B30" s="105" t="s">
        <v>709</v>
      </c>
    </row>
  </sheetData>
  <hyperlinks>
    <hyperlink ref="C1" location="Index!A1" display="Return to Index" xr:uid="{00000000-0004-0000-6400-000000000000}"/>
  </hyperlinks>
  <pageMargins left="0.25" right="0.25" top="0.25" bottom="0.25" header="0" footer="0.25"/>
  <pageSetup orientation="portrait"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tabColor indexed="47"/>
    <pageSetUpPr fitToPage="1"/>
  </sheetPr>
  <dimension ref="A1:E165"/>
  <sheetViews>
    <sheetView showGridLines="0" zoomScale="65" zoomScaleNormal="65" zoomScaleSheetLayoutView="65" workbookViewId="0">
      <selection activeCell="B30" sqref="B30"/>
    </sheetView>
  </sheetViews>
  <sheetFormatPr defaultColWidth="9.140625" defaultRowHeight="12.75" customHeight="1"/>
  <cols>
    <col min="1" max="1" width="158.7109375" style="53" customWidth="1"/>
    <col min="2" max="2" width="20.5703125" style="53" customWidth="1"/>
    <col min="3" max="3" width="49" style="53" customWidth="1"/>
    <col min="4" max="4" width="20.7109375" style="53" customWidth="1"/>
    <col min="5" max="5" width="9.140625" style="679"/>
    <col min="6" max="16384" width="9.140625" style="53"/>
  </cols>
  <sheetData>
    <row r="1" spans="1:5" ht="28.5" thickBot="1">
      <c r="A1" s="159" t="s">
        <v>272</v>
      </c>
      <c r="B1" s="835" t="s">
        <v>1200</v>
      </c>
      <c r="C1" s="53" t="s">
        <v>1329</v>
      </c>
    </row>
    <row r="2" spans="1:5" ht="27.75">
      <c r="A2" s="54" t="str">
        <f>'Smmy Chrts'!$A$2</f>
        <v>For the Year Ended August 31, 2021</v>
      </c>
      <c r="C2" s="55" t="s">
        <v>63</v>
      </c>
    </row>
    <row r="3" spans="1:5" ht="27.75">
      <c r="A3" s="54" t="str">
        <f>'Smmy Chrts'!$A$3</f>
        <v>Source: FY 2021 Annual Financial Report</v>
      </c>
      <c r="C3" s="53" t="s">
        <v>64</v>
      </c>
    </row>
    <row r="4" spans="1:5" ht="12.75" customHeight="1">
      <c r="C4" s="53" t="s">
        <v>267</v>
      </c>
    </row>
    <row r="5" spans="1:5" ht="12.75" customHeight="1">
      <c r="C5" s="53" t="s">
        <v>268</v>
      </c>
    </row>
    <row r="7" spans="1:5" ht="12.75" customHeight="1">
      <c r="C7" s="1687" t="s">
        <v>25</v>
      </c>
      <c r="D7" s="1687"/>
    </row>
    <row r="8" spans="1:5" ht="12.75" customHeight="1">
      <c r="C8" s="57"/>
      <c r="D8" s="58"/>
    </row>
    <row r="9" spans="1:5" ht="12.75" customHeight="1">
      <c r="C9" s="59" t="str">
        <f>'TAMUCT Sum'!A9</f>
        <v>State of Texas</v>
      </c>
      <c r="D9" s="60">
        <f>'TAMUSA Sum'!B15</f>
        <v>38086689</v>
      </c>
      <c r="E9" s="680">
        <f>ROUND(D9/$D$14,3)</f>
        <v>0.33800000000000002</v>
      </c>
    </row>
    <row r="10" spans="1:5" ht="12.75" customHeight="1">
      <c r="C10" s="59" t="str">
        <f>'TAMUCT Sum'!A17</f>
        <v>Student &amp; Parent</v>
      </c>
      <c r="D10" s="60">
        <f>'TAMUSA Sum'!B20</f>
        <v>29496374</v>
      </c>
      <c r="E10" s="680">
        <f t="shared" ref="E10:E12" si="0">ROUND(D10/$D$14,3)</f>
        <v>0.26200000000000001</v>
      </c>
    </row>
    <row r="11" spans="1:5" ht="12.75" customHeight="1">
      <c r="C11" s="59" t="str">
        <f>'TAMUCT Sum'!A22</f>
        <v>Federal Government</v>
      </c>
      <c r="D11" s="60">
        <f>'TAMUSA Sum'!B23</f>
        <v>35360842</v>
      </c>
      <c r="E11" s="680">
        <f t="shared" si="0"/>
        <v>0.314</v>
      </c>
    </row>
    <row r="12" spans="1:5" ht="12.75" customHeight="1">
      <c r="C12" s="59" t="str">
        <f>'TAMUCT Sum'!A25</f>
        <v>Institutional Resources</v>
      </c>
      <c r="D12" s="60">
        <f>'TAMUSA Sum'!B32</f>
        <v>9783603</v>
      </c>
      <c r="E12" s="680">
        <f t="shared" si="0"/>
        <v>8.6999999999999994E-2</v>
      </c>
    </row>
    <row r="13" spans="1:5" ht="12.75" customHeight="1">
      <c r="C13" s="57"/>
      <c r="D13" s="58"/>
      <c r="E13" s="680"/>
    </row>
    <row r="14" spans="1:5" ht="12.75" customHeight="1">
      <c r="C14" s="61" t="s">
        <v>68</v>
      </c>
      <c r="D14" s="62">
        <f>SUM(D9:D13)</f>
        <v>112727508</v>
      </c>
      <c r="E14" s="680">
        <f>SUM(E9:E13)</f>
        <v>1.0010000000000001</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86" t="str">
        <f>C14&amp;" "&amp;TEXT(D14,"$#,###")</f>
        <v>Total Operating Sources $112,727,508</v>
      </c>
    </row>
    <row r="48" spans="1:1" ht="12.75" customHeight="1">
      <c r="A48" s="1686"/>
    </row>
    <row r="49" spans="1:5" ht="12.75" customHeight="1">
      <c r="A49" s="56"/>
    </row>
    <row r="52" spans="1:5" ht="12.75" customHeight="1">
      <c r="C52" s="394" t="s">
        <v>25</v>
      </c>
      <c r="D52" s="58"/>
    </row>
    <row r="54" spans="1:5" ht="12.75" customHeight="1">
      <c r="C54" s="59" t="s">
        <v>1</v>
      </c>
      <c r="D54" s="60">
        <f>'TAMUSA Sum'!B10</f>
        <v>35219375</v>
      </c>
      <c r="E54" s="680">
        <f>ROUND(D54/$D$67,3)</f>
        <v>0.312</v>
      </c>
    </row>
    <row r="55" spans="1:5" ht="12.75" customHeight="1">
      <c r="C55" s="59" t="s">
        <v>221</v>
      </c>
      <c r="D55" s="60">
        <f>'TAMUSA Sum'!B11</f>
        <v>2867314</v>
      </c>
      <c r="E55" s="680">
        <f t="shared" ref="E55:E66" si="1">ROUND(D55/$D$67,3)</f>
        <v>2.5000000000000001E-2</v>
      </c>
    </row>
    <row r="56" spans="1:5" ht="12.75" customHeight="1">
      <c r="C56" s="1069"/>
      <c r="D56" s="60"/>
      <c r="E56" s="680"/>
    </row>
    <row r="57" spans="1:5" ht="12.75" customHeight="1">
      <c r="C57" s="1069" t="str">
        <f>'TAMUCT Sum'!A13</f>
        <v>Higher Education Fund</v>
      </c>
      <c r="D57" s="60">
        <f>'TAMUSA Sum'!B13</f>
        <v>0</v>
      </c>
      <c r="E57" s="680">
        <f t="shared" si="1"/>
        <v>0</v>
      </c>
    </row>
    <row r="58" spans="1:5" ht="12.75" customHeight="1">
      <c r="C58" s="1069" t="s">
        <v>41</v>
      </c>
      <c r="D58" s="60">
        <f>'TAMUSA Sum'!B14</f>
        <v>0</v>
      </c>
      <c r="E58" s="680">
        <f t="shared" si="1"/>
        <v>0</v>
      </c>
    </row>
    <row r="59" spans="1:5" ht="12.75" customHeight="1">
      <c r="C59" s="59" t="s">
        <v>87</v>
      </c>
      <c r="D59" s="60">
        <f>'TAMUSA Sum'!B20</f>
        <v>29496374</v>
      </c>
      <c r="E59" s="680">
        <f t="shared" si="1"/>
        <v>0.26200000000000001</v>
      </c>
    </row>
    <row r="60" spans="1:5" ht="12.75" customHeight="1">
      <c r="C60" s="64" t="s">
        <v>74</v>
      </c>
      <c r="D60" s="60">
        <f>'TAMUSA Sum'!B23</f>
        <v>35360842</v>
      </c>
      <c r="E60" s="680">
        <f t="shared" si="1"/>
        <v>0.314</v>
      </c>
    </row>
    <row r="61" spans="1:5" ht="12.75" customHeight="1">
      <c r="C61" s="59" t="s">
        <v>75</v>
      </c>
      <c r="D61" s="60">
        <f>'TAMUSA Sum'!B26</f>
        <v>2456687</v>
      </c>
      <c r="E61" s="680">
        <f t="shared" si="1"/>
        <v>2.1999999999999999E-2</v>
      </c>
    </row>
    <row r="62" spans="1:5" ht="12.75" customHeight="1">
      <c r="C62" s="1069" t="s">
        <v>27</v>
      </c>
      <c r="D62" s="60">
        <f>'TAMUSA Sum'!B27</f>
        <v>0</v>
      </c>
      <c r="E62" s="680">
        <f t="shared" si="1"/>
        <v>0</v>
      </c>
    </row>
    <row r="63" spans="1:5" ht="12.75" customHeight="1">
      <c r="C63" s="59" t="s">
        <v>76</v>
      </c>
      <c r="D63" s="60">
        <f>'TAMUSA Sum'!B28</f>
        <v>4412454</v>
      </c>
      <c r="E63" s="680">
        <f t="shared" si="1"/>
        <v>3.9E-2</v>
      </c>
    </row>
    <row r="64" spans="1:5" ht="12.75" customHeight="1">
      <c r="C64" s="59" t="s">
        <v>77</v>
      </c>
      <c r="D64" s="60">
        <f>'TAMUSA Sum'!B29</f>
        <v>287007</v>
      </c>
      <c r="E64" s="680">
        <f t="shared" si="1"/>
        <v>3.0000000000000001E-3</v>
      </c>
    </row>
    <row r="65" spans="1:5" ht="12.75" customHeight="1">
      <c r="C65" s="59" t="s">
        <v>220</v>
      </c>
      <c r="D65" s="60">
        <f>'TAMUSA Sum'!B30</f>
        <v>1761631</v>
      </c>
      <c r="E65" s="680">
        <f t="shared" si="1"/>
        <v>1.6E-2</v>
      </c>
    </row>
    <row r="66" spans="1:5" ht="12.75" customHeight="1">
      <c r="C66" s="64" t="s">
        <v>52</v>
      </c>
      <c r="D66" s="60">
        <f>'TAMUSA Sum'!B31</f>
        <v>865824</v>
      </c>
      <c r="E66" s="680">
        <f t="shared" si="1"/>
        <v>8.0000000000000002E-3</v>
      </c>
    </row>
    <row r="67" spans="1:5" ht="12.75" customHeight="1">
      <c r="C67" s="61" t="s">
        <v>68</v>
      </c>
      <c r="D67" s="62">
        <f>SUM(D54:D66)</f>
        <v>112727508</v>
      </c>
      <c r="E67" s="681">
        <f>SUM(E54:E66)</f>
        <v>1.0010000000000001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86" t="str">
        <f>C67&amp;" "&amp;TEXT(D67,"$#,###")</f>
        <v>Total Operating Sources $112,727,508</v>
      </c>
    </row>
    <row r="93" spans="1:5" ht="12.75" customHeight="1">
      <c r="A93" s="1686"/>
    </row>
    <row r="94" spans="1:5" ht="12.75" customHeight="1">
      <c r="A94" s="65"/>
    </row>
    <row r="95" spans="1:5" s="68" customFormat="1" ht="12.75" customHeight="1">
      <c r="A95" s="66"/>
      <c r="E95" s="682"/>
    </row>
    <row r="96" spans="1:5" ht="12.75" customHeight="1">
      <c r="A96" s="65"/>
    </row>
    <row r="97" spans="1:5" ht="12.75" customHeight="1">
      <c r="A97" s="65"/>
    </row>
    <row r="98" spans="1:5" ht="12.75" customHeight="1">
      <c r="A98" s="65"/>
    </row>
    <row r="100" spans="1:5" ht="12.75" customHeight="1">
      <c r="C100" s="1687" t="s">
        <v>13</v>
      </c>
      <c r="D100" s="1687"/>
    </row>
    <row r="101" spans="1:5" ht="12.75" customHeight="1">
      <c r="C101" s="1687"/>
      <c r="D101" s="1687"/>
    </row>
    <row r="102" spans="1:5" ht="12.75" customHeight="1">
      <c r="C102" s="69" t="s">
        <v>14</v>
      </c>
      <c r="D102" s="60">
        <f>'TAMUSA Sum'!B36</f>
        <v>29356283</v>
      </c>
      <c r="E102" s="680">
        <f>ROUND(D102/$D$114,3)</f>
        <v>0.28999999999999998</v>
      </c>
    </row>
    <row r="103" spans="1:5" ht="12.75" customHeight="1">
      <c r="C103" s="69" t="s">
        <v>15</v>
      </c>
      <c r="D103" s="60">
        <f>'TAMUSA Sum'!B37</f>
        <v>1276831</v>
      </c>
      <c r="E103" s="680">
        <f t="shared" ref="E103:E112" si="2">ROUND(D103/$D$114,3)</f>
        <v>1.2999999999999999E-2</v>
      </c>
    </row>
    <row r="104" spans="1:5" ht="12.75" customHeight="1">
      <c r="C104" s="69" t="s">
        <v>16</v>
      </c>
      <c r="D104" s="60">
        <f>'TAMUSA Sum'!B38</f>
        <v>191445</v>
      </c>
      <c r="E104" s="680">
        <f t="shared" si="2"/>
        <v>2E-3</v>
      </c>
    </row>
    <row r="105" spans="1:5" ht="12.75" customHeight="1">
      <c r="C105" s="69" t="s">
        <v>17</v>
      </c>
      <c r="D105" s="60">
        <f>'TAMUSA Sum'!B39</f>
        <v>6193436</v>
      </c>
      <c r="E105" s="680">
        <f t="shared" si="2"/>
        <v>6.0999999999999999E-2</v>
      </c>
    </row>
    <row r="106" spans="1:5" ht="12.75" customHeight="1">
      <c r="C106" s="69" t="s">
        <v>18</v>
      </c>
      <c r="D106" s="60">
        <f>'TAMUSA Sum'!B40</f>
        <v>18150997</v>
      </c>
      <c r="E106" s="680">
        <f t="shared" si="2"/>
        <v>0.17899999999999999</v>
      </c>
    </row>
    <row r="107" spans="1:5" ht="12.75" customHeight="1">
      <c r="C107" s="69" t="s">
        <v>19</v>
      </c>
      <c r="D107" s="60">
        <f>'TAMUSA Sum'!B41</f>
        <v>13732086</v>
      </c>
      <c r="E107" s="680">
        <f t="shared" si="2"/>
        <v>0.13600000000000001</v>
      </c>
    </row>
    <row r="108" spans="1:5" ht="12.75" customHeight="1">
      <c r="C108" s="69" t="s">
        <v>78</v>
      </c>
      <c r="D108" s="60">
        <f>'TAMUSA Sum'!B42</f>
        <v>7130079</v>
      </c>
      <c r="E108" s="680">
        <f t="shared" si="2"/>
        <v>7.0000000000000007E-2</v>
      </c>
    </row>
    <row r="109" spans="1:5" ht="12.75" customHeight="1">
      <c r="C109" s="69" t="s">
        <v>79</v>
      </c>
      <c r="D109" s="60">
        <f>'TAMUSA Sum'!B43</f>
        <v>21763866</v>
      </c>
      <c r="E109" s="680">
        <f t="shared" si="2"/>
        <v>0.215</v>
      </c>
    </row>
    <row r="110" spans="1:5" ht="12.75" customHeight="1">
      <c r="C110" s="69" t="s">
        <v>22</v>
      </c>
      <c r="D110" s="60">
        <f>'TAMUSA Sum'!B44</f>
        <v>2909149</v>
      </c>
      <c r="E110" s="680">
        <f t="shared" si="2"/>
        <v>2.9000000000000001E-2</v>
      </c>
    </row>
    <row r="111" spans="1:5" ht="12.75" customHeight="1">
      <c r="C111" s="64" t="s">
        <v>29</v>
      </c>
      <c r="D111" s="60">
        <f>'TAMUSA Sum'!B45</f>
        <v>342217</v>
      </c>
      <c r="E111" s="680">
        <f t="shared" si="2"/>
        <v>3.0000000000000001E-3</v>
      </c>
    </row>
    <row r="112" spans="1:5" ht="12.75" customHeight="1">
      <c r="C112" s="64" t="s">
        <v>53</v>
      </c>
      <c r="D112" s="60">
        <f>'TAMUSA Sum'!B46</f>
        <v>284587</v>
      </c>
      <c r="E112" s="680">
        <f t="shared" si="2"/>
        <v>3.0000000000000001E-3</v>
      </c>
    </row>
    <row r="113" spans="3:5" ht="12.75" customHeight="1">
      <c r="C113" s="57"/>
      <c r="D113" s="57"/>
    </row>
    <row r="114" spans="3:5" ht="12.75" customHeight="1">
      <c r="C114" s="70" t="s">
        <v>69</v>
      </c>
      <c r="D114" s="62">
        <f>SUM(D102:D113)</f>
        <v>101330976</v>
      </c>
      <c r="E114" s="681">
        <f>SUM(E102:E113)</f>
        <v>1.0009999999999999</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86" t="str">
        <f>C114&amp;" "&amp;TEXT(D114,"$#,###")</f>
        <v>Total Operating Uses $101,330,976</v>
      </c>
    </row>
    <row r="137" spans="1:1" ht="12.75" customHeight="1">
      <c r="A137" s="1686"/>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136:A137"/>
    <mergeCell ref="C7:D7"/>
    <mergeCell ref="A47:A48"/>
    <mergeCell ref="A92:A93"/>
    <mergeCell ref="C100:D100"/>
    <mergeCell ref="C101:D101"/>
  </mergeCells>
  <hyperlinks>
    <hyperlink ref="B1" location="Index!A1" display="Return to Index" xr:uid="{00000000-0004-0000-65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1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transitionEvaluation="1" transitionEntry="1">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'TAMUSA Chrts'!$A$1</f>
        <v>Texas A&amp;M University - San Antonio</v>
      </c>
      <c r="B1" s="74"/>
      <c r="C1" s="1"/>
      <c r="D1" s="1704" t="s">
        <v>1200</v>
      </c>
      <c r="E1" s="1705"/>
      <c r="F1" s="1757" t="s">
        <v>1196</v>
      </c>
      <c r="G1" s="1706"/>
      <c r="H1" s="1706"/>
      <c r="I1" s="1706"/>
      <c r="J1" s="1707" t="s">
        <v>1197</v>
      </c>
      <c r="K1" s="1695"/>
      <c r="L1" s="1695"/>
      <c r="M1" s="1695"/>
      <c r="N1" s="1695"/>
      <c r="O1" s="1696"/>
    </row>
    <row r="2" spans="1:15" ht="15.75">
      <c r="A2" s="76" t="str">
        <f>'Smmy Chrts'!$A$2</f>
        <v>For the Year Ended August 31, 2021</v>
      </c>
      <c r="B2" s="74"/>
      <c r="C2" s="1"/>
      <c r="D2" s="37"/>
      <c r="E2" s="37"/>
      <c r="F2" s="37"/>
      <c r="J2" s="37"/>
      <c r="K2" s="37"/>
      <c r="L2" s="37"/>
      <c r="M2" s="37"/>
    </row>
    <row r="3" spans="1:15" ht="15.75">
      <c r="A3" s="76" t="str">
        <f>'Smmy Chrts'!$A$3</f>
        <v>Source: FY 2021 Annual Financial Report</v>
      </c>
      <c r="B3" s="74"/>
      <c r="C3" s="1"/>
    </row>
    <row r="4" spans="1:15" ht="13.5" customHeight="1">
      <c r="B4" s="77"/>
      <c r="C4" s="4"/>
      <c r="D4" s="1711" t="s">
        <v>1142</v>
      </c>
      <c r="E4" s="1711" t="s">
        <v>1143</v>
      </c>
      <c r="F4" s="266"/>
    </row>
    <row r="5" spans="1:15" ht="18">
      <c r="A5" s="39" t="str">
        <f>'Smmy Chrts'!$C$35</f>
        <v>Summary Worksheet FY 2021</v>
      </c>
      <c r="B5" s="40" t="s">
        <v>86</v>
      </c>
      <c r="C5" s="40" t="s">
        <v>129</v>
      </c>
      <c r="D5" s="1712"/>
      <c r="E5" s="1712"/>
      <c r="F5" s="266"/>
      <c r="G5" s="799" t="s">
        <v>1198</v>
      </c>
      <c r="I5" s="822" t="s">
        <v>2157</v>
      </c>
      <c r="J5" s="792" t="s">
        <v>1144</v>
      </c>
    </row>
    <row r="6" spans="1:15" ht="13.5" customHeight="1">
      <c r="A6" s="78" t="s">
        <v>266</v>
      </c>
      <c r="B6" s="41"/>
      <c r="C6" s="42">
        <f>VLOOKUP($A$1,FTSELU,12,FALSE)</f>
        <v>4763.3599999999997</v>
      </c>
      <c r="J6" s="712"/>
    </row>
    <row r="7" spans="1:15">
      <c r="I7" s="824" t="s">
        <v>1162</v>
      </c>
      <c r="J7" s="827"/>
    </row>
    <row r="8" spans="1:15">
      <c r="A8" s="81" t="s">
        <v>71</v>
      </c>
      <c r="B8" s="81"/>
      <c r="C8" s="24"/>
      <c r="I8" s="896">
        <f>VLOOKUP(A1,FTSELU,14,FALSE)</f>
        <v>489.3</v>
      </c>
      <c r="J8" s="712"/>
    </row>
    <row r="9" spans="1:15" ht="12.75" customHeight="1" thickBot="1">
      <c r="A9" s="78" t="s">
        <v>0</v>
      </c>
      <c r="B9" s="82"/>
      <c r="C9" s="7"/>
      <c r="J9" s="712"/>
    </row>
    <row r="10" spans="1:15" ht="12.75" customHeight="1" thickTop="1">
      <c r="A10" s="75" t="s">
        <v>1</v>
      </c>
      <c r="B10" s="83">
        <f>'TAMUSA FGD'!M10</f>
        <v>35219375</v>
      </c>
      <c r="C10" s="83">
        <f>ROUND(B10/$C$6,0)</f>
        <v>7394</v>
      </c>
      <c r="D10" s="512">
        <f>'TAMUSA FGD'!F10</f>
        <v>0</v>
      </c>
      <c r="E10" s="512"/>
      <c r="F10" s="84">
        <f>B10-(SUM(D10:E10))</f>
        <v>35219375</v>
      </c>
      <c r="G10" s="1143" t="s">
        <v>1</v>
      </c>
      <c r="H10" s="1144"/>
      <c r="I10" s="825" t="s">
        <v>1161</v>
      </c>
      <c r="J10" s="713">
        <f>ROUND(F10/$C$6,0)</f>
        <v>7394</v>
      </c>
    </row>
    <row r="11" spans="1:15" ht="12.75" customHeight="1" thickBot="1">
      <c r="A11" s="75" t="s">
        <v>2</v>
      </c>
      <c r="B11" s="86">
        <f>'TAMUSA FGD'!M11</f>
        <v>2867314</v>
      </c>
      <c r="C11" s="87">
        <f t="shared" ref="C11:C14" si="0">ROUND(B11/$C$6,0)</f>
        <v>602</v>
      </c>
      <c r="D11" s="86">
        <f>'TAMUSA FGD'!F11</f>
        <v>0</v>
      </c>
      <c r="E11" s="74"/>
      <c r="F11" s="606">
        <f t="shared" ref="F11:F14" si="1">B11-(SUM(D11:E11))</f>
        <v>2867314</v>
      </c>
      <c r="G11" s="1148">
        <f>SUM(F10:F11)</f>
        <v>38086689</v>
      </c>
      <c r="H11" s="715"/>
      <c r="I11" s="1373">
        <f>ROUND($G$11/$C$6,0)</f>
        <v>7996</v>
      </c>
      <c r="J11" s="716">
        <f t="shared" ref="J11:J14" si="2">ROUND(F11/$C$6,0)</f>
        <v>602</v>
      </c>
    </row>
    <row r="12" spans="1:15" ht="12.75" hidden="1" customHeight="1" thickTop="1" thickBot="1">
      <c r="A12" s="75" t="s">
        <v>1410</v>
      </c>
      <c r="B12" s="86"/>
      <c r="C12" s="87"/>
      <c r="D12" s="86"/>
      <c r="E12" s="74"/>
      <c r="F12" s="607"/>
      <c r="J12" s="716"/>
      <c r="O12" s="608"/>
    </row>
    <row r="13" spans="1:15" ht="12.75" customHeight="1" thickTop="1">
      <c r="A13" s="75" t="s">
        <v>1368</v>
      </c>
      <c r="B13" s="86">
        <f>'TAMUSA FGD'!M13</f>
        <v>0</v>
      </c>
      <c r="C13" s="87">
        <f t="shared" si="0"/>
        <v>0</v>
      </c>
      <c r="D13" s="86">
        <f>'TAMUSA FGD'!F13</f>
        <v>0</v>
      </c>
      <c r="E13" s="74"/>
      <c r="F13" s="893">
        <f t="shared" si="1"/>
        <v>0</v>
      </c>
      <c r="G13" s="882" t="s">
        <v>81</v>
      </c>
      <c r="H13" s="894"/>
      <c r="I13" s="826" t="s">
        <v>1163</v>
      </c>
      <c r="J13" s="716">
        <f t="shared" si="2"/>
        <v>0</v>
      </c>
    </row>
    <row r="14" spans="1:15" ht="12.75" customHeight="1" thickBot="1">
      <c r="A14" s="75" t="s">
        <v>49</v>
      </c>
      <c r="B14" s="86">
        <f>'TAMUSA FGD'!M14</f>
        <v>0</v>
      </c>
      <c r="C14" s="87">
        <f t="shared" si="0"/>
        <v>0</v>
      </c>
      <c r="D14" s="86">
        <f>'TAMUSA FGD'!F14</f>
        <v>0</v>
      </c>
      <c r="E14" s="74"/>
      <c r="F14" s="607">
        <f t="shared" si="1"/>
        <v>0</v>
      </c>
      <c r="G14" s="800">
        <f>SUM(F13:F14)</f>
        <v>0</v>
      </c>
      <c r="H14" s="895"/>
      <c r="I14" s="1377">
        <f>ROUND($G$11/$I$8,0)</f>
        <v>77839</v>
      </c>
      <c r="J14" s="828">
        <f t="shared" si="2"/>
        <v>0</v>
      </c>
    </row>
    <row r="15" spans="1:15" ht="12.75" customHeight="1" thickTop="1">
      <c r="A15" s="88" t="s">
        <v>3</v>
      </c>
      <c r="B15" s="89">
        <f>SUM(B10:B14)</f>
        <v>38086689</v>
      </c>
      <c r="C15" s="89">
        <f>SUM(C10:C14)</f>
        <v>7996</v>
      </c>
      <c r="D15" s="89">
        <f>SUM(D10:D14)</f>
        <v>0</v>
      </c>
      <c r="E15" s="89">
        <f>SUM(E10:E14)</f>
        <v>0</v>
      </c>
      <c r="F15" s="216">
        <f>SUM(F10:F14)</f>
        <v>38086689</v>
      </c>
      <c r="I15" s="1372"/>
      <c r="J15" s="757">
        <f>SUM(J10:J14)</f>
        <v>7996</v>
      </c>
    </row>
    <row r="16" spans="1:15">
      <c r="B16" s="48"/>
      <c r="C16" s="75"/>
      <c r="J16" s="712"/>
    </row>
    <row r="17" spans="1:31" ht="12.75" customHeight="1">
      <c r="A17" s="78" t="s">
        <v>4</v>
      </c>
      <c r="B17" s="86"/>
      <c r="C17" s="75"/>
      <c r="J17" s="712"/>
    </row>
    <row r="18" spans="1:31">
      <c r="A18" s="75" t="s">
        <v>39</v>
      </c>
      <c r="B18" s="83">
        <f>'TAMUSA FGD'!M29</f>
        <v>15831532</v>
      </c>
      <c r="C18" s="83">
        <f t="shared" ref="C18:C19" si="3">ROUND(B18/$C$6,0)</f>
        <v>3324</v>
      </c>
      <c r="D18" s="512">
        <f>'TAMUSA FGD'!$F$29</f>
        <v>0</v>
      </c>
      <c r="E18" s="512"/>
      <c r="F18" s="512">
        <f t="shared" ref="F18:F19" si="4">B18-(SUM(D18:E18))</f>
        <v>15831532</v>
      </c>
      <c r="G18" s="337"/>
      <c r="H18" s="337"/>
      <c r="I18" s="337"/>
      <c r="J18" s="713">
        <f>ROUND(F18/$C$6,0)</f>
        <v>3324</v>
      </c>
    </row>
    <row r="19" spans="1:31" ht="13.5" thickBot="1">
      <c r="A19" s="75" t="s">
        <v>40</v>
      </c>
      <c r="B19" s="86">
        <f>'TAMUSA FGD'!M42</f>
        <v>13664842</v>
      </c>
      <c r="C19" s="87">
        <f t="shared" si="3"/>
        <v>2869</v>
      </c>
      <c r="D19" s="74">
        <f>'TAMUSA FGD'!$F$42</f>
        <v>425512</v>
      </c>
      <c r="E19" s="74"/>
      <c r="F19" s="74">
        <f t="shared" si="4"/>
        <v>13239330</v>
      </c>
      <c r="G19" s="337"/>
      <c r="H19" s="337"/>
      <c r="I19" s="337"/>
      <c r="J19" s="716">
        <f>ROUND(F19/$C$6,0)</f>
        <v>2779</v>
      </c>
    </row>
    <row r="20" spans="1:31" ht="14.25" thickTop="1" thickBot="1">
      <c r="A20" s="88" t="s">
        <v>5</v>
      </c>
      <c r="B20" s="89">
        <f>SUM(B18:B19)</f>
        <v>29496374</v>
      </c>
      <c r="C20" s="89">
        <f>SUM(C18:C19)</f>
        <v>6193</v>
      </c>
      <c r="D20" s="717">
        <f>SUM(D18:D19)</f>
        <v>425512</v>
      </c>
      <c r="E20" s="718">
        <f>SUM(E18:E19)</f>
        <v>0</v>
      </c>
      <c r="F20" s="801">
        <f>SUM(F18:F19)</f>
        <v>29070862</v>
      </c>
      <c r="G20" s="720" t="s">
        <v>26</v>
      </c>
      <c r="H20" s="366"/>
      <c r="I20" s="367"/>
      <c r="J20" s="721">
        <f>SUM(J18:J19)</f>
        <v>6103</v>
      </c>
    </row>
    <row r="21" spans="1:31" ht="12.75" customHeight="1" thickTop="1">
      <c r="B21" s="91"/>
      <c r="C21" s="75"/>
      <c r="F21" s="804"/>
      <c r="J21" s="712"/>
    </row>
    <row r="22" spans="1:31" ht="14.25" customHeight="1" thickBot="1">
      <c r="A22" s="78" t="s">
        <v>6</v>
      </c>
      <c r="B22" s="91"/>
      <c r="C22" s="75"/>
      <c r="J22" s="712"/>
    </row>
    <row r="23" spans="1:31" ht="14.25" thickTop="1" thickBot="1">
      <c r="A23" s="88" t="s">
        <v>7</v>
      </c>
      <c r="B23" s="92">
        <f>'TAMUSA FGD'!M47</f>
        <v>35360842</v>
      </c>
      <c r="C23" s="89">
        <f t="shared" ref="C23" si="5">ROUND(B23/$C$6,0)</f>
        <v>7424</v>
      </c>
      <c r="D23" s="717">
        <f>'TAMUSA FGD'!F47</f>
        <v>0</v>
      </c>
      <c r="E23" s="718"/>
      <c r="F23" s="801">
        <f>B23-(SUM(D23:E23))</f>
        <v>35360842</v>
      </c>
      <c r="G23" s="722" t="s">
        <v>74</v>
      </c>
      <c r="H23" s="366"/>
      <c r="I23" s="367"/>
      <c r="J23" s="756">
        <f>ROUND(F23/$C$6,0)</f>
        <v>7424</v>
      </c>
    </row>
    <row r="24" spans="1:31" ht="13.5" thickTop="1">
      <c r="B24" s="91"/>
      <c r="C24" s="75"/>
      <c r="J24" s="712"/>
    </row>
    <row r="25" spans="1:31">
      <c r="A25" s="78" t="s">
        <v>8</v>
      </c>
      <c r="B25" s="91"/>
      <c r="C25" s="75"/>
      <c r="J25" s="712"/>
    </row>
    <row r="26" spans="1:31">
      <c r="A26" s="75" t="s">
        <v>42</v>
      </c>
      <c r="B26" s="83">
        <f>'TAMUSA FGD'!M50</f>
        <v>2456687</v>
      </c>
      <c r="C26" s="83">
        <f t="shared" ref="C26:C31" si="6">ROUND(B26/$C$6,0)</f>
        <v>516</v>
      </c>
      <c r="D26" s="512">
        <f>'TAMUSA FGD'!F50</f>
        <v>0</v>
      </c>
      <c r="E26" s="512"/>
      <c r="F26" s="512">
        <f t="shared" ref="F26:F31" si="7">B26-(SUM(D26:E26))</f>
        <v>2456687</v>
      </c>
      <c r="G26" s="337"/>
      <c r="H26" s="337"/>
      <c r="I26" s="337"/>
      <c r="J26" s="713">
        <f>ROUND(F26/$C$6,0)</f>
        <v>516</v>
      </c>
    </row>
    <row r="27" spans="1:31">
      <c r="A27" s="75" t="s">
        <v>9</v>
      </c>
      <c r="B27" s="86">
        <f>'TAMUSA FGD'!M51</f>
        <v>0</v>
      </c>
      <c r="C27" s="87">
        <f t="shared" si="6"/>
        <v>0</v>
      </c>
      <c r="D27" s="86">
        <f>'TAMUSA FGD'!F51</f>
        <v>0</v>
      </c>
      <c r="E27" s="74"/>
      <c r="F27" s="74">
        <f t="shared" si="7"/>
        <v>0</v>
      </c>
      <c r="G27" s="337"/>
      <c r="H27" s="337"/>
      <c r="I27" s="337"/>
      <c r="J27" s="716">
        <f t="shared" ref="J27:J31" si="8">ROUND(F27/$C$6,0)</f>
        <v>0</v>
      </c>
    </row>
    <row r="28" spans="1:31" ht="13.5" thickBot="1">
      <c r="A28" s="75" t="s">
        <v>10</v>
      </c>
      <c r="B28" s="86">
        <f>'TAMUSA FGD'!M52</f>
        <v>4412454</v>
      </c>
      <c r="C28" s="87">
        <f t="shared" si="6"/>
        <v>926</v>
      </c>
      <c r="D28" s="86">
        <f>'TAMUSA FGD'!F52</f>
        <v>0</v>
      </c>
      <c r="E28" s="74"/>
      <c r="F28" s="74">
        <f t="shared" si="7"/>
        <v>4412454</v>
      </c>
      <c r="G28" s="337"/>
      <c r="H28" s="337"/>
      <c r="I28" s="337"/>
      <c r="J28" s="716">
        <f t="shared" si="8"/>
        <v>926</v>
      </c>
    </row>
    <row r="29" spans="1:31" ht="13.5" thickBot="1">
      <c r="A29" s="75" t="s">
        <v>11</v>
      </c>
      <c r="B29" s="86">
        <f>'TAMUSA FGD'!M53</f>
        <v>287007</v>
      </c>
      <c r="C29" s="87">
        <f t="shared" si="6"/>
        <v>60</v>
      </c>
      <c r="D29" s="86">
        <f>'TAMUSA FGD'!F53</f>
        <v>0</v>
      </c>
      <c r="E29" s="74"/>
      <c r="F29" s="74">
        <f t="shared" si="7"/>
        <v>287007</v>
      </c>
      <c r="G29" s="337"/>
      <c r="H29" s="337"/>
      <c r="I29" s="337"/>
      <c r="J29" s="716">
        <f t="shared" si="8"/>
        <v>60</v>
      </c>
      <c r="K29" s="1694" t="s">
        <v>1065</v>
      </c>
      <c r="L29" s="1695"/>
      <c r="M29" s="1695"/>
      <c r="N29" s="1695"/>
      <c r="O29" s="1696"/>
    </row>
    <row r="30" spans="1:31" ht="13.5" thickBot="1">
      <c r="A30" s="93" t="s">
        <v>2134</v>
      </c>
      <c r="B30" s="94">
        <f>'TAMUSA FGD'!M54</f>
        <v>1761631</v>
      </c>
      <c r="C30" s="87">
        <f t="shared" si="6"/>
        <v>370</v>
      </c>
      <c r="D30" s="729">
        <f>B30</f>
        <v>1761631</v>
      </c>
      <c r="E30" s="74"/>
      <c r="F30" s="74">
        <f t="shared" si="7"/>
        <v>0</v>
      </c>
      <c r="G30" s="337"/>
      <c r="H30" s="337"/>
      <c r="I30" s="337"/>
      <c r="J30" s="716">
        <f t="shared" si="8"/>
        <v>0</v>
      </c>
      <c r="K30" s="1694" t="s">
        <v>1070</v>
      </c>
      <c r="L30" s="1695"/>
      <c r="M30" s="1695"/>
      <c r="N30" s="1695"/>
      <c r="O30" s="1696"/>
    </row>
    <row r="31" spans="1:31" ht="13.5" customHeight="1" thickBot="1">
      <c r="A31" s="95" t="s">
        <v>43</v>
      </c>
      <c r="B31" s="86">
        <f>'TAMUSA FGD'!M55</f>
        <v>865824</v>
      </c>
      <c r="C31" s="87">
        <f t="shared" si="6"/>
        <v>182</v>
      </c>
      <c r="D31" s="86">
        <f>'TAMUSA FGD'!F55</f>
        <v>705358</v>
      </c>
      <c r="E31" s="74"/>
      <c r="F31" s="74">
        <f t="shared" si="7"/>
        <v>160466</v>
      </c>
      <c r="G31" s="35"/>
      <c r="H31" s="35"/>
      <c r="I31" s="38"/>
      <c r="J31" s="716">
        <f t="shared" si="8"/>
        <v>34</v>
      </c>
      <c r="K31" s="1697" t="s">
        <v>1073</v>
      </c>
      <c r="L31" s="1697" t="s">
        <v>1071</v>
      </c>
      <c r="M31" s="1697" t="s">
        <v>1072</v>
      </c>
      <c r="N31" s="1697" t="s">
        <v>1240</v>
      </c>
      <c r="O31" s="1697"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9783603</v>
      </c>
      <c r="C32" s="89">
        <f>SUM(C26:C31)</f>
        <v>2054</v>
      </c>
      <c r="D32" s="723">
        <f>SUM(D26:D31)</f>
        <v>2466989</v>
      </c>
      <c r="E32" s="723">
        <f>SUM(E26:E31)</f>
        <v>0</v>
      </c>
      <c r="F32" s="802">
        <f>SUM(F26:F31)</f>
        <v>7316614</v>
      </c>
      <c r="G32" s="1708" t="s">
        <v>8</v>
      </c>
      <c r="H32" s="1709"/>
      <c r="I32" s="783" t="s">
        <v>1166</v>
      </c>
      <c r="J32" s="725">
        <f>SUM(J26:J31)</f>
        <v>1536</v>
      </c>
      <c r="K32" s="1698"/>
      <c r="L32" s="1698"/>
      <c r="M32" s="1698"/>
      <c r="N32" s="1698" t="s">
        <v>1074</v>
      </c>
      <c r="O32" s="1698" t="s">
        <v>1075</v>
      </c>
    </row>
    <row r="33" spans="1:31" ht="14.25" thickTop="1" thickBot="1">
      <c r="A33" s="97" t="s">
        <v>68</v>
      </c>
      <c r="B33" s="52">
        <f>B15+B20+B23+B32</f>
        <v>112727508</v>
      </c>
      <c r="C33" s="45">
        <f>C15+C20+C23+C32</f>
        <v>23667</v>
      </c>
      <c r="D33" s="52">
        <f>D15+D20+D23+D32</f>
        <v>2892501</v>
      </c>
      <c r="E33" s="52">
        <f>E15+E20+E23+E32</f>
        <v>0</v>
      </c>
      <c r="F33" s="724">
        <f>F15+F20+F23+F32</f>
        <v>109835007</v>
      </c>
      <c r="G33" s="1758" t="s">
        <v>84</v>
      </c>
      <c r="H33" s="1759"/>
      <c r="I33" s="1375">
        <f>ROUND($G$35/$C$6,0)</f>
        <v>23058</v>
      </c>
      <c r="J33" s="726">
        <f>J15+J20+J23+J32</f>
        <v>23059</v>
      </c>
      <c r="K33" s="1698"/>
      <c r="L33" s="1698"/>
      <c r="M33" s="1698"/>
      <c r="N33" s="1698"/>
      <c r="O33" s="1698"/>
    </row>
    <row r="34" spans="1:31" ht="14.25" thickTop="1" thickBot="1">
      <c r="B34" s="98"/>
      <c r="C34" s="75"/>
      <c r="D34" s="337"/>
      <c r="E34" s="337"/>
      <c r="F34" s="337" t="s">
        <v>1199</v>
      </c>
      <c r="G34" s="787">
        <f>G14*-1</f>
        <v>0</v>
      </c>
      <c r="H34" s="337"/>
      <c r="I34" s="783" t="s">
        <v>1167</v>
      </c>
      <c r="J34" s="727"/>
      <c r="K34" s="1699"/>
      <c r="L34" s="1699"/>
      <c r="M34" s="1699"/>
      <c r="N34" s="1699"/>
      <c r="O34" s="1699"/>
    </row>
    <row r="35" spans="1:31" ht="14.25" thickTop="1" thickBot="1">
      <c r="A35" s="81" t="s">
        <v>72</v>
      </c>
      <c r="B35" s="81"/>
      <c r="C35" s="81"/>
      <c r="D35" s="728"/>
      <c r="E35" s="728"/>
      <c r="F35" s="788" t="s">
        <v>1165</v>
      </c>
      <c r="G35" s="803">
        <f>F33+G34</f>
        <v>109835007</v>
      </c>
      <c r="I35" s="1376">
        <f>ROUND($G$35/$I$8,0)</f>
        <v>224474</v>
      </c>
      <c r="K35" s="609"/>
      <c r="L35" s="609"/>
      <c r="M35" s="609"/>
      <c r="N35" s="609"/>
      <c r="O35" s="609"/>
    </row>
    <row r="36" spans="1:31" ht="13.5" thickTop="1">
      <c r="A36" s="99" t="s">
        <v>14</v>
      </c>
      <c r="B36" s="83">
        <f>'TAMUSA FGD'!M60</f>
        <v>29356283</v>
      </c>
      <c r="C36" s="83">
        <f t="shared" ref="C36:C46" si="9">ROUND(B36/$C$6,0)</f>
        <v>6163</v>
      </c>
      <c r="D36" s="512">
        <f>'TAMUSA FGD'!F60</f>
        <v>0</v>
      </c>
      <c r="E36" s="512"/>
      <c r="F36" s="512">
        <f t="shared" ref="F36:F46" si="10">B36-(SUM(D36:E36))</f>
        <v>29356283</v>
      </c>
      <c r="G36" s="337"/>
      <c r="H36" s="1378" t="s">
        <v>2158</v>
      </c>
      <c r="I36" s="1379">
        <f>ROUND(F36/$C$6,0)</f>
        <v>6163</v>
      </c>
      <c r="J36" s="337" t="s">
        <v>752</v>
      </c>
      <c r="K36" s="512">
        <f>F36</f>
        <v>29356283</v>
      </c>
      <c r="L36" s="512">
        <f>K36</f>
        <v>29356283</v>
      </c>
      <c r="M36" s="512"/>
      <c r="N36" s="512"/>
      <c r="O36" s="512"/>
    </row>
    <row r="37" spans="1:31">
      <c r="A37" s="99" t="s">
        <v>15</v>
      </c>
      <c r="B37" s="86">
        <f>'TAMUSA FGD'!M61</f>
        <v>1276831</v>
      </c>
      <c r="C37" s="87">
        <f t="shared" si="9"/>
        <v>268</v>
      </c>
      <c r="D37" s="86">
        <f>'TAMUSA FGD'!F61</f>
        <v>0</v>
      </c>
      <c r="E37" s="74"/>
      <c r="F37" s="74">
        <f t="shared" si="10"/>
        <v>1276831</v>
      </c>
      <c r="G37" s="337"/>
      <c r="H37" s="337"/>
      <c r="J37" s="337" t="s">
        <v>1076</v>
      </c>
      <c r="K37" s="373">
        <f>F37</f>
        <v>1276831</v>
      </c>
      <c r="L37" s="373">
        <f>K37</f>
        <v>1276831</v>
      </c>
      <c r="M37" s="373"/>
      <c r="N37" s="373"/>
      <c r="O37" s="373"/>
    </row>
    <row r="38" spans="1:31">
      <c r="A38" s="99" t="s">
        <v>16</v>
      </c>
      <c r="B38" s="86">
        <f>'TAMUSA FGD'!M62</f>
        <v>191445</v>
      </c>
      <c r="C38" s="87">
        <f t="shared" si="9"/>
        <v>40</v>
      </c>
      <c r="D38" s="86">
        <f>'TAMUSA FGD'!F62</f>
        <v>0</v>
      </c>
      <c r="E38" s="86">
        <f>B38-D38</f>
        <v>191445</v>
      </c>
      <c r="F38" s="74">
        <f t="shared" si="10"/>
        <v>0</v>
      </c>
      <c r="G38" s="337"/>
      <c r="H38" s="337"/>
      <c r="I38" s="337"/>
      <c r="J38" s="337" t="s">
        <v>1077</v>
      </c>
      <c r="K38" s="736"/>
      <c r="L38" s="737"/>
      <c r="M38" s="737" t="s">
        <v>1152</v>
      </c>
      <c r="N38" s="737"/>
      <c r="O38" s="738"/>
    </row>
    <row r="39" spans="1:31">
      <c r="A39" s="99" t="s">
        <v>17</v>
      </c>
      <c r="B39" s="86">
        <f>'TAMUSA FGD'!M63</f>
        <v>6193436</v>
      </c>
      <c r="C39" s="87">
        <f t="shared" si="9"/>
        <v>1300</v>
      </c>
      <c r="D39" s="86">
        <f>'TAMUSA FGD'!F63</f>
        <v>0</v>
      </c>
      <c r="E39" s="74"/>
      <c r="F39" s="74">
        <f t="shared" si="10"/>
        <v>6193436</v>
      </c>
      <c r="G39" s="337"/>
      <c r="H39" s="1378" t="s">
        <v>2159</v>
      </c>
      <c r="I39" s="1379">
        <f>ROUND(F39/$C$6,0)</f>
        <v>1300</v>
      </c>
      <c r="J39" s="337" t="s">
        <v>1078</v>
      </c>
      <c r="K39" s="373">
        <f t="shared" ref="K39:K43" si="11">F39</f>
        <v>6193436</v>
      </c>
      <c r="L39" s="373">
        <f>K39</f>
        <v>6193436</v>
      </c>
      <c r="M39" s="373"/>
      <c r="N39" s="373"/>
      <c r="O39" s="373"/>
    </row>
    <row r="40" spans="1:31">
      <c r="A40" s="99" t="s">
        <v>18</v>
      </c>
      <c r="B40" s="86">
        <f>'TAMUSA FGD'!M64</f>
        <v>18150997</v>
      </c>
      <c r="C40" s="87">
        <f t="shared" si="9"/>
        <v>3811</v>
      </c>
      <c r="D40" s="86">
        <f>'TAMUSA FGD'!F64</f>
        <v>0</v>
      </c>
      <c r="E40" s="74"/>
      <c r="F40" s="74">
        <f t="shared" si="10"/>
        <v>18150997</v>
      </c>
      <c r="G40" s="337"/>
      <c r="J40" s="337" t="s">
        <v>1079</v>
      </c>
      <c r="K40" s="373">
        <f t="shared" si="11"/>
        <v>18150997</v>
      </c>
      <c r="L40" s="373"/>
      <c r="M40" s="373">
        <f>K40</f>
        <v>18150997</v>
      </c>
      <c r="N40" s="373"/>
      <c r="O40" s="373"/>
    </row>
    <row r="41" spans="1:31">
      <c r="A41" s="99" t="s">
        <v>19</v>
      </c>
      <c r="B41" s="86">
        <f>'TAMUSA FGD'!M65</f>
        <v>13732086</v>
      </c>
      <c r="C41" s="87">
        <f t="shared" si="9"/>
        <v>2883</v>
      </c>
      <c r="D41" s="86">
        <f>'TAMUSA FGD'!F65</f>
        <v>0</v>
      </c>
      <c r="E41" s="74"/>
      <c r="F41" s="74">
        <f t="shared" si="10"/>
        <v>13732086</v>
      </c>
      <c r="G41" s="337"/>
      <c r="H41" s="1378" t="s">
        <v>2160</v>
      </c>
      <c r="I41" s="1379">
        <f>ROUND(F41/$C$6,0)</f>
        <v>2883</v>
      </c>
      <c r="J41" s="337" t="s">
        <v>757</v>
      </c>
      <c r="K41" s="373">
        <f t="shared" si="11"/>
        <v>13732086</v>
      </c>
      <c r="L41" s="373"/>
      <c r="M41" s="373"/>
      <c r="N41" s="373">
        <f>K41</f>
        <v>13732086</v>
      </c>
      <c r="O41" s="373"/>
    </row>
    <row r="42" spans="1:31">
      <c r="A42" s="99" t="s">
        <v>20</v>
      </c>
      <c r="B42" s="86">
        <f>'TAMUSA FGD'!M66</f>
        <v>7130079</v>
      </c>
      <c r="C42" s="87">
        <f t="shared" si="9"/>
        <v>1497</v>
      </c>
      <c r="D42" s="86">
        <f>'TAMUSA FGD'!F66</f>
        <v>0</v>
      </c>
      <c r="E42" s="74"/>
      <c r="F42" s="74">
        <f t="shared" si="10"/>
        <v>7130079</v>
      </c>
      <c r="G42" s="337"/>
      <c r="J42" s="337" t="s">
        <v>758</v>
      </c>
      <c r="K42" s="373">
        <f t="shared" si="11"/>
        <v>7130079</v>
      </c>
      <c r="L42" s="373"/>
      <c r="M42" s="373"/>
      <c r="N42" s="373">
        <f>K42</f>
        <v>7130079</v>
      </c>
      <c r="O42" s="373"/>
    </row>
    <row r="43" spans="1:31">
      <c r="A43" s="99" t="s">
        <v>21</v>
      </c>
      <c r="B43" s="86">
        <f>'TAMUSA FGD'!M67</f>
        <v>21763866</v>
      </c>
      <c r="C43" s="87">
        <f t="shared" si="9"/>
        <v>4569</v>
      </c>
      <c r="D43" s="86">
        <f>'TAMUSA FGD'!F67</f>
        <v>0</v>
      </c>
      <c r="E43" s="74"/>
      <c r="F43" s="74">
        <f t="shared" si="10"/>
        <v>21763866</v>
      </c>
      <c r="G43" s="337"/>
      <c r="H43" s="337"/>
      <c r="I43" s="337"/>
      <c r="J43" s="337" t="s">
        <v>1145</v>
      </c>
      <c r="K43" s="373">
        <f t="shared" si="11"/>
        <v>21763866</v>
      </c>
      <c r="L43" s="373"/>
      <c r="M43" s="373">
        <f>K43</f>
        <v>21763866</v>
      </c>
      <c r="N43" s="373"/>
      <c r="O43" s="373"/>
    </row>
    <row r="44" spans="1:31">
      <c r="A44" s="99" t="s">
        <v>2135</v>
      </c>
      <c r="B44" s="86">
        <f>'TAMUSA FGD'!M68</f>
        <v>2909149</v>
      </c>
      <c r="C44" s="87">
        <f t="shared" si="9"/>
        <v>611</v>
      </c>
      <c r="D44" s="729">
        <f>B44</f>
        <v>2909149</v>
      </c>
      <c r="E44" s="74"/>
      <c r="F44" s="74">
        <f t="shared" si="10"/>
        <v>0</v>
      </c>
      <c r="G44" s="337"/>
      <c r="H44" s="337"/>
      <c r="I44" s="337"/>
      <c r="J44" s="337" t="s">
        <v>743</v>
      </c>
      <c r="K44" s="736"/>
      <c r="L44" s="737"/>
      <c r="M44" s="737" t="s">
        <v>1152</v>
      </c>
      <c r="N44" s="737"/>
      <c r="O44" s="738"/>
    </row>
    <row r="45" spans="1:31">
      <c r="A45" s="99" t="s">
        <v>61</v>
      </c>
      <c r="B45" s="86">
        <f>'TAMUSA FGD'!M69</f>
        <v>342217</v>
      </c>
      <c r="C45" s="87">
        <f t="shared" si="9"/>
        <v>72</v>
      </c>
      <c r="D45" s="86">
        <f>'TAMUSA FGD'!F69</f>
        <v>0</v>
      </c>
      <c r="E45" s="74"/>
      <c r="F45" s="74">
        <f t="shared" si="10"/>
        <v>342217</v>
      </c>
      <c r="G45" s="337"/>
      <c r="H45" s="337"/>
      <c r="I45" s="337"/>
      <c r="J45" s="337" t="s">
        <v>1080</v>
      </c>
      <c r="K45" s="373">
        <f t="shared" ref="K45:K46" si="12">F45</f>
        <v>342217</v>
      </c>
      <c r="L45" s="373"/>
      <c r="M45" s="373"/>
      <c r="N45" s="373"/>
      <c r="O45" s="373">
        <f>K45</f>
        <v>342217</v>
      </c>
    </row>
    <row r="46" spans="1:31" ht="13.5" thickBot="1">
      <c r="A46" s="75" t="s">
        <v>50</v>
      </c>
      <c r="B46" s="86">
        <f>'TAMUSA FGD'!M70</f>
        <v>284587</v>
      </c>
      <c r="C46" s="87">
        <f t="shared" si="9"/>
        <v>60</v>
      </c>
      <c r="D46" s="86">
        <f>'TAMUSA FGD'!F70</f>
        <v>0</v>
      </c>
      <c r="E46" s="74"/>
      <c r="F46" s="74">
        <f t="shared" si="10"/>
        <v>284587</v>
      </c>
      <c r="G46" s="35"/>
      <c r="H46" s="1378" t="s">
        <v>2161</v>
      </c>
      <c r="I46" s="1379">
        <f>ROUND(SUM(F37+F40+F42+F43+F45+F46)/$C$6,0)</f>
        <v>10276</v>
      </c>
      <c r="J46" s="610" t="s">
        <v>1075</v>
      </c>
      <c r="K46" s="373">
        <f t="shared" si="12"/>
        <v>284587</v>
      </c>
      <c r="L46" s="611"/>
      <c r="M46" s="611"/>
      <c r="N46" s="611"/>
      <c r="O46" s="373">
        <f>K46</f>
        <v>284587</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101330976</v>
      </c>
      <c r="C47" s="45">
        <f>SUM(C36:C46)</f>
        <v>21274</v>
      </c>
      <c r="D47" s="730">
        <f>SUM(D36:D46)</f>
        <v>2909149</v>
      </c>
      <c r="E47" s="731">
        <f>SUM(E36:E46)</f>
        <v>191445</v>
      </c>
      <c r="F47" s="719">
        <f>SUM(F36:F46)</f>
        <v>98230382</v>
      </c>
      <c r="G47" s="1688" t="s">
        <v>1176</v>
      </c>
      <c r="H47" s="1689"/>
      <c r="I47" s="785" t="s">
        <v>1164</v>
      </c>
      <c r="J47" s="610" t="s">
        <v>1081</v>
      </c>
      <c r="K47" s="612">
        <f>SUM(K36:K46)</f>
        <v>98230382</v>
      </c>
      <c r="L47" s="612">
        <f>SUM(L36:L46)</f>
        <v>36826550</v>
      </c>
      <c r="M47" s="612">
        <f>SUM(M36:M46)</f>
        <v>39914863</v>
      </c>
      <c r="N47" s="612">
        <f>SUM(N36:N46)</f>
        <v>20862165</v>
      </c>
      <c r="O47" s="612">
        <f>SUM(O36:O46)</f>
        <v>626804</v>
      </c>
    </row>
    <row r="48" spans="1:31" ht="14.25" thickTop="1" thickBot="1">
      <c r="A48" s="93"/>
      <c r="B48" s="98"/>
      <c r="C48" s="75"/>
      <c r="F48" s="613"/>
      <c r="G48" s="1690"/>
      <c r="H48" s="1691"/>
      <c r="I48" s="823">
        <f>ROUND(F47/C6,0)</f>
        <v>20622</v>
      </c>
      <c r="J48" s="1700" t="s">
        <v>1082</v>
      </c>
      <c r="K48" s="611"/>
      <c r="L48" s="611"/>
      <c r="M48" s="611"/>
      <c r="N48" s="611"/>
      <c r="O48" s="611"/>
    </row>
    <row r="49" spans="1:31" ht="13.5" thickBot="1">
      <c r="A49" s="78" t="s">
        <v>23</v>
      </c>
      <c r="B49" s="82"/>
      <c r="C49" s="75"/>
      <c r="F49" s="614"/>
      <c r="G49" s="1690"/>
      <c r="H49" s="1691"/>
      <c r="I49" s="811"/>
      <c r="J49" s="1700"/>
      <c r="K49" s="615">
        <f>ROUND(K47/$C$6,2)</f>
        <v>20622.080000000002</v>
      </c>
      <c r="L49" s="615">
        <f t="shared" ref="L49:O49" si="13">ROUND(L47/$C$6,2)</f>
        <v>7731.21</v>
      </c>
      <c r="M49" s="615">
        <f t="shared" si="13"/>
        <v>8379.56</v>
      </c>
      <c r="N49" s="615">
        <f t="shared" si="13"/>
        <v>4379.72</v>
      </c>
      <c r="O49" s="615">
        <f t="shared" si="13"/>
        <v>131.59</v>
      </c>
      <c r="P49" s="35"/>
      <c r="Q49" s="96"/>
      <c r="R49" s="96"/>
      <c r="S49" s="96"/>
      <c r="T49" s="96"/>
      <c r="U49" s="96"/>
      <c r="V49" s="96"/>
      <c r="W49" s="96"/>
      <c r="X49" s="96"/>
      <c r="Y49" s="96"/>
      <c r="Z49" s="96"/>
      <c r="AA49" s="96"/>
      <c r="AB49" s="96"/>
      <c r="AC49" s="96"/>
      <c r="AD49" s="96"/>
      <c r="AE49" s="96"/>
    </row>
    <row r="50" spans="1:31" ht="13.5" thickBot="1">
      <c r="A50" s="75" t="s">
        <v>62</v>
      </c>
      <c r="B50" s="86">
        <f>'TAMUSA FGD'!M74</f>
        <v>-82295</v>
      </c>
      <c r="C50" s="83">
        <f t="shared" ref="C50:C53" si="14">ROUND(B50/$C$6,0)</f>
        <v>-17</v>
      </c>
      <c r="D50" s="512">
        <f>'TAMUSA FGD'!F74</f>
        <v>0</v>
      </c>
      <c r="E50" s="512"/>
      <c r="F50" s="732">
        <f t="shared" ref="F50:F53" si="15">B50-(SUM(D50:E50))</f>
        <v>-82295</v>
      </c>
      <c r="G50" s="1692"/>
      <c r="H50" s="1693"/>
      <c r="I50" s="808"/>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'TAMUSA FGD'!M75</f>
        <v>2577193</v>
      </c>
      <c r="C51" s="87">
        <f t="shared" si="14"/>
        <v>541</v>
      </c>
      <c r="D51" s="91">
        <f>'TAMUSA FGD'!F75</f>
        <v>2800432</v>
      </c>
      <c r="E51" s="82"/>
      <c r="F51" s="74">
        <f t="shared" si="15"/>
        <v>-223239</v>
      </c>
      <c r="G51" s="337"/>
      <c r="J51" s="337"/>
      <c r="K51" s="616"/>
      <c r="L51" s="616"/>
      <c r="M51" s="616"/>
      <c r="N51" s="616"/>
      <c r="O51" s="616"/>
    </row>
    <row r="52" spans="1:31">
      <c r="A52" s="75" t="s">
        <v>51</v>
      </c>
      <c r="B52" s="86">
        <f>'TAMUSA FGD'!M76</f>
        <v>0</v>
      </c>
      <c r="C52" s="87">
        <f t="shared" si="14"/>
        <v>0</v>
      </c>
      <c r="D52" s="91">
        <f>'TAMUSA FGD'!F76</f>
        <v>0</v>
      </c>
      <c r="E52" s="82"/>
      <c r="F52" s="74">
        <f t="shared" si="15"/>
        <v>0</v>
      </c>
      <c r="G52" s="337"/>
      <c r="J52" s="733"/>
      <c r="K52" s="733"/>
      <c r="L52" s="733"/>
      <c r="M52" s="733"/>
      <c r="N52" s="733"/>
      <c r="O52" s="733"/>
    </row>
    <row r="53" spans="1:31" ht="12" customHeight="1">
      <c r="A53" s="75" t="s">
        <v>46</v>
      </c>
      <c r="B53" s="86">
        <f>'TAMUSA FGD'!M77</f>
        <v>-7997035</v>
      </c>
      <c r="C53" s="87">
        <f t="shared" si="14"/>
        <v>-1679</v>
      </c>
      <c r="D53" s="91">
        <f>'TAMUSA FGD'!F77</f>
        <v>-305203</v>
      </c>
      <c r="E53" s="82"/>
      <c r="F53" s="74">
        <f t="shared" si="15"/>
        <v>-7691832</v>
      </c>
      <c r="G53" s="35"/>
      <c r="J53" s="733"/>
      <c r="K53" s="733"/>
      <c r="L53" s="733"/>
      <c r="M53" s="733"/>
      <c r="N53" s="733"/>
      <c r="O53" s="733"/>
      <c r="P53" s="35"/>
      <c r="Q53" s="96"/>
      <c r="R53" s="96"/>
      <c r="S53" s="96"/>
      <c r="T53" s="96"/>
      <c r="U53" s="96"/>
      <c r="V53" s="96"/>
      <c r="W53" s="96"/>
      <c r="X53" s="96"/>
      <c r="Y53" s="96"/>
      <c r="Z53" s="96"/>
      <c r="AA53" s="96"/>
      <c r="AB53" s="96"/>
      <c r="AC53" s="96"/>
      <c r="AD53" s="96"/>
      <c r="AE53" s="96"/>
    </row>
    <row r="54" spans="1:31">
      <c r="A54" s="88" t="s">
        <v>3</v>
      </c>
      <c r="B54" s="89">
        <f>SUM(B50:B53)</f>
        <v>-5502137</v>
      </c>
      <c r="C54" s="89">
        <f>SUM(C50:C53)</f>
        <v>-1155</v>
      </c>
      <c r="D54" s="89">
        <f>SUM(D50:D53)</f>
        <v>2495229</v>
      </c>
      <c r="E54" s="89">
        <f>SUM(E50:E53)</f>
        <v>0</v>
      </c>
      <c r="F54" s="102">
        <f>SUM(F50:F53)</f>
        <v>-7997366</v>
      </c>
      <c r="G54" s="337"/>
      <c r="H54" s="337"/>
      <c r="I54" s="337"/>
      <c r="J54" s="733"/>
      <c r="K54" s="733"/>
      <c r="L54" s="733"/>
      <c r="M54" s="733"/>
      <c r="N54" s="733"/>
      <c r="O54" s="733"/>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'TAMUSA FGD'!M81</f>
        <v>5716804</v>
      </c>
      <c r="C57" s="83">
        <f>ROUND(B57/$C$6,0)</f>
        <v>1200</v>
      </c>
      <c r="D57" s="512">
        <f>'TAMUSA FGD'!F81</f>
        <v>560135</v>
      </c>
      <c r="E57" s="512"/>
      <c r="F57" s="512">
        <f t="shared" ref="F57:F58" si="16">B57-(SUM(D57:E57))</f>
        <v>5156669</v>
      </c>
      <c r="G57" s="337"/>
      <c r="H57" s="337"/>
      <c r="I57" s="337"/>
      <c r="J57" s="337"/>
    </row>
    <row r="58" spans="1:31">
      <c r="A58" s="75" t="s">
        <v>48</v>
      </c>
      <c r="B58" s="86">
        <f>'TAMUSA FGD'!M82</f>
        <v>0</v>
      </c>
      <c r="C58" s="87">
        <f>ROUND(B58/$C$6,0)</f>
        <v>0</v>
      </c>
      <c r="D58" s="91">
        <f>'TAMUSA FGD'!F82</f>
        <v>0</v>
      </c>
      <c r="E58" s="82"/>
      <c r="F58" s="74">
        <f t="shared" si="16"/>
        <v>0</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5716804</v>
      </c>
      <c r="C59" s="89">
        <f>SUM(C57:C58)</f>
        <v>1200</v>
      </c>
      <c r="D59" s="89">
        <f>SUM(D57:D58)</f>
        <v>560135</v>
      </c>
      <c r="E59" s="89">
        <f>SUM(E57:E58)</f>
        <v>0</v>
      </c>
      <c r="F59" s="89">
        <f>SUM(F57:F58)</f>
        <v>5156669</v>
      </c>
      <c r="G59" s="367"/>
      <c r="H59" s="367"/>
      <c r="I59" s="367"/>
      <c r="J59" s="367"/>
      <c r="K59" s="266"/>
      <c r="L59" s="266"/>
      <c r="M59" s="266"/>
      <c r="N59" s="266"/>
      <c r="O59" s="266"/>
      <c r="P59" s="266"/>
    </row>
    <row r="60" spans="1:31">
      <c r="B60" s="82"/>
      <c r="C60" s="75"/>
    </row>
    <row r="61" spans="1:31" ht="13.5" thickBot="1">
      <c r="A61" s="103" t="s">
        <v>573</v>
      </c>
      <c r="B61" s="46">
        <f>B33-B47+B54+B59</f>
        <v>11611199</v>
      </c>
      <c r="C61" s="46">
        <f>C33-C47+C54+C59</f>
        <v>2438</v>
      </c>
      <c r="D61" s="46">
        <f>D33-D47+D54+D59</f>
        <v>3038716</v>
      </c>
      <c r="E61" s="46">
        <f>E33-E47+E54+E59</f>
        <v>-191445</v>
      </c>
      <c r="F61" s="46">
        <f>F33-F47+F54+F59</f>
        <v>8763928</v>
      </c>
    </row>
    <row r="62" spans="1:31" ht="13.5" thickTop="1"/>
    <row r="63" spans="1:31">
      <c r="D63" s="512"/>
    </row>
    <row r="65" spans="2:16">
      <c r="B65" s="734">
        <f>'TAMUSA FGD'!$M$85</f>
        <v>11611199</v>
      </c>
      <c r="C65" s="75"/>
      <c r="D65" s="734">
        <f>'TAMUSA FGD'!$F$85</f>
        <v>3038716</v>
      </c>
      <c r="E65" s="734">
        <f>'TAMUSA FGD'!$M$62*-1</f>
        <v>-191445</v>
      </c>
      <c r="F65" s="75"/>
    </row>
    <row r="66" spans="2:16">
      <c r="B66" s="734"/>
      <c r="C66" s="75"/>
      <c r="D66" s="734">
        <f>'TAMUSA FGD'!$F$68</f>
        <v>2909149</v>
      </c>
      <c r="E66" s="734">
        <f>+$D$38</f>
        <v>0</v>
      </c>
      <c r="F66" s="734"/>
    </row>
    <row r="67" spans="2:16">
      <c r="B67" s="759"/>
      <c r="C67" s="75"/>
      <c r="D67" s="759">
        <f>-'TAMUSA FGD'!$M$68</f>
        <v>-2909149</v>
      </c>
      <c r="E67" s="759"/>
      <c r="F67" s="734"/>
    </row>
    <row r="68" spans="2:16">
      <c r="B68" s="734">
        <f>SUM(B65:B67)</f>
        <v>11611199</v>
      </c>
      <c r="C68" s="75"/>
      <c r="D68" s="734">
        <f>SUM(D65:D67)</f>
        <v>3038716</v>
      </c>
      <c r="E68" s="734">
        <f>SUM(E65:E67)</f>
        <v>-191445</v>
      </c>
      <c r="F68" s="734">
        <f>B68-D68-E68</f>
        <v>8763928</v>
      </c>
    </row>
    <row r="69" spans="2:16">
      <c r="B69" s="734"/>
      <c r="C69" s="75"/>
      <c r="D69" s="734">
        <f>'TAMUSA FGD'!F54*-1</f>
        <v>-1761631</v>
      </c>
      <c r="E69" s="734"/>
      <c r="F69" s="734"/>
    </row>
    <row r="70" spans="2:16" ht="12.75" customHeight="1">
      <c r="B70" s="759"/>
      <c r="C70" s="95"/>
      <c r="D70" s="759">
        <f>'TAMUSA FGD'!M54</f>
        <v>1761631</v>
      </c>
      <c r="E70" s="759"/>
      <c r="F70" s="759">
        <f>-D70-D69</f>
        <v>0</v>
      </c>
    </row>
    <row r="71" spans="2:16" ht="12.75" customHeight="1">
      <c r="B71" s="734">
        <f>SUM(B68:B70)</f>
        <v>11611199</v>
      </c>
      <c r="C71" s="75"/>
      <c r="D71" s="734">
        <f>SUM(D68:D70)</f>
        <v>3038716</v>
      </c>
      <c r="E71" s="734">
        <f>SUM(E68:E70)</f>
        <v>-191445</v>
      </c>
      <c r="F71" s="734">
        <f>SUM(F68:F70)</f>
        <v>8763928</v>
      </c>
    </row>
    <row r="72" spans="2:16" ht="12.75" customHeight="1">
      <c r="B72" s="734"/>
      <c r="C72" s="75"/>
      <c r="D72" s="734"/>
      <c r="E72" s="734"/>
      <c r="F72" s="734"/>
    </row>
    <row r="73" spans="2:16" ht="12.75" customHeight="1">
      <c r="B73" s="512">
        <f>B61-B71</f>
        <v>0</v>
      </c>
      <c r="C73" s="75"/>
      <c r="D73" s="512">
        <f>D61-D71</f>
        <v>0</v>
      </c>
      <c r="E73" s="512">
        <f>E61-E71</f>
        <v>0</v>
      </c>
      <c r="F73" s="512">
        <f>F61-F71</f>
        <v>0</v>
      </c>
    </row>
    <row r="74" spans="2:16" ht="12.75" customHeight="1">
      <c r="C74" s="75"/>
      <c r="F74" s="617"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G47:H50"/>
    <mergeCell ref="K30:O30"/>
    <mergeCell ref="M31:M34"/>
    <mergeCell ref="G32:H32"/>
    <mergeCell ref="G33:H33"/>
    <mergeCell ref="L31:L34"/>
    <mergeCell ref="K31:K34"/>
    <mergeCell ref="N31:N34"/>
    <mergeCell ref="O31:O34"/>
    <mergeCell ref="J48:J49"/>
    <mergeCell ref="F1:I1"/>
    <mergeCell ref="J1:O1"/>
    <mergeCell ref="D1:E1"/>
    <mergeCell ref="K29:O29"/>
    <mergeCell ref="D4:D5"/>
    <mergeCell ref="E4:E5"/>
  </mergeCells>
  <hyperlinks>
    <hyperlink ref="D1:E1" location="Index!A1" display="Return to Index" xr:uid="{00000000-0004-0000-66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4.85546875" style="164" customWidth="1"/>
    <col min="15" max="15" width="14.42578125" style="261" customWidth="1"/>
    <col min="16" max="16" width="25.7109375" style="264" customWidth="1"/>
    <col min="17" max="17" width="16.42578125" style="264" customWidth="1"/>
    <col min="18" max="18" width="16.7109375" style="264" customWidth="1"/>
    <col min="19" max="19" width="1.7109375" style="264" customWidth="1"/>
    <col min="20" max="20" width="17.140625" style="264" customWidth="1"/>
    <col min="21" max="21" width="16.85546875" style="264" customWidth="1"/>
    <col min="22" max="23" width="19.28515625" style="264" customWidth="1"/>
    <col min="24" max="24" width="16.855468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13" t="str">
        <f>'TAMUSA Chrts'!$A$1</f>
        <v>Texas A&amp;M University - San Antonio</v>
      </c>
      <c r="C2" s="1713"/>
      <c r="D2" s="1713"/>
      <c r="E2" s="1713"/>
      <c r="F2" s="1742"/>
      <c r="G2" s="160"/>
      <c r="H2" s="161"/>
      <c r="I2" s="320" t="str">
        <f>IF($B$2&lt;&gt;Input!$B$25,"Name Mismatch","")</f>
        <v/>
      </c>
      <c r="J2" s="168"/>
      <c r="K2" s="169"/>
      <c r="L2" s="169"/>
      <c r="M2" s="170"/>
      <c r="O2" s="835" t="s">
        <v>1200</v>
      </c>
      <c r="P2" s="36"/>
    </row>
    <row r="3" spans="1:28" ht="20.25">
      <c r="A3" s="184">
        <v>2</v>
      </c>
      <c r="B3" s="1713" t="str">
        <f>'Smmy Chrts'!$A$2</f>
        <v>For the Year Ended August 31, 2021</v>
      </c>
      <c r="C3" s="1713"/>
      <c r="D3" s="1713"/>
      <c r="E3" s="1713"/>
      <c r="F3" s="1742"/>
      <c r="G3" s="161"/>
      <c r="H3" s="161"/>
      <c r="I3" s="169"/>
      <c r="J3" s="168"/>
      <c r="K3" s="169"/>
      <c r="L3" s="169"/>
      <c r="M3" s="170"/>
      <c r="O3" s="74"/>
    </row>
    <row r="4" spans="1:28" ht="20.25">
      <c r="A4" s="184">
        <v>3</v>
      </c>
      <c r="B4" s="1713" t="str">
        <f>'Smmy Chrts'!$A$3</f>
        <v>Source: FY 2021 Annual Financial Report</v>
      </c>
      <c r="C4" s="1713"/>
      <c r="D4" s="1713"/>
      <c r="E4" s="1713"/>
      <c r="F4" s="1742"/>
      <c r="G4" s="161"/>
      <c r="H4" s="161"/>
      <c r="I4" s="169"/>
      <c r="J4" s="168"/>
      <c r="K4" s="169"/>
      <c r="L4" s="169"/>
      <c r="M4" s="170"/>
      <c r="O4" s="74"/>
      <c r="P4" s="1744" t="s">
        <v>93</v>
      </c>
      <c r="Q4" s="1745"/>
      <c r="T4" s="36" t="s">
        <v>250</v>
      </c>
    </row>
    <row r="5" spans="1:28">
      <c r="A5" s="184">
        <v>4</v>
      </c>
      <c r="B5" s="160"/>
      <c r="C5" s="160"/>
      <c r="D5" s="160"/>
      <c r="E5" s="160"/>
      <c r="F5" s="160"/>
      <c r="G5" s="160"/>
      <c r="H5" s="160"/>
      <c r="I5" s="160"/>
      <c r="J5" s="160"/>
      <c r="K5" s="160"/>
      <c r="L5" s="160"/>
      <c r="M5" s="166"/>
      <c r="O5" s="262"/>
    </row>
    <row r="6" spans="1:28">
      <c r="A6" s="184">
        <v>5</v>
      </c>
      <c r="B6" s="1715" t="str">
        <f>'Smmy Chrts'!$C$32</f>
        <v>Detail Worksheet FY 2021</v>
      </c>
      <c r="C6" s="1715"/>
      <c r="D6" s="1743"/>
      <c r="E6" s="1743"/>
      <c r="F6" s="1743"/>
      <c r="G6" s="1743"/>
      <c r="H6" s="1743"/>
      <c r="I6" s="1743"/>
      <c r="J6" s="1743"/>
      <c r="K6" s="1743"/>
      <c r="L6" s="1743"/>
      <c r="M6" s="1743"/>
      <c r="O6" s="265"/>
    </row>
    <row r="7" spans="1:28">
      <c r="A7" s="184">
        <v>6</v>
      </c>
      <c r="B7" s="172"/>
      <c r="C7" s="172"/>
      <c r="D7" s="160"/>
      <c r="E7" s="160"/>
      <c r="F7" s="160"/>
      <c r="G7" s="160"/>
      <c r="H7" s="160"/>
      <c r="I7" s="160"/>
      <c r="J7" s="160"/>
      <c r="K7" s="160"/>
      <c r="L7" s="160"/>
      <c r="M7" s="173" t="str">
        <f>'Smmy Chrts'!$C$33</f>
        <v>FY 2021</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Input!$M$25</f>
        <v>35219375</v>
      </c>
      <c r="E10" s="372">
        <f>Input!$N$25</f>
        <v>0</v>
      </c>
      <c r="F10" s="372">
        <f>Input!$O$25</f>
        <v>0</v>
      </c>
      <c r="G10" s="372">
        <f>Input!$P$25</f>
        <v>0</v>
      </c>
      <c r="H10" s="372">
        <f>Input!$Q$25</f>
        <v>0</v>
      </c>
      <c r="I10" s="372">
        <f>Input!$R$25</f>
        <v>0</v>
      </c>
      <c r="J10" s="372">
        <f>Input!$S$25</f>
        <v>0</v>
      </c>
      <c r="K10" s="372">
        <f>Input!$T$25</f>
        <v>0</v>
      </c>
      <c r="L10" s="372">
        <f>Input!$U$25</f>
        <v>0</v>
      </c>
      <c r="M10" s="373">
        <f t="shared" ref="M10:M15" si="0">D10+E10+F10+G10+H10+I10+J10+K10+L10</f>
        <v>35219375</v>
      </c>
      <c r="N10" s="160"/>
      <c r="O10" s="271"/>
      <c r="P10" s="1718" t="s">
        <v>575</v>
      </c>
      <c r="U10" s="268"/>
    </row>
    <row r="11" spans="1:28">
      <c r="A11" s="184">
        <v>10</v>
      </c>
      <c r="B11" s="160" t="s">
        <v>2</v>
      </c>
      <c r="C11" s="160"/>
      <c r="D11" s="372">
        <f>Input!$V$25</f>
        <v>42587</v>
      </c>
      <c r="E11" s="372">
        <f>Input!$W$25</f>
        <v>43000</v>
      </c>
      <c r="F11" s="372">
        <f>Input!$X$25</f>
        <v>0</v>
      </c>
      <c r="G11" s="372">
        <f>Input!$Y$25</f>
        <v>2781727</v>
      </c>
      <c r="H11" s="372">
        <f>Input!$Z$25</f>
        <v>0</v>
      </c>
      <c r="I11" s="372">
        <f>Input!$AA$25</f>
        <v>0</v>
      </c>
      <c r="J11" s="372">
        <f>Input!$AB$25</f>
        <v>0</v>
      </c>
      <c r="K11" s="372">
        <f>Input!$AC$25</f>
        <v>0</v>
      </c>
      <c r="L11" s="372">
        <f>Input!$AD$25</f>
        <v>0</v>
      </c>
      <c r="M11" s="373">
        <f t="shared" si="0"/>
        <v>2867314</v>
      </c>
      <c r="N11" s="160"/>
      <c r="O11" s="482"/>
      <c r="P11" s="1719"/>
      <c r="U11" s="268"/>
    </row>
    <row r="12" spans="1:28" ht="12.75" hidden="1" customHeight="1">
      <c r="B12" s="160" t="s">
        <v>1410</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Input!$AN$25</f>
        <v>0</v>
      </c>
      <c r="E13" s="372">
        <f>Input!$AO$25</f>
        <v>0</v>
      </c>
      <c r="F13" s="372">
        <f>Input!$AP$25</f>
        <v>0</v>
      </c>
      <c r="G13" s="372">
        <f>Input!$AQ$25</f>
        <v>0</v>
      </c>
      <c r="H13" s="372">
        <f>Input!$AR$25</f>
        <v>0</v>
      </c>
      <c r="I13" s="372">
        <f>Input!$AS$25</f>
        <v>0</v>
      </c>
      <c r="J13" s="372">
        <f>Input!$AT$25</f>
        <v>0</v>
      </c>
      <c r="K13" s="372">
        <f>Input!$AU$25</f>
        <v>0</v>
      </c>
      <c r="L13" s="372">
        <f>Input!$AV$25</f>
        <v>0</v>
      </c>
      <c r="M13" s="373">
        <f t="shared" si="0"/>
        <v>0</v>
      </c>
      <c r="N13" s="160"/>
      <c r="O13" s="482" t="str">
        <f>IF(P13&lt;&gt;M13,"Out of Balance","Balanced")</f>
        <v>Balanced</v>
      </c>
      <c r="P13" s="484">
        <f>IFERROR(VLOOKUP($B$2,AMTLU,6,FALSE),0)</f>
        <v>0</v>
      </c>
      <c r="U13" s="268"/>
    </row>
    <row r="14" spans="1:28">
      <c r="A14" s="184">
        <v>13</v>
      </c>
      <c r="B14" s="160" t="s">
        <v>49</v>
      </c>
      <c r="C14" s="160"/>
      <c r="D14" s="372">
        <f>Input!$AW$25</f>
        <v>0</v>
      </c>
      <c r="E14" s="372">
        <f>Input!$AX$25</f>
        <v>0</v>
      </c>
      <c r="F14" s="372">
        <f>Input!$AY$25</f>
        <v>0</v>
      </c>
      <c r="G14" s="372">
        <f>Input!$AZ$25</f>
        <v>0</v>
      </c>
      <c r="H14" s="372">
        <f>Input!$BA$25</f>
        <v>0</v>
      </c>
      <c r="I14" s="372">
        <f>Input!$BB$25</f>
        <v>0</v>
      </c>
      <c r="J14" s="372">
        <f>Input!$BC$25</f>
        <v>0</v>
      </c>
      <c r="K14" s="372">
        <f>Input!$BD$25</f>
        <v>0</v>
      </c>
      <c r="L14" s="372">
        <f>Input!$BE$25</f>
        <v>0</v>
      </c>
      <c r="M14" s="373">
        <f t="shared" si="0"/>
        <v>0</v>
      </c>
      <c r="N14" s="160"/>
      <c r="O14" s="482"/>
      <c r="P14" s="485"/>
    </row>
    <row r="15" spans="1:28" ht="15">
      <c r="A15" s="184">
        <v>14</v>
      </c>
      <c r="B15" s="176" t="s">
        <v>3</v>
      </c>
      <c r="C15" s="176"/>
      <c r="D15" s="374">
        <f t="shared" ref="D15:L15" si="1">SUM(D10:D14)</f>
        <v>35261962</v>
      </c>
      <c r="E15" s="374">
        <f t="shared" si="1"/>
        <v>43000</v>
      </c>
      <c r="F15" s="374">
        <f t="shared" si="1"/>
        <v>0</v>
      </c>
      <c r="G15" s="374">
        <f t="shared" si="1"/>
        <v>2781727</v>
      </c>
      <c r="H15" s="374">
        <f t="shared" si="1"/>
        <v>0</v>
      </c>
      <c r="I15" s="374">
        <f t="shared" si="1"/>
        <v>0</v>
      </c>
      <c r="J15" s="374">
        <f t="shared" si="1"/>
        <v>0</v>
      </c>
      <c r="K15" s="374">
        <f t="shared" si="1"/>
        <v>0</v>
      </c>
      <c r="L15" s="374">
        <f t="shared" si="1"/>
        <v>0</v>
      </c>
      <c r="M15" s="374">
        <f t="shared" si="0"/>
        <v>38086689</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58" t="s">
        <v>1042</v>
      </c>
      <c r="C18" s="558"/>
      <c r="D18" s="374">
        <f t="shared" ref="D18:L18" si="2">D23-SUM(D19:D22)</f>
        <v>8461511</v>
      </c>
      <c r="E18" s="374">
        <f t="shared" si="2"/>
        <v>15759650</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24221161</v>
      </c>
      <c r="V18" s="327"/>
      <c r="X18" s="330"/>
    </row>
    <row r="19" spans="1:26" s="264" customFormat="1" ht="12.75" customHeight="1" thickTop="1" thickBot="1">
      <c r="A19" s="263"/>
      <c r="B19" s="261" t="s">
        <v>722</v>
      </c>
      <c r="C19" s="261"/>
      <c r="D19" s="372">
        <f>Input!$BF$25</f>
        <v>-249081</v>
      </c>
      <c r="E19" s="372">
        <f>Input!$BG$25</f>
        <v>0</v>
      </c>
      <c r="F19" s="372">
        <f>Input!$BH$25</f>
        <v>0</v>
      </c>
      <c r="G19" s="372">
        <f>Input!$BI$25</f>
        <v>0</v>
      </c>
      <c r="H19" s="372">
        <f>Input!$BJ$25</f>
        <v>0</v>
      </c>
      <c r="I19" s="372">
        <f>Input!$BK$25</f>
        <v>0</v>
      </c>
      <c r="J19" s="372">
        <f>Input!$BL$25</f>
        <v>0</v>
      </c>
      <c r="K19" s="372">
        <f>Input!$BM$25</f>
        <v>0</v>
      </c>
      <c r="L19" s="372">
        <f>Input!$BN$25</f>
        <v>0</v>
      </c>
      <c r="M19" s="373">
        <f t="shared" si="3"/>
        <v>-249081</v>
      </c>
      <c r="O19" s="1732" t="s">
        <v>1294</v>
      </c>
      <c r="P19" s="1733"/>
      <c r="Q19" s="1733"/>
      <c r="R19" s="1734"/>
      <c r="T19" s="1735" t="s">
        <v>1043</v>
      </c>
      <c r="U19" s="1736"/>
      <c r="V19" s="1736"/>
      <c r="W19" s="1736"/>
      <c r="X19" s="1737"/>
    </row>
    <row r="20" spans="1:26" s="264" customFormat="1" ht="12.75" customHeight="1" thickTop="1">
      <c r="A20" s="263"/>
      <c r="B20" s="261" t="s">
        <v>723</v>
      </c>
      <c r="C20" s="261"/>
      <c r="D20" s="372">
        <f>Input!$BO$25</f>
        <v>0</v>
      </c>
      <c r="E20" s="372">
        <f>Input!$BP$25</f>
        <v>0</v>
      </c>
      <c r="F20" s="372">
        <f>Input!$BQ$25</f>
        <v>0</v>
      </c>
      <c r="G20" s="372">
        <f>Input!$BR$25</f>
        <v>0</v>
      </c>
      <c r="H20" s="372">
        <f>Input!$BS$25</f>
        <v>0</v>
      </c>
      <c r="I20" s="372">
        <f>Input!$BT$25</f>
        <v>0</v>
      </c>
      <c r="J20" s="372">
        <f>Input!$BU$25</f>
        <v>0</v>
      </c>
      <c r="K20" s="372">
        <f>Input!$BV$25</f>
        <v>0</v>
      </c>
      <c r="L20" s="372">
        <f>Input!$BW$25</f>
        <v>0</v>
      </c>
      <c r="M20" s="373">
        <f t="shared" si="3"/>
        <v>0</v>
      </c>
      <c r="O20" s="421" t="s">
        <v>288</v>
      </c>
      <c r="P20" s="422"/>
      <c r="Q20" s="414"/>
      <c r="R20" s="559"/>
      <c r="T20" s="560" t="s">
        <v>1044</v>
      </c>
      <c r="U20" s="266"/>
      <c r="V20" s="266"/>
      <c r="X20" s="425"/>
    </row>
    <row r="21" spans="1:26" s="264" customFormat="1">
      <c r="A21" s="263"/>
      <c r="B21" s="261" t="s">
        <v>724</v>
      </c>
      <c r="C21" s="261"/>
      <c r="D21" s="372">
        <f>Input!$BX$25</f>
        <v>0</v>
      </c>
      <c r="E21" s="372">
        <f>Input!$BY$25</f>
        <v>0</v>
      </c>
      <c r="F21" s="372">
        <f>Input!$BZ$25</f>
        <v>0</v>
      </c>
      <c r="G21" s="372">
        <f>Input!$CA$25</f>
        <v>0</v>
      </c>
      <c r="H21" s="372">
        <f>Input!$CB$25</f>
        <v>0</v>
      </c>
      <c r="I21" s="372">
        <f>Input!$CC$25</f>
        <v>0</v>
      </c>
      <c r="J21" s="372">
        <f>Input!$CD$25</f>
        <v>0</v>
      </c>
      <c r="K21" s="372">
        <f>Input!$CE$25</f>
        <v>0</v>
      </c>
      <c r="L21" s="372">
        <f>Input!$CF$25</f>
        <v>0</v>
      </c>
      <c r="M21" s="373">
        <f t="shared" si="3"/>
        <v>0</v>
      </c>
      <c r="O21" s="434"/>
      <c r="R21" s="561"/>
      <c r="T21" s="650" t="s">
        <v>1045</v>
      </c>
      <c r="U21" s="266"/>
      <c r="V21" s="266"/>
      <c r="W21" s="651">
        <f>M44</f>
        <v>29496374</v>
      </c>
      <c r="X21" s="425"/>
      <c r="Z21" s="330"/>
    </row>
    <row r="22" spans="1:26" s="264" customFormat="1">
      <c r="A22" s="263"/>
      <c r="B22" s="261" t="s">
        <v>725</v>
      </c>
      <c r="C22" s="261"/>
      <c r="D22" s="372">
        <f>Input!$CG$25</f>
        <v>0</v>
      </c>
      <c r="E22" s="372">
        <f>Input!$CH$25</f>
        <v>0</v>
      </c>
      <c r="F22" s="372">
        <f>Input!$CI$25</f>
        <v>0</v>
      </c>
      <c r="G22" s="372">
        <f>Input!$CJ$25</f>
        <v>0</v>
      </c>
      <c r="H22" s="372">
        <f>Input!$CK$25</f>
        <v>0</v>
      </c>
      <c r="I22" s="372">
        <f>Input!$CL$25</f>
        <v>0</v>
      </c>
      <c r="J22" s="372">
        <f>Input!$CM$25</f>
        <v>0</v>
      </c>
      <c r="K22" s="372">
        <f>Input!$CN$25</f>
        <v>0</v>
      </c>
      <c r="L22" s="372">
        <f>Input!$CO$25</f>
        <v>0</v>
      </c>
      <c r="M22" s="373">
        <f t="shared" si="3"/>
        <v>0</v>
      </c>
      <c r="N22" s="270"/>
      <c r="O22" s="434" t="s">
        <v>1046</v>
      </c>
      <c r="P22" s="276"/>
      <c r="Q22" s="424">
        <f>M23</f>
        <v>23972080</v>
      </c>
      <c r="R22" s="562"/>
      <c r="T22" s="650" t="s">
        <v>1047</v>
      </c>
      <c r="U22" s="266"/>
      <c r="V22" s="266"/>
      <c r="W22" s="652">
        <f>R30*-1</f>
        <v>15575640</v>
      </c>
      <c r="X22" s="425"/>
    </row>
    <row r="23" spans="1:26" s="264" customFormat="1" ht="12.75" customHeight="1">
      <c r="A23" s="263"/>
      <c r="B23" s="558" t="s">
        <v>726</v>
      </c>
      <c r="C23" s="563"/>
      <c r="D23" s="564">
        <f>Input!$CP$25</f>
        <v>8212430</v>
      </c>
      <c r="E23" s="564">
        <f>Input!$CQ$25</f>
        <v>15759650</v>
      </c>
      <c r="F23" s="564">
        <f>Input!$CR$25</f>
        <v>0</v>
      </c>
      <c r="G23" s="564">
        <f>Input!$CS$25</f>
        <v>0</v>
      </c>
      <c r="H23" s="564">
        <f>Input!$CT$25</f>
        <v>0</v>
      </c>
      <c r="I23" s="564">
        <f>Input!$CU$25</f>
        <v>0</v>
      </c>
      <c r="J23" s="564">
        <f>Input!$CV$25</f>
        <v>0</v>
      </c>
      <c r="K23" s="564">
        <f>Input!$CW$25</f>
        <v>0</v>
      </c>
      <c r="L23" s="564">
        <f>Input!$CX$25</f>
        <v>0</v>
      </c>
      <c r="M23" s="565">
        <f t="shared" si="3"/>
        <v>23972080</v>
      </c>
      <c r="O23" s="434"/>
      <c r="P23" s="276"/>
      <c r="Q23" s="424"/>
      <c r="R23" s="562"/>
      <c r="T23" s="560" t="s">
        <v>1230</v>
      </c>
      <c r="U23" s="266"/>
      <c r="V23" s="266"/>
      <c r="W23" s="276"/>
      <c r="X23" s="425">
        <f>SUM(W21:W22)</f>
        <v>45072014</v>
      </c>
      <c r="Z23" s="330"/>
    </row>
    <row r="24" spans="1:26" s="264" customFormat="1" ht="12.75" customHeight="1">
      <c r="A24" s="263"/>
      <c r="B24" s="261" t="s">
        <v>727</v>
      </c>
      <c r="C24" s="566"/>
      <c r="D24" s="372">
        <f>Input!$CY$25</f>
        <v>0</v>
      </c>
      <c r="E24" s="372">
        <f>Input!$CZ$25</f>
        <v>0</v>
      </c>
      <c r="F24" s="372">
        <f>Input!$DA$25</f>
        <v>0</v>
      </c>
      <c r="G24" s="372">
        <f>Input!$DB$25</f>
        <v>0</v>
      </c>
      <c r="H24" s="372">
        <f>Input!$DC$25</f>
        <v>0</v>
      </c>
      <c r="I24" s="372">
        <f>Input!$DD$25</f>
        <v>0</v>
      </c>
      <c r="J24" s="372">
        <f>Input!$DE$25</f>
        <v>0</v>
      </c>
      <c r="K24" s="372">
        <f>Input!$DF$25</f>
        <v>0</v>
      </c>
      <c r="L24" s="372">
        <f>Input!$DG$25</f>
        <v>0</v>
      </c>
      <c r="M24" s="567">
        <f t="shared" si="3"/>
        <v>0</v>
      </c>
      <c r="O24" s="417" t="s">
        <v>1048</v>
      </c>
      <c r="P24" s="276"/>
      <c r="Q24" s="327"/>
      <c r="R24" s="646">
        <f>SUM(M24:M28)</f>
        <v>-8140548</v>
      </c>
      <c r="T24" s="560"/>
      <c r="U24" s="266"/>
      <c r="V24" s="266"/>
      <c r="X24" s="425"/>
      <c r="Z24" s="330"/>
    </row>
    <row r="25" spans="1:26" s="264" customFormat="1" ht="12.75" customHeight="1">
      <c r="A25" s="263"/>
      <c r="B25" s="261" t="s">
        <v>728</v>
      </c>
      <c r="C25" s="566"/>
      <c r="D25" s="372">
        <f>Input!$DH$25</f>
        <v>0</v>
      </c>
      <c r="E25" s="372">
        <f>Input!$DI$25</f>
        <v>0</v>
      </c>
      <c r="F25" s="372">
        <f>Input!$DJ$25</f>
        <v>0</v>
      </c>
      <c r="G25" s="372">
        <f>Input!$DK$25</f>
        <v>0</v>
      </c>
      <c r="H25" s="372">
        <f>Input!$DL$25</f>
        <v>0</v>
      </c>
      <c r="I25" s="372">
        <f>Input!$DM$25</f>
        <v>0</v>
      </c>
      <c r="J25" s="372">
        <f>Input!$DN$25</f>
        <v>0</v>
      </c>
      <c r="K25" s="372">
        <f>Input!$DO$25</f>
        <v>0</v>
      </c>
      <c r="L25" s="372">
        <f>Input!$DP$25</f>
        <v>0</v>
      </c>
      <c r="M25" s="567">
        <f t="shared" si="3"/>
        <v>0</v>
      </c>
      <c r="O25" s="434"/>
      <c r="P25" s="276"/>
      <c r="Q25" s="327"/>
      <c r="R25" s="646"/>
      <c r="T25" s="568" t="s">
        <v>1103</v>
      </c>
      <c r="U25" s="569"/>
      <c r="V25" s="569"/>
      <c r="W25" s="653">
        <f>(M26+M39)*-1</f>
        <v>3972317</v>
      </c>
      <c r="X25" s="425"/>
      <c r="Z25" s="330"/>
    </row>
    <row r="26" spans="1:26" s="264" customFormat="1" ht="12.75" customHeight="1">
      <c r="A26" s="263"/>
      <c r="B26" s="261" t="s">
        <v>729</v>
      </c>
      <c r="C26" s="566"/>
      <c r="D26" s="372">
        <f>Input!$DQ$25</f>
        <v>-771035</v>
      </c>
      <c r="E26" s="372">
        <f>Input!$DR$25</f>
        <v>-1511867</v>
      </c>
      <c r="F26" s="372">
        <f>Input!$DS$25</f>
        <v>0</v>
      </c>
      <c r="G26" s="372">
        <f>Input!$DT$25</f>
        <v>0</v>
      </c>
      <c r="H26" s="372">
        <f>Input!$DU$25</f>
        <v>0</v>
      </c>
      <c r="I26" s="372">
        <f>Input!$DV$25</f>
        <v>0</v>
      </c>
      <c r="J26" s="372">
        <f>Input!$DW$25</f>
        <v>0</v>
      </c>
      <c r="K26" s="372">
        <f>Input!$DX$25</f>
        <v>0</v>
      </c>
      <c r="L26" s="372">
        <f>Input!$DY$25</f>
        <v>0</v>
      </c>
      <c r="M26" s="567">
        <f t="shared" si="3"/>
        <v>-2282902</v>
      </c>
      <c r="O26" s="434" t="s">
        <v>1049</v>
      </c>
      <c r="P26" s="276"/>
      <c r="Q26" s="427">
        <f>M36</f>
        <v>21099934</v>
      </c>
      <c r="R26" s="570"/>
      <c r="T26" s="560" t="s">
        <v>1104</v>
      </c>
      <c r="U26" s="266"/>
      <c r="V26" s="266"/>
      <c r="W26" s="571">
        <f>(M21+M34)*-1</f>
        <v>0</v>
      </c>
      <c r="X26" s="425"/>
      <c r="Z26" s="330"/>
    </row>
    <row r="27" spans="1:26" s="264" customFormat="1">
      <c r="A27" s="263"/>
      <c r="B27" s="261" t="s">
        <v>730</v>
      </c>
      <c r="C27" s="566"/>
      <c r="D27" s="372">
        <f>Input!$DZ$25</f>
        <v>0</v>
      </c>
      <c r="E27" s="372">
        <f>Input!$EA$25</f>
        <v>0</v>
      </c>
      <c r="F27" s="372">
        <f>Input!$EB$25</f>
        <v>0</v>
      </c>
      <c r="G27" s="372">
        <f>Input!$EC$25</f>
        <v>0</v>
      </c>
      <c r="H27" s="372">
        <f>Input!$ED$25</f>
        <v>0</v>
      </c>
      <c r="I27" s="372">
        <f>Input!$EE$25</f>
        <v>0</v>
      </c>
      <c r="J27" s="372">
        <f>Input!$EF$25</f>
        <v>0</v>
      </c>
      <c r="K27" s="372">
        <f>Input!$EG$25</f>
        <v>0</v>
      </c>
      <c r="L27" s="372">
        <f>Input!EH6</f>
        <v>0</v>
      </c>
      <c r="M27" s="567">
        <f t="shared" si="3"/>
        <v>0</v>
      </c>
      <c r="O27" s="434"/>
      <c r="P27" s="276"/>
      <c r="Q27" s="427"/>
      <c r="R27" s="570"/>
      <c r="T27" s="650" t="s">
        <v>1105</v>
      </c>
      <c r="U27" s="584"/>
      <c r="V27" s="584"/>
      <c r="W27" s="654">
        <f>SUM(W25:W26)</f>
        <v>3972317</v>
      </c>
      <c r="X27" s="655"/>
    </row>
    <row r="28" spans="1:26" s="264" customFormat="1">
      <c r="A28" s="263"/>
      <c r="B28" s="261" t="s">
        <v>2133</v>
      </c>
      <c r="C28" s="566"/>
      <c r="D28" s="372">
        <f>Input!$EI$25</f>
        <v>-2017779</v>
      </c>
      <c r="E28" s="372">
        <f>Input!$EJ$25</f>
        <v>-3839867</v>
      </c>
      <c r="F28" s="372">
        <f>Input!$EK$25</f>
        <v>0</v>
      </c>
      <c r="G28" s="372">
        <f>Input!$EL$25</f>
        <v>0</v>
      </c>
      <c r="H28" s="372">
        <f>Input!$EM$25</f>
        <v>0</v>
      </c>
      <c r="I28" s="372">
        <f>Input!$EN$25</f>
        <v>0</v>
      </c>
      <c r="J28" s="372">
        <f>Input!$EO$25</f>
        <v>0</v>
      </c>
      <c r="K28" s="372">
        <f>Input!$EP$25</f>
        <v>0</v>
      </c>
      <c r="L28" s="372">
        <f>Input!$EQ$25</f>
        <v>0</v>
      </c>
      <c r="M28" s="567">
        <f t="shared" si="3"/>
        <v>-5857646</v>
      </c>
      <c r="O28" s="417" t="s">
        <v>1050</v>
      </c>
      <c r="Q28" s="429"/>
      <c r="R28" s="646">
        <f>SUM(M37:M41)</f>
        <v>-7435092</v>
      </c>
      <c r="T28" s="560" t="s">
        <v>1106</v>
      </c>
      <c r="U28" s="266"/>
      <c r="V28" s="266"/>
      <c r="W28" s="425">
        <f>(M27+M40)*-1</f>
        <v>0</v>
      </c>
      <c r="X28" s="655"/>
      <c r="Z28" s="330"/>
    </row>
    <row r="29" spans="1:26" s="264" customFormat="1" ht="12" customHeight="1">
      <c r="A29" s="263"/>
      <c r="B29" s="575" t="s">
        <v>39</v>
      </c>
      <c r="C29" s="563"/>
      <c r="D29" s="374">
        <f t="shared" ref="D29:L29" si="4">SUM(D23:D28)</f>
        <v>5423616</v>
      </c>
      <c r="E29" s="374">
        <f t="shared" si="4"/>
        <v>10407916</v>
      </c>
      <c r="F29" s="374">
        <f t="shared" si="4"/>
        <v>0</v>
      </c>
      <c r="G29" s="374">
        <f t="shared" si="4"/>
        <v>0</v>
      </c>
      <c r="H29" s="374">
        <f t="shared" si="4"/>
        <v>0</v>
      </c>
      <c r="I29" s="374">
        <f t="shared" si="4"/>
        <v>0</v>
      </c>
      <c r="J29" s="374">
        <f t="shared" si="4"/>
        <v>0</v>
      </c>
      <c r="K29" s="374">
        <f t="shared" si="4"/>
        <v>0</v>
      </c>
      <c r="L29" s="374">
        <f t="shared" si="4"/>
        <v>0</v>
      </c>
      <c r="M29" s="374">
        <f t="shared" si="3"/>
        <v>15831532</v>
      </c>
      <c r="O29" s="417"/>
      <c r="Q29" s="429"/>
      <c r="R29" s="576"/>
      <c r="T29" s="560" t="s">
        <v>1107</v>
      </c>
      <c r="U29" s="266"/>
      <c r="V29" s="266"/>
      <c r="W29" s="571">
        <f>(M22+M35)*-1</f>
        <v>0</v>
      </c>
      <c r="X29" s="655"/>
    </row>
    <row r="30" spans="1:26" s="264" customFormat="1" ht="16.5" customHeight="1">
      <c r="A30" s="263"/>
      <c r="B30" s="261"/>
      <c r="C30" s="566"/>
      <c r="D30" s="566"/>
      <c r="E30" s="566"/>
      <c r="F30" s="566"/>
      <c r="G30" s="566"/>
      <c r="H30" s="566"/>
      <c r="I30" s="566"/>
      <c r="J30" s="566"/>
      <c r="K30" s="566"/>
      <c r="L30" s="566"/>
      <c r="M30" s="567"/>
      <c r="O30" s="431" t="s">
        <v>289</v>
      </c>
      <c r="P30" s="432"/>
      <c r="Q30" s="433">
        <f>Q26+Q22</f>
        <v>45072014</v>
      </c>
      <c r="R30" s="647">
        <f>R28+R24</f>
        <v>-15575640</v>
      </c>
      <c r="T30" s="650" t="s">
        <v>1108</v>
      </c>
      <c r="U30" s="584"/>
      <c r="V30" s="584"/>
      <c r="W30" s="654">
        <f>SUM(W28:W29)</f>
        <v>0</v>
      </c>
      <c r="X30" s="655"/>
    </row>
    <row r="31" spans="1:26" s="264" customFormat="1" ht="12.75" customHeight="1">
      <c r="A31" s="263"/>
      <c r="B31" s="558" t="s">
        <v>1052</v>
      </c>
      <c r="C31" s="558"/>
      <c r="D31" s="374">
        <f t="shared" ref="D31:L31" si="5">D36-SUM(D32:D35)</f>
        <v>138037</v>
      </c>
      <c r="E31" s="374">
        <f t="shared" si="5"/>
        <v>21112352</v>
      </c>
      <c r="F31" s="374">
        <f t="shared" si="5"/>
        <v>644309</v>
      </c>
      <c r="G31" s="374">
        <f t="shared" si="5"/>
        <v>-794764</v>
      </c>
      <c r="H31" s="374">
        <f t="shared" si="5"/>
        <v>0</v>
      </c>
      <c r="I31" s="374">
        <f t="shared" si="5"/>
        <v>0</v>
      </c>
      <c r="J31" s="374">
        <f t="shared" si="5"/>
        <v>0</v>
      </c>
      <c r="K31" s="374">
        <f t="shared" si="5"/>
        <v>0</v>
      </c>
      <c r="L31" s="374">
        <f t="shared" si="5"/>
        <v>0</v>
      </c>
      <c r="M31" s="374">
        <f t="shared" ref="M31:M42" si="6">D31+E31+F31+G31+H31+I31+J31+K31+L31</f>
        <v>21099934</v>
      </c>
      <c r="O31" s="434" t="s">
        <v>290</v>
      </c>
      <c r="P31" s="276"/>
      <c r="Q31" s="335"/>
      <c r="R31" s="562"/>
      <c r="T31" s="572" t="s">
        <v>1109</v>
      </c>
      <c r="U31" s="573"/>
      <c r="V31" s="573"/>
      <c r="W31" s="574">
        <f>W27+W30</f>
        <v>3972317</v>
      </c>
      <c r="X31" s="425"/>
      <c r="Z31" s="330"/>
    </row>
    <row r="32" spans="1:26" s="264" customFormat="1" ht="12.75" customHeight="1">
      <c r="A32" s="263"/>
      <c r="B32" s="261" t="s">
        <v>722</v>
      </c>
      <c r="C32" s="261"/>
      <c r="D32" s="372">
        <f>Input!$ER$25</f>
        <v>0</v>
      </c>
      <c r="E32" s="372">
        <f>Input!$ES$25</f>
        <v>0</v>
      </c>
      <c r="F32" s="372">
        <f>Input!$ET$25</f>
        <v>0</v>
      </c>
      <c r="G32" s="372">
        <f>Input!$EU$25</f>
        <v>0</v>
      </c>
      <c r="H32" s="372">
        <f>Input!$EV$25</f>
        <v>0</v>
      </c>
      <c r="I32" s="372">
        <f>Input!$EW$25</f>
        <v>0</v>
      </c>
      <c r="J32" s="372">
        <f>Input!$EX$25</f>
        <v>0</v>
      </c>
      <c r="K32" s="372">
        <f>Input!$EY$25</f>
        <v>0</v>
      </c>
      <c r="L32" s="372">
        <f>Input!$EZ$25</f>
        <v>0</v>
      </c>
      <c r="M32" s="567">
        <f t="shared" si="6"/>
        <v>0</v>
      </c>
      <c r="O32" s="415" t="s">
        <v>1295</v>
      </c>
      <c r="P32" s="416"/>
      <c r="Q32" s="577">
        <f>Input!$SQ$25</f>
        <v>45072014</v>
      </c>
      <c r="R32" s="578"/>
      <c r="T32" s="560"/>
      <c r="U32" s="266"/>
      <c r="V32" s="266"/>
      <c r="X32" s="425"/>
      <c r="Z32" s="330"/>
    </row>
    <row r="33" spans="1:24" s="264" customFormat="1">
      <c r="A33" s="263"/>
      <c r="B33" s="261" t="s">
        <v>723</v>
      </c>
      <c r="C33" s="261"/>
      <c r="D33" s="372">
        <f>Input!$FA$25</f>
        <v>0</v>
      </c>
      <c r="E33" s="372">
        <f>Input!$FB$25</f>
        <v>0</v>
      </c>
      <c r="F33" s="372">
        <f>Input!$FC$25</f>
        <v>0</v>
      </c>
      <c r="G33" s="372">
        <f>Input!$FD$25</f>
        <v>0</v>
      </c>
      <c r="H33" s="372">
        <f>Input!$FE$25</f>
        <v>0</v>
      </c>
      <c r="I33" s="372">
        <f>Input!$FF$25</f>
        <v>0</v>
      </c>
      <c r="J33" s="372">
        <f>Input!$FG$25</f>
        <v>0</v>
      </c>
      <c r="K33" s="372">
        <f>Input!$FH$25</f>
        <v>0</v>
      </c>
      <c r="L33" s="372">
        <f>Input!$FI$25</f>
        <v>0</v>
      </c>
      <c r="M33" s="567">
        <f t="shared" si="6"/>
        <v>0</v>
      </c>
      <c r="O33" s="415"/>
      <c r="P33" s="416"/>
      <c r="Q33" s="327"/>
      <c r="R33" s="578"/>
      <c r="T33" s="560" t="s">
        <v>1051</v>
      </c>
      <c r="U33" s="266"/>
      <c r="V33" s="266"/>
      <c r="W33" s="334">
        <f>(M19+M32)*-1</f>
        <v>249081</v>
      </c>
      <c r="X33" s="425"/>
    </row>
    <row r="34" spans="1:24" s="264" customFormat="1">
      <c r="A34" s="263"/>
      <c r="B34" s="261" t="s">
        <v>724</v>
      </c>
      <c r="C34" s="261"/>
      <c r="D34" s="372">
        <f>Input!$FJ$25</f>
        <v>0</v>
      </c>
      <c r="E34" s="372">
        <f>Input!$FK$25</f>
        <v>0</v>
      </c>
      <c r="F34" s="372">
        <f>Input!$FL$25</f>
        <v>0</v>
      </c>
      <c r="G34" s="372">
        <f>Input!$FM$25</f>
        <v>0</v>
      </c>
      <c r="H34" s="372">
        <f>Input!$FN$25</f>
        <v>0</v>
      </c>
      <c r="I34" s="372">
        <f>Input!$FO$25</f>
        <v>0</v>
      </c>
      <c r="J34" s="372">
        <f>Input!$FP$25</f>
        <v>0</v>
      </c>
      <c r="K34" s="372">
        <f>Input!$FQ$25</f>
        <v>0</v>
      </c>
      <c r="L34" s="372">
        <f>Input!$FR$25</f>
        <v>0</v>
      </c>
      <c r="M34" s="567">
        <f t="shared" si="6"/>
        <v>0</v>
      </c>
      <c r="O34" s="435" t="s">
        <v>1296</v>
      </c>
      <c r="P34" s="436"/>
      <c r="Q34" s="264" t="s">
        <v>291</v>
      </c>
      <c r="R34" s="648">
        <f>Input!$SR$25</f>
        <v>-15575640</v>
      </c>
      <c r="T34" s="560" t="s">
        <v>1110</v>
      </c>
      <c r="U34" s="266"/>
      <c r="V34" s="266"/>
      <c r="W34" s="430">
        <f>(M24+M37)*-1</f>
        <v>0</v>
      </c>
      <c r="X34" s="425"/>
    </row>
    <row r="35" spans="1:24" s="264" customFormat="1" ht="13.5" thickBot="1">
      <c r="A35" s="263"/>
      <c r="B35" s="261" t="s">
        <v>725</v>
      </c>
      <c r="C35" s="261"/>
      <c r="D35" s="372">
        <f>Input!$FS$25</f>
        <v>0</v>
      </c>
      <c r="E35" s="372">
        <f>Input!$FT$25</f>
        <v>0</v>
      </c>
      <c r="F35" s="372">
        <f>Input!$FU$25</f>
        <v>0</v>
      </c>
      <c r="G35" s="372">
        <f>Input!$FV$25</f>
        <v>0</v>
      </c>
      <c r="H35" s="372">
        <f>Input!$FW$25</f>
        <v>0</v>
      </c>
      <c r="I35" s="372">
        <f>Input!$FX$25</f>
        <v>0</v>
      </c>
      <c r="J35" s="372">
        <f>Input!$FY$25</f>
        <v>0</v>
      </c>
      <c r="K35" s="372">
        <f>Input!$FZ$25</f>
        <v>0</v>
      </c>
      <c r="L35" s="372">
        <f>Input!$GA$25</f>
        <v>0</v>
      </c>
      <c r="M35" s="567">
        <f t="shared" si="6"/>
        <v>0</v>
      </c>
      <c r="O35" s="418" t="s">
        <v>286</v>
      </c>
      <c r="P35" s="419"/>
      <c r="Q35" s="420">
        <f>Q30-Q32</f>
        <v>0</v>
      </c>
      <c r="R35" s="649">
        <f>R30-R34</f>
        <v>0</v>
      </c>
      <c r="T35" s="650" t="s">
        <v>1111</v>
      </c>
      <c r="U35" s="584"/>
      <c r="V35" s="584"/>
      <c r="W35" s="656">
        <f>SUM(W33:W34)</f>
        <v>249081</v>
      </c>
      <c r="X35" s="655"/>
    </row>
    <row r="36" spans="1:24" s="264" customFormat="1" ht="13.5" thickTop="1">
      <c r="A36" s="263"/>
      <c r="B36" s="558" t="s">
        <v>732</v>
      </c>
      <c r="C36" s="563"/>
      <c r="D36" s="564">
        <f>Input!$GB$25</f>
        <v>138037</v>
      </c>
      <c r="E36" s="564">
        <f>Input!$GC$25</f>
        <v>21112352</v>
      </c>
      <c r="F36" s="564">
        <f>Input!$GD$25</f>
        <v>644309</v>
      </c>
      <c r="G36" s="564">
        <f>Input!$GE$25</f>
        <v>-794764</v>
      </c>
      <c r="H36" s="564">
        <f>Input!$GF$25</f>
        <v>0</v>
      </c>
      <c r="I36" s="564">
        <f>Input!$GG$25</f>
        <v>0</v>
      </c>
      <c r="J36" s="564">
        <f>Input!$GH$25</f>
        <v>0</v>
      </c>
      <c r="K36" s="564">
        <f>Input!$GI$25</f>
        <v>0</v>
      </c>
      <c r="L36" s="564">
        <f>Input!$GJ$25</f>
        <v>0</v>
      </c>
      <c r="M36" s="565">
        <f t="shared" si="6"/>
        <v>21099934</v>
      </c>
      <c r="O36" s="261"/>
      <c r="Q36" s="412" t="str">
        <f>IF(Q30&lt;&gt;Q32,"Out of Balance","Balanced")</f>
        <v>Balanced</v>
      </c>
      <c r="R36" s="412" t="str">
        <f>IF(R30&lt;&gt;R34,"Out of Balance","Balanced")</f>
        <v>Balanced</v>
      </c>
      <c r="T36" s="560" t="s">
        <v>1053</v>
      </c>
      <c r="U36" s="266"/>
      <c r="V36" s="266"/>
      <c r="W36" s="334">
        <f>(M20+M33)*-1</f>
        <v>0</v>
      </c>
      <c r="X36" s="425"/>
    </row>
    <row r="37" spans="1:24" s="264" customFormat="1">
      <c r="A37" s="263"/>
      <c r="B37" s="261" t="s">
        <v>727</v>
      </c>
      <c r="C37" s="566"/>
      <c r="D37" s="372">
        <f>Input!$GK$25</f>
        <v>0</v>
      </c>
      <c r="E37" s="372">
        <f>Input!$GL$25</f>
        <v>0</v>
      </c>
      <c r="F37" s="372">
        <f>Input!$GM$25</f>
        <v>0</v>
      </c>
      <c r="G37" s="372">
        <f>Input!$GN$25</f>
        <v>0</v>
      </c>
      <c r="H37" s="372">
        <f>Input!$GO$25</f>
        <v>0</v>
      </c>
      <c r="I37" s="372">
        <f>Input!$GP$25</f>
        <v>0</v>
      </c>
      <c r="J37" s="372">
        <f>Input!$GQ$25</f>
        <v>0</v>
      </c>
      <c r="K37" s="372">
        <f>Input!$GR$25</f>
        <v>0</v>
      </c>
      <c r="L37" s="372">
        <f>Input!$GS$25</f>
        <v>0</v>
      </c>
      <c r="M37" s="567">
        <f t="shared" si="6"/>
        <v>0</v>
      </c>
      <c r="O37" s="261"/>
      <c r="T37" s="560" t="s">
        <v>1112</v>
      </c>
      <c r="U37" s="266"/>
      <c r="V37" s="266"/>
      <c r="W37" s="430">
        <f>(M25+M38)*-1</f>
        <v>0</v>
      </c>
      <c r="X37" s="655"/>
    </row>
    <row r="38" spans="1:24" s="264" customFormat="1">
      <c r="A38" s="263"/>
      <c r="B38" s="261" t="s">
        <v>728</v>
      </c>
      <c r="C38" s="566"/>
      <c r="D38" s="372">
        <f>Input!$GT$25</f>
        <v>0</v>
      </c>
      <c r="E38" s="372">
        <f>Input!$GU$25</f>
        <v>0</v>
      </c>
      <c r="F38" s="372">
        <f>Input!$GV$25</f>
        <v>0</v>
      </c>
      <c r="G38" s="372">
        <f>Input!$GW$25</f>
        <v>0</v>
      </c>
      <c r="H38" s="372">
        <f>Input!$GX$25</f>
        <v>0</v>
      </c>
      <c r="I38" s="372">
        <f>Input!$GY$25</f>
        <v>0</v>
      </c>
      <c r="J38" s="372">
        <f>Input!$GZ$25</f>
        <v>0</v>
      </c>
      <c r="K38" s="372">
        <f>Input!$HA$25</f>
        <v>0</v>
      </c>
      <c r="L38" s="372">
        <f>Input!$HB$25</f>
        <v>0</v>
      </c>
      <c r="M38" s="567">
        <f t="shared" si="6"/>
        <v>0</v>
      </c>
      <c r="O38" s="261"/>
      <c r="T38" s="650" t="s">
        <v>1113</v>
      </c>
      <c r="U38" s="584"/>
      <c r="V38" s="584"/>
      <c r="W38" s="656">
        <f>SUM(W36:W37)</f>
        <v>0</v>
      </c>
      <c r="X38" s="425"/>
    </row>
    <row r="39" spans="1:24" s="264" customFormat="1">
      <c r="A39" s="263"/>
      <c r="B39" s="261" t="s">
        <v>729</v>
      </c>
      <c r="C39" s="566"/>
      <c r="D39" s="372">
        <f>Input!$HC$25</f>
        <v>0</v>
      </c>
      <c r="E39" s="372">
        <f>Input!$HD$25</f>
        <v>-1689415</v>
      </c>
      <c r="F39" s="372">
        <f>Input!$HE$25</f>
        <v>0</v>
      </c>
      <c r="G39" s="372">
        <f>Input!$HF$25</f>
        <v>0</v>
      </c>
      <c r="H39" s="372">
        <f>Input!$HG$25</f>
        <v>0</v>
      </c>
      <c r="I39" s="372">
        <f>Input!$HH$25</f>
        <v>0</v>
      </c>
      <c r="J39" s="372">
        <f>Input!$HI$25</f>
        <v>0</v>
      </c>
      <c r="K39" s="372">
        <f>Input!$HJ$25</f>
        <v>0</v>
      </c>
      <c r="L39" s="372">
        <f>Input!$HK$25</f>
        <v>0</v>
      </c>
      <c r="M39" s="567">
        <f t="shared" si="6"/>
        <v>-1689415</v>
      </c>
      <c r="O39" s="261"/>
      <c r="T39" s="560" t="s">
        <v>1054</v>
      </c>
      <c r="U39" s="266"/>
      <c r="V39" s="266"/>
      <c r="W39" s="334"/>
      <c r="X39" s="425">
        <f>W38+W35</f>
        <v>249081</v>
      </c>
    </row>
    <row r="40" spans="1:24" s="264" customFormat="1">
      <c r="A40" s="263"/>
      <c r="B40" s="261" t="s">
        <v>730</v>
      </c>
      <c r="C40" s="566"/>
      <c r="D40" s="372">
        <f>Input!$HL$25</f>
        <v>0</v>
      </c>
      <c r="E40" s="372">
        <f>Input!$HM$25</f>
        <v>0</v>
      </c>
      <c r="F40" s="372">
        <f>Input!$HN$25</f>
        <v>0</v>
      </c>
      <c r="G40" s="372">
        <f>Input!$HO$25</f>
        <v>0</v>
      </c>
      <c r="H40" s="372">
        <f>Input!$HP$25</f>
        <v>0</v>
      </c>
      <c r="I40" s="372">
        <f>Input!$HQ$25</f>
        <v>0</v>
      </c>
      <c r="J40" s="372">
        <f>Input!$HR$25</f>
        <v>0</v>
      </c>
      <c r="K40" s="372">
        <f>Input!$HS$25</f>
        <v>0</v>
      </c>
      <c r="L40" s="372">
        <f>Input!$HT$25</f>
        <v>0</v>
      </c>
      <c r="M40" s="567">
        <f t="shared" si="6"/>
        <v>0</v>
      </c>
      <c r="O40" s="261"/>
      <c r="T40" s="560"/>
      <c r="U40" s="261"/>
      <c r="V40" s="261"/>
      <c r="W40" s="261"/>
      <c r="X40" s="655"/>
    </row>
    <row r="41" spans="1:24" s="264" customFormat="1">
      <c r="A41" s="263"/>
      <c r="B41" s="261" t="s">
        <v>2133</v>
      </c>
      <c r="C41" s="566"/>
      <c r="D41" s="372">
        <f>Input!$HU$25</f>
        <v>-46875</v>
      </c>
      <c r="E41" s="372">
        <f>Input!$HV$25</f>
        <v>-5480005</v>
      </c>
      <c r="F41" s="372">
        <f>Input!$HW$25</f>
        <v>-218797</v>
      </c>
      <c r="G41" s="372">
        <f>Input!$HX$25</f>
        <v>0</v>
      </c>
      <c r="H41" s="372">
        <f>Input!$HY$25</f>
        <v>0</v>
      </c>
      <c r="I41" s="372">
        <f>Input!$HZ$25</f>
        <v>0</v>
      </c>
      <c r="J41" s="372">
        <f>Input!$IA$25</f>
        <v>0</v>
      </c>
      <c r="K41" s="372">
        <f>Input!$IB$25</f>
        <v>0</v>
      </c>
      <c r="L41" s="372">
        <f>Input!$IC$25</f>
        <v>0</v>
      </c>
      <c r="M41" s="567">
        <f t="shared" si="6"/>
        <v>-5745677</v>
      </c>
      <c r="O41"/>
      <c r="P41"/>
      <c r="Q41"/>
      <c r="R41"/>
      <c r="S41"/>
      <c r="T41" s="560" t="s">
        <v>1104</v>
      </c>
      <c r="U41" s="266"/>
      <c r="V41" s="266"/>
      <c r="W41" s="330">
        <f>(M21+M34)*-1</f>
        <v>0</v>
      </c>
      <c r="X41" s="425"/>
    </row>
    <row r="42" spans="1:24" s="264" customFormat="1">
      <c r="A42" s="263"/>
      <c r="B42" s="575" t="s">
        <v>40</v>
      </c>
      <c r="C42" s="563"/>
      <c r="D42" s="374">
        <f t="shared" ref="D42:L42" si="7">SUM(D36:D41)</f>
        <v>91162</v>
      </c>
      <c r="E42" s="374">
        <f t="shared" si="7"/>
        <v>13942932</v>
      </c>
      <c r="F42" s="374">
        <f t="shared" si="7"/>
        <v>425512</v>
      </c>
      <c r="G42" s="374">
        <f t="shared" si="7"/>
        <v>-794764</v>
      </c>
      <c r="H42" s="374">
        <f t="shared" si="7"/>
        <v>0</v>
      </c>
      <c r="I42" s="374">
        <f t="shared" si="7"/>
        <v>0</v>
      </c>
      <c r="J42" s="374">
        <f t="shared" si="7"/>
        <v>0</v>
      </c>
      <c r="K42" s="374">
        <f t="shared" si="7"/>
        <v>0</v>
      </c>
      <c r="L42" s="374">
        <f t="shared" si="7"/>
        <v>0</v>
      </c>
      <c r="M42" s="374">
        <f t="shared" si="6"/>
        <v>13664842</v>
      </c>
      <c r="O42"/>
      <c r="P42"/>
      <c r="Q42"/>
      <c r="R42"/>
      <c r="S42"/>
      <c r="T42" s="560" t="s">
        <v>1107</v>
      </c>
      <c r="U42" s="266"/>
      <c r="V42" s="266"/>
      <c r="W42" s="430">
        <f>(M22+M35)*-1</f>
        <v>0</v>
      </c>
      <c r="X42" s="425"/>
    </row>
    <row r="43" spans="1:24" s="264" customFormat="1">
      <c r="A43" s="263"/>
      <c r="B43" s="261"/>
      <c r="C43" s="566"/>
      <c r="D43" s="566"/>
      <c r="E43" s="566"/>
      <c r="F43" s="566"/>
      <c r="G43" s="566"/>
      <c r="H43" s="566"/>
      <c r="I43" s="566"/>
      <c r="J43" s="566"/>
      <c r="K43" s="566"/>
      <c r="L43" s="566"/>
      <c r="M43" s="567"/>
      <c r="O43"/>
      <c r="P43"/>
      <c r="Q43"/>
      <c r="R43"/>
      <c r="S43"/>
      <c r="T43" s="650" t="s">
        <v>1114</v>
      </c>
      <c r="U43" s="584"/>
      <c r="V43" s="584"/>
      <c r="W43" s="656">
        <f>SUM(W41:W42)</f>
        <v>0</v>
      </c>
      <c r="X43" s="655"/>
    </row>
    <row r="44" spans="1:24" s="264" customFormat="1" ht="13.5" customHeight="1">
      <c r="A44" s="263"/>
      <c r="B44" s="575" t="s">
        <v>1055</v>
      </c>
      <c r="C44" s="563"/>
      <c r="D44" s="374">
        <f t="shared" ref="D44:L44" si="8">D42+D29</f>
        <v>5514778</v>
      </c>
      <c r="E44" s="374">
        <f t="shared" si="8"/>
        <v>24350848</v>
      </c>
      <c r="F44" s="374">
        <f t="shared" si="8"/>
        <v>425512</v>
      </c>
      <c r="G44" s="374">
        <f t="shared" si="8"/>
        <v>-794764</v>
      </c>
      <c r="H44" s="374">
        <f t="shared" si="8"/>
        <v>0</v>
      </c>
      <c r="I44" s="374">
        <f t="shared" si="8"/>
        <v>0</v>
      </c>
      <c r="J44" s="374">
        <f t="shared" si="8"/>
        <v>0</v>
      </c>
      <c r="K44" s="374">
        <f t="shared" si="8"/>
        <v>0</v>
      </c>
      <c r="L44" s="374">
        <f t="shared" si="8"/>
        <v>0</v>
      </c>
      <c r="M44" s="374">
        <f>D44+E44+F44+G44+H44+I44+J44+K44+L44</f>
        <v>29496374</v>
      </c>
      <c r="O44"/>
      <c r="P44"/>
      <c r="Q44"/>
      <c r="R44"/>
      <c r="S44"/>
      <c r="T44" s="560"/>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0"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0" t="s">
        <v>1112</v>
      </c>
      <c r="U46" s="266"/>
      <c r="V46" s="266"/>
      <c r="W46" s="430">
        <f>(M25+M38)*-1</f>
        <v>0</v>
      </c>
      <c r="X46" s="425"/>
    </row>
    <row r="47" spans="1:24">
      <c r="A47" s="184">
        <v>30</v>
      </c>
      <c r="B47" s="176" t="s">
        <v>7</v>
      </c>
      <c r="C47" s="176"/>
      <c r="D47" s="375">
        <f>Input!$ID$25</f>
        <v>1310650</v>
      </c>
      <c r="E47" s="375">
        <f>Input!$IE$25</f>
        <v>1323047</v>
      </c>
      <c r="F47" s="375">
        <f>Input!$IF$25</f>
        <v>0</v>
      </c>
      <c r="G47" s="375">
        <f>Input!$IG$25</f>
        <v>32727145</v>
      </c>
      <c r="H47" s="375">
        <f>Input!$IH$25</f>
        <v>0</v>
      </c>
      <c r="I47" s="375">
        <f>Input!$II$25</f>
        <v>0</v>
      </c>
      <c r="J47" s="375">
        <f>Input!$IJ$25</f>
        <v>0</v>
      </c>
      <c r="K47" s="375">
        <f>Input!$IK$25</f>
        <v>0</v>
      </c>
      <c r="L47" s="375">
        <f>Input!$IL$25</f>
        <v>0</v>
      </c>
      <c r="M47" s="374">
        <f>D47+E47+F47+G47+H47+I47+J47+K47+L47</f>
        <v>35360842</v>
      </c>
      <c r="N47" s="160"/>
      <c r="O47"/>
      <c r="P47"/>
      <c r="Q47"/>
      <c r="R47"/>
      <c r="S47"/>
      <c r="T47" s="657" t="s">
        <v>1115</v>
      </c>
      <c r="U47" s="27"/>
      <c r="V47" s="27"/>
      <c r="W47" s="656">
        <f>SUM(W45:W46)</f>
        <v>0</v>
      </c>
      <c r="X47" s="655"/>
    </row>
    <row r="48" spans="1:24">
      <c r="A48" s="184">
        <v>31</v>
      </c>
      <c r="B48" s="160"/>
      <c r="C48" s="160"/>
      <c r="D48" s="373"/>
      <c r="E48" s="373"/>
      <c r="F48" s="373"/>
      <c r="G48" s="373"/>
      <c r="H48" s="373"/>
      <c r="I48" s="373"/>
      <c r="J48" s="373"/>
      <c r="K48" s="373"/>
      <c r="L48" s="373"/>
      <c r="M48" s="373"/>
      <c r="N48" s="160"/>
      <c r="O48"/>
      <c r="P48"/>
      <c r="Q48"/>
      <c r="R48"/>
      <c r="S48"/>
      <c r="T48" s="560"/>
      <c r="U48" s="261"/>
      <c r="V48" s="261"/>
      <c r="W48" s="261"/>
      <c r="X48" s="658">
        <f>W43-W47</f>
        <v>0</v>
      </c>
    </row>
    <row r="49" spans="1:28">
      <c r="A49" s="184">
        <v>32</v>
      </c>
      <c r="B49" s="172" t="s">
        <v>8</v>
      </c>
      <c r="C49" s="172"/>
      <c r="D49" s="373"/>
      <c r="E49" s="373"/>
      <c r="F49" s="373"/>
      <c r="G49" s="373"/>
      <c r="H49" s="373"/>
      <c r="I49" s="373"/>
      <c r="J49" s="373"/>
      <c r="K49" s="373"/>
      <c r="L49" s="373"/>
      <c r="M49" s="373"/>
      <c r="N49" s="160"/>
      <c r="O49" s="273"/>
      <c r="T49" s="579" t="s">
        <v>287</v>
      </c>
      <c r="U49" s="511"/>
      <c r="V49" s="580"/>
      <c r="W49" s="580"/>
      <c r="X49" s="574">
        <f>SUM(X23:X48)</f>
        <v>45321095</v>
      </c>
    </row>
    <row r="50" spans="1:28">
      <c r="A50" s="184">
        <v>33</v>
      </c>
      <c r="B50" s="160" t="s">
        <v>42</v>
      </c>
      <c r="C50" s="160"/>
      <c r="D50" s="372">
        <f>Input!$IM$25</f>
        <v>54198</v>
      </c>
      <c r="E50" s="372">
        <f>Input!$IN$25</f>
        <v>2401387</v>
      </c>
      <c r="F50" s="372">
        <f>Input!$IO$25</f>
        <v>0</v>
      </c>
      <c r="G50" s="372">
        <f>Input!$IP$25</f>
        <v>1102</v>
      </c>
      <c r="H50" s="372">
        <f>Input!$IQ$25</f>
        <v>0</v>
      </c>
      <c r="I50" s="372">
        <f>Input!$IR$25</f>
        <v>0</v>
      </c>
      <c r="J50" s="372">
        <f>Input!$IS$25</f>
        <v>0</v>
      </c>
      <c r="K50" s="372">
        <f>Input!$IT$25</f>
        <v>0</v>
      </c>
      <c r="L50" s="372">
        <f>Input!$IU$25</f>
        <v>0</v>
      </c>
      <c r="M50" s="373">
        <f t="shared" ref="M50:M57" si="9">D50+E50+F50+G50+H50+I50+J50+K50+L50</f>
        <v>2456687</v>
      </c>
      <c r="N50" s="160"/>
      <c r="O50" s="273"/>
      <c r="U50" s="275"/>
    </row>
    <row r="51" spans="1:28">
      <c r="A51" s="184">
        <v>34</v>
      </c>
      <c r="B51" s="160" t="s">
        <v>9</v>
      </c>
      <c r="C51" s="160"/>
      <c r="D51" s="372">
        <f>Input!$IV$25</f>
        <v>0</v>
      </c>
      <c r="E51" s="372">
        <f>Input!$IW$25</f>
        <v>0</v>
      </c>
      <c r="F51" s="372">
        <f>Input!$IX$25</f>
        <v>0</v>
      </c>
      <c r="G51" s="372">
        <f>Input!$IY$25</f>
        <v>0</v>
      </c>
      <c r="H51" s="372">
        <f>Input!$IZ$25</f>
        <v>0</v>
      </c>
      <c r="I51" s="372">
        <f>Input!$JA$25</f>
        <v>0</v>
      </c>
      <c r="J51" s="372">
        <f>Input!$JB$25</f>
        <v>0</v>
      </c>
      <c r="K51" s="372">
        <f>Input!$JC$25</f>
        <v>0</v>
      </c>
      <c r="L51" s="372">
        <f>Input!$JD$25</f>
        <v>0</v>
      </c>
      <c r="M51" s="376">
        <f t="shared" si="9"/>
        <v>0</v>
      </c>
      <c r="N51" s="160"/>
      <c r="Y51" s="277"/>
    </row>
    <row r="52" spans="1:28">
      <c r="A52" s="184">
        <v>35</v>
      </c>
      <c r="B52" s="160" t="s">
        <v>10</v>
      </c>
      <c r="C52" s="160"/>
      <c r="D52" s="372">
        <f>Input!$JE$25</f>
        <v>0</v>
      </c>
      <c r="E52" s="372">
        <f>Input!$JF$25</f>
        <v>319692</v>
      </c>
      <c r="F52" s="372">
        <f>Input!$JG$25</f>
        <v>0</v>
      </c>
      <c r="G52" s="372">
        <f>Input!$JH$25</f>
        <v>4092762</v>
      </c>
      <c r="H52" s="372">
        <f>Input!$JI$25</f>
        <v>0</v>
      </c>
      <c r="I52" s="372">
        <f>Input!$JJ$25</f>
        <v>0</v>
      </c>
      <c r="J52" s="372">
        <f>Input!$JK$25</f>
        <v>0</v>
      </c>
      <c r="K52" s="372">
        <f>Input!$JL$25</f>
        <v>0</v>
      </c>
      <c r="L52" s="372">
        <f>Input!$JM$25</f>
        <v>0</v>
      </c>
      <c r="M52" s="373">
        <f t="shared" si="9"/>
        <v>4412454</v>
      </c>
      <c r="N52" s="160"/>
      <c r="O52" s="273"/>
      <c r="P52" s="278"/>
    </row>
    <row r="53" spans="1:28">
      <c r="A53" s="184">
        <v>36</v>
      </c>
      <c r="B53" s="160" t="s">
        <v>11</v>
      </c>
      <c r="C53" s="160"/>
      <c r="D53" s="372">
        <f>Input!$JN$25</f>
        <v>0</v>
      </c>
      <c r="E53" s="372">
        <f>Input!$JO$25</f>
        <v>634803</v>
      </c>
      <c r="F53" s="372">
        <f>Input!$JP$25</f>
        <v>0</v>
      </c>
      <c r="G53" s="372">
        <f>Input!$JQ$25</f>
        <v>-347796</v>
      </c>
      <c r="H53" s="372">
        <f>Input!$JR$25</f>
        <v>0</v>
      </c>
      <c r="I53" s="372">
        <f>Input!$JS$25</f>
        <v>0</v>
      </c>
      <c r="J53" s="372">
        <f>Input!$JT$25</f>
        <v>0</v>
      </c>
      <c r="K53" s="372">
        <f>Input!$JU$25</f>
        <v>0</v>
      </c>
      <c r="L53" s="372">
        <f>Input!$JV$25</f>
        <v>0</v>
      </c>
      <c r="M53" s="373">
        <f t="shared" si="9"/>
        <v>287007</v>
      </c>
      <c r="N53" s="160"/>
      <c r="O53" s="273"/>
    </row>
    <row r="54" spans="1:28" ht="13.5" thickBot="1">
      <c r="A54" s="184">
        <v>37</v>
      </c>
      <c r="B54" s="177" t="s">
        <v>2134</v>
      </c>
      <c r="C54" s="177"/>
      <c r="D54" s="372">
        <f>Input!$JW$25</f>
        <v>0</v>
      </c>
      <c r="E54" s="372">
        <f>Input!$JX$25</f>
        <v>0</v>
      </c>
      <c r="F54" s="372">
        <f>Input!$JY$25</f>
        <v>1761631</v>
      </c>
      <c r="G54" s="372">
        <f>Input!$JZ$25</f>
        <v>0</v>
      </c>
      <c r="H54" s="372">
        <f>Input!$KA$25</f>
        <v>0</v>
      </c>
      <c r="I54" s="372">
        <f>Input!$KB$25</f>
        <v>0</v>
      </c>
      <c r="J54" s="372">
        <f>Input!$KC$25</f>
        <v>0</v>
      </c>
      <c r="K54" s="372">
        <f>Input!$KD$25</f>
        <v>0</v>
      </c>
      <c r="L54" s="372">
        <f>Input!$KE$25</f>
        <v>0</v>
      </c>
      <c r="M54" s="373">
        <f t="shared" si="9"/>
        <v>1761631</v>
      </c>
      <c r="N54" s="160"/>
      <c r="O54" s="273"/>
    </row>
    <row r="55" spans="1:28" ht="14.25" thickTop="1" thickBot="1">
      <c r="A55" s="184">
        <v>38</v>
      </c>
      <c r="B55" s="160" t="s">
        <v>43</v>
      </c>
      <c r="C55" s="160"/>
      <c r="D55" s="372">
        <f>Input!$KF$25</f>
        <v>0</v>
      </c>
      <c r="E55" s="372">
        <f>Input!$KG$25</f>
        <v>2533311</v>
      </c>
      <c r="F55" s="372">
        <f>Input!$KH$25</f>
        <v>705358</v>
      </c>
      <c r="G55" s="372">
        <f>Input!$KI$25</f>
        <v>-2387677</v>
      </c>
      <c r="H55" s="372">
        <f>Input!$KJ$25</f>
        <v>-62</v>
      </c>
      <c r="I55" s="372">
        <f>Input!$KK$25</f>
        <v>0</v>
      </c>
      <c r="J55" s="372">
        <f>Input!$KL$25</f>
        <v>0</v>
      </c>
      <c r="K55" s="372">
        <f>Input!$KM$25</f>
        <v>0</v>
      </c>
      <c r="L55" s="372">
        <f>Input!$KN$25</f>
        <v>14894</v>
      </c>
      <c r="M55" s="373">
        <f t="shared" si="9"/>
        <v>865824</v>
      </c>
      <c r="N55" s="160"/>
      <c r="O55" s="1616" t="s">
        <v>251</v>
      </c>
      <c r="P55" s="1617"/>
      <c r="Q55" s="1617"/>
      <c r="R55" s="1618"/>
      <c r="S55" s="437"/>
      <c r="T55" s="1619" t="s">
        <v>252</v>
      </c>
      <c r="U55" s="1620"/>
      <c r="V55" s="1620"/>
      <c r="W55" s="1620"/>
      <c r="X55" s="1621"/>
      <c r="Y55" s="320"/>
      <c r="Z55" s="1749" t="s">
        <v>1301</v>
      </c>
      <c r="AA55" s="1750"/>
      <c r="AB55" s="1751"/>
    </row>
    <row r="56" spans="1:28" ht="13.5" customHeight="1" thickTop="1">
      <c r="A56" s="184">
        <v>39</v>
      </c>
      <c r="B56" s="176" t="s">
        <v>3</v>
      </c>
      <c r="C56" s="176"/>
      <c r="D56" s="374">
        <f>SUM(D50:D55)</f>
        <v>54198</v>
      </c>
      <c r="E56" s="374">
        <f t="shared" ref="E56:L56" si="10">SUM(E50:E55)</f>
        <v>5889193</v>
      </c>
      <c r="F56" s="374">
        <f t="shared" si="10"/>
        <v>2466989</v>
      </c>
      <c r="G56" s="374">
        <f t="shared" si="10"/>
        <v>1358391</v>
      </c>
      <c r="H56" s="374">
        <f t="shared" si="10"/>
        <v>-62</v>
      </c>
      <c r="I56" s="374">
        <f t="shared" si="10"/>
        <v>0</v>
      </c>
      <c r="J56" s="374">
        <f t="shared" si="10"/>
        <v>0</v>
      </c>
      <c r="K56" s="374">
        <f t="shared" si="10"/>
        <v>0</v>
      </c>
      <c r="L56" s="374">
        <f t="shared" si="10"/>
        <v>14894</v>
      </c>
      <c r="M56" s="374">
        <f t="shared" si="9"/>
        <v>9783603</v>
      </c>
      <c r="N56" s="160"/>
      <c r="O56" s="1622" t="s">
        <v>1135</v>
      </c>
      <c r="P56" s="1625" t="s">
        <v>254</v>
      </c>
      <c r="Q56" s="1625" t="s">
        <v>292</v>
      </c>
      <c r="R56" s="1628" t="s">
        <v>1063</v>
      </c>
      <c r="S56" s="280"/>
      <c r="T56" s="1739" t="s">
        <v>1136</v>
      </c>
      <c r="U56" s="1637" t="s">
        <v>254</v>
      </c>
      <c r="V56" s="1634" t="s">
        <v>256</v>
      </c>
      <c r="W56" s="1637" t="s">
        <v>257</v>
      </c>
      <c r="X56" s="1638" t="s">
        <v>1064</v>
      </c>
      <c r="Z56" s="1754" t="s">
        <v>1302</v>
      </c>
      <c r="AA56" s="1747" t="s">
        <v>1303</v>
      </c>
      <c r="AB56" s="1752" t="s">
        <v>238</v>
      </c>
    </row>
    <row r="57" spans="1:28">
      <c r="A57" s="184">
        <v>40</v>
      </c>
      <c r="B57" s="162" t="s">
        <v>68</v>
      </c>
      <c r="C57" s="162"/>
      <c r="D57" s="374">
        <f>D15+D44+D47+D56</f>
        <v>42141588</v>
      </c>
      <c r="E57" s="374">
        <f t="shared" ref="E57:L57" si="11">E15+E44+E47+E56</f>
        <v>31606088</v>
      </c>
      <c r="F57" s="374">
        <f t="shared" si="11"/>
        <v>2892501</v>
      </c>
      <c r="G57" s="374">
        <f t="shared" si="11"/>
        <v>36072499</v>
      </c>
      <c r="H57" s="374">
        <f t="shared" si="11"/>
        <v>-62</v>
      </c>
      <c r="I57" s="374">
        <f t="shared" si="11"/>
        <v>0</v>
      </c>
      <c r="J57" s="374">
        <f t="shared" si="11"/>
        <v>0</v>
      </c>
      <c r="K57" s="374">
        <f t="shared" si="11"/>
        <v>0</v>
      </c>
      <c r="L57" s="374">
        <f t="shared" si="11"/>
        <v>14894</v>
      </c>
      <c r="M57" s="374">
        <f t="shared" si="9"/>
        <v>112727508</v>
      </c>
      <c r="N57" s="160"/>
      <c r="O57" s="1623"/>
      <c r="P57" s="1626"/>
      <c r="Q57" s="1626"/>
      <c r="R57" s="1629"/>
      <c r="S57" s="280"/>
      <c r="T57" s="1740"/>
      <c r="U57" s="1626"/>
      <c r="V57" s="1635"/>
      <c r="W57" s="1626"/>
      <c r="X57" s="1639"/>
      <c r="Z57" s="1755"/>
      <c r="AA57" s="1747"/>
      <c r="AB57" s="1752"/>
    </row>
    <row r="58" spans="1:28">
      <c r="A58" s="184">
        <v>41</v>
      </c>
      <c r="B58" s="160"/>
      <c r="C58" s="160"/>
      <c r="D58" s="373"/>
      <c r="E58" s="373"/>
      <c r="F58" s="373"/>
      <c r="G58" s="373"/>
      <c r="H58" s="373"/>
      <c r="I58" s="373"/>
      <c r="J58" s="373"/>
      <c r="K58" s="373"/>
      <c r="L58" s="373"/>
      <c r="M58" s="373"/>
      <c r="N58" s="160"/>
      <c r="O58" s="1623"/>
      <c r="P58" s="1626"/>
      <c r="Q58" s="1626"/>
      <c r="R58" s="1629"/>
      <c r="S58" s="280"/>
      <c r="T58" s="1740"/>
      <c r="U58" s="1626"/>
      <c r="V58" s="1635"/>
      <c r="W58" s="1626"/>
      <c r="X58" s="1639"/>
      <c r="Z58" s="1755"/>
      <c r="AA58" s="1747"/>
      <c r="AB58" s="1752"/>
    </row>
    <row r="59" spans="1:28" ht="14.25" customHeight="1">
      <c r="A59" s="184">
        <v>42</v>
      </c>
      <c r="B59" s="174" t="s">
        <v>72</v>
      </c>
      <c r="C59" s="174"/>
      <c r="D59" s="377"/>
      <c r="E59" s="377"/>
      <c r="F59" s="377"/>
      <c r="G59" s="1746" t="str">
        <f>IF(OR(P105&gt;0,P106&lt;&gt;0,P107&lt;&gt;0),"Do not Enter Cents - Whole Dollars Only","")</f>
        <v/>
      </c>
      <c r="H59" s="1746"/>
      <c r="I59" s="1746"/>
      <c r="J59" s="1746"/>
      <c r="K59" s="1746"/>
      <c r="L59" s="377"/>
      <c r="M59" s="377"/>
      <c r="N59" s="160"/>
      <c r="O59" s="1624"/>
      <c r="P59" s="1627"/>
      <c r="Q59" s="1627"/>
      <c r="R59" s="1630"/>
      <c r="S59" s="280"/>
      <c r="T59" s="1741"/>
      <c r="U59" s="1627"/>
      <c r="V59" s="1636"/>
      <c r="W59" s="1627"/>
      <c r="X59" s="1640"/>
      <c r="Z59" s="1756"/>
      <c r="AA59" s="1748"/>
      <c r="AB59" s="1753"/>
    </row>
    <row r="60" spans="1:28" ht="13.5" thickBot="1">
      <c r="A60" s="184">
        <v>43</v>
      </c>
      <c r="B60" s="160" t="s">
        <v>14</v>
      </c>
      <c r="C60" s="160"/>
      <c r="D60" s="372">
        <f>Input!$KO$25</f>
        <v>25932102</v>
      </c>
      <c r="E60" s="372">
        <f>Input!$KP$25</f>
        <v>2384281</v>
      </c>
      <c r="F60" s="372">
        <f>Input!$KQ$25</f>
        <v>0</v>
      </c>
      <c r="G60" s="372">
        <f>Input!$KR$25</f>
        <v>1039900</v>
      </c>
      <c r="H60" s="372">
        <f>Input!$KS$25</f>
        <v>0</v>
      </c>
      <c r="I60" s="372">
        <f>Input!$KT$25</f>
        <v>0</v>
      </c>
      <c r="J60" s="372">
        <f>Input!$KU$25</f>
        <v>0</v>
      </c>
      <c r="K60" s="372">
        <f>Input!$KV$25</f>
        <v>0</v>
      </c>
      <c r="L60" s="372">
        <f>Input!$KW$25</f>
        <v>0</v>
      </c>
      <c r="M60" s="373">
        <f t="shared" ref="M60:M71" si="12">D60+E60+F60+G60+H60+I60+J60+K60+L60</f>
        <v>29356283</v>
      </c>
      <c r="N60" s="160"/>
      <c r="O60" s="282">
        <f>D60+E60+G60+J60</f>
        <v>29356283</v>
      </c>
      <c r="P60" s="518">
        <f>Input!$SS$25</f>
        <v>181770</v>
      </c>
      <c r="Q60" s="438" t="s">
        <v>259</v>
      </c>
      <c r="R60" s="284">
        <f>SUM(O60:P60)</f>
        <v>29538053</v>
      </c>
      <c r="S60" s="439"/>
      <c r="T60" s="286">
        <f t="shared" ref="T60:T67" si="13">D60+E60+G60</f>
        <v>29356283</v>
      </c>
      <c r="U60" s="287">
        <f t="shared" ref="U60:U67" si="14">P60</f>
        <v>181770</v>
      </c>
      <c r="V60" s="289">
        <f>Input!$TC$25</f>
        <v>0</v>
      </c>
      <c r="W60" s="289">
        <f>Input!$TK$25</f>
        <v>0</v>
      </c>
      <c r="X60" s="290">
        <f t="shared" ref="X60:X66" si="15">T60+U60-V60-W60</f>
        <v>29538053</v>
      </c>
      <c r="Z60" s="292" t="s">
        <v>14</v>
      </c>
      <c r="AA60" s="520">
        <f>Input!$TS$25</f>
        <v>29356283</v>
      </c>
      <c r="AB60" s="293">
        <f t="shared" ref="AB60:AB68" si="16">AA60-M60</f>
        <v>0</v>
      </c>
    </row>
    <row r="61" spans="1:28" ht="14.25" thickTop="1" thickBot="1">
      <c r="A61" s="184">
        <v>44</v>
      </c>
      <c r="B61" s="160" t="s">
        <v>15</v>
      </c>
      <c r="C61" s="160"/>
      <c r="D61" s="372">
        <f>Input!$KX$25</f>
        <v>0</v>
      </c>
      <c r="E61" s="372">
        <f>Input!$KY$25</f>
        <v>828738</v>
      </c>
      <c r="F61" s="372">
        <f>Input!$KZ$25</f>
        <v>0</v>
      </c>
      <c r="G61" s="372">
        <f>Input!$LA$25</f>
        <v>448093</v>
      </c>
      <c r="H61" s="372">
        <f>Input!$LB$25</f>
        <v>0</v>
      </c>
      <c r="I61" s="372">
        <f>Input!$LC$25</f>
        <v>0</v>
      </c>
      <c r="J61" s="372">
        <f>Input!$LD$25</f>
        <v>0</v>
      </c>
      <c r="K61" s="372">
        <f>Input!$LE$25</f>
        <v>0</v>
      </c>
      <c r="L61" s="372">
        <f>Input!$LF$25</f>
        <v>0</v>
      </c>
      <c r="M61" s="373">
        <f t="shared" si="12"/>
        <v>1276831</v>
      </c>
      <c r="N61" s="160"/>
      <c r="O61" s="440">
        <f t="shared" ref="O61:O67" si="17">D61+E61+G61+J61</f>
        <v>1276831</v>
      </c>
      <c r="P61" s="518">
        <f>Input!$ST$25</f>
        <v>28994</v>
      </c>
      <c r="Q61" s="441" t="s">
        <v>259</v>
      </c>
      <c r="R61" s="295">
        <f>SUM(O61:P61)</f>
        <v>1305825</v>
      </c>
      <c r="S61" s="442"/>
      <c r="T61" s="296">
        <f t="shared" si="13"/>
        <v>1276831</v>
      </c>
      <c r="U61" s="297">
        <f t="shared" si="14"/>
        <v>28994</v>
      </c>
      <c r="V61" s="299">
        <f>Input!$TD$25</f>
        <v>0</v>
      </c>
      <c r="W61" s="299">
        <f>Input!$TL$25</f>
        <v>0</v>
      </c>
      <c r="X61" s="300">
        <f t="shared" si="15"/>
        <v>1305825</v>
      </c>
      <c r="Z61" s="292" t="s">
        <v>15</v>
      </c>
      <c r="AA61" s="518">
        <f>Input!$TT$25</f>
        <v>1276831</v>
      </c>
      <c r="AB61" s="301">
        <f t="shared" si="16"/>
        <v>0</v>
      </c>
    </row>
    <row r="62" spans="1:28" ht="13.5" thickTop="1">
      <c r="A62" s="184">
        <v>45</v>
      </c>
      <c r="B62" s="160" t="s">
        <v>16</v>
      </c>
      <c r="C62" s="160"/>
      <c r="D62" s="372">
        <f>Input!$LG$25</f>
        <v>0</v>
      </c>
      <c r="E62" s="372">
        <f>Input!$LH$25</f>
        <v>191445</v>
      </c>
      <c r="F62" s="372">
        <f>Input!$LI$25</f>
        <v>0</v>
      </c>
      <c r="G62" s="372">
        <f>Input!$LJ$25</f>
        <v>0</v>
      </c>
      <c r="H62" s="372">
        <f>Input!$LK$25</f>
        <v>0</v>
      </c>
      <c r="I62" s="372">
        <f>Input!$LL$25</f>
        <v>0</v>
      </c>
      <c r="J62" s="372">
        <f>Input!$LM$25</f>
        <v>0</v>
      </c>
      <c r="K62" s="372">
        <f>Input!$LN$25</f>
        <v>0</v>
      </c>
      <c r="L62" s="372">
        <f>Input!$LO$25</f>
        <v>0</v>
      </c>
      <c r="M62" s="373">
        <f t="shared" si="12"/>
        <v>191445</v>
      </c>
      <c r="N62" s="160"/>
      <c r="O62" s="440">
        <f t="shared" si="17"/>
        <v>191445</v>
      </c>
      <c r="P62" s="518">
        <f>Input!$SU$25</f>
        <v>0</v>
      </c>
      <c r="Q62" s="441" t="s">
        <v>259</v>
      </c>
      <c r="R62" s="302" t="s">
        <v>259</v>
      </c>
      <c r="S62" s="442"/>
      <c r="T62" s="296">
        <f t="shared" si="13"/>
        <v>191445</v>
      </c>
      <c r="U62" s="297">
        <f t="shared" si="14"/>
        <v>0</v>
      </c>
      <c r="V62" s="299">
        <f>Input!$TE$25</f>
        <v>0</v>
      </c>
      <c r="W62" s="299">
        <f>Input!$TM$25</f>
        <v>0</v>
      </c>
      <c r="X62" s="303">
        <f t="shared" si="15"/>
        <v>191445</v>
      </c>
      <c r="Z62" s="292" t="s">
        <v>16</v>
      </c>
      <c r="AA62" s="518">
        <f>Input!$TU$25</f>
        <v>191445</v>
      </c>
      <c r="AB62" s="301">
        <f t="shared" si="16"/>
        <v>0</v>
      </c>
    </row>
    <row r="63" spans="1:28">
      <c r="A63" s="184">
        <v>46</v>
      </c>
      <c r="B63" s="160" t="s">
        <v>17</v>
      </c>
      <c r="C63" s="160"/>
      <c r="D63" s="372">
        <f>Input!$LP$25</f>
        <v>2438200</v>
      </c>
      <c r="E63" s="372">
        <f>Input!$LQ$25</f>
        <v>2793939</v>
      </c>
      <c r="F63" s="372">
        <f>Input!$LR$25</f>
        <v>0</v>
      </c>
      <c r="G63" s="372">
        <f>Input!$LS$25</f>
        <v>961297</v>
      </c>
      <c r="H63" s="372">
        <f>Input!$LT$25</f>
        <v>0</v>
      </c>
      <c r="I63" s="372">
        <f>Input!$LU$25</f>
        <v>0</v>
      </c>
      <c r="J63" s="372">
        <f>Input!$LV$25</f>
        <v>0</v>
      </c>
      <c r="K63" s="372">
        <f>Input!$LW$25</f>
        <v>0</v>
      </c>
      <c r="L63" s="372">
        <f>Input!$LX$25</f>
        <v>0</v>
      </c>
      <c r="M63" s="373">
        <f t="shared" si="12"/>
        <v>6193436</v>
      </c>
      <c r="N63" s="160"/>
      <c r="O63" s="440">
        <f t="shared" si="17"/>
        <v>6193436</v>
      </c>
      <c r="P63" s="518">
        <f>Input!$SV$25</f>
        <v>26326</v>
      </c>
      <c r="Q63" s="441" t="s">
        <v>259</v>
      </c>
      <c r="R63" s="295">
        <f t="shared" ref="R63:R65" si="18">SUM(O63:P63)</f>
        <v>6219762</v>
      </c>
      <c r="S63" s="442"/>
      <c r="T63" s="296">
        <f t="shared" si="13"/>
        <v>6193436</v>
      </c>
      <c r="U63" s="297">
        <f t="shared" si="14"/>
        <v>26326</v>
      </c>
      <c r="V63" s="299">
        <f>Input!$TF$25</f>
        <v>0</v>
      </c>
      <c r="W63" s="299">
        <f>Input!$TN$25</f>
        <v>0</v>
      </c>
      <c r="X63" s="303">
        <f t="shared" si="15"/>
        <v>6219762</v>
      </c>
      <c r="Z63" s="292" t="s">
        <v>17</v>
      </c>
      <c r="AA63" s="518">
        <f>Input!$TV$25</f>
        <v>6193436</v>
      </c>
      <c r="AB63" s="301">
        <f t="shared" si="16"/>
        <v>0</v>
      </c>
    </row>
    <row r="64" spans="1:28">
      <c r="A64" s="184">
        <v>47</v>
      </c>
      <c r="B64" s="160" t="s">
        <v>18</v>
      </c>
      <c r="C64" s="160"/>
      <c r="D64" s="372">
        <f>Input!$LY$25</f>
        <v>4831879</v>
      </c>
      <c r="E64" s="372">
        <f>Input!$LZ$25</f>
        <v>12899803</v>
      </c>
      <c r="F64" s="372">
        <f>Input!$MA$25</f>
        <v>0</v>
      </c>
      <c r="G64" s="372">
        <f>Input!$MB$25</f>
        <v>420400</v>
      </c>
      <c r="H64" s="372">
        <f>Input!$MC$25</f>
        <v>-1085</v>
      </c>
      <c r="I64" s="372">
        <f>Input!$MD$25</f>
        <v>0</v>
      </c>
      <c r="J64" s="372">
        <f>Input!$ME$25</f>
        <v>0</v>
      </c>
      <c r="K64" s="372">
        <f>Input!$MF$25</f>
        <v>0</v>
      </c>
      <c r="L64" s="372">
        <f>Input!$MG$25</f>
        <v>0</v>
      </c>
      <c r="M64" s="373">
        <f t="shared" si="12"/>
        <v>18150997</v>
      </c>
      <c r="N64" s="160"/>
      <c r="O64" s="440">
        <f t="shared" si="17"/>
        <v>18152082</v>
      </c>
      <c r="P64" s="518">
        <f>Input!$SW$25</f>
        <v>12116</v>
      </c>
      <c r="Q64" s="518">
        <f>Input!$TB$25</f>
        <v>0</v>
      </c>
      <c r="R64" s="295">
        <f>SUM(O64:P64)-Q64</f>
        <v>18164198</v>
      </c>
      <c r="S64" s="442"/>
      <c r="T64" s="296">
        <f t="shared" si="13"/>
        <v>18152082</v>
      </c>
      <c r="U64" s="297">
        <f t="shared" si="14"/>
        <v>12116</v>
      </c>
      <c r="V64" s="299">
        <f>Input!$TG$25</f>
        <v>0</v>
      </c>
      <c r="W64" s="299">
        <f>Input!$TO$25</f>
        <v>0</v>
      </c>
      <c r="X64" s="303">
        <f t="shared" si="15"/>
        <v>18164198</v>
      </c>
      <c r="Z64" s="292" t="s">
        <v>18</v>
      </c>
      <c r="AA64" s="518">
        <f>Input!$TW$25</f>
        <v>18150997</v>
      </c>
      <c r="AB64" s="301">
        <f t="shared" si="16"/>
        <v>0</v>
      </c>
    </row>
    <row r="65" spans="1:28">
      <c r="A65" s="184">
        <v>48</v>
      </c>
      <c r="B65" s="160" t="s">
        <v>19</v>
      </c>
      <c r="C65" s="160"/>
      <c r="D65" s="372">
        <f>Input!$MH$25</f>
        <v>5263377</v>
      </c>
      <c r="E65" s="372">
        <f>Input!$MI$25</f>
        <v>4084812</v>
      </c>
      <c r="F65" s="372">
        <f>Input!$MJ$25</f>
        <v>0</v>
      </c>
      <c r="G65" s="372">
        <f>Input!$MK$25</f>
        <v>4383897</v>
      </c>
      <c r="H65" s="372">
        <f>Input!$ML$25</f>
        <v>0</v>
      </c>
      <c r="I65" s="372">
        <f>Input!$MM$25</f>
        <v>0</v>
      </c>
      <c r="J65" s="372">
        <f>Input!$MN$25</f>
        <v>0</v>
      </c>
      <c r="K65" s="372">
        <f>Input!$MO$25</f>
        <v>0</v>
      </c>
      <c r="L65" s="372">
        <f>Input!$MP$25</f>
        <v>0</v>
      </c>
      <c r="M65" s="373">
        <f t="shared" si="12"/>
        <v>13732086</v>
      </c>
      <c r="N65" s="160"/>
      <c r="O65" s="440">
        <f t="shared" si="17"/>
        <v>13732086</v>
      </c>
      <c r="P65" s="518">
        <f>Input!$SX$25</f>
        <v>43150</v>
      </c>
      <c r="Q65" s="441" t="s">
        <v>259</v>
      </c>
      <c r="R65" s="295">
        <f t="shared" si="18"/>
        <v>13775236</v>
      </c>
      <c r="S65" s="442"/>
      <c r="T65" s="296">
        <f t="shared" si="13"/>
        <v>13732086</v>
      </c>
      <c r="U65" s="297">
        <f t="shared" si="14"/>
        <v>43150</v>
      </c>
      <c r="V65" s="299">
        <f>Input!$TH$25</f>
        <v>0</v>
      </c>
      <c r="W65" s="299">
        <f>Input!$TP$25</f>
        <v>0</v>
      </c>
      <c r="X65" s="303">
        <f t="shared" si="15"/>
        <v>13775236</v>
      </c>
      <c r="Z65" s="292" t="s">
        <v>19</v>
      </c>
      <c r="AA65" s="518">
        <f>Input!$TX$25</f>
        <v>13732086</v>
      </c>
      <c r="AB65" s="301">
        <f t="shared" si="16"/>
        <v>0</v>
      </c>
    </row>
    <row r="66" spans="1:28">
      <c r="A66" s="184">
        <v>49</v>
      </c>
      <c r="B66" s="160" t="s">
        <v>20</v>
      </c>
      <c r="C66" s="160"/>
      <c r="D66" s="372">
        <f>Input!$MQ$25</f>
        <v>291783</v>
      </c>
      <c r="E66" s="372">
        <f>Input!$MR$25</f>
        <v>6788258</v>
      </c>
      <c r="F66" s="372">
        <f>Input!$MS$25</f>
        <v>0</v>
      </c>
      <c r="G66" s="372">
        <f>Input!$MT$25</f>
        <v>21020</v>
      </c>
      <c r="H66" s="372">
        <f>Input!$MU$25</f>
        <v>0</v>
      </c>
      <c r="I66" s="372">
        <f>Input!$MV$25</f>
        <v>0</v>
      </c>
      <c r="J66" s="372">
        <f>Input!$MW$25</f>
        <v>29018</v>
      </c>
      <c r="K66" s="372">
        <f>Input!$MX$25</f>
        <v>0</v>
      </c>
      <c r="L66" s="372">
        <f>Input!$MY$25</f>
        <v>0</v>
      </c>
      <c r="M66" s="373">
        <f t="shared" si="12"/>
        <v>7130079</v>
      </c>
      <c r="N66" s="160"/>
      <c r="O66" s="440">
        <f t="shared" si="17"/>
        <v>7130079</v>
      </c>
      <c r="P66" s="518">
        <f>Input!$SY$25</f>
        <v>49861</v>
      </c>
      <c r="Q66" s="441" t="s">
        <v>259</v>
      </c>
      <c r="R66" s="304" t="s">
        <v>259</v>
      </c>
      <c r="S66" s="442"/>
      <c r="T66" s="296">
        <f t="shared" si="13"/>
        <v>7101061</v>
      </c>
      <c r="U66" s="297">
        <f t="shared" si="14"/>
        <v>49861</v>
      </c>
      <c r="V66" s="299">
        <f>Input!$TI$25</f>
        <v>0</v>
      </c>
      <c r="W66" s="299">
        <f>Input!$TQ$25</f>
        <v>0</v>
      </c>
      <c r="X66" s="303">
        <f t="shared" si="15"/>
        <v>7150922</v>
      </c>
      <c r="Z66" s="292" t="s">
        <v>260</v>
      </c>
      <c r="AA66" s="518">
        <f>Input!$TY$25</f>
        <v>7130079</v>
      </c>
      <c r="AB66" s="301">
        <f t="shared" si="16"/>
        <v>0</v>
      </c>
    </row>
    <row r="67" spans="1:28" ht="13.5" thickBot="1">
      <c r="A67" s="184">
        <v>50</v>
      </c>
      <c r="B67" s="160" t="s">
        <v>21</v>
      </c>
      <c r="C67" s="160"/>
      <c r="D67" s="372">
        <f>Input!$MZ$25</f>
        <v>1276486</v>
      </c>
      <c r="E67" s="372">
        <f>Input!$NA$25</f>
        <v>4117266</v>
      </c>
      <c r="F67" s="372">
        <f>Input!$NB$25</f>
        <v>0</v>
      </c>
      <c r="G67" s="372">
        <f>Input!$NC$25</f>
        <v>16370114</v>
      </c>
      <c r="H67" s="372">
        <f>Input!$ND$25</f>
        <v>0</v>
      </c>
      <c r="I67" s="372">
        <f>Input!$NE$25</f>
        <v>0</v>
      </c>
      <c r="J67" s="372">
        <f>Input!$NF$25</f>
        <v>0</v>
      </c>
      <c r="K67" s="372">
        <f>Input!$NG$25</f>
        <v>0</v>
      </c>
      <c r="L67" s="372">
        <f>Input!$NH$25</f>
        <v>0</v>
      </c>
      <c r="M67" s="373">
        <f t="shared" si="12"/>
        <v>21763866</v>
      </c>
      <c r="N67" s="160"/>
      <c r="O67" s="440">
        <f t="shared" si="17"/>
        <v>21763866</v>
      </c>
      <c r="P67" s="518">
        <f>Input!$SZ$25</f>
        <v>0</v>
      </c>
      <c r="Q67" s="441" t="s">
        <v>259</v>
      </c>
      <c r="R67" s="304" t="s">
        <v>259</v>
      </c>
      <c r="S67" s="442"/>
      <c r="T67" s="306">
        <f t="shared" si="13"/>
        <v>21763866</v>
      </c>
      <c r="U67" s="307">
        <f t="shared" si="14"/>
        <v>0</v>
      </c>
      <c r="V67" s="308">
        <f>Input!$TJ$25</f>
        <v>0</v>
      </c>
      <c r="W67" s="308">
        <f>Input!$TR$25</f>
        <v>0</v>
      </c>
      <c r="X67" s="303">
        <f>U67+T67-V67-W67</f>
        <v>21763866</v>
      </c>
      <c r="Z67" s="292" t="s">
        <v>21</v>
      </c>
      <c r="AA67" s="518">
        <f>Input!$TZ$25</f>
        <v>21763866</v>
      </c>
      <c r="AB67" s="301">
        <f t="shared" si="16"/>
        <v>0</v>
      </c>
    </row>
    <row r="68" spans="1:28" ht="14.25" thickTop="1" thickBot="1">
      <c r="A68" s="184">
        <v>51</v>
      </c>
      <c r="B68" s="160" t="s">
        <v>2135</v>
      </c>
      <c r="C68" s="160"/>
      <c r="D68" s="372">
        <f>Input!$NI$25</f>
        <v>0</v>
      </c>
      <c r="E68" s="372">
        <f>Input!$NJ$25</f>
        <v>0</v>
      </c>
      <c r="F68" s="372">
        <f>Input!$NK$25</f>
        <v>2909149</v>
      </c>
      <c r="G68" s="372">
        <f>Input!$NL$25</f>
        <v>0</v>
      </c>
      <c r="H68" s="372">
        <f>Input!$NM$25</f>
        <v>0</v>
      </c>
      <c r="I68" s="372">
        <f>Input!$NN$25</f>
        <v>0</v>
      </c>
      <c r="J68" s="372">
        <f>Input!$NO$25</f>
        <v>0</v>
      </c>
      <c r="K68" s="372">
        <f>Input!$NP$25</f>
        <v>0</v>
      </c>
      <c r="L68" s="372">
        <f>Input!$NQ$25</f>
        <v>0</v>
      </c>
      <c r="M68" s="373">
        <f t="shared" si="12"/>
        <v>2909149</v>
      </c>
      <c r="N68" s="160"/>
      <c r="O68" s="309" t="s">
        <v>259</v>
      </c>
      <c r="P68" s="519">
        <f>Input!$TA$25</f>
        <v>0</v>
      </c>
      <c r="Q68" s="444" t="s">
        <v>259</v>
      </c>
      <c r="R68" s="311" t="s">
        <v>259</v>
      </c>
      <c r="S68" s="442"/>
      <c r="T68" s="305"/>
      <c r="U68" s="305"/>
      <c r="V68" s="312" t="s">
        <v>261</v>
      </c>
      <c r="W68" s="313"/>
      <c r="X68" s="314">
        <f>SUM(X60:X67)</f>
        <v>98109307</v>
      </c>
      <c r="Z68" s="292" t="s">
        <v>22</v>
      </c>
      <c r="AA68" s="518">
        <f>Input!$UA$25</f>
        <v>2909149</v>
      </c>
      <c r="AB68" s="301">
        <f t="shared" si="16"/>
        <v>0</v>
      </c>
    </row>
    <row r="69" spans="1:28" ht="14.25" thickTop="1" thickBot="1">
      <c r="A69" s="184">
        <v>52</v>
      </c>
      <c r="B69" s="161" t="s">
        <v>59</v>
      </c>
      <c r="C69" s="161"/>
      <c r="D69" s="372">
        <f>Input!$NR$25</f>
        <v>0</v>
      </c>
      <c r="E69" s="372">
        <f>Input!$NS$25</f>
        <v>185083</v>
      </c>
      <c r="F69" s="372">
        <f>Input!$NT$25</f>
        <v>0</v>
      </c>
      <c r="G69" s="372">
        <f>Input!$NU$25</f>
        <v>157134</v>
      </c>
      <c r="H69" s="372">
        <f>Input!$NV$25</f>
        <v>0</v>
      </c>
      <c r="I69" s="372">
        <f>Input!$NW$25</f>
        <v>0</v>
      </c>
      <c r="J69" s="372">
        <f>Input!$NX$25</f>
        <v>0</v>
      </c>
      <c r="K69" s="372">
        <f>Input!$NY$25</f>
        <v>0</v>
      </c>
      <c r="L69" s="372">
        <f>Input!$NZ$25</f>
        <v>0</v>
      </c>
      <c r="M69" s="373">
        <f t="shared" si="12"/>
        <v>342217</v>
      </c>
      <c r="N69" s="160"/>
      <c r="O69" s="315"/>
      <c r="P69" s="316">
        <f>SUM(P60:P68)</f>
        <v>342217</v>
      </c>
      <c r="Q69" s="316">
        <f>SUM(Q64:Q68)</f>
        <v>0</v>
      </c>
      <c r="R69" s="317">
        <f>SUM(R60:R65)</f>
        <v>69003074</v>
      </c>
      <c r="S69" s="316"/>
      <c r="T69" s="305"/>
      <c r="U69" s="305"/>
      <c r="V69" s="305"/>
      <c r="W69" s="277"/>
      <c r="X69" s="277"/>
      <c r="Y69" s="277"/>
      <c r="Z69" s="292" t="s">
        <v>285</v>
      </c>
      <c r="AA69" s="445">
        <f>M88*-1</f>
        <v>11025709</v>
      </c>
      <c r="AB69" s="301">
        <f>AA69+M88</f>
        <v>0</v>
      </c>
    </row>
    <row r="70" spans="1:28" ht="14.25" thickTop="1" thickBot="1">
      <c r="A70" s="184">
        <v>53</v>
      </c>
      <c r="B70" s="178" t="s">
        <v>44</v>
      </c>
      <c r="C70" s="178"/>
      <c r="D70" s="378">
        <f>Input!$OA$25</f>
        <v>0</v>
      </c>
      <c r="E70" s="378">
        <f>Input!$OB$25</f>
        <v>269432</v>
      </c>
      <c r="F70" s="378">
        <f>Input!$OC$25</f>
        <v>0</v>
      </c>
      <c r="G70" s="378">
        <f>Input!$OD$25</f>
        <v>0</v>
      </c>
      <c r="H70" s="378">
        <f>Input!$OE$25</f>
        <v>0</v>
      </c>
      <c r="I70" s="378">
        <f>Input!$OF$25</f>
        <v>0</v>
      </c>
      <c r="J70" s="378">
        <f>Input!$OG$25</f>
        <v>0</v>
      </c>
      <c r="K70" s="378">
        <f>Input!$OH$25</f>
        <v>0</v>
      </c>
      <c r="L70" s="378">
        <f>Input!$OI$25</f>
        <v>15155</v>
      </c>
      <c r="M70" s="373">
        <f t="shared" si="12"/>
        <v>284587</v>
      </c>
      <c r="N70" s="160"/>
      <c r="O70" s="320"/>
      <c r="P70" s="516" t="str">
        <f>IF(P69&lt;&gt;M69,"Out of Balance","Balanced")</f>
        <v>Balanced</v>
      </c>
      <c r="Q70" s="318"/>
      <c r="R70" s="305"/>
      <c r="S70" s="305"/>
      <c r="T70" s="305"/>
      <c r="U70" s="277"/>
      <c r="V70" s="1738" t="str">
        <f>IF(X68-INT(X68)&lt;&gt;0,"Whole Dollars Only","")</f>
        <v/>
      </c>
      <c r="W70" s="1738"/>
      <c r="X70" s="537"/>
      <c r="Y70" s="319"/>
      <c r="Z70" s="410" t="s">
        <v>262</v>
      </c>
      <c r="AA70" s="446" t="s">
        <v>259</v>
      </c>
      <c r="AB70" s="411">
        <f>M90</f>
        <v>0</v>
      </c>
    </row>
    <row r="71" spans="1:28" ht="13.5" thickTop="1">
      <c r="A71" s="184">
        <v>54</v>
      </c>
      <c r="B71" s="162" t="s">
        <v>69</v>
      </c>
      <c r="C71" s="162"/>
      <c r="D71" s="374">
        <f>SUM(D60:D70)</f>
        <v>40033827</v>
      </c>
      <c r="E71" s="374">
        <f>SUM(E60:E70)</f>
        <v>34543057</v>
      </c>
      <c r="F71" s="374">
        <f t="shared" ref="F71:L71" si="19">SUM(F60:F70)</f>
        <v>2909149</v>
      </c>
      <c r="G71" s="374">
        <f t="shared" si="19"/>
        <v>23801855</v>
      </c>
      <c r="H71" s="374">
        <f t="shared" si="19"/>
        <v>-1085</v>
      </c>
      <c r="I71" s="374">
        <f t="shared" si="19"/>
        <v>0</v>
      </c>
      <c r="J71" s="374">
        <f t="shared" si="19"/>
        <v>29018</v>
      </c>
      <c r="K71" s="374">
        <f t="shared" si="19"/>
        <v>0</v>
      </c>
      <c r="L71" s="374">
        <f t="shared" si="19"/>
        <v>15155</v>
      </c>
      <c r="M71" s="374">
        <f t="shared" si="12"/>
        <v>101330976</v>
      </c>
      <c r="N71" s="160"/>
      <c r="O71" s="322"/>
      <c r="P71" s="1738" t="str">
        <f>IF(P69-INT(P69)&lt;&gt;0,"Whole Dollars Only","")</f>
        <v/>
      </c>
      <c r="Q71" s="1738"/>
      <c r="R71" s="323"/>
      <c r="S71" s="323"/>
      <c r="T71" s="323"/>
      <c r="U71" s="291"/>
      <c r="V71" s="324"/>
      <c r="W71" s="321"/>
      <c r="X71" s="321"/>
      <c r="Y71" s="321"/>
      <c r="Z71" s="318"/>
      <c r="AA71" s="325">
        <f>SUM(AA60:AA70)</f>
        <v>111729881</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Input!$OJ$25</f>
        <v>0</v>
      </c>
      <c r="E74" s="372">
        <f>Input!$OK$25</f>
        <v>0</v>
      </c>
      <c r="F74" s="372">
        <f>Input!$OL$25</f>
        <v>0</v>
      </c>
      <c r="G74" s="372">
        <f>Input!$OM$25</f>
        <v>0</v>
      </c>
      <c r="H74" s="372">
        <f>Input!$ON$25</f>
        <v>0</v>
      </c>
      <c r="I74" s="372">
        <f>Input!$OO$25</f>
        <v>0</v>
      </c>
      <c r="J74" s="372">
        <f>Input!$OP$25</f>
        <v>-82295</v>
      </c>
      <c r="K74" s="372">
        <f>Input!$OQ$25</f>
        <v>0</v>
      </c>
      <c r="L74" s="372">
        <f>Input!$OR$25</f>
        <v>0</v>
      </c>
      <c r="M74" s="373">
        <f>D74+E74+F74+G74+H74+I74+J74+K74+L74</f>
        <v>-82295</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Input!$OS$25</f>
        <v>1101782</v>
      </c>
      <c r="E75" s="372">
        <f>Input!$OT$25</f>
        <v>10162080</v>
      </c>
      <c r="F75" s="372">
        <f>Input!$OU$25</f>
        <v>2800432</v>
      </c>
      <c r="G75" s="372">
        <f>Input!$OV$25</f>
        <v>-12619929</v>
      </c>
      <c r="H75" s="372">
        <f>Input!$OW$25</f>
        <v>100013</v>
      </c>
      <c r="I75" s="372">
        <f>Input!$OX$25</f>
        <v>18183</v>
      </c>
      <c r="J75" s="372">
        <f>Input!$OY$25</f>
        <v>1014632</v>
      </c>
      <c r="K75" s="372">
        <f>Input!$OZ$25</f>
        <v>0</v>
      </c>
      <c r="L75" s="372">
        <f>Input!$PA$25</f>
        <v>0</v>
      </c>
      <c r="M75" s="373">
        <f>D75+E75+F75+G75+H75+I75+J75+K75+L75</f>
        <v>2577193</v>
      </c>
      <c r="N75" s="160"/>
      <c r="O75" s="1723" t="str">
        <f>IF(M85&lt;0,"Footnote 11 is N/A - No Data Entry Required","Footnote 11")</f>
        <v>Footnote 11</v>
      </c>
      <c r="P75" s="1724"/>
      <c r="Q75" s="1724"/>
      <c r="R75" s="1725"/>
      <c r="S75" s="330"/>
      <c r="T75" s="330"/>
      <c r="U75" s="327"/>
      <c r="V75" s="276"/>
      <c r="W75" s="331"/>
      <c r="X75" s="331"/>
      <c r="Y75" s="328"/>
      <c r="Z75" s="328"/>
      <c r="AA75" s="276"/>
      <c r="AB75" s="276" t="s">
        <v>293</v>
      </c>
    </row>
    <row r="76" spans="1:28" ht="13.5" thickTop="1">
      <c r="A76" s="184">
        <v>59</v>
      </c>
      <c r="B76" s="160" t="s">
        <v>45</v>
      </c>
      <c r="C76" s="160"/>
      <c r="D76" s="372">
        <f>Input!$PB$25</f>
        <v>0</v>
      </c>
      <c r="E76" s="372">
        <f>Input!$PC$25</f>
        <v>0</v>
      </c>
      <c r="F76" s="372">
        <f>Input!$PD$25</f>
        <v>0</v>
      </c>
      <c r="G76" s="372">
        <f>Input!$PE$25</f>
        <v>0</v>
      </c>
      <c r="H76" s="372">
        <f>Input!$PF$25</f>
        <v>0</v>
      </c>
      <c r="I76" s="372">
        <f>Input!$PG$25</f>
        <v>0</v>
      </c>
      <c r="J76" s="372">
        <f>Input!$PH$25</f>
        <v>0</v>
      </c>
      <c r="K76" s="372">
        <f>Input!$PI$25</f>
        <v>0</v>
      </c>
      <c r="L76" s="372">
        <f>Input!$PJ$25</f>
        <v>0</v>
      </c>
      <c r="M76" s="373">
        <f>D76+E76+F76+G76+H76+I76+J76+K76+L76</f>
        <v>0</v>
      </c>
      <c r="N76" s="160"/>
      <c r="O76" s="487" t="s">
        <v>583</v>
      </c>
      <c r="P76" s="488"/>
      <c r="Q76" s="489"/>
      <c r="R76" s="490">
        <f>IF($M$85&lt;0,"N/A",$M$85)</f>
        <v>11611199</v>
      </c>
      <c r="S76" s="330"/>
      <c r="T76" s="330"/>
      <c r="U76" s="327"/>
      <c r="V76" s="276"/>
      <c r="W76" s="331"/>
      <c r="X76" s="331"/>
      <c r="Y76" s="331"/>
      <c r="Z76" s="331"/>
      <c r="AA76" s="276"/>
      <c r="AB76" s="276"/>
    </row>
    <row r="77" spans="1:28">
      <c r="A77" s="184">
        <v>60</v>
      </c>
      <c r="B77" s="160" t="s">
        <v>46</v>
      </c>
      <c r="C77" s="160"/>
      <c r="D77" s="372">
        <f>Input!$PK$25</f>
        <v>-7690641</v>
      </c>
      <c r="E77" s="372">
        <f>Input!$PL$25</f>
        <v>-1191</v>
      </c>
      <c r="F77" s="372">
        <f>Input!$PM$25</f>
        <v>-305203</v>
      </c>
      <c r="G77" s="372">
        <f>Input!$PN$25</f>
        <v>0</v>
      </c>
      <c r="H77" s="372">
        <f>Input!$PO$25</f>
        <v>0</v>
      </c>
      <c r="I77" s="372">
        <f>Input!$PP$25</f>
        <v>0</v>
      </c>
      <c r="J77" s="372">
        <f>Input!$PQ$25</f>
        <v>0</v>
      </c>
      <c r="K77" s="372">
        <f>Input!$PR$25</f>
        <v>0</v>
      </c>
      <c r="L77" s="372">
        <f>Input!$PS$25</f>
        <v>0</v>
      </c>
      <c r="M77" s="373">
        <f>D77+E77+F77+G77+H77+I77+J77+K77+L77</f>
        <v>-7997035</v>
      </c>
      <c r="N77" s="160"/>
      <c r="O77" s="491" t="s">
        <v>584</v>
      </c>
      <c r="P77" s="334"/>
      <c r="Q77" s="334"/>
      <c r="R77" s="521">
        <f>Input!$UB$25</f>
        <v>5894395</v>
      </c>
      <c r="S77" s="330"/>
      <c r="T77" s="330"/>
      <c r="U77" s="327"/>
      <c r="V77" s="276"/>
      <c r="W77" s="331"/>
      <c r="X77" s="331"/>
      <c r="Y77" s="331"/>
      <c r="Z77" s="331"/>
      <c r="AA77" s="276"/>
      <c r="AB77" s="276"/>
    </row>
    <row r="78" spans="1:28">
      <c r="A78" s="184">
        <v>61</v>
      </c>
      <c r="B78" s="162" t="s">
        <v>3</v>
      </c>
      <c r="C78" s="162"/>
      <c r="D78" s="374">
        <f t="shared" ref="D78:L78" si="20">SUM(D74:D77)</f>
        <v>-6588859</v>
      </c>
      <c r="E78" s="374">
        <f t="shared" si="20"/>
        <v>10160889</v>
      </c>
      <c r="F78" s="374">
        <f t="shared" si="20"/>
        <v>2495229</v>
      </c>
      <c r="G78" s="374">
        <f t="shared" si="20"/>
        <v>-12619929</v>
      </c>
      <c r="H78" s="374">
        <f t="shared" si="20"/>
        <v>100013</v>
      </c>
      <c r="I78" s="374">
        <f t="shared" si="20"/>
        <v>18183</v>
      </c>
      <c r="J78" s="374">
        <f t="shared" si="20"/>
        <v>932337</v>
      </c>
      <c r="K78" s="374">
        <f t="shared" si="20"/>
        <v>0</v>
      </c>
      <c r="L78" s="374">
        <f t="shared" si="20"/>
        <v>0</v>
      </c>
      <c r="M78" s="374">
        <f>D78+E78+F78+G78+H78+I78+J78+K78+L78</f>
        <v>-5502137</v>
      </c>
      <c r="N78" s="160"/>
      <c r="O78" s="491" t="s">
        <v>585</v>
      </c>
      <c r="P78" s="276"/>
      <c r="Q78" s="334"/>
      <c r="R78" s="492">
        <f>IF($M$85&lt;0,"",$R$76-$R$77)</f>
        <v>5716804</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3"/>
      <c r="P79" s="276"/>
      <c r="Q79" s="334"/>
      <c r="R79" s="494"/>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5" t="s">
        <v>586</v>
      </c>
      <c r="P80" s="276"/>
      <c r="Q80" s="334"/>
      <c r="R80" s="521">
        <f>Input!$UC$25</f>
        <v>5716804</v>
      </c>
      <c r="S80" s="330"/>
      <c r="T80" s="330"/>
      <c r="U80" s="334"/>
      <c r="V80" s="276"/>
      <c r="W80" s="328"/>
      <c r="X80" s="328"/>
      <c r="Y80" s="331"/>
      <c r="Z80" s="331"/>
      <c r="AA80" s="276"/>
      <c r="AB80" s="276"/>
    </row>
    <row r="81" spans="1:28">
      <c r="A81" s="184">
        <v>64</v>
      </c>
      <c r="B81" s="160" t="s">
        <v>47</v>
      </c>
      <c r="C81" s="160"/>
      <c r="D81" s="372">
        <f>Input!$PT$25</f>
        <v>0</v>
      </c>
      <c r="E81" s="372">
        <f>Input!$PU$25</f>
        <v>4825886</v>
      </c>
      <c r="F81" s="372">
        <f>Input!$PV$25</f>
        <v>560135</v>
      </c>
      <c r="G81" s="372">
        <f>Input!$PW$25</f>
        <v>0</v>
      </c>
      <c r="H81" s="372">
        <f>Input!$PX$25</f>
        <v>262665</v>
      </c>
      <c r="I81" s="372">
        <f>Input!$PY$25</f>
        <v>46658</v>
      </c>
      <c r="J81" s="372">
        <f>Input!$PZ$25</f>
        <v>21460</v>
      </c>
      <c r="K81" s="372">
        <f>Input!$QA$25</f>
        <v>0</v>
      </c>
      <c r="L81" s="372">
        <f>Input!$QB$25</f>
        <v>0</v>
      </c>
      <c r="M81" s="373">
        <f>D81+E81+F81+G81+H81+I81+J81+K81+L81</f>
        <v>5716804</v>
      </c>
      <c r="N81" s="160"/>
      <c r="O81" s="496" t="s">
        <v>587</v>
      </c>
      <c r="P81" s="276"/>
      <c r="Q81" s="276"/>
      <c r="R81" s="497"/>
      <c r="S81" s="330"/>
      <c r="T81" s="330"/>
      <c r="W81" s="276"/>
      <c r="X81" s="276"/>
      <c r="Y81" s="331"/>
      <c r="Z81" s="331"/>
      <c r="AA81" s="276"/>
      <c r="AB81" s="276"/>
    </row>
    <row r="82" spans="1:28">
      <c r="A82" s="184">
        <v>65</v>
      </c>
      <c r="B82" s="160" t="s">
        <v>48</v>
      </c>
      <c r="C82" s="160"/>
      <c r="D82" s="372">
        <f>Input!$QC$25</f>
        <v>0</v>
      </c>
      <c r="E82" s="372">
        <f>Input!$QD$25</f>
        <v>0</v>
      </c>
      <c r="F82" s="372">
        <f>Input!$QE$25</f>
        <v>0</v>
      </c>
      <c r="G82" s="372">
        <f>Input!$QF$25</f>
        <v>0</v>
      </c>
      <c r="H82" s="372">
        <f>Input!$QG$25</f>
        <v>0</v>
      </c>
      <c r="I82" s="372">
        <f>Input!$QH$25</f>
        <v>0</v>
      </c>
      <c r="J82" s="372">
        <f>Input!$QI$25</f>
        <v>0</v>
      </c>
      <c r="K82" s="372">
        <f>Input!$QJ$25</f>
        <v>0</v>
      </c>
      <c r="L82" s="372">
        <f>Input!$QK$25</f>
        <v>0</v>
      </c>
      <c r="M82" s="373">
        <f>D82+E82+F82+G82+H82+I82+J82+K82+L82</f>
        <v>0</v>
      </c>
      <c r="N82" s="160"/>
      <c r="O82" s="498" t="s">
        <v>588</v>
      </c>
      <c r="P82" s="276"/>
      <c r="Q82" s="276"/>
      <c r="R82" s="492">
        <f>IFERROR($R$78-$R$80,"")</f>
        <v>0</v>
      </c>
      <c r="Y82" s="331"/>
      <c r="Z82" s="401"/>
      <c r="AA82" s="268"/>
      <c r="AB82" s="268"/>
    </row>
    <row r="83" spans="1:28">
      <c r="A83" s="184">
        <v>66</v>
      </c>
      <c r="B83" s="162" t="s">
        <v>3</v>
      </c>
      <c r="C83" s="162"/>
      <c r="D83" s="374">
        <f t="shared" ref="D83:L83" si="21">SUM(D81:D82)</f>
        <v>0</v>
      </c>
      <c r="E83" s="374">
        <f t="shared" si="21"/>
        <v>4825886</v>
      </c>
      <c r="F83" s="374">
        <f t="shared" si="21"/>
        <v>560135</v>
      </c>
      <c r="G83" s="374">
        <f t="shared" si="21"/>
        <v>0</v>
      </c>
      <c r="H83" s="374">
        <f t="shared" si="21"/>
        <v>262665</v>
      </c>
      <c r="I83" s="374">
        <f t="shared" si="21"/>
        <v>46658</v>
      </c>
      <c r="J83" s="374">
        <f t="shared" si="21"/>
        <v>21460</v>
      </c>
      <c r="K83" s="374">
        <f t="shared" si="21"/>
        <v>0</v>
      </c>
      <c r="L83" s="374">
        <f t="shared" si="21"/>
        <v>0</v>
      </c>
      <c r="M83" s="374">
        <f>D83+E83+F83+G83+H83+I83+J83+K83+L83</f>
        <v>5716804</v>
      </c>
      <c r="N83" s="160"/>
      <c r="O83" s="493"/>
      <c r="P83" s="276"/>
      <c r="Q83" s="276"/>
      <c r="R83" s="497"/>
      <c r="Y83" s="163"/>
      <c r="Z83" s="447"/>
      <c r="AA83" s="439"/>
      <c r="AB83" s="448"/>
    </row>
    <row r="84" spans="1:28" ht="13.5" thickBot="1">
      <c r="A84" s="184">
        <v>67</v>
      </c>
      <c r="B84" s="160"/>
      <c r="C84" s="160"/>
      <c r="D84" s="373"/>
      <c r="E84" s="373"/>
      <c r="F84" s="373"/>
      <c r="G84" s="373"/>
      <c r="H84" s="373"/>
      <c r="I84" s="373"/>
      <c r="J84" s="373"/>
      <c r="K84" s="373"/>
      <c r="L84" s="373"/>
      <c r="M84" s="373"/>
      <c r="N84" s="160"/>
      <c r="O84" s="499" t="s">
        <v>589</v>
      </c>
      <c r="P84" s="500"/>
      <c r="Q84" s="500"/>
      <c r="R84" s="501">
        <f>IFERROR((R82+R80)-R78,"")</f>
        <v>0</v>
      </c>
      <c r="Y84" s="268"/>
      <c r="Z84" s="447"/>
      <c r="AA84" s="439"/>
      <c r="AB84" s="449"/>
    </row>
    <row r="85" spans="1:28" ht="13.5" thickTop="1">
      <c r="A85" s="184">
        <v>68</v>
      </c>
      <c r="B85" s="162" t="s">
        <v>574</v>
      </c>
      <c r="C85" s="162"/>
      <c r="D85" s="374">
        <f t="shared" ref="D85:L85" si="22">D57-D71+D78+D83</f>
        <v>-4481098</v>
      </c>
      <c r="E85" s="374">
        <f t="shared" si="22"/>
        <v>12049806</v>
      </c>
      <c r="F85" s="374">
        <f t="shared" si="22"/>
        <v>3038716</v>
      </c>
      <c r="G85" s="374">
        <f t="shared" si="22"/>
        <v>-349285</v>
      </c>
      <c r="H85" s="374">
        <f t="shared" si="22"/>
        <v>363701</v>
      </c>
      <c r="I85" s="374">
        <f t="shared" si="22"/>
        <v>64841</v>
      </c>
      <c r="J85" s="374">
        <f t="shared" si="22"/>
        <v>924779</v>
      </c>
      <c r="K85" s="374">
        <f t="shared" si="22"/>
        <v>0</v>
      </c>
      <c r="L85" s="374">
        <f t="shared" si="22"/>
        <v>-261</v>
      </c>
      <c r="M85" s="374">
        <f>D85+E85+F85+G85+H85+I85+J85+K85+L85</f>
        <v>11611199</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Input!$QL$25</f>
        <v>0</v>
      </c>
      <c r="E87" s="372">
        <f>Input!$QM$25</f>
        <v>0</v>
      </c>
      <c r="F87" s="372">
        <f>Input!$QN$25</f>
        <v>0</v>
      </c>
      <c r="G87" s="372">
        <f>Input!$QO$25</f>
        <v>0</v>
      </c>
      <c r="H87" s="372">
        <f>Input!$QP$25</f>
        <v>0</v>
      </c>
      <c r="I87" s="372">
        <f>Input!$QQ$25</f>
        <v>0</v>
      </c>
      <c r="J87" s="372">
        <f>Input!$QR$25</f>
        <v>0</v>
      </c>
      <c r="K87" s="372">
        <f>Input!$QS$25</f>
        <v>0</v>
      </c>
      <c r="L87" s="372">
        <f>Input!$QT$25</f>
        <v>0</v>
      </c>
      <c r="M87" s="329">
        <f>D87+E87+F87+G87+H87+I87+J87+K87+L87</f>
        <v>0</v>
      </c>
      <c r="N87" s="160"/>
      <c r="Y87" s="268"/>
      <c r="Z87" s="447"/>
      <c r="AA87" s="439"/>
      <c r="AB87" s="449"/>
    </row>
    <row r="88" spans="1:28">
      <c r="A88" s="184">
        <v>72</v>
      </c>
      <c r="B88" s="160" t="s">
        <v>66</v>
      </c>
      <c r="C88" s="160"/>
      <c r="D88" s="372">
        <f>Input!$QU$25</f>
        <v>0</v>
      </c>
      <c r="E88" s="372">
        <f>Input!$QV$25</f>
        <v>0</v>
      </c>
      <c r="F88" s="372">
        <f>Input!$QW$25</f>
        <v>0</v>
      </c>
      <c r="G88" s="372">
        <f>Input!$QX$25</f>
        <v>0</v>
      </c>
      <c r="H88" s="372">
        <f>Input!$QY$25</f>
        <v>0</v>
      </c>
      <c r="I88" s="372">
        <f>Input!$QZ$25</f>
        <v>0</v>
      </c>
      <c r="J88" s="372">
        <f>Input!$RA$25</f>
        <v>0</v>
      </c>
      <c r="K88" s="372">
        <f>Input!$RB$25</f>
        <v>0</v>
      </c>
      <c r="L88" s="372">
        <f>Input!$RC$25</f>
        <v>-11025709</v>
      </c>
      <c r="M88" s="373">
        <f>D88+E88+F88+G88+H88+I88+J88+K88+L88</f>
        <v>-11025709</v>
      </c>
      <c r="N88" s="160"/>
      <c r="O88" s="270"/>
      <c r="P88" s="335"/>
      <c r="Y88" s="268"/>
      <c r="Z88" s="447"/>
      <c r="AA88" s="439"/>
      <c r="AB88" s="449"/>
    </row>
    <row r="89" spans="1:28" s="264" customFormat="1">
      <c r="A89" s="263"/>
      <c r="B89" s="171" t="s">
        <v>216</v>
      </c>
      <c r="C89" s="171"/>
      <c r="D89" s="372">
        <f>Input!$RD$25</f>
        <v>0</v>
      </c>
      <c r="E89" s="372">
        <f>Input!$RE$25</f>
        <v>0</v>
      </c>
      <c r="F89" s="372">
        <f>Input!$RF$25</f>
        <v>0</v>
      </c>
      <c r="G89" s="372">
        <f>Input!$RG$25</f>
        <v>0</v>
      </c>
      <c r="H89" s="372">
        <f>Input!$RH$25</f>
        <v>0</v>
      </c>
      <c r="I89" s="372">
        <f>Input!$RI$25</f>
        <v>0</v>
      </c>
      <c r="J89" s="372">
        <f>Input!$RJ$25</f>
        <v>0</v>
      </c>
      <c r="K89" s="372">
        <f>Input!$RK$25</f>
        <v>0</v>
      </c>
      <c r="L89" s="372">
        <f>Input!$RL$25</f>
        <v>22678708</v>
      </c>
      <c r="M89" s="373">
        <f t="shared" ref="M89:M91" si="23">D89+E89+F89+G89+H89+I89+J89+K89+L89</f>
        <v>22678708</v>
      </c>
      <c r="N89" s="160"/>
      <c r="O89" s="1726" t="s">
        <v>1355</v>
      </c>
      <c r="P89" s="1727"/>
      <c r="Q89" s="1727"/>
      <c r="R89" s="1727"/>
      <c r="S89" s="1727"/>
      <c r="T89" s="1727"/>
      <c r="U89" s="1728"/>
      <c r="Y89" s="268"/>
      <c r="Z89" s="447"/>
      <c r="AA89" s="439"/>
      <c r="AB89" s="449"/>
    </row>
    <row r="90" spans="1:28" s="264" customFormat="1">
      <c r="A90" s="263"/>
      <c r="B90" s="171" t="s">
        <v>105</v>
      </c>
      <c r="C90" s="171"/>
      <c r="D90" s="372">
        <f>Input!$RM$25</f>
        <v>0</v>
      </c>
      <c r="E90" s="372">
        <f>Input!$RN$25</f>
        <v>0</v>
      </c>
      <c r="F90" s="372">
        <f>Input!$RO$25</f>
        <v>0</v>
      </c>
      <c r="G90" s="372">
        <f>Input!$RP$25</f>
        <v>0</v>
      </c>
      <c r="H90" s="372">
        <f>Input!$RQ$25</f>
        <v>0</v>
      </c>
      <c r="I90" s="372">
        <f>Input!$RR$25</f>
        <v>0</v>
      </c>
      <c r="J90" s="372">
        <f>Input!$RS$25</f>
        <v>0</v>
      </c>
      <c r="K90" s="372">
        <f>Input!$RT$25</f>
        <v>0</v>
      </c>
      <c r="L90" s="372">
        <f>Input!$RU$25</f>
        <v>0</v>
      </c>
      <c r="M90" s="373">
        <f t="shared" si="23"/>
        <v>0</v>
      </c>
      <c r="N90" s="160"/>
      <c r="O90" s="502" t="s">
        <v>590</v>
      </c>
      <c r="P90" s="423"/>
      <c r="Q90" s="502" t="s">
        <v>591</v>
      </c>
      <c r="R90" s="423"/>
      <c r="S90" s="503"/>
      <c r="T90" s="502" t="s">
        <v>592</v>
      </c>
      <c r="U90" s="423"/>
      <c r="Y90" s="268"/>
      <c r="Z90" s="447"/>
      <c r="AA90" s="439"/>
      <c r="AB90" s="449"/>
    </row>
    <row r="91" spans="1:28" s="264" customFormat="1">
      <c r="A91" s="263"/>
      <c r="B91" s="171" t="s">
        <v>128</v>
      </c>
      <c r="C91" s="171"/>
      <c r="D91" s="372">
        <f>Input!$RV$25</f>
        <v>0</v>
      </c>
      <c r="E91" s="372">
        <f>Input!$RW$25</f>
        <v>0</v>
      </c>
      <c r="F91" s="372">
        <f>Input!$RX$25</f>
        <v>0</v>
      </c>
      <c r="G91" s="372">
        <f>Input!$RY$25</f>
        <v>0</v>
      </c>
      <c r="H91" s="372">
        <f>Input!$RZ$25</f>
        <v>0</v>
      </c>
      <c r="I91" s="372">
        <f>Input!$SA$25</f>
        <v>0</v>
      </c>
      <c r="J91" s="372">
        <f>Input!$SB$25</f>
        <v>0</v>
      </c>
      <c r="K91" s="372">
        <f>Input!$SC$25</f>
        <v>0</v>
      </c>
      <c r="L91" s="372">
        <f>Input!$SD$25</f>
        <v>4777</v>
      </c>
      <c r="M91" s="373">
        <f t="shared" si="23"/>
        <v>4777</v>
      </c>
      <c r="N91" s="160"/>
      <c r="O91" s="504"/>
      <c r="P91" s="505"/>
      <c r="Q91" s="504"/>
      <c r="R91" s="426"/>
      <c r="S91" s="276"/>
      <c r="T91" s="506"/>
      <c r="U91" s="426"/>
      <c r="Y91" s="268"/>
      <c r="Z91" s="447"/>
      <c r="AA91" s="439"/>
      <c r="AB91" s="449"/>
    </row>
    <row r="92" spans="1:28" s="264" customFormat="1">
      <c r="A92" s="263"/>
      <c r="B92" s="160" t="s">
        <v>67</v>
      </c>
      <c r="C92" s="160"/>
      <c r="D92" s="372">
        <f>Input!$SE$25</f>
        <v>0</v>
      </c>
      <c r="E92" s="372">
        <f>Input!$SF$25</f>
        <v>185083</v>
      </c>
      <c r="F92" s="372">
        <f>Input!$SG$25</f>
        <v>0</v>
      </c>
      <c r="G92" s="372">
        <f>Input!$SH$25</f>
        <v>157134</v>
      </c>
      <c r="H92" s="372">
        <f>Input!$SI$25</f>
        <v>0</v>
      </c>
      <c r="I92" s="372">
        <f>Input!$SJ$25</f>
        <v>0</v>
      </c>
      <c r="J92" s="372">
        <f>Input!$SK$25</f>
        <v>82295</v>
      </c>
      <c r="K92" s="372">
        <f>Input!$SL$25</f>
        <v>0</v>
      </c>
      <c r="L92" s="372">
        <f>Input!$SM$25</f>
        <v>0</v>
      </c>
      <c r="M92" s="373">
        <f>D92+E92+F92+G92+H92+I92+J92+K92+L92</f>
        <v>424512</v>
      </c>
      <c r="N92" s="160"/>
      <c r="O92" s="1729" t="str">
        <f>Input!UF$25</f>
        <v>Chris Arrington</v>
      </c>
      <c r="P92" s="1730"/>
      <c r="Q92" s="1729" t="str">
        <f>Input!$UG$25</f>
        <v>979-458-9151</v>
      </c>
      <c r="R92" s="1730"/>
      <c r="S92" s="276"/>
      <c r="T92" s="1731" t="str">
        <f>HYPERLINK("Mailto:"&amp;Input!$UH$25,Input!$UH$25)</f>
        <v>carrington@tamus.edu</v>
      </c>
      <c r="U92" s="1730"/>
      <c r="Y92" s="268"/>
      <c r="Z92" s="447"/>
      <c r="AA92" s="442"/>
      <c r="AB92" s="449"/>
    </row>
    <row r="93" spans="1:28" ht="13.5" thickBot="1">
      <c r="B93" s="179" t="s">
        <v>58</v>
      </c>
      <c r="C93" s="179"/>
      <c r="D93" s="380">
        <f t="shared" ref="D93:K93" si="24">SUM(D85:D92)</f>
        <v>-4481098</v>
      </c>
      <c r="E93" s="380">
        <f t="shared" si="24"/>
        <v>12234889</v>
      </c>
      <c r="F93" s="380">
        <f t="shared" si="24"/>
        <v>3038716</v>
      </c>
      <c r="G93" s="380">
        <f t="shared" si="24"/>
        <v>-192151</v>
      </c>
      <c r="H93" s="380">
        <f t="shared" si="24"/>
        <v>363701</v>
      </c>
      <c r="I93" s="380">
        <f t="shared" si="24"/>
        <v>64841</v>
      </c>
      <c r="J93" s="380">
        <f t="shared" si="24"/>
        <v>1007074</v>
      </c>
      <c r="K93" s="380">
        <f t="shared" si="24"/>
        <v>0</v>
      </c>
      <c r="L93" s="380">
        <f>SUM(L85:L92)</f>
        <v>11657515</v>
      </c>
      <c r="M93" s="380">
        <f>D93+E93+F93+G93+H93+I93+J93+K93+L93</f>
        <v>23693487</v>
      </c>
      <c r="N93" s="160"/>
      <c r="O93" s="506"/>
      <c r="P93" s="507"/>
      <c r="Q93" s="276"/>
      <c r="R93" s="276"/>
      <c r="S93" s="276"/>
      <c r="T93" s="507"/>
      <c r="U93" s="508"/>
      <c r="Y93" s="268"/>
      <c r="Z93" s="447"/>
      <c r="AA93" s="442"/>
      <c r="AB93" s="449"/>
    </row>
    <row r="94" spans="1:28" ht="13.5" thickTop="1">
      <c r="C94" s="160"/>
      <c r="D94" s="165"/>
      <c r="E94" s="165"/>
      <c r="F94" s="165"/>
      <c r="G94" s="165"/>
      <c r="H94" s="165"/>
      <c r="I94" s="165"/>
      <c r="J94" s="165"/>
      <c r="K94" s="165"/>
      <c r="L94" s="165"/>
      <c r="M94" s="180"/>
      <c r="N94" s="160"/>
      <c r="O94" s="1720" t="s">
        <v>593</v>
      </c>
      <c r="P94" s="1721"/>
      <c r="Q94" s="1721"/>
      <c r="R94" s="1721"/>
      <c r="S94" s="1721"/>
      <c r="T94" s="1721"/>
      <c r="U94" s="1722"/>
      <c r="Y94" s="268"/>
      <c r="Z94" s="451"/>
      <c r="AA94" s="442"/>
      <c r="AB94" s="449"/>
    </row>
    <row r="95" spans="1:28">
      <c r="B95" s="171" t="s">
        <v>1369</v>
      </c>
      <c r="C95" s="169"/>
      <c r="D95" s="165"/>
      <c r="E95" s="165"/>
      <c r="F95" s="165"/>
      <c r="G95" s="165"/>
      <c r="H95" s="165"/>
      <c r="I95" s="165"/>
      <c r="J95" s="165"/>
      <c r="K95" s="165"/>
      <c r="L95" s="165"/>
      <c r="M95" s="180"/>
      <c r="N95" s="160"/>
      <c r="O95" s="1720"/>
      <c r="P95" s="1721"/>
      <c r="Q95" s="1721"/>
      <c r="R95" s="1721"/>
      <c r="S95" s="1721"/>
      <c r="T95" s="1721"/>
      <c r="U95" s="1722"/>
      <c r="Y95" s="268"/>
      <c r="Z95" s="452"/>
      <c r="AA95" s="453"/>
      <c r="AB95" s="454"/>
    </row>
    <row r="96" spans="1:28">
      <c r="B96" s="169" t="s">
        <v>80</v>
      </c>
      <c r="C96" s="160"/>
      <c r="D96" s="165"/>
      <c r="E96" s="165"/>
      <c r="F96" s="165"/>
      <c r="G96" s="165"/>
      <c r="H96" s="165"/>
      <c r="I96" s="165"/>
      <c r="J96" s="165"/>
      <c r="K96" s="165"/>
      <c r="L96" s="165"/>
      <c r="M96" s="180"/>
      <c r="N96" s="160"/>
      <c r="O96" s="509"/>
      <c r="P96" s="510"/>
      <c r="Q96" s="511"/>
      <c r="R96" s="511"/>
      <c r="S96" s="511"/>
      <c r="T96" s="510"/>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Input!$SN$25</f>
        <v>23693487</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3" t="str">
        <f>IF($L$118&lt;&gt;Input!$F$25,"Out of Balance","Balanced")</f>
        <v>Balanced</v>
      </c>
      <c r="M102" s="517"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75337475</v>
      </c>
      <c r="E105" s="373">
        <f>SUM($E$10:$E$14)+SUM($E$19:$E$28)+SUM($E$32:$E$41)+$E$47+SUM($E$50:$E$55)+SUM($E$60:$E$70)+SUM($E$74:$E$77)+SUM($E$81:$E$82)+SUM($E$87:$E$92)</f>
        <v>81321003</v>
      </c>
      <c r="F105" s="373">
        <f>SUM($F$10:$F$14)+SUM($F$19:$F$28)+SUM($F$32:$F$41)+$F$47+SUM($F$50:$F$55)+SUM($F$60:$F$70)+SUM($F$74:$F$77)+SUM($F$81:$F$82)+SUM($F$87:$F$92)</f>
        <v>8857014</v>
      </c>
      <c r="G105" s="373">
        <f>SUM($G$10:$G$14)+SUM($G$19:$G$28)+SUM($G$32:$G$41)+$G$47+SUM($G$50:$G$55)+SUM($G$60:$G$70)+SUM($G$74:$G$77)+SUM($G$81:$G$82)+SUM($G$87:$G$92)</f>
        <v>47411559</v>
      </c>
      <c r="H105" s="373">
        <f>SUM($H$10:$H$14)+SUM($H$19:$H$28)+SUM($H$32:$H$41)+$H$47+SUM($H$50:$H$55)+SUM($H$60:$H$70)+SUM($H$74:$H$77)+SUM($H$81:$H$82)+SUM($H$87:$H$92)</f>
        <v>361531</v>
      </c>
      <c r="I105" s="373">
        <f>SUM($I$10:$I$14)+SUM($I$19:$I$28)+SUM($I$32:$I$41)+$I$47+SUM($I$50:$I$55)+SUM($I$60:$I$70)+SUM($I$74:$I$77)+SUM($I$81:$I$82)+SUM($I$87:$I$92)</f>
        <v>64841</v>
      </c>
      <c r="J105" s="373">
        <f>SUM($J$10:$J$14)+SUM($J$19:$J$28)+SUM($J$32:$J$41)+$J$47+SUM($J$50:$J$55)+SUM($J$60:$J$70)+SUM($J$74:$J$77)+SUM($J$81:$J$82)+SUM($J$87:$J$92)</f>
        <v>1065110</v>
      </c>
      <c r="K105" s="373">
        <f>SUM($K$10:$K$14)+SUM($K$19:$K$28)+SUM($K$32:$K$41)+$K$47+SUM($K$50:$K$55)+SUM($K$60:$K$70)+SUM($K$74:$K$77)+SUM($K$81:$K$82)+SUM($K$87:$K$92)</f>
        <v>0</v>
      </c>
      <c r="L105" s="373">
        <f>SUM($L$10:$L$14)+SUM($L$19:$L$28)+SUM($L$32:$L$41)+$L$47+SUM($L$50:$L$55)+SUM($L$60:$L$70)+SUM($L$74:$L$77)+SUM($L$81:$L$82)+SUM($L$87:$L$92)</f>
        <v>11687825</v>
      </c>
      <c r="M105" s="373"/>
      <c r="N105" s="264"/>
      <c r="O105" s="373"/>
      <c r="P105" s="450">
        <f>M18-INT(M18)</f>
        <v>0</v>
      </c>
    </row>
    <row r="106" spans="2:28">
      <c r="B106" s="261"/>
      <c r="C106" s="261"/>
      <c r="D106" s="261"/>
      <c r="E106" s="261"/>
      <c r="F106" s="261"/>
      <c r="G106" s="261"/>
      <c r="H106" s="261"/>
      <c r="I106" s="261"/>
      <c r="J106" s="261"/>
      <c r="K106" s="261"/>
      <c r="L106" s="373">
        <f>SUM($D$105:$L$105)</f>
        <v>226106358</v>
      </c>
      <c r="M106" s="261"/>
      <c r="N106" s="264"/>
      <c r="O106" s="373"/>
      <c r="P106" s="450">
        <f>M31-INT(M31)</f>
        <v>0</v>
      </c>
    </row>
    <row r="107" spans="2:28">
      <c r="B107" s="261"/>
      <c r="C107" s="261"/>
      <c r="D107" s="261"/>
      <c r="E107" s="261"/>
      <c r="F107" s="261"/>
      <c r="G107" s="261"/>
      <c r="H107" s="261"/>
      <c r="I107" s="261"/>
      <c r="J107" s="261" t="s">
        <v>1299</v>
      </c>
      <c r="K107" s="261"/>
      <c r="L107" s="373">
        <f>$M$100</f>
        <v>23693487</v>
      </c>
      <c r="M107" s="261"/>
      <c r="N107" s="264"/>
      <c r="O107" s="373"/>
      <c r="P107" s="450">
        <f>M93-INT(M93)</f>
        <v>0</v>
      </c>
    </row>
    <row r="108" spans="2:28">
      <c r="B108" s="261"/>
      <c r="C108" s="261"/>
      <c r="D108" s="261"/>
      <c r="E108" s="261"/>
      <c r="F108" s="261"/>
      <c r="G108" s="261"/>
      <c r="H108" s="261"/>
      <c r="I108" s="261"/>
      <c r="J108" s="261" t="s">
        <v>1300</v>
      </c>
      <c r="K108" s="261"/>
      <c r="L108" s="512">
        <f>$Q$32</f>
        <v>45072014</v>
      </c>
      <c r="M108" s="261"/>
      <c r="N108" s="264"/>
      <c r="O108" s="373"/>
    </row>
    <row r="109" spans="2:28">
      <c r="B109" s="261"/>
      <c r="C109" s="261"/>
      <c r="D109" s="261"/>
      <c r="E109" s="261"/>
      <c r="F109" s="261"/>
      <c r="G109" s="261"/>
      <c r="H109" s="261"/>
      <c r="I109" s="261"/>
      <c r="J109" s="261" t="s">
        <v>1300</v>
      </c>
      <c r="K109" s="261"/>
      <c r="L109" s="512">
        <f>$R$34</f>
        <v>-15575640</v>
      </c>
      <c r="M109" s="261"/>
      <c r="N109" s="264"/>
      <c r="O109" s="373"/>
    </row>
    <row r="110" spans="2:28">
      <c r="B110" s="261"/>
      <c r="C110" s="261"/>
      <c r="D110" s="261"/>
      <c r="E110" s="261"/>
      <c r="F110" s="261"/>
      <c r="G110" s="261"/>
      <c r="H110" s="261"/>
      <c r="I110" s="261"/>
      <c r="J110" s="261" t="s">
        <v>29</v>
      </c>
      <c r="K110" s="261"/>
      <c r="L110" s="512">
        <f>SUM($P$60:$P$68)</f>
        <v>342217</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2">
        <f>SUM($V$60:$V$67)</f>
        <v>0</v>
      </c>
      <c r="M112" s="261"/>
      <c r="N112" s="264"/>
      <c r="O112" s="373"/>
    </row>
    <row r="113" spans="2:15">
      <c r="B113" s="261"/>
      <c r="C113" s="261"/>
      <c r="D113" s="261"/>
      <c r="E113" s="261"/>
      <c r="F113" s="261"/>
      <c r="G113" s="261"/>
      <c r="H113" s="261"/>
      <c r="I113" s="261"/>
      <c r="J113" s="261" t="s">
        <v>596</v>
      </c>
      <c r="K113" s="261"/>
      <c r="L113" s="512">
        <f>SUM($W$60:$W$67)</f>
        <v>0</v>
      </c>
      <c r="M113" s="261"/>
      <c r="N113" s="264"/>
      <c r="O113" s="373"/>
    </row>
    <row r="114" spans="2:15">
      <c r="B114" s="261"/>
      <c r="C114" s="261"/>
      <c r="D114" s="261"/>
      <c r="E114" s="261"/>
      <c r="F114" s="261"/>
      <c r="G114" s="261"/>
      <c r="H114" s="261"/>
      <c r="I114" s="261"/>
      <c r="J114" s="261" t="s">
        <v>258</v>
      </c>
      <c r="K114" s="261"/>
      <c r="L114" s="512">
        <f>SUM($AA$60:$AA$68)</f>
        <v>100704172</v>
      </c>
      <c r="M114" s="261"/>
      <c r="N114" s="264"/>
      <c r="O114" s="373"/>
    </row>
    <row r="115" spans="2:15">
      <c r="B115" s="261"/>
      <c r="C115" s="261"/>
      <c r="D115" s="261"/>
      <c r="E115" s="261"/>
      <c r="F115" s="261"/>
      <c r="G115" s="261"/>
      <c r="H115" s="261"/>
      <c r="I115" s="261"/>
      <c r="J115" s="261" t="s">
        <v>597</v>
      </c>
      <c r="K115" s="261"/>
      <c r="L115" s="512">
        <f>$R$77</f>
        <v>5894395</v>
      </c>
      <c r="M115" s="261"/>
      <c r="N115" s="264"/>
      <c r="O115" s="373"/>
    </row>
    <row r="116" spans="2:15">
      <c r="B116" s="261"/>
      <c r="C116" s="261"/>
      <c r="D116" s="261"/>
      <c r="E116" s="261"/>
      <c r="F116" s="261"/>
      <c r="G116" s="261"/>
      <c r="H116" s="261"/>
      <c r="I116" s="261"/>
      <c r="J116" s="261" t="s">
        <v>597</v>
      </c>
      <c r="K116" s="261"/>
      <c r="L116" s="512">
        <f>$R$80</f>
        <v>5716804</v>
      </c>
      <c r="M116" s="261"/>
      <c r="N116" s="264"/>
      <c r="O116" s="373"/>
    </row>
    <row r="117" spans="2:15">
      <c r="B117" s="261"/>
      <c r="C117" s="261"/>
      <c r="D117" s="261"/>
      <c r="E117" s="261"/>
      <c r="F117" s="261"/>
      <c r="G117" s="261"/>
      <c r="H117" s="261"/>
      <c r="I117" s="261"/>
      <c r="J117" s="261" t="s">
        <v>1231</v>
      </c>
      <c r="K117" s="261"/>
      <c r="L117" s="1008">
        <f>VLOOKUP(B2,Names!B5:$C$87,2,FALSE)</f>
        <v>42485</v>
      </c>
      <c r="M117" s="261"/>
      <c r="N117" s="264"/>
      <c r="O117" s="373"/>
    </row>
    <row r="118" spans="2:15">
      <c r="B118" s="261"/>
      <c r="C118" s="261"/>
      <c r="D118" s="261"/>
      <c r="E118" s="261"/>
      <c r="F118" s="261"/>
      <c r="G118" s="261"/>
      <c r="H118" s="261"/>
      <c r="I118" s="261"/>
      <c r="J118" s="261"/>
      <c r="K118" s="261"/>
      <c r="L118" s="373">
        <f>SUM(L106:L117)</f>
        <v>391996292</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V70:W70"/>
    <mergeCell ref="O56:O59"/>
    <mergeCell ref="P56:P59"/>
    <mergeCell ref="Q56:Q59"/>
    <mergeCell ref="T56:T59"/>
    <mergeCell ref="U56:U59"/>
    <mergeCell ref="V56:V59"/>
    <mergeCell ref="W56:W59"/>
    <mergeCell ref="R56:R59"/>
    <mergeCell ref="AA56:AA59"/>
    <mergeCell ref="X56:X59"/>
    <mergeCell ref="AB56:AB59"/>
    <mergeCell ref="T55:X55"/>
    <mergeCell ref="Z55:AB55"/>
    <mergeCell ref="T19:X19"/>
    <mergeCell ref="Z56:Z59"/>
    <mergeCell ref="B2:F2"/>
    <mergeCell ref="B3:F3"/>
    <mergeCell ref="B4:F4"/>
    <mergeCell ref="O75:R75"/>
    <mergeCell ref="P4:Q4"/>
    <mergeCell ref="B6:M6"/>
    <mergeCell ref="P10:P11"/>
    <mergeCell ref="G59:K59"/>
    <mergeCell ref="P71:Q71"/>
    <mergeCell ref="O55:R55"/>
    <mergeCell ref="O19:R19"/>
    <mergeCell ref="O89:U89"/>
    <mergeCell ref="O92:P92"/>
    <mergeCell ref="Q92:R92"/>
    <mergeCell ref="T92:U92"/>
    <mergeCell ref="O94:U95"/>
  </mergeCells>
  <conditionalFormatting sqref="U87:X88 O88:Q88">
    <cfRule type="cellIs" dxfId="739" priority="202" stopIfTrue="1" operator="notEqual">
      <formula>#REF!</formula>
    </cfRule>
  </conditionalFormatting>
  <conditionalFormatting sqref="P70">
    <cfRule type="expression" dxfId="738" priority="184">
      <formula>$P$69&lt;&gt;$M$69</formula>
    </cfRule>
  </conditionalFormatting>
  <conditionalFormatting sqref="AB72">
    <cfRule type="expression" dxfId="737" priority="183">
      <formula>$AB$71&lt;&gt;0</formula>
    </cfRule>
  </conditionalFormatting>
  <conditionalFormatting sqref="P71">
    <cfRule type="expression" dxfId="736" priority="182">
      <formula>P69-INT(P69)</formula>
    </cfRule>
  </conditionalFormatting>
  <conditionalFormatting sqref="V70">
    <cfRule type="expression" dxfId="735" priority="180">
      <formula>X68-INT(X68)</formula>
    </cfRule>
  </conditionalFormatting>
  <conditionalFormatting sqref="O11">
    <cfRule type="expression" dxfId="734" priority="173">
      <formula>#REF!&lt;&gt;$M$11</formula>
    </cfRule>
  </conditionalFormatting>
  <conditionalFormatting sqref="U87:U88 O88:Q88">
    <cfRule type="cellIs" dxfId="733" priority="164" stopIfTrue="1" operator="notEqual">
      <formula>#REF!</formula>
    </cfRule>
  </conditionalFormatting>
  <conditionalFormatting sqref="R84">
    <cfRule type="expression" priority="162" stopIfTrue="1">
      <formula>$M$85&lt;0</formula>
    </cfRule>
    <cfRule type="expression" dxfId="732" priority="163">
      <formula>$S$85&lt;&gt;0</formula>
    </cfRule>
  </conditionalFormatting>
  <conditionalFormatting sqref="R80 R77">
    <cfRule type="expression" dxfId="731" priority="160" stopIfTrue="1">
      <formula>$M$85&gt;=0</formula>
    </cfRule>
    <cfRule type="expression" priority="161">
      <formula>$M$85&lt;0</formula>
    </cfRule>
  </conditionalFormatting>
  <conditionalFormatting sqref="U87:U88 O88:Q88">
    <cfRule type="cellIs" dxfId="730" priority="159" stopIfTrue="1" operator="notEqual">
      <formula>#REF!</formula>
    </cfRule>
  </conditionalFormatting>
  <conditionalFormatting sqref="O12">
    <cfRule type="expression" dxfId="729" priority="143">
      <formula>$P$12&lt;&gt;$M$12</formula>
    </cfRule>
  </conditionalFormatting>
  <conditionalFormatting sqref="O13">
    <cfRule type="expression" dxfId="728" priority="142">
      <formula>$P$13&lt;&gt;$M$13</formula>
    </cfRule>
  </conditionalFormatting>
  <conditionalFormatting sqref="U87:U88 O88:Q88">
    <cfRule type="cellIs" dxfId="727" priority="141" stopIfTrue="1" operator="notEqual">
      <formula>#REF!</formula>
    </cfRule>
  </conditionalFormatting>
  <conditionalFormatting sqref="Q36">
    <cfRule type="expression" dxfId="726" priority="27">
      <formula>#REF!&lt;&gt;#REF!</formula>
    </cfRule>
  </conditionalFormatting>
  <conditionalFormatting sqref="R35">
    <cfRule type="expression" dxfId="725" priority="26">
      <formula>#REF!&lt;&gt;0</formula>
    </cfRule>
  </conditionalFormatting>
  <conditionalFormatting sqref="Q35">
    <cfRule type="expression" dxfId="724" priority="25">
      <formula>#REF!&lt;&gt;0</formula>
    </cfRule>
  </conditionalFormatting>
  <conditionalFormatting sqref="R36">
    <cfRule type="expression" dxfId="723" priority="24">
      <formula>#REF!&lt;&gt;#REF!</formula>
    </cfRule>
  </conditionalFormatting>
  <conditionalFormatting sqref="D93:M98 T94:T95 R90:S95 U87:X93 T90:T92 Y90:Y95 O88:O92 P88:Q93">
    <cfRule type="cellIs" dxfId="722" priority="23" stopIfTrue="1" operator="notEqual">
      <formula>#REF!</formula>
    </cfRule>
  </conditionalFormatting>
  <conditionalFormatting sqref="P70">
    <cfRule type="expression" dxfId="721" priority="22">
      <formula>$P$69&lt;&gt;$M$69</formula>
    </cfRule>
  </conditionalFormatting>
  <conditionalFormatting sqref="AB72">
    <cfRule type="expression" dxfId="720" priority="21">
      <formula>$AB$71&lt;&gt;0</formula>
    </cfRule>
  </conditionalFormatting>
  <conditionalFormatting sqref="P71">
    <cfRule type="expression" dxfId="719" priority="20">
      <formula>P69-INT(P69)</formula>
    </cfRule>
  </conditionalFormatting>
  <conditionalFormatting sqref="V70">
    <cfRule type="expression" dxfId="718" priority="19">
      <formula>X68-INT(X68)</formula>
    </cfRule>
  </conditionalFormatting>
  <conditionalFormatting sqref="O12">
    <cfRule type="expression" dxfId="717" priority="18">
      <formula>$P$12&lt;&gt;$M$12</formula>
    </cfRule>
  </conditionalFormatting>
  <conditionalFormatting sqref="T94:T95 R90:S95 U87:U93 T90:T92 O88:O92 P88:Q93">
    <cfRule type="cellIs" dxfId="716" priority="16" stopIfTrue="1" operator="notEqual">
      <formula>#REF!</formula>
    </cfRule>
  </conditionalFormatting>
  <conditionalFormatting sqref="R84">
    <cfRule type="expression" priority="14" stopIfTrue="1">
      <formula>$M$85&lt;0</formula>
    </cfRule>
    <cfRule type="expression" dxfId="715" priority="15">
      <formula>$S$85&lt;&gt;0</formula>
    </cfRule>
  </conditionalFormatting>
  <conditionalFormatting sqref="R80 R77">
    <cfRule type="expression" dxfId="714" priority="12" stopIfTrue="1">
      <formula>$M$85&gt;=0</formula>
    </cfRule>
    <cfRule type="expression" priority="13">
      <formula>$M$85&lt;0</formula>
    </cfRule>
  </conditionalFormatting>
  <conditionalFormatting sqref="U87:U88 R89:U92 O88:Q92">
    <cfRule type="cellIs" dxfId="713" priority="11" stopIfTrue="1" operator="notEqual">
      <formula>#REF!</formula>
    </cfRule>
  </conditionalFormatting>
  <conditionalFormatting sqref="M101">
    <cfRule type="expression" dxfId="712" priority="10">
      <formula>$M$101&lt;&gt;0</formula>
    </cfRule>
  </conditionalFormatting>
  <conditionalFormatting sqref="M102">
    <cfRule type="expression" dxfId="711" priority="9">
      <formula>$M$93&lt;&gt;$M$100</formula>
    </cfRule>
  </conditionalFormatting>
  <conditionalFormatting sqref="U87:U92 R90:T92 O88:Q92">
    <cfRule type="cellIs" dxfId="710" priority="8" stopIfTrue="1" operator="notEqual">
      <formula>#REF!</formula>
    </cfRule>
  </conditionalFormatting>
  <conditionalFormatting sqref="T89:U89 Q91 T90 O89:O90 P89:Q89 R89:S91">
    <cfRule type="cellIs" dxfId="709" priority="7" stopIfTrue="1" operator="notEqual">
      <formula>#REF!</formula>
    </cfRule>
  </conditionalFormatting>
  <conditionalFormatting sqref="Q36">
    <cfRule type="expression" dxfId="708" priority="6">
      <formula>#REF!&lt;&gt;#REF!</formula>
    </cfRule>
  </conditionalFormatting>
  <conditionalFormatting sqref="R35">
    <cfRule type="expression" dxfId="707" priority="5">
      <formula>#REF!&lt;&gt;0</formula>
    </cfRule>
  </conditionalFormatting>
  <conditionalFormatting sqref="Q35">
    <cfRule type="expression" dxfId="706" priority="4">
      <formula>#REF!&lt;&gt;0</formula>
    </cfRule>
  </conditionalFormatting>
  <conditionalFormatting sqref="R36">
    <cfRule type="expression" dxfId="705" priority="3">
      <formula>#REF!&lt;&gt;#REF!</formula>
    </cfRule>
  </conditionalFormatting>
  <conditionalFormatting sqref="G59:K59">
    <cfRule type="expression" dxfId="704" priority="1">
      <formula>OR($P$105&gt;0,$P$106&lt;&gt;0,$P$107&lt;&gt;0)</formula>
    </cfRule>
  </conditionalFormatting>
  <hyperlinks>
    <hyperlink ref="O2" location="Index!A1" display="Return to Index" xr:uid="{00000000-0004-0000-6700-000000000000}"/>
  </hyperlinks>
  <printOptions horizontalCentered="1"/>
  <pageMargins left="0.5" right="0.5" top="0.25" bottom="0.25" header="0" footer="0.25"/>
  <pageSetup scale="10" orientation="landscape" r:id="rId1"/>
  <headerFooter alignWithMargins="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G30"/>
  <sheetViews>
    <sheetView showGridLines="0" zoomScale="80" zoomScaleNormal="80" workbookViewId="0">
      <selection activeCell="E74" sqref="E74:F74"/>
    </sheetView>
  </sheetViews>
  <sheetFormatPr defaultColWidth="9.140625" defaultRowHeight="12.75"/>
  <cols>
    <col min="1" max="1" width="7" style="53" customWidth="1"/>
    <col min="2" max="2" width="93.140625" style="53" customWidth="1"/>
    <col min="3" max="3" width="18.7109375" style="53" customWidth="1"/>
    <col min="4" max="9" width="9.140625" style="53"/>
    <col min="10" max="10" width="14.28515625" style="53" customWidth="1"/>
    <col min="11" max="16384" width="9.140625" style="53"/>
  </cols>
  <sheetData>
    <row r="1" spans="2:6" ht="18.75" thickBot="1">
      <c r="B1" s="466" t="str">
        <f>'TAMUSA Chrts'!$A$1</f>
        <v>Texas A&amp;M University - San Antonio</v>
      </c>
      <c r="C1" s="835" t="s">
        <v>1200</v>
      </c>
    </row>
    <row r="2" spans="2:6">
      <c r="B2" s="393" t="str">
        <f>'Smmy Chrts'!$A$2</f>
        <v>For the Year Ended August 31, 2021</v>
      </c>
    </row>
    <row r="3" spans="2:6">
      <c r="B3" s="393" t="str">
        <f>'Smmy Chrts'!$A$3</f>
        <v>Source: FY 2021 Annual Financial Report</v>
      </c>
    </row>
    <row r="5" spans="2:6" customFormat="1">
      <c r="B5" s="529" t="s">
        <v>705</v>
      </c>
    </row>
    <row r="6" spans="2:6" customFormat="1">
      <c r="B6" s="530"/>
    </row>
    <row r="7" spans="2:6" customFormat="1" ht="226.5" customHeight="1">
      <c r="B7" s="531" t="s">
        <v>706</v>
      </c>
      <c r="C7" s="532"/>
    </row>
    <row r="8" spans="2:6" customFormat="1" ht="263.25" customHeight="1">
      <c r="B8" s="531" t="s">
        <v>707</v>
      </c>
    </row>
    <row r="9" spans="2:6" ht="64.5" customHeight="1">
      <c r="B9" s="533" t="str">
        <f>IF('TAMUSA FGD'!$R$76="N/A","FN11.  N/A",$B$20&amp;$B$21&amp;$B$22&amp;$B$23&amp;$B$24&amp;$B$25&amp;$B$26&amp;$B$27&amp;$B$28&amp;$B$29&amp;$B$30)</f>
        <v>FN11: Of the net increase of $11,611,199 approximately $5.9 million represents revenues received but not yet expended. This income is fully committed to program expenditures and capital disbursements. The remaining $5.7 million represents non-expendable funds from unrealized gains and additions to permanent endowments of approximately $5.7 million and $0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TEXT(IF('TAMUSA FGD'!$M$85&lt;0,"N/A",'TAMUSA FGD'!$M$85),"$* #,##0;$* (#,##0)")</f>
        <v>$11,611,199</v>
      </c>
      <c r="C21" s="480"/>
      <c r="D21" s="480"/>
      <c r="E21" s="480"/>
      <c r="G21" s="105"/>
    </row>
    <row r="22" spans="1:7">
      <c r="B22" s="105" t="s">
        <v>682</v>
      </c>
    </row>
    <row r="23" spans="1:7">
      <c r="A23" s="53">
        <v>61</v>
      </c>
      <c r="B23" s="515" t="str">
        <f>IF(ABS('TAMUSA FGD'!$R$77)&gt;=1000000,TEXT('TAMUSA FGD'!$R$77/1000000,"$* #,##0.0;$* (#,##0.0)")&amp;" million",IF(ABS('TAMUSA FGD'!$R$77)&lt;1000,TEXT('TAMUSA FGD'!$R$77,"$* #,##0;$* (#,##0)"),TEXT('TAMUSA FGD'!$R$77/1000,"$* #,##0;$* (#,##0)")&amp;" thousand"))</f>
        <v>$5.9 million</v>
      </c>
      <c r="C23" s="515"/>
      <c r="E23" s="515"/>
    </row>
    <row r="24" spans="1:7">
      <c r="B24" s="105" t="s">
        <v>708</v>
      </c>
    </row>
    <row r="25" spans="1:7">
      <c r="A25" s="53">
        <v>62</v>
      </c>
      <c r="B25" s="515" t="str">
        <f>IF(ABS('TAMUSA FGD'!$R$78)&gt;=1000000,TEXT('TAMUSA FGD'!$R$78/1000000,"$* #,##0.0;$* (#,##0.0)")&amp;" million",IF(ABS('TAMUSA FGD'!$R$78)&lt;1000,TEXT('TAMUSA FGD'!$R$78,"$* #,##0;$* (#,##0)"),TEXT('TAMUSA FGD'!$R$78/1000,"$* #,##0;$* (#,##0)")&amp;" thousand"))</f>
        <v>$5.7 million</v>
      </c>
      <c r="C25" s="515"/>
      <c r="E25" s="515"/>
    </row>
    <row r="26" spans="1:7">
      <c r="B26" s="105" t="s">
        <v>683</v>
      </c>
    </row>
    <row r="27" spans="1:7">
      <c r="A27" s="53">
        <v>64</v>
      </c>
      <c r="B27" s="515" t="str">
        <f>IF(ABS('TAMUSA FGD'!$R$80)&gt;=1000000,TEXT('TAMUSA FGD'!$R$80/1000000,"$* #,##0.0;$* (#,##0.0)")&amp;" million",IF(ABS('TAMUSA FGD'!$R$80)&lt;1000,TEXT('TAMUSA FGD'!$R$80,"$* #,##0;$* (#,##0)"),TEXT('TAMUSA FGD'!$R$80/1000,"$* #,##0;$* (#,##0)")&amp;" thousand"))</f>
        <v>$5.7 million</v>
      </c>
      <c r="C27" s="515"/>
      <c r="E27" s="515"/>
    </row>
    <row r="28" spans="1:7">
      <c r="B28" s="105" t="s">
        <v>684</v>
      </c>
    </row>
    <row r="29" spans="1:7">
      <c r="A29" s="53">
        <v>66</v>
      </c>
      <c r="B29" s="515" t="str">
        <f>IF(ABS('TAMUSA FGD'!$R$82)&gt;=1000000,TEXT('TAMUSA FGD'!$R$82/1000000,"$* #,##0.0;$* (#,##0.0)")&amp;" million",IF(ABS('TAMUSA FGD'!$R$82)&lt;1000,TEXT('TAMUSA FGD'!$R$82,"$* #,##0;$* (#,##0)"),TEXT('TAMUSA FGD'!$R$82/1000,"$* #,##0;$* (#,##0)")&amp;" thousand"))</f>
        <v>$0</v>
      </c>
      <c r="C29" s="515"/>
      <c r="E29" s="515"/>
    </row>
    <row r="30" spans="1:7">
      <c r="B30" s="105" t="s">
        <v>709</v>
      </c>
    </row>
  </sheetData>
  <hyperlinks>
    <hyperlink ref="C1" location="Index!A1" display="Return to Index" xr:uid="{00000000-0004-0000-6800-000000000000}"/>
  </hyperlinks>
  <pageMargins left="0.25" right="0.25" top="0.25" bottom="0.25" header="0" footer="0.25"/>
  <pageSetup orientation="portrait" r:id="rId1"/>
  <headerFooter alignWithMargins="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Sheet83">
    <tabColor indexed="47"/>
    <pageSetUpPr fitToPage="1"/>
  </sheetPr>
  <dimension ref="A1:E166"/>
  <sheetViews>
    <sheetView showGridLines="0" zoomScale="65" zoomScaleNormal="65" zoomScaleSheetLayoutView="65" workbookViewId="0">
      <selection activeCell="B71" sqref="B71"/>
    </sheetView>
  </sheetViews>
  <sheetFormatPr defaultColWidth="9.140625" defaultRowHeight="12.75" customHeight="1"/>
  <cols>
    <col min="1" max="1" width="158.7109375" style="53" customWidth="1"/>
    <col min="2" max="2" width="22.5703125" style="53" customWidth="1"/>
    <col min="3" max="3" width="47.42578125" style="53" customWidth="1"/>
    <col min="4" max="4" width="20.7109375" style="53" customWidth="1"/>
    <col min="5" max="5" width="9.140625" style="679"/>
    <col min="6" max="16384" width="9.140625" style="53"/>
  </cols>
  <sheetData>
    <row r="1" spans="1:5" ht="28.5" thickBot="1">
      <c r="A1" s="159" t="s">
        <v>2244</v>
      </c>
      <c r="B1" s="835" t="s">
        <v>1200</v>
      </c>
      <c r="C1" s="53" t="s">
        <v>1329</v>
      </c>
    </row>
    <row r="2" spans="1:5" ht="18" customHeight="1">
      <c r="A2" s="1345" t="s">
        <v>2132</v>
      </c>
      <c r="C2" s="55" t="s">
        <v>63</v>
      </c>
    </row>
    <row r="3" spans="1:5" ht="27.75">
      <c r="A3" s="54" t="str">
        <f>'Smmy Chrts'!$A$2</f>
        <v>For the Year Ended August 31, 2021</v>
      </c>
      <c r="C3" s="53" t="s">
        <v>64</v>
      </c>
    </row>
    <row r="4" spans="1:5" ht="26.25" customHeight="1">
      <c r="A4" s="54" t="str">
        <f>'Smmy Chrts'!$A$3</f>
        <v>Source: FY 2021 Annual Financial Report</v>
      </c>
      <c r="C4" s="53" t="s">
        <v>267</v>
      </c>
    </row>
    <row r="5" spans="1:5" ht="12.75" customHeight="1">
      <c r="C5" s="53" t="s">
        <v>268</v>
      </c>
    </row>
    <row r="7" spans="1:5" ht="12.75" customHeight="1">
      <c r="C7" s="1687" t="s">
        <v>25</v>
      </c>
      <c r="D7" s="1687"/>
    </row>
    <row r="8" spans="1:5" ht="12.75" customHeight="1">
      <c r="C8" s="57"/>
      <c r="D8" s="58"/>
    </row>
    <row r="9" spans="1:5" ht="12.75" customHeight="1">
      <c r="C9" s="59" t="str">
        <f>'UH1 Sum'!A9</f>
        <v>State of Texas</v>
      </c>
      <c r="D9" s="60">
        <f>'UH1 Sum'!B15</f>
        <v>303577526</v>
      </c>
      <c r="E9" s="680">
        <f>ROUND(D9/$D$14,3)</f>
        <v>0.218</v>
      </c>
    </row>
    <row r="10" spans="1:5" ht="12.75" customHeight="1">
      <c r="C10" s="59" t="str">
        <f>'UH1 Sum'!A17</f>
        <v>Student &amp; Parent</v>
      </c>
      <c r="D10" s="60">
        <f>'UH1 Sum'!B20</f>
        <v>400572093</v>
      </c>
      <c r="E10" s="680">
        <f t="shared" ref="E10:E12" si="0">ROUND(D10/$D$14,3)</f>
        <v>0.28799999999999998</v>
      </c>
    </row>
    <row r="11" spans="1:5" ht="12.75" customHeight="1">
      <c r="C11" s="59" t="str">
        <f>'UH1 Sum'!A22</f>
        <v>Federal Government</v>
      </c>
      <c r="D11" s="60">
        <f>'UH1 Sum'!B23</f>
        <v>263368751</v>
      </c>
      <c r="E11" s="680">
        <f t="shared" si="0"/>
        <v>0.189</v>
      </c>
    </row>
    <row r="12" spans="1:5" ht="12.75" customHeight="1">
      <c r="C12" s="59" t="str">
        <f>'UH1 Sum'!A25</f>
        <v>Institutional Resources</v>
      </c>
      <c r="D12" s="60">
        <f>'UH1 Sum'!B32</f>
        <v>424179556</v>
      </c>
      <c r="E12" s="680">
        <f t="shared" si="0"/>
        <v>0.30499999999999999</v>
      </c>
    </row>
    <row r="13" spans="1:5" ht="12.75" customHeight="1">
      <c r="C13" s="57"/>
      <c r="D13" s="58"/>
      <c r="E13" s="680"/>
    </row>
    <row r="14" spans="1:5" ht="12.75" customHeight="1">
      <c r="C14" s="61" t="s">
        <v>68</v>
      </c>
      <c r="D14" s="62">
        <f>SUM(D9:D13)</f>
        <v>1391697926</v>
      </c>
      <c r="E14" s="680">
        <f>SUM(E9:E13)</f>
        <v>1</v>
      </c>
    </row>
    <row r="20" spans="1:3" ht="12.75" customHeight="1">
      <c r="C20" s="53" t="s">
        <v>88</v>
      </c>
    </row>
    <row r="21" spans="1:3" ht="12.75" customHeight="1">
      <c r="C21" s="53" t="s">
        <v>89</v>
      </c>
    </row>
    <row r="22" spans="1:3" ht="12.75" customHeight="1">
      <c r="C22" s="53" t="s">
        <v>90</v>
      </c>
    </row>
    <row r="23" spans="1:3" ht="12.75" customHeight="1">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56"/>
    </row>
    <row r="48" spans="1:1" ht="12.75" customHeight="1">
      <c r="A48" s="1686" t="str">
        <f>C14&amp;" "&amp;TEXT(D14,"$#,###")</f>
        <v>Total Operating Sources $1,391,697,926</v>
      </c>
    </row>
    <row r="49" spans="1:5" ht="12.75" customHeight="1">
      <c r="A49" s="1686"/>
    </row>
    <row r="50" spans="1:5" ht="12.75" customHeight="1">
      <c r="A50" s="56"/>
    </row>
    <row r="52" spans="1:5" ht="12.75" customHeight="1">
      <c r="C52" s="63" t="s">
        <v>25</v>
      </c>
      <c r="D52" s="58"/>
    </row>
    <row r="54" spans="1:5" ht="12.75" customHeight="1">
      <c r="C54" s="59" t="s">
        <v>1</v>
      </c>
      <c r="D54" s="60">
        <f>'UH1 Sum'!B10</f>
        <v>204365435</v>
      </c>
      <c r="E54" s="680">
        <f>ROUND(D54/$D$67,3)</f>
        <v>0.14699999999999999</v>
      </c>
    </row>
    <row r="55" spans="1:5" ht="12.75" customHeight="1">
      <c r="C55" s="59" t="s">
        <v>73</v>
      </c>
      <c r="D55" s="60">
        <f>'UH1 Sum'!B11</f>
        <v>44698087</v>
      </c>
      <c r="E55" s="680">
        <f t="shared" ref="E55:E66" si="1">ROUND(D55/$D$67,3)</f>
        <v>3.2000000000000001E-2</v>
      </c>
    </row>
    <row r="56" spans="1:5" ht="12.75" customHeight="1">
      <c r="C56" s="59"/>
      <c r="D56" s="60"/>
      <c r="E56" s="680"/>
    </row>
    <row r="57" spans="1:5" ht="12.75" customHeight="1">
      <c r="C57" s="59" t="str">
        <f>'UH1 Sum'!A13</f>
        <v>Higher Education Fund</v>
      </c>
      <c r="D57" s="60">
        <f>'UH1 Sum'!B13</f>
        <v>54514004</v>
      </c>
      <c r="E57" s="680">
        <f t="shared" si="1"/>
        <v>3.9E-2</v>
      </c>
    </row>
    <row r="58" spans="1:5" ht="12.75" customHeight="1">
      <c r="C58" s="1069" t="s">
        <v>41</v>
      </c>
      <c r="D58" s="60">
        <f>'UH1 Sum'!B14</f>
        <v>0</v>
      </c>
      <c r="E58" s="680">
        <f t="shared" si="1"/>
        <v>0</v>
      </c>
    </row>
    <row r="59" spans="1:5" ht="12.75" customHeight="1">
      <c r="C59" s="59" t="s">
        <v>87</v>
      </c>
      <c r="D59" s="60">
        <f>'UH1 Sum'!B20</f>
        <v>400572093</v>
      </c>
      <c r="E59" s="680">
        <f t="shared" si="1"/>
        <v>0.28799999999999998</v>
      </c>
    </row>
    <row r="60" spans="1:5" ht="12.75" customHeight="1">
      <c r="C60" s="64" t="s">
        <v>74</v>
      </c>
      <c r="D60" s="60">
        <f>'UH1 Sum'!B23</f>
        <v>263368751</v>
      </c>
      <c r="E60" s="680">
        <f t="shared" si="1"/>
        <v>0.189</v>
      </c>
    </row>
    <row r="61" spans="1:5" ht="12.75" customHeight="1">
      <c r="C61" s="59" t="s">
        <v>75</v>
      </c>
      <c r="D61" s="60">
        <f>'UH1 Sum'!B26</f>
        <v>90328702</v>
      </c>
      <c r="E61" s="680">
        <f t="shared" si="1"/>
        <v>6.5000000000000002E-2</v>
      </c>
    </row>
    <row r="62" spans="1:5" ht="12.75" customHeight="1">
      <c r="C62" s="59" t="s">
        <v>27</v>
      </c>
      <c r="D62" s="60">
        <f>'UH1 Sum'!B27</f>
        <v>11634678</v>
      </c>
      <c r="E62" s="680">
        <f t="shared" si="1"/>
        <v>8.0000000000000002E-3</v>
      </c>
    </row>
    <row r="63" spans="1:5" ht="12.75" customHeight="1">
      <c r="C63" s="59" t="s">
        <v>76</v>
      </c>
      <c r="D63" s="60">
        <f>'UH1 Sum'!B28</f>
        <v>73373813</v>
      </c>
      <c r="E63" s="680">
        <f t="shared" si="1"/>
        <v>5.2999999999999999E-2</v>
      </c>
    </row>
    <row r="64" spans="1:5" ht="12.75" customHeight="1">
      <c r="C64" s="59" t="s">
        <v>77</v>
      </c>
      <c r="D64" s="60">
        <f>'UH1 Sum'!B29</f>
        <v>91229161</v>
      </c>
      <c r="E64" s="680">
        <f t="shared" si="1"/>
        <v>6.6000000000000003E-2</v>
      </c>
    </row>
    <row r="65" spans="1:5" ht="12.75" customHeight="1">
      <c r="C65" s="59" t="s">
        <v>220</v>
      </c>
      <c r="D65" s="60">
        <f>'UH1 Sum'!B30</f>
        <v>47444235</v>
      </c>
      <c r="E65" s="680">
        <f t="shared" si="1"/>
        <v>3.4000000000000002E-2</v>
      </c>
    </row>
    <row r="66" spans="1:5" ht="12.75" customHeight="1">
      <c r="C66" s="64" t="s">
        <v>52</v>
      </c>
      <c r="D66" s="60">
        <f>'UH1 Sum'!B31</f>
        <v>110168967</v>
      </c>
      <c r="E66" s="680">
        <f t="shared" si="1"/>
        <v>7.9000000000000001E-2</v>
      </c>
    </row>
    <row r="67" spans="1:5" ht="12.75" customHeight="1">
      <c r="C67" s="61" t="s">
        <v>68</v>
      </c>
      <c r="D67" s="62">
        <f>SUM(D54:D66)</f>
        <v>1391697926</v>
      </c>
      <c r="E67" s="681">
        <f>SUM(E54:E66)</f>
        <v>1</v>
      </c>
    </row>
    <row r="77" spans="1:5" ht="12.75" customHeight="1">
      <c r="A77" s="56"/>
    </row>
    <row r="78" spans="1:5" ht="12.75" customHeight="1">
      <c r="A78" s="56"/>
    </row>
    <row r="79" spans="1:5" ht="12.75" customHeight="1">
      <c r="A79" s="56"/>
    </row>
    <row r="80" spans="1:5" ht="12.75" customHeight="1">
      <c r="A80" s="56"/>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65"/>
    </row>
    <row r="93" spans="1:5" ht="12.75" customHeight="1">
      <c r="A93" s="1686" t="str">
        <f>C67&amp;" "&amp;TEXT(D67,"$#,###")</f>
        <v>Total Operating Sources $1,391,697,926</v>
      </c>
    </row>
    <row r="94" spans="1:5" ht="12.75" customHeight="1">
      <c r="A94" s="1686"/>
    </row>
    <row r="95" spans="1:5" s="68" customFormat="1" ht="12.75" customHeight="1">
      <c r="A95" s="65"/>
      <c r="E95" s="682"/>
    </row>
    <row r="96" spans="1:5" ht="12.75" customHeight="1">
      <c r="A96" s="66"/>
    </row>
    <row r="97" spans="1:5" ht="12.75" customHeight="1">
      <c r="A97" s="65"/>
    </row>
    <row r="98" spans="1:5" ht="12.75" customHeight="1">
      <c r="A98" s="65"/>
    </row>
    <row r="99" spans="1:5" ht="12.75" customHeight="1">
      <c r="A99" s="65"/>
    </row>
    <row r="100" spans="1:5" ht="12.75" customHeight="1">
      <c r="C100" s="1687" t="s">
        <v>13</v>
      </c>
      <c r="D100" s="1687"/>
    </row>
    <row r="101" spans="1:5" ht="12.75" customHeight="1">
      <c r="C101" s="1687"/>
      <c r="D101" s="1687"/>
    </row>
    <row r="102" spans="1:5" ht="12.75" customHeight="1">
      <c r="C102" s="69" t="s">
        <v>14</v>
      </c>
      <c r="D102" s="60">
        <f>'UH1 Sum'!B36</f>
        <v>255068753</v>
      </c>
      <c r="E102" s="680">
        <f>ROUND(D102/$D$114,3)</f>
        <v>0.214</v>
      </c>
    </row>
    <row r="103" spans="1:5" ht="12.75" customHeight="1">
      <c r="C103" s="69" t="s">
        <v>15</v>
      </c>
      <c r="D103" s="60">
        <f>'UH1 Sum'!B37</f>
        <v>168699978</v>
      </c>
      <c r="E103" s="680">
        <f t="shared" ref="E103:E112" si="2">ROUND(D103/$D$114,3)</f>
        <v>0.14199999999999999</v>
      </c>
    </row>
    <row r="104" spans="1:5" ht="12.75" customHeight="1">
      <c r="C104" s="69" t="s">
        <v>16</v>
      </c>
      <c r="D104" s="60">
        <f>'UH1 Sum'!B38</f>
        <v>35946861</v>
      </c>
      <c r="E104" s="680">
        <f t="shared" si="2"/>
        <v>0.03</v>
      </c>
    </row>
    <row r="105" spans="1:5" ht="12.75" customHeight="1">
      <c r="C105" s="69" t="s">
        <v>17</v>
      </c>
      <c r="D105" s="60">
        <f>'UH1 Sum'!B39</f>
        <v>179930717</v>
      </c>
      <c r="E105" s="680">
        <f t="shared" si="2"/>
        <v>0.151</v>
      </c>
    </row>
    <row r="106" spans="1:5" ht="12.75" customHeight="1">
      <c r="C106" s="69" t="s">
        <v>18</v>
      </c>
      <c r="D106" s="60">
        <f>'UH1 Sum'!B40</f>
        <v>38192008</v>
      </c>
      <c r="E106" s="680">
        <f t="shared" si="2"/>
        <v>3.2000000000000001E-2</v>
      </c>
    </row>
    <row r="107" spans="1:5" ht="12.75" customHeight="1">
      <c r="C107" s="69" t="s">
        <v>19</v>
      </c>
      <c r="D107" s="60">
        <f>'UH1 Sum'!B41</f>
        <v>85318060</v>
      </c>
      <c r="E107" s="680">
        <f t="shared" si="2"/>
        <v>7.1999999999999995E-2</v>
      </c>
    </row>
    <row r="108" spans="1:5" ht="12.75" customHeight="1">
      <c r="C108" s="69" t="s">
        <v>78</v>
      </c>
      <c r="D108" s="60">
        <f>'UH1 Sum'!B42</f>
        <v>59357962</v>
      </c>
      <c r="E108" s="680">
        <f t="shared" si="2"/>
        <v>0.05</v>
      </c>
    </row>
    <row r="109" spans="1:5" ht="12.75" customHeight="1">
      <c r="C109" s="69" t="s">
        <v>79</v>
      </c>
      <c r="D109" s="60">
        <f>'UH1 Sum'!B43</f>
        <v>78002862</v>
      </c>
      <c r="E109" s="680">
        <f t="shared" si="2"/>
        <v>6.5000000000000002E-2</v>
      </c>
    </row>
    <row r="110" spans="1:5" ht="12.75" customHeight="1">
      <c r="C110" s="69" t="s">
        <v>22</v>
      </c>
      <c r="D110" s="60">
        <f>'UH1 Sum'!B44</f>
        <v>134076794</v>
      </c>
      <c r="E110" s="680">
        <f t="shared" si="2"/>
        <v>0.112</v>
      </c>
    </row>
    <row r="111" spans="1:5" ht="12.75" customHeight="1">
      <c r="C111" s="64" t="s">
        <v>29</v>
      </c>
      <c r="D111" s="60">
        <f>'UH1 Sum'!B45</f>
        <v>13333740</v>
      </c>
      <c r="E111" s="680">
        <f t="shared" si="2"/>
        <v>1.0999999999999999E-2</v>
      </c>
    </row>
    <row r="112" spans="1:5" ht="12.75" customHeight="1">
      <c r="C112" s="64" t="s">
        <v>53</v>
      </c>
      <c r="D112" s="60">
        <f>'UH1 Sum'!B46</f>
        <v>144285294</v>
      </c>
      <c r="E112" s="680">
        <f t="shared" si="2"/>
        <v>0.121</v>
      </c>
    </row>
    <row r="113" spans="3:5" ht="12.75" customHeight="1">
      <c r="C113" s="57"/>
      <c r="D113" s="57"/>
    </row>
    <row r="114" spans="3:5" ht="12.75" customHeight="1">
      <c r="C114" s="70" t="s">
        <v>69</v>
      </c>
      <c r="D114" s="62">
        <f>SUM(D102:D113)</f>
        <v>1192213029</v>
      </c>
      <c r="E114" s="681">
        <f>SUM(E102:E113)</f>
        <v>1</v>
      </c>
    </row>
    <row r="115" spans="3:5" ht="12.75" customHeight="1">
      <c r="D115" s="56"/>
    </row>
    <row r="116" spans="3:5" ht="12.75" customHeight="1">
      <c r="C116" s="71" t="s">
        <v>55</v>
      </c>
      <c r="D116" s="56"/>
    </row>
    <row r="132" spans="1:1" ht="12.75" customHeight="1">
      <c r="A132" s="64"/>
    </row>
    <row r="133" spans="1:1" ht="12.75" customHeight="1">
      <c r="A133" s="56"/>
    </row>
    <row r="134" spans="1:1" ht="12.75" customHeight="1">
      <c r="A134" s="56"/>
    </row>
    <row r="135" spans="1:1" ht="12.75" customHeight="1">
      <c r="A135" s="56"/>
    </row>
    <row r="136" spans="1:1" ht="12.75" customHeight="1">
      <c r="A136" s="56"/>
    </row>
    <row r="137" spans="1:1" ht="12.75" customHeight="1">
      <c r="A137" s="1686" t="str">
        <f>C114&amp;" "&amp;TEXT(D114,"$#,###")</f>
        <v>Total Operating Uses $1,192,213,029</v>
      </c>
    </row>
    <row r="138" spans="1:1" ht="12.75" customHeight="1">
      <c r="A138" s="1686"/>
    </row>
    <row r="139" spans="1:1" ht="16.5" customHeight="1">
      <c r="A139" s="56"/>
    </row>
    <row r="140" spans="1:1" ht="19.5" customHeight="1">
      <c r="A140" s="72" t="s">
        <v>70</v>
      </c>
    </row>
    <row r="141" spans="1:1" ht="13.5" customHeight="1">
      <c r="A141" s="59" t="s">
        <v>56</v>
      </c>
    </row>
    <row r="142" spans="1:1" ht="13.5" customHeight="1">
      <c r="A142" s="56"/>
    </row>
    <row r="143" spans="1:1" ht="13.5" customHeight="1">
      <c r="A143" s="56"/>
    </row>
    <row r="144" spans="1:1" ht="13.5" customHeight="1">
      <c r="A144" s="56"/>
    </row>
    <row r="145" spans="1:1" ht="13.5" customHeight="1">
      <c r="A145" s="56"/>
    </row>
    <row r="146" spans="1:1" ht="12.75" customHeight="1">
      <c r="A146" s="56"/>
    </row>
    <row r="147" spans="1:1" ht="12.75" customHeight="1">
      <c r="A147" s="73"/>
    </row>
    <row r="148" spans="1:1" ht="12.75" customHeight="1">
      <c r="A148" s="73"/>
    </row>
    <row r="149" spans="1:1" ht="12.75" customHeight="1">
      <c r="A149" s="73"/>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row r="166" spans="1:1" ht="12.75" customHeight="1">
      <c r="A166" s="67"/>
    </row>
  </sheetData>
  <mergeCells count="6">
    <mergeCell ref="A48:A49"/>
    <mergeCell ref="A93:A94"/>
    <mergeCell ref="C101:D101"/>
    <mergeCell ref="A137:A138"/>
    <mergeCell ref="C7:D7"/>
    <mergeCell ref="C100:D100"/>
  </mergeCells>
  <hyperlinks>
    <hyperlink ref="B1" location="Index!A1" display="Return to Index" xr:uid="{00000000-0004-0000-69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1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transitionEvaluation="1" transitionEntry="1" codeName="Sheet84">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A7" sqref="A7"/>
    </sheetView>
  </sheetViews>
  <sheetFormatPr defaultColWidth="9.140625"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'UH1 Chrts'!$A$1</f>
        <v>University of Houston - Academic &amp; Health (A+H)</v>
      </c>
      <c r="B1" s="74"/>
      <c r="C1" s="1"/>
      <c r="D1" s="1704" t="s">
        <v>1200</v>
      </c>
      <c r="E1" s="1705"/>
      <c r="F1" s="1757" t="s">
        <v>1196</v>
      </c>
      <c r="G1" s="1706"/>
      <c r="H1" s="1706"/>
      <c r="I1" s="1706"/>
      <c r="J1" s="1707" t="s">
        <v>1197</v>
      </c>
      <c r="K1" s="1695"/>
      <c r="L1" s="1695"/>
      <c r="M1" s="1695"/>
      <c r="N1" s="1695"/>
      <c r="O1" s="1696"/>
    </row>
    <row r="2" spans="1:15">
      <c r="A2" s="172" t="s">
        <v>2132</v>
      </c>
      <c r="B2" s="74"/>
      <c r="C2" s="1"/>
      <c r="D2" s="37"/>
      <c r="E2" s="37"/>
      <c r="F2" s="37"/>
      <c r="J2" s="37"/>
      <c r="K2" s="37"/>
      <c r="L2" s="37"/>
      <c r="M2" s="37"/>
    </row>
    <row r="3" spans="1:15" ht="15.75">
      <c r="A3" s="76" t="str">
        <f>'Smmy Chrts'!$A$2</f>
        <v>For the Year Ended August 31, 2021</v>
      </c>
      <c r="B3" s="74"/>
      <c r="C3" s="1"/>
    </row>
    <row r="4" spans="1:15" ht="13.5" customHeight="1">
      <c r="A4" s="76" t="str">
        <f>'Smmy Chrts'!$A$3</f>
        <v>Source: FY 2021 Annual Financial Report</v>
      </c>
      <c r="B4" s="77"/>
      <c r="C4" s="4"/>
      <c r="D4" s="1711" t="s">
        <v>1142</v>
      </c>
      <c r="E4" s="1711" t="s">
        <v>1143</v>
      </c>
      <c r="F4" s="266"/>
    </row>
    <row r="5" spans="1:15" ht="18">
      <c r="A5" s="39" t="str">
        <f>'Smmy Chrts'!$C$35</f>
        <v>Summary Worksheet FY 2021</v>
      </c>
      <c r="B5" s="40" t="s">
        <v>86</v>
      </c>
      <c r="C5" s="40" t="s">
        <v>129</v>
      </c>
      <c r="D5" s="1712"/>
      <c r="E5" s="1712"/>
      <c r="F5" s="266"/>
      <c r="G5" s="799" t="s">
        <v>1198</v>
      </c>
      <c r="I5" s="822" t="s">
        <v>2157</v>
      </c>
      <c r="J5" s="792" t="s">
        <v>1144</v>
      </c>
    </row>
    <row r="6" spans="1:15" ht="13.5" customHeight="1">
      <c r="A6" s="78" t="s">
        <v>266</v>
      </c>
      <c r="B6" s="41"/>
      <c r="C6" s="42">
        <f>VLOOKUP($A$1,FTSELU,12,FALSE)</f>
        <v>40310.42</v>
      </c>
      <c r="J6" s="712"/>
    </row>
    <row r="7" spans="1:15">
      <c r="I7" s="824" t="s">
        <v>1162</v>
      </c>
      <c r="J7" s="827"/>
    </row>
    <row r="8" spans="1:15">
      <c r="A8" s="81" t="s">
        <v>71</v>
      </c>
      <c r="B8" s="81"/>
      <c r="C8" s="24"/>
      <c r="I8" s="896">
        <f>VLOOKUP(A1,FTSELU,14,FALSE)</f>
        <v>3533.3999999999996</v>
      </c>
      <c r="J8" s="712"/>
    </row>
    <row r="9" spans="1:15" ht="12.75" customHeight="1" thickBot="1">
      <c r="A9" s="78" t="s">
        <v>0</v>
      </c>
      <c r="B9" s="82"/>
      <c r="C9" s="7"/>
      <c r="J9" s="712"/>
    </row>
    <row r="10" spans="1:15" ht="12.75" customHeight="1" thickTop="1">
      <c r="A10" s="75" t="s">
        <v>1</v>
      </c>
      <c r="B10" s="83">
        <f>'UH1 FGD'!M10</f>
        <v>204365435</v>
      </c>
      <c r="C10" s="83">
        <f>ROUND(B10/$C$6,0)</f>
        <v>5070</v>
      </c>
      <c r="D10" s="512">
        <f>'UH1 FGD'!F10</f>
        <v>0</v>
      </c>
      <c r="E10" s="512"/>
      <c r="F10" s="84">
        <f>B10-(SUM(D10:E10))</f>
        <v>204365435</v>
      </c>
      <c r="G10" s="1143" t="s">
        <v>1</v>
      </c>
      <c r="H10" s="1144"/>
      <c r="I10" s="825" t="s">
        <v>1161</v>
      </c>
      <c r="J10" s="713">
        <f>ROUND(F10/$C$6,0)</f>
        <v>5070</v>
      </c>
    </row>
    <row r="11" spans="1:15" ht="12.75" customHeight="1" thickBot="1">
      <c r="A11" s="75" t="s">
        <v>2</v>
      </c>
      <c r="B11" s="86">
        <f>'UH1 FGD'!M11</f>
        <v>44698087</v>
      </c>
      <c r="C11" s="87">
        <f t="shared" ref="C11:C14" si="0">ROUND(B11/$C$6,0)</f>
        <v>1109</v>
      </c>
      <c r="D11" s="86">
        <f>'UH1 FGD'!F11</f>
        <v>0</v>
      </c>
      <c r="E11" s="74"/>
      <c r="F11" s="606">
        <f t="shared" ref="F11:F14" si="1">B11-(SUM(D11:E11))</f>
        <v>44698087</v>
      </c>
      <c r="G11" s="1148">
        <f>SUM(F10:F11)</f>
        <v>249063522</v>
      </c>
      <c r="H11" s="715"/>
      <c r="I11" s="1373">
        <f>ROUND($G$11/$C$6,0)</f>
        <v>6179</v>
      </c>
      <c r="J11" s="716">
        <f t="shared" ref="J11:J14" si="2">ROUND(F11/$C$6,0)</f>
        <v>1109</v>
      </c>
    </row>
    <row r="12" spans="1:15" ht="12.75" hidden="1" customHeight="1" thickTop="1" thickBot="1">
      <c r="A12" s="75" t="s">
        <v>1410</v>
      </c>
      <c r="B12" s="86"/>
      <c r="C12" s="87"/>
      <c r="D12" s="86"/>
      <c r="E12" s="74"/>
      <c r="F12" s="607"/>
      <c r="J12" s="716"/>
      <c r="O12" s="608"/>
    </row>
    <row r="13" spans="1:15" ht="12.75" customHeight="1" thickTop="1">
      <c r="A13" s="75" t="s">
        <v>1368</v>
      </c>
      <c r="B13" s="86">
        <f>'UH1 FGD'!M13</f>
        <v>54514004</v>
      </c>
      <c r="C13" s="87">
        <f t="shared" si="0"/>
        <v>1352</v>
      </c>
      <c r="D13" s="86">
        <f>'UH1 FGD'!F13</f>
        <v>0</v>
      </c>
      <c r="E13" s="74"/>
      <c r="F13" s="893">
        <f t="shared" si="1"/>
        <v>54514004</v>
      </c>
      <c r="G13" s="882" t="s">
        <v>81</v>
      </c>
      <c r="H13" s="894"/>
      <c r="I13" s="826" t="s">
        <v>1163</v>
      </c>
      <c r="J13" s="716">
        <f t="shared" si="2"/>
        <v>1352</v>
      </c>
    </row>
    <row r="14" spans="1:15" ht="12.75" customHeight="1" thickBot="1">
      <c r="A14" s="75" t="s">
        <v>49</v>
      </c>
      <c r="B14" s="86">
        <f>'UH1 FGD'!M14</f>
        <v>0</v>
      </c>
      <c r="C14" s="87">
        <f t="shared" si="0"/>
        <v>0</v>
      </c>
      <c r="D14" s="86">
        <f>'UH1 FGD'!F14</f>
        <v>0</v>
      </c>
      <c r="E14" s="74"/>
      <c r="F14" s="607">
        <f t="shared" si="1"/>
        <v>0</v>
      </c>
      <c r="G14" s="800">
        <f>SUM(F13:F14)</f>
        <v>54514004</v>
      </c>
      <c r="H14" s="895"/>
      <c r="I14" s="1377">
        <f>ROUND($G$11/$I$8,0)</f>
        <v>70488</v>
      </c>
      <c r="J14" s="828">
        <f t="shared" si="2"/>
        <v>0</v>
      </c>
    </row>
    <row r="15" spans="1:15" ht="12.75" customHeight="1" thickTop="1">
      <c r="A15" s="88" t="s">
        <v>3</v>
      </c>
      <c r="B15" s="89">
        <f>SUM(B10:B14)</f>
        <v>303577526</v>
      </c>
      <c r="C15" s="89">
        <f>SUM(C10:C14)</f>
        <v>7531</v>
      </c>
      <c r="D15" s="89">
        <f>SUM(D10:D14)</f>
        <v>0</v>
      </c>
      <c r="E15" s="89">
        <f>SUM(E10:E14)</f>
        <v>0</v>
      </c>
      <c r="F15" s="216">
        <f>SUM(F10:F14)</f>
        <v>303577526</v>
      </c>
      <c r="I15" s="1372"/>
      <c r="J15" s="757">
        <f>SUM(J10:J14)</f>
        <v>7531</v>
      </c>
    </row>
    <row r="16" spans="1:15">
      <c r="B16" s="48"/>
      <c r="C16" s="75"/>
      <c r="J16" s="712"/>
    </row>
    <row r="17" spans="1:31" ht="12.75" customHeight="1">
      <c r="A17" s="78" t="s">
        <v>4</v>
      </c>
      <c r="B17" s="86"/>
      <c r="C17" s="75"/>
      <c r="J17" s="712"/>
    </row>
    <row r="18" spans="1:31">
      <c r="A18" s="75" t="s">
        <v>39</v>
      </c>
      <c r="B18" s="83">
        <f>'UH1 FGD'!M29</f>
        <v>290412907</v>
      </c>
      <c r="C18" s="83">
        <f t="shared" ref="C18:C19" si="3">ROUND(B18/$C$6,0)</f>
        <v>7204</v>
      </c>
      <c r="D18" s="512">
        <f>'UH1 FGD'!$F$29</f>
        <v>0</v>
      </c>
      <c r="E18" s="512"/>
      <c r="F18" s="512">
        <f t="shared" ref="F18:F19" si="4">B18-(SUM(D18:E18))</f>
        <v>290412907</v>
      </c>
      <c r="G18" s="337"/>
      <c r="H18" s="337"/>
      <c r="I18" s="337"/>
      <c r="J18" s="713">
        <f>ROUND(F18/$C$6,0)</f>
        <v>7204</v>
      </c>
    </row>
    <row r="19" spans="1:31" ht="13.5" thickBot="1">
      <c r="A19" s="75" t="s">
        <v>40</v>
      </c>
      <c r="B19" s="86">
        <f>'UH1 FGD'!M42</f>
        <v>110159186</v>
      </c>
      <c r="C19" s="87">
        <f t="shared" si="3"/>
        <v>2733</v>
      </c>
      <c r="D19" s="74">
        <f>'UH1 FGD'!$F$42</f>
        <v>21349204</v>
      </c>
      <c r="E19" s="74"/>
      <c r="F19" s="74">
        <f t="shared" si="4"/>
        <v>88809982</v>
      </c>
      <c r="G19" s="337"/>
      <c r="H19" s="337"/>
      <c r="I19" s="337"/>
      <c r="J19" s="716">
        <f>ROUND(F19/$C$6,0)</f>
        <v>2203</v>
      </c>
    </row>
    <row r="20" spans="1:31" ht="14.25" thickTop="1" thickBot="1">
      <c r="A20" s="88" t="s">
        <v>5</v>
      </c>
      <c r="B20" s="89">
        <f>SUM(B18:B19)</f>
        <v>400572093</v>
      </c>
      <c r="C20" s="89">
        <f>SUM(C18:C19)</f>
        <v>9937</v>
      </c>
      <c r="D20" s="717">
        <f>SUM(D18:D19)</f>
        <v>21349204</v>
      </c>
      <c r="E20" s="718">
        <f>SUM(E18:E19)</f>
        <v>0</v>
      </c>
      <c r="F20" s="801">
        <f>SUM(F18:F19)</f>
        <v>379222889</v>
      </c>
      <c r="G20" s="720" t="s">
        <v>26</v>
      </c>
      <c r="H20" s="366"/>
      <c r="I20" s="367"/>
      <c r="J20" s="721">
        <f>SUM(J18:J19)</f>
        <v>9407</v>
      </c>
    </row>
    <row r="21" spans="1:31" ht="12.75" customHeight="1" thickTop="1">
      <c r="B21" s="91"/>
      <c r="C21" s="75"/>
      <c r="F21" s="804"/>
      <c r="J21" s="712"/>
    </row>
    <row r="22" spans="1:31" ht="14.25" customHeight="1" thickBot="1">
      <c r="A22" s="78" t="s">
        <v>6</v>
      </c>
      <c r="B22" s="91"/>
      <c r="C22" s="75"/>
      <c r="J22" s="712"/>
    </row>
    <row r="23" spans="1:31" ht="14.25" thickTop="1" thickBot="1">
      <c r="A23" s="88" t="s">
        <v>7</v>
      </c>
      <c r="B23" s="92">
        <f>'UH1 FGD'!M47</f>
        <v>263368751</v>
      </c>
      <c r="C23" s="89">
        <f t="shared" ref="C23" si="5">ROUND(B23/$C$6,0)</f>
        <v>6534</v>
      </c>
      <c r="D23" s="717">
        <f>'UH1 FGD'!F47</f>
        <v>0</v>
      </c>
      <c r="E23" s="718"/>
      <c r="F23" s="801">
        <f>B23-(SUM(D23:E23))</f>
        <v>263368751</v>
      </c>
      <c r="G23" s="722" t="s">
        <v>74</v>
      </c>
      <c r="H23" s="366"/>
      <c r="I23" s="367"/>
      <c r="J23" s="756">
        <f>ROUND(F23/$C$6,0)</f>
        <v>6534</v>
      </c>
    </row>
    <row r="24" spans="1:31" ht="13.5" thickTop="1">
      <c r="B24" s="91"/>
      <c r="C24" s="75"/>
      <c r="J24" s="712"/>
    </row>
    <row r="25" spans="1:31">
      <c r="A25" s="78" t="s">
        <v>8</v>
      </c>
      <c r="B25" s="91"/>
      <c r="C25" s="75"/>
      <c r="J25" s="712"/>
    </row>
    <row r="26" spans="1:31">
      <c r="A26" s="75" t="s">
        <v>42</v>
      </c>
      <c r="B26" s="83">
        <f>'UH1 FGD'!M50</f>
        <v>90328702</v>
      </c>
      <c r="C26" s="83">
        <f t="shared" ref="C26:C31" si="6">ROUND(B26/$C$6,0)</f>
        <v>2241</v>
      </c>
      <c r="D26" s="512">
        <f>'UH1 FGD'!F50</f>
        <v>0</v>
      </c>
      <c r="E26" s="512"/>
      <c r="F26" s="512">
        <f t="shared" ref="F26:F31" si="7">B26-(SUM(D26:E26))</f>
        <v>90328702</v>
      </c>
      <c r="G26" s="337"/>
      <c r="H26" s="337"/>
      <c r="I26" s="337"/>
      <c r="J26" s="713">
        <f>ROUND(F26/$C$6,0)</f>
        <v>2241</v>
      </c>
    </row>
    <row r="27" spans="1:31">
      <c r="A27" s="75" t="s">
        <v>9</v>
      </c>
      <c r="B27" s="86">
        <f>'UH1 FGD'!M51</f>
        <v>11634678</v>
      </c>
      <c r="C27" s="87">
        <f t="shared" si="6"/>
        <v>289</v>
      </c>
      <c r="D27" s="86">
        <f>'UH1 FGD'!F51</f>
        <v>0</v>
      </c>
      <c r="E27" s="74"/>
      <c r="F27" s="74">
        <f t="shared" si="7"/>
        <v>11634678</v>
      </c>
      <c r="G27" s="337"/>
      <c r="H27" s="337"/>
      <c r="I27" s="337"/>
      <c r="J27" s="716">
        <f t="shared" ref="J27:J31" si="8">ROUND(F27/$C$6,0)</f>
        <v>289</v>
      </c>
    </row>
    <row r="28" spans="1:31" ht="13.5" thickBot="1">
      <c r="A28" s="75" t="s">
        <v>10</v>
      </c>
      <c r="B28" s="86">
        <f>'UH1 FGD'!M52</f>
        <v>73373813</v>
      </c>
      <c r="C28" s="87">
        <f t="shared" si="6"/>
        <v>1820</v>
      </c>
      <c r="D28" s="86">
        <f>'UH1 FGD'!F52</f>
        <v>0</v>
      </c>
      <c r="E28" s="74"/>
      <c r="F28" s="74">
        <f t="shared" si="7"/>
        <v>73373813</v>
      </c>
      <c r="G28" s="337"/>
      <c r="H28" s="337"/>
      <c r="I28" s="337"/>
      <c r="J28" s="716">
        <f t="shared" si="8"/>
        <v>1820</v>
      </c>
    </row>
    <row r="29" spans="1:31" ht="13.5" thickBot="1">
      <c r="A29" s="75" t="s">
        <v>11</v>
      </c>
      <c r="B29" s="86">
        <f>'UH1 FGD'!M53</f>
        <v>91229161</v>
      </c>
      <c r="C29" s="87">
        <f t="shared" si="6"/>
        <v>2263</v>
      </c>
      <c r="D29" s="86">
        <f>'UH1 FGD'!F53</f>
        <v>0</v>
      </c>
      <c r="E29" s="74"/>
      <c r="F29" s="74">
        <f t="shared" si="7"/>
        <v>91229161</v>
      </c>
      <c r="G29" s="337"/>
      <c r="H29" s="337"/>
      <c r="I29" s="337"/>
      <c r="J29" s="716">
        <f t="shared" si="8"/>
        <v>2263</v>
      </c>
      <c r="K29" s="1694" t="s">
        <v>1065</v>
      </c>
      <c r="L29" s="1695"/>
      <c r="M29" s="1695"/>
      <c r="N29" s="1695"/>
      <c r="O29" s="1696"/>
    </row>
    <row r="30" spans="1:31" ht="13.5" thickBot="1">
      <c r="A30" s="93" t="s">
        <v>2134</v>
      </c>
      <c r="B30" s="94">
        <f>'UH1 FGD'!M54</f>
        <v>47444235</v>
      </c>
      <c r="C30" s="87">
        <f t="shared" si="6"/>
        <v>1177</v>
      </c>
      <c r="D30" s="729">
        <f>B30</f>
        <v>47444235</v>
      </c>
      <c r="E30" s="74"/>
      <c r="F30" s="74">
        <f t="shared" si="7"/>
        <v>0</v>
      </c>
      <c r="G30" s="337"/>
      <c r="H30" s="337"/>
      <c r="I30" s="337"/>
      <c r="J30" s="716">
        <f t="shared" si="8"/>
        <v>0</v>
      </c>
      <c r="K30" s="1694" t="s">
        <v>1070</v>
      </c>
      <c r="L30" s="1695"/>
      <c r="M30" s="1695"/>
      <c r="N30" s="1695"/>
      <c r="O30" s="1696"/>
    </row>
    <row r="31" spans="1:31" ht="13.5" customHeight="1" thickBot="1">
      <c r="A31" s="95" t="s">
        <v>43</v>
      </c>
      <c r="B31" s="86">
        <f>'UH1 FGD'!M55</f>
        <v>110168967</v>
      </c>
      <c r="C31" s="87">
        <f t="shared" si="6"/>
        <v>2733</v>
      </c>
      <c r="D31" s="86">
        <f>'UH1 FGD'!F55</f>
        <v>34212062</v>
      </c>
      <c r="E31" s="74"/>
      <c r="F31" s="74">
        <f t="shared" si="7"/>
        <v>75956905</v>
      </c>
      <c r="G31" s="35"/>
      <c r="H31" s="35"/>
      <c r="I31" s="38"/>
      <c r="J31" s="716">
        <f t="shared" si="8"/>
        <v>1884</v>
      </c>
      <c r="K31" s="1697" t="s">
        <v>1073</v>
      </c>
      <c r="L31" s="1697" t="s">
        <v>1071</v>
      </c>
      <c r="M31" s="1697" t="s">
        <v>1072</v>
      </c>
      <c r="N31" s="1697" t="s">
        <v>1240</v>
      </c>
      <c r="O31" s="1697"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424179556</v>
      </c>
      <c r="C32" s="89">
        <f>SUM(C26:C31)</f>
        <v>10523</v>
      </c>
      <c r="D32" s="723">
        <f>SUM(D26:D31)</f>
        <v>81656297</v>
      </c>
      <c r="E32" s="723">
        <f>SUM(E26:E31)</f>
        <v>0</v>
      </c>
      <c r="F32" s="802">
        <f>SUM(F26:F31)</f>
        <v>342523259</v>
      </c>
      <c r="G32" s="1708" t="s">
        <v>8</v>
      </c>
      <c r="H32" s="1709"/>
      <c r="I32" s="783" t="s">
        <v>1166</v>
      </c>
      <c r="J32" s="725">
        <f>SUM(J26:J31)</f>
        <v>8497</v>
      </c>
      <c r="K32" s="1698"/>
      <c r="L32" s="1698"/>
      <c r="M32" s="1698"/>
      <c r="N32" s="1698" t="s">
        <v>1074</v>
      </c>
      <c r="O32" s="1698" t="s">
        <v>1075</v>
      </c>
    </row>
    <row r="33" spans="1:31" ht="14.25" thickTop="1" thickBot="1">
      <c r="A33" s="97" t="s">
        <v>68</v>
      </c>
      <c r="B33" s="52">
        <f>B15+B20+B23+B32</f>
        <v>1391697926</v>
      </c>
      <c r="C33" s="45">
        <f>C15+C20+C23+C32</f>
        <v>34525</v>
      </c>
      <c r="D33" s="52">
        <f>D15+D20+D23+D32</f>
        <v>103005501</v>
      </c>
      <c r="E33" s="52">
        <f>E15+E20+E23+E32</f>
        <v>0</v>
      </c>
      <c r="F33" s="724">
        <f>F15+F20+F23+F32</f>
        <v>1288692425</v>
      </c>
      <c r="G33" s="1758" t="s">
        <v>84</v>
      </c>
      <c r="H33" s="1759"/>
      <c r="I33" s="1375">
        <f>ROUND($G$35/$C$6,0)</f>
        <v>30617</v>
      </c>
      <c r="J33" s="726">
        <f>J15+J20+J23+J32</f>
        <v>31969</v>
      </c>
      <c r="K33" s="1698"/>
      <c r="L33" s="1698"/>
      <c r="M33" s="1698"/>
      <c r="N33" s="1698"/>
      <c r="O33" s="1698"/>
    </row>
    <row r="34" spans="1:31" ht="14.25" thickTop="1" thickBot="1">
      <c r="B34" s="98"/>
      <c r="C34" s="75"/>
      <c r="D34" s="337"/>
      <c r="E34" s="337"/>
      <c r="F34" s="337" t="s">
        <v>1199</v>
      </c>
      <c r="G34" s="787">
        <f>G14*-1</f>
        <v>-54514004</v>
      </c>
      <c r="H34" s="337"/>
      <c r="I34" s="783" t="s">
        <v>1167</v>
      </c>
      <c r="J34" s="727"/>
      <c r="K34" s="1699"/>
      <c r="L34" s="1699"/>
      <c r="M34" s="1699"/>
      <c r="N34" s="1699"/>
      <c r="O34" s="1699"/>
    </row>
    <row r="35" spans="1:31" ht="14.25" thickTop="1" thickBot="1">
      <c r="A35" s="81" t="s">
        <v>72</v>
      </c>
      <c r="B35" s="81"/>
      <c r="C35" s="81"/>
      <c r="D35" s="728"/>
      <c r="E35" s="728"/>
      <c r="F35" s="788" t="s">
        <v>1165</v>
      </c>
      <c r="G35" s="803">
        <f>F33+G34</f>
        <v>1234178421</v>
      </c>
      <c r="I35" s="1376">
        <f>ROUND($G$35/$I$8,0)</f>
        <v>349289</v>
      </c>
      <c r="K35" s="609"/>
      <c r="L35" s="609"/>
      <c r="M35" s="609"/>
      <c r="N35" s="609"/>
      <c r="O35" s="609"/>
    </row>
    <row r="36" spans="1:31" ht="13.5" thickTop="1">
      <c r="A36" s="99" t="s">
        <v>14</v>
      </c>
      <c r="B36" s="83">
        <f>'UH1 FGD'!M60</f>
        <v>255068753</v>
      </c>
      <c r="C36" s="83">
        <f t="shared" ref="C36:C46" si="9">ROUND(B36/$C$6,0)</f>
        <v>6328</v>
      </c>
      <c r="D36" s="512">
        <f>'UH1 FGD'!F60</f>
        <v>0</v>
      </c>
      <c r="E36" s="512"/>
      <c r="F36" s="512">
        <f t="shared" ref="F36:F46" si="10">B36-(SUM(D36:E36))</f>
        <v>255068753</v>
      </c>
      <c r="G36" s="337"/>
      <c r="H36" s="1378" t="s">
        <v>2158</v>
      </c>
      <c r="I36" s="1379">
        <f>ROUND(F36/$C$6,0)</f>
        <v>6328</v>
      </c>
      <c r="J36" s="337" t="s">
        <v>752</v>
      </c>
      <c r="K36" s="512">
        <f>F36</f>
        <v>255068753</v>
      </c>
      <c r="L36" s="512">
        <f>K36</f>
        <v>255068753</v>
      </c>
      <c r="M36" s="512"/>
      <c r="N36" s="512"/>
      <c r="O36" s="512"/>
    </row>
    <row r="37" spans="1:31">
      <c r="A37" s="99" t="s">
        <v>15</v>
      </c>
      <c r="B37" s="86">
        <f>'UH1 FGD'!M61</f>
        <v>168699978</v>
      </c>
      <c r="C37" s="87">
        <f t="shared" si="9"/>
        <v>4185</v>
      </c>
      <c r="D37" s="86">
        <f>'UH1 FGD'!F61</f>
        <v>0</v>
      </c>
      <c r="E37" s="74"/>
      <c r="F37" s="74">
        <f t="shared" si="10"/>
        <v>168699978</v>
      </c>
      <c r="G37" s="337"/>
      <c r="H37" s="337"/>
      <c r="J37" s="337" t="s">
        <v>1076</v>
      </c>
      <c r="K37" s="373">
        <f>F37</f>
        <v>168699978</v>
      </c>
      <c r="L37" s="373">
        <f>K37</f>
        <v>168699978</v>
      </c>
      <c r="M37" s="373"/>
      <c r="N37" s="373"/>
      <c r="O37" s="373"/>
    </row>
    <row r="38" spans="1:31">
      <c r="A38" s="99" t="s">
        <v>16</v>
      </c>
      <c r="B38" s="86">
        <f>'UH1 FGD'!M62</f>
        <v>35946861</v>
      </c>
      <c r="C38" s="87">
        <f t="shared" si="9"/>
        <v>892</v>
      </c>
      <c r="D38" s="86">
        <f>'UH1 FGD'!F62</f>
        <v>0</v>
      </c>
      <c r="E38" s="86">
        <f>B38-D38</f>
        <v>35946861</v>
      </c>
      <c r="F38" s="74">
        <f t="shared" si="10"/>
        <v>0</v>
      </c>
      <c r="G38" s="337"/>
      <c r="H38" s="337"/>
      <c r="I38" s="337"/>
      <c r="J38" s="337" t="s">
        <v>1077</v>
      </c>
      <c r="K38" s="736"/>
      <c r="L38" s="737"/>
      <c r="M38" s="737" t="s">
        <v>1152</v>
      </c>
      <c r="N38" s="737"/>
      <c r="O38" s="738"/>
    </row>
    <row r="39" spans="1:31">
      <c r="A39" s="99" t="s">
        <v>17</v>
      </c>
      <c r="B39" s="86">
        <f>'UH1 FGD'!M63</f>
        <v>179930717</v>
      </c>
      <c r="C39" s="87">
        <f t="shared" si="9"/>
        <v>4464</v>
      </c>
      <c r="D39" s="86">
        <f>'UH1 FGD'!F63</f>
        <v>0</v>
      </c>
      <c r="E39" s="74"/>
      <c r="F39" s="74">
        <f t="shared" si="10"/>
        <v>179930717</v>
      </c>
      <c r="G39" s="337"/>
      <c r="H39" s="1378" t="s">
        <v>2159</v>
      </c>
      <c r="I39" s="1379">
        <f>ROUND(F39/$C$6,0)</f>
        <v>4464</v>
      </c>
      <c r="J39" s="337" t="s">
        <v>1078</v>
      </c>
      <c r="K39" s="373">
        <f t="shared" ref="K39:K43" si="11">F39</f>
        <v>179930717</v>
      </c>
      <c r="L39" s="373">
        <f>K39</f>
        <v>179930717</v>
      </c>
      <c r="M39" s="373"/>
      <c r="N39" s="373"/>
      <c r="O39" s="373"/>
    </row>
    <row r="40" spans="1:31">
      <c r="A40" s="99" t="s">
        <v>18</v>
      </c>
      <c r="B40" s="86">
        <f>'UH1 FGD'!M64</f>
        <v>38192008</v>
      </c>
      <c r="C40" s="87">
        <f t="shared" si="9"/>
        <v>947</v>
      </c>
      <c r="D40" s="86">
        <f>'UH1 FGD'!F64</f>
        <v>0</v>
      </c>
      <c r="E40" s="74"/>
      <c r="F40" s="74">
        <f t="shared" si="10"/>
        <v>38192008</v>
      </c>
      <c r="G40" s="337"/>
      <c r="J40" s="337" t="s">
        <v>1079</v>
      </c>
      <c r="K40" s="373">
        <f t="shared" si="11"/>
        <v>38192008</v>
      </c>
      <c r="L40" s="373"/>
      <c r="M40" s="373">
        <f>K40</f>
        <v>38192008</v>
      </c>
      <c r="N40" s="373"/>
      <c r="O40" s="373"/>
    </row>
    <row r="41" spans="1:31">
      <c r="A41" s="99" t="s">
        <v>19</v>
      </c>
      <c r="B41" s="86">
        <f>'UH1 FGD'!M65</f>
        <v>85318060</v>
      </c>
      <c r="C41" s="87">
        <f t="shared" si="9"/>
        <v>2117</v>
      </c>
      <c r="D41" s="86">
        <f>'UH1 FGD'!F65</f>
        <v>0</v>
      </c>
      <c r="E41" s="74"/>
      <c r="F41" s="74">
        <f t="shared" si="10"/>
        <v>85318060</v>
      </c>
      <c r="G41" s="337"/>
      <c r="H41" s="1378" t="s">
        <v>2160</v>
      </c>
      <c r="I41" s="1379">
        <f>ROUND(F41/$C$6,0)</f>
        <v>2117</v>
      </c>
      <c r="J41" s="337" t="s">
        <v>757</v>
      </c>
      <c r="K41" s="373">
        <f t="shared" si="11"/>
        <v>85318060</v>
      </c>
      <c r="L41" s="373"/>
      <c r="M41" s="373"/>
      <c r="N41" s="373">
        <f>K41</f>
        <v>85318060</v>
      </c>
      <c r="O41" s="373"/>
    </row>
    <row r="42" spans="1:31">
      <c r="A42" s="99" t="s">
        <v>20</v>
      </c>
      <c r="B42" s="86">
        <f>'UH1 FGD'!M66</f>
        <v>59357962</v>
      </c>
      <c r="C42" s="87">
        <f t="shared" si="9"/>
        <v>1473</v>
      </c>
      <c r="D42" s="86">
        <f>'UH1 FGD'!F66</f>
        <v>0</v>
      </c>
      <c r="E42" s="74"/>
      <c r="F42" s="74">
        <f t="shared" si="10"/>
        <v>59357962</v>
      </c>
      <c r="G42" s="337"/>
      <c r="J42" s="337" t="s">
        <v>758</v>
      </c>
      <c r="K42" s="373">
        <f t="shared" si="11"/>
        <v>59357962</v>
      </c>
      <c r="L42" s="373"/>
      <c r="M42" s="373"/>
      <c r="N42" s="373">
        <f>K42</f>
        <v>59357962</v>
      </c>
      <c r="O42" s="373"/>
    </row>
    <row r="43" spans="1:31">
      <c r="A43" s="99" t="s">
        <v>21</v>
      </c>
      <c r="B43" s="86">
        <f>'UH1 FGD'!M67</f>
        <v>78002862</v>
      </c>
      <c r="C43" s="87">
        <f t="shared" si="9"/>
        <v>1935</v>
      </c>
      <c r="D43" s="86">
        <f>'UH1 FGD'!F67</f>
        <v>0</v>
      </c>
      <c r="E43" s="74"/>
      <c r="F43" s="74">
        <f t="shared" si="10"/>
        <v>78002862</v>
      </c>
      <c r="G43" s="337"/>
      <c r="H43" s="337"/>
      <c r="I43" s="337"/>
      <c r="J43" s="337" t="s">
        <v>1145</v>
      </c>
      <c r="K43" s="373">
        <f t="shared" si="11"/>
        <v>78002862</v>
      </c>
      <c r="L43" s="373"/>
      <c r="M43" s="373">
        <f>K43</f>
        <v>78002862</v>
      </c>
      <c r="N43" s="373"/>
      <c r="O43" s="373"/>
    </row>
    <row r="44" spans="1:31">
      <c r="A44" s="99" t="s">
        <v>2135</v>
      </c>
      <c r="B44" s="86">
        <f>'UH1 FGD'!M68</f>
        <v>134076794</v>
      </c>
      <c r="C44" s="87">
        <f t="shared" si="9"/>
        <v>3326</v>
      </c>
      <c r="D44" s="729">
        <f>B44</f>
        <v>134076794</v>
      </c>
      <c r="E44" s="74"/>
      <c r="F44" s="74">
        <f t="shared" si="10"/>
        <v>0</v>
      </c>
      <c r="G44" s="337"/>
      <c r="H44" s="337"/>
      <c r="I44" s="337"/>
      <c r="J44" s="337" t="s">
        <v>743</v>
      </c>
      <c r="K44" s="736"/>
      <c r="L44" s="737"/>
      <c r="M44" s="737" t="s">
        <v>1152</v>
      </c>
      <c r="N44" s="737"/>
      <c r="O44" s="738"/>
    </row>
    <row r="45" spans="1:31">
      <c r="A45" s="99" t="s">
        <v>61</v>
      </c>
      <c r="B45" s="86">
        <f>'UH1 FGD'!M69</f>
        <v>13333740</v>
      </c>
      <c r="C45" s="87">
        <f t="shared" si="9"/>
        <v>331</v>
      </c>
      <c r="D45" s="86">
        <f>'UH1 FGD'!F69</f>
        <v>183264</v>
      </c>
      <c r="E45" s="74"/>
      <c r="F45" s="74">
        <f t="shared" si="10"/>
        <v>13150476</v>
      </c>
      <c r="G45" s="337"/>
      <c r="H45" s="337"/>
      <c r="I45" s="337"/>
      <c r="J45" s="337" t="s">
        <v>1080</v>
      </c>
      <c r="K45" s="373">
        <f t="shared" ref="K45:K46" si="12">F45</f>
        <v>13150476</v>
      </c>
      <c r="L45" s="373"/>
      <c r="M45" s="373"/>
      <c r="N45" s="373"/>
      <c r="O45" s="373">
        <f>K45</f>
        <v>13150476</v>
      </c>
    </row>
    <row r="46" spans="1:31" ht="13.5" thickBot="1">
      <c r="A46" s="75" t="s">
        <v>50</v>
      </c>
      <c r="B46" s="86">
        <f>'UH1 FGD'!M70</f>
        <v>144285294</v>
      </c>
      <c r="C46" s="87">
        <f t="shared" si="9"/>
        <v>3579</v>
      </c>
      <c r="D46" s="86">
        <f>'UH1 FGD'!F70</f>
        <v>68030</v>
      </c>
      <c r="E46" s="74"/>
      <c r="F46" s="74">
        <f t="shared" si="10"/>
        <v>144217264</v>
      </c>
      <c r="G46" s="35"/>
      <c r="H46" s="1378" t="s">
        <v>2161</v>
      </c>
      <c r="I46" s="1379">
        <f>ROUND(SUM(F37+F40+F42+F43+F45+F46)/$C$6,0)</f>
        <v>12444</v>
      </c>
      <c r="J46" s="610" t="s">
        <v>1075</v>
      </c>
      <c r="K46" s="373">
        <f t="shared" si="12"/>
        <v>144217264</v>
      </c>
      <c r="L46" s="611"/>
      <c r="M46" s="611"/>
      <c r="N46" s="611"/>
      <c r="O46" s="373">
        <f>K46</f>
        <v>144217264</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1192213029</v>
      </c>
      <c r="C47" s="45">
        <f>SUM(C36:C46)</f>
        <v>29577</v>
      </c>
      <c r="D47" s="730">
        <f>SUM(D36:D46)</f>
        <v>134328088</v>
      </c>
      <c r="E47" s="731">
        <f>SUM(E36:E46)</f>
        <v>35946861</v>
      </c>
      <c r="F47" s="719">
        <f>SUM(F36:F46)</f>
        <v>1021938080</v>
      </c>
      <c r="G47" s="1688" t="s">
        <v>1176</v>
      </c>
      <c r="H47" s="1689"/>
      <c r="I47" s="785" t="s">
        <v>1164</v>
      </c>
      <c r="J47" s="610" t="s">
        <v>1081</v>
      </c>
      <c r="K47" s="612">
        <f>SUM(K36:K46)</f>
        <v>1021938080</v>
      </c>
      <c r="L47" s="612">
        <f>SUM(L36:L46)</f>
        <v>603699448</v>
      </c>
      <c r="M47" s="612">
        <f>SUM(M36:M46)</f>
        <v>116194870</v>
      </c>
      <c r="N47" s="612">
        <f>SUM(N36:N46)</f>
        <v>144676022</v>
      </c>
      <c r="O47" s="612">
        <f>SUM(O36:O46)</f>
        <v>157367740</v>
      </c>
    </row>
    <row r="48" spans="1:31" ht="14.25" thickTop="1" thickBot="1">
      <c r="A48" s="93"/>
      <c r="B48" s="98"/>
      <c r="C48" s="75"/>
      <c r="F48" s="613"/>
      <c r="G48" s="1690"/>
      <c r="H48" s="1691"/>
      <c r="I48" s="823">
        <f>ROUND(F47/C6,0)</f>
        <v>25352</v>
      </c>
      <c r="J48" s="1700" t="s">
        <v>1082</v>
      </c>
      <c r="K48" s="611"/>
      <c r="L48" s="611"/>
      <c r="M48" s="611"/>
      <c r="N48" s="611"/>
      <c r="O48" s="611"/>
    </row>
    <row r="49" spans="1:31" ht="13.5" thickBot="1">
      <c r="A49" s="78" t="s">
        <v>23</v>
      </c>
      <c r="B49" s="82"/>
      <c r="C49" s="75"/>
      <c r="F49" s="614"/>
      <c r="G49" s="1690"/>
      <c r="H49" s="1691"/>
      <c r="I49" s="811"/>
      <c r="J49" s="1700"/>
      <c r="K49" s="615">
        <f>ROUND(K47/$C$6,2)</f>
        <v>25351.71</v>
      </c>
      <c r="L49" s="615">
        <f t="shared" ref="L49:O49" si="13">ROUND(L47/$C$6,2)</f>
        <v>14976.26</v>
      </c>
      <c r="M49" s="615">
        <f t="shared" si="13"/>
        <v>2882.5</v>
      </c>
      <c r="N49" s="615">
        <f t="shared" si="13"/>
        <v>3589.05</v>
      </c>
      <c r="O49" s="615">
        <f t="shared" si="13"/>
        <v>3903.9</v>
      </c>
      <c r="P49" s="35"/>
      <c r="Q49" s="96"/>
      <c r="R49" s="96"/>
      <c r="S49" s="96"/>
      <c r="T49" s="96"/>
      <c r="U49" s="96"/>
      <c r="V49" s="96"/>
      <c r="W49" s="96"/>
      <c r="X49" s="96"/>
      <c r="Y49" s="96"/>
      <c r="Z49" s="96"/>
      <c r="AA49" s="96"/>
      <c r="AB49" s="96"/>
      <c r="AC49" s="96"/>
      <c r="AD49" s="96"/>
      <c r="AE49" s="96"/>
    </row>
    <row r="50" spans="1:31" ht="13.5" thickBot="1">
      <c r="A50" s="75" t="s">
        <v>62</v>
      </c>
      <c r="B50" s="86">
        <f>'UH1 FGD'!M74</f>
        <v>143289196</v>
      </c>
      <c r="C50" s="83">
        <f t="shared" ref="C50:C53" si="14">ROUND(B50/$C$6,0)</f>
        <v>3555</v>
      </c>
      <c r="D50" s="512">
        <f>'UH1 FGD'!F74</f>
        <v>0</v>
      </c>
      <c r="E50" s="512"/>
      <c r="F50" s="732">
        <f t="shared" ref="F50:F53" si="15">B50-(SUM(D50:E50))</f>
        <v>143289196</v>
      </c>
      <c r="G50" s="1692"/>
      <c r="H50" s="1693"/>
      <c r="I50" s="808"/>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'UH1 FGD'!M75</f>
        <v>217178198</v>
      </c>
      <c r="C51" s="87">
        <f t="shared" si="14"/>
        <v>5388</v>
      </c>
      <c r="D51" s="91">
        <f>'UH1 FGD'!F75</f>
        <v>-6679305</v>
      </c>
      <c r="E51" s="82"/>
      <c r="F51" s="74">
        <f t="shared" si="15"/>
        <v>223857503</v>
      </c>
      <c r="G51" s="337"/>
      <c r="J51" s="337"/>
      <c r="K51" s="616"/>
      <c r="L51" s="616"/>
      <c r="M51" s="616"/>
      <c r="N51" s="616"/>
      <c r="O51" s="616"/>
    </row>
    <row r="52" spans="1:31">
      <c r="A52" s="75" t="s">
        <v>51</v>
      </c>
      <c r="B52" s="86">
        <f>'UH1 FGD'!M76</f>
        <v>48101000</v>
      </c>
      <c r="C52" s="87">
        <f t="shared" si="14"/>
        <v>1193</v>
      </c>
      <c r="D52" s="91">
        <f>'UH1 FGD'!F76</f>
        <v>0</v>
      </c>
      <c r="E52" s="82"/>
      <c r="F52" s="74">
        <f t="shared" si="15"/>
        <v>48101000</v>
      </c>
      <c r="G52" s="337"/>
      <c r="J52" s="733"/>
      <c r="K52" s="733"/>
      <c r="L52" s="733"/>
      <c r="M52" s="733"/>
      <c r="N52" s="733"/>
      <c r="O52" s="733"/>
    </row>
    <row r="53" spans="1:31" ht="12" customHeight="1">
      <c r="A53" s="75" t="s">
        <v>46</v>
      </c>
      <c r="B53" s="86">
        <f>'UH1 FGD'!M77</f>
        <v>-145875990</v>
      </c>
      <c r="C53" s="87">
        <f t="shared" si="14"/>
        <v>-3619</v>
      </c>
      <c r="D53" s="91">
        <f>'UH1 FGD'!F77</f>
        <v>0</v>
      </c>
      <c r="E53" s="82"/>
      <c r="F53" s="74">
        <f t="shared" si="15"/>
        <v>-145875990</v>
      </c>
      <c r="G53" s="35"/>
      <c r="J53" s="733"/>
      <c r="K53" s="733"/>
      <c r="L53" s="733"/>
      <c r="M53" s="733"/>
      <c r="N53" s="733"/>
      <c r="O53" s="733"/>
      <c r="P53" s="35"/>
      <c r="Q53" s="96"/>
      <c r="R53" s="96"/>
      <c r="S53" s="96"/>
      <c r="T53" s="96"/>
      <c r="U53" s="96"/>
      <c r="V53" s="96"/>
      <c r="W53" s="96"/>
      <c r="X53" s="96"/>
      <c r="Y53" s="96"/>
      <c r="Z53" s="96"/>
      <c r="AA53" s="96"/>
      <c r="AB53" s="96"/>
      <c r="AC53" s="96"/>
      <c r="AD53" s="96"/>
      <c r="AE53" s="96"/>
    </row>
    <row r="54" spans="1:31">
      <c r="A54" s="88" t="s">
        <v>3</v>
      </c>
      <c r="B54" s="89">
        <f>SUM(B50:B53)</f>
        <v>262692404</v>
      </c>
      <c r="C54" s="89">
        <f>SUM(C50:C53)</f>
        <v>6517</v>
      </c>
      <c r="D54" s="89">
        <f>SUM(D50:D53)</f>
        <v>-6679305</v>
      </c>
      <c r="E54" s="89">
        <f>SUM(E50:E53)</f>
        <v>0</v>
      </c>
      <c r="F54" s="102">
        <f>SUM(F50:F53)</f>
        <v>269371709</v>
      </c>
      <c r="G54" s="337"/>
      <c r="H54" s="337"/>
      <c r="I54" s="337"/>
      <c r="J54" s="733"/>
      <c r="K54" s="733"/>
      <c r="L54" s="733"/>
      <c r="M54" s="733"/>
      <c r="N54" s="733"/>
      <c r="O54" s="733"/>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'UH1 FGD'!M81</f>
        <v>116975717</v>
      </c>
      <c r="C57" s="83">
        <f>ROUND(B57/$C$6,0)</f>
        <v>2902</v>
      </c>
      <c r="D57" s="512">
        <f>'UH1 FGD'!F81</f>
        <v>0</v>
      </c>
      <c r="E57" s="512"/>
      <c r="F57" s="512">
        <f t="shared" ref="F57:F58" si="16">B57-(SUM(D57:E57))</f>
        <v>116975717</v>
      </c>
      <c r="G57" s="337"/>
      <c r="H57" s="337"/>
      <c r="I57" s="337"/>
      <c r="J57" s="337"/>
    </row>
    <row r="58" spans="1:31">
      <c r="A58" s="75" t="s">
        <v>48</v>
      </c>
      <c r="B58" s="86">
        <f>'UH1 FGD'!M82</f>
        <v>29671553</v>
      </c>
      <c r="C58" s="87">
        <f>ROUND(B58/$C$6,0)</f>
        <v>736</v>
      </c>
      <c r="D58" s="91">
        <f>'UH1 FGD'!F82</f>
        <v>0</v>
      </c>
      <c r="E58" s="82"/>
      <c r="F58" s="74">
        <f t="shared" si="16"/>
        <v>29671553</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146647270</v>
      </c>
      <c r="C59" s="89">
        <f>SUM(C57:C58)</f>
        <v>3638</v>
      </c>
      <c r="D59" s="89">
        <f>SUM(D57:D58)</f>
        <v>0</v>
      </c>
      <c r="E59" s="89">
        <f>SUM(E57:E58)</f>
        <v>0</v>
      </c>
      <c r="F59" s="89">
        <f>SUM(F57:F58)</f>
        <v>146647270</v>
      </c>
      <c r="G59" s="367"/>
      <c r="H59" s="367"/>
      <c r="I59" s="367"/>
      <c r="J59" s="367"/>
      <c r="K59" s="266"/>
      <c r="L59" s="266"/>
      <c r="M59" s="266"/>
      <c r="N59" s="266"/>
      <c r="O59" s="266"/>
      <c r="P59" s="266"/>
    </row>
    <row r="60" spans="1:31">
      <c r="B60" s="82"/>
      <c r="C60" s="75"/>
    </row>
    <row r="61" spans="1:31" ht="13.5" thickBot="1">
      <c r="A61" s="103" t="s">
        <v>573</v>
      </c>
      <c r="B61" s="46">
        <f>B33-B47+B54+B59</f>
        <v>608824571</v>
      </c>
      <c r="C61" s="46">
        <f>C33-C47+C54+C59</f>
        <v>15103</v>
      </c>
      <c r="D61" s="46">
        <f>D33-D47+D54+D59</f>
        <v>-38001892</v>
      </c>
      <c r="E61" s="46">
        <f>E33-E47+E54+E59</f>
        <v>-35946861</v>
      </c>
      <c r="F61" s="46">
        <f>F33-F47+F54+F59</f>
        <v>682773324</v>
      </c>
    </row>
    <row r="62" spans="1:31" ht="13.5" thickTop="1"/>
    <row r="63" spans="1:31">
      <c r="D63" s="512"/>
    </row>
    <row r="65" spans="2:16">
      <c r="B65" s="734">
        <f>'UH1 FGD'!$M$85</f>
        <v>608824571</v>
      </c>
      <c r="C65" s="75"/>
      <c r="D65" s="734">
        <f>'UH1 FGD'!$F$85</f>
        <v>-3022468</v>
      </c>
      <c r="E65" s="734">
        <f>'UH1 FGD'!$M$62*-1</f>
        <v>-35946861</v>
      </c>
      <c r="F65" s="75"/>
    </row>
    <row r="66" spans="2:16">
      <c r="B66" s="734"/>
      <c r="C66" s="75"/>
      <c r="D66" s="734">
        <f>'UH1 FGD'!$F$68</f>
        <v>99097370</v>
      </c>
      <c r="E66" s="734">
        <f>+$D$38</f>
        <v>0</v>
      </c>
      <c r="F66" s="734"/>
    </row>
    <row r="67" spans="2:16">
      <c r="B67" s="759"/>
      <c r="C67" s="75"/>
      <c r="D67" s="759">
        <f>-'UH1 FGD'!$M$68</f>
        <v>-134076794</v>
      </c>
      <c r="E67" s="759"/>
      <c r="F67" s="734"/>
    </row>
    <row r="68" spans="2:16">
      <c r="B68" s="734">
        <f>SUM(B65:B67)</f>
        <v>608824571</v>
      </c>
      <c r="C68" s="75"/>
      <c r="D68" s="734">
        <f>SUM(D65:D67)</f>
        <v>-38001892</v>
      </c>
      <c r="E68" s="734">
        <f>SUM(E65:E67)</f>
        <v>-35946861</v>
      </c>
      <c r="F68" s="734">
        <f>B68-D68-E68</f>
        <v>682773324</v>
      </c>
    </row>
    <row r="69" spans="2:16">
      <c r="B69" s="734"/>
      <c r="C69" s="75"/>
      <c r="D69" s="734">
        <f>'UH1 FGD'!F54*-1</f>
        <v>-47444235</v>
      </c>
      <c r="E69" s="734"/>
      <c r="F69" s="734"/>
    </row>
    <row r="70" spans="2:16" ht="12.75" customHeight="1">
      <c r="B70" s="759"/>
      <c r="C70" s="95"/>
      <c r="D70" s="759">
        <f>'UH1 FGD'!M54</f>
        <v>47444235</v>
      </c>
      <c r="E70" s="759"/>
      <c r="F70" s="759">
        <f>-D70-D69</f>
        <v>0</v>
      </c>
    </row>
    <row r="71" spans="2:16" ht="12.75" customHeight="1">
      <c r="B71" s="734">
        <f>SUM(B68:B70)</f>
        <v>608824571</v>
      </c>
      <c r="C71" s="75"/>
      <c r="D71" s="734">
        <f>SUM(D68:D70)</f>
        <v>-38001892</v>
      </c>
      <c r="E71" s="734">
        <f>SUM(E68:E70)</f>
        <v>-35946861</v>
      </c>
      <c r="F71" s="734">
        <f>SUM(F68:F70)</f>
        <v>682773324</v>
      </c>
    </row>
    <row r="72" spans="2:16" ht="12.75" customHeight="1">
      <c r="B72" s="734"/>
      <c r="C72" s="75"/>
      <c r="D72" s="734"/>
      <c r="E72" s="734"/>
      <c r="F72" s="734"/>
    </row>
    <row r="73" spans="2:16" ht="12.75" customHeight="1">
      <c r="B73" s="512">
        <f>B61-B71</f>
        <v>0</v>
      </c>
      <c r="C73" s="75"/>
      <c r="D73" s="512">
        <f>D61-D71</f>
        <v>0</v>
      </c>
      <c r="E73" s="512">
        <f>E61-E71</f>
        <v>0</v>
      </c>
      <c r="F73" s="512">
        <f>F61-F71</f>
        <v>0</v>
      </c>
    </row>
    <row r="74" spans="2:16" ht="12.75" customHeight="1">
      <c r="C74" s="75"/>
      <c r="F74" s="617"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G47:H50"/>
    <mergeCell ref="K30:O30"/>
    <mergeCell ref="M31:M34"/>
    <mergeCell ref="G32:H32"/>
    <mergeCell ref="G33:H33"/>
    <mergeCell ref="L31:L34"/>
    <mergeCell ref="K31:K34"/>
    <mergeCell ref="N31:N34"/>
    <mergeCell ref="O31:O34"/>
    <mergeCell ref="J48:J49"/>
    <mergeCell ref="F1:I1"/>
    <mergeCell ref="J1:O1"/>
    <mergeCell ref="D1:E1"/>
    <mergeCell ref="K29:O29"/>
    <mergeCell ref="D4:D5"/>
    <mergeCell ref="E4:E5"/>
  </mergeCells>
  <hyperlinks>
    <hyperlink ref="D1:E1" location="Index!A1" display="Return to Index" xr:uid="{00000000-0004-0000-6A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Sheet85">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B3" sqref="B3"/>
    </sheetView>
  </sheetViews>
  <sheetFormatPr defaultColWidth="9.140625"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4.5703125" style="164" customWidth="1"/>
    <col min="15" max="15" width="14.42578125" style="261" customWidth="1"/>
    <col min="16" max="16" width="25.7109375" style="264" customWidth="1"/>
    <col min="17" max="17" width="16.42578125" style="264" customWidth="1"/>
    <col min="18" max="18" width="19" style="264" customWidth="1"/>
    <col min="19" max="19" width="1.7109375" style="264" customWidth="1"/>
    <col min="20" max="20" width="17.140625" style="264" customWidth="1"/>
    <col min="21" max="21" width="16.85546875" style="264" customWidth="1"/>
    <col min="22" max="23" width="19.28515625" style="264" customWidth="1"/>
    <col min="24" max="24" width="19.570312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13" t="str">
        <f>'UH1 Chrts'!$A$1</f>
        <v>University of Houston - Academic &amp; Health (A+H)</v>
      </c>
      <c r="C2" s="1713"/>
      <c r="D2" s="1713"/>
      <c r="E2" s="1713"/>
      <c r="F2" s="1742"/>
      <c r="G2" s="160"/>
      <c r="H2" s="161"/>
      <c r="I2" s="320" t="str">
        <f>IF($B$2&lt;&gt;Input!$B$26,"Name Mismatch","")</f>
        <v/>
      </c>
      <c r="J2" s="168"/>
      <c r="K2" s="169"/>
      <c r="L2" s="169"/>
      <c r="M2" s="170"/>
      <c r="O2" s="835" t="s">
        <v>1200</v>
      </c>
      <c r="P2" s="36"/>
    </row>
    <row r="3" spans="1:28">
      <c r="A3" s="184">
        <v>4</v>
      </c>
      <c r="B3" s="172" t="s">
        <v>2132</v>
      </c>
      <c r="C3" s="160"/>
      <c r="D3" s="160"/>
      <c r="E3" s="160"/>
      <c r="F3" s="160"/>
      <c r="G3" s="160"/>
      <c r="H3" s="160"/>
      <c r="I3" s="160"/>
      <c r="J3" s="160"/>
      <c r="K3" s="160"/>
      <c r="L3" s="160"/>
      <c r="M3" s="166"/>
      <c r="O3" s="262"/>
    </row>
    <row r="4" spans="1:28" ht="20.25">
      <c r="A4" s="184">
        <v>2</v>
      </c>
      <c r="B4" s="1713" t="str">
        <f>'Smmy Chrts'!$A$2</f>
        <v>For the Year Ended August 31, 2021</v>
      </c>
      <c r="C4" s="1713"/>
      <c r="D4" s="1713"/>
      <c r="E4" s="1713"/>
      <c r="F4" s="1742"/>
      <c r="G4" s="161"/>
      <c r="H4" s="161"/>
      <c r="I4" s="169"/>
      <c r="J4" s="168"/>
      <c r="K4" s="169"/>
      <c r="L4" s="169"/>
      <c r="M4" s="170"/>
      <c r="O4" s="74"/>
    </row>
    <row r="5" spans="1:28" ht="20.25">
      <c r="A5" s="184">
        <v>3</v>
      </c>
      <c r="B5" s="1713" t="str">
        <f>'Smmy Chrts'!$A$3</f>
        <v>Source: FY 2021 Annual Financial Report</v>
      </c>
      <c r="C5" s="1713"/>
      <c r="D5" s="1713"/>
      <c r="E5" s="1713"/>
      <c r="F5" s="1742"/>
      <c r="G5" s="161"/>
      <c r="H5" s="161"/>
      <c r="I5" s="169"/>
      <c r="J5" s="168"/>
      <c r="K5" s="169"/>
      <c r="L5" s="169"/>
      <c r="M5" s="170"/>
      <c r="O5" s="74"/>
      <c r="P5" s="1744" t="s">
        <v>93</v>
      </c>
      <c r="Q5" s="1745"/>
      <c r="T5" s="36" t="s">
        <v>250</v>
      </c>
    </row>
    <row r="6" spans="1:28">
      <c r="A6" s="184">
        <v>5</v>
      </c>
      <c r="B6" s="1715" t="str">
        <f>'Smmy Chrts'!$C$32</f>
        <v>Detail Worksheet FY 2021</v>
      </c>
      <c r="C6" s="1715"/>
      <c r="D6" s="1743"/>
      <c r="E6" s="1743"/>
      <c r="F6" s="1743"/>
      <c r="G6" s="1743"/>
      <c r="H6" s="1743"/>
      <c r="I6" s="1743"/>
      <c r="J6" s="1743"/>
      <c r="K6" s="1743"/>
      <c r="L6" s="1743"/>
      <c r="M6" s="1743"/>
      <c r="O6" s="265"/>
    </row>
    <row r="7" spans="1:28">
      <c r="A7" s="184">
        <v>6</v>
      </c>
      <c r="B7" s="172"/>
      <c r="C7" s="172"/>
      <c r="D7" s="160"/>
      <c r="E7" s="160"/>
      <c r="F7" s="160"/>
      <c r="G7" s="160"/>
      <c r="H7" s="160"/>
      <c r="I7" s="160"/>
      <c r="J7" s="160"/>
      <c r="K7" s="160"/>
      <c r="L7" s="160"/>
      <c r="M7" s="173" t="str">
        <f>'Smmy Chrts'!$C$33</f>
        <v>FY 2021</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Input!$M$26</f>
        <v>204365435</v>
      </c>
      <c r="E10" s="372">
        <f>Input!$N$26</f>
        <v>0</v>
      </c>
      <c r="F10" s="372">
        <f>Input!$O$26</f>
        <v>0</v>
      </c>
      <c r="G10" s="372">
        <f>Input!$P$26</f>
        <v>0</v>
      </c>
      <c r="H10" s="372">
        <f>Input!$Q$26</f>
        <v>0</v>
      </c>
      <c r="I10" s="372">
        <f>Input!$R$26</f>
        <v>0</v>
      </c>
      <c r="J10" s="372">
        <f>Input!$S$26</f>
        <v>0</v>
      </c>
      <c r="K10" s="372">
        <f>Input!$T$26</f>
        <v>0</v>
      </c>
      <c r="L10" s="372">
        <f>Input!$U$26</f>
        <v>0</v>
      </c>
      <c r="M10" s="373">
        <f t="shared" ref="M10:M15" si="0">D10+E10+F10+G10+H10+I10+J10+K10+L10</f>
        <v>204365435</v>
      </c>
      <c r="N10" s="160"/>
      <c r="O10" s="271"/>
      <c r="P10" s="1718" t="s">
        <v>575</v>
      </c>
      <c r="U10" s="268"/>
    </row>
    <row r="11" spans="1:28">
      <c r="A11" s="184">
        <v>10</v>
      </c>
      <c r="B11" s="160" t="s">
        <v>2</v>
      </c>
      <c r="C11" s="160"/>
      <c r="D11" s="372">
        <f>Input!$V$26</f>
        <v>264519</v>
      </c>
      <c r="E11" s="372">
        <f>Input!$W$26</f>
        <v>0</v>
      </c>
      <c r="F11" s="372">
        <f>Input!$X$26</f>
        <v>0</v>
      </c>
      <c r="G11" s="372">
        <f>Input!$Y$26</f>
        <v>44433568</v>
      </c>
      <c r="H11" s="372">
        <f>Input!$Z$26</f>
        <v>0</v>
      </c>
      <c r="I11" s="372">
        <f>Input!$AA$26</f>
        <v>0</v>
      </c>
      <c r="J11" s="372">
        <f>Input!$AB$26</f>
        <v>0</v>
      </c>
      <c r="K11" s="372">
        <f>Input!$AC$26</f>
        <v>0</v>
      </c>
      <c r="L11" s="372">
        <f>Input!$AD$26</f>
        <v>0</v>
      </c>
      <c r="M11" s="373">
        <f t="shared" si="0"/>
        <v>44698087</v>
      </c>
      <c r="N11" s="160"/>
      <c r="O11" s="482"/>
      <c r="P11" s="1719"/>
      <c r="U11" s="268"/>
    </row>
    <row r="12" spans="1:28" ht="12.75" hidden="1" customHeight="1">
      <c r="B12" s="160" t="s">
        <v>1410</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Input!$AN$26</f>
        <v>54514004</v>
      </c>
      <c r="E13" s="372">
        <f>Input!$AO$26</f>
        <v>0</v>
      </c>
      <c r="F13" s="372">
        <f>Input!$AP$26</f>
        <v>0</v>
      </c>
      <c r="G13" s="372">
        <f>Input!$AQ$26</f>
        <v>0</v>
      </c>
      <c r="H13" s="372">
        <f>Input!$AR$26</f>
        <v>0</v>
      </c>
      <c r="I13" s="372">
        <f>Input!$AS$26</f>
        <v>0</v>
      </c>
      <c r="J13" s="372">
        <f>Input!$AT$26</f>
        <v>0</v>
      </c>
      <c r="K13" s="372">
        <f>Input!$AU$26</f>
        <v>0</v>
      </c>
      <c r="L13" s="372">
        <f>Input!$AV$26</f>
        <v>0</v>
      </c>
      <c r="M13" s="373">
        <f t="shared" si="0"/>
        <v>54514004</v>
      </c>
      <c r="N13" s="160"/>
      <c r="O13" s="482" t="str">
        <f>IF(P13&lt;&gt;M13,"Out of Balance","Balanced")</f>
        <v>Balanced</v>
      </c>
      <c r="P13" s="484">
        <f>IFERROR(VLOOKUP($B$2,AMTLU,6,FALSE),0)</f>
        <v>54514004</v>
      </c>
      <c r="U13" s="268"/>
    </row>
    <row r="14" spans="1:28">
      <c r="A14" s="184">
        <v>13</v>
      </c>
      <c r="B14" s="160" t="s">
        <v>49</v>
      </c>
      <c r="C14" s="160"/>
      <c r="D14" s="372">
        <f>Input!$AW$26</f>
        <v>0</v>
      </c>
      <c r="E14" s="372">
        <f>Input!$AX$26</f>
        <v>0</v>
      </c>
      <c r="F14" s="372">
        <f>Input!$AY$26</f>
        <v>0</v>
      </c>
      <c r="G14" s="372">
        <f>Input!$AZ$26</f>
        <v>0</v>
      </c>
      <c r="H14" s="372">
        <f>Input!$BA$26</f>
        <v>0</v>
      </c>
      <c r="I14" s="372">
        <f>Input!$BB$26</f>
        <v>0</v>
      </c>
      <c r="J14" s="372">
        <f>Input!$BC$26</f>
        <v>0</v>
      </c>
      <c r="K14" s="372">
        <f>Input!$BD$26</f>
        <v>0</v>
      </c>
      <c r="L14" s="372">
        <f>Input!$BE$26</f>
        <v>0</v>
      </c>
      <c r="M14" s="373">
        <f t="shared" si="0"/>
        <v>0</v>
      </c>
      <c r="N14" s="160"/>
      <c r="O14" s="482"/>
      <c r="P14" s="485"/>
    </row>
    <row r="15" spans="1:28" ht="15">
      <c r="A15" s="184">
        <v>14</v>
      </c>
      <c r="B15" s="176" t="s">
        <v>3</v>
      </c>
      <c r="C15" s="176"/>
      <c r="D15" s="374">
        <f t="shared" ref="D15:L15" si="1">SUM(D10:D14)</f>
        <v>259143958</v>
      </c>
      <c r="E15" s="374">
        <f t="shared" si="1"/>
        <v>0</v>
      </c>
      <c r="F15" s="374">
        <f t="shared" si="1"/>
        <v>0</v>
      </c>
      <c r="G15" s="374">
        <f t="shared" si="1"/>
        <v>44433568</v>
      </c>
      <c r="H15" s="374">
        <f t="shared" si="1"/>
        <v>0</v>
      </c>
      <c r="I15" s="374">
        <f t="shared" si="1"/>
        <v>0</v>
      </c>
      <c r="J15" s="374">
        <f t="shared" si="1"/>
        <v>0</v>
      </c>
      <c r="K15" s="374">
        <f t="shared" si="1"/>
        <v>0</v>
      </c>
      <c r="L15" s="374">
        <f t="shared" si="1"/>
        <v>0</v>
      </c>
      <c r="M15" s="374">
        <f t="shared" si="0"/>
        <v>303577526</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58" t="s">
        <v>1042</v>
      </c>
      <c r="C18" s="558"/>
      <c r="D18" s="374">
        <f t="shared" ref="D18:L18" si="2">D23-SUM(D19:D22)</f>
        <v>111503467</v>
      </c>
      <c r="E18" s="374">
        <f t="shared" si="2"/>
        <v>328197290</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439700757</v>
      </c>
      <c r="V18" s="327"/>
      <c r="X18" s="330"/>
    </row>
    <row r="19" spans="1:26" s="264" customFormat="1" ht="12.75" customHeight="1" thickTop="1" thickBot="1">
      <c r="A19" s="263"/>
      <c r="B19" s="261" t="s">
        <v>722</v>
      </c>
      <c r="C19" s="261"/>
      <c r="D19" s="372">
        <f>Input!$BF$26</f>
        <v>-25020117</v>
      </c>
      <c r="E19" s="372">
        <f>Input!$BG$26</f>
        <v>-6174155</v>
      </c>
      <c r="F19" s="372">
        <f>Input!$BH$26</f>
        <v>0</v>
      </c>
      <c r="G19" s="372">
        <f>Input!$BI$26</f>
        <v>0</v>
      </c>
      <c r="H19" s="372">
        <f>Input!$BJ$26</f>
        <v>0</v>
      </c>
      <c r="I19" s="372">
        <f>Input!$BK$26</f>
        <v>0</v>
      </c>
      <c r="J19" s="372">
        <f>Input!$BL$26</f>
        <v>0</v>
      </c>
      <c r="K19" s="372">
        <f>Input!$BM$26</f>
        <v>0</v>
      </c>
      <c r="L19" s="372">
        <f>Input!$BN$26</f>
        <v>0</v>
      </c>
      <c r="M19" s="373">
        <f t="shared" si="3"/>
        <v>-31194272</v>
      </c>
      <c r="O19" s="1732" t="s">
        <v>1294</v>
      </c>
      <c r="P19" s="1733"/>
      <c r="Q19" s="1733"/>
      <c r="R19" s="1734"/>
      <c r="T19" s="1735" t="s">
        <v>1043</v>
      </c>
      <c r="U19" s="1736"/>
      <c r="V19" s="1736"/>
      <c r="W19" s="1736"/>
      <c r="X19" s="1737"/>
    </row>
    <row r="20" spans="1:26" s="264" customFormat="1" ht="12.75" customHeight="1" thickTop="1">
      <c r="A20" s="263"/>
      <c r="B20" s="261" t="s">
        <v>723</v>
      </c>
      <c r="C20" s="261"/>
      <c r="D20" s="372">
        <f>Input!$BO$26</f>
        <v>0</v>
      </c>
      <c r="E20" s="372">
        <f>Input!$BP$26</f>
        <v>0</v>
      </c>
      <c r="F20" s="372">
        <f>Input!$BQ$26</f>
        <v>0</v>
      </c>
      <c r="G20" s="372">
        <f>Input!$BR$26</f>
        <v>0</v>
      </c>
      <c r="H20" s="372">
        <f>Input!$BS$26</f>
        <v>0</v>
      </c>
      <c r="I20" s="372">
        <f>Input!$BT$26</f>
        <v>0</v>
      </c>
      <c r="J20" s="372">
        <f>Input!$BU$26</f>
        <v>0</v>
      </c>
      <c r="K20" s="372">
        <f>Input!$BV$26</f>
        <v>0</v>
      </c>
      <c r="L20" s="372">
        <f>Input!$BW$26</f>
        <v>0</v>
      </c>
      <c r="M20" s="373">
        <f t="shared" si="3"/>
        <v>0</v>
      </c>
      <c r="O20" s="421" t="s">
        <v>288</v>
      </c>
      <c r="P20" s="422"/>
      <c r="Q20" s="414"/>
      <c r="R20" s="559"/>
      <c r="T20" s="560" t="s">
        <v>1044</v>
      </c>
      <c r="U20" s="266"/>
      <c r="V20" s="266"/>
      <c r="X20" s="425"/>
    </row>
    <row r="21" spans="1:26" s="264" customFormat="1">
      <c r="A21" s="263"/>
      <c r="B21" s="261" t="s">
        <v>724</v>
      </c>
      <c r="C21" s="261"/>
      <c r="D21" s="372">
        <f>Input!$BX$26</f>
        <v>0</v>
      </c>
      <c r="E21" s="372">
        <f>Input!$BY$26</f>
        <v>0</v>
      </c>
      <c r="F21" s="372">
        <f>Input!$BZ$26</f>
        <v>0</v>
      </c>
      <c r="G21" s="372">
        <f>Input!$CA$26</f>
        <v>0</v>
      </c>
      <c r="H21" s="372">
        <f>Input!$CB$26</f>
        <v>0</v>
      </c>
      <c r="I21" s="372">
        <f>Input!$CC$26</f>
        <v>0</v>
      </c>
      <c r="J21" s="372">
        <f>Input!$CD$26</f>
        <v>0</v>
      </c>
      <c r="K21" s="372">
        <f>Input!$CE$26</f>
        <v>0</v>
      </c>
      <c r="L21" s="372">
        <f>Input!$CF$26</f>
        <v>0</v>
      </c>
      <c r="M21" s="373">
        <f t="shared" si="3"/>
        <v>0</v>
      </c>
      <c r="O21" s="434"/>
      <c r="R21" s="561"/>
      <c r="T21" s="650" t="s">
        <v>1045</v>
      </c>
      <c r="U21" s="266"/>
      <c r="V21" s="266"/>
      <c r="W21" s="651">
        <f>M44</f>
        <v>400572093</v>
      </c>
      <c r="X21" s="425"/>
      <c r="Z21" s="330"/>
    </row>
    <row r="22" spans="1:26" s="264" customFormat="1">
      <c r="A22" s="263"/>
      <c r="B22" s="261" t="s">
        <v>725</v>
      </c>
      <c r="C22" s="261"/>
      <c r="D22" s="372">
        <f>Input!$CG$26</f>
        <v>0</v>
      </c>
      <c r="E22" s="372">
        <f>Input!$CH$26</f>
        <v>0</v>
      </c>
      <c r="F22" s="372">
        <f>Input!$CI$26</f>
        <v>0</v>
      </c>
      <c r="G22" s="372">
        <f>Input!$CJ$26</f>
        <v>0</v>
      </c>
      <c r="H22" s="372">
        <f>Input!$CK$26</f>
        <v>0</v>
      </c>
      <c r="I22" s="372">
        <f>Input!$CL$26</f>
        <v>0</v>
      </c>
      <c r="J22" s="372">
        <f>Input!$CM$26</f>
        <v>0</v>
      </c>
      <c r="K22" s="372">
        <f>Input!$CN$26</f>
        <v>0</v>
      </c>
      <c r="L22" s="372">
        <f>Input!$CO$26</f>
        <v>0</v>
      </c>
      <c r="M22" s="373">
        <f t="shared" si="3"/>
        <v>0</v>
      </c>
      <c r="N22" s="270"/>
      <c r="O22" s="434" t="s">
        <v>1046</v>
      </c>
      <c r="P22" s="276"/>
      <c r="Q22" s="424">
        <f>M23</f>
        <v>408506485</v>
      </c>
      <c r="R22" s="562"/>
      <c r="T22" s="650" t="s">
        <v>1047</v>
      </c>
      <c r="U22" s="266"/>
      <c r="V22" s="266"/>
      <c r="W22" s="652">
        <f>R30*-1</f>
        <v>162659266</v>
      </c>
      <c r="X22" s="425"/>
    </row>
    <row r="23" spans="1:26" s="264" customFormat="1" ht="12.75" customHeight="1">
      <c r="A23" s="263"/>
      <c r="B23" s="558" t="s">
        <v>726</v>
      </c>
      <c r="C23" s="563"/>
      <c r="D23" s="564">
        <f>Input!$CP$26</f>
        <v>86483350</v>
      </c>
      <c r="E23" s="564">
        <f>Input!$CQ$26</f>
        <v>322023135</v>
      </c>
      <c r="F23" s="564">
        <f>Input!$CR$26</f>
        <v>0</v>
      </c>
      <c r="G23" s="564">
        <f>Input!$CS$26</f>
        <v>0</v>
      </c>
      <c r="H23" s="564">
        <f>Input!$CT$26</f>
        <v>0</v>
      </c>
      <c r="I23" s="564">
        <f>Input!$CU$26</f>
        <v>0</v>
      </c>
      <c r="J23" s="564">
        <f>Input!$CV$26</f>
        <v>0</v>
      </c>
      <c r="K23" s="564">
        <f>Input!$CW$26</f>
        <v>0</v>
      </c>
      <c r="L23" s="564">
        <f>Input!$CX$26</f>
        <v>0</v>
      </c>
      <c r="M23" s="565">
        <f t="shared" si="3"/>
        <v>408506485</v>
      </c>
      <c r="O23" s="434"/>
      <c r="P23" s="276"/>
      <c r="Q23" s="424"/>
      <c r="R23" s="562"/>
      <c r="T23" s="560" t="s">
        <v>1230</v>
      </c>
      <c r="U23" s="266"/>
      <c r="V23" s="266"/>
      <c r="W23" s="276"/>
      <c r="X23" s="425">
        <f>SUM(W21:W22)</f>
        <v>563231359</v>
      </c>
      <c r="Z23" s="330"/>
    </row>
    <row r="24" spans="1:26" s="264" customFormat="1" ht="12.75" customHeight="1">
      <c r="A24" s="263"/>
      <c r="B24" s="261" t="s">
        <v>727</v>
      </c>
      <c r="C24" s="566"/>
      <c r="D24" s="372">
        <f>Input!$CY$26</f>
        <v>0</v>
      </c>
      <c r="E24" s="372">
        <f>Input!$CZ$26</f>
        <v>0</v>
      </c>
      <c r="F24" s="372">
        <f>Input!$DA$26</f>
        <v>0</v>
      </c>
      <c r="G24" s="372">
        <f>Input!$DB$26</f>
        <v>0</v>
      </c>
      <c r="H24" s="372">
        <f>Input!$DC$26</f>
        <v>0</v>
      </c>
      <c r="I24" s="372">
        <f>Input!$DD$26</f>
        <v>0</v>
      </c>
      <c r="J24" s="372">
        <f>Input!$DE$26</f>
        <v>0</v>
      </c>
      <c r="K24" s="372">
        <f>Input!$DF$26</f>
        <v>0</v>
      </c>
      <c r="L24" s="372">
        <f>Input!$DG$26</f>
        <v>0</v>
      </c>
      <c r="M24" s="567">
        <f t="shared" si="3"/>
        <v>0</v>
      </c>
      <c r="O24" s="417" t="s">
        <v>1048</v>
      </c>
      <c r="P24" s="276"/>
      <c r="Q24" s="327"/>
      <c r="R24" s="646">
        <f>SUM(M24:M28)</f>
        <v>-118093578</v>
      </c>
      <c r="T24" s="560"/>
      <c r="U24" s="266"/>
      <c r="V24" s="266"/>
      <c r="X24" s="425"/>
      <c r="Z24" s="330"/>
    </row>
    <row r="25" spans="1:26" s="264" customFormat="1" ht="12.75" customHeight="1">
      <c r="A25" s="263"/>
      <c r="B25" s="261" t="s">
        <v>728</v>
      </c>
      <c r="C25" s="566"/>
      <c r="D25" s="372">
        <f>Input!$DH$26</f>
        <v>0</v>
      </c>
      <c r="E25" s="372">
        <f>Input!$DI$26</f>
        <v>0</v>
      </c>
      <c r="F25" s="372">
        <f>Input!$DJ$26</f>
        <v>0</v>
      </c>
      <c r="G25" s="372">
        <f>Input!$DK$26</f>
        <v>0</v>
      </c>
      <c r="H25" s="372">
        <f>Input!$DL$26</f>
        <v>0</v>
      </c>
      <c r="I25" s="372">
        <f>Input!$DM$26</f>
        <v>0</v>
      </c>
      <c r="J25" s="372">
        <f>Input!$DN$26</f>
        <v>0</v>
      </c>
      <c r="K25" s="372">
        <f>Input!$DO$26</f>
        <v>0</v>
      </c>
      <c r="L25" s="372">
        <f>Input!$DP$26</f>
        <v>0</v>
      </c>
      <c r="M25" s="567">
        <f t="shared" si="3"/>
        <v>0</v>
      </c>
      <c r="O25" s="434"/>
      <c r="P25" s="276"/>
      <c r="Q25" s="327"/>
      <c r="R25" s="646"/>
      <c r="T25" s="568" t="s">
        <v>1103</v>
      </c>
      <c r="U25" s="569"/>
      <c r="V25" s="569"/>
      <c r="W25" s="653">
        <f>(M26+M39)*-1</f>
        <v>14424607</v>
      </c>
      <c r="X25" s="425"/>
      <c r="Z25" s="330"/>
    </row>
    <row r="26" spans="1:26" s="264" customFormat="1" ht="12.75" customHeight="1">
      <c r="A26" s="263"/>
      <c r="B26" s="261" t="s">
        <v>729</v>
      </c>
      <c r="C26" s="566"/>
      <c r="D26" s="372">
        <f>Input!$DQ$26</f>
        <v>-2520916</v>
      </c>
      <c r="E26" s="372">
        <f>Input!$DR$26</f>
        <v>-8475373</v>
      </c>
      <c r="F26" s="372">
        <f>Input!$DS$26</f>
        <v>0</v>
      </c>
      <c r="G26" s="372">
        <f>Input!$DT$26</f>
        <v>0</v>
      </c>
      <c r="H26" s="372">
        <f>Input!$DU$26</f>
        <v>0</v>
      </c>
      <c r="I26" s="372">
        <f>Input!$DV$26</f>
        <v>0</v>
      </c>
      <c r="J26" s="372">
        <f>Input!$DW$26</f>
        <v>0</v>
      </c>
      <c r="K26" s="372">
        <f>Input!$DX$26</f>
        <v>0</v>
      </c>
      <c r="L26" s="372">
        <f>Input!$DY$26</f>
        <v>0</v>
      </c>
      <c r="M26" s="567">
        <f t="shared" si="3"/>
        <v>-10996289</v>
      </c>
      <c r="O26" s="434" t="s">
        <v>1049</v>
      </c>
      <c r="P26" s="276"/>
      <c r="Q26" s="427">
        <f>M36</f>
        <v>154724874</v>
      </c>
      <c r="R26" s="570"/>
      <c r="T26" s="560" t="s">
        <v>1104</v>
      </c>
      <c r="U26" s="266"/>
      <c r="V26" s="266"/>
      <c r="W26" s="571">
        <f>(M21+M34)*-1</f>
        <v>0</v>
      </c>
      <c r="X26" s="425"/>
      <c r="Z26" s="330"/>
    </row>
    <row r="27" spans="1:26" s="264" customFormat="1">
      <c r="A27" s="263"/>
      <c r="B27" s="261" t="s">
        <v>730</v>
      </c>
      <c r="C27" s="566"/>
      <c r="D27" s="372">
        <f>Input!$DZ$26</f>
        <v>0</v>
      </c>
      <c r="E27" s="372">
        <f>Input!$EA$26</f>
        <v>0</v>
      </c>
      <c r="F27" s="372">
        <f>Input!$EB$26</f>
        <v>0</v>
      </c>
      <c r="G27" s="372">
        <f>Input!$EC$26</f>
        <v>0</v>
      </c>
      <c r="H27" s="372">
        <f>Input!$ED$26</f>
        <v>0</v>
      </c>
      <c r="I27" s="372">
        <f>Input!$EE$26</f>
        <v>0</v>
      </c>
      <c r="J27" s="372">
        <f>Input!$EF$26</f>
        <v>0</v>
      </c>
      <c r="K27" s="372">
        <f>Input!$EG$26</f>
        <v>0</v>
      </c>
      <c r="L27" s="372">
        <f>Input!EH6</f>
        <v>0</v>
      </c>
      <c r="M27" s="567">
        <f t="shared" si="3"/>
        <v>0</v>
      </c>
      <c r="O27" s="434"/>
      <c r="P27" s="276"/>
      <c r="Q27" s="427"/>
      <c r="R27" s="570"/>
      <c r="T27" s="650" t="s">
        <v>1105</v>
      </c>
      <c r="U27" s="584"/>
      <c r="V27" s="584"/>
      <c r="W27" s="654">
        <f>SUM(W25:W26)</f>
        <v>14424607</v>
      </c>
      <c r="X27" s="655"/>
    </row>
    <row r="28" spans="1:26" s="264" customFormat="1">
      <c r="A28" s="263"/>
      <c r="B28" s="261" t="s">
        <v>2133</v>
      </c>
      <c r="C28" s="566"/>
      <c r="D28" s="372">
        <f>Input!$EI$26</f>
        <v>-22457428</v>
      </c>
      <c r="E28" s="372">
        <f>Input!$EJ$26</f>
        <v>-84639861</v>
      </c>
      <c r="F28" s="372">
        <f>Input!$EK$26</f>
        <v>0</v>
      </c>
      <c r="G28" s="372">
        <f>Input!$EL$26</f>
        <v>0</v>
      </c>
      <c r="H28" s="372">
        <f>Input!$EM$26</f>
        <v>0</v>
      </c>
      <c r="I28" s="372">
        <f>Input!$EN$26</f>
        <v>0</v>
      </c>
      <c r="J28" s="372">
        <f>Input!$EO$26</f>
        <v>0</v>
      </c>
      <c r="K28" s="372">
        <f>Input!$EP$26</f>
        <v>0</v>
      </c>
      <c r="L28" s="372">
        <f>Input!$EQ$26</f>
        <v>0</v>
      </c>
      <c r="M28" s="567">
        <f t="shared" si="3"/>
        <v>-107097289</v>
      </c>
      <c r="O28" s="417" t="s">
        <v>1050</v>
      </c>
      <c r="Q28" s="429"/>
      <c r="R28" s="646">
        <f>SUM(M37:M41)</f>
        <v>-44565688</v>
      </c>
      <c r="T28" s="560" t="s">
        <v>1106</v>
      </c>
      <c r="U28" s="266"/>
      <c r="V28" s="266"/>
      <c r="W28" s="425">
        <f>(M27+M40)*-1</f>
        <v>0</v>
      </c>
      <c r="X28" s="655"/>
      <c r="Z28" s="330"/>
    </row>
    <row r="29" spans="1:26" s="264" customFormat="1" ht="12" customHeight="1">
      <c r="A29" s="263"/>
      <c r="B29" s="575" t="s">
        <v>39</v>
      </c>
      <c r="C29" s="563"/>
      <c r="D29" s="374">
        <f t="shared" ref="D29:L29" si="4">SUM(D23:D28)</f>
        <v>61505006</v>
      </c>
      <c r="E29" s="374">
        <f t="shared" si="4"/>
        <v>228907901</v>
      </c>
      <c r="F29" s="374">
        <f t="shared" si="4"/>
        <v>0</v>
      </c>
      <c r="G29" s="374">
        <f t="shared" si="4"/>
        <v>0</v>
      </c>
      <c r="H29" s="374">
        <f t="shared" si="4"/>
        <v>0</v>
      </c>
      <c r="I29" s="374">
        <f t="shared" si="4"/>
        <v>0</v>
      </c>
      <c r="J29" s="374">
        <f t="shared" si="4"/>
        <v>0</v>
      </c>
      <c r="K29" s="374">
        <f t="shared" si="4"/>
        <v>0</v>
      </c>
      <c r="L29" s="374">
        <f t="shared" si="4"/>
        <v>0</v>
      </c>
      <c r="M29" s="374">
        <f t="shared" si="3"/>
        <v>290412907</v>
      </c>
      <c r="O29" s="417"/>
      <c r="Q29" s="429"/>
      <c r="R29" s="576"/>
      <c r="T29" s="560" t="s">
        <v>1107</v>
      </c>
      <c r="U29" s="266"/>
      <c r="V29" s="266"/>
      <c r="W29" s="571">
        <f>(M22+M35)*-1</f>
        <v>0</v>
      </c>
      <c r="X29" s="655"/>
    </row>
    <row r="30" spans="1:26" s="264" customFormat="1" ht="16.5" customHeight="1">
      <c r="A30" s="263"/>
      <c r="B30" s="261"/>
      <c r="C30" s="566"/>
      <c r="D30" s="566"/>
      <c r="E30" s="566"/>
      <c r="F30" s="566"/>
      <c r="G30" s="566"/>
      <c r="H30" s="566"/>
      <c r="I30" s="566"/>
      <c r="J30" s="566"/>
      <c r="K30" s="566"/>
      <c r="L30" s="566"/>
      <c r="M30" s="567"/>
      <c r="O30" s="431" t="s">
        <v>289</v>
      </c>
      <c r="P30" s="432"/>
      <c r="Q30" s="433">
        <f>Q26+Q22</f>
        <v>563231359</v>
      </c>
      <c r="R30" s="647">
        <f>R28+R24</f>
        <v>-162659266</v>
      </c>
      <c r="T30" s="650" t="s">
        <v>1108</v>
      </c>
      <c r="U30" s="584"/>
      <c r="V30" s="584"/>
      <c r="W30" s="654">
        <f>SUM(W28:W29)</f>
        <v>0</v>
      </c>
      <c r="X30" s="655"/>
    </row>
    <row r="31" spans="1:26" s="264" customFormat="1" ht="12.75" customHeight="1">
      <c r="A31" s="263"/>
      <c r="B31" s="558" t="s">
        <v>1052</v>
      </c>
      <c r="C31" s="558"/>
      <c r="D31" s="374">
        <f t="shared" ref="D31:L31" si="5">D36-SUM(D32:D35)</f>
        <v>374369</v>
      </c>
      <c r="E31" s="374">
        <f t="shared" si="5"/>
        <v>124343953</v>
      </c>
      <c r="F31" s="374">
        <f t="shared" si="5"/>
        <v>30007974</v>
      </c>
      <c r="G31" s="374">
        <f t="shared" si="5"/>
        <v>0</v>
      </c>
      <c r="H31" s="374">
        <f t="shared" si="5"/>
        <v>0</v>
      </c>
      <c r="I31" s="374">
        <f t="shared" si="5"/>
        <v>0</v>
      </c>
      <c r="J31" s="374">
        <f t="shared" si="5"/>
        <v>0</v>
      </c>
      <c r="K31" s="374">
        <f t="shared" si="5"/>
        <v>0</v>
      </c>
      <c r="L31" s="374">
        <f t="shared" si="5"/>
        <v>0</v>
      </c>
      <c r="M31" s="374">
        <f t="shared" ref="M31:M42" si="6">D31+E31+F31+G31+H31+I31+J31+K31+L31</f>
        <v>154726296</v>
      </c>
      <c r="O31" s="434" t="s">
        <v>290</v>
      </c>
      <c r="P31" s="276"/>
      <c r="Q31" s="335"/>
      <c r="R31" s="562"/>
      <c r="T31" s="572" t="s">
        <v>1109</v>
      </c>
      <c r="U31" s="573"/>
      <c r="V31" s="573"/>
      <c r="W31" s="574">
        <f>W27+W30</f>
        <v>14424607</v>
      </c>
      <c r="X31" s="425"/>
      <c r="Z31" s="330"/>
    </row>
    <row r="32" spans="1:26" s="264" customFormat="1" ht="12.75" customHeight="1">
      <c r="A32" s="263"/>
      <c r="B32" s="261" t="s">
        <v>722</v>
      </c>
      <c r="C32" s="261"/>
      <c r="D32" s="372">
        <f>Input!$ER$26</f>
        <v>-4</v>
      </c>
      <c r="E32" s="372">
        <f>Input!$ES$26</f>
        <v>-914</v>
      </c>
      <c r="F32" s="372">
        <f>Input!$ET$26</f>
        <v>-504</v>
      </c>
      <c r="G32" s="372">
        <f>Input!$EU$26</f>
        <v>0</v>
      </c>
      <c r="H32" s="372">
        <f>Input!$EV$26</f>
        <v>0</v>
      </c>
      <c r="I32" s="372">
        <f>Input!$EW$26</f>
        <v>0</v>
      </c>
      <c r="J32" s="372">
        <f>Input!$EX$26</f>
        <v>0</v>
      </c>
      <c r="K32" s="372">
        <f>Input!$EY$26</f>
        <v>0</v>
      </c>
      <c r="L32" s="372">
        <f>Input!$EZ$26</f>
        <v>0</v>
      </c>
      <c r="M32" s="567">
        <f t="shared" si="6"/>
        <v>-1422</v>
      </c>
      <c r="O32" s="415" t="s">
        <v>1295</v>
      </c>
      <c r="P32" s="416"/>
      <c r="Q32" s="577">
        <f>Input!$SQ$26</f>
        <v>563231359</v>
      </c>
      <c r="R32" s="578"/>
      <c r="T32" s="560"/>
      <c r="U32" s="266"/>
      <c r="V32" s="266"/>
      <c r="X32" s="425"/>
      <c r="Z32" s="330"/>
    </row>
    <row r="33" spans="1:24" s="264" customFormat="1">
      <c r="A33" s="263"/>
      <c r="B33" s="261" t="s">
        <v>723</v>
      </c>
      <c r="C33" s="261"/>
      <c r="D33" s="372">
        <f>Input!$FA$26</f>
        <v>0</v>
      </c>
      <c r="E33" s="372">
        <f>Input!$FB$26</f>
        <v>0</v>
      </c>
      <c r="F33" s="372">
        <f>Input!$FC$26</f>
        <v>0</v>
      </c>
      <c r="G33" s="372">
        <f>Input!$FD$26</f>
        <v>0</v>
      </c>
      <c r="H33" s="372">
        <f>Input!$FE$26</f>
        <v>0</v>
      </c>
      <c r="I33" s="372">
        <f>Input!$FF$26</f>
        <v>0</v>
      </c>
      <c r="J33" s="372">
        <f>Input!$FG$26</f>
        <v>0</v>
      </c>
      <c r="K33" s="372">
        <f>Input!$FH$26</f>
        <v>0</v>
      </c>
      <c r="L33" s="372">
        <f>Input!$FI$26</f>
        <v>0</v>
      </c>
      <c r="M33" s="567">
        <f t="shared" si="6"/>
        <v>0</v>
      </c>
      <c r="O33" s="415"/>
      <c r="P33" s="416"/>
      <c r="Q33" s="327"/>
      <c r="R33" s="578"/>
      <c r="T33" s="560" t="s">
        <v>1051</v>
      </c>
      <c r="U33" s="266"/>
      <c r="V33" s="266"/>
      <c r="W33" s="334">
        <f>(M19+M32)*-1</f>
        <v>31195694</v>
      </c>
      <c r="X33" s="425"/>
    </row>
    <row r="34" spans="1:24" s="264" customFormat="1">
      <c r="A34" s="263"/>
      <c r="B34" s="261" t="s">
        <v>724</v>
      </c>
      <c r="C34" s="261"/>
      <c r="D34" s="372">
        <f>Input!$FJ$26</f>
        <v>0</v>
      </c>
      <c r="E34" s="372">
        <f>Input!$FK$26</f>
        <v>0</v>
      </c>
      <c r="F34" s="372">
        <f>Input!$FL$26</f>
        <v>0</v>
      </c>
      <c r="G34" s="372">
        <f>Input!$FM$26</f>
        <v>0</v>
      </c>
      <c r="H34" s="372">
        <f>Input!$FN$26</f>
        <v>0</v>
      </c>
      <c r="I34" s="372">
        <f>Input!$FO$26</f>
        <v>0</v>
      </c>
      <c r="J34" s="372">
        <f>Input!$FP$26</f>
        <v>0</v>
      </c>
      <c r="K34" s="372">
        <f>Input!$FQ$26</f>
        <v>0</v>
      </c>
      <c r="L34" s="372">
        <f>Input!$FR$26</f>
        <v>0</v>
      </c>
      <c r="M34" s="567">
        <f t="shared" si="6"/>
        <v>0</v>
      </c>
      <c r="O34" s="435" t="s">
        <v>1296</v>
      </c>
      <c r="P34" s="436"/>
      <c r="Q34" s="264" t="s">
        <v>291</v>
      </c>
      <c r="R34" s="648">
        <f>Input!$SR$26</f>
        <v>-162659266</v>
      </c>
      <c r="T34" s="560" t="s">
        <v>1110</v>
      </c>
      <c r="U34" s="266"/>
      <c r="V34" s="266"/>
      <c r="W34" s="430">
        <f>(M24+M37)*-1</f>
        <v>0</v>
      </c>
      <c r="X34" s="425"/>
    </row>
    <row r="35" spans="1:24" s="264" customFormat="1" ht="13.5" thickBot="1">
      <c r="A35" s="263"/>
      <c r="B35" s="261" t="s">
        <v>725</v>
      </c>
      <c r="C35" s="261"/>
      <c r="D35" s="372">
        <f>Input!$FS$26</f>
        <v>0</v>
      </c>
      <c r="E35" s="372">
        <f>Input!$FT$26</f>
        <v>0</v>
      </c>
      <c r="F35" s="372">
        <f>Input!$FU$26</f>
        <v>0</v>
      </c>
      <c r="G35" s="372">
        <f>Input!$FV$26</f>
        <v>0</v>
      </c>
      <c r="H35" s="372">
        <f>Input!$FW$26</f>
        <v>0</v>
      </c>
      <c r="I35" s="372">
        <f>Input!$FX$26</f>
        <v>0</v>
      </c>
      <c r="J35" s="372">
        <f>Input!$FY$26</f>
        <v>0</v>
      </c>
      <c r="K35" s="372">
        <f>Input!$FZ$26</f>
        <v>0</v>
      </c>
      <c r="L35" s="372">
        <f>Input!$GA$26</f>
        <v>0</v>
      </c>
      <c r="M35" s="567">
        <f t="shared" si="6"/>
        <v>0</v>
      </c>
      <c r="O35" s="418" t="s">
        <v>286</v>
      </c>
      <c r="P35" s="419"/>
      <c r="Q35" s="420">
        <f>Q30-Q32</f>
        <v>0</v>
      </c>
      <c r="R35" s="649">
        <f>R30-R34</f>
        <v>0</v>
      </c>
      <c r="T35" s="650" t="s">
        <v>1111</v>
      </c>
      <c r="U35" s="584"/>
      <c r="V35" s="584"/>
      <c r="W35" s="656">
        <f>SUM(W33:W34)</f>
        <v>31195694</v>
      </c>
      <c r="X35" s="655"/>
    </row>
    <row r="36" spans="1:24" s="264" customFormat="1" ht="13.5" thickTop="1">
      <c r="A36" s="263"/>
      <c r="B36" s="558" t="s">
        <v>732</v>
      </c>
      <c r="C36" s="563"/>
      <c r="D36" s="564">
        <f>Input!$GB$26</f>
        <v>374365</v>
      </c>
      <c r="E36" s="564">
        <f>Input!$GC$26</f>
        <v>124343039</v>
      </c>
      <c r="F36" s="564">
        <f>Input!$GD$26</f>
        <v>30007470</v>
      </c>
      <c r="G36" s="564">
        <f>Input!$GE$26</f>
        <v>0</v>
      </c>
      <c r="H36" s="564">
        <f>Input!$GF$26</f>
        <v>0</v>
      </c>
      <c r="I36" s="564">
        <f>Input!$GG$26</f>
        <v>0</v>
      </c>
      <c r="J36" s="564">
        <f>Input!$GH$26</f>
        <v>0</v>
      </c>
      <c r="K36" s="564">
        <f>Input!$GI$26</f>
        <v>0</v>
      </c>
      <c r="L36" s="564">
        <f>Input!$GJ$26</f>
        <v>0</v>
      </c>
      <c r="M36" s="565">
        <f t="shared" si="6"/>
        <v>154724874</v>
      </c>
      <c r="O36" s="261"/>
      <c r="Q36" s="412" t="str">
        <f>IF(Q30&lt;&gt;Q32,"Out of Balance","Balanced")</f>
        <v>Balanced</v>
      </c>
      <c r="R36" s="412" t="str">
        <f>IF(R30&lt;&gt;R34,"Out of Balance","Balanced")</f>
        <v>Balanced</v>
      </c>
      <c r="T36" s="560" t="s">
        <v>1053</v>
      </c>
      <c r="U36" s="266"/>
      <c r="V36" s="266"/>
      <c r="W36" s="334">
        <f>(M20+M33)*-1</f>
        <v>0</v>
      </c>
      <c r="X36" s="425"/>
    </row>
    <row r="37" spans="1:24" s="264" customFormat="1">
      <c r="A37" s="263"/>
      <c r="B37" s="261" t="s">
        <v>727</v>
      </c>
      <c r="C37" s="566"/>
      <c r="D37" s="372">
        <f>Input!$GK$26</f>
        <v>0</v>
      </c>
      <c r="E37" s="372">
        <f>Input!$GL$26</f>
        <v>0</v>
      </c>
      <c r="F37" s="372">
        <f>Input!$GM$26</f>
        <v>0</v>
      </c>
      <c r="G37" s="372">
        <f>Input!$GN$26</f>
        <v>0</v>
      </c>
      <c r="H37" s="372">
        <f>Input!$GO$26</f>
        <v>0</v>
      </c>
      <c r="I37" s="372">
        <f>Input!$GP$26</f>
        <v>0</v>
      </c>
      <c r="J37" s="372">
        <f>Input!$GQ$26</f>
        <v>0</v>
      </c>
      <c r="K37" s="372">
        <f>Input!$GR$26</f>
        <v>0</v>
      </c>
      <c r="L37" s="372">
        <f>Input!$GS$26</f>
        <v>0</v>
      </c>
      <c r="M37" s="567">
        <f t="shared" si="6"/>
        <v>0</v>
      </c>
      <c r="O37" s="261"/>
      <c r="T37" s="560" t="s">
        <v>1112</v>
      </c>
      <c r="U37" s="266"/>
      <c r="V37" s="266"/>
      <c r="W37" s="430">
        <f>(M25+M38)*-1</f>
        <v>0</v>
      </c>
      <c r="X37" s="655"/>
    </row>
    <row r="38" spans="1:24" s="264" customFormat="1">
      <c r="A38" s="263"/>
      <c r="B38" s="261" t="s">
        <v>728</v>
      </c>
      <c r="C38" s="566"/>
      <c r="D38" s="372">
        <f>Input!$GT$26</f>
        <v>0</v>
      </c>
      <c r="E38" s="372">
        <f>Input!$GU$26</f>
        <v>0</v>
      </c>
      <c r="F38" s="372">
        <f>Input!$GV$26</f>
        <v>0</v>
      </c>
      <c r="G38" s="372">
        <f>Input!$GW$26</f>
        <v>0</v>
      </c>
      <c r="H38" s="372">
        <f>Input!$GX$26</f>
        <v>0</v>
      </c>
      <c r="I38" s="372">
        <f>Input!$GY$26</f>
        <v>0</v>
      </c>
      <c r="J38" s="372">
        <f>Input!$GZ$26</f>
        <v>0</v>
      </c>
      <c r="K38" s="372">
        <f>Input!$HA$26</f>
        <v>0</v>
      </c>
      <c r="L38" s="372">
        <f>Input!$HB$26</f>
        <v>0</v>
      </c>
      <c r="M38" s="567">
        <f t="shared" si="6"/>
        <v>0</v>
      </c>
      <c r="O38" s="261"/>
      <c r="T38" s="650" t="s">
        <v>1113</v>
      </c>
      <c r="U38" s="584"/>
      <c r="V38" s="584"/>
      <c r="W38" s="656">
        <f>SUM(W36:W37)</f>
        <v>0</v>
      </c>
      <c r="X38" s="425"/>
    </row>
    <row r="39" spans="1:24" s="264" customFormat="1">
      <c r="A39" s="263"/>
      <c r="B39" s="261" t="s">
        <v>729</v>
      </c>
      <c r="C39" s="566"/>
      <c r="D39" s="372">
        <f>Input!$HC$26</f>
        <v>-2821</v>
      </c>
      <c r="E39" s="372">
        <f>Input!$HD$26</f>
        <v>-3176447</v>
      </c>
      <c r="F39" s="372">
        <f>Input!$HE$26</f>
        <v>-249050</v>
      </c>
      <c r="G39" s="372">
        <f>Input!$HF$26</f>
        <v>0</v>
      </c>
      <c r="H39" s="372">
        <f>Input!$HG$26</f>
        <v>0</v>
      </c>
      <c r="I39" s="372">
        <f>Input!$HH$26</f>
        <v>0</v>
      </c>
      <c r="J39" s="372">
        <f>Input!$HI$26</f>
        <v>0</v>
      </c>
      <c r="K39" s="372">
        <f>Input!$HJ$26</f>
        <v>0</v>
      </c>
      <c r="L39" s="372">
        <f>Input!$HK$26</f>
        <v>0</v>
      </c>
      <c r="M39" s="567">
        <f t="shared" si="6"/>
        <v>-3428318</v>
      </c>
      <c r="O39" s="261"/>
      <c r="T39" s="560" t="s">
        <v>1054</v>
      </c>
      <c r="U39" s="266"/>
      <c r="V39" s="266"/>
      <c r="W39" s="334"/>
      <c r="X39" s="425">
        <f>W38+W35</f>
        <v>31195694</v>
      </c>
    </row>
    <row r="40" spans="1:24" s="264" customFormat="1">
      <c r="A40" s="263"/>
      <c r="B40" s="261" t="s">
        <v>730</v>
      </c>
      <c r="C40" s="566"/>
      <c r="D40" s="372">
        <f>Input!$HL$26</f>
        <v>0</v>
      </c>
      <c r="E40" s="372">
        <f>Input!$HM$26</f>
        <v>0</v>
      </c>
      <c r="F40" s="372">
        <f>Input!$HN$26</f>
        <v>0</v>
      </c>
      <c r="G40" s="372">
        <f>Input!$HO$26</f>
        <v>0</v>
      </c>
      <c r="H40" s="372">
        <f>Input!$HP$26</f>
        <v>0</v>
      </c>
      <c r="I40" s="372">
        <f>Input!$HQ$26</f>
        <v>0</v>
      </c>
      <c r="J40" s="372">
        <f>Input!$HR$26</f>
        <v>0</v>
      </c>
      <c r="K40" s="372">
        <f>Input!$HS$26</f>
        <v>0</v>
      </c>
      <c r="L40" s="372">
        <f>Input!$HT$26</f>
        <v>0</v>
      </c>
      <c r="M40" s="567">
        <f t="shared" si="6"/>
        <v>0</v>
      </c>
      <c r="O40" s="261"/>
      <c r="T40" s="560"/>
      <c r="U40" s="261"/>
      <c r="V40" s="261"/>
      <c r="W40" s="261"/>
      <c r="X40" s="655"/>
    </row>
    <row r="41" spans="1:24" s="264" customFormat="1">
      <c r="A41" s="263"/>
      <c r="B41" s="261" t="s">
        <v>2133</v>
      </c>
      <c r="C41" s="566"/>
      <c r="D41" s="372">
        <f>Input!$HU$26</f>
        <v>-97543</v>
      </c>
      <c r="E41" s="372">
        <f>Input!$HV$26</f>
        <v>-32630611</v>
      </c>
      <c r="F41" s="372">
        <f>Input!$HW$26</f>
        <v>-8409216</v>
      </c>
      <c r="G41" s="372">
        <f>Input!$HX$26</f>
        <v>0</v>
      </c>
      <c r="H41" s="372">
        <f>Input!$HY$26</f>
        <v>0</v>
      </c>
      <c r="I41" s="372">
        <f>Input!$HZ$26</f>
        <v>0</v>
      </c>
      <c r="J41" s="372">
        <f>Input!$IA$26</f>
        <v>0</v>
      </c>
      <c r="K41" s="372">
        <f>Input!$IB$26</f>
        <v>0</v>
      </c>
      <c r="L41" s="372">
        <f>Input!$IC$26</f>
        <v>0</v>
      </c>
      <c r="M41" s="567">
        <f t="shared" si="6"/>
        <v>-41137370</v>
      </c>
      <c r="O41"/>
      <c r="P41"/>
      <c r="Q41"/>
      <c r="R41"/>
      <c r="S41"/>
      <c r="T41" s="560" t="s">
        <v>1104</v>
      </c>
      <c r="U41" s="266"/>
      <c r="V41" s="266"/>
      <c r="W41" s="330">
        <f>(M21+M34)*-1</f>
        <v>0</v>
      </c>
      <c r="X41" s="425"/>
    </row>
    <row r="42" spans="1:24" s="264" customFormat="1">
      <c r="A42" s="263"/>
      <c r="B42" s="575" t="s">
        <v>40</v>
      </c>
      <c r="C42" s="563"/>
      <c r="D42" s="374">
        <f t="shared" ref="D42:L42" si="7">SUM(D36:D41)</f>
        <v>274001</v>
      </c>
      <c r="E42" s="374">
        <f t="shared" si="7"/>
        <v>88535981</v>
      </c>
      <c r="F42" s="374">
        <f t="shared" si="7"/>
        <v>21349204</v>
      </c>
      <c r="G42" s="374">
        <f t="shared" si="7"/>
        <v>0</v>
      </c>
      <c r="H42" s="374">
        <f t="shared" si="7"/>
        <v>0</v>
      </c>
      <c r="I42" s="374">
        <f t="shared" si="7"/>
        <v>0</v>
      </c>
      <c r="J42" s="374">
        <f t="shared" si="7"/>
        <v>0</v>
      </c>
      <c r="K42" s="374">
        <f t="shared" si="7"/>
        <v>0</v>
      </c>
      <c r="L42" s="374">
        <f t="shared" si="7"/>
        <v>0</v>
      </c>
      <c r="M42" s="374">
        <f t="shared" si="6"/>
        <v>110159186</v>
      </c>
      <c r="O42"/>
      <c r="P42"/>
      <c r="Q42"/>
      <c r="R42"/>
      <c r="S42"/>
      <c r="T42" s="560" t="s">
        <v>1107</v>
      </c>
      <c r="U42" s="266"/>
      <c r="V42" s="266"/>
      <c r="W42" s="430">
        <f>(M22+M35)*-1</f>
        <v>0</v>
      </c>
      <c r="X42" s="425"/>
    </row>
    <row r="43" spans="1:24" s="264" customFormat="1">
      <c r="A43" s="263"/>
      <c r="B43" s="261"/>
      <c r="C43" s="566"/>
      <c r="D43" s="566"/>
      <c r="E43" s="566"/>
      <c r="F43" s="566"/>
      <c r="G43" s="566"/>
      <c r="H43" s="566"/>
      <c r="I43" s="566"/>
      <c r="J43" s="566"/>
      <c r="K43" s="566"/>
      <c r="L43" s="566"/>
      <c r="M43" s="567"/>
      <c r="O43"/>
      <c r="P43"/>
      <c r="Q43"/>
      <c r="R43"/>
      <c r="S43"/>
      <c r="T43" s="650" t="s">
        <v>1114</v>
      </c>
      <c r="U43" s="584"/>
      <c r="V43" s="584"/>
      <c r="W43" s="656">
        <f>SUM(W41:W42)</f>
        <v>0</v>
      </c>
      <c r="X43" s="655"/>
    </row>
    <row r="44" spans="1:24" s="264" customFormat="1" ht="13.5" customHeight="1">
      <c r="A44" s="263"/>
      <c r="B44" s="575" t="s">
        <v>1055</v>
      </c>
      <c r="C44" s="563"/>
      <c r="D44" s="374">
        <f t="shared" ref="D44:L44" si="8">D42+D29</f>
        <v>61779007</v>
      </c>
      <c r="E44" s="374">
        <f t="shared" si="8"/>
        <v>317443882</v>
      </c>
      <c r="F44" s="374">
        <f t="shared" si="8"/>
        <v>21349204</v>
      </c>
      <c r="G44" s="374">
        <f t="shared" si="8"/>
        <v>0</v>
      </c>
      <c r="H44" s="374">
        <f t="shared" si="8"/>
        <v>0</v>
      </c>
      <c r="I44" s="374">
        <f t="shared" si="8"/>
        <v>0</v>
      </c>
      <c r="J44" s="374">
        <f t="shared" si="8"/>
        <v>0</v>
      </c>
      <c r="K44" s="374">
        <f t="shared" si="8"/>
        <v>0</v>
      </c>
      <c r="L44" s="374">
        <f t="shared" si="8"/>
        <v>0</v>
      </c>
      <c r="M44" s="374">
        <f>D44+E44+F44+G44+H44+I44+J44+K44+L44</f>
        <v>400572093</v>
      </c>
      <c r="O44"/>
      <c r="P44"/>
      <c r="Q44"/>
      <c r="R44"/>
      <c r="S44"/>
      <c r="T44" s="560"/>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0"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0" t="s">
        <v>1112</v>
      </c>
      <c r="U46" s="266"/>
      <c r="V46" s="266"/>
      <c r="W46" s="430">
        <f>(M25+M38)*-1</f>
        <v>0</v>
      </c>
      <c r="X46" s="425"/>
    </row>
    <row r="47" spans="1:24">
      <c r="A47" s="184">
        <v>30</v>
      </c>
      <c r="B47" s="176" t="s">
        <v>7</v>
      </c>
      <c r="C47" s="176"/>
      <c r="D47" s="375">
        <f>Input!$ID$26</f>
        <v>6273088</v>
      </c>
      <c r="E47" s="375">
        <f>Input!$IE$26</f>
        <v>22112</v>
      </c>
      <c r="F47" s="375">
        <f>Input!$IF$26</f>
        <v>0</v>
      </c>
      <c r="G47" s="375">
        <f>Input!$IG$26</f>
        <v>257002093</v>
      </c>
      <c r="H47" s="375">
        <f>Input!$IH$26</f>
        <v>71458</v>
      </c>
      <c r="I47" s="375">
        <f>Input!$II$26</f>
        <v>0</v>
      </c>
      <c r="J47" s="375">
        <f>Input!$IJ$26</f>
        <v>0</v>
      </c>
      <c r="K47" s="375">
        <f>Input!$IK$26</f>
        <v>0</v>
      </c>
      <c r="L47" s="375">
        <f>Input!$IL$26</f>
        <v>0</v>
      </c>
      <c r="M47" s="374">
        <f>D47+E47+F47+G47+H47+I47+J47+K47+L47</f>
        <v>263368751</v>
      </c>
      <c r="N47" s="160"/>
      <c r="O47"/>
      <c r="P47"/>
      <c r="Q47"/>
      <c r="R47"/>
      <c r="S47"/>
      <c r="T47" s="657" t="s">
        <v>1115</v>
      </c>
      <c r="U47" s="27"/>
      <c r="V47" s="27"/>
      <c r="W47" s="656">
        <f>SUM(W45:W46)</f>
        <v>0</v>
      </c>
      <c r="X47" s="655"/>
    </row>
    <row r="48" spans="1:24">
      <c r="A48" s="184">
        <v>31</v>
      </c>
      <c r="B48" s="160"/>
      <c r="C48" s="160"/>
      <c r="D48" s="373"/>
      <c r="E48" s="373"/>
      <c r="F48" s="373"/>
      <c r="G48" s="373"/>
      <c r="H48" s="373"/>
      <c r="I48" s="373"/>
      <c r="J48" s="373"/>
      <c r="K48" s="373"/>
      <c r="L48" s="373"/>
      <c r="M48" s="373"/>
      <c r="N48" s="160"/>
      <c r="O48"/>
      <c r="P48"/>
      <c r="Q48"/>
      <c r="R48"/>
      <c r="S48"/>
      <c r="T48" s="560"/>
      <c r="U48" s="261"/>
      <c r="V48" s="261"/>
      <c r="W48" s="261"/>
      <c r="X48" s="658">
        <f>W43-W47</f>
        <v>0</v>
      </c>
    </row>
    <row r="49" spans="1:28">
      <c r="A49" s="184">
        <v>32</v>
      </c>
      <c r="B49" s="172" t="s">
        <v>8</v>
      </c>
      <c r="C49" s="172"/>
      <c r="D49" s="373"/>
      <c r="E49" s="373"/>
      <c r="F49" s="373"/>
      <c r="G49" s="373"/>
      <c r="H49" s="373"/>
      <c r="I49" s="373"/>
      <c r="J49" s="373"/>
      <c r="K49" s="373"/>
      <c r="L49" s="373"/>
      <c r="M49" s="373"/>
      <c r="N49" s="160"/>
      <c r="O49" s="273"/>
      <c r="T49" s="579" t="s">
        <v>287</v>
      </c>
      <c r="U49" s="511"/>
      <c r="V49" s="580"/>
      <c r="W49" s="580"/>
      <c r="X49" s="574">
        <f>SUM(X23:X48)</f>
        <v>594427053</v>
      </c>
    </row>
    <row r="50" spans="1:28">
      <c r="A50" s="184">
        <v>33</v>
      </c>
      <c r="B50" s="160" t="s">
        <v>42</v>
      </c>
      <c r="C50" s="160"/>
      <c r="D50" s="372">
        <f>Input!$IM$26</f>
        <v>1687756</v>
      </c>
      <c r="E50" s="372">
        <f>Input!$IN$26</f>
        <v>7508407</v>
      </c>
      <c r="F50" s="372">
        <f>Input!$IO$26</f>
        <v>0</v>
      </c>
      <c r="G50" s="372">
        <f>Input!$IP$26</f>
        <v>26201</v>
      </c>
      <c r="H50" s="372">
        <f>Input!$IQ$26</f>
        <v>42997</v>
      </c>
      <c r="I50" s="372">
        <f>Input!$IR$26</f>
        <v>80786262</v>
      </c>
      <c r="J50" s="372">
        <f>Input!$IS$26</f>
        <v>276921</v>
      </c>
      <c r="K50" s="372">
        <f>Input!$IT$26</f>
        <v>158</v>
      </c>
      <c r="L50" s="372">
        <f>Input!$IU$26</f>
        <v>0</v>
      </c>
      <c r="M50" s="373">
        <f t="shared" ref="M50:M57" si="9">D50+E50+F50+G50+H50+I50+J50+K50+L50</f>
        <v>90328702</v>
      </c>
      <c r="N50" s="160"/>
      <c r="O50" s="273"/>
      <c r="U50" s="275"/>
    </row>
    <row r="51" spans="1:28">
      <c r="A51" s="184">
        <v>34</v>
      </c>
      <c r="B51" s="160" t="s">
        <v>9</v>
      </c>
      <c r="C51" s="160"/>
      <c r="D51" s="372">
        <f>Input!$IV$26</f>
        <v>0</v>
      </c>
      <c r="E51" s="372">
        <f>Input!$IW$26</f>
        <v>11544843</v>
      </c>
      <c r="F51" s="372">
        <f>Input!$IX$26</f>
        <v>0</v>
      </c>
      <c r="G51" s="372">
        <f>Input!$IY$26</f>
        <v>89835</v>
      </c>
      <c r="H51" s="372">
        <f>Input!$IZ$26</f>
        <v>0</v>
      </c>
      <c r="I51" s="372">
        <f>Input!$JA$26</f>
        <v>0</v>
      </c>
      <c r="J51" s="372">
        <f>Input!$JB$26</f>
        <v>0</v>
      </c>
      <c r="K51" s="372">
        <f>Input!$JC$26</f>
        <v>0</v>
      </c>
      <c r="L51" s="372">
        <f>Input!$JD$26</f>
        <v>0</v>
      </c>
      <c r="M51" s="376">
        <f t="shared" si="9"/>
        <v>11634678</v>
      </c>
      <c r="N51" s="160"/>
      <c r="Y51" s="277"/>
    </row>
    <row r="52" spans="1:28">
      <c r="A52" s="184">
        <v>35</v>
      </c>
      <c r="B52" s="160" t="s">
        <v>10</v>
      </c>
      <c r="C52" s="160"/>
      <c r="D52" s="372">
        <f>Input!$JE$26</f>
        <v>-6274088</v>
      </c>
      <c r="E52" s="372">
        <f>Input!$JF$26</f>
        <v>1235995</v>
      </c>
      <c r="F52" s="372">
        <f>Input!$JG$26</f>
        <v>0</v>
      </c>
      <c r="G52" s="372">
        <f>Input!$JH$26</f>
        <v>78387557</v>
      </c>
      <c r="H52" s="372">
        <f>Input!$JI$26</f>
        <v>0</v>
      </c>
      <c r="I52" s="372">
        <f>Input!$JJ$26</f>
        <v>24349</v>
      </c>
      <c r="J52" s="372">
        <f>Input!$JK$26</f>
        <v>0</v>
      </c>
      <c r="K52" s="372">
        <f>Input!$JL$26</f>
        <v>0</v>
      </c>
      <c r="L52" s="372">
        <f>Input!$JM$26</f>
        <v>0</v>
      </c>
      <c r="M52" s="373">
        <f t="shared" si="9"/>
        <v>73373813</v>
      </c>
      <c r="N52" s="160"/>
      <c r="O52" s="273"/>
      <c r="P52" s="278"/>
    </row>
    <row r="53" spans="1:28">
      <c r="A53" s="184">
        <v>36</v>
      </c>
      <c r="B53" s="160" t="s">
        <v>11</v>
      </c>
      <c r="C53" s="160"/>
      <c r="D53" s="372">
        <f>Input!$JN$26</f>
        <v>1680</v>
      </c>
      <c r="E53" s="372">
        <f>Input!$JO$26</f>
        <v>90969900</v>
      </c>
      <c r="F53" s="372">
        <f>Input!$JP$26</f>
        <v>0</v>
      </c>
      <c r="G53" s="372">
        <f>Input!$JQ$26</f>
        <v>257581</v>
      </c>
      <c r="H53" s="372">
        <f>Input!$JR$26</f>
        <v>0</v>
      </c>
      <c r="I53" s="372">
        <f>Input!$JS$26</f>
        <v>0</v>
      </c>
      <c r="J53" s="372">
        <f>Input!$JT$26</f>
        <v>0</v>
      </c>
      <c r="K53" s="372">
        <f>Input!$JU$26</f>
        <v>0</v>
      </c>
      <c r="L53" s="372">
        <f>Input!$JV$26</f>
        <v>0</v>
      </c>
      <c r="M53" s="373">
        <f t="shared" si="9"/>
        <v>91229161</v>
      </c>
      <c r="N53" s="160"/>
      <c r="O53" s="273"/>
    </row>
    <row r="54" spans="1:28" ht="13.5" thickBot="1">
      <c r="A54" s="184">
        <v>37</v>
      </c>
      <c r="B54" s="177" t="s">
        <v>2134</v>
      </c>
      <c r="C54" s="177"/>
      <c r="D54" s="372">
        <f>Input!$JW$26</f>
        <v>0</v>
      </c>
      <c r="E54" s="372">
        <f>Input!$JX$26</f>
        <v>0</v>
      </c>
      <c r="F54" s="372">
        <f>Input!$JY$26</f>
        <v>47444235</v>
      </c>
      <c r="G54" s="372">
        <f>Input!$JZ$26</f>
        <v>0</v>
      </c>
      <c r="H54" s="372">
        <f>Input!$KA$26</f>
        <v>0</v>
      </c>
      <c r="I54" s="372">
        <f>Input!$KB$26</f>
        <v>0</v>
      </c>
      <c r="J54" s="372">
        <f>Input!$KC$26</f>
        <v>0</v>
      </c>
      <c r="K54" s="372">
        <f>Input!$KD$26</f>
        <v>0</v>
      </c>
      <c r="L54" s="372">
        <f>Input!$KE$26</f>
        <v>0</v>
      </c>
      <c r="M54" s="373">
        <f t="shared" si="9"/>
        <v>47444235</v>
      </c>
      <c r="N54" s="160"/>
      <c r="O54" s="273"/>
    </row>
    <row r="55" spans="1:28" ht="14.25" thickTop="1" thickBot="1">
      <c r="A55" s="184">
        <v>38</v>
      </c>
      <c r="B55" s="160" t="s">
        <v>43</v>
      </c>
      <c r="C55" s="160"/>
      <c r="D55" s="372">
        <f>Input!$KF$26</f>
        <v>0</v>
      </c>
      <c r="E55" s="372">
        <f>Input!$KG$26</f>
        <v>56515780</v>
      </c>
      <c r="F55" s="372">
        <f>Input!$KH$26</f>
        <v>34212062</v>
      </c>
      <c r="G55" s="372">
        <f>Input!$KI$26</f>
        <v>19441125</v>
      </c>
      <c r="H55" s="372">
        <f>Input!$KJ$26</f>
        <v>0</v>
      </c>
      <c r="I55" s="372">
        <f>Input!$KK$26</f>
        <v>0</v>
      </c>
      <c r="J55" s="372">
        <f>Input!$KL$26</f>
        <v>0</v>
      </c>
      <c r="K55" s="372">
        <f>Input!$KM$26</f>
        <v>0</v>
      </c>
      <c r="L55" s="372">
        <f>Input!$KN$26</f>
        <v>0</v>
      </c>
      <c r="M55" s="373">
        <f t="shared" si="9"/>
        <v>110168967</v>
      </c>
      <c r="N55" s="160"/>
      <c r="O55" s="1616" t="s">
        <v>251</v>
      </c>
      <c r="P55" s="1617"/>
      <c r="Q55" s="1617"/>
      <c r="R55" s="1618"/>
      <c r="S55" s="437"/>
      <c r="T55" s="1619" t="s">
        <v>252</v>
      </c>
      <c r="U55" s="1620"/>
      <c r="V55" s="1620"/>
      <c r="W55" s="1620"/>
      <c r="X55" s="1621"/>
      <c r="Y55" s="320"/>
      <c r="Z55" s="1749" t="s">
        <v>1301</v>
      </c>
      <c r="AA55" s="1750"/>
      <c r="AB55" s="1751"/>
    </row>
    <row r="56" spans="1:28" ht="13.5" customHeight="1" thickTop="1">
      <c r="A56" s="184">
        <v>39</v>
      </c>
      <c r="B56" s="176" t="s">
        <v>3</v>
      </c>
      <c r="C56" s="176"/>
      <c r="D56" s="374">
        <f>SUM(D50:D55)</f>
        <v>-4584652</v>
      </c>
      <c r="E56" s="374">
        <f t="shared" ref="E56:L56" si="10">SUM(E50:E55)</f>
        <v>167774925</v>
      </c>
      <c r="F56" s="374">
        <f t="shared" si="10"/>
        <v>81656297</v>
      </c>
      <c r="G56" s="374">
        <f t="shared" si="10"/>
        <v>98202299</v>
      </c>
      <c r="H56" s="374">
        <f t="shared" si="10"/>
        <v>42997</v>
      </c>
      <c r="I56" s="374">
        <f t="shared" si="10"/>
        <v>80810611</v>
      </c>
      <c r="J56" s="374">
        <f t="shared" si="10"/>
        <v>276921</v>
      </c>
      <c r="K56" s="374">
        <f t="shared" si="10"/>
        <v>158</v>
      </c>
      <c r="L56" s="374">
        <f t="shared" si="10"/>
        <v>0</v>
      </c>
      <c r="M56" s="374">
        <f t="shared" si="9"/>
        <v>424179556</v>
      </c>
      <c r="N56" s="160"/>
      <c r="O56" s="1622" t="s">
        <v>1135</v>
      </c>
      <c r="P56" s="1625" t="s">
        <v>254</v>
      </c>
      <c r="Q56" s="1625" t="s">
        <v>292</v>
      </c>
      <c r="R56" s="1628" t="s">
        <v>1063</v>
      </c>
      <c r="S56" s="280"/>
      <c r="T56" s="1739" t="s">
        <v>1136</v>
      </c>
      <c r="U56" s="1637" t="s">
        <v>254</v>
      </c>
      <c r="V56" s="1634" t="s">
        <v>256</v>
      </c>
      <c r="W56" s="1637" t="s">
        <v>257</v>
      </c>
      <c r="X56" s="1638" t="s">
        <v>1064</v>
      </c>
      <c r="Z56" s="1754" t="s">
        <v>1302</v>
      </c>
      <c r="AA56" s="1747" t="s">
        <v>1303</v>
      </c>
      <c r="AB56" s="1752" t="s">
        <v>238</v>
      </c>
    </row>
    <row r="57" spans="1:28">
      <c r="A57" s="184">
        <v>40</v>
      </c>
      <c r="B57" s="162" t="s">
        <v>68</v>
      </c>
      <c r="C57" s="162"/>
      <c r="D57" s="374">
        <f>D15+D44+D47+D56</f>
        <v>322611401</v>
      </c>
      <c r="E57" s="374">
        <f t="shared" ref="E57:L57" si="11">E15+E44+E47+E56</f>
        <v>485240919</v>
      </c>
      <c r="F57" s="374">
        <f t="shared" si="11"/>
        <v>103005501</v>
      </c>
      <c r="G57" s="374">
        <f t="shared" si="11"/>
        <v>399637960</v>
      </c>
      <c r="H57" s="374">
        <f t="shared" si="11"/>
        <v>114455</v>
      </c>
      <c r="I57" s="374">
        <f t="shared" si="11"/>
        <v>80810611</v>
      </c>
      <c r="J57" s="374">
        <f t="shared" si="11"/>
        <v>276921</v>
      </c>
      <c r="K57" s="374">
        <f t="shared" si="11"/>
        <v>158</v>
      </c>
      <c r="L57" s="374">
        <f t="shared" si="11"/>
        <v>0</v>
      </c>
      <c r="M57" s="374">
        <f t="shared" si="9"/>
        <v>1391697926</v>
      </c>
      <c r="N57" s="160"/>
      <c r="O57" s="1623"/>
      <c r="P57" s="1626"/>
      <c r="Q57" s="1626"/>
      <c r="R57" s="1629"/>
      <c r="S57" s="280"/>
      <c r="T57" s="1740"/>
      <c r="U57" s="1626"/>
      <c r="V57" s="1635"/>
      <c r="W57" s="1626"/>
      <c r="X57" s="1639"/>
      <c r="Z57" s="1755"/>
      <c r="AA57" s="1747"/>
      <c r="AB57" s="1752"/>
    </row>
    <row r="58" spans="1:28">
      <c r="A58" s="184">
        <v>41</v>
      </c>
      <c r="B58" s="160"/>
      <c r="C58" s="160"/>
      <c r="D58" s="373"/>
      <c r="E58" s="373"/>
      <c r="F58" s="373"/>
      <c r="G58" s="373"/>
      <c r="H58" s="373"/>
      <c r="I58" s="373"/>
      <c r="J58" s="373"/>
      <c r="K58" s="373"/>
      <c r="L58" s="373"/>
      <c r="M58" s="373"/>
      <c r="N58" s="160"/>
      <c r="O58" s="1623"/>
      <c r="P58" s="1626"/>
      <c r="Q58" s="1626"/>
      <c r="R58" s="1629"/>
      <c r="S58" s="280"/>
      <c r="T58" s="1740"/>
      <c r="U58" s="1626"/>
      <c r="V58" s="1635"/>
      <c r="W58" s="1626"/>
      <c r="X58" s="1639"/>
      <c r="Z58" s="1755"/>
      <c r="AA58" s="1747"/>
      <c r="AB58" s="1752"/>
    </row>
    <row r="59" spans="1:28" ht="14.25" customHeight="1">
      <c r="A59" s="184">
        <v>42</v>
      </c>
      <c r="B59" s="174" t="s">
        <v>72</v>
      </c>
      <c r="C59" s="174"/>
      <c r="D59" s="377"/>
      <c r="E59" s="377"/>
      <c r="F59" s="377"/>
      <c r="G59" s="1746" t="str">
        <f>IF(OR(P105&gt;0,P106&lt;&gt;0,P107&lt;&gt;0),"Do not Enter Cents - Whole Dollars Only","")</f>
        <v/>
      </c>
      <c r="H59" s="1746"/>
      <c r="I59" s="1746"/>
      <c r="J59" s="1746"/>
      <c r="K59" s="1746"/>
      <c r="L59" s="377"/>
      <c r="M59" s="377"/>
      <c r="N59" s="160"/>
      <c r="O59" s="1624"/>
      <c r="P59" s="1627"/>
      <c r="Q59" s="1627"/>
      <c r="R59" s="1630"/>
      <c r="S59" s="280"/>
      <c r="T59" s="1741"/>
      <c r="U59" s="1627"/>
      <c r="V59" s="1636"/>
      <c r="W59" s="1627"/>
      <c r="X59" s="1640"/>
      <c r="Z59" s="1756"/>
      <c r="AA59" s="1748"/>
      <c r="AB59" s="1753"/>
    </row>
    <row r="60" spans="1:28" ht="13.5" thickBot="1">
      <c r="A60" s="184">
        <v>43</v>
      </c>
      <c r="B60" s="160" t="s">
        <v>14</v>
      </c>
      <c r="C60" s="160"/>
      <c r="D60" s="372">
        <f>Input!$KO$26</f>
        <v>155539535</v>
      </c>
      <c r="E60" s="372">
        <f>Input!$KP$26</f>
        <v>95215318</v>
      </c>
      <c r="F60" s="372">
        <f>Input!$KQ$26</f>
        <v>0</v>
      </c>
      <c r="G60" s="372">
        <f>Input!$KR$26</f>
        <v>4313900</v>
      </c>
      <c r="H60" s="372">
        <f>Input!$KS$26</f>
        <v>0</v>
      </c>
      <c r="I60" s="372">
        <f>Input!$KT$26</f>
        <v>0</v>
      </c>
      <c r="J60" s="372">
        <f>Input!$KU$26</f>
        <v>0</v>
      </c>
      <c r="K60" s="372">
        <f>Input!$KV$26</f>
        <v>0</v>
      </c>
      <c r="L60" s="372">
        <f>Input!$KW$26</f>
        <v>0</v>
      </c>
      <c r="M60" s="373">
        <f t="shared" ref="M60:M71" si="12">D60+E60+F60+G60+H60+I60+J60+K60+L60</f>
        <v>255068753</v>
      </c>
      <c r="N60" s="160"/>
      <c r="O60" s="282">
        <f>D60+E60+G60+J60</f>
        <v>255068753</v>
      </c>
      <c r="P60" s="518">
        <f>Input!$SS$26</f>
        <v>143828</v>
      </c>
      <c r="Q60" s="438" t="s">
        <v>259</v>
      </c>
      <c r="R60" s="284">
        <f>SUM(O60:P60)</f>
        <v>255212581</v>
      </c>
      <c r="S60" s="439"/>
      <c r="T60" s="286">
        <f t="shared" ref="T60:T67" si="13">D60+E60+G60</f>
        <v>255068753</v>
      </c>
      <c r="U60" s="287">
        <f t="shared" ref="U60:U67" si="14">P60</f>
        <v>143828</v>
      </c>
      <c r="V60" s="289">
        <f>Input!$TC$26</f>
        <v>0</v>
      </c>
      <c r="W60" s="289">
        <f>Input!$TK$26</f>
        <v>0</v>
      </c>
      <c r="X60" s="290">
        <f t="shared" ref="X60:X66" si="15">T60+U60-V60-W60</f>
        <v>255212581</v>
      </c>
      <c r="Z60" s="292" t="s">
        <v>14</v>
      </c>
      <c r="AA60" s="520">
        <f>Input!$TS$26</f>
        <v>255068753</v>
      </c>
      <c r="AB60" s="293">
        <f t="shared" ref="AB60:AB68" si="16">AA60-M60</f>
        <v>0</v>
      </c>
    </row>
    <row r="61" spans="1:28" ht="14.25" thickTop="1" thickBot="1">
      <c r="A61" s="184">
        <v>44</v>
      </c>
      <c r="B61" s="160" t="s">
        <v>15</v>
      </c>
      <c r="C61" s="160"/>
      <c r="D61" s="372">
        <f>Input!$KX$26</f>
        <v>17910376</v>
      </c>
      <c r="E61" s="372">
        <f>Input!$KY$26</f>
        <v>46191424</v>
      </c>
      <c r="F61" s="372">
        <f>Input!$KZ$26</f>
        <v>0</v>
      </c>
      <c r="G61" s="372">
        <f>Input!$LA$26</f>
        <v>104598178</v>
      </c>
      <c r="H61" s="372">
        <f>Input!$LB$26</f>
        <v>0</v>
      </c>
      <c r="I61" s="372">
        <f>Input!$LC$26</f>
        <v>0</v>
      </c>
      <c r="J61" s="372">
        <f>Input!$LD$26</f>
        <v>0</v>
      </c>
      <c r="K61" s="372">
        <f>Input!$LE$26</f>
        <v>0</v>
      </c>
      <c r="L61" s="372">
        <f>Input!$LF$26</f>
        <v>0</v>
      </c>
      <c r="M61" s="373">
        <f t="shared" si="12"/>
        <v>168699978</v>
      </c>
      <c r="N61" s="160"/>
      <c r="O61" s="440">
        <f t="shared" ref="O61:O67" si="17">D61+E61+G61+J61</f>
        <v>168699978</v>
      </c>
      <c r="P61" s="518">
        <f>Input!$ST$26</f>
        <v>10173606</v>
      </c>
      <c r="Q61" s="441" t="s">
        <v>259</v>
      </c>
      <c r="R61" s="295">
        <f>SUM(O61:P61)</f>
        <v>178873584</v>
      </c>
      <c r="S61" s="442"/>
      <c r="T61" s="296">
        <f t="shared" si="13"/>
        <v>168699978</v>
      </c>
      <c r="U61" s="297">
        <f t="shared" si="14"/>
        <v>10173606</v>
      </c>
      <c r="V61" s="299">
        <f>Input!$TD$26</f>
        <v>0</v>
      </c>
      <c r="W61" s="299">
        <f>Input!$TL$26</f>
        <v>120392</v>
      </c>
      <c r="X61" s="300">
        <f t="shared" si="15"/>
        <v>178753192</v>
      </c>
      <c r="Z61" s="292" t="s">
        <v>15</v>
      </c>
      <c r="AA61" s="518">
        <f>Input!$TT$26</f>
        <v>168699978</v>
      </c>
      <c r="AB61" s="301">
        <f t="shared" si="16"/>
        <v>0</v>
      </c>
    </row>
    <row r="62" spans="1:28" ht="13.5" thickTop="1">
      <c r="A62" s="184">
        <v>45</v>
      </c>
      <c r="B62" s="160" t="s">
        <v>16</v>
      </c>
      <c r="C62" s="160"/>
      <c r="D62" s="372">
        <f>Input!$LG$26</f>
        <v>2871893</v>
      </c>
      <c r="E62" s="372">
        <f>Input!$LH$26</f>
        <v>12302619</v>
      </c>
      <c r="F62" s="372">
        <f>Input!$LI$26</f>
        <v>0</v>
      </c>
      <c r="G62" s="372">
        <f>Input!$LJ$26</f>
        <v>20772349</v>
      </c>
      <c r="H62" s="372">
        <f>Input!$LK$26</f>
        <v>0</v>
      </c>
      <c r="I62" s="372">
        <f>Input!$LL$26</f>
        <v>0</v>
      </c>
      <c r="J62" s="372">
        <f>Input!$LM$26</f>
        <v>0</v>
      </c>
      <c r="K62" s="372">
        <f>Input!$LN$26</f>
        <v>0</v>
      </c>
      <c r="L62" s="372">
        <f>Input!$LO$26</f>
        <v>0</v>
      </c>
      <c r="M62" s="373">
        <f t="shared" si="12"/>
        <v>35946861</v>
      </c>
      <c r="N62" s="160"/>
      <c r="O62" s="440">
        <f t="shared" si="17"/>
        <v>35946861</v>
      </c>
      <c r="P62" s="518">
        <f>Input!$SU$26</f>
        <v>-263669</v>
      </c>
      <c r="Q62" s="441" t="s">
        <v>259</v>
      </c>
      <c r="R62" s="302" t="s">
        <v>259</v>
      </c>
      <c r="S62" s="442"/>
      <c r="T62" s="296">
        <f t="shared" si="13"/>
        <v>35946861</v>
      </c>
      <c r="U62" s="297">
        <f t="shared" si="14"/>
        <v>-263669</v>
      </c>
      <c r="V62" s="299">
        <f>Input!$TE$26</f>
        <v>0</v>
      </c>
      <c r="W62" s="299">
        <f>Input!$TM$26</f>
        <v>0</v>
      </c>
      <c r="X62" s="303">
        <f t="shared" si="15"/>
        <v>35683192</v>
      </c>
      <c r="Z62" s="292" t="s">
        <v>16</v>
      </c>
      <c r="AA62" s="518">
        <f>Input!$TU$26</f>
        <v>35946861</v>
      </c>
      <c r="AB62" s="301">
        <f t="shared" si="16"/>
        <v>0</v>
      </c>
    </row>
    <row r="63" spans="1:28">
      <c r="A63" s="184">
        <v>46</v>
      </c>
      <c r="B63" s="160" t="s">
        <v>17</v>
      </c>
      <c r="C63" s="160"/>
      <c r="D63" s="372">
        <f>Input!$LP$26</f>
        <v>45046929</v>
      </c>
      <c r="E63" s="372">
        <f>Input!$LQ$26</f>
        <v>98147811</v>
      </c>
      <c r="F63" s="372">
        <f>Input!$LR$26</f>
        <v>0</v>
      </c>
      <c r="G63" s="372">
        <f>Input!$LS$26</f>
        <v>36735977</v>
      </c>
      <c r="H63" s="372">
        <f>Input!$LT$26</f>
        <v>0</v>
      </c>
      <c r="I63" s="372">
        <f>Input!$LU$26</f>
        <v>0</v>
      </c>
      <c r="J63" s="372">
        <f>Input!$LV$26</f>
        <v>0</v>
      </c>
      <c r="K63" s="372">
        <f>Input!$LW$26</f>
        <v>0</v>
      </c>
      <c r="L63" s="372">
        <f>Input!$LX$26</f>
        <v>0</v>
      </c>
      <c r="M63" s="373">
        <f t="shared" si="12"/>
        <v>179930717</v>
      </c>
      <c r="N63" s="160"/>
      <c r="O63" s="440">
        <f t="shared" si="17"/>
        <v>179930717</v>
      </c>
      <c r="P63" s="518">
        <f>Input!$SV$26</f>
        <v>2601660</v>
      </c>
      <c r="Q63" s="441" t="s">
        <v>259</v>
      </c>
      <c r="R63" s="295">
        <f t="shared" ref="R63:R65" si="18">SUM(O63:P63)</f>
        <v>182532377</v>
      </c>
      <c r="S63" s="442"/>
      <c r="T63" s="296">
        <f t="shared" si="13"/>
        <v>179930717</v>
      </c>
      <c r="U63" s="297">
        <f t="shared" si="14"/>
        <v>2601660</v>
      </c>
      <c r="V63" s="299">
        <f>Input!$TF$26</f>
        <v>0</v>
      </c>
      <c r="W63" s="299">
        <f>Input!$TN$26</f>
        <v>0</v>
      </c>
      <c r="X63" s="303">
        <f t="shared" si="15"/>
        <v>182532377</v>
      </c>
      <c r="Z63" s="292" t="s">
        <v>17</v>
      </c>
      <c r="AA63" s="518">
        <f>Input!$TV$26</f>
        <v>179930717</v>
      </c>
      <c r="AB63" s="301">
        <f t="shared" si="16"/>
        <v>0</v>
      </c>
    </row>
    <row r="64" spans="1:28">
      <c r="A64" s="184">
        <v>47</v>
      </c>
      <c r="B64" s="160" t="s">
        <v>18</v>
      </c>
      <c r="C64" s="160"/>
      <c r="D64" s="372">
        <f>Input!$LY$26</f>
        <v>7172274</v>
      </c>
      <c r="E64" s="372">
        <f>Input!$LZ$26</f>
        <v>20926775</v>
      </c>
      <c r="F64" s="372">
        <f>Input!$MA$26</f>
        <v>0</v>
      </c>
      <c r="G64" s="372">
        <f>Input!$MB$26</f>
        <v>10092959</v>
      </c>
      <c r="H64" s="372">
        <f>Input!$MC$26</f>
        <v>0</v>
      </c>
      <c r="I64" s="372">
        <f>Input!$MD$26</f>
        <v>0</v>
      </c>
      <c r="J64" s="372">
        <f>Input!$ME$26</f>
        <v>0</v>
      </c>
      <c r="K64" s="372">
        <f>Input!$MF$26</f>
        <v>0</v>
      </c>
      <c r="L64" s="372">
        <f>Input!$MG$26</f>
        <v>0</v>
      </c>
      <c r="M64" s="373">
        <f t="shared" si="12"/>
        <v>38192008</v>
      </c>
      <c r="N64" s="160"/>
      <c r="O64" s="440">
        <f t="shared" si="17"/>
        <v>38192008</v>
      </c>
      <c r="P64" s="518">
        <f>Input!$SW$26</f>
        <v>21097</v>
      </c>
      <c r="Q64" s="518">
        <f>Input!$TB$26</f>
        <v>311761</v>
      </c>
      <c r="R64" s="295">
        <f>SUM(O64:P64)-Q64</f>
        <v>37901344</v>
      </c>
      <c r="S64" s="442"/>
      <c r="T64" s="296">
        <f t="shared" si="13"/>
        <v>38192008</v>
      </c>
      <c r="U64" s="297">
        <f t="shared" si="14"/>
        <v>21097</v>
      </c>
      <c r="V64" s="299">
        <f>Input!$TG$26</f>
        <v>0</v>
      </c>
      <c r="W64" s="299">
        <f>Input!$TO$26</f>
        <v>0</v>
      </c>
      <c r="X64" s="303">
        <f t="shared" si="15"/>
        <v>38213105</v>
      </c>
      <c r="Z64" s="292" t="s">
        <v>18</v>
      </c>
      <c r="AA64" s="518">
        <f>Input!$TW$26</f>
        <v>38192008</v>
      </c>
      <c r="AB64" s="301">
        <f t="shared" si="16"/>
        <v>0</v>
      </c>
    </row>
    <row r="65" spans="1:28">
      <c r="A65" s="184">
        <v>48</v>
      </c>
      <c r="B65" s="160" t="s">
        <v>19</v>
      </c>
      <c r="C65" s="160"/>
      <c r="D65" s="372">
        <f>Input!$MH$26</f>
        <v>10976993</v>
      </c>
      <c r="E65" s="372">
        <f>Input!$MI$26</f>
        <v>73561076</v>
      </c>
      <c r="F65" s="372">
        <f>Input!$MJ$26</f>
        <v>0</v>
      </c>
      <c r="G65" s="372">
        <f>Input!$MK$26</f>
        <v>779991</v>
      </c>
      <c r="H65" s="372">
        <f>Input!$ML$26</f>
        <v>0</v>
      </c>
      <c r="I65" s="372">
        <f>Input!$MM$26</f>
        <v>0</v>
      </c>
      <c r="J65" s="372">
        <f>Input!$MN$26</f>
        <v>0</v>
      </c>
      <c r="K65" s="372">
        <f>Input!$MO$26</f>
        <v>0</v>
      </c>
      <c r="L65" s="372">
        <f>Input!$MP$26</f>
        <v>0</v>
      </c>
      <c r="M65" s="373">
        <f t="shared" si="12"/>
        <v>85318060</v>
      </c>
      <c r="N65" s="160"/>
      <c r="O65" s="440">
        <f t="shared" si="17"/>
        <v>85318060</v>
      </c>
      <c r="P65" s="518">
        <f>Input!$SX$26</f>
        <v>285334</v>
      </c>
      <c r="Q65" s="441" t="s">
        <v>259</v>
      </c>
      <c r="R65" s="295">
        <f t="shared" si="18"/>
        <v>85603394</v>
      </c>
      <c r="S65" s="442"/>
      <c r="T65" s="296">
        <f t="shared" si="13"/>
        <v>85318060</v>
      </c>
      <c r="U65" s="297">
        <f t="shared" si="14"/>
        <v>285334</v>
      </c>
      <c r="V65" s="299">
        <f>Input!$TH$26</f>
        <v>0</v>
      </c>
      <c r="W65" s="299">
        <f>Input!$TP$26</f>
        <v>0</v>
      </c>
      <c r="X65" s="303">
        <f t="shared" si="15"/>
        <v>85603394</v>
      </c>
      <c r="Z65" s="292" t="s">
        <v>19</v>
      </c>
      <c r="AA65" s="518">
        <f>Input!$TX$26</f>
        <v>85318060</v>
      </c>
      <c r="AB65" s="301">
        <f t="shared" si="16"/>
        <v>0</v>
      </c>
    </row>
    <row r="66" spans="1:28">
      <c r="A66" s="184">
        <v>49</v>
      </c>
      <c r="B66" s="160" t="s">
        <v>20</v>
      </c>
      <c r="C66" s="160"/>
      <c r="D66" s="372">
        <f>Input!$MQ$26</f>
        <v>20082479</v>
      </c>
      <c r="E66" s="372">
        <f>Input!$MR$26</f>
        <v>26962386</v>
      </c>
      <c r="F66" s="372">
        <f>Input!$MS$26</f>
        <v>0</v>
      </c>
      <c r="G66" s="372">
        <f>Input!$MT$26</f>
        <v>12313097</v>
      </c>
      <c r="H66" s="372">
        <f>Input!$MU$26</f>
        <v>0</v>
      </c>
      <c r="I66" s="372">
        <f>Input!$MV$26</f>
        <v>0</v>
      </c>
      <c r="J66" s="372">
        <f>Input!$MW$26</f>
        <v>0</v>
      </c>
      <c r="K66" s="372">
        <f>Input!$MX$26</f>
        <v>0</v>
      </c>
      <c r="L66" s="372">
        <f>Input!$MY$26</f>
        <v>0</v>
      </c>
      <c r="M66" s="373">
        <f t="shared" si="12"/>
        <v>59357962</v>
      </c>
      <c r="N66" s="160"/>
      <c r="O66" s="440">
        <f t="shared" si="17"/>
        <v>59357962</v>
      </c>
      <c r="P66" s="518">
        <f>Input!$SY$26</f>
        <v>188620</v>
      </c>
      <c r="Q66" s="441" t="s">
        <v>259</v>
      </c>
      <c r="R66" s="304" t="s">
        <v>259</v>
      </c>
      <c r="S66" s="442"/>
      <c r="T66" s="296">
        <f t="shared" si="13"/>
        <v>59357962</v>
      </c>
      <c r="U66" s="297">
        <f t="shared" si="14"/>
        <v>188620</v>
      </c>
      <c r="V66" s="299">
        <f>Input!$TI$26</f>
        <v>0</v>
      </c>
      <c r="W66" s="299">
        <f>Input!$TQ$26</f>
        <v>0</v>
      </c>
      <c r="X66" s="303">
        <f t="shared" si="15"/>
        <v>59546582</v>
      </c>
      <c r="Z66" s="292" t="s">
        <v>260</v>
      </c>
      <c r="AA66" s="518">
        <f>Input!$TY$26</f>
        <v>59357962</v>
      </c>
      <c r="AB66" s="301">
        <f t="shared" si="16"/>
        <v>0</v>
      </c>
    </row>
    <row r="67" spans="1:28" ht="13.5" thickBot="1">
      <c r="A67" s="184">
        <v>50</v>
      </c>
      <c r="B67" s="160" t="s">
        <v>21</v>
      </c>
      <c r="C67" s="160"/>
      <c r="D67" s="372">
        <f>Input!$MZ$26</f>
        <v>-3113055</v>
      </c>
      <c r="E67" s="372">
        <f>Input!$NA$26</f>
        <v>28418559</v>
      </c>
      <c r="F67" s="372">
        <f>Input!$NB$26</f>
        <v>0</v>
      </c>
      <c r="G67" s="372">
        <f>Input!$NC$26</f>
        <v>52697358</v>
      </c>
      <c r="H67" s="372">
        <f>Input!$ND$26</f>
        <v>0</v>
      </c>
      <c r="I67" s="372">
        <f>Input!$NE$26</f>
        <v>0</v>
      </c>
      <c r="J67" s="372">
        <f>Input!$NF$26</f>
        <v>0</v>
      </c>
      <c r="K67" s="372">
        <f>Input!$NG$26</f>
        <v>0</v>
      </c>
      <c r="L67" s="372">
        <f>Input!$NH$26</f>
        <v>0</v>
      </c>
      <c r="M67" s="373">
        <f t="shared" si="12"/>
        <v>78002862</v>
      </c>
      <c r="N67" s="160"/>
      <c r="O67" s="440">
        <f t="shared" si="17"/>
        <v>78002862</v>
      </c>
      <c r="P67" s="518">
        <f>Input!$SZ$26</f>
        <v>0</v>
      </c>
      <c r="Q67" s="441" t="s">
        <v>259</v>
      </c>
      <c r="R67" s="304" t="s">
        <v>259</v>
      </c>
      <c r="S67" s="442"/>
      <c r="T67" s="306">
        <f t="shared" si="13"/>
        <v>78002862</v>
      </c>
      <c r="U67" s="307">
        <f t="shared" si="14"/>
        <v>0</v>
      </c>
      <c r="V67" s="308">
        <f>Input!$TJ$26</f>
        <v>0</v>
      </c>
      <c r="W67" s="308">
        <f>Input!$TR$26</f>
        <v>0</v>
      </c>
      <c r="X67" s="303">
        <f>U67+T67-V67-W67</f>
        <v>78002862</v>
      </c>
      <c r="Z67" s="292" t="s">
        <v>21</v>
      </c>
      <c r="AA67" s="518">
        <f>Input!$TZ$26</f>
        <v>78002862</v>
      </c>
      <c r="AB67" s="301">
        <f t="shared" si="16"/>
        <v>0</v>
      </c>
    </row>
    <row r="68" spans="1:28" ht="14.25" thickTop="1" thickBot="1">
      <c r="A68" s="184">
        <v>51</v>
      </c>
      <c r="B68" s="160" t="s">
        <v>2135</v>
      </c>
      <c r="C68" s="160"/>
      <c r="D68" s="372">
        <f>Input!$NI$26</f>
        <v>0</v>
      </c>
      <c r="E68" s="372">
        <f>Input!$NJ$26</f>
        <v>0</v>
      </c>
      <c r="F68" s="372">
        <f>Input!$NK$26</f>
        <v>99097370</v>
      </c>
      <c r="G68" s="372">
        <f>Input!$NL$26</f>
        <v>34979424</v>
      </c>
      <c r="H68" s="372">
        <f>Input!$NM$26</f>
        <v>0</v>
      </c>
      <c r="I68" s="372">
        <f>Input!$NN$26</f>
        <v>0</v>
      </c>
      <c r="J68" s="372">
        <f>Input!$NO$26</f>
        <v>0</v>
      </c>
      <c r="K68" s="372">
        <f>Input!$NP$26</f>
        <v>0</v>
      </c>
      <c r="L68" s="372">
        <f>Input!$NQ$26</f>
        <v>0</v>
      </c>
      <c r="M68" s="373">
        <f t="shared" si="12"/>
        <v>134076794</v>
      </c>
      <c r="N68" s="160"/>
      <c r="O68" s="309" t="s">
        <v>259</v>
      </c>
      <c r="P68" s="519">
        <f>Input!$TA$26</f>
        <v>183264</v>
      </c>
      <c r="Q68" s="444" t="s">
        <v>259</v>
      </c>
      <c r="R68" s="311" t="s">
        <v>259</v>
      </c>
      <c r="S68" s="442"/>
      <c r="T68" s="305"/>
      <c r="U68" s="305"/>
      <c r="V68" s="312" t="s">
        <v>261</v>
      </c>
      <c r="W68" s="313"/>
      <c r="X68" s="314">
        <f>SUM(X60:X67)</f>
        <v>913547285</v>
      </c>
      <c r="Z68" s="292" t="s">
        <v>22</v>
      </c>
      <c r="AA68" s="518">
        <f>Input!$UA$26</f>
        <v>134076794</v>
      </c>
      <c r="AB68" s="301">
        <f t="shared" si="16"/>
        <v>0</v>
      </c>
    </row>
    <row r="69" spans="1:28" ht="14.25" thickTop="1" thickBot="1">
      <c r="A69" s="184">
        <v>52</v>
      </c>
      <c r="B69" s="161" t="s">
        <v>59</v>
      </c>
      <c r="C69" s="161"/>
      <c r="D69" s="372">
        <f>Input!$NR$26</f>
        <v>5945790</v>
      </c>
      <c r="E69" s="372">
        <f>Input!$NS$26</f>
        <v>3627886</v>
      </c>
      <c r="F69" s="372">
        <f>Input!$NT$26</f>
        <v>183264</v>
      </c>
      <c r="G69" s="372">
        <f>Input!$NU$26</f>
        <v>3576800</v>
      </c>
      <c r="H69" s="372">
        <f>Input!$NV$26</f>
        <v>0</v>
      </c>
      <c r="I69" s="372">
        <f>Input!$NW$26</f>
        <v>0</v>
      </c>
      <c r="J69" s="372">
        <f>Input!$NX$26</f>
        <v>0</v>
      </c>
      <c r="K69" s="372">
        <f>Input!$NY$26</f>
        <v>0</v>
      </c>
      <c r="L69" s="372">
        <f>Input!$NZ$26</f>
        <v>0</v>
      </c>
      <c r="M69" s="373">
        <f t="shared" si="12"/>
        <v>13333740</v>
      </c>
      <c r="N69" s="160"/>
      <c r="O69" s="315"/>
      <c r="P69" s="316">
        <f>SUM(P60:P68)</f>
        <v>13333740</v>
      </c>
      <c r="Q69" s="316">
        <f>SUM(Q64:Q68)</f>
        <v>311761</v>
      </c>
      <c r="R69" s="317">
        <f>SUM(R60:R65)</f>
        <v>740123280</v>
      </c>
      <c r="S69" s="316"/>
      <c r="T69" s="305"/>
      <c r="U69" s="305"/>
      <c r="V69" s="305"/>
      <c r="W69" s="277"/>
      <c r="X69" s="277"/>
      <c r="Y69" s="277"/>
      <c r="Z69" s="292" t="s">
        <v>285</v>
      </c>
      <c r="AA69" s="445">
        <f>M88*-1</f>
        <v>91094771</v>
      </c>
      <c r="AB69" s="301">
        <f>AA69+M88</f>
        <v>0</v>
      </c>
    </row>
    <row r="70" spans="1:28" ht="14.25" thickTop="1" thickBot="1">
      <c r="A70" s="184">
        <v>53</v>
      </c>
      <c r="B70" s="178" t="s">
        <v>44</v>
      </c>
      <c r="C70" s="178"/>
      <c r="D70" s="378">
        <f>Input!$OA$26</f>
        <v>4007816</v>
      </c>
      <c r="E70" s="378">
        <f>Input!$OB$26</f>
        <v>0</v>
      </c>
      <c r="F70" s="378">
        <f>Input!$OC$26</f>
        <v>68030</v>
      </c>
      <c r="G70" s="378">
        <f>Input!$OD$26</f>
        <v>0</v>
      </c>
      <c r="H70" s="378">
        <f>Input!$OE$26</f>
        <v>67713</v>
      </c>
      <c r="I70" s="378">
        <f>Input!$OF$26</f>
        <v>21805891</v>
      </c>
      <c r="J70" s="378">
        <f>Input!$OG$26</f>
        <v>118335844</v>
      </c>
      <c r="K70" s="378">
        <f>Input!$OH$26</f>
        <v>0</v>
      </c>
      <c r="L70" s="378">
        <f>Input!$OI$26</f>
        <v>0</v>
      </c>
      <c r="M70" s="373">
        <f t="shared" si="12"/>
        <v>144285294</v>
      </c>
      <c r="N70" s="160"/>
      <c r="O70" s="320"/>
      <c r="P70" s="516" t="str">
        <f>IF(P69&lt;&gt;M69,"Out of Balance","Balanced")</f>
        <v>Balanced</v>
      </c>
      <c r="Q70" s="318"/>
      <c r="R70" s="305"/>
      <c r="S70" s="305"/>
      <c r="T70" s="305"/>
      <c r="U70" s="277"/>
      <c r="V70" s="1738" t="str">
        <f>IF(X68-INT(X68)&lt;&gt;0,"Whole Dollars Only","")</f>
        <v/>
      </c>
      <c r="W70" s="1738"/>
      <c r="X70" s="537"/>
      <c r="Y70" s="319"/>
      <c r="Z70" s="410" t="s">
        <v>262</v>
      </c>
      <c r="AA70" s="446" t="s">
        <v>259</v>
      </c>
      <c r="AB70" s="411">
        <f>M90</f>
        <v>0</v>
      </c>
    </row>
    <row r="71" spans="1:28" ht="13.5" thickTop="1">
      <c r="A71" s="184">
        <v>54</v>
      </c>
      <c r="B71" s="162" t="s">
        <v>69</v>
      </c>
      <c r="C71" s="162"/>
      <c r="D71" s="374">
        <f>SUM(D60:D70)</f>
        <v>266441030</v>
      </c>
      <c r="E71" s="374">
        <f>SUM(E60:E70)</f>
        <v>405353854</v>
      </c>
      <c r="F71" s="374">
        <f t="shared" ref="F71:L71" si="19">SUM(F60:F70)</f>
        <v>99348664</v>
      </c>
      <c r="G71" s="374">
        <f t="shared" si="19"/>
        <v>280860033</v>
      </c>
      <c r="H71" s="374">
        <f t="shared" si="19"/>
        <v>67713</v>
      </c>
      <c r="I71" s="374">
        <f t="shared" si="19"/>
        <v>21805891</v>
      </c>
      <c r="J71" s="374">
        <f t="shared" si="19"/>
        <v>118335844</v>
      </c>
      <c r="K71" s="374">
        <f t="shared" si="19"/>
        <v>0</v>
      </c>
      <c r="L71" s="374">
        <f t="shared" si="19"/>
        <v>0</v>
      </c>
      <c r="M71" s="374">
        <f t="shared" si="12"/>
        <v>1192213029</v>
      </c>
      <c r="N71" s="160"/>
      <c r="O71" s="322"/>
      <c r="P71" s="1738" t="str">
        <f>IF(P69-INT(P69)&lt;&gt;0,"Whole Dollars Only","")</f>
        <v/>
      </c>
      <c r="Q71" s="1738"/>
      <c r="R71" s="323"/>
      <c r="S71" s="323"/>
      <c r="T71" s="323"/>
      <c r="U71" s="291"/>
      <c r="V71" s="324"/>
      <c r="W71" s="321"/>
      <c r="X71" s="321"/>
      <c r="Y71" s="321"/>
      <c r="Z71" s="318"/>
      <c r="AA71" s="325">
        <f>SUM(AA60:AA70)</f>
        <v>1125688766</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Input!$OJ$26</f>
        <v>0</v>
      </c>
      <c r="E74" s="372">
        <f>Input!$OK$26</f>
        <v>0</v>
      </c>
      <c r="F74" s="372">
        <f>Input!$OL$26</f>
        <v>0</v>
      </c>
      <c r="G74" s="372">
        <f>Input!$OM$26</f>
        <v>0</v>
      </c>
      <c r="H74" s="372">
        <f>Input!$ON$26</f>
        <v>0</v>
      </c>
      <c r="I74" s="372">
        <f>Input!$OO$26</f>
        <v>0</v>
      </c>
      <c r="J74" s="372">
        <f>Input!$OP$26</f>
        <v>143289196</v>
      </c>
      <c r="K74" s="372">
        <f>Input!$OQ$26</f>
        <v>0</v>
      </c>
      <c r="L74" s="372">
        <f>Input!$OR$26</f>
        <v>0</v>
      </c>
      <c r="M74" s="373">
        <f>D74+E74+F74+G74+H74+I74+J74+K74+L74</f>
        <v>143289196</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Input!$OS$26</f>
        <v>-78233589</v>
      </c>
      <c r="E75" s="372">
        <f>Input!$OT$26</f>
        <v>27849121</v>
      </c>
      <c r="F75" s="372">
        <f>Input!$OU$26</f>
        <v>-6679305</v>
      </c>
      <c r="G75" s="372">
        <f>Input!$OV$26</f>
        <v>-107112696</v>
      </c>
      <c r="H75" s="372">
        <f>Input!$OW$26</f>
        <v>0</v>
      </c>
      <c r="I75" s="372">
        <f>Input!$OX$26</f>
        <v>-2015890</v>
      </c>
      <c r="J75" s="372">
        <f>Input!$OY$26</f>
        <v>70803301</v>
      </c>
      <c r="K75" s="372">
        <f>Input!$OZ$26</f>
        <v>143940333</v>
      </c>
      <c r="L75" s="372">
        <f>Input!$PA$26</f>
        <v>168626923</v>
      </c>
      <c r="M75" s="373">
        <f>D75+E75+F75+G75+H75+I75+J75+K75+L75</f>
        <v>217178198</v>
      </c>
      <c r="N75" s="160"/>
      <c r="O75" s="1723" t="str">
        <f>IF(M85&lt;0,"Footnote 11 is N/A - No Data Entry Required","Footnote 11")</f>
        <v>Footnote 11</v>
      </c>
      <c r="P75" s="1724"/>
      <c r="Q75" s="1724"/>
      <c r="R75" s="1725"/>
      <c r="S75" s="330"/>
      <c r="T75" s="330"/>
      <c r="U75" s="327"/>
      <c r="V75" s="276"/>
      <c r="W75" s="331"/>
      <c r="X75" s="331"/>
      <c r="Y75" s="328"/>
      <c r="Z75" s="328"/>
      <c r="AA75" s="276"/>
      <c r="AB75" s="276" t="s">
        <v>293</v>
      </c>
    </row>
    <row r="76" spans="1:28" ht="13.5" thickTop="1">
      <c r="A76" s="184">
        <v>59</v>
      </c>
      <c r="B76" s="160" t="s">
        <v>45</v>
      </c>
      <c r="C76" s="160"/>
      <c r="D76" s="372">
        <f>Input!$PB$26</f>
        <v>0</v>
      </c>
      <c r="E76" s="372">
        <f>Input!$PC$26</f>
        <v>0</v>
      </c>
      <c r="F76" s="372">
        <f>Input!$PD$26</f>
        <v>0</v>
      </c>
      <c r="G76" s="372">
        <f>Input!$PE$26</f>
        <v>0</v>
      </c>
      <c r="H76" s="372">
        <f>Input!$PF$26</f>
        <v>0</v>
      </c>
      <c r="I76" s="372">
        <f>Input!$PG$26</f>
        <v>0</v>
      </c>
      <c r="J76" s="372">
        <f>Input!$PH$26</f>
        <v>48101000</v>
      </c>
      <c r="K76" s="372">
        <f>Input!$PI$26</f>
        <v>0</v>
      </c>
      <c r="L76" s="372">
        <f>Input!$PJ$26</f>
        <v>0</v>
      </c>
      <c r="M76" s="373">
        <f>D76+E76+F76+G76+H76+I76+J76+K76+L76</f>
        <v>48101000</v>
      </c>
      <c r="N76" s="160"/>
      <c r="O76" s="487" t="s">
        <v>583</v>
      </c>
      <c r="P76" s="488"/>
      <c r="Q76" s="489"/>
      <c r="R76" s="490">
        <f>IF($M$85&lt;0,"N/A",$M$85)</f>
        <v>608824571</v>
      </c>
      <c r="S76" s="330"/>
      <c r="T76" s="330"/>
      <c r="U76" s="327"/>
      <c r="V76" s="276"/>
      <c r="W76" s="331"/>
      <c r="X76" s="331"/>
      <c r="Y76" s="331"/>
      <c r="Z76" s="331"/>
      <c r="AA76" s="276"/>
      <c r="AB76" s="276"/>
    </row>
    <row r="77" spans="1:28">
      <c r="A77" s="184">
        <v>60</v>
      </c>
      <c r="B77" s="160" t="s">
        <v>46</v>
      </c>
      <c r="C77" s="160"/>
      <c r="D77" s="372">
        <f>Input!$PK$26</f>
        <v>0</v>
      </c>
      <c r="E77" s="372">
        <f>Input!$PL$26</f>
        <v>0</v>
      </c>
      <c r="F77" s="372">
        <f>Input!$PM$26</f>
        <v>0</v>
      </c>
      <c r="G77" s="372">
        <f>Input!$PN$26</f>
        <v>0</v>
      </c>
      <c r="H77" s="372">
        <f>Input!$PO$26</f>
        <v>0</v>
      </c>
      <c r="I77" s="372">
        <f>Input!$PP$26</f>
        <v>0</v>
      </c>
      <c r="J77" s="372">
        <f>Input!$PQ$26</f>
        <v>0</v>
      </c>
      <c r="K77" s="372">
        <f>Input!$PR$26</f>
        <v>-145875990</v>
      </c>
      <c r="L77" s="372">
        <f>Input!$PS$26</f>
        <v>0</v>
      </c>
      <c r="M77" s="373">
        <f>D77+E77+F77+G77+H77+I77+J77+K77+L77</f>
        <v>-145875990</v>
      </c>
      <c r="N77" s="160"/>
      <c r="O77" s="491" t="s">
        <v>584</v>
      </c>
      <c r="P77" s="334"/>
      <c r="Q77" s="334"/>
      <c r="R77" s="521">
        <f>Input!$UB$26</f>
        <v>462177301</v>
      </c>
      <c r="S77" s="330"/>
      <c r="T77" s="330"/>
      <c r="U77" s="327"/>
      <c r="V77" s="276"/>
      <c r="W77" s="331"/>
      <c r="X77" s="331"/>
      <c r="Y77" s="331"/>
      <c r="Z77" s="331"/>
      <c r="AA77" s="276"/>
      <c r="AB77" s="276"/>
    </row>
    <row r="78" spans="1:28">
      <c r="A78" s="184">
        <v>61</v>
      </c>
      <c r="B78" s="162" t="s">
        <v>3</v>
      </c>
      <c r="C78" s="162"/>
      <c r="D78" s="374">
        <f t="shared" ref="D78:L78" si="20">SUM(D74:D77)</f>
        <v>-78233589</v>
      </c>
      <c r="E78" s="374">
        <f t="shared" si="20"/>
        <v>27849121</v>
      </c>
      <c r="F78" s="374">
        <f t="shared" si="20"/>
        <v>-6679305</v>
      </c>
      <c r="G78" s="374">
        <f t="shared" si="20"/>
        <v>-107112696</v>
      </c>
      <c r="H78" s="374">
        <f t="shared" si="20"/>
        <v>0</v>
      </c>
      <c r="I78" s="374">
        <f t="shared" si="20"/>
        <v>-2015890</v>
      </c>
      <c r="J78" s="374">
        <f t="shared" si="20"/>
        <v>262193497</v>
      </c>
      <c r="K78" s="374">
        <f t="shared" si="20"/>
        <v>-1935657</v>
      </c>
      <c r="L78" s="374">
        <f t="shared" si="20"/>
        <v>168626923</v>
      </c>
      <c r="M78" s="374">
        <f>D78+E78+F78+G78+H78+I78+J78+K78+L78</f>
        <v>262692404</v>
      </c>
      <c r="N78" s="160"/>
      <c r="O78" s="491" t="s">
        <v>585</v>
      </c>
      <c r="P78" s="276"/>
      <c r="Q78" s="334"/>
      <c r="R78" s="492">
        <f>IF($M$85&lt;0,"",$R$76-$R$77)</f>
        <v>146647270</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3"/>
      <c r="P79" s="276"/>
      <c r="Q79" s="334"/>
      <c r="R79" s="494"/>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5" t="s">
        <v>586</v>
      </c>
      <c r="P80" s="276"/>
      <c r="Q80" s="334"/>
      <c r="R80" s="521">
        <f>Input!$UC$26</f>
        <v>116975717</v>
      </c>
      <c r="S80" s="330"/>
      <c r="T80" s="330"/>
      <c r="U80" s="334"/>
      <c r="V80" s="276"/>
      <c r="W80" s="328"/>
      <c r="X80" s="328"/>
      <c r="Y80" s="331"/>
      <c r="Z80" s="331"/>
      <c r="AA80" s="276"/>
      <c r="AB80" s="276"/>
    </row>
    <row r="81" spans="1:28">
      <c r="A81" s="184">
        <v>64</v>
      </c>
      <c r="B81" s="160" t="s">
        <v>47</v>
      </c>
      <c r="C81" s="160"/>
      <c r="D81" s="372">
        <f>Input!$PT$26</f>
        <v>0</v>
      </c>
      <c r="E81" s="372">
        <f>Input!$PU$26</f>
        <v>-4254641</v>
      </c>
      <c r="F81" s="372">
        <f>Input!$PV$26</f>
        <v>0</v>
      </c>
      <c r="G81" s="372">
        <f>Input!$PW$26</f>
        <v>0</v>
      </c>
      <c r="H81" s="372">
        <f>Input!$PX$26</f>
        <v>0</v>
      </c>
      <c r="I81" s="372">
        <f>Input!$PY$26</f>
        <v>121230358</v>
      </c>
      <c r="J81" s="372">
        <f>Input!$PZ$26</f>
        <v>0</v>
      </c>
      <c r="K81" s="372">
        <f>Input!$QA$26</f>
        <v>0</v>
      </c>
      <c r="L81" s="372">
        <f>Input!$QB$26</f>
        <v>0</v>
      </c>
      <c r="M81" s="373">
        <f>D81+E81+F81+G81+H81+I81+J81+K81+L81</f>
        <v>116975717</v>
      </c>
      <c r="N81" s="160"/>
      <c r="O81" s="496" t="s">
        <v>587</v>
      </c>
      <c r="P81" s="276"/>
      <c r="Q81" s="276"/>
      <c r="R81" s="497"/>
      <c r="S81" s="330"/>
      <c r="T81" s="330"/>
      <c r="W81" s="276"/>
      <c r="X81" s="276"/>
      <c r="Y81" s="331"/>
      <c r="Z81" s="331"/>
      <c r="AA81" s="276"/>
      <c r="AB81" s="276"/>
    </row>
    <row r="82" spans="1:28">
      <c r="A82" s="184">
        <v>65</v>
      </c>
      <c r="B82" s="160" t="s">
        <v>48</v>
      </c>
      <c r="C82" s="160"/>
      <c r="D82" s="372">
        <f>Input!$QC$26</f>
        <v>0</v>
      </c>
      <c r="E82" s="372">
        <f>Input!$QD$26</f>
        <v>0</v>
      </c>
      <c r="F82" s="372">
        <f>Input!$QE$26</f>
        <v>0</v>
      </c>
      <c r="G82" s="372">
        <f>Input!$QF$26</f>
        <v>0</v>
      </c>
      <c r="H82" s="372">
        <f>Input!$QG$26</f>
        <v>0</v>
      </c>
      <c r="I82" s="372">
        <f>Input!$QH$26</f>
        <v>29671553</v>
      </c>
      <c r="J82" s="372">
        <f>Input!$QI$26</f>
        <v>0</v>
      </c>
      <c r="K82" s="372">
        <f>Input!$QJ$26</f>
        <v>0</v>
      </c>
      <c r="L82" s="372">
        <f>Input!$QK$26</f>
        <v>0</v>
      </c>
      <c r="M82" s="373">
        <f>D82+E82+F82+G82+H82+I82+J82+K82+L82</f>
        <v>29671553</v>
      </c>
      <c r="N82" s="160"/>
      <c r="O82" s="498" t="s">
        <v>588</v>
      </c>
      <c r="P82" s="276"/>
      <c r="Q82" s="276"/>
      <c r="R82" s="492">
        <f>IFERROR($R$78-$R$80,"")</f>
        <v>29671553</v>
      </c>
      <c r="Y82" s="331"/>
      <c r="Z82" s="401"/>
      <c r="AA82" s="268"/>
      <c r="AB82" s="268"/>
    </row>
    <row r="83" spans="1:28">
      <c r="A83" s="184">
        <v>66</v>
      </c>
      <c r="B83" s="162" t="s">
        <v>3</v>
      </c>
      <c r="C83" s="162"/>
      <c r="D83" s="374">
        <f t="shared" ref="D83:L83" si="21">SUM(D81:D82)</f>
        <v>0</v>
      </c>
      <c r="E83" s="374">
        <f t="shared" si="21"/>
        <v>-4254641</v>
      </c>
      <c r="F83" s="374">
        <f t="shared" si="21"/>
        <v>0</v>
      </c>
      <c r="G83" s="374">
        <f t="shared" si="21"/>
        <v>0</v>
      </c>
      <c r="H83" s="374">
        <f t="shared" si="21"/>
        <v>0</v>
      </c>
      <c r="I83" s="374">
        <f t="shared" si="21"/>
        <v>150901911</v>
      </c>
      <c r="J83" s="374">
        <f t="shared" si="21"/>
        <v>0</v>
      </c>
      <c r="K83" s="374">
        <f t="shared" si="21"/>
        <v>0</v>
      </c>
      <c r="L83" s="374">
        <f t="shared" si="21"/>
        <v>0</v>
      </c>
      <c r="M83" s="374">
        <f>D83+E83+F83+G83+H83+I83+J83+K83+L83</f>
        <v>146647270</v>
      </c>
      <c r="N83" s="160"/>
      <c r="O83" s="493"/>
      <c r="P83" s="276"/>
      <c r="Q83" s="276"/>
      <c r="R83" s="497"/>
      <c r="Y83" s="163"/>
      <c r="Z83" s="447"/>
      <c r="AA83" s="439"/>
      <c r="AB83" s="448"/>
    </row>
    <row r="84" spans="1:28" ht="13.5" thickBot="1">
      <c r="A84" s="184">
        <v>67</v>
      </c>
      <c r="B84" s="160"/>
      <c r="C84" s="160"/>
      <c r="D84" s="373"/>
      <c r="E84" s="373"/>
      <c r="F84" s="373"/>
      <c r="G84" s="373"/>
      <c r="H84" s="373"/>
      <c r="I84" s="373"/>
      <c r="J84" s="373"/>
      <c r="K84" s="373"/>
      <c r="L84" s="373"/>
      <c r="M84" s="373"/>
      <c r="N84" s="160"/>
      <c r="O84" s="499" t="s">
        <v>589</v>
      </c>
      <c r="P84" s="500"/>
      <c r="Q84" s="500"/>
      <c r="R84" s="501">
        <f>IFERROR((R82+R80)-R78,"")</f>
        <v>0</v>
      </c>
      <c r="Y84" s="268"/>
      <c r="Z84" s="447"/>
      <c r="AA84" s="439"/>
      <c r="AB84" s="449"/>
    </row>
    <row r="85" spans="1:28" ht="13.5" thickTop="1">
      <c r="A85" s="184">
        <v>68</v>
      </c>
      <c r="B85" s="162" t="s">
        <v>574</v>
      </c>
      <c r="C85" s="162"/>
      <c r="D85" s="374">
        <f t="shared" ref="D85:L85" si="22">D57-D71+D78+D83</f>
        <v>-22063218</v>
      </c>
      <c r="E85" s="374">
        <f t="shared" si="22"/>
        <v>103481545</v>
      </c>
      <c r="F85" s="374">
        <f t="shared" si="22"/>
        <v>-3022468</v>
      </c>
      <c r="G85" s="374">
        <f t="shared" si="22"/>
        <v>11665231</v>
      </c>
      <c r="H85" s="374">
        <f t="shared" si="22"/>
        <v>46742</v>
      </c>
      <c r="I85" s="374">
        <f t="shared" si="22"/>
        <v>207890741</v>
      </c>
      <c r="J85" s="374">
        <f t="shared" si="22"/>
        <v>144134574</v>
      </c>
      <c r="K85" s="374">
        <f t="shared" si="22"/>
        <v>-1935499</v>
      </c>
      <c r="L85" s="374">
        <f t="shared" si="22"/>
        <v>168626923</v>
      </c>
      <c r="M85" s="374">
        <f>D85+E85+F85+G85+H85+I85+J85+K85+L85</f>
        <v>608824571</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Input!$QL$26</f>
        <v>0</v>
      </c>
      <c r="E87" s="372">
        <f>Input!$QM$26</f>
        <v>0</v>
      </c>
      <c r="F87" s="372">
        <f>Input!$QN$26</f>
        <v>0</v>
      </c>
      <c r="G87" s="372">
        <f>Input!$QO$26</f>
        <v>0</v>
      </c>
      <c r="H87" s="372">
        <f>Input!$QP$26</f>
        <v>0</v>
      </c>
      <c r="I87" s="372">
        <f>Input!$QQ$26</f>
        <v>0</v>
      </c>
      <c r="J87" s="372">
        <f>Input!$QR$26</f>
        <v>-48101000</v>
      </c>
      <c r="K87" s="372">
        <f>Input!$QS$26</f>
        <v>0</v>
      </c>
      <c r="L87" s="372">
        <f>Input!$QT$26</f>
        <v>0</v>
      </c>
      <c r="M87" s="329">
        <f>D87+E87+F87+G87+H87+I87+J87+K87+L87</f>
        <v>-48101000</v>
      </c>
      <c r="N87" s="160"/>
      <c r="Y87" s="268"/>
      <c r="Z87" s="447"/>
      <c r="AA87" s="439"/>
      <c r="AB87" s="449"/>
    </row>
    <row r="88" spans="1:28">
      <c r="A88" s="184">
        <v>72</v>
      </c>
      <c r="B88" s="160" t="s">
        <v>66</v>
      </c>
      <c r="C88" s="160"/>
      <c r="D88" s="372">
        <f>Input!$QU$26</f>
        <v>0</v>
      </c>
      <c r="E88" s="372">
        <f>Input!$QV$26</f>
        <v>0</v>
      </c>
      <c r="F88" s="372">
        <f>Input!$QW$26</f>
        <v>0</v>
      </c>
      <c r="G88" s="372">
        <f>Input!$QX$26</f>
        <v>0</v>
      </c>
      <c r="H88" s="372">
        <f>Input!$QY$26</f>
        <v>0</v>
      </c>
      <c r="I88" s="372">
        <f>Input!$QZ$26</f>
        <v>0</v>
      </c>
      <c r="J88" s="372">
        <f>Input!$RA$26</f>
        <v>0</v>
      </c>
      <c r="K88" s="372">
        <f>Input!$RB$26</f>
        <v>0</v>
      </c>
      <c r="L88" s="372">
        <f>Input!$RC$26</f>
        <v>-91094771</v>
      </c>
      <c r="M88" s="373">
        <f>D88+E88+F88+G88+H88+I88+J88+K88+L88</f>
        <v>-91094771</v>
      </c>
      <c r="N88" s="160"/>
      <c r="O88" s="270"/>
      <c r="P88" s="335"/>
      <c r="Y88" s="268"/>
      <c r="Z88" s="447"/>
      <c r="AA88" s="439"/>
      <c r="AB88" s="449"/>
    </row>
    <row r="89" spans="1:28" s="264" customFormat="1">
      <c r="A89" s="263"/>
      <c r="B89" s="171" t="s">
        <v>216</v>
      </c>
      <c r="C89" s="171"/>
      <c r="D89" s="372">
        <f>Input!$RD$26</f>
        <v>0</v>
      </c>
      <c r="E89" s="372">
        <f>Input!$RE$26</f>
        <v>0</v>
      </c>
      <c r="F89" s="372">
        <f>Input!$RF$26</f>
        <v>0</v>
      </c>
      <c r="G89" s="372">
        <f>Input!$RG$26</f>
        <v>0</v>
      </c>
      <c r="H89" s="372">
        <f>Input!$RH$26</f>
        <v>0</v>
      </c>
      <c r="I89" s="372">
        <f>Input!$RI$26</f>
        <v>0</v>
      </c>
      <c r="J89" s="372">
        <f>Input!$RJ$26</f>
        <v>0</v>
      </c>
      <c r="K89" s="372">
        <f>Input!$RK$26</f>
        <v>0</v>
      </c>
      <c r="L89" s="372">
        <f>Input!$RL$26</f>
        <v>0</v>
      </c>
      <c r="M89" s="373">
        <f t="shared" ref="M89:M91" si="23">D89+E89+F89+G89+H89+I89+J89+K89+L89</f>
        <v>0</v>
      </c>
      <c r="N89" s="160"/>
      <c r="O89" s="1726" t="s">
        <v>1355</v>
      </c>
      <c r="P89" s="1727"/>
      <c r="Q89" s="1727"/>
      <c r="R89" s="1727"/>
      <c r="S89" s="1727"/>
      <c r="T89" s="1727"/>
      <c r="U89" s="1728"/>
      <c r="Y89" s="268"/>
      <c r="Z89" s="447"/>
      <c r="AA89" s="439"/>
      <c r="AB89" s="449"/>
    </row>
    <row r="90" spans="1:28" s="264" customFormat="1">
      <c r="A90" s="263"/>
      <c r="B90" s="171" t="s">
        <v>105</v>
      </c>
      <c r="C90" s="171"/>
      <c r="D90" s="372">
        <f>Input!$RM$26</f>
        <v>0</v>
      </c>
      <c r="E90" s="372">
        <f>Input!$RN$26</f>
        <v>0</v>
      </c>
      <c r="F90" s="372">
        <f>Input!$RO$26</f>
        <v>0</v>
      </c>
      <c r="G90" s="372">
        <f>Input!$RP$26</f>
        <v>0</v>
      </c>
      <c r="H90" s="372">
        <f>Input!$RQ$26</f>
        <v>0</v>
      </c>
      <c r="I90" s="372">
        <f>Input!$RR$26</f>
        <v>0</v>
      </c>
      <c r="J90" s="372">
        <f>Input!$RS$26</f>
        <v>0</v>
      </c>
      <c r="K90" s="372">
        <f>Input!$RT$26</f>
        <v>0</v>
      </c>
      <c r="L90" s="372">
        <f>Input!$RU$26</f>
        <v>0</v>
      </c>
      <c r="M90" s="373">
        <f t="shared" si="23"/>
        <v>0</v>
      </c>
      <c r="N90" s="160"/>
      <c r="O90" s="502" t="s">
        <v>590</v>
      </c>
      <c r="P90" s="423"/>
      <c r="Q90" s="502" t="s">
        <v>591</v>
      </c>
      <c r="R90" s="423"/>
      <c r="S90" s="503"/>
      <c r="T90" s="502" t="s">
        <v>592</v>
      </c>
      <c r="U90" s="423"/>
      <c r="Y90" s="268"/>
      <c r="Z90" s="447"/>
      <c r="AA90" s="439"/>
      <c r="AB90" s="449"/>
    </row>
    <row r="91" spans="1:28" s="264" customFormat="1">
      <c r="A91" s="263"/>
      <c r="B91" s="171" t="s">
        <v>128</v>
      </c>
      <c r="C91" s="171"/>
      <c r="D91" s="372">
        <f>Input!$RV$26</f>
        <v>0</v>
      </c>
      <c r="E91" s="372">
        <f>Input!$RW$26</f>
        <v>0</v>
      </c>
      <c r="F91" s="372">
        <f>Input!$RX$26</f>
        <v>0</v>
      </c>
      <c r="G91" s="372">
        <f>Input!$RY$26</f>
        <v>0</v>
      </c>
      <c r="H91" s="372">
        <f>Input!$RZ$26</f>
        <v>0</v>
      </c>
      <c r="I91" s="372">
        <f>Input!$SA$26</f>
        <v>0</v>
      </c>
      <c r="J91" s="372">
        <f>Input!$SB$26</f>
        <v>0</v>
      </c>
      <c r="K91" s="372">
        <f>Input!$SC$26</f>
        <v>0</v>
      </c>
      <c r="L91" s="372">
        <f>Input!$SD$26</f>
        <v>121400</v>
      </c>
      <c r="M91" s="373">
        <f t="shared" si="23"/>
        <v>121400</v>
      </c>
      <c r="N91" s="160"/>
      <c r="O91" s="504"/>
      <c r="P91" s="505"/>
      <c r="Q91" s="504"/>
      <c r="R91" s="426"/>
      <c r="S91" s="276"/>
      <c r="T91" s="506"/>
      <c r="U91" s="426"/>
      <c r="Y91" s="268"/>
      <c r="Z91" s="447"/>
      <c r="AA91" s="439"/>
      <c r="AB91" s="449"/>
    </row>
    <row r="92" spans="1:28" s="264" customFormat="1">
      <c r="A92" s="263"/>
      <c r="B92" s="160" t="s">
        <v>67</v>
      </c>
      <c r="C92" s="160"/>
      <c r="D92" s="372">
        <f>Input!$SE$26</f>
        <v>5945790</v>
      </c>
      <c r="E92" s="372">
        <f>Input!$SF$26</f>
        <v>3627886</v>
      </c>
      <c r="F92" s="372">
        <f>Input!$SG$26</f>
        <v>183264</v>
      </c>
      <c r="G92" s="372">
        <f>Input!$SH$26</f>
        <v>3576800</v>
      </c>
      <c r="H92" s="372">
        <f>Input!$SI$26</f>
        <v>0</v>
      </c>
      <c r="I92" s="372">
        <f>Input!$SJ$26</f>
        <v>0</v>
      </c>
      <c r="J92" s="372">
        <f>Input!$SK$26</f>
        <v>-143289196</v>
      </c>
      <c r="K92" s="372">
        <f>Input!$SL$26</f>
        <v>0</v>
      </c>
      <c r="L92" s="372">
        <f>Input!$SM$26</f>
        <v>0</v>
      </c>
      <c r="M92" s="373">
        <f>D92+E92+F92+G92+H92+I92+J92+K92+L92</f>
        <v>-129955456</v>
      </c>
      <c r="N92" s="160"/>
      <c r="O92" s="1729" t="str">
        <f>Input!UF$26</f>
        <v>CHARLOTTE HOTZ</v>
      </c>
      <c r="P92" s="1730"/>
      <c r="Q92" s="1729" t="str">
        <f>Input!$UG$26</f>
        <v>713.743.5296</v>
      </c>
      <c r="R92" s="1730"/>
      <c r="S92" s="276"/>
      <c r="T92" s="1731" t="str">
        <f>HYPERLINK("Mailto:"&amp;Input!$UH$26,Input!$UH$26)</f>
        <v>cahotz@uh.edu</v>
      </c>
      <c r="U92" s="1730"/>
      <c r="Y92" s="268"/>
      <c r="Z92" s="447"/>
      <c r="AA92" s="442"/>
      <c r="AB92" s="449"/>
    </row>
    <row r="93" spans="1:28" ht="13.5" thickBot="1">
      <c r="B93" s="179" t="s">
        <v>58</v>
      </c>
      <c r="C93" s="179"/>
      <c r="D93" s="380">
        <f t="shared" ref="D93:K93" si="24">SUM(D85:D92)</f>
        <v>-16117428</v>
      </c>
      <c r="E93" s="380">
        <f t="shared" si="24"/>
        <v>107109431</v>
      </c>
      <c r="F93" s="380">
        <f t="shared" si="24"/>
        <v>-2839204</v>
      </c>
      <c r="G93" s="380">
        <f t="shared" si="24"/>
        <v>15242031</v>
      </c>
      <c r="H93" s="380">
        <f t="shared" si="24"/>
        <v>46742</v>
      </c>
      <c r="I93" s="380">
        <f t="shared" si="24"/>
        <v>207890741</v>
      </c>
      <c r="J93" s="380">
        <f t="shared" si="24"/>
        <v>-47255622</v>
      </c>
      <c r="K93" s="380">
        <f t="shared" si="24"/>
        <v>-1935499</v>
      </c>
      <c r="L93" s="380">
        <f>SUM(L85:L92)</f>
        <v>77653552</v>
      </c>
      <c r="M93" s="380">
        <f>D93+E93+F93+G93+H93+I93+J93+K93+L93</f>
        <v>339794744</v>
      </c>
      <c r="N93" s="160"/>
      <c r="O93" s="506"/>
      <c r="P93" s="507"/>
      <c r="Q93" s="276"/>
      <c r="R93" s="276"/>
      <c r="S93" s="276"/>
      <c r="T93" s="507"/>
      <c r="U93" s="508"/>
      <c r="Y93" s="268"/>
      <c r="Z93" s="447"/>
      <c r="AA93" s="442"/>
      <c r="AB93" s="449"/>
    </row>
    <row r="94" spans="1:28" ht="13.5" thickTop="1">
      <c r="C94" s="160"/>
      <c r="D94" s="165"/>
      <c r="E94" s="165"/>
      <c r="F94" s="165"/>
      <c r="G94" s="165"/>
      <c r="H94" s="165"/>
      <c r="I94" s="165"/>
      <c r="J94" s="165"/>
      <c r="K94" s="165"/>
      <c r="L94" s="165"/>
      <c r="M94" s="180"/>
      <c r="N94" s="160"/>
      <c r="O94" s="1720" t="s">
        <v>593</v>
      </c>
      <c r="P94" s="1721"/>
      <c r="Q94" s="1721"/>
      <c r="R94" s="1721"/>
      <c r="S94" s="1721"/>
      <c r="T94" s="1721"/>
      <c r="U94" s="1722"/>
      <c r="Y94" s="268"/>
      <c r="Z94" s="451"/>
      <c r="AA94" s="442"/>
      <c r="AB94" s="449"/>
    </row>
    <row r="95" spans="1:28">
      <c r="B95" s="171" t="s">
        <v>1369</v>
      </c>
      <c r="C95" s="169"/>
      <c r="D95" s="165"/>
      <c r="E95" s="165"/>
      <c r="F95" s="165"/>
      <c r="G95" s="165"/>
      <c r="H95" s="165"/>
      <c r="I95" s="165"/>
      <c r="J95" s="165"/>
      <c r="K95" s="165"/>
      <c r="L95" s="165"/>
      <c r="M95" s="180"/>
      <c r="N95" s="160"/>
      <c r="O95" s="1720"/>
      <c r="P95" s="1721"/>
      <c r="Q95" s="1721"/>
      <c r="R95" s="1721"/>
      <c r="S95" s="1721"/>
      <c r="T95" s="1721"/>
      <c r="U95" s="1722"/>
      <c r="Y95" s="268"/>
      <c r="Z95" s="452"/>
      <c r="AA95" s="453"/>
      <c r="AB95" s="454"/>
    </row>
    <row r="96" spans="1:28">
      <c r="B96" s="169" t="s">
        <v>80</v>
      </c>
      <c r="C96" s="160"/>
      <c r="D96" s="165"/>
      <c r="E96" s="165"/>
      <c r="F96" s="165"/>
      <c r="G96" s="165"/>
      <c r="H96" s="165"/>
      <c r="I96" s="165"/>
      <c r="J96" s="165"/>
      <c r="K96" s="165"/>
      <c r="L96" s="165"/>
      <c r="M96" s="180"/>
      <c r="N96" s="160"/>
      <c r="O96" s="509"/>
      <c r="P96" s="510"/>
      <c r="Q96" s="511"/>
      <c r="R96" s="511"/>
      <c r="S96" s="511"/>
      <c r="T96" s="510"/>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Input!$SN$26</f>
        <v>339794744</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3" t="str">
        <f>IF($L$118&lt;&gt;Input!$F$26,"Out of Balance","Balanced")</f>
        <v>Balanced</v>
      </c>
      <c r="M102" s="517"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491744511</v>
      </c>
      <c r="E105" s="373">
        <f>SUM($E$10:$E$14)+SUM($E$19:$E$28)+SUM($E$32:$E$41)+$E$47+SUM($E$50:$E$55)+SUM($E$60:$E$70)+SUM($E$74:$E$77)+SUM($E$81:$E$82)+SUM($E$87:$E$92)</f>
        <v>911642070</v>
      </c>
      <c r="F105" s="373">
        <f>SUM($F$10:$F$14)+SUM($F$19:$F$28)+SUM($F$32:$F$41)+$F$47+SUM($F$50:$F$55)+SUM($F$60:$F$70)+SUM($F$74:$F$77)+SUM($F$81:$F$82)+SUM($F$87:$F$92)</f>
        <v>195857620</v>
      </c>
      <c r="G105" s="373">
        <f>SUM($G$10:$G$14)+SUM($G$19:$G$28)+SUM($G$32:$G$41)+$G$47+SUM($G$50:$G$55)+SUM($G$60:$G$70)+SUM($G$74:$G$77)+SUM($G$81:$G$82)+SUM($G$87:$G$92)</f>
        <v>576962097</v>
      </c>
      <c r="H105" s="373">
        <f>SUM($H$10:$H$14)+SUM($H$19:$H$28)+SUM($H$32:$H$41)+$H$47+SUM($H$50:$H$55)+SUM($H$60:$H$70)+SUM($H$74:$H$77)+SUM($H$81:$H$82)+SUM($H$87:$H$92)</f>
        <v>182168</v>
      </c>
      <c r="I105" s="373">
        <f>SUM($I$10:$I$14)+SUM($I$19:$I$28)+SUM($I$32:$I$41)+$I$47+SUM($I$50:$I$55)+SUM($I$60:$I$70)+SUM($I$74:$I$77)+SUM($I$81:$I$82)+SUM($I$87:$I$92)</f>
        <v>251502523</v>
      </c>
      <c r="J105" s="373">
        <f>SUM($J$10:$J$14)+SUM($J$19:$J$28)+SUM($J$32:$J$41)+$J$47+SUM($J$50:$J$55)+SUM($J$60:$J$70)+SUM($J$74:$J$77)+SUM($J$81:$J$82)+SUM($J$87:$J$92)</f>
        <v>189416066</v>
      </c>
      <c r="K105" s="373">
        <f>SUM($K$10:$K$14)+SUM($K$19:$K$28)+SUM($K$32:$K$41)+$K$47+SUM($K$50:$K$55)+SUM($K$60:$K$70)+SUM($K$74:$K$77)+SUM($K$81:$K$82)+SUM($K$87:$K$92)</f>
        <v>-1935499</v>
      </c>
      <c r="L105" s="373">
        <f>SUM($L$10:$L$14)+SUM($L$19:$L$28)+SUM($L$32:$L$41)+$L$47+SUM($L$50:$L$55)+SUM($L$60:$L$70)+SUM($L$74:$L$77)+SUM($L$81:$L$82)+SUM($L$87:$L$92)</f>
        <v>77653552</v>
      </c>
      <c r="M105" s="373"/>
      <c r="N105" s="264"/>
      <c r="O105" s="373"/>
      <c r="P105" s="450">
        <f>M18-INT(M18)</f>
        <v>0</v>
      </c>
    </row>
    <row r="106" spans="2:28">
      <c r="B106" s="261"/>
      <c r="C106" s="261"/>
      <c r="D106" s="261"/>
      <c r="E106" s="261"/>
      <c r="F106" s="261"/>
      <c r="G106" s="261"/>
      <c r="H106" s="261"/>
      <c r="I106" s="261"/>
      <c r="J106" s="261"/>
      <c r="K106" s="261"/>
      <c r="L106" s="373">
        <f>SUM($D$105:$L$105)</f>
        <v>2693025108</v>
      </c>
      <c r="M106" s="261"/>
      <c r="N106" s="264"/>
      <c r="O106" s="373"/>
      <c r="P106" s="450">
        <f>M31-INT(M31)</f>
        <v>0</v>
      </c>
    </row>
    <row r="107" spans="2:28">
      <c r="B107" s="261"/>
      <c r="C107" s="261"/>
      <c r="D107" s="261"/>
      <c r="E107" s="261"/>
      <c r="F107" s="261"/>
      <c r="G107" s="261"/>
      <c r="H107" s="261"/>
      <c r="I107" s="261"/>
      <c r="J107" s="261" t="s">
        <v>1299</v>
      </c>
      <c r="K107" s="261"/>
      <c r="L107" s="373">
        <f>$M$100</f>
        <v>339794744</v>
      </c>
      <c r="M107" s="261"/>
      <c r="N107" s="264"/>
      <c r="O107" s="373"/>
      <c r="P107" s="450">
        <f>M93-INT(M93)</f>
        <v>0</v>
      </c>
    </row>
    <row r="108" spans="2:28">
      <c r="B108" s="261"/>
      <c r="C108" s="261"/>
      <c r="D108" s="261"/>
      <c r="E108" s="261"/>
      <c r="F108" s="261"/>
      <c r="G108" s="261"/>
      <c r="H108" s="261"/>
      <c r="I108" s="261"/>
      <c r="J108" s="261" t="s">
        <v>1300</v>
      </c>
      <c r="K108" s="261"/>
      <c r="L108" s="512">
        <f>$Q$32</f>
        <v>563231359</v>
      </c>
      <c r="M108" s="261"/>
      <c r="N108" s="264"/>
      <c r="O108" s="373"/>
    </row>
    <row r="109" spans="2:28">
      <c r="B109" s="261"/>
      <c r="C109" s="261"/>
      <c r="D109" s="261"/>
      <c r="E109" s="261"/>
      <c r="F109" s="261"/>
      <c r="G109" s="261"/>
      <c r="H109" s="261"/>
      <c r="I109" s="261"/>
      <c r="J109" s="261" t="s">
        <v>1300</v>
      </c>
      <c r="K109" s="261"/>
      <c r="L109" s="512">
        <f>$R$34</f>
        <v>-162659266</v>
      </c>
      <c r="M109" s="261"/>
      <c r="N109" s="264"/>
      <c r="O109" s="373"/>
    </row>
    <row r="110" spans="2:28">
      <c r="B110" s="261"/>
      <c r="C110" s="261"/>
      <c r="D110" s="261"/>
      <c r="E110" s="261"/>
      <c r="F110" s="261"/>
      <c r="G110" s="261"/>
      <c r="H110" s="261"/>
      <c r="I110" s="261"/>
      <c r="J110" s="261" t="s">
        <v>29</v>
      </c>
      <c r="K110" s="261"/>
      <c r="L110" s="512">
        <f>SUM($P$60:$P$68)</f>
        <v>13333740</v>
      </c>
      <c r="M110" s="261"/>
      <c r="N110" s="264"/>
      <c r="O110" s="373"/>
    </row>
    <row r="111" spans="2:28">
      <c r="B111" s="261"/>
      <c r="C111" s="261"/>
      <c r="D111" s="261"/>
      <c r="E111" s="261"/>
      <c r="F111" s="261"/>
      <c r="G111" s="261"/>
      <c r="H111" s="261"/>
      <c r="I111" s="261"/>
      <c r="J111" s="261" t="s">
        <v>594</v>
      </c>
      <c r="K111" s="261"/>
      <c r="L111" s="373">
        <f>$Q$64</f>
        <v>311761</v>
      </c>
      <c r="M111" s="261"/>
      <c r="N111" s="264"/>
      <c r="O111" s="373"/>
    </row>
    <row r="112" spans="2:28">
      <c r="B112" s="261"/>
      <c r="C112" s="261"/>
      <c r="D112" s="261"/>
      <c r="E112" s="261"/>
      <c r="F112" s="261"/>
      <c r="G112" s="261"/>
      <c r="H112" s="261"/>
      <c r="I112" s="261"/>
      <c r="J112" s="261" t="s">
        <v>595</v>
      </c>
      <c r="K112" s="261"/>
      <c r="L112" s="512">
        <f>SUM($V$60:$V$67)</f>
        <v>0</v>
      </c>
      <c r="M112" s="261"/>
      <c r="N112" s="264"/>
      <c r="O112" s="373"/>
    </row>
    <row r="113" spans="2:15">
      <c r="B113" s="261"/>
      <c r="C113" s="261"/>
      <c r="D113" s="261"/>
      <c r="E113" s="261"/>
      <c r="F113" s="261"/>
      <c r="G113" s="261"/>
      <c r="H113" s="261"/>
      <c r="I113" s="261"/>
      <c r="J113" s="261" t="s">
        <v>596</v>
      </c>
      <c r="K113" s="261"/>
      <c r="L113" s="512">
        <f>SUM($W$60:$W$67)</f>
        <v>120392</v>
      </c>
      <c r="M113" s="261"/>
      <c r="N113" s="264"/>
      <c r="O113" s="373"/>
    </row>
    <row r="114" spans="2:15">
      <c r="B114" s="261"/>
      <c r="C114" s="261"/>
      <c r="D114" s="261"/>
      <c r="E114" s="261"/>
      <c r="F114" s="261"/>
      <c r="G114" s="261"/>
      <c r="H114" s="261"/>
      <c r="I114" s="261"/>
      <c r="J114" s="261" t="s">
        <v>258</v>
      </c>
      <c r="K114" s="261"/>
      <c r="L114" s="512">
        <f>SUM($AA$60:$AA$68)</f>
        <v>1034593995</v>
      </c>
      <c r="M114" s="261"/>
      <c r="N114" s="264"/>
      <c r="O114" s="373"/>
    </row>
    <row r="115" spans="2:15">
      <c r="B115" s="261"/>
      <c r="C115" s="261"/>
      <c r="D115" s="261"/>
      <c r="E115" s="261"/>
      <c r="F115" s="261"/>
      <c r="G115" s="261"/>
      <c r="H115" s="261"/>
      <c r="I115" s="261"/>
      <c r="J115" s="261" t="s">
        <v>597</v>
      </c>
      <c r="K115" s="261"/>
      <c r="L115" s="512">
        <f>$R$77</f>
        <v>462177301</v>
      </c>
      <c r="M115" s="261"/>
      <c r="N115" s="264"/>
      <c r="O115" s="373"/>
    </row>
    <row r="116" spans="2:15">
      <c r="B116" s="261"/>
      <c r="C116" s="261"/>
      <c r="D116" s="261"/>
      <c r="E116" s="261"/>
      <c r="F116" s="261"/>
      <c r="G116" s="261"/>
      <c r="H116" s="261"/>
      <c r="I116" s="261"/>
      <c r="J116" s="261" t="s">
        <v>597</v>
      </c>
      <c r="K116" s="261"/>
      <c r="L116" s="512">
        <f>$R$80</f>
        <v>116975717</v>
      </c>
      <c r="M116" s="261"/>
      <c r="N116" s="264"/>
      <c r="O116" s="373"/>
    </row>
    <row r="117" spans="2:15">
      <c r="B117" s="261"/>
      <c r="C117" s="261"/>
      <c r="D117" s="261"/>
      <c r="E117" s="261"/>
      <c r="F117" s="261"/>
      <c r="G117" s="261"/>
      <c r="H117" s="261"/>
      <c r="I117" s="261"/>
      <c r="J117" s="261" t="s">
        <v>1231</v>
      </c>
      <c r="K117" s="261"/>
      <c r="L117" s="1008">
        <f>VLOOKUP(B2,Names!B5:$C$87,2,FALSE)</f>
        <v>3652</v>
      </c>
      <c r="M117" s="261"/>
      <c r="N117" s="264"/>
      <c r="O117" s="373"/>
    </row>
    <row r="118" spans="2:15">
      <c r="B118" s="261"/>
      <c r="C118" s="261"/>
      <c r="D118" s="261"/>
      <c r="E118" s="261"/>
      <c r="F118" s="261"/>
      <c r="G118" s="261"/>
      <c r="H118" s="261"/>
      <c r="I118" s="261"/>
      <c r="J118" s="261"/>
      <c r="K118" s="261"/>
      <c r="L118" s="373">
        <f>SUM(L106:L117)</f>
        <v>5060908503</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V56:V59"/>
    <mergeCell ref="W56:W59"/>
    <mergeCell ref="G59:K59"/>
    <mergeCell ref="AA56:AA59"/>
    <mergeCell ref="Z55:AB55"/>
    <mergeCell ref="R56:R59"/>
    <mergeCell ref="O55:R55"/>
    <mergeCell ref="T55:X55"/>
    <mergeCell ref="X56:X59"/>
    <mergeCell ref="AB56:AB59"/>
    <mergeCell ref="Z56:Z59"/>
    <mergeCell ref="B2:F2"/>
    <mergeCell ref="B4:F4"/>
    <mergeCell ref="B5:F5"/>
    <mergeCell ref="B6:M6"/>
    <mergeCell ref="P5:Q5"/>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s>
  <conditionalFormatting sqref="U87:X88 O88:Q88">
    <cfRule type="cellIs" dxfId="703" priority="197" stopIfTrue="1" operator="notEqual">
      <formula>#REF!</formula>
    </cfRule>
  </conditionalFormatting>
  <conditionalFormatting sqref="P70">
    <cfRule type="expression" dxfId="702" priority="177">
      <formula>$P$69&lt;&gt;$M$69</formula>
    </cfRule>
  </conditionalFormatting>
  <conditionalFormatting sqref="AB72">
    <cfRule type="expression" dxfId="701" priority="176">
      <formula>$AB$71&lt;&gt;0</formula>
    </cfRule>
  </conditionalFormatting>
  <conditionalFormatting sqref="P71">
    <cfRule type="expression" dxfId="700" priority="175">
      <formula>P69-INT(P69)</formula>
    </cfRule>
  </conditionalFormatting>
  <conditionalFormatting sqref="V70">
    <cfRule type="expression" dxfId="699" priority="173">
      <formula>X68-INT(X68)</formula>
    </cfRule>
  </conditionalFormatting>
  <conditionalFormatting sqref="O11">
    <cfRule type="expression" dxfId="698" priority="166">
      <formula>#REF!&lt;&gt;$M$11</formula>
    </cfRule>
  </conditionalFormatting>
  <conditionalFormatting sqref="U87:U88 O88:Q88">
    <cfRule type="cellIs" dxfId="697" priority="157" stopIfTrue="1" operator="notEqual">
      <formula>#REF!</formula>
    </cfRule>
  </conditionalFormatting>
  <conditionalFormatting sqref="R84">
    <cfRule type="expression" priority="155" stopIfTrue="1">
      <formula>$M$85&lt;0</formula>
    </cfRule>
    <cfRule type="expression" dxfId="696" priority="156">
      <formula>$S$85&lt;&gt;0</formula>
    </cfRule>
  </conditionalFormatting>
  <conditionalFormatting sqref="R80 R77">
    <cfRule type="expression" dxfId="695" priority="153" stopIfTrue="1">
      <formula>$M$85&gt;=0</formula>
    </cfRule>
    <cfRule type="expression" priority="154">
      <formula>$M$85&lt;0</formula>
    </cfRule>
  </conditionalFormatting>
  <conditionalFormatting sqref="U87:U88 O88:Q88">
    <cfRule type="cellIs" dxfId="694" priority="152" stopIfTrue="1" operator="notEqual">
      <formula>#REF!</formula>
    </cfRule>
  </conditionalFormatting>
  <conditionalFormatting sqref="O12">
    <cfRule type="expression" dxfId="693" priority="136">
      <formula>$P$12&lt;&gt;$M$12</formula>
    </cfRule>
  </conditionalFormatting>
  <conditionalFormatting sqref="O13">
    <cfRule type="expression" dxfId="692" priority="135">
      <formula>$P$13&lt;&gt;$M$13</formula>
    </cfRule>
  </conditionalFormatting>
  <conditionalFormatting sqref="U87:U88 O88:Q88">
    <cfRule type="cellIs" dxfId="691" priority="134" stopIfTrue="1" operator="notEqual">
      <formula>#REF!</formula>
    </cfRule>
  </conditionalFormatting>
  <conditionalFormatting sqref="Q36">
    <cfRule type="expression" dxfId="690" priority="27">
      <formula>#REF!&lt;&gt;#REF!</formula>
    </cfRule>
  </conditionalFormatting>
  <conditionalFormatting sqref="R35">
    <cfRule type="expression" dxfId="689" priority="26">
      <formula>#REF!&lt;&gt;0</formula>
    </cfRule>
  </conditionalFormatting>
  <conditionalFormatting sqref="Q35">
    <cfRule type="expression" dxfId="688" priority="25">
      <formula>#REF!&lt;&gt;0</formula>
    </cfRule>
  </conditionalFormatting>
  <conditionalFormatting sqref="R36">
    <cfRule type="expression" dxfId="687" priority="24">
      <formula>#REF!&lt;&gt;#REF!</formula>
    </cfRule>
  </conditionalFormatting>
  <conditionalFormatting sqref="D93:M98 T94:T95 R90:S95 U87:X93 T90:T92 Y90:Y95 O88:O92 P88:Q93">
    <cfRule type="cellIs" dxfId="686" priority="23" stopIfTrue="1" operator="notEqual">
      <formula>#REF!</formula>
    </cfRule>
  </conditionalFormatting>
  <conditionalFormatting sqref="P70">
    <cfRule type="expression" dxfId="685" priority="22">
      <formula>$P$69&lt;&gt;$M$69</formula>
    </cfRule>
  </conditionalFormatting>
  <conditionalFormatting sqref="AB72">
    <cfRule type="expression" dxfId="684" priority="21">
      <formula>$AB$71&lt;&gt;0</formula>
    </cfRule>
  </conditionalFormatting>
  <conditionalFormatting sqref="P71">
    <cfRule type="expression" dxfId="683" priority="20">
      <formula>P69-INT(P69)</formula>
    </cfRule>
  </conditionalFormatting>
  <conditionalFormatting sqref="V70">
    <cfRule type="expression" dxfId="682" priority="19">
      <formula>X68-INT(X68)</formula>
    </cfRule>
  </conditionalFormatting>
  <conditionalFormatting sqref="O12">
    <cfRule type="expression" dxfId="681" priority="18">
      <formula>$P$12&lt;&gt;$M$12</formula>
    </cfRule>
  </conditionalFormatting>
  <conditionalFormatting sqref="T94:T95 R90:S95 U87:U93 T90:T92 O88:O92 P88:Q93">
    <cfRule type="cellIs" dxfId="680" priority="16" stopIfTrue="1" operator="notEqual">
      <formula>#REF!</formula>
    </cfRule>
  </conditionalFormatting>
  <conditionalFormatting sqref="R84">
    <cfRule type="expression" priority="14" stopIfTrue="1">
      <formula>$M$85&lt;0</formula>
    </cfRule>
    <cfRule type="expression" dxfId="679" priority="15">
      <formula>$S$85&lt;&gt;0</formula>
    </cfRule>
  </conditionalFormatting>
  <conditionalFormatting sqref="R80">
    <cfRule type="expression" dxfId="678" priority="12" stopIfTrue="1">
      <formula>$M$85&gt;=0</formula>
    </cfRule>
    <cfRule type="expression" priority="13">
      <formula>$M$85&lt;0</formula>
    </cfRule>
  </conditionalFormatting>
  <conditionalFormatting sqref="U87:U88 R89:U92 O88:Q92">
    <cfRule type="cellIs" dxfId="677" priority="11" stopIfTrue="1" operator="notEqual">
      <formula>#REF!</formula>
    </cfRule>
  </conditionalFormatting>
  <conditionalFormatting sqref="M101">
    <cfRule type="expression" dxfId="676" priority="10">
      <formula>$M$101&lt;&gt;0</formula>
    </cfRule>
  </conditionalFormatting>
  <conditionalFormatting sqref="M102">
    <cfRule type="expression" dxfId="675" priority="9">
      <formula>$M$93&lt;&gt;$M$100</formula>
    </cfRule>
  </conditionalFormatting>
  <conditionalFormatting sqref="U87:U92 R90:T92 O88:Q92">
    <cfRule type="cellIs" dxfId="674" priority="8" stopIfTrue="1" operator="notEqual">
      <formula>#REF!</formula>
    </cfRule>
  </conditionalFormatting>
  <conditionalFormatting sqref="T89:U89 Q91 T90 O89:O90 P89:Q89 R89:S91">
    <cfRule type="cellIs" dxfId="673" priority="7" stopIfTrue="1" operator="notEqual">
      <formula>#REF!</formula>
    </cfRule>
  </conditionalFormatting>
  <conditionalFormatting sqref="Q36">
    <cfRule type="expression" dxfId="672" priority="6">
      <formula>#REF!&lt;&gt;#REF!</formula>
    </cfRule>
  </conditionalFormatting>
  <conditionalFormatting sqref="R35">
    <cfRule type="expression" dxfId="671" priority="5">
      <formula>#REF!&lt;&gt;0</formula>
    </cfRule>
  </conditionalFormatting>
  <conditionalFormatting sqref="Q35">
    <cfRule type="expression" dxfId="670" priority="4">
      <formula>#REF!&lt;&gt;0</formula>
    </cfRule>
  </conditionalFormatting>
  <conditionalFormatting sqref="R36">
    <cfRule type="expression" dxfId="669" priority="3">
      <formula>#REF!&lt;&gt;#REF!</formula>
    </cfRule>
  </conditionalFormatting>
  <conditionalFormatting sqref="G59:K59">
    <cfRule type="expression" dxfId="668" priority="1">
      <formula>OR($P$105&gt;0,$P$106&lt;&gt;0,$P$107&lt;&gt;0)</formula>
    </cfRule>
  </conditionalFormatting>
  <hyperlinks>
    <hyperlink ref="O2" location="Index!A1" display="Return to Index" xr:uid="{00000000-0004-0000-6B00-000000000000}"/>
  </hyperlinks>
  <printOptions horizontalCentered="1"/>
  <pageMargins left="0.5" right="0.5" top="0.25" bottom="0.25" header="0" footer="0.25"/>
  <pageSetup scale="10" orientation="landscape" r:id="rId1"/>
  <headerFooter alignWithMargins="0"/>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Sheet86"/>
  <dimension ref="A1:G30"/>
  <sheetViews>
    <sheetView showGridLines="0" zoomScale="80" zoomScaleNormal="80" workbookViewId="0">
      <selection activeCell="B2" sqref="B2"/>
    </sheetView>
  </sheetViews>
  <sheetFormatPr defaultColWidth="9.140625" defaultRowHeight="12.75"/>
  <cols>
    <col min="1" max="1" width="7" style="53" customWidth="1"/>
    <col min="2" max="2" width="93.140625" style="53" customWidth="1"/>
    <col min="3" max="3" width="18.85546875" style="53" customWidth="1"/>
    <col min="4" max="9" width="9.140625" style="53"/>
    <col min="10" max="10" width="14.85546875" style="53" customWidth="1"/>
    <col min="11" max="16384" width="9.140625" style="53"/>
  </cols>
  <sheetData>
    <row r="1" spans="2:6" ht="18.75" thickBot="1">
      <c r="B1" s="466" t="str">
        <f>'UH1 Chrts'!$A$1</f>
        <v>University of Houston - Academic &amp; Health (A+H)</v>
      </c>
      <c r="C1" s="835" t="s">
        <v>1200</v>
      </c>
    </row>
    <row r="2" spans="2:6">
      <c r="B2" s="172" t="s">
        <v>2132</v>
      </c>
    </row>
    <row r="3" spans="2:6">
      <c r="B3" s="393" t="str">
        <f>'Smmy Chrts'!$A$2</f>
        <v>For the Year Ended August 31, 2021</v>
      </c>
    </row>
    <row r="4" spans="2:6">
      <c r="B4" s="393" t="str">
        <f>'Smmy Chrts'!$A$3</f>
        <v>Source: FY 2021 Annual Financial Report</v>
      </c>
    </row>
    <row r="5" spans="2:6" customFormat="1">
      <c r="B5" s="529" t="s">
        <v>705</v>
      </c>
    </row>
    <row r="6" spans="2:6" customFormat="1">
      <c r="B6" s="530"/>
    </row>
    <row r="7" spans="2:6" customFormat="1" ht="226.5" customHeight="1">
      <c r="B7" s="531" t="s">
        <v>706</v>
      </c>
      <c r="C7" s="532"/>
    </row>
    <row r="8" spans="2:6" customFormat="1" ht="263.25" customHeight="1">
      <c r="B8" s="531" t="s">
        <v>707</v>
      </c>
    </row>
    <row r="9" spans="2:6" ht="64.5" customHeight="1">
      <c r="B9" s="533" t="str">
        <f>IF('UH1 FGD'!$R$76="N/A","FN11.  N/A",$B$20&amp;$B$21&amp;$B$22&amp;$B$23&amp;$B$24&amp;$B$25&amp;$B$26&amp;$B$27&amp;$B$28&amp;$B$29&amp;$B$30)</f>
        <v>FN11: Of the net increase of $608,824,571 approximately $462.2 million represents revenues received but not yet expended. This income is fully committed to program expenditures and capital disbursements. The remaining $146.6 million represents non-expendable funds from unrealized gains and additions to permanent endowments of approximately $117.0 million and $29.7 million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TEXT(IF('UH1 FGD'!$M$85&lt;0,"N/A",'UH1 FGD'!$M$85),"$* #,##0;$* (#,##0)")</f>
        <v>$608,824,571</v>
      </c>
      <c r="C21" s="480"/>
      <c r="D21" s="480"/>
      <c r="E21" s="480"/>
      <c r="G21" s="105"/>
    </row>
    <row r="22" spans="1:7">
      <c r="B22" s="105" t="s">
        <v>682</v>
      </c>
    </row>
    <row r="23" spans="1:7">
      <c r="A23" s="53">
        <v>61</v>
      </c>
      <c r="B23" s="515" t="str">
        <f>IF(ABS('UH1 FGD'!$R$77)&gt;=1000000,TEXT('UH1 FGD'!$R$77/1000000,"$* #,##0.0;$* (#,##0.0)")&amp;" million",IF(ABS('UH1 FGD'!$R$77)&lt;1000,TEXT('UH1 FGD'!$R$77,"$* #,##0;$* (#,##0)"),TEXT('UH1 FGD'!$R$77/1000,"$* #,##0;$* (#,##0)")&amp;" thousand"))</f>
        <v>$462.2 million</v>
      </c>
      <c r="C23" s="515"/>
      <c r="E23" s="515"/>
    </row>
    <row r="24" spans="1:7">
      <c r="B24" s="105" t="s">
        <v>708</v>
      </c>
    </row>
    <row r="25" spans="1:7">
      <c r="A25" s="53">
        <v>62</v>
      </c>
      <c r="B25" s="515" t="str">
        <f>IF(ABS('UH1 FGD'!$R$78)&gt;=1000000,TEXT('UH1 FGD'!$R$78/1000000,"$* #,##0.0;$* (#,##0.0)")&amp;" million",IF(ABS('UH1 FGD'!$R$78)&lt;1000,TEXT('UH1 FGD'!$R$78,"$* #,##0;$* (#,##0)"),TEXT('UH1 FGD'!$R$78/1000,"$* #,##0;$* (#,##0)")&amp;" thousand"))</f>
        <v>$146.6 million</v>
      </c>
      <c r="C25" s="515"/>
      <c r="E25" s="515"/>
    </row>
    <row r="26" spans="1:7">
      <c r="B26" s="105" t="s">
        <v>683</v>
      </c>
    </row>
    <row r="27" spans="1:7">
      <c r="A27" s="53">
        <v>64</v>
      </c>
      <c r="B27" s="515" t="str">
        <f>IF(ABS('UH1 FGD'!$R$80)&gt;=1000000,TEXT('UH1 FGD'!$R$80/1000000,"$* #,##0.0;$* (#,##0.0)")&amp;" million",IF(ABS('UH1 FGD'!$R$80)&lt;1000,TEXT('UH1 FGD'!$R$80,"$* #,##0;$* (#,##0)"),TEXT('UH1 FGD'!$R$80/1000,"$* #,##0;$* (#,##0)")&amp;" thousand"))</f>
        <v>$117.0 million</v>
      </c>
      <c r="C27" s="515"/>
      <c r="E27" s="515"/>
    </row>
    <row r="28" spans="1:7">
      <c r="B28" s="105" t="s">
        <v>684</v>
      </c>
    </row>
    <row r="29" spans="1:7">
      <c r="A29" s="53">
        <v>66</v>
      </c>
      <c r="B29" s="515" t="str">
        <f>IF(ABS('UH1 FGD'!$R$82)&gt;=1000000,TEXT('UH1 FGD'!$R$82/1000000,"$* #,##0.0;$* (#,##0.0)")&amp;" million",IF(ABS('UH1 FGD'!$R$82)&lt;1000,TEXT('UH1 FGD'!$R$82,"$* #,##0;$* (#,##0)"),TEXT('UH1 FGD'!$R$82/1000,"$* #,##0;$* (#,##0)")&amp;" thousand"))</f>
        <v>$29.7 million</v>
      </c>
      <c r="C29" s="515"/>
      <c r="E29" s="515"/>
    </row>
    <row r="30" spans="1:7">
      <c r="B30" s="105" t="s">
        <v>709</v>
      </c>
    </row>
  </sheetData>
  <hyperlinks>
    <hyperlink ref="C1" location="Index!A1" display="Return to Index" xr:uid="{00000000-0004-0000-6C00-000000000000}"/>
  </hyperlinks>
  <pageMargins left="0.25" right="0.25" top="0.25" bottom="0.25" header="0" footer="0.25"/>
  <pageSetup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34998626667073579"/>
  </sheetPr>
  <dimension ref="A1:M798"/>
  <sheetViews>
    <sheetView showGridLines="0" zoomScale="85" zoomScaleNormal="85" workbookViewId="0">
      <pane xSplit="4" ySplit="9" topLeftCell="E10" activePane="bottomRight" state="frozen"/>
      <selection activeCell="F74" sqref="E74:F74"/>
      <selection pane="topRight" activeCell="F74" sqref="E74:F74"/>
      <selection pane="bottomLeft" activeCell="F74" sqref="E74:F74"/>
      <selection pane="bottomRight" activeCell="I14" sqref="I14"/>
    </sheetView>
  </sheetViews>
  <sheetFormatPr defaultColWidth="9.140625" defaultRowHeight="12.75"/>
  <cols>
    <col min="1" max="1" width="7.28515625" style="480" customWidth="1"/>
    <col min="2" max="2" width="12.5703125" style="480" customWidth="1"/>
    <col min="3" max="3" width="9.140625" style="53"/>
    <col min="4" max="4" width="30" style="53" customWidth="1"/>
    <col min="5" max="5" width="6.85546875" style="53" customWidth="1"/>
    <col min="6" max="6" width="16" style="53" customWidth="1"/>
    <col min="7" max="7" width="22.140625" style="480" customWidth="1"/>
    <col min="8" max="8" width="9.140625" style="53"/>
    <col min="9" max="9" width="20.28515625" style="53" customWidth="1"/>
    <col min="10" max="10" width="10.28515625" style="53" bestFit="1" customWidth="1"/>
    <col min="11" max="16384" width="9.140625" style="53"/>
  </cols>
  <sheetData>
    <row r="1" spans="1:10" ht="13.5" thickBot="1">
      <c r="F1" s="814" t="s">
        <v>131</v>
      </c>
      <c r="I1" s="855" t="s">
        <v>1200</v>
      </c>
      <c r="J1" s="53" t="s">
        <v>1354</v>
      </c>
    </row>
    <row r="2" spans="1:10">
      <c r="F2" s="814" t="s">
        <v>2386</v>
      </c>
      <c r="J2" s="53" t="s">
        <v>2486</v>
      </c>
    </row>
    <row r="3" spans="1:10">
      <c r="F3" s="814" t="s">
        <v>2479</v>
      </c>
      <c r="J3" s="963"/>
    </row>
    <row r="4" spans="1:10">
      <c r="A4" s="916" t="s">
        <v>1241</v>
      </c>
      <c r="C4" s="215"/>
      <c r="F4" s="814"/>
    </row>
    <row r="5" spans="1:10">
      <c r="A5" s="468" t="s">
        <v>1315</v>
      </c>
      <c r="F5" s="814"/>
    </row>
    <row r="6" spans="1:10">
      <c r="C6" s="480" t="s">
        <v>1127</v>
      </c>
      <c r="F6" s="814"/>
      <c r="J6" s="53" t="s">
        <v>1336</v>
      </c>
    </row>
    <row r="7" spans="1:10">
      <c r="C7" s="480" t="s">
        <v>1128</v>
      </c>
      <c r="F7" s="480"/>
    </row>
    <row r="8" spans="1:10">
      <c r="C8" s="480" t="s">
        <v>1129</v>
      </c>
    </row>
    <row r="9" spans="1:10" s="123" customFormat="1" ht="27" customHeight="1">
      <c r="A9" s="914" t="s">
        <v>1123</v>
      </c>
      <c r="B9" s="1071" t="s">
        <v>1134</v>
      </c>
      <c r="C9" s="118" t="s">
        <v>132</v>
      </c>
      <c r="D9" s="118"/>
      <c r="E9" s="118"/>
      <c r="F9" s="120" t="s">
        <v>81</v>
      </c>
      <c r="G9" s="1071"/>
    </row>
    <row r="10" spans="1:10" ht="15.75" customHeight="1">
      <c r="A10" s="678">
        <v>51</v>
      </c>
      <c r="B10" s="678">
        <v>1</v>
      </c>
      <c r="C10" s="1000">
        <v>3658</v>
      </c>
      <c r="D10" s="68" t="s">
        <v>1375</v>
      </c>
      <c r="E10" s="68"/>
      <c r="F10" s="915">
        <f>'AUS1 Sum'!$G$14</f>
        <v>392376810</v>
      </c>
      <c r="G10" s="68" t="s">
        <v>15</v>
      </c>
    </row>
    <row r="11" spans="1:10">
      <c r="A11" s="480">
        <v>130</v>
      </c>
      <c r="B11" s="678">
        <v>1</v>
      </c>
      <c r="C11" s="1000">
        <v>3632</v>
      </c>
      <c r="D11" s="53" t="s">
        <v>103</v>
      </c>
      <c r="F11" s="130">
        <f>'TAMU Sum'!$G$14</f>
        <v>201614294</v>
      </c>
      <c r="G11" s="68" t="s">
        <v>15</v>
      </c>
    </row>
    <row r="12" spans="1:10">
      <c r="B12" s="678"/>
      <c r="C12" s="1000"/>
      <c r="F12" s="130"/>
      <c r="G12" s="68"/>
    </row>
    <row r="13" spans="1:10" ht="10.5" customHeight="1">
      <c r="A13" s="480">
        <v>231</v>
      </c>
      <c r="B13" s="678">
        <v>2</v>
      </c>
      <c r="C13" s="1000">
        <v>3652</v>
      </c>
      <c r="D13" s="116" t="s">
        <v>2259</v>
      </c>
      <c r="F13" s="130">
        <f>'UH1 Sum'!$G$14</f>
        <v>54514004</v>
      </c>
      <c r="G13" s="959" t="s">
        <v>1133</v>
      </c>
    </row>
    <row r="14" spans="1:10">
      <c r="A14" s="480">
        <v>310</v>
      </c>
      <c r="B14" s="678">
        <v>2</v>
      </c>
      <c r="C14" s="1000">
        <v>3644</v>
      </c>
      <c r="D14" s="53" t="s">
        <v>121</v>
      </c>
      <c r="F14" s="130">
        <f>'TTU Sum'!$G$14</f>
        <v>49874746</v>
      </c>
      <c r="G14" s="959" t="s">
        <v>1133</v>
      </c>
    </row>
    <row r="15" spans="1:10">
      <c r="A15" s="480">
        <v>290</v>
      </c>
      <c r="B15" s="678">
        <v>2</v>
      </c>
      <c r="C15" s="1000">
        <v>3615</v>
      </c>
      <c r="D15" s="53" t="s">
        <v>1273</v>
      </c>
      <c r="F15" s="130">
        <f>'TXST Sum'!$G$14</f>
        <v>37606478</v>
      </c>
      <c r="G15" s="959" t="s">
        <v>1133</v>
      </c>
    </row>
    <row r="16" spans="1:10">
      <c r="A16" s="480">
        <v>330</v>
      </c>
      <c r="B16" s="678">
        <v>2</v>
      </c>
      <c r="C16" s="1000">
        <v>3594</v>
      </c>
      <c r="D16" s="53" t="s">
        <v>123</v>
      </c>
      <c r="F16" s="130">
        <f>'UNT Sum'!$G$14</f>
        <v>37346563</v>
      </c>
      <c r="G16" s="959" t="s">
        <v>1133</v>
      </c>
    </row>
    <row r="17" spans="1:13">
      <c r="A17" s="480">
        <v>150</v>
      </c>
      <c r="B17" s="678">
        <v>4</v>
      </c>
      <c r="C17" s="1000">
        <v>3630</v>
      </c>
      <c r="D17" s="53" t="s">
        <v>107</v>
      </c>
      <c r="F17" s="130">
        <f>'PVAMU Sum'!$G$14</f>
        <v>26604505</v>
      </c>
      <c r="G17" s="969" t="s">
        <v>1132</v>
      </c>
    </row>
    <row r="18" spans="1:13">
      <c r="A18" s="480">
        <v>281</v>
      </c>
      <c r="B18" s="678">
        <v>3</v>
      </c>
      <c r="C18" s="1000">
        <v>3606</v>
      </c>
      <c r="D18" s="116" t="s">
        <v>2263</v>
      </c>
      <c r="F18" s="130">
        <f>'shsu1 Sum'!$G$14</f>
        <v>18236811</v>
      </c>
      <c r="G18" s="971" t="s">
        <v>697</v>
      </c>
    </row>
    <row r="19" spans="1:13">
      <c r="A19" s="480">
        <v>370</v>
      </c>
      <c r="B19" s="678">
        <v>3</v>
      </c>
      <c r="C19" s="1001">
        <v>3646</v>
      </c>
      <c r="D19" s="56" t="s">
        <v>127</v>
      </c>
      <c r="E19" s="56"/>
      <c r="F19" s="643">
        <f>'TWU Sum'!$G$14</f>
        <v>14554133</v>
      </c>
      <c r="G19" s="971" t="s">
        <v>697</v>
      </c>
    </row>
    <row r="20" spans="1:13">
      <c r="A20" s="480">
        <v>270</v>
      </c>
      <c r="B20" s="678">
        <v>4</v>
      </c>
      <c r="C20" s="1000">
        <v>3581</v>
      </c>
      <c r="D20" s="53" t="s">
        <v>1340</v>
      </c>
      <c r="F20" s="130">
        <f>'LU Sum'!$G$14</f>
        <v>13141181</v>
      </c>
      <c r="G20" s="969" t="s">
        <v>1132</v>
      </c>
    </row>
    <row r="21" spans="1:13">
      <c r="A21" s="480">
        <v>360</v>
      </c>
      <c r="B21" s="678">
        <v>3</v>
      </c>
      <c r="C21" s="1000">
        <v>3642</v>
      </c>
      <c r="D21" s="53" t="s">
        <v>126</v>
      </c>
      <c r="F21" s="130">
        <f>'TSU Sum'!$G$14</f>
        <v>11719335</v>
      </c>
      <c r="G21" s="971" t="s">
        <v>697</v>
      </c>
    </row>
    <row r="22" spans="1:13">
      <c r="A22" s="480">
        <v>170</v>
      </c>
      <c r="B22" s="678">
        <v>3</v>
      </c>
      <c r="C22" s="1000">
        <v>11161</v>
      </c>
      <c r="D22" s="53" t="s">
        <v>1342</v>
      </c>
      <c r="F22" s="130">
        <f>'TAMUCC Sum'!$G$14</f>
        <v>11478824</v>
      </c>
      <c r="G22" s="971" t="s">
        <v>697</v>
      </c>
    </row>
    <row r="23" spans="1:13">
      <c r="A23" s="480">
        <v>350</v>
      </c>
      <c r="B23" s="678">
        <v>4</v>
      </c>
      <c r="C23" s="1000">
        <v>3624</v>
      </c>
      <c r="D23" s="53" t="s">
        <v>125</v>
      </c>
      <c r="F23" s="130">
        <f>'SFA Sum'!$G$14</f>
        <v>11277793</v>
      </c>
      <c r="G23" s="969" t="s">
        <v>1132</v>
      </c>
    </row>
    <row r="24" spans="1:13">
      <c r="A24" s="480">
        <v>210</v>
      </c>
      <c r="B24" s="678">
        <v>3</v>
      </c>
      <c r="C24" s="1000">
        <v>3565</v>
      </c>
      <c r="D24" s="53" t="s">
        <v>1344</v>
      </c>
      <c r="F24" s="130">
        <f>'TAMUC Sum'!$G$14</f>
        <v>11123859</v>
      </c>
      <c r="G24" s="971" t="s">
        <v>697</v>
      </c>
    </row>
    <row r="25" spans="1:13">
      <c r="A25" s="480">
        <v>250</v>
      </c>
      <c r="B25" s="678">
        <v>5</v>
      </c>
      <c r="C25" s="1000">
        <v>12826</v>
      </c>
      <c r="D25" s="53" t="s">
        <v>1341</v>
      </c>
      <c r="F25" s="130">
        <f>'UHD Sum'!$G$14</f>
        <v>10828344</v>
      </c>
      <c r="G25" s="970" t="s">
        <v>696</v>
      </c>
    </row>
    <row r="26" spans="1:13">
      <c r="A26" s="480">
        <v>180</v>
      </c>
      <c r="B26" s="678">
        <v>3</v>
      </c>
      <c r="C26" s="1000">
        <v>3639</v>
      </c>
      <c r="D26" s="53" t="s">
        <v>1345</v>
      </c>
      <c r="F26" s="130">
        <f>'TAMUK Sum'!$G$14</f>
        <v>8858060</v>
      </c>
      <c r="G26" s="971" t="s">
        <v>697</v>
      </c>
    </row>
    <row r="27" spans="1:13">
      <c r="A27" s="480">
        <v>240</v>
      </c>
      <c r="B27" s="678">
        <v>5</v>
      </c>
      <c r="C27" s="1000">
        <v>11711</v>
      </c>
      <c r="D27" s="53" t="s">
        <v>1343</v>
      </c>
      <c r="F27" s="130">
        <f>'UHCL Sum'!$G$14</f>
        <v>7726043</v>
      </c>
      <c r="G27" s="970" t="s">
        <v>696</v>
      </c>
    </row>
    <row r="28" spans="1:13">
      <c r="A28" s="480">
        <v>190</v>
      </c>
      <c r="B28" s="678">
        <v>4</v>
      </c>
      <c r="C28" s="1000">
        <v>9651</v>
      </c>
      <c r="D28" s="53" t="s">
        <v>111</v>
      </c>
      <c r="F28" s="130">
        <f>'TAMIU Sum'!$G$14</f>
        <v>7462394</v>
      </c>
      <c r="G28" s="969" t="s">
        <v>1132</v>
      </c>
    </row>
    <row r="29" spans="1:13" s="68" customFormat="1">
      <c r="A29" s="480">
        <v>200</v>
      </c>
      <c r="B29" s="678">
        <v>4</v>
      </c>
      <c r="C29" s="1001">
        <v>3665</v>
      </c>
      <c r="D29" s="53" t="s">
        <v>112</v>
      </c>
      <c r="E29" s="53"/>
      <c r="F29" s="130">
        <f>'WTAMU Sum'!$G$14</f>
        <v>7446495</v>
      </c>
      <c r="G29" s="969" t="s">
        <v>1132</v>
      </c>
      <c r="H29" s="53"/>
      <c r="I29" s="53"/>
      <c r="J29" s="53"/>
      <c r="K29" s="53"/>
      <c r="L29" s="53"/>
      <c r="M29" s="53"/>
    </row>
    <row r="30" spans="1:13">
      <c r="A30" s="480">
        <v>320</v>
      </c>
      <c r="B30" s="678">
        <v>5</v>
      </c>
      <c r="C30" s="1000">
        <v>3541</v>
      </c>
      <c r="D30" s="53" t="s">
        <v>122</v>
      </c>
      <c r="F30" s="130">
        <f>'ASU Sum'!$G$14</f>
        <v>6792999</v>
      </c>
      <c r="G30" s="970" t="s">
        <v>696</v>
      </c>
    </row>
    <row r="31" spans="1:13">
      <c r="A31" s="480">
        <v>340</v>
      </c>
      <c r="B31" s="678">
        <v>5</v>
      </c>
      <c r="C31" s="1000">
        <v>3592</v>
      </c>
      <c r="D31" s="53" t="s">
        <v>124</v>
      </c>
      <c r="F31" s="130">
        <f>'MidWST Sum'!$G$14</f>
        <v>4933200</v>
      </c>
      <c r="G31" s="970" t="s">
        <v>696</v>
      </c>
    </row>
    <row r="32" spans="1:13">
      <c r="A32" s="480">
        <v>260</v>
      </c>
      <c r="B32" s="678">
        <v>5</v>
      </c>
      <c r="C32" s="1000">
        <v>13231</v>
      </c>
      <c r="D32" s="53" t="s">
        <v>1346</v>
      </c>
      <c r="F32" s="130">
        <f>'UHV Sum'!$G$14</f>
        <v>3542817</v>
      </c>
      <c r="G32" s="970" t="s">
        <v>696</v>
      </c>
    </row>
    <row r="33" spans="1:10">
      <c r="A33" s="480">
        <v>333</v>
      </c>
      <c r="B33" s="678">
        <v>5</v>
      </c>
      <c r="C33" s="1001">
        <v>42421</v>
      </c>
      <c r="D33" s="56" t="s">
        <v>276</v>
      </c>
      <c r="E33" s="56"/>
      <c r="F33" s="643">
        <f>'UNTD Sum'!$G$14</f>
        <v>3354441</v>
      </c>
      <c r="G33" s="970" t="s">
        <v>696</v>
      </c>
    </row>
    <row r="34" spans="1:10">
      <c r="A34" s="480">
        <v>300</v>
      </c>
      <c r="B34" s="678">
        <v>5</v>
      </c>
      <c r="C34" s="1000">
        <v>3625</v>
      </c>
      <c r="D34" s="53" t="s">
        <v>120</v>
      </c>
      <c r="F34" s="130">
        <f>'SRSU Sum'!$G$14</f>
        <v>2624613</v>
      </c>
      <c r="G34" s="970" t="s">
        <v>696</v>
      </c>
    </row>
    <row r="35" spans="1:10">
      <c r="A35" s="480">
        <v>220</v>
      </c>
      <c r="B35" s="678">
        <v>5</v>
      </c>
      <c r="C35" s="1000">
        <v>29269</v>
      </c>
      <c r="D35" s="53" t="s">
        <v>1347</v>
      </c>
      <c r="F35" s="130">
        <f>'TAMUT Sum'!$G$14</f>
        <v>2050273</v>
      </c>
      <c r="G35" s="970" t="s">
        <v>696</v>
      </c>
    </row>
    <row r="36" spans="1:10">
      <c r="A36" s="480">
        <v>90</v>
      </c>
      <c r="B36" s="678">
        <v>5</v>
      </c>
      <c r="C36" s="1178">
        <v>3599</v>
      </c>
      <c r="D36" s="116" t="s">
        <v>2176</v>
      </c>
      <c r="F36" s="130">
        <f>'RGV1 Sum'!$G$14</f>
        <v>0</v>
      </c>
      <c r="G36" s="970" t="s">
        <v>696</v>
      </c>
    </row>
    <row r="37" spans="1:10">
      <c r="A37" s="480">
        <v>40</v>
      </c>
      <c r="B37" s="678">
        <v>2</v>
      </c>
      <c r="C37" s="1000">
        <v>3656</v>
      </c>
      <c r="D37" s="53" t="s">
        <v>176</v>
      </c>
      <c r="F37" s="130">
        <f>'ARL Sum'!$G$14</f>
        <v>0</v>
      </c>
      <c r="G37" s="959" t="s">
        <v>1133</v>
      </c>
    </row>
    <row r="38" spans="1:10">
      <c r="A38" s="480">
        <v>60</v>
      </c>
      <c r="B38" s="678">
        <v>2</v>
      </c>
      <c r="C38" s="1000">
        <v>9741</v>
      </c>
      <c r="D38" s="53" t="s">
        <v>186</v>
      </c>
      <c r="F38" s="130">
        <f>'DAL Sum'!$G$14</f>
        <v>0</v>
      </c>
      <c r="G38" s="959" t="s">
        <v>1133</v>
      </c>
    </row>
    <row r="39" spans="1:10">
      <c r="A39" s="480">
        <v>70</v>
      </c>
      <c r="B39" s="678">
        <v>2</v>
      </c>
      <c r="C39" s="1000">
        <v>3661</v>
      </c>
      <c r="D39" s="53" t="s">
        <v>180</v>
      </c>
      <c r="F39" s="130">
        <f>'E-P Sum'!$G$14</f>
        <v>0</v>
      </c>
      <c r="G39" s="959" t="s">
        <v>1133</v>
      </c>
    </row>
    <row r="40" spans="1:10">
      <c r="A40" s="480">
        <v>110</v>
      </c>
      <c r="B40" s="678">
        <v>2</v>
      </c>
      <c r="C40" s="1000">
        <v>10115</v>
      </c>
      <c r="D40" s="53" t="s">
        <v>190</v>
      </c>
      <c r="F40" s="130">
        <f>'S-A Sum'!$G$14</f>
        <v>0</v>
      </c>
      <c r="G40" s="959" t="s">
        <v>1133</v>
      </c>
    </row>
    <row r="41" spans="1:10">
      <c r="A41" s="480">
        <v>160</v>
      </c>
      <c r="B41" s="678">
        <v>4</v>
      </c>
      <c r="C41" s="1000">
        <v>3631</v>
      </c>
      <c r="D41" s="53" t="s">
        <v>162</v>
      </c>
      <c r="F41" s="130">
        <f>'TARLST Sum'!$G$14</f>
        <v>0</v>
      </c>
      <c r="G41" s="969" t="s">
        <v>1132</v>
      </c>
    </row>
    <row r="42" spans="1:10">
      <c r="A42" s="480">
        <v>223</v>
      </c>
      <c r="B42" s="678">
        <v>5</v>
      </c>
      <c r="C42" s="1000">
        <v>42295</v>
      </c>
      <c r="D42" s="53" t="s">
        <v>278</v>
      </c>
      <c r="F42" s="130">
        <f>'TAMUCT Sum'!$G$14</f>
        <v>0</v>
      </c>
      <c r="G42" s="970" t="s">
        <v>696</v>
      </c>
    </row>
    <row r="43" spans="1:10">
      <c r="A43" s="480">
        <v>226</v>
      </c>
      <c r="B43" s="678">
        <v>5</v>
      </c>
      <c r="C43" s="1000">
        <v>42485</v>
      </c>
      <c r="D43" s="53" t="s">
        <v>279</v>
      </c>
      <c r="F43" s="130">
        <f>'TAMUSA Sum'!$G$14</f>
        <v>0</v>
      </c>
      <c r="G43" s="970" t="s">
        <v>696</v>
      </c>
    </row>
    <row r="44" spans="1:10">
      <c r="A44" s="480">
        <v>100</v>
      </c>
      <c r="B44" s="678">
        <v>5</v>
      </c>
      <c r="C44" s="1000">
        <v>9930</v>
      </c>
      <c r="D44" s="53" t="s">
        <v>188</v>
      </c>
      <c r="F44" s="130">
        <f>'P-B Sum'!$G$14</f>
        <v>0</v>
      </c>
      <c r="G44" s="970" t="s">
        <v>696</v>
      </c>
    </row>
    <row r="45" spans="1:10">
      <c r="A45" s="480">
        <v>120</v>
      </c>
      <c r="B45" s="678">
        <v>5</v>
      </c>
      <c r="C45" s="1000">
        <v>11163</v>
      </c>
      <c r="D45" s="53" t="s">
        <v>196</v>
      </c>
      <c r="F45" s="130">
        <f>'TYL Sum'!$G$14</f>
        <v>0</v>
      </c>
      <c r="G45" s="970" t="s">
        <v>696</v>
      </c>
    </row>
    <row r="46" spans="1:10">
      <c r="A46" s="480">
        <v>140</v>
      </c>
      <c r="B46" s="678">
        <v>5</v>
      </c>
      <c r="C46" s="1002">
        <v>10298</v>
      </c>
      <c r="D46" s="133" t="s">
        <v>192</v>
      </c>
      <c r="E46" s="133"/>
      <c r="F46" s="135">
        <f>'TAMUG Sum'!$G$14</f>
        <v>0</v>
      </c>
      <c r="G46" s="970" t="s">
        <v>696</v>
      </c>
    </row>
    <row r="47" spans="1:10" ht="13.5" thickBot="1">
      <c r="A47" s="139"/>
      <c r="B47" s="139"/>
      <c r="C47" s="139">
        <f>COUNTA(C10:C46)</f>
        <v>36</v>
      </c>
      <c r="D47" s="140" t="s">
        <v>207</v>
      </c>
      <c r="E47" s="140"/>
      <c r="F47" s="141">
        <f t="shared" ref="F47" si="0">SUM(F10:F46)</f>
        <v>957089015</v>
      </c>
      <c r="G47" s="139"/>
    </row>
    <row r="48" spans="1:10" s="114" customFormat="1" ht="13.5" thickTop="1">
      <c r="A48" s="145"/>
      <c r="B48" s="145"/>
      <c r="F48" s="152"/>
      <c r="G48" s="145"/>
      <c r="H48" s="53"/>
      <c r="I48" s="53"/>
      <c r="J48" s="53"/>
    </row>
    <row r="49" spans="1:7" s="114" customFormat="1">
      <c r="A49" s="145"/>
      <c r="B49" s="145"/>
      <c r="G49" s="972"/>
    </row>
    <row r="50" spans="1:7" s="114" customFormat="1">
      <c r="A50" s="145"/>
      <c r="B50" s="145"/>
      <c r="G50" s="145"/>
    </row>
    <row r="51" spans="1:7" s="114" customFormat="1">
      <c r="A51" s="145"/>
      <c r="B51" s="145"/>
      <c r="F51" s="77"/>
      <c r="G51" s="145"/>
    </row>
    <row r="52" spans="1:7" s="114" customFormat="1">
      <c r="A52" s="145"/>
      <c r="B52" s="145"/>
      <c r="G52" s="145"/>
    </row>
    <row r="53" spans="1:7" s="114" customFormat="1">
      <c r="A53" s="145"/>
      <c r="B53" s="145"/>
      <c r="G53" s="145"/>
    </row>
    <row r="54" spans="1:7" s="114" customFormat="1">
      <c r="A54" s="145"/>
      <c r="B54" s="145"/>
      <c r="G54" s="145"/>
    </row>
    <row r="55" spans="1:7" s="114" customFormat="1">
      <c r="A55" s="145"/>
      <c r="B55" s="145"/>
      <c r="F55" s="665" t="str">
        <f>IF(F47&lt;&gt;'Smmy Sum'!$G$50,"Error","Balanced")</f>
        <v>Balanced</v>
      </c>
      <c r="G55" s="145"/>
    </row>
    <row r="56" spans="1:7" s="114" customFormat="1">
      <c r="A56" s="145"/>
      <c r="B56" s="145"/>
      <c r="G56" s="145"/>
    </row>
    <row r="57" spans="1:7" s="114" customFormat="1">
      <c r="A57" s="145"/>
      <c r="B57" s="145"/>
      <c r="F57" s="145" t="s">
        <v>421</v>
      </c>
      <c r="G57" s="145"/>
    </row>
    <row r="58" spans="1:7" s="114" customFormat="1">
      <c r="A58" s="145"/>
      <c r="B58" s="145"/>
      <c r="G58" s="145"/>
    </row>
    <row r="59" spans="1:7" s="114" customFormat="1">
      <c r="A59" s="145"/>
      <c r="B59" s="145"/>
      <c r="G59" s="145"/>
    </row>
    <row r="60" spans="1:7" s="114" customFormat="1">
      <c r="A60" s="145"/>
      <c r="B60" s="145"/>
      <c r="G60" s="145"/>
    </row>
    <row r="61" spans="1:7" s="114" customFormat="1" ht="13.5" thickBot="1">
      <c r="A61" s="145"/>
      <c r="B61" s="145"/>
      <c r="D61" s="114" t="s">
        <v>1348</v>
      </c>
      <c r="F61" s="141">
        <v>957089015</v>
      </c>
      <c r="G61" s="145"/>
    </row>
    <row r="62" spans="1:7" s="114" customFormat="1" ht="13.5" thickTop="1">
      <c r="A62" s="145"/>
      <c r="B62" s="145"/>
      <c r="D62" s="1499">
        <v>44546</v>
      </c>
      <c r="G62" s="145"/>
    </row>
    <row r="63" spans="1:7" s="114" customFormat="1">
      <c r="A63" s="145"/>
      <c r="B63" s="145"/>
      <c r="F63" s="711">
        <f>F61-F47</f>
        <v>0</v>
      </c>
      <c r="G63" s="145"/>
    </row>
    <row r="64" spans="1:7" s="114" customFormat="1">
      <c r="A64" s="145"/>
      <c r="B64" s="145"/>
      <c r="G64" s="145"/>
    </row>
    <row r="65" spans="1:7" s="114" customFormat="1">
      <c r="A65" s="145"/>
      <c r="B65" s="145"/>
      <c r="G65" s="145"/>
    </row>
    <row r="66" spans="1:7" s="114" customFormat="1">
      <c r="A66" s="145"/>
      <c r="B66" s="145"/>
      <c r="G66" s="145"/>
    </row>
    <row r="67" spans="1:7" s="114" customFormat="1">
      <c r="A67" s="145"/>
      <c r="B67" s="145"/>
      <c r="G67" s="145"/>
    </row>
    <row r="68" spans="1:7" s="114" customFormat="1">
      <c r="A68" s="145"/>
      <c r="B68" s="145"/>
      <c r="G68" s="145"/>
    </row>
    <row r="69" spans="1:7" s="114" customFormat="1">
      <c r="A69" s="145"/>
      <c r="B69" s="145"/>
      <c r="G69" s="145"/>
    </row>
    <row r="70" spans="1:7" s="114" customFormat="1">
      <c r="A70" s="145"/>
      <c r="B70" s="145"/>
      <c r="G70" s="145"/>
    </row>
    <row r="71" spans="1:7" s="114" customFormat="1">
      <c r="A71" s="145"/>
      <c r="B71" s="145"/>
      <c r="G71" s="145"/>
    </row>
    <row r="72" spans="1:7" s="114" customFormat="1">
      <c r="A72" s="145"/>
      <c r="B72" s="145"/>
      <c r="G72" s="145"/>
    </row>
    <row r="73" spans="1:7" s="114" customFormat="1">
      <c r="A73" s="145"/>
      <c r="B73" s="145"/>
      <c r="G73" s="145"/>
    </row>
    <row r="74" spans="1:7" s="114" customFormat="1">
      <c r="A74" s="145"/>
      <c r="B74" s="145"/>
      <c r="G74" s="145"/>
    </row>
    <row r="75" spans="1:7" s="114" customFormat="1">
      <c r="A75" s="145"/>
      <c r="B75" s="145"/>
      <c r="G75" s="145"/>
    </row>
    <row r="76" spans="1:7" s="114" customFormat="1">
      <c r="A76" s="145"/>
      <c r="B76" s="145"/>
      <c r="G76" s="145"/>
    </row>
    <row r="77" spans="1:7" s="114" customFormat="1">
      <c r="A77" s="145"/>
      <c r="B77" s="145"/>
      <c r="G77" s="145"/>
    </row>
    <row r="78" spans="1:7" s="114" customFormat="1">
      <c r="A78" s="145"/>
      <c r="B78" s="145"/>
      <c r="G78" s="145"/>
    </row>
    <row r="79" spans="1:7" s="114" customFormat="1">
      <c r="A79" s="145"/>
      <c r="B79" s="145"/>
      <c r="G79" s="145"/>
    </row>
    <row r="80" spans="1:7" s="114" customFormat="1">
      <c r="A80" s="145"/>
      <c r="B80" s="145"/>
      <c r="G80" s="145"/>
    </row>
    <row r="81" spans="1:7" s="114" customFormat="1">
      <c r="A81" s="145"/>
      <c r="B81" s="145"/>
      <c r="G81" s="145"/>
    </row>
    <row r="82" spans="1:7" s="114" customFormat="1">
      <c r="A82" s="145"/>
      <c r="B82" s="145"/>
      <c r="G82" s="145"/>
    </row>
    <row r="83" spans="1:7" s="114" customFormat="1">
      <c r="A83" s="145"/>
      <c r="B83" s="145"/>
      <c r="G83" s="145"/>
    </row>
    <row r="84" spans="1:7" s="114" customFormat="1">
      <c r="A84" s="145"/>
      <c r="B84" s="145"/>
      <c r="G84" s="145"/>
    </row>
    <row r="85" spans="1:7" s="114" customFormat="1">
      <c r="A85" s="145"/>
      <c r="B85" s="145"/>
      <c r="G85" s="145"/>
    </row>
    <row r="86" spans="1:7" s="114" customFormat="1">
      <c r="A86" s="145"/>
      <c r="B86" s="145"/>
      <c r="G86" s="145"/>
    </row>
    <row r="87" spans="1:7" s="114" customFormat="1">
      <c r="A87" s="145"/>
      <c r="B87" s="145"/>
      <c r="G87" s="145"/>
    </row>
    <row r="88" spans="1:7" s="114" customFormat="1">
      <c r="A88" s="145"/>
      <c r="B88" s="145"/>
      <c r="G88" s="145"/>
    </row>
    <row r="89" spans="1:7" s="114" customFormat="1">
      <c r="A89" s="145"/>
      <c r="B89" s="145"/>
      <c r="G89" s="145"/>
    </row>
    <row r="90" spans="1:7" s="114" customFormat="1">
      <c r="A90" s="145"/>
      <c r="B90" s="145"/>
      <c r="G90" s="145"/>
    </row>
    <row r="91" spans="1:7" s="114" customFormat="1">
      <c r="A91" s="145"/>
      <c r="B91" s="145"/>
      <c r="G91" s="145"/>
    </row>
    <row r="92" spans="1:7" s="114" customFormat="1">
      <c r="A92" s="145"/>
      <c r="B92" s="145"/>
      <c r="G92" s="145"/>
    </row>
    <row r="93" spans="1:7" s="114" customFormat="1">
      <c r="A93" s="145"/>
      <c r="B93" s="145"/>
      <c r="G93" s="145"/>
    </row>
    <row r="94" spans="1:7" s="114" customFormat="1">
      <c r="A94" s="145"/>
      <c r="B94" s="145"/>
      <c r="G94" s="145"/>
    </row>
    <row r="95" spans="1:7" s="114" customFormat="1">
      <c r="A95" s="145"/>
      <c r="B95" s="145"/>
      <c r="G95" s="145"/>
    </row>
    <row r="96" spans="1:7" s="114" customFormat="1">
      <c r="A96" s="145"/>
      <c r="B96" s="145"/>
      <c r="G96" s="145"/>
    </row>
    <row r="97" spans="1:7" s="114" customFormat="1">
      <c r="A97" s="145"/>
      <c r="B97" s="145"/>
      <c r="G97" s="145"/>
    </row>
    <row r="98" spans="1:7" s="114" customFormat="1">
      <c r="A98" s="145"/>
      <c r="B98" s="145"/>
      <c r="G98" s="145"/>
    </row>
    <row r="99" spans="1:7" s="114" customFormat="1">
      <c r="A99" s="145"/>
      <c r="B99" s="145"/>
      <c r="G99" s="145"/>
    </row>
    <row r="100" spans="1:7" s="114" customFormat="1">
      <c r="A100" s="145"/>
      <c r="B100" s="145"/>
      <c r="G100" s="145"/>
    </row>
    <row r="101" spans="1:7" s="114" customFormat="1">
      <c r="A101" s="145"/>
      <c r="B101" s="145"/>
      <c r="G101" s="145"/>
    </row>
    <row r="102" spans="1:7" s="114" customFormat="1">
      <c r="A102" s="145"/>
      <c r="B102" s="145"/>
      <c r="G102" s="145"/>
    </row>
    <row r="103" spans="1:7" s="114" customFormat="1">
      <c r="A103" s="145"/>
      <c r="B103" s="145"/>
      <c r="G103" s="145"/>
    </row>
    <row r="104" spans="1:7" s="114" customFormat="1">
      <c r="A104" s="145"/>
      <c r="B104" s="145"/>
      <c r="G104" s="145"/>
    </row>
    <row r="105" spans="1:7" s="114" customFormat="1">
      <c r="A105" s="145"/>
      <c r="B105" s="145"/>
      <c r="G105" s="145"/>
    </row>
    <row r="106" spans="1:7" s="114" customFormat="1">
      <c r="A106" s="145"/>
      <c r="B106" s="145"/>
      <c r="G106" s="145"/>
    </row>
    <row r="107" spans="1:7" s="114" customFormat="1">
      <c r="A107" s="145"/>
      <c r="B107" s="145"/>
      <c r="G107" s="145"/>
    </row>
    <row r="108" spans="1:7" s="114" customFormat="1">
      <c r="A108" s="145"/>
      <c r="B108" s="145"/>
      <c r="G108" s="145"/>
    </row>
    <row r="109" spans="1:7" s="114" customFormat="1">
      <c r="A109" s="145"/>
      <c r="B109" s="145"/>
      <c r="G109" s="145"/>
    </row>
    <row r="110" spans="1:7" s="114" customFormat="1">
      <c r="A110" s="145"/>
      <c r="B110" s="145"/>
      <c r="G110" s="145"/>
    </row>
    <row r="111" spans="1:7" s="114" customFormat="1">
      <c r="A111" s="145"/>
      <c r="B111" s="145"/>
      <c r="G111" s="145"/>
    </row>
    <row r="112" spans="1:7" s="114" customFormat="1">
      <c r="A112" s="145"/>
      <c r="B112" s="145"/>
      <c r="G112" s="145"/>
    </row>
    <row r="113" spans="1:7" s="114" customFormat="1">
      <c r="A113" s="145"/>
      <c r="B113" s="145"/>
      <c r="G113" s="145"/>
    </row>
    <row r="114" spans="1:7" s="114" customFormat="1">
      <c r="A114" s="145"/>
      <c r="B114" s="145"/>
      <c r="G114" s="145"/>
    </row>
    <row r="115" spans="1:7" s="114" customFormat="1">
      <c r="A115" s="145"/>
      <c r="B115" s="145"/>
      <c r="G115" s="145"/>
    </row>
    <row r="116" spans="1:7" s="114" customFormat="1">
      <c r="A116" s="145"/>
      <c r="B116" s="145"/>
      <c r="G116" s="145"/>
    </row>
    <row r="117" spans="1:7" s="114" customFormat="1">
      <c r="A117" s="145"/>
      <c r="B117" s="145"/>
      <c r="G117" s="145"/>
    </row>
    <row r="118" spans="1:7" s="114" customFormat="1">
      <c r="A118" s="145"/>
      <c r="B118" s="145"/>
      <c r="G118" s="145"/>
    </row>
    <row r="119" spans="1:7" s="114" customFormat="1">
      <c r="A119" s="145"/>
      <c r="B119" s="145"/>
      <c r="G119" s="145"/>
    </row>
    <row r="120" spans="1:7" s="114" customFormat="1">
      <c r="A120" s="145"/>
      <c r="B120" s="145"/>
      <c r="G120" s="145"/>
    </row>
    <row r="121" spans="1:7" s="114" customFormat="1">
      <c r="A121" s="145"/>
      <c r="B121" s="145"/>
      <c r="G121" s="145"/>
    </row>
    <row r="122" spans="1:7" s="114" customFormat="1">
      <c r="A122" s="145"/>
      <c r="B122" s="145"/>
      <c r="G122" s="145"/>
    </row>
    <row r="123" spans="1:7" s="114" customFormat="1">
      <c r="A123" s="145"/>
      <c r="B123" s="145"/>
      <c r="G123" s="145"/>
    </row>
    <row r="124" spans="1:7" s="114" customFormat="1">
      <c r="A124" s="145"/>
      <c r="B124" s="145"/>
      <c r="G124" s="145"/>
    </row>
    <row r="125" spans="1:7" s="114" customFormat="1">
      <c r="A125" s="145"/>
      <c r="B125" s="145"/>
      <c r="G125" s="145"/>
    </row>
    <row r="126" spans="1:7" s="114" customFormat="1">
      <c r="A126" s="145"/>
      <c r="B126" s="145"/>
      <c r="G126" s="145"/>
    </row>
    <row r="127" spans="1:7" s="114" customFormat="1">
      <c r="A127" s="145"/>
      <c r="B127" s="145"/>
      <c r="G127" s="145"/>
    </row>
    <row r="128" spans="1:7" s="114" customFormat="1">
      <c r="A128" s="145"/>
      <c r="B128" s="145"/>
      <c r="G128" s="145"/>
    </row>
    <row r="129" spans="1:7" s="114" customFormat="1">
      <c r="A129" s="145"/>
      <c r="B129" s="145"/>
      <c r="G129" s="145"/>
    </row>
    <row r="130" spans="1:7" s="114" customFormat="1">
      <c r="A130" s="145"/>
      <c r="B130" s="145"/>
      <c r="G130" s="145"/>
    </row>
    <row r="131" spans="1:7" s="114" customFormat="1">
      <c r="A131" s="145"/>
      <c r="B131" s="145"/>
      <c r="G131" s="145"/>
    </row>
    <row r="132" spans="1:7" s="114" customFormat="1">
      <c r="A132" s="145"/>
      <c r="B132" s="145"/>
      <c r="G132" s="145"/>
    </row>
    <row r="133" spans="1:7" s="114" customFormat="1">
      <c r="A133" s="145"/>
      <c r="B133" s="145"/>
      <c r="G133" s="145"/>
    </row>
    <row r="134" spans="1:7" s="114" customFormat="1">
      <c r="A134" s="145"/>
      <c r="B134" s="145"/>
      <c r="G134" s="145"/>
    </row>
    <row r="135" spans="1:7" s="114" customFormat="1">
      <c r="A135" s="145"/>
      <c r="B135" s="145"/>
      <c r="G135" s="145"/>
    </row>
    <row r="136" spans="1:7" s="114" customFormat="1">
      <c r="A136" s="145"/>
      <c r="B136" s="145"/>
      <c r="G136" s="145"/>
    </row>
    <row r="137" spans="1:7" s="114" customFormat="1">
      <c r="A137" s="145"/>
      <c r="B137" s="145"/>
      <c r="G137" s="145"/>
    </row>
    <row r="138" spans="1:7" s="114" customFormat="1">
      <c r="A138" s="145"/>
      <c r="B138" s="145"/>
      <c r="G138" s="145"/>
    </row>
    <row r="139" spans="1:7" s="114" customFormat="1">
      <c r="A139" s="145"/>
      <c r="B139" s="145"/>
      <c r="G139" s="145"/>
    </row>
    <row r="140" spans="1:7" s="114" customFormat="1">
      <c r="A140" s="145"/>
      <c r="B140" s="145"/>
      <c r="G140" s="145"/>
    </row>
    <row r="141" spans="1:7" s="114" customFormat="1">
      <c r="A141" s="145"/>
      <c r="B141" s="145"/>
      <c r="G141" s="145"/>
    </row>
    <row r="142" spans="1:7" s="114" customFormat="1">
      <c r="A142" s="145"/>
      <c r="B142" s="145"/>
      <c r="G142" s="145"/>
    </row>
    <row r="143" spans="1:7" s="114" customFormat="1">
      <c r="A143" s="145"/>
      <c r="B143" s="145"/>
      <c r="G143" s="145"/>
    </row>
    <row r="144" spans="1:7" s="114" customFormat="1">
      <c r="A144" s="145"/>
      <c r="B144" s="145"/>
      <c r="G144" s="145"/>
    </row>
    <row r="145" spans="1:7" s="114" customFormat="1">
      <c r="A145" s="145"/>
      <c r="B145" s="145"/>
      <c r="G145" s="145"/>
    </row>
    <row r="146" spans="1:7" s="114" customFormat="1">
      <c r="A146" s="145"/>
      <c r="B146" s="145"/>
      <c r="G146" s="145"/>
    </row>
    <row r="147" spans="1:7" s="114" customFormat="1">
      <c r="A147" s="145"/>
      <c r="B147" s="145"/>
      <c r="G147" s="145"/>
    </row>
    <row r="148" spans="1:7" s="114" customFormat="1">
      <c r="A148" s="145"/>
      <c r="B148" s="145"/>
      <c r="G148" s="145"/>
    </row>
    <row r="149" spans="1:7" s="114" customFormat="1">
      <c r="A149" s="145"/>
      <c r="B149" s="145"/>
      <c r="G149" s="145"/>
    </row>
    <row r="150" spans="1:7" s="114" customFormat="1">
      <c r="A150" s="145"/>
      <c r="B150" s="145"/>
      <c r="G150" s="145"/>
    </row>
    <row r="151" spans="1:7" s="114" customFormat="1">
      <c r="A151" s="145"/>
      <c r="B151" s="145"/>
      <c r="G151" s="145"/>
    </row>
    <row r="152" spans="1:7" s="114" customFormat="1">
      <c r="A152" s="145"/>
      <c r="B152" s="145"/>
      <c r="G152" s="145"/>
    </row>
    <row r="153" spans="1:7" s="114" customFormat="1">
      <c r="A153" s="145"/>
      <c r="B153" s="145"/>
      <c r="G153" s="145"/>
    </row>
    <row r="154" spans="1:7" s="114" customFormat="1">
      <c r="A154" s="145"/>
      <c r="B154" s="145"/>
      <c r="G154" s="145"/>
    </row>
    <row r="155" spans="1:7" s="114" customFormat="1">
      <c r="A155" s="145"/>
      <c r="B155" s="145"/>
      <c r="G155" s="145"/>
    </row>
    <row r="156" spans="1:7" s="114" customFormat="1">
      <c r="A156" s="145"/>
      <c r="B156" s="145"/>
      <c r="G156" s="145"/>
    </row>
    <row r="157" spans="1:7" s="114" customFormat="1">
      <c r="A157" s="145"/>
      <c r="B157" s="145"/>
      <c r="G157" s="145"/>
    </row>
    <row r="158" spans="1:7" s="114" customFormat="1">
      <c r="A158" s="145"/>
      <c r="B158" s="145"/>
      <c r="G158" s="145"/>
    </row>
    <row r="159" spans="1:7" s="114" customFormat="1">
      <c r="A159" s="145"/>
      <c r="B159" s="145"/>
      <c r="G159" s="145"/>
    </row>
    <row r="160" spans="1:7" s="114" customFormat="1">
      <c r="A160" s="145"/>
      <c r="B160" s="145"/>
      <c r="G160" s="145"/>
    </row>
    <row r="161" spans="1:7" s="114" customFormat="1">
      <c r="A161" s="145"/>
      <c r="B161" s="145"/>
      <c r="G161" s="145"/>
    </row>
    <row r="162" spans="1:7" s="114" customFormat="1">
      <c r="A162" s="145"/>
      <c r="B162" s="145"/>
      <c r="G162" s="145"/>
    </row>
    <row r="163" spans="1:7" s="114" customFormat="1">
      <c r="A163" s="145"/>
      <c r="B163" s="145"/>
      <c r="G163" s="145"/>
    </row>
    <row r="164" spans="1:7" s="114" customFormat="1">
      <c r="A164" s="145"/>
      <c r="B164" s="145"/>
      <c r="G164" s="145"/>
    </row>
    <row r="165" spans="1:7" s="114" customFormat="1">
      <c r="A165" s="145"/>
      <c r="B165" s="145"/>
      <c r="G165" s="145"/>
    </row>
    <row r="166" spans="1:7" s="114" customFormat="1">
      <c r="A166" s="145"/>
      <c r="B166" s="145"/>
      <c r="G166" s="145"/>
    </row>
    <row r="167" spans="1:7" s="114" customFormat="1">
      <c r="A167" s="145"/>
      <c r="B167" s="145"/>
      <c r="G167" s="145"/>
    </row>
    <row r="168" spans="1:7" s="114" customFormat="1">
      <c r="A168" s="145"/>
      <c r="B168" s="145"/>
      <c r="G168" s="145"/>
    </row>
    <row r="169" spans="1:7" s="114" customFormat="1">
      <c r="A169" s="145"/>
      <c r="B169" s="145"/>
      <c r="G169" s="145"/>
    </row>
    <row r="170" spans="1:7" s="114" customFormat="1">
      <c r="A170" s="145"/>
      <c r="B170" s="145"/>
      <c r="G170" s="145"/>
    </row>
    <row r="171" spans="1:7" s="114" customFormat="1">
      <c r="A171" s="145"/>
      <c r="B171" s="145"/>
      <c r="G171" s="145"/>
    </row>
    <row r="172" spans="1:7" s="114" customFormat="1">
      <c r="A172" s="145"/>
      <c r="B172" s="145"/>
      <c r="G172" s="145"/>
    </row>
    <row r="173" spans="1:7" s="114" customFormat="1">
      <c r="A173" s="145"/>
      <c r="B173" s="145"/>
      <c r="G173" s="145"/>
    </row>
    <row r="174" spans="1:7" s="114" customFormat="1">
      <c r="A174" s="145"/>
      <c r="B174" s="145"/>
      <c r="G174" s="145"/>
    </row>
    <row r="175" spans="1:7" s="114" customFormat="1">
      <c r="A175" s="145"/>
      <c r="B175" s="145"/>
      <c r="G175" s="145"/>
    </row>
    <row r="176" spans="1:7" s="114" customFormat="1">
      <c r="A176" s="145"/>
      <c r="B176" s="145"/>
      <c r="G176" s="145"/>
    </row>
    <row r="177" spans="1:7" s="114" customFormat="1">
      <c r="A177" s="145"/>
      <c r="B177" s="145"/>
      <c r="G177" s="145"/>
    </row>
    <row r="178" spans="1:7" s="114" customFormat="1">
      <c r="A178" s="145"/>
      <c r="B178" s="145"/>
      <c r="G178" s="145"/>
    </row>
    <row r="179" spans="1:7" s="114" customFormat="1">
      <c r="A179" s="145"/>
      <c r="B179" s="145"/>
      <c r="G179" s="145"/>
    </row>
    <row r="180" spans="1:7" s="114" customFormat="1">
      <c r="A180" s="145"/>
      <c r="B180" s="145"/>
      <c r="G180" s="145"/>
    </row>
    <row r="181" spans="1:7" s="114" customFormat="1">
      <c r="A181" s="145"/>
      <c r="B181" s="145"/>
      <c r="G181" s="145"/>
    </row>
    <row r="182" spans="1:7" s="114" customFormat="1">
      <c r="A182" s="145"/>
      <c r="B182" s="145"/>
      <c r="G182" s="145"/>
    </row>
    <row r="183" spans="1:7" s="114" customFormat="1">
      <c r="A183" s="145"/>
      <c r="B183" s="145"/>
      <c r="G183" s="145"/>
    </row>
    <row r="184" spans="1:7" s="114" customFormat="1">
      <c r="A184" s="145"/>
      <c r="B184" s="145"/>
      <c r="G184" s="145"/>
    </row>
    <row r="185" spans="1:7" s="114" customFormat="1">
      <c r="A185" s="145"/>
      <c r="B185" s="145"/>
      <c r="G185" s="145"/>
    </row>
    <row r="186" spans="1:7" s="114" customFormat="1">
      <c r="A186" s="145"/>
      <c r="B186" s="145"/>
      <c r="G186" s="145"/>
    </row>
    <row r="187" spans="1:7" s="114" customFormat="1">
      <c r="A187" s="145"/>
      <c r="B187" s="145"/>
      <c r="G187" s="145"/>
    </row>
    <row r="188" spans="1:7" s="114" customFormat="1">
      <c r="A188" s="145"/>
      <c r="B188" s="145"/>
      <c r="G188" s="145"/>
    </row>
    <row r="189" spans="1:7" s="114" customFormat="1">
      <c r="A189" s="145"/>
      <c r="B189" s="145"/>
      <c r="G189" s="145"/>
    </row>
    <row r="190" spans="1:7" s="114" customFormat="1">
      <c r="A190" s="145"/>
      <c r="B190" s="145"/>
      <c r="G190" s="145"/>
    </row>
    <row r="191" spans="1:7" s="114" customFormat="1">
      <c r="A191" s="145"/>
      <c r="B191" s="145"/>
      <c r="G191" s="145"/>
    </row>
    <row r="192" spans="1:7" s="114" customFormat="1">
      <c r="A192" s="145"/>
      <c r="B192" s="145"/>
      <c r="G192" s="145"/>
    </row>
    <row r="193" spans="1:7" s="114" customFormat="1">
      <c r="A193" s="145"/>
      <c r="B193" s="145"/>
      <c r="G193" s="145"/>
    </row>
    <row r="194" spans="1:7" s="114" customFormat="1">
      <c r="A194" s="145"/>
      <c r="B194" s="145"/>
      <c r="G194" s="145"/>
    </row>
    <row r="195" spans="1:7" s="114" customFormat="1">
      <c r="A195" s="145"/>
      <c r="B195" s="145"/>
      <c r="G195" s="145"/>
    </row>
    <row r="196" spans="1:7" s="114" customFormat="1">
      <c r="A196" s="145"/>
      <c r="B196" s="145"/>
      <c r="G196" s="145"/>
    </row>
    <row r="197" spans="1:7" s="114" customFormat="1">
      <c r="A197" s="145"/>
      <c r="B197" s="145"/>
      <c r="G197" s="145"/>
    </row>
    <row r="198" spans="1:7" s="114" customFormat="1">
      <c r="A198" s="145"/>
      <c r="B198" s="145"/>
      <c r="G198" s="145"/>
    </row>
    <row r="199" spans="1:7" s="114" customFormat="1">
      <c r="A199" s="145"/>
      <c r="B199" s="145"/>
      <c r="G199" s="145"/>
    </row>
    <row r="200" spans="1:7" s="114" customFormat="1">
      <c r="A200" s="145"/>
      <c r="B200" s="145"/>
      <c r="G200" s="145"/>
    </row>
    <row r="201" spans="1:7" s="114" customFormat="1">
      <c r="A201" s="145"/>
      <c r="B201" s="145"/>
      <c r="G201" s="145"/>
    </row>
    <row r="202" spans="1:7" s="114" customFormat="1">
      <c r="A202" s="145"/>
      <c r="B202" s="145"/>
      <c r="G202" s="145"/>
    </row>
    <row r="203" spans="1:7" s="114" customFormat="1">
      <c r="A203" s="145"/>
      <c r="B203" s="145"/>
      <c r="G203" s="145"/>
    </row>
    <row r="204" spans="1:7" s="114" customFormat="1">
      <c r="A204" s="145"/>
      <c r="B204" s="145"/>
      <c r="G204" s="145"/>
    </row>
    <row r="205" spans="1:7" s="114" customFormat="1">
      <c r="A205" s="145"/>
      <c r="B205" s="145"/>
      <c r="G205" s="145"/>
    </row>
    <row r="206" spans="1:7" s="114" customFormat="1">
      <c r="A206" s="145"/>
      <c r="B206" s="145"/>
      <c r="G206" s="145"/>
    </row>
    <row r="207" spans="1:7" s="114" customFormat="1">
      <c r="A207" s="145"/>
      <c r="B207" s="145"/>
      <c r="G207" s="145"/>
    </row>
    <row r="208" spans="1:7" s="114" customFormat="1">
      <c r="A208" s="145"/>
      <c r="B208" s="145"/>
      <c r="G208" s="145"/>
    </row>
    <row r="209" spans="1:7" s="114" customFormat="1">
      <c r="A209" s="145"/>
      <c r="B209" s="145"/>
      <c r="G209" s="145"/>
    </row>
    <row r="210" spans="1:7" s="114" customFormat="1">
      <c r="A210" s="145"/>
      <c r="B210" s="145"/>
      <c r="G210" s="145"/>
    </row>
    <row r="211" spans="1:7" s="114" customFormat="1">
      <c r="A211" s="145"/>
      <c r="B211" s="145"/>
      <c r="G211" s="145"/>
    </row>
    <row r="212" spans="1:7" s="114" customFormat="1">
      <c r="A212" s="145"/>
      <c r="B212" s="145"/>
      <c r="G212" s="145"/>
    </row>
    <row r="213" spans="1:7" s="114" customFormat="1">
      <c r="A213" s="145"/>
      <c r="B213" s="145"/>
      <c r="G213" s="145"/>
    </row>
    <row r="214" spans="1:7" s="114" customFormat="1">
      <c r="A214" s="145"/>
      <c r="B214" s="145"/>
      <c r="G214" s="145"/>
    </row>
    <row r="215" spans="1:7" s="114" customFormat="1">
      <c r="A215" s="145"/>
      <c r="B215" s="145"/>
      <c r="G215" s="145"/>
    </row>
    <row r="216" spans="1:7" s="114" customFormat="1">
      <c r="A216" s="145"/>
      <c r="B216" s="145"/>
      <c r="G216" s="145"/>
    </row>
    <row r="217" spans="1:7" s="114" customFormat="1">
      <c r="A217" s="145"/>
      <c r="B217" s="145"/>
      <c r="G217" s="145"/>
    </row>
    <row r="218" spans="1:7" s="114" customFormat="1">
      <c r="A218" s="145"/>
      <c r="B218" s="145"/>
      <c r="G218" s="145"/>
    </row>
    <row r="219" spans="1:7" s="114" customFormat="1">
      <c r="A219" s="145"/>
      <c r="B219" s="145"/>
      <c r="G219" s="145"/>
    </row>
    <row r="220" spans="1:7" s="114" customFormat="1">
      <c r="A220" s="145"/>
      <c r="B220" s="145"/>
      <c r="G220" s="145"/>
    </row>
    <row r="221" spans="1:7" s="114" customFormat="1">
      <c r="A221" s="145"/>
      <c r="B221" s="145"/>
      <c r="G221" s="145"/>
    </row>
    <row r="222" spans="1:7" s="114" customFormat="1">
      <c r="A222" s="145"/>
      <c r="B222" s="145"/>
      <c r="G222" s="145"/>
    </row>
    <row r="223" spans="1:7" s="114" customFormat="1">
      <c r="A223" s="145"/>
      <c r="B223" s="145"/>
      <c r="G223" s="145"/>
    </row>
    <row r="224" spans="1:7" s="114" customFormat="1">
      <c r="A224" s="145"/>
      <c r="B224" s="145"/>
      <c r="G224" s="145"/>
    </row>
    <row r="225" spans="1:7" s="114" customFormat="1">
      <c r="A225" s="145"/>
      <c r="B225" s="145"/>
      <c r="G225" s="145"/>
    </row>
    <row r="226" spans="1:7" s="114" customFormat="1">
      <c r="A226" s="145"/>
      <c r="B226" s="145"/>
      <c r="G226" s="145"/>
    </row>
    <row r="227" spans="1:7" s="114" customFormat="1">
      <c r="A227" s="145"/>
      <c r="B227" s="145"/>
      <c r="G227" s="145"/>
    </row>
    <row r="228" spans="1:7" s="114" customFormat="1">
      <c r="A228" s="145"/>
      <c r="B228" s="145"/>
      <c r="G228" s="145"/>
    </row>
    <row r="229" spans="1:7" s="114" customFormat="1">
      <c r="A229" s="145"/>
      <c r="B229" s="145"/>
      <c r="G229" s="145"/>
    </row>
    <row r="230" spans="1:7" s="114" customFormat="1">
      <c r="A230" s="145"/>
      <c r="B230" s="145"/>
      <c r="G230" s="145"/>
    </row>
    <row r="231" spans="1:7" s="114" customFormat="1">
      <c r="A231" s="145"/>
      <c r="B231" s="145"/>
      <c r="G231" s="145"/>
    </row>
    <row r="232" spans="1:7" s="114" customFormat="1">
      <c r="A232" s="145"/>
      <c r="B232" s="145"/>
      <c r="G232" s="145"/>
    </row>
    <row r="233" spans="1:7" s="114" customFormat="1">
      <c r="A233" s="145"/>
      <c r="B233" s="145"/>
      <c r="G233" s="145"/>
    </row>
    <row r="234" spans="1:7" s="114" customFormat="1">
      <c r="A234" s="145"/>
      <c r="B234" s="145"/>
      <c r="G234" s="145"/>
    </row>
    <row r="235" spans="1:7" s="114" customFormat="1">
      <c r="A235" s="145"/>
      <c r="B235" s="145"/>
      <c r="G235" s="145"/>
    </row>
    <row r="236" spans="1:7" s="114" customFormat="1">
      <c r="A236" s="145"/>
      <c r="B236" s="145"/>
      <c r="G236" s="145"/>
    </row>
    <row r="237" spans="1:7" s="114" customFormat="1">
      <c r="A237" s="145"/>
      <c r="B237" s="145"/>
      <c r="G237" s="145"/>
    </row>
    <row r="238" spans="1:7" s="114" customFormat="1">
      <c r="A238" s="145"/>
      <c r="B238" s="145"/>
      <c r="G238" s="145"/>
    </row>
    <row r="239" spans="1:7" s="114" customFormat="1">
      <c r="A239" s="145"/>
      <c r="B239" s="145"/>
      <c r="G239" s="145"/>
    </row>
    <row r="240" spans="1:7" s="114" customFormat="1">
      <c r="A240" s="145"/>
      <c r="B240" s="145"/>
      <c r="G240" s="145"/>
    </row>
    <row r="241" spans="1:7" s="114" customFormat="1">
      <c r="A241" s="145"/>
      <c r="B241" s="145"/>
      <c r="G241" s="145"/>
    </row>
    <row r="242" spans="1:7" s="114" customFormat="1">
      <c r="A242" s="145"/>
      <c r="B242" s="145"/>
      <c r="G242" s="145"/>
    </row>
    <row r="243" spans="1:7" s="114" customFormat="1">
      <c r="A243" s="145"/>
      <c r="B243" s="145"/>
      <c r="G243" s="145"/>
    </row>
    <row r="244" spans="1:7" s="114" customFormat="1">
      <c r="A244" s="145"/>
      <c r="B244" s="145"/>
      <c r="G244" s="145"/>
    </row>
    <row r="245" spans="1:7" s="114" customFormat="1">
      <c r="A245" s="145"/>
      <c r="B245" s="145"/>
      <c r="G245" s="145"/>
    </row>
    <row r="246" spans="1:7" s="114" customFormat="1">
      <c r="A246" s="145"/>
      <c r="B246" s="145"/>
      <c r="G246" s="145"/>
    </row>
    <row r="247" spans="1:7" s="114" customFormat="1">
      <c r="A247" s="145"/>
      <c r="B247" s="145"/>
      <c r="G247" s="145"/>
    </row>
    <row r="248" spans="1:7" s="114" customFormat="1">
      <c r="A248" s="145"/>
      <c r="B248" s="145"/>
      <c r="G248" s="145"/>
    </row>
    <row r="249" spans="1:7" s="114" customFormat="1">
      <c r="A249" s="145"/>
      <c r="B249" s="145"/>
      <c r="G249" s="145"/>
    </row>
    <row r="250" spans="1:7" s="114" customFormat="1">
      <c r="A250" s="145"/>
      <c r="B250" s="145"/>
      <c r="G250" s="145"/>
    </row>
    <row r="251" spans="1:7" s="114" customFormat="1">
      <c r="A251" s="145"/>
      <c r="B251" s="145"/>
      <c r="G251" s="145"/>
    </row>
    <row r="252" spans="1:7" s="114" customFormat="1">
      <c r="A252" s="145"/>
      <c r="B252" s="145"/>
      <c r="G252" s="145"/>
    </row>
    <row r="253" spans="1:7" s="114" customFormat="1">
      <c r="A253" s="145"/>
      <c r="B253" s="145"/>
      <c r="G253" s="145"/>
    </row>
    <row r="254" spans="1:7" s="114" customFormat="1">
      <c r="A254" s="145"/>
      <c r="B254" s="145"/>
      <c r="G254" s="145"/>
    </row>
    <row r="255" spans="1:7" s="114" customFormat="1">
      <c r="A255" s="145"/>
      <c r="B255" s="145"/>
      <c r="G255" s="145"/>
    </row>
    <row r="256" spans="1:7" s="114" customFormat="1">
      <c r="A256" s="145"/>
      <c r="B256" s="145"/>
      <c r="G256" s="145"/>
    </row>
    <row r="257" spans="1:7" s="114" customFormat="1">
      <c r="A257" s="145"/>
      <c r="B257" s="145"/>
      <c r="G257" s="145"/>
    </row>
    <row r="258" spans="1:7" s="114" customFormat="1">
      <c r="A258" s="145"/>
      <c r="B258" s="145"/>
      <c r="G258" s="145"/>
    </row>
    <row r="259" spans="1:7" s="114" customFormat="1">
      <c r="A259" s="145"/>
      <c r="B259" s="145"/>
      <c r="G259" s="145"/>
    </row>
    <row r="260" spans="1:7" s="114" customFormat="1">
      <c r="A260" s="145"/>
      <c r="B260" s="145"/>
      <c r="G260" s="145"/>
    </row>
    <row r="261" spans="1:7" s="114" customFormat="1">
      <c r="A261" s="145"/>
      <c r="B261" s="145"/>
      <c r="G261" s="145"/>
    </row>
    <row r="262" spans="1:7" s="114" customFormat="1">
      <c r="A262" s="145"/>
      <c r="B262" s="145"/>
      <c r="G262" s="145"/>
    </row>
    <row r="263" spans="1:7" s="114" customFormat="1">
      <c r="A263" s="145"/>
      <c r="B263" s="145"/>
      <c r="G263" s="145"/>
    </row>
    <row r="264" spans="1:7" s="114" customFormat="1">
      <c r="A264" s="145"/>
      <c r="B264" s="145"/>
      <c r="G264" s="145"/>
    </row>
    <row r="265" spans="1:7" s="114" customFormat="1">
      <c r="A265" s="145"/>
      <c r="B265" s="145"/>
      <c r="G265" s="145"/>
    </row>
    <row r="266" spans="1:7" s="114" customFormat="1">
      <c r="A266" s="145"/>
      <c r="B266" s="145"/>
      <c r="G266" s="145"/>
    </row>
    <row r="267" spans="1:7" s="114" customFormat="1">
      <c r="A267" s="145"/>
      <c r="B267" s="145"/>
      <c r="G267" s="145"/>
    </row>
    <row r="268" spans="1:7" s="114" customFormat="1">
      <c r="A268" s="145"/>
      <c r="B268" s="145"/>
      <c r="G268" s="145"/>
    </row>
    <row r="269" spans="1:7" s="114" customFormat="1">
      <c r="A269" s="145"/>
      <c r="B269" s="145"/>
      <c r="G269" s="145"/>
    </row>
    <row r="270" spans="1:7" s="114" customFormat="1">
      <c r="A270" s="145"/>
      <c r="B270" s="145"/>
      <c r="G270" s="145"/>
    </row>
    <row r="271" spans="1:7" s="114" customFormat="1">
      <c r="A271" s="145"/>
      <c r="B271" s="145"/>
      <c r="G271" s="145"/>
    </row>
    <row r="272" spans="1:7" s="114" customFormat="1">
      <c r="A272" s="145"/>
      <c r="B272" s="145"/>
      <c r="G272" s="145"/>
    </row>
    <row r="273" spans="1:7" s="114" customFormat="1">
      <c r="A273" s="145"/>
      <c r="B273" s="145"/>
      <c r="G273" s="145"/>
    </row>
    <row r="274" spans="1:7" s="114" customFormat="1">
      <c r="A274" s="145"/>
      <c r="B274" s="145"/>
      <c r="G274" s="145"/>
    </row>
    <row r="275" spans="1:7" s="114" customFormat="1">
      <c r="A275" s="145"/>
      <c r="B275" s="145"/>
      <c r="G275" s="145"/>
    </row>
    <row r="276" spans="1:7" s="114" customFormat="1">
      <c r="A276" s="145"/>
      <c r="B276" s="145"/>
      <c r="G276" s="145"/>
    </row>
    <row r="277" spans="1:7" s="114" customFormat="1">
      <c r="A277" s="145"/>
      <c r="B277" s="145"/>
      <c r="G277" s="145"/>
    </row>
    <row r="278" spans="1:7" s="114" customFormat="1">
      <c r="A278" s="145"/>
      <c r="B278" s="145"/>
      <c r="G278" s="145"/>
    </row>
    <row r="279" spans="1:7" s="114" customFormat="1">
      <c r="A279" s="145"/>
      <c r="B279" s="145"/>
      <c r="G279" s="145"/>
    </row>
    <row r="280" spans="1:7" s="114" customFormat="1">
      <c r="A280" s="145"/>
      <c r="B280" s="145"/>
      <c r="G280" s="145"/>
    </row>
    <row r="281" spans="1:7" s="114" customFormat="1">
      <c r="A281" s="145"/>
      <c r="B281" s="145"/>
      <c r="G281" s="145"/>
    </row>
    <row r="282" spans="1:7" s="114" customFormat="1">
      <c r="A282" s="145"/>
      <c r="B282" s="145"/>
      <c r="G282" s="145"/>
    </row>
    <row r="283" spans="1:7" s="114" customFormat="1">
      <c r="A283" s="145"/>
      <c r="B283" s="145"/>
      <c r="G283" s="145"/>
    </row>
    <row r="284" spans="1:7" s="114" customFormat="1">
      <c r="A284" s="145"/>
      <c r="B284" s="145"/>
      <c r="G284" s="145"/>
    </row>
    <row r="285" spans="1:7" s="114" customFormat="1">
      <c r="A285" s="145"/>
      <c r="B285" s="145"/>
      <c r="G285" s="145"/>
    </row>
    <row r="286" spans="1:7" s="114" customFormat="1">
      <c r="A286" s="145"/>
      <c r="B286" s="145"/>
      <c r="G286" s="145"/>
    </row>
    <row r="287" spans="1:7" s="114" customFormat="1">
      <c r="A287" s="145"/>
      <c r="B287" s="145"/>
      <c r="G287" s="145"/>
    </row>
    <row r="288" spans="1:7" s="114" customFormat="1">
      <c r="A288" s="145"/>
      <c r="B288" s="145"/>
      <c r="G288" s="145"/>
    </row>
    <row r="289" spans="1:7" s="114" customFormat="1">
      <c r="A289" s="145"/>
      <c r="B289" s="145"/>
      <c r="G289" s="145"/>
    </row>
    <row r="290" spans="1:7" s="114" customFormat="1">
      <c r="A290" s="145"/>
      <c r="B290" s="145"/>
      <c r="G290" s="145"/>
    </row>
    <row r="291" spans="1:7" s="114" customFormat="1">
      <c r="A291" s="145"/>
      <c r="B291" s="145"/>
      <c r="G291" s="145"/>
    </row>
    <row r="292" spans="1:7" s="114" customFormat="1">
      <c r="A292" s="145"/>
      <c r="B292" s="145"/>
      <c r="G292" s="145"/>
    </row>
    <row r="293" spans="1:7" s="114" customFormat="1">
      <c r="A293" s="145"/>
      <c r="B293" s="145"/>
      <c r="G293" s="145"/>
    </row>
    <row r="294" spans="1:7" s="114" customFormat="1">
      <c r="A294" s="145"/>
      <c r="B294" s="145"/>
      <c r="G294" s="145"/>
    </row>
    <row r="295" spans="1:7" s="114" customFormat="1">
      <c r="A295" s="145"/>
      <c r="B295" s="145"/>
      <c r="G295" s="145"/>
    </row>
    <row r="296" spans="1:7" s="114" customFormat="1">
      <c r="A296" s="145"/>
      <c r="B296" s="145"/>
      <c r="G296" s="145"/>
    </row>
    <row r="297" spans="1:7" s="114" customFormat="1">
      <c r="A297" s="145"/>
      <c r="B297" s="145"/>
      <c r="G297" s="145"/>
    </row>
    <row r="298" spans="1:7" s="114" customFormat="1">
      <c r="A298" s="145"/>
      <c r="B298" s="145"/>
      <c r="G298" s="145"/>
    </row>
    <row r="299" spans="1:7" s="114" customFormat="1">
      <c r="A299" s="145"/>
      <c r="B299" s="145"/>
      <c r="G299" s="145"/>
    </row>
    <row r="300" spans="1:7" s="114" customFormat="1">
      <c r="A300" s="145"/>
      <c r="B300" s="145"/>
      <c r="G300" s="145"/>
    </row>
    <row r="301" spans="1:7" s="114" customFormat="1">
      <c r="A301" s="145"/>
      <c r="B301" s="145"/>
      <c r="G301" s="145"/>
    </row>
    <row r="302" spans="1:7" s="114" customFormat="1">
      <c r="A302" s="145"/>
      <c r="B302" s="145"/>
      <c r="G302" s="145"/>
    </row>
    <row r="303" spans="1:7" s="114" customFormat="1">
      <c r="A303" s="145"/>
      <c r="B303" s="145"/>
      <c r="G303" s="145"/>
    </row>
    <row r="304" spans="1:7" s="114" customFormat="1">
      <c r="A304" s="145"/>
      <c r="B304" s="145"/>
      <c r="G304" s="145"/>
    </row>
    <row r="305" spans="1:7" s="114" customFormat="1">
      <c r="A305" s="145"/>
      <c r="B305" s="145"/>
      <c r="G305" s="145"/>
    </row>
    <row r="306" spans="1:7" s="114" customFormat="1">
      <c r="A306" s="145"/>
      <c r="B306" s="145"/>
      <c r="G306" s="145"/>
    </row>
    <row r="307" spans="1:7" s="114" customFormat="1">
      <c r="A307" s="145"/>
      <c r="B307" s="145"/>
      <c r="G307" s="145"/>
    </row>
    <row r="308" spans="1:7" s="114" customFormat="1">
      <c r="A308" s="145"/>
      <c r="B308" s="145"/>
      <c r="G308" s="145"/>
    </row>
    <row r="309" spans="1:7" s="114" customFormat="1">
      <c r="A309" s="145"/>
      <c r="B309" s="145"/>
      <c r="G309" s="145"/>
    </row>
    <row r="310" spans="1:7" s="114" customFormat="1">
      <c r="A310" s="145"/>
      <c r="B310" s="145"/>
      <c r="G310" s="145"/>
    </row>
    <row r="311" spans="1:7" s="114" customFormat="1">
      <c r="A311" s="145"/>
      <c r="B311" s="145"/>
      <c r="G311" s="145"/>
    </row>
    <row r="312" spans="1:7" s="114" customFormat="1">
      <c r="A312" s="145"/>
      <c r="B312" s="145"/>
      <c r="G312" s="145"/>
    </row>
    <row r="313" spans="1:7" s="114" customFormat="1">
      <c r="A313" s="145"/>
      <c r="B313" s="145"/>
      <c r="G313" s="145"/>
    </row>
    <row r="314" spans="1:7" s="114" customFormat="1">
      <c r="A314" s="145"/>
      <c r="B314" s="145"/>
      <c r="G314" s="145"/>
    </row>
    <row r="315" spans="1:7" s="114" customFormat="1">
      <c r="A315" s="145"/>
      <c r="B315" s="145"/>
      <c r="G315" s="145"/>
    </row>
    <row r="316" spans="1:7" s="114" customFormat="1">
      <c r="A316" s="145"/>
      <c r="B316" s="145"/>
      <c r="G316" s="145"/>
    </row>
    <row r="317" spans="1:7" s="114" customFormat="1">
      <c r="A317" s="145"/>
      <c r="B317" s="145"/>
      <c r="G317" s="145"/>
    </row>
    <row r="318" spans="1:7" s="114" customFormat="1">
      <c r="A318" s="145"/>
      <c r="B318" s="145"/>
      <c r="G318" s="145"/>
    </row>
    <row r="319" spans="1:7" s="114" customFormat="1">
      <c r="A319" s="145"/>
      <c r="B319" s="145"/>
      <c r="G319" s="145"/>
    </row>
    <row r="320" spans="1:7" s="114" customFormat="1">
      <c r="A320" s="145"/>
      <c r="B320" s="145"/>
      <c r="G320" s="145"/>
    </row>
    <row r="321" spans="1:7" s="114" customFormat="1">
      <c r="A321" s="145"/>
      <c r="B321" s="145"/>
      <c r="G321" s="145"/>
    </row>
    <row r="322" spans="1:7" s="114" customFormat="1">
      <c r="A322" s="145"/>
      <c r="B322" s="145"/>
      <c r="G322" s="145"/>
    </row>
    <row r="323" spans="1:7" s="114" customFormat="1">
      <c r="A323" s="145"/>
      <c r="B323" s="145"/>
      <c r="G323" s="145"/>
    </row>
    <row r="324" spans="1:7" s="114" customFormat="1">
      <c r="A324" s="145"/>
      <c r="B324" s="145"/>
      <c r="G324" s="145"/>
    </row>
    <row r="325" spans="1:7" s="114" customFormat="1">
      <c r="A325" s="145"/>
      <c r="B325" s="145"/>
      <c r="G325" s="145"/>
    </row>
    <row r="326" spans="1:7" s="114" customFormat="1">
      <c r="A326" s="145"/>
      <c r="B326" s="145"/>
      <c r="G326" s="145"/>
    </row>
    <row r="327" spans="1:7" s="114" customFormat="1">
      <c r="A327" s="145"/>
      <c r="B327" s="145"/>
      <c r="G327" s="145"/>
    </row>
    <row r="328" spans="1:7" s="114" customFormat="1">
      <c r="A328" s="145"/>
      <c r="B328" s="145"/>
      <c r="G328" s="145"/>
    </row>
    <row r="329" spans="1:7" s="114" customFormat="1">
      <c r="A329" s="145"/>
      <c r="B329" s="145"/>
      <c r="G329" s="145"/>
    </row>
    <row r="330" spans="1:7" s="114" customFormat="1">
      <c r="A330" s="145"/>
      <c r="B330" s="145"/>
      <c r="G330" s="145"/>
    </row>
    <row r="331" spans="1:7" s="114" customFormat="1">
      <c r="A331" s="145"/>
      <c r="B331" s="145"/>
      <c r="G331" s="145"/>
    </row>
    <row r="332" spans="1:7" s="114" customFormat="1">
      <c r="A332" s="145"/>
      <c r="B332" s="145"/>
      <c r="G332" s="145"/>
    </row>
    <row r="333" spans="1:7" s="114" customFormat="1">
      <c r="A333" s="145"/>
      <c r="B333" s="145"/>
      <c r="G333" s="145"/>
    </row>
    <row r="334" spans="1:7" s="114" customFormat="1">
      <c r="A334" s="145"/>
      <c r="B334" s="145"/>
      <c r="G334" s="145"/>
    </row>
    <row r="335" spans="1:7" s="114" customFormat="1">
      <c r="A335" s="145"/>
      <c r="B335" s="145"/>
      <c r="G335" s="145"/>
    </row>
    <row r="336" spans="1:7" s="114" customFormat="1">
      <c r="A336" s="145"/>
      <c r="B336" s="145"/>
      <c r="G336" s="145"/>
    </row>
    <row r="337" spans="1:7" s="114" customFormat="1">
      <c r="A337" s="145"/>
      <c r="B337" s="145"/>
      <c r="G337" s="145"/>
    </row>
    <row r="338" spans="1:7" s="114" customFormat="1">
      <c r="A338" s="145"/>
      <c r="B338" s="145"/>
      <c r="G338" s="145"/>
    </row>
    <row r="339" spans="1:7" s="114" customFormat="1">
      <c r="A339" s="145"/>
      <c r="B339" s="145"/>
      <c r="G339" s="145"/>
    </row>
    <row r="340" spans="1:7" s="114" customFormat="1">
      <c r="A340" s="145"/>
      <c r="B340" s="145"/>
      <c r="G340" s="145"/>
    </row>
    <row r="341" spans="1:7" s="114" customFormat="1">
      <c r="A341" s="145"/>
      <c r="B341" s="145"/>
      <c r="G341" s="145"/>
    </row>
    <row r="342" spans="1:7" s="114" customFormat="1">
      <c r="A342" s="145"/>
      <c r="B342" s="145"/>
      <c r="G342" s="145"/>
    </row>
    <row r="343" spans="1:7" s="114" customFormat="1">
      <c r="A343" s="145"/>
      <c r="B343" s="145"/>
      <c r="G343" s="145"/>
    </row>
    <row r="344" spans="1:7" s="114" customFormat="1">
      <c r="A344" s="145"/>
      <c r="B344" s="145"/>
      <c r="G344" s="145"/>
    </row>
    <row r="345" spans="1:7" s="114" customFormat="1">
      <c r="A345" s="145"/>
      <c r="B345" s="145"/>
      <c r="G345" s="145"/>
    </row>
    <row r="346" spans="1:7" s="114" customFormat="1">
      <c r="A346" s="145"/>
      <c r="B346" s="145"/>
      <c r="G346" s="145"/>
    </row>
    <row r="347" spans="1:7" s="114" customFormat="1">
      <c r="A347" s="145"/>
      <c r="B347" s="145"/>
      <c r="G347" s="145"/>
    </row>
    <row r="348" spans="1:7" s="114" customFormat="1">
      <c r="A348" s="145"/>
      <c r="B348" s="145"/>
      <c r="G348" s="145"/>
    </row>
    <row r="349" spans="1:7" s="114" customFormat="1">
      <c r="A349" s="145"/>
      <c r="B349" s="145"/>
      <c r="G349" s="145"/>
    </row>
    <row r="350" spans="1:7" s="114" customFormat="1">
      <c r="A350" s="145"/>
      <c r="B350" s="145"/>
      <c r="G350" s="145"/>
    </row>
    <row r="351" spans="1:7" s="114" customFormat="1">
      <c r="A351" s="145"/>
      <c r="B351" s="145"/>
      <c r="G351" s="145"/>
    </row>
    <row r="352" spans="1:7" s="114" customFormat="1">
      <c r="A352" s="145"/>
      <c r="B352" s="145"/>
      <c r="G352" s="145"/>
    </row>
    <row r="353" spans="1:7" s="114" customFormat="1">
      <c r="A353" s="145"/>
      <c r="B353" s="145"/>
      <c r="G353" s="145"/>
    </row>
    <row r="354" spans="1:7" s="114" customFormat="1">
      <c r="A354" s="145"/>
      <c r="B354" s="145"/>
      <c r="G354" s="145"/>
    </row>
    <row r="355" spans="1:7" s="114" customFormat="1">
      <c r="A355" s="145"/>
      <c r="B355" s="145"/>
      <c r="G355" s="145"/>
    </row>
    <row r="356" spans="1:7" s="114" customFormat="1">
      <c r="A356" s="145"/>
      <c r="B356" s="145"/>
      <c r="G356" s="145"/>
    </row>
    <row r="357" spans="1:7" s="114" customFormat="1">
      <c r="A357" s="145"/>
      <c r="B357" s="145"/>
      <c r="G357" s="145"/>
    </row>
    <row r="358" spans="1:7" s="114" customFormat="1">
      <c r="A358" s="145"/>
      <c r="B358" s="145"/>
      <c r="G358" s="145"/>
    </row>
    <row r="359" spans="1:7" s="114" customFormat="1">
      <c r="A359" s="145"/>
      <c r="B359" s="145"/>
      <c r="G359" s="145"/>
    </row>
    <row r="360" spans="1:7" s="114" customFormat="1">
      <c r="A360" s="145"/>
      <c r="B360" s="145"/>
      <c r="G360" s="145"/>
    </row>
    <row r="361" spans="1:7" s="114" customFormat="1">
      <c r="A361" s="145"/>
      <c r="B361" s="145"/>
      <c r="G361" s="145"/>
    </row>
    <row r="362" spans="1:7" s="114" customFormat="1">
      <c r="A362" s="145"/>
      <c r="B362" s="145"/>
      <c r="G362" s="145"/>
    </row>
    <row r="363" spans="1:7" s="114" customFormat="1">
      <c r="A363" s="145"/>
      <c r="B363" s="145"/>
      <c r="G363" s="145"/>
    </row>
    <row r="364" spans="1:7" s="114" customFormat="1">
      <c r="A364" s="145"/>
      <c r="B364" s="145"/>
      <c r="G364" s="145"/>
    </row>
    <row r="365" spans="1:7" s="114" customFormat="1">
      <c r="A365" s="145"/>
      <c r="B365" s="145"/>
      <c r="G365" s="145"/>
    </row>
    <row r="366" spans="1:7" s="114" customFormat="1">
      <c r="A366" s="145"/>
      <c r="B366" s="145"/>
      <c r="G366" s="145"/>
    </row>
    <row r="367" spans="1:7" s="114" customFormat="1">
      <c r="A367" s="145"/>
      <c r="B367" s="145"/>
      <c r="G367" s="145"/>
    </row>
    <row r="368" spans="1:7" s="114" customFormat="1">
      <c r="A368" s="145"/>
      <c r="B368" s="145"/>
      <c r="G368" s="145"/>
    </row>
    <row r="369" spans="1:7" s="114" customFormat="1">
      <c r="A369" s="145"/>
      <c r="B369" s="145"/>
      <c r="G369" s="145"/>
    </row>
    <row r="370" spans="1:7" s="114" customFormat="1">
      <c r="A370" s="145"/>
      <c r="B370" s="145"/>
      <c r="G370" s="145"/>
    </row>
    <row r="371" spans="1:7" s="114" customFormat="1">
      <c r="A371" s="145"/>
      <c r="B371" s="145"/>
      <c r="G371" s="145"/>
    </row>
    <row r="372" spans="1:7" s="114" customFormat="1">
      <c r="A372" s="145"/>
      <c r="B372" s="145"/>
      <c r="G372" s="145"/>
    </row>
    <row r="373" spans="1:7" s="114" customFormat="1">
      <c r="A373" s="145"/>
      <c r="B373" s="145"/>
      <c r="G373" s="145"/>
    </row>
    <row r="374" spans="1:7" s="114" customFormat="1">
      <c r="A374" s="145"/>
      <c r="B374" s="145"/>
      <c r="G374" s="145"/>
    </row>
    <row r="375" spans="1:7" s="114" customFormat="1">
      <c r="A375" s="145"/>
      <c r="B375" s="145"/>
      <c r="G375" s="145"/>
    </row>
    <row r="376" spans="1:7" s="114" customFormat="1">
      <c r="A376" s="145"/>
      <c r="B376" s="145"/>
      <c r="G376" s="145"/>
    </row>
    <row r="377" spans="1:7" s="114" customFormat="1">
      <c r="A377" s="145"/>
      <c r="B377" s="145"/>
      <c r="G377" s="145"/>
    </row>
    <row r="378" spans="1:7" s="114" customFormat="1">
      <c r="A378" s="145"/>
      <c r="B378" s="145"/>
      <c r="G378" s="145"/>
    </row>
    <row r="379" spans="1:7" s="114" customFormat="1">
      <c r="A379" s="145"/>
      <c r="B379" s="145"/>
      <c r="G379" s="145"/>
    </row>
    <row r="380" spans="1:7" s="114" customFormat="1">
      <c r="A380" s="145"/>
      <c r="B380" s="145"/>
      <c r="G380" s="145"/>
    </row>
    <row r="381" spans="1:7" s="114" customFormat="1">
      <c r="A381" s="145"/>
      <c r="B381" s="145"/>
      <c r="G381" s="145"/>
    </row>
    <row r="382" spans="1:7" s="114" customFormat="1">
      <c r="A382" s="145"/>
      <c r="B382" s="145"/>
      <c r="G382" s="145"/>
    </row>
    <row r="383" spans="1:7" s="114" customFormat="1">
      <c r="A383" s="145"/>
      <c r="B383" s="145"/>
      <c r="G383" s="145"/>
    </row>
    <row r="384" spans="1:7" s="114" customFormat="1">
      <c r="A384" s="145"/>
      <c r="B384" s="145"/>
      <c r="G384" s="145"/>
    </row>
    <row r="385" spans="1:7" s="114" customFormat="1">
      <c r="A385" s="145"/>
      <c r="B385" s="145"/>
      <c r="G385" s="145"/>
    </row>
    <row r="386" spans="1:7" s="114" customFormat="1">
      <c r="A386" s="145"/>
      <c r="B386" s="145"/>
      <c r="G386" s="145"/>
    </row>
    <row r="387" spans="1:7" s="114" customFormat="1">
      <c r="A387" s="145"/>
      <c r="B387" s="145"/>
      <c r="G387" s="145"/>
    </row>
    <row r="388" spans="1:7" s="114" customFormat="1">
      <c r="A388" s="145"/>
      <c r="B388" s="145"/>
      <c r="G388" s="145"/>
    </row>
    <row r="389" spans="1:7" s="114" customFormat="1">
      <c r="A389" s="145"/>
      <c r="B389" s="145"/>
      <c r="G389" s="145"/>
    </row>
    <row r="390" spans="1:7" s="114" customFormat="1">
      <c r="A390" s="145"/>
      <c r="B390" s="145"/>
      <c r="G390" s="145"/>
    </row>
    <row r="391" spans="1:7" s="114" customFormat="1">
      <c r="A391" s="145"/>
      <c r="B391" s="145"/>
      <c r="G391" s="145"/>
    </row>
    <row r="392" spans="1:7" s="114" customFormat="1">
      <c r="A392" s="145"/>
      <c r="B392" s="145"/>
      <c r="G392" s="145"/>
    </row>
    <row r="393" spans="1:7" s="114" customFormat="1">
      <c r="A393" s="145"/>
      <c r="B393" s="145"/>
      <c r="G393" s="145"/>
    </row>
    <row r="394" spans="1:7" s="114" customFormat="1">
      <c r="A394" s="145"/>
      <c r="B394" s="145"/>
      <c r="G394" s="145"/>
    </row>
    <row r="395" spans="1:7" s="114" customFormat="1">
      <c r="A395" s="145"/>
      <c r="B395" s="145"/>
      <c r="G395" s="145"/>
    </row>
    <row r="396" spans="1:7" s="114" customFormat="1">
      <c r="A396" s="145"/>
      <c r="B396" s="145"/>
      <c r="G396" s="145"/>
    </row>
    <row r="397" spans="1:7" s="114" customFormat="1">
      <c r="A397" s="145"/>
      <c r="B397" s="145"/>
      <c r="G397" s="145"/>
    </row>
    <row r="398" spans="1:7" s="114" customFormat="1">
      <c r="A398" s="145"/>
      <c r="B398" s="145"/>
      <c r="G398" s="145"/>
    </row>
    <row r="399" spans="1:7" s="114" customFormat="1">
      <c r="A399" s="145"/>
      <c r="B399" s="145"/>
      <c r="G399" s="145"/>
    </row>
    <row r="400" spans="1:7" s="114" customFormat="1">
      <c r="A400" s="145"/>
      <c r="B400" s="145"/>
      <c r="G400" s="145"/>
    </row>
    <row r="401" spans="1:7" s="114" customFormat="1">
      <c r="A401" s="145"/>
      <c r="B401" s="145"/>
      <c r="G401" s="145"/>
    </row>
    <row r="402" spans="1:7" s="114" customFormat="1">
      <c r="A402" s="145"/>
      <c r="B402" s="145"/>
      <c r="G402" s="145"/>
    </row>
    <row r="403" spans="1:7" s="114" customFormat="1">
      <c r="A403" s="145"/>
      <c r="B403" s="145"/>
      <c r="G403" s="145"/>
    </row>
    <row r="404" spans="1:7" s="114" customFormat="1">
      <c r="A404" s="145"/>
      <c r="B404" s="145"/>
      <c r="G404" s="145"/>
    </row>
    <row r="405" spans="1:7" s="114" customFormat="1">
      <c r="A405" s="145"/>
      <c r="B405" s="145"/>
      <c r="G405" s="145"/>
    </row>
    <row r="406" spans="1:7" s="114" customFormat="1">
      <c r="A406" s="145"/>
      <c r="B406" s="145"/>
      <c r="G406" s="145"/>
    </row>
    <row r="407" spans="1:7" s="114" customFormat="1">
      <c r="A407" s="145"/>
      <c r="B407" s="145"/>
      <c r="G407" s="145"/>
    </row>
    <row r="408" spans="1:7" s="114" customFormat="1">
      <c r="A408" s="145"/>
      <c r="B408" s="145"/>
      <c r="G408" s="145"/>
    </row>
    <row r="409" spans="1:7" s="114" customFormat="1">
      <c r="A409" s="145"/>
      <c r="B409" s="145"/>
      <c r="G409" s="145"/>
    </row>
    <row r="410" spans="1:7" s="114" customFormat="1">
      <c r="A410" s="145"/>
      <c r="B410" s="145"/>
      <c r="G410" s="145"/>
    </row>
    <row r="411" spans="1:7" s="114" customFormat="1">
      <c r="A411" s="145"/>
      <c r="B411" s="145"/>
      <c r="G411" s="145"/>
    </row>
    <row r="412" spans="1:7" s="114" customFormat="1">
      <c r="A412" s="145"/>
      <c r="B412" s="145"/>
      <c r="G412" s="145"/>
    </row>
    <row r="413" spans="1:7" s="114" customFormat="1">
      <c r="A413" s="145"/>
      <c r="B413" s="145"/>
      <c r="G413" s="145"/>
    </row>
    <row r="414" spans="1:7" s="114" customFormat="1">
      <c r="A414" s="145"/>
      <c r="B414" s="145"/>
      <c r="G414" s="145"/>
    </row>
    <row r="415" spans="1:7" s="114" customFormat="1">
      <c r="A415" s="145"/>
      <c r="B415" s="145"/>
      <c r="G415" s="145"/>
    </row>
    <row r="416" spans="1:7" s="114" customFormat="1">
      <c r="A416" s="145"/>
      <c r="B416" s="145"/>
      <c r="G416" s="145"/>
    </row>
    <row r="417" spans="1:7" s="114" customFormat="1">
      <c r="A417" s="145"/>
      <c r="B417" s="145"/>
      <c r="G417" s="145"/>
    </row>
    <row r="418" spans="1:7" s="114" customFormat="1">
      <c r="A418" s="145"/>
      <c r="B418" s="145"/>
      <c r="G418" s="145"/>
    </row>
    <row r="419" spans="1:7" s="114" customFormat="1">
      <c r="A419" s="145"/>
      <c r="B419" s="145"/>
      <c r="G419" s="145"/>
    </row>
    <row r="420" spans="1:7" s="114" customFormat="1">
      <c r="A420" s="145"/>
      <c r="B420" s="145"/>
      <c r="G420" s="145"/>
    </row>
    <row r="421" spans="1:7" s="114" customFormat="1">
      <c r="A421" s="145"/>
      <c r="B421" s="145"/>
      <c r="G421" s="145"/>
    </row>
    <row r="422" spans="1:7" s="114" customFormat="1">
      <c r="A422" s="145"/>
      <c r="B422" s="145"/>
      <c r="G422" s="145"/>
    </row>
    <row r="423" spans="1:7" s="114" customFormat="1">
      <c r="A423" s="145"/>
      <c r="B423" s="145"/>
      <c r="G423" s="145"/>
    </row>
    <row r="424" spans="1:7" s="114" customFormat="1">
      <c r="A424" s="145"/>
      <c r="B424" s="145"/>
      <c r="G424" s="145"/>
    </row>
    <row r="425" spans="1:7" s="114" customFormat="1">
      <c r="A425" s="145"/>
      <c r="B425" s="145"/>
      <c r="G425" s="145"/>
    </row>
    <row r="426" spans="1:7" s="114" customFormat="1">
      <c r="A426" s="145"/>
      <c r="B426" s="145"/>
      <c r="G426" s="145"/>
    </row>
    <row r="427" spans="1:7" s="114" customFormat="1">
      <c r="A427" s="145"/>
      <c r="B427" s="145"/>
      <c r="G427" s="145"/>
    </row>
    <row r="428" spans="1:7" s="114" customFormat="1">
      <c r="A428" s="145"/>
      <c r="B428" s="145"/>
      <c r="G428" s="145"/>
    </row>
    <row r="429" spans="1:7" s="114" customFormat="1">
      <c r="A429" s="145"/>
      <c r="B429" s="145"/>
      <c r="G429" s="145"/>
    </row>
    <row r="430" spans="1:7" s="114" customFormat="1">
      <c r="A430" s="145"/>
      <c r="B430" s="145"/>
      <c r="G430" s="145"/>
    </row>
    <row r="431" spans="1:7" s="114" customFormat="1">
      <c r="A431" s="145"/>
      <c r="B431" s="145"/>
      <c r="G431" s="145"/>
    </row>
    <row r="432" spans="1:7" s="114" customFormat="1">
      <c r="A432" s="145"/>
      <c r="B432" s="145"/>
      <c r="G432" s="145"/>
    </row>
    <row r="433" spans="1:7" s="114" customFormat="1">
      <c r="A433" s="145"/>
      <c r="B433" s="145"/>
      <c r="G433" s="145"/>
    </row>
    <row r="434" spans="1:7" s="114" customFormat="1">
      <c r="A434" s="145"/>
      <c r="B434" s="145"/>
      <c r="G434" s="145"/>
    </row>
    <row r="435" spans="1:7" s="114" customFormat="1">
      <c r="A435" s="145"/>
      <c r="B435" s="145"/>
      <c r="G435" s="145"/>
    </row>
    <row r="436" spans="1:7" s="114" customFormat="1">
      <c r="A436" s="145"/>
      <c r="B436" s="145"/>
      <c r="G436" s="145"/>
    </row>
    <row r="437" spans="1:7" s="114" customFormat="1">
      <c r="A437" s="145"/>
      <c r="B437" s="145"/>
      <c r="G437" s="145"/>
    </row>
    <row r="438" spans="1:7" s="114" customFormat="1">
      <c r="A438" s="145"/>
      <c r="B438" s="145"/>
      <c r="G438" s="145"/>
    </row>
    <row r="439" spans="1:7" s="114" customFormat="1">
      <c r="A439" s="145"/>
      <c r="B439" s="145"/>
      <c r="G439" s="145"/>
    </row>
    <row r="440" spans="1:7" s="114" customFormat="1">
      <c r="A440" s="145"/>
      <c r="B440" s="145"/>
      <c r="G440" s="145"/>
    </row>
    <row r="441" spans="1:7" s="114" customFormat="1">
      <c r="A441" s="145"/>
      <c r="B441" s="145"/>
      <c r="G441" s="145"/>
    </row>
    <row r="442" spans="1:7" s="114" customFormat="1">
      <c r="A442" s="145"/>
      <c r="B442" s="145"/>
      <c r="G442" s="145"/>
    </row>
    <row r="443" spans="1:7" s="114" customFormat="1">
      <c r="A443" s="145"/>
      <c r="B443" s="145"/>
      <c r="G443" s="145"/>
    </row>
    <row r="444" spans="1:7" s="114" customFormat="1">
      <c r="A444" s="145"/>
      <c r="B444" s="145"/>
      <c r="G444" s="145"/>
    </row>
    <row r="445" spans="1:7" s="114" customFormat="1">
      <c r="A445" s="145"/>
      <c r="B445" s="145"/>
      <c r="G445" s="145"/>
    </row>
    <row r="446" spans="1:7" s="114" customFormat="1">
      <c r="A446" s="145"/>
      <c r="B446" s="145"/>
      <c r="G446" s="145"/>
    </row>
    <row r="447" spans="1:7" s="114" customFormat="1">
      <c r="A447" s="145"/>
      <c r="B447" s="145"/>
      <c r="G447" s="145"/>
    </row>
    <row r="448" spans="1:7" s="114" customFormat="1">
      <c r="A448" s="145"/>
      <c r="B448" s="145"/>
      <c r="G448" s="145"/>
    </row>
    <row r="449" spans="1:7" s="114" customFormat="1">
      <c r="A449" s="145"/>
      <c r="B449" s="145"/>
      <c r="G449" s="145"/>
    </row>
    <row r="450" spans="1:7" s="114" customFormat="1">
      <c r="A450" s="145"/>
      <c r="B450" s="145"/>
      <c r="G450" s="145"/>
    </row>
    <row r="451" spans="1:7" s="114" customFormat="1">
      <c r="A451" s="145"/>
      <c r="B451" s="145"/>
      <c r="G451" s="145"/>
    </row>
    <row r="452" spans="1:7" s="114" customFormat="1">
      <c r="A452" s="145"/>
      <c r="B452" s="145"/>
      <c r="G452" s="145"/>
    </row>
    <row r="453" spans="1:7" s="114" customFormat="1">
      <c r="A453" s="145"/>
      <c r="B453" s="145"/>
      <c r="G453" s="145"/>
    </row>
    <row r="454" spans="1:7" s="114" customFormat="1">
      <c r="A454" s="145"/>
      <c r="B454" s="145"/>
      <c r="G454" s="145"/>
    </row>
    <row r="455" spans="1:7" s="114" customFormat="1">
      <c r="A455" s="145"/>
      <c r="B455" s="145"/>
      <c r="G455" s="145"/>
    </row>
    <row r="456" spans="1:7" s="114" customFormat="1">
      <c r="A456" s="145"/>
      <c r="B456" s="145"/>
      <c r="G456" s="145"/>
    </row>
    <row r="457" spans="1:7" s="114" customFormat="1">
      <c r="A457" s="145"/>
      <c r="B457" s="145"/>
      <c r="G457" s="145"/>
    </row>
    <row r="458" spans="1:7" s="114" customFormat="1">
      <c r="A458" s="145"/>
      <c r="B458" s="145"/>
      <c r="G458" s="145"/>
    </row>
    <row r="459" spans="1:7" s="114" customFormat="1">
      <c r="A459" s="145"/>
      <c r="B459" s="145"/>
      <c r="G459" s="145"/>
    </row>
    <row r="460" spans="1:7" s="114" customFormat="1">
      <c r="A460" s="145"/>
      <c r="B460" s="145"/>
      <c r="G460" s="145"/>
    </row>
    <row r="461" spans="1:7" s="114" customFormat="1">
      <c r="A461" s="145"/>
      <c r="B461" s="145"/>
      <c r="G461" s="145"/>
    </row>
    <row r="462" spans="1:7" s="114" customFormat="1">
      <c r="A462" s="145"/>
      <c r="B462" s="145"/>
      <c r="G462" s="145"/>
    </row>
    <row r="463" spans="1:7" s="114" customFormat="1">
      <c r="A463" s="145"/>
      <c r="B463" s="145"/>
      <c r="G463" s="145"/>
    </row>
    <row r="464" spans="1:7" s="114" customFormat="1">
      <c r="A464" s="145"/>
      <c r="B464" s="145"/>
      <c r="G464" s="145"/>
    </row>
    <row r="465" spans="1:7" s="114" customFormat="1">
      <c r="A465" s="145"/>
      <c r="B465" s="145"/>
      <c r="G465" s="145"/>
    </row>
    <row r="466" spans="1:7" s="114" customFormat="1">
      <c r="A466" s="145"/>
      <c r="B466" s="145"/>
      <c r="G466" s="145"/>
    </row>
    <row r="467" spans="1:7" s="114" customFormat="1">
      <c r="A467" s="145"/>
      <c r="B467" s="145"/>
      <c r="G467" s="145"/>
    </row>
    <row r="468" spans="1:7" s="114" customFormat="1">
      <c r="A468" s="145"/>
      <c r="B468" s="145"/>
      <c r="G468" s="145"/>
    </row>
    <row r="469" spans="1:7" s="114" customFormat="1">
      <c r="A469" s="145"/>
      <c r="B469" s="145"/>
      <c r="G469" s="145"/>
    </row>
    <row r="470" spans="1:7" s="114" customFormat="1">
      <c r="A470" s="145"/>
      <c r="B470" s="145"/>
      <c r="G470" s="145"/>
    </row>
    <row r="471" spans="1:7" s="114" customFormat="1">
      <c r="A471" s="145"/>
      <c r="B471" s="145"/>
      <c r="G471" s="145"/>
    </row>
    <row r="472" spans="1:7" s="114" customFormat="1">
      <c r="A472" s="145"/>
      <c r="B472" s="145"/>
      <c r="G472" s="145"/>
    </row>
    <row r="473" spans="1:7" s="114" customFormat="1">
      <c r="A473" s="145"/>
      <c r="B473" s="145"/>
      <c r="G473" s="145"/>
    </row>
    <row r="474" spans="1:7" s="114" customFormat="1">
      <c r="A474" s="145"/>
      <c r="B474" s="145"/>
      <c r="G474" s="145"/>
    </row>
    <row r="475" spans="1:7" s="114" customFormat="1">
      <c r="A475" s="145"/>
      <c r="B475" s="145"/>
      <c r="G475" s="145"/>
    </row>
    <row r="476" spans="1:7" s="114" customFormat="1">
      <c r="A476" s="145"/>
      <c r="B476" s="145"/>
      <c r="G476" s="145"/>
    </row>
    <row r="477" spans="1:7" s="114" customFormat="1">
      <c r="A477" s="145"/>
      <c r="B477" s="145"/>
      <c r="G477" s="145"/>
    </row>
    <row r="478" spans="1:7" s="114" customFormat="1">
      <c r="A478" s="145"/>
      <c r="B478" s="145"/>
      <c r="G478" s="145"/>
    </row>
    <row r="479" spans="1:7" s="114" customFormat="1">
      <c r="A479" s="145"/>
      <c r="B479" s="145"/>
      <c r="G479" s="145"/>
    </row>
    <row r="480" spans="1:7" s="114" customFormat="1">
      <c r="A480" s="145"/>
      <c r="B480" s="145"/>
      <c r="G480" s="145"/>
    </row>
    <row r="481" spans="1:7" s="114" customFormat="1">
      <c r="A481" s="145"/>
      <c r="B481" s="145"/>
      <c r="G481" s="145"/>
    </row>
    <row r="482" spans="1:7" s="114" customFormat="1">
      <c r="A482" s="145"/>
      <c r="B482" s="145"/>
      <c r="G482" s="145"/>
    </row>
    <row r="483" spans="1:7" s="114" customFormat="1">
      <c r="A483" s="145"/>
      <c r="B483" s="145"/>
      <c r="G483" s="145"/>
    </row>
    <row r="484" spans="1:7" s="114" customFormat="1">
      <c r="A484" s="145"/>
      <c r="B484" s="145"/>
      <c r="G484" s="145"/>
    </row>
    <row r="485" spans="1:7" s="114" customFormat="1">
      <c r="A485" s="145"/>
      <c r="B485" s="145"/>
      <c r="G485" s="145"/>
    </row>
    <row r="486" spans="1:7" s="114" customFormat="1">
      <c r="A486" s="145"/>
      <c r="B486" s="145"/>
      <c r="G486" s="145"/>
    </row>
    <row r="487" spans="1:7" s="114" customFormat="1">
      <c r="A487" s="145"/>
      <c r="B487" s="145"/>
      <c r="G487" s="145"/>
    </row>
    <row r="488" spans="1:7" s="114" customFormat="1">
      <c r="A488" s="145"/>
      <c r="B488" s="145"/>
      <c r="G488" s="145"/>
    </row>
    <row r="489" spans="1:7" s="114" customFormat="1">
      <c r="A489" s="145"/>
      <c r="B489" s="145"/>
      <c r="G489" s="145"/>
    </row>
    <row r="490" spans="1:7" s="114" customFormat="1">
      <c r="A490" s="145"/>
      <c r="B490" s="145"/>
      <c r="G490" s="145"/>
    </row>
    <row r="491" spans="1:7" s="114" customFormat="1">
      <c r="A491" s="145"/>
      <c r="B491" s="145"/>
      <c r="G491" s="145"/>
    </row>
    <row r="492" spans="1:7" s="114" customFormat="1">
      <c r="A492" s="145"/>
      <c r="B492" s="145"/>
      <c r="G492" s="145"/>
    </row>
    <row r="493" spans="1:7" s="114" customFormat="1">
      <c r="A493" s="145"/>
      <c r="B493" s="145"/>
      <c r="G493" s="145"/>
    </row>
    <row r="494" spans="1:7" s="114" customFormat="1">
      <c r="A494" s="145"/>
      <c r="B494" s="145"/>
      <c r="G494" s="145"/>
    </row>
    <row r="495" spans="1:7" s="114" customFormat="1">
      <c r="A495" s="145"/>
      <c r="B495" s="145"/>
      <c r="G495" s="145"/>
    </row>
    <row r="496" spans="1:7" s="114" customFormat="1">
      <c r="A496" s="145"/>
      <c r="B496" s="145"/>
      <c r="G496" s="145"/>
    </row>
    <row r="497" spans="1:7" s="114" customFormat="1">
      <c r="A497" s="145"/>
      <c r="B497" s="145"/>
      <c r="G497" s="145"/>
    </row>
    <row r="498" spans="1:7" s="114" customFormat="1">
      <c r="A498" s="145"/>
      <c r="B498" s="145"/>
      <c r="G498" s="145"/>
    </row>
    <row r="499" spans="1:7" s="114" customFormat="1">
      <c r="A499" s="145"/>
      <c r="B499" s="145"/>
      <c r="G499" s="145"/>
    </row>
    <row r="500" spans="1:7" s="114" customFormat="1">
      <c r="A500" s="145"/>
      <c r="B500" s="145"/>
      <c r="G500" s="145"/>
    </row>
    <row r="501" spans="1:7" s="114" customFormat="1">
      <c r="A501" s="145"/>
      <c r="B501" s="145"/>
      <c r="G501" s="145"/>
    </row>
    <row r="502" spans="1:7" s="114" customFormat="1">
      <c r="A502" s="145"/>
      <c r="B502" s="145"/>
      <c r="G502" s="145"/>
    </row>
    <row r="503" spans="1:7" s="114" customFormat="1">
      <c r="A503" s="145"/>
      <c r="B503" s="145"/>
      <c r="G503" s="145"/>
    </row>
    <row r="504" spans="1:7" s="114" customFormat="1">
      <c r="A504" s="145"/>
      <c r="B504" s="145"/>
      <c r="G504" s="145"/>
    </row>
    <row r="505" spans="1:7" s="114" customFormat="1">
      <c r="A505" s="145"/>
      <c r="B505" s="145"/>
      <c r="G505" s="145"/>
    </row>
    <row r="506" spans="1:7" s="114" customFormat="1">
      <c r="A506" s="145"/>
      <c r="B506" s="145"/>
      <c r="G506" s="145"/>
    </row>
    <row r="507" spans="1:7" s="114" customFormat="1">
      <c r="A507" s="145"/>
      <c r="B507" s="145"/>
      <c r="G507" s="145"/>
    </row>
    <row r="508" spans="1:7" s="114" customFormat="1">
      <c r="A508" s="145"/>
      <c r="B508" s="145"/>
      <c r="G508" s="145"/>
    </row>
    <row r="509" spans="1:7" s="114" customFormat="1">
      <c r="A509" s="145"/>
      <c r="B509" s="145"/>
      <c r="G509" s="145"/>
    </row>
    <row r="510" spans="1:7" s="114" customFormat="1">
      <c r="A510" s="145"/>
      <c r="B510" s="145"/>
      <c r="G510" s="145"/>
    </row>
    <row r="511" spans="1:7" s="114" customFormat="1">
      <c r="A511" s="145"/>
      <c r="B511" s="145"/>
      <c r="G511" s="145"/>
    </row>
    <row r="512" spans="1:7" s="114" customFormat="1">
      <c r="A512" s="145"/>
      <c r="B512" s="145"/>
      <c r="G512" s="145"/>
    </row>
    <row r="513" spans="1:7" s="114" customFormat="1">
      <c r="A513" s="145"/>
      <c r="B513" s="145"/>
      <c r="G513" s="145"/>
    </row>
    <row r="514" spans="1:7" s="114" customFormat="1">
      <c r="A514" s="145"/>
      <c r="B514" s="145"/>
      <c r="G514" s="145"/>
    </row>
    <row r="515" spans="1:7" s="114" customFormat="1">
      <c r="A515" s="145"/>
      <c r="B515" s="145"/>
      <c r="G515" s="145"/>
    </row>
    <row r="516" spans="1:7" s="114" customFormat="1">
      <c r="A516" s="145"/>
      <c r="B516" s="145"/>
      <c r="G516" s="145"/>
    </row>
    <row r="517" spans="1:7" s="114" customFormat="1">
      <c r="A517" s="145"/>
      <c r="B517" s="145"/>
      <c r="G517" s="145"/>
    </row>
    <row r="518" spans="1:7" s="114" customFormat="1">
      <c r="A518" s="145"/>
      <c r="B518" s="145"/>
      <c r="G518" s="145"/>
    </row>
    <row r="519" spans="1:7" s="114" customFormat="1">
      <c r="A519" s="145"/>
      <c r="B519" s="145"/>
      <c r="G519" s="145"/>
    </row>
    <row r="520" spans="1:7" s="114" customFormat="1">
      <c r="A520" s="145"/>
      <c r="B520" s="145"/>
      <c r="G520" s="145"/>
    </row>
    <row r="521" spans="1:7" s="114" customFormat="1">
      <c r="A521" s="145"/>
      <c r="B521" s="145"/>
      <c r="G521" s="145"/>
    </row>
    <row r="522" spans="1:7" s="114" customFormat="1">
      <c r="A522" s="145"/>
      <c r="B522" s="145"/>
      <c r="G522" s="145"/>
    </row>
    <row r="523" spans="1:7" s="114" customFormat="1">
      <c r="A523" s="145"/>
      <c r="B523" s="145"/>
      <c r="G523" s="145"/>
    </row>
    <row r="524" spans="1:7" s="114" customFormat="1">
      <c r="A524" s="145"/>
      <c r="B524" s="145"/>
      <c r="G524" s="145"/>
    </row>
    <row r="525" spans="1:7" s="114" customFormat="1">
      <c r="A525" s="145"/>
      <c r="B525" s="145"/>
      <c r="G525" s="145"/>
    </row>
    <row r="526" spans="1:7" s="114" customFormat="1">
      <c r="A526" s="145"/>
      <c r="B526" s="145"/>
      <c r="G526" s="145"/>
    </row>
    <row r="527" spans="1:7" s="114" customFormat="1">
      <c r="A527" s="145"/>
      <c r="B527" s="145"/>
      <c r="G527" s="145"/>
    </row>
    <row r="528" spans="1:7" s="114" customFormat="1">
      <c r="A528" s="145"/>
      <c r="B528" s="145"/>
      <c r="G528" s="145"/>
    </row>
    <row r="529" spans="1:7" s="114" customFormat="1">
      <c r="A529" s="145"/>
      <c r="B529" s="145"/>
      <c r="G529" s="145"/>
    </row>
    <row r="530" spans="1:7" s="114" customFormat="1">
      <c r="A530" s="145"/>
      <c r="B530" s="145"/>
      <c r="G530" s="145"/>
    </row>
    <row r="531" spans="1:7" s="114" customFormat="1">
      <c r="A531" s="145"/>
      <c r="B531" s="145"/>
      <c r="G531" s="145"/>
    </row>
    <row r="532" spans="1:7" s="114" customFormat="1">
      <c r="A532" s="145"/>
      <c r="B532" s="145"/>
      <c r="G532" s="145"/>
    </row>
    <row r="533" spans="1:7" s="114" customFormat="1">
      <c r="A533" s="145"/>
      <c r="B533" s="145"/>
      <c r="G533" s="145"/>
    </row>
    <row r="534" spans="1:7" s="114" customFormat="1">
      <c r="A534" s="145"/>
      <c r="B534" s="145"/>
      <c r="G534" s="145"/>
    </row>
    <row r="535" spans="1:7" s="114" customFormat="1">
      <c r="A535" s="145"/>
      <c r="B535" s="145"/>
      <c r="G535" s="145"/>
    </row>
    <row r="536" spans="1:7" s="114" customFormat="1">
      <c r="A536" s="145"/>
      <c r="B536" s="145"/>
      <c r="G536" s="145"/>
    </row>
    <row r="537" spans="1:7" s="114" customFormat="1">
      <c r="A537" s="145"/>
      <c r="B537" s="145"/>
      <c r="G537" s="145"/>
    </row>
    <row r="538" spans="1:7" s="114" customFormat="1">
      <c r="A538" s="145"/>
      <c r="B538" s="145"/>
      <c r="G538" s="145"/>
    </row>
    <row r="539" spans="1:7" s="114" customFormat="1">
      <c r="A539" s="145"/>
      <c r="B539" s="145"/>
      <c r="G539" s="145"/>
    </row>
    <row r="540" spans="1:7" s="114" customFormat="1">
      <c r="A540" s="145"/>
      <c r="B540" s="145"/>
      <c r="G540" s="145"/>
    </row>
    <row r="541" spans="1:7" s="114" customFormat="1">
      <c r="A541" s="145"/>
      <c r="B541" s="145"/>
      <c r="G541" s="145"/>
    </row>
    <row r="542" spans="1:7" s="114" customFormat="1">
      <c r="A542" s="145"/>
      <c r="B542" s="145"/>
      <c r="G542" s="145"/>
    </row>
    <row r="543" spans="1:7" s="114" customFormat="1">
      <c r="A543" s="145"/>
      <c r="B543" s="145"/>
      <c r="G543" s="145"/>
    </row>
    <row r="544" spans="1:7" s="114" customFormat="1">
      <c r="A544" s="145"/>
      <c r="B544" s="145"/>
      <c r="G544" s="145"/>
    </row>
    <row r="545" spans="1:7" s="114" customFormat="1">
      <c r="A545" s="145"/>
      <c r="B545" s="145"/>
      <c r="G545" s="145"/>
    </row>
    <row r="546" spans="1:7" s="114" customFormat="1">
      <c r="A546" s="145"/>
      <c r="B546" s="145"/>
      <c r="G546" s="145"/>
    </row>
    <row r="547" spans="1:7" s="114" customFormat="1">
      <c r="A547" s="145"/>
      <c r="B547" s="145"/>
      <c r="G547" s="145"/>
    </row>
    <row r="548" spans="1:7" s="114" customFormat="1">
      <c r="A548" s="145"/>
      <c r="B548" s="145"/>
      <c r="G548" s="145"/>
    </row>
    <row r="549" spans="1:7" s="114" customFormat="1">
      <c r="A549" s="145"/>
      <c r="B549" s="145"/>
      <c r="G549" s="145"/>
    </row>
    <row r="550" spans="1:7" s="114" customFormat="1">
      <c r="A550" s="145"/>
      <c r="B550" s="145"/>
      <c r="G550" s="145"/>
    </row>
    <row r="551" spans="1:7" s="114" customFormat="1">
      <c r="A551" s="145"/>
      <c r="B551" s="145"/>
      <c r="G551" s="145"/>
    </row>
    <row r="552" spans="1:7" s="114" customFormat="1">
      <c r="A552" s="145"/>
      <c r="B552" s="145"/>
      <c r="G552" s="145"/>
    </row>
    <row r="553" spans="1:7" s="114" customFormat="1">
      <c r="A553" s="145"/>
      <c r="B553" s="145"/>
      <c r="G553" s="145"/>
    </row>
    <row r="554" spans="1:7" s="114" customFormat="1">
      <c r="A554" s="145"/>
      <c r="B554" s="145"/>
      <c r="G554" s="145"/>
    </row>
    <row r="555" spans="1:7" s="114" customFormat="1">
      <c r="A555" s="145"/>
      <c r="B555" s="145"/>
      <c r="G555" s="145"/>
    </row>
    <row r="556" spans="1:7" s="114" customFormat="1">
      <c r="A556" s="145"/>
      <c r="B556" s="145"/>
      <c r="G556" s="145"/>
    </row>
    <row r="557" spans="1:7" s="114" customFormat="1">
      <c r="A557" s="145"/>
      <c r="B557" s="145"/>
      <c r="G557" s="145"/>
    </row>
    <row r="558" spans="1:7" s="114" customFormat="1">
      <c r="A558" s="145"/>
      <c r="B558" s="145"/>
      <c r="G558" s="145"/>
    </row>
    <row r="559" spans="1:7" s="114" customFormat="1">
      <c r="A559" s="145"/>
      <c r="B559" s="145"/>
      <c r="G559" s="145"/>
    </row>
    <row r="560" spans="1:7" s="114" customFormat="1">
      <c r="A560" s="145"/>
      <c r="B560" s="145"/>
      <c r="G560" s="145"/>
    </row>
    <row r="561" spans="1:7" s="114" customFormat="1">
      <c r="A561" s="145"/>
      <c r="B561" s="145"/>
      <c r="G561" s="145"/>
    </row>
    <row r="562" spans="1:7" s="114" customFormat="1">
      <c r="A562" s="145"/>
      <c r="B562" s="145"/>
      <c r="G562" s="145"/>
    </row>
    <row r="563" spans="1:7" s="114" customFormat="1">
      <c r="A563" s="145"/>
      <c r="B563" s="145"/>
      <c r="G563" s="145"/>
    </row>
    <row r="564" spans="1:7" s="114" customFormat="1">
      <c r="A564" s="145"/>
      <c r="B564" s="145"/>
      <c r="G564" s="145"/>
    </row>
    <row r="565" spans="1:7" s="114" customFormat="1">
      <c r="A565" s="145"/>
      <c r="B565" s="145"/>
      <c r="G565" s="145"/>
    </row>
    <row r="566" spans="1:7" s="114" customFormat="1">
      <c r="A566" s="145"/>
      <c r="B566" s="145"/>
      <c r="G566" s="145"/>
    </row>
    <row r="567" spans="1:7" s="114" customFormat="1">
      <c r="A567" s="145"/>
      <c r="B567" s="145"/>
      <c r="G567" s="145"/>
    </row>
    <row r="568" spans="1:7" s="114" customFormat="1">
      <c r="A568" s="145"/>
      <c r="B568" s="145"/>
      <c r="G568" s="145"/>
    </row>
    <row r="569" spans="1:7" s="114" customFormat="1">
      <c r="A569" s="145"/>
      <c r="B569" s="145"/>
      <c r="G569" s="145"/>
    </row>
    <row r="570" spans="1:7" s="114" customFormat="1">
      <c r="A570" s="145"/>
      <c r="B570" s="145"/>
      <c r="G570" s="145"/>
    </row>
    <row r="571" spans="1:7" s="114" customFormat="1">
      <c r="A571" s="145"/>
      <c r="B571" s="145"/>
      <c r="G571" s="145"/>
    </row>
    <row r="572" spans="1:7" s="114" customFormat="1">
      <c r="A572" s="145"/>
      <c r="B572" s="145"/>
      <c r="G572" s="145"/>
    </row>
    <row r="573" spans="1:7" s="114" customFormat="1">
      <c r="A573" s="145"/>
      <c r="B573" s="145"/>
      <c r="G573" s="145"/>
    </row>
    <row r="574" spans="1:7" s="114" customFormat="1">
      <c r="A574" s="145"/>
      <c r="B574" s="145"/>
      <c r="G574" s="145"/>
    </row>
    <row r="575" spans="1:7" s="114" customFormat="1">
      <c r="A575" s="145"/>
      <c r="B575" s="145"/>
      <c r="G575" s="145"/>
    </row>
    <row r="576" spans="1:7" s="114" customFormat="1">
      <c r="A576" s="145"/>
      <c r="B576" s="145"/>
      <c r="G576" s="145"/>
    </row>
    <row r="577" spans="1:7" s="114" customFormat="1">
      <c r="A577" s="145"/>
      <c r="B577" s="145"/>
      <c r="G577" s="145"/>
    </row>
    <row r="578" spans="1:7" s="114" customFormat="1">
      <c r="A578" s="145"/>
      <c r="B578" s="145"/>
      <c r="G578" s="145"/>
    </row>
    <row r="579" spans="1:7" s="114" customFormat="1">
      <c r="A579" s="145"/>
      <c r="B579" s="145"/>
      <c r="G579" s="145"/>
    </row>
    <row r="580" spans="1:7" s="114" customFormat="1">
      <c r="A580" s="145"/>
      <c r="B580" s="145"/>
      <c r="G580" s="145"/>
    </row>
    <row r="581" spans="1:7" s="114" customFormat="1">
      <c r="A581" s="145"/>
      <c r="B581" s="145"/>
      <c r="G581" s="145"/>
    </row>
    <row r="582" spans="1:7" s="114" customFormat="1">
      <c r="A582" s="145"/>
      <c r="B582" s="145"/>
      <c r="G582" s="145"/>
    </row>
    <row r="583" spans="1:7" s="114" customFormat="1">
      <c r="A583" s="145"/>
      <c r="B583" s="145"/>
      <c r="G583" s="145"/>
    </row>
    <row r="584" spans="1:7" s="114" customFormat="1">
      <c r="A584" s="145"/>
      <c r="B584" s="145"/>
      <c r="G584" s="145"/>
    </row>
    <row r="585" spans="1:7" s="114" customFormat="1">
      <c r="A585" s="145"/>
      <c r="B585" s="145"/>
      <c r="G585" s="145"/>
    </row>
    <row r="586" spans="1:7" s="114" customFormat="1">
      <c r="A586" s="145"/>
      <c r="B586" s="145"/>
      <c r="G586" s="145"/>
    </row>
    <row r="587" spans="1:7" s="114" customFormat="1">
      <c r="A587" s="145"/>
      <c r="B587" s="145"/>
      <c r="G587" s="145"/>
    </row>
    <row r="588" spans="1:7" s="114" customFormat="1">
      <c r="A588" s="145"/>
      <c r="B588" s="145"/>
      <c r="G588" s="145"/>
    </row>
    <row r="589" spans="1:7" s="114" customFormat="1">
      <c r="A589" s="145"/>
      <c r="B589" s="145"/>
      <c r="G589" s="145"/>
    </row>
    <row r="590" spans="1:7" s="114" customFormat="1">
      <c r="A590" s="145"/>
      <c r="B590" s="145"/>
      <c r="G590" s="145"/>
    </row>
    <row r="591" spans="1:7" s="114" customFormat="1">
      <c r="A591" s="145"/>
      <c r="B591" s="145"/>
      <c r="G591" s="145"/>
    </row>
    <row r="592" spans="1:7" s="114" customFormat="1">
      <c r="A592" s="145"/>
      <c r="B592" s="145"/>
      <c r="G592" s="145"/>
    </row>
    <row r="593" spans="1:7" s="114" customFormat="1">
      <c r="A593" s="145"/>
      <c r="B593" s="145"/>
      <c r="G593" s="145"/>
    </row>
    <row r="594" spans="1:7" s="114" customFormat="1">
      <c r="A594" s="145"/>
      <c r="B594" s="145"/>
      <c r="G594" s="145"/>
    </row>
    <row r="595" spans="1:7" s="114" customFormat="1">
      <c r="A595" s="145"/>
      <c r="B595" s="145"/>
      <c r="G595" s="145"/>
    </row>
    <row r="596" spans="1:7" s="114" customFormat="1">
      <c r="A596" s="145"/>
      <c r="B596" s="145"/>
      <c r="G596" s="145"/>
    </row>
    <row r="597" spans="1:7" s="114" customFormat="1">
      <c r="A597" s="145"/>
      <c r="B597" s="145"/>
      <c r="G597" s="145"/>
    </row>
    <row r="598" spans="1:7" s="114" customFormat="1">
      <c r="A598" s="145"/>
      <c r="B598" s="145"/>
      <c r="G598" s="145"/>
    </row>
    <row r="599" spans="1:7" s="114" customFormat="1">
      <c r="A599" s="145"/>
      <c r="B599" s="145"/>
      <c r="G599" s="145"/>
    </row>
    <row r="600" spans="1:7" s="114" customFormat="1">
      <c r="A600" s="145"/>
      <c r="B600" s="145"/>
      <c r="G600" s="145"/>
    </row>
    <row r="601" spans="1:7" s="114" customFormat="1">
      <c r="A601" s="145"/>
      <c r="B601" s="145"/>
      <c r="G601" s="145"/>
    </row>
    <row r="602" spans="1:7" s="114" customFormat="1">
      <c r="A602" s="145"/>
      <c r="B602" s="145"/>
      <c r="G602" s="145"/>
    </row>
    <row r="603" spans="1:7" s="114" customFormat="1">
      <c r="A603" s="145"/>
      <c r="B603" s="145"/>
      <c r="G603" s="145"/>
    </row>
    <row r="604" spans="1:7" s="114" customFormat="1">
      <c r="A604" s="145"/>
      <c r="B604" s="145"/>
      <c r="G604" s="145"/>
    </row>
    <row r="605" spans="1:7" s="114" customFormat="1">
      <c r="A605" s="145"/>
      <c r="B605" s="145"/>
      <c r="G605" s="145"/>
    </row>
    <row r="606" spans="1:7" s="114" customFormat="1">
      <c r="A606" s="145"/>
      <c r="B606" s="145"/>
      <c r="G606" s="145"/>
    </row>
    <row r="607" spans="1:7" s="114" customFormat="1">
      <c r="A607" s="145"/>
      <c r="B607" s="145"/>
      <c r="G607" s="145"/>
    </row>
    <row r="608" spans="1:7" s="114" customFormat="1">
      <c r="A608" s="145"/>
      <c r="B608" s="145"/>
      <c r="G608" s="145"/>
    </row>
    <row r="609" spans="1:7" s="114" customFormat="1">
      <c r="A609" s="145"/>
      <c r="B609" s="145"/>
      <c r="G609" s="145"/>
    </row>
    <row r="610" spans="1:7" s="114" customFormat="1">
      <c r="A610" s="145"/>
      <c r="B610" s="145"/>
      <c r="G610" s="145"/>
    </row>
    <row r="611" spans="1:7" s="114" customFormat="1">
      <c r="A611" s="145"/>
      <c r="B611" s="145"/>
      <c r="G611" s="145"/>
    </row>
    <row r="612" spans="1:7" s="114" customFormat="1">
      <c r="A612" s="145"/>
      <c r="B612" s="145"/>
      <c r="G612" s="145"/>
    </row>
    <row r="613" spans="1:7" s="114" customFormat="1">
      <c r="A613" s="145"/>
      <c r="B613" s="145"/>
      <c r="G613" s="145"/>
    </row>
    <row r="614" spans="1:7" s="114" customFormat="1">
      <c r="A614" s="145"/>
      <c r="B614" s="145"/>
      <c r="G614" s="145"/>
    </row>
    <row r="615" spans="1:7" s="114" customFormat="1">
      <c r="A615" s="145"/>
      <c r="B615" s="145"/>
      <c r="G615" s="145"/>
    </row>
    <row r="616" spans="1:7" s="114" customFormat="1">
      <c r="A616" s="145"/>
      <c r="B616" s="145"/>
      <c r="G616" s="145"/>
    </row>
    <row r="617" spans="1:7" s="114" customFormat="1">
      <c r="A617" s="145"/>
      <c r="B617" s="145"/>
      <c r="G617" s="145"/>
    </row>
    <row r="618" spans="1:7" s="114" customFormat="1">
      <c r="A618" s="145"/>
      <c r="B618" s="145"/>
      <c r="G618" s="145"/>
    </row>
    <row r="619" spans="1:7" s="114" customFormat="1">
      <c r="A619" s="145"/>
      <c r="B619" s="145"/>
      <c r="G619" s="145"/>
    </row>
    <row r="620" spans="1:7" s="114" customFormat="1">
      <c r="A620" s="145"/>
      <c r="B620" s="145"/>
      <c r="G620" s="145"/>
    </row>
    <row r="621" spans="1:7" s="114" customFormat="1">
      <c r="A621" s="145"/>
      <c r="B621" s="145"/>
      <c r="G621" s="145"/>
    </row>
    <row r="622" spans="1:7" s="114" customFormat="1">
      <c r="A622" s="145"/>
      <c r="B622" s="145"/>
      <c r="G622" s="145"/>
    </row>
    <row r="623" spans="1:7" s="114" customFormat="1">
      <c r="A623" s="145"/>
      <c r="B623" s="145"/>
      <c r="G623" s="145"/>
    </row>
    <row r="624" spans="1:7" s="114" customFormat="1">
      <c r="A624" s="145"/>
      <c r="B624" s="145"/>
      <c r="G624" s="145"/>
    </row>
    <row r="625" spans="1:7" s="114" customFormat="1">
      <c r="A625" s="145"/>
      <c r="B625" s="145"/>
      <c r="G625" s="145"/>
    </row>
    <row r="626" spans="1:7" s="114" customFormat="1">
      <c r="A626" s="145"/>
      <c r="B626" s="145"/>
      <c r="G626" s="145"/>
    </row>
    <row r="627" spans="1:7" s="114" customFormat="1">
      <c r="A627" s="145"/>
      <c r="B627" s="145"/>
      <c r="G627" s="145"/>
    </row>
    <row r="628" spans="1:7" s="114" customFormat="1">
      <c r="A628" s="145"/>
      <c r="B628" s="145"/>
      <c r="G628" s="145"/>
    </row>
    <row r="629" spans="1:7" s="114" customFormat="1">
      <c r="A629" s="145"/>
      <c r="B629" s="145"/>
      <c r="G629" s="145"/>
    </row>
    <row r="630" spans="1:7" s="114" customFormat="1">
      <c r="A630" s="145"/>
      <c r="B630" s="145"/>
      <c r="G630" s="145"/>
    </row>
    <row r="631" spans="1:7" s="114" customFormat="1">
      <c r="A631" s="145"/>
      <c r="B631" s="145"/>
      <c r="G631" s="145"/>
    </row>
    <row r="632" spans="1:7" s="114" customFormat="1">
      <c r="A632" s="145"/>
      <c r="B632" s="145"/>
      <c r="G632" s="145"/>
    </row>
    <row r="633" spans="1:7" s="114" customFormat="1">
      <c r="A633" s="145"/>
      <c r="B633" s="145"/>
      <c r="G633" s="145"/>
    </row>
    <row r="634" spans="1:7" s="114" customFormat="1">
      <c r="A634" s="145"/>
      <c r="B634" s="145"/>
      <c r="G634" s="145"/>
    </row>
    <row r="635" spans="1:7" s="114" customFormat="1">
      <c r="A635" s="145"/>
      <c r="B635" s="145"/>
      <c r="G635" s="145"/>
    </row>
    <row r="636" spans="1:7" s="114" customFormat="1">
      <c r="A636" s="145"/>
      <c r="B636" s="145"/>
      <c r="G636" s="145"/>
    </row>
    <row r="637" spans="1:7" s="114" customFormat="1">
      <c r="A637" s="145"/>
      <c r="B637" s="145"/>
      <c r="G637" s="145"/>
    </row>
    <row r="638" spans="1:7" s="114" customFormat="1">
      <c r="A638" s="145"/>
      <c r="B638" s="145"/>
      <c r="G638" s="145"/>
    </row>
    <row r="639" spans="1:7" s="114" customFormat="1">
      <c r="A639" s="145"/>
      <c r="B639" s="145"/>
      <c r="G639" s="145"/>
    </row>
    <row r="640" spans="1:7" s="114" customFormat="1">
      <c r="A640" s="145"/>
      <c r="B640" s="145"/>
      <c r="G640" s="145"/>
    </row>
    <row r="641" spans="1:7" s="114" customFormat="1">
      <c r="A641" s="145"/>
      <c r="B641" s="145"/>
      <c r="G641" s="145"/>
    </row>
    <row r="642" spans="1:7" s="114" customFormat="1">
      <c r="A642" s="145"/>
      <c r="B642" s="145"/>
      <c r="G642" s="145"/>
    </row>
    <row r="643" spans="1:7" s="114" customFormat="1">
      <c r="A643" s="145"/>
      <c r="B643" s="145"/>
      <c r="G643" s="145"/>
    </row>
    <row r="644" spans="1:7" s="114" customFormat="1">
      <c r="A644" s="145"/>
      <c r="B644" s="145"/>
      <c r="G644" s="145"/>
    </row>
    <row r="645" spans="1:7" s="114" customFormat="1">
      <c r="A645" s="145"/>
      <c r="B645" s="145"/>
      <c r="G645" s="145"/>
    </row>
    <row r="646" spans="1:7" s="114" customFormat="1">
      <c r="A646" s="145"/>
      <c r="B646" s="145"/>
      <c r="G646" s="145"/>
    </row>
    <row r="647" spans="1:7" s="114" customFormat="1">
      <c r="A647" s="145"/>
      <c r="B647" s="145"/>
      <c r="G647" s="145"/>
    </row>
    <row r="648" spans="1:7" s="114" customFormat="1">
      <c r="A648" s="145"/>
      <c r="B648" s="145"/>
      <c r="G648" s="145"/>
    </row>
    <row r="649" spans="1:7" s="114" customFormat="1">
      <c r="A649" s="145"/>
      <c r="B649" s="145"/>
      <c r="G649" s="145"/>
    </row>
    <row r="650" spans="1:7" s="114" customFormat="1">
      <c r="A650" s="145"/>
      <c r="B650" s="145"/>
      <c r="G650" s="145"/>
    </row>
    <row r="651" spans="1:7" s="114" customFormat="1">
      <c r="A651" s="145"/>
      <c r="B651" s="145"/>
      <c r="G651" s="145"/>
    </row>
    <row r="652" spans="1:7" s="114" customFormat="1">
      <c r="A652" s="145"/>
      <c r="B652" s="145"/>
      <c r="G652" s="145"/>
    </row>
    <row r="653" spans="1:7" s="114" customFormat="1">
      <c r="A653" s="145"/>
      <c r="B653" s="145"/>
      <c r="G653" s="145"/>
    </row>
    <row r="654" spans="1:7" s="114" customFormat="1">
      <c r="A654" s="145"/>
      <c r="B654" s="145"/>
      <c r="G654" s="145"/>
    </row>
    <row r="655" spans="1:7" s="114" customFormat="1">
      <c r="A655" s="145"/>
      <c r="B655" s="145"/>
      <c r="G655" s="145"/>
    </row>
    <row r="656" spans="1:7" s="114" customFormat="1">
      <c r="A656" s="145"/>
      <c r="B656" s="145"/>
      <c r="G656" s="145"/>
    </row>
    <row r="657" spans="1:7" s="114" customFormat="1">
      <c r="A657" s="145"/>
      <c r="B657" s="145"/>
      <c r="G657" s="145"/>
    </row>
    <row r="658" spans="1:7" s="114" customFormat="1">
      <c r="A658" s="145"/>
      <c r="B658" s="145"/>
      <c r="G658" s="145"/>
    </row>
    <row r="659" spans="1:7" s="114" customFormat="1">
      <c r="A659" s="145"/>
      <c r="B659" s="145"/>
      <c r="G659" s="145"/>
    </row>
    <row r="660" spans="1:7" s="114" customFormat="1">
      <c r="A660" s="145"/>
      <c r="B660" s="145"/>
      <c r="G660" s="145"/>
    </row>
    <row r="661" spans="1:7" s="114" customFormat="1">
      <c r="A661" s="145"/>
      <c r="B661" s="145"/>
      <c r="G661" s="145"/>
    </row>
    <row r="662" spans="1:7" s="114" customFormat="1">
      <c r="A662" s="145"/>
      <c r="B662" s="145"/>
      <c r="G662" s="145"/>
    </row>
    <row r="663" spans="1:7" s="114" customFormat="1">
      <c r="A663" s="145"/>
      <c r="B663" s="145"/>
      <c r="G663" s="145"/>
    </row>
    <row r="664" spans="1:7" s="114" customFormat="1">
      <c r="A664" s="145"/>
      <c r="B664" s="145"/>
      <c r="G664" s="145"/>
    </row>
    <row r="665" spans="1:7" s="114" customFormat="1">
      <c r="A665" s="145"/>
      <c r="B665" s="145"/>
      <c r="G665" s="145"/>
    </row>
    <row r="666" spans="1:7" s="114" customFormat="1">
      <c r="A666" s="145"/>
      <c r="B666" s="145"/>
      <c r="G666" s="145"/>
    </row>
    <row r="667" spans="1:7" s="114" customFormat="1">
      <c r="A667" s="145"/>
      <c r="B667" s="145"/>
      <c r="G667" s="145"/>
    </row>
    <row r="668" spans="1:7" s="114" customFormat="1">
      <c r="A668" s="145"/>
      <c r="B668" s="145"/>
      <c r="G668" s="145"/>
    </row>
    <row r="669" spans="1:7" s="114" customFormat="1">
      <c r="A669" s="145"/>
      <c r="B669" s="145"/>
      <c r="G669" s="145"/>
    </row>
    <row r="670" spans="1:7" s="114" customFormat="1">
      <c r="A670" s="145"/>
      <c r="B670" s="145"/>
      <c r="G670" s="145"/>
    </row>
    <row r="671" spans="1:7" s="114" customFormat="1">
      <c r="A671" s="145"/>
      <c r="B671" s="145"/>
      <c r="G671" s="145"/>
    </row>
    <row r="672" spans="1:7" s="114" customFormat="1">
      <c r="A672" s="145"/>
      <c r="B672" s="145"/>
      <c r="G672" s="145"/>
    </row>
    <row r="673" spans="1:7" s="114" customFormat="1">
      <c r="A673" s="145"/>
      <c r="B673" s="145"/>
      <c r="G673" s="145"/>
    </row>
    <row r="674" spans="1:7" s="114" customFormat="1">
      <c r="A674" s="145"/>
      <c r="B674" s="145"/>
      <c r="G674" s="145"/>
    </row>
    <row r="675" spans="1:7" s="114" customFormat="1">
      <c r="A675" s="145"/>
      <c r="B675" s="145"/>
      <c r="G675" s="145"/>
    </row>
    <row r="676" spans="1:7" s="114" customFormat="1">
      <c r="A676" s="145"/>
      <c r="B676" s="145"/>
      <c r="G676" s="145"/>
    </row>
    <row r="677" spans="1:7" s="114" customFormat="1">
      <c r="A677" s="145"/>
      <c r="B677" s="145"/>
      <c r="G677" s="145"/>
    </row>
    <row r="678" spans="1:7" s="114" customFormat="1">
      <c r="A678" s="145"/>
      <c r="B678" s="145"/>
      <c r="G678" s="145"/>
    </row>
    <row r="679" spans="1:7" s="114" customFormat="1">
      <c r="A679" s="145"/>
      <c r="B679" s="145"/>
      <c r="G679" s="145"/>
    </row>
    <row r="680" spans="1:7" s="114" customFormat="1">
      <c r="A680" s="145"/>
      <c r="B680" s="145"/>
      <c r="G680" s="145"/>
    </row>
    <row r="681" spans="1:7" s="114" customFormat="1">
      <c r="A681" s="145"/>
      <c r="B681" s="145"/>
      <c r="G681" s="145"/>
    </row>
    <row r="682" spans="1:7" s="114" customFormat="1">
      <c r="A682" s="145"/>
      <c r="B682" s="145"/>
      <c r="G682" s="145"/>
    </row>
    <row r="683" spans="1:7" s="114" customFormat="1">
      <c r="A683" s="145"/>
      <c r="B683" s="145"/>
      <c r="G683" s="145"/>
    </row>
    <row r="684" spans="1:7" s="114" customFormat="1">
      <c r="A684" s="145"/>
      <c r="B684" s="145"/>
      <c r="G684" s="145"/>
    </row>
    <row r="685" spans="1:7" s="114" customFormat="1">
      <c r="A685" s="145"/>
      <c r="B685" s="145"/>
      <c r="G685" s="145"/>
    </row>
    <row r="686" spans="1:7" s="114" customFormat="1">
      <c r="A686" s="145"/>
      <c r="B686" s="145"/>
      <c r="G686" s="145"/>
    </row>
    <row r="687" spans="1:7" s="114" customFormat="1">
      <c r="A687" s="145"/>
      <c r="B687" s="145"/>
      <c r="G687" s="145"/>
    </row>
    <row r="688" spans="1:7" s="114" customFormat="1">
      <c r="A688" s="145"/>
      <c r="B688" s="145"/>
      <c r="G688" s="145"/>
    </row>
    <row r="689" spans="1:7" s="114" customFormat="1">
      <c r="A689" s="145"/>
      <c r="B689" s="145"/>
      <c r="G689" s="145"/>
    </row>
    <row r="690" spans="1:7" s="114" customFormat="1">
      <c r="A690" s="145"/>
      <c r="B690" s="145"/>
      <c r="G690" s="145"/>
    </row>
    <row r="691" spans="1:7" s="114" customFormat="1">
      <c r="A691" s="145"/>
      <c r="B691" s="145"/>
      <c r="G691" s="145"/>
    </row>
    <row r="692" spans="1:7" s="114" customFormat="1">
      <c r="A692" s="145"/>
      <c r="B692" s="145"/>
      <c r="G692" s="145"/>
    </row>
    <row r="693" spans="1:7" s="114" customFormat="1">
      <c r="A693" s="145"/>
      <c r="B693" s="145"/>
      <c r="G693" s="145"/>
    </row>
    <row r="694" spans="1:7" s="114" customFormat="1">
      <c r="A694" s="145"/>
      <c r="B694" s="145"/>
      <c r="G694" s="145"/>
    </row>
    <row r="695" spans="1:7" s="114" customFormat="1">
      <c r="A695" s="145"/>
      <c r="B695" s="145"/>
      <c r="G695" s="145"/>
    </row>
    <row r="696" spans="1:7" s="114" customFormat="1">
      <c r="A696" s="145"/>
      <c r="B696" s="145"/>
      <c r="G696" s="145"/>
    </row>
    <row r="697" spans="1:7" s="114" customFormat="1">
      <c r="A697" s="145"/>
      <c r="B697" s="145"/>
      <c r="G697" s="145"/>
    </row>
    <row r="698" spans="1:7" s="114" customFormat="1">
      <c r="A698" s="145"/>
      <c r="B698" s="145"/>
      <c r="G698" s="145"/>
    </row>
    <row r="699" spans="1:7" s="114" customFormat="1">
      <c r="A699" s="145"/>
      <c r="B699" s="145"/>
      <c r="G699" s="145"/>
    </row>
    <row r="700" spans="1:7" s="114" customFormat="1">
      <c r="A700" s="145"/>
      <c r="B700" s="145"/>
      <c r="G700" s="145"/>
    </row>
    <row r="701" spans="1:7" s="114" customFormat="1">
      <c r="A701" s="145"/>
      <c r="B701" s="145"/>
      <c r="G701" s="145"/>
    </row>
    <row r="702" spans="1:7" s="114" customFormat="1">
      <c r="A702" s="145"/>
      <c r="B702" s="145"/>
      <c r="G702" s="145"/>
    </row>
    <row r="703" spans="1:7" s="114" customFormat="1">
      <c r="A703" s="145"/>
      <c r="B703" s="145"/>
      <c r="G703" s="145"/>
    </row>
    <row r="704" spans="1:7" s="114" customFormat="1">
      <c r="A704" s="145"/>
      <c r="B704" s="145"/>
      <c r="G704" s="145"/>
    </row>
    <row r="705" spans="1:7" s="114" customFormat="1">
      <c r="A705" s="145"/>
      <c r="B705" s="145"/>
      <c r="G705" s="145"/>
    </row>
    <row r="706" spans="1:7" s="114" customFormat="1">
      <c r="A706" s="145"/>
      <c r="B706" s="145"/>
      <c r="G706" s="145"/>
    </row>
    <row r="707" spans="1:7" s="114" customFormat="1">
      <c r="A707" s="145"/>
      <c r="B707" s="145"/>
      <c r="G707" s="145"/>
    </row>
    <row r="708" spans="1:7" s="114" customFormat="1">
      <c r="A708" s="145"/>
      <c r="B708" s="145"/>
      <c r="G708" s="145"/>
    </row>
    <row r="709" spans="1:7" s="114" customFormat="1">
      <c r="A709" s="145"/>
      <c r="B709" s="145"/>
      <c r="G709" s="145"/>
    </row>
    <row r="710" spans="1:7" s="114" customFormat="1">
      <c r="A710" s="145"/>
      <c r="B710" s="145"/>
      <c r="G710" s="145"/>
    </row>
    <row r="711" spans="1:7" s="114" customFormat="1">
      <c r="A711" s="145"/>
      <c r="B711" s="145"/>
      <c r="G711" s="145"/>
    </row>
    <row r="712" spans="1:7" s="114" customFormat="1">
      <c r="A712" s="145"/>
      <c r="B712" s="145"/>
      <c r="G712" s="145"/>
    </row>
    <row r="713" spans="1:7" s="114" customFormat="1">
      <c r="A713" s="145"/>
      <c r="B713" s="145"/>
      <c r="G713" s="145"/>
    </row>
    <row r="714" spans="1:7" s="114" customFormat="1">
      <c r="A714" s="145"/>
      <c r="B714" s="145"/>
      <c r="G714" s="145"/>
    </row>
    <row r="715" spans="1:7" s="114" customFormat="1">
      <c r="A715" s="145"/>
      <c r="B715" s="145"/>
      <c r="G715" s="145"/>
    </row>
    <row r="716" spans="1:7" s="114" customFormat="1">
      <c r="A716" s="145"/>
      <c r="B716" s="145"/>
      <c r="G716" s="145"/>
    </row>
    <row r="717" spans="1:7" s="114" customFormat="1">
      <c r="A717" s="145"/>
      <c r="B717" s="145"/>
      <c r="G717" s="145"/>
    </row>
    <row r="718" spans="1:7" s="114" customFormat="1">
      <c r="A718" s="145"/>
      <c r="B718" s="145"/>
      <c r="G718" s="145"/>
    </row>
    <row r="719" spans="1:7" s="114" customFormat="1">
      <c r="A719" s="145"/>
      <c r="B719" s="145"/>
      <c r="G719" s="145"/>
    </row>
    <row r="720" spans="1:7" s="114" customFormat="1">
      <c r="A720" s="145"/>
      <c r="B720" s="145"/>
      <c r="G720" s="145"/>
    </row>
    <row r="721" spans="1:7" s="114" customFormat="1">
      <c r="A721" s="145"/>
      <c r="B721" s="145"/>
      <c r="G721" s="145"/>
    </row>
    <row r="722" spans="1:7" s="114" customFormat="1">
      <c r="A722" s="145"/>
      <c r="B722" s="145"/>
      <c r="G722" s="145"/>
    </row>
    <row r="723" spans="1:7" s="114" customFormat="1">
      <c r="A723" s="145"/>
      <c r="B723" s="145"/>
      <c r="G723" s="145"/>
    </row>
    <row r="724" spans="1:7" s="114" customFormat="1">
      <c r="A724" s="145"/>
      <c r="B724" s="145"/>
      <c r="G724" s="145"/>
    </row>
    <row r="725" spans="1:7" s="114" customFormat="1">
      <c r="A725" s="145"/>
      <c r="B725" s="145"/>
      <c r="G725" s="145"/>
    </row>
    <row r="726" spans="1:7" s="114" customFormat="1">
      <c r="A726" s="145"/>
      <c r="B726" s="145"/>
      <c r="G726" s="145"/>
    </row>
    <row r="727" spans="1:7" s="114" customFormat="1">
      <c r="A727" s="145"/>
      <c r="B727" s="145"/>
      <c r="G727" s="145"/>
    </row>
    <row r="728" spans="1:7" s="114" customFormat="1">
      <c r="A728" s="145"/>
      <c r="B728" s="145"/>
      <c r="G728" s="145"/>
    </row>
    <row r="729" spans="1:7" s="114" customFormat="1">
      <c r="A729" s="145"/>
      <c r="B729" s="145"/>
      <c r="G729" s="145"/>
    </row>
    <row r="730" spans="1:7" s="114" customFormat="1">
      <c r="A730" s="145"/>
      <c r="B730" s="145"/>
      <c r="G730" s="145"/>
    </row>
    <row r="731" spans="1:7" s="114" customFormat="1">
      <c r="A731" s="145"/>
      <c r="B731" s="145"/>
      <c r="G731" s="145"/>
    </row>
    <row r="732" spans="1:7" s="114" customFormat="1">
      <c r="A732" s="145"/>
      <c r="B732" s="145"/>
      <c r="G732" s="145"/>
    </row>
    <row r="733" spans="1:7" s="114" customFormat="1">
      <c r="A733" s="145"/>
      <c r="B733" s="145"/>
      <c r="G733" s="145"/>
    </row>
    <row r="734" spans="1:7" s="114" customFormat="1">
      <c r="A734" s="145"/>
      <c r="B734" s="145"/>
      <c r="G734" s="145"/>
    </row>
    <row r="735" spans="1:7" s="114" customFormat="1">
      <c r="A735" s="145"/>
      <c r="B735" s="145"/>
      <c r="G735" s="145"/>
    </row>
    <row r="736" spans="1:7" s="114" customFormat="1">
      <c r="A736" s="145"/>
      <c r="B736" s="145"/>
      <c r="G736" s="145"/>
    </row>
    <row r="737" spans="1:7" s="114" customFormat="1">
      <c r="A737" s="145"/>
      <c r="B737" s="145"/>
      <c r="G737" s="145"/>
    </row>
    <row r="738" spans="1:7" s="114" customFormat="1">
      <c r="A738" s="145"/>
      <c r="B738" s="145"/>
      <c r="G738" s="145"/>
    </row>
    <row r="739" spans="1:7" s="114" customFormat="1">
      <c r="A739" s="145"/>
      <c r="B739" s="145"/>
      <c r="G739" s="145"/>
    </row>
    <row r="740" spans="1:7" s="114" customFormat="1">
      <c r="A740" s="145"/>
      <c r="B740" s="145"/>
      <c r="G740" s="145"/>
    </row>
    <row r="741" spans="1:7" s="114" customFormat="1">
      <c r="A741" s="145"/>
      <c r="B741" s="145"/>
      <c r="G741" s="145"/>
    </row>
    <row r="742" spans="1:7" s="114" customFormat="1">
      <c r="A742" s="145"/>
      <c r="B742" s="145"/>
      <c r="G742" s="145"/>
    </row>
    <row r="743" spans="1:7" s="114" customFormat="1">
      <c r="A743" s="145"/>
      <c r="B743" s="145"/>
      <c r="G743" s="145"/>
    </row>
    <row r="744" spans="1:7" s="114" customFormat="1">
      <c r="A744" s="145"/>
      <c r="B744" s="145"/>
      <c r="G744" s="145"/>
    </row>
    <row r="745" spans="1:7" s="114" customFormat="1">
      <c r="A745" s="145"/>
      <c r="B745" s="145"/>
      <c r="G745" s="145"/>
    </row>
    <row r="746" spans="1:7" s="114" customFormat="1">
      <c r="A746" s="145"/>
      <c r="B746" s="145"/>
      <c r="G746" s="145"/>
    </row>
    <row r="747" spans="1:7" s="114" customFormat="1">
      <c r="A747" s="145"/>
      <c r="B747" s="145"/>
      <c r="G747" s="145"/>
    </row>
    <row r="748" spans="1:7" s="114" customFormat="1">
      <c r="A748" s="145"/>
      <c r="B748" s="145"/>
      <c r="G748" s="145"/>
    </row>
    <row r="749" spans="1:7" s="114" customFormat="1">
      <c r="A749" s="145"/>
      <c r="B749" s="145"/>
      <c r="G749" s="145"/>
    </row>
    <row r="750" spans="1:7" s="114" customFormat="1">
      <c r="A750" s="145"/>
      <c r="B750" s="145"/>
      <c r="G750" s="145"/>
    </row>
    <row r="751" spans="1:7" s="114" customFormat="1">
      <c r="A751" s="145"/>
      <c r="B751" s="145"/>
      <c r="G751" s="145"/>
    </row>
    <row r="752" spans="1:7" s="114" customFormat="1">
      <c r="A752" s="145"/>
      <c r="B752" s="145"/>
      <c r="G752" s="145"/>
    </row>
    <row r="753" spans="1:7" s="114" customFormat="1">
      <c r="A753" s="145"/>
      <c r="B753" s="145"/>
      <c r="G753" s="145"/>
    </row>
    <row r="754" spans="1:7" s="114" customFormat="1">
      <c r="A754" s="145"/>
      <c r="B754" s="145"/>
      <c r="G754" s="145"/>
    </row>
    <row r="755" spans="1:7" s="114" customFormat="1">
      <c r="A755" s="145"/>
      <c r="B755" s="145"/>
      <c r="G755" s="145"/>
    </row>
    <row r="756" spans="1:7" s="114" customFormat="1">
      <c r="A756" s="145"/>
      <c r="B756" s="145"/>
      <c r="G756" s="145"/>
    </row>
    <row r="757" spans="1:7" s="114" customFormat="1">
      <c r="A757" s="145"/>
      <c r="B757" s="145"/>
      <c r="G757" s="145"/>
    </row>
    <row r="758" spans="1:7" s="114" customFormat="1">
      <c r="A758" s="145"/>
      <c r="B758" s="145"/>
      <c r="G758" s="145"/>
    </row>
    <row r="759" spans="1:7" s="114" customFormat="1">
      <c r="A759" s="145"/>
      <c r="B759" s="145"/>
      <c r="G759" s="145"/>
    </row>
    <row r="760" spans="1:7" s="114" customFormat="1">
      <c r="A760" s="145"/>
      <c r="B760" s="145"/>
      <c r="G760" s="145"/>
    </row>
    <row r="761" spans="1:7" s="114" customFormat="1">
      <c r="A761" s="145"/>
      <c r="B761" s="145"/>
      <c r="G761" s="145"/>
    </row>
    <row r="762" spans="1:7" s="114" customFormat="1">
      <c r="A762" s="145"/>
      <c r="B762" s="145"/>
      <c r="G762" s="145"/>
    </row>
    <row r="763" spans="1:7" s="114" customFormat="1">
      <c r="A763" s="145"/>
      <c r="B763" s="145"/>
      <c r="G763" s="145"/>
    </row>
    <row r="764" spans="1:7" s="114" customFormat="1">
      <c r="A764" s="145"/>
      <c r="B764" s="145"/>
      <c r="G764" s="145"/>
    </row>
    <row r="765" spans="1:7" s="114" customFormat="1">
      <c r="A765" s="145"/>
      <c r="B765" s="145"/>
      <c r="G765" s="145"/>
    </row>
    <row r="766" spans="1:7" s="114" customFormat="1">
      <c r="A766" s="145"/>
      <c r="B766" s="145"/>
      <c r="G766" s="145"/>
    </row>
    <row r="767" spans="1:7" s="114" customFormat="1">
      <c r="A767" s="145"/>
      <c r="B767" s="145"/>
      <c r="G767" s="145"/>
    </row>
    <row r="768" spans="1:7" s="114" customFormat="1">
      <c r="A768" s="145"/>
      <c r="B768" s="145"/>
      <c r="G768" s="145"/>
    </row>
    <row r="769" spans="1:7" s="114" customFormat="1">
      <c r="A769" s="145"/>
      <c r="B769" s="145"/>
      <c r="G769" s="145"/>
    </row>
    <row r="770" spans="1:7" s="114" customFormat="1">
      <c r="A770" s="145"/>
      <c r="B770" s="145"/>
      <c r="G770" s="145"/>
    </row>
    <row r="771" spans="1:7" s="114" customFormat="1">
      <c r="A771" s="145"/>
      <c r="B771" s="145"/>
      <c r="G771" s="145"/>
    </row>
    <row r="772" spans="1:7" s="114" customFormat="1">
      <c r="A772" s="145"/>
      <c r="B772" s="145"/>
      <c r="G772" s="145"/>
    </row>
    <row r="773" spans="1:7" s="114" customFormat="1">
      <c r="A773" s="145"/>
      <c r="B773" s="145"/>
      <c r="G773" s="145"/>
    </row>
    <row r="774" spans="1:7" s="114" customFormat="1">
      <c r="A774" s="145"/>
      <c r="B774" s="145"/>
      <c r="G774" s="145"/>
    </row>
    <row r="775" spans="1:7" s="114" customFormat="1">
      <c r="A775" s="145"/>
      <c r="B775" s="145"/>
      <c r="G775" s="145"/>
    </row>
    <row r="776" spans="1:7" s="114" customFormat="1">
      <c r="A776" s="145"/>
      <c r="B776" s="145"/>
      <c r="G776" s="145"/>
    </row>
    <row r="777" spans="1:7" s="114" customFormat="1">
      <c r="A777" s="145"/>
      <c r="B777" s="145"/>
      <c r="G777" s="145"/>
    </row>
    <row r="778" spans="1:7" s="114" customFormat="1">
      <c r="A778" s="145"/>
      <c r="B778" s="145"/>
      <c r="G778" s="145"/>
    </row>
    <row r="779" spans="1:7" s="114" customFormat="1">
      <c r="A779" s="145"/>
      <c r="B779" s="145"/>
      <c r="G779" s="145"/>
    </row>
    <row r="780" spans="1:7" s="114" customFormat="1">
      <c r="A780" s="145"/>
      <c r="B780" s="145"/>
      <c r="G780" s="145"/>
    </row>
    <row r="781" spans="1:7" s="114" customFormat="1">
      <c r="A781" s="145"/>
      <c r="B781" s="145"/>
      <c r="G781" s="145"/>
    </row>
    <row r="782" spans="1:7" s="114" customFormat="1">
      <c r="A782" s="145"/>
      <c r="B782" s="145"/>
      <c r="G782" s="145"/>
    </row>
    <row r="783" spans="1:7" s="114" customFormat="1">
      <c r="A783" s="145"/>
      <c r="B783" s="145"/>
      <c r="G783" s="145"/>
    </row>
    <row r="784" spans="1:7" s="114" customFormat="1">
      <c r="A784" s="145"/>
      <c r="B784" s="145"/>
      <c r="G784" s="145"/>
    </row>
    <row r="785" spans="1:7" s="114" customFormat="1">
      <c r="A785" s="145"/>
      <c r="B785" s="145"/>
      <c r="G785" s="145"/>
    </row>
    <row r="786" spans="1:7" s="114" customFormat="1">
      <c r="A786" s="145"/>
      <c r="B786" s="145"/>
      <c r="G786" s="145"/>
    </row>
    <row r="787" spans="1:7" s="114" customFormat="1">
      <c r="A787" s="145"/>
      <c r="B787" s="145"/>
      <c r="G787" s="145"/>
    </row>
    <row r="788" spans="1:7" s="114" customFormat="1">
      <c r="A788" s="145"/>
      <c r="B788" s="145"/>
      <c r="G788" s="145"/>
    </row>
    <row r="789" spans="1:7" s="114" customFormat="1">
      <c r="A789" s="145"/>
      <c r="B789" s="145"/>
      <c r="G789" s="145"/>
    </row>
    <row r="790" spans="1:7" s="114" customFormat="1">
      <c r="A790" s="145"/>
      <c r="B790" s="145"/>
      <c r="G790" s="145"/>
    </row>
    <row r="791" spans="1:7" s="114" customFormat="1">
      <c r="A791" s="145"/>
      <c r="B791" s="145"/>
      <c r="G791" s="145"/>
    </row>
    <row r="792" spans="1:7" s="114" customFormat="1">
      <c r="A792" s="145"/>
      <c r="B792" s="145"/>
      <c r="G792" s="145"/>
    </row>
    <row r="793" spans="1:7" s="114" customFormat="1">
      <c r="A793" s="145"/>
      <c r="B793" s="145"/>
      <c r="G793" s="145"/>
    </row>
    <row r="794" spans="1:7" s="114" customFormat="1">
      <c r="A794" s="145"/>
      <c r="B794" s="145"/>
      <c r="G794" s="145"/>
    </row>
    <row r="795" spans="1:7" s="114" customFormat="1">
      <c r="A795" s="145"/>
      <c r="B795" s="145"/>
      <c r="G795" s="145"/>
    </row>
    <row r="796" spans="1:7" s="114" customFormat="1">
      <c r="A796" s="145"/>
      <c r="B796" s="145"/>
      <c r="G796" s="145"/>
    </row>
    <row r="797" spans="1:7" s="114" customFormat="1">
      <c r="A797" s="145"/>
      <c r="B797" s="145"/>
      <c r="G797" s="145"/>
    </row>
    <row r="798" spans="1:7" s="114" customFormat="1">
      <c r="A798" s="145"/>
      <c r="B798" s="145"/>
      <c r="G798" s="145"/>
    </row>
  </sheetData>
  <sortState xmlns:xlrd2="http://schemas.microsoft.com/office/spreadsheetml/2017/richdata2" ref="A13:M35">
    <sortCondition descending="1" ref="F13:F35"/>
  </sortState>
  <hyperlinks>
    <hyperlink ref="I1" location="Index!A1" display="Return to Index" xr:uid="{00000000-0004-0000-0A00-000000000000}"/>
  </hyperlinks>
  <printOptions horizontalCentered="1"/>
  <pageMargins left="0.25" right="0.25" top="0.5" bottom="0.5" header="0.5" footer="0.5"/>
  <pageSetup scale="86" orientation="landscape" horizontalDpi="1200" verticalDpi="1200" r:id="rId1"/>
  <headerFooter alignWithMargins="0">
    <oddFooter>&amp;L&amp;8Planning &amp; Accountability&amp;R&amp;8&amp;D</oddFooter>
  </headerFooter>
  <rowBreaks count="1" manualBreakCount="1">
    <brk id="50" min="2" max="17" man="1"/>
  </row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Sheet87">
    <tabColor indexed="47"/>
    <pageSetUpPr fitToPage="1"/>
  </sheetPr>
  <dimension ref="A1:E165"/>
  <sheetViews>
    <sheetView showGridLines="0" zoomScale="65" zoomScaleNormal="65" zoomScaleSheetLayoutView="65" workbookViewId="0">
      <selection activeCell="B116" sqref="B116"/>
    </sheetView>
  </sheetViews>
  <sheetFormatPr defaultColWidth="9.140625" defaultRowHeight="12.75" customHeight="1"/>
  <cols>
    <col min="1" max="1" width="158.7109375" style="53" customWidth="1"/>
    <col min="2" max="2" width="22.7109375" style="53" customWidth="1"/>
    <col min="3" max="3" width="49.42578125" style="53" customWidth="1"/>
    <col min="4" max="4" width="20.7109375" style="53" customWidth="1"/>
    <col min="5" max="5" width="9.140625" style="679"/>
    <col min="6" max="16384" width="9.140625" style="53"/>
  </cols>
  <sheetData>
    <row r="1" spans="1:5" ht="28.5" thickBot="1">
      <c r="A1" s="159" t="s">
        <v>116</v>
      </c>
      <c r="B1" s="835" t="s">
        <v>1200</v>
      </c>
      <c r="C1" s="53" t="s">
        <v>1329</v>
      </c>
    </row>
    <row r="2" spans="1:5" ht="27.75">
      <c r="A2" s="54" t="str">
        <f>'Smmy Chrts'!$A$2</f>
        <v>For the Year Ended August 31, 2021</v>
      </c>
      <c r="C2" s="55" t="s">
        <v>63</v>
      </c>
    </row>
    <row r="3" spans="1:5" ht="27.75">
      <c r="A3" s="54" t="str">
        <f>'Smmy Chrts'!$A$3</f>
        <v>Source: FY 2021 Annual Financial Report</v>
      </c>
      <c r="C3" s="53" t="s">
        <v>64</v>
      </c>
    </row>
    <row r="4" spans="1:5" ht="12.75" customHeight="1">
      <c r="C4" s="53" t="s">
        <v>267</v>
      </c>
    </row>
    <row r="5" spans="1:5" ht="12.75" customHeight="1">
      <c r="C5" s="53" t="s">
        <v>268</v>
      </c>
    </row>
    <row r="7" spans="1:5" ht="12.75" customHeight="1">
      <c r="C7" s="1687" t="s">
        <v>25</v>
      </c>
      <c r="D7" s="1687"/>
    </row>
    <row r="8" spans="1:5" ht="12.75" customHeight="1">
      <c r="C8" s="57"/>
      <c r="D8" s="58"/>
    </row>
    <row r="9" spans="1:5" ht="12.75" customHeight="1">
      <c r="C9" s="59" t="str">
        <f>'UHCL Sum'!A9</f>
        <v>State of Texas</v>
      </c>
      <c r="D9" s="60">
        <f>'UHCL Sum'!B15</f>
        <v>47051198</v>
      </c>
      <c r="E9" s="680">
        <f>ROUND(D9/$D$14,3)</f>
        <v>0.29899999999999999</v>
      </c>
    </row>
    <row r="10" spans="1:5" ht="12.75" customHeight="1">
      <c r="C10" s="59" t="str">
        <f>'UHCL Sum'!A17</f>
        <v>Student &amp; Parent</v>
      </c>
      <c r="D10" s="60">
        <f>'UHCL Sum'!B20</f>
        <v>57336848</v>
      </c>
      <c r="E10" s="680">
        <f t="shared" ref="E10:E12" si="0">ROUND(D10/$D$14,3)</f>
        <v>0.36399999999999999</v>
      </c>
    </row>
    <row r="11" spans="1:5" ht="12.75" customHeight="1">
      <c r="C11" s="59" t="str">
        <f>'UHCL Sum'!A22</f>
        <v>Federal Government</v>
      </c>
      <c r="D11" s="60">
        <f>'UHCL Sum'!B23</f>
        <v>37552981</v>
      </c>
      <c r="E11" s="680">
        <f t="shared" si="0"/>
        <v>0.23899999999999999</v>
      </c>
    </row>
    <row r="12" spans="1:5" ht="12.75" customHeight="1">
      <c r="C12" s="59" t="str">
        <f>'UHCL Sum'!A25</f>
        <v>Institutional Resources</v>
      </c>
      <c r="D12" s="60">
        <f>'UHCL Sum'!B32</f>
        <v>15445776</v>
      </c>
      <c r="E12" s="680">
        <f t="shared" si="0"/>
        <v>9.8000000000000004E-2</v>
      </c>
    </row>
    <row r="13" spans="1:5" ht="12.75" customHeight="1">
      <c r="C13" s="57"/>
      <c r="D13" s="58"/>
      <c r="E13" s="680"/>
    </row>
    <row r="14" spans="1:5" ht="12.75" customHeight="1">
      <c r="C14" s="61" t="s">
        <v>68</v>
      </c>
      <c r="D14" s="62">
        <f>SUM(D9:D13)</f>
        <v>157386803</v>
      </c>
      <c r="E14" s="680">
        <f>SUM(E9:E13)</f>
        <v>1</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86" t="str">
        <f>C14&amp;" "&amp;TEXT(D14,"$#,###")</f>
        <v>Total Operating Sources $157,386,803</v>
      </c>
    </row>
    <row r="48" spans="1:1" ht="12.75" customHeight="1">
      <c r="A48" s="1686"/>
    </row>
    <row r="49" spans="1:5" ht="12.75" customHeight="1">
      <c r="A49" s="56"/>
    </row>
    <row r="52" spans="1:5" ht="12.75" customHeight="1">
      <c r="C52" s="63" t="s">
        <v>25</v>
      </c>
      <c r="D52" s="58"/>
    </row>
    <row r="54" spans="1:5" ht="12.75" customHeight="1">
      <c r="C54" s="59" t="s">
        <v>1</v>
      </c>
      <c r="D54" s="60">
        <f>'UHCL Sum'!B10</f>
        <v>34963937</v>
      </c>
      <c r="E54" s="680">
        <f>ROUND(D54/$D$67,3)</f>
        <v>0.222</v>
      </c>
    </row>
    <row r="55" spans="1:5" ht="12.75" customHeight="1">
      <c r="C55" s="59" t="s">
        <v>221</v>
      </c>
      <c r="D55" s="60">
        <f>'UHCL Sum'!B11</f>
        <v>4361218</v>
      </c>
      <c r="E55" s="680">
        <f t="shared" ref="E55:E66" si="1">ROUND(D55/$D$67,3)</f>
        <v>2.8000000000000001E-2</v>
      </c>
    </row>
    <row r="56" spans="1:5" ht="12.75" customHeight="1">
      <c r="C56" s="59"/>
      <c r="D56" s="60"/>
      <c r="E56" s="680"/>
    </row>
    <row r="57" spans="1:5" ht="12.75" customHeight="1">
      <c r="C57" s="59" t="str">
        <f>'UHCL Sum'!A13</f>
        <v>Higher Education Fund</v>
      </c>
      <c r="D57" s="60">
        <f>'UHCL Sum'!B13</f>
        <v>7726043</v>
      </c>
      <c r="E57" s="680">
        <f t="shared" si="1"/>
        <v>4.9000000000000002E-2</v>
      </c>
    </row>
    <row r="58" spans="1:5" ht="12.75" customHeight="1">
      <c r="C58" s="1069" t="s">
        <v>41</v>
      </c>
      <c r="D58" s="60">
        <f>'UHCL Sum'!B14</f>
        <v>0</v>
      </c>
      <c r="E58" s="680">
        <f t="shared" si="1"/>
        <v>0</v>
      </c>
    </row>
    <row r="59" spans="1:5" ht="12.75" customHeight="1">
      <c r="C59" s="59" t="s">
        <v>87</v>
      </c>
      <c r="D59" s="60">
        <f>'UHCL Sum'!B20</f>
        <v>57336848</v>
      </c>
      <c r="E59" s="680">
        <f t="shared" si="1"/>
        <v>0.36399999999999999</v>
      </c>
    </row>
    <row r="60" spans="1:5" ht="12.75" customHeight="1">
      <c r="C60" s="64" t="s">
        <v>74</v>
      </c>
      <c r="D60" s="60">
        <f>'UHCL Sum'!B23</f>
        <v>37552981</v>
      </c>
      <c r="E60" s="680">
        <f t="shared" si="1"/>
        <v>0.23899999999999999</v>
      </c>
    </row>
    <row r="61" spans="1:5" ht="12.75" customHeight="1">
      <c r="C61" s="59" t="s">
        <v>75</v>
      </c>
      <c r="D61" s="60">
        <f>'UHCL Sum'!B26</f>
        <v>4102236</v>
      </c>
      <c r="E61" s="680">
        <f t="shared" si="1"/>
        <v>2.5999999999999999E-2</v>
      </c>
    </row>
    <row r="62" spans="1:5" ht="12.75" customHeight="1">
      <c r="C62" s="59" t="s">
        <v>27</v>
      </c>
      <c r="D62" s="60">
        <f>'UHCL Sum'!B27</f>
        <v>94576</v>
      </c>
      <c r="E62" s="680">
        <f t="shared" si="1"/>
        <v>1E-3</v>
      </c>
    </row>
    <row r="63" spans="1:5" ht="12.75" customHeight="1">
      <c r="C63" s="59" t="s">
        <v>76</v>
      </c>
      <c r="D63" s="60">
        <f>'UHCL Sum'!B28</f>
        <v>1358094</v>
      </c>
      <c r="E63" s="680">
        <f t="shared" si="1"/>
        <v>8.9999999999999993E-3</v>
      </c>
    </row>
    <row r="64" spans="1:5" ht="12.75" customHeight="1">
      <c r="C64" s="59" t="s">
        <v>77</v>
      </c>
      <c r="D64" s="60">
        <f>'UHCL Sum'!B29</f>
        <v>1162537</v>
      </c>
      <c r="E64" s="680">
        <f t="shared" si="1"/>
        <v>7.0000000000000001E-3</v>
      </c>
    </row>
    <row r="65" spans="1:5" ht="12.75" customHeight="1">
      <c r="C65" s="59" t="s">
        <v>220</v>
      </c>
      <c r="D65" s="60">
        <f>'UHCL Sum'!B30</f>
        <v>1535903</v>
      </c>
      <c r="E65" s="680">
        <f t="shared" si="1"/>
        <v>0.01</v>
      </c>
    </row>
    <row r="66" spans="1:5" ht="12.75" customHeight="1">
      <c r="C66" s="64" t="s">
        <v>52</v>
      </c>
      <c r="D66" s="60">
        <f>'UHCL Sum'!B31</f>
        <v>7192430</v>
      </c>
      <c r="E66" s="680">
        <f t="shared" si="1"/>
        <v>4.5999999999999999E-2</v>
      </c>
    </row>
    <row r="67" spans="1:5" ht="12.75" customHeight="1">
      <c r="C67" s="61" t="s">
        <v>68</v>
      </c>
      <c r="D67" s="62">
        <f>SUM(D54:D66)</f>
        <v>157386803</v>
      </c>
      <c r="E67" s="681">
        <f>SUM(E54:E66)</f>
        <v>1.0010000000000001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86" t="str">
        <f>C67&amp;" "&amp;TEXT(D67,"$#,###")</f>
        <v>Total Operating Sources $157,386,803</v>
      </c>
    </row>
    <row r="93" spans="1:5" ht="12.75" customHeight="1">
      <c r="A93" s="1686"/>
    </row>
    <row r="94" spans="1:5" ht="12.75" customHeight="1">
      <c r="A94" s="65"/>
    </row>
    <row r="95" spans="1:5" s="68" customFormat="1" ht="12.75" customHeight="1">
      <c r="A95" s="66"/>
      <c r="E95" s="682"/>
    </row>
    <row r="96" spans="1:5" ht="12.75" customHeight="1">
      <c r="A96" s="65"/>
    </row>
    <row r="97" spans="1:5" ht="12.75" customHeight="1">
      <c r="A97" s="65"/>
    </row>
    <row r="98" spans="1:5" ht="12.75" customHeight="1">
      <c r="A98" s="65"/>
    </row>
    <row r="100" spans="1:5" ht="12.75" customHeight="1">
      <c r="C100" s="1687" t="s">
        <v>13</v>
      </c>
      <c r="D100" s="1687"/>
    </row>
    <row r="101" spans="1:5" ht="12.75" customHeight="1">
      <c r="C101" s="1687"/>
      <c r="D101" s="1687"/>
    </row>
    <row r="102" spans="1:5" ht="12.75" customHeight="1">
      <c r="C102" s="69" t="s">
        <v>14</v>
      </c>
      <c r="D102" s="60">
        <f>'UHCL Sum'!B36</f>
        <v>43137652</v>
      </c>
      <c r="E102" s="680">
        <f>ROUND(D102/$D$114,3)</f>
        <v>0.28499999999999998</v>
      </c>
    </row>
    <row r="103" spans="1:5" ht="12.75" customHeight="1">
      <c r="C103" s="69" t="s">
        <v>15</v>
      </c>
      <c r="D103" s="60">
        <f>'UHCL Sum'!B37</f>
        <v>1716255</v>
      </c>
      <c r="E103" s="680">
        <f t="shared" ref="E103:E112" si="2">ROUND(D103/$D$114,3)</f>
        <v>1.0999999999999999E-2</v>
      </c>
    </row>
    <row r="104" spans="1:5" ht="12.75" customHeight="1">
      <c r="C104" s="69" t="s">
        <v>16</v>
      </c>
      <c r="D104" s="60">
        <f>'UHCL Sum'!B38</f>
        <v>67916</v>
      </c>
      <c r="E104" s="680">
        <f t="shared" si="2"/>
        <v>0</v>
      </c>
    </row>
    <row r="105" spans="1:5" ht="12.75" customHeight="1">
      <c r="C105" s="69" t="s">
        <v>17</v>
      </c>
      <c r="D105" s="60">
        <f>'UHCL Sum'!B39</f>
        <v>30982166</v>
      </c>
      <c r="E105" s="680">
        <f t="shared" si="2"/>
        <v>0.20499999999999999</v>
      </c>
    </row>
    <row r="106" spans="1:5" ht="12.75" customHeight="1">
      <c r="C106" s="69" t="s">
        <v>18</v>
      </c>
      <c r="D106" s="60">
        <f>'UHCL Sum'!B40</f>
        <v>8048828</v>
      </c>
      <c r="E106" s="680">
        <f t="shared" si="2"/>
        <v>5.2999999999999999E-2</v>
      </c>
    </row>
    <row r="107" spans="1:5" ht="12.75" customHeight="1">
      <c r="C107" s="69" t="s">
        <v>19</v>
      </c>
      <c r="D107" s="60">
        <f>'UHCL Sum'!B41</f>
        <v>17684701</v>
      </c>
      <c r="E107" s="680">
        <f t="shared" si="2"/>
        <v>0.11700000000000001</v>
      </c>
    </row>
    <row r="108" spans="1:5" ht="12.75" customHeight="1">
      <c r="C108" s="69" t="s">
        <v>78</v>
      </c>
      <c r="D108" s="60">
        <f>'UHCL Sum'!B42</f>
        <v>9945266</v>
      </c>
      <c r="E108" s="680">
        <f t="shared" si="2"/>
        <v>6.6000000000000003E-2</v>
      </c>
    </row>
    <row r="109" spans="1:5" ht="12.75" customHeight="1">
      <c r="C109" s="69" t="s">
        <v>79</v>
      </c>
      <c r="D109" s="60">
        <f>'UHCL Sum'!B43</f>
        <v>18580717</v>
      </c>
      <c r="E109" s="680">
        <f t="shared" si="2"/>
        <v>0.123</v>
      </c>
    </row>
    <row r="110" spans="1:5" ht="12.75" customHeight="1">
      <c r="C110" s="69" t="s">
        <v>22</v>
      </c>
      <c r="D110" s="60">
        <f>'UHCL Sum'!B44</f>
        <v>6563705</v>
      </c>
      <c r="E110" s="680">
        <f t="shared" si="2"/>
        <v>4.2999999999999997E-2</v>
      </c>
    </row>
    <row r="111" spans="1:5" ht="12.75" customHeight="1">
      <c r="C111" s="64" t="s">
        <v>29</v>
      </c>
      <c r="D111" s="60">
        <f>'UHCL Sum'!B45</f>
        <v>2979760</v>
      </c>
      <c r="E111" s="680">
        <f t="shared" si="2"/>
        <v>0.02</v>
      </c>
    </row>
    <row r="112" spans="1:5" ht="12.75" customHeight="1">
      <c r="C112" s="64" t="s">
        <v>53</v>
      </c>
      <c r="D112" s="60">
        <f>'UHCL Sum'!B46</f>
        <v>11413839</v>
      </c>
      <c r="E112" s="680">
        <f t="shared" si="2"/>
        <v>7.5999999999999998E-2</v>
      </c>
    </row>
    <row r="113" spans="3:5" ht="12.75" customHeight="1">
      <c r="C113" s="57"/>
      <c r="D113" s="57"/>
    </row>
    <row r="114" spans="3:5" ht="12.75" customHeight="1">
      <c r="C114" s="70" t="s">
        <v>69</v>
      </c>
      <c r="D114" s="62">
        <f>SUM(D102:D113)</f>
        <v>151120805</v>
      </c>
      <c r="E114" s="681">
        <f>SUM(E102:E113)</f>
        <v>0.99900000000000011</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86" t="str">
        <f>C114&amp;" "&amp;TEXT(D114,"$#,###")</f>
        <v>Total Operating Uses $151,120,805</v>
      </c>
    </row>
    <row r="137" spans="1:1" ht="12.75" customHeight="1">
      <c r="A137" s="1686"/>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6D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1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transitionEvaluation="1" transitionEntry="1" codeName="Sheet88">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'UHCL Chrts'!$A$1</f>
        <v>University of Houston - Clear Lake</v>
      </c>
      <c r="B1" s="74"/>
      <c r="C1" s="1"/>
      <c r="D1" s="1704" t="s">
        <v>1200</v>
      </c>
      <c r="E1" s="1705"/>
      <c r="F1" s="1757" t="s">
        <v>1196</v>
      </c>
      <c r="G1" s="1706"/>
      <c r="H1" s="1706"/>
      <c r="I1" s="1706"/>
      <c r="J1" s="1707" t="s">
        <v>1197</v>
      </c>
      <c r="K1" s="1695"/>
      <c r="L1" s="1695"/>
      <c r="M1" s="1695"/>
      <c r="N1" s="1695"/>
      <c r="O1" s="1696"/>
    </row>
    <row r="2" spans="1:15" ht="15.75">
      <c r="A2" s="76" t="str">
        <f>'Smmy Chrts'!$A$2</f>
        <v>For the Year Ended August 31, 2021</v>
      </c>
      <c r="B2" s="74"/>
      <c r="C2" s="1"/>
      <c r="D2" s="37"/>
      <c r="E2" s="37"/>
      <c r="F2" s="37"/>
      <c r="J2" s="37"/>
      <c r="K2" s="37"/>
      <c r="L2" s="37"/>
      <c r="M2" s="37"/>
    </row>
    <row r="3" spans="1:15" ht="15.75">
      <c r="A3" s="76" t="str">
        <f>'Smmy Chrts'!$A$3</f>
        <v>Source: FY 2021 Annual Financial Report</v>
      </c>
      <c r="B3" s="74"/>
      <c r="C3" s="1"/>
    </row>
    <row r="4" spans="1:15" ht="13.5" customHeight="1">
      <c r="B4" s="77"/>
      <c r="C4" s="4"/>
      <c r="D4" s="1711" t="s">
        <v>1142</v>
      </c>
      <c r="E4" s="1711" t="s">
        <v>1143</v>
      </c>
      <c r="F4" s="266"/>
    </row>
    <row r="5" spans="1:15" ht="18">
      <c r="A5" s="39" t="str">
        <f>'Smmy Chrts'!$C$35</f>
        <v>Summary Worksheet FY 2021</v>
      </c>
      <c r="B5" s="40" t="s">
        <v>86</v>
      </c>
      <c r="C5" s="40" t="s">
        <v>129</v>
      </c>
      <c r="D5" s="1712"/>
      <c r="E5" s="1712"/>
      <c r="F5" s="266"/>
      <c r="G5" s="799" t="s">
        <v>1198</v>
      </c>
      <c r="I5" s="822" t="s">
        <v>2157</v>
      </c>
      <c r="J5" s="792" t="s">
        <v>1144</v>
      </c>
    </row>
    <row r="6" spans="1:15" ht="13.5" customHeight="1">
      <c r="A6" s="78" t="s">
        <v>266</v>
      </c>
      <c r="B6" s="41"/>
      <c r="C6" s="42">
        <f>FTSE!$N$29</f>
        <v>6762.63</v>
      </c>
      <c r="J6" s="712"/>
    </row>
    <row r="7" spans="1:15">
      <c r="I7" s="824" t="s">
        <v>1162</v>
      </c>
      <c r="J7" s="827"/>
    </row>
    <row r="8" spans="1:15">
      <c r="A8" s="81" t="s">
        <v>71</v>
      </c>
      <c r="B8" s="81"/>
      <c r="C8" s="24"/>
      <c r="I8" s="896">
        <f>VLOOKUP(A1,FTSELU,14,FALSE)</f>
        <v>666.72</v>
      </c>
      <c r="J8" s="712"/>
    </row>
    <row r="9" spans="1:15" ht="12.75" customHeight="1" thickBot="1">
      <c r="A9" s="78" t="s">
        <v>0</v>
      </c>
      <c r="B9" s="82"/>
      <c r="C9" s="7"/>
      <c r="J9" s="712"/>
    </row>
    <row r="10" spans="1:15" ht="12.75" customHeight="1" thickTop="1">
      <c r="A10" s="75" t="s">
        <v>1</v>
      </c>
      <c r="B10" s="83">
        <f>'UHCL FGD'!M10</f>
        <v>34963937</v>
      </c>
      <c r="C10" s="83">
        <f>ROUND(B10/$C$6,0)</f>
        <v>5170</v>
      </c>
      <c r="D10" s="512">
        <f>'UHCL FGD'!F10</f>
        <v>0</v>
      </c>
      <c r="E10" s="512"/>
      <c r="F10" s="84">
        <f>B10-(SUM(D10:E10))</f>
        <v>34963937</v>
      </c>
      <c r="G10" s="1143" t="s">
        <v>1</v>
      </c>
      <c r="H10" s="1144"/>
      <c r="I10" s="825" t="s">
        <v>1161</v>
      </c>
      <c r="J10" s="713">
        <f>ROUND(F10/$C$6,0)</f>
        <v>5170</v>
      </c>
    </row>
    <row r="11" spans="1:15" ht="12.75" customHeight="1" thickBot="1">
      <c r="A11" s="75" t="s">
        <v>2</v>
      </c>
      <c r="B11" s="86">
        <f>'UHCL FGD'!M11</f>
        <v>4361218</v>
      </c>
      <c r="C11" s="87">
        <f t="shared" ref="C11:C14" si="0">ROUND(B11/$C$6,0)</f>
        <v>645</v>
      </c>
      <c r="D11" s="86">
        <f>'UHCL FGD'!F11</f>
        <v>0</v>
      </c>
      <c r="E11" s="74"/>
      <c r="F11" s="606">
        <f t="shared" ref="F11:F14" si="1">B11-(SUM(D11:E11))</f>
        <v>4361218</v>
      </c>
      <c r="G11" s="1148">
        <f>SUM(F10:F11)</f>
        <v>39325155</v>
      </c>
      <c r="H11" s="715"/>
      <c r="I11" s="1373">
        <f>ROUND($G$11/$C$6,0)</f>
        <v>5815</v>
      </c>
      <c r="J11" s="716">
        <f t="shared" ref="J11:J14" si="2">ROUND(F11/$C$6,0)</f>
        <v>645</v>
      </c>
    </row>
    <row r="12" spans="1:15" ht="12.75" hidden="1" customHeight="1" thickTop="1" thickBot="1">
      <c r="A12" s="75" t="s">
        <v>1410</v>
      </c>
      <c r="B12" s="86"/>
      <c r="C12" s="87"/>
      <c r="D12" s="86"/>
      <c r="E12" s="74"/>
      <c r="F12" s="607"/>
      <c r="J12" s="716"/>
      <c r="O12" s="608"/>
    </row>
    <row r="13" spans="1:15" ht="12.75" customHeight="1" thickTop="1">
      <c r="A13" s="75" t="s">
        <v>1368</v>
      </c>
      <c r="B13" s="86">
        <f>'UHCL FGD'!M13</f>
        <v>7726043</v>
      </c>
      <c r="C13" s="87">
        <f t="shared" si="0"/>
        <v>1142</v>
      </c>
      <c r="D13" s="86">
        <f>'UHCL FGD'!F13</f>
        <v>0</v>
      </c>
      <c r="E13" s="74"/>
      <c r="F13" s="893">
        <f t="shared" si="1"/>
        <v>7726043</v>
      </c>
      <c r="G13" s="882" t="s">
        <v>81</v>
      </c>
      <c r="H13" s="894"/>
      <c r="I13" s="826" t="s">
        <v>1163</v>
      </c>
      <c r="J13" s="716">
        <f t="shared" si="2"/>
        <v>1142</v>
      </c>
    </row>
    <row r="14" spans="1:15" ht="12.75" customHeight="1" thickBot="1">
      <c r="A14" s="75" t="s">
        <v>49</v>
      </c>
      <c r="B14" s="86">
        <f>'UHCL FGD'!M14</f>
        <v>0</v>
      </c>
      <c r="C14" s="87">
        <f t="shared" si="0"/>
        <v>0</v>
      </c>
      <c r="D14" s="86">
        <f>'UHCL FGD'!F14</f>
        <v>0</v>
      </c>
      <c r="E14" s="74"/>
      <c r="F14" s="607">
        <f t="shared" si="1"/>
        <v>0</v>
      </c>
      <c r="G14" s="800">
        <f>SUM(F13:F14)</f>
        <v>7726043</v>
      </c>
      <c r="H14" s="895"/>
      <c r="I14" s="1377">
        <f>ROUND($G$11/$I$8,0)</f>
        <v>58983</v>
      </c>
      <c r="J14" s="828">
        <f t="shared" si="2"/>
        <v>0</v>
      </c>
    </row>
    <row r="15" spans="1:15" ht="12.75" customHeight="1" thickTop="1">
      <c r="A15" s="88" t="s">
        <v>3</v>
      </c>
      <c r="B15" s="89">
        <f>SUM(B10:B14)</f>
        <v>47051198</v>
      </c>
      <c r="C15" s="89">
        <f>SUM(C10:C14)</f>
        <v>6957</v>
      </c>
      <c r="D15" s="89">
        <f>SUM(D10:D14)</f>
        <v>0</v>
      </c>
      <c r="E15" s="89">
        <f>SUM(E10:E14)</f>
        <v>0</v>
      </c>
      <c r="F15" s="216">
        <f>SUM(F10:F14)</f>
        <v>47051198</v>
      </c>
      <c r="I15" s="1372"/>
      <c r="J15" s="757">
        <f>SUM(J10:J14)</f>
        <v>6957</v>
      </c>
    </row>
    <row r="16" spans="1:15">
      <c r="B16" s="48"/>
      <c r="C16" s="75"/>
      <c r="J16" s="712"/>
    </row>
    <row r="17" spans="1:31" ht="12.75" customHeight="1">
      <c r="A17" s="78" t="s">
        <v>4</v>
      </c>
      <c r="B17" s="86"/>
      <c r="C17" s="75"/>
      <c r="J17" s="712"/>
    </row>
    <row r="18" spans="1:31">
      <c r="A18" s="75" t="s">
        <v>39</v>
      </c>
      <c r="B18" s="83">
        <f>'UHCL FGD'!M29</f>
        <v>43704163</v>
      </c>
      <c r="C18" s="83">
        <f t="shared" ref="C18:C19" si="3">ROUND(B18/$C$6,0)</f>
        <v>6463</v>
      </c>
      <c r="D18" s="512">
        <f>'UHCL FGD'!$F$29</f>
        <v>0</v>
      </c>
      <c r="E18" s="512"/>
      <c r="F18" s="512">
        <f t="shared" ref="F18:F19" si="4">B18-(SUM(D18:E18))</f>
        <v>43704163</v>
      </c>
      <c r="G18" s="337"/>
      <c r="H18" s="337"/>
      <c r="I18" s="337"/>
      <c r="J18" s="713">
        <f>ROUND(F18/$C$6,0)</f>
        <v>6463</v>
      </c>
    </row>
    <row r="19" spans="1:31" ht="13.5" thickBot="1">
      <c r="A19" s="75" t="s">
        <v>40</v>
      </c>
      <c r="B19" s="86">
        <f>'UHCL FGD'!M42</f>
        <v>13632685</v>
      </c>
      <c r="C19" s="87">
        <f t="shared" si="3"/>
        <v>2016</v>
      </c>
      <c r="D19" s="74">
        <f>'UHCL FGD'!$F$42</f>
        <v>5980380</v>
      </c>
      <c r="E19" s="74"/>
      <c r="F19" s="74">
        <f t="shared" si="4"/>
        <v>7652305</v>
      </c>
      <c r="G19" s="337"/>
      <c r="H19" s="337"/>
      <c r="I19" s="337"/>
      <c r="J19" s="716">
        <f>ROUND(F19/$C$6,0)</f>
        <v>1132</v>
      </c>
    </row>
    <row r="20" spans="1:31" ht="14.25" thickTop="1" thickBot="1">
      <c r="A20" s="88" t="s">
        <v>5</v>
      </c>
      <c r="B20" s="89">
        <f>SUM(B18:B19)</f>
        <v>57336848</v>
      </c>
      <c r="C20" s="89">
        <f>SUM(C18:C19)</f>
        <v>8479</v>
      </c>
      <c r="D20" s="717">
        <f>SUM(D18:D19)</f>
        <v>5980380</v>
      </c>
      <c r="E20" s="718">
        <f>SUM(E18:E19)</f>
        <v>0</v>
      </c>
      <c r="F20" s="801">
        <f>SUM(F18:F19)</f>
        <v>51356468</v>
      </c>
      <c r="G20" s="720" t="s">
        <v>26</v>
      </c>
      <c r="H20" s="366"/>
      <c r="I20" s="367"/>
      <c r="J20" s="721">
        <f>SUM(J18:J19)</f>
        <v>7595</v>
      </c>
    </row>
    <row r="21" spans="1:31" ht="12.75" customHeight="1" thickTop="1">
      <c r="B21" s="91"/>
      <c r="C21" s="75"/>
      <c r="F21" s="804"/>
      <c r="J21" s="712"/>
    </row>
    <row r="22" spans="1:31" ht="14.25" customHeight="1" thickBot="1">
      <c r="A22" s="78" t="s">
        <v>6</v>
      </c>
      <c r="B22" s="91"/>
      <c r="C22" s="75"/>
      <c r="J22" s="712"/>
    </row>
    <row r="23" spans="1:31" ht="14.25" thickTop="1" thickBot="1">
      <c r="A23" s="88" t="s">
        <v>7</v>
      </c>
      <c r="B23" s="92">
        <f>'UHCL FGD'!M47</f>
        <v>37552981</v>
      </c>
      <c r="C23" s="89">
        <f t="shared" ref="C23" si="5">ROUND(B23/$C$6,0)</f>
        <v>5553</v>
      </c>
      <c r="D23" s="717">
        <f>'UHCL FGD'!F47</f>
        <v>0</v>
      </c>
      <c r="E23" s="718"/>
      <c r="F23" s="801">
        <f>B23-(SUM(D23:E23))</f>
        <v>37552981</v>
      </c>
      <c r="G23" s="722" t="s">
        <v>74</v>
      </c>
      <c r="H23" s="366"/>
      <c r="I23" s="367"/>
      <c r="J23" s="756">
        <f>ROUND(F23/$C$6,0)</f>
        <v>5553</v>
      </c>
    </row>
    <row r="24" spans="1:31" ht="13.5" thickTop="1">
      <c r="B24" s="91"/>
      <c r="C24" s="75"/>
      <c r="J24" s="712"/>
    </row>
    <row r="25" spans="1:31">
      <c r="A25" s="78" t="s">
        <v>8</v>
      </c>
      <c r="B25" s="91"/>
      <c r="C25" s="75"/>
      <c r="J25" s="712"/>
    </row>
    <row r="26" spans="1:31">
      <c r="A26" s="75" t="s">
        <v>42</v>
      </c>
      <c r="B26" s="83">
        <f>'UHCL FGD'!M50</f>
        <v>4102236</v>
      </c>
      <c r="C26" s="83">
        <f t="shared" ref="C26:C31" si="6">ROUND(B26/$C$6,0)</f>
        <v>607</v>
      </c>
      <c r="D26" s="512">
        <f>'UHCL FGD'!F50</f>
        <v>0</v>
      </c>
      <c r="E26" s="512"/>
      <c r="F26" s="512">
        <f t="shared" ref="F26:F31" si="7">B26-(SUM(D26:E26))</f>
        <v>4102236</v>
      </c>
      <c r="G26" s="337"/>
      <c r="H26" s="337"/>
      <c r="I26" s="337"/>
      <c r="J26" s="713">
        <f>ROUND(F26/$C$6,0)</f>
        <v>607</v>
      </c>
    </row>
    <row r="27" spans="1:31">
      <c r="A27" s="75" t="s">
        <v>9</v>
      </c>
      <c r="B27" s="86">
        <f>'UHCL FGD'!M51</f>
        <v>94576</v>
      </c>
      <c r="C27" s="87">
        <f t="shared" si="6"/>
        <v>14</v>
      </c>
      <c r="D27" s="86">
        <f>'UHCL FGD'!F51</f>
        <v>0</v>
      </c>
      <c r="E27" s="74"/>
      <c r="F27" s="74">
        <f t="shared" si="7"/>
        <v>94576</v>
      </c>
      <c r="G27" s="337"/>
      <c r="H27" s="337"/>
      <c r="I27" s="337"/>
      <c r="J27" s="716">
        <f t="shared" ref="J27:J31" si="8">ROUND(F27/$C$6,0)</f>
        <v>14</v>
      </c>
    </row>
    <row r="28" spans="1:31" ht="13.5" thickBot="1">
      <c r="A28" s="75" t="s">
        <v>10</v>
      </c>
      <c r="B28" s="86">
        <f>'UHCL FGD'!M52</f>
        <v>1358094</v>
      </c>
      <c r="C28" s="87">
        <f t="shared" si="6"/>
        <v>201</v>
      </c>
      <c r="D28" s="86">
        <f>'UHCL FGD'!F52</f>
        <v>0</v>
      </c>
      <c r="E28" s="74"/>
      <c r="F28" s="74">
        <f t="shared" si="7"/>
        <v>1358094</v>
      </c>
      <c r="G28" s="337"/>
      <c r="H28" s="337"/>
      <c r="I28" s="337"/>
      <c r="J28" s="716">
        <f t="shared" si="8"/>
        <v>201</v>
      </c>
    </row>
    <row r="29" spans="1:31" ht="13.5" thickBot="1">
      <c r="A29" s="75" t="s">
        <v>11</v>
      </c>
      <c r="B29" s="86">
        <f>'UHCL FGD'!M53</f>
        <v>1162537</v>
      </c>
      <c r="C29" s="87">
        <f t="shared" si="6"/>
        <v>172</v>
      </c>
      <c r="D29" s="86">
        <f>'UHCL FGD'!F53</f>
        <v>0</v>
      </c>
      <c r="E29" s="74"/>
      <c r="F29" s="74">
        <f t="shared" si="7"/>
        <v>1162537</v>
      </c>
      <c r="G29" s="337"/>
      <c r="H29" s="337"/>
      <c r="I29" s="337"/>
      <c r="J29" s="716">
        <f t="shared" si="8"/>
        <v>172</v>
      </c>
      <c r="K29" s="1694" t="s">
        <v>1065</v>
      </c>
      <c r="L29" s="1695"/>
      <c r="M29" s="1695"/>
      <c r="N29" s="1695"/>
      <c r="O29" s="1696"/>
    </row>
    <row r="30" spans="1:31" ht="13.5" thickBot="1">
      <c r="A30" s="93" t="s">
        <v>2134</v>
      </c>
      <c r="B30" s="94">
        <f>'UHCL FGD'!M54</f>
        <v>1535903</v>
      </c>
      <c r="C30" s="87">
        <f t="shared" si="6"/>
        <v>227</v>
      </c>
      <c r="D30" s="729">
        <f>B30</f>
        <v>1535903</v>
      </c>
      <c r="E30" s="74"/>
      <c r="F30" s="74">
        <f t="shared" si="7"/>
        <v>0</v>
      </c>
      <c r="G30" s="337"/>
      <c r="H30" s="337"/>
      <c r="I30" s="337"/>
      <c r="J30" s="716">
        <f t="shared" si="8"/>
        <v>0</v>
      </c>
      <c r="K30" s="1694" t="s">
        <v>1070</v>
      </c>
      <c r="L30" s="1695"/>
      <c r="M30" s="1695"/>
      <c r="N30" s="1695"/>
      <c r="O30" s="1696"/>
    </row>
    <row r="31" spans="1:31" ht="13.5" customHeight="1" thickBot="1">
      <c r="A31" s="95" t="s">
        <v>43</v>
      </c>
      <c r="B31" s="86">
        <f>'UHCL FGD'!M55</f>
        <v>7192430</v>
      </c>
      <c r="C31" s="87">
        <f t="shared" si="6"/>
        <v>1064</v>
      </c>
      <c r="D31" s="86">
        <f>'UHCL FGD'!F55</f>
        <v>3442799</v>
      </c>
      <c r="E31" s="74"/>
      <c r="F31" s="74">
        <f t="shared" si="7"/>
        <v>3749631</v>
      </c>
      <c r="G31" s="35"/>
      <c r="H31" s="35"/>
      <c r="I31" s="38"/>
      <c r="J31" s="716">
        <f t="shared" si="8"/>
        <v>554</v>
      </c>
      <c r="K31" s="1697" t="s">
        <v>1073</v>
      </c>
      <c r="L31" s="1697" t="s">
        <v>1071</v>
      </c>
      <c r="M31" s="1697" t="s">
        <v>1072</v>
      </c>
      <c r="N31" s="1697" t="s">
        <v>1240</v>
      </c>
      <c r="O31" s="1697"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15445776</v>
      </c>
      <c r="C32" s="89">
        <f>SUM(C26:C31)</f>
        <v>2285</v>
      </c>
      <c r="D32" s="723">
        <f>SUM(D26:D31)</f>
        <v>4978702</v>
      </c>
      <c r="E32" s="723">
        <f>SUM(E26:E31)</f>
        <v>0</v>
      </c>
      <c r="F32" s="802">
        <f>SUM(F26:F31)</f>
        <v>10467074</v>
      </c>
      <c r="G32" s="1708" t="s">
        <v>8</v>
      </c>
      <c r="H32" s="1709"/>
      <c r="I32" s="783" t="s">
        <v>1166</v>
      </c>
      <c r="J32" s="725">
        <f>SUM(J26:J31)</f>
        <v>1548</v>
      </c>
      <c r="K32" s="1698"/>
      <c r="L32" s="1698"/>
      <c r="M32" s="1698"/>
      <c r="N32" s="1698" t="s">
        <v>1074</v>
      </c>
      <c r="O32" s="1698" t="s">
        <v>1075</v>
      </c>
    </row>
    <row r="33" spans="1:31" ht="14.25" thickTop="1" thickBot="1">
      <c r="A33" s="97" t="s">
        <v>68</v>
      </c>
      <c r="B33" s="52">
        <f>B15+B20+B23+B32</f>
        <v>157386803</v>
      </c>
      <c r="C33" s="45">
        <f>C15+C20+C23+C32</f>
        <v>23274</v>
      </c>
      <c r="D33" s="52">
        <f>D15+D20+D23+D32</f>
        <v>10959082</v>
      </c>
      <c r="E33" s="52">
        <f>E15+E20+E23+E32</f>
        <v>0</v>
      </c>
      <c r="F33" s="724">
        <f>F15+F20+F23+F32</f>
        <v>146427721</v>
      </c>
      <c r="G33" s="1758" t="s">
        <v>84</v>
      </c>
      <c r="H33" s="1759"/>
      <c r="I33" s="1375">
        <f>ROUND($G$35/$C$6,0)</f>
        <v>20510</v>
      </c>
      <c r="J33" s="726">
        <f>J15+J20+J23+J32</f>
        <v>21653</v>
      </c>
      <c r="K33" s="1698"/>
      <c r="L33" s="1698"/>
      <c r="M33" s="1698"/>
      <c r="N33" s="1698"/>
      <c r="O33" s="1698"/>
    </row>
    <row r="34" spans="1:31" ht="14.25" thickTop="1" thickBot="1">
      <c r="B34" s="98"/>
      <c r="C34" s="75"/>
      <c r="D34" s="337"/>
      <c r="E34" s="337"/>
      <c r="F34" s="337" t="s">
        <v>1199</v>
      </c>
      <c r="G34" s="787">
        <f>G14*-1</f>
        <v>-7726043</v>
      </c>
      <c r="H34" s="337"/>
      <c r="I34" s="783" t="s">
        <v>1167</v>
      </c>
      <c r="J34" s="727"/>
      <c r="K34" s="1699"/>
      <c r="L34" s="1699"/>
      <c r="M34" s="1699"/>
      <c r="N34" s="1699"/>
      <c r="O34" s="1699"/>
    </row>
    <row r="35" spans="1:31" ht="14.25" thickTop="1" thickBot="1">
      <c r="A35" s="81" t="s">
        <v>72</v>
      </c>
      <c r="B35" s="81"/>
      <c r="C35" s="81"/>
      <c r="D35" s="728"/>
      <c r="E35" s="728"/>
      <c r="F35" s="788" t="s">
        <v>1165</v>
      </c>
      <c r="G35" s="803">
        <f>F33+G34</f>
        <v>138701678</v>
      </c>
      <c r="I35" s="1376">
        <f>ROUND($G$35/$I$8,0)</f>
        <v>208036</v>
      </c>
      <c r="K35" s="609"/>
      <c r="L35" s="609"/>
      <c r="M35" s="609"/>
      <c r="N35" s="609"/>
      <c r="O35" s="609"/>
    </row>
    <row r="36" spans="1:31" ht="13.5" thickTop="1">
      <c r="A36" s="99" t="s">
        <v>14</v>
      </c>
      <c r="B36" s="83">
        <f>'UHCL FGD'!M60</f>
        <v>43137652</v>
      </c>
      <c r="C36" s="83">
        <f t="shared" ref="C36:C46" si="9">ROUND(B36/$C$6,0)</f>
        <v>6379</v>
      </c>
      <c r="D36" s="512">
        <f>'UHCL FGD'!F60</f>
        <v>0</v>
      </c>
      <c r="E36" s="512"/>
      <c r="F36" s="512">
        <f t="shared" ref="F36:F46" si="10">B36-(SUM(D36:E36))</f>
        <v>43137652</v>
      </c>
      <c r="G36" s="337"/>
      <c r="H36" s="1378" t="s">
        <v>2158</v>
      </c>
      <c r="I36" s="1379">
        <f>ROUND(F36/$C$6,0)</f>
        <v>6379</v>
      </c>
      <c r="J36" s="337" t="s">
        <v>752</v>
      </c>
      <c r="K36" s="512">
        <f>F36</f>
        <v>43137652</v>
      </c>
      <c r="L36" s="512">
        <f>K36</f>
        <v>43137652</v>
      </c>
      <c r="M36" s="512"/>
      <c r="N36" s="512"/>
      <c r="O36" s="512"/>
    </row>
    <row r="37" spans="1:31">
      <c r="A37" s="99" t="s">
        <v>15</v>
      </c>
      <c r="B37" s="86">
        <f>'UHCL FGD'!M61</f>
        <v>1716255</v>
      </c>
      <c r="C37" s="87">
        <f t="shared" si="9"/>
        <v>254</v>
      </c>
      <c r="D37" s="86">
        <f>'UHCL FGD'!F61</f>
        <v>0</v>
      </c>
      <c r="E37" s="74"/>
      <c r="F37" s="74">
        <f t="shared" si="10"/>
        <v>1716255</v>
      </c>
      <c r="G37" s="337"/>
      <c r="H37" s="337"/>
      <c r="J37" s="337" t="s">
        <v>1076</v>
      </c>
      <c r="K37" s="373">
        <f>F37</f>
        <v>1716255</v>
      </c>
      <c r="L37" s="373">
        <f>K37</f>
        <v>1716255</v>
      </c>
      <c r="M37" s="373"/>
      <c r="N37" s="373"/>
      <c r="O37" s="373"/>
    </row>
    <row r="38" spans="1:31">
      <c r="A38" s="99" t="s">
        <v>16</v>
      </c>
      <c r="B38" s="86">
        <f>'UHCL FGD'!M62</f>
        <v>67916</v>
      </c>
      <c r="C38" s="87">
        <f t="shared" si="9"/>
        <v>10</v>
      </c>
      <c r="D38" s="86">
        <f>'UHCL FGD'!F62</f>
        <v>0</v>
      </c>
      <c r="E38" s="86">
        <f>B38-D38</f>
        <v>67916</v>
      </c>
      <c r="F38" s="74">
        <f t="shared" si="10"/>
        <v>0</v>
      </c>
      <c r="G38" s="337"/>
      <c r="H38" s="337"/>
      <c r="I38" s="337"/>
      <c r="J38" s="337" t="s">
        <v>1077</v>
      </c>
      <c r="K38" s="736"/>
      <c r="L38" s="737"/>
      <c r="M38" s="737" t="s">
        <v>1152</v>
      </c>
      <c r="N38" s="737"/>
      <c r="O38" s="738"/>
    </row>
    <row r="39" spans="1:31">
      <c r="A39" s="99" t="s">
        <v>17</v>
      </c>
      <c r="B39" s="86">
        <f>'UHCL FGD'!M63</f>
        <v>30982166</v>
      </c>
      <c r="C39" s="87">
        <f t="shared" si="9"/>
        <v>4581</v>
      </c>
      <c r="D39" s="86">
        <f>'UHCL FGD'!F63</f>
        <v>0</v>
      </c>
      <c r="E39" s="74"/>
      <c r="F39" s="74">
        <f t="shared" si="10"/>
        <v>30982166</v>
      </c>
      <c r="G39" s="337"/>
      <c r="H39" s="1378" t="s">
        <v>2159</v>
      </c>
      <c r="I39" s="1379">
        <f>ROUND(F39/$C$6,0)</f>
        <v>4581</v>
      </c>
      <c r="J39" s="337" t="s">
        <v>1078</v>
      </c>
      <c r="K39" s="373">
        <f t="shared" ref="K39:K43" si="11">F39</f>
        <v>30982166</v>
      </c>
      <c r="L39" s="373">
        <f>K39</f>
        <v>30982166</v>
      </c>
      <c r="M39" s="373"/>
      <c r="N39" s="373"/>
      <c r="O39" s="373"/>
    </row>
    <row r="40" spans="1:31">
      <c r="A40" s="99" t="s">
        <v>18</v>
      </c>
      <c r="B40" s="86">
        <f>'UHCL FGD'!M64</f>
        <v>8048828</v>
      </c>
      <c r="C40" s="87">
        <f t="shared" si="9"/>
        <v>1190</v>
      </c>
      <c r="D40" s="86">
        <f>'UHCL FGD'!F64</f>
        <v>0</v>
      </c>
      <c r="E40" s="74"/>
      <c r="F40" s="74">
        <f t="shared" si="10"/>
        <v>8048828</v>
      </c>
      <c r="G40" s="337"/>
      <c r="J40" s="337" t="s">
        <v>1079</v>
      </c>
      <c r="K40" s="373">
        <f t="shared" si="11"/>
        <v>8048828</v>
      </c>
      <c r="L40" s="373"/>
      <c r="M40" s="373">
        <f>K40</f>
        <v>8048828</v>
      </c>
      <c r="N40" s="373"/>
      <c r="O40" s="373"/>
    </row>
    <row r="41" spans="1:31">
      <c r="A41" s="99" t="s">
        <v>19</v>
      </c>
      <c r="B41" s="86">
        <f>'UHCL FGD'!M65</f>
        <v>17684701</v>
      </c>
      <c r="C41" s="87">
        <f t="shared" si="9"/>
        <v>2615</v>
      </c>
      <c r="D41" s="86">
        <f>'UHCL FGD'!F65</f>
        <v>0</v>
      </c>
      <c r="E41" s="74"/>
      <c r="F41" s="74">
        <f t="shared" si="10"/>
        <v>17684701</v>
      </c>
      <c r="G41" s="337"/>
      <c r="H41" s="1378" t="s">
        <v>2160</v>
      </c>
      <c r="I41" s="1379">
        <f>ROUND(F41/$C$6,0)</f>
        <v>2615</v>
      </c>
      <c r="J41" s="337" t="s">
        <v>757</v>
      </c>
      <c r="K41" s="373">
        <f t="shared" si="11"/>
        <v>17684701</v>
      </c>
      <c r="L41" s="373"/>
      <c r="M41" s="373"/>
      <c r="N41" s="373">
        <f>K41</f>
        <v>17684701</v>
      </c>
      <c r="O41" s="373"/>
    </row>
    <row r="42" spans="1:31">
      <c r="A42" s="99" t="s">
        <v>20</v>
      </c>
      <c r="B42" s="86">
        <f>'UHCL FGD'!M66</f>
        <v>9945266</v>
      </c>
      <c r="C42" s="87">
        <f t="shared" si="9"/>
        <v>1471</v>
      </c>
      <c r="D42" s="86">
        <f>'UHCL FGD'!F66</f>
        <v>0</v>
      </c>
      <c r="E42" s="74"/>
      <c r="F42" s="74">
        <f t="shared" si="10"/>
        <v>9945266</v>
      </c>
      <c r="G42" s="337"/>
      <c r="J42" s="337" t="s">
        <v>758</v>
      </c>
      <c r="K42" s="373">
        <f t="shared" si="11"/>
        <v>9945266</v>
      </c>
      <c r="L42" s="373"/>
      <c r="M42" s="373"/>
      <c r="N42" s="373">
        <f>K42</f>
        <v>9945266</v>
      </c>
      <c r="O42" s="373"/>
    </row>
    <row r="43" spans="1:31">
      <c r="A43" s="99" t="s">
        <v>21</v>
      </c>
      <c r="B43" s="86">
        <f>'UHCL FGD'!M67</f>
        <v>18580717</v>
      </c>
      <c r="C43" s="87">
        <f t="shared" si="9"/>
        <v>2748</v>
      </c>
      <c r="D43" s="86">
        <f>'UHCL FGD'!F67</f>
        <v>0</v>
      </c>
      <c r="E43" s="74"/>
      <c r="F43" s="74">
        <f t="shared" si="10"/>
        <v>18580717</v>
      </c>
      <c r="G43" s="337"/>
      <c r="H43" s="337"/>
      <c r="I43" s="337"/>
      <c r="J43" s="337" t="s">
        <v>1145</v>
      </c>
      <c r="K43" s="373">
        <f t="shared" si="11"/>
        <v>18580717</v>
      </c>
      <c r="L43" s="373"/>
      <c r="M43" s="373">
        <f>K43</f>
        <v>18580717</v>
      </c>
      <c r="N43" s="373"/>
      <c r="O43" s="373"/>
    </row>
    <row r="44" spans="1:31">
      <c r="A44" s="99" t="s">
        <v>2135</v>
      </c>
      <c r="B44" s="86">
        <f>'UHCL FGD'!M68</f>
        <v>6563705</v>
      </c>
      <c r="C44" s="87">
        <f t="shared" si="9"/>
        <v>971</v>
      </c>
      <c r="D44" s="729">
        <f>B44</f>
        <v>6563705</v>
      </c>
      <c r="E44" s="74"/>
      <c r="F44" s="74">
        <f t="shared" si="10"/>
        <v>0</v>
      </c>
      <c r="G44" s="337"/>
      <c r="H44" s="337"/>
      <c r="I44" s="337"/>
      <c r="J44" s="337" t="s">
        <v>743</v>
      </c>
      <c r="K44" s="736"/>
      <c r="L44" s="737"/>
      <c r="M44" s="737" t="s">
        <v>1152</v>
      </c>
      <c r="N44" s="737"/>
      <c r="O44" s="738"/>
    </row>
    <row r="45" spans="1:31">
      <c r="A45" s="99" t="s">
        <v>61</v>
      </c>
      <c r="B45" s="86">
        <f>'UHCL FGD'!M69</f>
        <v>2979760</v>
      </c>
      <c r="C45" s="87">
        <f t="shared" si="9"/>
        <v>441</v>
      </c>
      <c r="D45" s="86">
        <f>'UHCL FGD'!F69</f>
        <v>81206</v>
      </c>
      <c r="E45" s="74"/>
      <c r="F45" s="74">
        <f t="shared" si="10"/>
        <v>2898554</v>
      </c>
      <c r="G45" s="337"/>
      <c r="H45" s="337"/>
      <c r="I45" s="337"/>
      <c r="J45" s="337" t="s">
        <v>1080</v>
      </c>
      <c r="K45" s="373">
        <f t="shared" ref="K45:K46" si="12">F45</f>
        <v>2898554</v>
      </c>
      <c r="L45" s="373"/>
      <c r="M45" s="373"/>
      <c r="N45" s="373"/>
      <c r="O45" s="373">
        <f>K45</f>
        <v>2898554</v>
      </c>
    </row>
    <row r="46" spans="1:31" ht="13.5" thickBot="1">
      <c r="A46" s="75" t="s">
        <v>50</v>
      </c>
      <c r="B46" s="86">
        <f>'UHCL FGD'!M70</f>
        <v>11413839</v>
      </c>
      <c r="C46" s="87">
        <f t="shared" si="9"/>
        <v>1688</v>
      </c>
      <c r="D46" s="86">
        <f>'UHCL FGD'!F70</f>
        <v>0</v>
      </c>
      <c r="E46" s="74"/>
      <c r="F46" s="74">
        <f t="shared" si="10"/>
        <v>11413839</v>
      </c>
      <c r="G46" s="35"/>
      <c r="H46" s="1378" t="s">
        <v>2161</v>
      </c>
      <c r="I46" s="1379">
        <f>ROUND(SUM(F37+F40+F42+F43+F45+F46)/$C$6,0)</f>
        <v>7779</v>
      </c>
      <c r="J46" s="610" t="s">
        <v>1075</v>
      </c>
      <c r="K46" s="373">
        <f t="shared" si="12"/>
        <v>11413839</v>
      </c>
      <c r="L46" s="611"/>
      <c r="M46" s="611"/>
      <c r="N46" s="611"/>
      <c r="O46" s="373">
        <f>K46</f>
        <v>11413839</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151120805</v>
      </c>
      <c r="C47" s="45">
        <f>SUM(C36:C46)</f>
        <v>22348</v>
      </c>
      <c r="D47" s="730">
        <f>SUM(D36:D46)</f>
        <v>6644911</v>
      </c>
      <c r="E47" s="731">
        <f>SUM(E36:E46)</f>
        <v>67916</v>
      </c>
      <c r="F47" s="719">
        <f>SUM(F36:F46)</f>
        <v>144407978</v>
      </c>
      <c r="G47" s="1688" t="s">
        <v>1176</v>
      </c>
      <c r="H47" s="1689"/>
      <c r="I47" s="785" t="s">
        <v>1164</v>
      </c>
      <c r="J47" s="610" t="s">
        <v>1081</v>
      </c>
      <c r="K47" s="612">
        <f>SUM(K36:K46)</f>
        <v>144407978</v>
      </c>
      <c r="L47" s="612">
        <f>SUM(L36:L46)</f>
        <v>75836073</v>
      </c>
      <c r="M47" s="612">
        <f>SUM(M36:M46)</f>
        <v>26629545</v>
      </c>
      <c r="N47" s="612">
        <f>SUM(N36:N46)</f>
        <v>27629967</v>
      </c>
      <c r="O47" s="612">
        <f>SUM(O36:O46)</f>
        <v>14312393</v>
      </c>
    </row>
    <row r="48" spans="1:31" ht="14.25" thickTop="1" thickBot="1">
      <c r="A48" s="93"/>
      <c r="B48" s="98"/>
      <c r="C48" s="75"/>
      <c r="F48" s="613"/>
      <c r="G48" s="1690"/>
      <c r="H48" s="1691"/>
      <c r="I48" s="823">
        <f>ROUND(F47/C6,0)</f>
        <v>21354</v>
      </c>
      <c r="J48" s="1700" t="s">
        <v>1082</v>
      </c>
      <c r="K48" s="611"/>
      <c r="L48" s="611"/>
      <c r="M48" s="611"/>
      <c r="N48" s="611"/>
      <c r="O48" s="611"/>
    </row>
    <row r="49" spans="1:31" ht="13.5" thickBot="1">
      <c r="A49" s="78" t="s">
        <v>23</v>
      </c>
      <c r="B49" s="82"/>
      <c r="C49" s="75"/>
      <c r="F49" s="614"/>
      <c r="G49" s="1690"/>
      <c r="H49" s="1691"/>
      <c r="I49" s="811"/>
      <c r="J49" s="1700"/>
      <c r="K49" s="615">
        <f>ROUND(K47/$C$6,2)</f>
        <v>21353.82</v>
      </c>
      <c r="L49" s="615">
        <f t="shared" ref="L49:O49" si="13">ROUND(L47/$C$6,2)</f>
        <v>11213.99</v>
      </c>
      <c r="M49" s="615">
        <f t="shared" si="13"/>
        <v>3937.75</v>
      </c>
      <c r="N49" s="615">
        <f t="shared" si="13"/>
        <v>4085.68</v>
      </c>
      <c r="O49" s="615">
        <f t="shared" si="13"/>
        <v>2116.39</v>
      </c>
      <c r="P49" s="35"/>
      <c r="Q49" s="96"/>
      <c r="R49" s="96"/>
      <c r="S49" s="96"/>
      <c r="T49" s="96"/>
      <c r="U49" s="96"/>
      <c r="V49" s="96"/>
      <c r="W49" s="96"/>
      <c r="X49" s="96"/>
      <c r="Y49" s="96"/>
      <c r="Z49" s="96"/>
      <c r="AA49" s="96"/>
      <c r="AB49" s="96"/>
      <c r="AC49" s="96"/>
      <c r="AD49" s="96"/>
      <c r="AE49" s="96"/>
    </row>
    <row r="50" spans="1:31" ht="13.5" thickBot="1">
      <c r="A50" s="75" t="s">
        <v>62</v>
      </c>
      <c r="B50" s="86">
        <f>'UHCL FGD'!M74</f>
        <v>0</v>
      </c>
      <c r="C50" s="83">
        <f t="shared" ref="C50:C53" si="14">ROUND(B50/$C$6,0)</f>
        <v>0</v>
      </c>
      <c r="D50" s="512">
        <f>'UHCL FGD'!F74</f>
        <v>0</v>
      </c>
      <c r="E50" s="512"/>
      <c r="F50" s="732">
        <f t="shared" ref="F50:F53" si="15">B50-(SUM(D50:E50))</f>
        <v>0</v>
      </c>
      <c r="G50" s="1692"/>
      <c r="H50" s="1693"/>
      <c r="I50" s="808"/>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'UHCL FGD'!M75</f>
        <v>17423946</v>
      </c>
      <c r="C51" s="87">
        <f t="shared" si="14"/>
        <v>2577</v>
      </c>
      <c r="D51" s="91">
        <f>'UHCL FGD'!F75</f>
        <v>-1514819</v>
      </c>
      <c r="E51" s="82"/>
      <c r="F51" s="74">
        <f t="shared" si="15"/>
        <v>18938765</v>
      </c>
      <c r="G51" s="337"/>
      <c r="J51" s="337"/>
      <c r="K51" s="616"/>
      <c r="L51" s="616"/>
      <c r="M51" s="616"/>
      <c r="N51" s="616"/>
      <c r="O51" s="616"/>
    </row>
    <row r="52" spans="1:31">
      <c r="A52" s="75" t="s">
        <v>51</v>
      </c>
      <c r="B52" s="86">
        <f>'UHCL FGD'!M76</f>
        <v>0</v>
      </c>
      <c r="C52" s="87">
        <f t="shared" si="14"/>
        <v>0</v>
      </c>
      <c r="D52" s="91">
        <f>'UHCL FGD'!F76</f>
        <v>0</v>
      </c>
      <c r="E52" s="82"/>
      <c r="F52" s="74">
        <f t="shared" si="15"/>
        <v>0</v>
      </c>
      <c r="G52" s="337"/>
      <c r="J52" s="733"/>
      <c r="K52" s="733"/>
      <c r="L52" s="733"/>
      <c r="M52" s="733"/>
      <c r="N52" s="733"/>
      <c r="O52" s="733"/>
    </row>
    <row r="53" spans="1:31" ht="12" customHeight="1">
      <c r="A53" s="75" t="s">
        <v>46</v>
      </c>
      <c r="B53" s="86">
        <f>'UHCL FGD'!M77</f>
        <v>-5349465</v>
      </c>
      <c r="C53" s="87">
        <f t="shared" si="14"/>
        <v>-791</v>
      </c>
      <c r="D53" s="91">
        <f>'UHCL FGD'!F77</f>
        <v>0</v>
      </c>
      <c r="E53" s="82"/>
      <c r="F53" s="74">
        <f t="shared" si="15"/>
        <v>-5349465</v>
      </c>
      <c r="G53" s="35"/>
      <c r="J53" s="733"/>
      <c r="K53" s="733"/>
      <c r="L53" s="733"/>
      <c r="M53" s="733"/>
      <c r="N53" s="733"/>
      <c r="O53" s="733"/>
      <c r="P53" s="35"/>
      <c r="Q53" s="96"/>
      <c r="R53" s="96"/>
      <c r="S53" s="96"/>
      <c r="T53" s="96"/>
      <c r="U53" s="96"/>
      <c r="V53" s="96"/>
      <c r="W53" s="96"/>
      <c r="X53" s="96"/>
      <c r="Y53" s="96"/>
      <c r="Z53" s="96"/>
      <c r="AA53" s="96"/>
      <c r="AB53" s="96"/>
      <c r="AC53" s="96"/>
      <c r="AD53" s="96"/>
      <c r="AE53" s="96"/>
    </row>
    <row r="54" spans="1:31">
      <c r="A54" s="88" t="s">
        <v>3</v>
      </c>
      <c r="B54" s="89">
        <f>SUM(B50:B53)</f>
        <v>12074481</v>
      </c>
      <c r="C54" s="89">
        <f>SUM(C50:C53)</f>
        <v>1786</v>
      </c>
      <c r="D54" s="89">
        <f>SUM(D50:D53)</f>
        <v>-1514819</v>
      </c>
      <c r="E54" s="89">
        <f>SUM(E50:E53)</f>
        <v>0</v>
      </c>
      <c r="F54" s="102">
        <f>SUM(F50:F53)</f>
        <v>13589300</v>
      </c>
      <c r="G54" s="337"/>
      <c r="H54" s="337"/>
      <c r="I54" s="337"/>
      <c r="J54" s="733"/>
      <c r="K54" s="733"/>
      <c r="L54" s="733"/>
      <c r="M54" s="733"/>
      <c r="N54" s="733"/>
      <c r="O54" s="733"/>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'UHCL FGD'!M81</f>
        <v>4640864</v>
      </c>
      <c r="C57" s="83">
        <f>ROUND(B57/$C$6,0)</f>
        <v>686</v>
      </c>
      <c r="D57" s="512">
        <f>'UHCL FGD'!F81</f>
        <v>0</v>
      </c>
      <c r="E57" s="512"/>
      <c r="F57" s="512">
        <f t="shared" ref="F57:F58" si="16">B57-(SUM(D57:E57))</f>
        <v>4640864</v>
      </c>
      <c r="G57" s="337"/>
      <c r="H57" s="337"/>
      <c r="I57" s="337"/>
      <c r="J57" s="337"/>
    </row>
    <row r="58" spans="1:31">
      <c r="A58" s="75" t="s">
        <v>48</v>
      </c>
      <c r="B58" s="86">
        <f>'UHCL FGD'!M82</f>
        <v>229415</v>
      </c>
      <c r="C58" s="87">
        <f>ROUND(B58/$C$6,0)</f>
        <v>34</v>
      </c>
      <c r="D58" s="91">
        <f>'UHCL FGD'!F82</f>
        <v>0</v>
      </c>
      <c r="E58" s="82"/>
      <c r="F58" s="74">
        <f t="shared" si="16"/>
        <v>229415</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4870279</v>
      </c>
      <c r="C59" s="89">
        <f>SUM(C57:C58)</f>
        <v>720</v>
      </c>
      <c r="D59" s="89">
        <f>SUM(D57:D58)</f>
        <v>0</v>
      </c>
      <c r="E59" s="89">
        <f>SUM(E57:E58)</f>
        <v>0</v>
      </c>
      <c r="F59" s="89">
        <f>SUM(F57:F58)</f>
        <v>4870279</v>
      </c>
      <c r="G59" s="367"/>
      <c r="H59" s="367"/>
      <c r="I59" s="367"/>
      <c r="J59" s="367"/>
      <c r="K59" s="266"/>
      <c r="L59" s="266"/>
      <c r="M59" s="266"/>
      <c r="N59" s="266"/>
      <c r="O59" s="266"/>
      <c r="P59" s="266"/>
    </row>
    <row r="60" spans="1:31">
      <c r="B60" s="82"/>
      <c r="C60" s="75"/>
    </row>
    <row r="61" spans="1:31" ht="13.5" thickBot="1">
      <c r="A61" s="103" t="s">
        <v>573</v>
      </c>
      <c r="B61" s="46">
        <f>B33-B47+B54+B59</f>
        <v>23210758</v>
      </c>
      <c r="C61" s="46">
        <f>C33-C47+C54+C59</f>
        <v>3432</v>
      </c>
      <c r="D61" s="46">
        <f>D33-D47+D54+D59</f>
        <v>2799352</v>
      </c>
      <c r="E61" s="46">
        <f>E33-E47+E54+E59</f>
        <v>-67916</v>
      </c>
      <c r="F61" s="46">
        <f>F33-F47+F54+F59</f>
        <v>20479322</v>
      </c>
    </row>
    <row r="62" spans="1:31" ht="13.5" thickTop="1"/>
    <row r="63" spans="1:31">
      <c r="D63" s="512"/>
    </row>
    <row r="65" spans="2:16">
      <c r="B65" s="734">
        <f>'UHCL FGD'!$M$85</f>
        <v>23210758</v>
      </c>
      <c r="C65" s="75"/>
      <c r="D65" s="734">
        <f>'UHCL FGD'!$F$85</f>
        <v>2799352</v>
      </c>
      <c r="E65" s="734">
        <f>'UHCL FGD'!$M$62*-1</f>
        <v>-67916</v>
      </c>
      <c r="F65" s="75"/>
    </row>
    <row r="66" spans="2:16">
      <c r="B66" s="734"/>
      <c r="C66" s="75"/>
      <c r="D66" s="734">
        <f>'UHCL FGD'!$F$68</f>
        <v>6563705</v>
      </c>
      <c r="E66" s="734">
        <f>+$D$38</f>
        <v>0</v>
      </c>
      <c r="F66" s="734"/>
    </row>
    <row r="67" spans="2:16">
      <c r="B67" s="759"/>
      <c r="C67" s="75"/>
      <c r="D67" s="759">
        <f>-'UHCL FGD'!$M$68</f>
        <v>-6563705</v>
      </c>
      <c r="E67" s="759"/>
      <c r="F67" s="734"/>
    </row>
    <row r="68" spans="2:16">
      <c r="B68" s="734">
        <f>SUM(B65:B67)</f>
        <v>23210758</v>
      </c>
      <c r="C68" s="75"/>
      <c r="D68" s="734">
        <f>SUM(D65:D67)</f>
        <v>2799352</v>
      </c>
      <c r="E68" s="734">
        <f>SUM(E65:E67)</f>
        <v>-67916</v>
      </c>
      <c r="F68" s="734">
        <f>B68-D68-E68</f>
        <v>20479322</v>
      </c>
    </row>
    <row r="69" spans="2:16">
      <c r="B69" s="734"/>
      <c r="C69" s="75"/>
      <c r="D69" s="734">
        <f>'UHCL FGD'!F54*-1</f>
        <v>-1535903</v>
      </c>
      <c r="E69" s="734"/>
      <c r="F69" s="734"/>
    </row>
    <row r="70" spans="2:16" ht="12.75" customHeight="1">
      <c r="B70" s="759"/>
      <c r="C70" s="95"/>
      <c r="D70" s="759">
        <f>'UHCL FGD'!M54</f>
        <v>1535903</v>
      </c>
      <c r="E70" s="759"/>
      <c r="F70" s="759">
        <f>-D70-D69</f>
        <v>0</v>
      </c>
    </row>
    <row r="71" spans="2:16" ht="12.75" customHeight="1">
      <c r="B71" s="734">
        <f>SUM(B68:B70)</f>
        <v>23210758</v>
      </c>
      <c r="C71" s="75"/>
      <c r="D71" s="734">
        <f>SUM(D68:D70)</f>
        <v>2799352</v>
      </c>
      <c r="E71" s="734">
        <f>SUM(E68:E70)</f>
        <v>-67916</v>
      </c>
      <c r="F71" s="734">
        <f>SUM(F68:F70)</f>
        <v>20479322</v>
      </c>
    </row>
    <row r="72" spans="2:16" ht="12.75" customHeight="1">
      <c r="B72" s="734"/>
      <c r="C72" s="75"/>
      <c r="D72" s="734"/>
      <c r="E72" s="734"/>
      <c r="F72" s="734"/>
    </row>
    <row r="73" spans="2:16" ht="12.75" customHeight="1">
      <c r="B73" s="512">
        <f>B61-B71</f>
        <v>0</v>
      </c>
      <c r="C73" s="75"/>
      <c r="D73" s="512">
        <f>D61-D71</f>
        <v>0</v>
      </c>
      <c r="E73" s="512">
        <f>E61-E71</f>
        <v>0</v>
      </c>
      <c r="F73" s="512">
        <f>F61-F71</f>
        <v>0</v>
      </c>
    </row>
    <row r="74" spans="2:16" ht="12.75" customHeight="1">
      <c r="C74" s="75"/>
      <c r="F74" s="617"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G47:H50"/>
    <mergeCell ref="K30:O30"/>
    <mergeCell ref="M31:M34"/>
    <mergeCell ref="G32:H32"/>
    <mergeCell ref="G33:H33"/>
    <mergeCell ref="L31:L34"/>
    <mergeCell ref="K31:K34"/>
    <mergeCell ref="N31:N34"/>
    <mergeCell ref="O31:O34"/>
    <mergeCell ref="J48:J49"/>
    <mergeCell ref="F1:I1"/>
    <mergeCell ref="J1:O1"/>
    <mergeCell ref="D1:E1"/>
    <mergeCell ref="K29:O29"/>
    <mergeCell ref="D4:D5"/>
    <mergeCell ref="E4:E5"/>
  </mergeCells>
  <hyperlinks>
    <hyperlink ref="D1:E1" location="Index!A1" display="Return to Index" xr:uid="{00000000-0004-0000-6E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Sheet89">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4" style="164" customWidth="1"/>
    <col min="15" max="15" width="14.42578125" style="261" customWidth="1"/>
    <col min="16" max="16" width="25.7109375" style="264" customWidth="1"/>
    <col min="17" max="17" width="16.42578125" style="264" customWidth="1"/>
    <col min="18" max="18" width="18.28515625" style="264" customWidth="1"/>
    <col min="19" max="19" width="1.7109375" style="264" customWidth="1"/>
    <col min="20" max="20" width="17.140625" style="264" customWidth="1"/>
    <col min="21" max="21" width="16.85546875" style="264" customWidth="1"/>
    <col min="22" max="23" width="19.28515625" style="264" customWidth="1"/>
    <col min="24" max="24" width="16.855468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13" t="str">
        <f>'UHCL Chrts'!$A$1</f>
        <v>University of Houston - Clear Lake</v>
      </c>
      <c r="C2" s="1713"/>
      <c r="D2" s="1713"/>
      <c r="E2" s="1713"/>
      <c r="F2" s="1742"/>
      <c r="G2" s="160"/>
      <c r="H2" s="161"/>
      <c r="I2" s="320" t="str">
        <f>IF($B$2&lt;&gt;Input!$B$27,"Name Mismatch","")</f>
        <v/>
      </c>
      <c r="J2" s="168"/>
      <c r="K2" s="169"/>
      <c r="L2" s="169"/>
      <c r="M2" s="170"/>
      <c r="O2" s="835" t="s">
        <v>1200</v>
      </c>
      <c r="P2" s="36"/>
    </row>
    <row r="3" spans="1:28" ht="20.25">
      <c r="A3" s="184">
        <v>2</v>
      </c>
      <c r="B3" s="1713" t="str">
        <f>'Smmy Chrts'!$A$2</f>
        <v>For the Year Ended August 31, 2021</v>
      </c>
      <c r="C3" s="1713"/>
      <c r="D3" s="1713"/>
      <c r="E3" s="1713"/>
      <c r="F3" s="1742"/>
      <c r="G3" s="161"/>
      <c r="H3" s="161"/>
      <c r="I3" s="169"/>
      <c r="J3" s="168"/>
      <c r="K3" s="169"/>
      <c r="L3" s="169"/>
      <c r="M3" s="170"/>
      <c r="O3" s="74"/>
    </row>
    <row r="4" spans="1:28" ht="20.25">
      <c r="A4" s="184">
        <v>3</v>
      </c>
      <c r="B4" s="1713" t="str">
        <f>'Smmy Chrts'!$A$3</f>
        <v>Source: FY 2021 Annual Financial Report</v>
      </c>
      <c r="C4" s="1713"/>
      <c r="D4" s="1713"/>
      <c r="E4" s="1713"/>
      <c r="F4" s="1742"/>
      <c r="G4" s="161"/>
      <c r="H4" s="161"/>
      <c r="I4" s="169"/>
      <c r="J4" s="168"/>
      <c r="K4" s="169"/>
      <c r="L4" s="169"/>
      <c r="M4" s="170"/>
      <c r="O4" s="74"/>
      <c r="P4" s="1744" t="s">
        <v>93</v>
      </c>
      <c r="Q4" s="1745"/>
      <c r="T4" s="36" t="s">
        <v>250</v>
      </c>
    </row>
    <row r="5" spans="1:28">
      <c r="A5" s="184">
        <v>4</v>
      </c>
      <c r="B5" s="160"/>
      <c r="C5" s="160"/>
      <c r="D5" s="160"/>
      <c r="E5" s="160"/>
      <c r="F5" s="160"/>
      <c r="G5" s="160"/>
      <c r="H5" s="160"/>
      <c r="I5" s="160"/>
      <c r="J5" s="160"/>
      <c r="K5" s="160"/>
      <c r="L5" s="160"/>
      <c r="M5" s="166"/>
      <c r="O5" s="262"/>
    </row>
    <row r="6" spans="1:28">
      <c r="A6" s="184">
        <v>5</v>
      </c>
      <c r="B6" s="1715" t="str">
        <f>'Smmy Chrts'!$C$32</f>
        <v>Detail Worksheet FY 2021</v>
      </c>
      <c r="C6" s="1715"/>
      <c r="D6" s="1743"/>
      <c r="E6" s="1743"/>
      <c r="F6" s="1743"/>
      <c r="G6" s="1743"/>
      <c r="H6" s="1743"/>
      <c r="I6" s="1743"/>
      <c r="J6" s="1743"/>
      <c r="K6" s="1743"/>
      <c r="L6" s="1743"/>
      <c r="M6" s="1743"/>
      <c r="O6" s="265"/>
    </row>
    <row r="7" spans="1:28">
      <c r="A7" s="184">
        <v>6</v>
      </c>
      <c r="B7" s="172"/>
      <c r="C7" s="172"/>
      <c r="D7" s="160"/>
      <c r="E7" s="160"/>
      <c r="F7" s="160"/>
      <c r="G7" s="160"/>
      <c r="H7" s="160"/>
      <c r="I7" s="160"/>
      <c r="J7" s="160"/>
      <c r="K7" s="160"/>
      <c r="L7" s="160"/>
      <c r="M7" s="173" t="str">
        <f>'Smmy Chrts'!$C$33</f>
        <v>FY 2021</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Input!$M$27</f>
        <v>34963937</v>
      </c>
      <c r="E10" s="372">
        <f>Input!$N$27</f>
        <v>0</v>
      </c>
      <c r="F10" s="372">
        <f>Input!$O$27</f>
        <v>0</v>
      </c>
      <c r="G10" s="372">
        <f>Input!$P$27</f>
        <v>0</v>
      </c>
      <c r="H10" s="372">
        <f>Input!$Q$27</f>
        <v>0</v>
      </c>
      <c r="I10" s="372">
        <f>Input!$R$27</f>
        <v>0</v>
      </c>
      <c r="J10" s="372">
        <f>Input!$S$27</f>
        <v>0</v>
      </c>
      <c r="K10" s="372">
        <f>Input!$T$27</f>
        <v>0</v>
      </c>
      <c r="L10" s="372">
        <f>Input!$U$27</f>
        <v>0</v>
      </c>
      <c r="M10" s="373">
        <f t="shared" ref="M10:M15" si="0">D10+E10+F10+G10+H10+I10+J10+K10+L10</f>
        <v>34963937</v>
      </c>
      <c r="N10" s="160"/>
      <c r="O10" s="271"/>
      <c r="P10" s="1718" t="s">
        <v>575</v>
      </c>
      <c r="U10" s="268"/>
    </row>
    <row r="11" spans="1:28">
      <c r="A11" s="184">
        <v>10</v>
      </c>
      <c r="B11" s="160" t="s">
        <v>2</v>
      </c>
      <c r="C11" s="160"/>
      <c r="D11" s="372">
        <f>Input!$V$27</f>
        <v>518868</v>
      </c>
      <c r="E11" s="372">
        <f>Input!$W$27</f>
        <v>0</v>
      </c>
      <c r="F11" s="372">
        <f>Input!$X$27</f>
        <v>0</v>
      </c>
      <c r="G11" s="372">
        <f>Input!$Y$27</f>
        <v>3842350</v>
      </c>
      <c r="H11" s="372">
        <f>Input!$Z$27</f>
        <v>0</v>
      </c>
      <c r="I11" s="372">
        <f>Input!$AA$27</f>
        <v>0</v>
      </c>
      <c r="J11" s="372">
        <f>Input!$AB$27</f>
        <v>0</v>
      </c>
      <c r="K11" s="372">
        <f>Input!$AC$27</f>
        <v>0</v>
      </c>
      <c r="L11" s="372">
        <f>Input!$AD$27</f>
        <v>0</v>
      </c>
      <c r="M11" s="373">
        <f t="shared" si="0"/>
        <v>4361218</v>
      </c>
      <c r="N11" s="160"/>
      <c r="O11" s="482"/>
      <c r="P11" s="1719"/>
      <c r="U11" s="268"/>
    </row>
    <row r="12" spans="1:28" ht="12.75" hidden="1" customHeight="1">
      <c r="B12" s="160" t="s">
        <v>1410</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Input!$AN$27</f>
        <v>7726043</v>
      </c>
      <c r="E13" s="372">
        <f>Input!$AO$27</f>
        <v>0</v>
      </c>
      <c r="F13" s="372">
        <f>Input!$AP$27</f>
        <v>0</v>
      </c>
      <c r="G13" s="372">
        <f>Input!$AQ$27</f>
        <v>0</v>
      </c>
      <c r="H13" s="372">
        <f>Input!$AR$27</f>
        <v>0</v>
      </c>
      <c r="I13" s="372">
        <f>Input!$AS$27</f>
        <v>0</v>
      </c>
      <c r="J13" s="372">
        <f>Input!$AT$27</f>
        <v>0</v>
      </c>
      <c r="K13" s="372">
        <f>Input!$AU$27</f>
        <v>0</v>
      </c>
      <c r="L13" s="372">
        <f>Input!$AV$27</f>
        <v>0</v>
      </c>
      <c r="M13" s="373">
        <f t="shared" si="0"/>
        <v>7726043</v>
      </c>
      <c r="N13" s="160"/>
      <c r="O13" s="482" t="str">
        <f>IF(P13&lt;&gt;M13,"Out of Balance","Balanced")</f>
        <v>Balanced</v>
      </c>
      <c r="P13" s="484">
        <f>IFERROR(VLOOKUP($B$2,AMTLU,6,FALSE),0)</f>
        <v>7726043</v>
      </c>
      <c r="U13" s="268"/>
    </row>
    <row r="14" spans="1:28">
      <c r="A14" s="184">
        <v>13</v>
      </c>
      <c r="B14" s="160" t="s">
        <v>49</v>
      </c>
      <c r="C14" s="160"/>
      <c r="D14" s="372">
        <f>Input!$AW$27</f>
        <v>0</v>
      </c>
      <c r="E14" s="372">
        <f>Input!$AX$27</f>
        <v>0</v>
      </c>
      <c r="F14" s="372">
        <f>Input!$AY$27</f>
        <v>0</v>
      </c>
      <c r="G14" s="372">
        <f>Input!$AZ$27</f>
        <v>0</v>
      </c>
      <c r="H14" s="372">
        <f>Input!$BA$27</f>
        <v>0</v>
      </c>
      <c r="I14" s="372">
        <f>Input!$BB$27</f>
        <v>0</v>
      </c>
      <c r="J14" s="372">
        <f>Input!$BC$27</f>
        <v>0</v>
      </c>
      <c r="K14" s="372">
        <f>Input!$BD$27</f>
        <v>0</v>
      </c>
      <c r="L14" s="372">
        <f>Input!$BE$27</f>
        <v>0</v>
      </c>
      <c r="M14" s="373">
        <f t="shared" si="0"/>
        <v>0</v>
      </c>
      <c r="N14" s="160"/>
      <c r="O14" s="482"/>
      <c r="P14" s="485"/>
    </row>
    <row r="15" spans="1:28" ht="15">
      <c r="A15" s="184">
        <v>14</v>
      </c>
      <c r="B15" s="176" t="s">
        <v>3</v>
      </c>
      <c r="C15" s="176"/>
      <c r="D15" s="374">
        <f t="shared" ref="D15:L15" si="1">SUM(D10:D14)</f>
        <v>43208848</v>
      </c>
      <c r="E15" s="374">
        <f t="shared" si="1"/>
        <v>0</v>
      </c>
      <c r="F15" s="374">
        <f t="shared" si="1"/>
        <v>0</v>
      </c>
      <c r="G15" s="374">
        <f t="shared" si="1"/>
        <v>3842350</v>
      </c>
      <c r="H15" s="374">
        <f t="shared" si="1"/>
        <v>0</v>
      </c>
      <c r="I15" s="374">
        <f t="shared" si="1"/>
        <v>0</v>
      </c>
      <c r="J15" s="374">
        <f t="shared" si="1"/>
        <v>0</v>
      </c>
      <c r="K15" s="374">
        <f t="shared" si="1"/>
        <v>0</v>
      </c>
      <c r="L15" s="374">
        <f t="shared" si="1"/>
        <v>0</v>
      </c>
      <c r="M15" s="374">
        <f t="shared" si="0"/>
        <v>47051198</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58" t="s">
        <v>1042</v>
      </c>
      <c r="C18" s="558"/>
      <c r="D18" s="374">
        <f t="shared" ref="D18:L18" si="2">D23-SUM(D19:D22)</f>
        <v>16444282</v>
      </c>
      <c r="E18" s="374">
        <f t="shared" si="2"/>
        <v>46775012</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63219294</v>
      </c>
      <c r="V18" s="327"/>
      <c r="X18" s="330"/>
    </row>
    <row r="19" spans="1:26" s="264" customFormat="1" ht="12.75" customHeight="1" thickTop="1" thickBot="1">
      <c r="A19" s="263"/>
      <c r="B19" s="261" t="s">
        <v>722</v>
      </c>
      <c r="C19" s="261"/>
      <c r="D19" s="372">
        <f>Input!$BF$27</f>
        <v>-2198078</v>
      </c>
      <c r="E19" s="372">
        <f>Input!$BG$27</f>
        <v>-669105</v>
      </c>
      <c r="F19" s="372">
        <f>Input!$BH$27</f>
        <v>0</v>
      </c>
      <c r="G19" s="372">
        <f>Input!$BI$27</f>
        <v>0</v>
      </c>
      <c r="H19" s="372">
        <f>Input!$BJ$27</f>
        <v>0</v>
      </c>
      <c r="I19" s="372">
        <f>Input!$BK$27</f>
        <v>0</v>
      </c>
      <c r="J19" s="372">
        <f>Input!$BL$27</f>
        <v>0</v>
      </c>
      <c r="K19" s="372">
        <f>Input!$BM$27</f>
        <v>0</v>
      </c>
      <c r="L19" s="372">
        <f>Input!$BN$27</f>
        <v>0</v>
      </c>
      <c r="M19" s="373">
        <f t="shared" si="3"/>
        <v>-2867183</v>
      </c>
      <c r="O19" s="1732" t="s">
        <v>1294</v>
      </c>
      <c r="P19" s="1733"/>
      <c r="Q19" s="1733"/>
      <c r="R19" s="1734"/>
      <c r="T19" s="1735" t="s">
        <v>1043</v>
      </c>
      <c r="U19" s="1736"/>
      <c r="V19" s="1736"/>
      <c r="W19" s="1736"/>
      <c r="X19" s="1737"/>
    </row>
    <row r="20" spans="1:26" s="264" customFormat="1" ht="12.75" customHeight="1" thickTop="1">
      <c r="A20" s="263"/>
      <c r="B20" s="261" t="s">
        <v>723</v>
      </c>
      <c r="C20" s="261"/>
      <c r="D20" s="372">
        <f>Input!$BO$27</f>
        <v>0</v>
      </c>
      <c r="E20" s="372">
        <f>Input!$BP$27</f>
        <v>0</v>
      </c>
      <c r="F20" s="372">
        <f>Input!$BQ$27</f>
        <v>0</v>
      </c>
      <c r="G20" s="372">
        <f>Input!$BR$27</f>
        <v>0</v>
      </c>
      <c r="H20" s="372">
        <f>Input!$BS$27</f>
        <v>0</v>
      </c>
      <c r="I20" s="372">
        <f>Input!$BT$27</f>
        <v>0</v>
      </c>
      <c r="J20" s="372">
        <f>Input!$BU$27</f>
        <v>0</v>
      </c>
      <c r="K20" s="372">
        <f>Input!$BV$27</f>
        <v>0</v>
      </c>
      <c r="L20" s="372">
        <f>Input!$BW$27</f>
        <v>0</v>
      </c>
      <c r="M20" s="373">
        <f t="shared" si="3"/>
        <v>0</v>
      </c>
      <c r="O20" s="421" t="s">
        <v>288</v>
      </c>
      <c r="P20" s="422"/>
      <c r="Q20" s="414"/>
      <c r="R20" s="559"/>
      <c r="T20" s="560" t="s">
        <v>1044</v>
      </c>
      <c r="U20" s="266"/>
      <c r="V20" s="266"/>
      <c r="X20" s="425"/>
    </row>
    <row r="21" spans="1:26" s="264" customFormat="1">
      <c r="A21" s="263"/>
      <c r="B21" s="261" t="s">
        <v>724</v>
      </c>
      <c r="C21" s="261"/>
      <c r="D21" s="372">
        <f>Input!$BX$27</f>
        <v>0</v>
      </c>
      <c r="E21" s="372">
        <f>Input!$BY$27</f>
        <v>0</v>
      </c>
      <c r="F21" s="372">
        <f>Input!$BZ$27</f>
        <v>0</v>
      </c>
      <c r="G21" s="372">
        <f>Input!$CA$27</f>
        <v>0</v>
      </c>
      <c r="H21" s="372">
        <f>Input!$CB$27</f>
        <v>0</v>
      </c>
      <c r="I21" s="372">
        <f>Input!$CC$27</f>
        <v>0</v>
      </c>
      <c r="J21" s="372">
        <f>Input!$CD$27</f>
        <v>0</v>
      </c>
      <c r="K21" s="372">
        <f>Input!$CE$27</f>
        <v>0</v>
      </c>
      <c r="L21" s="372">
        <f>Input!$CF$27</f>
        <v>0</v>
      </c>
      <c r="M21" s="373">
        <f t="shared" si="3"/>
        <v>0</v>
      </c>
      <c r="O21" s="434"/>
      <c r="R21" s="561"/>
      <c r="T21" s="650" t="s">
        <v>1045</v>
      </c>
      <c r="U21" s="266"/>
      <c r="V21" s="266"/>
      <c r="W21" s="651">
        <f>M44</f>
        <v>57336848</v>
      </c>
      <c r="X21" s="425"/>
      <c r="Z21" s="330"/>
    </row>
    <row r="22" spans="1:26" s="264" customFormat="1">
      <c r="A22" s="263"/>
      <c r="B22" s="261" t="s">
        <v>725</v>
      </c>
      <c r="C22" s="261"/>
      <c r="D22" s="372">
        <f>Input!$CG$27</f>
        <v>0</v>
      </c>
      <c r="E22" s="372">
        <f>Input!$CH$27</f>
        <v>0</v>
      </c>
      <c r="F22" s="372">
        <f>Input!$CI$27</f>
        <v>0</v>
      </c>
      <c r="G22" s="372">
        <f>Input!$CJ$27</f>
        <v>0</v>
      </c>
      <c r="H22" s="372">
        <f>Input!$CK$27</f>
        <v>0</v>
      </c>
      <c r="I22" s="372">
        <f>Input!$CL$27</f>
        <v>0</v>
      </c>
      <c r="J22" s="372">
        <f>Input!$CM$27</f>
        <v>0</v>
      </c>
      <c r="K22" s="372">
        <f>Input!$CN$27</f>
        <v>0</v>
      </c>
      <c r="L22" s="372">
        <f>Input!$CO$27</f>
        <v>0</v>
      </c>
      <c r="M22" s="373">
        <f t="shared" si="3"/>
        <v>0</v>
      </c>
      <c r="N22" s="270"/>
      <c r="O22" s="434" t="s">
        <v>1046</v>
      </c>
      <c r="P22" s="276"/>
      <c r="Q22" s="424">
        <f>M23</f>
        <v>60352111</v>
      </c>
      <c r="R22" s="562"/>
      <c r="T22" s="650" t="s">
        <v>1047</v>
      </c>
      <c r="U22" s="266"/>
      <c r="V22" s="266"/>
      <c r="W22" s="652">
        <f>R30*-1</f>
        <v>21575476</v>
      </c>
      <c r="X22" s="425"/>
    </row>
    <row r="23" spans="1:26" s="264" customFormat="1" ht="12.75" customHeight="1">
      <c r="A23" s="263"/>
      <c r="B23" s="558" t="s">
        <v>726</v>
      </c>
      <c r="C23" s="563"/>
      <c r="D23" s="564">
        <f>Input!$CP$27</f>
        <v>14246204</v>
      </c>
      <c r="E23" s="564">
        <f>Input!$CQ$27</f>
        <v>46105907</v>
      </c>
      <c r="F23" s="564">
        <f>Input!$CR$27</f>
        <v>0</v>
      </c>
      <c r="G23" s="564">
        <f>Input!$CS$27</f>
        <v>0</v>
      </c>
      <c r="H23" s="564">
        <f>Input!$CT$27</f>
        <v>0</v>
      </c>
      <c r="I23" s="564">
        <f>Input!$CU$27</f>
        <v>0</v>
      </c>
      <c r="J23" s="564">
        <f>Input!$CV$27</f>
        <v>0</v>
      </c>
      <c r="K23" s="564">
        <f>Input!$CW$27</f>
        <v>0</v>
      </c>
      <c r="L23" s="564">
        <f>Input!$CX$27</f>
        <v>0</v>
      </c>
      <c r="M23" s="565">
        <f t="shared" si="3"/>
        <v>60352111</v>
      </c>
      <c r="O23" s="434"/>
      <c r="P23" s="276"/>
      <c r="Q23" s="424"/>
      <c r="R23" s="562"/>
      <c r="T23" s="560" t="s">
        <v>1230</v>
      </c>
      <c r="U23" s="266"/>
      <c r="V23" s="266"/>
      <c r="W23" s="276"/>
      <c r="X23" s="425">
        <f>SUM(W21:W22)</f>
        <v>78912324</v>
      </c>
      <c r="Z23" s="330"/>
    </row>
    <row r="24" spans="1:26" s="264" customFormat="1" ht="12.75" customHeight="1">
      <c r="A24" s="263"/>
      <c r="B24" s="261" t="s">
        <v>727</v>
      </c>
      <c r="C24" s="566"/>
      <c r="D24" s="372">
        <f>Input!$CY$27</f>
        <v>0</v>
      </c>
      <c r="E24" s="372">
        <f>Input!$CZ$27</f>
        <v>0</v>
      </c>
      <c r="F24" s="372">
        <f>Input!$DA$27</f>
        <v>0</v>
      </c>
      <c r="G24" s="372">
        <f>Input!$DB$27</f>
        <v>0</v>
      </c>
      <c r="H24" s="372">
        <f>Input!$DC$27</f>
        <v>0</v>
      </c>
      <c r="I24" s="372">
        <f>Input!$DD$27</f>
        <v>0</v>
      </c>
      <c r="J24" s="372">
        <f>Input!$DE$27</f>
        <v>0</v>
      </c>
      <c r="K24" s="372">
        <f>Input!$DF$27</f>
        <v>0</v>
      </c>
      <c r="L24" s="372">
        <f>Input!$DG$27</f>
        <v>0</v>
      </c>
      <c r="M24" s="567">
        <f t="shared" si="3"/>
        <v>0</v>
      </c>
      <c r="O24" s="417" t="s">
        <v>1048</v>
      </c>
      <c r="P24" s="276"/>
      <c r="Q24" s="327"/>
      <c r="R24" s="646">
        <f>SUM(M24:M28)</f>
        <v>-16647948</v>
      </c>
      <c r="T24" s="560"/>
      <c r="U24" s="266"/>
      <c r="V24" s="266"/>
      <c r="X24" s="425"/>
      <c r="Z24" s="330"/>
    </row>
    <row r="25" spans="1:26" s="264" customFormat="1" ht="12.75" customHeight="1">
      <c r="A25" s="263"/>
      <c r="B25" s="261" t="s">
        <v>728</v>
      </c>
      <c r="C25" s="566"/>
      <c r="D25" s="372">
        <f>Input!DH6</f>
        <v>0</v>
      </c>
      <c r="E25" s="372">
        <f>Input!$DI$27</f>
        <v>0</v>
      </c>
      <c r="F25" s="372">
        <f>Input!$DJ$27</f>
        <v>0</v>
      </c>
      <c r="G25" s="372">
        <f>Input!$DK$27</f>
        <v>0</v>
      </c>
      <c r="H25" s="372">
        <f>Input!$DL$27</f>
        <v>0</v>
      </c>
      <c r="I25" s="372">
        <f>Input!$DM$27</f>
        <v>0</v>
      </c>
      <c r="J25" s="372">
        <f>Input!$DN$27</f>
        <v>0</v>
      </c>
      <c r="K25" s="372">
        <f>Input!$DO$27</f>
        <v>0</v>
      </c>
      <c r="L25" s="372">
        <f>Input!$DP$27</f>
        <v>0</v>
      </c>
      <c r="M25" s="567">
        <f t="shared" si="3"/>
        <v>0</v>
      </c>
      <c r="O25" s="434"/>
      <c r="P25" s="276"/>
      <c r="Q25" s="327"/>
      <c r="R25" s="646"/>
      <c r="T25" s="568" t="s">
        <v>1103</v>
      </c>
      <c r="U25" s="569"/>
      <c r="V25" s="569"/>
      <c r="W25" s="653">
        <f>(M26+M39)*-1</f>
        <v>2519600</v>
      </c>
      <c r="X25" s="425"/>
      <c r="Z25" s="330"/>
    </row>
    <row r="26" spans="1:26" s="264" customFormat="1" ht="12.75" customHeight="1">
      <c r="A26" s="263"/>
      <c r="B26" s="261" t="s">
        <v>729</v>
      </c>
      <c r="C26" s="566"/>
      <c r="D26" s="372">
        <f>Input!$DQ$27</f>
        <v>-443736</v>
      </c>
      <c r="E26" s="372">
        <f>Input!$DR$27</f>
        <v>-1578438</v>
      </c>
      <c r="F26" s="372">
        <f>Input!$DS$27</f>
        <v>0</v>
      </c>
      <c r="G26" s="372">
        <f>Input!$DT$27</f>
        <v>0</v>
      </c>
      <c r="H26" s="372">
        <f>Input!$DU$27</f>
        <v>0</v>
      </c>
      <c r="I26" s="372">
        <f>Input!$DV$27</f>
        <v>0</v>
      </c>
      <c r="J26" s="372">
        <f>Input!$DW$27</f>
        <v>0</v>
      </c>
      <c r="K26" s="372">
        <f>Input!$DX$27</f>
        <v>0</v>
      </c>
      <c r="L26" s="372">
        <f>Input!$DY$27</f>
        <v>0</v>
      </c>
      <c r="M26" s="567">
        <f t="shared" si="3"/>
        <v>-2022174</v>
      </c>
      <c r="O26" s="434" t="s">
        <v>1049</v>
      </c>
      <c r="P26" s="276"/>
      <c r="Q26" s="427">
        <f>M36</f>
        <v>18560213</v>
      </c>
      <c r="R26" s="570"/>
      <c r="T26" s="560" t="s">
        <v>1104</v>
      </c>
      <c r="U26" s="266"/>
      <c r="V26" s="266"/>
      <c r="W26" s="571">
        <f>(M21+M34)*-1</f>
        <v>0</v>
      </c>
      <c r="X26" s="425"/>
      <c r="Z26" s="330"/>
    </row>
    <row r="27" spans="1:26" s="264" customFormat="1">
      <c r="A27" s="263"/>
      <c r="B27" s="261" t="s">
        <v>730</v>
      </c>
      <c r="C27" s="566"/>
      <c r="D27" s="372">
        <f>Input!$DZ$27</f>
        <v>0</v>
      </c>
      <c r="E27" s="372">
        <f>Input!$EA$27</f>
        <v>0</v>
      </c>
      <c r="F27" s="372">
        <f>Input!$EB$27</f>
        <v>0</v>
      </c>
      <c r="G27" s="372">
        <f>Input!$EC$27</f>
        <v>0</v>
      </c>
      <c r="H27" s="372">
        <f>Input!$ED$27</f>
        <v>0</v>
      </c>
      <c r="I27" s="372">
        <f>Input!$EE$27</f>
        <v>0</v>
      </c>
      <c r="J27" s="372">
        <f>Input!$EF$27</f>
        <v>0</v>
      </c>
      <c r="K27" s="372">
        <f>Input!$EG$27</f>
        <v>0</v>
      </c>
      <c r="L27" s="372">
        <f>Input!EH6</f>
        <v>0</v>
      </c>
      <c r="M27" s="567">
        <f t="shared" si="3"/>
        <v>0</v>
      </c>
      <c r="O27" s="434"/>
      <c r="P27" s="276"/>
      <c r="Q27" s="427"/>
      <c r="R27" s="570"/>
      <c r="T27" s="650" t="s">
        <v>1105</v>
      </c>
      <c r="U27" s="584"/>
      <c r="V27" s="584"/>
      <c r="W27" s="654">
        <f>SUM(W25:W26)</f>
        <v>2519600</v>
      </c>
      <c r="X27" s="655"/>
    </row>
    <row r="28" spans="1:26" s="264" customFormat="1">
      <c r="A28" s="263"/>
      <c r="B28" s="261" t="s">
        <v>2133</v>
      </c>
      <c r="C28" s="566"/>
      <c r="D28" s="372">
        <f>Input!$EI$27</f>
        <v>-3886644</v>
      </c>
      <c r="E28" s="372">
        <f>Input!$EJ$27</f>
        <v>-10739130</v>
      </c>
      <c r="F28" s="372">
        <f>Input!$EK$27</f>
        <v>0</v>
      </c>
      <c r="G28" s="372">
        <f>Input!$EL$27</f>
        <v>0</v>
      </c>
      <c r="H28" s="372">
        <f>Input!$EM$27</f>
        <v>0</v>
      </c>
      <c r="I28" s="372">
        <f>Input!$EN$27</f>
        <v>0</v>
      </c>
      <c r="J28" s="372">
        <f>Input!$EO$27</f>
        <v>0</v>
      </c>
      <c r="K28" s="372">
        <f>Input!$EP$27</f>
        <v>0</v>
      </c>
      <c r="L28" s="372">
        <f>Input!$EQ$27</f>
        <v>0</v>
      </c>
      <c r="M28" s="567">
        <f t="shared" si="3"/>
        <v>-14625774</v>
      </c>
      <c r="O28" s="417" t="s">
        <v>1050</v>
      </c>
      <c r="Q28" s="429"/>
      <c r="R28" s="646">
        <f>SUM(M37:M41)</f>
        <v>-4927528</v>
      </c>
      <c r="T28" s="560" t="s">
        <v>1106</v>
      </c>
      <c r="U28" s="266"/>
      <c r="V28" s="266"/>
      <c r="W28" s="425">
        <f>(M27+M40)*-1</f>
        <v>0</v>
      </c>
      <c r="X28" s="655"/>
      <c r="Z28" s="330"/>
    </row>
    <row r="29" spans="1:26" s="264" customFormat="1" ht="12" customHeight="1">
      <c r="A29" s="263"/>
      <c r="B29" s="575" t="s">
        <v>39</v>
      </c>
      <c r="C29" s="563"/>
      <c r="D29" s="374">
        <f t="shared" ref="D29:L29" si="4">SUM(D23:D28)</f>
        <v>9915824</v>
      </c>
      <c r="E29" s="374">
        <f t="shared" si="4"/>
        <v>33788339</v>
      </c>
      <c r="F29" s="374">
        <f t="shared" si="4"/>
        <v>0</v>
      </c>
      <c r="G29" s="374">
        <f t="shared" si="4"/>
        <v>0</v>
      </c>
      <c r="H29" s="374">
        <f t="shared" si="4"/>
        <v>0</v>
      </c>
      <c r="I29" s="374">
        <f t="shared" si="4"/>
        <v>0</v>
      </c>
      <c r="J29" s="374">
        <f t="shared" si="4"/>
        <v>0</v>
      </c>
      <c r="K29" s="374">
        <f t="shared" si="4"/>
        <v>0</v>
      </c>
      <c r="L29" s="374">
        <f t="shared" si="4"/>
        <v>0</v>
      </c>
      <c r="M29" s="374">
        <f t="shared" si="3"/>
        <v>43704163</v>
      </c>
      <c r="O29" s="417"/>
      <c r="Q29" s="429"/>
      <c r="R29" s="576"/>
      <c r="T29" s="560" t="s">
        <v>1107</v>
      </c>
      <c r="U29" s="266"/>
      <c r="V29" s="266"/>
      <c r="W29" s="571">
        <f>(M22+M35)*-1</f>
        <v>0</v>
      </c>
      <c r="X29" s="655"/>
    </row>
    <row r="30" spans="1:26" s="264" customFormat="1" ht="16.5" customHeight="1">
      <c r="A30" s="263"/>
      <c r="B30" s="261"/>
      <c r="C30" s="566"/>
      <c r="D30" s="566"/>
      <c r="E30" s="566"/>
      <c r="F30" s="566"/>
      <c r="G30" s="566"/>
      <c r="H30" s="566"/>
      <c r="I30" s="566"/>
      <c r="J30" s="566"/>
      <c r="K30" s="566"/>
      <c r="L30" s="566"/>
      <c r="M30" s="567"/>
      <c r="O30" s="431" t="s">
        <v>289</v>
      </c>
      <c r="P30" s="432"/>
      <c r="Q30" s="433">
        <f>Q26+Q22</f>
        <v>78912324</v>
      </c>
      <c r="R30" s="647">
        <f>R28+R24</f>
        <v>-21575476</v>
      </c>
      <c r="T30" s="650" t="s">
        <v>1108</v>
      </c>
      <c r="U30" s="584"/>
      <c r="V30" s="584"/>
      <c r="W30" s="654">
        <f>SUM(W28:W29)</f>
        <v>0</v>
      </c>
      <c r="X30" s="655"/>
    </row>
    <row r="31" spans="1:26" s="264" customFormat="1" ht="12.75" customHeight="1">
      <c r="A31" s="263"/>
      <c r="B31" s="558" t="s">
        <v>1052</v>
      </c>
      <c r="C31" s="558"/>
      <c r="D31" s="374">
        <f t="shared" ref="D31:L31" si="5">D36-SUM(D32:D35)</f>
        <v>0</v>
      </c>
      <c r="E31" s="374">
        <f t="shared" si="5"/>
        <v>10593496</v>
      </c>
      <c r="F31" s="374">
        <f t="shared" si="5"/>
        <v>8118407</v>
      </c>
      <c r="G31" s="374">
        <f t="shared" si="5"/>
        <v>0</v>
      </c>
      <c r="H31" s="374">
        <f t="shared" si="5"/>
        <v>0</v>
      </c>
      <c r="I31" s="374">
        <f t="shared" si="5"/>
        <v>0</v>
      </c>
      <c r="J31" s="374">
        <f t="shared" si="5"/>
        <v>0</v>
      </c>
      <c r="K31" s="374">
        <f t="shared" si="5"/>
        <v>0</v>
      </c>
      <c r="L31" s="374">
        <f t="shared" si="5"/>
        <v>0</v>
      </c>
      <c r="M31" s="374">
        <f t="shared" ref="M31:M42" si="6">D31+E31+F31+G31+H31+I31+J31+K31+L31</f>
        <v>18711903</v>
      </c>
      <c r="O31" s="434" t="s">
        <v>290</v>
      </c>
      <c r="P31" s="276"/>
      <c r="Q31" s="335"/>
      <c r="R31" s="562"/>
      <c r="T31" s="572" t="s">
        <v>1109</v>
      </c>
      <c r="U31" s="573"/>
      <c r="V31" s="573"/>
      <c r="W31" s="574">
        <f>W27+W30</f>
        <v>2519600</v>
      </c>
      <c r="X31" s="425"/>
      <c r="Z31" s="330"/>
    </row>
    <row r="32" spans="1:26" s="264" customFormat="1" ht="12.75" customHeight="1">
      <c r="A32" s="263"/>
      <c r="B32" s="261" t="s">
        <v>722</v>
      </c>
      <c r="C32" s="261"/>
      <c r="D32" s="372">
        <f>Input!$ER$27</f>
        <v>0</v>
      </c>
      <c r="E32" s="372">
        <f>Input!$ES$27</f>
        <v>-151537</v>
      </c>
      <c r="F32" s="372">
        <f>Input!$ET$27</f>
        <v>-153</v>
      </c>
      <c r="G32" s="372">
        <f>Input!$EU$27</f>
        <v>0</v>
      </c>
      <c r="H32" s="372">
        <f>Input!$EV$27</f>
        <v>0</v>
      </c>
      <c r="I32" s="372">
        <f>Input!$EW$27</f>
        <v>0</v>
      </c>
      <c r="J32" s="372">
        <f>Input!$EX$27</f>
        <v>0</v>
      </c>
      <c r="K32" s="372">
        <f>Input!$EY$27</f>
        <v>0</v>
      </c>
      <c r="L32" s="372">
        <f>Input!$EZ$27</f>
        <v>0</v>
      </c>
      <c r="M32" s="567">
        <f t="shared" si="6"/>
        <v>-151690</v>
      </c>
      <c r="O32" s="415" t="s">
        <v>1295</v>
      </c>
      <c r="P32" s="416"/>
      <c r="Q32" s="577">
        <f>Input!$SQ$27</f>
        <v>78912324</v>
      </c>
      <c r="R32" s="578"/>
      <c r="T32" s="560"/>
      <c r="U32" s="266"/>
      <c r="V32" s="266"/>
      <c r="X32" s="425"/>
      <c r="Z32" s="330"/>
    </row>
    <row r="33" spans="1:24" s="264" customFormat="1">
      <c r="A33" s="263"/>
      <c r="B33" s="261" t="s">
        <v>723</v>
      </c>
      <c r="C33" s="261"/>
      <c r="D33" s="372">
        <f>Input!$FA$27</f>
        <v>0</v>
      </c>
      <c r="E33" s="372">
        <f>Input!$FB$27</f>
        <v>0</v>
      </c>
      <c r="F33" s="372">
        <f>Input!$FC$27</f>
        <v>0</v>
      </c>
      <c r="G33" s="372">
        <f>Input!$FD$27</f>
        <v>0</v>
      </c>
      <c r="H33" s="372">
        <f>Input!$FE$27</f>
        <v>0</v>
      </c>
      <c r="I33" s="372">
        <f>Input!$FF$27</f>
        <v>0</v>
      </c>
      <c r="J33" s="372">
        <f>Input!$FG$27</f>
        <v>0</v>
      </c>
      <c r="K33" s="372">
        <f>Input!$FH$27</f>
        <v>0</v>
      </c>
      <c r="L33" s="372">
        <f>Input!$FI$27</f>
        <v>0</v>
      </c>
      <c r="M33" s="567">
        <f t="shared" si="6"/>
        <v>0</v>
      </c>
      <c r="O33" s="415"/>
      <c r="P33" s="416"/>
      <c r="Q33" s="327"/>
      <c r="R33" s="578"/>
      <c r="T33" s="560" t="s">
        <v>1051</v>
      </c>
      <c r="U33" s="266"/>
      <c r="V33" s="266"/>
      <c r="W33" s="334">
        <f>(M19+M32)*-1</f>
        <v>3018873</v>
      </c>
      <c r="X33" s="425"/>
    </row>
    <row r="34" spans="1:24" s="264" customFormat="1">
      <c r="A34" s="263"/>
      <c r="B34" s="261" t="s">
        <v>724</v>
      </c>
      <c r="C34" s="261"/>
      <c r="D34" s="372">
        <f>Input!$FJ$27</f>
        <v>0</v>
      </c>
      <c r="E34" s="372">
        <f>Input!$FK$27</f>
        <v>0</v>
      </c>
      <c r="F34" s="372">
        <f>Input!$FL$27</f>
        <v>0</v>
      </c>
      <c r="G34" s="372">
        <f>Input!$FM$27</f>
        <v>0</v>
      </c>
      <c r="H34" s="372">
        <f>Input!$FN$27</f>
        <v>0</v>
      </c>
      <c r="I34" s="372">
        <f>Input!$FO$27</f>
        <v>0</v>
      </c>
      <c r="J34" s="372">
        <f>Input!$FP$27</f>
        <v>0</v>
      </c>
      <c r="K34" s="372">
        <f>Input!$FQ$27</f>
        <v>0</v>
      </c>
      <c r="L34" s="372">
        <f>Input!$FR$27</f>
        <v>0</v>
      </c>
      <c r="M34" s="567">
        <f t="shared" si="6"/>
        <v>0</v>
      </c>
      <c r="O34" s="435" t="s">
        <v>1296</v>
      </c>
      <c r="P34" s="436"/>
      <c r="Q34" s="264" t="s">
        <v>291</v>
      </c>
      <c r="R34" s="648">
        <f>Input!$SR$27</f>
        <v>-21575476</v>
      </c>
      <c r="T34" s="560" t="s">
        <v>1110</v>
      </c>
      <c r="U34" s="266"/>
      <c r="V34" s="266"/>
      <c r="W34" s="430">
        <f>(M24+M37)*-1</f>
        <v>0</v>
      </c>
      <c r="X34" s="425"/>
    </row>
    <row r="35" spans="1:24" s="264" customFormat="1" ht="13.5" thickBot="1">
      <c r="A35" s="263"/>
      <c r="B35" s="261" t="s">
        <v>725</v>
      </c>
      <c r="C35" s="261"/>
      <c r="D35" s="372">
        <f>Input!$FS$27</f>
        <v>0</v>
      </c>
      <c r="E35" s="372">
        <f>Input!$FT$27</f>
        <v>0</v>
      </c>
      <c r="F35" s="372">
        <f>Input!$FU$27</f>
        <v>0</v>
      </c>
      <c r="G35" s="372">
        <f>Input!$FV$27</f>
        <v>0</v>
      </c>
      <c r="H35" s="372">
        <f>Input!$FW$27</f>
        <v>0</v>
      </c>
      <c r="I35" s="372">
        <f>Input!$FX$27</f>
        <v>0</v>
      </c>
      <c r="J35" s="372">
        <f>Input!$FY$27</f>
        <v>0</v>
      </c>
      <c r="K35" s="372">
        <f>Input!$FZ$27</f>
        <v>0</v>
      </c>
      <c r="L35" s="372">
        <f>Input!$GA$27</f>
        <v>0</v>
      </c>
      <c r="M35" s="567">
        <f t="shared" si="6"/>
        <v>0</v>
      </c>
      <c r="O35" s="418" t="s">
        <v>286</v>
      </c>
      <c r="P35" s="419"/>
      <c r="Q35" s="420">
        <f>Q30-Q32</f>
        <v>0</v>
      </c>
      <c r="R35" s="649">
        <f>R30-R34</f>
        <v>0</v>
      </c>
      <c r="T35" s="650" t="s">
        <v>1111</v>
      </c>
      <c r="U35" s="584"/>
      <c r="V35" s="584"/>
      <c r="W35" s="656">
        <f>SUM(W33:W34)</f>
        <v>3018873</v>
      </c>
      <c r="X35" s="655"/>
    </row>
    <row r="36" spans="1:24" s="264" customFormat="1" ht="13.5" thickTop="1">
      <c r="A36" s="263"/>
      <c r="B36" s="558" t="s">
        <v>732</v>
      </c>
      <c r="C36" s="563"/>
      <c r="D36" s="564">
        <f>Input!$GB$27</f>
        <v>0</v>
      </c>
      <c r="E36" s="564">
        <f>Input!$GC$27</f>
        <v>10441959</v>
      </c>
      <c r="F36" s="564">
        <f>Input!$GD$27</f>
        <v>8118254</v>
      </c>
      <c r="G36" s="564">
        <f>Input!$GE$27</f>
        <v>0</v>
      </c>
      <c r="H36" s="564">
        <f>Input!$GF$27</f>
        <v>0</v>
      </c>
      <c r="I36" s="564">
        <f>Input!$GG$27</f>
        <v>0</v>
      </c>
      <c r="J36" s="564">
        <f>Input!$GH$27</f>
        <v>0</v>
      </c>
      <c r="K36" s="564">
        <f>Input!$GI$27</f>
        <v>0</v>
      </c>
      <c r="L36" s="564">
        <f>Input!$GJ$27</f>
        <v>0</v>
      </c>
      <c r="M36" s="565">
        <f t="shared" si="6"/>
        <v>18560213</v>
      </c>
      <c r="O36" s="261"/>
      <c r="Q36" s="412" t="str">
        <f>IF(Q30&lt;&gt;Q32,"Out of Balance","Balanced")</f>
        <v>Balanced</v>
      </c>
      <c r="R36" s="412" t="str">
        <f>IF(R30&lt;&gt;R34,"Out of Balance","Balanced")</f>
        <v>Balanced</v>
      </c>
      <c r="T36" s="560" t="s">
        <v>1053</v>
      </c>
      <c r="U36" s="266"/>
      <c r="V36" s="266"/>
      <c r="W36" s="334">
        <f>(M20+M33)*-1</f>
        <v>0</v>
      </c>
      <c r="X36" s="425"/>
    </row>
    <row r="37" spans="1:24" s="264" customFormat="1">
      <c r="A37" s="263"/>
      <c r="B37" s="261" t="s">
        <v>727</v>
      </c>
      <c r="C37" s="566"/>
      <c r="D37" s="372">
        <f>Input!$GK$27</f>
        <v>0</v>
      </c>
      <c r="E37" s="372">
        <f>Input!$GL$27</f>
        <v>0</v>
      </c>
      <c r="F37" s="372">
        <f>Input!$GM$27</f>
        <v>0</v>
      </c>
      <c r="G37" s="372">
        <f>Input!$GN$27</f>
        <v>0</v>
      </c>
      <c r="H37" s="372">
        <f>Input!$GO$27</f>
        <v>0</v>
      </c>
      <c r="I37" s="372">
        <f>Input!$GP$27</f>
        <v>0</v>
      </c>
      <c r="J37" s="372">
        <f>Input!$GQ$27</f>
        <v>0</v>
      </c>
      <c r="K37" s="372">
        <f>Input!$GR$27</f>
        <v>0</v>
      </c>
      <c r="L37" s="372">
        <f>Input!$GS$27</f>
        <v>0</v>
      </c>
      <c r="M37" s="567">
        <f t="shared" si="6"/>
        <v>0</v>
      </c>
      <c r="O37" s="261"/>
      <c r="T37" s="560" t="s">
        <v>1112</v>
      </c>
      <c r="U37" s="266"/>
      <c r="V37" s="266"/>
      <c r="W37" s="430">
        <f>(M25+M38)*-1</f>
        <v>0</v>
      </c>
      <c r="X37" s="655"/>
    </row>
    <row r="38" spans="1:24" s="264" customFormat="1">
      <c r="A38" s="263"/>
      <c r="B38" s="261" t="s">
        <v>728</v>
      </c>
      <c r="C38" s="566"/>
      <c r="D38" s="372">
        <f>Input!$GT$27</f>
        <v>0</v>
      </c>
      <c r="E38" s="372">
        <f>Input!$GU$27</f>
        <v>0</v>
      </c>
      <c r="F38" s="372">
        <f>Input!$GV$27</f>
        <v>0</v>
      </c>
      <c r="G38" s="372">
        <f>Input!$GW$27</f>
        <v>0</v>
      </c>
      <c r="H38" s="372">
        <f>Input!$GX$27</f>
        <v>0</v>
      </c>
      <c r="I38" s="372">
        <f>Input!$GY$27</f>
        <v>0</v>
      </c>
      <c r="J38" s="372">
        <f>Input!$GZ$27</f>
        <v>0</v>
      </c>
      <c r="K38" s="372">
        <f>Input!$HA$27</f>
        <v>0</v>
      </c>
      <c r="L38" s="372">
        <f>Input!$HB$27</f>
        <v>0</v>
      </c>
      <c r="M38" s="567">
        <f t="shared" si="6"/>
        <v>0</v>
      </c>
      <c r="O38" s="261"/>
      <c r="T38" s="650" t="s">
        <v>1113</v>
      </c>
      <c r="U38" s="584"/>
      <c r="V38" s="584"/>
      <c r="W38" s="656">
        <f>SUM(W36:W37)</f>
        <v>0</v>
      </c>
      <c r="X38" s="425"/>
    </row>
    <row r="39" spans="1:24" s="264" customFormat="1">
      <c r="A39" s="263"/>
      <c r="B39" s="261" t="s">
        <v>729</v>
      </c>
      <c r="C39" s="566"/>
      <c r="D39" s="372">
        <f>Input!$HC$27</f>
        <v>0</v>
      </c>
      <c r="E39" s="372">
        <f>Input!$HD$27</f>
        <v>-357481</v>
      </c>
      <c r="F39" s="372">
        <f>Input!$HE$27</f>
        <v>-139945</v>
      </c>
      <c r="G39" s="372">
        <f>Input!$HF$27</f>
        <v>0</v>
      </c>
      <c r="H39" s="372">
        <f>Input!$HG$27</f>
        <v>0</v>
      </c>
      <c r="I39" s="372">
        <f>Input!$HH$27</f>
        <v>0</v>
      </c>
      <c r="J39" s="372">
        <f>Input!$HI$27</f>
        <v>0</v>
      </c>
      <c r="K39" s="372">
        <f>Input!$HJ$27</f>
        <v>0</v>
      </c>
      <c r="L39" s="372">
        <f>Input!$HK$27</f>
        <v>0</v>
      </c>
      <c r="M39" s="567">
        <f t="shared" si="6"/>
        <v>-497426</v>
      </c>
      <c r="O39" s="261"/>
      <c r="T39" s="560" t="s">
        <v>1054</v>
      </c>
      <c r="U39" s="266"/>
      <c r="V39" s="266"/>
      <c r="W39" s="334"/>
      <c r="X39" s="425">
        <f>W38+W35</f>
        <v>3018873</v>
      </c>
    </row>
    <row r="40" spans="1:24" s="264" customFormat="1">
      <c r="A40" s="263"/>
      <c r="B40" s="261" t="s">
        <v>730</v>
      </c>
      <c r="C40" s="566"/>
      <c r="D40" s="372">
        <f>Input!$HL$27</f>
        <v>0</v>
      </c>
      <c r="E40" s="372">
        <f>Input!$HM$27</f>
        <v>0</v>
      </c>
      <c r="F40" s="372">
        <f>Input!$HN$27</f>
        <v>0</v>
      </c>
      <c r="G40" s="372">
        <f>Input!$HO$27</f>
        <v>0</v>
      </c>
      <c r="H40" s="372">
        <f>Input!$HP$27</f>
        <v>0</v>
      </c>
      <c r="I40" s="372">
        <f>Input!$HQ$27</f>
        <v>0</v>
      </c>
      <c r="J40" s="372">
        <f>Input!$HR$27</f>
        <v>0</v>
      </c>
      <c r="K40" s="372">
        <f>Input!$HS$27</f>
        <v>0</v>
      </c>
      <c r="L40" s="372">
        <f>Input!$HT$27</f>
        <v>0</v>
      </c>
      <c r="M40" s="567">
        <f t="shared" si="6"/>
        <v>0</v>
      </c>
      <c r="O40" s="261"/>
      <c r="T40" s="560"/>
      <c r="U40" s="261"/>
      <c r="V40" s="261"/>
      <c r="W40" s="261"/>
      <c r="X40" s="655"/>
    </row>
    <row r="41" spans="1:24" s="264" customFormat="1">
      <c r="A41" s="263"/>
      <c r="B41" s="261" t="s">
        <v>2133</v>
      </c>
      <c r="C41" s="566"/>
      <c r="D41" s="372">
        <f>Input!$HU$27</f>
        <v>0</v>
      </c>
      <c r="E41" s="372">
        <f>Input!$HV$27</f>
        <v>-2432173</v>
      </c>
      <c r="F41" s="372">
        <f>Input!$HW$27</f>
        <v>-1997929</v>
      </c>
      <c r="G41" s="372">
        <f>Input!$HX$27</f>
        <v>0</v>
      </c>
      <c r="H41" s="372">
        <f>Input!$HY$27</f>
        <v>0</v>
      </c>
      <c r="I41" s="372">
        <f>Input!$HZ$27</f>
        <v>0</v>
      </c>
      <c r="J41" s="372">
        <f>Input!$IA$27</f>
        <v>0</v>
      </c>
      <c r="K41" s="372">
        <f>Input!$IB$27</f>
        <v>0</v>
      </c>
      <c r="L41" s="372">
        <f>Input!$IC$27</f>
        <v>0</v>
      </c>
      <c r="M41" s="567">
        <f t="shared" si="6"/>
        <v>-4430102</v>
      </c>
      <c r="O41"/>
      <c r="P41"/>
      <c r="Q41"/>
      <c r="R41"/>
      <c r="S41"/>
      <c r="T41" s="560" t="s">
        <v>1104</v>
      </c>
      <c r="U41" s="266"/>
      <c r="V41" s="266"/>
      <c r="W41" s="330">
        <f>(M21+M34)*-1</f>
        <v>0</v>
      </c>
      <c r="X41" s="425"/>
    </row>
    <row r="42" spans="1:24" s="264" customFormat="1">
      <c r="A42" s="263"/>
      <c r="B42" s="575" t="s">
        <v>40</v>
      </c>
      <c r="C42" s="563"/>
      <c r="D42" s="374">
        <f t="shared" ref="D42:L42" si="7">SUM(D36:D41)</f>
        <v>0</v>
      </c>
      <c r="E42" s="374">
        <f t="shared" si="7"/>
        <v>7652305</v>
      </c>
      <c r="F42" s="374">
        <f t="shared" si="7"/>
        <v>5980380</v>
      </c>
      <c r="G42" s="374">
        <f t="shared" si="7"/>
        <v>0</v>
      </c>
      <c r="H42" s="374">
        <f t="shared" si="7"/>
        <v>0</v>
      </c>
      <c r="I42" s="374">
        <f t="shared" si="7"/>
        <v>0</v>
      </c>
      <c r="J42" s="374">
        <f t="shared" si="7"/>
        <v>0</v>
      </c>
      <c r="K42" s="374">
        <f t="shared" si="7"/>
        <v>0</v>
      </c>
      <c r="L42" s="374">
        <f t="shared" si="7"/>
        <v>0</v>
      </c>
      <c r="M42" s="374">
        <f t="shared" si="6"/>
        <v>13632685</v>
      </c>
      <c r="O42"/>
      <c r="P42"/>
      <c r="Q42"/>
      <c r="R42"/>
      <c r="S42"/>
      <c r="T42" s="560" t="s">
        <v>1107</v>
      </c>
      <c r="U42" s="266"/>
      <c r="V42" s="266"/>
      <c r="W42" s="430">
        <f>(M22+M35)*-1</f>
        <v>0</v>
      </c>
      <c r="X42" s="425"/>
    </row>
    <row r="43" spans="1:24" s="264" customFormat="1">
      <c r="A43" s="263"/>
      <c r="B43" s="261"/>
      <c r="C43" s="566"/>
      <c r="D43" s="566"/>
      <c r="E43" s="566"/>
      <c r="F43" s="566"/>
      <c r="G43" s="566"/>
      <c r="H43" s="566"/>
      <c r="I43" s="566"/>
      <c r="J43" s="566"/>
      <c r="K43" s="566"/>
      <c r="L43" s="566"/>
      <c r="M43" s="567"/>
      <c r="O43"/>
      <c r="P43"/>
      <c r="Q43"/>
      <c r="R43"/>
      <c r="S43"/>
      <c r="T43" s="650" t="s">
        <v>1114</v>
      </c>
      <c r="U43" s="584"/>
      <c r="V43" s="584"/>
      <c r="W43" s="656">
        <f>SUM(W41:W42)</f>
        <v>0</v>
      </c>
      <c r="X43" s="655"/>
    </row>
    <row r="44" spans="1:24" s="264" customFormat="1" ht="13.5" customHeight="1">
      <c r="A44" s="263"/>
      <c r="B44" s="575" t="s">
        <v>1055</v>
      </c>
      <c r="C44" s="563"/>
      <c r="D44" s="374">
        <f t="shared" ref="D44:L44" si="8">D42+D29</f>
        <v>9915824</v>
      </c>
      <c r="E44" s="374">
        <f t="shared" si="8"/>
        <v>41440644</v>
      </c>
      <c r="F44" s="374">
        <f t="shared" si="8"/>
        <v>5980380</v>
      </c>
      <c r="G44" s="374">
        <f t="shared" si="8"/>
        <v>0</v>
      </c>
      <c r="H44" s="374">
        <f t="shared" si="8"/>
        <v>0</v>
      </c>
      <c r="I44" s="374">
        <f t="shared" si="8"/>
        <v>0</v>
      </c>
      <c r="J44" s="374">
        <f t="shared" si="8"/>
        <v>0</v>
      </c>
      <c r="K44" s="374">
        <f t="shared" si="8"/>
        <v>0</v>
      </c>
      <c r="L44" s="374">
        <f t="shared" si="8"/>
        <v>0</v>
      </c>
      <c r="M44" s="374">
        <f>D44+E44+F44+G44+H44+I44+J44+K44+L44</f>
        <v>57336848</v>
      </c>
      <c r="O44"/>
      <c r="P44"/>
      <c r="Q44"/>
      <c r="R44"/>
      <c r="S44"/>
      <c r="T44" s="560"/>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0"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0" t="s">
        <v>1112</v>
      </c>
      <c r="U46" s="266"/>
      <c r="V46" s="266"/>
      <c r="W46" s="430">
        <f>(M25+M38)*-1</f>
        <v>0</v>
      </c>
      <c r="X46" s="425"/>
    </row>
    <row r="47" spans="1:24">
      <c r="A47" s="184">
        <v>30</v>
      </c>
      <c r="B47" s="176" t="s">
        <v>7</v>
      </c>
      <c r="C47" s="176"/>
      <c r="D47" s="375">
        <f>Input!$ID$27</f>
        <v>0</v>
      </c>
      <c r="E47" s="375">
        <f>Input!$IE$27</f>
        <v>0</v>
      </c>
      <c r="F47" s="375">
        <f>Input!$IF$27</f>
        <v>0</v>
      </c>
      <c r="G47" s="375">
        <f>Input!$IG$27</f>
        <v>37552981</v>
      </c>
      <c r="H47" s="375">
        <f>Input!$IH$27</f>
        <v>0</v>
      </c>
      <c r="I47" s="375">
        <f>Input!$II$27</f>
        <v>0</v>
      </c>
      <c r="J47" s="375">
        <f>Input!$IJ$27</f>
        <v>0</v>
      </c>
      <c r="K47" s="375">
        <f>Input!$IK$27</f>
        <v>0</v>
      </c>
      <c r="L47" s="375">
        <f>Input!$IL$27</f>
        <v>0</v>
      </c>
      <c r="M47" s="374">
        <f>D47+E47+F47+G47+H47+I47+J47+K47+L47</f>
        <v>37552981</v>
      </c>
      <c r="N47" s="160"/>
      <c r="O47"/>
      <c r="P47"/>
      <c r="Q47"/>
      <c r="R47"/>
      <c r="S47"/>
      <c r="T47" s="657" t="s">
        <v>1115</v>
      </c>
      <c r="U47" s="27"/>
      <c r="V47" s="27"/>
      <c r="W47" s="656">
        <f>SUM(W45:W46)</f>
        <v>0</v>
      </c>
      <c r="X47" s="655"/>
    </row>
    <row r="48" spans="1:24">
      <c r="A48" s="184">
        <v>31</v>
      </c>
      <c r="B48" s="160"/>
      <c r="C48" s="160"/>
      <c r="D48" s="373"/>
      <c r="E48" s="373"/>
      <c r="F48" s="373"/>
      <c r="G48" s="373"/>
      <c r="H48" s="373"/>
      <c r="I48" s="373"/>
      <c r="J48" s="373"/>
      <c r="K48" s="373"/>
      <c r="L48" s="373"/>
      <c r="M48" s="373"/>
      <c r="N48" s="160"/>
      <c r="O48"/>
      <c r="P48"/>
      <c r="Q48"/>
      <c r="R48"/>
      <c r="S48"/>
      <c r="T48" s="560"/>
      <c r="U48" s="261"/>
      <c r="V48" s="261"/>
      <c r="W48" s="261"/>
      <c r="X48" s="658">
        <f>W43-W47</f>
        <v>0</v>
      </c>
    </row>
    <row r="49" spans="1:28">
      <c r="A49" s="184">
        <v>32</v>
      </c>
      <c r="B49" s="172" t="s">
        <v>8</v>
      </c>
      <c r="C49" s="172"/>
      <c r="D49" s="373"/>
      <c r="E49" s="373"/>
      <c r="F49" s="373"/>
      <c r="G49" s="373"/>
      <c r="H49" s="373"/>
      <c r="I49" s="373"/>
      <c r="J49" s="373"/>
      <c r="K49" s="373"/>
      <c r="L49" s="373"/>
      <c r="M49" s="373"/>
      <c r="N49" s="160"/>
      <c r="O49" s="273"/>
      <c r="T49" s="579" t="s">
        <v>287</v>
      </c>
      <c r="U49" s="511"/>
      <c r="V49" s="580"/>
      <c r="W49" s="580"/>
      <c r="X49" s="574">
        <f>SUM(X23:X48)</f>
        <v>81931197</v>
      </c>
    </row>
    <row r="50" spans="1:28">
      <c r="A50" s="184">
        <v>33</v>
      </c>
      <c r="B50" s="160" t="s">
        <v>42</v>
      </c>
      <c r="C50" s="160"/>
      <c r="D50" s="372">
        <f>Input!$IM$27</f>
        <v>32895</v>
      </c>
      <c r="E50" s="372">
        <f>Input!$IN$27</f>
        <v>542851</v>
      </c>
      <c r="F50" s="372">
        <f>Input!$IO$27</f>
        <v>0</v>
      </c>
      <c r="G50" s="372">
        <f>Input!$IP$27</f>
        <v>0</v>
      </c>
      <c r="H50" s="372">
        <f>Input!$IQ$27</f>
        <v>10109</v>
      </c>
      <c r="I50" s="372">
        <f>Input!$IR$27</f>
        <v>3498451</v>
      </c>
      <c r="J50" s="372">
        <f>Input!$IS$27</f>
        <v>17930</v>
      </c>
      <c r="K50" s="372">
        <f>Input!$IT$27</f>
        <v>0</v>
      </c>
      <c r="L50" s="372">
        <f>Input!$IU$27</f>
        <v>0</v>
      </c>
      <c r="M50" s="373">
        <f t="shared" ref="M50:M57" si="9">D50+E50+F50+G50+H50+I50+J50+K50+L50</f>
        <v>4102236</v>
      </c>
      <c r="N50" s="160"/>
      <c r="O50" s="273"/>
      <c r="U50" s="275"/>
    </row>
    <row r="51" spans="1:28">
      <c r="A51" s="184">
        <v>34</v>
      </c>
      <c r="B51" s="160" t="s">
        <v>9</v>
      </c>
      <c r="C51" s="160"/>
      <c r="D51" s="372">
        <f>Input!$IV$27</f>
        <v>0</v>
      </c>
      <c r="E51" s="372">
        <f>Input!$IW$27</f>
        <v>0</v>
      </c>
      <c r="F51" s="372">
        <f>Input!$IX$27</f>
        <v>0</v>
      </c>
      <c r="G51" s="372">
        <f>Input!$IY$27</f>
        <v>94576</v>
      </c>
      <c r="H51" s="372">
        <f>Input!$IZ$27</f>
        <v>0</v>
      </c>
      <c r="I51" s="372">
        <f>Input!$JA$27</f>
        <v>0</v>
      </c>
      <c r="J51" s="372">
        <f>Input!$JB$27</f>
        <v>0</v>
      </c>
      <c r="K51" s="372">
        <f>Input!$JC$27</f>
        <v>0</v>
      </c>
      <c r="L51" s="372">
        <f>Input!$JD$27</f>
        <v>0</v>
      </c>
      <c r="M51" s="376">
        <f t="shared" si="9"/>
        <v>94576</v>
      </c>
      <c r="N51" s="160"/>
      <c r="Y51" s="277"/>
    </row>
    <row r="52" spans="1:28">
      <c r="A52" s="184">
        <v>35</v>
      </c>
      <c r="B52" s="160" t="s">
        <v>10</v>
      </c>
      <c r="C52" s="160"/>
      <c r="D52" s="372">
        <f>Input!$JE$27</f>
        <v>0</v>
      </c>
      <c r="E52" s="372">
        <f>Input!$JF$27</f>
        <v>343203</v>
      </c>
      <c r="F52" s="372">
        <f>Input!$JG$27</f>
        <v>0</v>
      </c>
      <c r="G52" s="372">
        <f>Input!$JH$27</f>
        <v>1014891</v>
      </c>
      <c r="H52" s="372">
        <f>Input!$JI$27</f>
        <v>0</v>
      </c>
      <c r="I52" s="372">
        <f>Input!$JJ$27</f>
        <v>0</v>
      </c>
      <c r="J52" s="372">
        <f>Input!$JK$27</f>
        <v>0</v>
      </c>
      <c r="K52" s="372">
        <f>Input!$JL$27</f>
        <v>0</v>
      </c>
      <c r="L52" s="372">
        <f>Input!$JM$27</f>
        <v>0</v>
      </c>
      <c r="M52" s="373">
        <f t="shared" si="9"/>
        <v>1358094</v>
      </c>
      <c r="N52" s="160"/>
      <c r="O52" s="273"/>
      <c r="P52" s="278"/>
    </row>
    <row r="53" spans="1:28">
      <c r="A53" s="184">
        <v>36</v>
      </c>
      <c r="B53" s="160" t="s">
        <v>11</v>
      </c>
      <c r="C53" s="160"/>
      <c r="D53" s="372">
        <f>Input!$JN$27</f>
        <v>20952</v>
      </c>
      <c r="E53" s="372">
        <f>Input!$JO$27</f>
        <v>1141585</v>
      </c>
      <c r="F53" s="372">
        <f>Input!$JP$27</f>
        <v>0</v>
      </c>
      <c r="G53" s="372">
        <f>Input!$JQ$27</f>
        <v>0</v>
      </c>
      <c r="H53" s="372">
        <f>Input!$JR$27</f>
        <v>0</v>
      </c>
      <c r="I53" s="372">
        <f>Input!$JS$27</f>
        <v>0</v>
      </c>
      <c r="J53" s="372">
        <f>Input!$JT$27</f>
        <v>0</v>
      </c>
      <c r="K53" s="372">
        <f>Input!$JU$27</f>
        <v>0</v>
      </c>
      <c r="L53" s="372">
        <f>Input!$JV$27</f>
        <v>0</v>
      </c>
      <c r="M53" s="373">
        <f t="shared" si="9"/>
        <v>1162537</v>
      </c>
      <c r="N53" s="160"/>
      <c r="O53" s="273"/>
    </row>
    <row r="54" spans="1:28" ht="13.5" thickBot="1">
      <c r="A54" s="184">
        <v>37</v>
      </c>
      <c r="B54" s="177" t="s">
        <v>2134</v>
      </c>
      <c r="C54" s="177"/>
      <c r="D54" s="372">
        <f>Input!$JW$27</f>
        <v>0</v>
      </c>
      <c r="E54" s="372">
        <f>Input!$JX$27</f>
        <v>0</v>
      </c>
      <c r="F54" s="372">
        <f>Input!$JY$27</f>
        <v>1535903</v>
      </c>
      <c r="G54" s="372">
        <f>Input!$JZ$27</f>
        <v>0</v>
      </c>
      <c r="H54" s="372">
        <f>Input!$KA$27</f>
        <v>0</v>
      </c>
      <c r="I54" s="372">
        <f>Input!$KB$27</f>
        <v>0</v>
      </c>
      <c r="J54" s="372">
        <f>Input!$KC$27</f>
        <v>0</v>
      </c>
      <c r="K54" s="372">
        <f>Input!$KD$27</f>
        <v>0</v>
      </c>
      <c r="L54" s="372">
        <f>Input!$KE$27</f>
        <v>0</v>
      </c>
      <c r="M54" s="373">
        <f t="shared" si="9"/>
        <v>1535903</v>
      </c>
      <c r="N54" s="160"/>
      <c r="O54" s="273"/>
    </row>
    <row r="55" spans="1:28" ht="14.25" thickTop="1" thickBot="1">
      <c r="A55" s="184">
        <v>38</v>
      </c>
      <c r="B55" s="160" t="s">
        <v>43</v>
      </c>
      <c r="C55" s="160"/>
      <c r="D55" s="372">
        <f>Input!$KF$27</f>
        <v>0</v>
      </c>
      <c r="E55" s="372">
        <f>Input!$KG$27</f>
        <v>3233258</v>
      </c>
      <c r="F55" s="372">
        <f>Input!$KH$27</f>
        <v>3442799</v>
      </c>
      <c r="G55" s="372">
        <f>Input!$KI$27</f>
        <v>516373</v>
      </c>
      <c r="H55" s="372">
        <f>Input!$KJ$27</f>
        <v>0</v>
      </c>
      <c r="I55" s="372">
        <f>Input!$KK$27</f>
        <v>0</v>
      </c>
      <c r="J55" s="372">
        <f>Input!$KL$27</f>
        <v>0</v>
      </c>
      <c r="K55" s="372">
        <f>Input!$KM$27</f>
        <v>0</v>
      </c>
      <c r="L55" s="372">
        <f>Input!$KN$27</f>
        <v>0</v>
      </c>
      <c r="M55" s="373">
        <f t="shared" si="9"/>
        <v>7192430</v>
      </c>
      <c r="N55" s="160"/>
      <c r="O55" s="1616" t="s">
        <v>251</v>
      </c>
      <c r="P55" s="1617"/>
      <c r="Q55" s="1617"/>
      <c r="R55" s="1618"/>
      <c r="S55" s="437"/>
      <c r="T55" s="1619" t="s">
        <v>252</v>
      </c>
      <c r="U55" s="1620"/>
      <c r="V55" s="1620"/>
      <c r="W55" s="1620"/>
      <c r="X55" s="1621"/>
      <c r="Y55" s="320"/>
      <c r="Z55" s="1749" t="s">
        <v>1301</v>
      </c>
      <c r="AA55" s="1750"/>
      <c r="AB55" s="1751"/>
    </row>
    <row r="56" spans="1:28" ht="13.5" customHeight="1" thickTop="1">
      <c r="A56" s="184">
        <v>39</v>
      </c>
      <c r="B56" s="176" t="s">
        <v>3</v>
      </c>
      <c r="C56" s="176"/>
      <c r="D56" s="374">
        <f>SUM(D50:D55)</f>
        <v>53847</v>
      </c>
      <c r="E56" s="374">
        <f t="shared" ref="E56:L56" si="10">SUM(E50:E55)</f>
        <v>5260897</v>
      </c>
      <c r="F56" s="374">
        <f t="shared" si="10"/>
        <v>4978702</v>
      </c>
      <c r="G56" s="374">
        <f t="shared" si="10"/>
        <v>1625840</v>
      </c>
      <c r="H56" s="374">
        <f t="shared" si="10"/>
        <v>10109</v>
      </c>
      <c r="I56" s="374">
        <f t="shared" si="10"/>
        <v>3498451</v>
      </c>
      <c r="J56" s="374">
        <f t="shared" si="10"/>
        <v>17930</v>
      </c>
      <c r="K56" s="374">
        <f t="shared" si="10"/>
        <v>0</v>
      </c>
      <c r="L56" s="374">
        <f t="shared" si="10"/>
        <v>0</v>
      </c>
      <c r="M56" s="374">
        <f t="shared" si="9"/>
        <v>15445776</v>
      </c>
      <c r="N56" s="160"/>
      <c r="O56" s="1622" t="s">
        <v>1135</v>
      </c>
      <c r="P56" s="1625" t="s">
        <v>254</v>
      </c>
      <c r="Q56" s="1625" t="s">
        <v>292</v>
      </c>
      <c r="R56" s="1628" t="s">
        <v>1063</v>
      </c>
      <c r="S56" s="280"/>
      <c r="T56" s="1739" t="s">
        <v>1136</v>
      </c>
      <c r="U56" s="1637" t="s">
        <v>254</v>
      </c>
      <c r="V56" s="1634" t="s">
        <v>256</v>
      </c>
      <c r="W56" s="1637" t="s">
        <v>257</v>
      </c>
      <c r="X56" s="1638" t="s">
        <v>1064</v>
      </c>
      <c r="Z56" s="1754" t="s">
        <v>1302</v>
      </c>
      <c r="AA56" s="1747" t="s">
        <v>1303</v>
      </c>
      <c r="AB56" s="1752" t="s">
        <v>238</v>
      </c>
    </row>
    <row r="57" spans="1:28">
      <c r="A57" s="184">
        <v>40</v>
      </c>
      <c r="B57" s="162" t="s">
        <v>68</v>
      </c>
      <c r="C57" s="162"/>
      <c r="D57" s="374">
        <f>D15+D44+D47+D56</f>
        <v>53178519</v>
      </c>
      <c r="E57" s="374">
        <f t="shared" ref="E57:L57" si="11">E15+E44+E47+E56</f>
        <v>46701541</v>
      </c>
      <c r="F57" s="374">
        <f t="shared" si="11"/>
        <v>10959082</v>
      </c>
      <c r="G57" s="374">
        <f t="shared" si="11"/>
        <v>43021171</v>
      </c>
      <c r="H57" s="374">
        <f t="shared" si="11"/>
        <v>10109</v>
      </c>
      <c r="I57" s="374">
        <f t="shared" si="11"/>
        <v>3498451</v>
      </c>
      <c r="J57" s="374">
        <f t="shared" si="11"/>
        <v>17930</v>
      </c>
      <c r="K57" s="374">
        <f t="shared" si="11"/>
        <v>0</v>
      </c>
      <c r="L57" s="374">
        <f t="shared" si="11"/>
        <v>0</v>
      </c>
      <c r="M57" s="374">
        <f t="shared" si="9"/>
        <v>157386803</v>
      </c>
      <c r="N57" s="160"/>
      <c r="O57" s="1623"/>
      <c r="P57" s="1626"/>
      <c r="Q57" s="1626"/>
      <c r="R57" s="1629"/>
      <c r="S57" s="280"/>
      <c r="T57" s="1740"/>
      <c r="U57" s="1626"/>
      <c r="V57" s="1635"/>
      <c r="W57" s="1626"/>
      <c r="X57" s="1639"/>
      <c r="Z57" s="1755"/>
      <c r="AA57" s="1747"/>
      <c r="AB57" s="1752"/>
    </row>
    <row r="58" spans="1:28">
      <c r="A58" s="184">
        <v>41</v>
      </c>
      <c r="B58" s="160"/>
      <c r="C58" s="160"/>
      <c r="D58" s="373"/>
      <c r="E58" s="373"/>
      <c r="F58" s="373"/>
      <c r="G58" s="373"/>
      <c r="H58" s="373"/>
      <c r="I58" s="373"/>
      <c r="J58" s="373"/>
      <c r="K58" s="373"/>
      <c r="L58" s="373"/>
      <c r="M58" s="373"/>
      <c r="N58" s="160"/>
      <c r="O58" s="1623"/>
      <c r="P58" s="1626"/>
      <c r="Q58" s="1626"/>
      <c r="R58" s="1629"/>
      <c r="S58" s="280"/>
      <c r="T58" s="1740"/>
      <c r="U58" s="1626"/>
      <c r="V58" s="1635"/>
      <c r="W58" s="1626"/>
      <c r="X58" s="1639"/>
      <c r="Z58" s="1755"/>
      <c r="AA58" s="1747"/>
      <c r="AB58" s="1752"/>
    </row>
    <row r="59" spans="1:28" ht="14.25" customHeight="1">
      <c r="A59" s="184">
        <v>42</v>
      </c>
      <c r="B59" s="174" t="s">
        <v>72</v>
      </c>
      <c r="C59" s="174"/>
      <c r="D59" s="377"/>
      <c r="E59" s="377"/>
      <c r="F59" s="377"/>
      <c r="G59" s="1746" t="str">
        <f>IF(OR(P105&gt;0,P106&lt;&gt;0,P107&lt;&gt;0),"Do not Enter Cents - Whole Dollars Only","")</f>
        <v/>
      </c>
      <c r="H59" s="1746"/>
      <c r="I59" s="1746"/>
      <c r="J59" s="1746"/>
      <c r="K59" s="1746"/>
      <c r="L59" s="377"/>
      <c r="M59" s="377"/>
      <c r="N59" s="160"/>
      <c r="O59" s="1624"/>
      <c r="P59" s="1627"/>
      <c r="Q59" s="1627"/>
      <c r="R59" s="1630"/>
      <c r="S59" s="280"/>
      <c r="T59" s="1741"/>
      <c r="U59" s="1627"/>
      <c r="V59" s="1636"/>
      <c r="W59" s="1627"/>
      <c r="X59" s="1640"/>
      <c r="Z59" s="1756"/>
      <c r="AA59" s="1748"/>
      <c r="AB59" s="1753"/>
    </row>
    <row r="60" spans="1:28" ht="13.5" thickBot="1">
      <c r="A60" s="184">
        <v>43</v>
      </c>
      <c r="B60" s="160" t="s">
        <v>14</v>
      </c>
      <c r="C60" s="160"/>
      <c r="D60" s="372">
        <f>Input!$KO$27</f>
        <v>32803237</v>
      </c>
      <c r="E60" s="372">
        <f>Input!$KP$27</f>
        <v>9532901</v>
      </c>
      <c r="F60" s="372">
        <f>Input!$KQ$27</f>
        <v>0</v>
      </c>
      <c r="G60" s="372">
        <f>Input!$KR$27</f>
        <v>801514</v>
      </c>
      <c r="H60" s="372">
        <f>Input!$KS$27</f>
        <v>0</v>
      </c>
      <c r="I60" s="372">
        <f>Input!$KT$27</f>
        <v>0</v>
      </c>
      <c r="J60" s="372">
        <f>Input!$KU$27</f>
        <v>0</v>
      </c>
      <c r="K60" s="372">
        <f>Input!$KV$27</f>
        <v>0</v>
      </c>
      <c r="L60" s="372">
        <f>Input!$KW$27</f>
        <v>0</v>
      </c>
      <c r="M60" s="373">
        <f t="shared" ref="M60:M71" si="12">D60+E60+F60+G60+H60+I60+J60+K60+L60</f>
        <v>43137652</v>
      </c>
      <c r="N60" s="160"/>
      <c r="O60" s="282">
        <f>D60+E60+G60+J60</f>
        <v>43137652</v>
      </c>
      <c r="P60" s="518">
        <f>Input!$SS$27</f>
        <v>0</v>
      </c>
      <c r="Q60" s="438" t="s">
        <v>259</v>
      </c>
      <c r="R60" s="284">
        <f>SUM(O60:P60)</f>
        <v>43137652</v>
      </c>
      <c r="S60" s="439"/>
      <c r="T60" s="286">
        <f t="shared" ref="T60:T67" si="13">D60+E60+G60</f>
        <v>43137652</v>
      </c>
      <c r="U60" s="287">
        <f t="shared" ref="U60:U67" si="14">P60</f>
        <v>0</v>
      </c>
      <c r="V60" s="289">
        <f>Input!$TC$27</f>
        <v>0</v>
      </c>
      <c r="W60" s="289">
        <f>Input!$TK$27</f>
        <v>0</v>
      </c>
      <c r="X60" s="290">
        <f t="shared" ref="X60:X66" si="15">T60+U60-V60-W60</f>
        <v>43137652</v>
      </c>
      <c r="Z60" s="292" t="s">
        <v>14</v>
      </c>
      <c r="AA60" s="520">
        <f>Input!$TS$27</f>
        <v>43137652</v>
      </c>
      <c r="AB60" s="293">
        <f t="shared" ref="AB60:AB68" si="16">AA60-M60</f>
        <v>0</v>
      </c>
    </row>
    <row r="61" spans="1:28" ht="14.25" thickTop="1" thickBot="1">
      <c r="A61" s="184">
        <v>44</v>
      </c>
      <c r="B61" s="160" t="s">
        <v>15</v>
      </c>
      <c r="C61" s="160"/>
      <c r="D61" s="372">
        <f>Input!$KX$27</f>
        <v>436671</v>
      </c>
      <c r="E61" s="372">
        <f>Input!$KY$27</f>
        <v>-43706</v>
      </c>
      <c r="F61" s="372">
        <f>Input!$KZ$27</f>
        <v>0</v>
      </c>
      <c r="G61" s="372">
        <f>Input!$LA$27</f>
        <v>1323290</v>
      </c>
      <c r="H61" s="372">
        <f>Input!$LB$27</f>
        <v>0</v>
      </c>
      <c r="I61" s="372">
        <f>Input!$LC$27</f>
        <v>0</v>
      </c>
      <c r="J61" s="372">
        <f>Input!$LD$27</f>
        <v>0</v>
      </c>
      <c r="K61" s="372">
        <f>Input!$LE$27</f>
        <v>0</v>
      </c>
      <c r="L61" s="372">
        <f>Input!$LF$27</f>
        <v>0</v>
      </c>
      <c r="M61" s="373">
        <f t="shared" si="12"/>
        <v>1716255</v>
      </c>
      <c r="N61" s="160"/>
      <c r="O61" s="440">
        <f t="shared" ref="O61:O67" si="17">D61+E61+G61+J61</f>
        <v>1716255</v>
      </c>
      <c r="P61" s="518">
        <f>Input!$ST$27</f>
        <v>24449</v>
      </c>
      <c r="Q61" s="441" t="s">
        <v>259</v>
      </c>
      <c r="R61" s="295">
        <f>SUM(O61:P61)</f>
        <v>1740704</v>
      </c>
      <c r="S61" s="442"/>
      <c r="T61" s="296">
        <f t="shared" si="13"/>
        <v>1716255</v>
      </c>
      <c r="U61" s="297">
        <f t="shared" si="14"/>
        <v>24449</v>
      </c>
      <c r="V61" s="299">
        <f>Input!$TD$27</f>
        <v>0</v>
      </c>
      <c r="W61" s="299">
        <f>Input!$TL$27</f>
        <v>0</v>
      </c>
      <c r="X61" s="300">
        <f t="shared" si="15"/>
        <v>1740704</v>
      </c>
      <c r="Z61" s="292" t="s">
        <v>15</v>
      </c>
      <c r="AA61" s="518">
        <f>Input!$TT$27</f>
        <v>1716255</v>
      </c>
      <c r="AB61" s="301">
        <f t="shared" si="16"/>
        <v>0</v>
      </c>
    </row>
    <row r="62" spans="1:28" ht="13.5" thickTop="1">
      <c r="A62" s="184">
        <v>45</v>
      </c>
      <c r="B62" s="160" t="s">
        <v>16</v>
      </c>
      <c r="C62" s="160"/>
      <c r="D62" s="372">
        <f>Input!$LG$27</f>
        <v>0</v>
      </c>
      <c r="E62" s="372">
        <f>Input!$LH$27</f>
        <v>17072</v>
      </c>
      <c r="F62" s="372">
        <f>Input!$LI$27</f>
        <v>0</v>
      </c>
      <c r="G62" s="372">
        <f>Input!$LJ$27</f>
        <v>50844</v>
      </c>
      <c r="H62" s="372">
        <f>Input!$LK$27</f>
        <v>0</v>
      </c>
      <c r="I62" s="372">
        <f>Input!$LL$27</f>
        <v>0</v>
      </c>
      <c r="J62" s="372">
        <f>Input!$LM$27</f>
        <v>0</v>
      </c>
      <c r="K62" s="372">
        <f>Input!$LN$27</f>
        <v>0</v>
      </c>
      <c r="L62" s="372">
        <f>Input!$LO$27</f>
        <v>0</v>
      </c>
      <c r="M62" s="373">
        <f t="shared" si="12"/>
        <v>67916</v>
      </c>
      <c r="N62" s="160"/>
      <c r="O62" s="440">
        <f t="shared" si="17"/>
        <v>67916</v>
      </c>
      <c r="P62" s="518">
        <f>Input!$SU$27</f>
        <v>0</v>
      </c>
      <c r="Q62" s="441" t="s">
        <v>259</v>
      </c>
      <c r="R62" s="302" t="s">
        <v>259</v>
      </c>
      <c r="S62" s="442"/>
      <c r="T62" s="296">
        <f t="shared" si="13"/>
        <v>67916</v>
      </c>
      <c r="U62" s="297">
        <f t="shared" si="14"/>
        <v>0</v>
      </c>
      <c r="V62" s="299">
        <f>Input!$TE$27</f>
        <v>0</v>
      </c>
      <c r="W62" s="299">
        <f>Input!$TM$27</f>
        <v>0</v>
      </c>
      <c r="X62" s="303">
        <f t="shared" si="15"/>
        <v>67916</v>
      </c>
      <c r="Z62" s="292" t="s">
        <v>16</v>
      </c>
      <c r="AA62" s="518">
        <f>Input!$TU$27</f>
        <v>67916</v>
      </c>
      <c r="AB62" s="301">
        <f t="shared" si="16"/>
        <v>0</v>
      </c>
    </row>
    <row r="63" spans="1:28">
      <c r="A63" s="184">
        <v>46</v>
      </c>
      <c r="B63" s="160" t="s">
        <v>17</v>
      </c>
      <c r="C63" s="160"/>
      <c r="D63" s="372">
        <f>Input!$LP$27</f>
        <v>6693696</v>
      </c>
      <c r="E63" s="372">
        <f>Input!$LQ$27</f>
        <v>12955590</v>
      </c>
      <c r="F63" s="372">
        <f>Input!$LR$27</f>
        <v>0</v>
      </c>
      <c r="G63" s="372">
        <f>Input!$LS$27</f>
        <v>11332880</v>
      </c>
      <c r="H63" s="372">
        <f>Input!$LT$27</f>
        <v>0</v>
      </c>
      <c r="I63" s="372">
        <f>Input!$LU$27</f>
        <v>0</v>
      </c>
      <c r="J63" s="372">
        <f>Input!$LV$27</f>
        <v>0</v>
      </c>
      <c r="K63" s="372">
        <f>Input!$LW$27</f>
        <v>0</v>
      </c>
      <c r="L63" s="372">
        <f>Input!$LX$27</f>
        <v>0</v>
      </c>
      <c r="M63" s="373">
        <f t="shared" si="12"/>
        <v>30982166</v>
      </c>
      <c r="N63" s="160"/>
      <c r="O63" s="440">
        <f t="shared" si="17"/>
        <v>30982166</v>
      </c>
      <c r="P63" s="518">
        <f>Input!$SV$27</f>
        <v>2017656</v>
      </c>
      <c r="Q63" s="441" t="s">
        <v>259</v>
      </c>
      <c r="R63" s="295">
        <f t="shared" ref="R63:R65" si="18">SUM(O63:P63)</f>
        <v>32999822</v>
      </c>
      <c r="S63" s="442"/>
      <c r="T63" s="296">
        <f t="shared" si="13"/>
        <v>30982166</v>
      </c>
      <c r="U63" s="297">
        <f t="shared" si="14"/>
        <v>2017656</v>
      </c>
      <c r="V63" s="299">
        <f>Input!$TF$27</f>
        <v>0</v>
      </c>
      <c r="W63" s="299">
        <f>Input!$TN$27</f>
        <v>0</v>
      </c>
      <c r="X63" s="303">
        <f t="shared" si="15"/>
        <v>32999822</v>
      </c>
      <c r="Z63" s="292" t="s">
        <v>17</v>
      </c>
      <c r="AA63" s="518">
        <f>Input!$TV$27</f>
        <v>30982166</v>
      </c>
      <c r="AB63" s="301">
        <f t="shared" si="16"/>
        <v>0</v>
      </c>
    </row>
    <row r="64" spans="1:28">
      <c r="A64" s="184">
        <v>47</v>
      </c>
      <c r="B64" s="160" t="s">
        <v>18</v>
      </c>
      <c r="C64" s="160"/>
      <c r="D64" s="372">
        <f>Input!$LY$27</f>
        <v>1742053</v>
      </c>
      <c r="E64" s="372">
        <f>Input!$LZ$27</f>
        <v>6295169</v>
      </c>
      <c r="F64" s="372">
        <f>Input!$MA$27</f>
        <v>0</v>
      </c>
      <c r="G64" s="372">
        <f>Input!$MB$27</f>
        <v>11606</v>
      </c>
      <c r="H64" s="372">
        <f>Input!$MC$27</f>
        <v>0</v>
      </c>
      <c r="I64" s="372">
        <f>Input!$MD$27</f>
        <v>0</v>
      </c>
      <c r="J64" s="372">
        <f>Input!$ME$27</f>
        <v>0</v>
      </c>
      <c r="K64" s="372">
        <f>Input!$MF$27</f>
        <v>0</v>
      </c>
      <c r="L64" s="372">
        <f>Input!$MG$27</f>
        <v>0</v>
      </c>
      <c r="M64" s="373">
        <f t="shared" si="12"/>
        <v>8048828</v>
      </c>
      <c r="N64" s="160"/>
      <c r="O64" s="440">
        <f t="shared" si="17"/>
        <v>8048828</v>
      </c>
      <c r="P64" s="518">
        <f>Input!$SW$27</f>
        <v>90000</v>
      </c>
      <c r="Q64" s="518">
        <f>Input!$TB$27</f>
        <v>0</v>
      </c>
      <c r="R64" s="295">
        <f>SUM(O64:P64)-Q64</f>
        <v>8138828</v>
      </c>
      <c r="S64" s="442"/>
      <c r="T64" s="296">
        <f t="shared" si="13"/>
        <v>8048828</v>
      </c>
      <c r="U64" s="297">
        <f t="shared" si="14"/>
        <v>90000</v>
      </c>
      <c r="V64" s="299">
        <f>Input!$TG$27</f>
        <v>0</v>
      </c>
      <c r="W64" s="299">
        <f>Input!$TO$27</f>
        <v>0</v>
      </c>
      <c r="X64" s="303">
        <f t="shared" si="15"/>
        <v>8138828</v>
      </c>
      <c r="Z64" s="292" t="s">
        <v>18</v>
      </c>
      <c r="AA64" s="518">
        <f>Input!$TW$27</f>
        <v>8048828</v>
      </c>
      <c r="AB64" s="301">
        <f t="shared" si="16"/>
        <v>0</v>
      </c>
    </row>
    <row r="65" spans="1:28">
      <c r="A65" s="184">
        <v>48</v>
      </c>
      <c r="B65" s="160" t="s">
        <v>19</v>
      </c>
      <c r="C65" s="160"/>
      <c r="D65" s="372">
        <f>Input!$MH$27</f>
        <v>6590028</v>
      </c>
      <c r="E65" s="372">
        <f>Input!$MI$27</f>
        <v>11062147</v>
      </c>
      <c r="F65" s="372">
        <f>Input!$MJ$27</f>
        <v>0</v>
      </c>
      <c r="G65" s="372">
        <f>Input!$MK$27</f>
        <v>32526</v>
      </c>
      <c r="H65" s="372">
        <f>Input!$ML$27</f>
        <v>0</v>
      </c>
      <c r="I65" s="372">
        <f>Input!$MM$27</f>
        <v>0</v>
      </c>
      <c r="J65" s="372">
        <f>Input!$MN$27</f>
        <v>0</v>
      </c>
      <c r="K65" s="372">
        <f>Input!$MO$27</f>
        <v>0</v>
      </c>
      <c r="L65" s="372">
        <f>Input!$MP$27</f>
        <v>0</v>
      </c>
      <c r="M65" s="373">
        <f t="shared" si="12"/>
        <v>17684701</v>
      </c>
      <c r="N65" s="160"/>
      <c r="O65" s="440">
        <f t="shared" si="17"/>
        <v>17684701</v>
      </c>
      <c r="P65" s="518">
        <f>Input!$SX$27</f>
        <v>426677</v>
      </c>
      <c r="Q65" s="441" t="s">
        <v>259</v>
      </c>
      <c r="R65" s="295">
        <f t="shared" si="18"/>
        <v>18111378</v>
      </c>
      <c r="S65" s="442"/>
      <c r="T65" s="296">
        <f t="shared" si="13"/>
        <v>17684701</v>
      </c>
      <c r="U65" s="297">
        <f t="shared" si="14"/>
        <v>426677</v>
      </c>
      <c r="V65" s="299">
        <f>Input!$TH$27</f>
        <v>0</v>
      </c>
      <c r="W65" s="299">
        <f>Input!$TP$27</f>
        <v>0</v>
      </c>
      <c r="X65" s="303">
        <f t="shared" si="15"/>
        <v>18111378</v>
      </c>
      <c r="Z65" s="292" t="s">
        <v>19</v>
      </c>
      <c r="AA65" s="518">
        <f>Input!$TX$27</f>
        <v>17684701</v>
      </c>
      <c r="AB65" s="301">
        <f t="shared" si="16"/>
        <v>0</v>
      </c>
    </row>
    <row r="66" spans="1:28">
      <c r="A66" s="184">
        <v>49</v>
      </c>
      <c r="B66" s="160" t="s">
        <v>20</v>
      </c>
      <c r="C66" s="160"/>
      <c r="D66" s="372">
        <f>Input!$MQ$27</f>
        <v>3765213</v>
      </c>
      <c r="E66" s="372">
        <f>Input!$MR$27</f>
        <v>6174953</v>
      </c>
      <c r="F66" s="372">
        <f>Input!$MS$27</f>
        <v>0</v>
      </c>
      <c r="G66" s="372">
        <f>Input!$MT$27</f>
        <v>5100</v>
      </c>
      <c r="H66" s="372">
        <f>Input!$MU$27</f>
        <v>0</v>
      </c>
      <c r="I66" s="372">
        <f>Input!$MV$27</f>
        <v>0</v>
      </c>
      <c r="J66" s="372">
        <f>Input!$MW$27</f>
        <v>0</v>
      </c>
      <c r="K66" s="372">
        <f>Input!$MX$27</f>
        <v>0</v>
      </c>
      <c r="L66" s="372">
        <f>Input!$MY$27</f>
        <v>0</v>
      </c>
      <c r="M66" s="373">
        <f t="shared" si="12"/>
        <v>9945266</v>
      </c>
      <c r="N66" s="160"/>
      <c r="O66" s="440">
        <f t="shared" si="17"/>
        <v>9945266</v>
      </c>
      <c r="P66" s="518">
        <f>Input!$SY$27</f>
        <v>339772</v>
      </c>
      <c r="Q66" s="441" t="s">
        <v>259</v>
      </c>
      <c r="R66" s="304" t="s">
        <v>259</v>
      </c>
      <c r="S66" s="442"/>
      <c r="T66" s="296">
        <f t="shared" si="13"/>
        <v>9945266</v>
      </c>
      <c r="U66" s="297">
        <f t="shared" si="14"/>
        <v>339772</v>
      </c>
      <c r="V66" s="299">
        <f>Input!$TI$27</f>
        <v>0</v>
      </c>
      <c r="W66" s="299">
        <f>Input!$TQ$27</f>
        <v>0</v>
      </c>
      <c r="X66" s="303">
        <f t="shared" si="15"/>
        <v>10285038</v>
      </c>
      <c r="Z66" s="292" t="s">
        <v>260</v>
      </c>
      <c r="AA66" s="518">
        <f>Input!$TY$27</f>
        <v>9945266</v>
      </c>
      <c r="AB66" s="301">
        <f t="shared" si="16"/>
        <v>0</v>
      </c>
    </row>
    <row r="67" spans="1:28" ht="13.5" thickBot="1">
      <c r="A67" s="184">
        <v>50</v>
      </c>
      <c r="B67" s="160" t="s">
        <v>21</v>
      </c>
      <c r="C67" s="160"/>
      <c r="D67" s="372">
        <f>Input!$MZ$27</f>
        <v>464711</v>
      </c>
      <c r="E67" s="372">
        <f>Input!$NA$27</f>
        <v>4807354</v>
      </c>
      <c r="F67" s="372">
        <f>Input!$NB$27</f>
        <v>0</v>
      </c>
      <c r="G67" s="372">
        <f>Input!$NC$27</f>
        <v>13347151</v>
      </c>
      <c r="H67" s="372">
        <f>Input!$ND$27</f>
        <v>-38499</v>
      </c>
      <c r="I67" s="372">
        <f>Input!$NE$27</f>
        <v>0</v>
      </c>
      <c r="J67" s="372">
        <f>Input!$NF$27</f>
        <v>0</v>
      </c>
      <c r="K67" s="372">
        <f>Input!$NG$27</f>
        <v>0</v>
      </c>
      <c r="L67" s="372">
        <f>Input!$NH$27</f>
        <v>0</v>
      </c>
      <c r="M67" s="373">
        <f t="shared" si="12"/>
        <v>18580717</v>
      </c>
      <c r="N67" s="160"/>
      <c r="O67" s="440">
        <f t="shared" si="17"/>
        <v>18619216</v>
      </c>
      <c r="P67" s="518">
        <f>Input!$SZ$27</f>
        <v>0</v>
      </c>
      <c r="Q67" s="441" t="s">
        <v>259</v>
      </c>
      <c r="R67" s="304" t="s">
        <v>259</v>
      </c>
      <c r="S67" s="442"/>
      <c r="T67" s="306">
        <f t="shared" si="13"/>
        <v>18619216</v>
      </c>
      <c r="U67" s="307">
        <f t="shared" si="14"/>
        <v>0</v>
      </c>
      <c r="V67" s="308">
        <f>Input!$TJ$27</f>
        <v>0</v>
      </c>
      <c r="W67" s="308">
        <f>Input!$TR$27</f>
        <v>0</v>
      </c>
      <c r="X67" s="303">
        <f>U67+T67-V67-W67</f>
        <v>18619216</v>
      </c>
      <c r="Z67" s="292" t="s">
        <v>21</v>
      </c>
      <c r="AA67" s="518">
        <f>Input!$TZ$27</f>
        <v>18580717</v>
      </c>
      <c r="AB67" s="301">
        <f t="shared" si="16"/>
        <v>0</v>
      </c>
    </row>
    <row r="68" spans="1:28" ht="14.25" thickTop="1" thickBot="1">
      <c r="A68" s="184">
        <v>51</v>
      </c>
      <c r="B68" s="160" t="s">
        <v>2135</v>
      </c>
      <c r="C68" s="160"/>
      <c r="D68" s="372">
        <f>Input!$NI$27</f>
        <v>0</v>
      </c>
      <c r="E68" s="372">
        <f>Input!$NJ$27</f>
        <v>0</v>
      </c>
      <c r="F68" s="372">
        <f>Input!$NK$27</f>
        <v>6563705</v>
      </c>
      <c r="G68" s="372">
        <f>Input!$NL$27</f>
        <v>0</v>
      </c>
      <c r="H68" s="372">
        <f>Input!$NM$27</f>
        <v>0</v>
      </c>
      <c r="I68" s="372">
        <f>Input!$NN$27</f>
        <v>0</v>
      </c>
      <c r="J68" s="372">
        <f>Input!$NO$27</f>
        <v>0</v>
      </c>
      <c r="K68" s="372">
        <f>Input!$NP$27</f>
        <v>0</v>
      </c>
      <c r="L68" s="372">
        <f>Input!$NQ$27</f>
        <v>0</v>
      </c>
      <c r="M68" s="373">
        <f t="shared" si="12"/>
        <v>6563705</v>
      </c>
      <c r="N68" s="160"/>
      <c r="O68" s="309" t="s">
        <v>259</v>
      </c>
      <c r="P68" s="519">
        <f>Input!$TA$27</f>
        <v>81206</v>
      </c>
      <c r="Q68" s="444" t="s">
        <v>259</v>
      </c>
      <c r="R68" s="311" t="s">
        <v>259</v>
      </c>
      <c r="S68" s="442"/>
      <c r="T68" s="305"/>
      <c r="U68" s="305"/>
      <c r="V68" s="312" t="s">
        <v>261</v>
      </c>
      <c r="W68" s="313"/>
      <c r="X68" s="314">
        <f>SUM(X60:X67)</f>
        <v>133100554</v>
      </c>
      <c r="Z68" s="292" t="s">
        <v>22</v>
      </c>
      <c r="AA68" s="518">
        <f>Input!$UA$27</f>
        <v>6563705</v>
      </c>
      <c r="AB68" s="301">
        <f t="shared" si="16"/>
        <v>0</v>
      </c>
    </row>
    <row r="69" spans="1:28" ht="14.25" thickTop="1" thickBot="1">
      <c r="A69" s="184">
        <v>52</v>
      </c>
      <c r="B69" s="161" t="s">
        <v>59</v>
      </c>
      <c r="C69" s="161"/>
      <c r="D69" s="372">
        <f>Input!$NR$27</f>
        <v>1763883</v>
      </c>
      <c r="E69" s="372">
        <f>Input!$NS$27</f>
        <v>911108</v>
      </c>
      <c r="F69" s="372">
        <f>Input!$NT$27</f>
        <v>81206</v>
      </c>
      <c r="G69" s="372">
        <f>Input!$NU$27</f>
        <v>223563</v>
      </c>
      <c r="H69" s="372">
        <f>Input!$NV$27</f>
        <v>0</v>
      </c>
      <c r="I69" s="372">
        <f>Input!$NW$27</f>
        <v>0</v>
      </c>
      <c r="J69" s="372">
        <f>Input!$NX$27</f>
        <v>0</v>
      </c>
      <c r="K69" s="372">
        <f>Input!$NY$27</f>
        <v>0</v>
      </c>
      <c r="L69" s="372">
        <f>Input!$NZ$27</f>
        <v>0</v>
      </c>
      <c r="M69" s="373">
        <f t="shared" si="12"/>
        <v>2979760</v>
      </c>
      <c r="N69" s="160"/>
      <c r="O69" s="315"/>
      <c r="P69" s="316">
        <f>SUM(P60:P68)</f>
        <v>2979760</v>
      </c>
      <c r="Q69" s="316">
        <f>SUM(Q64:Q68)</f>
        <v>0</v>
      </c>
      <c r="R69" s="317">
        <f>SUM(R60:R65)</f>
        <v>104128384</v>
      </c>
      <c r="S69" s="316"/>
      <c r="T69" s="305"/>
      <c r="U69" s="305"/>
      <c r="V69" s="305"/>
      <c r="W69" s="277"/>
      <c r="X69" s="277"/>
      <c r="Y69" s="277"/>
      <c r="Z69" s="292" t="s">
        <v>285</v>
      </c>
      <c r="AA69" s="445">
        <f>M88*-1</f>
        <v>12206418</v>
      </c>
      <c r="AB69" s="301">
        <f>AA69+M88</f>
        <v>0</v>
      </c>
    </row>
    <row r="70" spans="1:28" ht="14.25" thickTop="1" thickBot="1">
      <c r="A70" s="184">
        <v>53</v>
      </c>
      <c r="B70" s="178" t="s">
        <v>44</v>
      </c>
      <c r="C70" s="178"/>
      <c r="D70" s="378">
        <f>Input!$OA$27</f>
        <v>757131</v>
      </c>
      <c r="E70" s="378">
        <f>Input!$OB$27</f>
        <v>0</v>
      </c>
      <c r="F70" s="378">
        <f>Input!$OC$27</f>
        <v>0</v>
      </c>
      <c r="G70" s="378">
        <f>Input!$OD$27</f>
        <v>0</v>
      </c>
      <c r="H70" s="378">
        <f>Input!$OE$27</f>
        <v>38258</v>
      </c>
      <c r="I70" s="378">
        <f>Input!$OF$27</f>
        <v>986030</v>
      </c>
      <c r="J70" s="378">
        <f>Input!$OG$27</f>
        <v>1988987</v>
      </c>
      <c r="K70" s="378">
        <f>Input!$OH$27</f>
        <v>7643433</v>
      </c>
      <c r="L70" s="378">
        <f>Input!$OI$27</f>
        <v>0</v>
      </c>
      <c r="M70" s="373">
        <f t="shared" si="12"/>
        <v>11413839</v>
      </c>
      <c r="N70" s="160"/>
      <c r="O70" s="320"/>
      <c r="P70" s="516" t="str">
        <f>IF(P69&lt;&gt;M69,"Out of Balance","Balanced")</f>
        <v>Balanced</v>
      </c>
      <c r="Q70" s="318"/>
      <c r="R70" s="305"/>
      <c r="S70" s="305"/>
      <c r="T70" s="305"/>
      <c r="U70" s="277"/>
      <c r="V70" s="1738" t="str">
        <f>IF(X68-INT(X68)&lt;&gt;0,"Whole Dollars Only","")</f>
        <v/>
      </c>
      <c r="W70" s="1738"/>
      <c r="X70" s="537"/>
      <c r="Y70" s="319"/>
      <c r="Z70" s="410" t="s">
        <v>262</v>
      </c>
      <c r="AA70" s="446" t="s">
        <v>259</v>
      </c>
      <c r="AB70" s="411">
        <f>M90</f>
        <v>0</v>
      </c>
    </row>
    <row r="71" spans="1:28" ht="13.5" thickTop="1">
      <c r="A71" s="184">
        <v>54</v>
      </c>
      <c r="B71" s="162" t="s">
        <v>69</v>
      </c>
      <c r="C71" s="162"/>
      <c r="D71" s="374">
        <f>SUM(D60:D70)</f>
        <v>55016623</v>
      </c>
      <c r="E71" s="374">
        <f>SUM(E60:E70)</f>
        <v>51712588</v>
      </c>
      <c r="F71" s="374">
        <f t="shared" ref="F71:L71" si="19">SUM(F60:F70)</f>
        <v>6644911</v>
      </c>
      <c r="G71" s="374">
        <f t="shared" si="19"/>
        <v>27128474</v>
      </c>
      <c r="H71" s="374">
        <f t="shared" si="19"/>
        <v>-241</v>
      </c>
      <c r="I71" s="374">
        <f t="shared" si="19"/>
        <v>986030</v>
      </c>
      <c r="J71" s="374">
        <f t="shared" si="19"/>
        <v>1988987</v>
      </c>
      <c r="K71" s="374">
        <f t="shared" si="19"/>
        <v>7643433</v>
      </c>
      <c r="L71" s="374">
        <f t="shared" si="19"/>
        <v>0</v>
      </c>
      <c r="M71" s="374">
        <f t="shared" si="12"/>
        <v>151120805</v>
      </c>
      <c r="N71" s="160"/>
      <c r="O71" s="322"/>
      <c r="P71" s="1738" t="str">
        <f>IF(P69-INT(P69)&lt;&gt;0,"Whole Dollars Only","")</f>
        <v/>
      </c>
      <c r="Q71" s="1738"/>
      <c r="R71" s="323"/>
      <c r="S71" s="323"/>
      <c r="T71" s="323"/>
      <c r="U71" s="291"/>
      <c r="V71" s="324"/>
      <c r="W71" s="321"/>
      <c r="X71" s="321"/>
      <c r="Y71" s="321"/>
      <c r="Z71" s="318"/>
      <c r="AA71" s="325">
        <f>SUM(AA60:AA70)</f>
        <v>148933624</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Input!$OJ$27</f>
        <v>0</v>
      </c>
      <c r="E74" s="372">
        <f>Input!$OK$27</f>
        <v>0</v>
      </c>
      <c r="F74" s="372">
        <f>Input!$OL$27</f>
        <v>0</v>
      </c>
      <c r="G74" s="372">
        <f>Input!$OM$27</f>
        <v>0</v>
      </c>
      <c r="H74" s="372">
        <f>Input!$ON$27</f>
        <v>0</v>
      </c>
      <c r="I74" s="372">
        <f>Input!$OO$27</f>
        <v>0</v>
      </c>
      <c r="J74" s="372">
        <f>Input!$OP$27</f>
        <v>0</v>
      </c>
      <c r="K74" s="372">
        <f>Input!$OQ$27</f>
        <v>0</v>
      </c>
      <c r="L74" s="372">
        <f>Input!$OR$27</f>
        <v>0</v>
      </c>
      <c r="M74" s="373">
        <f>D74+E74+F74+G74+H74+I74+J74+K74+L74</f>
        <v>0</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Input!$OS$27</f>
        <v>-2714973</v>
      </c>
      <c r="E75" s="372">
        <f>Input!$OT$27</f>
        <v>8320010</v>
      </c>
      <c r="F75" s="372">
        <f>Input!$OU$27</f>
        <v>-1514819</v>
      </c>
      <c r="G75" s="372">
        <f>Input!$OV$27</f>
        <v>-14263609</v>
      </c>
      <c r="H75" s="372">
        <f>Input!$OW$27</f>
        <v>39410</v>
      </c>
      <c r="I75" s="372">
        <f>Input!$OX$27</f>
        <v>-171282</v>
      </c>
      <c r="J75" s="372">
        <f>Input!$OY$27</f>
        <v>2525402</v>
      </c>
      <c r="K75" s="372">
        <f>Input!$OZ$27</f>
        <v>13006062</v>
      </c>
      <c r="L75" s="372">
        <f>Input!$PA$27</f>
        <v>12197745</v>
      </c>
      <c r="M75" s="373">
        <f>D75+E75+F75+G75+H75+I75+J75+K75+L75</f>
        <v>17423946</v>
      </c>
      <c r="N75" s="160"/>
      <c r="O75" s="1723" t="str">
        <f>IF(M85&lt;0,"Footnote 11 is N/A - No Data Entry Required","Footnote 11")</f>
        <v>Footnote 11</v>
      </c>
      <c r="P75" s="1724"/>
      <c r="Q75" s="1724"/>
      <c r="R75" s="1725"/>
      <c r="S75" s="330"/>
      <c r="T75" s="330"/>
      <c r="U75" s="327"/>
      <c r="V75" s="276"/>
      <c r="W75" s="331"/>
      <c r="X75" s="331"/>
      <c r="Y75" s="328"/>
      <c r="Z75" s="328"/>
      <c r="AA75" s="276"/>
      <c r="AB75" s="276" t="s">
        <v>293</v>
      </c>
    </row>
    <row r="76" spans="1:28" ht="13.5" thickTop="1">
      <c r="A76" s="184">
        <v>59</v>
      </c>
      <c r="B76" s="160" t="s">
        <v>45</v>
      </c>
      <c r="C76" s="160"/>
      <c r="D76" s="372">
        <f>Input!$PB$27</f>
        <v>0</v>
      </c>
      <c r="E76" s="372">
        <f>Input!$PC$27</f>
        <v>0</v>
      </c>
      <c r="F76" s="372">
        <f>Input!$PD$27</f>
        <v>0</v>
      </c>
      <c r="G76" s="372">
        <f>Input!$PE$27</f>
        <v>0</v>
      </c>
      <c r="H76" s="372">
        <f>Input!$PF$27</f>
        <v>0</v>
      </c>
      <c r="I76" s="372">
        <f>Input!$PG$27</f>
        <v>0</v>
      </c>
      <c r="J76" s="372">
        <f>Input!$PH$27</f>
        <v>0</v>
      </c>
      <c r="K76" s="372">
        <f>Input!$PI$27</f>
        <v>0</v>
      </c>
      <c r="L76" s="372">
        <f>Input!$PJ$27</f>
        <v>0</v>
      </c>
      <c r="M76" s="373">
        <f>D76+E76+F76+G76+H76+I76+J76+K76+L76</f>
        <v>0</v>
      </c>
      <c r="N76" s="160"/>
      <c r="O76" s="487" t="s">
        <v>583</v>
      </c>
      <c r="P76" s="488"/>
      <c r="Q76" s="489"/>
      <c r="R76" s="490">
        <f>IF($M$85&lt;0,"N/A",$M$85)</f>
        <v>23210758</v>
      </c>
      <c r="S76" s="330"/>
      <c r="T76" s="330"/>
      <c r="U76" s="327"/>
      <c r="V76" s="276"/>
      <c r="W76" s="331"/>
      <c r="X76" s="331"/>
      <c r="Y76" s="331"/>
      <c r="Z76" s="331"/>
      <c r="AA76" s="276"/>
      <c r="AB76" s="276"/>
    </row>
    <row r="77" spans="1:28">
      <c r="A77" s="184">
        <v>60</v>
      </c>
      <c r="B77" s="160" t="s">
        <v>46</v>
      </c>
      <c r="C77" s="160"/>
      <c r="D77" s="372">
        <f>Input!$PK$27</f>
        <v>0</v>
      </c>
      <c r="E77" s="372">
        <f>Input!$PL$27</f>
        <v>0</v>
      </c>
      <c r="F77" s="372">
        <f>Input!$PM$27</f>
        <v>0</v>
      </c>
      <c r="G77" s="372">
        <f>Input!$PN$27</f>
        <v>0</v>
      </c>
      <c r="H77" s="372">
        <f>Input!$PO$27</f>
        <v>0</v>
      </c>
      <c r="I77" s="372">
        <f>Input!$PP$27</f>
        <v>0</v>
      </c>
      <c r="J77" s="372">
        <f>Input!$PQ$27</f>
        <v>0</v>
      </c>
      <c r="K77" s="372">
        <f>Input!$PR$27</f>
        <v>-5349465</v>
      </c>
      <c r="L77" s="372">
        <f>Input!$PS$27</f>
        <v>0</v>
      </c>
      <c r="M77" s="373">
        <f>D77+E77+F77+G77+H77+I77+J77+K77+L77</f>
        <v>-5349465</v>
      </c>
      <c r="N77" s="160"/>
      <c r="O77" s="491" t="s">
        <v>584</v>
      </c>
      <c r="P77" s="334"/>
      <c r="Q77" s="334"/>
      <c r="R77" s="521">
        <f>Input!$UB$27</f>
        <v>18340479</v>
      </c>
      <c r="S77" s="330"/>
      <c r="T77" s="330"/>
      <c r="U77" s="327"/>
      <c r="V77" s="276"/>
      <c r="W77" s="331"/>
      <c r="X77" s="331"/>
      <c r="Y77" s="331"/>
      <c r="Z77" s="331"/>
      <c r="AA77" s="276"/>
      <c r="AB77" s="276"/>
    </row>
    <row r="78" spans="1:28">
      <c r="A78" s="184">
        <v>61</v>
      </c>
      <c r="B78" s="162" t="s">
        <v>3</v>
      </c>
      <c r="C78" s="162"/>
      <c r="D78" s="374">
        <f t="shared" ref="D78:L78" si="20">SUM(D74:D77)</f>
        <v>-2714973</v>
      </c>
      <c r="E78" s="374">
        <f t="shared" si="20"/>
        <v>8320010</v>
      </c>
      <c r="F78" s="374">
        <f t="shared" si="20"/>
        <v>-1514819</v>
      </c>
      <c r="G78" s="374">
        <f t="shared" si="20"/>
        <v>-14263609</v>
      </c>
      <c r="H78" s="374">
        <f t="shared" si="20"/>
        <v>39410</v>
      </c>
      <c r="I78" s="374">
        <f t="shared" si="20"/>
        <v>-171282</v>
      </c>
      <c r="J78" s="374">
        <f t="shared" si="20"/>
        <v>2525402</v>
      </c>
      <c r="K78" s="374">
        <f t="shared" si="20"/>
        <v>7656597</v>
      </c>
      <c r="L78" s="374">
        <f t="shared" si="20"/>
        <v>12197745</v>
      </c>
      <c r="M78" s="374">
        <f>D78+E78+F78+G78+H78+I78+J78+K78+L78</f>
        <v>12074481</v>
      </c>
      <c r="N78" s="160"/>
      <c r="O78" s="491" t="s">
        <v>585</v>
      </c>
      <c r="P78" s="276"/>
      <c r="Q78" s="334"/>
      <c r="R78" s="492">
        <f>IF($M$85&lt;0,"",$R$76-$R$77)</f>
        <v>4870279</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3"/>
      <c r="P79" s="276"/>
      <c r="Q79" s="334"/>
      <c r="R79" s="494"/>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5" t="s">
        <v>586</v>
      </c>
      <c r="P80" s="276"/>
      <c r="Q80" s="334"/>
      <c r="R80" s="521">
        <f>Input!$UC$27</f>
        <v>4640864</v>
      </c>
      <c r="S80" s="330"/>
      <c r="T80" s="330"/>
      <c r="U80" s="334"/>
      <c r="V80" s="276"/>
      <c r="W80" s="328"/>
      <c r="X80" s="328"/>
      <c r="Y80" s="331"/>
      <c r="Z80" s="331"/>
      <c r="AA80" s="276"/>
      <c r="AB80" s="276"/>
    </row>
    <row r="81" spans="1:28">
      <c r="A81" s="184">
        <v>64</v>
      </c>
      <c r="B81" s="160" t="s">
        <v>47</v>
      </c>
      <c r="C81" s="160"/>
      <c r="D81" s="372">
        <f>Input!$PT$27</f>
        <v>0</v>
      </c>
      <c r="E81" s="372">
        <f>Input!$PU$27</f>
        <v>-305368</v>
      </c>
      <c r="F81" s="372">
        <f>Input!$PV$27</f>
        <v>0</v>
      </c>
      <c r="G81" s="372">
        <f>Input!$PW$27</f>
        <v>0</v>
      </c>
      <c r="H81" s="372">
        <f>Input!$PX$27</f>
        <v>0</v>
      </c>
      <c r="I81" s="372">
        <f>Input!$PY$27</f>
        <v>4946232</v>
      </c>
      <c r="J81" s="372">
        <f>Input!$PZ$27</f>
        <v>0</v>
      </c>
      <c r="K81" s="372">
        <f>Input!$QA$27</f>
        <v>0</v>
      </c>
      <c r="L81" s="372">
        <f>Input!$QB$27</f>
        <v>0</v>
      </c>
      <c r="M81" s="373">
        <f>D81+E81+F81+G81+H81+I81+J81+K81+L81</f>
        <v>4640864</v>
      </c>
      <c r="N81" s="160"/>
      <c r="O81" s="496" t="s">
        <v>587</v>
      </c>
      <c r="P81" s="276"/>
      <c r="Q81" s="276"/>
      <c r="R81" s="497"/>
      <c r="S81" s="330"/>
      <c r="T81" s="330"/>
      <c r="W81" s="276"/>
      <c r="X81" s="276"/>
      <c r="Y81" s="331"/>
      <c r="Z81" s="331"/>
      <c r="AA81" s="276"/>
      <c r="AB81" s="276"/>
    </row>
    <row r="82" spans="1:28">
      <c r="A82" s="184">
        <v>65</v>
      </c>
      <c r="B82" s="160" t="s">
        <v>48</v>
      </c>
      <c r="C82" s="160"/>
      <c r="D82" s="372">
        <f>Input!$QC$27</f>
        <v>0</v>
      </c>
      <c r="E82" s="372">
        <f>Input!$QD$27</f>
        <v>0</v>
      </c>
      <c r="F82" s="372">
        <f>Input!$QE$27</f>
        <v>0</v>
      </c>
      <c r="G82" s="372">
        <f>Input!$QF$27</f>
        <v>0</v>
      </c>
      <c r="H82" s="372">
        <f>Input!$QG$27</f>
        <v>0</v>
      </c>
      <c r="I82" s="372">
        <f>Input!$QH$27</f>
        <v>229415</v>
      </c>
      <c r="J82" s="372">
        <f>Input!$QI$27</f>
        <v>0</v>
      </c>
      <c r="K82" s="372">
        <f>Input!$QJ$27</f>
        <v>0</v>
      </c>
      <c r="L82" s="372">
        <f>Input!$QK$27</f>
        <v>0</v>
      </c>
      <c r="M82" s="373">
        <f>D82+E82+F82+G82+H82+I82+J82+K82+L82</f>
        <v>229415</v>
      </c>
      <c r="N82" s="160"/>
      <c r="O82" s="498" t="s">
        <v>588</v>
      </c>
      <c r="P82" s="276"/>
      <c r="Q82" s="276"/>
      <c r="R82" s="492">
        <f>IFERROR($R$78-$R$80,"")</f>
        <v>229415</v>
      </c>
      <c r="Y82" s="331"/>
      <c r="Z82" s="401"/>
      <c r="AA82" s="268"/>
      <c r="AB82" s="268"/>
    </row>
    <row r="83" spans="1:28">
      <c r="A83" s="184">
        <v>66</v>
      </c>
      <c r="B83" s="162" t="s">
        <v>3</v>
      </c>
      <c r="C83" s="162"/>
      <c r="D83" s="374">
        <f t="shared" ref="D83:L83" si="21">SUM(D81:D82)</f>
        <v>0</v>
      </c>
      <c r="E83" s="374">
        <f t="shared" si="21"/>
        <v>-305368</v>
      </c>
      <c r="F83" s="374">
        <f t="shared" si="21"/>
        <v>0</v>
      </c>
      <c r="G83" s="374">
        <f t="shared" si="21"/>
        <v>0</v>
      </c>
      <c r="H83" s="374">
        <f t="shared" si="21"/>
        <v>0</v>
      </c>
      <c r="I83" s="374">
        <f t="shared" si="21"/>
        <v>5175647</v>
      </c>
      <c r="J83" s="374">
        <f t="shared" si="21"/>
        <v>0</v>
      </c>
      <c r="K83" s="374">
        <f t="shared" si="21"/>
        <v>0</v>
      </c>
      <c r="L83" s="374">
        <f t="shared" si="21"/>
        <v>0</v>
      </c>
      <c r="M83" s="374">
        <f>D83+E83+F83+G83+H83+I83+J83+K83+L83</f>
        <v>4870279</v>
      </c>
      <c r="N83" s="160"/>
      <c r="O83" s="493"/>
      <c r="P83" s="276"/>
      <c r="Q83" s="276"/>
      <c r="R83" s="497"/>
      <c r="Y83" s="163"/>
      <c r="Z83" s="447"/>
      <c r="AA83" s="439"/>
      <c r="AB83" s="448"/>
    </row>
    <row r="84" spans="1:28" ht="13.5" thickBot="1">
      <c r="A84" s="184">
        <v>67</v>
      </c>
      <c r="B84" s="160"/>
      <c r="C84" s="160"/>
      <c r="D84" s="373"/>
      <c r="E84" s="373"/>
      <c r="F84" s="373"/>
      <c r="G84" s="373"/>
      <c r="H84" s="373"/>
      <c r="I84" s="373"/>
      <c r="J84" s="373"/>
      <c r="K84" s="373"/>
      <c r="L84" s="373"/>
      <c r="M84" s="373"/>
      <c r="N84" s="160"/>
      <c r="O84" s="499" t="s">
        <v>589</v>
      </c>
      <c r="P84" s="500"/>
      <c r="Q84" s="500"/>
      <c r="R84" s="501">
        <f>IFERROR((R82+R80)-R78,"")</f>
        <v>0</v>
      </c>
      <c r="Y84" s="268"/>
      <c r="Z84" s="447"/>
      <c r="AA84" s="439"/>
      <c r="AB84" s="449"/>
    </row>
    <row r="85" spans="1:28" ht="13.5" thickTop="1">
      <c r="A85" s="184">
        <v>68</v>
      </c>
      <c r="B85" s="162" t="s">
        <v>574</v>
      </c>
      <c r="C85" s="162"/>
      <c r="D85" s="374">
        <f t="shared" ref="D85:L85" si="22">D57-D71+D78+D83</f>
        <v>-4553077</v>
      </c>
      <c r="E85" s="374">
        <f t="shared" si="22"/>
        <v>3003595</v>
      </c>
      <c r="F85" s="374">
        <f t="shared" si="22"/>
        <v>2799352</v>
      </c>
      <c r="G85" s="374">
        <f t="shared" si="22"/>
        <v>1629088</v>
      </c>
      <c r="H85" s="374">
        <f t="shared" si="22"/>
        <v>49760</v>
      </c>
      <c r="I85" s="374">
        <f t="shared" si="22"/>
        <v>7516786</v>
      </c>
      <c r="J85" s="374">
        <f t="shared" si="22"/>
        <v>554345</v>
      </c>
      <c r="K85" s="374">
        <f t="shared" si="22"/>
        <v>13164</v>
      </c>
      <c r="L85" s="374">
        <f t="shared" si="22"/>
        <v>12197745</v>
      </c>
      <c r="M85" s="374">
        <f>D85+E85+F85+G85+H85+I85+J85+K85+L85</f>
        <v>23210758</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Input!$QL$27</f>
        <v>0</v>
      </c>
      <c r="E87" s="372">
        <f>Input!$QM$27</f>
        <v>0</v>
      </c>
      <c r="F87" s="372">
        <f>Input!$QN$27</f>
        <v>0</v>
      </c>
      <c r="G87" s="372">
        <f>Input!$QO$27</f>
        <v>0</v>
      </c>
      <c r="H87" s="372">
        <f>Input!$QP$27</f>
        <v>0</v>
      </c>
      <c r="I87" s="372">
        <f>Input!$QQ$27</f>
        <v>0</v>
      </c>
      <c r="J87" s="372">
        <f>Input!$QR$27</f>
        <v>0</v>
      </c>
      <c r="K87" s="372">
        <f>Input!$QS$27</f>
        <v>0</v>
      </c>
      <c r="L87" s="372">
        <f>Input!$QT$27</f>
        <v>0</v>
      </c>
      <c r="M87" s="329">
        <f>D87+E87+F87+G87+H87+I87+J87+K87+L87</f>
        <v>0</v>
      </c>
      <c r="N87" s="160"/>
      <c r="Y87" s="268"/>
      <c r="Z87" s="447"/>
      <c r="AA87" s="439"/>
      <c r="AB87" s="449"/>
    </row>
    <row r="88" spans="1:28">
      <c r="A88" s="184">
        <v>72</v>
      </c>
      <c r="B88" s="160" t="s">
        <v>66</v>
      </c>
      <c r="C88" s="160"/>
      <c r="D88" s="372">
        <f>Input!$QU$27</f>
        <v>0</v>
      </c>
      <c r="E88" s="372">
        <f>Input!$QV$27</f>
        <v>0</v>
      </c>
      <c r="F88" s="372">
        <f>Input!$QW$27</f>
        <v>0</v>
      </c>
      <c r="G88" s="372">
        <f>Input!$QX$27</f>
        <v>0</v>
      </c>
      <c r="H88" s="372">
        <f>Input!$QY$27</f>
        <v>0</v>
      </c>
      <c r="I88" s="372">
        <f>Input!$QZ$27</f>
        <v>0</v>
      </c>
      <c r="J88" s="372">
        <f>Input!$RA$27</f>
        <v>0</v>
      </c>
      <c r="K88" s="372">
        <f>Input!$RB$27</f>
        <v>0</v>
      </c>
      <c r="L88" s="372">
        <f>Input!$RC$27</f>
        <v>-12206418</v>
      </c>
      <c r="M88" s="373">
        <f>D88+E88+F88+G88+H88+I88+J88+K88+L88</f>
        <v>-12206418</v>
      </c>
      <c r="N88" s="160"/>
      <c r="O88" s="270"/>
      <c r="P88" s="335"/>
      <c r="Y88" s="268"/>
      <c r="Z88" s="447"/>
      <c r="AA88" s="439"/>
      <c r="AB88" s="449"/>
    </row>
    <row r="89" spans="1:28" s="264" customFormat="1">
      <c r="A89" s="263"/>
      <c r="B89" s="171" t="s">
        <v>216</v>
      </c>
      <c r="C89" s="171"/>
      <c r="D89" s="372">
        <f>Input!$RD$27</f>
        <v>0</v>
      </c>
      <c r="E89" s="372">
        <f>Input!$RE$27</f>
        <v>0</v>
      </c>
      <c r="F89" s="372">
        <f>Input!$RF$27</f>
        <v>0</v>
      </c>
      <c r="G89" s="372">
        <f>Input!$RG$27</f>
        <v>0</v>
      </c>
      <c r="H89" s="372">
        <f>Input!$RH$27</f>
        <v>0</v>
      </c>
      <c r="I89" s="372">
        <f>Input!$RI$27</f>
        <v>0</v>
      </c>
      <c r="J89" s="372">
        <f>Input!$RJ$27</f>
        <v>0</v>
      </c>
      <c r="K89" s="372">
        <f>Input!$RK$27</f>
        <v>0</v>
      </c>
      <c r="L89" s="372">
        <f>Input!$RL$27</f>
        <v>0</v>
      </c>
      <c r="M89" s="373">
        <f t="shared" ref="M89:M91" si="23">D89+E89+F89+G89+H89+I89+J89+K89+L89</f>
        <v>0</v>
      </c>
      <c r="N89" s="160"/>
      <c r="O89" s="1726" t="s">
        <v>1355</v>
      </c>
      <c r="P89" s="1727"/>
      <c r="Q89" s="1727"/>
      <c r="R89" s="1727"/>
      <c r="S89" s="1727"/>
      <c r="T89" s="1727"/>
      <c r="U89" s="1728"/>
      <c r="Y89" s="268"/>
      <c r="Z89" s="447"/>
      <c r="AA89" s="439"/>
      <c r="AB89" s="449"/>
    </row>
    <row r="90" spans="1:28" s="264" customFormat="1">
      <c r="A90" s="263"/>
      <c r="B90" s="171" t="s">
        <v>105</v>
      </c>
      <c r="C90" s="171"/>
      <c r="D90" s="372">
        <f>Input!$RM$27</f>
        <v>0</v>
      </c>
      <c r="E90" s="372">
        <f>Input!$RN$27</f>
        <v>0</v>
      </c>
      <c r="F90" s="372">
        <f>Input!$RO$27</f>
        <v>0</v>
      </c>
      <c r="G90" s="372">
        <f>Input!$RP$27</f>
        <v>0</v>
      </c>
      <c r="H90" s="372">
        <f>Input!$RQ$27</f>
        <v>0</v>
      </c>
      <c r="I90" s="372">
        <f>Input!$RR$27</f>
        <v>0</v>
      </c>
      <c r="J90" s="372">
        <f>Input!$RS$27</f>
        <v>0</v>
      </c>
      <c r="K90" s="372">
        <f>Input!$RT$27</f>
        <v>0</v>
      </c>
      <c r="L90" s="372">
        <f>Input!$RU$27</f>
        <v>0</v>
      </c>
      <c r="M90" s="373">
        <f t="shared" si="23"/>
        <v>0</v>
      </c>
      <c r="N90" s="160"/>
      <c r="O90" s="502" t="s">
        <v>590</v>
      </c>
      <c r="P90" s="423"/>
      <c r="Q90" s="502" t="s">
        <v>591</v>
      </c>
      <c r="R90" s="423"/>
      <c r="S90" s="503"/>
      <c r="T90" s="502" t="s">
        <v>592</v>
      </c>
      <c r="U90" s="423"/>
      <c r="Y90" s="268"/>
      <c r="Z90" s="447"/>
      <c r="AA90" s="439"/>
      <c r="AB90" s="449"/>
    </row>
    <row r="91" spans="1:28" s="264" customFormat="1">
      <c r="A91" s="263"/>
      <c r="B91" s="171" t="s">
        <v>128</v>
      </c>
      <c r="C91" s="171"/>
      <c r="D91" s="372">
        <f>Input!$RV$27</f>
        <v>0</v>
      </c>
      <c r="E91" s="372">
        <f>Input!$RW$27</f>
        <v>0</v>
      </c>
      <c r="F91" s="372">
        <f>Input!$RX$27</f>
        <v>0</v>
      </c>
      <c r="G91" s="372">
        <f>Input!$RY$27</f>
        <v>0</v>
      </c>
      <c r="H91" s="372">
        <f>Input!$RZ$27</f>
        <v>0</v>
      </c>
      <c r="I91" s="372">
        <f>Input!$SA$27</f>
        <v>0</v>
      </c>
      <c r="J91" s="372">
        <f>Input!$SB$27</f>
        <v>0</v>
      </c>
      <c r="K91" s="372">
        <f>Input!$SC$27</f>
        <v>0</v>
      </c>
      <c r="L91" s="372">
        <f>Input!$SD$27</f>
        <v>0</v>
      </c>
      <c r="M91" s="373">
        <f t="shared" si="23"/>
        <v>0</v>
      </c>
      <c r="N91" s="160"/>
      <c r="O91" s="504"/>
      <c r="P91" s="505"/>
      <c r="Q91" s="504"/>
      <c r="R91" s="426"/>
      <c r="S91" s="276"/>
      <c r="T91" s="506"/>
      <c r="U91" s="426"/>
      <c r="Y91" s="268"/>
      <c r="Z91" s="447"/>
      <c r="AA91" s="439"/>
      <c r="AB91" s="449"/>
    </row>
    <row r="92" spans="1:28" s="264" customFormat="1">
      <c r="A92" s="263"/>
      <c r="B92" s="160" t="s">
        <v>67</v>
      </c>
      <c r="C92" s="160"/>
      <c r="D92" s="372">
        <f>Input!$SE$27</f>
        <v>1763883</v>
      </c>
      <c r="E92" s="372">
        <f>Input!$SF$27</f>
        <v>911108</v>
      </c>
      <c r="F92" s="372">
        <f>Input!$SG$27</f>
        <v>81206</v>
      </c>
      <c r="G92" s="372">
        <f>Input!$SH$27</f>
        <v>223563</v>
      </c>
      <c r="H92" s="372">
        <f>Input!$SI$27</f>
        <v>0</v>
      </c>
      <c r="I92" s="372">
        <f>Input!$SJ$27</f>
        <v>0</v>
      </c>
      <c r="J92" s="372">
        <f>Input!$SK$27</f>
        <v>0</v>
      </c>
      <c r="K92" s="372">
        <f>Input!$SL$27</f>
        <v>0</v>
      </c>
      <c r="L92" s="372">
        <f>Input!$SM$27</f>
        <v>0</v>
      </c>
      <c r="M92" s="373">
        <f>D92+E92+F92+G92+H92+I92+J92+K92+L92</f>
        <v>2979760</v>
      </c>
      <c r="N92" s="160"/>
      <c r="O92" s="1729" t="str">
        <f>Input!UF$27</f>
        <v>Mila Bautista</v>
      </c>
      <c r="P92" s="1730"/>
      <c r="Q92" s="1729" t="str">
        <f>Input!$UG$27</f>
        <v>281-283-2129</v>
      </c>
      <c r="R92" s="1730"/>
      <c r="S92" s="276"/>
      <c r="T92" s="1731" t="str">
        <f>HYPERLINK("Mailto:"&amp;Input!$UH$27,Input!$UH$27)</f>
        <v>BautistaM@uhcl.edu</v>
      </c>
      <c r="U92" s="1730"/>
      <c r="Y92" s="268"/>
      <c r="Z92" s="447"/>
      <c r="AA92" s="442"/>
      <c r="AB92" s="449"/>
    </row>
    <row r="93" spans="1:28" ht="13.5" thickBot="1">
      <c r="B93" s="179" t="s">
        <v>58</v>
      </c>
      <c r="C93" s="179"/>
      <c r="D93" s="380">
        <f t="shared" ref="D93:K93" si="24">SUM(D85:D92)</f>
        <v>-2789194</v>
      </c>
      <c r="E93" s="380">
        <f t="shared" si="24"/>
        <v>3914703</v>
      </c>
      <c r="F93" s="380">
        <f t="shared" si="24"/>
        <v>2880558</v>
      </c>
      <c r="G93" s="380">
        <f t="shared" si="24"/>
        <v>1852651</v>
      </c>
      <c r="H93" s="380">
        <f t="shared" si="24"/>
        <v>49760</v>
      </c>
      <c r="I93" s="380">
        <f t="shared" si="24"/>
        <v>7516786</v>
      </c>
      <c r="J93" s="380">
        <f t="shared" si="24"/>
        <v>554345</v>
      </c>
      <c r="K93" s="380">
        <f t="shared" si="24"/>
        <v>13164</v>
      </c>
      <c r="L93" s="380">
        <f>SUM(L85:L92)</f>
        <v>-8673</v>
      </c>
      <c r="M93" s="380">
        <f>D93+E93+F93+G93+H93+I93+J93+K93+L93</f>
        <v>13984100</v>
      </c>
      <c r="N93" s="160"/>
      <c r="O93" s="506"/>
      <c r="P93" s="507"/>
      <c r="Q93" s="276"/>
      <c r="R93" s="276"/>
      <c r="S93" s="276"/>
      <c r="T93" s="507"/>
      <c r="U93" s="508"/>
      <c r="Y93" s="268"/>
      <c r="Z93" s="447"/>
      <c r="AA93" s="442"/>
      <c r="AB93" s="449"/>
    </row>
    <row r="94" spans="1:28" ht="13.5" thickTop="1">
      <c r="C94" s="160"/>
      <c r="D94" s="165"/>
      <c r="E94" s="165"/>
      <c r="F94" s="165"/>
      <c r="G94" s="165"/>
      <c r="H94" s="165"/>
      <c r="I94" s="165"/>
      <c r="J94" s="165"/>
      <c r="K94" s="165"/>
      <c r="L94" s="165"/>
      <c r="M94" s="180"/>
      <c r="N94" s="160"/>
      <c r="O94" s="1720" t="s">
        <v>593</v>
      </c>
      <c r="P94" s="1721"/>
      <c r="Q94" s="1721"/>
      <c r="R94" s="1721"/>
      <c r="S94" s="1721"/>
      <c r="T94" s="1721"/>
      <c r="U94" s="1722"/>
      <c r="Y94" s="268"/>
      <c r="Z94" s="451"/>
      <c r="AA94" s="442"/>
      <c r="AB94" s="449"/>
    </row>
    <row r="95" spans="1:28">
      <c r="B95" s="171" t="s">
        <v>1369</v>
      </c>
      <c r="C95" s="169"/>
      <c r="D95" s="165"/>
      <c r="E95" s="165"/>
      <c r="F95" s="165"/>
      <c r="G95" s="165"/>
      <c r="H95" s="165"/>
      <c r="I95" s="165"/>
      <c r="J95" s="165"/>
      <c r="K95" s="165"/>
      <c r="L95" s="165"/>
      <c r="M95" s="180"/>
      <c r="N95" s="160"/>
      <c r="O95" s="1720"/>
      <c r="P95" s="1721"/>
      <c r="Q95" s="1721"/>
      <c r="R95" s="1721"/>
      <c r="S95" s="1721"/>
      <c r="T95" s="1721"/>
      <c r="U95" s="1722"/>
      <c r="Y95" s="268"/>
      <c r="Z95" s="452"/>
      <c r="AA95" s="453"/>
      <c r="AB95" s="454"/>
    </row>
    <row r="96" spans="1:28">
      <c r="B96" s="169" t="s">
        <v>80</v>
      </c>
      <c r="C96" s="160"/>
      <c r="D96" s="165"/>
      <c r="E96" s="165"/>
      <c r="F96" s="165"/>
      <c r="G96" s="165"/>
      <c r="H96" s="165"/>
      <c r="I96" s="165"/>
      <c r="J96" s="165"/>
      <c r="K96" s="165"/>
      <c r="L96" s="165"/>
      <c r="M96" s="180"/>
      <c r="N96" s="160"/>
      <c r="O96" s="509"/>
      <c r="P96" s="510"/>
      <c r="Q96" s="511"/>
      <c r="R96" s="511"/>
      <c r="S96" s="511"/>
      <c r="T96" s="510"/>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Input!$SN$27</f>
        <v>13984100</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3" t="str">
        <f>IF($L$118&lt;&gt;Input!$F$27,"Out of Balance","Balanced")</f>
        <v>Balanced</v>
      </c>
      <c r="M102" s="517"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105045974</v>
      </c>
      <c r="E105" s="373">
        <f>SUM($E$10:$E$14)+SUM($E$19:$E$28)+SUM($E$32:$E$41)+$E$47+SUM($E$50:$E$55)+SUM($E$60:$E$70)+SUM($E$74:$E$77)+SUM($E$81:$E$82)+SUM($E$87:$E$92)</f>
        <v>106519237</v>
      </c>
      <c r="F105" s="373">
        <f>SUM($F$10:$F$14)+SUM($F$19:$F$28)+SUM($F$32:$F$41)+$F$47+SUM($F$50:$F$55)+SUM($F$60:$F$70)+SUM($F$74:$F$77)+SUM($F$81:$F$82)+SUM($F$87:$F$92)</f>
        <v>16170227</v>
      </c>
      <c r="G105" s="373">
        <f>SUM($G$10:$G$14)+SUM($G$19:$G$28)+SUM($G$32:$G$41)+$G$47+SUM($G$50:$G$55)+SUM($G$60:$G$70)+SUM($G$74:$G$77)+SUM($G$81:$G$82)+SUM($G$87:$G$92)</f>
        <v>56109599</v>
      </c>
      <c r="H105" s="373">
        <f>SUM($H$10:$H$14)+SUM($H$19:$H$28)+SUM($H$32:$H$41)+$H$47+SUM($H$50:$H$55)+SUM($H$60:$H$70)+SUM($H$74:$H$77)+SUM($H$81:$H$82)+SUM($H$87:$H$92)</f>
        <v>49278</v>
      </c>
      <c r="I105" s="373">
        <f>SUM($I$10:$I$14)+SUM($I$19:$I$28)+SUM($I$32:$I$41)+$I$47+SUM($I$50:$I$55)+SUM($I$60:$I$70)+SUM($I$74:$I$77)+SUM($I$81:$I$82)+SUM($I$87:$I$92)</f>
        <v>9488846</v>
      </c>
      <c r="J105" s="373">
        <f>SUM($J$10:$J$14)+SUM($J$19:$J$28)+SUM($J$32:$J$41)+$J$47+SUM($J$50:$J$55)+SUM($J$60:$J$70)+SUM($J$74:$J$77)+SUM($J$81:$J$82)+SUM($J$87:$J$92)</f>
        <v>4532319</v>
      </c>
      <c r="K105" s="373">
        <f>SUM($K$10:$K$14)+SUM($K$19:$K$28)+SUM($K$32:$K$41)+$K$47+SUM($K$50:$K$55)+SUM($K$60:$K$70)+SUM($K$74:$K$77)+SUM($K$81:$K$82)+SUM($K$87:$K$92)</f>
        <v>15300030</v>
      </c>
      <c r="L105" s="373">
        <f>SUM($L$10:$L$14)+SUM($L$19:$L$28)+SUM($L$32:$L$41)+$L$47+SUM($L$50:$L$55)+SUM($L$60:$L$70)+SUM($L$74:$L$77)+SUM($L$81:$L$82)+SUM($L$87:$L$92)</f>
        <v>-8673</v>
      </c>
      <c r="M105" s="373"/>
      <c r="N105" s="264"/>
      <c r="O105" s="373"/>
      <c r="P105" s="450">
        <f>M18-INT(M18)</f>
        <v>0</v>
      </c>
    </row>
    <row r="106" spans="2:28">
      <c r="B106" s="261"/>
      <c r="C106" s="261"/>
      <c r="D106" s="261"/>
      <c r="E106" s="261"/>
      <c r="F106" s="261"/>
      <c r="G106" s="261"/>
      <c r="H106" s="261"/>
      <c r="I106" s="261"/>
      <c r="J106" s="261"/>
      <c r="K106" s="261"/>
      <c r="L106" s="373">
        <f>SUM($D$105:$L$105)</f>
        <v>313206837</v>
      </c>
      <c r="M106" s="261"/>
      <c r="N106" s="264"/>
      <c r="O106" s="373"/>
      <c r="P106" s="450">
        <f>M31-INT(M31)</f>
        <v>0</v>
      </c>
    </row>
    <row r="107" spans="2:28">
      <c r="B107" s="261"/>
      <c r="C107" s="261"/>
      <c r="D107" s="261"/>
      <c r="E107" s="261"/>
      <c r="F107" s="261"/>
      <c r="G107" s="261"/>
      <c r="H107" s="261"/>
      <c r="I107" s="261"/>
      <c r="J107" s="261" t="s">
        <v>1299</v>
      </c>
      <c r="K107" s="261"/>
      <c r="L107" s="373">
        <f>$M$100</f>
        <v>13984100</v>
      </c>
      <c r="M107" s="261"/>
      <c r="N107" s="264"/>
      <c r="O107" s="373"/>
      <c r="P107" s="450">
        <f>M93-INT(M93)</f>
        <v>0</v>
      </c>
    </row>
    <row r="108" spans="2:28">
      <c r="B108" s="261"/>
      <c r="C108" s="261"/>
      <c r="D108" s="261"/>
      <c r="E108" s="261"/>
      <c r="F108" s="261"/>
      <c r="G108" s="261"/>
      <c r="H108" s="261"/>
      <c r="I108" s="261"/>
      <c r="J108" s="261" t="s">
        <v>1300</v>
      </c>
      <c r="K108" s="261"/>
      <c r="L108" s="512">
        <f>$Q$32</f>
        <v>78912324</v>
      </c>
      <c r="M108" s="261"/>
      <c r="N108" s="264"/>
      <c r="O108" s="373"/>
    </row>
    <row r="109" spans="2:28">
      <c r="B109" s="261"/>
      <c r="C109" s="261"/>
      <c r="D109" s="261"/>
      <c r="E109" s="261"/>
      <c r="F109" s="261"/>
      <c r="G109" s="261"/>
      <c r="H109" s="261"/>
      <c r="I109" s="261"/>
      <c r="J109" s="261" t="s">
        <v>1300</v>
      </c>
      <c r="K109" s="261"/>
      <c r="L109" s="512">
        <f>$R$34</f>
        <v>-21575476</v>
      </c>
      <c r="M109" s="261"/>
      <c r="N109" s="264"/>
      <c r="O109" s="373"/>
    </row>
    <row r="110" spans="2:28">
      <c r="B110" s="261"/>
      <c r="C110" s="261"/>
      <c r="D110" s="261"/>
      <c r="E110" s="261"/>
      <c r="F110" s="261"/>
      <c r="G110" s="261"/>
      <c r="H110" s="261"/>
      <c r="I110" s="261"/>
      <c r="J110" s="261" t="s">
        <v>29</v>
      </c>
      <c r="K110" s="261"/>
      <c r="L110" s="512">
        <f>SUM($P$60:$P$68)</f>
        <v>2979760</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2">
        <f>SUM($V$60:$V$67)</f>
        <v>0</v>
      </c>
      <c r="M112" s="261"/>
      <c r="N112" s="264"/>
      <c r="O112" s="373"/>
    </row>
    <row r="113" spans="2:15">
      <c r="B113" s="261"/>
      <c r="C113" s="261"/>
      <c r="D113" s="261"/>
      <c r="E113" s="261"/>
      <c r="F113" s="261"/>
      <c r="G113" s="261"/>
      <c r="H113" s="261"/>
      <c r="I113" s="261"/>
      <c r="J113" s="261" t="s">
        <v>596</v>
      </c>
      <c r="K113" s="261"/>
      <c r="L113" s="512">
        <f>SUM($W$60:$W$67)</f>
        <v>0</v>
      </c>
      <c r="M113" s="261"/>
      <c r="N113" s="264"/>
      <c r="O113" s="373"/>
    </row>
    <row r="114" spans="2:15">
      <c r="B114" s="261"/>
      <c r="C114" s="261"/>
      <c r="D114" s="261"/>
      <c r="E114" s="261"/>
      <c r="F114" s="261"/>
      <c r="G114" s="261"/>
      <c r="H114" s="261"/>
      <c r="I114" s="261"/>
      <c r="J114" s="261" t="s">
        <v>258</v>
      </c>
      <c r="K114" s="261"/>
      <c r="L114" s="512">
        <f>SUM($AA$60:$AA$68)</f>
        <v>136727206</v>
      </c>
      <c r="M114" s="261"/>
      <c r="N114" s="264"/>
      <c r="O114" s="373"/>
    </row>
    <row r="115" spans="2:15">
      <c r="B115" s="261"/>
      <c r="C115" s="261"/>
      <c r="D115" s="261"/>
      <c r="E115" s="261"/>
      <c r="F115" s="261"/>
      <c r="G115" s="261"/>
      <c r="H115" s="261"/>
      <c r="I115" s="261"/>
      <c r="J115" s="261" t="s">
        <v>597</v>
      </c>
      <c r="K115" s="261"/>
      <c r="L115" s="512">
        <f>$R$77</f>
        <v>18340479</v>
      </c>
      <c r="M115" s="261"/>
      <c r="N115" s="264"/>
      <c r="O115" s="373"/>
    </row>
    <row r="116" spans="2:15">
      <c r="B116" s="261"/>
      <c r="C116" s="261"/>
      <c r="D116" s="261"/>
      <c r="E116" s="261"/>
      <c r="F116" s="261"/>
      <c r="G116" s="261"/>
      <c r="H116" s="261"/>
      <c r="I116" s="261"/>
      <c r="J116" s="261" t="s">
        <v>597</v>
      </c>
      <c r="K116" s="261"/>
      <c r="L116" s="512">
        <f>$R$80</f>
        <v>4640864</v>
      </c>
      <c r="M116" s="261"/>
      <c r="N116" s="264"/>
      <c r="O116" s="373"/>
    </row>
    <row r="117" spans="2:15">
      <c r="B117" s="261"/>
      <c r="C117" s="261"/>
      <c r="D117" s="261"/>
      <c r="E117" s="261"/>
      <c r="F117" s="261"/>
      <c r="G117" s="261"/>
      <c r="H117" s="261"/>
      <c r="I117" s="261"/>
      <c r="J117" s="261" t="s">
        <v>1231</v>
      </c>
      <c r="K117" s="261"/>
      <c r="L117" s="1008">
        <f>VLOOKUP(B2,Names!B5:$C$87,2,FALSE)</f>
        <v>11711</v>
      </c>
      <c r="M117" s="261"/>
      <c r="N117" s="264"/>
      <c r="O117" s="373"/>
    </row>
    <row r="118" spans="2:15">
      <c r="B118" s="261"/>
      <c r="C118" s="261"/>
      <c r="D118" s="261"/>
      <c r="E118" s="261"/>
      <c r="F118" s="261"/>
      <c r="G118" s="261"/>
      <c r="H118" s="261"/>
      <c r="I118" s="261"/>
      <c r="J118" s="261"/>
      <c r="K118" s="261"/>
      <c r="L118" s="373">
        <f>SUM(L106:L117)</f>
        <v>547227805</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V56:V59"/>
    <mergeCell ref="W56:W59"/>
    <mergeCell ref="G59:K59"/>
    <mergeCell ref="AA56:AA59"/>
    <mergeCell ref="Z55:AB55"/>
    <mergeCell ref="R56:R59"/>
    <mergeCell ref="O55:R55"/>
    <mergeCell ref="T55:X55"/>
    <mergeCell ref="X56:X59"/>
    <mergeCell ref="AB56:AB59"/>
    <mergeCell ref="Z56:Z59"/>
    <mergeCell ref="B2:F2"/>
    <mergeCell ref="B3:F3"/>
    <mergeCell ref="B4:F4"/>
    <mergeCell ref="B6:M6"/>
    <mergeCell ref="P4:Q4"/>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s>
  <conditionalFormatting sqref="U87:X88 O88:Q88">
    <cfRule type="cellIs" dxfId="667" priority="190" stopIfTrue="1" operator="notEqual">
      <formula>#REF!</formula>
    </cfRule>
  </conditionalFormatting>
  <conditionalFormatting sqref="P70">
    <cfRule type="expression" dxfId="666" priority="170">
      <formula>$P$69&lt;&gt;$M$69</formula>
    </cfRule>
  </conditionalFormatting>
  <conditionalFormatting sqref="AB72">
    <cfRule type="expression" dxfId="665" priority="169">
      <formula>$AB$71&lt;&gt;0</formula>
    </cfRule>
  </conditionalFormatting>
  <conditionalFormatting sqref="P71">
    <cfRule type="expression" dxfId="664" priority="168">
      <formula>P69-INT(P69)</formula>
    </cfRule>
  </conditionalFormatting>
  <conditionalFormatting sqref="V70">
    <cfRule type="expression" dxfId="663" priority="166">
      <formula>X68-INT(X68)</formula>
    </cfRule>
  </conditionalFormatting>
  <conditionalFormatting sqref="O11">
    <cfRule type="expression" dxfId="662" priority="159">
      <formula>#REF!&lt;&gt;$M$11</formula>
    </cfRule>
  </conditionalFormatting>
  <conditionalFormatting sqref="U87:U88 O88:Q88">
    <cfRule type="cellIs" dxfId="661" priority="150" stopIfTrue="1" operator="notEqual">
      <formula>#REF!</formula>
    </cfRule>
  </conditionalFormatting>
  <conditionalFormatting sqref="R84">
    <cfRule type="expression" priority="148" stopIfTrue="1">
      <formula>$M$85&lt;0</formula>
    </cfRule>
    <cfRule type="expression" dxfId="660" priority="149">
      <formula>$S$85&lt;&gt;0</formula>
    </cfRule>
  </conditionalFormatting>
  <conditionalFormatting sqref="R80 R77">
    <cfRule type="expression" dxfId="659" priority="146" stopIfTrue="1">
      <formula>$M$85&gt;=0</formula>
    </cfRule>
    <cfRule type="expression" priority="147">
      <formula>$M$85&lt;0</formula>
    </cfRule>
  </conditionalFormatting>
  <conditionalFormatting sqref="U87:U88 O88:Q88">
    <cfRule type="cellIs" dxfId="658" priority="145" stopIfTrue="1" operator="notEqual">
      <formula>#REF!</formula>
    </cfRule>
  </conditionalFormatting>
  <conditionalFormatting sqref="O12">
    <cfRule type="expression" dxfId="657" priority="129">
      <formula>$P$12&lt;&gt;$M$12</formula>
    </cfRule>
  </conditionalFormatting>
  <conditionalFormatting sqref="O13">
    <cfRule type="expression" dxfId="656" priority="128">
      <formula>$P$13&lt;&gt;$M$13</formula>
    </cfRule>
  </conditionalFormatting>
  <conditionalFormatting sqref="U87:U88 O88:Q88">
    <cfRule type="cellIs" dxfId="655" priority="127" stopIfTrue="1" operator="notEqual">
      <formula>#REF!</formula>
    </cfRule>
  </conditionalFormatting>
  <conditionalFormatting sqref="Q36">
    <cfRule type="expression" dxfId="654" priority="27">
      <formula>#REF!&lt;&gt;#REF!</formula>
    </cfRule>
  </conditionalFormatting>
  <conditionalFormatting sqref="R35">
    <cfRule type="expression" dxfId="653" priority="26">
      <formula>#REF!&lt;&gt;0</formula>
    </cfRule>
  </conditionalFormatting>
  <conditionalFormatting sqref="Q35">
    <cfRule type="expression" dxfId="652" priority="25">
      <formula>#REF!&lt;&gt;0</formula>
    </cfRule>
  </conditionalFormatting>
  <conditionalFormatting sqref="R36">
    <cfRule type="expression" dxfId="651" priority="24">
      <formula>#REF!&lt;&gt;#REF!</formula>
    </cfRule>
  </conditionalFormatting>
  <conditionalFormatting sqref="D93:M98 T94:T95 R90:S95 U87:X93 T90:T92 Y90:Y95 O88:O92 P88:Q93">
    <cfRule type="cellIs" dxfId="650" priority="23" stopIfTrue="1" operator="notEqual">
      <formula>#REF!</formula>
    </cfRule>
  </conditionalFormatting>
  <conditionalFormatting sqref="P70">
    <cfRule type="expression" dxfId="649" priority="22">
      <formula>$P$69&lt;&gt;$M$69</formula>
    </cfRule>
  </conditionalFormatting>
  <conditionalFormatting sqref="AB72">
    <cfRule type="expression" dxfId="648" priority="21">
      <formula>$AB$71&lt;&gt;0</formula>
    </cfRule>
  </conditionalFormatting>
  <conditionalFormatting sqref="P71">
    <cfRule type="expression" dxfId="647" priority="20">
      <formula>P69-INT(P69)</formula>
    </cfRule>
  </conditionalFormatting>
  <conditionalFormatting sqref="V70">
    <cfRule type="expression" dxfId="646" priority="19">
      <formula>X68-INT(X68)</formula>
    </cfRule>
  </conditionalFormatting>
  <conditionalFormatting sqref="O12">
    <cfRule type="expression" dxfId="645" priority="18">
      <formula>$P$12&lt;&gt;$M$12</formula>
    </cfRule>
  </conditionalFormatting>
  <conditionalFormatting sqref="T94:T95 R90:S95 U87:U93 T90:T92 O88:O92 P88:Q93">
    <cfRule type="cellIs" dxfId="644" priority="16" stopIfTrue="1" operator="notEqual">
      <formula>#REF!</formula>
    </cfRule>
  </conditionalFormatting>
  <conditionalFormatting sqref="R84">
    <cfRule type="expression" priority="14" stopIfTrue="1">
      <formula>$M$85&lt;0</formula>
    </cfRule>
    <cfRule type="expression" dxfId="643" priority="15">
      <formula>$S$85&lt;&gt;0</formula>
    </cfRule>
  </conditionalFormatting>
  <conditionalFormatting sqref="R80 R77">
    <cfRule type="expression" dxfId="642" priority="12" stopIfTrue="1">
      <formula>$M$85&gt;=0</formula>
    </cfRule>
    <cfRule type="expression" priority="13">
      <formula>$M$85&lt;0</formula>
    </cfRule>
  </conditionalFormatting>
  <conditionalFormatting sqref="U87:U88 R89:U92 O88:Q92">
    <cfRule type="cellIs" dxfId="641" priority="11" stopIfTrue="1" operator="notEqual">
      <formula>#REF!</formula>
    </cfRule>
  </conditionalFormatting>
  <conditionalFormatting sqref="M101">
    <cfRule type="expression" dxfId="640" priority="10">
      <formula>$M$101&lt;&gt;0</formula>
    </cfRule>
  </conditionalFormatting>
  <conditionalFormatting sqref="M102">
    <cfRule type="expression" dxfId="639" priority="9">
      <formula>$M$93&lt;&gt;$M$100</formula>
    </cfRule>
  </conditionalFormatting>
  <conditionalFormatting sqref="U87:U92 R90:T92 O88:Q92">
    <cfRule type="cellIs" dxfId="638" priority="8" stopIfTrue="1" operator="notEqual">
      <formula>#REF!</formula>
    </cfRule>
  </conditionalFormatting>
  <conditionalFormatting sqref="T89:U89 Q91 T90 O89:O90 P89:Q89 R89:S91">
    <cfRule type="cellIs" dxfId="637" priority="7" stopIfTrue="1" operator="notEqual">
      <formula>#REF!</formula>
    </cfRule>
  </conditionalFormatting>
  <conditionalFormatting sqref="Q36">
    <cfRule type="expression" dxfId="636" priority="6">
      <formula>#REF!&lt;&gt;#REF!</formula>
    </cfRule>
  </conditionalFormatting>
  <conditionalFormatting sqref="R35">
    <cfRule type="expression" dxfId="635" priority="5">
      <formula>#REF!&lt;&gt;0</formula>
    </cfRule>
  </conditionalFormatting>
  <conditionalFormatting sqref="Q35">
    <cfRule type="expression" dxfId="634" priority="4">
      <formula>#REF!&lt;&gt;0</formula>
    </cfRule>
  </conditionalFormatting>
  <conditionalFormatting sqref="R36">
    <cfRule type="expression" dxfId="633" priority="3">
      <formula>#REF!&lt;&gt;#REF!</formula>
    </cfRule>
  </conditionalFormatting>
  <conditionalFormatting sqref="G59:K59">
    <cfRule type="expression" dxfId="632" priority="1">
      <formula>OR($P$105&gt;0,$P$106&lt;&gt;0,$P$107&lt;&gt;0)</formula>
    </cfRule>
  </conditionalFormatting>
  <hyperlinks>
    <hyperlink ref="O2" location="Index!A1" display="Return to Index" xr:uid="{00000000-0004-0000-6F00-000000000000}"/>
  </hyperlinks>
  <printOptions horizontalCentered="1"/>
  <pageMargins left="0.5" right="0.5" top="0.25" bottom="0.25" header="0" footer="0.25"/>
  <pageSetup scale="10" orientation="landscape" r:id="rId1"/>
  <headerFooter alignWithMargins="0"/>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Sheet90"/>
  <dimension ref="A1:G30"/>
  <sheetViews>
    <sheetView showGridLines="0" zoomScale="80" zoomScaleNormal="80" workbookViewId="0">
      <selection activeCell="E74" sqref="E74:F74"/>
    </sheetView>
  </sheetViews>
  <sheetFormatPr defaultColWidth="9.140625" defaultRowHeight="12.75"/>
  <cols>
    <col min="1" max="1" width="7" style="53" customWidth="1"/>
    <col min="2" max="2" width="93.140625" style="53" customWidth="1"/>
    <col min="3" max="3" width="19.7109375" style="53" customWidth="1"/>
    <col min="4" max="9" width="9.140625" style="53"/>
    <col min="10" max="10" width="14.42578125" style="53" customWidth="1"/>
    <col min="11" max="16384" width="9.140625" style="53"/>
  </cols>
  <sheetData>
    <row r="1" spans="2:6" ht="18.75" thickBot="1">
      <c r="B1" s="466" t="str">
        <f>'UHCL Chrts'!$A$1</f>
        <v>University of Houston - Clear Lake</v>
      </c>
      <c r="C1" s="835" t="s">
        <v>1200</v>
      </c>
    </row>
    <row r="2" spans="2:6">
      <c r="B2" s="393" t="str">
        <f>'Smmy Chrts'!$A$2</f>
        <v>For the Year Ended August 31, 2021</v>
      </c>
    </row>
    <row r="3" spans="2:6">
      <c r="B3" s="393" t="str">
        <f>'Smmy Chrts'!$A$3</f>
        <v>Source: FY 2021 Annual Financial Report</v>
      </c>
    </row>
    <row r="5" spans="2:6" customFormat="1">
      <c r="B5" s="529" t="s">
        <v>705</v>
      </c>
    </row>
    <row r="6" spans="2:6" customFormat="1">
      <c r="B6" s="530"/>
    </row>
    <row r="7" spans="2:6" customFormat="1" ht="226.5" customHeight="1">
      <c r="B7" s="531" t="s">
        <v>706</v>
      </c>
      <c r="C7" s="532"/>
    </row>
    <row r="8" spans="2:6" customFormat="1" ht="263.25" customHeight="1">
      <c r="B8" s="531" t="s">
        <v>707</v>
      </c>
    </row>
    <row r="9" spans="2:6" ht="64.5" customHeight="1">
      <c r="B9" s="533" t="str">
        <f>IF('UHCL FGD'!$R$76="N/A","FN11.  N/A",$B$20&amp;$B$21&amp;$B$22&amp;$B$23&amp;$B$24&amp;$B$25&amp;$B$26&amp;$B$27&amp;$B$28&amp;$B$29&amp;$B$30)</f>
        <v>FN11: Of the net increase of $23,210,758 approximately $18.3 million represents revenues received but not yet expended. This income is fully committed to program expenditures and capital disbursements. The remaining $4.9 million represents non-expendable funds from unrealized gains and additions to permanent endowments of approximately $4.6 million and $229 thousand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TEXT(IF('UHCL FGD'!$M$85&lt;0,"N/A",'UHCL FGD'!$M$85),"$* #,##0;$* (#,##0)")</f>
        <v>$23,210,758</v>
      </c>
      <c r="C21" s="480"/>
      <c r="D21" s="480"/>
      <c r="E21" s="480"/>
      <c r="G21" s="105"/>
    </row>
    <row r="22" spans="1:7">
      <c r="B22" s="105" t="s">
        <v>682</v>
      </c>
    </row>
    <row r="23" spans="1:7">
      <c r="A23" s="53">
        <v>61</v>
      </c>
      <c r="B23" s="515" t="str">
        <f>IF(ABS('UHCL FGD'!$R$77)&gt;=1000000,TEXT('UHCL FGD'!$R$77/1000000,"$* #,##0.0;$* (#,##0.0)")&amp;" million",IF(ABS('UHCL FGD'!$R$77)&lt;1000,TEXT('UHCL FGD'!$R$77,"$* #,##0;$* (#,##0)"),TEXT('UHCL FGD'!$R$77/1000,"$* #,##0;$* (#,##0)")&amp;" thousand"))</f>
        <v>$18.3 million</v>
      </c>
      <c r="C23" s="515"/>
      <c r="E23" s="515"/>
    </row>
    <row r="24" spans="1:7">
      <c r="B24" s="105" t="s">
        <v>708</v>
      </c>
    </row>
    <row r="25" spans="1:7">
      <c r="A25" s="53">
        <v>62</v>
      </c>
      <c r="B25" s="515" t="str">
        <f>IF(ABS('UHCL FGD'!$R$78)&gt;=1000000,TEXT('UHCL FGD'!$R$78/1000000,"$* #,##0.0;$* (#,##0.0)")&amp;" million",IF(ABS('UHCL FGD'!$R$78)&lt;1000,TEXT('UHCL FGD'!$R$78,"$* #,##0;$* (#,##0)"),TEXT('UHCL FGD'!$R$78/1000,"$* #,##0;$* (#,##0)")&amp;" thousand"))</f>
        <v>$4.9 million</v>
      </c>
      <c r="C25" s="515"/>
      <c r="E25" s="515"/>
    </row>
    <row r="26" spans="1:7">
      <c r="B26" s="105" t="s">
        <v>683</v>
      </c>
    </row>
    <row r="27" spans="1:7">
      <c r="A27" s="53">
        <v>64</v>
      </c>
      <c r="B27" s="515" t="str">
        <f>IF(ABS('UHCL FGD'!$R$80)&gt;=1000000,TEXT('UHCL FGD'!$R$80/1000000,"$* #,##0.0;$* (#,##0.0)")&amp;" million",IF(ABS('UHCL FGD'!$R$80)&lt;1000,TEXT('UHCL FGD'!$R$80,"$* #,##0;$* (#,##0)"),TEXT('UHCL FGD'!$R$80/1000,"$* #,##0;$* (#,##0)")&amp;" thousand"))</f>
        <v>$4.6 million</v>
      </c>
      <c r="C27" s="515"/>
      <c r="E27" s="515"/>
    </row>
    <row r="28" spans="1:7">
      <c r="B28" s="105" t="s">
        <v>684</v>
      </c>
    </row>
    <row r="29" spans="1:7">
      <c r="A29" s="53">
        <v>66</v>
      </c>
      <c r="B29" s="515" t="str">
        <f>IF(ABS('UHCL FGD'!$R$82)&gt;=1000000,TEXT('UHCL FGD'!$R$82/1000000,"$* #,##0.0;$* (#,##0.0)")&amp;" million",IF(ABS('UHCL FGD'!$R$82)&lt;1000,TEXT('UHCL FGD'!$R$82,"$* #,##0;$* (#,##0)"),TEXT('UHCL FGD'!$R$82/1000,"$* #,##0;$* (#,##0)")&amp;" thousand"))</f>
        <v>$229 thousand</v>
      </c>
      <c r="C29" s="515"/>
      <c r="E29" s="515"/>
    </row>
    <row r="30" spans="1:7">
      <c r="B30" s="105" t="s">
        <v>709</v>
      </c>
    </row>
  </sheetData>
  <hyperlinks>
    <hyperlink ref="C1" location="Index!A1" display="Return to Index" xr:uid="{00000000-0004-0000-7000-000000000000}"/>
  </hyperlinks>
  <pageMargins left="0.25" right="0.25" top="0.25" bottom="0.25" header="0" footer="0.25"/>
  <pageSetup orientation="portrait" r:id="rId1"/>
  <headerFooter alignWithMargins="0"/>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Sheet91">
    <tabColor indexed="47"/>
    <pageSetUpPr fitToPage="1"/>
  </sheetPr>
  <dimension ref="A1:E165"/>
  <sheetViews>
    <sheetView showGridLines="0" zoomScale="65" zoomScaleNormal="65" zoomScaleSheetLayoutView="65" workbookViewId="0">
      <selection activeCell="B80" sqref="B80"/>
    </sheetView>
  </sheetViews>
  <sheetFormatPr defaultColWidth="9.140625" defaultRowHeight="12.75" customHeight="1"/>
  <cols>
    <col min="1" max="1" width="158.7109375" style="53" customWidth="1"/>
    <col min="2" max="2" width="23" style="53" customWidth="1"/>
    <col min="3" max="3" width="48.5703125" style="53" customWidth="1"/>
    <col min="4" max="4" width="20.7109375" style="53" customWidth="1"/>
    <col min="5" max="5" width="9.140625" style="679"/>
    <col min="6" max="16384" width="9.140625" style="53"/>
  </cols>
  <sheetData>
    <row r="1" spans="1:5" ht="28.5" thickBot="1">
      <c r="A1" s="159" t="s">
        <v>117</v>
      </c>
      <c r="B1" s="835" t="s">
        <v>1200</v>
      </c>
      <c r="C1" s="53" t="s">
        <v>1329</v>
      </c>
    </row>
    <row r="2" spans="1:5" ht="27.75">
      <c r="A2" s="54" t="str">
        <f>'Smmy Chrts'!$A$2</f>
        <v>For the Year Ended August 31, 2021</v>
      </c>
      <c r="C2" s="55" t="s">
        <v>63</v>
      </c>
    </row>
    <row r="3" spans="1:5" ht="27.75">
      <c r="A3" s="54" t="str">
        <f>'Smmy Chrts'!$A$3</f>
        <v>Source: FY 2021 Annual Financial Report</v>
      </c>
      <c r="C3" s="53" t="s">
        <v>64</v>
      </c>
    </row>
    <row r="4" spans="1:5" ht="12.75" customHeight="1">
      <c r="C4" s="53" t="s">
        <v>267</v>
      </c>
    </row>
    <row r="5" spans="1:5" ht="12.75" customHeight="1">
      <c r="C5" s="53" t="s">
        <v>268</v>
      </c>
    </row>
    <row r="7" spans="1:5" ht="12.75" customHeight="1">
      <c r="C7" s="1687" t="s">
        <v>25</v>
      </c>
      <c r="D7" s="1687"/>
    </row>
    <row r="8" spans="1:5" ht="12.75" customHeight="1">
      <c r="C8" s="57"/>
      <c r="D8" s="58"/>
    </row>
    <row r="9" spans="1:5" ht="12.75" customHeight="1">
      <c r="C9" s="59" t="str">
        <f>'UHD Sum'!A9</f>
        <v>State of Texas</v>
      </c>
      <c r="D9" s="60">
        <f>'UHD Sum'!B15</f>
        <v>49718271</v>
      </c>
      <c r="E9" s="680">
        <f>ROUND(D9/$D$14,3)</f>
        <v>0.24299999999999999</v>
      </c>
    </row>
    <row r="10" spans="1:5" ht="12.75" customHeight="1">
      <c r="C10" s="59" t="str">
        <f>'UHD Sum'!A17</f>
        <v>Student &amp; Parent</v>
      </c>
      <c r="D10" s="60">
        <f>'UHD Sum'!B20</f>
        <v>72089010</v>
      </c>
      <c r="E10" s="680">
        <f t="shared" ref="E10:E12" si="0">ROUND(D10/$D$14,3)</f>
        <v>0.35199999999999998</v>
      </c>
    </row>
    <row r="11" spans="1:5" ht="12.75" customHeight="1">
      <c r="C11" s="59" t="str">
        <f>'UHD Sum'!A22</f>
        <v>Federal Government</v>
      </c>
      <c r="D11" s="60">
        <f>'UHD Sum'!B23</f>
        <v>63925563</v>
      </c>
      <c r="E11" s="680">
        <f t="shared" si="0"/>
        <v>0.312</v>
      </c>
    </row>
    <row r="12" spans="1:5" ht="12.75" customHeight="1">
      <c r="C12" s="59" t="str">
        <f>'UHD Sum'!A25</f>
        <v>Institutional Resources</v>
      </c>
      <c r="D12" s="60">
        <f>'UHD Sum'!B32</f>
        <v>18891248</v>
      </c>
      <c r="E12" s="680">
        <f t="shared" si="0"/>
        <v>9.1999999999999998E-2</v>
      </c>
    </row>
    <row r="13" spans="1:5" ht="12.75" customHeight="1">
      <c r="C13" s="57"/>
      <c r="D13" s="58"/>
      <c r="E13" s="680"/>
    </row>
    <row r="14" spans="1:5" ht="12.75" customHeight="1">
      <c r="C14" s="61" t="s">
        <v>68</v>
      </c>
      <c r="D14" s="62">
        <f>SUM(D9:D13)</f>
        <v>204624092</v>
      </c>
      <c r="E14" s="680">
        <f>SUM(E9:E13)</f>
        <v>0.999</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86" t="str">
        <f>C14&amp;" "&amp;TEXT(D14,"$#,###")</f>
        <v>Total Operating Sources $204,624,092</v>
      </c>
    </row>
    <row r="48" spans="1:1" ht="12.75" customHeight="1">
      <c r="A48" s="1686"/>
    </row>
    <row r="49" spans="1:5" ht="12.75" customHeight="1">
      <c r="A49" s="56"/>
    </row>
    <row r="52" spans="1:5" ht="12.75" customHeight="1">
      <c r="C52" s="63" t="s">
        <v>25</v>
      </c>
      <c r="D52" s="58"/>
    </row>
    <row r="54" spans="1:5" ht="12.75" customHeight="1">
      <c r="C54" s="59" t="s">
        <v>1</v>
      </c>
      <c r="D54" s="60">
        <f>'UHD Sum'!B10</f>
        <v>29937476</v>
      </c>
      <c r="E54" s="680">
        <f>ROUND(D54/$D$67,3)</f>
        <v>0.14599999999999999</v>
      </c>
    </row>
    <row r="55" spans="1:5" ht="12.75" customHeight="1">
      <c r="C55" s="59" t="s">
        <v>221</v>
      </c>
      <c r="D55" s="60">
        <f>'UHD Sum'!B11</f>
        <v>8952451</v>
      </c>
      <c r="E55" s="680">
        <f t="shared" ref="E55:E66" si="1">ROUND(D55/$D$67,3)</f>
        <v>4.3999999999999997E-2</v>
      </c>
    </row>
    <row r="56" spans="1:5" ht="12.75" customHeight="1">
      <c r="C56" s="59"/>
      <c r="D56" s="60"/>
      <c r="E56" s="680"/>
    </row>
    <row r="57" spans="1:5" ht="12.75" customHeight="1">
      <c r="C57" s="1069" t="str">
        <f>'UHD Sum'!A13</f>
        <v>Higher Education Fund</v>
      </c>
      <c r="D57" s="60">
        <f>'UHD Sum'!B13</f>
        <v>10828344</v>
      </c>
      <c r="E57" s="680">
        <f t="shared" si="1"/>
        <v>5.2999999999999999E-2</v>
      </c>
    </row>
    <row r="58" spans="1:5" ht="12.75" customHeight="1">
      <c r="C58" s="59" t="s">
        <v>41</v>
      </c>
      <c r="D58" s="60">
        <f>'UHD Sum'!B14</f>
        <v>0</v>
      </c>
      <c r="E58" s="680">
        <f t="shared" si="1"/>
        <v>0</v>
      </c>
    </row>
    <row r="59" spans="1:5" ht="12.75" customHeight="1">
      <c r="C59" s="59" t="s">
        <v>87</v>
      </c>
      <c r="D59" s="60">
        <f>'UHD Sum'!B20</f>
        <v>72089010</v>
      </c>
      <c r="E59" s="680">
        <f t="shared" si="1"/>
        <v>0.35199999999999998</v>
      </c>
    </row>
    <row r="60" spans="1:5" ht="12.75" customHeight="1">
      <c r="C60" s="64" t="s">
        <v>74</v>
      </c>
      <c r="D60" s="60">
        <f>'UHD Sum'!B23</f>
        <v>63925563</v>
      </c>
      <c r="E60" s="680">
        <f t="shared" si="1"/>
        <v>0.312</v>
      </c>
    </row>
    <row r="61" spans="1:5" ht="12.75" customHeight="1">
      <c r="C61" s="59" t="s">
        <v>75</v>
      </c>
      <c r="D61" s="60">
        <f>'UHD Sum'!B26</f>
        <v>5612432</v>
      </c>
      <c r="E61" s="680">
        <f t="shared" si="1"/>
        <v>2.7E-2</v>
      </c>
    </row>
    <row r="62" spans="1:5" ht="12.75" customHeight="1">
      <c r="C62" s="1069" t="s">
        <v>27</v>
      </c>
      <c r="D62" s="60">
        <f>'UHD Sum'!B27</f>
        <v>0</v>
      </c>
      <c r="E62" s="680">
        <f t="shared" si="1"/>
        <v>0</v>
      </c>
    </row>
    <row r="63" spans="1:5" ht="12.75" customHeight="1">
      <c r="C63" s="59" t="s">
        <v>76</v>
      </c>
      <c r="D63" s="60">
        <f>'UHD Sum'!B28</f>
        <v>3228639</v>
      </c>
      <c r="E63" s="680">
        <f t="shared" si="1"/>
        <v>1.6E-2</v>
      </c>
    </row>
    <row r="64" spans="1:5" ht="12.75" customHeight="1">
      <c r="C64" s="59" t="s">
        <v>77</v>
      </c>
      <c r="D64" s="60">
        <f>'UHD Sum'!B29</f>
        <v>2089098</v>
      </c>
      <c r="E64" s="680">
        <f t="shared" si="1"/>
        <v>0.01</v>
      </c>
    </row>
    <row r="65" spans="1:5" ht="12.75" customHeight="1">
      <c r="C65" s="59" t="s">
        <v>220</v>
      </c>
      <c r="D65" s="60">
        <f>'UHD Sum'!B30</f>
        <v>895121</v>
      </c>
      <c r="E65" s="680">
        <f t="shared" si="1"/>
        <v>4.0000000000000001E-3</v>
      </c>
    </row>
    <row r="66" spans="1:5" ht="12.75" customHeight="1">
      <c r="C66" s="64" t="s">
        <v>52</v>
      </c>
      <c r="D66" s="60">
        <f>'UHD Sum'!B31</f>
        <v>7065958</v>
      </c>
      <c r="E66" s="680">
        <f t="shared" si="1"/>
        <v>3.5000000000000003E-2</v>
      </c>
    </row>
    <row r="67" spans="1:5" ht="12.75" customHeight="1">
      <c r="C67" s="61" t="s">
        <v>68</v>
      </c>
      <c r="D67" s="62">
        <f>SUM(D54:D66)</f>
        <v>204624092</v>
      </c>
      <c r="E67" s="681">
        <f>SUM(E54:E66)</f>
        <v>0.99900000000000011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86" t="str">
        <f>C67&amp;" "&amp;TEXT(D67,"$#,###")</f>
        <v>Total Operating Sources $204,624,092</v>
      </c>
    </row>
    <row r="93" spans="1:5" ht="12.75" customHeight="1">
      <c r="A93" s="1686"/>
    </row>
    <row r="94" spans="1:5" ht="12.75" customHeight="1">
      <c r="A94" s="65"/>
    </row>
    <row r="95" spans="1:5" s="68" customFormat="1" ht="12.75" customHeight="1">
      <c r="A95" s="66"/>
      <c r="E95" s="682"/>
    </row>
    <row r="96" spans="1:5" ht="12.75" customHeight="1">
      <c r="A96" s="65"/>
    </row>
    <row r="97" spans="1:5" ht="12.75" customHeight="1">
      <c r="A97" s="65"/>
    </row>
    <row r="98" spans="1:5" ht="12.75" customHeight="1">
      <c r="A98" s="65"/>
    </row>
    <row r="100" spans="1:5" ht="12.75" customHeight="1">
      <c r="C100" s="1687" t="s">
        <v>13</v>
      </c>
      <c r="D100" s="1687"/>
    </row>
    <row r="101" spans="1:5" ht="12.75" customHeight="1">
      <c r="C101" s="1687"/>
      <c r="D101" s="1687"/>
    </row>
    <row r="102" spans="1:5" ht="12.75" customHeight="1">
      <c r="C102" s="69" t="s">
        <v>14</v>
      </c>
      <c r="D102" s="60">
        <f>'UHD Sum'!B36</f>
        <v>50902870</v>
      </c>
      <c r="E102" s="680">
        <f>ROUND(D102/$D$114,3)</f>
        <v>0.28699999999999998</v>
      </c>
    </row>
    <row r="103" spans="1:5" ht="12.75" customHeight="1">
      <c r="C103" s="69" t="s">
        <v>15</v>
      </c>
      <c r="D103" s="60">
        <f>'UHD Sum'!B37</f>
        <v>2040315</v>
      </c>
      <c r="E103" s="680">
        <f t="shared" ref="E103:E112" si="2">ROUND(D103/$D$114,3)</f>
        <v>1.0999999999999999E-2</v>
      </c>
    </row>
    <row r="104" spans="1:5" ht="12.75" customHeight="1">
      <c r="C104" s="69" t="s">
        <v>16</v>
      </c>
      <c r="D104" s="60">
        <f>'UHD Sum'!B38</f>
        <v>2655558</v>
      </c>
      <c r="E104" s="680">
        <f t="shared" si="2"/>
        <v>1.4999999999999999E-2</v>
      </c>
    </row>
    <row r="105" spans="1:5" ht="12.75" customHeight="1">
      <c r="C105" s="69" t="s">
        <v>17</v>
      </c>
      <c r="D105" s="60">
        <f>'UHD Sum'!B39</f>
        <v>35044021</v>
      </c>
      <c r="E105" s="680">
        <f t="shared" si="2"/>
        <v>0.19700000000000001</v>
      </c>
    </row>
    <row r="106" spans="1:5" ht="12.75" customHeight="1">
      <c r="C106" s="69" t="s">
        <v>18</v>
      </c>
      <c r="D106" s="60">
        <f>'UHD Sum'!B40</f>
        <v>7179409</v>
      </c>
      <c r="E106" s="680">
        <f t="shared" si="2"/>
        <v>0.04</v>
      </c>
    </row>
    <row r="107" spans="1:5" ht="12.75" customHeight="1">
      <c r="C107" s="69" t="s">
        <v>19</v>
      </c>
      <c r="D107" s="60">
        <f>'UHD Sum'!B41</f>
        <v>24022615</v>
      </c>
      <c r="E107" s="680">
        <f t="shared" si="2"/>
        <v>0.13500000000000001</v>
      </c>
    </row>
    <row r="108" spans="1:5" ht="12.75" customHeight="1">
      <c r="C108" s="69" t="s">
        <v>78</v>
      </c>
      <c r="D108" s="60">
        <f>'UHD Sum'!B42</f>
        <v>8426679</v>
      </c>
      <c r="E108" s="680">
        <f t="shared" si="2"/>
        <v>4.7E-2</v>
      </c>
    </row>
    <row r="109" spans="1:5" ht="12.75" customHeight="1">
      <c r="C109" s="69" t="s">
        <v>79</v>
      </c>
      <c r="D109" s="60">
        <f>'UHD Sum'!B43</f>
        <v>34039809</v>
      </c>
      <c r="E109" s="680">
        <f t="shared" si="2"/>
        <v>0.192</v>
      </c>
    </row>
    <row r="110" spans="1:5" ht="12.75" customHeight="1">
      <c r="C110" s="69" t="s">
        <v>22</v>
      </c>
      <c r="D110" s="60">
        <f>'UHD Sum'!B44</f>
        <v>7659361</v>
      </c>
      <c r="E110" s="680">
        <f t="shared" si="2"/>
        <v>4.2999999999999997E-2</v>
      </c>
    </row>
    <row r="111" spans="1:5" ht="12.75" customHeight="1">
      <c r="C111" s="64" t="s">
        <v>29</v>
      </c>
      <c r="D111" s="60">
        <f>'UHD Sum'!B45</f>
        <v>2498851</v>
      </c>
      <c r="E111" s="680">
        <f t="shared" si="2"/>
        <v>1.4E-2</v>
      </c>
    </row>
    <row r="112" spans="1:5" ht="12.75" customHeight="1">
      <c r="C112" s="64" t="s">
        <v>53</v>
      </c>
      <c r="D112" s="60">
        <f>'UHD Sum'!B46</f>
        <v>3027404</v>
      </c>
      <c r="E112" s="680">
        <f t="shared" si="2"/>
        <v>1.7000000000000001E-2</v>
      </c>
    </row>
    <row r="113" spans="3:5" ht="12.75" customHeight="1">
      <c r="C113" s="57"/>
      <c r="D113" s="57"/>
    </row>
    <row r="114" spans="3:5" ht="12.75" customHeight="1">
      <c r="C114" s="70" t="s">
        <v>69</v>
      </c>
      <c r="D114" s="62">
        <f>SUM(D102:D113)</f>
        <v>177496892</v>
      </c>
      <c r="E114" s="681">
        <f>SUM(E102:E113)</f>
        <v>0.99800000000000022</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86" t="str">
        <f>C114&amp;" "&amp;TEXT(D114,"$#,###")</f>
        <v>Total Operating Uses $177,496,892</v>
      </c>
    </row>
    <row r="137" spans="1:1" ht="12.75" customHeight="1">
      <c r="A137" s="1686"/>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71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1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transitionEvaluation="1" transitionEntry="1" codeName="Sheet92">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'UHD Chrts'!$A$1</f>
        <v>University of Houston - Downtown</v>
      </c>
      <c r="B1" s="74"/>
      <c r="C1" s="1"/>
      <c r="D1" s="1704" t="s">
        <v>1200</v>
      </c>
      <c r="E1" s="1705"/>
      <c r="F1" s="1757" t="s">
        <v>1196</v>
      </c>
      <c r="G1" s="1706"/>
      <c r="H1" s="1706"/>
      <c r="I1" s="1706"/>
      <c r="J1" s="1707" t="s">
        <v>1197</v>
      </c>
      <c r="K1" s="1695"/>
      <c r="L1" s="1695"/>
      <c r="M1" s="1695"/>
      <c r="N1" s="1695"/>
      <c r="O1" s="1696"/>
    </row>
    <row r="2" spans="1:15" ht="15.75">
      <c r="A2" s="76" t="str">
        <f>'Smmy Chrts'!$A$2</f>
        <v>For the Year Ended August 31, 2021</v>
      </c>
      <c r="B2" s="74"/>
      <c r="C2" s="1"/>
      <c r="D2" s="37"/>
      <c r="E2" s="37"/>
      <c r="F2" s="37"/>
      <c r="J2" s="37"/>
      <c r="K2" s="37"/>
      <c r="L2" s="37"/>
      <c r="M2" s="37"/>
    </row>
    <row r="3" spans="1:15" ht="15.75">
      <c r="A3" s="76" t="str">
        <f>'Smmy Chrts'!$A$3</f>
        <v>Source: FY 2021 Annual Financial Report</v>
      </c>
      <c r="B3" s="74"/>
      <c r="C3" s="1"/>
    </row>
    <row r="4" spans="1:15" ht="13.5" customHeight="1">
      <c r="B4" s="77"/>
      <c r="C4" s="4"/>
      <c r="D4" s="1711" t="s">
        <v>1142</v>
      </c>
      <c r="E4" s="1711" t="s">
        <v>1143</v>
      </c>
      <c r="F4" s="266"/>
    </row>
    <row r="5" spans="1:15" ht="18">
      <c r="A5" s="39" t="str">
        <f>'Smmy Chrts'!$C$35</f>
        <v>Summary Worksheet FY 2021</v>
      </c>
      <c r="B5" s="40" t="s">
        <v>86</v>
      </c>
      <c r="C5" s="40" t="s">
        <v>129</v>
      </c>
      <c r="D5" s="1712"/>
      <c r="E5" s="1712"/>
      <c r="F5" s="266"/>
      <c r="G5" s="799" t="s">
        <v>1198</v>
      </c>
      <c r="I5" s="822" t="s">
        <v>2157</v>
      </c>
      <c r="J5" s="792" t="s">
        <v>1144</v>
      </c>
    </row>
    <row r="6" spans="1:15" ht="13.5" customHeight="1">
      <c r="A6" s="78" t="s">
        <v>266</v>
      </c>
      <c r="B6" s="41"/>
      <c r="C6" s="42">
        <f>VLOOKUP($A$1,FTSELU,12,FALSE)</f>
        <v>11193.03</v>
      </c>
      <c r="J6" s="712"/>
    </row>
    <row r="7" spans="1:15">
      <c r="I7" s="824" t="s">
        <v>1162</v>
      </c>
      <c r="J7" s="827"/>
    </row>
    <row r="8" spans="1:15">
      <c r="A8" s="81" t="s">
        <v>71</v>
      </c>
      <c r="B8" s="81"/>
      <c r="C8" s="24"/>
      <c r="I8" s="896">
        <f>VLOOKUP(A1,FTSELU,14,FALSE)</f>
        <v>955.93000000000006</v>
      </c>
      <c r="J8" s="712"/>
    </row>
    <row r="9" spans="1:15" ht="12.75" customHeight="1" thickBot="1">
      <c r="A9" s="78" t="s">
        <v>0</v>
      </c>
      <c r="B9" s="82"/>
      <c r="C9" s="7"/>
      <c r="J9" s="712"/>
    </row>
    <row r="10" spans="1:15" ht="12.75" customHeight="1" thickTop="1">
      <c r="A10" s="75" t="s">
        <v>1</v>
      </c>
      <c r="B10" s="83">
        <f>'UHD FGD'!M10</f>
        <v>29937476</v>
      </c>
      <c r="C10" s="83">
        <f>ROUND(B10/$C$6,0)</f>
        <v>2675</v>
      </c>
      <c r="D10" s="512">
        <f>'UHD FGD'!F10</f>
        <v>0</v>
      </c>
      <c r="E10" s="512"/>
      <c r="F10" s="84">
        <f>B10-(SUM(D10:E10))</f>
        <v>29937476</v>
      </c>
      <c r="G10" s="1143" t="s">
        <v>1</v>
      </c>
      <c r="H10" s="1144"/>
      <c r="I10" s="825" t="s">
        <v>1161</v>
      </c>
      <c r="J10" s="713">
        <f>ROUND(F10/$C$6,0)</f>
        <v>2675</v>
      </c>
    </row>
    <row r="11" spans="1:15" ht="12.75" customHeight="1" thickBot="1">
      <c r="A11" s="75" t="s">
        <v>2</v>
      </c>
      <c r="B11" s="86">
        <f>'UHD FGD'!M11</f>
        <v>8952451</v>
      </c>
      <c r="C11" s="87">
        <f t="shared" ref="C11:C14" si="0">ROUND(B11/$C$6,0)</f>
        <v>800</v>
      </c>
      <c r="D11" s="86">
        <f>'UHD FGD'!F11</f>
        <v>0</v>
      </c>
      <c r="E11" s="74"/>
      <c r="F11" s="606">
        <f t="shared" ref="F11:F14" si="1">B11-(SUM(D11:E11))</f>
        <v>8952451</v>
      </c>
      <c r="G11" s="1148">
        <f>SUM(F10:F11)</f>
        <v>38889927</v>
      </c>
      <c r="H11" s="715"/>
      <c r="I11" s="1373">
        <f>ROUND($G$11/$C$6,0)</f>
        <v>3474</v>
      </c>
      <c r="J11" s="716">
        <f t="shared" ref="J11:J14" si="2">ROUND(F11/$C$6,0)</f>
        <v>800</v>
      </c>
    </row>
    <row r="12" spans="1:15" ht="12.75" hidden="1" customHeight="1" thickTop="1" thickBot="1">
      <c r="A12" s="75" t="s">
        <v>1410</v>
      </c>
      <c r="B12" s="86"/>
      <c r="C12" s="87"/>
      <c r="D12" s="86"/>
      <c r="E12" s="74"/>
      <c r="F12" s="607"/>
      <c r="J12" s="716"/>
      <c r="O12" s="608"/>
    </row>
    <row r="13" spans="1:15" ht="12.75" customHeight="1" thickTop="1">
      <c r="A13" s="75" t="s">
        <v>1368</v>
      </c>
      <c r="B13" s="86">
        <f>'UHD FGD'!M13</f>
        <v>10828344</v>
      </c>
      <c r="C13" s="87">
        <f t="shared" si="0"/>
        <v>967</v>
      </c>
      <c r="D13" s="86">
        <f>'UHD FGD'!F13</f>
        <v>0</v>
      </c>
      <c r="E13" s="74"/>
      <c r="F13" s="893">
        <f t="shared" si="1"/>
        <v>10828344</v>
      </c>
      <c r="G13" s="882" t="s">
        <v>81</v>
      </c>
      <c r="H13" s="894"/>
      <c r="I13" s="826" t="s">
        <v>1163</v>
      </c>
      <c r="J13" s="716">
        <f t="shared" si="2"/>
        <v>967</v>
      </c>
    </row>
    <row r="14" spans="1:15" ht="12.75" customHeight="1" thickBot="1">
      <c r="A14" s="75" t="s">
        <v>49</v>
      </c>
      <c r="B14" s="86">
        <f>'UHD FGD'!M14</f>
        <v>0</v>
      </c>
      <c r="C14" s="87">
        <f t="shared" si="0"/>
        <v>0</v>
      </c>
      <c r="D14" s="86">
        <f>'UHD FGD'!F14</f>
        <v>0</v>
      </c>
      <c r="E14" s="74"/>
      <c r="F14" s="607">
        <f t="shared" si="1"/>
        <v>0</v>
      </c>
      <c r="G14" s="800">
        <f>SUM(F13:F14)</f>
        <v>10828344</v>
      </c>
      <c r="H14" s="895"/>
      <c r="I14" s="1377">
        <f>ROUND($G$11/$I$8,0)</f>
        <v>40683</v>
      </c>
      <c r="J14" s="828">
        <f t="shared" si="2"/>
        <v>0</v>
      </c>
    </row>
    <row r="15" spans="1:15" ht="12.75" customHeight="1" thickTop="1">
      <c r="A15" s="88" t="s">
        <v>3</v>
      </c>
      <c r="B15" s="89">
        <f>SUM(B10:B14)</f>
        <v>49718271</v>
      </c>
      <c r="C15" s="89">
        <f>SUM(C10:C14)</f>
        <v>4442</v>
      </c>
      <c r="D15" s="89">
        <f>SUM(D10:D14)</f>
        <v>0</v>
      </c>
      <c r="E15" s="89">
        <f>SUM(E10:E14)</f>
        <v>0</v>
      </c>
      <c r="F15" s="216">
        <f>SUM(F10:F14)</f>
        <v>49718271</v>
      </c>
      <c r="I15" s="1372"/>
      <c r="J15" s="757">
        <f>SUM(J10:J14)</f>
        <v>4442</v>
      </c>
    </row>
    <row r="16" spans="1:15">
      <c r="B16" s="48"/>
      <c r="C16" s="75"/>
      <c r="J16" s="712"/>
    </row>
    <row r="17" spans="1:31" ht="12.75" customHeight="1">
      <c r="A17" s="78" t="s">
        <v>4</v>
      </c>
      <c r="B17" s="86"/>
      <c r="C17" s="75"/>
      <c r="J17" s="712"/>
    </row>
    <row r="18" spans="1:31">
      <c r="A18" s="75" t="s">
        <v>39</v>
      </c>
      <c r="B18" s="83">
        <f>'UHD FGD'!M29</f>
        <v>55446738</v>
      </c>
      <c r="C18" s="83">
        <f t="shared" ref="C18:C19" si="3">ROUND(B18/$C$6,0)</f>
        <v>4954</v>
      </c>
      <c r="D18" s="512">
        <f>'UHD FGD'!$F$29</f>
        <v>0</v>
      </c>
      <c r="E18" s="512"/>
      <c r="F18" s="512">
        <f t="shared" ref="F18:F19" si="4">B18-(SUM(D18:E18))</f>
        <v>55446738</v>
      </c>
      <c r="G18" s="337"/>
      <c r="H18" s="337"/>
      <c r="I18" s="337"/>
      <c r="J18" s="713">
        <f>ROUND(F18/$C$6,0)</f>
        <v>4954</v>
      </c>
    </row>
    <row r="19" spans="1:31" ht="13.5" thickBot="1">
      <c r="A19" s="75" t="s">
        <v>40</v>
      </c>
      <c r="B19" s="86">
        <f>'UHD FGD'!M42</f>
        <v>16642272</v>
      </c>
      <c r="C19" s="87">
        <f t="shared" si="3"/>
        <v>1487</v>
      </c>
      <c r="D19" s="74">
        <f>'UHD FGD'!$F$42</f>
        <v>6312443</v>
      </c>
      <c r="E19" s="74"/>
      <c r="F19" s="74">
        <f t="shared" si="4"/>
        <v>10329829</v>
      </c>
      <c r="G19" s="337"/>
      <c r="H19" s="337"/>
      <c r="I19" s="337"/>
      <c r="J19" s="716">
        <f>ROUND(F19/$C$6,0)</f>
        <v>923</v>
      </c>
    </row>
    <row r="20" spans="1:31" ht="14.25" thickTop="1" thickBot="1">
      <c r="A20" s="88" t="s">
        <v>5</v>
      </c>
      <c r="B20" s="89">
        <f>SUM(B18:B19)</f>
        <v>72089010</v>
      </c>
      <c r="C20" s="89">
        <f>SUM(C18:C19)</f>
        <v>6441</v>
      </c>
      <c r="D20" s="717">
        <f>SUM(D18:D19)</f>
        <v>6312443</v>
      </c>
      <c r="E20" s="718">
        <f>SUM(E18:E19)</f>
        <v>0</v>
      </c>
      <c r="F20" s="801">
        <f>SUM(F18:F19)</f>
        <v>65776567</v>
      </c>
      <c r="G20" s="720" t="s">
        <v>26</v>
      </c>
      <c r="H20" s="366"/>
      <c r="I20" s="367"/>
      <c r="J20" s="721">
        <f>SUM(J18:J19)</f>
        <v>5877</v>
      </c>
    </row>
    <row r="21" spans="1:31" ht="12.75" customHeight="1" thickTop="1">
      <c r="B21" s="91"/>
      <c r="C21" s="75"/>
      <c r="F21" s="804"/>
      <c r="J21" s="712"/>
    </row>
    <row r="22" spans="1:31" ht="14.25" customHeight="1" thickBot="1">
      <c r="A22" s="78" t="s">
        <v>6</v>
      </c>
      <c r="B22" s="91"/>
      <c r="C22" s="75"/>
      <c r="J22" s="712"/>
    </row>
    <row r="23" spans="1:31" ht="14.25" thickTop="1" thickBot="1">
      <c r="A23" s="88" t="s">
        <v>7</v>
      </c>
      <c r="B23" s="92">
        <f>'UHD FGD'!M47</f>
        <v>63925563</v>
      </c>
      <c r="C23" s="89">
        <f t="shared" ref="C23" si="5">ROUND(B23/$C$6,0)</f>
        <v>5711</v>
      </c>
      <c r="D23" s="717">
        <f>'UHD FGD'!F47</f>
        <v>0</v>
      </c>
      <c r="E23" s="718"/>
      <c r="F23" s="801">
        <f>B23-(SUM(D23:E23))</f>
        <v>63925563</v>
      </c>
      <c r="G23" s="722" t="s">
        <v>74</v>
      </c>
      <c r="H23" s="366"/>
      <c r="I23" s="367"/>
      <c r="J23" s="756">
        <f>ROUND(F23/$C$6,0)</f>
        <v>5711</v>
      </c>
    </row>
    <row r="24" spans="1:31" ht="13.5" thickTop="1">
      <c r="B24" s="91"/>
      <c r="C24" s="75"/>
      <c r="J24" s="712"/>
    </row>
    <row r="25" spans="1:31">
      <c r="A25" s="78" t="s">
        <v>8</v>
      </c>
      <c r="B25" s="91"/>
      <c r="C25" s="75"/>
      <c r="J25" s="712"/>
    </row>
    <row r="26" spans="1:31">
      <c r="A26" s="75" t="s">
        <v>42</v>
      </c>
      <c r="B26" s="83">
        <f>'UHD FGD'!M50</f>
        <v>5612432</v>
      </c>
      <c r="C26" s="83">
        <f t="shared" ref="C26:C31" si="6">ROUND(B26/$C$6,0)</f>
        <v>501</v>
      </c>
      <c r="D26" s="512">
        <f>'UHD FGD'!F50</f>
        <v>0</v>
      </c>
      <c r="E26" s="512"/>
      <c r="F26" s="512">
        <f t="shared" ref="F26:F31" si="7">B26-(SUM(D26:E26))</f>
        <v>5612432</v>
      </c>
      <c r="G26" s="337"/>
      <c r="H26" s="337"/>
      <c r="I26" s="337"/>
      <c r="J26" s="713">
        <f>ROUND(F26/$C$6,0)</f>
        <v>501</v>
      </c>
    </row>
    <row r="27" spans="1:31">
      <c r="A27" s="75" t="s">
        <v>9</v>
      </c>
      <c r="B27" s="86">
        <f>'UHD FGD'!M51</f>
        <v>0</v>
      </c>
      <c r="C27" s="87">
        <f t="shared" si="6"/>
        <v>0</v>
      </c>
      <c r="D27" s="86">
        <f>'UHD FGD'!F51</f>
        <v>0</v>
      </c>
      <c r="E27" s="74"/>
      <c r="F27" s="74">
        <f t="shared" si="7"/>
        <v>0</v>
      </c>
      <c r="G27" s="337"/>
      <c r="H27" s="337"/>
      <c r="I27" s="337"/>
      <c r="J27" s="716">
        <f t="shared" ref="J27:J31" si="8">ROUND(F27/$C$6,0)</f>
        <v>0</v>
      </c>
    </row>
    <row r="28" spans="1:31" ht="13.5" thickBot="1">
      <c r="A28" s="75" t="s">
        <v>10</v>
      </c>
      <c r="B28" s="86">
        <f>'UHD FGD'!M52</f>
        <v>3228639</v>
      </c>
      <c r="C28" s="87">
        <f t="shared" si="6"/>
        <v>288</v>
      </c>
      <c r="D28" s="86">
        <f>'UHD FGD'!F52</f>
        <v>0</v>
      </c>
      <c r="E28" s="74"/>
      <c r="F28" s="74">
        <f t="shared" si="7"/>
        <v>3228639</v>
      </c>
      <c r="G28" s="337"/>
      <c r="H28" s="337"/>
      <c r="I28" s="337"/>
      <c r="J28" s="716">
        <f t="shared" si="8"/>
        <v>288</v>
      </c>
    </row>
    <row r="29" spans="1:31" ht="13.5" thickBot="1">
      <c r="A29" s="75" t="s">
        <v>11</v>
      </c>
      <c r="B29" s="86">
        <f>'UHD FGD'!M53</f>
        <v>2089098</v>
      </c>
      <c r="C29" s="87">
        <f t="shared" si="6"/>
        <v>187</v>
      </c>
      <c r="D29" s="86">
        <f>'UHD FGD'!F53</f>
        <v>0</v>
      </c>
      <c r="E29" s="74"/>
      <c r="F29" s="74">
        <f t="shared" si="7"/>
        <v>2089098</v>
      </c>
      <c r="G29" s="337"/>
      <c r="H29" s="337"/>
      <c r="I29" s="337"/>
      <c r="J29" s="716">
        <f t="shared" si="8"/>
        <v>187</v>
      </c>
      <c r="K29" s="1694" t="s">
        <v>1065</v>
      </c>
      <c r="L29" s="1695"/>
      <c r="M29" s="1695"/>
      <c r="N29" s="1695"/>
      <c r="O29" s="1696"/>
    </row>
    <row r="30" spans="1:31" ht="13.5" thickBot="1">
      <c r="A30" s="93" t="s">
        <v>2134</v>
      </c>
      <c r="B30" s="94">
        <f>'UHD FGD'!M54</f>
        <v>895121</v>
      </c>
      <c r="C30" s="87">
        <f t="shared" si="6"/>
        <v>80</v>
      </c>
      <c r="D30" s="729">
        <f>B30</f>
        <v>895121</v>
      </c>
      <c r="E30" s="74"/>
      <c r="F30" s="74">
        <f t="shared" si="7"/>
        <v>0</v>
      </c>
      <c r="G30" s="337"/>
      <c r="H30" s="337"/>
      <c r="I30" s="337"/>
      <c r="J30" s="716">
        <f t="shared" si="8"/>
        <v>0</v>
      </c>
      <c r="K30" s="1694" t="s">
        <v>1070</v>
      </c>
      <c r="L30" s="1695"/>
      <c r="M30" s="1695"/>
      <c r="N30" s="1695"/>
      <c r="O30" s="1696"/>
    </row>
    <row r="31" spans="1:31" ht="13.5" customHeight="1" thickBot="1">
      <c r="A31" s="95" t="s">
        <v>43</v>
      </c>
      <c r="B31" s="86">
        <f>'UHD FGD'!M55</f>
        <v>7065958</v>
      </c>
      <c r="C31" s="87">
        <f t="shared" si="6"/>
        <v>631</v>
      </c>
      <c r="D31" s="86">
        <f>'UHD FGD'!F55</f>
        <v>2816194</v>
      </c>
      <c r="E31" s="74"/>
      <c r="F31" s="74">
        <f t="shared" si="7"/>
        <v>4249764</v>
      </c>
      <c r="G31" s="35"/>
      <c r="H31" s="35"/>
      <c r="I31" s="38"/>
      <c r="J31" s="716">
        <f t="shared" si="8"/>
        <v>380</v>
      </c>
      <c r="K31" s="1697" t="s">
        <v>1073</v>
      </c>
      <c r="L31" s="1697" t="s">
        <v>1071</v>
      </c>
      <c r="M31" s="1697" t="s">
        <v>1072</v>
      </c>
      <c r="N31" s="1697" t="s">
        <v>1240</v>
      </c>
      <c r="O31" s="1697"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18891248</v>
      </c>
      <c r="C32" s="89">
        <f>SUM(C26:C31)</f>
        <v>1687</v>
      </c>
      <c r="D32" s="723">
        <f>SUM(D26:D31)</f>
        <v>3711315</v>
      </c>
      <c r="E32" s="723">
        <f>SUM(E26:E31)</f>
        <v>0</v>
      </c>
      <c r="F32" s="802">
        <f>SUM(F26:F31)</f>
        <v>15179933</v>
      </c>
      <c r="G32" s="1708" t="s">
        <v>8</v>
      </c>
      <c r="H32" s="1709"/>
      <c r="I32" s="783" t="s">
        <v>1166</v>
      </c>
      <c r="J32" s="725">
        <f>SUM(J26:J31)</f>
        <v>1356</v>
      </c>
      <c r="K32" s="1698"/>
      <c r="L32" s="1698"/>
      <c r="M32" s="1698"/>
      <c r="N32" s="1698" t="s">
        <v>1074</v>
      </c>
      <c r="O32" s="1698" t="s">
        <v>1075</v>
      </c>
    </row>
    <row r="33" spans="1:31" ht="14.25" thickTop="1" thickBot="1">
      <c r="A33" s="97" t="s">
        <v>68</v>
      </c>
      <c r="B33" s="52">
        <f>B15+B20+B23+B32</f>
        <v>204624092</v>
      </c>
      <c r="C33" s="45">
        <f>C15+C20+C23+C32</f>
        <v>18281</v>
      </c>
      <c r="D33" s="52">
        <f>D15+D20+D23+D32</f>
        <v>10023758</v>
      </c>
      <c r="E33" s="52">
        <f>E15+E20+E23+E32</f>
        <v>0</v>
      </c>
      <c r="F33" s="724">
        <f>F15+F20+F23+F32</f>
        <v>194600334</v>
      </c>
      <c r="G33" s="1758" t="s">
        <v>84</v>
      </c>
      <c r="H33" s="1759"/>
      <c r="I33" s="1375">
        <f>ROUND($G$35/$C$6,0)</f>
        <v>16418</v>
      </c>
      <c r="J33" s="726">
        <f>J15+J20+J23+J32</f>
        <v>17386</v>
      </c>
      <c r="K33" s="1698"/>
      <c r="L33" s="1698"/>
      <c r="M33" s="1698"/>
      <c r="N33" s="1698"/>
      <c r="O33" s="1698"/>
    </row>
    <row r="34" spans="1:31" ht="14.25" thickTop="1" thickBot="1">
      <c r="B34" s="98"/>
      <c r="C34" s="75"/>
      <c r="D34" s="337"/>
      <c r="E34" s="337"/>
      <c r="F34" s="337" t="s">
        <v>1199</v>
      </c>
      <c r="G34" s="787">
        <f>G14*-1</f>
        <v>-10828344</v>
      </c>
      <c r="H34" s="337"/>
      <c r="I34" s="783" t="s">
        <v>1167</v>
      </c>
      <c r="J34" s="727"/>
      <c r="K34" s="1699"/>
      <c r="L34" s="1699"/>
      <c r="M34" s="1699"/>
      <c r="N34" s="1699"/>
      <c r="O34" s="1699"/>
    </row>
    <row r="35" spans="1:31" ht="14.25" thickTop="1" thickBot="1">
      <c r="A35" s="81" t="s">
        <v>72</v>
      </c>
      <c r="B35" s="81"/>
      <c r="C35" s="81"/>
      <c r="D35" s="728"/>
      <c r="E35" s="728"/>
      <c r="F35" s="788" t="s">
        <v>1165</v>
      </c>
      <c r="G35" s="803">
        <f>F33+G34</f>
        <v>183771990</v>
      </c>
      <c r="I35" s="1376">
        <f>ROUND($G$35/$I$8,0)</f>
        <v>192244</v>
      </c>
      <c r="K35" s="609"/>
      <c r="L35" s="609"/>
      <c r="M35" s="609"/>
      <c r="N35" s="609"/>
      <c r="O35" s="609"/>
    </row>
    <row r="36" spans="1:31" ht="13.5" thickTop="1">
      <c r="A36" s="99" t="s">
        <v>14</v>
      </c>
      <c r="B36" s="83">
        <f>'UHD FGD'!M60</f>
        <v>50902870</v>
      </c>
      <c r="C36" s="83">
        <f t="shared" ref="C36:C46" si="9">ROUND(B36/$C$6,0)</f>
        <v>4548</v>
      </c>
      <c r="D36" s="512">
        <f>'UHD FGD'!F60</f>
        <v>0</v>
      </c>
      <c r="E36" s="512"/>
      <c r="F36" s="512">
        <f t="shared" ref="F36:F46" si="10">B36-(SUM(D36:E36))</f>
        <v>50902870</v>
      </c>
      <c r="G36" s="337"/>
      <c r="H36" s="1378" t="s">
        <v>2158</v>
      </c>
      <c r="I36" s="1379">
        <f>ROUND(F36/$C$6,0)</f>
        <v>4548</v>
      </c>
      <c r="J36" s="337" t="s">
        <v>752</v>
      </c>
      <c r="K36" s="512">
        <f>F36</f>
        <v>50902870</v>
      </c>
      <c r="L36" s="512">
        <f>K36</f>
        <v>50902870</v>
      </c>
      <c r="M36" s="512"/>
      <c r="N36" s="512"/>
      <c r="O36" s="512"/>
    </row>
    <row r="37" spans="1:31">
      <c r="A37" s="99" t="s">
        <v>15</v>
      </c>
      <c r="B37" s="86">
        <f>'UHD FGD'!M61</f>
        <v>2040315</v>
      </c>
      <c r="C37" s="87">
        <f t="shared" si="9"/>
        <v>182</v>
      </c>
      <c r="D37" s="86">
        <f>'UHD FGD'!F61</f>
        <v>0</v>
      </c>
      <c r="E37" s="74"/>
      <c r="F37" s="74">
        <f t="shared" si="10"/>
        <v>2040315</v>
      </c>
      <c r="G37" s="337"/>
      <c r="H37" s="337"/>
      <c r="J37" s="337" t="s">
        <v>1076</v>
      </c>
      <c r="K37" s="373">
        <f>F37</f>
        <v>2040315</v>
      </c>
      <c r="L37" s="373">
        <f>K37</f>
        <v>2040315</v>
      </c>
      <c r="M37" s="373"/>
      <c r="N37" s="373"/>
      <c r="O37" s="373"/>
    </row>
    <row r="38" spans="1:31">
      <c r="A38" s="99" t="s">
        <v>16</v>
      </c>
      <c r="B38" s="86">
        <f>'UHD FGD'!M62</f>
        <v>2655558</v>
      </c>
      <c r="C38" s="87">
        <f t="shared" si="9"/>
        <v>237</v>
      </c>
      <c r="D38" s="86">
        <f>'UHD FGD'!F62</f>
        <v>0</v>
      </c>
      <c r="E38" s="86">
        <f>B38-D38</f>
        <v>2655558</v>
      </c>
      <c r="F38" s="74">
        <f t="shared" si="10"/>
        <v>0</v>
      </c>
      <c r="G38" s="337"/>
      <c r="H38" s="337"/>
      <c r="I38" s="337"/>
      <c r="J38" s="337" t="s">
        <v>1077</v>
      </c>
      <c r="K38" s="736"/>
      <c r="L38" s="737"/>
      <c r="M38" s="737" t="s">
        <v>1152</v>
      </c>
      <c r="N38" s="737"/>
      <c r="O38" s="738"/>
    </row>
    <row r="39" spans="1:31">
      <c r="A39" s="99" t="s">
        <v>17</v>
      </c>
      <c r="B39" s="86">
        <f>'UHD FGD'!M63</f>
        <v>35044021</v>
      </c>
      <c r="C39" s="87">
        <f t="shared" si="9"/>
        <v>3131</v>
      </c>
      <c r="D39" s="86">
        <f>'UHD FGD'!F63</f>
        <v>0</v>
      </c>
      <c r="E39" s="74"/>
      <c r="F39" s="74">
        <f t="shared" si="10"/>
        <v>35044021</v>
      </c>
      <c r="G39" s="337"/>
      <c r="H39" s="1378" t="s">
        <v>2159</v>
      </c>
      <c r="I39" s="1379">
        <f>ROUND(F39/$C$6,0)</f>
        <v>3131</v>
      </c>
      <c r="J39" s="337" t="s">
        <v>1078</v>
      </c>
      <c r="K39" s="373">
        <f t="shared" ref="K39:K43" si="11">F39</f>
        <v>35044021</v>
      </c>
      <c r="L39" s="373">
        <f>K39</f>
        <v>35044021</v>
      </c>
      <c r="M39" s="373"/>
      <c r="N39" s="373"/>
      <c r="O39" s="373"/>
    </row>
    <row r="40" spans="1:31">
      <c r="A40" s="99" t="s">
        <v>18</v>
      </c>
      <c r="B40" s="86">
        <f>'UHD FGD'!M64</f>
        <v>7179409</v>
      </c>
      <c r="C40" s="87">
        <f t="shared" si="9"/>
        <v>641</v>
      </c>
      <c r="D40" s="86">
        <f>'UHD FGD'!F64</f>
        <v>0</v>
      </c>
      <c r="E40" s="74"/>
      <c r="F40" s="74">
        <f t="shared" si="10"/>
        <v>7179409</v>
      </c>
      <c r="G40" s="337"/>
      <c r="J40" s="337" t="s">
        <v>1079</v>
      </c>
      <c r="K40" s="373">
        <f t="shared" si="11"/>
        <v>7179409</v>
      </c>
      <c r="L40" s="373"/>
      <c r="M40" s="373">
        <f>K40</f>
        <v>7179409</v>
      </c>
      <c r="N40" s="373"/>
      <c r="O40" s="373"/>
    </row>
    <row r="41" spans="1:31">
      <c r="A41" s="99" t="s">
        <v>19</v>
      </c>
      <c r="B41" s="86">
        <f>'UHD FGD'!M65</f>
        <v>24022615</v>
      </c>
      <c r="C41" s="87">
        <f t="shared" si="9"/>
        <v>2146</v>
      </c>
      <c r="D41" s="86">
        <f>'UHD FGD'!F65</f>
        <v>0</v>
      </c>
      <c r="E41" s="74"/>
      <c r="F41" s="74">
        <f t="shared" si="10"/>
        <v>24022615</v>
      </c>
      <c r="G41" s="337"/>
      <c r="H41" s="1378" t="s">
        <v>2160</v>
      </c>
      <c r="I41" s="1379">
        <f>ROUND(F41/$C$6,0)</f>
        <v>2146</v>
      </c>
      <c r="J41" s="337" t="s">
        <v>757</v>
      </c>
      <c r="K41" s="373">
        <f t="shared" si="11"/>
        <v>24022615</v>
      </c>
      <c r="L41" s="373"/>
      <c r="M41" s="373"/>
      <c r="N41" s="373">
        <f>K41</f>
        <v>24022615</v>
      </c>
      <c r="O41" s="373"/>
    </row>
    <row r="42" spans="1:31">
      <c r="A42" s="99" t="s">
        <v>20</v>
      </c>
      <c r="B42" s="86">
        <f>'UHD FGD'!M66</f>
        <v>8426679</v>
      </c>
      <c r="C42" s="87">
        <f t="shared" si="9"/>
        <v>753</v>
      </c>
      <c r="D42" s="86">
        <f>'UHD FGD'!F66</f>
        <v>0</v>
      </c>
      <c r="E42" s="74"/>
      <c r="F42" s="74">
        <f t="shared" si="10"/>
        <v>8426679</v>
      </c>
      <c r="G42" s="337"/>
      <c r="J42" s="337" t="s">
        <v>758</v>
      </c>
      <c r="K42" s="373">
        <f t="shared" si="11"/>
        <v>8426679</v>
      </c>
      <c r="L42" s="373"/>
      <c r="M42" s="373"/>
      <c r="N42" s="373">
        <f>K42</f>
        <v>8426679</v>
      </c>
      <c r="O42" s="373"/>
    </row>
    <row r="43" spans="1:31">
      <c r="A43" s="99" t="s">
        <v>21</v>
      </c>
      <c r="B43" s="86">
        <f>'UHD FGD'!M67</f>
        <v>34039809</v>
      </c>
      <c r="C43" s="87">
        <f t="shared" si="9"/>
        <v>3041</v>
      </c>
      <c r="D43" s="86">
        <f>'UHD FGD'!F67</f>
        <v>0</v>
      </c>
      <c r="E43" s="74"/>
      <c r="F43" s="74">
        <f t="shared" si="10"/>
        <v>34039809</v>
      </c>
      <c r="G43" s="337"/>
      <c r="H43" s="337"/>
      <c r="I43" s="337"/>
      <c r="J43" s="337" t="s">
        <v>1145</v>
      </c>
      <c r="K43" s="373">
        <f t="shared" si="11"/>
        <v>34039809</v>
      </c>
      <c r="L43" s="373"/>
      <c r="M43" s="373">
        <f>K43</f>
        <v>34039809</v>
      </c>
      <c r="N43" s="373"/>
      <c r="O43" s="373"/>
    </row>
    <row r="44" spans="1:31">
      <c r="A44" s="99" t="s">
        <v>2135</v>
      </c>
      <c r="B44" s="86">
        <f>'UHD FGD'!M68</f>
        <v>7659361</v>
      </c>
      <c r="C44" s="87">
        <f t="shared" si="9"/>
        <v>684</v>
      </c>
      <c r="D44" s="729">
        <f>B44</f>
        <v>7659361</v>
      </c>
      <c r="E44" s="74"/>
      <c r="F44" s="74">
        <f t="shared" si="10"/>
        <v>0</v>
      </c>
      <c r="G44" s="337"/>
      <c r="H44" s="337"/>
      <c r="I44" s="337"/>
      <c r="J44" s="337" t="s">
        <v>743</v>
      </c>
      <c r="K44" s="736"/>
      <c r="L44" s="737"/>
      <c r="M44" s="737" t="s">
        <v>1152</v>
      </c>
      <c r="N44" s="737"/>
      <c r="O44" s="738"/>
    </row>
    <row r="45" spans="1:31">
      <c r="A45" s="99" t="s">
        <v>61</v>
      </c>
      <c r="B45" s="86">
        <f>'UHD FGD'!M69</f>
        <v>2498851</v>
      </c>
      <c r="C45" s="87">
        <f t="shared" si="9"/>
        <v>223</v>
      </c>
      <c r="D45" s="86">
        <f>'UHD FGD'!F69</f>
        <v>31528</v>
      </c>
      <c r="E45" s="74"/>
      <c r="F45" s="74">
        <f t="shared" si="10"/>
        <v>2467323</v>
      </c>
      <c r="G45" s="337"/>
      <c r="H45" s="337"/>
      <c r="I45" s="337"/>
      <c r="J45" s="337" t="s">
        <v>1080</v>
      </c>
      <c r="K45" s="373">
        <f t="shared" ref="K45:K46" si="12">F45</f>
        <v>2467323</v>
      </c>
      <c r="L45" s="373"/>
      <c r="M45" s="373"/>
      <c r="N45" s="373"/>
      <c r="O45" s="373">
        <f>K45</f>
        <v>2467323</v>
      </c>
    </row>
    <row r="46" spans="1:31" ht="13.5" thickBot="1">
      <c r="A46" s="75" t="s">
        <v>50</v>
      </c>
      <c r="B46" s="86">
        <f>'UHD FGD'!M70</f>
        <v>3027404</v>
      </c>
      <c r="C46" s="87">
        <f t="shared" si="9"/>
        <v>270</v>
      </c>
      <c r="D46" s="86">
        <f>'UHD FGD'!F70</f>
        <v>0</v>
      </c>
      <c r="E46" s="74"/>
      <c r="F46" s="74">
        <f t="shared" si="10"/>
        <v>3027404</v>
      </c>
      <c r="G46" s="35"/>
      <c r="H46" s="1378" t="s">
        <v>2161</v>
      </c>
      <c r="I46" s="1379">
        <f>ROUND(SUM(F37+F40+F42+F43+F45+F46)/$C$6,0)</f>
        <v>5109</v>
      </c>
      <c r="J46" s="610" t="s">
        <v>1075</v>
      </c>
      <c r="K46" s="373">
        <f t="shared" si="12"/>
        <v>3027404</v>
      </c>
      <c r="L46" s="611"/>
      <c r="M46" s="611"/>
      <c r="N46" s="611"/>
      <c r="O46" s="373">
        <f>K46</f>
        <v>3027404</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177496892</v>
      </c>
      <c r="C47" s="45">
        <f>SUM(C36:C46)</f>
        <v>15856</v>
      </c>
      <c r="D47" s="730">
        <f>SUM(D36:D46)</f>
        <v>7690889</v>
      </c>
      <c r="E47" s="731">
        <f>SUM(E36:E46)</f>
        <v>2655558</v>
      </c>
      <c r="F47" s="719">
        <f>SUM(F36:F46)</f>
        <v>167150445</v>
      </c>
      <c r="G47" s="1688" t="s">
        <v>1176</v>
      </c>
      <c r="H47" s="1689"/>
      <c r="I47" s="785" t="s">
        <v>1164</v>
      </c>
      <c r="J47" s="610" t="s">
        <v>1081</v>
      </c>
      <c r="K47" s="612">
        <f>SUM(K36:K46)</f>
        <v>167150445</v>
      </c>
      <c r="L47" s="612">
        <f>SUM(L36:L46)</f>
        <v>87987206</v>
      </c>
      <c r="M47" s="612">
        <f>SUM(M36:M46)</f>
        <v>41219218</v>
      </c>
      <c r="N47" s="612">
        <f>SUM(N36:N46)</f>
        <v>32449294</v>
      </c>
      <c r="O47" s="612">
        <f>SUM(O36:O46)</f>
        <v>5494727</v>
      </c>
    </row>
    <row r="48" spans="1:31" ht="14.25" thickTop="1" thickBot="1">
      <c r="A48" s="93"/>
      <c r="B48" s="98"/>
      <c r="C48" s="75"/>
      <c r="F48" s="613"/>
      <c r="G48" s="1690"/>
      <c r="H48" s="1691"/>
      <c r="I48" s="823">
        <f>ROUND(F47/C6,0)</f>
        <v>14933</v>
      </c>
      <c r="J48" s="1700" t="s">
        <v>1082</v>
      </c>
      <c r="K48" s="611"/>
      <c r="L48" s="611"/>
      <c r="M48" s="611"/>
      <c r="N48" s="611"/>
      <c r="O48" s="611"/>
    </row>
    <row r="49" spans="1:31" ht="13.5" thickBot="1">
      <c r="A49" s="78" t="s">
        <v>23</v>
      </c>
      <c r="B49" s="82"/>
      <c r="C49" s="75"/>
      <c r="F49" s="614"/>
      <c r="G49" s="1690"/>
      <c r="H49" s="1691"/>
      <c r="I49" s="811"/>
      <c r="J49" s="1700"/>
      <c r="K49" s="615">
        <f>ROUND(K47/$C$6,2)</f>
        <v>14933.44</v>
      </c>
      <c r="L49" s="615">
        <f t="shared" ref="L49:O49" si="13">ROUND(L47/$C$6,2)</f>
        <v>7860.89</v>
      </c>
      <c r="M49" s="615">
        <f t="shared" si="13"/>
        <v>3682.58</v>
      </c>
      <c r="N49" s="615">
        <f t="shared" si="13"/>
        <v>2899.06</v>
      </c>
      <c r="O49" s="615">
        <f t="shared" si="13"/>
        <v>490.91</v>
      </c>
      <c r="P49" s="35"/>
      <c r="Q49" s="96"/>
      <c r="R49" s="96"/>
      <c r="S49" s="96"/>
      <c r="T49" s="96"/>
      <c r="U49" s="96"/>
      <c r="V49" s="96"/>
      <c r="W49" s="96"/>
      <c r="X49" s="96"/>
      <c r="Y49" s="96"/>
      <c r="Z49" s="96"/>
      <c r="AA49" s="96"/>
      <c r="AB49" s="96"/>
      <c r="AC49" s="96"/>
      <c r="AD49" s="96"/>
      <c r="AE49" s="96"/>
    </row>
    <row r="50" spans="1:31" ht="13.5" thickBot="1">
      <c r="A50" s="75" t="s">
        <v>62</v>
      </c>
      <c r="B50" s="86">
        <f>'UHD FGD'!M74</f>
        <v>5734582</v>
      </c>
      <c r="C50" s="83">
        <f t="shared" ref="C50:C53" si="14">ROUND(B50/$C$6,0)</f>
        <v>512</v>
      </c>
      <c r="D50" s="512">
        <f>'UHD FGD'!F74</f>
        <v>0</v>
      </c>
      <c r="E50" s="512"/>
      <c r="F50" s="732">
        <f t="shared" ref="F50:F53" si="15">B50-(SUM(D50:E50))</f>
        <v>5734582</v>
      </c>
      <c r="G50" s="1692"/>
      <c r="H50" s="1693"/>
      <c r="I50" s="808"/>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'UHD FGD'!M75</f>
        <v>23055840</v>
      </c>
      <c r="C51" s="87">
        <f t="shared" si="14"/>
        <v>2060</v>
      </c>
      <c r="D51" s="91">
        <f>'UHD FGD'!F75</f>
        <v>579576</v>
      </c>
      <c r="E51" s="82"/>
      <c r="F51" s="74">
        <f t="shared" si="15"/>
        <v>22476264</v>
      </c>
      <c r="G51" s="337"/>
      <c r="J51" s="337"/>
      <c r="K51" s="616"/>
      <c r="L51" s="616"/>
      <c r="M51" s="616"/>
      <c r="N51" s="616"/>
      <c r="O51" s="616"/>
    </row>
    <row r="52" spans="1:31">
      <c r="A52" s="75" t="s">
        <v>51</v>
      </c>
      <c r="B52" s="86">
        <f>'UHD FGD'!M76</f>
        <v>0</v>
      </c>
      <c r="C52" s="87">
        <f t="shared" si="14"/>
        <v>0</v>
      </c>
      <c r="D52" s="91">
        <f>'UHD FGD'!F76</f>
        <v>0</v>
      </c>
      <c r="E52" s="82"/>
      <c r="F52" s="74">
        <f t="shared" si="15"/>
        <v>0</v>
      </c>
      <c r="G52" s="337"/>
      <c r="J52" s="733"/>
      <c r="K52" s="733"/>
      <c r="L52" s="733"/>
      <c r="M52" s="733"/>
      <c r="N52" s="733"/>
      <c r="O52" s="733"/>
    </row>
    <row r="53" spans="1:31" ht="12" customHeight="1">
      <c r="A53" s="75" t="s">
        <v>46</v>
      </c>
      <c r="B53" s="86">
        <f>'UHD FGD'!M77</f>
        <v>-12894562</v>
      </c>
      <c r="C53" s="87">
        <f t="shared" si="14"/>
        <v>-1152</v>
      </c>
      <c r="D53" s="91">
        <f>'UHD FGD'!F77</f>
        <v>0</v>
      </c>
      <c r="E53" s="82"/>
      <c r="F53" s="74">
        <f t="shared" si="15"/>
        <v>-12894562</v>
      </c>
      <c r="G53" s="35"/>
      <c r="J53" s="733"/>
      <c r="K53" s="733"/>
      <c r="L53" s="733"/>
      <c r="M53" s="733"/>
      <c r="N53" s="733"/>
      <c r="O53" s="733"/>
      <c r="P53" s="35"/>
      <c r="Q53" s="96"/>
      <c r="R53" s="96"/>
      <c r="S53" s="96"/>
      <c r="T53" s="96"/>
      <c r="U53" s="96"/>
      <c r="V53" s="96"/>
      <c r="W53" s="96"/>
      <c r="X53" s="96"/>
      <c r="Y53" s="96"/>
      <c r="Z53" s="96"/>
      <c r="AA53" s="96"/>
      <c r="AB53" s="96"/>
      <c r="AC53" s="96"/>
      <c r="AD53" s="96"/>
      <c r="AE53" s="96"/>
    </row>
    <row r="54" spans="1:31">
      <c r="A54" s="88" t="s">
        <v>3</v>
      </c>
      <c r="B54" s="89">
        <f>SUM(B50:B53)</f>
        <v>15895860</v>
      </c>
      <c r="C54" s="89">
        <f>SUM(C50:C53)</f>
        <v>1420</v>
      </c>
      <c r="D54" s="89">
        <f>SUM(D50:D53)</f>
        <v>579576</v>
      </c>
      <c r="E54" s="89">
        <f>SUM(E50:E53)</f>
        <v>0</v>
      </c>
      <c r="F54" s="102">
        <f>SUM(F50:F53)</f>
        <v>15316284</v>
      </c>
      <c r="G54" s="337"/>
      <c r="H54" s="337"/>
      <c r="I54" s="337"/>
      <c r="J54" s="733"/>
      <c r="K54" s="733"/>
      <c r="L54" s="733"/>
      <c r="M54" s="733"/>
      <c r="N54" s="733"/>
      <c r="O54" s="733"/>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'UHD FGD'!M81</f>
        <v>6584394</v>
      </c>
      <c r="C57" s="83">
        <f>ROUND(B57/$C$6,0)</f>
        <v>588</v>
      </c>
      <c r="D57" s="512">
        <f>'UHD FGD'!F81</f>
        <v>0</v>
      </c>
      <c r="E57" s="512"/>
      <c r="F57" s="512">
        <f t="shared" ref="F57:F58" si="16">B57-(SUM(D57:E57))</f>
        <v>6584394</v>
      </c>
      <c r="G57" s="337"/>
      <c r="H57" s="337"/>
      <c r="I57" s="337"/>
      <c r="J57" s="337"/>
    </row>
    <row r="58" spans="1:31">
      <c r="A58" s="75" t="s">
        <v>48</v>
      </c>
      <c r="B58" s="86">
        <f>'UHD FGD'!M82</f>
        <v>1188428</v>
      </c>
      <c r="C58" s="87">
        <f>ROUND(B58/$C$6,0)</f>
        <v>106</v>
      </c>
      <c r="D58" s="91">
        <f>'UHD FGD'!F82</f>
        <v>0</v>
      </c>
      <c r="E58" s="82"/>
      <c r="F58" s="74">
        <f t="shared" si="16"/>
        <v>1188428</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7772822</v>
      </c>
      <c r="C59" s="89">
        <f>SUM(C57:C58)</f>
        <v>694</v>
      </c>
      <c r="D59" s="89">
        <f>SUM(D57:D58)</f>
        <v>0</v>
      </c>
      <c r="E59" s="89">
        <f>SUM(E57:E58)</f>
        <v>0</v>
      </c>
      <c r="F59" s="89">
        <f>SUM(F57:F58)</f>
        <v>7772822</v>
      </c>
      <c r="G59" s="367"/>
      <c r="H59" s="367"/>
      <c r="I59" s="367"/>
      <c r="J59" s="367"/>
      <c r="K59" s="266"/>
      <c r="L59" s="266"/>
      <c r="M59" s="266"/>
      <c r="N59" s="266"/>
      <c r="O59" s="266"/>
      <c r="P59" s="266"/>
    </row>
    <row r="60" spans="1:31">
      <c r="B60" s="82"/>
      <c r="C60" s="75"/>
    </row>
    <row r="61" spans="1:31" ht="13.5" thickBot="1">
      <c r="A61" s="103" t="s">
        <v>573</v>
      </c>
      <c r="B61" s="46">
        <f>B33-B47+B54+B59</f>
        <v>50795882</v>
      </c>
      <c r="C61" s="46">
        <f>C33-C47+C54+C59</f>
        <v>4539</v>
      </c>
      <c r="D61" s="46">
        <f>D33-D47+D54+D59</f>
        <v>2912445</v>
      </c>
      <c r="E61" s="46">
        <f>E33-E47+E54+E59</f>
        <v>-2655558</v>
      </c>
      <c r="F61" s="46">
        <f>F33-F47+F54+F59</f>
        <v>50538995</v>
      </c>
    </row>
    <row r="62" spans="1:31" ht="13.5" thickTop="1"/>
    <row r="63" spans="1:31">
      <c r="D63" s="512"/>
    </row>
    <row r="65" spans="2:16">
      <c r="B65" s="734">
        <f>'UHD FGD'!$M$85</f>
        <v>50795882</v>
      </c>
      <c r="C65" s="75"/>
      <c r="D65" s="734">
        <f>'UHD FGD'!$F$85</f>
        <v>2912445</v>
      </c>
      <c r="E65" s="734">
        <f>'UHD FGD'!$M$62*-1</f>
        <v>-2655558</v>
      </c>
      <c r="F65" s="75"/>
    </row>
    <row r="66" spans="2:16">
      <c r="B66" s="734"/>
      <c r="C66" s="75"/>
      <c r="D66" s="734">
        <f>'UHD FGD'!$F$68</f>
        <v>7659361</v>
      </c>
      <c r="E66" s="734">
        <f>+$D$38</f>
        <v>0</v>
      </c>
      <c r="F66" s="734"/>
    </row>
    <row r="67" spans="2:16">
      <c r="B67" s="759"/>
      <c r="C67" s="75"/>
      <c r="D67" s="759">
        <f>-'UHD FGD'!$M$68</f>
        <v>-7659361</v>
      </c>
      <c r="E67" s="759"/>
      <c r="F67" s="734"/>
    </row>
    <row r="68" spans="2:16">
      <c r="B68" s="734">
        <f>SUM(B65:B67)</f>
        <v>50795882</v>
      </c>
      <c r="C68" s="75"/>
      <c r="D68" s="734">
        <f>SUM(D65:D67)</f>
        <v>2912445</v>
      </c>
      <c r="E68" s="734">
        <f>SUM(E65:E67)</f>
        <v>-2655558</v>
      </c>
      <c r="F68" s="734">
        <f>B68-D68-E68</f>
        <v>50538995</v>
      </c>
    </row>
    <row r="69" spans="2:16">
      <c r="B69" s="734"/>
      <c r="C69" s="75"/>
      <c r="D69" s="734">
        <f>'UHD FGD'!F54*-1</f>
        <v>-895121</v>
      </c>
      <c r="E69" s="734"/>
      <c r="F69" s="734"/>
    </row>
    <row r="70" spans="2:16" ht="12.75" customHeight="1">
      <c r="B70" s="759"/>
      <c r="C70" s="95"/>
      <c r="D70" s="759">
        <f>'UHD FGD'!M54</f>
        <v>895121</v>
      </c>
      <c r="E70" s="759"/>
      <c r="F70" s="759">
        <f>-D70-D69</f>
        <v>0</v>
      </c>
    </row>
    <row r="71" spans="2:16" ht="12.75" customHeight="1">
      <c r="B71" s="734">
        <f>SUM(B68:B70)</f>
        <v>50795882</v>
      </c>
      <c r="C71" s="75"/>
      <c r="D71" s="734">
        <f>SUM(D68:D70)</f>
        <v>2912445</v>
      </c>
      <c r="E71" s="734">
        <f>SUM(E68:E70)</f>
        <v>-2655558</v>
      </c>
      <c r="F71" s="734">
        <f>SUM(F68:F70)</f>
        <v>50538995</v>
      </c>
    </row>
    <row r="72" spans="2:16" ht="12.75" customHeight="1">
      <c r="B72" s="734"/>
      <c r="C72" s="75"/>
      <c r="D72" s="734"/>
      <c r="E72" s="734"/>
      <c r="F72" s="734"/>
    </row>
    <row r="73" spans="2:16" ht="12.75" customHeight="1">
      <c r="B73" s="512">
        <f>B61-B71</f>
        <v>0</v>
      </c>
      <c r="C73" s="75"/>
      <c r="D73" s="512">
        <f>D61-D71</f>
        <v>0</v>
      </c>
      <c r="E73" s="512">
        <f>E61-E71</f>
        <v>0</v>
      </c>
      <c r="F73" s="512">
        <f>F61-F71</f>
        <v>0</v>
      </c>
    </row>
    <row r="74" spans="2:16" ht="12.75" customHeight="1">
      <c r="C74" s="75"/>
      <c r="F74" s="617"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G47:H50"/>
    <mergeCell ref="K30:O30"/>
    <mergeCell ref="M31:M34"/>
    <mergeCell ref="G32:H32"/>
    <mergeCell ref="G33:H33"/>
    <mergeCell ref="L31:L34"/>
    <mergeCell ref="K31:K34"/>
    <mergeCell ref="N31:N34"/>
    <mergeCell ref="O31:O34"/>
    <mergeCell ref="J48:J49"/>
    <mergeCell ref="F1:I1"/>
    <mergeCell ref="J1:O1"/>
    <mergeCell ref="D1:E1"/>
    <mergeCell ref="K29:O29"/>
    <mergeCell ref="D4:D5"/>
    <mergeCell ref="E4:E5"/>
  </mergeCells>
  <hyperlinks>
    <hyperlink ref="D1:E1" location="Index!A1" display="Return to Index" xr:uid="{00000000-0004-0000-72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Sheet93">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5" style="164" customWidth="1"/>
    <col min="15" max="15" width="14.42578125" style="261" customWidth="1"/>
    <col min="16" max="16" width="25.7109375" style="264" customWidth="1"/>
    <col min="17" max="17" width="16.42578125" style="264" customWidth="1"/>
    <col min="18" max="18" width="17.28515625" style="264" customWidth="1"/>
    <col min="19" max="19" width="1.7109375" style="264" customWidth="1"/>
    <col min="20" max="20" width="17.140625" style="264" customWidth="1"/>
    <col min="21" max="21" width="16.85546875" style="264" customWidth="1"/>
    <col min="22" max="23" width="19.28515625" style="264" customWidth="1"/>
    <col min="24" max="24" width="18.570312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13" t="str">
        <f>'UHD Chrts'!$A$1</f>
        <v>University of Houston - Downtown</v>
      </c>
      <c r="C2" s="1713"/>
      <c r="D2" s="1713"/>
      <c r="E2" s="1713"/>
      <c r="F2" s="1742"/>
      <c r="G2" s="160"/>
      <c r="H2" s="161"/>
      <c r="I2" s="320" t="str">
        <f>IF($B$2&lt;&gt;Input!$B$28,"Name Mismatch","")</f>
        <v/>
      </c>
      <c r="J2" s="168"/>
      <c r="K2" s="169"/>
      <c r="L2" s="169"/>
      <c r="M2" s="170"/>
      <c r="O2" s="835" t="s">
        <v>1200</v>
      </c>
      <c r="P2" s="36"/>
    </row>
    <row r="3" spans="1:28" ht="20.25">
      <c r="A3" s="184">
        <v>2</v>
      </c>
      <c r="B3" s="1713" t="str">
        <f>'Smmy Chrts'!$A$2</f>
        <v>For the Year Ended August 31, 2021</v>
      </c>
      <c r="C3" s="1713"/>
      <c r="D3" s="1713"/>
      <c r="E3" s="1713"/>
      <c r="F3" s="1742"/>
      <c r="G3" s="161"/>
      <c r="H3" s="161"/>
      <c r="I3" s="169"/>
      <c r="J3" s="168"/>
      <c r="K3" s="169"/>
      <c r="L3" s="169"/>
      <c r="M3" s="170"/>
      <c r="O3" s="74"/>
    </row>
    <row r="4" spans="1:28" ht="20.25">
      <c r="A4" s="184">
        <v>3</v>
      </c>
      <c r="B4" s="1713" t="str">
        <f>'Smmy Chrts'!$A$3</f>
        <v>Source: FY 2021 Annual Financial Report</v>
      </c>
      <c r="C4" s="1713"/>
      <c r="D4" s="1713"/>
      <c r="E4" s="1713"/>
      <c r="F4" s="1742"/>
      <c r="G4" s="161"/>
      <c r="H4" s="161"/>
      <c r="I4" s="169"/>
      <c r="J4" s="168"/>
      <c r="K4" s="169"/>
      <c r="L4" s="169"/>
      <c r="M4" s="170"/>
      <c r="O4" s="74"/>
      <c r="P4" s="1744" t="s">
        <v>93</v>
      </c>
      <c r="Q4" s="1745"/>
      <c r="T4" s="36" t="s">
        <v>250</v>
      </c>
    </row>
    <row r="5" spans="1:28">
      <c r="A5" s="184">
        <v>4</v>
      </c>
      <c r="B5" s="160"/>
      <c r="C5" s="160"/>
      <c r="D5" s="160"/>
      <c r="E5" s="160"/>
      <c r="F5" s="160"/>
      <c r="G5" s="160"/>
      <c r="H5" s="160"/>
      <c r="I5" s="160"/>
      <c r="J5" s="160"/>
      <c r="K5" s="160"/>
      <c r="L5" s="160"/>
      <c r="M5" s="166"/>
      <c r="O5" s="262"/>
    </row>
    <row r="6" spans="1:28">
      <c r="A6" s="184">
        <v>5</v>
      </c>
      <c r="B6" s="1715" t="str">
        <f>'Smmy Chrts'!$C$32</f>
        <v>Detail Worksheet FY 2021</v>
      </c>
      <c r="C6" s="1715"/>
      <c r="D6" s="1743"/>
      <c r="E6" s="1743"/>
      <c r="F6" s="1743"/>
      <c r="G6" s="1743"/>
      <c r="H6" s="1743"/>
      <c r="I6" s="1743"/>
      <c r="J6" s="1743"/>
      <c r="K6" s="1743"/>
      <c r="L6" s="1743"/>
      <c r="M6" s="1743"/>
      <c r="O6" s="265"/>
    </row>
    <row r="7" spans="1:28">
      <c r="A7" s="184">
        <v>6</v>
      </c>
      <c r="B7" s="172"/>
      <c r="C7" s="172"/>
      <c r="D7" s="160"/>
      <c r="E7" s="160"/>
      <c r="F7" s="160"/>
      <c r="G7" s="160"/>
      <c r="H7" s="160"/>
      <c r="I7" s="160"/>
      <c r="J7" s="160"/>
      <c r="K7" s="160"/>
      <c r="L7" s="160"/>
      <c r="M7" s="173" t="str">
        <f>'Smmy Chrts'!$C$33</f>
        <v>FY 2021</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Input!$M$28</f>
        <v>29937476</v>
      </c>
      <c r="E10" s="372">
        <f>Input!$N$28</f>
        <v>0</v>
      </c>
      <c r="F10" s="372">
        <f>Input!$O$28</f>
        <v>0</v>
      </c>
      <c r="G10" s="372">
        <f>Input!$P$28</f>
        <v>0</v>
      </c>
      <c r="H10" s="372">
        <f>Input!$Q$28</f>
        <v>0</v>
      </c>
      <c r="I10" s="372">
        <f>Input!$R$28</f>
        <v>0</v>
      </c>
      <c r="J10" s="372">
        <f>Input!$S$28</f>
        <v>0</v>
      </c>
      <c r="K10" s="372">
        <f>Input!$T$28</f>
        <v>0</v>
      </c>
      <c r="L10" s="372">
        <f>Input!$U$28</f>
        <v>0</v>
      </c>
      <c r="M10" s="373">
        <f t="shared" ref="M10:M15" si="0">D10+E10+F10+G10+H10+I10+J10+K10+L10</f>
        <v>29937476</v>
      </c>
      <c r="N10" s="160"/>
      <c r="O10" s="271"/>
      <c r="P10" s="1718" t="s">
        <v>575</v>
      </c>
      <c r="U10" s="268"/>
    </row>
    <row r="11" spans="1:28">
      <c r="A11" s="184">
        <v>10</v>
      </c>
      <c r="B11" s="160" t="s">
        <v>2</v>
      </c>
      <c r="C11" s="160"/>
      <c r="D11" s="372">
        <f>Input!$V$28</f>
        <v>3215815</v>
      </c>
      <c r="E11" s="372">
        <f>Input!$W$28</f>
        <v>0</v>
      </c>
      <c r="F11" s="372">
        <f>Input!$X$28</f>
        <v>0</v>
      </c>
      <c r="G11" s="372">
        <f>Input!$Y$28</f>
        <v>5736636</v>
      </c>
      <c r="H11" s="372">
        <f>Input!$Z$28</f>
        <v>0</v>
      </c>
      <c r="I11" s="372">
        <f>Input!$AA$28</f>
        <v>0</v>
      </c>
      <c r="J11" s="372">
        <f>Input!$AB$28</f>
        <v>0</v>
      </c>
      <c r="K11" s="372">
        <f>Input!$AC$28</f>
        <v>0</v>
      </c>
      <c r="L11" s="372">
        <f>Input!$AD$28</f>
        <v>0</v>
      </c>
      <c r="M11" s="373">
        <f t="shared" si="0"/>
        <v>8952451</v>
      </c>
      <c r="N11" s="160"/>
      <c r="O11" s="482"/>
      <c r="P11" s="1719"/>
      <c r="U11" s="268"/>
    </row>
    <row r="12" spans="1:28" ht="12.75" hidden="1" customHeight="1">
      <c r="B12" s="160" t="s">
        <v>1410</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Input!$AN$28</f>
        <v>10828344</v>
      </c>
      <c r="E13" s="372">
        <f>Input!$AO$28</f>
        <v>0</v>
      </c>
      <c r="F13" s="372">
        <f>Input!$AP$28</f>
        <v>0</v>
      </c>
      <c r="G13" s="372">
        <f>Input!$AQ$28</f>
        <v>0</v>
      </c>
      <c r="H13" s="372">
        <f>Input!$AR$28</f>
        <v>0</v>
      </c>
      <c r="I13" s="372">
        <f>Input!$AS$28</f>
        <v>0</v>
      </c>
      <c r="J13" s="372">
        <f>Input!$AT$28</f>
        <v>0</v>
      </c>
      <c r="K13" s="372">
        <f>Input!$AU$28</f>
        <v>0</v>
      </c>
      <c r="L13" s="372">
        <f>Input!$AV$28</f>
        <v>0</v>
      </c>
      <c r="M13" s="373">
        <f t="shared" si="0"/>
        <v>10828344</v>
      </c>
      <c r="N13" s="160"/>
      <c r="O13" s="482" t="str">
        <f>IF(P13&lt;&gt;M13,"Out of Balance","Balanced")</f>
        <v>Balanced</v>
      </c>
      <c r="P13" s="484">
        <f>IFERROR(VLOOKUP($B$2,AMTLU,6,FALSE),0)</f>
        <v>10828344</v>
      </c>
      <c r="U13" s="268"/>
    </row>
    <row r="14" spans="1:28">
      <c r="A14" s="184">
        <v>13</v>
      </c>
      <c r="B14" s="160" t="s">
        <v>49</v>
      </c>
      <c r="C14" s="160"/>
      <c r="D14" s="372">
        <f>Input!$AW$28</f>
        <v>0</v>
      </c>
      <c r="E14" s="372">
        <f>Input!$AX$28</f>
        <v>0</v>
      </c>
      <c r="F14" s="372">
        <f>Input!$AY$28</f>
        <v>0</v>
      </c>
      <c r="G14" s="372">
        <f>Input!$AZ$28</f>
        <v>0</v>
      </c>
      <c r="H14" s="372">
        <f>Input!$BA$28</f>
        <v>0</v>
      </c>
      <c r="I14" s="372">
        <f>Input!$BB$28</f>
        <v>0</v>
      </c>
      <c r="J14" s="372">
        <f>Input!$BC$28</f>
        <v>0</v>
      </c>
      <c r="K14" s="372">
        <f>Input!$BD$28</f>
        <v>0</v>
      </c>
      <c r="L14" s="372">
        <f>Input!$BE$28</f>
        <v>0</v>
      </c>
      <c r="M14" s="373">
        <f t="shared" si="0"/>
        <v>0</v>
      </c>
      <c r="N14" s="160"/>
      <c r="O14" s="482"/>
      <c r="P14" s="485"/>
    </row>
    <row r="15" spans="1:28" ht="15">
      <c r="A15" s="184">
        <v>14</v>
      </c>
      <c r="B15" s="176" t="s">
        <v>3</v>
      </c>
      <c r="C15" s="176"/>
      <c r="D15" s="374">
        <f t="shared" ref="D15:L15" si="1">SUM(D10:D14)</f>
        <v>43981635</v>
      </c>
      <c r="E15" s="374">
        <f t="shared" si="1"/>
        <v>0</v>
      </c>
      <c r="F15" s="374">
        <f t="shared" si="1"/>
        <v>0</v>
      </c>
      <c r="G15" s="374">
        <f t="shared" si="1"/>
        <v>5736636</v>
      </c>
      <c r="H15" s="374">
        <f t="shared" si="1"/>
        <v>0</v>
      </c>
      <c r="I15" s="374">
        <f t="shared" si="1"/>
        <v>0</v>
      </c>
      <c r="J15" s="374">
        <f t="shared" si="1"/>
        <v>0</v>
      </c>
      <c r="K15" s="374">
        <f t="shared" si="1"/>
        <v>0</v>
      </c>
      <c r="L15" s="374">
        <f t="shared" si="1"/>
        <v>0</v>
      </c>
      <c r="M15" s="374">
        <f t="shared" si="0"/>
        <v>49718271</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58" t="s">
        <v>1042</v>
      </c>
      <c r="C18" s="558"/>
      <c r="D18" s="374">
        <f t="shared" ref="D18:L18" si="2">D23-SUM(D19:D22)</f>
        <v>23181529</v>
      </c>
      <c r="E18" s="374">
        <f t="shared" si="2"/>
        <v>68855000</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92036529</v>
      </c>
      <c r="V18" s="327"/>
      <c r="X18" s="330"/>
    </row>
    <row r="19" spans="1:26" s="264" customFormat="1" ht="12.75" customHeight="1" thickTop="1" thickBot="1">
      <c r="A19" s="263"/>
      <c r="B19" s="261" t="s">
        <v>722</v>
      </c>
      <c r="C19" s="261"/>
      <c r="D19" s="372">
        <f>Input!$BF$28</f>
        <v>-608814</v>
      </c>
      <c r="E19" s="372">
        <f>Input!$BG$28</f>
        <v>0</v>
      </c>
      <c r="F19" s="372">
        <f>Input!$BH$28</f>
        <v>0</v>
      </c>
      <c r="G19" s="372">
        <f>Input!$BI$28</f>
        <v>0</v>
      </c>
      <c r="H19" s="372">
        <f>Input!$BJ$28</f>
        <v>0</v>
      </c>
      <c r="I19" s="372">
        <f>Input!$BK$28</f>
        <v>0</v>
      </c>
      <c r="J19" s="372">
        <f>Input!$BL$28</f>
        <v>0</v>
      </c>
      <c r="K19" s="372">
        <f>Input!$BM$28</f>
        <v>0</v>
      </c>
      <c r="L19" s="372">
        <f>Input!$BN$28</f>
        <v>0</v>
      </c>
      <c r="M19" s="373">
        <f t="shared" si="3"/>
        <v>-608814</v>
      </c>
      <c r="O19" s="1732" t="s">
        <v>1294</v>
      </c>
      <c r="P19" s="1733"/>
      <c r="Q19" s="1733"/>
      <c r="R19" s="1734"/>
      <c r="T19" s="1735" t="s">
        <v>1043</v>
      </c>
      <c r="U19" s="1736"/>
      <c r="V19" s="1736"/>
      <c r="W19" s="1736"/>
      <c r="X19" s="1737"/>
    </row>
    <row r="20" spans="1:26" s="264" customFormat="1" ht="12.75" customHeight="1" thickTop="1">
      <c r="A20" s="263"/>
      <c r="B20" s="261" t="s">
        <v>723</v>
      </c>
      <c r="C20" s="261"/>
      <c r="D20" s="372">
        <f>Input!$BO$28</f>
        <v>0</v>
      </c>
      <c r="E20" s="372">
        <f>Input!$BP$28</f>
        <v>0</v>
      </c>
      <c r="F20" s="372">
        <f>Input!$BQ$28</f>
        <v>0</v>
      </c>
      <c r="G20" s="372">
        <f>Input!$BR$28</f>
        <v>0</v>
      </c>
      <c r="H20" s="372">
        <f>Input!$BS$28</f>
        <v>0</v>
      </c>
      <c r="I20" s="372">
        <f>Input!$BT$28</f>
        <v>0</v>
      </c>
      <c r="J20" s="372">
        <f>Input!$BU$28</f>
        <v>0</v>
      </c>
      <c r="K20" s="372">
        <f>Input!$BV$28</f>
        <v>0</v>
      </c>
      <c r="L20" s="372">
        <f>Input!$BW$28</f>
        <v>0</v>
      </c>
      <c r="M20" s="373">
        <f t="shared" si="3"/>
        <v>0</v>
      </c>
      <c r="O20" s="421" t="s">
        <v>288</v>
      </c>
      <c r="P20" s="422"/>
      <c r="Q20" s="414"/>
      <c r="R20" s="559"/>
      <c r="T20" s="560" t="s">
        <v>1044</v>
      </c>
      <c r="U20" s="266"/>
      <c r="V20" s="266"/>
      <c r="X20" s="425"/>
    </row>
    <row r="21" spans="1:26" s="264" customFormat="1">
      <c r="A21" s="263"/>
      <c r="B21" s="261" t="s">
        <v>724</v>
      </c>
      <c r="C21" s="261"/>
      <c r="D21" s="372">
        <f>Input!$BX$28</f>
        <v>0</v>
      </c>
      <c r="E21" s="372">
        <f>Input!$BY$28</f>
        <v>0</v>
      </c>
      <c r="F21" s="372">
        <f>Input!$BZ$28</f>
        <v>0</v>
      </c>
      <c r="G21" s="372">
        <f>Input!$CA$28</f>
        <v>0</v>
      </c>
      <c r="H21" s="372">
        <f>Input!$CB$28</f>
        <v>0</v>
      </c>
      <c r="I21" s="372">
        <f>Input!$CC$28</f>
        <v>0</v>
      </c>
      <c r="J21" s="372">
        <f>Input!$CD$28</f>
        <v>0</v>
      </c>
      <c r="K21" s="372">
        <f>Input!$CE$28</f>
        <v>0</v>
      </c>
      <c r="L21" s="372">
        <f>Input!$CF$28</f>
        <v>0</v>
      </c>
      <c r="M21" s="373">
        <f t="shared" si="3"/>
        <v>0</v>
      </c>
      <c r="O21" s="434"/>
      <c r="R21" s="561"/>
      <c r="T21" s="650" t="s">
        <v>1045</v>
      </c>
      <c r="U21" s="266"/>
      <c r="V21" s="266"/>
      <c r="W21" s="651">
        <f>M44</f>
        <v>72089010</v>
      </c>
      <c r="X21" s="425"/>
      <c r="Z21" s="330"/>
    </row>
    <row r="22" spans="1:26" s="264" customFormat="1">
      <c r="A22" s="263"/>
      <c r="B22" s="261" t="s">
        <v>725</v>
      </c>
      <c r="C22" s="261"/>
      <c r="D22" s="372">
        <f>Input!$CG$28</f>
        <v>0</v>
      </c>
      <c r="E22" s="372">
        <f>Input!$CH$28</f>
        <v>0</v>
      </c>
      <c r="F22" s="372">
        <f>Input!$CI$28</f>
        <v>0</v>
      </c>
      <c r="G22" s="372">
        <f>Input!$CJ$28</f>
        <v>0</v>
      </c>
      <c r="H22" s="372">
        <f>Input!$CK$28</f>
        <v>0</v>
      </c>
      <c r="I22" s="372">
        <f>Input!$CL$28</f>
        <v>0</v>
      </c>
      <c r="J22" s="372">
        <f>Input!$CM$28</f>
        <v>0</v>
      </c>
      <c r="K22" s="372">
        <f>Input!$CN$28</f>
        <v>0</v>
      </c>
      <c r="L22" s="372">
        <f>Input!$CO$28</f>
        <v>0</v>
      </c>
      <c r="M22" s="373">
        <f t="shared" si="3"/>
        <v>0</v>
      </c>
      <c r="N22" s="270"/>
      <c r="O22" s="434" t="s">
        <v>1046</v>
      </c>
      <c r="P22" s="276"/>
      <c r="Q22" s="424">
        <f>M23</f>
        <v>91427715</v>
      </c>
      <c r="R22" s="562"/>
      <c r="T22" s="650" t="s">
        <v>1047</v>
      </c>
      <c r="U22" s="266"/>
      <c r="V22" s="266"/>
      <c r="W22" s="652">
        <f>R30*-1</f>
        <v>46954284</v>
      </c>
      <c r="X22" s="425"/>
    </row>
    <row r="23" spans="1:26" s="264" customFormat="1" ht="12.75" customHeight="1">
      <c r="A23" s="263"/>
      <c r="B23" s="558" t="s">
        <v>726</v>
      </c>
      <c r="C23" s="563"/>
      <c r="D23" s="564">
        <f>Input!$CP$28</f>
        <v>22572715</v>
      </c>
      <c r="E23" s="564">
        <f>Input!$CQ$28</f>
        <v>68855000</v>
      </c>
      <c r="F23" s="564">
        <f>Input!$CR$28</f>
        <v>0</v>
      </c>
      <c r="G23" s="564">
        <f>Input!$CS$28</f>
        <v>0</v>
      </c>
      <c r="H23" s="564">
        <f>Input!$CT$28</f>
        <v>0</v>
      </c>
      <c r="I23" s="564">
        <f>Input!$CU$28</f>
        <v>0</v>
      </c>
      <c r="J23" s="564">
        <f>Input!$CV$28</f>
        <v>0</v>
      </c>
      <c r="K23" s="564">
        <f>Input!$CW$28</f>
        <v>0</v>
      </c>
      <c r="L23" s="564">
        <f>Input!$CX$28</f>
        <v>0</v>
      </c>
      <c r="M23" s="565">
        <f t="shared" si="3"/>
        <v>91427715</v>
      </c>
      <c r="O23" s="434"/>
      <c r="P23" s="276"/>
      <c r="Q23" s="424"/>
      <c r="R23" s="562"/>
      <c r="T23" s="560" t="s">
        <v>1230</v>
      </c>
      <c r="U23" s="266"/>
      <c r="V23" s="266"/>
      <c r="W23" s="276"/>
      <c r="X23" s="425">
        <f>SUM(W21:W22)</f>
        <v>119043294</v>
      </c>
      <c r="Z23" s="330"/>
    </row>
    <row r="24" spans="1:26" s="264" customFormat="1" ht="12.75" customHeight="1">
      <c r="A24" s="263"/>
      <c r="B24" s="261" t="s">
        <v>727</v>
      </c>
      <c r="C24" s="566"/>
      <c r="D24" s="372">
        <f>Input!$CY$28</f>
        <v>0</v>
      </c>
      <c r="E24" s="372">
        <f>Input!$CZ$28</f>
        <v>0</v>
      </c>
      <c r="F24" s="372">
        <f>Input!$DA$28</f>
        <v>0</v>
      </c>
      <c r="G24" s="372">
        <f>Input!$DB$28</f>
        <v>0</v>
      </c>
      <c r="H24" s="372">
        <f>Input!$DC$28</f>
        <v>0</v>
      </c>
      <c r="I24" s="372">
        <f>Input!$DD$28</f>
        <v>0</v>
      </c>
      <c r="J24" s="372">
        <f>Input!$DE$28</f>
        <v>0</v>
      </c>
      <c r="K24" s="372">
        <f>Input!$DF$28</f>
        <v>0</v>
      </c>
      <c r="L24" s="372">
        <f>Input!$DG$28</f>
        <v>0</v>
      </c>
      <c r="M24" s="567">
        <f t="shared" si="3"/>
        <v>0</v>
      </c>
      <c r="O24" s="417" t="s">
        <v>1048</v>
      </c>
      <c r="P24" s="276"/>
      <c r="Q24" s="327"/>
      <c r="R24" s="646">
        <f>SUM(M24:M28)</f>
        <v>-35980977</v>
      </c>
      <c r="T24" s="560"/>
      <c r="U24" s="266"/>
      <c r="V24" s="266"/>
      <c r="X24" s="425"/>
      <c r="Z24" s="330"/>
    </row>
    <row r="25" spans="1:26" s="264" customFormat="1" ht="12.75" customHeight="1">
      <c r="A25" s="263"/>
      <c r="B25" s="261" t="s">
        <v>728</v>
      </c>
      <c r="C25" s="566"/>
      <c r="D25" s="372">
        <f>Input!DH6</f>
        <v>0</v>
      </c>
      <c r="E25" s="372">
        <f>Input!$DI$28</f>
        <v>0</v>
      </c>
      <c r="F25" s="372">
        <f>Input!$DJ$28</f>
        <v>0</v>
      </c>
      <c r="G25" s="372">
        <f>Input!$DK$28</f>
        <v>0</v>
      </c>
      <c r="H25" s="372">
        <f>Input!$DL$28</f>
        <v>0</v>
      </c>
      <c r="I25" s="372">
        <f>Input!$DM$28</f>
        <v>0</v>
      </c>
      <c r="J25" s="372">
        <f>Input!$DN$28</f>
        <v>0</v>
      </c>
      <c r="K25" s="372">
        <f>Input!$DO$28</f>
        <v>0</v>
      </c>
      <c r="L25" s="372">
        <f>Input!$DP$28</f>
        <v>0</v>
      </c>
      <c r="M25" s="567">
        <f t="shared" si="3"/>
        <v>0</v>
      </c>
      <c r="O25" s="434"/>
      <c r="P25" s="276"/>
      <c r="Q25" s="327"/>
      <c r="R25" s="646"/>
      <c r="T25" s="568" t="s">
        <v>1103</v>
      </c>
      <c r="U25" s="569"/>
      <c r="V25" s="569"/>
      <c r="W25" s="653">
        <f>(M26+M39)*-1</f>
        <v>3891770</v>
      </c>
      <c r="X25" s="425"/>
      <c r="Z25" s="330"/>
    </row>
    <row r="26" spans="1:26" s="264" customFormat="1" ht="12.75" customHeight="1">
      <c r="A26" s="263"/>
      <c r="B26" s="261" t="s">
        <v>729</v>
      </c>
      <c r="C26" s="566"/>
      <c r="D26" s="372">
        <f>Input!$DQ$28</f>
        <v>-473684</v>
      </c>
      <c r="E26" s="372">
        <f>Input!$DR$28</f>
        <v>-1569709</v>
      </c>
      <c r="F26" s="372">
        <f>Input!$DS$28</f>
        <v>0</v>
      </c>
      <c r="G26" s="372">
        <f>Input!$DT$28</f>
        <v>0</v>
      </c>
      <c r="H26" s="372">
        <f>Input!$DU$28</f>
        <v>0</v>
      </c>
      <c r="I26" s="372">
        <f>Input!$DV$28</f>
        <v>0</v>
      </c>
      <c r="J26" s="372">
        <f>Input!$DW$28</f>
        <v>0</v>
      </c>
      <c r="K26" s="372">
        <f>Input!$DX$28</f>
        <v>0</v>
      </c>
      <c r="L26" s="372">
        <f>Input!$DY$28</f>
        <v>0</v>
      </c>
      <c r="M26" s="567">
        <f t="shared" si="3"/>
        <v>-2043393</v>
      </c>
      <c r="O26" s="434" t="s">
        <v>1049</v>
      </c>
      <c r="P26" s="276"/>
      <c r="Q26" s="427">
        <f>M36</f>
        <v>27615579</v>
      </c>
      <c r="R26" s="570"/>
      <c r="T26" s="560" t="s">
        <v>1104</v>
      </c>
      <c r="U26" s="266"/>
      <c r="V26" s="266"/>
      <c r="W26" s="571">
        <f>(M21+M34)*-1</f>
        <v>0</v>
      </c>
      <c r="X26" s="425"/>
      <c r="Z26" s="330"/>
    </row>
    <row r="27" spans="1:26" s="264" customFormat="1">
      <c r="A27" s="263"/>
      <c r="B27" s="261" t="s">
        <v>730</v>
      </c>
      <c r="C27" s="566"/>
      <c r="D27" s="372">
        <f>Input!$DZ$28</f>
        <v>0</v>
      </c>
      <c r="E27" s="372">
        <f>Input!$EA$28</f>
        <v>0</v>
      </c>
      <c r="F27" s="372">
        <f>Input!$EB$28</f>
        <v>0</v>
      </c>
      <c r="G27" s="372">
        <f>Input!$EC$28</f>
        <v>0</v>
      </c>
      <c r="H27" s="372">
        <f>Input!$ED$28</f>
        <v>0</v>
      </c>
      <c r="I27" s="372">
        <f>Input!$EE$28</f>
        <v>0</v>
      </c>
      <c r="J27" s="372">
        <f>Input!$EF$28</f>
        <v>0</v>
      </c>
      <c r="K27" s="372">
        <f>Input!$EG$28</f>
        <v>0</v>
      </c>
      <c r="L27" s="372">
        <f>Input!EH6</f>
        <v>0</v>
      </c>
      <c r="M27" s="567">
        <f t="shared" si="3"/>
        <v>0</v>
      </c>
      <c r="O27" s="434"/>
      <c r="P27" s="276"/>
      <c r="Q27" s="427"/>
      <c r="R27" s="570"/>
      <c r="T27" s="650" t="s">
        <v>1105</v>
      </c>
      <c r="U27" s="584"/>
      <c r="V27" s="584"/>
      <c r="W27" s="654">
        <f>SUM(W25:W26)</f>
        <v>3891770</v>
      </c>
      <c r="X27" s="655"/>
    </row>
    <row r="28" spans="1:26" s="264" customFormat="1">
      <c r="A28" s="263"/>
      <c r="B28" s="261" t="s">
        <v>2133</v>
      </c>
      <c r="C28" s="566"/>
      <c r="D28" s="372">
        <f>Input!$EI$28</f>
        <v>-8429850</v>
      </c>
      <c r="E28" s="372">
        <f>Input!$EJ$28</f>
        <v>-25507734</v>
      </c>
      <c r="F28" s="372">
        <f>Input!$EK$28</f>
        <v>0</v>
      </c>
      <c r="G28" s="372">
        <f>Input!$EL$28</f>
        <v>0</v>
      </c>
      <c r="H28" s="372">
        <f>Input!$EM$28</f>
        <v>0</v>
      </c>
      <c r="I28" s="372">
        <f>Input!$EN$28</f>
        <v>0</v>
      </c>
      <c r="J28" s="372">
        <f>Input!$EO$28</f>
        <v>0</v>
      </c>
      <c r="K28" s="372">
        <f>Input!$EP$28</f>
        <v>0</v>
      </c>
      <c r="L28" s="372">
        <f>Input!$EQ$28</f>
        <v>0</v>
      </c>
      <c r="M28" s="567">
        <f t="shared" si="3"/>
        <v>-33937584</v>
      </c>
      <c r="O28" s="417" t="s">
        <v>1050</v>
      </c>
      <c r="Q28" s="429"/>
      <c r="R28" s="646">
        <f>SUM(M37:M41)</f>
        <v>-10973307</v>
      </c>
      <c r="T28" s="560" t="s">
        <v>1106</v>
      </c>
      <c r="U28" s="266"/>
      <c r="V28" s="266"/>
      <c r="W28" s="425">
        <f>(M27+M40)*-1</f>
        <v>0</v>
      </c>
      <c r="X28" s="655"/>
      <c r="Z28" s="330"/>
    </row>
    <row r="29" spans="1:26" s="264" customFormat="1" ht="12" customHeight="1">
      <c r="A29" s="263"/>
      <c r="B29" s="575" t="s">
        <v>39</v>
      </c>
      <c r="C29" s="563"/>
      <c r="D29" s="374">
        <f t="shared" ref="D29:L29" si="4">SUM(D23:D28)</f>
        <v>13669181</v>
      </c>
      <c r="E29" s="374">
        <f t="shared" si="4"/>
        <v>41777557</v>
      </c>
      <c r="F29" s="374">
        <f t="shared" si="4"/>
        <v>0</v>
      </c>
      <c r="G29" s="374">
        <f t="shared" si="4"/>
        <v>0</v>
      </c>
      <c r="H29" s="374">
        <f t="shared" si="4"/>
        <v>0</v>
      </c>
      <c r="I29" s="374">
        <f t="shared" si="4"/>
        <v>0</v>
      </c>
      <c r="J29" s="374">
        <f t="shared" si="4"/>
        <v>0</v>
      </c>
      <c r="K29" s="374">
        <f t="shared" si="4"/>
        <v>0</v>
      </c>
      <c r="L29" s="374">
        <f t="shared" si="4"/>
        <v>0</v>
      </c>
      <c r="M29" s="374">
        <f t="shared" si="3"/>
        <v>55446738</v>
      </c>
      <c r="O29" s="417"/>
      <c r="Q29" s="429"/>
      <c r="R29" s="576"/>
      <c r="T29" s="560" t="s">
        <v>1107</v>
      </c>
      <c r="U29" s="266"/>
      <c r="V29" s="266"/>
      <c r="W29" s="571">
        <f>(M22+M35)*-1</f>
        <v>0</v>
      </c>
      <c r="X29" s="655"/>
    </row>
    <row r="30" spans="1:26" s="264" customFormat="1" ht="16.5" customHeight="1">
      <c r="A30" s="263"/>
      <c r="B30" s="261"/>
      <c r="C30" s="566"/>
      <c r="D30" s="566"/>
      <c r="E30" s="566"/>
      <c r="F30" s="566"/>
      <c r="G30" s="566"/>
      <c r="H30" s="566"/>
      <c r="I30" s="566"/>
      <c r="J30" s="566"/>
      <c r="K30" s="566"/>
      <c r="L30" s="566"/>
      <c r="M30" s="567"/>
      <c r="O30" s="431" t="s">
        <v>289</v>
      </c>
      <c r="P30" s="432"/>
      <c r="Q30" s="433">
        <f>Q26+Q22</f>
        <v>119043294</v>
      </c>
      <c r="R30" s="647">
        <f>R28+R24</f>
        <v>-46954284</v>
      </c>
      <c r="T30" s="650" t="s">
        <v>1108</v>
      </c>
      <c r="U30" s="584"/>
      <c r="V30" s="584"/>
      <c r="W30" s="654">
        <f>SUM(W28:W29)</f>
        <v>0</v>
      </c>
      <c r="X30" s="655"/>
    </row>
    <row r="31" spans="1:26" s="264" customFormat="1" ht="12.75" customHeight="1">
      <c r="A31" s="263"/>
      <c r="B31" s="558" t="s">
        <v>1052</v>
      </c>
      <c r="C31" s="558"/>
      <c r="D31" s="374">
        <f t="shared" ref="D31:L31" si="5">D36-SUM(D32:D35)</f>
        <v>8771</v>
      </c>
      <c r="E31" s="374">
        <f t="shared" si="5"/>
        <v>17188563</v>
      </c>
      <c r="F31" s="374">
        <f t="shared" si="5"/>
        <v>10423974</v>
      </c>
      <c r="G31" s="374">
        <f t="shared" si="5"/>
        <v>0</v>
      </c>
      <c r="H31" s="374">
        <f t="shared" si="5"/>
        <v>0</v>
      </c>
      <c r="I31" s="374">
        <f t="shared" si="5"/>
        <v>0</v>
      </c>
      <c r="J31" s="374">
        <f t="shared" si="5"/>
        <v>0</v>
      </c>
      <c r="K31" s="374">
        <f t="shared" si="5"/>
        <v>0</v>
      </c>
      <c r="L31" s="374">
        <f t="shared" si="5"/>
        <v>0</v>
      </c>
      <c r="M31" s="374">
        <f t="shared" ref="M31:M42" si="6">D31+E31+F31+G31+H31+I31+J31+K31+L31</f>
        <v>27621308</v>
      </c>
      <c r="O31" s="434" t="s">
        <v>290</v>
      </c>
      <c r="P31" s="276"/>
      <c r="Q31" s="335"/>
      <c r="R31" s="562"/>
      <c r="T31" s="572" t="s">
        <v>1109</v>
      </c>
      <c r="U31" s="573"/>
      <c r="V31" s="573"/>
      <c r="W31" s="574">
        <f>W27+W30</f>
        <v>3891770</v>
      </c>
      <c r="X31" s="425"/>
      <c r="Z31" s="330"/>
    </row>
    <row r="32" spans="1:26" s="264" customFormat="1" ht="12.75" customHeight="1">
      <c r="A32" s="263"/>
      <c r="B32" s="261" t="s">
        <v>722</v>
      </c>
      <c r="C32" s="261"/>
      <c r="D32" s="372">
        <f>Input!$ER$28</f>
        <v>0</v>
      </c>
      <c r="E32" s="372">
        <f>Input!$ES$28</f>
        <v>-5729</v>
      </c>
      <c r="F32" s="372">
        <f>Input!$ET$28</f>
        <v>0</v>
      </c>
      <c r="G32" s="372">
        <f>Input!$EU$28</f>
        <v>0</v>
      </c>
      <c r="H32" s="372">
        <f>Input!$EV$28</f>
        <v>0</v>
      </c>
      <c r="I32" s="372">
        <f>Input!$EW$28</f>
        <v>0</v>
      </c>
      <c r="J32" s="372">
        <f>Input!$EX$28</f>
        <v>0</v>
      </c>
      <c r="K32" s="372">
        <f>Input!$EY$28</f>
        <v>0</v>
      </c>
      <c r="L32" s="372">
        <f>Input!$EZ$28</f>
        <v>0</v>
      </c>
      <c r="M32" s="567">
        <f t="shared" si="6"/>
        <v>-5729</v>
      </c>
      <c r="O32" s="415" t="s">
        <v>1295</v>
      </c>
      <c r="P32" s="416"/>
      <c r="Q32" s="577">
        <f>Input!$SQ$28</f>
        <v>119043294</v>
      </c>
      <c r="R32" s="578"/>
      <c r="T32" s="560"/>
      <c r="U32" s="266"/>
      <c r="V32" s="266"/>
      <c r="X32" s="425"/>
      <c r="Z32" s="330"/>
    </row>
    <row r="33" spans="1:24" s="264" customFormat="1">
      <c r="A33" s="263"/>
      <c r="B33" s="261" t="s">
        <v>723</v>
      </c>
      <c r="C33" s="261"/>
      <c r="D33" s="372">
        <f>Input!$FA$28</f>
        <v>0</v>
      </c>
      <c r="E33" s="372">
        <f>Input!$FB$28</f>
        <v>0</v>
      </c>
      <c r="F33" s="372">
        <f>Input!$FC$28</f>
        <v>0</v>
      </c>
      <c r="G33" s="372">
        <f>Input!$FD$28</f>
        <v>0</v>
      </c>
      <c r="H33" s="372">
        <f>Input!$FE$28</f>
        <v>0</v>
      </c>
      <c r="I33" s="372">
        <f>Input!$FF$28</f>
        <v>0</v>
      </c>
      <c r="J33" s="372">
        <f>Input!$FG$28</f>
        <v>0</v>
      </c>
      <c r="K33" s="372">
        <f>Input!$FH$28</f>
        <v>0</v>
      </c>
      <c r="L33" s="372">
        <f>Input!$FI$28</f>
        <v>0</v>
      </c>
      <c r="M33" s="567">
        <f t="shared" si="6"/>
        <v>0</v>
      </c>
      <c r="O33" s="415"/>
      <c r="P33" s="416"/>
      <c r="Q33" s="327"/>
      <c r="R33" s="578"/>
      <c r="T33" s="560" t="s">
        <v>1051</v>
      </c>
      <c r="U33" s="266"/>
      <c r="V33" s="266"/>
      <c r="W33" s="334">
        <f>(M19+M32)*-1</f>
        <v>614543</v>
      </c>
      <c r="X33" s="425"/>
    </row>
    <row r="34" spans="1:24" s="264" customFormat="1">
      <c r="A34" s="263"/>
      <c r="B34" s="261" t="s">
        <v>724</v>
      </c>
      <c r="C34" s="261"/>
      <c r="D34" s="372">
        <f>Input!$FJ$28</f>
        <v>0</v>
      </c>
      <c r="E34" s="372">
        <f>Input!$FK$28</f>
        <v>0</v>
      </c>
      <c r="F34" s="372">
        <f>Input!$FL$28</f>
        <v>0</v>
      </c>
      <c r="G34" s="372">
        <f>Input!$FM$28</f>
        <v>0</v>
      </c>
      <c r="H34" s="372">
        <f>Input!$FN$28</f>
        <v>0</v>
      </c>
      <c r="I34" s="372">
        <f>Input!$FO$28</f>
        <v>0</v>
      </c>
      <c r="J34" s="372">
        <f>Input!$FP$28</f>
        <v>0</v>
      </c>
      <c r="K34" s="372">
        <f>Input!$FQ$28</f>
        <v>0</v>
      </c>
      <c r="L34" s="372">
        <f>Input!$FR$28</f>
        <v>0</v>
      </c>
      <c r="M34" s="567">
        <f t="shared" si="6"/>
        <v>0</v>
      </c>
      <c r="O34" s="435" t="s">
        <v>1296</v>
      </c>
      <c r="P34" s="436"/>
      <c r="Q34" s="264" t="s">
        <v>291</v>
      </c>
      <c r="R34" s="648">
        <f>Input!$SR$28</f>
        <v>-46954284</v>
      </c>
      <c r="T34" s="560" t="s">
        <v>1110</v>
      </c>
      <c r="U34" s="266"/>
      <c r="V34" s="266"/>
      <c r="W34" s="430">
        <f>(M24+M37)*-1</f>
        <v>0</v>
      </c>
      <c r="X34" s="425"/>
    </row>
    <row r="35" spans="1:24" s="264" customFormat="1" ht="13.5" thickBot="1">
      <c r="A35" s="263"/>
      <c r="B35" s="261" t="s">
        <v>725</v>
      </c>
      <c r="C35" s="261"/>
      <c r="D35" s="372">
        <f>Input!$FS$28</f>
        <v>0</v>
      </c>
      <c r="E35" s="372">
        <f>Input!$FT$28</f>
        <v>0</v>
      </c>
      <c r="F35" s="372">
        <f>Input!$FU$28</f>
        <v>0</v>
      </c>
      <c r="G35" s="372">
        <f>Input!$FV$28</f>
        <v>0</v>
      </c>
      <c r="H35" s="372">
        <f>Input!$FW$28</f>
        <v>0</v>
      </c>
      <c r="I35" s="372">
        <f>Input!$FX$28</f>
        <v>0</v>
      </c>
      <c r="J35" s="372">
        <f>Input!$FY$28</f>
        <v>0</v>
      </c>
      <c r="K35" s="372">
        <f>Input!$FZ$28</f>
        <v>0</v>
      </c>
      <c r="L35" s="372">
        <f>Input!$GA$28</f>
        <v>0</v>
      </c>
      <c r="M35" s="567">
        <f t="shared" si="6"/>
        <v>0</v>
      </c>
      <c r="O35" s="418" t="s">
        <v>286</v>
      </c>
      <c r="P35" s="419"/>
      <c r="Q35" s="420">
        <f>Q30-Q32</f>
        <v>0</v>
      </c>
      <c r="R35" s="649">
        <f>R30-R34</f>
        <v>0</v>
      </c>
      <c r="T35" s="650" t="s">
        <v>1111</v>
      </c>
      <c r="U35" s="584"/>
      <c r="V35" s="584"/>
      <c r="W35" s="656">
        <f>SUM(W33:W34)</f>
        <v>614543</v>
      </c>
      <c r="X35" s="655"/>
    </row>
    <row r="36" spans="1:24" s="264" customFormat="1" ht="13.5" thickTop="1">
      <c r="A36" s="263"/>
      <c r="B36" s="558" t="s">
        <v>732</v>
      </c>
      <c r="C36" s="563"/>
      <c r="D36" s="564">
        <f>Input!$GB$28</f>
        <v>8771</v>
      </c>
      <c r="E36" s="564">
        <f>Input!$GC$28</f>
        <v>17182834</v>
      </c>
      <c r="F36" s="564">
        <f>Input!$GD$28</f>
        <v>10423974</v>
      </c>
      <c r="G36" s="564">
        <f>Input!$GE$28</f>
        <v>0</v>
      </c>
      <c r="H36" s="564">
        <f>Input!$GF$28</f>
        <v>0</v>
      </c>
      <c r="I36" s="564">
        <f>Input!$GG$28</f>
        <v>0</v>
      </c>
      <c r="J36" s="564">
        <f>Input!$GH$28</f>
        <v>0</v>
      </c>
      <c r="K36" s="564">
        <f>Input!$GI$28</f>
        <v>0</v>
      </c>
      <c r="L36" s="564">
        <f>Input!$GJ$28</f>
        <v>0</v>
      </c>
      <c r="M36" s="565">
        <f t="shared" si="6"/>
        <v>27615579</v>
      </c>
      <c r="O36" s="261"/>
      <c r="Q36" s="412" t="str">
        <f>IF(Q30&lt;&gt;Q32,"Out of Balance","Balanced")</f>
        <v>Balanced</v>
      </c>
      <c r="R36" s="412" t="str">
        <f>IF(R30&lt;&gt;R34,"Out of Balance","Balanced")</f>
        <v>Balanced</v>
      </c>
      <c r="T36" s="560" t="s">
        <v>1053</v>
      </c>
      <c r="U36" s="266"/>
      <c r="V36" s="266"/>
      <c r="W36" s="334">
        <f>(M20+M33)*-1</f>
        <v>0</v>
      </c>
      <c r="X36" s="425"/>
    </row>
    <row r="37" spans="1:24" s="264" customFormat="1">
      <c r="A37" s="263"/>
      <c r="B37" s="261" t="s">
        <v>727</v>
      </c>
      <c r="C37" s="566"/>
      <c r="D37" s="372">
        <f>Input!$GK$28</f>
        <v>0</v>
      </c>
      <c r="E37" s="372">
        <f>Input!$GL$28</f>
        <v>0</v>
      </c>
      <c r="F37" s="372">
        <f>Input!$GM$28</f>
        <v>0</v>
      </c>
      <c r="G37" s="372">
        <f>Input!$GN$28</f>
        <v>0</v>
      </c>
      <c r="H37" s="372">
        <f>Input!$GO$28</f>
        <v>0</v>
      </c>
      <c r="I37" s="372">
        <f>Input!$GP$28</f>
        <v>0</v>
      </c>
      <c r="J37" s="372">
        <f>Input!$GQ$28</f>
        <v>0</v>
      </c>
      <c r="K37" s="372">
        <f>Input!$GR$28</f>
        <v>0</v>
      </c>
      <c r="L37" s="372">
        <f>Input!$GS$28</f>
        <v>0</v>
      </c>
      <c r="M37" s="567">
        <f t="shared" si="6"/>
        <v>0</v>
      </c>
      <c r="O37" s="261"/>
      <c r="T37" s="560" t="s">
        <v>1112</v>
      </c>
      <c r="U37" s="266"/>
      <c r="V37" s="266"/>
      <c r="W37" s="430">
        <f>(M25+M38)*-1</f>
        <v>0</v>
      </c>
      <c r="X37" s="655"/>
    </row>
    <row r="38" spans="1:24" s="264" customFormat="1">
      <c r="A38" s="263"/>
      <c r="B38" s="261" t="s">
        <v>728</v>
      </c>
      <c r="C38" s="566"/>
      <c r="D38" s="372">
        <f>Input!$GT$28</f>
        <v>0</v>
      </c>
      <c r="E38" s="372">
        <f>Input!$GU$28</f>
        <v>0</v>
      </c>
      <c r="F38" s="372">
        <f>Input!$GV$28</f>
        <v>0</v>
      </c>
      <c r="G38" s="372">
        <f>Input!$GW$28</f>
        <v>0</v>
      </c>
      <c r="H38" s="372">
        <f>Input!$GX$28</f>
        <v>0</v>
      </c>
      <c r="I38" s="372">
        <f>Input!$GY$28</f>
        <v>0</v>
      </c>
      <c r="J38" s="372">
        <f>Input!$GZ$28</f>
        <v>0</v>
      </c>
      <c r="K38" s="372">
        <f>Input!$HA$28</f>
        <v>0</v>
      </c>
      <c r="L38" s="372">
        <f>Input!$HB$28</f>
        <v>0</v>
      </c>
      <c r="M38" s="567">
        <f t="shared" si="6"/>
        <v>0</v>
      </c>
      <c r="O38" s="261"/>
      <c r="T38" s="650" t="s">
        <v>1113</v>
      </c>
      <c r="U38" s="584"/>
      <c r="V38" s="584"/>
      <c r="W38" s="656">
        <f>SUM(W36:W37)</f>
        <v>0</v>
      </c>
      <c r="X38" s="425"/>
    </row>
    <row r="39" spans="1:24" s="264" customFormat="1">
      <c r="A39" s="263"/>
      <c r="B39" s="261" t="s">
        <v>729</v>
      </c>
      <c r="C39" s="566"/>
      <c r="D39" s="372">
        <f>Input!$HC$28</f>
        <v>0</v>
      </c>
      <c r="E39" s="372">
        <f>Input!$HD$28</f>
        <v>-493107</v>
      </c>
      <c r="F39" s="372">
        <f>Input!$HE$28</f>
        <v>-1355270</v>
      </c>
      <c r="G39" s="372">
        <f>Input!$HF$28</f>
        <v>0</v>
      </c>
      <c r="H39" s="372">
        <f>Input!$HG$28</f>
        <v>0</v>
      </c>
      <c r="I39" s="372">
        <f>Input!$HH$28</f>
        <v>0</v>
      </c>
      <c r="J39" s="372">
        <f>Input!$HI$28</f>
        <v>0</v>
      </c>
      <c r="K39" s="372">
        <f>Input!$HJ$28</f>
        <v>0</v>
      </c>
      <c r="L39" s="372">
        <f>Input!$HK$28</f>
        <v>0</v>
      </c>
      <c r="M39" s="567">
        <f t="shared" si="6"/>
        <v>-1848377</v>
      </c>
      <c r="O39" s="261"/>
      <c r="T39" s="560" t="s">
        <v>1054</v>
      </c>
      <c r="U39" s="266"/>
      <c r="V39" s="266"/>
      <c r="W39" s="334"/>
      <c r="X39" s="425">
        <f>W38+W35</f>
        <v>614543</v>
      </c>
    </row>
    <row r="40" spans="1:24" s="264" customFormat="1">
      <c r="A40" s="263"/>
      <c r="B40" s="261" t="s">
        <v>730</v>
      </c>
      <c r="C40" s="566"/>
      <c r="D40" s="372">
        <f>Input!$HL$28</f>
        <v>0</v>
      </c>
      <c r="E40" s="372">
        <f>Input!$HM$28</f>
        <v>0</v>
      </c>
      <c r="F40" s="372">
        <f>Input!$HN$28</f>
        <v>0</v>
      </c>
      <c r="G40" s="372">
        <f>Input!$HO$28</f>
        <v>0</v>
      </c>
      <c r="H40" s="372">
        <f>Input!$HP$28</f>
        <v>0</v>
      </c>
      <c r="I40" s="372">
        <f>Input!$HQ$28</f>
        <v>0</v>
      </c>
      <c r="J40" s="372">
        <f>Input!$HR$28</f>
        <v>0</v>
      </c>
      <c r="K40" s="372">
        <f>Input!$HS$28</f>
        <v>0</v>
      </c>
      <c r="L40" s="372">
        <f>Input!$HT$28</f>
        <v>0</v>
      </c>
      <c r="M40" s="567">
        <f t="shared" si="6"/>
        <v>0</v>
      </c>
      <c r="O40" s="261"/>
      <c r="T40" s="560"/>
      <c r="U40" s="261"/>
      <c r="V40" s="261"/>
      <c r="W40" s="261"/>
      <c r="X40" s="655"/>
    </row>
    <row r="41" spans="1:24" s="264" customFormat="1">
      <c r="A41" s="263"/>
      <c r="B41" s="261" t="s">
        <v>2133</v>
      </c>
      <c r="C41" s="566"/>
      <c r="D41" s="372">
        <f>Input!$HU$28</f>
        <v>-3289</v>
      </c>
      <c r="E41" s="372">
        <f>Input!$HV$28</f>
        <v>-6365380</v>
      </c>
      <c r="F41" s="372">
        <f>Input!$HW$28</f>
        <v>-2756261</v>
      </c>
      <c r="G41" s="372">
        <f>Input!$HX$28</f>
        <v>0</v>
      </c>
      <c r="H41" s="372">
        <f>Input!$HY$28</f>
        <v>0</v>
      </c>
      <c r="I41" s="372">
        <f>Input!$HZ$28</f>
        <v>0</v>
      </c>
      <c r="J41" s="372">
        <f>Input!$IA$28</f>
        <v>0</v>
      </c>
      <c r="K41" s="372">
        <f>Input!$IB$28</f>
        <v>0</v>
      </c>
      <c r="L41" s="372">
        <f>Input!$IC$28</f>
        <v>0</v>
      </c>
      <c r="M41" s="567">
        <f t="shared" si="6"/>
        <v>-9124930</v>
      </c>
      <c r="O41"/>
      <c r="P41"/>
      <c r="Q41"/>
      <c r="R41"/>
      <c r="S41"/>
      <c r="T41" s="560" t="s">
        <v>1104</v>
      </c>
      <c r="U41" s="266"/>
      <c r="V41" s="266"/>
      <c r="W41" s="330">
        <f>(M21+M34)*-1</f>
        <v>0</v>
      </c>
      <c r="X41" s="425"/>
    </row>
    <row r="42" spans="1:24" s="264" customFormat="1">
      <c r="A42" s="263"/>
      <c r="B42" s="575" t="s">
        <v>40</v>
      </c>
      <c r="C42" s="563"/>
      <c r="D42" s="374">
        <f t="shared" ref="D42:L42" si="7">SUM(D36:D41)</f>
        <v>5482</v>
      </c>
      <c r="E42" s="374">
        <f t="shared" si="7"/>
        <v>10324347</v>
      </c>
      <c r="F42" s="374">
        <f t="shared" si="7"/>
        <v>6312443</v>
      </c>
      <c r="G42" s="374">
        <f t="shared" si="7"/>
        <v>0</v>
      </c>
      <c r="H42" s="374">
        <f t="shared" si="7"/>
        <v>0</v>
      </c>
      <c r="I42" s="374">
        <f t="shared" si="7"/>
        <v>0</v>
      </c>
      <c r="J42" s="374">
        <f t="shared" si="7"/>
        <v>0</v>
      </c>
      <c r="K42" s="374">
        <f t="shared" si="7"/>
        <v>0</v>
      </c>
      <c r="L42" s="374">
        <f t="shared" si="7"/>
        <v>0</v>
      </c>
      <c r="M42" s="374">
        <f t="shared" si="6"/>
        <v>16642272</v>
      </c>
      <c r="O42"/>
      <c r="P42"/>
      <c r="Q42"/>
      <c r="R42"/>
      <c r="S42"/>
      <c r="T42" s="560" t="s">
        <v>1107</v>
      </c>
      <c r="U42" s="266"/>
      <c r="V42" s="266"/>
      <c r="W42" s="430">
        <f>(M22+M35)*-1</f>
        <v>0</v>
      </c>
      <c r="X42" s="425"/>
    </row>
    <row r="43" spans="1:24" s="264" customFormat="1">
      <c r="A43" s="263"/>
      <c r="B43" s="261"/>
      <c r="C43" s="566"/>
      <c r="D43" s="566"/>
      <c r="E43" s="566"/>
      <c r="F43" s="566"/>
      <c r="G43" s="566"/>
      <c r="H43" s="566"/>
      <c r="I43" s="566"/>
      <c r="J43" s="566"/>
      <c r="K43" s="566"/>
      <c r="L43" s="566"/>
      <c r="M43" s="567"/>
      <c r="O43"/>
      <c r="P43"/>
      <c r="Q43"/>
      <c r="R43"/>
      <c r="S43"/>
      <c r="T43" s="650" t="s">
        <v>1114</v>
      </c>
      <c r="U43" s="584"/>
      <c r="V43" s="584"/>
      <c r="W43" s="656">
        <f>SUM(W41:W42)</f>
        <v>0</v>
      </c>
      <c r="X43" s="655"/>
    </row>
    <row r="44" spans="1:24" s="264" customFormat="1" ht="13.5" customHeight="1">
      <c r="A44" s="263"/>
      <c r="B44" s="575" t="s">
        <v>1055</v>
      </c>
      <c r="C44" s="563"/>
      <c r="D44" s="374">
        <f t="shared" ref="D44:L44" si="8">D42+D29</f>
        <v>13674663</v>
      </c>
      <c r="E44" s="374">
        <f t="shared" si="8"/>
        <v>52101904</v>
      </c>
      <c r="F44" s="374">
        <f t="shared" si="8"/>
        <v>6312443</v>
      </c>
      <c r="G44" s="374">
        <f t="shared" si="8"/>
        <v>0</v>
      </c>
      <c r="H44" s="374">
        <f t="shared" si="8"/>
        <v>0</v>
      </c>
      <c r="I44" s="374">
        <f t="shared" si="8"/>
        <v>0</v>
      </c>
      <c r="J44" s="374">
        <f t="shared" si="8"/>
        <v>0</v>
      </c>
      <c r="K44" s="374">
        <f t="shared" si="8"/>
        <v>0</v>
      </c>
      <c r="L44" s="374">
        <f t="shared" si="8"/>
        <v>0</v>
      </c>
      <c r="M44" s="374">
        <f>D44+E44+F44+G44+H44+I44+J44+K44+L44</f>
        <v>72089010</v>
      </c>
      <c r="O44"/>
      <c r="P44"/>
      <c r="Q44"/>
      <c r="R44"/>
      <c r="S44"/>
      <c r="T44" s="560"/>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0"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0" t="s">
        <v>1112</v>
      </c>
      <c r="U46" s="266"/>
      <c r="V46" s="266"/>
      <c r="W46" s="430">
        <f>(M25+M38)*-1</f>
        <v>0</v>
      </c>
      <c r="X46" s="425"/>
    </row>
    <row r="47" spans="1:24">
      <c r="A47" s="184">
        <v>30</v>
      </c>
      <c r="B47" s="176" t="s">
        <v>7</v>
      </c>
      <c r="C47" s="176"/>
      <c r="D47" s="375">
        <f>Input!$ID$28</f>
        <v>0</v>
      </c>
      <c r="E47" s="375">
        <f>Input!$IE$28</f>
        <v>161556</v>
      </c>
      <c r="F47" s="375">
        <f>Input!$IF$28</f>
        <v>0</v>
      </c>
      <c r="G47" s="375">
        <f>Input!$IG$28</f>
        <v>63764007</v>
      </c>
      <c r="H47" s="375">
        <f>Input!$IH$28</f>
        <v>0</v>
      </c>
      <c r="I47" s="375">
        <f>Input!$II$28</f>
        <v>0</v>
      </c>
      <c r="J47" s="375">
        <f>Input!$IJ$28</f>
        <v>0</v>
      </c>
      <c r="K47" s="375">
        <f>Input!$IK$28</f>
        <v>0</v>
      </c>
      <c r="L47" s="375">
        <f>Input!$IL$28</f>
        <v>0</v>
      </c>
      <c r="M47" s="374">
        <f>D47+E47+F47+G47+H47+I47+J47+K47+L47</f>
        <v>63925563</v>
      </c>
      <c r="N47" s="160"/>
      <c r="O47"/>
      <c r="P47"/>
      <c r="Q47"/>
      <c r="R47"/>
      <c r="S47"/>
      <c r="T47" s="657" t="s">
        <v>1115</v>
      </c>
      <c r="U47" s="27"/>
      <c r="V47" s="27"/>
      <c r="W47" s="656">
        <f>SUM(W45:W46)</f>
        <v>0</v>
      </c>
      <c r="X47" s="655"/>
    </row>
    <row r="48" spans="1:24">
      <c r="A48" s="184">
        <v>31</v>
      </c>
      <c r="B48" s="160"/>
      <c r="C48" s="160"/>
      <c r="D48" s="373"/>
      <c r="E48" s="373"/>
      <c r="F48" s="373"/>
      <c r="G48" s="373"/>
      <c r="H48" s="373"/>
      <c r="I48" s="373"/>
      <c r="J48" s="373"/>
      <c r="K48" s="373"/>
      <c r="L48" s="373"/>
      <c r="M48" s="373"/>
      <c r="N48" s="160"/>
      <c r="O48"/>
      <c r="P48"/>
      <c r="Q48"/>
      <c r="R48"/>
      <c r="S48"/>
      <c r="T48" s="560"/>
      <c r="U48" s="261"/>
      <c r="V48" s="261"/>
      <c r="W48" s="261"/>
      <c r="X48" s="658">
        <f>W43-W47</f>
        <v>0</v>
      </c>
    </row>
    <row r="49" spans="1:28">
      <c r="A49" s="184">
        <v>32</v>
      </c>
      <c r="B49" s="172" t="s">
        <v>8</v>
      </c>
      <c r="C49" s="172"/>
      <c r="D49" s="373"/>
      <c r="E49" s="373"/>
      <c r="F49" s="373"/>
      <c r="G49" s="373"/>
      <c r="H49" s="373"/>
      <c r="I49" s="373"/>
      <c r="J49" s="373"/>
      <c r="K49" s="373"/>
      <c r="L49" s="373"/>
      <c r="M49" s="373"/>
      <c r="N49" s="160"/>
      <c r="O49" s="273"/>
      <c r="T49" s="579" t="s">
        <v>287</v>
      </c>
      <c r="U49" s="511"/>
      <c r="V49" s="580"/>
      <c r="W49" s="580"/>
      <c r="X49" s="574">
        <f>SUM(X23:X48)</f>
        <v>119657837</v>
      </c>
    </row>
    <row r="50" spans="1:28">
      <c r="A50" s="184">
        <v>33</v>
      </c>
      <c r="B50" s="160" t="s">
        <v>42</v>
      </c>
      <c r="C50" s="160"/>
      <c r="D50" s="372">
        <f>Input!$IM$28</f>
        <v>24939</v>
      </c>
      <c r="E50" s="372">
        <f>Input!$IN$28</f>
        <v>689942</v>
      </c>
      <c r="F50" s="372">
        <f>Input!$IO$28</f>
        <v>0</v>
      </c>
      <c r="G50" s="372">
        <f>Input!$IP$28</f>
        <v>0</v>
      </c>
      <c r="H50" s="372">
        <f>Input!$IQ$28</f>
        <v>150729</v>
      </c>
      <c r="I50" s="372">
        <f>Input!$IR$28</f>
        <v>4746822</v>
      </c>
      <c r="J50" s="372">
        <f>Input!$IS$28</f>
        <v>0</v>
      </c>
      <c r="K50" s="372">
        <f>Input!$IT$28</f>
        <v>0</v>
      </c>
      <c r="L50" s="372">
        <f>Input!$IU$28</f>
        <v>0</v>
      </c>
      <c r="M50" s="373">
        <f t="shared" ref="M50:M57" si="9">D50+E50+F50+G50+H50+I50+J50+K50+L50</f>
        <v>5612432</v>
      </c>
      <c r="N50" s="160"/>
      <c r="O50" s="273"/>
      <c r="U50" s="275"/>
    </row>
    <row r="51" spans="1:28">
      <c r="A51" s="184">
        <v>34</v>
      </c>
      <c r="B51" s="160" t="s">
        <v>9</v>
      </c>
      <c r="C51" s="160"/>
      <c r="D51" s="372">
        <f>Input!$IV$28</f>
        <v>0</v>
      </c>
      <c r="E51" s="372">
        <f>Input!$IW$28</f>
        <v>0</v>
      </c>
      <c r="F51" s="372">
        <f>Input!$IX$28</f>
        <v>0</v>
      </c>
      <c r="G51" s="372">
        <f>Input!$IY$28</f>
        <v>0</v>
      </c>
      <c r="H51" s="372">
        <f>Input!$IZ$28</f>
        <v>0</v>
      </c>
      <c r="I51" s="372">
        <f>Input!$JA$28</f>
        <v>0</v>
      </c>
      <c r="J51" s="372">
        <f>Input!$JB$28</f>
        <v>0</v>
      </c>
      <c r="K51" s="372">
        <f>Input!$JC$28</f>
        <v>0</v>
      </c>
      <c r="L51" s="372">
        <f>Input!$JD$28</f>
        <v>0</v>
      </c>
      <c r="M51" s="376">
        <f t="shared" si="9"/>
        <v>0</v>
      </c>
      <c r="N51" s="160"/>
      <c r="Y51" s="277"/>
    </row>
    <row r="52" spans="1:28">
      <c r="A52" s="184">
        <v>35</v>
      </c>
      <c r="B52" s="160" t="s">
        <v>10</v>
      </c>
      <c r="C52" s="160"/>
      <c r="D52" s="372">
        <f>Input!$JE$28</f>
        <v>0</v>
      </c>
      <c r="E52" s="372">
        <f>Input!$JF$28</f>
        <v>0</v>
      </c>
      <c r="F52" s="372">
        <f>Input!$JG$28</f>
        <v>0</v>
      </c>
      <c r="G52" s="372">
        <f>Input!$JH$28</f>
        <v>3222832</v>
      </c>
      <c r="H52" s="372">
        <f>Input!$JI$28</f>
        <v>0</v>
      </c>
      <c r="I52" s="372">
        <f>Input!$JJ$28</f>
        <v>5807</v>
      </c>
      <c r="J52" s="372">
        <f>Input!$JK$28</f>
        <v>0</v>
      </c>
      <c r="K52" s="372">
        <f>Input!$JL$28</f>
        <v>0</v>
      </c>
      <c r="L52" s="372">
        <f>Input!$JM$28</f>
        <v>0</v>
      </c>
      <c r="M52" s="373">
        <f t="shared" si="9"/>
        <v>3228639</v>
      </c>
      <c r="N52" s="160"/>
      <c r="O52" s="273"/>
      <c r="P52" s="278"/>
    </row>
    <row r="53" spans="1:28">
      <c r="A53" s="184">
        <v>36</v>
      </c>
      <c r="B53" s="160" t="s">
        <v>11</v>
      </c>
      <c r="C53" s="160"/>
      <c r="D53" s="372">
        <f>Input!$JN$28</f>
        <v>0</v>
      </c>
      <c r="E53" s="372">
        <f>Input!$JO$28</f>
        <v>2089098</v>
      </c>
      <c r="F53" s="372">
        <f>Input!$JP$28</f>
        <v>0</v>
      </c>
      <c r="G53" s="372">
        <f>Input!$JQ$28</f>
        <v>0</v>
      </c>
      <c r="H53" s="372">
        <f>Input!$JR$28</f>
        <v>0</v>
      </c>
      <c r="I53" s="372">
        <f>Input!$JS$28</f>
        <v>0</v>
      </c>
      <c r="J53" s="372">
        <f>Input!$JT$28</f>
        <v>0</v>
      </c>
      <c r="K53" s="372">
        <f>Input!$JU$28</f>
        <v>0</v>
      </c>
      <c r="L53" s="372">
        <f>Input!$JV$28</f>
        <v>0</v>
      </c>
      <c r="M53" s="373">
        <f t="shared" si="9"/>
        <v>2089098</v>
      </c>
      <c r="N53" s="160"/>
      <c r="O53" s="273"/>
    </row>
    <row r="54" spans="1:28" ht="13.5" thickBot="1">
      <c r="A54" s="184">
        <v>37</v>
      </c>
      <c r="B54" s="177" t="s">
        <v>2134</v>
      </c>
      <c r="C54" s="177"/>
      <c r="D54" s="372">
        <f>Input!$JW$28</f>
        <v>0</v>
      </c>
      <c r="E54" s="372">
        <f>Input!$JX$28</f>
        <v>0</v>
      </c>
      <c r="F54" s="372">
        <f>Input!$JY$28</f>
        <v>895121</v>
      </c>
      <c r="G54" s="372">
        <f>Input!$JZ$28</f>
        <v>0</v>
      </c>
      <c r="H54" s="372">
        <f>Input!$KA$28</f>
        <v>0</v>
      </c>
      <c r="I54" s="372">
        <f>Input!$KB$28</f>
        <v>0</v>
      </c>
      <c r="J54" s="372">
        <f>Input!$KC$28</f>
        <v>0</v>
      </c>
      <c r="K54" s="372">
        <f>Input!$KD$28</f>
        <v>0</v>
      </c>
      <c r="L54" s="372">
        <f>Input!$KE$28</f>
        <v>0</v>
      </c>
      <c r="M54" s="373">
        <f t="shared" si="9"/>
        <v>895121</v>
      </c>
      <c r="N54" s="160"/>
      <c r="O54" s="273"/>
    </row>
    <row r="55" spans="1:28" ht="14.25" thickTop="1" thickBot="1">
      <c r="A55" s="184">
        <v>38</v>
      </c>
      <c r="B55" s="160" t="s">
        <v>43</v>
      </c>
      <c r="C55" s="160"/>
      <c r="D55" s="372">
        <f>Input!$KF$28</f>
        <v>0</v>
      </c>
      <c r="E55" s="372">
        <f>Input!$KG$28</f>
        <v>3323000</v>
      </c>
      <c r="F55" s="372">
        <f>Input!$KH$28</f>
        <v>2816194</v>
      </c>
      <c r="G55" s="372">
        <f>Input!$KI$28</f>
        <v>926764</v>
      </c>
      <c r="H55" s="372">
        <f>Input!$KJ$28</f>
        <v>0</v>
      </c>
      <c r="I55" s="372">
        <f>Input!$KK$28</f>
        <v>0</v>
      </c>
      <c r="J55" s="372">
        <f>Input!$KL$28</f>
        <v>0</v>
      </c>
      <c r="K55" s="372">
        <f>Input!$KM$28</f>
        <v>0</v>
      </c>
      <c r="L55" s="372">
        <f>Input!$KN$28</f>
        <v>0</v>
      </c>
      <c r="M55" s="373">
        <f t="shared" si="9"/>
        <v>7065958</v>
      </c>
      <c r="N55" s="160"/>
      <c r="O55" s="1616" t="s">
        <v>251</v>
      </c>
      <c r="P55" s="1617"/>
      <c r="Q55" s="1617"/>
      <c r="R55" s="1618"/>
      <c r="S55" s="437"/>
      <c r="T55" s="1619" t="s">
        <v>252</v>
      </c>
      <c r="U55" s="1620"/>
      <c r="V55" s="1620"/>
      <c r="W55" s="1620"/>
      <c r="X55" s="1621"/>
      <c r="Y55" s="320"/>
      <c r="Z55" s="1749" t="s">
        <v>1301</v>
      </c>
      <c r="AA55" s="1750"/>
      <c r="AB55" s="1751"/>
    </row>
    <row r="56" spans="1:28" ht="13.5" customHeight="1" thickTop="1">
      <c r="A56" s="184">
        <v>39</v>
      </c>
      <c r="B56" s="176" t="s">
        <v>3</v>
      </c>
      <c r="C56" s="176"/>
      <c r="D56" s="374">
        <f>SUM(D50:D55)</f>
        <v>24939</v>
      </c>
      <c r="E56" s="374">
        <f t="shared" ref="E56:L56" si="10">SUM(E50:E55)</f>
        <v>6102040</v>
      </c>
      <c r="F56" s="374">
        <f t="shared" si="10"/>
        <v>3711315</v>
      </c>
      <c r="G56" s="374">
        <f t="shared" si="10"/>
        <v>4149596</v>
      </c>
      <c r="H56" s="374">
        <f t="shared" si="10"/>
        <v>150729</v>
      </c>
      <c r="I56" s="374">
        <f t="shared" si="10"/>
        <v>4752629</v>
      </c>
      <c r="J56" s="374">
        <f t="shared" si="10"/>
        <v>0</v>
      </c>
      <c r="K56" s="374">
        <f t="shared" si="10"/>
        <v>0</v>
      </c>
      <c r="L56" s="374">
        <f t="shared" si="10"/>
        <v>0</v>
      </c>
      <c r="M56" s="374">
        <f t="shared" si="9"/>
        <v>18891248</v>
      </c>
      <c r="N56" s="160"/>
      <c r="O56" s="1622" t="s">
        <v>1135</v>
      </c>
      <c r="P56" s="1625" t="s">
        <v>254</v>
      </c>
      <c r="Q56" s="1625" t="s">
        <v>292</v>
      </c>
      <c r="R56" s="1628" t="s">
        <v>1063</v>
      </c>
      <c r="S56" s="280"/>
      <c r="T56" s="1739" t="s">
        <v>1136</v>
      </c>
      <c r="U56" s="1637" t="s">
        <v>254</v>
      </c>
      <c r="V56" s="1634" t="s">
        <v>256</v>
      </c>
      <c r="W56" s="1637" t="s">
        <v>257</v>
      </c>
      <c r="X56" s="1638" t="s">
        <v>1064</v>
      </c>
      <c r="Z56" s="1754" t="s">
        <v>1302</v>
      </c>
      <c r="AA56" s="1747" t="s">
        <v>1303</v>
      </c>
      <c r="AB56" s="1752" t="s">
        <v>238</v>
      </c>
    </row>
    <row r="57" spans="1:28">
      <c r="A57" s="184">
        <v>40</v>
      </c>
      <c r="B57" s="162" t="s">
        <v>68</v>
      </c>
      <c r="C57" s="162"/>
      <c r="D57" s="374">
        <f>D15+D44+D47+D56</f>
        <v>57681237</v>
      </c>
      <c r="E57" s="374">
        <f t="shared" ref="E57:L57" si="11">E15+E44+E47+E56</f>
        <v>58365500</v>
      </c>
      <c r="F57" s="374">
        <f t="shared" si="11"/>
        <v>10023758</v>
      </c>
      <c r="G57" s="374">
        <f t="shared" si="11"/>
        <v>73650239</v>
      </c>
      <c r="H57" s="374">
        <f t="shared" si="11"/>
        <v>150729</v>
      </c>
      <c r="I57" s="374">
        <f t="shared" si="11"/>
        <v>4752629</v>
      </c>
      <c r="J57" s="374">
        <f t="shared" si="11"/>
        <v>0</v>
      </c>
      <c r="K57" s="374">
        <f t="shared" si="11"/>
        <v>0</v>
      </c>
      <c r="L57" s="374">
        <f t="shared" si="11"/>
        <v>0</v>
      </c>
      <c r="M57" s="374">
        <f t="shared" si="9"/>
        <v>204624092</v>
      </c>
      <c r="N57" s="160"/>
      <c r="O57" s="1623"/>
      <c r="P57" s="1626"/>
      <c r="Q57" s="1626"/>
      <c r="R57" s="1629"/>
      <c r="S57" s="280"/>
      <c r="T57" s="1740"/>
      <c r="U57" s="1626"/>
      <c r="V57" s="1635"/>
      <c r="W57" s="1626"/>
      <c r="X57" s="1639"/>
      <c r="Z57" s="1755"/>
      <c r="AA57" s="1747"/>
      <c r="AB57" s="1752"/>
    </row>
    <row r="58" spans="1:28">
      <c r="A58" s="184">
        <v>41</v>
      </c>
      <c r="B58" s="160"/>
      <c r="C58" s="160"/>
      <c r="D58" s="373"/>
      <c r="E58" s="373"/>
      <c r="F58" s="373"/>
      <c r="G58" s="373"/>
      <c r="H58" s="373"/>
      <c r="I58" s="373"/>
      <c r="J58" s="373"/>
      <c r="K58" s="373"/>
      <c r="L58" s="373"/>
      <c r="M58" s="373"/>
      <c r="N58" s="160"/>
      <c r="O58" s="1623"/>
      <c r="P58" s="1626"/>
      <c r="Q58" s="1626"/>
      <c r="R58" s="1629"/>
      <c r="S58" s="280"/>
      <c r="T58" s="1740"/>
      <c r="U58" s="1626"/>
      <c r="V58" s="1635"/>
      <c r="W58" s="1626"/>
      <c r="X58" s="1639"/>
      <c r="Z58" s="1755"/>
      <c r="AA58" s="1747"/>
      <c r="AB58" s="1752"/>
    </row>
    <row r="59" spans="1:28" ht="14.25" customHeight="1">
      <c r="A59" s="184">
        <v>42</v>
      </c>
      <c r="B59" s="174" t="s">
        <v>72</v>
      </c>
      <c r="C59" s="174"/>
      <c r="D59" s="377"/>
      <c r="E59" s="377"/>
      <c r="F59" s="377"/>
      <c r="G59" s="1746" t="str">
        <f>IF(OR(P105&gt;0,P106&lt;&gt;0,P107&lt;&gt;0),"Do not Enter Cents - Whole Dollars Only","")</f>
        <v/>
      </c>
      <c r="H59" s="1746"/>
      <c r="I59" s="1746"/>
      <c r="J59" s="1746"/>
      <c r="K59" s="1746"/>
      <c r="L59" s="377"/>
      <c r="M59" s="377"/>
      <c r="N59" s="160"/>
      <c r="O59" s="1624"/>
      <c r="P59" s="1627"/>
      <c r="Q59" s="1627"/>
      <c r="R59" s="1630"/>
      <c r="S59" s="280"/>
      <c r="T59" s="1741"/>
      <c r="U59" s="1627"/>
      <c r="V59" s="1636"/>
      <c r="W59" s="1627"/>
      <c r="X59" s="1640"/>
      <c r="Z59" s="1756"/>
      <c r="AA59" s="1748"/>
      <c r="AB59" s="1753"/>
    </row>
    <row r="60" spans="1:28" ht="13.5" thickBot="1">
      <c r="A60" s="184">
        <v>43</v>
      </c>
      <c r="B60" s="160" t="s">
        <v>14</v>
      </c>
      <c r="C60" s="160"/>
      <c r="D60" s="372">
        <f>Input!$KO$28</f>
        <v>34664000</v>
      </c>
      <c r="E60" s="372">
        <f>Input!$KP$28</f>
        <v>14932767</v>
      </c>
      <c r="F60" s="372">
        <f>Input!$KQ$28</f>
        <v>0</v>
      </c>
      <c r="G60" s="372">
        <f>Input!$KR$28</f>
        <v>1306103</v>
      </c>
      <c r="H60" s="372">
        <f>Input!$KS$28</f>
        <v>0</v>
      </c>
      <c r="I60" s="372">
        <f>Input!$KT$28</f>
        <v>0</v>
      </c>
      <c r="J60" s="372">
        <f>Input!$KU$28</f>
        <v>0</v>
      </c>
      <c r="K60" s="372">
        <f>Input!$KV$28</f>
        <v>0</v>
      </c>
      <c r="L60" s="372">
        <f>Input!$KW$28</f>
        <v>0</v>
      </c>
      <c r="M60" s="373">
        <f t="shared" ref="M60:M71" si="12">D60+E60+F60+G60+H60+I60+J60+K60+L60</f>
        <v>50902870</v>
      </c>
      <c r="N60" s="160"/>
      <c r="O60" s="282">
        <f>D60+E60+G60+J60</f>
        <v>50902870</v>
      </c>
      <c r="P60" s="518">
        <f>Input!$SS$28</f>
        <v>69282</v>
      </c>
      <c r="Q60" s="438" t="s">
        <v>259</v>
      </c>
      <c r="R60" s="284">
        <f>SUM(O60:P60)</f>
        <v>50972152</v>
      </c>
      <c r="S60" s="439"/>
      <c r="T60" s="286">
        <f t="shared" ref="T60:T67" si="13">D60+E60+G60</f>
        <v>50902870</v>
      </c>
      <c r="U60" s="287">
        <f t="shared" ref="U60:U67" si="14">P60</f>
        <v>69282</v>
      </c>
      <c r="V60" s="289">
        <f>Input!$TC$28</f>
        <v>0</v>
      </c>
      <c r="W60" s="289">
        <f>Input!$TK$28</f>
        <v>0</v>
      </c>
      <c r="X60" s="290">
        <f t="shared" ref="X60:X66" si="15">T60+U60-V60-W60</f>
        <v>50972152</v>
      </c>
      <c r="Z60" s="292" t="s">
        <v>14</v>
      </c>
      <c r="AA60" s="520">
        <f>Input!$TS$28</f>
        <v>50902870</v>
      </c>
      <c r="AB60" s="293">
        <f t="shared" ref="AB60:AB68" si="16">AA60-M60</f>
        <v>0</v>
      </c>
    </row>
    <row r="61" spans="1:28" ht="14.25" thickTop="1" thickBot="1">
      <c r="A61" s="184">
        <v>44</v>
      </c>
      <c r="B61" s="160" t="s">
        <v>15</v>
      </c>
      <c r="C61" s="160"/>
      <c r="D61" s="372">
        <f>Input!$KX$28</f>
        <v>241704</v>
      </c>
      <c r="E61" s="372">
        <f>Input!$KY$28</f>
        <v>369226</v>
      </c>
      <c r="F61" s="372">
        <f>Input!$KZ$28</f>
        <v>0</v>
      </c>
      <c r="G61" s="372">
        <f>Input!$LA$28</f>
        <v>1429385</v>
      </c>
      <c r="H61" s="372">
        <f>Input!$LB$28</f>
        <v>0</v>
      </c>
      <c r="I61" s="372">
        <f>Input!$LC$28</f>
        <v>0</v>
      </c>
      <c r="J61" s="372">
        <f>Input!$LD$28</f>
        <v>0</v>
      </c>
      <c r="K61" s="372">
        <f>Input!$LE$28</f>
        <v>0</v>
      </c>
      <c r="L61" s="372">
        <f>Input!$LF$28</f>
        <v>0</v>
      </c>
      <c r="M61" s="373">
        <f t="shared" si="12"/>
        <v>2040315</v>
      </c>
      <c r="N61" s="160"/>
      <c r="O61" s="440">
        <f t="shared" ref="O61:O67" si="17">D61+E61+G61+J61</f>
        <v>2040315</v>
      </c>
      <c r="P61" s="518">
        <f>Input!$ST$28</f>
        <v>0</v>
      </c>
      <c r="Q61" s="441" t="s">
        <v>259</v>
      </c>
      <c r="R61" s="295">
        <f>SUM(O61:P61)</f>
        <v>2040315</v>
      </c>
      <c r="S61" s="442"/>
      <c r="T61" s="296">
        <f t="shared" si="13"/>
        <v>2040315</v>
      </c>
      <c r="U61" s="297">
        <f t="shared" si="14"/>
        <v>0</v>
      </c>
      <c r="V61" s="299">
        <f>Input!$TD$28</f>
        <v>17588</v>
      </c>
      <c r="W61" s="299">
        <f>Input!$TL$28</f>
        <v>0</v>
      </c>
      <c r="X61" s="300">
        <f t="shared" si="15"/>
        <v>2022727</v>
      </c>
      <c r="Z61" s="292" t="s">
        <v>15</v>
      </c>
      <c r="AA61" s="518">
        <f>Input!$TT$28</f>
        <v>2040315</v>
      </c>
      <c r="AB61" s="301">
        <f t="shared" si="16"/>
        <v>0</v>
      </c>
    </row>
    <row r="62" spans="1:28" ht="13.5" thickTop="1">
      <c r="A62" s="184">
        <v>45</v>
      </c>
      <c r="B62" s="160" t="s">
        <v>16</v>
      </c>
      <c r="C62" s="160"/>
      <c r="D62" s="372">
        <f>Input!$LG$28</f>
        <v>176731</v>
      </c>
      <c r="E62" s="372">
        <f>Input!$LH$28</f>
        <v>1943565</v>
      </c>
      <c r="F62" s="372">
        <f>Input!$LI$28</f>
        <v>0</v>
      </c>
      <c r="G62" s="372">
        <f>Input!$LJ$28</f>
        <v>535262</v>
      </c>
      <c r="H62" s="372">
        <f>Input!$LK$28</f>
        <v>0</v>
      </c>
      <c r="I62" s="372">
        <f>Input!$LL$28</f>
        <v>0</v>
      </c>
      <c r="J62" s="372">
        <f>Input!$LM$28</f>
        <v>0</v>
      </c>
      <c r="K62" s="372">
        <f>Input!$LN$28</f>
        <v>0</v>
      </c>
      <c r="L62" s="372">
        <f>Input!$LO$28</f>
        <v>0</v>
      </c>
      <c r="M62" s="373">
        <f t="shared" si="12"/>
        <v>2655558</v>
      </c>
      <c r="N62" s="160"/>
      <c r="O62" s="440">
        <f t="shared" si="17"/>
        <v>2655558</v>
      </c>
      <c r="P62" s="518">
        <f>Input!$SU$28</f>
        <v>0</v>
      </c>
      <c r="Q62" s="441" t="s">
        <v>259</v>
      </c>
      <c r="R62" s="302" t="s">
        <v>259</v>
      </c>
      <c r="S62" s="442"/>
      <c r="T62" s="296">
        <f t="shared" si="13"/>
        <v>2655558</v>
      </c>
      <c r="U62" s="297">
        <f t="shared" si="14"/>
        <v>0</v>
      </c>
      <c r="V62" s="299">
        <f>Input!$TE$28</f>
        <v>0</v>
      </c>
      <c r="W62" s="299">
        <f>Input!$TM$28</f>
        <v>0</v>
      </c>
      <c r="X62" s="303">
        <f t="shared" si="15"/>
        <v>2655558</v>
      </c>
      <c r="Z62" s="292" t="s">
        <v>16</v>
      </c>
      <c r="AA62" s="518">
        <f>Input!$TU$28</f>
        <v>2655558</v>
      </c>
      <c r="AB62" s="301">
        <f t="shared" si="16"/>
        <v>0</v>
      </c>
    </row>
    <row r="63" spans="1:28">
      <c r="A63" s="184">
        <v>46</v>
      </c>
      <c r="B63" s="160" t="s">
        <v>17</v>
      </c>
      <c r="C63" s="160"/>
      <c r="D63" s="372">
        <f>Input!$LP$28</f>
        <v>5534404</v>
      </c>
      <c r="E63" s="372">
        <f>Input!$LQ$28</f>
        <v>20507793</v>
      </c>
      <c r="F63" s="372">
        <f>Input!$LR$28</f>
        <v>0</v>
      </c>
      <c r="G63" s="372">
        <f>Input!$LS$28</f>
        <v>9001824</v>
      </c>
      <c r="H63" s="372">
        <f>Input!$LT$28</f>
        <v>0</v>
      </c>
      <c r="I63" s="372">
        <f>Input!$LU$28</f>
        <v>0</v>
      </c>
      <c r="J63" s="372">
        <f>Input!$LV$28</f>
        <v>0</v>
      </c>
      <c r="K63" s="372">
        <f>Input!$LW$28</f>
        <v>0</v>
      </c>
      <c r="L63" s="372">
        <f>Input!$LX$28</f>
        <v>0</v>
      </c>
      <c r="M63" s="373">
        <f t="shared" si="12"/>
        <v>35044021</v>
      </c>
      <c r="N63" s="160"/>
      <c r="O63" s="440">
        <f t="shared" si="17"/>
        <v>35044021</v>
      </c>
      <c r="P63" s="518">
        <f>Input!$SV$28</f>
        <v>2282680</v>
      </c>
      <c r="Q63" s="441" t="s">
        <v>259</v>
      </c>
      <c r="R63" s="295">
        <f t="shared" ref="R63:R65" si="18">SUM(O63:P63)</f>
        <v>37326701</v>
      </c>
      <c r="S63" s="442"/>
      <c r="T63" s="296">
        <f t="shared" si="13"/>
        <v>35044021</v>
      </c>
      <c r="U63" s="297">
        <f t="shared" si="14"/>
        <v>2282680</v>
      </c>
      <c r="V63" s="299">
        <f>Input!$TF$28</f>
        <v>0</v>
      </c>
      <c r="W63" s="299">
        <f>Input!$TN$28</f>
        <v>0</v>
      </c>
      <c r="X63" s="303">
        <f t="shared" si="15"/>
        <v>37326701</v>
      </c>
      <c r="Z63" s="292" t="s">
        <v>17</v>
      </c>
      <c r="AA63" s="518">
        <f>Input!$TV$28</f>
        <v>35044021</v>
      </c>
      <c r="AB63" s="301">
        <f t="shared" si="16"/>
        <v>0</v>
      </c>
    </row>
    <row r="64" spans="1:28">
      <c r="A64" s="184">
        <v>47</v>
      </c>
      <c r="B64" s="160" t="s">
        <v>18</v>
      </c>
      <c r="C64" s="160"/>
      <c r="D64" s="372">
        <f>Input!$LY$28</f>
        <v>1219606</v>
      </c>
      <c r="E64" s="372">
        <f>Input!$LZ$28</f>
        <v>5863375</v>
      </c>
      <c r="F64" s="372">
        <f>Input!$MA$28</f>
        <v>0</v>
      </c>
      <c r="G64" s="372">
        <f>Input!$MB$28</f>
        <v>96428</v>
      </c>
      <c r="H64" s="372">
        <f>Input!$MC$28</f>
        <v>0</v>
      </c>
      <c r="I64" s="372">
        <f>Input!$MD$28</f>
        <v>0</v>
      </c>
      <c r="J64" s="372">
        <f>Input!$ME$28</f>
        <v>0</v>
      </c>
      <c r="K64" s="372">
        <f>Input!$MF$28</f>
        <v>0</v>
      </c>
      <c r="L64" s="372">
        <f>Input!$MG$28</f>
        <v>0</v>
      </c>
      <c r="M64" s="373">
        <f t="shared" si="12"/>
        <v>7179409</v>
      </c>
      <c r="N64" s="160"/>
      <c r="O64" s="440">
        <f t="shared" si="17"/>
        <v>7179409</v>
      </c>
      <c r="P64" s="518">
        <f>Input!$SW$28</f>
        <v>30321</v>
      </c>
      <c r="Q64" s="518">
        <f>Input!$TB$28</f>
        <v>0</v>
      </c>
      <c r="R64" s="295">
        <f>SUM(O64:P64)-Q64</f>
        <v>7209730</v>
      </c>
      <c r="S64" s="442"/>
      <c r="T64" s="296">
        <f t="shared" si="13"/>
        <v>7179409</v>
      </c>
      <c r="U64" s="297">
        <f t="shared" si="14"/>
        <v>30321</v>
      </c>
      <c r="V64" s="299">
        <f>Input!$TG$28</f>
        <v>0</v>
      </c>
      <c r="W64" s="299">
        <f>Input!$TO$28</f>
        <v>0</v>
      </c>
      <c r="X64" s="303">
        <f t="shared" si="15"/>
        <v>7209730</v>
      </c>
      <c r="Z64" s="292" t="s">
        <v>18</v>
      </c>
      <c r="AA64" s="518">
        <f>Input!$TW$28</f>
        <v>7179409</v>
      </c>
      <c r="AB64" s="301">
        <f t="shared" si="16"/>
        <v>0</v>
      </c>
    </row>
    <row r="65" spans="1:28">
      <c r="A65" s="184">
        <v>48</v>
      </c>
      <c r="B65" s="160" t="s">
        <v>19</v>
      </c>
      <c r="C65" s="160"/>
      <c r="D65" s="372">
        <f>Input!$MH$28</f>
        <v>7565426</v>
      </c>
      <c r="E65" s="372">
        <f>Input!$MI$28</f>
        <v>16559114</v>
      </c>
      <c r="F65" s="372">
        <f>Input!$MJ$28</f>
        <v>0</v>
      </c>
      <c r="G65" s="372">
        <f>Input!$MK$28</f>
        <v>-101925</v>
      </c>
      <c r="H65" s="372">
        <f>Input!$ML$28</f>
        <v>0</v>
      </c>
      <c r="I65" s="372">
        <f>Input!$MM$28</f>
        <v>0</v>
      </c>
      <c r="J65" s="372">
        <f>Input!$MN$28</f>
        <v>0</v>
      </c>
      <c r="K65" s="372">
        <f>Input!$MO$28</f>
        <v>0</v>
      </c>
      <c r="L65" s="372">
        <f>Input!$MP$28</f>
        <v>0</v>
      </c>
      <c r="M65" s="373">
        <f t="shared" si="12"/>
        <v>24022615</v>
      </c>
      <c r="N65" s="160"/>
      <c r="O65" s="440">
        <f t="shared" si="17"/>
        <v>24022615</v>
      </c>
      <c r="P65" s="518">
        <f>Input!$SX$28</f>
        <v>27493</v>
      </c>
      <c r="Q65" s="441" t="s">
        <v>259</v>
      </c>
      <c r="R65" s="295">
        <f t="shared" si="18"/>
        <v>24050108</v>
      </c>
      <c r="S65" s="442"/>
      <c r="T65" s="296">
        <f t="shared" si="13"/>
        <v>24022615</v>
      </c>
      <c r="U65" s="297">
        <f t="shared" si="14"/>
        <v>27493</v>
      </c>
      <c r="V65" s="299">
        <f>Input!$TH$28</f>
        <v>0</v>
      </c>
      <c r="W65" s="299">
        <f>Input!$TP$28</f>
        <v>0</v>
      </c>
      <c r="X65" s="303">
        <f t="shared" si="15"/>
        <v>24050108</v>
      </c>
      <c r="Z65" s="292" t="s">
        <v>19</v>
      </c>
      <c r="AA65" s="518">
        <f>Input!$TX$28</f>
        <v>24022615</v>
      </c>
      <c r="AB65" s="301">
        <f t="shared" si="16"/>
        <v>0</v>
      </c>
    </row>
    <row r="66" spans="1:28">
      <c r="A66" s="184">
        <v>49</v>
      </c>
      <c r="B66" s="160" t="s">
        <v>20</v>
      </c>
      <c r="C66" s="160"/>
      <c r="D66" s="372">
        <f>Input!$MQ$28</f>
        <v>3074520</v>
      </c>
      <c r="E66" s="372">
        <f>Input!$MR$28</f>
        <v>5350693</v>
      </c>
      <c r="F66" s="372">
        <f>Input!$MS$28</f>
        <v>0</v>
      </c>
      <c r="G66" s="372">
        <f>Input!$MT$28</f>
        <v>1466</v>
      </c>
      <c r="H66" s="372">
        <f>Input!$MU$28</f>
        <v>0</v>
      </c>
      <c r="I66" s="372">
        <f>Input!$MV$28</f>
        <v>0</v>
      </c>
      <c r="J66" s="372">
        <f>Input!$MW$28</f>
        <v>0</v>
      </c>
      <c r="K66" s="372">
        <f>Input!$MX$28</f>
        <v>0</v>
      </c>
      <c r="L66" s="372">
        <f>Input!$MY$28</f>
        <v>0</v>
      </c>
      <c r="M66" s="373">
        <f t="shared" si="12"/>
        <v>8426679</v>
      </c>
      <c r="N66" s="160"/>
      <c r="O66" s="440">
        <f t="shared" si="17"/>
        <v>8426679</v>
      </c>
      <c r="P66" s="518">
        <f>Input!$SY$28</f>
        <v>57547</v>
      </c>
      <c r="Q66" s="441" t="s">
        <v>259</v>
      </c>
      <c r="R66" s="304" t="s">
        <v>259</v>
      </c>
      <c r="S66" s="442"/>
      <c r="T66" s="296">
        <f t="shared" si="13"/>
        <v>8426679</v>
      </c>
      <c r="U66" s="297">
        <f t="shared" si="14"/>
        <v>57547</v>
      </c>
      <c r="V66" s="299">
        <f>Input!$TI$28</f>
        <v>0</v>
      </c>
      <c r="W66" s="299">
        <f>Input!$TQ$28</f>
        <v>0</v>
      </c>
      <c r="X66" s="303">
        <f t="shared" si="15"/>
        <v>8484226</v>
      </c>
      <c r="Z66" s="292" t="s">
        <v>260</v>
      </c>
      <c r="AA66" s="518">
        <f>Input!$TY$28</f>
        <v>8426679</v>
      </c>
      <c r="AB66" s="301">
        <f t="shared" si="16"/>
        <v>0</v>
      </c>
    </row>
    <row r="67" spans="1:28" ht="13.5" thickBot="1">
      <c r="A67" s="184">
        <v>50</v>
      </c>
      <c r="B67" s="160" t="s">
        <v>21</v>
      </c>
      <c r="C67" s="160"/>
      <c r="D67" s="372">
        <f>Input!$MZ$28</f>
        <v>1031905</v>
      </c>
      <c r="E67" s="372">
        <f>Input!$NA$28</f>
        <v>6228545</v>
      </c>
      <c r="F67" s="372">
        <f>Input!$NB$28</f>
        <v>0</v>
      </c>
      <c r="G67" s="372">
        <f>Input!$NC$28</f>
        <v>26779359</v>
      </c>
      <c r="H67" s="372">
        <f>Input!$ND$28</f>
        <v>0</v>
      </c>
      <c r="I67" s="372">
        <f>Input!$NE$28</f>
        <v>0</v>
      </c>
      <c r="J67" s="372">
        <f>Input!$NF$28</f>
        <v>0</v>
      </c>
      <c r="K67" s="372">
        <f>Input!$NG$28</f>
        <v>0</v>
      </c>
      <c r="L67" s="372">
        <f>Input!$NH$28</f>
        <v>0</v>
      </c>
      <c r="M67" s="373">
        <f t="shared" si="12"/>
        <v>34039809</v>
      </c>
      <c r="N67" s="160"/>
      <c r="O67" s="440">
        <f t="shared" si="17"/>
        <v>34039809</v>
      </c>
      <c r="P67" s="518">
        <f>Input!$SZ$28</f>
        <v>0</v>
      </c>
      <c r="Q67" s="441" t="s">
        <v>259</v>
      </c>
      <c r="R67" s="304" t="s">
        <v>259</v>
      </c>
      <c r="S67" s="442"/>
      <c r="T67" s="306">
        <f t="shared" si="13"/>
        <v>34039809</v>
      </c>
      <c r="U67" s="307">
        <f t="shared" si="14"/>
        <v>0</v>
      </c>
      <c r="V67" s="308">
        <f>Input!$TJ$28</f>
        <v>0</v>
      </c>
      <c r="W67" s="308">
        <f>Input!$TR$28</f>
        <v>0</v>
      </c>
      <c r="X67" s="303">
        <f>U67+T67-V67-W67</f>
        <v>34039809</v>
      </c>
      <c r="Z67" s="292" t="s">
        <v>21</v>
      </c>
      <c r="AA67" s="518">
        <f>Input!$TZ$28</f>
        <v>34039809</v>
      </c>
      <c r="AB67" s="301">
        <f t="shared" si="16"/>
        <v>0</v>
      </c>
    </row>
    <row r="68" spans="1:28" ht="14.25" thickTop="1" thickBot="1">
      <c r="A68" s="184">
        <v>51</v>
      </c>
      <c r="B68" s="160" t="s">
        <v>2135</v>
      </c>
      <c r="C68" s="160"/>
      <c r="D68" s="372">
        <f>Input!$NI$28</f>
        <v>0</v>
      </c>
      <c r="E68" s="372">
        <f>Input!$NJ$28</f>
        <v>0</v>
      </c>
      <c r="F68" s="372">
        <f>Input!$NK$28</f>
        <v>7659361</v>
      </c>
      <c r="G68" s="372">
        <f>Input!$NL$28</f>
        <v>0</v>
      </c>
      <c r="H68" s="372">
        <f>Input!$NM$28</f>
        <v>0</v>
      </c>
      <c r="I68" s="372">
        <f>Input!$NN$28</f>
        <v>0</v>
      </c>
      <c r="J68" s="372">
        <f>Input!$NO$28</f>
        <v>0</v>
      </c>
      <c r="K68" s="372">
        <f>Input!$NP$28</f>
        <v>0</v>
      </c>
      <c r="L68" s="372">
        <f>Input!$NQ$28</f>
        <v>0</v>
      </c>
      <c r="M68" s="373">
        <f t="shared" si="12"/>
        <v>7659361</v>
      </c>
      <c r="N68" s="160"/>
      <c r="O68" s="309" t="s">
        <v>259</v>
      </c>
      <c r="P68" s="519">
        <f>Input!$TA$28</f>
        <v>31528</v>
      </c>
      <c r="Q68" s="444" t="s">
        <v>259</v>
      </c>
      <c r="R68" s="311" t="s">
        <v>259</v>
      </c>
      <c r="S68" s="442"/>
      <c r="T68" s="305"/>
      <c r="U68" s="305"/>
      <c r="V68" s="312" t="s">
        <v>261</v>
      </c>
      <c r="W68" s="313"/>
      <c r="X68" s="314">
        <f>SUM(X60:X67)</f>
        <v>166761011</v>
      </c>
      <c r="Z68" s="292" t="s">
        <v>22</v>
      </c>
      <c r="AA68" s="518">
        <f>Input!$UA$28</f>
        <v>7659361</v>
      </c>
      <c r="AB68" s="301">
        <f t="shared" si="16"/>
        <v>0</v>
      </c>
    </row>
    <row r="69" spans="1:28" ht="14.25" thickTop="1" thickBot="1">
      <c r="A69" s="184">
        <v>52</v>
      </c>
      <c r="B69" s="161" t="s">
        <v>59</v>
      </c>
      <c r="C69" s="161"/>
      <c r="D69" s="372">
        <f>Input!$NR$28</f>
        <v>2006157</v>
      </c>
      <c r="E69" s="372">
        <f>Input!$NS$28</f>
        <v>39679</v>
      </c>
      <c r="F69" s="372">
        <f>Input!$NT$28</f>
        <v>31528</v>
      </c>
      <c r="G69" s="372">
        <f>Input!$NU$28</f>
        <v>421487</v>
      </c>
      <c r="H69" s="372">
        <f>Input!$NV$28</f>
        <v>0</v>
      </c>
      <c r="I69" s="372">
        <f>Input!$NW$28</f>
        <v>0</v>
      </c>
      <c r="J69" s="372">
        <f>Input!$NX$28</f>
        <v>0</v>
      </c>
      <c r="K69" s="372">
        <f>Input!$NY$28</f>
        <v>0</v>
      </c>
      <c r="L69" s="372">
        <f>Input!$NZ$28</f>
        <v>0</v>
      </c>
      <c r="M69" s="373">
        <f t="shared" si="12"/>
        <v>2498851</v>
      </c>
      <c r="N69" s="160"/>
      <c r="O69" s="315"/>
      <c r="P69" s="316">
        <f>SUM(P60:P68)</f>
        <v>2498851</v>
      </c>
      <c r="Q69" s="316">
        <f>SUM(Q64:Q68)</f>
        <v>0</v>
      </c>
      <c r="R69" s="317">
        <f>SUM(R60:R65)</f>
        <v>121599006</v>
      </c>
      <c r="S69" s="316"/>
      <c r="T69" s="305"/>
      <c r="U69" s="305"/>
      <c r="V69" s="305"/>
      <c r="W69" s="277"/>
      <c r="X69" s="277"/>
      <c r="Y69" s="277"/>
      <c r="Z69" s="292" t="s">
        <v>285</v>
      </c>
      <c r="AA69" s="445">
        <f>M88*-1</f>
        <v>12438824</v>
      </c>
      <c r="AB69" s="301">
        <f>AA69+M88</f>
        <v>0</v>
      </c>
    </row>
    <row r="70" spans="1:28" ht="14.25" thickTop="1" thickBot="1">
      <c r="A70" s="184">
        <v>53</v>
      </c>
      <c r="B70" s="178" t="s">
        <v>44</v>
      </c>
      <c r="C70" s="178"/>
      <c r="D70" s="378">
        <f>Input!$OA$28</f>
        <v>181576</v>
      </c>
      <c r="E70" s="378">
        <f>Input!$OB$28</f>
        <v>0</v>
      </c>
      <c r="F70" s="378">
        <f>Input!$OC$28</f>
        <v>0</v>
      </c>
      <c r="G70" s="378">
        <f>Input!$OD$28</f>
        <v>0</v>
      </c>
      <c r="H70" s="378">
        <f>Input!$OE$28</f>
        <v>0</v>
      </c>
      <c r="I70" s="378">
        <f>Input!$OF$28</f>
        <v>1257932</v>
      </c>
      <c r="J70" s="378">
        <f>Input!$OG$28</f>
        <v>1587896</v>
      </c>
      <c r="K70" s="378">
        <f>Input!$OH$28</f>
        <v>0</v>
      </c>
      <c r="L70" s="378">
        <f>Input!$OI$28</f>
        <v>0</v>
      </c>
      <c r="M70" s="373">
        <f t="shared" si="12"/>
        <v>3027404</v>
      </c>
      <c r="N70" s="160"/>
      <c r="O70" s="320"/>
      <c r="P70" s="516" t="str">
        <f>IF(P69&lt;&gt;M69,"Out of Balance","Balanced")</f>
        <v>Balanced</v>
      </c>
      <c r="Q70" s="318"/>
      <c r="R70" s="305"/>
      <c r="S70" s="305"/>
      <c r="T70" s="305"/>
      <c r="U70" s="277"/>
      <c r="V70" s="1738" t="str">
        <f>IF(X68-INT(X68)&lt;&gt;0,"Whole Dollars Only","")</f>
        <v/>
      </c>
      <c r="W70" s="1738"/>
      <c r="X70" s="537"/>
      <c r="Y70" s="319"/>
      <c r="Z70" s="410" t="s">
        <v>262</v>
      </c>
      <c r="AA70" s="446" t="s">
        <v>259</v>
      </c>
      <c r="AB70" s="411">
        <f>M90</f>
        <v>0</v>
      </c>
    </row>
    <row r="71" spans="1:28" ht="13.5" thickTop="1">
      <c r="A71" s="184">
        <v>54</v>
      </c>
      <c r="B71" s="162" t="s">
        <v>69</v>
      </c>
      <c r="C71" s="162"/>
      <c r="D71" s="374">
        <f>SUM(D60:D70)</f>
        <v>55696029</v>
      </c>
      <c r="E71" s="374">
        <f>SUM(E60:E70)</f>
        <v>71794757</v>
      </c>
      <c r="F71" s="374">
        <f t="shared" ref="F71:L71" si="19">SUM(F60:F70)</f>
        <v>7690889</v>
      </c>
      <c r="G71" s="374">
        <f t="shared" si="19"/>
        <v>39469389</v>
      </c>
      <c r="H71" s="374">
        <f t="shared" si="19"/>
        <v>0</v>
      </c>
      <c r="I71" s="374">
        <f t="shared" si="19"/>
        <v>1257932</v>
      </c>
      <c r="J71" s="374">
        <f t="shared" si="19"/>
        <v>1587896</v>
      </c>
      <c r="K71" s="374">
        <f t="shared" si="19"/>
        <v>0</v>
      </c>
      <c r="L71" s="374">
        <f t="shared" si="19"/>
        <v>0</v>
      </c>
      <c r="M71" s="374">
        <f t="shared" si="12"/>
        <v>177496892</v>
      </c>
      <c r="N71" s="160"/>
      <c r="O71" s="322"/>
      <c r="P71" s="1738" t="str">
        <f>IF(P69-INT(P69)&lt;&gt;0,"Whole Dollars Only","")</f>
        <v/>
      </c>
      <c r="Q71" s="1738"/>
      <c r="R71" s="323"/>
      <c r="S71" s="323"/>
      <c r="T71" s="323"/>
      <c r="U71" s="291"/>
      <c r="V71" s="324"/>
      <c r="W71" s="321"/>
      <c r="X71" s="321"/>
      <c r="Y71" s="321"/>
      <c r="Z71" s="318"/>
      <c r="AA71" s="325">
        <f>SUM(AA60:AA70)</f>
        <v>184409461</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Input!$OJ$28</f>
        <v>0</v>
      </c>
      <c r="E74" s="372">
        <f>Input!$OK$28</f>
        <v>0</v>
      </c>
      <c r="F74" s="372">
        <f>Input!$OL$28</f>
        <v>0</v>
      </c>
      <c r="G74" s="372">
        <f>Input!$OM$28</f>
        <v>0</v>
      </c>
      <c r="H74" s="372">
        <f>Input!$ON$28</f>
        <v>0</v>
      </c>
      <c r="I74" s="372">
        <f>Input!$OO$28</f>
        <v>0</v>
      </c>
      <c r="J74" s="372">
        <f>Input!$OP$28</f>
        <v>5734582</v>
      </c>
      <c r="K74" s="372">
        <f>Input!$OQ$28</f>
        <v>0</v>
      </c>
      <c r="L74" s="372">
        <f>Input!$OR$28</f>
        <v>0</v>
      </c>
      <c r="M74" s="373">
        <f>D74+E74+F74+G74+H74+I74+J74+K74+L74</f>
        <v>5734582</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Input!$OS$28</f>
        <v>-3058706</v>
      </c>
      <c r="E75" s="372">
        <f>Input!$OT$28</f>
        <v>26997561</v>
      </c>
      <c r="F75" s="372">
        <f>Input!$OU$28</f>
        <v>579576</v>
      </c>
      <c r="G75" s="372">
        <f>Input!$OV$28</f>
        <v>-36140122</v>
      </c>
      <c r="H75" s="372">
        <f>Input!$OW$28</f>
        <v>250217</v>
      </c>
      <c r="I75" s="372">
        <f>Input!$OX$28</f>
        <v>-267101</v>
      </c>
      <c r="J75" s="372">
        <f>Input!$OY$28</f>
        <v>7682984</v>
      </c>
      <c r="K75" s="372">
        <f>Input!$OZ$28</f>
        <v>12908718</v>
      </c>
      <c r="L75" s="372">
        <f>Input!$PA$28</f>
        <v>14102713</v>
      </c>
      <c r="M75" s="373">
        <f>D75+E75+F75+G75+H75+I75+J75+K75+L75</f>
        <v>23055840</v>
      </c>
      <c r="N75" s="160"/>
      <c r="O75" s="1723" t="str">
        <f>IF(M85&lt;0,"Footnote 11 is N/A - No Data Entry Required","Footnote 11")</f>
        <v>Footnote 11</v>
      </c>
      <c r="P75" s="1724"/>
      <c r="Q75" s="1724"/>
      <c r="R75" s="1725"/>
      <c r="S75" s="330"/>
      <c r="T75" s="330"/>
      <c r="U75" s="327"/>
      <c r="V75" s="276"/>
      <c r="W75" s="331"/>
      <c r="X75" s="331"/>
      <c r="Y75" s="328"/>
      <c r="Z75" s="328"/>
      <c r="AA75" s="276"/>
      <c r="AB75" s="276" t="s">
        <v>293</v>
      </c>
    </row>
    <row r="76" spans="1:28" ht="13.5" thickTop="1">
      <c r="A76" s="184">
        <v>59</v>
      </c>
      <c r="B76" s="160" t="s">
        <v>45</v>
      </c>
      <c r="C76" s="160"/>
      <c r="D76" s="372">
        <f>Input!$PB$28</f>
        <v>0</v>
      </c>
      <c r="E76" s="372">
        <f>Input!$PC$28</f>
        <v>0</v>
      </c>
      <c r="F76" s="372">
        <f>Input!$PD$28</f>
        <v>0</v>
      </c>
      <c r="G76" s="372">
        <f>Input!$PE$28</f>
        <v>0</v>
      </c>
      <c r="H76" s="372">
        <f>Input!$PF$28</f>
        <v>0</v>
      </c>
      <c r="I76" s="372">
        <f>Input!$PG$28</f>
        <v>0</v>
      </c>
      <c r="J76" s="372">
        <f>Input!$PH$28</f>
        <v>0</v>
      </c>
      <c r="K76" s="372">
        <f>Input!$PI$28</f>
        <v>0</v>
      </c>
      <c r="L76" s="372">
        <f>Input!$PJ$28</f>
        <v>0</v>
      </c>
      <c r="M76" s="373">
        <f>D76+E76+F76+G76+H76+I76+J76+K76+L76</f>
        <v>0</v>
      </c>
      <c r="N76" s="160"/>
      <c r="O76" s="487" t="s">
        <v>583</v>
      </c>
      <c r="P76" s="488"/>
      <c r="Q76" s="489"/>
      <c r="R76" s="490">
        <f>IF($M$85&lt;0,"N/A",$M$85)</f>
        <v>50795882</v>
      </c>
      <c r="S76" s="330"/>
      <c r="T76" s="330"/>
      <c r="U76" s="327"/>
      <c r="V76" s="276"/>
      <c r="W76" s="331"/>
      <c r="X76" s="331"/>
      <c r="Y76" s="331"/>
      <c r="Z76" s="331"/>
      <c r="AA76" s="276"/>
      <c r="AB76" s="276"/>
    </row>
    <row r="77" spans="1:28">
      <c r="A77" s="184">
        <v>60</v>
      </c>
      <c r="B77" s="160" t="s">
        <v>46</v>
      </c>
      <c r="C77" s="160"/>
      <c r="D77" s="372">
        <f>Input!$PK$28</f>
        <v>0</v>
      </c>
      <c r="E77" s="372">
        <f>Input!$PL$28</f>
        <v>0</v>
      </c>
      <c r="F77" s="372">
        <f>Input!$PM$28</f>
        <v>0</v>
      </c>
      <c r="G77" s="372">
        <f>Input!$PN$28</f>
        <v>0</v>
      </c>
      <c r="H77" s="372">
        <f>Input!$PO$28</f>
        <v>0</v>
      </c>
      <c r="I77" s="372">
        <f>Input!$PP$28</f>
        <v>0</v>
      </c>
      <c r="J77" s="372">
        <f>Input!$PQ$28</f>
        <v>0</v>
      </c>
      <c r="K77" s="372">
        <f>Input!$PR$28</f>
        <v>-12894562</v>
      </c>
      <c r="L77" s="372">
        <f>Input!$PS$28</f>
        <v>0</v>
      </c>
      <c r="M77" s="373">
        <f>D77+E77+F77+G77+H77+I77+J77+K77+L77</f>
        <v>-12894562</v>
      </c>
      <c r="N77" s="160"/>
      <c r="O77" s="491" t="s">
        <v>584</v>
      </c>
      <c r="P77" s="334"/>
      <c r="Q77" s="334"/>
      <c r="R77" s="521">
        <f>Input!$UB$28</f>
        <v>43023060</v>
      </c>
      <c r="S77" s="330"/>
      <c r="T77" s="330"/>
      <c r="U77" s="327"/>
      <c r="V77" s="276"/>
      <c r="W77" s="331"/>
      <c r="X77" s="331"/>
      <c r="Y77" s="331"/>
      <c r="Z77" s="331"/>
      <c r="AA77" s="276"/>
      <c r="AB77" s="276"/>
    </row>
    <row r="78" spans="1:28">
      <c r="A78" s="184">
        <v>61</v>
      </c>
      <c r="B78" s="162" t="s">
        <v>3</v>
      </c>
      <c r="C78" s="162"/>
      <c r="D78" s="374">
        <f t="shared" ref="D78:L78" si="20">SUM(D74:D77)</f>
        <v>-3058706</v>
      </c>
      <c r="E78" s="374">
        <f t="shared" si="20"/>
        <v>26997561</v>
      </c>
      <c r="F78" s="374">
        <f t="shared" si="20"/>
        <v>579576</v>
      </c>
      <c r="G78" s="374">
        <f t="shared" si="20"/>
        <v>-36140122</v>
      </c>
      <c r="H78" s="374">
        <f t="shared" si="20"/>
        <v>250217</v>
      </c>
      <c r="I78" s="374">
        <f t="shared" si="20"/>
        <v>-267101</v>
      </c>
      <c r="J78" s="374">
        <f t="shared" si="20"/>
        <v>13417566</v>
      </c>
      <c r="K78" s="374">
        <f t="shared" si="20"/>
        <v>14156</v>
      </c>
      <c r="L78" s="374">
        <f t="shared" si="20"/>
        <v>14102713</v>
      </c>
      <c r="M78" s="374">
        <f>D78+E78+F78+G78+H78+I78+J78+K78+L78</f>
        <v>15895860</v>
      </c>
      <c r="N78" s="160"/>
      <c r="O78" s="491" t="s">
        <v>585</v>
      </c>
      <c r="P78" s="276"/>
      <c r="Q78" s="334"/>
      <c r="R78" s="492">
        <f>IF($M$85&lt;0,"",$R$76-$R$77)</f>
        <v>7772822</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3"/>
      <c r="P79" s="276"/>
      <c r="Q79" s="334"/>
      <c r="R79" s="494"/>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5" t="s">
        <v>586</v>
      </c>
      <c r="P80" s="276"/>
      <c r="Q80" s="334"/>
      <c r="R80" s="521">
        <f>Input!$UC$28</f>
        <v>6584394</v>
      </c>
      <c r="S80" s="330"/>
      <c r="T80" s="330"/>
      <c r="U80" s="334"/>
      <c r="V80" s="276"/>
      <c r="W80" s="328"/>
      <c r="X80" s="328"/>
      <c r="Y80" s="331"/>
      <c r="Z80" s="331"/>
      <c r="AA80" s="276"/>
      <c r="AB80" s="276"/>
    </row>
    <row r="81" spans="1:28">
      <c r="A81" s="184">
        <v>64</v>
      </c>
      <c r="B81" s="160" t="s">
        <v>47</v>
      </c>
      <c r="C81" s="160"/>
      <c r="D81" s="372">
        <f>Input!$PT$28</f>
        <v>0</v>
      </c>
      <c r="E81" s="372">
        <f>Input!$PU$28</f>
        <v>-388940</v>
      </c>
      <c r="F81" s="372">
        <f>Input!$PV$28</f>
        <v>0</v>
      </c>
      <c r="G81" s="372">
        <f>Input!$PW$28</f>
        <v>0</v>
      </c>
      <c r="H81" s="372">
        <f>Input!$PX$28</f>
        <v>0</v>
      </c>
      <c r="I81" s="372">
        <f>Input!$PY$28</f>
        <v>6973334</v>
      </c>
      <c r="J81" s="372">
        <f>Input!$PZ$28</f>
        <v>0</v>
      </c>
      <c r="K81" s="372">
        <f>Input!$QA$28</f>
        <v>0</v>
      </c>
      <c r="L81" s="372">
        <f>Input!$QB$28</f>
        <v>0</v>
      </c>
      <c r="M81" s="373">
        <f>D81+E81+F81+G81+H81+I81+J81+K81+L81</f>
        <v>6584394</v>
      </c>
      <c r="N81" s="160"/>
      <c r="O81" s="496" t="s">
        <v>587</v>
      </c>
      <c r="P81" s="276"/>
      <c r="Q81" s="276"/>
      <c r="R81" s="497"/>
      <c r="S81" s="330"/>
      <c r="T81" s="330"/>
      <c r="W81" s="276"/>
      <c r="X81" s="276"/>
      <c r="Y81" s="331"/>
      <c r="Z81" s="331"/>
      <c r="AA81" s="276"/>
      <c r="AB81" s="276"/>
    </row>
    <row r="82" spans="1:28">
      <c r="A82" s="184">
        <v>65</v>
      </c>
      <c r="B82" s="160" t="s">
        <v>48</v>
      </c>
      <c r="C82" s="160"/>
      <c r="D82" s="372">
        <f>Input!$QC$28</f>
        <v>0</v>
      </c>
      <c r="E82" s="372">
        <f>Input!$QD$28</f>
        <v>0</v>
      </c>
      <c r="F82" s="372">
        <f>Input!$QE$28</f>
        <v>0</v>
      </c>
      <c r="G82" s="372">
        <f>Input!$QF$28</f>
        <v>0</v>
      </c>
      <c r="H82" s="372">
        <f>Input!$QG$28</f>
        <v>0</v>
      </c>
      <c r="I82" s="372">
        <f>Input!$QH$28</f>
        <v>1188428</v>
      </c>
      <c r="J82" s="372">
        <f>Input!$QI$28</f>
        <v>0</v>
      </c>
      <c r="K82" s="372">
        <f>Input!$QJ$28</f>
        <v>0</v>
      </c>
      <c r="L82" s="372">
        <f>Input!$QK$28</f>
        <v>0</v>
      </c>
      <c r="M82" s="373">
        <f>D82+E82+F82+G82+H82+I82+J82+K82+L82</f>
        <v>1188428</v>
      </c>
      <c r="N82" s="160"/>
      <c r="O82" s="498" t="s">
        <v>588</v>
      </c>
      <c r="P82" s="276"/>
      <c r="Q82" s="276"/>
      <c r="R82" s="492">
        <f>IFERROR($R$78-$R$80,"")</f>
        <v>1188428</v>
      </c>
      <c r="Y82" s="331"/>
      <c r="Z82" s="401"/>
      <c r="AA82" s="268"/>
      <c r="AB82" s="268"/>
    </row>
    <row r="83" spans="1:28">
      <c r="A83" s="184">
        <v>66</v>
      </c>
      <c r="B83" s="162" t="s">
        <v>3</v>
      </c>
      <c r="C83" s="162"/>
      <c r="D83" s="374">
        <f t="shared" ref="D83:L83" si="21">SUM(D81:D82)</f>
        <v>0</v>
      </c>
      <c r="E83" s="374">
        <f t="shared" si="21"/>
        <v>-388940</v>
      </c>
      <c r="F83" s="374">
        <f t="shared" si="21"/>
        <v>0</v>
      </c>
      <c r="G83" s="374">
        <f t="shared" si="21"/>
        <v>0</v>
      </c>
      <c r="H83" s="374">
        <f t="shared" si="21"/>
        <v>0</v>
      </c>
      <c r="I83" s="374">
        <f t="shared" si="21"/>
        <v>8161762</v>
      </c>
      <c r="J83" s="374">
        <f t="shared" si="21"/>
        <v>0</v>
      </c>
      <c r="K83" s="374">
        <f t="shared" si="21"/>
        <v>0</v>
      </c>
      <c r="L83" s="374">
        <f t="shared" si="21"/>
        <v>0</v>
      </c>
      <c r="M83" s="374">
        <f>D83+E83+F83+G83+H83+I83+J83+K83+L83</f>
        <v>7772822</v>
      </c>
      <c r="N83" s="160"/>
      <c r="O83" s="493"/>
      <c r="P83" s="276"/>
      <c r="Q83" s="276"/>
      <c r="R83" s="497"/>
      <c r="Y83" s="163"/>
      <c r="Z83" s="447"/>
      <c r="AA83" s="439"/>
      <c r="AB83" s="448"/>
    </row>
    <row r="84" spans="1:28" ht="13.5" thickBot="1">
      <c r="A84" s="184">
        <v>67</v>
      </c>
      <c r="B84" s="160"/>
      <c r="C84" s="160"/>
      <c r="D84" s="373"/>
      <c r="E84" s="373"/>
      <c r="F84" s="373"/>
      <c r="G84" s="373"/>
      <c r="H84" s="373"/>
      <c r="I84" s="373"/>
      <c r="J84" s="373"/>
      <c r="K84" s="373"/>
      <c r="L84" s="373"/>
      <c r="M84" s="373"/>
      <c r="N84" s="160"/>
      <c r="O84" s="499" t="s">
        <v>589</v>
      </c>
      <c r="P84" s="500"/>
      <c r="Q84" s="500"/>
      <c r="R84" s="501">
        <f>IFERROR((R82+R80)-R78,"")</f>
        <v>0</v>
      </c>
      <c r="Y84" s="268"/>
      <c r="Z84" s="447"/>
      <c r="AA84" s="439"/>
      <c r="AB84" s="449"/>
    </row>
    <row r="85" spans="1:28" ht="13.5" thickTop="1">
      <c r="A85" s="184">
        <v>68</v>
      </c>
      <c r="B85" s="162" t="s">
        <v>574</v>
      </c>
      <c r="C85" s="162"/>
      <c r="D85" s="374">
        <f t="shared" ref="D85:L85" si="22">D57-D71+D78+D83</f>
        <v>-1073498</v>
      </c>
      <c r="E85" s="374">
        <f t="shared" si="22"/>
        <v>13179364</v>
      </c>
      <c r="F85" s="374">
        <f t="shared" si="22"/>
        <v>2912445</v>
      </c>
      <c r="G85" s="374">
        <f t="shared" si="22"/>
        <v>-1959272</v>
      </c>
      <c r="H85" s="374">
        <f t="shared" si="22"/>
        <v>400946</v>
      </c>
      <c r="I85" s="374">
        <f t="shared" si="22"/>
        <v>11389358</v>
      </c>
      <c r="J85" s="374">
        <f t="shared" si="22"/>
        <v>11829670</v>
      </c>
      <c r="K85" s="374">
        <f t="shared" si="22"/>
        <v>14156</v>
      </c>
      <c r="L85" s="374">
        <f t="shared" si="22"/>
        <v>14102713</v>
      </c>
      <c r="M85" s="374">
        <f>D85+E85+F85+G85+H85+I85+J85+K85+L85</f>
        <v>50795882</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Input!$QL$28</f>
        <v>0</v>
      </c>
      <c r="E87" s="372">
        <f>Input!$QM$28</f>
        <v>0</v>
      </c>
      <c r="F87" s="372">
        <f>Input!$QN$28</f>
        <v>0</v>
      </c>
      <c r="G87" s="372">
        <f>Input!$QO$28</f>
        <v>0</v>
      </c>
      <c r="H87" s="372">
        <f>Input!$QP$28</f>
        <v>0</v>
      </c>
      <c r="I87" s="372">
        <f>Input!$QQ$28</f>
        <v>0</v>
      </c>
      <c r="J87" s="372">
        <f>Input!$QR$28</f>
        <v>0</v>
      </c>
      <c r="K87" s="372">
        <f>Input!$QS$28</f>
        <v>0</v>
      </c>
      <c r="L87" s="372">
        <f>Input!$QT$28</f>
        <v>0</v>
      </c>
      <c r="M87" s="329">
        <f>D87+E87+F87+G87+H87+I87+J87+K87+L87</f>
        <v>0</v>
      </c>
      <c r="N87" s="160"/>
      <c r="Y87" s="268"/>
      <c r="Z87" s="447"/>
      <c r="AA87" s="439"/>
      <c r="AB87" s="449"/>
    </row>
    <row r="88" spans="1:28">
      <c r="A88" s="184">
        <v>72</v>
      </c>
      <c r="B88" s="160" t="s">
        <v>66</v>
      </c>
      <c r="C88" s="160"/>
      <c r="D88" s="372">
        <f>Input!$QU$28</f>
        <v>0</v>
      </c>
      <c r="E88" s="372">
        <f>Input!$QV$28</f>
        <v>0</v>
      </c>
      <c r="F88" s="372">
        <f>Input!$QW$28</f>
        <v>0</v>
      </c>
      <c r="G88" s="372">
        <f>Input!$QX$28</f>
        <v>0</v>
      </c>
      <c r="H88" s="372">
        <f>Input!$QY$28</f>
        <v>0</v>
      </c>
      <c r="I88" s="372">
        <f>Input!$QZ$28</f>
        <v>0</v>
      </c>
      <c r="J88" s="372">
        <f>Input!$RA$28</f>
        <v>0</v>
      </c>
      <c r="K88" s="372">
        <f>Input!$RB$28</f>
        <v>0</v>
      </c>
      <c r="L88" s="372">
        <f>Input!$RC$28</f>
        <v>-12438824</v>
      </c>
      <c r="M88" s="373">
        <f>D88+E88+F88+G88+H88+I88+J88+K88+L88</f>
        <v>-12438824</v>
      </c>
      <c r="N88" s="160"/>
      <c r="O88" s="270"/>
      <c r="P88" s="335"/>
      <c r="Y88" s="268"/>
      <c r="Z88" s="447"/>
      <c r="AA88" s="439"/>
      <c r="AB88" s="449"/>
    </row>
    <row r="89" spans="1:28" s="264" customFormat="1">
      <c r="A89" s="263"/>
      <c r="B89" s="171" t="s">
        <v>216</v>
      </c>
      <c r="C89" s="171"/>
      <c r="D89" s="372">
        <f>Input!$RD$28</f>
        <v>0</v>
      </c>
      <c r="E89" s="372">
        <f>Input!$RE$28</f>
        <v>0</v>
      </c>
      <c r="F89" s="372">
        <f>Input!$RF$28</f>
        <v>0</v>
      </c>
      <c r="G89" s="372">
        <f>Input!$RG$28</f>
        <v>0</v>
      </c>
      <c r="H89" s="372">
        <f>Input!$RH$28</f>
        <v>0</v>
      </c>
      <c r="I89" s="372">
        <f>Input!$RI$28</f>
        <v>0</v>
      </c>
      <c r="J89" s="372">
        <f>Input!$RJ$28</f>
        <v>0</v>
      </c>
      <c r="K89" s="372">
        <f>Input!$RK$28</f>
        <v>0</v>
      </c>
      <c r="L89" s="372">
        <f>Input!$RL$28</f>
        <v>0</v>
      </c>
      <c r="M89" s="373">
        <f t="shared" ref="M89:M91" si="23">D89+E89+F89+G89+H89+I89+J89+K89+L89</f>
        <v>0</v>
      </c>
      <c r="N89" s="160"/>
      <c r="O89" s="1726" t="s">
        <v>1355</v>
      </c>
      <c r="P89" s="1727"/>
      <c r="Q89" s="1727"/>
      <c r="R89" s="1727"/>
      <c r="S89" s="1727"/>
      <c r="T89" s="1727"/>
      <c r="U89" s="1728"/>
      <c r="Y89" s="268"/>
      <c r="Z89" s="447"/>
      <c r="AA89" s="439"/>
      <c r="AB89" s="449"/>
    </row>
    <row r="90" spans="1:28" s="264" customFormat="1">
      <c r="A90" s="263"/>
      <c r="B90" s="171" t="s">
        <v>105</v>
      </c>
      <c r="C90" s="171"/>
      <c r="D90" s="372">
        <f>Input!$RM$28</f>
        <v>0</v>
      </c>
      <c r="E90" s="372">
        <f>Input!$RN$28</f>
        <v>0</v>
      </c>
      <c r="F90" s="372">
        <f>Input!$RO$28</f>
        <v>0</v>
      </c>
      <c r="G90" s="372">
        <f>Input!$RP$28</f>
        <v>0</v>
      </c>
      <c r="H90" s="372">
        <f>Input!$RQ$28</f>
        <v>0</v>
      </c>
      <c r="I90" s="372">
        <f>Input!$RR$28</f>
        <v>0</v>
      </c>
      <c r="J90" s="372">
        <f>Input!$RS$28</f>
        <v>0</v>
      </c>
      <c r="K90" s="372">
        <f>Input!$RT$28</f>
        <v>0</v>
      </c>
      <c r="L90" s="372">
        <f>Input!$RU$28</f>
        <v>0</v>
      </c>
      <c r="M90" s="373">
        <f t="shared" si="23"/>
        <v>0</v>
      </c>
      <c r="N90" s="160"/>
      <c r="O90" s="502" t="s">
        <v>590</v>
      </c>
      <c r="P90" s="423"/>
      <c r="Q90" s="502" t="s">
        <v>591</v>
      </c>
      <c r="R90" s="423"/>
      <c r="S90" s="503"/>
      <c r="T90" s="502" t="s">
        <v>592</v>
      </c>
      <c r="U90" s="423"/>
      <c r="Y90" s="268"/>
      <c r="Z90" s="447"/>
      <c r="AA90" s="439"/>
      <c r="AB90" s="449"/>
    </row>
    <row r="91" spans="1:28" s="264" customFormat="1">
      <c r="A91" s="263"/>
      <c r="B91" s="171" t="s">
        <v>128</v>
      </c>
      <c r="C91" s="171"/>
      <c r="D91" s="372">
        <f>Input!$RV$28</f>
        <v>0</v>
      </c>
      <c r="E91" s="372">
        <f>Input!$RW$28</f>
        <v>0</v>
      </c>
      <c r="F91" s="372">
        <f>Input!$RX$28</f>
        <v>0</v>
      </c>
      <c r="G91" s="372">
        <f>Input!$RY$28</f>
        <v>0</v>
      </c>
      <c r="H91" s="372">
        <f>Input!$RZ$28</f>
        <v>0</v>
      </c>
      <c r="I91" s="372">
        <f>Input!$SA$28</f>
        <v>0</v>
      </c>
      <c r="J91" s="372">
        <f>Input!$SB$28</f>
        <v>0</v>
      </c>
      <c r="K91" s="372">
        <f>Input!$SC$28</f>
        <v>0</v>
      </c>
      <c r="L91" s="372">
        <f>Input!$SD$28</f>
        <v>0</v>
      </c>
      <c r="M91" s="373">
        <f t="shared" si="23"/>
        <v>0</v>
      </c>
      <c r="N91" s="160"/>
      <c r="O91" s="504"/>
      <c r="P91" s="505"/>
      <c r="Q91" s="504"/>
      <c r="R91" s="426"/>
      <c r="S91" s="276"/>
      <c r="T91" s="506"/>
      <c r="U91" s="426"/>
      <c r="Y91" s="268"/>
      <c r="Z91" s="447"/>
      <c r="AA91" s="439"/>
      <c r="AB91" s="449"/>
    </row>
    <row r="92" spans="1:28" s="264" customFormat="1">
      <c r="A92" s="263"/>
      <c r="B92" s="160" t="s">
        <v>67</v>
      </c>
      <c r="C92" s="160"/>
      <c r="D92" s="372">
        <f>Input!$SE$28</f>
        <v>2006157</v>
      </c>
      <c r="E92" s="372">
        <f>Input!$SF$28</f>
        <v>39679</v>
      </c>
      <c r="F92" s="372">
        <f>Input!$SG$28</f>
        <v>31528</v>
      </c>
      <c r="G92" s="372">
        <f>Input!$SH$28</f>
        <v>421487</v>
      </c>
      <c r="H92" s="372">
        <f>Input!$SI$28</f>
        <v>0</v>
      </c>
      <c r="I92" s="372">
        <f>Input!$SJ$28</f>
        <v>0</v>
      </c>
      <c r="J92" s="372">
        <f>Input!$SK$28</f>
        <v>-5734582</v>
      </c>
      <c r="K92" s="372">
        <f>Input!$SL$28</f>
        <v>0</v>
      </c>
      <c r="L92" s="372">
        <f>Input!$SM$28</f>
        <v>0</v>
      </c>
      <c r="M92" s="373">
        <f>D92+E92+F92+G92+H92+I92+J92+K92+L92</f>
        <v>-3235731</v>
      </c>
      <c r="N92" s="160"/>
      <c r="O92" s="1729" t="str">
        <f>Input!UF$28</f>
        <v>Alice Tsai</v>
      </c>
      <c r="P92" s="1730"/>
      <c r="Q92" s="1729" t="str">
        <f>Input!$UG$28</f>
        <v>713-221-8098</v>
      </c>
      <c r="R92" s="1730"/>
      <c r="S92" s="276"/>
      <c r="T92" s="1731" t="str">
        <f>HYPERLINK("Mailto:"&amp;Input!$UH$28,Input!$UH$28)</f>
        <v>Tsaia@uhd.edu</v>
      </c>
      <c r="U92" s="1730"/>
      <c r="Y92" s="268"/>
      <c r="Z92" s="447"/>
      <c r="AA92" s="442"/>
      <c r="AB92" s="449"/>
    </row>
    <row r="93" spans="1:28" ht="13.5" thickBot="1">
      <c r="B93" s="179" t="s">
        <v>58</v>
      </c>
      <c r="C93" s="179"/>
      <c r="D93" s="380">
        <f t="shared" ref="D93:K93" si="24">SUM(D85:D92)</f>
        <v>932659</v>
      </c>
      <c r="E93" s="380">
        <f t="shared" si="24"/>
        <v>13219043</v>
      </c>
      <c r="F93" s="380">
        <f t="shared" si="24"/>
        <v>2943973</v>
      </c>
      <c r="G93" s="380">
        <f t="shared" si="24"/>
        <v>-1537785</v>
      </c>
      <c r="H93" s="380">
        <f t="shared" si="24"/>
        <v>400946</v>
      </c>
      <c r="I93" s="380">
        <f t="shared" si="24"/>
        <v>11389358</v>
      </c>
      <c r="J93" s="380">
        <f t="shared" si="24"/>
        <v>6095088</v>
      </c>
      <c r="K93" s="380">
        <f t="shared" si="24"/>
        <v>14156</v>
      </c>
      <c r="L93" s="380">
        <f>SUM(L85:L92)</f>
        <v>1663889</v>
      </c>
      <c r="M93" s="380">
        <f>D93+E93+F93+G93+H93+I93+J93+K93+L93</f>
        <v>35121327</v>
      </c>
      <c r="N93" s="160"/>
      <c r="O93" s="506"/>
      <c r="P93" s="507"/>
      <c r="Q93" s="276"/>
      <c r="R93" s="276"/>
      <c r="S93" s="276"/>
      <c r="T93" s="507"/>
      <c r="U93" s="508"/>
      <c r="Y93" s="268"/>
      <c r="Z93" s="447"/>
      <c r="AA93" s="442"/>
      <c r="AB93" s="449"/>
    </row>
    <row r="94" spans="1:28" ht="13.5" thickTop="1">
      <c r="C94" s="160"/>
      <c r="D94" s="165"/>
      <c r="E94" s="165"/>
      <c r="F94" s="165"/>
      <c r="G94" s="165"/>
      <c r="H94" s="165"/>
      <c r="I94" s="165"/>
      <c r="J94" s="165"/>
      <c r="K94" s="165"/>
      <c r="L94" s="165"/>
      <c r="M94" s="180"/>
      <c r="N94" s="160"/>
      <c r="O94" s="1720" t="s">
        <v>593</v>
      </c>
      <c r="P94" s="1721"/>
      <c r="Q94" s="1721"/>
      <c r="R94" s="1721"/>
      <c r="S94" s="1721"/>
      <c r="T94" s="1721"/>
      <c r="U94" s="1722"/>
      <c r="Y94" s="268"/>
      <c r="Z94" s="451"/>
      <c r="AA94" s="442"/>
      <c r="AB94" s="449"/>
    </row>
    <row r="95" spans="1:28">
      <c r="B95" s="171" t="s">
        <v>1369</v>
      </c>
      <c r="C95" s="169"/>
      <c r="D95" s="165"/>
      <c r="E95" s="165"/>
      <c r="F95" s="165"/>
      <c r="G95" s="165"/>
      <c r="H95" s="165"/>
      <c r="I95" s="165"/>
      <c r="J95" s="165"/>
      <c r="K95" s="165"/>
      <c r="L95" s="165"/>
      <c r="M95" s="180"/>
      <c r="N95" s="160"/>
      <c r="O95" s="1720"/>
      <c r="P95" s="1721"/>
      <c r="Q95" s="1721"/>
      <c r="R95" s="1721"/>
      <c r="S95" s="1721"/>
      <c r="T95" s="1721"/>
      <c r="U95" s="1722"/>
      <c r="Y95" s="268"/>
      <c r="Z95" s="452"/>
      <c r="AA95" s="453"/>
      <c r="AB95" s="454"/>
    </row>
    <row r="96" spans="1:28">
      <c r="B96" s="169" t="s">
        <v>80</v>
      </c>
      <c r="C96" s="160"/>
      <c r="D96" s="165"/>
      <c r="E96" s="165"/>
      <c r="F96" s="165"/>
      <c r="G96" s="165"/>
      <c r="H96" s="165"/>
      <c r="I96" s="165"/>
      <c r="J96" s="165"/>
      <c r="K96" s="165"/>
      <c r="L96" s="165"/>
      <c r="M96" s="180"/>
      <c r="N96" s="160"/>
      <c r="O96" s="509"/>
      <c r="P96" s="510"/>
      <c r="Q96" s="511"/>
      <c r="R96" s="511"/>
      <c r="S96" s="511"/>
      <c r="T96" s="510"/>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Input!$SN$28</f>
        <v>35121327</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3" t="str">
        <f>IF($L$118&lt;&gt;Input!$F$28,"Out of Balance","Balanced")</f>
        <v>Balanced</v>
      </c>
      <c r="M102" s="517"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111715903</v>
      </c>
      <c r="E105" s="373">
        <f>SUM($E$10:$E$14)+SUM($E$19:$E$28)+SUM($E$32:$E$41)+$E$47+SUM($E$50:$E$55)+SUM($E$60:$E$70)+SUM($E$74:$E$77)+SUM($E$81:$E$82)+SUM($E$87:$E$92)</f>
        <v>156802828</v>
      </c>
      <c r="F105" s="373">
        <f>SUM($F$10:$F$14)+SUM($F$19:$F$28)+SUM($F$32:$F$41)+$F$47+SUM($F$50:$F$55)+SUM($F$60:$F$70)+SUM($F$74:$F$77)+SUM($F$81:$F$82)+SUM($F$87:$F$92)</f>
        <v>18325751</v>
      </c>
      <c r="G105" s="373">
        <f>SUM($G$10:$G$14)+SUM($G$19:$G$28)+SUM($G$32:$G$41)+$G$47+SUM($G$50:$G$55)+SUM($G$60:$G$70)+SUM($G$74:$G$77)+SUM($G$81:$G$82)+SUM($G$87:$G$92)</f>
        <v>77400993</v>
      </c>
      <c r="H105" s="373">
        <f>SUM($H$10:$H$14)+SUM($H$19:$H$28)+SUM($H$32:$H$41)+$H$47+SUM($H$50:$H$55)+SUM($H$60:$H$70)+SUM($H$74:$H$77)+SUM($H$81:$H$82)+SUM($H$87:$H$92)</f>
        <v>400946</v>
      </c>
      <c r="I105" s="373">
        <f>SUM($I$10:$I$14)+SUM($I$19:$I$28)+SUM($I$32:$I$41)+$I$47+SUM($I$50:$I$55)+SUM($I$60:$I$70)+SUM($I$74:$I$77)+SUM($I$81:$I$82)+SUM($I$87:$I$92)</f>
        <v>13905222</v>
      </c>
      <c r="J105" s="373">
        <f>SUM($J$10:$J$14)+SUM($J$19:$J$28)+SUM($J$32:$J$41)+$J$47+SUM($J$50:$J$55)+SUM($J$60:$J$70)+SUM($J$74:$J$77)+SUM($J$81:$J$82)+SUM($J$87:$J$92)</f>
        <v>9270880</v>
      </c>
      <c r="K105" s="373">
        <f>SUM($K$10:$K$14)+SUM($K$19:$K$28)+SUM($K$32:$K$41)+$K$47+SUM($K$50:$K$55)+SUM($K$60:$K$70)+SUM($K$74:$K$77)+SUM($K$81:$K$82)+SUM($K$87:$K$92)</f>
        <v>14156</v>
      </c>
      <c r="L105" s="373">
        <f>SUM($L$10:$L$14)+SUM($L$19:$L$28)+SUM($L$32:$L$41)+$L$47+SUM($L$50:$L$55)+SUM($L$60:$L$70)+SUM($L$74:$L$77)+SUM($L$81:$L$82)+SUM($L$87:$L$92)</f>
        <v>1663889</v>
      </c>
      <c r="M105" s="373"/>
      <c r="N105" s="264"/>
      <c r="O105" s="373"/>
      <c r="P105" s="450">
        <f>M18-INT(M18)</f>
        <v>0</v>
      </c>
    </row>
    <row r="106" spans="2:28">
      <c r="B106" s="261"/>
      <c r="C106" s="261"/>
      <c r="D106" s="261"/>
      <c r="E106" s="261"/>
      <c r="F106" s="261"/>
      <c r="G106" s="261"/>
      <c r="H106" s="261"/>
      <c r="I106" s="261"/>
      <c r="J106" s="261"/>
      <c r="K106" s="261"/>
      <c r="L106" s="373">
        <f>SUM($D$105:$L$105)</f>
        <v>389500568</v>
      </c>
      <c r="M106" s="261"/>
      <c r="N106" s="264"/>
      <c r="O106" s="373"/>
      <c r="P106" s="450">
        <f>M31-INT(M31)</f>
        <v>0</v>
      </c>
    </row>
    <row r="107" spans="2:28">
      <c r="B107" s="261"/>
      <c r="C107" s="261"/>
      <c r="D107" s="261"/>
      <c r="E107" s="261"/>
      <c r="F107" s="261"/>
      <c r="G107" s="261"/>
      <c r="H107" s="261"/>
      <c r="I107" s="261"/>
      <c r="J107" s="261" t="s">
        <v>1299</v>
      </c>
      <c r="K107" s="261"/>
      <c r="L107" s="373">
        <f>$M$100</f>
        <v>35121327</v>
      </c>
      <c r="M107" s="261"/>
      <c r="N107" s="264"/>
      <c r="O107" s="373"/>
      <c r="P107" s="450">
        <f>M93-INT(M93)</f>
        <v>0</v>
      </c>
    </row>
    <row r="108" spans="2:28">
      <c r="B108" s="261"/>
      <c r="C108" s="261"/>
      <c r="D108" s="261"/>
      <c r="E108" s="261"/>
      <c r="F108" s="261"/>
      <c r="G108" s="261"/>
      <c r="H108" s="261"/>
      <c r="I108" s="261"/>
      <c r="J108" s="261" t="s">
        <v>1300</v>
      </c>
      <c r="K108" s="261"/>
      <c r="L108" s="512">
        <f>$Q$32</f>
        <v>119043294</v>
      </c>
      <c r="M108" s="261"/>
      <c r="N108" s="264"/>
      <c r="O108" s="373"/>
    </row>
    <row r="109" spans="2:28">
      <c r="B109" s="261"/>
      <c r="C109" s="261"/>
      <c r="D109" s="261"/>
      <c r="E109" s="261"/>
      <c r="F109" s="261"/>
      <c r="G109" s="261"/>
      <c r="H109" s="261"/>
      <c r="I109" s="261"/>
      <c r="J109" s="261" t="s">
        <v>1300</v>
      </c>
      <c r="K109" s="261"/>
      <c r="L109" s="512">
        <f>$R$34</f>
        <v>-46954284</v>
      </c>
      <c r="M109" s="261"/>
      <c r="N109" s="264"/>
      <c r="O109" s="373"/>
    </row>
    <row r="110" spans="2:28">
      <c r="B110" s="261"/>
      <c r="C110" s="261"/>
      <c r="D110" s="261"/>
      <c r="E110" s="261"/>
      <c r="F110" s="261"/>
      <c r="G110" s="261"/>
      <c r="H110" s="261"/>
      <c r="I110" s="261"/>
      <c r="J110" s="261" t="s">
        <v>29</v>
      </c>
      <c r="K110" s="261"/>
      <c r="L110" s="512">
        <f>SUM($P$60:$P$68)</f>
        <v>2498851</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2">
        <f>SUM($V$60:$V$67)</f>
        <v>17588</v>
      </c>
      <c r="M112" s="261"/>
      <c r="N112" s="264"/>
      <c r="O112" s="373"/>
    </row>
    <row r="113" spans="2:15">
      <c r="B113" s="261"/>
      <c r="C113" s="261"/>
      <c r="D113" s="261"/>
      <c r="E113" s="261"/>
      <c r="F113" s="261"/>
      <c r="G113" s="261"/>
      <c r="H113" s="261"/>
      <c r="I113" s="261"/>
      <c r="J113" s="261" t="s">
        <v>596</v>
      </c>
      <c r="K113" s="261"/>
      <c r="L113" s="512">
        <f>SUM($W$60:$W$67)</f>
        <v>0</v>
      </c>
      <c r="M113" s="261"/>
      <c r="N113" s="264"/>
      <c r="O113" s="373"/>
    </row>
    <row r="114" spans="2:15">
      <c r="B114" s="261"/>
      <c r="C114" s="261"/>
      <c r="D114" s="261"/>
      <c r="E114" s="261"/>
      <c r="F114" s="261"/>
      <c r="G114" s="261"/>
      <c r="H114" s="261"/>
      <c r="I114" s="261"/>
      <c r="J114" s="261" t="s">
        <v>258</v>
      </c>
      <c r="K114" s="261"/>
      <c r="L114" s="512">
        <f>SUM($AA$60:$AA$68)</f>
        <v>171970637</v>
      </c>
      <c r="M114" s="261"/>
      <c r="N114" s="264"/>
      <c r="O114" s="373"/>
    </row>
    <row r="115" spans="2:15">
      <c r="B115" s="261"/>
      <c r="C115" s="261"/>
      <c r="D115" s="261"/>
      <c r="E115" s="261"/>
      <c r="F115" s="261"/>
      <c r="G115" s="261"/>
      <c r="H115" s="261"/>
      <c r="I115" s="261"/>
      <c r="J115" s="261" t="s">
        <v>597</v>
      </c>
      <c r="K115" s="261"/>
      <c r="L115" s="512">
        <f>$R$77</f>
        <v>43023060</v>
      </c>
      <c r="M115" s="261"/>
      <c r="N115" s="264"/>
      <c r="O115" s="373"/>
    </row>
    <row r="116" spans="2:15">
      <c r="B116" s="261"/>
      <c r="C116" s="261"/>
      <c r="D116" s="261"/>
      <c r="E116" s="261"/>
      <c r="F116" s="261"/>
      <c r="G116" s="261"/>
      <c r="H116" s="261"/>
      <c r="I116" s="261"/>
      <c r="J116" s="261" t="s">
        <v>597</v>
      </c>
      <c r="K116" s="261"/>
      <c r="L116" s="512">
        <f>$R$80</f>
        <v>6584394</v>
      </c>
      <c r="M116" s="261"/>
      <c r="N116" s="264"/>
      <c r="O116" s="373"/>
    </row>
    <row r="117" spans="2:15">
      <c r="B117" s="261"/>
      <c r="C117" s="261"/>
      <c r="D117" s="261"/>
      <c r="E117" s="261"/>
      <c r="F117" s="261"/>
      <c r="G117" s="261"/>
      <c r="H117" s="261"/>
      <c r="I117" s="261"/>
      <c r="J117" s="261" t="s">
        <v>1231</v>
      </c>
      <c r="K117" s="261"/>
      <c r="L117" s="1008">
        <f>VLOOKUP(B2,Names!B5:$C$87,2,FALSE)</f>
        <v>12826</v>
      </c>
      <c r="M117" s="261"/>
      <c r="N117" s="264"/>
      <c r="O117" s="373"/>
    </row>
    <row r="118" spans="2:15">
      <c r="B118" s="261"/>
      <c r="C118" s="261"/>
      <c r="D118" s="261"/>
      <c r="E118" s="261"/>
      <c r="F118" s="261"/>
      <c r="G118" s="261"/>
      <c r="H118" s="261"/>
      <c r="I118" s="261"/>
      <c r="J118" s="261"/>
      <c r="K118" s="261"/>
      <c r="L118" s="373">
        <f>SUM(L106:L117)</f>
        <v>720818261</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V56:V59"/>
    <mergeCell ref="W56:W59"/>
    <mergeCell ref="G59:K59"/>
    <mergeCell ref="AA56:AA59"/>
    <mergeCell ref="Z55:AB55"/>
    <mergeCell ref="R56:R59"/>
    <mergeCell ref="O55:R55"/>
    <mergeCell ref="T55:X55"/>
    <mergeCell ref="X56:X59"/>
    <mergeCell ref="AB56:AB59"/>
    <mergeCell ref="Z56:Z59"/>
    <mergeCell ref="B2:F2"/>
    <mergeCell ref="B3:F3"/>
    <mergeCell ref="B4:F4"/>
    <mergeCell ref="B6:M6"/>
    <mergeCell ref="P4:Q4"/>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s>
  <conditionalFormatting sqref="U87:X88 O88:Q88">
    <cfRule type="cellIs" dxfId="631" priority="184" stopIfTrue="1" operator="notEqual">
      <formula>#REF!</formula>
    </cfRule>
  </conditionalFormatting>
  <conditionalFormatting sqref="P70">
    <cfRule type="expression" dxfId="630" priority="163">
      <formula>$P$69&lt;&gt;$M$69</formula>
    </cfRule>
  </conditionalFormatting>
  <conditionalFormatting sqref="AB72">
    <cfRule type="expression" dxfId="629" priority="162">
      <formula>$AB$71&lt;&gt;0</formula>
    </cfRule>
  </conditionalFormatting>
  <conditionalFormatting sqref="P71">
    <cfRule type="expression" dxfId="628" priority="161">
      <formula>P69-INT(P69)</formula>
    </cfRule>
  </conditionalFormatting>
  <conditionalFormatting sqref="V70">
    <cfRule type="expression" dxfId="627" priority="159">
      <formula>X68-INT(X68)</formula>
    </cfRule>
  </conditionalFormatting>
  <conditionalFormatting sqref="O11">
    <cfRule type="expression" dxfId="626" priority="152">
      <formula>#REF!&lt;&gt;$M$11</formula>
    </cfRule>
  </conditionalFormatting>
  <conditionalFormatting sqref="U87:U88 O88:Q88">
    <cfRule type="cellIs" dxfId="625" priority="143" stopIfTrue="1" operator="notEqual">
      <formula>#REF!</formula>
    </cfRule>
  </conditionalFormatting>
  <conditionalFormatting sqref="R84">
    <cfRule type="expression" priority="141" stopIfTrue="1">
      <formula>$M$85&lt;0</formula>
    </cfRule>
    <cfRule type="expression" dxfId="624" priority="142">
      <formula>$S$85&lt;&gt;0</formula>
    </cfRule>
  </conditionalFormatting>
  <conditionalFormatting sqref="R80 R77">
    <cfRule type="expression" dxfId="623" priority="139" stopIfTrue="1">
      <formula>$M$85&gt;=0</formula>
    </cfRule>
    <cfRule type="expression" priority="140">
      <formula>$M$85&lt;0</formula>
    </cfRule>
  </conditionalFormatting>
  <conditionalFormatting sqref="U87:U88 O88:Q88">
    <cfRule type="cellIs" dxfId="622" priority="138" stopIfTrue="1" operator="notEqual">
      <formula>#REF!</formula>
    </cfRule>
  </conditionalFormatting>
  <conditionalFormatting sqref="O12">
    <cfRule type="expression" dxfId="621" priority="122">
      <formula>$P$12&lt;&gt;$M$12</formula>
    </cfRule>
  </conditionalFormatting>
  <conditionalFormatting sqref="O13">
    <cfRule type="expression" dxfId="620" priority="121">
      <formula>$P$13&lt;&gt;$M$13</formula>
    </cfRule>
  </conditionalFormatting>
  <conditionalFormatting sqref="U87:U88 O88:Q88">
    <cfRule type="cellIs" dxfId="619" priority="120" stopIfTrue="1" operator="notEqual">
      <formula>#REF!</formula>
    </cfRule>
  </conditionalFormatting>
  <conditionalFormatting sqref="Q36">
    <cfRule type="expression" dxfId="618" priority="27">
      <formula>#REF!&lt;&gt;#REF!</formula>
    </cfRule>
  </conditionalFormatting>
  <conditionalFormatting sqref="R35">
    <cfRule type="expression" dxfId="617" priority="26">
      <formula>#REF!&lt;&gt;0</formula>
    </cfRule>
  </conditionalFormatting>
  <conditionalFormatting sqref="Q35">
    <cfRule type="expression" dxfId="616" priority="25">
      <formula>#REF!&lt;&gt;0</formula>
    </cfRule>
  </conditionalFormatting>
  <conditionalFormatting sqref="R36">
    <cfRule type="expression" dxfId="615" priority="24">
      <formula>#REF!&lt;&gt;#REF!</formula>
    </cfRule>
  </conditionalFormatting>
  <conditionalFormatting sqref="D93:M98 T94:T95 R90:S95 U87:X93 T90:T92 Y90:Y95 O88:O92 P88:Q93">
    <cfRule type="cellIs" dxfId="614" priority="23" stopIfTrue="1" operator="notEqual">
      <formula>#REF!</formula>
    </cfRule>
  </conditionalFormatting>
  <conditionalFormatting sqref="P70">
    <cfRule type="expression" dxfId="613" priority="22">
      <formula>$P$69&lt;&gt;$M$69</formula>
    </cfRule>
  </conditionalFormatting>
  <conditionalFormatting sqref="AB72">
    <cfRule type="expression" dxfId="612" priority="21">
      <formula>$AB$71&lt;&gt;0</formula>
    </cfRule>
  </conditionalFormatting>
  <conditionalFormatting sqref="P71">
    <cfRule type="expression" dxfId="611" priority="20">
      <formula>P69-INT(P69)</formula>
    </cfRule>
  </conditionalFormatting>
  <conditionalFormatting sqref="V70">
    <cfRule type="expression" dxfId="610" priority="19">
      <formula>X68-INT(X68)</formula>
    </cfRule>
  </conditionalFormatting>
  <conditionalFormatting sqref="O12">
    <cfRule type="expression" dxfId="609" priority="18">
      <formula>$P$12&lt;&gt;$M$12</formula>
    </cfRule>
  </conditionalFormatting>
  <conditionalFormatting sqref="T94:T95 R90:S95 U87:U93 T90:T92 O88:O92 P88:Q93">
    <cfRule type="cellIs" dxfId="608" priority="16" stopIfTrue="1" operator="notEqual">
      <formula>#REF!</formula>
    </cfRule>
  </conditionalFormatting>
  <conditionalFormatting sqref="R84">
    <cfRule type="expression" priority="14" stopIfTrue="1">
      <formula>$M$85&lt;0</formula>
    </cfRule>
    <cfRule type="expression" dxfId="607" priority="15">
      <formula>$S$85&lt;&gt;0</formula>
    </cfRule>
  </conditionalFormatting>
  <conditionalFormatting sqref="R80 R77">
    <cfRule type="expression" dxfId="606" priority="12" stopIfTrue="1">
      <formula>$M$85&gt;=0</formula>
    </cfRule>
    <cfRule type="expression" priority="13">
      <formula>$M$85&lt;0</formula>
    </cfRule>
  </conditionalFormatting>
  <conditionalFormatting sqref="U87:U88 R89:U92 O88:Q92">
    <cfRule type="cellIs" dxfId="605" priority="11" stopIfTrue="1" operator="notEqual">
      <formula>#REF!</formula>
    </cfRule>
  </conditionalFormatting>
  <conditionalFormatting sqref="M101">
    <cfRule type="expression" dxfId="604" priority="10">
      <formula>$M$101&lt;&gt;0</formula>
    </cfRule>
  </conditionalFormatting>
  <conditionalFormatting sqref="M102">
    <cfRule type="expression" dxfId="603" priority="9">
      <formula>$M$93&lt;&gt;$M$100</formula>
    </cfRule>
  </conditionalFormatting>
  <conditionalFormatting sqref="U87:U92 R90:T92 O88:Q92">
    <cfRule type="cellIs" dxfId="602" priority="8" stopIfTrue="1" operator="notEqual">
      <formula>#REF!</formula>
    </cfRule>
  </conditionalFormatting>
  <conditionalFormatting sqref="T89:U89 Q91 T90 O89:O90 P89:Q89 R89:S91">
    <cfRule type="cellIs" dxfId="601" priority="7" stopIfTrue="1" operator="notEqual">
      <formula>#REF!</formula>
    </cfRule>
  </conditionalFormatting>
  <conditionalFormatting sqref="Q36">
    <cfRule type="expression" dxfId="600" priority="6">
      <formula>#REF!&lt;&gt;#REF!</formula>
    </cfRule>
  </conditionalFormatting>
  <conditionalFormatting sqref="R35">
    <cfRule type="expression" dxfId="599" priority="5">
      <formula>#REF!&lt;&gt;0</formula>
    </cfRule>
  </conditionalFormatting>
  <conditionalFormatting sqref="Q35">
    <cfRule type="expression" dxfId="598" priority="4">
      <formula>#REF!&lt;&gt;0</formula>
    </cfRule>
  </conditionalFormatting>
  <conditionalFormatting sqref="R36">
    <cfRule type="expression" dxfId="597" priority="3">
      <formula>#REF!&lt;&gt;#REF!</formula>
    </cfRule>
  </conditionalFormatting>
  <conditionalFormatting sqref="G59:K59">
    <cfRule type="expression" dxfId="596" priority="1">
      <formula>OR($P$105&gt;0,$P$106&lt;&gt;0,$P$107&lt;&gt;0)</formula>
    </cfRule>
  </conditionalFormatting>
  <hyperlinks>
    <hyperlink ref="O2" location="Index!A1" display="Return to Index" xr:uid="{00000000-0004-0000-7300-000000000000}"/>
  </hyperlinks>
  <printOptions horizontalCentered="1"/>
  <pageMargins left="0.5" right="0.5" top="0.25" bottom="0.25" header="0" footer="0.25"/>
  <pageSetup scale="10" orientation="landscape" r:id="rId1"/>
  <headerFooter alignWithMargins="0"/>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Sheet94"/>
  <dimension ref="A1:G30"/>
  <sheetViews>
    <sheetView showGridLines="0" zoomScale="80" zoomScaleNormal="80" workbookViewId="0">
      <selection activeCell="E74" sqref="E74:F74"/>
    </sheetView>
  </sheetViews>
  <sheetFormatPr defaultColWidth="9.140625" defaultRowHeight="12.75"/>
  <cols>
    <col min="1" max="1" width="7" style="53" customWidth="1"/>
    <col min="2" max="2" width="93.140625" style="53" customWidth="1"/>
    <col min="3" max="3" width="19" style="53" customWidth="1"/>
    <col min="4" max="9" width="9.140625" style="53"/>
    <col min="10" max="10" width="15.42578125" style="53" customWidth="1"/>
    <col min="11" max="16384" width="9.140625" style="53"/>
  </cols>
  <sheetData>
    <row r="1" spans="2:6" ht="18.75" thickBot="1">
      <c r="B1" s="466" t="str">
        <f>'UHD Chrts'!$A$1</f>
        <v>University of Houston - Downtown</v>
      </c>
      <c r="C1" s="835" t="s">
        <v>1200</v>
      </c>
    </row>
    <row r="2" spans="2:6">
      <c r="B2" s="393" t="str">
        <f>'Smmy Chrts'!$A$2</f>
        <v>For the Year Ended August 31, 2021</v>
      </c>
    </row>
    <row r="3" spans="2:6">
      <c r="B3" s="393" t="str">
        <f>'Smmy Chrts'!$A$3</f>
        <v>Source: FY 2021 Annual Financial Report</v>
      </c>
    </row>
    <row r="5" spans="2:6" customFormat="1">
      <c r="B5" s="529" t="s">
        <v>705</v>
      </c>
    </row>
    <row r="6" spans="2:6" customFormat="1">
      <c r="B6" s="530"/>
    </row>
    <row r="7" spans="2:6" customFormat="1" ht="226.5" customHeight="1">
      <c r="B7" s="531" t="s">
        <v>706</v>
      </c>
      <c r="C7" s="532"/>
    </row>
    <row r="8" spans="2:6" customFormat="1" ht="263.25" customHeight="1">
      <c r="B8" s="531" t="s">
        <v>707</v>
      </c>
    </row>
    <row r="9" spans="2:6" ht="64.5" customHeight="1">
      <c r="B9" s="533" t="str">
        <f>IF('UHD FGD'!$R$76="N/A","FN11.  N/A",$B$20&amp;$B$21&amp;$B$22&amp;$B$23&amp;$B$24&amp;$B$25&amp;$B$26&amp;$B$27&amp;$B$28&amp;$B$29&amp;$B$30)</f>
        <v>FN11: Of the net increase of $50,795,882 approximately $43.0 million represents revenues received but not yet expended. This income is fully committed to program expenditures and capital disbursements. The remaining $7.8 million represents non-expendable funds from unrealized gains and additions to permanent endowments of approximately $6.6 million and $1.2 million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TEXT(IF('UHD FGD'!$M$85&lt;0,"N/A",'UHD FGD'!$M$85),"$* #,##0;$* (#,##0)")</f>
        <v>$50,795,882</v>
      </c>
      <c r="C21" s="480"/>
      <c r="D21" s="480"/>
      <c r="E21" s="480"/>
      <c r="G21" s="105"/>
    </row>
    <row r="22" spans="1:7">
      <c r="B22" s="105" t="s">
        <v>682</v>
      </c>
    </row>
    <row r="23" spans="1:7">
      <c r="A23" s="53">
        <v>61</v>
      </c>
      <c r="B23" s="515" t="str">
        <f>IF(ABS('UHD FGD'!$R$77)&gt;=1000000,TEXT('UHD FGD'!$R$77/1000000,"$* #,##0.0;$* (#,##0.0)")&amp;" million",IF(ABS('UHD FGD'!$R$77)&lt;1000,TEXT('UHD FGD'!$R$77,"$* #,##0;$* (#,##0)"),TEXT('UHD FGD'!$R$77/1000,"$* #,##0;$* (#,##0)")&amp;" thousand"))</f>
        <v>$43.0 million</v>
      </c>
      <c r="C23" s="515"/>
      <c r="E23" s="515"/>
    </row>
    <row r="24" spans="1:7">
      <c r="B24" s="105" t="s">
        <v>708</v>
      </c>
    </row>
    <row r="25" spans="1:7">
      <c r="A25" s="53">
        <v>62</v>
      </c>
      <c r="B25" s="515" t="str">
        <f>IF(ABS('UHD FGD'!$R$78)&gt;=1000000,TEXT('UHD FGD'!$R$78/1000000,"$* #,##0.0;$* (#,##0.0)")&amp;" million",IF(ABS('UHD FGD'!$R$78)&lt;1000,TEXT('UHD FGD'!$R$78,"$* #,##0;$* (#,##0)"),TEXT('UHD FGD'!$R$78/1000,"$* #,##0;$* (#,##0)")&amp;" thousand"))</f>
        <v>$7.8 million</v>
      </c>
      <c r="C25" s="515"/>
      <c r="E25" s="515"/>
    </row>
    <row r="26" spans="1:7">
      <c r="B26" s="105" t="s">
        <v>683</v>
      </c>
    </row>
    <row r="27" spans="1:7">
      <c r="A27" s="53">
        <v>64</v>
      </c>
      <c r="B27" s="515" t="str">
        <f>IF(ABS('UHD FGD'!$R$80)&gt;=1000000,TEXT('UHD FGD'!$R$80/1000000,"$* #,##0.0;$* (#,##0.0)")&amp;" million",IF(ABS('UHD FGD'!$R$80)&lt;1000,TEXT('UHD FGD'!$R$80,"$* #,##0;$* (#,##0)"),TEXT('UHD FGD'!$R$80/1000,"$* #,##0;$* (#,##0)")&amp;" thousand"))</f>
        <v>$6.6 million</v>
      </c>
      <c r="C27" s="515"/>
      <c r="E27" s="515"/>
    </row>
    <row r="28" spans="1:7">
      <c r="B28" s="105" t="s">
        <v>684</v>
      </c>
    </row>
    <row r="29" spans="1:7">
      <c r="A29" s="53">
        <v>66</v>
      </c>
      <c r="B29" s="515" t="str">
        <f>IF(ABS('UHD FGD'!$R$82)&gt;=1000000,TEXT('UHD FGD'!$R$82/1000000,"$* #,##0.0;$* (#,##0.0)")&amp;" million",IF(ABS('UHD FGD'!$R$82)&lt;1000,TEXT('UHD FGD'!$R$82,"$* #,##0;$* (#,##0)"),TEXT('UHD FGD'!$R$82/1000,"$* #,##0;$* (#,##0)")&amp;" thousand"))</f>
        <v>$1.2 million</v>
      </c>
      <c r="C29" s="515"/>
      <c r="E29" s="515"/>
    </row>
    <row r="30" spans="1:7">
      <c r="B30" s="105" t="s">
        <v>709</v>
      </c>
    </row>
  </sheetData>
  <hyperlinks>
    <hyperlink ref="C1" location="Index!A1" display="Return to Index" xr:uid="{00000000-0004-0000-7400-000000000000}"/>
  </hyperlinks>
  <pageMargins left="0.25" right="0.25" top="0.25" bottom="0.25" header="0" footer="0.25"/>
  <pageSetup orientation="portrait" r:id="rId1"/>
  <headerFooter alignWithMargins="0"/>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Sheet95">
    <tabColor indexed="47"/>
    <pageSetUpPr fitToPage="1"/>
  </sheetPr>
  <dimension ref="A1:E165"/>
  <sheetViews>
    <sheetView showGridLines="0" zoomScale="65" zoomScaleNormal="65" zoomScaleSheetLayoutView="65" workbookViewId="0">
      <selection activeCell="B34" sqref="B34"/>
    </sheetView>
  </sheetViews>
  <sheetFormatPr defaultColWidth="9.140625" defaultRowHeight="12.75" customHeight="1"/>
  <cols>
    <col min="1" max="1" width="158.7109375" style="53" customWidth="1"/>
    <col min="2" max="2" width="24.28515625" style="53" customWidth="1"/>
    <col min="3" max="3" width="49.42578125" style="53" customWidth="1"/>
    <col min="4" max="4" width="20.7109375" style="53" customWidth="1"/>
    <col min="5" max="5" width="9.140625" style="679"/>
    <col min="6" max="16384" width="9.140625" style="53"/>
  </cols>
  <sheetData>
    <row r="1" spans="1:5" ht="28.5" thickBot="1">
      <c r="A1" s="159" t="s">
        <v>118</v>
      </c>
      <c r="B1" s="835" t="s">
        <v>1200</v>
      </c>
      <c r="C1" s="53" t="s">
        <v>1329</v>
      </c>
    </row>
    <row r="2" spans="1:5" ht="27.75">
      <c r="A2" s="54" t="str">
        <f>'Smmy Chrts'!$A$2</f>
        <v>For the Year Ended August 31, 2021</v>
      </c>
      <c r="C2" s="55" t="s">
        <v>63</v>
      </c>
    </row>
    <row r="3" spans="1:5" ht="27.75">
      <c r="A3" s="54" t="str">
        <f>'Smmy Chrts'!$A$3</f>
        <v>Source: FY 2021 Annual Financial Report</v>
      </c>
      <c r="C3" s="53" t="s">
        <v>64</v>
      </c>
    </row>
    <row r="4" spans="1:5" ht="12.75" customHeight="1">
      <c r="C4" s="53" t="s">
        <v>267</v>
      </c>
    </row>
    <row r="5" spans="1:5" ht="12.75" customHeight="1">
      <c r="C5" s="53" t="s">
        <v>268</v>
      </c>
    </row>
    <row r="7" spans="1:5" ht="12.75" customHeight="1">
      <c r="C7" s="1687" t="s">
        <v>25</v>
      </c>
      <c r="D7" s="1687"/>
    </row>
    <row r="8" spans="1:5" ht="12.75" customHeight="1">
      <c r="C8" s="57"/>
      <c r="D8" s="58"/>
    </row>
    <row r="9" spans="1:5" ht="12.75" customHeight="1">
      <c r="C9" s="59" t="str">
        <f>'UHV Sum'!A9</f>
        <v>State of Texas</v>
      </c>
      <c r="D9" s="60">
        <f>'UHV Sum'!B15</f>
        <v>23410758</v>
      </c>
      <c r="E9" s="680">
        <f>ROUND(D9/$D$14,3)</f>
        <v>0.308</v>
      </c>
    </row>
    <row r="10" spans="1:5" ht="12.75" customHeight="1">
      <c r="C10" s="59" t="str">
        <f>'UHV Sum'!A17</f>
        <v>Student &amp; Parent</v>
      </c>
      <c r="D10" s="60">
        <f>'UHV Sum'!B20</f>
        <v>26804338</v>
      </c>
      <c r="E10" s="680">
        <f t="shared" ref="E10:E12" si="0">ROUND(D10/$D$14,3)</f>
        <v>0.35299999999999998</v>
      </c>
    </row>
    <row r="11" spans="1:5" ht="12.75" customHeight="1">
      <c r="C11" s="59" t="str">
        <f>'UHV Sum'!A22</f>
        <v>Federal Government</v>
      </c>
      <c r="D11" s="60">
        <f>'UHV Sum'!B23</f>
        <v>15650731</v>
      </c>
      <c r="E11" s="680">
        <f t="shared" si="0"/>
        <v>0.20599999999999999</v>
      </c>
    </row>
    <row r="12" spans="1:5" ht="12.75" customHeight="1">
      <c r="C12" s="59" t="str">
        <f>'UHV Sum'!A25</f>
        <v>Institutional Resources</v>
      </c>
      <c r="D12" s="60">
        <f>'UHV Sum'!B32</f>
        <v>10127977</v>
      </c>
      <c r="E12" s="680">
        <f t="shared" si="0"/>
        <v>0.13300000000000001</v>
      </c>
    </row>
    <row r="13" spans="1:5" ht="12.75" customHeight="1">
      <c r="C13" s="57"/>
      <c r="D13" s="58"/>
      <c r="E13" s="680"/>
    </row>
    <row r="14" spans="1:5" ht="12.75" customHeight="1">
      <c r="C14" s="61" t="s">
        <v>68</v>
      </c>
      <c r="D14" s="62">
        <f>SUM(D9:D13)</f>
        <v>75993804</v>
      </c>
      <c r="E14" s="680">
        <f>SUM(E9:E13)</f>
        <v>1</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86" t="str">
        <f>C14&amp;" "&amp;TEXT(D14,"$#,###")</f>
        <v>Total Operating Sources $75,993,804</v>
      </c>
    </row>
    <row r="48" spans="1:1" ht="12.75" customHeight="1">
      <c r="A48" s="1686"/>
    </row>
    <row r="49" spans="1:5" ht="12.75" customHeight="1">
      <c r="A49" s="56"/>
    </row>
    <row r="52" spans="1:5" ht="12.75" customHeight="1">
      <c r="C52" s="63" t="s">
        <v>25</v>
      </c>
      <c r="D52" s="58"/>
    </row>
    <row r="54" spans="1:5" ht="12.75" customHeight="1">
      <c r="C54" s="59" t="s">
        <v>1</v>
      </c>
      <c r="D54" s="60">
        <f>'UHV Sum'!B10</f>
        <v>17625883</v>
      </c>
      <c r="E54" s="680">
        <f>ROUND(D54/$D$67,3)</f>
        <v>0.23200000000000001</v>
      </c>
    </row>
    <row r="55" spans="1:5" ht="12.75" customHeight="1">
      <c r="C55" s="59" t="s">
        <v>221</v>
      </c>
      <c r="D55" s="60">
        <f>'UHV Sum'!B11</f>
        <v>2242058</v>
      </c>
      <c r="E55" s="680">
        <f t="shared" ref="E55:E66" si="1">ROUND(D55/$D$67,3)</f>
        <v>0.03</v>
      </c>
    </row>
    <row r="56" spans="1:5" ht="12.75" customHeight="1">
      <c r="C56" s="59"/>
      <c r="D56" s="60"/>
      <c r="E56" s="680"/>
    </row>
    <row r="57" spans="1:5" ht="12.75" customHeight="1">
      <c r="C57" s="59" t="str">
        <f>'UHV Sum'!A13</f>
        <v>Higher Education Fund</v>
      </c>
      <c r="D57" s="60">
        <f>'UHV Sum'!B13</f>
        <v>3542817</v>
      </c>
      <c r="E57" s="680">
        <f t="shared" si="1"/>
        <v>4.7E-2</v>
      </c>
    </row>
    <row r="58" spans="1:5" ht="12.75" customHeight="1">
      <c r="C58" s="1069" t="s">
        <v>41</v>
      </c>
      <c r="D58" s="60">
        <f>'UHV Sum'!B14</f>
        <v>0</v>
      </c>
      <c r="E58" s="680">
        <f t="shared" si="1"/>
        <v>0</v>
      </c>
    </row>
    <row r="59" spans="1:5" ht="12.75" customHeight="1">
      <c r="C59" s="59" t="s">
        <v>87</v>
      </c>
      <c r="D59" s="60">
        <f>'UHV Sum'!B20</f>
        <v>26804338</v>
      </c>
      <c r="E59" s="680">
        <f t="shared" si="1"/>
        <v>0.35299999999999998</v>
      </c>
    </row>
    <row r="60" spans="1:5" ht="12.75" customHeight="1">
      <c r="C60" s="64" t="s">
        <v>74</v>
      </c>
      <c r="D60" s="60">
        <f>'UHV Sum'!B23</f>
        <v>15650731</v>
      </c>
      <c r="E60" s="680">
        <f t="shared" si="1"/>
        <v>0.20599999999999999</v>
      </c>
    </row>
    <row r="61" spans="1:5" ht="12.75" customHeight="1">
      <c r="C61" s="59" t="s">
        <v>75</v>
      </c>
      <c r="D61" s="60">
        <f>'UHV Sum'!B26</f>
        <v>1745074</v>
      </c>
      <c r="E61" s="680">
        <f t="shared" si="1"/>
        <v>2.3E-2</v>
      </c>
    </row>
    <row r="62" spans="1:5" ht="12.75" customHeight="1">
      <c r="C62" s="1069" t="s">
        <v>27</v>
      </c>
      <c r="D62" s="60">
        <f>'UHV Sum'!B27</f>
        <v>0</v>
      </c>
      <c r="E62" s="680">
        <f t="shared" si="1"/>
        <v>0</v>
      </c>
    </row>
    <row r="63" spans="1:5" ht="12.75" customHeight="1">
      <c r="C63" s="59" t="s">
        <v>76</v>
      </c>
      <c r="D63" s="60">
        <f>'UHV Sum'!B28</f>
        <v>1858166</v>
      </c>
      <c r="E63" s="680">
        <f t="shared" si="1"/>
        <v>2.4E-2</v>
      </c>
    </row>
    <row r="64" spans="1:5" ht="12.75" customHeight="1">
      <c r="C64" s="59" t="s">
        <v>77</v>
      </c>
      <c r="D64" s="60">
        <f>'UHV Sum'!B29</f>
        <v>322197</v>
      </c>
      <c r="E64" s="680">
        <f t="shared" si="1"/>
        <v>4.0000000000000001E-3</v>
      </c>
    </row>
    <row r="65" spans="1:5" ht="12.75" customHeight="1">
      <c r="C65" s="59" t="s">
        <v>220</v>
      </c>
      <c r="D65" s="60">
        <f>'UHV Sum'!B30</f>
        <v>2065046</v>
      </c>
      <c r="E65" s="680">
        <f t="shared" si="1"/>
        <v>2.7E-2</v>
      </c>
    </row>
    <row r="66" spans="1:5" ht="12.75" customHeight="1">
      <c r="C66" s="64" t="s">
        <v>52</v>
      </c>
      <c r="D66" s="60">
        <f>'UHV Sum'!B31</f>
        <v>4137494</v>
      </c>
      <c r="E66" s="680">
        <f t="shared" si="1"/>
        <v>5.3999999999999999E-2</v>
      </c>
    </row>
    <row r="67" spans="1:5" ht="12.75" customHeight="1">
      <c r="C67" s="61" t="s">
        <v>68</v>
      </c>
      <c r="D67" s="62">
        <f>SUM(D54:D66)</f>
        <v>75993804</v>
      </c>
      <c r="E67" s="681">
        <f>SUM(E54:E66)</f>
        <v>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86" t="str">
        <f>C67&amp;" "&amp;TEXT(D67,"$#,###")</f>
        <v>Total Operating Sources $75,993,804</v>
      </c>
    </row>
    <row r="93" spans="1:5" ht="12.75" customHeight="1">
      <c r="A93" s="1686"/>
    </row>
    <row r="94" spans="1:5" ht="12.75" customHeight="1">
      <c r="A94" s="65"/>
    </row>
    <row r="95" spans="1:5" s="68" customFormat="1" ht="12.75" customHeight="1">
      <c r="A95" s="66"/>
      <c r="E95" s="682"/>
    </row>
    <row r="96" spans="1:5" ht="12.75" customHeight="1">
      <c r="A96" s="65"/>
    </row>
    <row r="97" spans="1:5" ht="12.75" customHeight="1">
      <c r="A97" s="65"/>
    </row>
    <row r="98" spans="1:5" ht="12.75" customHeight="1">
      <c r="A98" s="65"/>
    </row>
    <row r="100" spans="1:5" ht="12.75" customHeight="1">
      <c r="C100" s="1687" t="s">
        <v>13</v>
      </c>
      <c r="D100" s="1687"/>
    </row>
    <row r="101" spans="1:5" ht="12.75" customHeight="1">
      <c r="C101" s="1687"/>
      <c r="D101" s="1687"/>
    </row>
    <row r="102" spans="1:5" ht="12.75" customHeight="1">
      <c r="C102" s="69" t="s">
        <v>14</v>
      </c>
      <c r="D102" s="60">
        <f>'UHV Sum'!B36</f>
        <v>20599553</v>
      </c>
      <c r="E102" s="680">
        <f>ROUND(D102/$D$114,3)</f>
        <v>0.308</v>
      </c>
    </row>
    <row r="103" spans="1:5" ht="12.75" customHeight="1">
      <c r="C103" s="69" t="s">
        <v>15</v>
      </c>
      <c r="D103" s="60">
        <f>'UHV Sum'!B37</f>
        <v>416867</v>
      </c>
      <c r="E103" s="680">
        <f t="shared" ref="E103:E112" si="2">ROUND(D103/$D$114,3)</f>
        <v>6.0000000000000001E-3</v>
      </c>
    </row>
    <row r="104" spans="1:5" ht="12.75" customHeight="1">
      <c r="C104" s="69" t="s">
        <v>16</v>
      </c>
      <c r="D104" s="60">
        <f>'UHV Sum'!B38</f>
        <v>867914</v>
      </c>
      <c r="E104" s="680">
        <f t="shared" si="2"/>
        <v>1.2999999999999999E-2</v>
      </c>
    </row>
    <row r="105" spans="1:5" ht="12.75" customHeight="1">
      <c r="C105" s="69" t="s">
        <v>17</v>
      </c>
      <c r="D105" s="60">
        <f>'UHV Sum'!B39</f>
        <v>14197430</v>
      </c>
      <c r="E105" s="680">
        <f t="shared" si="2"/>
        <v>0.21199999999999999</v>
      </c>
    </row>
    <row r="106" spans="1:5" ht="12.75" customHeight="1">
      <c r="C106" s="69" t="s">
        <v>18</v>
      </c>
      <c r="D106" s="60">
        <f>'UHV Sum'!B40</f>
        <v>7050629</v>
      </c>
      <c r="E106" s="680">
        <f t="shared" si="2"/>
        <v>0.105</v>
      </c>
    </row>
    <row r="107" spans="1:5" ht="12.75" customHeight="1">
      <c r="C107" s="69" t="s">
        <v>19</v>
      </c>
      <c r="D107" s="60">
        <f>'UHV Sum'!B41</f>
        <v>5897596</v>
      </c>
      <c r="E107" s="680">
        <f t="shared" si="2"/>
        <v>8.7999999999999995E-2</v>
      </c>
    </row>
    <row r="108" spans="1:5" ht="12.75" customHeight="1">
      <c r="C108" s="69" t="s">
        <v>78</v>
      </c>
      <c r="D108" s="60">
        <f>'UHV Sum'!B42</f>
        <v>3254513</v>
      </c>
      <c r="E108" s="680">
        <f t="shared" si="2"/>
        <v>4.9000000000000002E-2</v>
      </c>
    </row>
    <row r="109" spans="1:5" ht="12.75" customHeight="1">
      <c r="C109" s="69" t="s">
        <v>79</v>
      </c>
      <c r="D109" s="60">
        <f>'UHV Sum'!B43</f>
        <v>8876794</v>
      </c>
      <c r="E109" s="680">
        <f t="shared" si="2"/>
        <v>0.13300000000000001</v>
      </c>
    </row>
    <row r="110" spans="1:5" ht="12.75" customHeight="1">
      <c r="C110" s="69" t="s">
        <v>22</v>
      </c>
      <c r="D110" s="60">
        <f>'UHV Sum'!B44</f>
        <v>2342457</v>
      </c>
      <c r="E110" s="680">
        <f t="shared" si="2"/>
        <v>3.5000000000000003E-2</v>
      </c>
    </row>
    <row r="111" spans="1:5" ht="12.75" customHeight="1">
      <c r="C111" s="64" t="s">
        <v>29</v>
      </c>
      <c r="D111" s="60">
        <f>'UHV Sum'!B45</f>
        <v>567046</v>
      </c>
      <c r="E111" s="680">
        <f t="shared" si="2"/>
        <v>8.0000000000000002E-3</v>
      </c>
    </row>
    <row r="112" spans="1:5" ht="12.75" customHeight="1">
      <c r="C112" s="64" t="s">
        <v>53</v>
      </c>
      <c r="D112" s="60">
        <f>'UHV Sum'!B46</f>
        <v>2810266</v>
      </c>
      <c r="E112" s="680">
        <f t="shared" si="2"/>
        <v>4.2000000000000003E-2</v>
      </c>
    </row>
    <row r="113" spans="3:5" ht="12.75" customHeight="1">
      <c r="C113" s="57"/>
      <c r="D113" s="57"/>
    </row>
    <row r="114" spans="3:5" ht="12.75" customHeight="1">
      <c r="C114" s="70" t="s">
        <v>69</v>
      </c>
      <c r="D114" s="62">
        <f>SUM(D102:D113)</f>
        <v>66881065</v>
      </c>
      <c r="E114" s="681">
        <f>SUM(E102:E113)</f>
        <v>0.99900000000000011</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86" t="str">
        <f>C114&amp;" "&amp;TEXT(D114,"$#,###")</f>
        <v>Total Operating Uses $66,881,065</v>
      </c>
    </row>
    <row r="137" spans="1:1" ht="12.75" customHeight="1">
      <c r="A137" s="1686"/>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75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1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transitionEvaluation="1" transitionEntry="1" codeName="Sheet96">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'UHV Chrts'!$A$1</f>
        <v>University of Houston - Victoria</v>
      </c>
      <c r="B1" s="74"/>
      <c r="C1" s="1"/>
      <c r="D1" s="1704" t="s">
        <v>1200</v>
      </c>
      <c r="E1" s="1705"/>
      <c r="F1" s="1757" t="s">
        <v>1196</v>
      </c>
      <c r="G1" s="1706"/>
      <c r="H1" s="1706"/>
      <c r="I1" s="1706"/>
      <c r="J1" s="1707" t="s">
        <v>1197</v>
      </c>
      <c r="K1" s="1695"/>
      <c r="L1" s="1695"/>
      <c r="M1" s="1695"/>
      <c r="N1" s="1695"/>
      <c r="O1" s="1696"/>
    </row>
    <row r="2" spans="1:15" ht="15.75">
      <c r="A2" s="76" t="str">
        <f>'Smmy Chrts'!$A$2</f>
        <v>For the Year Ended August 31, 2021</v>
      </c>
      <c r="B2" s="74"/>
      <c r="C2" s="1"/>
      <c r="D2" s="37"/>
      <c r="E2" s="37"/>
      <c r="F2" s="37"/>
      <c r="J2" s="37"/>
      <c r="K2" s="37"/>
      <c r="L2" s="37"/>
      <c r="M2" s="37"/>
    </row>
    <row r="3" spans="1:15" ht="15.75">
      <c r="A3" s="76" t="str">
        <f>'Smmy Chrts'!$A$3</f>
        <v>Source: FY 2021 Annual Financial Report</v>
      </c>
      <c r="B3" s="74"/>
      <c r="C3" s="1"/>
    </row>
    <row r="4" spans="1:15" ht="13.5" customHeight="1">
      <c r="B4" s="77"/>
      <c r="C4" s="4"/>
      <c r="D4" s="1711" t="s">
        <v>1142</v>
      </c>
      <c r="E4" s="1711" t="s">
        <v>1143</v>
      </c>
      <c r="F4" s="266"/>
    </row>
    <row r="5" spans="1:15" ht="18">
      <c r="A5" s="39" t="str">
        <f>'Smmy Chrts'!$C$35</f>
        <v>Summary Worksheet FY 2021</v>
      </c>
      <c r="B5" s="40" t="s">
        <v>86</v>
      </c>
      <c r="C5" s="40" t="s">
        <v>129</v>
      </c>
      <c r="D5" s="1712"/>
      <c r="E5" s="1712"/>
      <c r="F5" s="266"/>
      <c r="G5" s="799" t="s">
        <v>1198</v>
      </c>
      <c r="I5" s="822" t="s">
        <v>2157</v>
      </c>
      <c r="J5" s="792" t="s">
        <v>1144</v>
      </c>
    </row>
    <row r="6" spans="1:15" ht="13.5" customHeight="1">
      <c r="A6" s="78" t="s">
        <v>266</v>
      </c>
      <c r="B6" s="41"/>
      <c r="C6" s="42">
        <f>VLOOKUP($A$1,FTSELU,12,FALSE)</f>
        <v>3604.5</v>
      </c>
      <c r="J6" s="712"/>
    </row>
    <row r="7" spans="1:15">
      <c r="I7" s="824" t="s">
        <v>1162</v>
      </c>
      <c r="J7" s="827"/>
    </row>
    <row r="8" spans="1:15">
      <c r="A8" s="81" t="s">
        <v>71</v>
      </c>
      <c r="B8" s="81"/>
      <c r="C8" s="24"/>
      <c r="I8" s="896">
        <f>VLOOKUP(A1,FTSELU,14,FALSE)</f>
        <v>290.24</v>
      </c>
      <c r="J8" s="712"/>
    </row>
    <row r="9" spans="1:15" ht="12.75" customHeight="1" thickBot="1">
      <c r="A9" s="78" t="s">
        <v>0</v>
      </c>
      <c r="B9" s="82"/>
      <c r="C9" s="7"/>
      <c r="J9" s="712"/>
    </row>
    <row r="10" spans="1:15" ht="12.75" customHeight="1" thickTop="1">
      <c r="A10" s="75" t="s">
        <v>1</v>
      </c>
      <c r="B10" s="83">
        <f>'UHV FGD'!M10</f>
        <v>17625883</v>
      </c>
      <c r="C10" s="83">
        <f>ROUND(B10/$C$6,0)</f>
        <v>4890</v>
      </c>
      <c r="D10" s="512">
        <f>'UHV FGD'!F10</f>
        <v>0</v>
      </c>
      <c r="E10" s="512"/>
      <c r="F10" s="84">
        <f>B10-(SUM(D10:E10))</f>
        <v>17625883</v>
      </c>
      <c r="G10" s="1143" t="s">
        <v>1</v>
      </c>
      <c r="H10" s="1144"/>
      <c r="I10" s="825" t="s">
        <v>1161</v>
      </c>
      <c r="J10" s="713">
        <f>ROUND(F10/$C$6,0)</f>
        <v>4890</v>
      </c>
    </row>
    <row r="11" spans="1:15" ht="12.75" customHeight="1" thickBot="1">
      <c r="A11" s="75" t="s">
        <v>2</v>
      </c>
      <c r="B11" s="86">
        <f>'UHV FGD'!M11</f>
        <v>2242058</v>
      </c>
      <c r="C11" s="87">
        <f t="shared" ref="C11:C14" si="0">ROUND(B11/$C$6,0)</f>
        <v>622</v>
      </c>
      <c r="D11" s="86">
        <f>'UHV FGD'!F11</f>
        <v>0</v>
      </c>
      <c r="E11" s="74"/>
      <c r="F11" s="606">
        <f t="shared" ref="F11:F14" si="1">B11-(SUM(D11:E11))</f>
        <v>2242058</v>
      </c>
      <c r="G11" s="1148">
        <f>SUM(F10:F11)</f>
        <v>19867941</v>
      </c>
      <c r="H11" s="715"/>
      <c r="I11" s="1373">
        <f>ROUND($G$11/$C$6,0)</f>
        <v>5512</v>
      </c>
      <c r="J11" s="716">
        <f t="shared" ref="J11:J14" si="2">ROUND(F11/$C$6,0)</f>
        <v>622</v>
      </c>
    </row>
    <row r="12" spans="1:15" ht="12.75" hidden="1" customHeight="1" thickTop="1" thickBot="1">
      <c r="A12" s="75" t="s">
        <v>1410</v>
      </c>
      <c r="B12" s="86"/>
      <c r="C12" s="87"/>
      <c r="D12" s="86"/>
      <c r="E12" s="74"/>
      <c r="F12" s="607"/>
      <c r="J12" s="716"/>
      <c r="O12" s="608"/>
    </row>
    <row r="13" spans="1:15" ht="12.75" customHeight="1" thickTop="1">
      <c r="A13" s="75" t="s">
        <v>1368</v>
      </c>
      <c r="B13" s="86">
        <f>'UHV FGD'!M13</f>
        <v>3542817</v>
      </c>
      <c r="C13" s="87">
        <f t="shared" si="0"/>
        <v>983</v>
      </c>
      <c r="D13" s="86">
        <f>'UHV FGD'!F13</f>
        <v>0</v>
      </c>
      <c r="E13" s="74"/>
      <c r="F13" s="893">
        <f t="shared" si="1"/>
        <v>3542817</v>
      </c>
      <c r="G13" s="882" t="s">
        <v>81</v>
      </c>
      <c r="H13" s="894"/>
      <c r="I13" s="826" t="s">
        <v>1163</v>
      </c>
      <c r="J13" s="716">
        <f t="shared" si="2"/>
        <v>983</v>
      </c>
    </row>
    <row r="14" spans="1:15" ht="12.75" customHeight="1" thickBot="1">
      <c r="A14" s="75" t="s">
        <v>49</v>
      </c>
      <c r="B14" s="86">
        <f>'UHV FGD'!M14</f>
        <v>0</v>
      </c>
      <c r="C14" s="87">
        <f t="shared" si="0"/>
        <v>0</v>
      </c>
      <c r="D14" s="86">
        <f>'UHV FGD'!F14</f>
        <v>0</v>
      </c>
      <c r="E14" s="74"/>
      <c r="F14" s="607">
        <f t="shared" si="1"/>
        <v>0</v>
      </c>
      <c r="G14" s="800">
        <f>SUM(F13:F14)</f>
        <v>3542817</v>
      </c>
      <c r="H14" s="895"/>
      <c r="I14" s="1377">
        <f>ROUND($G$11/$I$8,0)</f>
        <v>68453</v>
      </c>
      <c r="J14" s="828">
        <f t="shared" si="2"/>
        <v>0</v>
      </c>
    </row>
    <row r="15" spans="1:15" ht="12.75" customHeight="1" thickTop="1">
      <c r="A15" s="88" t="s">
        <v>3</v>
      </c>
      <c r="B15" s="89">
        <f>SUM(B10:B14)</f>
        <v>23410758</v>
      </c>
      <c r="C15" s="89">
        <f>SUM(C10:C14)</f>
        <v>6495</v>
      </c>
      <c r="D15" s="89">
        <f>SUM(D10:D14)</f>
        <v>0</v>
      </c>
      <c r="E15" s="89">
        <f>SUM(E10:E14)</f>
        <v>0</v>
      </c>
      <c r="F15" s="216">
        <f>SUM(F10:F14)</f>
        <v>23410758</v>
      </c>
      <c r="I15" s="1372"/>
      <c r="J15" s="757">
        <f>SUM(J10:J14)</f>
        <v>6495</v>
      </c>
    </row>
    <row r="16" spans="1:15">
      <c r="B16" s="48"/>
      <c r="C16" s="75"/>
      <c r="J16" s="712"/>
    </row>
    <row r="17" spans="1:31" ht="12.75" customHeight="1">
      <c r="A17" s="78" t="s">
        <v>4</v>
      </c>
      <c r="B17" s="86"/>
      <c r="C17" s="75"/>
      <c r="J17" s="712"/>
    </row>
    <row r="18" spans="1:31">
      <c r="A18" s="75" t="s">
        <v>39</v>
      </c>
      <c r="B18" s="83">
        <f>'UHV FGD'!M29</f>
        <v>18478591</v>
      </c>
      <c r="C18" s="83">
        <f t="shared" ref="C18:C19" si="3">ROUND(B18/$C$6,0)</f>
        <v>5127</v>
      </c>
      <c r="D18" s="512">
        <f>'UHV FGD'!$F$29</f>
        <v>0</v>
      </c>
      <c r="E18" s="512"/>
      <c r="F18" s="512">
        <f t="shared" ref="F18:F19" si="4">B18-(SUM(D18:E18))</f>
        <v>18478591</v>
      </c>
      <c r="G18" s="337"/>
      <c r="H18" s="337"/>
      <c r="I18" s="337"/>
      <c r="J18" s="713">
        <f>ROUND(F18/$C$6,0)</f>
        <v>5127</v>
      </c>
    </row>
    <row r="19" spans="1:31" ht="13.5" thickBot="1">
      <c r="A19" s="75" t="s">
        <v>40</v>
      </c>
      <c r="B19" s="86">
        <f>'UHV FGD'!M42</f>
        <v>8325747</v>
      </c>
      <c r="C19" s="87">
        <f t="shared" si="3"/>
        <v>2310</v>
      </c>
      <c r="D19" s="74">
        <f>'UHV FGD'!$F$42</f>
        <v>3439096</v>
      </c>
      <c r="E19" s="74"/>
      <c r="F19" s="74">
        <f t="shared" si="4"/>
        <v>4886651</v>
      </c>
      <c r="G19" s="337"/>
      <c r="H19" s="337"/>
      <c r="I19" s="337"/>
      <c r="J19" s="716">
        <f>ROUND(F19/$C$6,0)</f>
        <v>1356</v>
      </c>
    </row>
    <row r="20" spans="1:31" ht="14.25" thickTop="1" thickBot="1">
      <c r="A20" s="88" t="s">
        <v>5</v>
      </c>
      <c r="B20" s="89">
        <f>SUM(B18:B19)</f>
        <v>26804338</v>
      </c>
      <c r="C20" s="89">
        <f>SUM(C18:C19)</f>
        <v>7437</v>
      </c>
      <c r="D20" s="717">
        <f>SUM(D18:D19)</f>
        <v>3439096</v>
      </c>
      <c r="E20" s="718">
        <f>SUM(E18:E19)</f>
        <v>0</v>
      </c>
      <c r="F20" s="801">
        <f>SUM(F18:F19)</f>
        <v>23365242</v>
      </c>
      <c r="G20" s="720" t="s">
        <v>26</v>
      </c>
      <c r="H20" s="366"/>
      <c r="I20" s="367"/>
      <c r="J20" s="721">
        <f>SUM(J18:J19)</f>
        <v>6483</v>
      </c>
    </row>
    <row r="21" spans="1:31" ht="12.75" customHeight="1" thickTop="1">
      <c r="B21" s="91"/>
      <c r="C21" s="75"/>
      <c r="F21" s="804"/>
      <c r="J21" s="712"/>
    </row>
    <row r="22" spans="1:31" ht="14.25" customHeight="1" thickBot="1">
      <c r="A22" s="78" t="s">
        <v>6</v>
      </c>
      <c r="B22" s="91"/>
      <c r="C22" s="75"/>
      <c r="J22" s="712"/>
    </row>
    <row r="23" spans="1:31" ht="14.25" thickTop="1" thickBot="1">
      <c r="A23" s="88" t="s">
        <v>7</v>
      </c>
      <c r="B23" s="92">
        <f>'UHV FGD'!M47</f>
        <v>15650731</v>
      </c>
      <c r="C23" s="89">
        <f t="shared" ref="C23" si="5">ROUND(B23/$C$6,0)</f>
        <v>4342</v>
      </c>
      <c r="D23" s="717">
        <f>'UHV FGD'!F47</f>
        <v>0</v>
      </c>
      <c r="E23" s="718"/>
      <c r="F23" s="801">
        <f>B23-(SUM(D23:E23))</f>
        <v>15650731</v>
      </c>
      <c r="G23" s="722" t="s">
        <v>74</v>
      </c>
      <c r="H23" s="366"/>
      <c r="I23" s="367"/>
      <c r="J23" s="756">
        <f>ROUND(F23/$C$6,0)</f>
        <v>4342</v>
      </c>
    </row>
    <row r="24" spans="1:31" ht="13.5" thickTop="1">
      <c r="B24" s="91"/>
      <c r="C24" s="75"/>
      <c r="J24" s="712"/>
    </row>
    <row r="25" spans="1:31">
      <c r="A25" s="78" t="s">
        <v>8</v>
      </c>
      <c r="B25" s="91"/>
      <c r="C25" s="75"/>
      <c r="J25" s="712"/>
    </row>
    <row r="26" spans="1:31">
      <c r="A26" s="75" t="s">
        <v>42</v>
      </c>
      <c r="B26" s="83">
        <f>'UHV FGD'!M50</f>
        <v>1745074</v>
      </c>
      <c r="C26" s="83">
        <f t="shared" ref="C26:C31" si="6">ROUND(B26/$C$6,0)</f>
        <v>484</v>
      </c>
      <c r="D26" s="512">
        <f>'UHV FGD'!F50</f>
        <v>0</v>
      </c>
      <c r="E26" s="512"/>
      <c r="F26" s="512">
        <f t="shared" ref="F26:F31" si="7">B26-(SUM(D26:E26))</f>
        <v>1745074</v>
      </c>
      <c r="G26" s="337"/>
      <c r="H26" s="337"/>
      <c r="I26" s="337"/>
      <c r="J26" s="713">
        <f>ROUND(F26/$C$6,0)</f>
        <v>484</v>
      </c>
    </row>
    <row r="27" spans="1:31">
      <c r="A27" s="75" t="s">
        <v>9</v>
      </c>
      <c r="B27" s="86">
        <f>'UHV FGD'!M51</f>
        <v>0</v>
      </c>
      <c r="C27" s="87">
        <f t="shared" si="6"/>
        <v>0</v>
      </c>
      <c r="D27" s="86">
        <f>'UHV FGD'!F51</f>
        <v>0</v>
      </c>
      <c r="E27" s="74"/>
      <c r="F27" s="74">
        <f t="shared" si="7"/>
        <v>0</v>
      </c>
      <c r="G27" s="337"/>
      <c r="H27" s="337"/>
      <c r="I27" s="337"/>
      <c r="J27" s="716">
        <f t="shared" ref="J27:J31" si="8">ROUND(F27/$C$6,0)</f>
        <v>0</v>
      </c>
    </row>
    <row r="28" spans="1:31" ht="13.5" thickBot="1">
      <c r="A28" s="75" t="s">
        <v>10</v>
      </c>
      <c r="B28" s="86">
        <f>'UHV FGD'!M52</f>
        <v>1858166</v>
      </c>
      <c r="C28" s="87">
        <f t="shared" si="6"/>
        <v>516</v>
      </c>
      <c r="D28" s="86">
        <f>'UHV FGD'!F52</f>
        <v>0</v>
      </c>
      <c r="E28" s="74"/>
      <c r="F28" s="74">
        <f t="shared" si="7"/>
        <v>1858166</v>
      </c>
      <c r="G28" s="337"/>
      <c r="H28" s="337"/>
      <c r="I28" s="337"/>
      <c r="J28" s="716">
        <f t="shared" si="8"/>
        <v>516</v>
      </c>
    </row>
    <row r="29" spans="1:31" ht="13.5" thickBot="1">
      <c r="A29" s="75" t="s">
        <v>11</v>
      </c>
      <c r="B29" s="86">
        <f>'UHV FGD'!M53</f>
        <v>322197</v>
      </c>
      <c r="C29" s="87">
        <f t="shared" si="6"/>
        <v>89</v>
      </c>
      <c r="D29" s="86">
        <f>'UHV FGD'!F53</f>
        <v>0</v>
      </c>
      <c r="E29" s="74"/>
      <c r="F29" s="74">
        <f t="shared" si="7"/>
        <v>322197</v>
      </c>
      <c r="G29" s="337"/>
      <c r="H29" s="337"/>
      <c r="I29" s="337"/>
      <c r="J29" s="716">
        <f t="shared" si="8"/>
        <v>89</v>
      </c>
      <c r="K29" s="1694" t="s">
        <v>1065</v>
      </c>
      <c r="L29" s="1695"/>
      <c r="M29" s="1695"/>
      <c r="N29" s="1695"/>
      <c r="O29" s="1696"/>
    </row>
    <row r="30" spans="1:31" ht="13.5" thickBot="1">
      <c r="A30" s="93" t="s">
        <v>2134</v>
      </c>
      <c r="B30" s="94">
        <f>'UHV FGD'!M54</f>
        <v>2065046</v>
      </c>
      <c r="C30" s="87">
        <f t="shared" si="6"/>
        <v>573</v>
      </c>
      <c r="D30" s="729">
        <f>B30</f>
        <v>2065046</v>
      </c>
      <c r="E30" s="74"/>
      <c r="F30" s="74">
        <f t="shared" si="7"/>
        <v>0</v>
      </c>
      <c r="G30" s="337"/>
      <c r="H30" s="337"/>
      <c r="I30" s="337"/>
      <c r="J30" s="716">
        <f t="shared" si="8"/>
        <v>0</v>
      </c>
      <c r="K30" s="1694" t="s">
        <v>1070</v>
      </c>
      <c r="L30" s="1695"/>
      <c r="M30" s="1695"/>
      <c r="N30" s="1695"/>
      <c r="O30" s="1696"/>
    </row>
    <row r="31" spans="1:31" ht="13.5" customHeight="1" thickBot="1">
      <c r="A31" s="95" t="s">
        <v>43</v>
      </c>
      <c r="B31" s="86">
        <f>'UHV FGD'!M55</f>
        <v>4137494</v>
      </c>
      <c r="C31" s="87">
        <f t="shared" si="6"/>
        <v>1148</v>
      </c>
      <c r="D31" s="86">
        <f>'UHV FGD'!F55</f>
        <v>3218380</v>
      </c>
      <c r="E31" s="74"/>
      <c r="F31" s="74">
        <f t="shared" si="7"/>
        <v>919114</v>
      </c>
      <c r="G31" s="35"/>
      <c r="H31" s="35"/>
      <c r="I31" s="38"/>
      <c r="J31" s="716">
        <f t="shared" si="8"/>
        <v>255</v>
      </c>
      <c r="K31" s="1697" t="s">
        <v>1073</v>
      </c>
      <c r="L31" s="1697" t="s">
        <v>1071</v>
      </c>
      <c r="M31" s="1697" t="s">
        <v>1072</v>
      </c>
      <c r="N31" s="1697" t="s">
        <v>1240</v>
      </c>
      <c r="O31" s="1697"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10127977</v>
      </c>
      <c r="C32" s="89">
        <f>SUM(C26:C31)</f>
        <v>2810</v>
      </c>
      <c r="D32" s="723">
        <f>SUM(D26:D31)</f>
        <v>5283426</v>
      </c>
      <c r="E32" s="723">
        <f>SUM(E26:E31)</f>
        <v>0</v>
      </c>
      <c r="F32" s="802">
        <f>SUM(F26:F31)</f>
        <v>4844551</v>
      </c>
      <c r="G32" s="1708" t="s">
        <v>8</v>
      </c>
      <c r="H32" s="1709"/>
      <c r="I32" s="783" t="s">
        <v>1166</v>
      </c>
      <c r="J32" s="725">
        <f>SUM(J26:J31)</f>
        <v>1344</v>
      </c>
      <c r="K32" s="1698"/>
      <c r="L32" s="1698"/>
      <c r="M32" s="1698"/>
      <c r="N32" s="1698" t="s">
        <v>1074</v>
      </c>
      <c r="O32" s="1698" t="s">
        <v>1075</v>
      </c>
    </row>
    <row r="33" spans="1:31" ht="14.25" thickTop="1" thickBot="1">
      <c r="A33" s="97" t="s">
        <v>68</v>
      </c>
      <c r="B33" s="52">
        <f>B15+B20+B23+B32</f>
        <v>75993804</v>
      </c>
      <c r="C33" s="45">
        <f>C15+C20+C23+C32</f>
        <v>21084</v>
      </c>
      <c r="D33" s="52">
        <f>D15+D20+D23+D32</f>
        <v>8722522</v>
      </c>
      <c r="E33" s="52">
        <f>E15+E20+E23+E32</f>
        <v>0</v>
      </c>
      <c r="F33" s="724">
        <f>F15+F20+F23+F32</f>
        <v>67271282</v>
      </c>
      <c r="G33" s="1758" t="s">
        <v>84</v>
      </c>
      <c r="H33" s="1759"/>
      <c r="I33" s="1375">
        <f>ROUND($G$35/$C$6,0)</f>
        <v>17680</v>
      </c>
      <c r="J33" s="726">
        <f>J15+J20+J23+J32</f>
        <v>18664</v>
      </c>
      <c r="K33" s="1698"/>
      <c r="L33" s="1698"/>
      <c r="M33" s="1698"/>
      <c r="N33" s="1698"/>
      <c r="O33" s="1698"/>
    </row>
    <row r="34" spans="1:31" ht="14.25" thickTop="1" thickBot="1">
      <c r="B34" s="98"/>
      <c r="C34" s="75"/>
      <c r="D34" s="337"/>
      <c r="E34" s="337"/>
      <c r="F34" s="337" t="s">
        <v>1199</v>
      </c>
      <c r="G34" s="787">
        <f>G14*-1</f>
        <v>-3542817</v>
      </c>
      <c r="H34" s="337"/>
      <c r="I34" s="783" t="s">
        <v>1167</v>
      </c>
      <c r="J34" s="727"/>
      <c r="K34" s="1699"/>
      <c r="L34" s="1699"/>
      <c r="M34" s="1699"/>
      <c r="N34" s="1699"/>
      <c r="O34" s="1699"/>
    </row>
    <row r="35" spans="1:31" ht="14.25" thickTop="1" thickBot="1">
      <c r="A35" s="81" t="s">
        <v>72</v>
      </c>
      <c r="B35" s="81"/>
      <c r="C35" s="81"/>
      <c r="D35" s="728"/>
      <c r="E35" s="728"/>
      <c r="F35" s="788" t="s">
        <v>1165</v>
      </c>
      <c r="G35" s="803">
        <f>F33+G34</f>
        <v>63728465</v>
      </c>
      <c r="I35" s="1376">
        <f>ROUND($G$35/$I$8,0)</f>
        <v>219572</v>
      </c>
      <c r="K35" s="609"/>
      <c r="L35" s="609"/>
      <c r="M35" s="609"/>
      <c r="N35" s="609"/>
      <c r="O35" s="609"/>
    </row>
    <row r="36" spans="1:31" ht="13.5" thickTop="1">
      <c r="A36" s="99" t="s">
        <v>14</v>
      </c>
      <c r="B36" s="83">
        <f>'UHV FGD'!M60</f>
        <v>20599553</v>
      </c>
      <c r="C36" s="83">
        <f t="shared" ref="C36:C46" si="9">ROUND(B36/$C$6,0)</f>
        <v>5715</v>
      </c>
      <c r="D36" s="512">
        <f>'UHV FGD'!F60</f>
        <v>0</v>
      </c>
      <c r="E36" s="512"/>
      <c r="F36" s="512">
        <f t="shared" ref="F36:F46" si="10">B36-(SUM(D36:E36))</f>
        <v>20599553</v>
      </c>
      <c r="G36" s="337"/>
      <c r="H36" s="1378" t="s">
        <v>2158</v>
      </c>
      <c r="I36" s="1379">
        <f>ROUND(F36/$C$6,0)</f>
        <v>5715</v>
      </c>
      <c r="J36" s="337" t="s">
        <v>752</v>
      </c>
      <c r="K36" s="512">
        <f>F36</f>
        <v>20599553</v>
      </c>
      <c r="L36" s="512">
        <f>K36</f>
        <v>20599553</v>
      </c>
      <c r="M36" s="512"/>
      <c r="N36" s="512"/>
      <c r="O36" s="512"/>
    </row>
    <row r="37" spans="1:31">
      <c r="A37" s="99" t="s">
        <v>15</v>
      </c>
      <c r="B37" s="86">
        <f>'UHV FGD'!M61</f>
        <v>416867</v>
      </c>
      <c r="C37" s="87">
        <f t="shared" si="9"/>
        <v>116</v>
      </c>
      <c r="D37" s="86">
        <f>'UHV FGD'!F61</f>
        <v>0</v>
      </c>
      <c r="E37" s="74"/>
      <c r="F37" s="74">
        <f t="shared" si="10"/>
        <v>416867</v>
      </c>
      <c r="G37" s="337"/>
      <c r="H37" s="337"/>
      <c r="J37" s="337" t="s">
        <v>1076</v>
      </c>
      <c r="K37" s="373">
        <f>F37</f>
        <v>416867</v>
      </c>
      <c r="L37" s="373">
        <f>K37</f>
        <v>416867</v>
      </c>
      <c r="M37" s="373"/>
      <c r="N37" s="373"/>
      <c r="O37" s="373"/>
    </row>
    <row r="38" spans="1:31">
      <c r="A38" s="99" t="s">
        <v>16</v>
      </c>
      <c r="B38" s="86">
        <f>'UHV FGD'!M62</f>
        <v>867914</v>
      </c>
      <c r="C38" s="87">
        <f t="shared" si="9"/>
        <v>241</v>
      </c>
      <c r="D38" s="86">
        <f>'UHV FGD'!F62</f>
        <v>3971</v>
      </c>
      <c r="E38" s="86">
        <f>B38-D38</f>
        <v>863943</v>
      </c>
      <c r="F38" s="74">
        <f t="shared" si="10"/>
        <v>0</v>
      </c>
      <c r="G38" s="337"/>
      <c r="H38" s="337"/>
      <c r="I38" s="337"/>
      <c r="J38" s="337" t="s">
        <v>1077</v>
      </c>
      <c r="K38" s="736"/>
      <c r="L38" s="737"/>
      <c r="M38" s="737" t="s">
        <v>1152</v>
      </c>
      <c r="N38" s="737"/>
      <c r="O38" s="738"/>
    </row>
    <row r="39" spans="1:31">
      <c r="A39" s="99" t="s">
        <v>17</v>
      </c>
      <c r="B39" s="86">
        <f>'UHV FGD'!M63</f>
        <v>14197430</v>
      </c>
      <c r="C39" s="87">
        <f t="shared" si="9"/>
        <v>3939</v>
      </c>
      <c r="D39" s="86">
        <f>'UHV FGD'!F63</f>
        <v>265221</v>
      </c>
      <c r="E39" s="74"/>
      <c r="F39" s="74">
        <f t="shared" si="10"/>
        <v>13932209</v>
      </c>
      <c r="G39" s="337"/>
      <c r="H39" s="1378" t="s">
        <v>2159</v>
      </c>
      <c r="I39" s="1379">
        <f>ROUND(F39/$C$6,0)</f>
        <v>3865</v>
      </c>
      <c r="J39" s="337" t="s">
        <v>1078</v>
      </c>
      <c r="K39" s="373">
        <f t="shared" ref="K39:K43" si="11">F39</f>
        <v>13932209</v>
      </c>
      <c r="L39" s="373">
        <f>K39</f>
        <v>13932209</v>
      </c>
      <c r="M39" s="373"/>
      <c r="N39" s="373"/>
      <c r="O39" s="373"/>
    </row>
    <row r="40" spans="1:31">
      <c r="A40" s="99" t="s">
        <v>18</v>
      </c>
      <c r="B40" s="86">
        <f>'UHV FGD'!M64</f>
        <v>7050629</v>
      </c>
      <c r="C40" s="87">
        <f t="shared" si="9"/>
        <v>1956</v>
      </c>
      <c r="D40" s="86">
        <f>'UHV FGD'!F64</f>
        <v>2264278</v>
      </c>
      <c r="E40" s="74"/>
      <c r="F40" s="74">
        <f t="shared" si="10"/>
        <v>4786351</v>
      </c>
      <c r="G40" s="337"/>
      <c r="J40" s="337" t="s">
        <v>1079</v>
      </c>
      <c r="K40" s="373">
        <f t="shared" si="11"/>
        <v>4786351</v>
      </c>
      <c r="L40" s="373"/>
      <c r="M40" s="373">
        <f>K40</f>
        <v>4786351</v>
      </c>
      <c r="N40" s="373"/>
      <c r="O40" s="373"/>
    </row>
    <row r="41" spans="1:31">
      <c r="A41" s="99" t="s">
        <v>19</v>
      </c>
      <c r="B41" s="86">
        <f>'UHV FGD'!M65</f>
        <v>5897596</v>
      </c>
      <c r="C41" s="87">
        <f t="shared" si="9"/>
        <v>1636</v>
      </c>
      <c r="D41" s="86">
        <f>'UHV FGD'!F65</f>
        <v>4804</v>
      </c>
      <c r="E41" s="74"/>
      <c r="F41" s="74">
        <f t="shared" si="10"/>
        <v>5892792</v>
      </c>
      <c r="G41" s="337"/>
      <c r="H41" s="1378" t="s">
        <v>2160</v>
      </c>
      <c r="I41" s="1379">
        <f>ROUND(F41/$C$6,0)</f>
        <v>1635</v>
      </c>
      <c r="J41" s="337" t="s">
        <v>757</v>
      </c>
      <c r="K41" s="373">
        <f t="shared" si="11"/>
        <v>5892792</v>
      </c>
      <c r="L41" s="373"/>
      <c r="M41" s="373"/>
      <c r="N41" s="373">
        <f>K41</f>
        <v>5892792</v>
      </c>
      <c r="O41" s="373"/>
    </row>
    <row r="42" spans="1:31">
      <c r="A42" s="99" t="s">
        <v>20</v>
      </c>
      <c r="B42" s="86">
        <f>'UHV FGD'!M66</f>
        <v>3254513</v>
      </c>
      <c r="C42" s="87">
        <f t="shared" si="9"/>
        <v>903</v>
      </c>
      <c r="D42" s="86">
        <f>'UHV FGD'!F66</f>
        <v>16066</v>
      </c>
      <c r="E42" s="74"/>
      <c r="F42" s="74">
        <f t="shared" si="10"/>
        <v>3238447</v>
      </c>
      <c r="G42" s="337"/>
      <c r="J42" s="337" t="s">
        <v>758</v>
      </c>
      <c r="K42" s="373">
        <f t="shared" si="11"/>
        <v>3238447</v>
      </c>
      <c r="L42" s="373"/>
      <c r="M42" s="373"/>
      <c r="N42" s="373">
        <f>K42</f>
        <v>3238447</v>
      </c>
      <c r="O42" s="373"/>
    </row>
    <row r="43" spans="1:31">
      <c r="A43" s="99" t="s">
        <v>21</v>
      </c>
      <c r="B43" s="86">
        <f>'UHV FGD'!M67</f>
        <v>8876794</v>
      </c>
      <c r="C43" s="87">
        <f t="shared" si="9"/>
        <v>2463</v>
      </c>
      <c r="D43" s="86">
        <f>'UHV FGD'!F67</f>
        <v>132037</v>
      </c>
      <c r="E43" s="74"/>
      <c r="F43" s="74">
        <f t="shared" si="10"/>
        <v>8744757</v>
      </c>
      <c r="G43" s="337"/>
      <c r="H43" s="337"/>
      <c r="I43" s="337"/>
      <c r="J43" s="337" t="s">
        <v>1145</v>
      </c>
      <c r="K43" s="373">
        <f t="shared" si="11"/>
        <v>8744757</v>
      </c>
      <c r="L43" s="373"/>
      <c r="M43" s="373">
        <f>K43</f>
        <v>8744757</v>
      </c>
      <c r="N43" s="373"/>
      <c r="O43" s="373"/>
    </row>
    <row r="44" spans="1:31">
      <c r="A44" s="99" t="s">
        <v>2135</v>
      </c>
      <c r="B44" s="86">
        <f>'UHV FGD'!M68</f>
        <v>2342457</v>
      </c>
      <c r="C44" s="87">
        <f t="shared" si="9"/>
        <v>650</v>
      </c>
      <c r="D44" s="729">
        <f>B44</f>
        <v>2342457</v>
      </c>
      <c r="E44" s="74"/>
      <c r="F44" s="74">
        <f t="shared" si="10"/>
        <v>0</v>
      </c>
      <c r="G44" s="337"/>
      <c r="H44" s="337"/>
      <c r="I44" s="337"/>
      <c r="J44" s="337" t="s">
        <v>743</v>
      </c>
      <c r="K44" s="736"/>
      <c r="L44" s="737"/>
      <c r="M44" s="737" t="s">
        <v>1152</v>
      </c>
      <c r="N44" s="737"/>
      <c r="O44" s="738"/>
    </row>
    <row r="45" spans="1:31">
      <c r="A45" s="99" t="s">
        <v>61</v>
      </c>
      <c r="B45" s="86">
        <f>'UHV FGD'!M69</f>
        <v>567046</v>
      </c>
      <c r="C45" s="87">
        <f t="shared" si="9"/>
        <v>157</v>
      </c>
      <c r="D45" s="86">
        <f>'UHV FGD'!F69</f>
        <v>2049</v>
      </c>
      <c r="E45" s="74"/>
      <c r="F45" s="74">
        <f t="shared" si="10"/>
        <v>564997</v>
      </c>
      <c r="G45" s="337"/>
      <c r="H45" s="337"/>
      <c r="I45" s="337"/>
      <c r="J45" s="337" t="s">
        <v>1080</v>
      </c>
      <c r="K45" s="373">
        <f t="shared" ref="K45:K46" si="12">F45</f>
        <v>564997</v>
      </c>
      <c r="L45" s="373"/>
      <c r="M45" s="373"/>
      <c r="N45" s="373"/>
      <c r="O45" s="373">
        <f>K45</f>
        <v>564997</v>
      </c>
    </row>
    <row r="46" spans="1:31" ht="13.5" thickBot="1">
      <c r="A46" s="75" t="s">
        <v>50</v>
      </c>
      <c r="B46" s="86">
        <f>'UHV FGD'!M70</f>
        <v>2810266</v>
      </c>
      <c r="C46" s="87">
        <f t="shared" si="9"/>
        <v>780</v>
      </c>
      <c r="D46" s="86">
        <f>'UHV FGD'!F70</f>
        <v>8998</v>
      </c>
      <c r="E46" s="74"/>
      <c r="F46" s="74">
        <f t="shared" si="10"/>
        <v>2801268</v>
      </c>
      <c r="G46" s="35"/>
      <c r="H46" s="1378" t="s">
        <v>2161</v>
      </c>
      <c r="I46" s="1379">
        <f>ROUND(SUM(F37+F40+F42+F43+F45+F46)/$C$6,0)</f>
        <v>5702</v>
      </c>
      <c r="J46" s="610" t="s">
        <v>1075</v>
      </c>
      <c r="K46" s="373">
        <f t="shared" si="12"/>
        <v>2801268</v>
      </c>
      <c r="L46" s="611"/>
      <c r="M46" s="611"/>
      <c r="N46" s="611"/>
      <c r="O46" s="373">
        <f>K46</f>
        <v>2801268</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66881065</v>
      </c>
      <c r="C47" s="45">
        <f>SUM(C36:C46)</f>
        <v>18556</v>
      </c>
      <c r="D47" s="730">
        <f>SUM(D36:D46)</f>
        <v>5039881</v>
      </c>
      <c r="E47" s="731">
        <f>SUM(E36:E46)</f>
        <v>863943</v>
      </c>
      <c r="F47" s="719">
        <f>SUM(F36:F46)</f>
        <v>60977241</v>
      </c>
      <c r="G47" s="1688" t="s">
        <v>1176</v>
      </c>
      <c r="H47" s="1689"/>
      <c r="I47" s="785" t="s">
        <v>1164</v>
      </c>
      <c r="J47" s="610" t="s">
        <v>1081</v>
      </c>
      <c r="K47" s="612">
        <f>SUM(K36:K46)</f>
        <v>60977241</v>
      </c>
      <c r="L47" s="612">
        <f>SUM(L36:L46)</f>
        <v>34948629</v>
      </c>
      <c r="M47" s="612">
        <f>SUM(M36:M46)</f>
        <v>13531108</v>
      </c>
      <c r="N47" s="612">
        <f>SUM(N36:N46)</f>
        <v>9131239</v>
      </c>
      <c r="O47" s="612">
        <f>SUM(O36:O46)</f>
        <v>3366265</v>
      </c>
    </row>
    <row r="48" spans="1:31" ht="14.25" thickTop="1" thickBot="1">
      <c r="A48" s="93"/>
      <c r="B48" s="98"/>
      <c r="C48" s="75"/>
      <c r="F48" s="613"/>
      <c r="G48" s="1690"/>
      <c r="H48" s="1691"/>
      <c r="I48" s="823">
        <f>ROUND(F47/C6,0)</f>
        <v>16917</v>
      </c>
      <c r="J48" s="1700" t="s">
        <v>1082</v>
      </c>
      <c r="K48" s="611"/>
      <c r="L48" s="611"/>
      <c r="M48" s="611"/>
      <c r="N48" s="611"/>
      <c r="O48" s="611"/>
    </row>
    <row r="49" spans="1:31" ht="13.5" thickBot="1">
      <c r="A49" s="78" t="s">
        <v>23</v>
      </c>
      <c r="B49" s="82"/>
      <c r="C49" s="75"/>
      <c r="F49" s="614"/>
      <c r="G49" s="1690"/>
      <c r="H49" s="1691"/>
      <c r="I49" s="811"/>
      <c r="J49" s="1700"/>
      <c r="K49" s="615">
        <f>ROUND(K47/$C$6,2)</f>
        <v>16916.98</v>
      </c>
      <c r="L49" s="615">
        <f t="shared" ref="L49:O49" si="13">ROUND(L47/$C$6,2)</f>
        <v>9695.83</v>
      </c>
      <c r="M49" s="615">
        <f t="shared" si="13"/>
        <v>3753.95</v>
      </c>
      <c r="N49" s="615">
        <f t="shared" si="13"/>
        <v>2533.29</v>
      </c>
      <c r="O49" s="615">
        <f t="shared" si="13"/>
        <v>933.91</v>
      </c>
      <c r="P49" s="35"/>
      <c r="Q49" s="96"/>
      <c r="R49" s="96"/>
      <c r="S49" s="96"/>
      <c r="T49" s="96"/>
      <c r="U49" s="96"/>
      <c r="V49" s="96"/>
      <c r="W49" s="96"/>
      <c r="X49" s="96"/>
      <c r="Y49" s="96"/>
      <c r="Z49" s="96"/>
      <c r="AA49" s="96"/>
      <c r="AB49" s="96"/>
      <c r="AC49" s="96"/>
      <c r="AD49" s="96"/>
      <c r="AE49" s="96"/>
    </row>
    <row r="50" spans="1:31" ht="13.5" thickBot="1">
      <c r="A50" s="75" t="s">
        <v>62</v>
      </c>
      <c r="B50" s="86">
        <f>'UHV FGD'!M74</f>
        <v>-7732299</v>
      </c>
      <c r="C50" s="83">
        <f t="shared" ref="C50:C53" si="14">ROUND(B50/$C$6,0)</f>
        <v>-2145</v>
      </c>
      <c r="D50" s="512">
        <f>'UHV FGD'!F74</f>
        <v>0</v>
      </c>
      <c r="E50" s="512"/>
      <c r="F50" s="732">
        <f t="shared" ref="F50:F53" si="15">B50-(SUM(D50:E50))</f>
        <v>-7732299</v>
      </c>
      <c r="G50" s="1692"/>
      <c r="H50" s="1693"/>
      <c r="I50" s="808"/>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'UHV FGD'!M75</f>
        <v>4810937</v>
      </c>
      <c r="C51" s="87">
        <f t="shared" si="14"/>
        <v>1335</v>
      </c>
      <c r="D51" s="91">
        <f>'UHV FGD'!F75</f>
        <v>-1730132</v>
      </c>
      <c r="E51" s="82"/>
      <c r="F51" s="74">
        <f t="shared" si="15"/>
        <v>6541069</v>
      </c>
      <c r="G51" s="337"/>
      <c r="J51" s="337"/>
      <c r="K51" s="616"/>
      <c r="L51" s="616"/>
      <c r="M51" s="616"/>
      <c r="N51" s="616"/>
      <c r="O51" s="616"/>
    </row>
    <row r="52" spans="1:31">
      <c r="A52" s="75" t="s">
        <v>51</v>
      </c>
      <c r="B52" s="86">
        <f>'UHV FGD'!M76</f>
        <v>1444000</v>
      </c>
      <c r="C52" s="87">
        <f t="shared" si="14"/>
        <v>401</v>
      </c>
      <c r="D52" s="91">
        <f>'UHV FGD'!F76</f>
        <v>0</v>
      </c>
      <c r="E52" s="82"/>
      <c r="F52" s="74">
        <f t="shared" si="15"/>
        <v>1444000</v>
      </c>
      <c r="G52" s="337"/>
      <c r="J52" s="733"/>
      <c r="K52" s="733"/>
      <c r="L52" s="733"/>
      <c r="M52" s="733"/>
      <c r="N52" s="733"/>
      <c r="O52" s="733"/>
    </row>
    <row r="53" spans="1:31" ht="12" customHeight="1">
      <c r="A53" s="75" t="s">
        <v>46</v>
      </c>
      <c r="B53" s="86">
        <f>'UHV FGD'!M77</f>
        <v>-7706264</v>
      </c>
      <c r="C53" s="87">
        <f t="shared" si="14"/>
        <v>-2138</v>
      </c>
      <c r="D53" s="91">
        <f>'UHV FGD'!F77</f>
        <v>0</v>
      </c>
      <c r="E53" s="82"/>
      <c r="F53" s="74">
        <f t="shared" si="15"/>
        <v>-7706264</v>
      </c>
      <c r="G53" s="35"/>
      <c r="J53" s="733"/>
      <c r="K53" s="733"/>
      <c r="L53" s="733"/>
      <c r="M53" s="733"/>
      <c r="N53" s="733"/>
      <c r="O53" s="733"/>
      <c r="P53" s="35"/>
      <c r="Q53" s="96"/>
      <c r="R53" s="96"/>
      <c r="S53" s="96"/>
      <c r="T53" s="96"/>
      <c r="U53" s="96"/>
      <c r="V53" s="96"/>
      <c r="W53" s="96"/>
      <c r="X53" s="96"/>
      <c r="Y53" s="96"/>
      <c r="Z53" s="96"/>
      <c r="AA53" s="96"/>
      <c r="AB53" s="96"/>
      <c r="AC53" s="96"/>
      <c r="AD53" s="96"/>
      <c r="AE53" s="96"/>
    </row>
    <row r="54" spans="1:31">
      <c r="A54" s="88" t="s">
        <v>3</v>
      </c>
      <c r="B54" s="89">
        <f>SUM(B50:B53)</f>
        <v>-9183626</v>
      </c>
      <c r="C54" s="89">
        <f>SUM(C50:C53)</f>
        <v>-2547</v>
      </c>
      <c r="D54" s="89">
        <f>SUM(D50:D53)</f>
        <v>-1730132</v>
      </c>
      <c r="E54" s="89">
        <f>SUM(E50:E53)</f>
        <v>0</v>
      </c>
      <c r="F54" s="102">
        <f>SUM(F50:F53)</f>
        <v>-7453494</v>
      </c>
      <c r="G54" s="337"/>
      <c r="H54" s="337"/>
      <c r="I54" s="337"/>
      <c r="J54" s="733"/>
      <c r="K54" s="733"/>
      <c r="L54" s="733"/>
      <c r="M54" s="733"/>
      <c r="N54" s="733"/>
      <c r="O54" s="733"/>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'UHV FGD'!M81</f>
        <v>2386599</v>
      </c>
      <c r="C57" s="83">
        <f>ROUND(B57/$C$6,0)</f>
        <v>662</v>
      </c>
      <c r="D57" s="512">
        <f>'UHV FGD'!F81</f>
        <v>0</v>
      </c>
      <c r="E57" s="512"/>
      <c r="F57" s="512">
        <f t="shared" ref="F57:F58" si="16">B57-(SUM(D57:E57))</f>
        <v>2386599</v>
      </c>
      <c r="G57" s="337"/>
      <c r="H57" s="337"/>
      <c r="I57" s="337"/>
      <c r="J57" s="337"/>
    </row>
    <row r="58" spans="1:31">
      <c r="A58" s="75" t="s">
        <v>48</v>
      </c>
      <c r="B58" s="86">
        <f>'UHV FGD'!M82</f>
        <v>25000</v>
      </c>
      <c r="C58" s="87">
        <f>ROUND(B58/$C$6,0)</f>
        <v>7</v>
      </c>
      <c r="D58" s="91">
        <f>'UHV FGD'!F82</f>
        <v>0</v>
      </c>
      <c r="E58" s="82"/>
      <c r="F58" s="74">
        <f t="shared" si="16"/>
        <v>25000</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2411599</v>
      </c>
      <c r="C59" s="89">
        <f>SUM(C57:C58)</f>
        <v>669</v>
      </c>
      <c r="D59" s="89">
        <f>SUM(D57:D58)</f>
        <v>0</v>
      </c>
      <c r="E59" s="89">
        <f>SUM(E57:E58)</f>
        <v>0</v>
      </c>
      <c r="F59" s="89">
        <f>SUM(F57:F58)</f>
        <v>2411599</v>
      </c>
      <c r="G59" s="367"/>
      <c r="H59" s="367"/>
      <c r="I59" s="367"/>
      <c r="J59" s="367"/>
      <c r="K59" s="266"/>
      <c r="L59" s="266"/>
      <c r="M59" s="266"/>
      <c r="N59" s="266"/>
      <c r="O59" s="266"/>
      <c r="P59" s="266"/>
    </row>
    <row r="60" spans="1:31">
      <c r="B60" s="82"/>
      <c r="C60" s="75"/>
    </row>
    <row r="61" spans="1:31" ht="13.5" thickBot="1">
      <c r="A61" s="103" t="s">
        <v>573</v>
      </c>
      <c r="B61" s="46">
        <f>B33-B47+B54+B59</f>
        <v>2340712</v>
      </c>
      <c r="C61" s="46">
        <f>C33-C47+C54+C59</f>
        <v>650</v>
      </c>
      <c r="D61" s="46">
        <f>D33-D47+D54+D59</f>
        <v>1952509</v>
      </c>
      <c r="E61" s="46">
        <f>E33-E47+E54+E59</f>
        <v>-863943</v>
      </c>
      <c r="F61" s="46">
        <f>F33-F47+F54+F59</f>
        <v>1252146</v>
      </c>
    </row>
    <row r="62" spans="1:31" ht="13.5" thickTop="1"/>
    <row r="63" spans="1:31">
      <c r="D63" s="512"/>
    </row>
    <row r="65" spans="2:16">
      <c r="B65" s="734">
        <f>'UHV FGD'!$M$85</f>
        <v>2340712</v>
      </c>
      <c r="C65" s="75"/>
      <c r="D65" s="734">
        <f>'UHV FGD'!$F$85</f>
        <v>1972983</v>
      </c>
      <c r="E65" s="734">
        <f>'UHV FGD'!$M$62*-1</f>
        <v>-867914</v>
      </c>
      <c r="F65" s="75"/>
    </row>
    <row r="66" spans="2:16">
      <c r="B66" s="734"/>
      <c r="C66" s="75"/>
      <c r="D66" s="734">
        <f>'UHV FGD'!$F$68</f>
        <v>2321983</v>
      </c>
      <c r="E66" s="734">
        <f>+$D$38</f>
        <v>3971</v>
      </c>
      <c r="F66" s="734"/>
    </row>
    <row r="67" spans="2:16">
      <c r="B67" s="759"/>
      <c r="C67" s="75"/>
      <c r="D67" s="759">
        <f>-'UHV FGD'!$M$68</f>
        <v>-2342457</v>
      </c>
      <c r="E67" s="759"/>
      <c r="F67" s="734"/>
    </row>
    <row r="68" spans="2:16">
      <c r="B68" s="734">
        <f>SUM(B65:B67)</f>
        <v>2340712</v>
      </c>
      <c r="C68" s="75"/>
      <c r="D68" s="734">
        <f>SUM(D65:D67)</f>
        <v>1952509</v>
      </c>
      <c r="E68" s="734">
        <f>SUM(E65:E67)</f>
        <v>-863943</v>
      </c>
      <c r="F68" s="734">
        <f>B68-D68-E68</f>
        <v>1252146</v>
      </c>
    </row>
    <row r="69" spans="2:16">
      <c r="B69" s="734"/>
      <c r="C69" s="75"/>
      <c r="D69" s="734">
        <f>'UHV FGD'!F54*-1</f>
        <v>-2065046</v>
      </c>
      <c r="E69" s="734"/>
      <c r="F69" s="734"/>
    </row>
    <row r="70" spans="2:16" ht="12.75" customHeight="1">
      <c r="B70" s="759"/>
      <c r="C70" s="95"/>
      <c r="D70" s="759">
        <f>'UHV FGD'!M54</f>
        <v>2065046</v>
      </c>
      <c r="E70" s="759"/>
      <c r="F70" s="759">
        <f>-D70-D69</f>
        <v>0</v>
      </c>
    </row>
    <row r="71" spans="2:16" ht="12.75" customHeight="1">
      <c r="B71" s="734">
        <f>SUM(B68:B70)</f>
        <v>2340712</v>
      </c>
      <c r="C71" s="75"/>
      <c r="D71" s="734">
        <f>SUM(D68:D70)</f>
        <v>1952509</v>
      </c>
      <c r="E71" s="734">
        <f>SUM(E68:E70)</f>
        <v>-863943</v>
      </c>
      <c r="F71" s="734">
        <f>SUM(F68:F70)</f>
        <v>1252146</v>
      </c>
    </row>
    <row r="72" spans="2:16" ht="12.75" customHeight="1">
      <c r="B72" s="734"/>
      <c r="C72" s="75"/>
      <c r="D72" s="734"/>
      <c r="E72" s="734"/>
      <c r="F72" s="734"/>
    </row>
    <row r="73" spans="2:16" ht="12.75" customHeight="1">
      <c r="B73" s="512">
        <f>B61-B71</f>
        <v>0</v>
      </c>
      <c r="C73" s="75"/>
      <c r="D73" s="512">
        <f>D61-D71</f>
        <v>0</v>
      </c>
      <c r="E73" s="512">
        <f>E61-E71</f>
        <v>0</v>
      </c>
      <c r="F73" s="512">
        <f>F61-F71</f>
        <v>0</v>
      </c>
    </row>
    <row r="74" spans="2:16" ht="12.75" customHeight="1">
      <c r="C74" s="75"/>
      <c r="F74" s="617"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G47:H50"/>
    <mergeCell ref="K30:O30"/>
    <mergeCell ref="M31:M34"/>
    <mergeCell ref="G32:H32"/>
    <mergeCell ref="G33:H33"/>
    <mergeCell ref="L31:L34"/>
    <mergeCell ref="K31:K34"/>
    <mergeCell ref="N31:N34"/>
    <mergeCell ref="O31:O34"/>
    <mergeCell ref="J48:J49"/>
    <mergeCell ref="F1:I1"/>
    <mergeCell ref="J1:O1"/>
    <mergeCell ref="D1:E1"/>
    <mergeCell ref="K29:O29"/>
    <mergeCell ref="D4:D5"/>
    <mergeCell ref="E4:E5"/>
  </mergeCells>
  <hyperlinks>
    <hyperlink ref="D1:E1" location="Index!A1" display="Return to Index" xr:uid="{00000000-0004-0000-76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41"/>
  </sheetPr>
  <dimension ref="A1:W808"/>
  <sheetViews>
    <sheetView showGridLines="0" zoomScale="85" zoomScaleNormal="85" workbookViewId="0">
      <pane xSplit="6" ySplit="10" topLeftCell="M32" activePane="bottomRight" state="frozen"/>
      <selection activeCell="F74" sqref="E74:F74"/>
      <selection pane="topRight" activeCell="F74" sqref="E74:F74"/>
      <selection pane="bottomLeft" activeCell="F74" sqref="E74:F74"/>
      <selection pane="bottomRight" activeCell="G3" sqref="G3"/>
    </sheetView>
  </sheetViews>
  <sheetFormatPr defaultColWidth="9.140625" defaultRowHeight="12.75"/>
  <cols>
    <col min="1" max="1" width="7.28515625" style="480" customWidth="1"/>
    <col min="2" max="2" width="5" style="480" customWidth="1"/>
    <col min="3" max="3" width="13" style="480" customWidth="1"/>
    <col min="4" max="4" width="25.140625" style="53" customWidth="1"/>
    <col min="5" max="5" width="10.28515625" style="53" customWidth="1"/>
    <col min="6" max="6" width="11.140625" style="53" customWidth="1"/>
    <col min="7" max="7" width="13.5703125" style="53" customWidth="1"/>
    <col min="8" max="8" width="16.42578125" style="154" customWidth="1"/>
    <col min="9" max="11" width="17.28515625" style="154" customWidth="1"/>
    <col min="12" max="12" width="16.5703125" style="154" customWidth="1"/>
    <col min="13" max="13" width="15.28515625" style="53" customWidth="1"/>
    <col min="14" max="17" width="17.28515625" style="154" customWidth="1"/>
    <col min="18" max="18" width="14.7109375" style="53" customWidth="1"/>
    <col min="19" max="19" width="7.7109375" style="53" customWidth="1"/>
    <col min="20" max="20" width="4" style="53" customWidth="1"/>
    <col min="21" max="21" width="19.42578125" style="53" customWidth="1"/>
    <col min="22" max="22" width="16.5703125" style="53" customWidth="1"/>
    <col min="23" max="23" width="26.85546875" style="53" customWidth="1"/>
    <col min="24" max="16384" width="9.140625" style="53"/>
  </cols>
  <sheetData>
    <row r="1" spans="1:23" ht="13.5" thickBot="1">
      <c r="G1" s="814" t="s">
        <v>131</v>
      </c>
      <c r="H1" s="114"/>
      <c r="I1" s="114"/>
      <c r="K1" s="114"/>
      <c r="L1" s="855" t="s">
        <v>1200</v>
      </c>
      <c r="O1" s="114"/>
      <c r="P1" s="114"/>
      <c r="Q1" s="114"/>
    </row>
    <row r="2" spans="1:23">
      <c r="G2" s="814" t="s">
        <v>2484</v>
      </c>
      <c r="H2" s="114"/>
      <c r="I2" s="114"/>
      <c r="K2" s="114"/>
      <c r="L2" s="114"/>
      <c r="O2" s="114"/>
      <c r="P2" s="114"/>
      <c r="Q2" s="114"/>
    </row>
    <row r="3" spans="1:23">
      <c r="A3" s="215"/>
      <c r="G3" s="68"/>
      <c r="H3" s="114"/>
      <c r="I3" s="114"/>
      <c r="K3" s="114"/>
      <c r="L3" s="114"/>
      <c r="O3" s="114"/>
      <c r="P3" s="114"/>
      <c r="Q3" s="114"/>
    </row>
    <row r="4" spans="1:23">
      <c r="H4" s="114"/>
      <c r="I4" s="114"/>
      <c r="J4" s="114"/>
      <c r="K4" s="114"/>
      <c r="L4" s="114"/>
      <c r="N4" s="114"/>
      <c r="O4" s="114"/>
      <c r="P4" s="114"/>
      <c r="Q4" s="114"/>
    </row>
    <row r="5" spans="1:23">
      <c r="A5" s="1661"/>
      <c r="B5" s="1662"/>
      <c r="C5" s="1663"/>
      <c r="F5" s="480" t="s">
        <v>1127</v>
      </c>
      <c r="H5" s="114"/>
      <c r="I5" s="114"/>
      <c r="J5" s="114"/>
      <c r="K5" s="114"/>
      <c r="L5" s="114"/>
      <c r="N5" s="114"/>
      <c r="O5" s="114"/>
      <c r="P5" s="114"/>
      <c r="Q5" s="114"/>
    </row>
    <row r="6" spans="1:23">
      <c r="E6" s="480">
        <v>2021</v>
      </c>
      <c r="F6" s="480" t="s">
        <v>1128</v>
      </c>
      <c r="H6" s="114"/>
      <c r="I6" s="114"/>
      <c r="J6" s="114"/>
      <c r="K6" s="114"/>
      <c r="L6" s="114"/>
      <c r="N6" s="114"/>
      <c r="O6" s="114"/>
      <c r="P6" s="114"/>
      <c r="Q6" s="114"/>
    </row>
    <row r="7" spans="1:23">
      <c r="F7" s="480" t="s">
        <v>1129</v>
      </c>
      <c r="H7" s="114"/>
      <c r="I7" s="114"/>
      <c r="J7" s="114"/>
      <c r="K7" s="114"/>
      <c r="L7" s="114"/>
      <c r="N7" s="114"/>
      <c r="O7" s="114"/>
      <c r="P7" s="114"/>
      <c r="Q7" s="114"/>
      <c r="U7" s="1649" t="s">
        <v>1084</v>
      </c>
      <c r="V7" s="1650"/>
      <c r="W7" s="1651"/>
    </row>
    <row r="8" spans="1:23" s="123" customFormat="1" ht="48.75" customHeight="1" thickBot="1">
      <c r="A8" s="942" t="s">
        <v>1123</v>
      </c>
      <c r="B8" s="1664" t="s">
        <v>1134</v>
      </c>
      <c r="C8" s="1664"/>
      <c r="D8" s="118" t="s">
        <v>298</v>
      </c>
      <c r="E8" s="118" t="s">
        <v>1168</v>
      </c>
      <c r="F8" s="118" t="s">
        <v>132</v>
      </c>
      <c r="G8" s="796" t="s">
        <v>264</v>
      </c>
      <c r="H8" s="858" t="s">
        <v>83</v>
      </c>
      <c r="I8" s="858" t="s">
        <v>83</v>
      </c>
      <c r="J8" s="858" t="s">
        <v>1256</v>
      </c>
      <c r="K8" s="858" t="s">
        <v>1256</v>
      </c>
      <c r="L8" s="858" t="s">
        <v>1226</v>
      </c>
      <c r="M8" s="858" t="s">
        <v>1226</v>
      </c>
      <c r="N8" s="858" t="s">
        <v>1258</v>
      </c>
      <c r="O8" s="858" t="s">
        <v>1258</v>
      </c>
      <c r="P8" s="858" t="s">
        <v>1282</v>
      </c>
      <c r="Q8" s="858" t="s">
        <v>1282</v>
      </c>
      <c r="R8" s="796"/>
      <c r="S8" s="796"/>
      <c r="T8" s="621"/>
      <c r="U8" s="814" t="s">
        <v>299</v>
      </c>
      <c r="V8" s="158" t="s">
        <v>703</v>
      </c>
      <c r="W8" s="814" t="s">
        <v>704</v>
      </c>
    </row>
    <row r="9" spans="1:23" s="55" customFormat="1" ht="18.75" customHeight="1">
      <c r="A9" s="861"/>
      <c r="B9" s="694"/>
      <c r="C9" s="694"/>
      <c r="D9" s="862"/>
      <c r="E9" s="694"/>
      <c r="F9" s="694"/>
      <c r="G9" s="897"/>
      <c r="H9" s="864" t="s">
        <v>1257</v>
      </c>
      <c r="I9" s="864" t="s">
        <v>129</v>
      </c>
      <c r="J9" s="863" t="s">
        <v>1257</v>
      </c>
      <c r="K9" s="864" t="s">
        <v>129</v>
      </c>
      <c r="L9" s="865" t="s">
        <v>1257</v>
      </c>
      <c r="M9" s="944" t="s">
        <v>129</v>
      </c>
      <c r="N9" s="863" t="s">
        <v>1257</v>
      </c>
      <c r="O9" s="864" t="s">
        <v>129</v>
      </c>
      <c r="P9" s="863" t="s">
        <v>1257</v>
      </c>
      <c r="Q9" s="864" t="s">
        <v>129</v>
      </c>
      <c r="R9" s="866"/>
      <c r="S9" s="866"/>
      <c r="U9" s="943"/>
      <c r="V9" s="943"/>
      <c r="W9" s="943"/>
    </row>
    <row r="10" spans="1:23" ht="18" customHeight="1">
      <c r="A10" s="468"/>
      <c r="D10" s="776"/>
      <c r="E10" s="793" t="s">
        <v>1171</v>
      </c>
      <c r="F10" s="480" t="s">
        <v>1170</v>
      </c>
      <c r="G10" s="898"/>
      <c r="H10" s="869"/>
      <c r="I10" s="868"/>
      <c r="J10" s="867"/>
      <c r="K10" s="868"/>
      <c r="L10" s="892"/>
      <c r="M10" s="794"/>
      <c r="N10" s="867"/>
      <c r="O10" s="868"/>
      <c r="P10" s="867"/>
      <c r="Q10" s="868"/>
      <c r="R10" s="794"/>
      <c r="S10" s="794"/>
      <c r="U10" s="763"/>
      <c r="V10" s="763"/>
      <c r="W10" s="763"/>
    </row>
    <row r="11" spans="1:23" ht="14.25" customHeight="1">
      <c r="A11" s="468"/>
      <c r="D11" s="53" t="s">
        <v>1182</v>
      </c>
      <c r="E11" s="124">
        <f t="shared" ref="E11:E48" si="0">$E$6</f>
        <v>2021</v>
      </c>
      <c r="F11" s="910">
        <v>20</v>
      </c>
      <c r="G11" s="949" t="s">
        <v>1183</v>
      </c>
      <c r="H11" s="945" t="s">
        <v>1183</v>
      </c>
      <c r="I11" s="945" t="s">
        <v>1183</v>
      </c>
      <c r="J11" s="950" t="s">
        <v>1183</v>
      </c>
      <c r="K11" s="945" t="s">
        <v>1183</v>
      </c>
      <c r="L11" s="945" t="s">
        <v>1183</v>
      </c>
      <c r="M11" s="945" t="s">
        <v>1183</v>
      </c>
      <c r="N11" s="950" t="s">
        <v>1183</v>
      </c>
      <c r="O11" s="945" t="s">
        <v>1183</v>
      </c>
      <c r="P11" s="950" t="s">
        <v>1183</v>
      </c>
      <c r="Q11" s="945" t="s">
        <v>1183</v>
      </c>
      <c r="R11" s="794"/>
      <c r="S11" s="794"/>
      <c r="U11" s="763"/>
      <c r="V11" s="763"/>
      <c r="W11" s="763"/>
    </row>
    <row r="12" spans="1:23">
      <c r="A12" s="480">
        <v>320</v>
      </c>
      <c r="B12" s="678">
        <v>5</v>
      </c>
      <c r="C12" s="68" t="s">
        <v>696</v>
      </c>
      <c r="D12" s="53" t="s">
        <v>140</v>
      </c>
      <c r="E12" s="124">
        <f t="shared" ref="E12:E47" si="1">$E$6</f>
        <v>2021</v>
      </c>
      <c r="F12" s="1000">
        <v>3541</v>
      </c>
      <c r="G12" s="951">
        <f>'ASU Sum'!$C$6</f>
        <v>7617.63</v>
      </c>
      <c r="H12" s="946">
        <f>'ASU Sum'!$F$32</f>
        <v>29301046</v>
      </c>
      <c r="I12" s="947">
        <f t="shared" ref="I12:I47" si="2">ROUND(H12/$G12,0)</f>
        <v>3846</v>
      </c>
      <c r="J12" s="1426">
        <f>'ASU Sum'!$F$33</f>
        <v>148823344</v>
      </c>
      <c r="K12" s="947">
        <f t="shared" ref="K12:K47" si="3">ROUND(J12/$G12,0)</f>
        <v>19537</v>
      </c>
      <c r="L12" s="946">
        <f>'ASU Sum'!$G$14</f>
        <v>6792999</v>
      </c>
      <c r="M12" s="947">
        <f t="shared" ref="M12:M47" si="4">ROUND(L12/$G12,0)</f>
        <v>892</v>
      </c>
      <c r="N12" s="1426">
        <f>'ASU Sum'!$F$53*-1</f>
        <v>7239238</v>
      </c>
      <c r="O12" s="947">
        <f t="shared" ref="O12:O47" si="5">ROUND(N12/$G12,0)</f>
        <v>950</v>
      </c>
      <c r="P12" s="1426">
        <f>'ASU Sum'!$F$28</f>
        <v>12212232</v>
      </c>
      <c r="Q12" s="947">
        <f t="shared" ref="Q12:Q47" si="6">ROUND(P12/$G12,0)</f>
        <v>1603</v>
      </c>
      <c r="R12" s="356"/>
      <c r="S12" s="356"/>
      <c r="U12" s="528" t="str">
        <f>'ASU FGD'!$O$92</f>
        <v>Janet Coleman</v>
      </c>
      <c r="V12" s="528" t="str">
        <f>'ASU FGD'!$Q$92</f>
        <v>325-942-2014</v>
      </c>
      <c r="W12" s="528" t="str">
        <f>'ASU FGD'!$T$92</f>
        <v>janet.coleman@angelo.edu</v>
      </c>
    </row>
    <row r="13" spans="1:23">
      <c r="A13" s="480">
        <v>210</v>
      </c>
      <c r="B13" s="678">
        <v>3</v>
      </c>
      <c r="C13" s="68" t="s">
        <v>697</v>
      </c>
      <c r="D13" s="53" t="s">
        <v>142</v>
      </c>
      <c r="E13" s="124">
        <f t="shared" si="1"/>
        <v>2021</v>
      </c>
      <c r="F13" s="1000">
        <v>3565</v>
      </c>
      <c r="G13" s="951">
        <f>'TAMUC Sum'!$C$6</f>
        <v>9311.4500000000007</v>
      </c>
      <c r="H13" s="946">
        <f>'TAMUC Sum'!$F$32</f>
        <v>21968593</v>
      </c>
      <c r="I13" s="947">
        <f t="shared" si="2"/>
        <v>2359</v>
      </c>
      <c r="J13" s="952">
        <f>'TAMUC Sum'!$F$33</f>
        <v>202922140</v>
      </c>
      <c r="K13" s="947">
        <f t="shared" si="3"/>
        <v>21793</v>
      </c>
      <c r="L13" s="946">
        <f>'TAMUC Sum'!$G$14</f>
        <v>11123859</v>
      </c>
      <c r="M13" s="947">
        <f t="shared" si="4"/>
        <v>1195</v>
      </c>
      <c r="N13" s="952">
        <f>'TAMUC Sum'!$F$53*-1</f>
        <v>6527445</v>
      </c>
      <c r="O13" s="947">
        <f t="shared" si="5"/>
        <v>701</v>
      </c>
      <c r="P13" s="952">
        <f>'TAMUC Sum'!$F$28</f>
        <v>9818579</v>
      </c>
      <c r="Q13" s="947">
        <f t="shared" si="6"/>
        <v>1054</v>
      </c>
      <c r="R13" s="356"/>
      <c r="S13" s="356"/>
      <c r="U13" s="528" t="str">
        <f>'TAMUC FGD'!$O$92</f>
        <v>Chris Arrington</v>
      </c>
      <c r="V13" s="528" t="str">
        <f>'TAMUC FGD'!$Q$92</f>
        <v>979-458-9151</v>
      </c>
      <c r="W13" s="528" t="str">
        <f>'TAMUC FGD'!$T$92</f>
        <v>carrington@tamus.edu</v>
      </c>
    </row>
    <row r="14" spans="1:23">
      <c r="A14" s="480">
        <v>270</v>
      </c>
      <c r="B14" s="678">
        <v>4</v>
      </c>
      <c r="C14" s="68" t="s">
        <v>1132</v>
      </c>
      <c r="D14" s="53" t="s">
        <v>144</v>
      </c>
      <c r="E14" s="124">
        <f t="shared" si="1"/>
        <v>2021</v>
      </c>
      <c r="F14" s="1000">
        <v>3581</v>
      </c>
      <c r="G14" s="951">
        <f>'LU Sum'!$C$6</f>
        <v>13516.8</v>
      </c>
      <c r="H14" s="946">
        <f>'LU Sum'!$F$32</f>
        <v>10524840</v>
      </c>
      <c r="I14" s="947">
        <f t="shared" si="2"/>
        <v>779</v>
      </c>
      <c r="J14" s="952">
        <f>'LU Sum'!$F$33</f>
        <v>247448411</v>
      </c>
      <c r="K14" s="947">
        <f t="shared" si="3"/>
        <v>18307</v>
      </c>
      <c r="L14" s="946">
        <f>'LU Sum'!$G$14</f>
        <v>13141181</v>
      </c>
      <c r="M14" s="947">
        <f t="shared" si="4"/>
        <v>972</v>
      </c>
      <c r="N14" s="952">
        <f>'LU Sum'!$F$53*-1</f>
        <v>6610189</v>
      </c>
      <c r="O14" s="947">
        <f t="shared" si="5"/>
        <v>489</v>
      </c>
      <c r="P14" s="952">
        <f>'LU Sum'!$F$28</f>
        <v>6493628</v>
      </c>
      <c r="Q14" s="947">
        <f t="shared" si="6"/>
        <v>480</v>
      </c>
      <c r="R14" s="356"/>
      <c r="S14" s="356"/>
      <c r="U14" s="528" t="str">
        <f>'LU FGD'!$O$92</f>
        <v>Cynthia Brown</v>
      </c>
      <c r="V14" s="528" t="str">
        <f>'LU FGD'!$Q$92</f>
        <v>409-880-7925</v>
      </c>
      <c r="W14" s="528" t="str">
        <f>'LU FGD'!$T$92</f>
        <v>clbrown@lamar.edu</v>
      </c>
    </row>
    <row r="15" spans="1:23">
      <c r="A15" s="480">
        <v>340</v>
      </c>
      <c r="B15" s="678">
        <v>5</v>
      </c>
      <c r="C15" s="68" t="s">
        <v>696</v>
      </c>
      <c r="D15" s="68" t="s">
        <v>146</v>
      </c>
      <c r="E15" s="124">
        <f t="shared" si="1"/>
        <v>2021</v>
      </c>
      <c r="F15" s="1000">
        <v>3592</v>
      </c>
      <c r="G15" s="951">
        <f>'MidWST Sum'!$C$6</f>
        <v>4322.33</v>
      </c>
      <c r="H15" s="946">
        <f>'MidWST Sum'!$F$32</f>
        <v>12012630</v>
      </c>
      <c r="I15" s="947">
        <f t="shared" si="2"/>
        <v>2779</v>
      </c>
      <c r="J15" s="952">
        <f>'MidWST Sum'!$F$33</f>
        <v>104553847</v>
      </c>
      <c r="K15" s="947">
        <f t="shared" si="3"/>
        <v>24189</v>
      </c>
      <c r="L15" s="946">
        <f>'MidWST Sum'!$G$14</f>
        <v>4933200</v>
      </c>
      <c r="M15" s="947">
        <f t="shared" si="4"/>
        <v>1141</v>
      </c>
      <c r="N15" s="952">
        <f>'MidWST Sum'!$F$53*-1</f>
        <v>11178053</v>
      </c>
      <c r="O15" s="947">
        <f t="shared" si="5"/>
        <v>2586</v>
      </c>
      <c r="P15" s="952">
        <f>'MidWST Sum'!$F$28</f>
        <v>6963895</v>
      </c>
      <c r="Q15" s="947">
        <f t="shared" si="6"/>
        <v>1611</v>
      </c>
      <c r="R15" s="356"/>
      <c r="S15" s="356"/>
      <c r="U15" s="528" t="str">
        <f>'MidWST FGD'!$O$92</f>
        <v>Chris Stovall</v>
      </c>
      <c r="V15" s="528" t="str">
        <f>'MidWST FGD'!$Q$92</f>
        <v>(940) 397-4273</v>
      </c>
      <c r="W15" s="528" t="str">
        <f>'MidWST FGD'!$T$92</f>
        <v>chris.stovall@msutexas.edu</v>
      </c>
    </row>
    <row r="16" spans="1:23">
      <c r="A16" s="480">
        <v>330</v>
      </c>
      <c r="B16" s="678">
        <v>2</v>
      </c>
      <c r="C16" s="68" t="s">
        <v>1133</v>
      </c>
      <c r="D16" s="68" t="s">
        <v>148</v>
      </c>
      <c r="E16" s="124">
        <f t="shared" si="1"/>
        <v>2021</v>
      </c>
      <c r="F16" s="1000">
        <v>3594</v>
      </c>
      <c r="G16" s="951">
        <f>'UNT Sum'!$C$6</f>
        <v>34726.76</v>
      </c>
      <c r="H16" s="946">
        <f>'UNT Sum'!$F$32</f>
        <v>52940722</v>
      </c>
      <c r="I16" s="947">
        <f t="shared" si="2"/>
        <v>1524</v>
      </c>
      <c r="J16" s="952">
        <f>'UNT Sum'!$F$33</f>
        <v>768791230</v>
      </c>
      <c r="K16" s="947">
        <f t="shared" si="3"/>
        <v>22138</v>
      </c>
      <c r="L16" s="946">
        <f>'UNT Sum'!$G$14</f>
        <v>37346563</v>
      </c>
      <c r="M16" s="947">
        <f t="shared" si="4"/>
        <v>1075</v>
      </c>
      <c r="N16" s="952">
        <f>'UNT Sum'!$F$53*-1</f>
        <v>17505</v>
      </c>
      <c r="O16" s="947">
        <f t="shared" si="5"/>
        <v>1</v>
      </c>
      <c r="P16" s="952">
        <f>'UNT Sum'!$F$28</f>
        <v>3948553</v>
      </c>
      <c r="Q16" s="947">
        <f t="shared" si="6"/>
        <v>114</v>
      </c>
      <c r="R16" s="356"/>
      <c r="S16" s="356"/>
      <c r="U16" s="528" t="str">
        <f>'UNT FGD'!$O$92</f>
        <v>Leydi Carter</v>
      </c>
      <c r="V16" s="528" t="str">
        <f>'UNT FGD'!$Q$92</f>
        <v>(940) 369-5089</v>
      </c>
      <c r="W16" s="528" t="str">
        <f>'UNT FGD'!$T$92</f>
        <v>Leydi.Carter@untsystem.edu</v>
      </c>
    </row>
    <row r="17" spans="1:23">
      <c r="A17" s="480">
        <v>91</v>
      </c>
      <c r="B17" s="678">
        <v>5</v>
      </c>
      <c r="C17" s="68" t="s">
        <v>696</v>
      </c>
      <c r="D17" s="116" t="s">
        <v>2264</v>
      </c>
      <c r="E17" s="124">
        <f t="shared" si="1"/>
        <v>2021</v>
      </c>
      <c r="F17" s="1178">
        <v>3599</v>
      </c>
      <c r="G17" s="951">
        <f>'RGV1 Sum'!$C$6</f>
        <v>28382.37</v>
      </c>
      <c r="H17" s="1003">
        <f>'RGV1 Sum'!$F$32</f>
        <v>72972468</v>
      </c>
      <c r="I17" s="947">
        <f t="shared" si="2"/>
        <v>2571</v>
      </c>
      <c r="J17" s="952">
        <f>'RGV1 Sum'!$F$33</f>
        <v>600598938</v>
      </c>
      <c r="K17" s="947">
        <f t="shared" si="3"/>
        <v>21161</v>
      </c>
      <c r="L17" s="946">
        <f>'RGV1 Sum'!$G$14</f>
        <v>0</v>
      </c>
      <c r="M17" s="947">
        <f t="shared" si="4"/>
        <v>0</v>
      </c>
      <c r="N17" s="952">
        <f>'RGV1 Sum'!$F$53*-1</f>
        <v>18764746</v>
      </c>
      <c r="O17" s="947">
        <f t="shared" si="5"/>
        <v>661</v>
      </c>
      <c r="P17" s="952">
        <f>'RGV1 Sum'!$F$28</f>
        <v>48337496</v>
      </c>
      <c r="Q17" s="947">
        <f t="shared" si="6"/>
        <v>1703</v>
      </c>
      <c r="R17" s="353"/>
      <c r="S17" s="353"/>
      <c r="T17" s="56"/>
      <c r="U17" s="528" t="str">
        <f>'RGV1 FGD'!$O$92</f>
        <v>Lilia M. St. Clair</v>
      </c>
      <c r="V17" s="528" t="str">
        <f>'RGV1 FGD'!$Q$92</f>
        <v>956-665-7906</v>
      </c>
      <c r="W17" s="528" t="str">
        <f>'RGV1 FGD'!$T$92</f>
        <v>lilia.stclair@utrgv.edu</v>
      </c>
    </row>
    <row r="18" spans="1:23">
      <c r="A18" s="480">
        <v>281</v>
      </c>
      <c r="B18" s="678">
        <v>3</v>
      </c>
      <c r="C18" s="68" t="s">
        <v>697</v>
      </c>
      <c r="D18" s="78" t="s">
        <v>2262</v>
      </c>
      <c r="E18" s="124">
        <f t="shared" si="1"/>
        <v>2021</v>
      </c>
      <c r="F18" s="1000">
        <v>3606</v>
      </c>
      <c r="G18" s="951">
        <f>'shsu1 Sum'!$C$6</f>
        <v>17594.09</v>
      </c>
      <c r="H18" s="946">
        <f>'shsu1 Sum'!$F$32</f>
        <v>38239276</v>
      </c>
      <c r="I18" s="947">
        <f t="shared" si="2"/>
        <v>2173</v>
      </c>
      <c r="J18" s="952">
        <f>'shsu1 Sum'!$F$33</f>
        <v>387735320</v>
      </c>
      <c r="K18" s="947">
        <f t="shared" si="3"/>
        <v>22038</v>
      </c>
      <c r="L18" s="946">
        <f>'shsu1 Sum'!$G$14</f>
        <v>18236811</v>
      </c>
      <c r="M18" s="947">
        <f t="shared" si="4"/>
        <v>1037</v>
      </c>
      <c r="N18" s="952">
        <f>'shsu1 Sum'!$F$53*-1</f>
        <v>0</v>
      </c>
      <c r="O18" s="947">
        <f t="shared" si="5"/>
        <v>0</v>
      </c>
      <c r="P18" s="952">
        <f>'shsu1 Sum'!$F$28</f>
        <v>3744952</v>
      </c>
      <c r="Q18" s="947">
        <f t="shared" si="6"/>
        <v>213</v>
      </c>
      <c r="R18" s="356"/>
      <c r="S18" s="356"/>
      <c r="U18" s="528" t="str">
        <f>'shsu1 FGD'!$O$92</f>
        <v>Amanda Withers</v>
      </c>
      <c r="V18" s="528" t="str">
        <f>'shsu1 FGD'!$Q$92</f>
        <v>936-294-2289</v>
      </c>
      <c r="W18" s="528" t="str">
        <f>'shsu1 FGD'!$T$92</f>
        <v>withers@shsu.edu</v>
      </c>
    </row>
    <row r="19" spans="1:23">
      <c r="A19" s="480">
        <v>290</v>
      </c>
      <c r="B19" s="678">
        <v>3</v>
      </c>
      <c r="C19" s="68" t="s">
        <v>697</v>
      </c>
      <c r="D19" s="68" t="s">
        <v>1421</v>
      </c>
      <c r="E19" s="124">
        <f t="shared" si="1"/>
        <v>2021</v>
      </c>
      <c r="F19" s="1000">
        <v>3615</v>
      </c>
      <c r="G19" s="951">
        <f>'TXST Sum'!$C$6</f>
        <v>31295.23</v>
      </c>
      <c r="H19" s="946">
        <f>'TXST Sum'!$F$32</f>
        <v>47790018</v>
      </c>
      <c r="I19" s="947">
        <f t="shared" si="2"/>
        <v>1527</v>
      </c>
      <c r="J19" s="952">
        <f>'TXST Sum'!$F$33</f>
        <v>639829216</v>
      </c>
      <c r="K19" s="947">
        <f t="shared" si="3"/>
        <v>20445</v>
      </c>
      <c r="L19" s="946">
        <f>'TXST Sum'!$G$14</f>
        <v>37606478</v>
      </c>
      <c r="M19" s="947">
        <f t="shared" si="4"/>
        <v>1202</v>
      </c>
      <c r="N19" s="952">
        <f>'TXST Sum'!$F$53*-1</f>
        <v>29374741</v>
      </c>
      <c r="O19" s="947">
        <f t="shared" si="5"/>
        <v>939</v>
      </c>
      <c r="P19" s="952">
        <f>'TXST Sum'!$F$28</f>
        <v>12828178</v>
      </c>
      <c r="Q19" s="947">
        <f t="shared" si="6"/>
        <v>410</v>
      </c>
      <c r="R19" s="356"/>
      <c r="S19" s="356"/>
      <c r="U19" s="528" t="str">
        <f>'TXST FGD'!$O$92</f>
        <v>Cindy Haley</v>
      </c>
      <c r="V19" s="528" t="str">
        <f>'TXST FGD'!$Q$92</f>
        <v>512-245-2087</v>
      </c>
      <c r="W19" s="528" t="str">
        <f>'TXST FGD'!$T$92</f>
        <v>cindy.haley@txstate.edu</v>
      </c>
    </row>
    <row r="20" spans="1:23">
      <c r="A20" s="480">
        <v>350</v>
      </c>
      <c r="B20" s="678">
        <v>4</v>
      </c>
      <c r="C20" s="68" t="s">
        <v>1132</v>
      </c>
      <c r="D20" s="68" t="s">
        <v>156</v>
      </c>
      <c r="E20" s="124">
        <f t="shared" si="1"/>
        <v>2021</v>
      </c>
      <c r="F20" s="1000">
        <v>3624</v>
      </c>
      <c r="G20" s="951">
        <f>'SFA Sum'!$C$6</f>
        <v>10368.98</v>
      </c>
      <c r="H20" s="946">
        <f>'SFA Sum'!$F$32</f>
        <v>23367611</v>
      </c>
      <c r="I20" s="947">
        <f t="shared" si="2"/>
        <v>2254</v>
      </c>
      <c r="J20" s="952">
        <f>'SFA Sum'!$F$33</f>
        <v>244306151</v>
      </c>
      <c r="K20" s="947">
        <f t="shared" si="3"/>
        <v>23561</v>
      </c>
      <c r="L20" s="946">
        <f>'SFA Sum'!$G$14</f>
        <v>11277793</v>
      </c>
      <c r="M20" s="947">
        <f t="shared" si="4"/>
        <v>1088</v>
      </c>
      <c r="N20" s="952">
        <f>'SFA Sum'!$F$53*-1</f>
        <v>8927792</v>
      </c>
      <c r="O20" s="947">
        <f t="shared" si="5"/>
        <v>861</v>
      </c>
      <c r="P20" s="952">
        <f>'SFA Sum'!$F$28</f>
        <v>11237725</v>
      </c>
      <c r="Q20" s="947">
        <f t="shared" si="6"/>
        <v>1084</v>
      </c>
      <c r="R20" s="356"/>
      <c r="S20" s="356"/>
      <c r="U20" s="528" t="str">
        <f>'SFA FGD'!$O$92</f>
        <v>Dannette Sales</v>
      </c>
      <c r="V20" s="528" t="str">
        <f>'SFA FGD'!$Q$92</f>
        <v>(936) 468-2354</v>
      </c>
      <c r="W20" s="528" t="str">
        <f>'SFA FGD'!$T$92</f>
        <v>salesdl@sfasu.edu</v>
      </c>
    </row>
    <row r="21" spans="1:23">
      <c r="A21" s="480">
        <v>300</v>
      </c>
      <c r="B21" s="678">
        <v>5</v>
      </c>
      <c r="C21" s="68" t="s">
        <v>696</v>
      </c>
      <c r="D21" s="68" t="s">
        <v>158</v>
      </c>
      <c r="E21" s="124">
        <f t="shared" si="1"/>
        <v>2021</v>
      </c>
      <c r="F21" s="1000">
        <v>3625</v>
      </c>
      <c r="G21" s="951">
        <f>'SRSU Sum'!$C$6</f>
        <v>1712.5099999999998</v>
      </c>
      <c r="H21" s="946">
        <f>'SRSU Sum'!$F$32</f>
        <v>10559203</v>
      </c>
      <c r="I21" s="947">
        <f t="shared" si="2"/>
        <v>6166</v>
      </c>
      <c r="J21" s="952">
        <f>'SRSU Sum'!$F$33</f>
        <v>57448295</v>
      </c>
      <c r="K21" s="947">
        <f t="shared" si="3"/>
        <v>33546</v>
      </c>
      <c r="L21" s="946">
        <f>'SRSU Sum'!$G$14</f>
        <v>2624613</v>
      </c>
      <c r="M21" s="947">
        <f t="shared" si="4"/>
        <v>1533</v>
      </c>
      <c r="N21" s="952">
        <f>'SRSU Sum'!$F$53*-1</f>
        <v>0</v>
      </c>
      <c r="O21" s="947">
        <f t="shared" si="5"/>
        <v>0</v>
      </c>
      <c r="P21" s="952">
        <f>'SRSU Sum'!$F$28</f>
        <v>6975188</v>
      </c>
      <c r="Q21" s="947">
        <f t="shared" si="6"/>
        <v>4073</v>
      </c>
      <c r="R21" s="356"/>
      <c r="S21" s="356"/>
      <c r="U21" s="528" t="str">
        <f>'SRSU FGD'!$O$92</f>
        <v>Bonnie Albright</v>
      </c>
      <c r="V21" s="528" t="str">
        <f>'SRSU FGD'!$Q$92</f>
        <v>432-837-8078</v>
      </c>
      <c r="W21" s="528" t="str">
        <f>'SRSU FGD'!$T$92</f>
        <v>bonnie.albright@sulross.edu</v>
      </c>
    </row>
    <row r="22" spans="1:23">
      <c r="A22" s="480">
        <v>150</v>
      </c>
      <c r="B22" s="678">
        <v>4</v>
      </c>
      <c r="C22" s="68" t="s">
        <v>1132</v>
      </c>
      <c r="D22" s="68" t="s">
        <v>160</v>
      </c>
      <c r="E22" s="124">
        <f t="shared" si="1"/>
        <v>2021</v>
      </c>
      <c r="F22" s="1000">
        <v>3630</v>
      </c>
      <c r="G22" s="951">
        <f>'PVAMU Sum'!$C$6</f>
        <v>8069.33</v>
      </c>
      <c r="H22" s="946">
        <f>'PVAMU Sum'!$F$32</f>
        <v>45876159</v>
      </c>
      <c r="I22" s="947">
        <f t="shared" si="2"/>
        <v>5685</v>
      </c>
      <c r="J22" s="952">
        <f>'PVAMU Sum'!$F$33</f>
        <v>299370083</v>
      </c>
      <c r="K22" s="947">
        <f t="shared" si="3"/>
        <v>37100</v>
      </c>
      <c r="L22" s="946">
        <f>'PVAMU Sum'!$G$14</f>
        <v>26604505</v>
      </c>
      <c r="M22" s="947">
        <f t="shared" si="4"/>
        <v>3297</v>
      </c>
      <c r="N22" s="952">
        <f>'PVAMU Sum'!$F$53*-1</f>
        <v>8546348</v>
      </c>
      <c r="O22" s="947">
        <f t="shared" si="5"/>
        <v>1059</v>
      </c>
      <c r="P22" s="952">
        <f>'PVAMU Sum'!$F$28</f>
        <v>34631561</v>
      </c>
      <c r="Q22" s="947">
        <f t="shared" si="6"/>
        <v>4292</v>
      </c>
      <c r="R22" s="356"/>
      <c r="S22" s="356"/>
      <c r="U22" s="528" t="str">
        <f>'PVAMU FGD'!$O$92</f>
        <v>Chris Arrington</v>
      </c>
      <c r="V22" s="528" t="str">
        <f>'PVAMU FGD'!$Q$92</f>
        <v>979-458-9151</v>
      </c>
      <c r="W22" s="528" t="str">
        <f>'PVAMU FGD'!$T$92</f>
        <v>carrington@tamus.edu</v>
      </c>
    </row>
    <row r="23" spans="1:23">
      <c r="A23" s="480">
        <v>160</v>
      </c>
      <c r="B23" s="678">
        <v>4</v>
      </c>
      <c r="C23" s="68" t="s">
        <v>1132</v>
      </c>
      <c r="D23" s="68" t="s">
        <v>162</v>
      </c>
      <c r="E23" s="124">
        <f t="shared" si="1"/>
        <v>2021</v>
      </c>
      <c r="F23" s="1000">
        <v>3631</v>
      </c>
      <c r="G23" s="951">
        <f>'TARLST Sum'!$C$6</f>
        <v>11555.57</v>
      </c>
      <c r="H23" s="946">
        <f>'TARLST Sum'!$F$32</f>
        <v>24545541</v>
      </c>
      <c r="I23" s="947">
        <f t="shared" si="2"/>
        <v>2124</v>
      </c>
      <c r="J23" s="952">
        <f>'TARLST Sum'!$F$33</f>
        <v>228023097</v>
      </c>
      <c r="K23" s="947">
        <f t="shared" si="3"/>
        <v>19733</v>
      </c>
      <c r="L23" s="946">
        <f>'TARLST Sum'!$G$14</f>
        <v>0</v>
      </c>
      <c r="M23" s="947">
        <f t="shared" si="4"/>
        <v>0</v>
      </c>
      <c r="N23" s="952">
        <f>'TARLST Sum'!$F$53*-1</f>
        <v>13180535</v>
      </c>
      <c r="O23" s="947">
        <f t="shared" si="5"/>
        <v>1141</v>
      </c>
      <c r="P23" s="952">
        <f>'TARLST Sum'!$F$28</f>
        <v>12961158</v>
      </c>
      <c r="Q23" s="947">
        <f t="shared" si="6"/>
        <v>1122</v>
      </c>
      <c r="R23" s="356"/>
      <c r="S23" s="356"/>
      <c r="U23" s="528" t="str">
        <f>'TARLST FGD'!$O$92</f>
        <v>Chris Arrington</v>
      </c>
      <c r="V23" s="528" t="str">
        <f>'TARLST FGD'!$Q$92</f>
        <v>254-968-1643</v>
      </c>
      <c r="W23" s="528" t="str">
        <f>'TARLST FGD'!$T$92</f>
        <v>fincher@tarleton.edu</v>
      </c>
    </row>
    <row r="24" spans="1:23">
      <c r="A24" s="480">
        <v>130</v>
      </c>
      <c r="B24" s="678">
        <v>1</v>
      </c>
      <c r="C24" s="68" t="s">
        <v>15</v>
      </c>
      <c r="D24" s="68" t="s">
        <v>164</v>
      </c>
      <c r="E24" s="124">
        <f t="shared" si="1"/>
        <v>2021</v>
      </c>
      <c r="F24" s="1000">
        <v>3632</v>
      </c>
      <c r="G24" s="951">
        <f>'TAMU Sum'!$C$6</f>
        <v>58149.98</v>
      </c>
      <c r="H24" s="946">
        <f>'TAMU Sum'!$F$32</f>
        <v>502902844</v>
      </c>
      <c r="I24" s="947">
        <f t="shared" si="2"/>
        <v>8648</v>
      </c>
      <c r="J24" s="952">
        <f>'TAMU Sum'!$F$33</f>
        <v>2073998752</v>
      </c>
      <c r="K24" s="947">
        <f t="shared" si="3"/>
        <v>35666</v>
      </c>
      <c r="L24" s="946">
        <f>'TAMU Sum'!$G$14</f>
        <v>201614294</v>
      </c>
      <c r="M24" s="947">
        <f t="shared" si="4"/>
        <v>3467</v>
      </c>
      <c r="N24" s="952">
        <f>'TAMU Sum'!$F$53*-1</f>
        <v>56675573</v>
      </c>
      <c r="O24" s="947">
        <f t="shared" si="5"/>
        <v>975</v>
      </c>
      <c r="P24" s="952">
        <f>'TAMU Sum'!$F$28</f>
        <v>191909459</v>
      </c>
      <c r="Q24" s="947">
        <f t="shared" si="6"/>
        <v>3300</v>
      </c>
      <c r="R24" s="356"/>
      <c r="S24" s="356"/>
      <c r="U24" s="528" t="str">
        <f>'TAMU FGD'!$O$92</f>
        <v>Chris Arrington</v>
      </c>
      <c r="V24" s="528" t="str">
        <f>'TAMU FGD'!$Q$92</f>
        <v>979-458-9151</v>
      </c>
      <c r="W24" s="528" t="str">
        <f>'TAMU FGD'!$T$92</f>
        <v>carrington@tamus.edu</v>
      </c>
    </row>
    <row r="25" spans="1:23">
      <c r="A25" s="480">
        <v>180</v>
      </c>
      <c r="B25" s="678">
        <v>3</v>
      </c>
      <c r="C25" s="68" t="s">
        <v>697</v>
      </c>
      <c r="D25" s="68" t="s">
        <v>166</v>
      </c>
      <c r="E25" s="124">
        <f t="shared" si="1"/>
        <v>2021</v>
      </c>
      <c r="F25" s="1000">
        <v>3639</v>
      </c>
      <c r="G25" s="951">
        <f>'TAMUK Sum'!$C$6</f>
        <v>5616.08</v>
      </c>
      <c r="H25" s="946">
        <f>'TAMUK Sum'!$F$32</f>
        <v>21535946</v>
      </c>
      <c r="I25" s="947">
        <f t="shared" si="2"/>
        <v>3835</v>
      </c>
      <c r="J25" s="952">
        <f>'TAMUK Sum'!$F$33</f>
        <v>165457174</v>
      </c>
      <c r="K25" s="947">
        <f t="shared" si="3"/>
        <v>29461</v>
      </c>
      <c r="L25" s="946">
        <f>'TAMUK Sum'!$G$14</f>
        <v>8858060</v>
      </c>
      <c r="M25" s="947">
        <f t="shared" si="4"/>
        <v>1577</v>
      </c>
      <c r="N25" s="952">
        <f>'TAMUK Sum'!$F$53*-1</f>
        <v>8289526</v>
      </c>
      <c r="O25" s="947">
        <f t="shared" si="5"/>
        <v>1476</v>
      </c>
      <c r="P25" s="952">
        <f>'TAMUK Sum'!$F$28</f>
        <v>10118796</v>
      </c>
      <c r="Q25" s="947">
        <f t="shared" si="6"/>
        <v>1802</v>
      </c>
      <c r="R25" s="356"/>
      <c r="S25" s="356"/>
      <c r="U25" s="528" t="str">
        <f>'TAMUK FGD'!$O$92</f>
        <v>Chris Arrington</v>
      </c>
      <c r="V25" s="528" t="str">
        <f>'TAMUK FGD'!$Q$92</f>
        <v>979-458-9151</v>
      </c>
      <c r="W25" s="528" t="str">
        <f>'TAMUK FGD'!$T$92</f>
        <v>carrington@tamus.edu</v>
      </c>
    </row>
    <row r="26" spans="1:23">
      <c r="A26" s="480">
        <v>360</v>
      </c>
      <c r="B26" s="678">
        <v>3</v>
      </c>
      <c r="C26" s="68" t="s">
        <v>697</v>
      </c>
      <c r="D26" s="68" t="s">
        <v>168</v>
      </c>
      <c r="E26" s="124">
        <f t="shared" si="1"/>
        <v>2021</v>
      </c>
      <c r="F26" s="1000">
        <v>3642</v>
      </c>
      <c r="G26" s="951">
        <f>'TSU Sum'!$C$6</f>
        <v>6445.64</v>
      </c>
      <c r="H26" s="946">
        <f>'TSU Sum'!$F$32</f>
        <v>24711981</v>
      </c>
      <c r="I26" s="947">
        <f t="shared" si="2"/>
        <v>3834</v>
      </c>
      <c r="J26" s="952">
        <f>'TSU Sum'!$F$33</f>
        <v>242145137</v>
      </c>
      <c r="K26" s="947">
        <f t="shared" si="3"/>
        <v>37567</v>
      </c>
      <c r="L26" s="946">
        <f>'TSU Sum'!$G$14</f>
        <v>11719335</v>
      </c>
      <c r="M26" s="947">
        <f t="shared" si="4"/>
        <v>1818</v>
      </c>
      <c r="N26" s="952">
        <f>'TSU Sum'!$F$53*-1</f>
        <v>14158324</v>
      </c>
      <c r="O26" s="947">
        <f t="shared" si="5"/>
        <v>2197</v>
      </c>
      <c r="P26" s="952">
        <f>'TSU Sum'!$F$28</f>
        <v>3709351</v>
      </c>
      <c r="Q26" s="947">
        <f t="shared" si="6"/>
        <v>575</v>
      </c>
      <c r="R26" s="356"/>
      <c r="S26" s="356"/>
      <c r="U26" s="528" t="str">
        <f>'TSU FGD'!$O$92</f>
        <v>Bobbie Phelps</v>
      </c>
      <c r="V26" s="528" t="str">
        <f>'TSU FGD'!$Q$92</f>
        <v>713-313-6890</v>
      </c>
      <c r="W26" s="528" t="str">
        <f>'TSU FGD'!$T$92</f>
        <v>bobbie.phelps@tsu.edu</v>
      </c>
    </row>
    <row r="27" spans="1:23">
      <c r="A27" s="480">
        <v>310</v>
      </c>
      <c r="B27" s="678">
        <v>2</v>
      </c>
      <c r="C27" s="68" t="s">
        <v>1133</v>
      </c>
      <c r="D27" s="68" t="s">
        <v>170</v>
      </c>
      <c r="E27" s="124">
        <f t="shared" si="1"/>
        <v>2021</v>
      </c>
      <c r="F27" s="1000">
        <v>3644</v>
      </c>
      <c r="G27" s="951">
        <f>'TTU Sum'!$C$6</f>
        <v>36035.31</v>
      </c>
      <c r="H27" s="946">
        <f>'TTU Sum'!$F$32</f>
        <v>144537946</v>
      </c>
      <c r="I27" s="947">
        <f t="shared" si="2"/>
        <v>4011</v>
      </c>
      <c r="J27" s="952">
        <f>'TTU Sum'!$F$33</f>
        <v>887865875</v>
      </c>
      <c r="K27" s="947">
        <f t="shared" si="3"/>
        <v>24639</v>
      </c>
      <c r="L27" s="946">
        <f>'TTU Sum'!$G$14</f>
        <v>49874746</v>
      </c>
      <c r="M27" s="947">
        <f t="shared" si="4"/>
        <v>1384</v>
      </c>
      <c r="N27" s="952">
        <f>'TTU Sum'!$F$53*-1</f>
        <v>40750426</v>
      </c>
      <c r="O27" s="947">
        <f t="shared" si="5"/>
        <v>1131</v>
      </c>
      <c r="P27" s="952">
        <f>'TTU Sum'!$F$28</f>
        <v>113813952</v>
      </c>
      <c r="Q27" s="947">
        <f t="shared" si="6"/>
        <v>3158</v>
      </c>
      <c r="R27" s="356"/>
      <c r="S27" s="356"/>
      <c r="U27" s="528" t="str">
        <f>'TTU FGD'!$O$92</f>
        <v>Lori Eppler</v>
      </c>
      <c r="V27" s="528" t="str">
        <f>'TTU FGD'!$Q$92</f>
        <v>806-834-4640</v>
      </c>
      <c r="W27" s="528" t="str">
        <f>'TTU FGD'!$T$92</f>
        <v>lori.eppler@ttu.edu</v>
      </c>
    </row>
    <row r="28" spans="1:23">
      <c r="A28" s="480">
        <v>370</v>
      </c>
      <c r="B28" s="678">
        <v>3</v>
      </c>
      <c r="C28" s="68" t="s">
        <v>697</v>
      </c>
      <c r="D28" s="67" t="s">
        <v>172</v>
      </c>
      <c r="E28" s="124">
        <f t="shared" si="1"/>
        <v>2021</v>
      </c>
      <c r="F28" s="1001">
        <v>3646</v>
      </c>
      <c r="G28" s="951">
        <f>'TWU Sum'!$C$6</f>
        <v>13026.58</v>
      </c>
      <c r="H28" s="946">
        <f>'TWU Sum'!$F$32</f>
        <v>17745550</v>
      </c>
      <c r="I28" s="947">
        <f t="shared" si="2"/>
        <v>1362</v>
      </c>
      <c r="J28" s="952">
        <f>'TWU Sum'!$F$33</f>
        <v>244853113</v>
      </c>
      <c r="K28" s="947">
        <f t="shared" si="3"/>
        <v>18796</v>
      </c>
      <c r="L28" s="946">
        <f>'TWU Sum'!$G$14</f>
        <v>14554133</v>
      </c>
      <c r="M28" s="947">
        <f t="shared" si="4"/>
        <v>1117</v>
      </c>
      <c r="N28" s="952">
        <f>'TWU Sum'!$F$53*-1</f>
        <v>15455033</v>
      </c>
      <c r="O28" s="947">
        <f t="shared" si="5"/>
        <v>1186</v>
      </c>
      <c r="P28" s="952">
        <f>'TWU Sum'!$F$28</f>
        <v>3337377</v>
      </c>
      <c r="Q28" s="947">
        <f t="shared" si="6"/>
        <v>256</v>
      </c>
      <c r="R28" s="356"/>
      <c r="S28" s="356"/>
      <c r="U28" s="528" t="str">
        <f>'TWU FGD'!$O$92</f>
        <v>June Orth</v>
      </c>
      <c r="V28" s="528" t="str">
        <f>'TWU FGD'!$Q$92</f>
        <v>940-898-3522</v>
      </c>
      <c r="W28" s="528" t="str">
        <f>'TWU FGD'!$T$92</f>
        <v>borth@twu.edu</v>
      </c>
    </row>
    <row r="29" spans="1:23" ht="14.25" customHeight="1">
      <c r="A29" s="480">
        <v>231</v>
      </c>
      <c r="B29" s="678">
        <v>2</v>
      </c>
      <c r="C29" s="68" t="s">
        <v>1133</v>
      </c>
      <c r="D29" s="78" t="s">
        <v>2261</v>
      </c>
      <c r="E29" s="124">
        <f t="shared" si="1"/>
        <v>2021</v>
      </c>
      <c r="F29" s="1000">
        <v>3652</v>
      </c>
      <c r="G29" s="951">
        <f>'UH1 Sum'!$C$6</f>
        <v>40310.42</v>
      </c>
      <c r="H29" s="946">
        <f>'UH1 Sum'!$F$32</f>
        <v>342523259</v>
      </c>
      <c r="I29" s="947">
        <f t="shared" si="2"/>
        <v>8497</v>
      </c>
      <c r="J29" s="952">
        <f>'UH1 Sum'!$F$33</f>
        <v>1288692425</v>
      </c>
      <c r="K29" s="947">
        <f t="shared" si="3"/>
        <v>31969</v>
      </c>
      <c r="L29" s="946">
        <f>'UH1 Sum'!$G$14</f>
        <v>54514004</v>
      </c>
      <c r="M29" s="947">
        <f t="shared" si="4"/>
        <v>1352</v>
      </c>
      <c r="N29" s="952">
        <f>'UH1 Sum'!$F$53*-1</f>
        <v>145875990</v>
      </c>
      <c r="O29" s="947">
        <f t="shared" si="5"/>
        <v>3619</v>
      </c>
      <c r="P29" s="952">
        <f>'UH1 Sum'!$F$28</f>
        <v>73373813</v>
      </c>
      <c r="Q29" s="947">
        <f t="shared" si="6"/>
        <v>1820</v>
      </c>
      <c r="R29" s="356"/>
      <c r="S29" s="356"/>
      <c r="U29" s="528" t="str">
        <f>'UH1 FGD'!$O$92</f>
        <v>CHARLOTTE HOTZ</v>
      </c>
      <c r="V29" s="528" t="str">
        <f>'UH1 FGD'!$Q$92</f>
        <v>713.743.5296</v>
      </c>
      <c r="W29" s="528" t="str">
        <f>'UH1 FGD'!$T$92</f>
        <v>cahotz@uh.edu</v>
      </c>
    </row>
    <row r="30" spans="1:23">
      <c r="A30" s="480">
        <v>40</v>
      </c>
      <c r="B30" s="678">
        <v>2</v>
      </c>
      <c r="C30" s="68" t="s">
        <v>1133</v>
      </c>
      <c r="D30" s="68" t="s">
        <v>176</v>
      </c>
      <c r="E30" s="124">
        <f t="shared" si="1"/>
        <v>2021</v>
      </c>
      <c r="F30" s="1000">
        <v>3656</v>
      </c>
      <c r="G30" s="951">
        <f>'ARL Sum'!$C$6</f>
        <v>34362.15</v>
      </c>
      <c r="H30" s="946">
        <f>'ARL Sum'!$F$32</f>
        <v>87762572</v>
      </c>
      <c r="I30" s="947">
        <f t="shared" si="2"/>
        <v>2554</v>
      </c>
      <c r="J30" s="952">
        <f>'ARL Sum'!$F$33</f>
        <v>758392653</v>
      </c>
      <c r="K30" s="947">
        <f t="shared" si="3"/>
        <v>22071</v>
      </c>
      <c r="L30" s="946">
        <f>'ARL Sum'!$G$14</f>
        <v>0</v>
      </c>
      <c r="M30" s="947">
        <f t="shared" si="4"/>
        <v>0</v>
      </c>
      <c r="N30" s="952">
        <f>'ARL Sum'!$F$53*-1</f>
        <v>14688379</v>
      </c>
      <c r="O30" s="947">
        <f t="shared" si="5"/>
        <v>427</v>
      </c>
      <c r="P30" s="952">
        <f>'ARL Sum'!$F$28</f>
        <v>18108585</v>
      </c>
      <c r="Q30" s="947">
        <f t="shared" si="6"/>
        <v>527</v>
      </c>
      <c r="R30" s="356"/>
      <c r="S30" s="356"/>
      <c r="U30" s="528" t="str">
        <f>'ARL FGD'!$O$92</f>
        <v>Ting Chen</v>
      </c>
      <c r="V30" s="528" t="str">
        <f>'ARL FGD'!$Q$92</f>
        <v>817-272-7489</v>
      </c>
      <c r="W30" s="528" t="str">
        <f>'ARL FGD'!$T$92</f>
        <v>ting.chen@uta.edu</v>
      </c>
    </row>
    <row r="31" spans="1:23">
      <c r="A31" s="480">
        <v>51</v>
      </c>
      <c r="B31" s="678">
        <v>1</v>
      </c>
      <c r="C31" s="68" t="s">
        <v>15</v>
      </c>
      <c r="D31" s="78" t="s">
        <v>1400</v>
      </c>
      <c r="E31" s="124">
        <f t="shared" si="1"/>
        <v>2021</v>
      </c>
      <c r="F31" s="1000">
        <v>3658</v>
      </c>
      <c r="G31" s="951">
        <f>'AUS1 Sum'!$C$6</f>
        <v>47534.87</v>
      </c>
      <c r="H31" s="1003">
        <f>'AUS1 Sum'!$F$32</f>
        <v>1142386227</v>
      </c>
      <c r="I31" s="947">
        <f t="shared" si="2"/>
        <v>24033</v>
      </c>
      <c r="J31" s="952">
        <f>'AUS1 Sum'!$F$33</f>
        <v>3008502932</v>
      </c>
      <c r="K31" s="947">
        <f t="shared" si="3"/>
        <v>63290</v>
      </c>
      <c r="L31" s="946">
        <f>'AUS1 Sum'!$G$14</f>
        <v>392376810</v>
      </c>
      <c r="M31" s="947">
        <f t="shared" si="4"/>
        <v>8255</v>
      </c>
      <c r="N31" s="952">
        <f>'AUS1 Sum'!$F$53*-1</f>
        <v>70491819</v>
      </c>
      <c r="O31" s="947">
        <f t="shared" si="5"/>
        <v>1483</v>
      </c>
      <c r="P31" s="952">
        <f>'AUS1 Sum'!$F$28</f>
        <v>331777246</v>
      </c>
      <c r="Q31" s="947">
        <f t="shared" si="6"/>
        <v>6980</v>
      </c>
      <c r="R31" s="356"/>
      <c r="S31" s="356"/>
      <c r="U31" s="528" t="str">
        <f>'AUS1 FGD'!$O$92</f>
        <v>Marcy Lowther</v>
      </c>
      <c r="V31" s="528" t="str">
        <f>'AUS1 FGD'!$Q$92</f>
        <v>512-471-2808</v>
      </c>
      <c r="W31" s="528" t="str">
        <f>'AUS1 FGD'!$T$92</f>
        <v>mlowther@austin.utexas.edu</v>
      </c>
    </row>
    <row r="32" spans="1:23">
      <c r="A32" s="480">
        <v>70</v>
      </c>
      <c r="B32" s="678">
        <v>2</v>
      </c>
      <c r="C32" s="68" t="s">
        <v>1133</v>
      </c>
      <c r="D32" s="68" t="s">
        <v>180</v>
      </c>
      <c r="E32" s="124">
        <f t="shared" si="1"/>
        <v>2021</v>
      </c>
      <c r="F32" s="1000">
        <v>3661</v>
      </c>
      <c r="G32" s="951">
        <f>'E-P Sum'!$C$6</f>
        <v>19488.8</v>
      </c>
      <c r="H32" s="946">
        <f>'E-P Sum'!$F$32</f>
        <v>39635683</v>
      </c>
      <c r="I32" s="947">
        <f t="shared" si="2"/>
        <v>2034</v>
      </c>
      <c r="J32" s="952">
        <f>'E-P Sum'!$F$33</f>
        <v>519765124</v>
      </c>
      <c r="K32" s="947">
        <f t="shared" si="3"/>
        <v>26670</v>
      </c>
      <c r="L32" s="946">
        <f>'E-P Sum'!$G$14</f>
        <v>0</v>
      </c>
      <c r="M32" s="947">
        <f t="shared" si="4"/>
        <v>0</v>
      </c>
      <c r="N32" s="952">
        <f>'E-P Sum'!$F$53*-1</f>
        <v>16101843</v>
      </c>
      <c r="O32" s="947">
        <f t="shared" si="5"/>
        <v>826</v>
      </c>
      <c r="P32" s="952">
        <f>'E-P Sum'!$F$28</f>
        <v>13772953</v>
      </c>
      <c r="Q32" s="947">
        <f t="shared" si="6"/>
        <v>707</v>
      </c>
      <c r="R32" s="353"/>
      <c r="S32" s="353"/>
      <c r="U32" s="528" t="str">
        <f>'E-P FGD'!$O$92</f>
        <v>Daniel Dominguez</v>
      </c>
      <c r="V32" s="528" t="str">
        <f>'E-P FGD'!$Q$92</f>
        <v>(915)747-5083</v>
      </c>
      <c r="W32" s="528" t="str">
        <f>'E-P FGD'!$T$92</f>
        <v>drdominguez@utep.edu</v>
      </c>
    </row>
    <row r="33" spans="1:23">
      <c r="A33" s="480">
        <v>200</v>
      </c>
      <c r="B33" s="678">
        <v>4</v>
      </c>
      <c r="C33" s="68" t="s">
        <v>1132</v>
      </c>
      <c r="D33" s="68" t="s">
        <v>182</v>
      </c>
      <c r="E33" s="124">
        <f t="shared" si="1"/>
        <v>2021</v>
      </c>
      <c r="F33" s="1001">
        <v>3665</v>
      </c>
      <c r="G33" s="951">
        <f>'WTAMU Sum'!$C$6</f>
        <v>7724.93</v>
      </c>
      <c r="H33" s="946">
        <f>'WTAMU Sum'!$F$32</f>
        <v>27961999</v>
      </c>
      <c r="I33" s="947">
        <f t="shared" si="2"/>
        <v>3620</v>
      </c>
      <c r="J33" s="952">
        <f>'WTAMU Sum'!$F$33</f>
        <v>168249688</v>
      </c>
      <c r="K33" s="947">
        <f t="shared" si="3"/>
        <v>21780</v>
      </c>
      <c r="L33" s="946">
        <f>'WTAMU Sum'!$G$14</f>
        <v>7446495</v>
      </c>
      <c r="M33" s="947">
        <f t="shared" si="4"/>
        <v>964</v>
      </c>
      <c r="N33" s="952">
        <f>'WTAMU Sum'!$F$53*-1</f>
        <v>9414111</v>
      </c>
      <c r="O33" s="947">
        <f t="shared" si="5"/>
        <v>1219</v>
      </c>
      <c r="P33" s="952">
        <f>'WTAMU Sum'!$F$28</f>
        <v>7656858</v>
      </c>
      <c r="Q33" s="947">
        <f t="shared" si="6"/>
        <v>991</v>
      </c>
      <c r="R33" s="353"/>
      <c r="S33" s="353"/>
      <c r="U33" s="528" t="str">
        <f>'WTAMU FGD'!$O$92</f>
        <v>Chris Arrington</v>
      </c>
      <c r="V33" s="528" t="str">
        <f>'WTAMU FGD'!$Q$92</f>
        <v>979-458-9151</v>
      </c>
      <c r="W33" s="528" t="str">
        <f>'WTAMU FGD'!$T$92</f>
        <v>carrington@tamus.edu</v>
      </c>
    </row>
    <row r="34" spans="1:23">
      <c r="A34" s="480">
        <v>190</v>
      </c>
      <c r="B34" s="678">
        <v>4</v>
      </c>
      <c r="C34" s="68" t="s">
        <v>1132</v>
      </c>
      <c r="D34" s="68" t="s">
        <v>184</v>
      </c>
      <c r="E34" s="124">
        <f t="shared" si="1"/>
        <v>2021</v>
      </c>
      <c r="F34" s="1000">
        <v>9651</v>
      </c>
      <c r="G34" s="951">
        <f>'TAMIU Sum'!$C$6</f>
        <v>6962.28</v>
      </c>
      <c r="H34" s="946">
        <f>'TAMIU Sum'!$F$32</f>
        <v>13244911</v>
      </c>
      <c r="I34" s="947">
        <f t="shared" si="2"/>
        <v>1902</v>
      </c>
      <c r="J34" s="952">
        <f>'TAMIU Sum'!$F$33</f>
        <v>152986062</v>
      </c>
      <c r="K34" s="947">
        <f t="shared" si="3"/>
        <v>21974</v>
      </c>
      <c r="L34" s="946">
        <f>'TAMIU Sum'!$G$14</f>
        <v>7462394</v>
      </c>
      <c r="M34" s="947">
        <f t="shared" si="4"/>
        <v>1072</v>
      </c>
      <c r="N34" s="952">
        <f>'TAMIU Sum'!$F$53*-1</f>
        <v>8978943</v>
      </c>
      <c r="O34" s="947">
        <f t="shared" si="5"/>
        <v>1290</v>
      </c>
      <c r="P34" s="952">
        <f>'TAMIU Sum'!$F$28</f>
        <v>4153680</v>
      </c>
      <c r="Q34" s="947">
        <f t="shared" si="6"/>
        <v>597</v>
      </c>
      <c r="R34" s="353"/>
      <c r="S34" s="353"/>
      <c r="U34" s="528" t="str">
        <f>'TAMIU FGD'!$O$92</f>
        <v>Chris Arrington</v>
      </c>
      <c r="V34" s="528" t="str">
        <f>'TAMIU FGD'!$Q$92</f>
        <v>979-458-9151</v>
      </c>
      <c r="W34" s="528" t="str">
        <f>'TAMIU FGD'!$T$92</f>
        <v>carrington@tamus.edu</v>
      </c>
    </row>
    <row r="35" spans="1:23">
      <c r="A35" s="480">
        <v>60</v>
      </c>
      <c r="B35" s="678">
        <v>2</v>
      </c>
      <c r="C35" s="68" t="s">
        <v>1133</v>
      </c>
      <c r="D35" s="68" t="s">
        <v>186</v>
      </c>
      <c r="E35" s="124">
        <f t="shared" si="1"/>
        <v>2021</v>
      </c>
      <c r="F35" s="1000">
        <v>9741</v>
      </c>
      <c r="G35" s="951">
        <f>'DAL Sum'!$C$6</f>
        <v>24167.85</v>
      </c>
      <c r="H35" s="946">
        <f>'DAL Sum'!$F$32</f>
        <v>105282603</v>
      </c>
      <c r="I35" s="947">
        <f t="shared" si="2"/>
        <v>4356</v>
      </c>
      <c r="J35" s="952">
        <f>'DAL Sum'!$F$33</f>
        <v>656963216</v>
      </c>
      <c r="K35" s="947">
        <f t="shared" si="3"/>
        <v>27183</v>
      </c>
      <c r="L35" s="946">
        <f>'DAL Sum'!$G$14</f>
        <v>0</v>
      </c>
      <c r="M35" s="947">
        <f t="shared" si="4"/>
        <v>0</v>
      </c>
      <c r="N35" s="952">
        <f>'DAL Sum'!$F$53*-1</f>
        <v>21150842</v>
      </c>
      <c r="O35" s="947">
        <f t="shared" si="5"/>
        <v>875</v>
      </c>
      <c r="P35" s="952">
        <f>'DAL Sum'!$F$28</f>
        <v>24914444</v>
      </c>
      <c r="Q35" s="947">
        <f t="shared" si="6"/>
        <v>1031</v>
      </c>
      <c r="R35" s="353"/>
      <c r="S35" s="353"/>
      <c r="U35" s="528" t="str">
        <f>'DAL FGD'!$O$92</f>
        <v>Cindy Milligan</v>
      </c>
      <c r="V35" s="528" t="str">
        <f>'DAL FGD'!$Q$92</f>
        <v>(972) 883-2632</v>
      </c>
      <c r="W35" s="528" t="str">
        <f>'DAL FGD'!$T$92</f>
        <v>cxm133830@utdallas.edu</v>
      </c>
    </row>
    <row r="36" spans="1:23">
      <c r="A36" s="480">
        <v>100</v>
      </c>
      <c r="B36" s="678">
        <v>5</v>
      </c>
      <c r="C36" s="68" t="s">
        <v>696</v>
      </c>
      <c r="D36" s="68" t="s">
        <v>188</v>
      </c>
      <c r="E36" s="124">
        <f t="shared" si="1"/>
        <v>2021</v>
      </c>
      <c r="F36" s="1000">
        <v>9930</v>
      </c>
      <c r="G36" s="951">
        <f>'P-B Sum'!$C$6</f>
        <v>4255.68</v>
      </c>
      <c r="H36" s="946">
        <f>'P-B Sum'!$F$32</f>
        <v>11154898</v>
      </c>
      <c r="I36" s="947">
        <f t="shared" si="2"/>
        <v>2621</v>
      </c>
      <c r="J36" s="952">
        <f>'P-B Sum'!$F$33</f>
        <v>105820671</v>
      </c>
      <c r="K36" s="947">
        <f t="shared" si="3"/>
        <v>24866</v>
      </c>
      <c r="L36" s="946">
        <f>'P-B Sum'!$G$14</f>
        <v>0</v>
      </c>
      <c r="M36" s="947">
        <f t="shared" si="4"/>
        <v>0</v>
      </c>
      <c r="N36" s="952">
        <f>'P-B Sum'!$F$53*-1</f>
        <v>13598986</v>
      </c>
      <c r="O36" s="947">
        <f t="shared" si="5"/>
        <v>3195</v>
      </c>
      <c r="P36" s="952">
        <f>'P-B Sum'!$F$28</f>
        <v>3276208</v>
      </c>
      <c r="Q36" s="947">
        <f t="shared" si="6"/>
        <v>770</v>
      </c>
      <c r="R36" s="353"/>
      <c r="S36" s="353"/>
      <c r="U36" s="528" t="str">
        <f>'P-B FGD'!$O$92</f>
        <v>Jana Juarez</v>
      </c>
      <c r="V36" s="528" t="str">
        <f>'P-B FGD'!$Q$92</f>
        <v>432-552-2717</v>
      </c>
      <c r="W36" s="528" t="str">
        <f>'P-B FGD'!$T$92</f>
        <v>juarez_j@utpb.edu</v>
      </c>
    </row>
    <row r="37" spans="1:23">
      <c r="A37" s="480">
        <v>110</v>
      </c>
      <c r="B37" s="678">
        <v>2</v>
      </c>
      <c r="C37" s="68" t="s">
        <v>1133</v>
      </c>
      <c r="D37" s="68" t="s">
        <v>190</v>
      </c>
      <c r="E37" s="124">
        <f t="shared" si="1"/>
        <v>2021</v>
      </c>
      <c r="F37" s="1000">
        <v>10115</v>
      </c>
      <c r="G37" s="951">
        <f>'S-A Sum'!$C$6</f>
        <v>28396.57</v>
      </c>
      <c r="H37" s="946">
        <f>'S-A Sum'!$F$32</f>
        <v>134488033</v>
      </c>
      <c r="I37" s="947">
        <f t="shared" si="2"/>
        <v>4736</v>
      </c>
      <c r="J37" s="952">
        <f>'S-A Sum'!$F$33</f>
        <v>725771430</v>
      </c>
      <c r="K37" s="947">
        <f t="shared" si="3"/>
        <v>25558</v>
      </c>
      <c r="L37" s="946">
        <f>'S-A Sum'!$G$14</f>
        <v>0</v>
      </c>
      <c r="M37" s="947">
        <f t="shared" si="4"/>
        <v>0</v>
      </c>
      <c r="N37" s="952">
        <f>'S-A Sum'!$F$53*-1</f>
        <v>18245870</v>
      </c>
      <c r="O37" s="947">
        <f t="shared" si="5"/>
        <v>643</v>
      </c>
      <c r="P37" s="952">
        <f>'S-A Sum'!$F$28</f>
        <v>100729411</v>
      </c>
      <c r="Q37" s="947">
        <f t="shared" si="6"/>
        <v>3547</v>
      </c>
      <c r="R37" s="353"/>
      <c r="S37" s="353"/>
      <c r="U37" s="528" t="str">
        <f>'S-A FGD'!$O$92</f>
        <v>Sheri Hardison</v>
      </c>
      <c r="V37" s="528" t="str">
        <f>'S-A FGD'!$Q$92</f>
        <v>210-458-6774</v>
      </c>
      <c r="W37" s="528" t="str">
        <f>'S-A FGD'!$T$92</f>
        <v>sheri.hardison@utsa.edu</v>
      </c>
    </row>
    <row r="38" spans="1:23">
      <c r="A38" s="480">
        <v>140</v>
      </c>
      <c r="B38" s="678">
        <v>5</v>
      </c>
      <c r="C38" s="68" t="s">
        <v>696</v>
      </c>
      <c r="D38" s="68" t="s">
        <v>192</v>
      </c>
      <c r="E38" s="124">
        <f t="shared" si="1"/>
        <v>2021</v>
      </c>
      <c r="F38" s="1000">
        <v>10298</v>
      </c>
      <c r="G38" s="951">
        <f>'TAMUG Sum'!$C$6</f>
        <v>1732.87</v>
      </c>
      <c r="H38" s="946">
        <f>'TAMUG Sum'!$F$32</f>
        <v>10934036</v>
      </c>
      <c r="I38" s="947">
        <f t="shared" si="2"/>
        <v>6310</v>
      </c>
      <c r="J38" s="952">
        <f>'TAMUG Sum'!$F$33</f>
        <v>113478450</v>
      </c>
      <c r="K38" s="947">
        <f t="shared" si="3"/>
        <v>65486</v>
      </c>
      <c r="L38" s="946">
        <f>'TAMUG Sum'!$G$14</f>
        <v>0</v>
      </c>
      <c r="M38" s="947">
        <f t="shared" si="4"/>
        <v>0</v>
      </c>
      <c r="N38" s="952">
        <f>'TAMUG Sum'!$F$53*-1</f>
        <v>9006622</v>
      </c>
      <c r="O38" s="947">
        <f t="shared" si="5"/>
        <v>5198</v>
      </c>
      <c r="P38" s="952">
        <f>'TAMUG Sum'!$F$28</f>
        <v>3349397</v>
      </c>
      <c r="Q38" s="947">
        <f t="shared" si="6"/>
        <v>1933</v>
      </c>
      <c r="R38" s="353"/>
      <c r="S38" s="353"/>
      <c r="U38" s="528" t="str">
        <f>'TAMUG FGD'!$O$92</f>
        <v>Chris Arrington</v>
      </c>
      <c r="V38" s="528" t="str">
        <f>'TAMUG FGD'!$Q$92</f>
        <v>979-458-9151</v>
      </c>
      <c r="W38" s="528" t="str">
        <f>'TAMUG FGD'!$T$92</f>
        <v>carrington@tamus.edu</v>
      </c>
    </row>
    <row r="39" spans="1:23">
      <c r="A39" s="480">
        <v>170</v>
      </c>
      <c r="B39" s="678">
        <v>4</v>
      </c>
      <c r="C39" s="68" t="s">
        <v>1132</v>
      </c>
      <c r="D39" s="68" t="s">
        <v>194</v>
      </c>
      <c r="E39" s="124">
        <f t="shared" si="1"/>
        <v>2021</v>
      </c>
      <c r="F39" s="1000">
        <v>11161</v>
      </c>
      <c r="G39" s="951">
        <f>'TAMUCC Sum'!$C$6</f>
        <v>9336.2800000000007</v>
      </c>
      <c r="H39" s="946">
        <f>'TAMUCC Sum'!$F$32</f>
        <v>24477960</v>
      </c>
      <c r="I39" s="947">
        <f t="shared" si="2"/>
        <v>2622</v>
      </c>
      <c r="J39" s="952">
        <f>'TAMUCC Sum'!$F$33</f>
        <v>237495175</v>
      </c>
      <c r="K39" s="947">
        <f t="shared" si="3"/>
        <v>25438</v>
      </c>
      <c r="L39" s="946">
        <f>'TAMUCC Sum'!$G$14</f>
        <v>11478824</v>
      </c>
      <c r="M39" s="947">
        <f t="shared" si="4"/>
        <v>1229</v>
      </c>
      <c r="N39" s="952">
        <f>'TAMUCC Sum'!$F$53*-1</f>
        <v>12390013</v>
      </c>
      <c r="O39" s="947">
        <f t="shared" si="5"/>
        <v>1327</v>
      </c>
      <c r="P39" s="952">
        <f>'TAMUCC Sum'!$F$28</f>
        <v>14955214</v>
      </c>
      <c r="Q39" s="947">
        <f t="shared" si="6"/>
        <v>1602</v>
      </c>
      <c r="R39" s="353"/>
      <c r="S39" s="353"/>
      <c r="U39" s="528" t="str">
        <f>'TAMUCC FGD'!$O$92</f>
        <v>Chris Arrington</v>
      </c>
      <c r="V39" s="528" t="str">
        <f>'TAMUCC FGD'!$Q$92</f>
        <v>979-458-9151</v>
      </c>
      <c r="W39" s="528" t="str">
        <f>'TAMUCC FGD'!$T$92</f>
        <v>carrington@tamus.edu</v>
      </c>
    </row>
    <row r="40" spans="1:23">
      <c r="A40" s="480">
        <v>120</v>
      </c>
      <c r="B40" s="678">
        <v>5</v>
      </c>
      <c r="C40" s="68" t="s">
        <v>696</v>
      </c>
      <c r="D40" s="68" t="s">
        <v>196</v>
      </c>
      <c r="E40" s="124">
        <f t="shared" si="1"/>
        <v>2021</v>
      </c>
      <c r="F40" s="1000">
        <v>11163</v>
      </c>
      <c r="G40" s="951">
        <f>'TYL Sum'!$C$6</f>
        <v>7607.2</v>
      </c>
      <c r="H40" s="946">
        <f>'TYL Sum'!$F$32</f>
        <v>22692456</v>
      </c>
      <c r="I40" s="947">
        <f t="shared" si="2"/>
        <v>2983</v>
      </c>
      <c r="J40" s="952">
        <f>'TYL Sum'!$F$33</f>
        <v>151030010</v>
      </c>
      <c r="K40" s="947">
        <f t="shared" si="3"/>
        <v>19854</v>
      </c>
      <c r="L40" s="946">
        <f>'TYL Sum'!$G$14</f>
        <v>0</v>
      </c>
      <c r="M40" s="947">
        <f t="shared" si="4"/>
        <v>0</v>
      </c>
      <c r="N40" s="952">
        <f>'TYL Sum'!$F$53*-1</f>
        <v>10607499</v>
      </c>
      <c r="O40" s="947">
        <f t="shared" si="5"/>
        <v>1394</v>
      </c>
      <c r="P40" s="952">
        <f>'TYL Sum'!$F$28</f>
        <v>1575048</v>
      </c>
      <c r="Q40" s="947">
        <f t="shared" si="6"/>
        <v>207</v>
      </c>
      <c r="R40" s="353"/>
      <c r="S40" s="353"/>
      <c r="U40" s="528" t="str">
        <f>'TYL FGD'!$O$92</f>
        <v>Brenda Golemon</v>
      </c>
      <c r="V40" s="528" t="str">
        <f>'TYL FGD'!$Q$92</f>
        <v>903-566-7319</v>
      </c>
      <c r="W40" s="528" t="str">
        <f>'TYL FGD'!$T$92</f>
        <v>bgolemon@gmail.com</v>
      </c>
    </row>
    <row r="41" spans="1:23">
      <c r="A41" s="480">
        <v>240</v>
      </c>
      <c r="B41" s="678">
        <v>5</v>
      </c>
      <c r="C41" s="68" t="s">
        <v>696</v>
      </c>
      <c r="D41" s="68" t="s">
        <v>198</v>
      </c>
      <c r="E41" s="124">
        <f t="shared" si="1"/>
        <v>2021</v>
      </c>
      <c r="F41" s="1000">
        <v>11711</v>
      </c>
      <c r="G41" s="951">
        <f>'UHCL Sum'!$C$6</f>
        <v>6762.63</v>
      </c>
      <c r="H41" s="946">
        <f>'UHCL Sum'!$F$32</f>
        <v>10467074</v>
      </c>
      <c r="I41" s="947">
        <f t="shared" si="2"/>
        <v>1548</v>
      </c>
      <c r="J41" s="952">
        <f>'UHCL Sum'!$F$33</f>
        <v>146427721</v>
      </c>
      <c r="K41" s="947">
        <f t="shared" si="3"/>
        <v>21652</v>
      </c>
      <c r="L41" s="946">
        <f>'UHCL Sum'!$G$14</f>
        <v>7726043</v>
      </c>
      <c r="M41" s="947">
        <f t="shared" si="4"/>
        <v>1142</v>
      </c>
      <c r="N41" s="952">
        <f>'UHCL Sum'!$F$53*-1</f>
        <v>5349465</v>
      </c>
      <c r="O41" s="947">
        <f t="shared" si="5"/>
        <v>791</v>
      </c>
      <c r="P41" s="952">
        <f>'UHCL Sum'!$F$28</f>
        <v>1358094</v>
      </c>
      <c r="Q41" s="947">
        <f t="shared" si="6"/>
        <v>201</v>
      </c>
      <c r="R41" s="353"/>
      <c r="S41" s="353"/>
      <c r="U41" s="528" t="str">
        <f>'UHCL FGD'!$O$92</f>
        <v>Mila Bautista</v>
      </c>
      <c r="V41" s="528" t="str">
        <f>'UHCL FGD'!$Q$92</f>
        <v>281-283-2129</v>
      </c>
      <c r="W41" s="528" t="str">
        <f>'UHCL FGD'!$T$92</f>
        <v>BautistaM@uhcl.edu</v>
      </c>
    </row>
    <row r="42" spans="1:23">
      <c r="A42" s="480">
        <v>250</v>
      </c>
      <c r="B42" s="678">
        <v>5</v>
      </c>
      <c r="C42" s="68" t="s">
        <v>696</v>
      </c>
      <c r="D42" s="68" t="s">
        <v>200</v>
      </c>
      <c r="E42" s="124">
        <f t="shared" si="1"/>
        <v>2021</v>
      </c>
      <c r="F42" s="1000">
        <v>12826</v>
      </c>
      <c r="G42" s="951">
        <f>'UHD Sum'!$C$6</f>
        <v>11193.03</v>
      </c>
      <c r="H42" s="946">
        <f>'UHD Sum'!$F$32</f>
        <v>15179933</v>
      </c>
      <c r="I42" s="947">
        <f t="shared" si="2"/>
        <v>1356</v>
      </c>
      <c r="J42" s="952">
        <f>'UHD Sum'!$F$33</f>
        <v>194600334</v>
      </c>
      <c r="K42" s="947">
        <f t="shared" si="3"/>
        <v>17386</v>
      </c>
      <c r="L42" s="946">
        <f>'UHD Sum'!$G$14</f>
        <v>10828344</v>
      </c>
      <c r="M42" s="947">
        <f t="shared" si="4"/>
        <v>967</v>
      </c>
      <c r="N42" s="952">
        <f>'UHD Sum'!$F$53*-1</f>
        <v>12894562</v>
      </c>
      <c r="O42" s="947">
        <f t="shared" si="5"/>
        <v>1152</v>
      </c>
      <c r="P42" s="952">
        <f>'UHD Sum'!$F$28</f>
        <v>3228639</v>
      </c>
      <c r="Q42" s="947">
        <f t="shared" si="6"/>
        <v>288</v>
      </c>
      <c r="R42" s="353"/>
      <c r="S42" s="353"/>
      <c r="U42" s="528" t="str">
        <f>'UHD FGD'!$O$92</f>
        <v>Alice Tsai</v>
      </c>
      <c r="V42" s="528" t="str">
        <f>'UHD FGD'!$Q$92</f>
        <v>713-221-8098</v>
      </c>
      <c r="W42" s="528" t="str">
        <f>'UHD FGD'!$T$92</f>
        <v>Tsaia@uhd.edu</v>
      </c>
    </row>
    <row r="43" spans="1:23">
      <c r="A43" s="480">
        <v>260</v>
      </c>
      <c r="B43" s="678">
        <v>5</v>
      </c>
      <c r="C43" s="68" t="s">
        <v>696</v>
      </c>
      <c r="D43" s="68" t="s">
        <v>202</v>
      </c>
      <c r="E43" s="124">
        <f t="shared" si="1"/>
        <v>2021</v>
      </c>
      <c r="F43" s="1000">
        <v>13231</v>
      </c>
      <c r="G43" s="951">
        <f>'UHV Sum'!$C$6</f>
        <v>3604.5</v>
      </c>
      <c r="H43" s="946">
        <f>'UHV Sum'!$F$32</f>
        <v>4844551</v>
      </c>
      <c r="I43" s="947">
        <f t="shared" si="2"/>
        <v>1344</v>
      </c>
      <c r="J43" s="952">
        <f>'UHV Sum'!$F$33</f>
        <v>67271282</v>
      </c>
      <c r="K43" s="947">
        <f t="shared" si="3"/>
        <v>18663</v>
      </c>
      <c r="L43" s="946">
        <f>'UHV Sum'!$G$14</f>
        <v>3542817</v>
      </c>
      <c r="M43" s="947">
        <f t="shared" si="4"/>
        <v>983</v>
      </c>
      <c r="N43" s="952">
        <f>'UHV Sum'!$F$53*-1</f>
        <v>7706264</v>
      </c>
      <c r="O43" s="947">
        <f t="shared" si="5"/>
        <v>2138</v>
      </c>
      <c r="P43" s="952">
        <f>'UHV Sum'!$F$28</f>
        <v>1858166</v>
      </c>
      <c r="Q43" s="947">
        <f t="shared" si="6"/>
        <v>516</v>
      </c>
      <c r="R43" s="353"/>
      <c r="S43" s="353"/>
      <c r="U43" s="528" t="str">
        <f>'UHV FGD'!$O$92</f>
        <v>June Nelson</v>
      </c>
      <c r="V43" s="528" t="str">
        <f>'UHV FGD'!$Q$92</f>
        <v>361-570-4873</v>
      </c>
      <c r="W43" s="528" t="str">
        <f>'UHV FGD'!$T$92</f>
        <v>nelsonj@uhv.edu</v>
      </c>
    </row>
    <row r="44" spans="1:23">
      <c r="A44" s="480">
        <v>220</v>
      </c>
      <c r="B44" s="678">
        <v>5</v>
      </c>
      <c r="C44" s="68" t="s">
        <v>696</v>
      </c>
      <c r="D44" s="53" t="s">
        <v>204</v>
      </c>
      <c r="E44" s="124">
        <f t="shared" si="1"/>
        <v>2021</v>
      </c>
      <c r="F44" s="1000">
        <v>29269</v>
      </c>
      <c r="G44" s="951">
        <f>'TAMUT Sum'!$C$6</f>
        <v>1651.54</v>
      </c>
      <c r="H44" s="946">
        <f>'TAMUT Sum'!$F$32</f>
        <v>4366618</v>
      </c>
      <c r="I44" s="947">
        <f t="shared" si="2"/>
        <v>2644</v>
      </c>
      <c r="J44" s="952">
        <f>'TAMUT Sum'!$F$33</f>
        <v>53314900</v>
      </c>
      <c r="K44" s="947">
        <f t="shared" si="3"/>
        <v>32282</v>
      </c>
      <c r="L44" s="946">
        <f>'TAMUT Sum'!$G$14</f>
        <v>2050273</v>
      </c>
      <c r="M44" s="947">
        <f t="shared" si="4"/>
        <v>1241</v>
      </c>
      <c r="N44" s="952">
        <f>'TAMUT Sum'!$F$53*-1</f>
        <v>7676599</v>
      </c>
      <c r="O44" s="947">
        <f t="shared" si="5"/>
        <v>4648</v>
      </c>
      <c r="P44" s="952">
        <f>'TAMUT Sum'!$F$28</f>
        <v>180767</v>
      </c>
      <c r="Q44" s="947">
        <f t="shared" si="6"/>
        <v>109</v>
      </c>
      <c r="R44" s="353"/>
      <c r="S44" s="353"/>
      <c r="U44" s="528" t="str">
        <f>'TAMUT FGD'!$O$92</f>
        <v>Chris Arrington</v>
      </c>
      <c r="V44" s="528" t="str">
        <f>'TAMUT FGD'!$Q$92</f>
        <v>979-458-9151</v>
      </c>
      <c r="W44" s="528" t="str">
        <f>'TAMUT FGD'!$T$92</f>
        <v>carrington@tamus.edu</v>
      </c>
    </row>
    <row r="45" spans="1:23">
      <c r="A45" s="480">
        <v>223</v>
      </c>
      <c r="B45" s="678">
        <v>4</v>
      </c>
      <c r="C45" s="68" t="s">
        <v>1132</v>
      </c>
      <c r="D45" s="53" t="s">
        <v>278</v>
      </c>
      <c r="E45" s="124">
        <f t="shared" si="1"/>
        <v>2021</v>
      </c>
      <c r="F45" s="1000">
        <v>42295</v>
      </c>
      <c r="G45" s="951">
        <f>'TAMUCT Sum'!$C$6</f>
        <v>1606.96</v>
      </c>
      <c r="H45" s="946">
        <f>'TAMUCT Sum'!$F$32</f>
        <v>2067999</v>
      </c>
      <c r="I45" s="947">
        <f t="shared" si="2"/>
        <v>1287</v>
      </c>
      <c r="J45" s="952">
        <f>'TAMUCT Sum'!$F$33</f>
        <v>41653156</v>
      </c>
      <c r="K45" s="947">
        <f t="shared" si="3"/>
        <v>25920</v>
      </c>
      <c r="L45" s="946">
        <f>'TAMUCT Sum'!$G$14</f>
        <v>0</v>
      </c>
      <c r="M45" s="947">
        <f t="shared" si="4"/>
        <v>0</v>
      </c>
      <c r="N45" s="952">
        <f>'TAMUCT Sum'!$F$53*-1</f>
        <v>4539061</v>
      </c>
      <c r="O45" s="947">
        <f t="shared" si="5"/>
        <v>2825</v>
      </c>
      <c r="P45" s="952">
        <f>'TAMUCT Sum'!$F$28</f>
        <v>630515</v>
      </c>
      <c r="Q45" s="947">
        <f t="shared" si="6"/>
        <v>392</v>
      </c>
      <c r="R45" s="356"/>
      <c r="S45" s="356"/>
      <c r="U45" s="528" t="str">
        <f>'TAMUCT FGD'!$O$92</f>
        <v>Chris Arrington</v>
      </c>
      <c r="V45" s="528" t="str">
        <f>'TAMUCT FGD'!$Q$92</f>
        <v>979-458-9151</v>
      </c>
      <c r="W45" s="528" t="str">
        <f>'TAMUCT FGD'!$T$92</f>
        <v>fincher@tarleton.edu</v>
      </c>
    </row>
    <row r="46" spans="1:23">
      <c r="A46" s="480">
        <v>333</v>
      </c>
      <c r="B46" s="678">
        <v>4</v>
      </c>
      <c r="C46" s="68" t="s">
        <v>1132</v>
      </c>
      <c r="D46" s="56" t="s">
        <v>276</v>
      </c>
      <c r="E46" s="124">
        <f t="shared" si="1"/>
        <v>2021</v>
      </c>
      <c r="F46" s="1001">
        <v>42421</v>
      </c>
      <c r="G46" s="951">
        <f>'UNTD Sum'!$C$6</f>
        <v>3464.14</v>
      </c>
      <c r="H46" s="946">
        <f>'UNTD Sum'!$F$32</f>
        <v>3634709</v>
      </c>
      <c r="I46" s="947">
        <f t="shared" si="2"/>
        <v>1049</v>
      </c>
      <c r="J46" s="952">
        <f>'UNTD Sum'!$F$33</f>
        <v>89897586</v>
      </c>
      <c r="K46" s="947">
        <f t="shared" si="3"/>
        <v>25951</v>
      </c>
      <c r="L46" s="946">
        <f>'UNTD Sum'!$G$14</f>
        <v>3354441</v>
      </c>
      <c r="M46" s="947">
        <f t="shared" si="4"/>
        <v>968</v>
      </c>
      <c r="N46" s="952">
        <f>'UNTD Sum'!$F$53*-1</f>
        <v>0</v>
      </c>
      <c r="O46" s="947">
        <f t="shared" si="5"/>
        <v>0</v>
      </c>
      <c r="P46" s="952">
        <f>'UNTD Sum'!$F$28</f>
        <v>496242</v>
      </c>
      <c r="Q46" s="947">
        <f t="shared" si="6"/>
        <v>143</v>
      </c>
      <c r="R46" s="797"/>
      <c r="S46" s="797"/>
      <c r="U46" s="528" t="str">
        <f>'UNTD FGD'!$O$92</f>
        <v>Gia Doss</v>
      </c>
      <c r="V46" s="528">
        <f>'UNTD FGD'!$Q$92</f>
        <v>0</v>
      </c>
      <c r="W46" s="528" t="str">
        <f>'UNTD FGD'!$T$92</f>
        <v>Gia.Doss@untsystem.edu</v>
      </c>
    </row>
    <row r="47" spans="1:23">
      <c r="A47" s="480">
        <v>226</v>
      </c>
      <c r="B47" s="678">
        <v>4</v>
      </c>
      <c r="C47" s="68" t="s">
        <v>1132</v>
      </c>
      <c r="D47" s="133" t="s">
        <v>279</v>
      </c>
      <c r="E47" s="124">
        <f t="shared" si="1"/>
        <v>2021</v>
      </c>
      <c r="F47" s="1002">
        <v>103639</v>
      </c>
      <c r="G47" s="953">
        <f>'TAMUSA Sum'!$C$6</f>
        <v>4763.3599999999997</v>
      </c>
      <c r="H47" s="956">
        <f>'TAMUSA Sum'!$F$32</f>
        <v>7316614</v>
      </c>
      <c r="I47" s="947">
        <f t="shared" si="2"/>
        <v>1536</v>
      </c>
      <c r="J47" s="954">
        <f>'TAMUSA Sum'!$F$33</f>
        <v>109835007</v>
      </c>
      <c r="K47" s="947">
        <f t="shared" si="3"/>
        <v>23058</v>
      </c>
      <c r="L47" s="946">
        <f>'TAMUSA Sum'!$G$14</f>
        <v>0</v>
      </c>
      <c r="M47" s="947">
        <f t="shared" si="4"/>
        <v>0</v>
      </c>
      <c r="N47" s="954">
        <f>'TAMUSA Sum'!$F$53*-1</f>
        <v>7691832</v>
      </c>
      <c r="O47" s="947">
        <f t="shared" si="5"/>
        <v>1615</v>
      </c>
      <c r="P47" s="954">
        <f>'TAMUSA Sum'!$F$28</f>
        <v>4412454</v>
      </c>
      <c r="Q47" s="947">
        <f t="shared" si="6"/>
        <v>926</v>
      </c>
      <c r="R47" s="356"/>
      <c r="S47" s="356"/>
      <c r="U47" s="528" t="str">
        <f>'TAMUSA FGD'!$O$92</f>
        <v>Chris Arrington</v>
      </c>
      <c r="V47" s="528" t="str">
        <f>'TAMUSA FGD'!$Q$92</f>
        <v>979-458-9151</v>
      </c>
      <c r="W47" s="528" t="str">
        <f>'TAMUSA FGD'!$T$92</f>
        <v>carrington@tamus.edu</v>
      </c>
    </row>
    <row r="48" spans="1:23" ht="13.5" thickBot="1">
      <c r="A48" s="139"/>
      <c r="B48" s="139"/>
      <c r="C48" s="139"/>
      <c r="D48" s="140" t="s">
        <v>207</v>
      </c>
      <c r="E48" s="795">
        <f t="shared" si="0"/>
        <v>2021</v>
      </c>
      <c r="F48" s="911">
        <v>445566</v>
      </c>
      <c r="G48" s="955">
        <f>'Smmy Sum'!$C$42</f>
        <v>562672.70000000007</v>
      </c>
      <c r="H48" s="957">
        <f>'Smmy Sum'!$F$68</f>
        <v>3111954509</v>
      </c>
      <c r="I48" s="947">
        <f t="shared" ref="I48:K48" si="7">ROUND(H48/$G48,0)</f>
        <v>5531</v>
      </c>
      <c r="J48" s="958">
        <f>'Smmy Sum'!$F$69</f>
        <v>16134317945</v>
      </c>
      <c r="K48" s="947">
        <f t="shared" si="7"/>
        <v>28674</v>
      </c>
      <c r="L48" s="948">
        <f>'Smmy Sum'!$G$50</f>
        <v>957089015</v>
      </c>
      <c r="M48" s="947">
        <f t="shared" ref="M48" si="8">ROUND(L48/$G48,0)</f>
        <v>1701</v>
      </c>
      <c r="N48" s="958">
        <f>'Smmy Sum'!$F$89*-1</f>
        <v>642104174</v>
      </c>
      <c r="O48" s="947">
        <f t="shared" ref="O48" si="9">ROUND(N48/$G48,0)</f>
        <v>1141</v>
      </c>
      <c r="P48" s="958">
        <f>'Smmy Sum'!$F$64</f>
        <v>1102849814</v>
      </c>
      <c r="Q48" s="947">
        <f t="shared" ref="Q48" si="10">ROUND(P48/$G48,0)</f>
        <v>1960</v>
      </c>
      <c r="R48" s="798"/>
      <c r="S48" s="798"/>
      <c r="U48" s="114"/>
      <c r="V48" s="114"/>
      <c r="W48" s="114"/>
    </row>
    <row r="49" spans="1:19" s="114" customFormat="1" ht="14.25" thickTop="1" thickBot="1">
      <c r="A49" s="145"/>
      <c r="B49" s="145"/>
      <c r="C49" s="145"/>
      <c r="E49" s="139">
        <f>COUNTA(E12:E47)</f>
        <v>36</v>
      </c>
      <c r="G49" s="354"/>
      <c r="M49" s="354"/>
      <c r="R49" s="354"/>
      <c r="S49" s="354"/>
    </row>
    <row r="50" spans="1:19" s="114" customFormat="1" ht="13.5" thickTop="1">
      <c r="A50" s="145"/>
      <c r="C50" s="145"/>
      <c r="G50" s="354"/>
      <c r="M50" s="354"/>
      <c r="R50" s="354"/>
      <c r="S50" s="354"/>
    </row>
    <row r="51" spans="1:19" s="114" customFormat="1">
      <c r="A51" s="145"/>
      <c r="C51" s="145"/>
      <c r="G51" s="354"/>
      <c r="H51" s="145"/>
      <c r="I51" s="145"/>
      <c r="J51" s="145"/>
      <c r="K51" s="145"/>
      <c r="L51" s="145"/>
      <c r="M51" s="354"/>
      <c r="N51" s="145"/>
      <c r="O51" s="145"/>
      <c r="P51" s="145"/>
      <c r="Q51" s="145"/>
      <c r="R51" s="354"/>
      <c r="S51" s="354"/>
    </row>
    <row r="52" spans="1:19" s="114" customFormat="1">
      <c r="A52" s="145"/>
      <c r="B52" s="145"/>
      <c r="C52" s="145"/>
    </row>
    <row r="53" spans="1:19" s="114" customFormat="1">
      <c r="A53" s="145"/>
      <c r="B53" s="145"/>
      <c r="C53" s="145"/>
      <c r="G53" s="146"/>
    </row>
    <row r="54" spans="1:19" s="114" customFormat="1">
      <c r="A54" s="145"/>
      <c r="B54" s="145"/>
      <c r="C54" s="145"/>
    </row>
    <row r="55" spans="1:19" s="114" customFormat="1">
      <c r="A55" s="145"/>
      <c r="B55" s="145"/>
      <c r="C55" s="145"/>
    </row>
    <row r="56" spans="1:19" s="114" customFormat="1">
      <c r="A56" s="145"/>
      <c r="B56" s="145"/>
      <c r="C56" s="145"/>
    </row>
    <row r="57" spans="1:19" s="114" customFormat="1">
      <c r="A57" s="145"/>
      <c r="B57" s="145"/>
      <c r="C57" s="145"/>
    </row>
    <row r="58" spans="1:19" s="114" customFormat="1">
      <c r="A58" s="145"/>
      <c r="B58" s="145"/>
      <c r="C58" s="145"/>
    </row>
    <row r="59" spans="1:19" s="114" customFormat="1">
      <c r="A59" s="145"/>
      <c r="B59" s="145"/>
      <c r="C59" s="145"/>
    </row>
    <row r="60" spans="1:19" s="114" customFormat="1">
      <c r="A60" s="145"/>
      <c r="B60" s="145"/>
      <c r="C60" s="145"/>
    </row>
    <row r="61" spans="1:19" s="114" customFormat="1">
      <c r="A61" s="145"/>
      <c r="B61" s="145"/>
      <c r="C61" s="145"/>
    </row>
    <row r="62" spans="1:19" s="114" customFormat="1">
      <c r="A62" s="145"/>
      <c r="B62" s="145"/>
      <c r="C62" s="145"/>
    </row>
    <row r="63" spans="1:19" s="114" customFormat="1">
      <c r="A63" s="145"/>
      <c r="B63" s="145"/>
      <c r="C63" s="145"/>
    </row>
    <row r="64" spans="1:19" s="114" customFormat="1">
      <c r="A64" s="145"/>
      <c r="B64" s="145"/>
      <c r="C64" s="145"/>
    </row>
    <row r="65" spans="1:7" s="114" customFormat="1">
      <c r="A65" s="145"/>
      <c r="B65" s="145"/>
      <c r="C65" s="145"/>
      <c r="G65" s="665" t="str">
        <f>IF(SUM(G12:G47)&lt;&gt;'Smmy Sum'!$C$42,"Error","Balanced")</f>
        <v>Balanced</v>
      </c>
    </row>
    <row r="66" spans="1:7" s="114" customFormat="1">
      <c r="A66" s="145"/>
      <c r="B66" s="145"/>
      <c r="C66" s="145"/>
    </row>
    <row r="67" spans="1:7" s="114" customFormat="1">
      <c r="A67" s="145"/>
      <c r="B67" s="145"/>
      <c r="C67" s="145"/>
      <c r="G67" s="145" t="s">
        <v>1151</v>
      </c>
    </row>
    <row r="68" spans="1:7" s="114" customFormat="1">
      <c r="A68" s="145"/>
      <c r="B68" s="145"/>
      <c r="C68" s="145"/>
    </row>
    <row r="69" spans="1:7" s="114" customFormat="1">
      <c r="A69" s="145"/>
      <c r="B69" s="145"/>
      <c r="C69" s="145"/>
    </row>
    <row r="70" spans="1:7" s="114" customFormat="1">
      <c r="A70" s="145"/>
      <c r="B70" s="145"/>
      <c r="C70" s="145"/>
    </row>
    <row r="71" spans="1:7" s="114" customFormat="1" ht="13.5" thickBot="1">
      <c r="A71" s="145"/>
      <c r="B71" s="145"/>
      <c r="C71" s="145"/>
      <c r="G71" s="341">
        <v>562672.70000000007</v>
      </c>
    </row>
    <row r="72" spans="1:7" s="114" customFormat="1" ht="13.5" thickTop="1">
      <c r="A72" s="145"/>
      <c r="B72" s="145"/>
      <c r="C72" s="145"/>
    </row>
    <row r="73" spans="1:7" s="114" customFormat="1">
      <c r="A73" s="145"/>
      <c r="B73" s="145"/>
      <c r="C73" s="145"/>
      <c r="G73" s="711">
        <f>G71-G48</f>
        <v>0</v>
      </c>
    </row>
    <row r="74" spans="1:7" s="114" customFormat="1">
      <c r="A74" s="145"/>
      <c r="B74" s="145"/>
      <c r="C74" s="145"/>
    </row>
    <row r="75" spans="1:7" s="114" customFormat="1">
      <c r="A75" s="145"/>
      <c r="B75" s="145"/>
      <c r="C75" s="145"/>
    </row>
    <row r="76" spans="1:7" s="114" customFormat="1">
      <c r="A76" s="145"/>
      <c r="B76" s="145"/>
      <c r="C76" s="145"/>
      <c r="G76" s="912">
        <f t="shared" ref="G76" si="11">SUM(G11:G48)</f>
        <v>1125345.4000000001</v>
      </c>
    </row>
    <row r="77" spans="1:7" s="114" customFormat="1">
      <c r="A77" s="145"/>
      <c r="B77" s="145"/>
      <c r="C77" s="145"/>
    </row>
    <row r="78" spans="1:7" s="114" customFormat="1">
      <c r="A78" s="145"/>
      <c r="B78" s="145"/>
      <c r="C78" s="145"/>
    </row>
    <row r="79" spans="1:7" s="114" customFormat="1">
      <c r="A79" s="145"/>
      <c r="B79" s="145"/>
      <c r="C79" s="145"/>
    </row>
    <row r="80" spans="1:7" s="114" customFormat="1">
      <c r="A80" s="145"/>
      <c r="B80" s="145"/>
      <c r="C80" s="145"/>
    </row>
    <row r="81" spans="1:7" s="114" customFormat="1">
      <c r="A81" s="145"/>
      <c r="B81" s="145"/>
      <c r="C81" s="145"/>
    </row>
    <row r="82" spans="1:7" s="114" customFormat="1">
      <c r="A82" s="145"/>
      <c r="B82" s="145"/>
      <c r="C82" s="145"/>
    </row>
    <row r="83" spans="1:7" s="114" customFormat="1">
      <c r="A83" s="145"/>
      <c r="B83" s="145"/>
      <c r="C83" s="145"/>
      <c r="G83" s="891"/>
    </row>
    <row r="84" spans="1:7" s="114" customFormat="1">
      <c r="A84" s="145"/>
      <c r="B84" s="145"/>
      <c r="C84" s="145"/>
    </row>
    <row r="85" spans="1:7" s="114" customFormat="1">
      <c r="A85" s="145"/>
      <c r="B85" s="145"/>
      <c r="C85" s="145"/>
    </row>
    <row r="86" spans="1:7" s="114" customFormat="1">
      <c r="A86" s="145"/>
      <c r="B86" s="145"/>
      <c r="C86" s="145"/>
    </row>
    <row r="87" spans="1:7" s="114" customFormat="1">
      <c r="A87" s="145"/>
      <c r="B87" s="145"/>
      <c r="C87" s="145"/>
    </row>
    <row r="88" spans="1:7" s="114" customFormat="1">
      <c r="A88" s="145"/>
      <c r="B88" s="145"/>
      <c r="C88" s="145"/>
    </row>
    <row r="89" spans="1:7" s="114" customFormat="1">
      <c r="A89" s="145"/>
      <c r="B89" s="145"/>
      <c r="C89" s="145"/>
    </row>
    <row r="90" spans="1:7" s="114" customFormat="1">
      <c r="A90" s="145"/>
      <c r="B90" s="145"/>
      <c r="C90" s="145"/>
    </row>
    <row r="91" spans="1:7" s="114" customFormat="1">
      <c r="A91" s="145"/>
      <c r="B91" s="145"/>
      <c r="C91" s="145"/>
    </row>
    <row r="92" spans="1:7" s="114" customFormat="1">
      <c r="A92" s="145"/>
      <c r="B92" s="145"/>
      <c r="C92" s="145"/>
    </row>
    <row r="93" spans="1:7" s="114" customFormat="1">
      <c r="A93" s="145"/>
      <c r="B93" s="145"/>
      <c r="C93" s="145"/>
    </row>
    <row r="94" spans="1:7" s="114" customFormat="1">
      <c r="A94" s="145"/>
      <c r="B94" s="145"/>
      <c r="C94" s="145"/>
    </row>
    <row r="95" spans="1:7" s="114" customFormat="1">
      <c r="A95" s="145"/>
      <c r="B95" s="145"/>
      <c r="C95" s="145"/>
    </row>
    <row r="96" spans="1:7" s="114" customFormat="1">
      <c r="A96" s="145"/>
      <c r="B96" s="145"/>
      <c r="C96" s="145"/>
    </row>
    <row r="97" spans="1:3" s="114" customFormat="1">
      <c r="A97" s="145"/>
      <c r="B97" s="145"/>
      <c r="C97" s="145"/>
    </row>
    <row r="98" spans="1:3" s="114" customFormat="1">
      <c r="A98" s="145"/>
      <c r="B98" s="145"/>
      <c r="C98" s="145"/>
    </row>
    <row r="99" spans="1:3" s="114" customFormat="1">
      <c r="A99" s="145"/>
      <c r="B99" s="145"/>
      <c r="C99" s="145"/>
    </row>
    <row r="100" spans="1:3" s="114" customFormat="1">
      <c r="A100" s="145"/>
      <c r="B100" s="145"/>
      <c r="C100" s="145"/>
    </row>
    <row r="101" spans="1:3" s="114" customFormat="1">
      <c r="A101" s="145"/>
      <c r="B101" s="145"/>
      <c r="C101" s="145"/>
    </row>
    <row r="102" spans="1:3" s="114" customFormat="1">
      <c r="A102" s="145"/>
      <c r="B102" s="145"/>
      <c r="C102" s="145"/>
    </row>
    <row r="103" spans="1:3" s="114" customFormat="1">
      <c r="A103" s="145"/>
      <c r="B103" s="145"/>
      <c r="C103" s="145"/>
    </row>
    <row r="104" spans="1:3" s="114" customFormat="1">
      <c r="A104" s="145"/>
      <c r="B104" s="145"/>
      <c r="C104" s="145"/>
    </row>
    <row r="105" spans="1:3" s="114" customFormat="1">
      <c r="A105" s="145"/>
      <c r="B105" s="145"/>
      <c r="C105" s="145"/>
    </row>
    <row r="106" spans="1:3" s="114" customFormat="1">
      <c r="A106" s="145"/>
      <c r="B106" s="145"/>
      <c r="C106" s="145"/>
    </row>
    <row r="107" spans="1:3" s="114" customFormat="1">
      <c r="A107" s="145"/>
      <c r="B107" s="145"/>
      <c r="C107" s="145"/>
    </row>
    <row r="108" spans="1:3" s="114" customFormat="1">
      <c r="A108" s="145"/>
      <c r="B108" s="145"/>
      <c r="C108" s="145"/>
    </row>
    <row r="109" spans="1:3" s="114" customFormat="1">
      <c r="A109" s="145"/>
      <c r="B109" s="145"/>
      <c r="C109" s="145"/>
    </row>
    <row r="110" spans="1:3" s="114" customFormat="1">
      <c r="A110" s="145"/>
      <c r="B110" s="145"/>
      <c r="C110" s="145"/>
    </row>
    <row r="111" spans="1:3" s="114" customFormat="1">
      <c r="A111" s="145"/>
      <c r="B111" s="145"/>
      <c r="C111" s="145"/>
    </row>
    <row r="112" spans="1:3" s="114" customFormat="1">
      <c r="A112" s="145"/>
      <c r="B112" s="145"/>
      <c r="C112" s="145"/>
    </row>
    <row r="113" spans="1:3" s="114" customFormat="1">
      <c r="A113" s="145"/>
      <c r="B113" s="145"/>
      <c r="C113" s="145"/>
    </row>
    <row r="114" spans="1:3" s="114" customFormat="1">
      <c r="A114" s="145"/>
      <c r="B114" s="145"/>
      <c r="C114" s="145"/>
    </row>
    <row r="115" spans="1:3" s="114" customFormat="1">
      <c r="A115" s="145"/>
      <c r="B115" s="145"/>
      <c r="C115" s="145"/>
    </row>
    <row r="116" spans="1:3" s="114" customFormat="1">
      <c r="A116" s="145"/>
      <c r="B116" s="145"/>
      <c r="C116" s="145"/>
    </row>
    <row r="117" spans="1:3" s="114" customFormat="1">
      <c r="A117" s="145"/>
      <c r="B117" s="145"/>
      <c r="C117" s="145"/>
    </row>
    <row r="118" spans="1:3" s="114" customFormat="1">
      <c r="A118" s="145"/>
      <c r="B118" s="145"/>
      <c r="C118" s="145"/>
    </row>
    <row r="119" spans="1:3" s="114" customFormat="1">
      <c r="A119" s="145"/>
      <c r="B119" s="145"/>
      <c r="C119" s="145"/>
    </row>
    <row r="120" spans="1:3" s="114" customFormat="1">
      <c r="A120" s="145"/>
      <c r="B120" s="145"/>
      <c r="C120" s="145"/>
    </row>
    <row r="121" spans="1:3" s="114" customFormat="1">
      <c r="A121" s="145"/>
      <c r="B121" s="145"/>
      <c r="C121" s="145"/>
    </row>
    <row r="122" spans="1:3" s="114" customFormat="1">
      <c r="A122" s="145"/>
      <c r="B122" s="145"/>
      <c r="C122" s="145"/>
    </row>
    <row r="123" spans="1:3" s="114" customFormat="1">
      <c r="A123" s="145"/>
      <c r="B123" s="145"/>
      <c r="C123" s="145"/>
    </row>
    <row r="124" spans="1:3" s="114" customFormat="1">
      <c r="A124" s="145"/>
      <c r="B124" s="145"/>
      <c r="C124" s="145"/>
    </row>
    <row r="125" spans="1:3" s="114" customFormat="1">
      <c r="A125" s="145"/>
      <c r="B125" s="145"/>
      <c r="C125" s="145"/>
    </row>
    <row r="126" spans="1:3" s="114" customFormat="1">
      <c r="A126" s="145"/>
      <c r="B126" s="145"/>
      <c r="C126" s="145"/>
    </row>
    <row r="127" spans="1:3" s="114" customFormat="1">
      <c r="A127" s="145"/>
      <c r="B127" s="145"/>
      <c r="C127" s="145"/>
    </row>
    <row r="128" spans="1:3" s="114" customFormat="1">
      <c r="A128" s="145"/>
      <c r="B128" s="145"/>
      <c r="C128" s="145"/>
    </row>
    <row r="129" spans="1:3" s="114" customFormat="1">
      <c r="A129" s="145"/>
      <c r="B129" s="145"/>
      <c r="C129" s="145"/>
    </row>
    <row r="130" spans="1:3" s="114" customFormat="1">
      <c r="A130" s="145"/>
      <c r="B130" s="145"/>
      <c r="C130" s="145"/>
    </row>
    <row r="131" spans="1:3" s="114" customFormat="1">
      <c r="A131" s="145"/>
      <c r="B131" s="145"/>
      <c r="C131" s="145"/>
    </row>
    <row r="132" spans="1:3" s="114" customFormat="1">
      <c r="A132" s="145"/>
      <c r="B132" s="145"/>
      <c r="C132" s="145"/>
    </row>
    <row r="133" spans="1:3" s="114" customFormat="1">
      <c r="A133" s="145"/>
      <c r="B133" s="145"/>
      <c r="C133" s="145"/>
    </row>
    <row r="134" spans="1:3" s="114" customFormat="1">
      <c r="A134" s="145"/>
      <c r="B134" s="145"/>
      <c r="C134" s="145"/>
    </row>
    <row r="135" spans="1:3" s="114" customFormat="1">
      <c r="A135" s="145"/>
      <c r="B135" s="145"/>
      <c r="C135" s="145"/>
    </row>
    <row r="136" spans="1:3" s="114" customFormat="1">
      <c r="A136" s="145"/>
      <c r="B136" s="145"/>
      <c r="C136" s="145"/>
    </row>
    <row r="137" spans="1:3" s="114" customFormat="1">
      <c r="A137" s="145"/>
      <c r="B137" s="145"/>
      <c r="C137" s="145"/>
    </row>
    <row r="138" spans="1:3" s="114" customFormat="1">
      <c r="A138" s="145"/>
      <c r="B138" s="145"/>
      <c r="C138" s="145"/>
    </row>
    <row r="139" spans="1:3" s="114" customFormat="1">
      <c r="A139" s="145"/>
      <c r="B139" s="145"/>
      <c r="C139" s="145"/>
    </row>
    <row r="140" spans="1:3" s="114" customFormat="1">
      <c r="A140" s="145"/>
      <c r="B140" s="145"/>
      <c r="C140" s="145"/>
    </row>
    <row r="141" spans="1:3" s="114" customFormat="1">
      <c r="A141" s="145"/>
      <c r="B141" s="145"/>
      <c r="C141" s="145"/>
    </row>
    <row r="142" spans="1:3" s="114" customFormat="1">
      <c r="A142" s="145"/>
      <c r="B142" s="145"/>
      <c r="C142" s="145"/>
    </row>
    <row r="143" spans="1:3" s="114" customFormat="1">
      <c r="A143" s="145"/>
      <c r="B143" s="145"/>
      <c r="C143" s="145"/>
    </row>
    <row r="144" spans="1:3" s="114" customFormat="1">
      <c r="A144" s="145"/>
      <c r="B144" s="145"/>
      <c r="C144" s="145"/>
    </row>
    <row r="145" spans="1:3" s="114" customFormat="1">
      <c r="A145" s="145"/>
      <c r="B145" s="145"/>
      <c r="C145" s="145"/>
    </row>
    <row r="146" spans="1:3" s="114" customFormat="1">
      <c r="A146" s="145"/>
      <c r="B146" s="145"/>
      <c r="C146" s="145"/>
    </row>
    <row r="147" spans="1:3" s="114" customFormat="1">
      <c r="A147" s="145"/>
      <c r="B147" s="145"/>
      <c r="C147" s="145"/>
    </row>
    <row r="148" spans="1:3" s="114" customFormat="1">
      <c r="A148" s="145"/>
      <c r="B148" s="145"/>
      <c r="C148" s="145"/>
    </row>
    <row r="149" spans="1:3" s="114" customFormat="1">
      <c r="A149" s="145"/>
      <c r="B149" s="145"/>
      <c r="C149" s="145"/>
    </row>
    <row r="150" spans="1:3" s="114" customFormat="1">
      <c r="A150" s="145"/>
      <c r="B150" s="145"/>
      <c r="C150" s="145"/>
    </row>
    <row r="151" spans="1:3" s="114" customFormat="1">
      <c r="A151" s="145"/>
      <c r="B151" s="145"/>
      <c r="C151" s="145"/>
    </row>
    <row r="152" spans="1:3" s="114" customFormat="1">
      <c r="A152" s="145"/>
      <c r="B152" s="145"/>
      <c r="C152" s="145"/>
    </row>
    <row r="153" spans="1:3" s="114" customFormat="1">
      <c r="A153" s="145"/>
      <c r="B153" s="145"/>
      <c r="C153" s="145"/>
    </row>
    <row r="154" spans="1:3" s="114" customFormat="1">
      <c r="A154" s="145"/>
      <c r="B154" s="145"/>
      <c r="C154" s="145"/>
    </row>
    <row r="155" spans="1:3" s="114" customFormat="1">
      <c r="A155" s="145"/>
      <c r="B155" s="145"/>
      <c r="C155" s="145"/>
    </row>
    <row r="156" spans="1:3" s="114" customFormat="1">
      <c r="A156" s="145"/>
      <c r="B156" s="145"/>
      <c r="C156" s="145"/>
    </row>
    <row r="157" spans="1:3" s="114" customFormat="1">
      <c r="A157" s="145"/>
      <c r="B157" s="145"/>
      <c r="C157" s="145"/>
    </row>
    <row r="158" spans="1:3" s="114" customFormat="1">
      <c r="A158" s="145"/>
      <c r="B158" s="145"/>
      <c r="C158" s="145"/>
    </row>
    <row r="159" spans="1:3" s="114" customFormat="1">
      <c r="A159" s="145"/>
      <c r="B159" s="145"/>
      <c r="C159" s="145"/>
    </row>
    <row r="160" spans="1:3" s="114" customFormat="1">
      <c r="A160" s="145"/>
      <c r="B160" s="145"/>
      <c r="C160" s="145"/>
    </row>
    <row r="161" spans="1:3" s="114" customFormat="1">
      <c r="A161" s="145"/>
      <c r="B161" s="145"/>
      <c r="C161" s="145"/>
    </row>
    <row r="162" spans="1:3" s="114" customFormat="1">
      <c r="A162" s="145"/>
      <c r="B162" s="145"/>
      <c r="C162" s="145"/>
    </row>
    <row r="163" spans="1:3" s="114" customFormat="1">
      <c r="A163" s="145"/>
      <c r="B163" s="145"/>
      <c r="C163" s="145"/>
    </row>
    <row r="164" spans="1:3" s="114" customFormat="1">
      <c r="A164" s="145"/>
      <c r="B164" s="145"/>
      <c r="C164" s="145"/>
    </row>
    <row r="165" spans="1:3" s="114" customFormat="1">
      <c r="A165" s="145"/>
      <c r="B165" s="145"/>
      <c r="C165" s="145"/>
    </row>
    <row r="166" spans="1:3" s="114" customFormat="1">
      <c r="A166" s="145"/>
      <c r="B166" s="145"/>
      <c r="C166" s="145"/>
    </row>
    <row r="167" spans="1:3" s="114" customFormat="1">
      <c r="A167" s="145"/>
      <c r="B167" s="145"/>
      <c r="C167" s="145"/>
    </row>
    <row r="168" spans="1:3" s="114" customFormat="1">
      <c r="A168" s="145"/>
      <c r="B168" s="145"/>
      <c r="C168" s="145"/>
    </row>
    <row r="169" spans="1:3" s="114" customFormat="1">
      <c r="A169" s="145"/>
      <c r="B169" s="145"/>
      <c r="C169" s="145"/>
    </row>
    <row r="170" spans="1:3" s="114" customFormat="1">
      <c r="A170" s="145"/>
      <c r="B170" s="145"/>
      <c r="C170" s="145"/>
    </row>
    <row r="171" spans="1:3" s="114" customFormat="1">
      <c r="A171" s="145"/>
      <c r="B171" s="145"/>
      <c r="C171" s="145"/>
    </row>
    <row r="172" spans="1:3" s="114" customFormat="1">
      <c r="A172" s="145"/>
      <c r="B172" s="145"/>
      <c r="C172" s="145"/>
    </row>
    <row r="173" spans="1:3" s="114" customFormat="1">
      <c r="A173" s="145"/>
      <c r="B173" s="145"/>
      <c r="C173" s="145"/>
    </row>
    <row r="174" spans="1:3" s="114" customFormat="1">
      <c r="A174" s="145"/>
      <c r="B174" s="145"/>
      <c r="C174" s="145"/>
    </row>
    <row r="175" spans="1:3" s="114" customFormat="1">
      <c r="A175" s="145"/>
      <c r="B175" s="145"/>
      <c r="C175" s="145"/>
    </row>
    <row r="176" spans="1:3" s="114" customFormat="1">
      <c r="A176" s="145"/>
      <c r="B176" s="145"/>
      <c r="C176" s="145"/>
    </row>
    <row r="177" spans="1:3" s="114" customFormat="1">
      <c r="A177" s="145"/>
      <c r="B177" s="145"/>
      <c r="C177" s="145"/>
    </row>
    <row r="178" spans="1:3" s="114" customFormat="1">
      <c r="A178" s="145"/>
      <c r="B178" s="145"/>
      <c r="C178" s="145"/>
    </row>
    <row r="179" spans="1:3" s="114" customFormat="1">
      <c r="A179" s="145"/>
      <c r="B179" s="145"/>
      <c r="C179" s="145"/>
    </row>
    <row r="180" spans="1:3" s="114" customFormat="1">
      <c r="A180" s="145"/>
      <c r="B180" s="145"/>
      <c r="C180" s="145"/>
    </row>
    <row r="181" spans="1:3" s="114" customFormat="1">
      <c r="A181" s="145"/>
      <c r="B181" s="145"/>
      <c r="C181" s="145"/>
    </row>
    <row r="182" spans="1:3" s="114" customFormat="1">
      <c r="A182" s="145"/>
      <c r="B182" s="145"/>
      <c r="C182" s="145"/>
    </row>
    <row r="183" spans="1:3" s="114" customFormat="1">
      <c r="A183" s="145"/>
      <c r="B183" s="145"/>
      <c r="C183" s="145"/>
    </row>
    <row r="184" spans="1:3" s="114" customFormat="1">
      <c r="A184" s="145"/>
      <c r="B184" s="145"/>
      <c r="C184" s="145"/>
    </row>
    <row r="185" spans="1:3" s="114" customFormat="1">
      <c r="A185" s="145"/>
      <c r="B185" s="145"/>
      <c r="C185" s="145"/>
    </row>
    <row r="186" spans="1:3" s="114" customFormat="1">
      <c r="A186" s="145"/>
      <c r="B186" s="145"/>
      <c r="C186" s="145"/>
    </row>
    <row r="187" spans="1:3" s="114" customFormat="1">
      <c r="A187" s="145"/>
      <c r="B187" s="145"/>
      <c r="C187" s="145"/>
    </row>
    <row r="188" spans="1:3" s="114" customFormat="1">
      <c r="A188" s="145"/>
      <c r="B188" s="145"/>
      <c r="C188" s="145"/>
    </row>
    <row r="189" spans="1:3" s="114" customFormat="1">
      <c r="A189" s="145"/>
      <c r="B189" s="145"/>
      <c r="C189" s="145"/>
    </row>
    <row r="190" spans="1:3" s="114" customFormat="1">
      <c r="A190" s="145"/>
      <c r="B190" s="145"/>
      <c r="C190" s="145"/>
    </row>
    <row r="191" spans="1:3" s="114" customFormat="1">
      <c r="A191" s="145"/>
      <c r="B191" s="145"/>
      <c r="C191" s="145"/>
    </row>
    <row r="192" spans="1:3" s="114" customFormat="1">
      <c r="A192" s="145"/>
      <c r="B192" s="145"/>
      <c r="C192" s="145"/>
    </row>
    <row r="193" spans="1:3" s="114" customFormat="1">
      <c r="A193" s="145"/>
      <c r="B193" s="145"/>
      <c r="C193" s="145"/>
    </row>
    <row r="194" spans="1:3" s="114" customFormat="1">
      <c r="A194" s="145"/>
      <c r="B194" s="145"/>
      <c r="C194" s="145"/>
    </row>
    <row r="195" spans="1:3" s="114" customFormat="1">
      <c r="A195" s="145"/>
      <c r="B195" s="145"/>
      <c r="C195" s="145"/>
    </row>
    <row r="196" spans="1:3" s="114" customFormat="1">
      <c r="A196" s="145"/>
      <c r="B196" s="145"/>
      <c r="C196" s="145"/>
    </row>
    <row r="197" spans="1:3" s="114" customFormat="1">
      <c r="A197" s="145"/>
      <c r="B197" s="145"/>
      <c r="C197" s="145"/>
    </row>
    <row r="198" spans="1:3" s="114" customFormat="1">
      <c r="A198" s="145"/>
      <c r="B198" s="145"/>
      <c r="C198" s="145"/>
    </row>
    <row r="199" spans="1:3" s="114" customFormat="1">
      <c r="A199" s="145"/>
      <c r="B199" s="145"/>
      <c r="C199" s="145"/>
    </row>
    <row r="200" spans="1:3" s="114" customFormat="1">
      <c r="A200" s="145"/>
      <c r="B200" s="145"/>
      <c r="C200" s="145"/>
    </row>
    <row r="201" spans="1:3" s="114" customFormat="1">
      <c r="A201" s="145"/>
      <c r="B201" s="145"/>
      <c r="C201" s="145"/>
    </row>
    <row r="202" spans="1:3" s="114" customFormat="1">
      <c r="A202" s="145"/>
      <c r="B202" s="145"/>
      <c r="C202" s="145"/>
    </row>
    <row r="203" spans="1:3" s="114" customFormat="1">
      <c r="A203" s="145"/>
      <c r="B203" s="145"/>
      <c r="C203" s="145"/>
    </row>
    <row r="204" spans="1:3" s="114" customFormat="1">
      <c r="A204" s="145"/>
      <c r="B204" s="145"/>
      <c r="C204" s="145"/>
    </row>
    <row r="205" spans="1:3" s="114" customFormat="1">
      <c r="A205" s="145"/>
      <c r="B205" s="145"/>
      <c r="C205" s="145"/>
    </row>
    <row r="206" spans="1:3" s="114" customFormat="1">
      <c r="A206" s="145"/>
      <c r="B206" s="145"/>
      <c r="C206" s="145"/>
    </row>
    <row r="207" spans="1:3" s="114" customFormat="1">
      <c r="A207" s="145"/>
      <c r="B207" s="145"/>
      <c r="C207" s="145"/>
    </row>
    <row r="208" spans="1:3" s="114" customFormat="1">
      <c r="A208" s="145"/>
      <c r="B208" s="145"/>
      <c r="C208" s="145"/>
    </row>
    <row r="209" spans="1:3" s="114" customFormat="1">
      <c r="A209" s="145"/>
      <c r="B209" s="145"/>
      <c r="C209" s="145"/>
    </row>
    <row r="210" spans="1:3" s="114" customFormat="1">
      <c r="A210" s="145"/>
      <c r="B210" s="145"/>
      <c r="C210" s="145"/>
    </row>
    <row r="211" spans="1:3" s="114" customFormat="1">
      <c r="A211" s="145"/>
      <c r="B211" s="145"/>
      <c r="C211" s="145"/>
    </row>
    <row r="212" spans="1:3" s="114" customFormat="1">
      <c r="A212" s="145"/>
      <c r="B212" s="145"/>
      <c r="C212" s="145"/>
    </row>
    <row r="213" spans="1:3" s="114" customFormat="1">
      <c r="A213" s="145"/>
      <c r="B213" s="145"/>
      <c r="C213" s="145"/>
    </row>
    <row r="214" spans="1:3" s="114" customFormat="1">
      <c r="A214" s="145"/>
      <c r="B214" s="145"/>
      <c r="C214" s="145"/>
    </row>
    <row r="215" spans="1:3" s="114" customFormat="1">
      <c r="A215" s="145"/>
      <c r="B215" s="145"/>
      <c r="C215" s="145"/>
    </row>
    <row r="216" spans="1:3" s="114" customFormat="1">
      <c r="A216" s="145"/>
      <c r="B216" s="145"/>
      <c r="C216" s="145"/>
    </row>
    <row r="217" spans="1:3" s="114" customFormat="1">
      <c r="A217" s="145"/>
      <c r="B217" s="145"/>
      <c r="C217" s="145"/>
    </row>
    <row r="218" spans="1:3" s="114" customFormat="1">
      <c r="A218" s="145"/>
      <c r="B218" s="145"/>
      <c r="C218" s="145"/>
    </row>
    <row r="219" spans="1:3" s="114" customFormat="1">
      <c r="A219" s="145"/>
      <c r="B219" s="145"/>
      <c r="C219" s="145"/>
    </row>
    <row r="220" spans="1:3" s="114" customFormat="1">
      <c r="A220" s="145"/>
      <c r="B220" s="145"/>
      <c r="C220" s="145"/>
    </row>
    <row r="221" spans="1:3" s="114" customFormat="1">
      <c r="A221" s="145"/>
      <c r="B221" s="145"/>
      <c r="C221" s="145"/>
    </row>
    <row r="222" spans="1:3" s="114" customFormat="1">
      <c r="A222" s="145"/>
      <c r="B222" s="145"/>
      <c r="C222" s="145"/>
    </row>
    <row r="223" spans="1:3" s="114" customFormat="1">
      <c r="A223" s="145"/>
      <c r="B223" s="145"/>
      <c r="C223" s="145"/>
    </row>
    <row r="224" spans="1:3" s="114" customFormat="1">
      <c r="A224" s="145"/>
      <c r="B224" s="145"/>
      <c r="C224" s="145"/>
    </row>
    <row r="225" spans="1:3" s="114" customFormat="1">
      <c r="A225" s="145"/>
      <c r="B225" s="145"/>
      <c r="C225" s="145"/>
    </row>
    <row r="226" spans="1:3" s="114" customFormat="1">
      <c r="A226" s="145"/>
      <c r="B226" s="145"/>
      <c r="C226" s="145"/>
    </row>
    <row r="227" spans="1:3" s="114" customFormat="1">
      <c r="A227" s="145"/>
      <c r="B227" s="145"/>
      <c r="C227" s="145"/>
    </row>
    <row r="228" spans="1:3" s="114" customFormat="1">
      <c r="A228" s="145"/>
      <c r="B228" s="145"/>
      <c r="C228" s="145"/>
    </row>
    <row r="229" spans="1:3" s="114" customFormat="1">
      <c r="A229" s="145"/>
      <c r="B229" s="145"/>
      <c r="C229" s="145"/>
    </row>
    <row r="230" spans="1:3" s="114" customFormat="1">
      <c r="A230" s="145"/>
      <c r="B230" s="145"/>
      <c r="C230" s="145"/>
    </row>
    <row r="231" spans="1:3" s="114" customFormat="1">
      <c r="A231" s="145"/>
      <c r="B231" s="145"/>
      <c r="C231" s="145"/>
    </row>
    <row r="232" spans="1:3" s="114" customFormat="1">
      <c r="A232" s="145"/>
      <c r="B232" s="145"/>
      <c r="C232" s="145"/>
    </row>
    <row r="233" spans="1:3" s="114" customFormat="1">
      <c r="A233" s="145"/>
      <c r="B233" s="145"/>
      <c r="C233" s="145"/>
    </row>
    <row r="234" spans="1:3" s="114" customFormat="1">
      <c r="A234" s="145"/>
      <c r="B234" s="145"/>
      <c r="C234" s="145"/>
    </row>
    <row r="235" spans="1:3" s="114" customFormat="1">
      <c r="A235" s="145"/>
      <c r="B235" s="145"/>
      <c r="C235" s="145"/>
    </row>
    <row r="236" spans="1:3" s="114" customFormat="1">
      <c r="A236" s="145"/>
      <c r="B236" s="145"/>
      <c r="C236" s="145"/>
    </row>
    <row r="237" spans="1:3" s="114" customFormat="1">
      <c r="A237" s="145"/>
      <c r="B237" s="145"/>
      <c r="C237" s="145"/>
    </row>
    <row r="238" spans="1:3" s="114" customFormat="1">
      <c r="A238" s="145"/>
      <c r="B238" s="145"/>
      <c r="C238" s="145"/>
    </row>
    <row r="239" spans="1:3" s="114" customFormat="1">
      <c r="A239" s="145"/>
      <c r="B239" s="145"/>
      <c r="C239" s="145"/>
    </row>
    <row r="240" spans="1:3" s="114" customFormat="1">
      <c r="A240" s="145"/>
      <c r="B240" s="145"/>
      <c r="C240" s="145"/>
    </row>
    <row r="241" spans="1:3" s="114" customFormat="1">
      <c r="A241" s="145"/>
      <c r="B241" s="145"/>
      <c r="C241" s="145"/>
    </row>
    <row r="242" spans="1:3" s="114" customFormat="1">
      <c r="A242" s="145"/>
      <c r="B242" s="145"/>
      <c r="C242" s="145"/>
    </row>
    <row r="243" spans="1:3" s="114" customFormat="1">
      <c r="A243" s="145"/>
      <c r="B243" s="145"/>
      <c r="C243" s="145"/>
    </row>
    <row r="244" spans="1:3" s="114" customFormat="1">
      <c r="A244" s="145"/>
      <c r="B244" s="145"/>
      <c r="C244" s="145"/>
    </row>
    <row r="245" spans="1:3" s="114" customFormat="1">
      <c r="A245" s="145"/>
      <c r="B245" s="145"/>
      <c r="C245" s="145"/>
    </row>
    <row r="246" spans="1:3" s="114" customFormat="1">
      <c r="A246" s="145"/>
      <c r="B246" s="145"/>
      <c r="C246" s="145"/>
    </row>
    <row r="247" spans="1:3" s="114" customFormat="1">
      <c r="A247" s="145"/>
      <c r="B247" s="145"/>
      <c r="C247" s="145"/>
    </row>
    <row r="248" spans="1:3" s="114" customFormat="1">
      <c r="A248" s="145"/>
      <c r="B248" s="145"/>
      <c r="C248" s="145"/>
    </row>
    <row r="249" spans="1:3" s="114" customFormat="1">
      <c r="A249" s="145"/>
      <c r="B249" s="145"/>
      <c r="C249" s="145"/>
    </row>
    <row r="250" spans="1:3" s="114" customFormat="1">
      <c r="A250" s="145"/>
      <c r="B250" s="145"/>
      <c r="C250" s="145"/>
    </row>
    <row r="251" spans="1:3" s="114" customFormat="1">
      <c r="A251" s="145"/>
      <c r="B251" s="145"/>
      <c r="C251" s="145"/>
    </row>
    <row r="252" spans="1:3" s="114" customFormat="1">
      <c r="A252" s="145"/>
      <c r="B252" s="145"/>
      <c r="C252" s="145"/>
    </row>
    <row r="253" spans="1:3" s="114" customFormat="1">
      <c r="A253" s="145"/>
      <c r="B253" s="145"/>
      <c r="C253" s="145"/>
    </row>
    <row r="254" spans="1:3" s="114" customFormat="1">
      <c r="A254" s="145"/>
      <c r="B254" s="145"/>
      <c r="C254" s="145"/>
    </row>
    <row r="255" spans="1:3" s="114" customFormat="1">
      <c r="A255" s="145"/>
      <c r="B255" s="145"/>
      <c r="C255" s="145"/>
    </row>
    <row r="256" spans="1:3" s="114" customFormat="1">
      <c r="A256" s="145"/>
      <c r="B256" s="145"/>
      <c r="C256" s="145"/>
    </row>
    <row r="257" spans="1:3" s="114" customFormat="1">
      <c r="A257" s="145"/>
      <c r="B257" s="145"/>
      <c r="C257" s="145"/>
    </row>
    <row r="258" spans="1:3" s="114" customFormat="1">
      <c r="A258" s="145"/>
      <c r="B258" s="145"/>
      <c r="C258" s="145"/>
    </row>
    <row r="259" spans="1:3" s="114" customFormat="1">
      <c r="A259" s="145"/>
      <c r="B259" s="145"/>
      <c r="C259" s="145"/>
    </row>
    <row r="260" spans="1:3" s="114" customFormat="1">
      <c r="A260" s="145"/>
      <c r="B260" s="145"/>
      <c r="C260" s="145"/>
    </row>
    <row r="261" spans="1:3" s="114" customFormat="1">
      <c r="A261" s="145"/>
      <c r="B261" s="145"/>
      <c r="C261" s="145"/>
    </row>
    <row r="262" spans="1:3" s="114" customFormat="1">
      <c r="A262" s="145"/>
      <c r="B262" s="145"/>
      <c r="C262" s="145"/>
    </row>
    <row r="263" spans="1:3" s="114" customFormat="1">
      <c r="A263" s="145"/>
      <c r="B263" s="145"/>
      <c r="C263" s="145"/>
    </row>
    <row r="264" spans="1:3" s="114" customFormat="1">
      <c r="A264" s="145"/>
      <c r="B264" s="145"/>
      <c r="C264" s="145"/>
    </row>
    <row r="265" spans="1:3" s="114" customFormat="1">
      <c r="A265" s="145"/>
      <c r="B265" s="145"/>
      <c r="C265" s="145"/>
    </row>
    <row r="266" spans="1:3" s="114" customFormat="1">
      <c r="A266" s="145"/>
      <c r="B266" s="145"/>
      <c r="C266" s="145"/>
    </row>
    <row r="267" spans="1:3" s="114" customFormat="1">
      <c r="A267" s="145"/>
      <c r="B267" s="145"/>
      <c r="C267" s="145"/>
    </row>
    <row r="268" spans="1:3" s="114" customFormat="1">
      <c r="A268" s="145"/>
      <c r="B268" s="145"/>
      <c r="C268" s="145"/>
    </row>
    <row r="269" spans="1:3" s="114" customFormat="1">
      <c r="A269" s="145"/>
      <c r="B269" s="145"/>
      <c r="C269" s="145"/>
    </row>
    <row r="270" spans="1:3" s="114" customFormat="1">
      <c r="A270" s="145"/>
      <c r="B270" s="145"/>
      <c r="C270" s="145"/>
    </row>
    <row r="271" spans="1:3" s="114" customFormat="1">
      <c r="A271" s="145"/>
      <c r="B271" s="145"/>
      <c r="C271" s="145"/>
    </row>
    <row r="272" spans="1:3" s="114" customFormat="1">
      <c r="A272" s="145"/>
      <c r="B272" s="145"/>
      <c r="C272" s="145"/>
    </row>
    <row r="273" spans="1:3" s="114" customFormat="1">
      <c r="A273" s="145"/>
      <c r="B273" s="145"/>
      <c r="C273" s="145"/>
    </row>
    <row r="274" spans="1:3" s="114" customFormat="1">
      <c r="A274" s="145"/>
      <c r="B274" s="145"/>
      <c r="C274" s="145"/>
    </row>
    <row r="275" spans="1:3" s="114" customFormat="1">
      <c r="A275" s="145"/>
      <c r="B275" s="145"/>
      <c r="C275" s="145"/>
    </row>
    <row r="276" spans="1:3" s="114" customFormat="1">
      <c r="A276" s="145"/>
      <c r="B276" s="145"/>
      <c r="C276" s="145"/>
    </row>
    <row r="277" spans="1:3" s="114" customFormat="1">
      <c r="A277" s="145"/>
      <c r="B277" s="145"/>
      <c r="C277" s="145"/>
    </row>
    <row r="278" spans="1:3" s="114" customFormat="1">
      <c r="A278" s="145"/>
      <c r="B278" s="145"/>
      <c r="C278" s="145"/>
    </row>
    <row r="279" spans="1:3" s="114" customFormat="1">
      <c r="A279" s="145"/>
      <c r="B279" s="145"/>
      <c r="C279" s="145"/>
    </row>
    <row r="280" spans="1:3" s="114" customFormat="1">
      <c r="A280" s="145"/>
      <c r="B280" s="145"/>
      <c r="C280" s="145"/>
    </row>
    <row r="281" spans="1:3" s="114" customFormat="1">
      <c r="A281" s="145"/>
      <c r="B281" s="145"/>
      <c r="C281" s="145"/>
    </row>
    <row r="282" spans="1:3" s="114" customFormat="1">
      <c r="A282" s="145"/>
      <c r="B282" s="145"/>
      <c r="C282" s="145"/>
    </row>
    <row r="283" spans="1:3" s="114" customFormat="1">
      <c r="A283" s="145"/>
      <c r="B283" s="145"/>
      <c r="C283" s="145"/>
    </row>
    <row r="284" spans="1:3" s="114" customFormat="1">
      <c r="A284" s="145"/>
      <c r="B284" s="145"/>
      <c r="C284" s="145"/>
    </row>
    <row r="285" spans="1:3" s="114" customFormat="1">
      <c r="A285" s="145"/>
      <c r="B285" s="145"/>
      <c r="C285" s="145"/>
    </row>
    <row r="286" spans="1:3" s="114" customFormat="1">
      <c r="A286" s="145"/>
      <c r="B286" s="145"/>
      <c r="C286" s="145"/>
    </row>
    <row r="287" spans="1:3" s="114" customFormat="1">
      <c r="A287" s="145"/>
      <c r="B287" s="145"/>
      <c r="C287" s="145"/>
    </row>
    <row r="288" spans="1:3" s="114" customFormat="1">
      <c r="A288" s="145"/>
      <c r="B288" s="145"/>
      <c r="C288" s="145"/>
    </row>
    <row r="289" spans="1:3" s="114" customFormat="1">
      <c r="A289" s="145"/>
      <c r="B289" s="145"/>
      <c r="C289" s="145"/>
    </row>
    <row r="290" spans="1:3" s="114" customFormat="1">
      <c r="A290" s="145"/>
      <c r="B290" s="145"/>
      <c r="C290" s="145"/>
    </row>
    <row r="291" spans="1:3" s="114" customFormat="1">
      <c r="A291" s="145"/>
      <c r="B291" s="145"/>
      <c r="C291" s="145"/>
    </row>
    <row r="292" spans="1:3" s="114" customFormat="1">
      <c r="A292" s="145"/>
      <c r="B292" s="145"/>
      <c r="C292" s="145"/>
    </row>
    <row r="293" spans="1:3" s="114" customFormat="1">
      <c r="A293" s="145"/>
      <c r="B293" s="145"/>
      <c r="C293" s="145"/>
    </row>
    <row r="294" spans="1:3" s="114" customFormat="1">
      <c r="A294" s="145"/>
      <c r="B294" s="145"/>
      <c r="C294" s="145"/>
    </row>
    <row r="295" spans="1:3" s="114" customFormat="1">
      <c r="A295" s="145"/>
      <c r="B295" s="145"/>
      <c r="C295" s="145"/>
    </row>
    <row r="296" spans="1:3" s="114" customFormat="1">
      <c r="A296" s="145"/>
      <c r="B296" s="145"/>
      <c r="C296" s="145"/>
    </row>
    <row r="297" spans="1:3" s="114" customFormat="1">
      <c r="A297" s="145"/>
      <c r="B297" s="145"/>
      <c r="C297" s="145"/>
    </row>
    <row r="298" spans="1:3" s="114" customFormat="1">
      <c r="A298" s="145"/>
      <c r="B298" s="145"/>
      <c r="C298" s="145"/>
    </row>
    <row r="299" spans="1:3" s="114" customFormat="1">
      <c r="A299" s="145"/>
      <c r="B299" s="145"/>
      <c r="C299" s="145"/>
    </row>
    <row r="300" spans="1:3" s="114" customFormat="1">
      <c r="A300" s="145"/>
      <c r="B300" s="145"/>
      <c r="C300" s="145"/>
    </row>
    <row r="301" spans="1:3" s="114" customFormat="1">
      <c r="A301" s="145"/>
      <c r="B301" s="145"/>
      <c r="C301" s="145"/>
    </row>
    <row r="302" spans="1:3" s="114" customFormat="1">
      <c r="A302" s="145"/>
      <c r="B302" s="145"/>
      <c r="C302" s="145"/>
    </row>
    <row r="303" spans="1:3" s="114" customFormat="1">
      <c r="A303" s="145"/>
      <c r="B303" s="145"/>
      <c r="C303" s="145"/>
    </row>
    <row r="304" spans="1:3" s="114" customFormat="1">
      <c r="A304" s="145"/>
      <c r="B304" s="145"/>
      <c r="C304" s="145"/>
    </row>
    <row r="305" spans="1:3" s="114" customFormat="1">
      <c r="A305" s="145"/>
      <c r="B305" s="145"/>
      <c r="C305" s="145"/>
    </row>
    <row r="306" spans="1:3" s="114" customFormat="1">
      <c r="A306" s="145"/>
      <c r="B306" s="145"/>
      <c r="C306" s="145"/>
    </row>
    <row r="307" spans="1:3" s="114" customFormat="1">
      <c r="A307" s="145"/>
      <c r="B307" s="145"/>
      <c r="C307" s="145"/>
    </row>
    <row r="308" spans="1:3" s="114" customFormat="1">
      <c r="A308" s="145"/>
      <c r="B308" s="145"/>
      <c r="C308" s="145"/>
    </row>
    <row r="309" spans="1:3" s="114" customFormat="1">
      <c r="A309" s="145"/>
      <c r="B309" s="145"/>
      <c r="C309" s="145"/>
    </row>
    <row r="310" spans="1:3" s="114" customFormat="1">
      <c r="A310" s="145"/>
      <c r="B310" s="145"/>
      <c r="C310" s="145"/>
    </row>
    <row r="311" spans="1:3" s="114" customFormat="1">
      <c r="A311" s="145"/>
      <c r="B311" s="145"/>
      <c r="C311" s="145"/>
    </row>
    <row r="312" spans="1:3" s="114" customFormat="1">
      <c r="A312" s="145"/>
      <c r="B312" s="145"/>
      <c r="C312" s="145"/>
    </row>
    <row r="313" spans="1:3" s="114" customFormat="1">
      <c r="A313" s="145"/>
      <c r="B313" s="145"/>
      <c r="C313" s="145"/>
    </row>
    <row r="314" spans="1:3" s="114" customFormat="1">
      <c r="A314" s="145"/>
      <c r="B314" s="145"/>
      <c r="C314" s="145"/>
    </row>
    <row r="315" spans="1:3" s="114" customFormat="1">
      <c r="A315" s="145"/>
      <c r="B315" s="145"/>
      <c r="C315" s="145"/>
    </row>
    <row r="316" spans="1:3" s="114" customFormat="1">
      <c r="A316" s="145"/>
      <c r="B316" s="145"/>
      <c r="C316" s="145"/>
    </row>
    <row r="317" spans="1:3" s="114" customFormat="1">
      <c r="A317" s="145"/>
      <c r="B317" s="145"/>
      <c r="C317" s="145"/>
    </row>
    <row r="318" spans="1:3" s="114" customFormat="1">
      <c r="A318" s="145"/>
      <c r="B318" s="145"/>
      <c r="C318" s="145"/>
    </row>
    <row r="319" spans="1:3" s="114" customFormat="1">
      <c r="A319" s="145"/>
      <c r="B319" s="145"/>
      <c r="C319" s="145"/>
    </row>
    <row r="320" spans="1:3" s="114" customFormat="1">
      <c r="A320" s="145"/>
      <c r="B320" s="145"/>
      <c r="C320" s="145"/>
    </row>
    <row r="321" spans="1:3" s="114" customFormat="1">
      <c r="A321" s="145"/>
      <c r="B321" s="145"/>
      <c r="C321" s="145"/>
    </row>
    <row r="322" spans="1:3" s="114" customFormat="1">
      <c r="A322" s="145"/>
      <c r="B322" s="145"/>
      <c r="C322" s="145"/>
    </row>
    <row r="323" spans="1:3" s="114" customFormat="1">
      <c r="A323" s="145"/>
      <c r="B323" s="145"/>
      <c r="C323" s="145"/>
    </row>
    <row r="324" spans="1:3" s="114" customFormat="1">
      <c r="A324" s="145"/>
      <c r="B324" s="145"/>
      <c r="C324" s="145"/>
    </row>
    <row r="325" spans="1:3" s="114" customFormat="1">
      <c r="A325" s="145"/>
      <c r="B325" s="145"/>
      <c r="C325" s="145"/>
    </row>
    <row r="326" spans="1:3" s="114" customFormat="1">
      <c r="A326" s="145"/>
      <c r="B326" s="145"/>
      <c r="C326" s="145"/>
    </row>
    <row r="327" spans="1:3" s="114" customFormat="1">
      <c r="A327" s="145"/>
      <c r="B327" s="145"/>
      <c r="C327" s="145"/>
    </row>
    <row r="328" spans="1:3" s="114" customFormat="1">
      <c r="A328" s="145"/>
      <c r="B328" s="145"/>
      <c r="C328" s="145"/>
    </row>
    <row r="329" spans="1:3" s="114" customFormat="1">
      <c r="A329" s="145"/>
      <c r="B329" s="145"/>
      <c r="C329" s="145"/>
    </row>
    <row r="330" spans="1:3" s="114" customFormat="1">
      <c r="A330" s="145"/>
      <c r="B330" s="145"/>
      <c r="C330" s="145"/>
    </row>
    <row r="331" spans="1:3" s="114" customFormat="1">
      <c r="A331" s="145"/>
      <c r="B331" s="145"/>
      <c r="C331" s="145"/>
    </row>
    <row r="332" spans="1:3" s="114" customFormat="1">
      <c r="A332" s="145"/>
      <c r="B332" s="145"/>
      <c r="C332" s="145"/>
    </row>
    <row r="333" spans="1:3" s="114" customFormat="1">
      <c r="A333" s="145"/>
      <c r="B333" s="145"/>
      <c r="C333" s="145"/>
    </row>
    <row r="334" spans="1:3" s="114" customFormat="1">
      <c r="A334" s="145"/>
      <c r="B334" s="145"/>
      <c r="C334" s="145"/>
    </row>
    <row r="335" spans="1:3" s="114" customFormat="1">
      <c r="A335" s="145"/>
      <c r="B335" s="145"/>
      <c r="C335" s="145"/>
    </row>
    <row r="336" spans="1:3" s="114" customFormat="1">
      <c r="A336" s="145"/>
      <c r="B336" s="145"/>
      <c r="C336" s="145"/>
    </row>
    <row r="337" spans="1:3" s="114" customFormat="1">
      <c r="A337" s="145"/>
      <c r="B337" s="145"/>
      <c r="C337" s="145"/>
    </row>
    <row r="338" spans="1:3" s="114" customFormat="1">
      <c r="A338" s="145"/>
      <c r="B338" s="145"/>
      <c r="C338" s="145"/>
    </row>
    <row r="339" spans="1:3" s="114" customFormat="1">
      <c r="A339" s="145"/>
      <c r="B339" s="145"/>
      <c r="C339" s="145"/>
    </row>
    <row r="340" spans="1:3" s="114" customFormat="1">
      <c r="A340" s="145"/>
      <c r="B340" s="145"/>
      <c r="C340" s="145"/>
    </row>
    <row r="341" spans="1:3" s="114" customFormat="1">
      <c r="A341" s="145"/>
      <c r="B341" s="145"/>
      <c r="C341" s="145"/>
    </row>
    <row r="342" spans="1:3" s="114" customFormat="1">
      <c r="A342" s="145"/>
      <c r="B342" s="145"/>
      <c r="C342" s="145"/>
    </row>
    <row r="343" spans="1:3" s="114" customFormat="1">
      <c r="A343" s="145"/>
      <c r="B343" s="145"/>
      <c r="C343" s="145"/>
    </row>
    <row r="344" spans="1:3" s="114" customFormat="1">
      <c r="A344" s="145"/>
      <c r="B344" s="145"/>
      <c r="C344" s="145"/>
    </row>
    <row r="345" spans="1:3" s="114" customFormat="1">
      <c r="A345" s="145"/>
      <c r="B345" s="145"/>
      <c r="C345" s="145"/>
    </row>
    <row r="346" spans="1:3" s="114" customFormat="1">
      <c r="A346" s="145"/>
      <c r="B346" s="145"/>
      <c r="C346" s="145"/>
    </row>
    <row r="347" spans="1:3" s="114" customFormat="1">
      <c r="A347" s="145"/>
      <c r="B347" s="145"/>
      <c r="C347" s="145"/>
    </row>
    <row r="348" spans="1:3" s="114" customFormat="1">
      <c r="A348" s="145"/>
      <c r="B348" s="145"/>
      <c r="C348" s="145"/>
    </row>
    <row r="349" spans="1:3" s="114" customFormat="1">
      <c r="A349" s="145"/>
      <c r="B349" s="145"/>
      <c r="C349" s="145"/>
    </row>
    <row r="350" spans="1:3" s="114" customFormat="1">
      <c r="A350" s="145"/>
      <c r="B350" s="145"/>
      <c r="C350" s="145"/>
    </row>
    <row r="351" spans="1:3" s="114" customFormat="1">
      <c r="A351" s="145"/>
      <c r="B351" s="145"/>
      <c r="C351" s="145"/>
    </row>
    <row r="352" spans="1:3" s="114" customFormat="1">
      <c r="A352" s="145"/>
      <c r="B352" s="145"/>
      <c r="C352" s="145"/>
    </row>
    <row r="353" spans="1:3" s="114" customFormat="1">
      <c r="A353" s="145"/>
      <c r="B353" s="145"/>
      <c r="C353" s="145"/>
    </row>
    <row r="354" spans="1:3" s="114" customFormat="1">
      <c r="A354" s="145"/>
      <c r="B354" s="145"/>
      <c r="C354" s="145"/>
    </row>
    <row r="355" spans="1:3" s="114" customFormat="1">
      <c r="A355" s="145"/>
      <c r="B355" s="145"/>
      <c r="C355" s="145"/>
    </row>
    <row r="356" spans="1:3" s="114" customFormat="1">
      <c r="A356" s="145"/>
      <c r="B356" s="145"/>
      <c r="C356" s="145"/>
    </row>
    <row r="357" spans="1:3" s="114" customFormat="1">
      <c r="A357" s="145"/>
      <c r="B357" s="145"/>
      <c r="C357" s="145"/>
    </row>
    <row r="358" spans="1:3" s="114" customFormat="1">
      <c r="A358" s="145"/>
      <c r="B358" s="145"/>
      <c r="C358" s="145"/>
    </row>
    <row r="359" spans="1:3" s="114" customFormat="1">
      <c r="A359" s="145"/>
      <c r="B359" s="145"/>
      <c r="C359" s="145"/>
    </row>
    <row r="360" spans="1:3" s="114" customFormat="1">
      <c r="A360" s="145"/>
      <c r="B360" s="145"/>
      <c r="C360" s="145"/>
    </row>
    <row r="361" spans="1:3" s="114" customFormat="1">
      <c r="A361" s="145"/>
      <c r="B361" s="145"/>
      <c r="C361" s="145"/>
    </row>
    <row r="362" spans="1:3" s="114" customFormat="1">
      <c r="A362" s="145"/>
      <c r="B362" s="145"/>
      <c r="C362" s="145"/>
    </row>
    <row r="363" spans="1:3" s="114" customFormat="1">
      <c r="A363" s="145"/>
      <c r="B363" s="145"/>
      <c r="C363" s="145"/>
    </row>
    <row r="364" spans="1:3" s="114" customFormat="1">
      <c r="A364" s="145"/>
      <c r="B364" s="145"/>
      <c r="C364" s="145"/>
    </row>
    <row r="365" spans="1:3" s="114" customFormat="1">
      <c r="A365" s="145"/>
      <c r="B365" s="145"/>
      <c r="C365" s="145"/>
    </row>
    <row r="366" spans="1:3" s="114" customFormat="1">
      <c r="A366" s="145"/>
      <c r="B366" s="145"/>
      <c r="C366" s="145"/>
    </row>
    <row r="367" spans="1:3" s="114" customFormat="1">
      <c r="A367" s="145"/>
      <c r="B367" s="145"/>
      <c r="C367" s="145"/>
    </row>
    <row r="368" spans="1:3" s="114" customFormat="1">
      <c r="A368" s="145"/>
      <c r="B368" s="145"/>
      <c r="C368" s="145"/>
    </row>
    <row r="369" spans="1:3" s="114" customFormat="1">
      <c r="A369" s="145"/>
      <c r="B369" s="145"/>
      <c r="C369" s="145"/>
    </row>
    <row r="370" spans="1:3" s="114" customFormat="1">
      <c r="A370" s="145"/>
      <c r="B370" s="145"/>
      <c r="C370" s="145"/>
    </row>
    <row r="371" spans="1:3" s="114" customFormat="1">
      <c r="A371" s="145"/>
      <c r="B371" s="145"/>
      <c r="C371" s="145"/>
    </row>
    <row r="372" spans="1:3" s="114" customFormat="1">
      <c r="A372" s="145"/>
      <c r="B372" s="145"/>
      <c r="C372" s="145"/>
    </row>
    <row r="373" spans="1:3" s="114" customFormat="1">
      <c r="A373" s="145"/>
      <c r="B373" s="145"/>
      <c r="C373" s="145"/>
    </row>
    <row r="374" spans="1:3" s="114" customFormat="1">
      <c r="A374" s="145"/>
      <c r="B374" s="145"/>
      <c r="C374" s="145"/>
    </row>
    <row r="375" spans="1:3" s="114" customFormat="1">
      <c r="A375" s="145"/>
      <c r="B375" s="145"/>
      <c r="C375" s="145"/>
    </row>
    <row r="376" spans="1:3" s="114" customFormat="1">
      <c r="A376" s="145"/>
      <c r="B376" s="145"/>
      <c r="C376" s="145"/>
    </row>
    <row r="377" spans="1:3" s="114" customFormat="1">
      <c r="A377" s="145"/>
      <c r="B377" s="145"/>
      <c r="C377" s="145"/>
    </row>
    <row r="378" spans="1:3" s="114" customFormat="1">
      <c r="A378" s="145"/>
      <c r="B378" s="145"/>
      <c r="C378" s="145"/>
    </row>
    <row r="379" spans="1:3" s="114" customFormat="1">
      <c r="A379" s="145"/>
      <c r="B379" s="145"/>
      <c r="C379" s="145"/>
    </row>
    <row r="380" spans="1:3" s="114" customFormat="1">
      <c r="A380" s="145"/>
      <c r="B380" s="145"/>
      <c r="C380" s="145"/>
    </row>
    <row r="381" spans="1:3" s="114" customFormat="1">
      <c r="A381" s="145"/>
      <c r="B381" s="145"/>
      <c r="C381" s="145"/>
    </row>
    <row r="382" spans="1:3" s="114" customFormat="1">
      <c r="A382" s="145"/>
      <c r="B382" s="145"/>
      <c r="C382" s="145"/>
    </row>
    <row r="383" spans="1:3" s="114" customFormat="1">
      <c r="A383" s="145"/>
      <c r="B383" s="145"/>
      <c r="C383" s="145"/>
    </row>
    <row r="384" spans="1:3" s="114" customFormat="1">
      <c r="A384" s="145"/>
      <c r="B384" s="145"/>
      <c r="C384" s="145"/>
    </row>
    <row r="385" spans="1:3" s="114" customFormat="1">
      <c r="A385" s="145"/>
      <c r="B385" s="145"/>
      <c r="C385" s="145"/>
    </row>
    <row r="386" spans="1:3" s="114" customFormat="1">
      <c r="A386" s="145"/>
      <c r="B386" s="145"/>
      <c r="C386" s="145"/>
    </row>
    <row r="387" spans="1:3" s="114" customFormat="1">
      <c r="A387" s="145"/>
      <c r="B387" s="145"/>
      <c r="C387" s="145"/>
    </row>
    <row r="388" spans="1:3" s="114" customFormat="1">
      <c r="A388" s="145"/>
      <c r="B388" s="145"/>
      <c r="C388" s="145"/>
    </row>
    <row r="389" spans="1:3" s="114" customFormat="1">
      <c r="A389" s="145"/>
      <c r="B389" s="145"/>
      <c r="C389" s="145"/>
    </row>
    <row r="390" spans="1:3" s="114" customFormat="1">
      <c r="A390" s="145"/>
      <c r="B390" s="145"/>
      <c r="C390" s="145"/>
    </row>
    <row r="391" spans="1:3" s="114" customFormat="1">
      <c r="A391" s="145"/>
      <c r="B391" s="145"/>
      <c r="C391" s="145"/>
    </row>
    <row r="392" spans="1:3" s="114" customFormat="1">
      <c r="A392" s="145"/>
      <c r="B392" s="145"/>
      <c r="C392" s="145"/>
    </row>
    <row r="393" spans="1:3" s="114" customFormat="1">
      <c r="A393" s="145"/>
      <c r="B393" s="145"/>
      <c r="C393" s="145"/>
    </row>
    <row r="394" spans="1:3" s="114" customFormat="1">
      <c r="A394" s="145"/>
      <c r="B394" s="145"/>
      <c r="C394" s="145"/>
    </row>
    <row r="395" spans="1:3" s="114" customFormat="1">
      <c r="A395" s="145"/>
      <c r="B395" s="145"/>
      <c r="C395" s="145"/>
    </row>
    <row r="396" spans="1:3" s="114" customFormat="1">
      <c r="A396" s="145"/>
      <c r="B396" s="145"/>
      <c r="C396" s="145"/>
    </row>
    <row r="397" spans="1:3" s="114" customFormat="1">
      <c r="A397" s="145"/>
      <c r="B397" s="145"/>
      <c r="C397" s="145"/>
    </row>
    <row r="398" spans="1:3" s="114" customFormat="1">
      <c r="A398" s="145"/>
      <c r="B398" s="145"/>
      <c r="C398" s="145"/>
    </row>
    <row r="399" spans="1:3" s="114" customFormat="1">
      <c r="A399" s="145"/>
      <c r="B399" s="145"/>
      <c r="C399" s="145"/>
    </row>
    <row r="400" spans="1:3" s="114" customFormat="1">
      <c r="A400" s="145"/>
      <c r="B400" s="145"/>
      <c r="C400" s="145"/>
    </row>
    <row r="401" spans="1:3" s="114" customFormat="1">
      <c r="A401" s="145"/>
      <c r="B401" s="145"/>
      <c r="C401" s="145"/>
    </row>
    <row r="402" spans="1:3" s="114" customFormat="1">
      <c r="A402" s="145"/>
      <c r="B402" s="145"/>
      <c r="C402" s="145"/>
    </row>
    <row r="403" spans="1:3" s="114" customFormat="1">
      <c r="A403" s="145"/>
      <c r="B403" s="145"/>
      <c r="C403" s="145"/>
    </row>
    <row r="404" spans="1:3" s="114" customFormat="1">
      <c r="A404" s="145"/>
      <c r="B404" s="145"/>
      <c r="C404" s="145"/>
    </row>
    <row r="405" spans="1:3" s="114" customFormat="1">
      <c r="A405" s="145"/>
      <c r="B405" s="145"/>
      <c r="C405" s="145"/>
    </row>
    <row r="406" spans="1:3" s="114" customFormat="1">
      <c r="A406" s="145"/>
      <c r="B406" s="145"/>
      <c r="C406" s="145"/>
    </row>
    <row r="407" spans="1:3" s="114" customFormat="1">
      <c r="A407" s="145"/>
      <c r="B407" s="145"/>
      <c r="C407" s="145"/>
    </row>
    <row r="408" spans="1:3" s="114" customFormat="1">
      <c r="A408" s="145"/>
      <c r="B408" s="145"/>
      <c r="C408" s="145"/>
    </row>
    <row r="409" spans="1:3" s="114" customFormat="1">
      <c r="A409" s="145"/>
      <c r="B409" s="145"/>
      <c r="C409" s="145"/>
    </row>
    <row r="410" spans="1:3" s="114" customFormat="1">
      <c r="A410" s="145"/>
      <c r="B410" s="145"/>
      <c r="C410" s="145"/>
    </row>
    <row r="411" spans="1:3" s="114" customFormat="1">
      <c r="A411" s="145"/>
      <c r="B411" s="145"/>
      <c r="C411" s="145"/>
    </row>
    <row r="412" spans="1:3" s="114" customFormat="1">
      <c r="A412" s="145"/>
      <c r="B412" s="145"/>
      <c r="C412" s="145"/>
    </row>
    <row r="413" spans="1:3" s="114" customFormat="1">
      <c r="A413" s="145"/>
      <c r="B413" s="145"/>
      <c r="C413" s="145"/>
    </row>
    <row r="414" spans="1:3" s="114" customFormat="1">
      <c r="A414" s="145"/>
      <c r="B414" s="145"/>
      <c r="C414" s="145"/>
    </row>
    <row r="415" spans="1:3" s="114" customFormat="1">
      <c r="A415" s="145"/>
      <c r="B415" s="145"/>
      <c r="C415" s="145"/>
    </row>
    <row r="416" spans="1:3" s="114" customFormat="1">
      <c r="A416" s="145"/>
      <c r="B416" s="145"/>
      <c r="C416" s="145"/>
    </row>
    <row r="417" spans="1:3" s="114" customFormat="1">
      <c r="A417" s="145"/>
      <c r="B417" s="145"/>
      <c r="C417" s="145"/>
    </row>
    <row r="418" spans="1:3" s="114" customFormat="1">
      <c r="A418" s="145"/>
      <c r="B418" s="145"/>
      <c r="C418" s="145"/>
    </row>
    <row r="419" spans="1:3" s="114" customFormat="1">
      <c r="A419" s="145"/>
      <c r="B419" s="145"/>
      <c r="C419" s="145"/>
    </row>
    <row r="420" spans="1:3" s="114" customFormat="1">
      <c r="A420" s="145"/>
      <c r="B420" s="145"/>
      <c r="C420" s="145"/>
    </row>
    <row r="421" spans="1:3" s="114" customFormat="1">
      <c r="A421" s="145"/>
      <c r="B421" s="145"/>
      <c r="C421" s="145"/>
    </row>
    <row r="422" spans="1:3" s="114" customFormat="1">
      <c r="A422" s="145"/>
      <c r="B422" s="145"/>
      <c r="C422" s="145"/>
    </row>
    <row r="423" spans="1:3" s="114" customFormat="1">
      <c r="A423" s="145"/>
      <c r="B423" s="145"/>
      <c r="C423" s="145"/>
    </row>
    <row r="424" spans="1:3" s="114" customFormat="1">
      <c r="A424" s="145"/>
      <c r="B424" s="145"/>
      <c r="C424" s="145"/>
    </row>
    <row r="425" spans="1:3" s="114" customFormat="1">
      <c r="A425" s="145"/>
      <c r="B425" s="145"/>
      <c r="C425" s="145"/>
    </row>
    <row r="426" spans="1:3" s="114" customFormat="1">
      <c r="A426" s="145"/>
      <c r="B426" s="145"/>
      <c r="C426" s="145"/>
    </row>
    <row r="427" spans="1:3" s="114" customFormat="1">
      <c r="A427" s="145"/>
      <c r="B427" s="145"/>
      <c r="C427" s="145"/>
    </row>
    <row r="428" spans="1:3" s="114" customFormat="1">
      <c r="A428" s="145"/>
      <c r="B428" s="145"/>
      <c r="C428" s="145"/>
    </row>
    <row r="429" spans="1:3" s="114" customFormat="1">
      <c r="A429" s="145"/>
      <c r="B429" s="145"/>
      <c r="C429" s="145"/>
    </row>
    <row r="430" spans="1:3" s="114" customFormat="1">
      <c r="A430" s="145"/>
      <c r="B430" s="145"/>
      <c r="C430" s="145"/>
    </row>
    <row r="431" spans="1:3" s="114" customFormat="1">
      <c r="A431" s="145"/>
      <c r="B431" s="145"/>
      <c r="C431" s="145"/>
    </row>
    <row r="432" spans="1:3" s="114" customFormat="1">
      <c r="A432" s="145"/>
      <c r="B432" s="145"/>
      <c r="C432" s="145"/>
    </row>
    <row r="433" spans="1:3" s="114" customFormat="1">
      <c r="A433" s="145"/>
      <c r="B433" s="145"/>
      <c r="C433" s="145"/>
    </row>
    <row r="434" spans="1:3" s="114" customFormat="1">
      <c r="A434" s="145"/>
      <c r="B434" s="145"/>
      <c r="C434" s="145"/>
    </row>
    <row r="435" spans="1:3" s="114" customFormat="1">
      <c r="A435" s="145"/>
      <c r="B435" s="145"/>
      <c r="C435" s="145"/>
    </row>
    <row r="436" spans="1:3" s="114" customFormat="1">
      <c r="A436" s="145"/>
      <c r="B436" s="145"/>
      <c r="C436" s="145"/>
    </row>
    <row r="437" spans="1:3" s="114" customFormat="1">
      <c r="A437" s="145"/>
      <c r="B437" s="145"/>
      <c r="C437" s="145"/>
    </row>
    <row r="438" spans="1:3" s="114" customFormat="1">
      <c r="A438" s="145"/>
      <c r="B438" s="145"/>
      <c r="C438" s="145"/>
    </row>
    <row r="439" spans="1:3" s="114" customFormat="1">
      <c r="A439" s="145"/>
      <c r="B439" s="145"/>
      <c r="C439" s="145"/>
    </row>
    <row r="440" spans="1:3" s="114" customFormat="1">
      <c r="A440" s="145"/>
      <c r="B440" s="145"/>
      <c r="C440" s="145"/>
    </row>
    <row r="441" spans="1:3" s="114" customFormat="1">
      <c r="A441" s="145"/>
      <c r="B441" s="145"/>
      <c r="C441" s="145"/>
    </row>
    <row r="442" spans="1:3" s="114" customFormat="1">
      <c r="A442" s="145"/>
      <c r="B442" s="145"/>
      <c r="C442" s="145"/>
    </row>
    <row r="443" spans="1:3" s="114" customFormat="1">
      <c r="A443" s="145"/>
      <c r="B443" s="145"/>
      <c r="C443" s="145"/>
    </row>
    <row r="444" spans="1:3" s="114" customFormat="1">
      <c r="A444" s="145"/>
      <c r="B444" s="145"/>
      <c r="C444" s="145"/>
    </row>
    <row r="445" spans="1:3" s="114" customFormat="1">
      <c r="A445" s="145"/>
      <c r="B445" s="145"/>
      <c r="C445" s="145"/>
    </row>
    <row r="446" spans="1:3" s="114" customFormat="1">
      <c r="A446" s="145"/>
      <c r="B446" s="145"/>
      <c r="C446" s="145"/>
    </row>
    <row r="447" spans="1:3" s="114" customFormat="1">
      <c r="A447" s="145"/>
      <c r="B447" s="145"/>
      <c r="C447" s="145"/>
    </row>
    <row r="448" spans="1:3" s="114" customFormat="1">
      <c r="A448" s="145"/>
      <c r="B448" s="145"/>
      <c r="C448" s="145"/>
    </row>
    <row r="449" spans="1:3" s="114" customFormat="1">
      <c r="A449" s="145"/>
      <c r="B449" s="145"/>
      <c r="C449" s="145"/>
    </row>
    <row r="450" spans="1:3" s="114" customFormat="1">
      <c r="A450" s="145"/>
      <c r="B450" s="145"/>
      <c r="C450" s="145"/>
    </row>
    <row r="451" spans="1:3" s="114" customFormat="1">
      <c r="A451" s="145"/>
      <c r="B451" s="145"/>
      <c r="C451" s="145"/>
    </row>
    <row r="452" spans="1:3" s="114" customFormat="1">
      <c r="A452" s="145"/>
      <c r="B452" s="145"/>
      <c r="C452" s="145"/>
    </row>
    <row r="453" spans="1:3" s="114" customFormat="1">
      <c r="A453" s="145"/>
      <c r="B453" s="145"/>
      <c r="C453" s="145"/>
    </row>
    <row r="454" spans="1:3" s="114" customFormat="1">
      <c r="A454" s="145"/>
      <c r="B454" s="145"/>
      <c r="C454" s="145"/>
    </row>
    <row r="455" spans="1:3" s="114" customFormat="1">
      <c r="A455" s="145"/>
      <c r="B455" s="145"/>
      <c r="C455" s="145"/>
    </row>
    <row r="456" spans="1:3" s="114" customFormat="1">
      <c r="A456" s="145"/>
      <c r="B456" s="145"/>
      <c r="C456" s="145"/>
    </row>
    <row r="457" spans="1:3" s="114" customFormat="1">
      <c r="A457" s="145"/>
      <c r="B457" s="145"/>
      <c r="C457" s="145"/>
    </row>
    <row r="458" spans="1:3" s="114" customFormat="1">
      <c r="A458" s="145"/>
      <c r="B458" s="145"/>
      <c r="C458" s="145"/>
    </row>
    <row r="459" spans="1:3" s="114" customFormat="1">
      <c r="A459" s="145"/>
      <c r="B459" s="145"/>
      <c r="C459" s="145"/>
    </row>
    <row r="460" spans="1:3" s="114" customFormat="1">
      <c r="A460" s="145"/>
      <c r="B460" s="145"/>
      <c r="C460" s="145"/>
    </row>
    <row r="461" spans="1:3" s="114" customFormat="1">
      <c r="A461" s="145"/>
      <c r="B461" s="145"/>
      <c r="C461" s="145"/>
    </row>
    <row r="462" spans="1:3" s="114" customFormat="1">
      <c r="A462" s="145"/>
      <c r="B462" s="145"/>
      <c r="C462" s="145"/>
    </row>
    <row r="463" spans="1:3" s="114" customFormat="1">
      <c r="A463" s="145"/>
      <c r="B463" s="145"/>
      <c r="C463" s="145"/>
    </row>
    <row r="464" spans="1:3" s="114" customFormat="1">
      <c r="A464" s="145"/>
      <c r="B464" s="145"/>
      <c r="C464" s="145"/>
    </row>
    <row r="465" spans="1:3" s="114" customFormat="1">
      <c r="A465" s="145"/>
      <c r="B465" s="145"/>
      <c r="C465" s="145"/>
    </row>
    <row r="466" spans="1:3" s="114" customFormat="1">
      <c r="A466" s="145"/>
      <c r="B466" s="145"/>
      <c r="C466" s="145"/>
    </row>
    <row r="467" spans="1:3" s="114" customFormat="1">
      <c r="A467" s="145"/>
      <c r="B467" s="145"/>
      <c r="C467" s="145"/>
    </row>
    <row r="468" spans="1:3" s="114" customFormat="1">
      <c r="A468" s="145"/>
      <c r="B468" s="145"/>
      <c r="C468" s="145"/>
    </row>
    <row r="469" spans="1:3" s="114" customFormat="1">
      <c r="A469" s="145"/>
      <c r="B469" s="145"/>
      <c r="C469" s="145"/>
    </row>
    <row r="470" spans="1:3" s="114" customFormat="1">
      <c r="A470" s="145"/>
      <c r="B470" s="145"/>
      <c r="C470" s="145"/>
    </row>
    <row r="471" spans="1:3" s="114" customFormat="1">
      <c r="A471" s="145"/>
      <c r="B471" s="145"/>
      <c r="C471" s="145"/>
    </row>
    <row r="472" spans="1:3" s="114" customFormat="1">
      <c r="A472" s="145"/>
      <c r="B472" s="145"/>
      <c r="C472" s="145"/>
    </row>
    <row r="473" spans="1:3" s="114" customFormat="1">
      <c r="A473" s="145"/>
      <c r="B473" s="145"/>
      <c r="C473" s="145"/>
    </row>
    <row r="474" spans="1:3" s="114" customFormat="1">
      <c r="A474" s="145"/>
      <c r="B474" s="145"/>
      <c r="C474" s="145"/>
    </row>
    <row r="475" spans="1:3" s="114" customFormat="1">
      <c r="A475" s="145"/>
      <c r="B475" s="145"/>
      <c r="C475" s="145"/>
    </row>
    <row r="476" spans="1:3" s="114" customFormat="1">
      <c r="A476" s="145"/>
      <c r="B476" s="145"/>
      <c r="C476" s="145"/>
    </row>
    <row r="477" spans="1:3" s="114" customFormat="1">
      <c r="A477" s="145"/>
      <c r="B477" s="145"/>
      <c r="C477" s="145"/>
    </row>
    <row r="478" spans="1:3" s="114" customFormat="1">
      <c r="A478" s="145"/>
      <c r="B478" s="145"/>
      <c r="C478" s="145"/>
    </row>
    <row r="479" spans="1:3" s="114" customFormat="1">
      <c r="A479" s="145"/>
      <c r="B479" s="145"/>
      <c r="C479" s="145"/>
    </row>
    <row r="480" spans="1:3" s="114" customFormat="1">
      <c r="A480" s="145"/>
      <c r="B480" s="145"/>
      <c r="C480" s="145"/>
    </row>
    <row r="481" spans="1:3" s="114" customFormat="1">
      <c r="A481" s="145"/>
      <c r="B481" s="145"/>
      <c r="C481" s="145"/>
    </row>
    <row r="482" spans="1:3" s="114" customFormat="1">
      <c r="A482" s="145"/>
      <c r="B482" s="145"/>
      <c r="C482" s="145"/>
    </row>
    <row r="483" spans="1:3" s="114" customFormat="1">
      <c r="A483" s="145"/>
      <c r="B483" s="145"/>
      <c r="C483" s="145"/>
    </row>
    <row r="484" spans="1:3" s="114" customFormat="1">
      <c r="A484" s="145"/>
      <c r="B484" s="145"/>
      <c r="C484" s="145"/>
    </row>
    <row r="485" spans="1:3" s="114" customFormat="1">
      <c r="A485" s="145"/>
      <c r="B485" s="145"/>
      <c r="C485" s="145"/>
    </row>
    <row r="486" spans="1:3" s="114" customFormat="1">
      <c r="A486" s="145"/>
      <c r="B486" s="145"/>
      <c r="C486" s="145"/>
    </row>
    <row r="487" spans="1:3" s="114" customFormat="1">
      <c r="A487" s="145"/>
      <c r="B487" s="145"/>
      <c r="C487" s="145"/>
    </row>
    <row r="488" spans="1:3" s="114" customFormat="1">
      <c r="A488" s="145"/>
      <c r="B488" s="145"/>
      <c r="C488" s="145"/>
    </row>
    <row r="489" spans="1:3" s="114" customFormat="1">
      <c r="A489" s="145"/>
      <c r="B489" s="145"/>
      <c r="C489" s="145"/>
    </row>
    <row r="490" spans="1:3" s="114" customFormat="1">
      <c r="A490" s="145"/>
      <c r="B490" s="145"/>
      <c r="C490" s="145"/>
    </row>
    <row r="491" spans="1:3" s="114" customFormat="1">
      <c r="A491" s="145"/>
      <c r="B491" s="145"/>
      <c r="C491" s="145"/>
    </row>
    <row r="492" spans="1:3" s="114" customFormat="1">
      <c r="A492" s="145"/>
      <c r="B492" s="145"/>
      <c r="C492" s="145"/>
    </row>
    <row r="493" spans="1:3" s="114" customFormat="1">
      <c r="A493" s="145"/>
      <c r="B493" s="145"/>
      <c r="C493" s="145"/>
    </row>
    <row r="494" spans="1:3" s="114" customFormat="1">
      <c r="A494" s="145"/>
      <c r="B494" s="145"/>
      <c r="C494" s="145"/>
    </row>
    <row r="495" spans="1:3" s="114" customFormat="1">
      <c r="A495" s="145"/>
      <c r="B495" s="145"/>
      <c r="C495" s="145"/>
    </row>
    <row r="496" spans="1:3" s="114" customFormat="1">
      <c r="A496" s="145"/>
      <c r="B496" s="145"/>
      <c r="C496" s="145"/>
    </row>
    <row r="497" spans="1:3" s="114" customFormat="1">
      <c r="A497" s="145"/>
      <c r="B497" s="145"/>
      <c r="C497" s="145"/>
    </row>
    <row r="498" spans="1:3" s="114" customFormat="1">
      <c r="A498" s="145"/>
      <c r="B498" s="145"/>
      <c r="C498" s="145"/>
    </row>
    <row r="499" spans="1:3" s="114" customFormat="1">
      <c r="A499" s="145"/>
      <c r="B499" s="145"/>
      <c r="C499" s="145"/>
    </row>
    <row r="500" spans="1:3" s="114" customFormat="1">
      <c r="A500" s="145"/>
      <c r="B500" s="145"/>
      <c r="C500" s="145"/>
    </row>
    <row r="501" spans="1:3" s="114" customFormat="1">
      <c r="A501" s="145"/>
      <c r="B501" s="145"/>
      <c r="C501" s="145"/>
    </row>
    <row r="502" spans="1:3" s="114" customFormat="1">
      <c r="A502" s="145"/>
      <c r="B502" s="145"/>
      <c r="C502" s="145"/>
    </row>
    <row r="503" spans="1:3" s="114" customFormat="1">
      <c r="A503" s="145"/>
      <c r="B503" s="145"/>
      <c r="C503" s="145"/>
    </row>
    <row r="504" spans="1:3" s="114" customFormat="1">
      <c r="A504" s="145"/>
      <c r="B504" s="145"/>
      <c r="C504" s="145"/>
    </row>
    <row r="505" spans="1:3" s="114" customFormat="1">
      <c r="A505" s="145"/>
      <c r="B505" s="145"/>
      <c r="C505" s="145"/>
    </row>
    <row r="506" spans="1:3" s="114" customFormat="1">
      <c r="A506" s="145"/>
      <c r="B506" s="145"/>
      <c r="C506" s="145"/>
    </row>
    <row r="507" spans="1:3" s="114" customFormat="1">
      <c r="A507" s="145"/>
      <c r="B507" s="145"/>
      <c r="C507" s="145"/>
    </row>
    <row r="508" spans="1:3" s="114" customFormat="1">
      <c r="A508" s="145"/>
      <c r="B508" s="145"/>
      <c r="C508" s="145"/>
    </row>
    <row r="509" spans="1:3" s="114" customFormat="1">
      <c r="A509" s="145"/>
      <c r="B509" s="145"/>
      <c r="C509" s="145"/>
    </row>
    <row r="510" spans="1:3" s="114" customFormat="1">
      <c r="A510" s="145"/>
      <c r="B510" s="145"/>
      <c r="C510" s="145"/>
    </row>
    <row r="511" spans="1:3" s="114" customFormat="1">
      <c r="A511" s="145"/>
      <c r="B511" s="145"/>
      <c r="C511" s="145"/>
    </row>
    <row r="512" spans="1:3" s="114" customFormat="1">
      <c r="A512" s="145"/>
      <c r="B512" s="145"/>
      <c r="C512" s="145"/>
    </row>
    <row r="513" spans="1:3" s="114" customFormat="1">
      <c r="A513" s="145"/>
      <c r="B513" s="145"/>
      <c r="C513" s="145"/>
    </row>
    <row r="514" spans="1:3" s="114" customFormat="1">
      <c r="A514" s="145"/>
      <c r="B514" s="145"/>
      <c r="C514" s="145"/>
    </row>
    <row r="515" spans="1:3" s="114" customFormat="1">
      <c r="A515" s="145"/>
      <c r="B515" s="145"/>
      <c r="C515" s="145"/>
    </row>
    <row r="516" spans="1:3" s="114" customFormat="1">
      <c r="A516" s="145"/>
      <c r="B516" s="145"/>
      <c r="C516" s="145"/>
    </row>
    <row r="517" spans="1:3" s="114" customFormat="1">
      <c r="A517" s="145"/>
      <c r="B517" s="145"/>
      <c r="C517" s="145"/>
    </row>
    <row r="518" spans="1:3" s="114" customFormat="1">
      <c r="A518" s="145"/>
      <c r="B518" s="145"/>
      <c r="C518" s="145"/>
    </row>
    <row r="519" spans="1:3" s="114" customFormat="1">
      <c r="A519" s="145"/>
      <c r="B519" s="145"/>
      <c r="C519" s="145"/>
    </row>
    <row r="520" spans="1:3" s="114" customFormat="1">
      <c r="A520" s="145"/>
      <c r="B520" s="145"/>
      <c r="C520" s="145"/>
    </row>
    <row r="521" spans="1:3" s="114" customFormat="1">
      <c r="A521" s="145"/>
      <c r="B521" s="145"/>
      <c r="C521" s="145"/>
    </row>
    <row r="522" spans="1:3" s="114" customFormat="1">
      <c r="A522" s="145"/>
      <c r="B522" s="145"/>
      <c r="C522" s="145"/>
    </row>
    <row r="523" spans="1:3" s="114" customFormat="1">
      <c r="A523" s="145"/>
      <c r="B523" s="145"/>
      <c r="C523" s="145"/>
    </row>
    <row r="524" spans="1:3" s="114" customFormat="1">
      <c r="A524" s="145"/>
      <c r="B524" s="145"/>
      <c r="C524" s="145"/>
    </row>
    <row r="525" spans="1:3" s="114" customFormat="1">
      <c r="A525" s="145"/>
      <c r="B525" s="145"/>
      <c r="C525" s="145"/>
    </row>
    <row r="526" spans="1:3" s="114" customFormat="1">
      <c r="A526" s="145"/>
      <c r="B526" s="145"/>
      <c r="C526" s="145"/>
    </row>
    <row r="527" spans="1:3" s="114" customFormat="1">
      <c r="A527" s="145"/>
      <c r="B527" s="145"/>
      <c r="C527" s="145"/>
    </row>
    <row r="528" spans="1:3" s="114" customFormat="1">
      <c r="A528" s="145"/>
      <c r="B528" s="145"/>
      <c r="C528" s="145"/>
    </row>
    <row r="529" spans="1:3" s="114" customFormat="1">
      <c r="A529" s="145"/>
      <c r="B529" s="145"/>
      <c r="C529" s="145"/>
    </row>
    <row r="530" spans="1:3" s="114" customFormat="1">
      <c r="A530" s="145"/>
      <c r="B530" s="145"/>
      <c r="C530" s="145"/>
    </row>
    <row r="531" spans="1:3" s="114" customFormat="1">
      <c r="A531" s="145"/>
      <c r="B531" s="145"/>
      <c r="C531" s="145"/>
    </row>
    <row r="532" spans="1:3" s="114" customFormat="1">
      <c r="A532" s="145"/>
      <c r="B532" s="145"/>
      <c r="C532" s="145"/>
    </row>
    <row r="533" spans="1:3" s="114" customFormat="1">
      <c r="A533" s="145"/>
      <c r="B533" s="145"/>
      <c r="C533" s="145"/>
    </row>
    <row r="534" spans="1:3" s="114" customFormat="1">
      <c r="A534" s="145"/>
      <c r="B534" s="145"/>
      <c r="C534" s="145"/>
    </row>
    <row r="535" spans="1:3" s="114" customFormat="1">
      <c r="A535" s="145"/>
      <c r="B535" s="145"/>
      <c r="C535" s="145"/>
    </row>
    <row r="536" spans="1:3" s="114" customFormat="1">
      <c r="A536" s="145"/>
      <c r="B536" s="145"/>
      <c r="C536" s="145"/>
    </row>
    <row r="537" spans="1:3" s="114" customFormat="1">
      <c r="A537" s="145"/>
      <c r="B537" s="145"/>
      <c r="C537" s="145"/>
    </row>
    <row r="538" spans="1:3" s="114" customFormat="1">
      <c r="A538" s="145"/>
      <c r="B538" s="145"/>
      <c r="C538" s="145"/>
    </row>
    <row r="539" spans="1:3" s="114" customFormat="1">
      <c r="A539" s="145"/>
      <c r="B539" s="145"/>
      <c r="C539" s="145"/>
    </row>
    <row r="540" spans="1:3" s="114" customFormat="1">
      <c r="A540" s="145"/>
      <c r="B540" s="145"/>
      <c r="C540" s="145"/>
    </row>
    <row r="541" spans="1:3" s="114" customFormat="1">
      <c r="A541" s="145"/>
      <c r="B541" s="145"/>
      <c r="C541" s="145"/>
    </row>
    <row r="542" spans="1:3" s="114" customFormat="1">
      <c r="A542" s="145"/>
      <c r="B542" s="145"/>
      <c r="C542" s="145"/>
    </row>
    <row r="543" spans="1:3" s="114" customFormat="1">
      <c r="A543" s="145"/>
      <c r="B543" s="145"/>
      <c r="C543" s="145"/>
    </row>
    <row r="544" spans="1:3" s="114" customFormat="1">
      <c r="A544" s="145"/>
      <c r="B544" s="145"/>
      <c r="C544" s="145"/>
    </row>
    <row r="545" spans="1:3" s="114" customFormat="1">
      <c r="A545" s="145"/>
      <c r="B545" s="145"/>
      <c r="C545" s="145"/>
    </row>
    <row r="546" spans="1:3" s="114" customFormat="1">
      <c r="A546" s="145"/>
      <c r="B546" s="145"/>
      <c r="C546" s="145"/>
    </row>
    <row r="547" spans="1:3" s="114" customFormat="1">
      <c r="A547" s="145"/>
      <c r="B547" s="145"/>
      <c r="C547" s="145"/>
    </row>
    <row r="548" spans="1:3" s="114" customFormat="1">
      <c r="A548" s="145"/>
      <c r="B548" s="145"/>
      <c r="C548" s="145"/>
    </row>
    <row r="549" spans="1:3" s="114" customFormat="1">
      <c r="A549" s="145"/>
      <c r="B549" s="145"/>
      <c r="C549" s="145"/>
    </row>
    <row r="550" spans="1:3" s="114" customFormat="1">
      <c r="A550" s="145"/>
      <c r="B550" s="145"/>
      <c r="C550" s="145"/>
    </row>
    <row r="551" spans="1:3" s="114" customFormat="1">
      <c r="A551" s="145"/>
      <c r="B551" s="145"/>
      <c r="C551" s="145"/>
    </row>
    <row r="552" spans="1:3" s="114" customFormat="1">
      <c r="A552" s="145"/>
      <c r="B552" s="145"/>
      <c r="C552" s="145"/>
    </row>
    <row r="553" spans="1:3" s="114" customFormat="1">
      <c r="A553" s="145"/>
      <c r="B553" s="145"/>
      <c r="C553" s="145"/>
    </row>
    <row r="554" spans="1:3" s="114" customFormat="1">
      <c r="A554" s="145"/>
      <c r="B554" s="145"/>
      <c r="C554" s="145"/>
    </row>
    <row r="555" spans="1:3" s="114" customFormat="1">
      <c r="A555" s="145"/>
      <c r="B555" s="145"/>
      <c r="C555" s="145"/>
    </row>
    <row r="556" spans="1:3" s="114" customFormat="1">
      <c r="A556" s="145"/>
      <c r="B556" s="145"/>
      <c r="C556" s="145"/>
    </row>
    <row r="557" spans="1:3" s="114" customFormat="1">
      <c r="A557" s="145"/>
      <c r="B557" s="145"/>
      <c r="C557" s="145"/>
    </row>
    <row r="558" spans="1:3" s="114" customFormat="1">
      <c r="A558" s="145"/>
      <c r="B558" s="145"/>
      <c r="C558" s="145"/>
    </row>
    <row r="559" spans="1:3" s="114" customFormat="1">
      <c r="A559" s="145"/>
      <c r="B559" s="145"/>
      <c r="C559" s="145"/>
    </row>
    <row r="560" spans="1:3" s="114" customFormat="1">
      <c r="A560" s="145"/>
      <c r="B560" s="145"/>
      <c r="C560" s="145"/>
    </row>
    <row r="561" spans="1:3" s="114" customFormat="1">
      <c r="A561" s="145"/>
      <c r="B561" s="145"/>
      <c r="C561" s="145"/>
    </row>
    <row r="562" spans="1:3" s="114" customFormat="1">
      <c r="A562" s="145"/>
      <c r="B562" s="145"/>
      <c r="C562" s="145"/>
    </row>
    <row r="563" spans="1:3" s="114" customFormat="1">
      <c r="A563" s="145"/>
      <c r="B563" s="145"/>
      <c r="C563" s="145"/>
    </row>
    <row r="564" spans="1:3" s="114" customFormat="1">
      <c r="A564" s="145"/>
      <c r="B564" s="145"/>
      <c r="C564" s="145"/>
    </row>
    <row r="565" spans="1:3" s="114" customFormat="1">
      <c r="A565" s="145"/>
      <c r="B565" s="145"/>
      <c r="C565" s="145"/>
    </row>
    <row r="566" spans="1:3" s="114" customFormat="1">
      <c r="A566" s="145"/>
      <c r="B566" s="145"/>
      <c r="C566" s="145"/>
    </row>
    <row r="567" spans="1:3" s="114" customFormat="1">
      <c r="A567" s="145"/>
      <c r="B567" s="145"/>
      <c r="C567" s="145"/>
    </row>
    <row r="568" spans="1:3" s="114" customFormat="1">
      <c r="A568" s="145"/>
      <c r="B568" s="145"/>
      <c r="C568" s="145"/>
    </row>
    <row r="569" spans="1:3" s="114" customFormat="1">
      <c r="A569" s="145"/>
      <c r="B569" s="145"/>
      <c r="C569" s="145"/>
    </row>
    <row r="570" spans="1:3" s="114" customFormat="1">
      <c r="A570" s="145"/>
      <c r="B570" s="145"/>
      <c r="C570" s="145"/>
    </row>
    <row r="571" spans="1:3" s="114" customFormat="1">
      <c r="A571" s="145"/>
      <c r="B571" s="145"/>
      <c r="C571" s="145"/>
    </row>
    <row r="572" spans="1:3" s="114" customFormat="1">
      <c r="A572" s="145"/>
      <c r="B572" s="145"/>
      <c r="C572" s="145"/>
    </row>
    <row r="573" spans="1:3" s="114" customFormat="1">
      <c r="A573" s="145"/>
      <c r="B573" s="145"/>
      <c r="C573" s="145"/>
    </row>
    <row r="574" spans="1:3" s="114" customFormat="1">
      <c r="A574" s="145"/>
      <c r="B574" s="145"/>
      <c r="C574" s="145"/>
    </row>
    <row r="575" spans="1:3" s="114" customFormat="1">
      <c r="A575" s="145"/>
      <c r="B575" s="145"/>
      <c r="C575" s="145"/>
    </row>
    <row r="576" spans="1:3" s="114" customFormat="1">
      <c r="A576" s="145"/>
      <c r="B576" s="145"/>
      <c r="C576" s="145"/>
    </row>
    <row r="577" spans="1:3" s="114" customFormat="1">
      <c r="A577" s="145"/>
      <c r="B577" s="145"/>
      <c r="C577" s="145"/>
    </row>
    <row r="578" spans="1:3" s="114" customFormat="1">
      <c r="A578" s="145"/>
      <c r="B578" s="145"/>
      <c r="C578" s="145"/>
    </row>
    <row r="579" spans="1:3" s="114" customFormat="1">
      <c r="A579" s="145"/>
      <c r="B579" s="145"/>
      <c r="C579" s="145"/>
    </row>
    <row r="580" spans="1:3" s="114" customFormat="1">
      <c r="A580" s="145"/>
      <c r="B580" s="145"/>
      <c r="C580" s="145"/>
    </row>
    <row r="581" spans="1:3" s="114" customFormat="1">
      <c r="A581" s="145"/>
      <c r="B581" s="145"/>
      <c r="C581" s="145"/>
    </row>
    <row r="582" spans="1:3" s="114" customFormat="1">
      <c r="A582" s="145"/>
      <c r="B582" s="145"/>
      <c r="C582" s="145"/>
    </row>
    <row r="583" spans="1:3" s="114" customFormat="1">
      <c r="A583" s="145"/>
      <c r="B583" s="145"/>
      <c r="C583" s="145"/>
    </row>
    <row r="584" spans="1:3" s="114" customFormat="1">
      <c r="A584" s="145"/>
      <c r="B584" s="145"/>
      <c r="C584" s="145"/>
    </row>
    <row r="585" spans="1:3" s="114" customFormat="1">
      <c r="A585" s="145"/>
      <c r="B585" s="145"/>
      <c r="C585" s="145"/>
    </row>
    <row r="586" spans="1:3" s="114" customFormat="1">
      <c r="A586" s="145"/>
      <c r="B586" s="145"/>
      <c r="C586" s="145"/>
    </row>
    <row r="587" spans="1:3" s="114" customFormat="1">
      <c r="A587" s="145"/>
      <c r="B587" s="145"/>
      <c r="C587" s="145"/>
    </row>
    <row r="588" spans="1:3" s="114" customFormat="1">
      <c r="A588" s="145"/>
      <c r="B588" s="145"/>
      <c r="C588" s="145"/>
    </row>
    <row r="589" spans="1:3" s="114" customFormat="1">
      <c r="A589" s="145"/>
      <c r="B589" s="145"/>
      <c r="C589" s="145"/>
    </row>
    <row r="590" spans="1:3" s="114" customFormat="1">
      <c r="A590" s="145"/>
      <c r="B590" s="145"/>
      <c r="C590" s="145"/>
    </row>
    <row r="591" spans="1:3" s="114" customFormat="1">
      <c r="A591" s="145"/>
      <c r="B591" s="145"/>
      <c r="C591" s="145"/>
    </row>
    <row r="592" spans="1:3" s="114" customFormat="1">
      <c r="A592" s="145"/>
      <c r="B592" s="145"/>
      <c r="C592" s="145"/>
    </row>
    <row r="593" spans="1:3" s="114" customFormat="1">
      <c r="A593" s="145"/>
      <c r="B593" s="145"/>
      <c r="C593" s="145"/>
    </row>
    <row r="594" spans="1:3" s="114" customFormat="1">
      <c r="A594" s="145"/>
      <c r="B594" s="145"/>
      <c r="C594" s="145"/>
    </row>
    <row r="595" spans="1:3" s="114" customFormat="1">
      <c r="A595" s="145"/>
      <c r="B595" s="145"/>
      <c r="C595" s="145"/>
    </row>
    <row r="596" spans="1:3" s="114" customFormat="1">
      <c r="A596" s="145"/>
      <c r="B596" s="145"/>
      <c r="C596" s="145"/>
    </row>
    <row r="597" spans="1:3" s="114" customFormat="1">
      <c r="A597" s="145"/>
      <c r="B597" s="145"/>
      <c r="C597" s="145"/>
    </row>
    <row r="598" spans="1:3" s="114" customFormat="1">
      <c r="A598" s="145"/>
      <c r="B598" s="145"/>
      <c r="C598" s="145"/>
    </row>
    <row r="599" spans="1:3" s="114" customFormat="1">
      <c r="A599" s="145"/>
      <c r="B599" s="145"/>
      <c r="C599" s="145"/>
    </row>
    <row r="600" spans="1:3" s="114" customFormat="1">
      <c r="A600" s="145"/>
      <c r="B600" s="145"/>
      <c r="C600" s="145"/>
    </row>
    <row r="601" spans="1:3" s="114" customFormat="1">
      <c r="A601" s="145"/>
      <c r="B601" s="145"/>
      <c r="C601" s="145"/>
    </row>
    <row r="602" spans="1:3" s="114" customFormat="1">
      <c r="A602" s="145"/>
      <c r="B602" s="145"/>
      <c r="C602" s="145"/>
    </row>
    <row r="603" spans="1:3" s="114" customFormat="1">
      <c r="A603" s="145"/>
      <c r="B603" s="145"/>
      <c r="C603" s="145"/>
    </row>
    <row r="604" spans="1:3" s="114" customFormat="1">
      <c r="A604" s="145"/>
      <c r="B604" s="145"/>
      <c r="C604" s="145"/>
    </row>
    <row r="605" spans="1:3" s="114" customFormat="1">
      <c r="A605" s="145"/>
      <c r="B605" s="145"/>
      <c r="C605" s="145"/>
    </row>
    <row r="606" spans="1:3" s="114" customFormat="1">
      <c r="A606" s="145"/>
      <c r="B606" s="145"/>
      <c r="C606" s="145"/>
    </row>
    <row r="607" spans="1:3" s="114" customFormat="1">
      <c r="A607" s="145"/>
      <c r="B607" s="145"/>
      <c r="C607" s="145"/>
    </row>
    <row r="608" spans="1:3" s="114" customFormat="1">
      <c r="A608" s="145"/>
      <c r="B608" s="145"/>
      <c r="C608" s="145"/>
    </row>
    <row r="609" spans="1:3" s="114" customFormat="1">
      <c r="A609" s="145"/>
      <c r="B609" s="145"/>
      <c r="C609" s="145"/>
    </row>
    <row r="610" spans="1:3" s="114" customFormat="1">
      <c r="A610" s="145"/>
      <c r="B610" s="145"/>
      <c r="C610" s="145"/>
    </row>
    <row r="611" spans="1:3" s="114" customFormat="1">
      <c r="A611" s="145"/>
      <c r="B611" s="145"/>
      <c r="C611" s="145"/>
    </row>
    <row r="612" spans="1:3" s="114" customFormat="1">
      <c r="A612" s="145"/>
      <c r="B612" s="145"/>
      <c r="C612" s="145"/>
    </row>
    <row r="613" spans="1:3" s="114" customFormat="1">
      <c r="A613" s="145"/>
      <c r="B613" s="145"/>
      <c r="C613" s="145"/>
    </row>
    <row r="614" spans="1:3" s="114" customFormat="1">
      <c r="A614" s="145"/>
      <c r="B614" s="145"/>
      <c r="C614" s="145"/>
    </row>
    <row r="615" spans="1:3" s="114" customFormat="1">
      <c r="A615" s="145"/>
      <c r="B615" s="145"/>
      <c r="C615" s="145"/>
    </row>
    <row r="616" spans="1:3" s="114" customFormat="1">
      <c r="A616" s="145"/>
      <c r="B616" s="145"/>
      <c r="C616" s="145"/>
    </row>
    <row r="617" spans="1:3" s="114" customFormat="1">
      <c r="A617" s="145"/>
      <c r="B617" s="145"/>
      <c r="C617" s="145"/>
    </row>
    <row r="618" spans="1:3" s="114" customFormat="1">
      <c r="A618" s="145"/>
      <c r="B618" s="145"/>
      <c r="C618" s="145"/>
    </row>
    <row r="619" spans="1:3" s="114" customFormat="1">
      <c r="A619" s="145"/>
      <c r="B619" s="145"/>
      <c r="C619" s="145"/>
    </row>
    <row r="620" spans="1:3" s="114" customFormat="1">
      <c r="A620" s="145"/>
      <c r="B620" s="145"/>
      <c r="C620" s="145"/>
    </row>
    <row r="621" spans="1:3" s="114" customFormat="1">
      <c r="A621" s="145"/>
      <c r="B621" s="145"/>
      <c r="C621" s="145"/>
    </row>
    <row r="622" spans="1:3" s="114" customFormat="1">
      <c r="A622" s="145"/>
      <c r="B622" s="145"/>
      <c r="C622" s="145"/>
    </row>
    <row r="623" spans="1:3" s="114" customFormat="1">
      <c r="A623" s="145"/>
      <c r="B623" s="145"/>
      <c r="C623" s="145"/>
    </row>
    <row r="624" spans="1:3" s="114" customFormat="1">
      <c r="A624" s="145"/>
      <c r="B624" s="145"/>
      <c r="C624" s="145"/>
    </row>
    <row r="625" spans="1:3" s="114" customFormat="1">
      <c r="A625" s="145"/>
      <c r="B625" s="145"/>
      <c r="C625" s="145"/>
    </row>
    <row r="626" spans="1:3" s="114" customFormat="1">
      <c r="A626" s="145"/>
      <c r="B626" s="145"/>
      <c r="C626" s="145"/>
    </row>
    <row r="627" spans="1:3" s="114" customFormat="1">
      <c r="A627" s="145"/>
      <c r="B627" s="145"/>
      <c r="C627" s="145"/>
    </row>
    <row r="628" spans="1:3" s="114" customFormat="1">
      <c r="A628" s="145"/>
      <c r="B628" s="145"/>
      <c r="C628" s="145"/>
    </row>
    <row r="629" spans="1:3" s="114" customFormat="1">
      <c r="A629" s="145"/>
      <c r="B629" s="145"/>
      <c r="C629" s="145"/>
    </row>
    <row r="630" spans="1:3" s="114" customFormat="1">
      <c r="A630" s="145"/>
      <c r="B630" s="145"/>
      <c r="C630" s="145"/>
    </row>
    <row r="631" spans="1:3" s="114" customFormat="1">
      <c r="A631" s="145"/>
      <c r="B631" s="145"/>
      <c r="C631" s="145"/>
    </row>
    <row r="632" spans="1:3" s="114" customFormat="1">
      <c r="A632" s="145"/>
      <c r="B632" s="145"/>
      <c r="C632" s="145"/>
    </row>
    <row r="633" spans="1:3" s="114" customFormat="1">
      <c r="A633" s="145"/>
      <c r="B633" s="145"/>
      <c r="C633" s="145"/>
    </row>
    <row r="634" spans="1:3" s="114" customFormat="1">
      <c r="A634" s="145"/>
      <c r="B634" s="145"/>
      <c r="C634" s="145"/>
    </row>
    <row r="635" spans="1:3" s="114" customFormat="1">
      <c r="A635" s="145"/>
      <c r="B635" s="145"/>
      <c r="C635" s="145"/>
    </row>
    <row r="636" spans="1:3" s="114" customFormat="1">
      <c r="A636" s="145"/>
      <c r="B636" s="145"/>
      <c r="C636" s="145"/>
    </row>
    <row r="637" spans="1:3" s="114" customFormat="1">
      <c r="A637" s="145"/>
      <c r="B637" s="145"/>
      <c r="C637" s="145"/>
    </row>
    <row r="638" spans="1:3" s="114" customFormat="1">
      <c r="A638" s="145"/>
      <c r="B638" s="145"/>
      <c r="C638" s="145"/>
    </row>
    <row r="639" spans="1:3" s="114" customFormat="1">
      <c r="A639" s="145"/>
      <c r="B639" s="145"/>
      <c r="C639" s="145"/>
    </row>
    <row r="640" spans="1:3" s="114" customFormat="1">
      <c r="A640" s="145"/>
      <c r="B640" s="145"/>
      <c r="C640" s="145"/>
    </row>
    <row r="641" spans="1:3" s="114" customFormat="1">
      <c r="A641" s="145"/>
      <c r="B641" s="145"/>
      <c r="C641" s="145"/>
    </row>
    <row r="642" spans="1:3" s="114" customFormat="1">
      <c r="A642" s="145"/>
      <c r="B642" s="145"/>
      <c r="C642" s="145"/>
    </row>
    <row r="643" spans="1:3" s="114" customFormat="1">
      <c r="A643" s="145"/>
      <c r="B643" s="145"/>
      <c r="C643" s="145"/>
    </row>
    <row r="644" spans="1:3" s="114" customFormat="1">
      <c r="A644" s="145"/>
      <c r="B644" s="145"/>
      <c r="C644" s="145"/>
    </row>
    <row r="645" spans="1:3" s="114" customFormat="1">
      <c r="A645" s="145"/>
      <c r="B645" s="145"/>
      <c r="C645" s="145"/>
    </row>
    <row r="646" spans="1:3" s="114" customFormat="1">
      <c r="A646" s="145"/>
      <c r="B646" s="145"/>
      <c r="C646" s="145"/>
    </row>
    <row r="647" spans="1:3" s="114" customFormat="1">
      <c r="A647" s="145"/>
      <c r="B647" s="145"/>
      <c r="C647" s="145"/>
    </row>
    <row r="648" spans="1:3" s="114" customFormat="1">
      <c r="A648" s="145"/>
      <c r="B648" s="145"/>
      <c r="C648" s="145"/>
    </row>
    <row r="649" spans="1:3" s="114" customFormat="1">
      <c r="A649" s="145"/>
      <c r="B649" s="145"/>
      <c r="C649" s="145"/>
    </row>
    <row r="650" spans="1:3" s="114" customFormat="1">
      <c r="A650" s="145"/>
      <c r="B650" s="145"/>
      <c r="C650" s="145"/>
    </row>
    <row r="651" spans="1:3" s="114" customFormat="1">
      <c r="A651" s="145"/>
      <c r="B651" s="145"/>
      <c r="C651" s="145"/>
    </row>
    <row r="652" spans="1:3" s="114" customFormat="1">
      <c r="A652" s="145"/>
      <c r="B652" s="145"/>
      <c r="C652" s="145"/>
    </row>
    <row r="653" spans="1:3" s="114" customFormat="1">
      <c r="A653" s="145"/>
      <c r="B653" s="145"/>
      <c r="C653" s="145"/>
    </row>
    <row r="654" spans="1:3" s="114" customFormat="1">
      <c r="A654" s="145"/>
      <c r="B654" s="145"/>
      <c r="C654" s="145"/>
    </row>
    <row r="655" spans="1:3" s="114" customFormat="1">
      <c r="A655" s="145"/>
      <c r="B655" s="145"/>
      <c r="C655" s="145"/>
    </row>
    <row r="656" spans="1:3" s="114" customFormat="1">
      <c r="A656" s="145"/>
      <c r="B656" s="145"/>
      <c r="C656" s="145"/>
    </row>
    <row r="657" spans="1:3" s="114" customFormat="1">
      <c r="A657" s="145"/>
      <c r="B657" s="145"/>
      <c r="C657" s="145"/>
    </row>
    <row r="658" spans="1:3" s="114" customFormat="1">
      <c r="A658" s="145"/>
      <c r="B658" s="145"/>
      <c r="C658" s="145"/>
    </row>
    <row r="659" spans="1:3" s="114" customFormat="1">
      <c r="A659" s="145"/>
      <c r="B659" s="145"/>
      <c r="C659" s="145"/>
    </row>
    <row r="660" spans="1:3" s="114" customFormat="1">
      <c r="A660" s="145"/>
      <c r="B660" s="145"/>
      <c r="C660" s="145"/>
    </row>
    <row r="661" spans="1:3" s="114" customFormat="1">
      <c r="A661" s="145"/>
      <c r="B661" s="145"/>
      <c r="C661" s="145"/>
    </row>
    <row r="662" spans="1:3" s="114" customFormat="1">
      <c r="A662" s="145"/>
      <c r="B662" s="145"/>
      <c r="C662" s="145"/>
    </row>
    <row r="663" spans="1:3" s="114" customFormat="1">
      <c r="A663" s="145"/>
      <c r="B663" s="145"/>
      <c r="C663" s="145"/>
    </row>
    <row r="664" spans="1:3" s="114" customFormat="1">
      <c r="A664" s="145"/>
      <c r="B664" s="145"/>
      <c r="C664" s="145"/>
    </row>
    <row r="665" spans="1:3" s="114" customFormat="1">
      <c r="A665" s="145"/>
      <c r="B665" s="145"/>
      <c r="C665" s="145"/>
    </row>
    <row r="666" spans="1:3" s="114" customFormat="1">
      <c r="A666" s="145"/>
      <c r="B666" s="145"/>
      <c r="C666" s="145"/>
    </row>
    <row r="667" spans="1:3" s="114" customFormat="1">
      <c r="A667" s="145"/>
      <c r="B667" s="145"/>
      <c r="C667" s="145"/>
    </row>
    <row r="668" spans="1:3" s="114" customFormat="1">
      <c r="A668" s="145"/>
      <c r="B668" s="145"/>
      <c r="C668" s="145"/>
    </row>
    <row r="669" spans="1:3" s="114" customFormat="1">
      <c r="A669" s="145"/>
      <c r="B669" s="145"/>
      <c r="C669" s="145"/>
    </row>
    <row r="670" spans="1:3" s="114" customFormat="1">
      <c r="A670" s="145"/>
      <c r="B670" s="145"/>
      <c r="C670" s="145"/>
    </row>
    <row r="671" spans="1:3" s="114" customFormat="1">
      <c r="A671" s="145"/>
      <c r="B671" s="145"/>
      <c r="C671" s="145"/>
    </row>
    <row r="672" spans="1:3" s="114" customFormat="1">
      <c r="A672" s="145"/>
      <c r="B672" s="145"/>
      <c r="C672" s="145"/>
    </row>
    <row r="673" spans="1:3" s="114" customFormat="1">
      <c r="A673" s="145"/>
      <c r="B673" s="145"/>
      <c r="C673" s="145"/>
    </row>
    <row r="674" spans="1:3" s="114" customFormat="1">
      <c r="A674" s="145"/>
      <c r="B674" s="145"/>
      <c r="C674" s="145"/>
    </row>
    <row r="675" spans="1:3" s="114" customFormat="1">
      <c r="A675" s="145"/>
      <c r="B675" s="145"/>
      <c r="C675" s="145"/>
    </row>
    <row r="676" spans="1:3" s="114" customFormat="1">
      <c r="A676" s="145"/>
      <c r="B676" s="145"/>
      <c r="C676" s="145"/>
    </row>
    <row r="677" spans="1:3" s="114" customFormat="1">
      <c r="A677" s="145"/>
      <c r="B677" s="145"/>
      <c r="C677" s="145"/>
    </row>
    <row r="678" spans="1:3" s="114" customFormat="1">
      <c r="A678" s="145"/>
      <c r="B678" s="145"/>
      <c r="C678" s="145"/>
    </row>
    <row r="679" spans="1:3" s="114" customFormat="1">
      <c r="A679" s="145"/>
      <c r="B679" s="145"/>
      <c r="C679" s="145"/>
    </row>
    <row r="680" spans="1:3" s="114" customFormat="1">
      <c r="A680" s="145"/>
      <c r="B680" s="145"/>
      <c r="C680" s="145"/>
    </row>
    <row r="681" spans="1:3" s="114" customFormat="1">
      <c r="A681" s="145"/>
      <c r="B681" s="145"/>
      <c r="C681" s="145"/>
    </row>
    <row r="682" spans="1:3" s="114" customFormat="1">
      <c r="A682" s="145"/>
      <c r="B682" s="145"/>
      <c r="C682" s="145"/>
    </row>
    <row r="683" spans="1:3" s="114" customFormat="1">
      <c r="A683" s="145"/>
      <c r="B683" s="145"/>
      <c r="C683" s="145"/>
    </row>
    <row r="684" spans="1:3" s="114" customFormat="1">
      <c r="A684" s="145"/>
      <c r="B684" s="145"/>
      <c r="C684" s="145"/>
    </row>
    <row r="685" spans="1:3" s="114" customFormat="1">
      <c r="A685" s="145"/>
      <c r="B685" s="145"/>
      <c r="C685" s="145"/>
    </row>
    <row r="686" spans="1:3" s="114" customFormat="1">
      <c r="A686" s="145"/>
      <c r="B686" s="145"/>
      <c r="C686" s="145"/>
    </row>
    <row r="687" spans="1:3" s="114" customFormat="1">
      <c r="A687" s="145"/>
      <c r="B687" s="145"/>
      <c r="C687" s="145"/>
    </row>
    <row r="688" spans="1:3" s="114" customFormat="1">
      <c r="A688" s="145"/>
      <c r="B688" s="145"/>
      <c r="C688" s="145"/>
    </row>
    <row r="689" spans="1:3" s="114" customFormat="1">
      <c r="A689" s="145"/>
      <c r="B689" s="145"/>
      <c r="C689" s="145"/>
    </row>
    <row r="690" spans="1:3" s="114" customFormat="1">
      <c r="A690" s="145"/>
      <c r="B690" s="145"/>
      <c r="C690" s="145"/>
    </row>
    <row r="691" spans="1:3" s="114" customFormat="1">
      <c r="A691" s="145"/>
      <c r="B691" s="145"/>
      <c r="C691" s="145"/>
    </row>
    <row r="692" spans="1:3" s="114" customFormat="1">
      <c r="A692" s="145"/>
      <c r="B692" s="145"/>
      <c r="C692" s="145"/>
    </row>
    <row r="693" spans="1:3" s="114" customFormat="1">
      <c r="A693" s="145"/>
      <c r="B693" s="145"/>
      <c r="C693" s="145"/>
    </row>
    <row r="694" spans="1:3" s="114" customFormat="1">
      <c r="A694" s="145"/>
      <c r="B694" s="145"/>
      <c r="C694" s="145"/>
    </row>
    <row r="695" spans="1:3" s="114" customFormat="1">
      <c r="A695" s="145"/>
      <c r="B695" s="145"/>
      <c r="C695" s="145"/>
    </row>
    <row r="696" spans="1:3" s="114" customFormat="1">
      <c r="A696" s="145"/>
      <c r="B696" s="145"/>
      <c r="C696" s="145"/>
    </row>
    <row r="697" spans="1:3" s="114" customFormat="1">
      <c r="A697" s="145"/>
      <c r="B697" s="145"/>
      <c r="C697" s="145"/>
    </row>
    <row r="698" spans="1:3" s="114" customFormat="1">
      <c r="A698" s="145"/>
      <c r="B698" s="145"/>
      <c r="C698" s="145"/>
    </row>
    <row r="699" spans="1:3" s="114" customFormat="1">
      <c r="A699" s="145"/>
      <c r="B699" s="145"/>
      <c r="C699" s="145"/>
    </row>
    <row r="700" spans="1:3" s="114" customFormat="1">
      <c r="A700" s="145"/>
      <c r="B700" s="145"/>
      <c r="C700" s="145"/>
    </row>
    <row r="701" spans="1:3" s="114" customFormat="1">
      <c r="A701" s="145"/>
      <c r="B701" s="145"/>
      <c r="C701" s="145"/>
    </row>
    <row r="702" spans="1:3" s="114" customFormat="1">
      <c r="A702" s="145"/>
      <c r="B702" s="145"/>
      <c r="C702" s="145"/>
    </row>
    <row r="703" spans="1:3" s="114" customFormat="1">
      <c r="A703" s="145"/>
      <c r="B703" s="145"/>
      <c r="C703" s="145"/>
    </row>
    <row r="704" spans="1:3" s="114" customFormat="1">
      <c r="A704" s="145"/>
      <c r="B704" s="145"/>
      <c r="C704" s="145"/>
    </row>
    <row r="705" spans="1:3" s="114" customFormat="1">
      <c r="A705" s="145"/>
      <c r="B705" s="145"/>
      <c r="C705" s="145"/>
    </row>
    <row r="706" spans="1:3" s="114" customFormat="1">
      <c r="A706" s="145"/>
      <c r="B706" s="145"/>
      <c r="C706" s="145"/>
    </row>
    <row r="707" spans="1:3" s="114" customFormat="1">
      <c r="A707" s="145"/>
      <c r="B707" s="145"/>
      <c r="C707" s="145"/>
    </row>
    <row r="708" spans="1:3" s="114" customFormat="1">
      <c r="A708" s="145"/>
      <c r="B708" s="145"/>
      <c r="C708" s="145"/>
    </row>
    <row r="709" spans="1:3" s="114" customFormat="1">
      <c r="A709" s="145"/>
      <c r="B709" s="145"/>
      <c r="C709" s="145"/>
    </row>
    <row r="710" spans="1:3" s="114" customFormat="1">
      <c r="A710" s="145"/>
      <c r="B710" s="145"/>
      <c r="C710" s="145"/>
    </row>
    <row r="711" spans="1:3" s="114" customFormat="1">
      <c r="A711" s="145"/>
      <c r="B711" s="145"/>
      <c r="C711" s="145"/>
    </row>
    <row r="712" spans="1:3" s="114" customFormat="1">
      <c r="A712" s="145"/>
      <c r="B712" s="145"/>
      <c r="C712" s="145"/>
    </row>
    <row r="713" spans="1:3" s="114" customFormat="1">
      <c r="A713" s="145"/>
      <c r="B713" s="145"/>
      <c r="C713" s="145"/>
    </row>
    <row r="714" spans="1:3" s="114" customFormat="1">
      <c r="A714" s="145"/>
      <c r="B714" s="145"/>
      <c r="C714" s="145"/>
    </row>
    <row r="715" spans="1:3" s="114" customFormat="1">
      <c r="A715" s="145"/>
      <c r="B715" s="145"/>
      <c r="C715" s="145"/>
    </row>
    <row r="716" spans="1:3" s="114" customFormat="1">
      <c r="A716" s="145"/>
      <c r="B716" s="145"/>
      <c r="C716" s="145"/>
    </row>
    <row r="717" spans="1:3" s="114" customFormat="1">
      <c r="A717" s="145"/>
      <c r="B717" s="145"/>
      <c r="C717" s="145"/>
    </row>
    <row r="718" spans="1:3" s="114" customFormat="1">
      <c r="A718" s="145"/>
      <c r="B718" s="145"/>
      <c r="C718" s="145"/>
    </row>
    <row r="719" spans="1:3" s="114" customFormat="1">
      <c r="A719" s="145"/>
      <c r="B719" s="145"/>
      <c r="C719" s="145"/>
    </row>
    <row r="720" spans="1:3" s="114" customFormat="1">
      <c r="A720" s="145"/>
      <c r="B720" s="145"/>
      <c r="C720" s="145"/>
    </row>
    <row r="721" spans="1:3" s="114" customFormat="1">
      <c r="A721" s="145"/>
      <c r="B721" s="145"/>
      <c r="C721" s="145"/>
    </row>
    <row r="722" spans="1:3" s="114" customFormat="1">
      <c r="A722" s="145"/>
      <c r="B722" s="145"/>
      <c r="C722" s="145"/>
    </row>
    <row r="723" spans="1:3" s="114" customFormat="1">
      <c r="A723" s="145"/>
      <c r="B723" s="145"/>
      <c r="C723" s="145"/>
    </row>
    <row r="724" spans="1:3" s="114" customFormat="1">
      <c r="A724" s="145"/>
      <c r="B724" s="145"/>
      <c r="C724" s="145"/>
    </row>
    <row r="725" spans="1:3" s="114" customFormat="1">
      <c r="A725" s="145"/>
      <c r="B725" s="145"/>
      <c r="C725" s="145"/>
    </row>
    <row r="726" spans="1:3" s="114" customFormat="1">
      <c r="A726" s="145"/>
      <c r="B726" s="145"/>
      <c r="C726" s="145"/>
    </row>
    <row r="727" spans="1:3" s="114" customFormat="1">
      <c r="A727" s="145"/>
      <c r="B727" s="145"/>
      <c r="C727" s="145"/>
    </row>
    <row r="728" spans="1:3" s="114" customFormat="1">
      <c r="A728" s="145"/>
      <c r="B728" s="145"/>
      <c r="C728" s="145"/>
    </row>
    <row r="729" spans="1:3" s="114" customFormat="1">
      <c r="A729" s="145"/>
      <c r="B729" s="145"/>
      <c r="C729" s="145"/>
    </row>
    <row r="730" spans="1:3" s="114" customFormat="1">
      <c r="A730" s="145"/>
      <c r="B730" s="145"/>
      <c r="C730" s="145"/>
    </row>
    <row r="731" spans="1:3" s="114" customFormat="1">
      <c r="A731" s="145"/>
      <c r="B731" s="145"/>
      <c r="C731" s="145"/>
    </row>
    <row r="732" spans="1:3" s="114" customFormat="1">
      <c r="A732" s="145"/>
      <c r="B732" s="145"/>
      <c r="C732" s="145"/>
    </row>
    <row r="733" spans="1:3" s="114" customFormat="1">
      <c r="A733" s="145"/>
      <c r="B733" s="145"/>
      <c r="C733" s="145"/>
    </row>
    <row r="734" spans="1:3" s="114" customFormat="1">
      <c r="A734" s="145"/>
      <c r="B734" s="145"/>
      <c r="C734" s="145"/>
    </row>
    <row r="735" spans="1:3" s="114" customFormat="1">
      <c r="A735" s="145"/>
      <c r="B735" s="145"/>
      <c r="C735" s="145"/>
    </row>
    <row r="736" spans="1:3" s="114" customFormat="1">
      <c r="A736" s="145"/>
      <c r="B736" s="145"/>
      <c r="C736" s="145"/>
    </row>
    <row r="737" spans="1:3" s="114" customFormat="1">
      <c r="A737" s="145"/>
      <c r="B737" s="145"/>
      <c r="C737" s="145"/>
    </row>
    <row r="738" spans="1:3" s="114" customFormat="1">
      <c r="A738" s="145"/>
      <c r="B738" s="145"/>
      <c r="C738" s="145"/>
    </row>
    <row r="739" spans="1:3" s="114" customFormat="1">
      <c r="A739" s="145"/>
      <c r="B739" s="145"/>
      <c r="C739" s="145"/>
    </row>
    <row r="740" spans="1:3" s="114" customFormat="1">
      <c r="A740" s="145"/>
      <c r="B740" s="145"/>
      <c r="C740" s="145"/>
    </row>
    <row r="741" spans="1:3" s="114" customFormat="1">
      <c r="A741" s="145"/>
      <c r="B741" s="145"/>
      <c r="C741" s="145"/>
    </row>
    <row r="742" spans="1:3" s="114" customFormat="1">
      <c r="A742" s="145"/>
      <c r="B742" s="145"/>
      <c r="C742" s="145"/>
    </row>
    <row r="743" spans="1:3" s="114" customFormat="1">
      <c r="A743" s="145"/>
      <c r="B743" s="145"/>
      <c r="C743" s="145"/>
    </row>
    <row r="744" spans="1:3" s="114" customFormat="1">
      <c r="A744" s="145"/>
      <c r="B744" s="145"/>
      <c r="C744" s="145"/>
    </row>
    <row r="745" spans="1:3" s="114" customFormat="1">
      <c r="A745" s="145"/>
      <c r="B745" s="145"/>
      <c r="C745" s="145"/>
    </row>
    <row r="746" spans="1:3" s="114" customFormat="1">
      <c r="A746" s="145"/>
      <c r="B746" s="145"/>
      <c r="C746" s="145"/>
    </row>
    <row r="747" spans="1:3" s="114" customFormat="1">
      <c r="A747" s="145"/>
      <c r="B747" s="145"/>
      <c r="C747" s="145"/>
    </row>
    <row r="748" spans="1:3" s="114" customFormat="1">
      <c r="A748" s="145"/>
      <c r="B748" s="145"/>
      <c r="C748" s="145"/>
    </row>
    <row r="749" spans="1:3" s="114" customFormat="1">
      <c r="A749" s="145"/>
      <c r="B749" s="145"/>
      <c r="C749" s="145"/>
    </row>
    <row r="750" spans="1:3" s="114" customFormat="1">
      <c r="A750" s="145"/>
      <c r="B750" s="145"/>
      <c r="C750" s="145"/>
    </row>
    <row r="751" spans="1:3" s="114" customFormat="1">
      <c r="A751" s="145"/>
      <c r="B751" s="145"/>
      <c r="C751" s="145"/>
    </row>
    <row r="752" spans="1:3" s="114" customFormat="1">
      <c r="A752" s="145"/>
      <c r="B752" s="145"/>
      <c r="C752" s="145"/>
    </row>
    <row r="753" spans="1:3" s="114" customFormat="1">
      <c r="A753" s="145"/>
      <c r="B753" s="145"/>
      <c r="C753" s="145"/>
    </row>
    <row r="754" spans="1:3" s="114" customFormat="1">
      <c r="A754" s="145"/>
      <c r="B754" s="145"/>
      <c r="C754" s="145"/>
    </row>
    <row r="755" spans="1:3" s="114" customFormat="1">
      <c r="A755" s="145"/>
      <c r="B755" s="145"/>
      <c r="C755" s="145"/>
    </row>
    <row r="756" spans="1:3" s="114" customFormat="1">
      <c r="A756" s="145"/>
      <c r="B756" s="145"/>
      <c r="C756" s="145"/>
    </row>
    <row r="757" spans="1:3" s="114" customFormat="1">
      <c r="A757" s="145"/>
      <c r="B757" s="145"/>
      <c r="C757" s="145"/>
    </row>
    <row r="758" spans="1:3" s="114" customFormat="1">
      <c r="A758" s="145"/>
      <c r="B758" s="145"/>
      <c r="C758" s="145"/>
    </row>
    <row r="759" spans="1:3" s="114" customFormat="1">
      <c r="A759" s="145"/>
      <c r="B759" s="145"/>
      <c r="C759" s="145"/>
    </row>
    <row r="760" spans="1:3" s="114" customFormat="1">
      <c r="A760" s="145"/>
      <c r="B760" s="145"/>
      <c r="C760" s="145"/>
    </row>
    <row r="761" spans="1:3" s="114" customFormat="1">
      <c r="A761" s="145"/>
      <c r="B761" s="145"/>
      <c r="C761" s="145"/>
    </row>
    <row r="762" spans="1:3" s="114" customFormat="1">
      <c r="A762" s="145"/>
      <c r="B762" s="145"/>
      <c r="C762" s="145"/>
    </row>
    <row r="763" spans="1:3" s="114" customFormat="1">
      <c r="A763" s="145"/>
      <c r="B763" s="145"/>
      <c r="C763" s="145"/>
    </row>
    <row r="764" spans="1:3" s="114" customFormat="1">
      <c r="A764" s="145"/>
      <c r="B764" s="145"/>
      <c r="C764" s="145"/>
    </row>
    <row r="765" spans="1:3" s="114" customFormat="1">
      <c r="A765" s="145"/>
      <c r="B765" s="145"/>
      <c r="C765" s="145"/>
    </row>
    <row r="766" spans="1:3" s="114" customFormat="1">
      <c r="A766" s="145"/>
      <c r="B766" s="145"/>
      <c r="C766" s="145"/>
    </row>
    <row r="767" spans="1:3" s="114" customFormat="1">
      <c r="A767" s="145"/>
      <c r="B767" s="145"/>
      <c r="C767" s="145"/>
    </row>
    <row r="768" spans="1:3" s="114" customFormat="1">
      <c r="A768" s="145"/>
      <c r="B768" s="145"/>
      <c r="C768" s="145"/>
    </row>
    <row r="769" spans="1:23" s="114" customFormat="1">
      <c r="A769" s="145"/>
      <c r="B769" s="145"/>
      <c r="C769" s="145"/>
    </row>
    <row r="770" spans="1:23" s="114" customFormat="1">
      <c r="A770" s="145"/>
      <c r="B770" s="145"/>
      <c r="C770" s="145"/>
    </row>
    <row r="771" spans="1:23" s="114" customFormat="1">
      <c r="A771" s="145"/>
      <c r="B771" s="145"/>
      <c r="C771" s="145"/>
    </row>
    <row r="772" spans="1:23" s="114" customFormat="1">
      <c r="A772" s="145"/>
      <c r="B772" s="145"/>
      <c r="C772" s="145"/>
    </row>
    <row r="773" spans="1:23" s="114" customFormat="1">
      <c r="A773" s="145"/>
      <c r="B773" s="145"/>
      <c r="C773" s="145"/>
    </row>
    <row r="774" spans="1:23" s="114" customFormat="1">
      <c r="A774" s="145"/>
      <c r="B774" s="145"/>
      <c r="C774" s="145"/>
    </row>
    <row r="775" spans="1:23" s="114" customFormat="1">
      <c r="A775" s="145"/>
      <c r="B775" s="145"/>
      <c r="C775" s="145"/>
    </row>
    <row r="776" spans="1:23" s="114" customFormat="1">
      <c r="A776" s="145"/>
      <c r="B776" s="145"/>
      <c r="C776" s="145"/>
    </row>
    <row r="777" spans="1:23" s="114" customFormat="1">
      <c r="A777" s="145"/>
      <c r="B777" s="145"/>
      <c r="C777" s="145"/>
    </row>
    <row r="778" spans="1:23" s="114" customFormat="1">
      <c r="A778" s="145"/>
      <c r="B778" s="145"/>
      <c r="C778" s="145"/>
    </row>
    <row r="779" spans="1:23" s="114" customFormat="1">
      <c r="A779" s="145"/>
      <c r="B779" s="145"/>
      <c r="C779" s="145"/>
    </row>
    <row r="780" spans="1:23" s="114" customFormat="1">
      <c r="A780" s="145"/>
      <c r="B780" s="145"/>
      <c r="C780" s="145"/>
    </row>
    <row r="781" spans="1:23" s="114" customFormat="1">
      <c r="A781" s="145"/>
      <c r="B781" s="145"/>
      <c r="C781" s="145"/>
    </row>
    <row r="782" spans="1:23" s="114" customFormat="1">
      <c r="A782" s="145"/>
      <c r="B782" s="145"/>
      <c r="C782" s="145"/>
      <c r="U782" s="53"/>
      <c r="V782" s="53"/>
      <c r="W782" s="53"/>
    </row>
    <row r="783" spans="1:23">
      <c r="G783" s="114"/>
    </row>
    <row r="784" spans="1:23">
      <c r="G784" s="114"/>
    </row>
    <row r="785" spans="7:7">
      <c r="G785" s="114"/>
    </row>
    <row r="786" spans="7:7">
      <c r="G786" s="114"/>
    </row>
    <row r="787" spans="7:7">
      <c r="G787" s="114"/>
    </row>
    <row r="788" spans="7:7">
      <c r="G788" s="114"/>
    </row>
    <row r="789" spans="7:7">
      <c r="G789" s="114"/>
    </row>
    <row r="790" spans="7:7">
      <c r="G790" s="114"/>
    </row>
    <row r="791" spans="7:7">
      <c r="G791" s="114"/>
    </row>
    <row r="792" spans="7:7">
      <c r="G792" s="114"/>
    </row>
    <row r="793" spans="7:7">
      <c r="G793" s="114"/>
    </row>
    <row r="794" spans="7:7">
      <c r="G794" s="114"/>
    </row>
    <row r="795" spans="7:7">
      <c r="G795" s="114"/>
    </row>
    <row r="796" spans="7:7">
      <c r="G796" s="114"/>
    </row>
    <row r="797" spans="7:7">
      <c r="G797" s="114"/>
    </row>
    <row r="798" spans="7:7">
      <c r="G798" s="114"/>
    </row>
    <row r="799" spans="7:7">
      <c r="G799" s="114"/>
    </row>
    <row r="800" spans="7:7">
      <c r="G800" s="114"/>
    </row>
    <row r="801" spans="7:7">
      <c r="G801" s="114"/>
    </row>
    <row r="802" spans="7:7">
      <c r="G802" s="114"/>
    </row>
    <row r="803" spans="7:7">
      <c r="G803" s="114"/>
    </row>
    <row r="804" spans="7:7">
      <c r="G804" s="114"/>
    </row>
    <row r="805" spans="7:7">
      <c r="G805" s="114"/>
    </row>
    <row r="806" spans="7:7">
      <c r="G806" s="114"/>
    </row>
    <row r="807" spans="7:7">
      <c r="G807" s="114"/>
    </row>
    <row r="808" spans="7:7">
      <c r="G808" s="114"/>
    </row>
  </sheetData>
  <sortState xmlns:xlrd2="http://schemas.microsoft.com/office/spreadsheetml/2017/richdata2" ref="A12:W47">
    <sortCondition ref="F12:F47"/>
  </sortState>
  <mergeCells count="3">
    <mergeCell ref="A5:C5"/>
    <mergeCell ref="U7:W7"/>
    <mergeCell ref="B8:C8"/>
  </mergeCells>
  <hyperlinks>
    <hyperlink ref="L1" location="Index!A1" display="Return to Index" xr:uid="{00000000-0004-0000-0B00-000000000000}"/>
  </hyperlinks>
  <printOptions horizontalCentered="1"/>
  <pageMargins left="0.25" right="0.25" top="0.5" bottom="0.5" header="0.5" footer="0.5"/>
  <pageSetup scale="78" orientation="landscape" horizontalDpi="1200" verticalDpi="1200" r:id="rId1"/>
  <headerFooter alignWithMargins="0">
    <oddFooter>&amp;L&amp;8Planning &amp; Accountability&amp;R&amp;8&amp;D</oddFooter>
  </headerFooter>
  <rowBreaks count="1" manualBreakCount="1">
    <brk id="49" max="10" man="1"/>
  </rowBreaks>
  <legacyDrawing r:id="rId2"/>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Sheet97">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4.85546875" style="164" customWidth="1"/>
    <col min="15" max="15" width="14.42578125" style="261" customWidth="1"/>
    <col min="16" max="16" width="25.7109375" style="264" customWidth="1"/>
    <col min="17" max="17" width="16.42578125" style="264" customWidth="1"/>
    <col min="18" max="18" width="17.140625" style="264" customWidth="1"/>
    <col min="19" max="19" width="1.7109375" style="264" customWidth="1"/>
    <col min="20" max="20" width="17.140625" style="264" customWidth="1"/>
    <col min="21" max="21" width="16.85546875" style="264" customWidth="1"/>
    <col min="22" max="23" width="19.28515625" style="264" customWidth="1"/>
    <col min="24" max="24" width="16.855468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13" t="str">
        <f>'UHV Chrts'!$A$1</f>
        <v>University of Houston - Victoria</v>
      </c>
      <c r="C2" s="1713"/>
      <c r="D2" s="1713"/>
      <c r="E2" s="1713"/>
      <c r="F2" s="1742"/>
      <c r="G2" s="160"/>
      <c r="H2" s="161"/>
      <c r="I2" s="320" t="str">
        <f>IF($B$2&lt;&gt;Input!$B$29,"Name Mismatch","")</f>
        <v/>
      </c>
      <c r="J2" s="168"/>
      <c r="K2" s="169"/>
      <c r="L2" s="169"/>
      <c r="M2" s="170"/>
      <c r="O2" s="835" t="s">
        <v>1200</v>
      </c>
      <c r="P2" s="36"/>
    </row>
    <row r="3" spans="1:28" ht="20.25">
      <c r="A3" s="184">
        <v>2</v>
      </c>
      <c r="B3" s="1713" t="str">
        <f>'Smmy Chrts'!$A$2</f>
        <v>For the Year Ended August 31, 2021</v>
      </c>
      <c r="C3" s="1713"/>
      <c r="D3" s="1713"/>
      <c r="E3" s="1713"/>
      <c r="F3" s="1742"/>
      <c r="G3" s="161"/>
      <c r="H3" s="161"/>
      <c r="I3" s="169"/>
      <c r="J3" s="168"/>
      <c r="K3" s="169"/>
      <c r="L3" s="169"/>
      <c r="M3" s="170"/>
      <c r="O3" s="74"/>
    </row>
    <row r="4" spans="1:28" ht="20.25">
      <c r="A4" s="184">
        <v>3</v>
      </c>
      <c r="B4" s="1713" t="str">
        <f>'Smmy Chrts'!$A$3</f>
        <v>Source: FY 2021 Annual Financial Report</v>
      </c>
      <c r="C4" s="1713"/>
      <c r="D4" s="1713"/>
      <c r="E4" s="1713"/>
      <c r="F4" s="1742"/>
      <c r="G4" s="161"/>
      <c r="H4" s="161"/>
      <c r="I4" s="169"/>
      <c r="J4" s="168"/>
      <c r="K4" s="169"/>
      <c r="L4" s="169"/>
      <c r="M4" s="170"/>
      <c r="O4" s="74"/>
      <c r="P4" s="1744" t="s">
        <v>93</v>
      </c>
      <c r="Q4" s="1745"/>
      <c r="T4" s="36" t="s">
        <v>250</v>
      </c>
    </row>
    <row r="5" spans="1:28">
      <c r="A5" s="184">
        <v>4</v>
      </c>
      <c r="B5" s="160"/>
      <c r="C5" s="160"/>
      <c r="D5" s="160"/>
      <c r="E5" s="160"/>
      <c r="F5" s="160"/>
      <c r="G5" s="160"/>
      <c r="H5" s="160"/>
      <c r="I5" s="160"/>
      <c r="J5" s="160"/>
      <c r="K5" s="160"/>
      <c r="L5" s="160"/>
      <c r="M5" s="166"/>
      <c r="O5" s="262"/>
    </row>
    <row r="6" spans="1:28">
      <c r="A6" s="184">
        <v>5</v>
      </c>
      <c r="B6" s="1715" t="str">
        <f>'Smmy Chrts'!$C$32</f>
        <v>Detail Worksheet FY 2021</v>
      </c>
      <c r="C6" s="1715"/>
      <c r="D6" s="1743"/>
      <c r="E6" s="1743"/>
      <c r="F6" s="1743"/>
      <c r="G6" s="1743"/>
      <c r="H6" s="1743"/>
      <c r="I6" s="1743"/>
      <c r="J6" s="1743"/>
      <c r="K6" s="1743"/>
      <c r="L6" s="1743"/>
      <c r="M6" s="1743"/>
      <c r="O6" s="265"/>
    </row>
    <row r="7" spans="1:28">
      <c r="A7" s="184">
        <v>6</v>
      </c>
      <c r="B7" s="172"/>
      <c r="C7" s="172"/>
      <c r="D7" s="160"/>
      <c r="E7" s="160"/>
      <c r="F7" s="160"/>
      <c r="G7" s="160"/>
      <c r="H7" s="160"/>
      <c r="I7" s="160"/>
      <c r="J7" s="160"/>
      <c r="K7" s="160"/>
      <c r="L7" s="160"/>
      <c r="M7" s="173" t="str">
        <f>'Smmy Chrts'!$C$33</f>
        <v>FY 2021</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Input!$M$29</f>
        <v>17625883</v>
      </c>
      <c r="E10" s="372">
        <f>Input!$N$29</f>
        <v>0</v>
      </c>
      <c r="F10" s="372">
        <f>Input!$O$29</f>
        <v>0</v>
      </c>
      <c r="G10" s="372">
        <f>Input!$P$29</f>
        <v>0</v>
      </c>
      <c r="H10" s="372">
        <f>Input!$Q$29</f>
        <v>0</v>
      </c>
      <c r="I10" s="372">
        <f>Input!$R$29</f>
        <v>0</v>
      </c>
      <c r="J10" s="372">
        <f>Input!$S$29</f>
        <v>0</v>
      </c>
      <c r="K10" s="372">
        <f>Input!$T$29</f>
        <v>0</v>
      </c>
      <c r="L10" s="372">
        <f>Input!$U$29</f>
        <v>0</v>
      </c>
      <c r="M10" s="373">
        <f t="shared" ref="M10:M15" si="0">D10+E10+F10+G10+H10+I10+J10+K10+L10</f>
        <v>17625883</v>
      </c>
      <c r="N10" s="160"/>
      <c r="O10" s="271"/>
      <c r="P10" s="1718" t="s">
        <v>575</v>
      </c>
      <c r="U10" s="268"/>
    </row>
    <row r="11" spans="1:28">
      <c r="A11" s="184">
        <v>10</v>
      </c>
      <c r="B11" s="160" t="s">
        <v>2</v>
      </c>
      <c r="C11" s="160"/>
      <c r="D11" s="372">
        <f>Input!$V$29</f>
        <v>29612</v>
      </c>
      <c r="E11" s="372">
        <f>Input!$W$29</f>
        <v>0</v>
      </c>
      <c r="F11" s="372">
        <f>Input!$X$29</f>
        <v>0</v>
      </c>
      <c r="G11" s="372">
        <f>Input!$Y$29</f>
        <v>2212446</v>
      </c>
      <c r="H11" s="372">
        <f>Input!$Z$29</f>
        <v>0</v>
      </c>
      <c r="I11" s="372">
        <f>Input!$AA$29</f>
        <v>0</v>
      </c>
      <c r="J11" s="372">
        <f>Input!$AB$29</f>
        <v>0</v>
      </c>
      <c r="K11" s="372">
        <f>Input!$AC$29</f>
        <v>0</v>
      </c>
      <c r="L11" s="372">
        <f>Input!$AD$29</f>
        <v>0</v>
      </c>
      <c r="M11" s="373">
        <f t="shared" si="0"/>
        <v>2242058</v>
      </c>
      <c r="N11" s="160"/>
      <c r="O11" s="482"/>
      <c r="P11" s="1719"/>
      <c r="U11" s="268"/>
    </row>
    <row r="12" spans="1:28" ht="12.75" hidden="1" customHeight="1">
      <c r="B12" s="160" t="s">
        <v>1410</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Input!$AN$29</f>
        <v>3542817</v>
      </c>
      <c r="E13" s="372">
        <f>Input!$AO$29</f>
        <v>0</v>
      </c>
      <c r="F13" s="372">
        <f>Input!$AP$29</f>
        <v>0</v>
      </c>
      <c r="G13" s="372">
        <f>Input!$AQ$29</f>
        <v>0</v>
      </c>
      <c r="H13" s="372">
        <f>Input!$AR$29</f>
        <v>0</v>
      </c>
      <c r="I13" s="372">
        <f>Input!$AS$29</f>
        <v>0</v>
      </c>
      <c r="J13" s="372">
        <f>Input!$AT$29</f>
        <v>0</v>
      </c>
      <c r="K13" s="372">
        <f>Input!$AU$29</f>
        <v>0</v>
      </c>
      <c r="L13" s="372">
        <f>Input!$AV$29</f>
        <v>0</v>
      </c>
      <c r="M13" s="373">
        <f t="shared" si="0"/>
        <v>3542817</v>
      </c>
      <c r="N13" s="160"/>
      <c r="O13" s="482" t="str">
        <f>IF(P13&lt;&gt;M13,"Out of Balance","Balanced")</f>
        <v>Balanced</v>
      </c>
      <c r="P13" s="484">
        <f>IFERROR(VLOOKUP($B$2,AMTLU,6,FALSE),0)</f>
        <v>3542817</v>
      </c>
      <c r="U13" s="268"/>
    </row>
    <row r="14" spans="1:28">
      <c r="A14" s="184">
        <v>13</v>
      </c>
      <c r="B14" s="160" t="s">
        <v>49</v>
      </c>
      <c r="C14" s="160"/>
      <c r="D14" s="372">
        <f>Input!$AW$29</f>
        <v>0</v>
      </c>
      <c r="E14" s="372">
        <f>Input!$AX$29</f>
        <v>0</v>
      </c>
      <c r="F14" s="372">
        <f>Input!$AY$29</f>
        <v>0</v>
      </c>
      <c r="G14" s="372">
        <f>Input!$AZ$29</f>
        <v>0</v>
      </c>
      <c r="H14" s="372">
        <f>Input!$BA$29</f>
        <v>0</v>
      </c>
      <c r="I14" s="372">
        <f>Input!$BB$29</f>
        <v>0</v>
      </c>
      <c r="J14" s="372">
        <f>Input!$BC$29</f>
        <v>0</v>
      </c>
      <c r="K14" s="372">
        <f>Input!$BD$29</f>
        <v>0</v>
      </c>
      <c r="L14" s="372">
        <f>Input!$BE$29</f>
        <v>0</v>
      </c>
      <c r="M14" s="373">
        <f t="shared" si="0"/>
        <v>0</v>
      </c>
      <c r="N14" s="160"/>
      <c r="O14" s="482"/>
      <c r="P14" s="485"/>
    </row>
    <row r="15" spans="1:28" ht="15">
      <c r="A15" s="184">
        <v>14</v>
      </c>
      <c r="B15" s="176" t="s">
        <v>3</v>
      </c>
      <c r="C15" s="176"/>
      <c r="D15" s="374">
        <f t="shared" ref="D15:L15" si="1">SUM(D10:D14)</f>
        <v>21198312</v>
      </c>
      <c r="E15" s="374">
        <f t="shared" si="1"/>
        <v>0</v>
      </c>
      <c r="F15" s="374">
        <f t="shared" si="1"/>
        <v>0</v>
      </c>
      <c r="G15" s="374">
        <f t="shared" si="1"/>
        <v>2212446</v>
      </c>
      <c r="H15" s="374">
        <f t="shared" si="1"/>
        <v>0</v>
      </c>
      <c r="I15" s="374">
        <f t="shared" si="1"/>
        <v>0</v>
      </c>
      <c r="J15" s="374">
        <f t="shared" si="1"/>
        <v>0</v>
      </c>
      <c r="K15" s="374">
        <f t="shared" si="1"/>
        <v>0</v>
      </c>
      <c r="L15" s="374">
        <f t="shared" si="1"/>
        <v>0</v>
      </c>
      <c r="M15" s="374">
        <f t="shared" si="0"/>
        <v>23410758</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58" t="s">
        <v>1042</v>
      </c>
      <c r="C18" s="558"/>
      <c r="D18" s="374">
        <f t="shared" ref="D18:L18" si="2">D23-SUM(D19:D22)</f>
        <v>7370478</v>
      </c>
      <c r="E18" s="374">
        <f t="shared" si="2"/>
        <v>18327485</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25697963</v>
      </c>
      <c r="V18" s="327"/>
      <c r="X18" s="330"/>
    </row>
    <row r="19" spans="1:26" s="264" customFormat="1" ht="12.75" customHeight="1" thickTop="1" thickBot="1">
      <c r="A19" s="263"/>
      <c r="B19" s="261" t="s">
        <v>722</v>
      </c>
      <c r="C19" s="261"/>
      <c r="D19" s="372">
        <f>Input!$BF$29</f>
        <v>-488714</v>
      </c>
      <c r="E19" s="372">
        <f>Input!$BG$29</f>
        <v>0</v>
      </c>
      <c r="F19" s="372">
        <f>Input!$BH$29</f>
        <v>0</v>
      </c>
      <c r="G19" s="372">
        <f>Input!$BI$29</f>
        <v>0</v>
      </c>
      <c r="H19" s="372">
        <f>Input!$BJ$29</f>
        <v>0</v>
      </c>
      <c r="I19" s="372">
        <f>Input!$BK$29</f>
        <v>0</v>
      </c>
      <c r="J19" s="372">
        <f>Input!$BL$29</f>
        <v>0</v>
      </c>
      <c r="K19" s="372">
        <f>Input!$BM$29</f>
        <v>0</v>
      </c>
      <c r="L19" s="372">
        <f>Input!$BN$29</f>
        <v>0</v>
      </c>
      <c r="M19" s="373">
        <f t="shared" si="3"/>
        <v>-488714</v>
      </c>
      <c r="O19" s="1732" t="s">
        <v>1294</v>
      </c>
      <c r="P19" s="1733"/>
      <c r="Q19" s="1733"/>
      <c r="R19" s="1734"/>
      <c r="T19" s="1735" t="s">
        <v>1043</v>
      </c>
      <c r="U19" s="1736"/>
      <c r="V19" s="1736"/>
      <c r="W19" s="1736"/>
      <c r="X19" s="1737"/>
    </row>
    <row r="20" spans="1:26" s="264" customFormat="1" ht="12.75" customHeight="1" thickTop="1">
      <c r="A20" s="263"/>
      <c r="B20" s="261" t="s">
        <v>723</v>
      </c>
      <c r="C20" s="261"/>
      <c r="D20" s="372">
        <f>Input!$BO$29</f>
        <v>0</v>
      </c>
      <c r="E20" s="372">
        <f>Input!$BP$29</f>
        <v>0</v>
      </c>
      <c r="F20" s="372">
        <f>Input!$BQ$29</f>
        <v>0</v>
      </c>
      <c r="G20" s="372">
        <f>Input!$BR$29</f>
        <v>0</v>
      </c>
      <c r="H20" s="372">
        <f>Input!$BS$29</f>
        <v>0</v>
      </c>
      <c r="I20" s="372">
        <f>Input!$BT$29</f>
        <v>0</v>
      </c>
      <c r="J20" s="372">
        <f>Input!$BU$29</f>
        <v>0</v>
      </c>
      <c r="K20" s="372">
        <f>Input!$BV$29</f>
        <v>0</v>
      </c>
      <c r="L20" s="372">
        <f>Input!$BW$29</f>
        <v>0</v>
      </c>
      <c r="M20" s="373">
        <f t="shared" si="3"/>
        <v>0</v>
      </c>
      <c r="O20" s="421" t="s">
        <v>288</v>
      </c>
      <c r="P20" s="422"/>
      <c r="Q20" s="414"/>
      <c r="R20" s="559"/>
      <c r="T20" s="560" t="s">
        <v>1044</v>
      </c>
      <c r="U20" s="266"/>
      <c r="V20" s="266"/>
      <c r="X20" s="425"/>
    </row>
    <row r="21" spans="1:26" s="264" customFormat="1">
      <c r="A21" s="263"/>
      <c r="B21" s="261" t="s">
        <v>724</v>
      </c>
      <c r="C21" s="261"/>
      <c r="D21" s="372">
        <f>Input!$BX$29</f>
        <v>0</v>
      </c>
      <c r="E21" s="372">
        <f>Input!$BY$29</f>
        <v>0</v>
      </c>
      <c r="F21" s="372">
        <f>Input!$BZ$29</f>
        <v>0</v>
      </c>
      <c r="G21" s="372">
        <f>Input!$CA$29</f>
        <v>0</v>
      </c>
      <c r="H21" s="372">
        <f>Input!$CB$29</f>
        <v>0</v>
      </c>
      <c r="I21" s="372">
        <f>Input!$CC$29</f>
        <v>0</v>
      </c>
      <c r="J21" s="372">
        <f>Input!$CD$29</f>
        <v>0</v>
      </c>
      <c r="K21" s="372">
        <f>Input!$CE$29</f>
        <v>0</v>
      </c>
      <c r="L21" s="372">
        <f>Input!$CF$29</f>
        <v>0</v>
      </c>
      <c r="M21" s="373">
        <f t="shared" si="3"/>
        <v>0</v>
      </c>
      <c r="O21" s="434"/>
      <c r="R21" s="561"/>
      <c r="T21" s="650" t="s">
        <v>1045</v>
      </c>
      <c r="U21" s="266"/>
      <c r="V21" s="266"/>
      <c r="W21" s="651">
        <f>M44</f>
        <v>26804338</v>
      </c>
      <c r="X21" s="425"/>
      <c r="Z21" s="330"/>
    </row>
    <row r="22" spans="1:26" s="264" customFormat="1">
      <c r="A22" s="263"/>
      <c r="B22" s="261" t="s">
        <v>725</v>
      </c>
      <c r="C22" s="261"/>
      <c r="D22" s="372">
        <f>Input!$CG$29</f>
        <v>0</v>
      </c>
      <c r="E22" s="372">
        <f>Input!$CH$29</f>
        <v>0</v>
      </c>
      <c r="F22" s="372">
        <f>Input!$CI$29</f>
        <v>0</v>
      </c>
      <c r="G22" s="372">
        <f>Input!$CJ$29</f>
        <v>0</v>
      </c>
      <c r="H22" s="372">
        <f>Input!$CK$29</f>
        <v>0</v>
      </c>
      <c r="I22" s="372">
        <f>Input!$CL$29</f>
        <v>0</v>
      </c>
      <c r="J22" s="372">
        <f>Input!$CM$29</f>
        <v>0</v>
      </c>
      <c r="K22" s="372">
        <f>Input!$CN$29</f>
        <v>0</v>
      </c>
      <c r="L22" s="372">
        <f>Input!$CO$29</f>
        <v>0</v>
      </c>
      <c r="M22" s="373">
        <f t="shared" si="3"/>
        <v>0</v>
      </c>
      <c r="N22" s="270"/>
      <c r="O22" s="434" t="s">
        <v>1046</v>
      </c>
      <c r="P22" s="276"/>
      <c r="Q22" s="424">
        <f>M23</f>
        <v>25209249</v>
      </c>
      <c r="R22" s="562"/>
      <c r="T22" s="650" t="s">
        <v>1047</v>
      </c>
      <c r="U22" s="266"/>
      <c r="V22" s="266"/>
      <c r="W22" s="652">
        <f>R30*-1</f>
        <v>9762925</v>
      </c>
      <c r="X22" s="425"/>
    </row>
    <row r="23" spans="1:26" s="264" customFormat="1" ht="12.75" customHeight="1">
      <c r="A23" s="263"/>
      <c r="B23" s="558" t="s">
        <v>726</v>
      </c>
      <c r="C23" s="563"/>
      <c r="D23" s="564">
        <f>Input!$CP$29</f>
        <v>6881764</v>
      </c>
      <c r="E23" s="564">
        <f>Input!$CQ$29</f>
        <v>18327485</v>
      </c>
      <c r="F23" s="564">
        <f>Input!$CR$29</f>
        <v>0</v>
      </c>
      <c r="G23" s="564">
        <f>Input!$CS$29</f>
        <v>0</v>
      </c>
      <c r="H23" s="564">
        <f>Input!$CT$29</f>
        <v>0</v>
      </c>
      <c r="I23" s="564">
        <f>Input!$CU$29</f>
        <v>0</v>
      </c>
      <c r="J23" s="564">
        <f>Input!$CV$29</f>
        <v>0</v>
      </c>
      <c r="K23" s="564">
        <f>Input!$CW$29</f>
        <v>0</v>
      </c>
      <c r="L23" s="564">
        <f>Input!$CX$29</f>
        <v>0</v>
      </c>
      <c r="M23" s="565">
        <f t="shared" si="3"/>
        <v>25209249</v>
      </c>
      <c r="O23" s="434"/>
      <c r="P23" s="276"/>
      <c r="Q23" s="424"/>
      <c r="R23" s="562"/>
      <c r="T23" s="560" t="s">
        <v>1230</v>
      </c>
      <c r="U23" s="266"/>
      <c r="V23" s="266"/>
      <c r="W23" s="276"/>
      <c r="X23" s="425">
        <f>SUM(W21:W22)</f>
        <v>36567263</v>
      </c>
      <c r="Z23" s="330"/>
    </row>
    <row r="24" spans="1:26" s="264" customFormat="1" ht="12.75" customHeight="1">
      <c r="A24" s="263"/>
      <c r="B24" s="261" t="s">
        <v>727</v>
      </c>
      <c r="C24" s="566"/>
      <c r="D24" s="372">
        <f>Input!$CY$29</f>
        <v>0</v>
      </c>
      <c r="E24" s="372">
        <f>Input!$CZ$29</f>
        <v>0</v>
      </c>
      <c r="F24" s="372">
        <f>Input!$DA$29</f>
        <v>0</v>
      </c>
      <c r="G24" s="372">
        <f>Input!$DB$29</f>
        <v>0</v>
      </c>
      <c r="H24" s="372">
        <f>Input!$DC$29</f>
        <v>0</v>
      </c>
      <c r="I24" s="372">
        <f>Input!$DD$29</f>
        <v>0</v>
      </c>
      <c r="J24" s="372">
        <f>Input!$DE$29</f>
        <v>0</v>
      </c>
      <c r="K24" s="372">
        <f>Input!$DF$29</f>
        <v>0</v>
      </c>
      <c r="L24" s="372">
        <f>Input!$DG$29</f>
        <v>0</v>
      </c>
      <c r="M24" s="567">
        <f t="shared" si="3"/>
        <v>0</v>
      </c>
      <c r="O24" s="417" t="s">
        <v>1048</v>
      </c>
      <c r="P24" s="276"/>
      <c r="Q24" s="327"/>
      <c r="R24" s="646">
        <f>SUM(M24:M28)</f>
        <v>-6730658</v>
      </c>
      <c r="T24" s="560"/>
      <c r="U24" s="266"/>
      <c r="V24" s="266"/>
      <c r="X24" s="425"/>
      <c r="Z24" s="330"/>
    </row>
    <row r="25" spans="1:26" s="264" customFormat="1" ht="12.75" customHeight="1">
      <c r="A25" s="263"/>
      <c r="B25" s="261" t="s">
        <v>728</v>
      </c>
      <c r="C25" s="566"/>
      <c r="D25" s="372">
        <f>Input!$DH$29</f>
        <v>0</v>
      </c>
      <c r="E25" s="372">
        <f>Input!$DI$29</f>
        <v>0</v>
      </c>
      <c r="F25" s="372">
        <f>Input!$DJ$29</f>
        <v>0</v>
      </c>
      <c r="G25" s="372">
        <f>Input!$DK$29</f>
        <v>0</v>
      </c>
      <c r="H25" s="372">
        <f>Input!$DL$29</f>
        <v>0</v>
      </c>
      <c r="I25" s="372">
        <f>Input!$DM$29</f>
        <v>0</v>
      </c>
      <c r="J25" s="372">
        <f>Input!$DN$29</f>
        <v>0</v>
      </c>
      <c r="K25" s="372">
        <f>Input!$DO$29</f>
        <v>0</v>
      </c>
      <c r="L25" s="372">
        <f>Input!$DP$29</f>
        <v>0</v>
      </c>
      <c r="M25" s="567">
        <f t="shared" si="3"/>
        <v>0</v>
      </c>
      <c r="O25" s="434"/>
      <c r="P25" s="276"/>
      <c r="Q25" s="327"/>
      <c r="R25" s="646"/>
      <c r="T25" s="568" t="s">
        <v>1103</v>
      </c>
      <c r="U25" s="569"/>
      <c r="V25" s="569"/>
      <c r="W25" s="653">
        <f>(M26+M39)*-1</f>
        <v>1624886</v>
      </c>
      <c r="X25" s="425"/>
      <c r="Z25" s="330"/>
    </row>
    <row r="26" spans="1:26" s="264" customFormat="1" ht="12.75" customHeight="1">
      <c r="A26" s="263"/>
      <c r="B26" s="261" t="s">
        <v>729</v>
      </c>
      <c r="C26" s="566"/>
      <c r="D26" s="372">
        <f>Input!$DQ$29</f>
        <v>-326598</v>
      </c>
      <c r="E26" s="372">
        <f>Input!$DR$29</f>
        <v>-875656</v>
      </c>
      <c r="F26" s="372">
        <f>Input!$DS$29</f>
        <v>0</v>
      </c>
      <c r="G26" s="372">
        <f>Input!$DT$29</f>
        <v>0</v>
      </c>
      <c r="H26" s="372">
        <f>Input!$DU$29</f>
        <v>0</v>
      </c>
      <c r="I26" s="372">
        <f>Input!$DV$29</f>
        <v>0</v>
      </c>
      <c r="J26" s="372">
        <f>Input!$DW$29</f>
        <v>0</v>
      </c>
      <c r="K26" s="372">
        <f>Input!$DX$29</f>
        <v>0</v>
      </c>
      <c r="L26" s="372">
        <f>Input!$DY$29</f>
        <v>0</v>
      </c>
      <c r="M26" s="567">
        <f t="shared" si="3"/>
        <v>-1202254</v>
      </c>
      <c r="O26" s="434" t="s">
        <v>1049</v>
      </c>
      <c r="P26" s="276"/>
      <c r="Q26" s="427">
        <f>M36</f>
        <v>11358014</v>
      </c>
      <c r="R26" s="570"/>
      <c r="T26" s="560" t="s">
        <v>1104</v>
      </c>
      <c r="U26" s="266"/>
      <c r="V26" s="266"/>
      <c r="W26" s="571">
        <f>(M21+M34)*-1</f>
        <v>0</v>
      </c>
      <c r="X26" s="425"/>
      <c r="Z26" s="330"/>
    </row>
    <row r="27" spans="1:26" s="264" customFormat="1">
      <c r="A27" s="263"/>
      <c r="B27" s="261" t="s">
        <v>730</v>
      </c>
      <c r="C27" s="566"/>
      <c r="D27" s="372">
        <f>Input!$DZ$29</f>
        <v>0</v>
      </c>
      <c r="E27" s="372">
        <f>Input!$EA$29</f>
        <v>0</v>
      </c>
      <c r="F27" s="372">
        <f>Input!$EB$29</f>
        <v>0</v>
      </c>
      <c r="G27" s="372">
        <f>Input!$EC$29</f>
        <v>0</v>
      </c>
      <c r="H27" s="372">
        <f>Input!$ED$29</f>
        <v>0</v>
      </c>
      <c r="I27" s="372">
        <f>Input!$EE$29</f>
        <v>0</v>
      </c>
      <c r="J27" s="372">
        <f>Input!$EF$29</f>
        <v>0</v>
      </c>
      <c r="K27" s="372">
        <f>Input!$EG$29</f>
        <v>0</v>
      </c>
      <c r="L27" s="372">
        <f>Input!EH6</f>
        <v>0</v>
      </c>
      <c r="M27" s="567">
        <f t="shared" si="3"/>
        <v>0</v>
      </c>
      <c r="O27" s="434"/>
      <c r="P27" s="276"/>
      <c r="Q27" s="427"/>
      <c r="R27" s="570"/>
      <c r="T27" s="650" t="s">
        <v>1105</v>
      </c>
      <c r="U27" s="584"/>
      <c r="V27" s="584"/>
      <c r="W27" s="654">
        <f>SUM(W25:W26)</f>
        <v>1624886</v>
      </c>
      <c r="X27" s="655"/>
    </row>
    <row r="28" spans="1:26" s="264" customFormat="1">
      <c r="A28" s="263"/>
      <c r="B28" s="261" t="s">
        <v>2133</v>
      </c>
      <c r="C28" s="566"/>
      <c r="D28" s="372">
        <f>Input!$EI$29</f>
        <v>-1510778</v>
      </c>
      <c r="E28" s="372">
        <f>Input!$EJ$29</f>
        <v>-4017626</v>
      </c>
      <c r="F28" s="372">
        <f>Input!$EK$29</f>
        <v>0</v>
      </c>
      <c r="G28" s="372">
        <f>Input!$EL$29</f>
        <v>0</v>
      </c>
      <c r="H28" s="372">
        <f>Input!$EM$29</f>
        <v>0</v>
      </c>
      <c r="I28" s="372">
        <f>Input!$EN$29</f>
        <v>0</v>
      </c>
      <c r="J28" s="372">
        <f>Input!$EO$29</f>
        <v>0</v>
      </c>
      <c r="K28" s="372">
        <f>Input!$EP$29</f>
        <v>0</v>
      </c>
      <c r="L28" s="372">
        <f>Input!$EQ$29</f>
        <v>0</v>
      </c>
      <c r="M28" s="567">
        <f t="shared" si="3"/>
        <v>-5528404</v>
      </c>
      <c r="O28" s="417" t="s">
        <v>1050</v>
      </c>
      <c r="Q28" s="429"/>
      <c r="R28" s="646">
        <f>SUM(M37:M41)</f>
        <v>-3032267</v>
      </c>
      <c r="T28" s="560" t="s">
        <v>1106</v>
      </c>
      <c r="U28" s="266"/>
      <c r="V28" s="266"/>
      <c r="W28" s="425">
        <f>(M27+M40)*-1</f>
        <v>0</v>
      </c>
      <c r="X28" s="655"/>
      <c r="Z28" s="330"/>
    </row>
    <row r="29" spans="1:26" s="264" customFormat="1" ht="12" customHeight="1">
      <c r="A29" s="263"/>
      <c r="B29" s="575" t="s">
        <v>39</v>
      </c>
      <c r="C29" s="563"/>
      <c r="D29" s="374">
        <f t="shared" ref="D29:L29" si="4">SUM(D23:D28)</f>
        <v>5044388</v>
      </c>
      <c r="E29" s="374">
        <f t="shared" si="4"/>
        <v>13434203</v>
      </c>
      <c r="F29" s="374">
        <f t="shared" si="4"/>
        <v>0</v>
      </c>
      <c r="G29" s="374">
        <f t="shared" si="4"/>
        <v>0</v>
      </c>
      <c r="H29" s="374">
        <f t="shared" si="4"/>
        <v>0</v>
      </c>
      <c r="I29" s="374">
        <f t="shared" si="4"/>
        <v>0</v>
      </c>
      <c r="J29" s="374">
        <f t="shared" si="4"/>
        <v>0</v>
      </c>
      <c r="K29" s="374">
        <f t="shared" si="4"/>
        <v>0</v>
      </c>
      <c r="L29" s="374">
        <f t="shared" si="4"/>
        <v>0</v>
      </c>
      <c r="M29" s="374">
        <f t="shared" si="3"/>
        <v>18478591</v>
      </c>
      <c r="O29" s="417"/>
      <c r="Q29" s="429"/>
      <c r="R29" s="576"/>
      <c r="T29" s="560" t="s">
        <v>1107</v>
      </c>
      <c r="U29" s="266"/>
      <c r="V29" s="266"/>
      <c r="W29" s="571">
        <f>(M22+M35)*-1</f>
        <v>0</v>
      </c>
      <c r="X29" s="655"/>
    </row>
    <row r="30" spans="1:26" s="264" customFormat="1" ht="16.5" customHeight="1">
      <c r="A30" s="263"/>
      <c r="B30" s="261"/>
      <c r="C30" s="566"/>
      <c r="D30" s="566"/>
      <c r="E30" s="566"/>
      <c r="F30" s="566"/>
      <c r="G30" s="566"/>
      <c r="H30" s="566"/>
      <c r="I30" s="566"/>
      <c r="J30" s="566"/>
      <c r="K30" s="566"/>
      <c r="L30" s="566"/>
      <c r="M30" s="567"/>
      <c r="O30" s="431" t="s">
        <v>289</v>
      </c>
      <c r="P30" s="432"/>
      <c r="Q30" s="433">
        <f>Q26+Q22</f>
        <v>36567263</v>
      </c>
      <c r="R30" s="647">
        <f>R28+R24</f>
        <v>-9762925</v>
      </c>
      <c r="T30" s="650" t="s">
        <v>1108</v>
      </c>
      <c r="U30" s="584"/>
      <c r="V30" s="584"/>
      <c r="W30" s="654">
        <f>SUM(W28:W29)</f>
        <v>0</v>
      </c>
      <c r="X30" s="655"/>
    </row>
    <row r="31" spans="1:26" s="264" customFormat="1" ht="12.75" customHeight="1">
      <c r="A31" s="263"/>
      <c r="B31" s="558" t="s">
        <v>1052</v>
      </c>
      <c r="C31" s="558"/>
      <c r="D31" s="374">
        <f t="shared" ref="D31:L31" si="5">D36-SUM(D32:D35)</f>
        <v>2604</v>
      </c>
      <c r="E31" s="374">
        <f t="shared" si="5"/>
        <v>6663694</v>
      </c>
      <c r="F31" s="374">
        <f t="shared" si="5"/>
        <v>4691716</v>
      </c>
      <c r="G31" s="374">
        <f t="shared" si="5"/>
        <v>0</v>
      </c>
      <c r="H31" s="374">
        <f t="shared" si="5"/>
        <v>0</v>
      </c>
      <c r="I31" s="374">
        <f t="shared" si="5"/>
        <v>0</v>
      </c>
      <c r="J31" s="374">
        <f t="shared" si="5"/>
        <v>0</v>
      </c>
      <c r="K31" s="374">
        <f t="shared" si="5"/>
        <v>0</v>
      </c>
      <c r="L31" s="374">
        <f t="shared" si="5"/>
        <v>0</v>
      </c>
      <c r="M31" s="374">
        <f t="shared" ref="M31:M42" si="6">D31+E31+F31+G31+H31+I31+J31+K31+L31</f>
        <v>11358014</v>
      </c>
      <c r="O31" s="434" t="s">
        <v>290</v>
      </c>
      <c r="P31" s="276"/>
      <c r="Q31" s="335"/>
      <c r="R31" s="562"/>
      <c r="T31" s="572" t="s">
        <v>1109</v>
      </c>
      <c r="U31" s="573"/>
      <c r="V31" s="573"/>
      <c r="W31" s="574">
        <f>W27+W30</f>
        <v>1624886</v>
      </c>
      <c r="X31" s="425"/>
      <c r="Z31" s="330"/>
    </row>
    <row r="32" spans="1:26" s="264" customFormat="1" ht="12.75" customHeight="1">
      <c r="A32" s="263"/>
      <c r="B32" s="261" t="s">
        <v>722</v>
      </c>
      <c r="C32" s="261"/>
      <c r="D32" s="372">
        <f>Input!$ER$29</f>
        <v>0</v>
      </c>
      <c r="E32" s="372">
        <f>Input!$ES$29</f>
        <v>0</v>
      </c>
      <c r="F32" s="372">
        <f>Input!$ET$29</f>
        <v>0</v>
      </c>
      <c r="G32" s="372">
        <f>Input!$EU$29</f>
        <v>0</v>
      </c>
      <c r="H32" s="372">
        <f>Input!$EV$29</f>
        <v>0</v>
      </c>
      <c r="I32" s="372">
        <f>Input!$EW$29</f>
        <v>0</v>
      </c>
      <c r="J32" s="372">
        <f>Input!$EX$29</f>
        <v>0</v>
      </c>
      <c r="K32" s="372">
        <f>Input!$EY$29</f>
        <v>0</v>
      </c>
      <c r="L32" s="372">
        <f>Input!$EZ$29</f>
        <v>0</v>
      </c>
      <c r="M32" s="567">
        <f t="shared" si="6"/>
        <v>0</v>
      </c>
      <c r="O32" s="415" t="s">
        <v>1295</v>
      </c>
      <c r="P32" s="416"/>
      <c r="Q32" s="577">
        <f>Input!$SQ$29</f>
        <v>36567263</v>
      </c>
      <c r="R32" s="578"/>
      <c r="T32" s="560"/>
      <c r="U32" s="266"/>
      <c r="V32" s="266"/>
      <c r="X32" s="425"/>
      <c r="Z32" s="330"/>
    </row>
    <row r="33" spans="1:24" s="264" customFormat="1">
      <c r="A33" s="263"/>
      <c r="B33" s="261" t="s">
        <v>723</v>
      </c>
      <c r="C33" s="261"/>
      <c r="D33" s="372">
        <f>Input!$FA$29</f>
        <v>0</v>
      </c>
      <c r="E33" s="372">
        <f>Input!$FB$29</f>
        <v>0</v>
      </c>
      <c r="F33" s="372">
        <f>Input!$FC$29</f>
        <v>0</v>
      </c>
      <c r="G33" s="372">
        <f>Input!$FD$29</f>
        <v>0</v>
      </c>
      <c r="H33" s="372">
        <f>Input!$FE$29</f>
        <v>0</v>
      </c>
      <c r="I33" s="372">
        <f>Input!$FF$29</f>
        <v>0</v>
      </c>
      <c r="J33" s="372">
        <f>Input!$FG$29</f>
        <v>0</v>
      </c>
      <c r="K33" s="372">
        <f>Input!$FH$29</f>
        <v>0</v>
      </c>
      <c r="L33" s="372">
        <f>Input!$FI$29</f>
        <v>0</v>
      </c>
      <c r="M33" s="567">
        <f t="shared" si="6"/>
        <v>0</v>
      </c>
      <c r="O33" s="415"/>
      <c r="P33" s="416"/>
      <c r="Q33" s="327"/>
      <c r="R33" s="578"/>
      <c r="T33" s="560" t="s">
        <v>1051</v>
      </c>
      <c r="U33" s="266"/>
      <c r="V33" s="266"/>
      <c r="W33" s="334">
        <f>(M19+M32)*-1</f>
        <v>488714</v>
      </c>
      <c r="X33" s="425"/>
    </row>
    <row r="34" spans="1:24" s="264" customFormat="1">
      <c r="A34" s="263"/>
      <c r="B34" s="261" t="s">
        <v>724</v>
      </c>
      <c r="C34" s="261"/>
      <c r="D34" s="372">
        <f>Input!$FJ$29</f>
        <v>0</v>
      </c>
      <c r="E34" s="372">
        <f>Input!$FK$29</f>
        <v>0</v>
      </c>
      <c r="F34" s="372">
        <f>Input!$FL$29</f>
        <v>0</v>
      </c>
      <c r="G34" s="372">
        <f>Input!$FM$29</f>
        <v>0</v>
      </c>
      <c r="H34" s="372">
        <f>Input!$FN$29</f>
        <v>0</v>
      </c>
      <c r="I34" s="372">
        <f>Input!$FO$29</f>
        <v>0</v>
      </c>
      <c r="J34" s="372">
        <f>Input!$FP$29</f>
        <v>0</v>
      </c>
      <c r="K34" s="372">
        <f>Input!$FQ$29</f>
        <v>0</v>
      </c>
      <c r="L34" s="372">
        <f>Input!$FR$29</f>
        <v>0</v>
      </c>
      <c r="M34" s="567">
        <f t="shared" si="6"/>
        <v>0</v>
      </c>
      <c r="O34" s="435" t="s">
        <v>1296</v>
      </c>
      <c r="P34" s="436"/>
      <c r="Q34" s="264" t="s">
        <v>291</v>
      </c>
      <c r="R34" s="648">
        <f>Input!$SR$29</f>
        <v>-9762925</v>
      </c>
      <c r="T34" s="560" t="s">
        <v>1110</v>
      </c>
      <c r="U34" s="266"/>
      <c r="V34" s="266"/>
      <c r="W34" s="430">
        <f>(M24+M37)*-1</f>
        <v>0</v>
      </c>
      <c r="X34" s="425"/>
    </row>
    <row r="35" spans="1:24" s="264" customFormat="1" ht="13.5" thickBot="1">
      <c r="A35" s="263"/>
      <c r="B35" s="261" t="s">
        <v>725</v>
      </c>
      <c r="C35" s="261"/>
      <c r="D35" s="372">
        <f>Input!$FS$29</f>
        <v>0</v>
      </c>
      <c r="E35" s="372">
        <f>Input!$FT$29</f>
        <v>0</v>
      </c>
      <c r="F35" s="372">
        <f>Input!$FU$29</f>
        <v>0</v>
      </c>
      <c r="G35" s="372">
        <f>Input!$FV$29</f>
        <v>0</v>
      </c>
      <c r="H35" s="372">
        <f>Input!$FW$29</f>
        <v>0</v>
      </c>
      <c r="I35" s="372">
        <f>Input!$FX$29</f>
        <v>0</v>
      </c>
      <c r="J35" s="372">
        <f>Input!$FY$29</f>
        <v>0</v>
      </c>
      <c r="K35" s="372">
        <f>Input!$FZ$29</f>
        <v>0</v>
      </c>
      <c r="L35" s="372">
        <f>Input!$GA$29</f>
        <v>0</v>
      </c>
      <c r="M35" s="567">
        <f t="shared" si="6"/>
        <v>0</v>
      </c>
      <c r="O35" s="418" t="s">
        <v>286</v>
      </c>
      <c r="P35" s="419"/>
      <c r="Q35" s="420">
        <f>Q30-Q32</f>
        <v>0</v>
      </c>
      <c r="R35" s="649">
        <f>R30-R34</f>
        <v>0</v>
      </c>
      <c r="T35" s="650" t="s">
        <v>1111</v>
      </c>
      <c r="U35" s="584"/>
      <c r="V35" s="584"/>
      <c r="W35" s="656">
        <f>SUM(W33:W34)</f>
        <v>488714</v>
      </c>
      <c r="X35" s="655"/>
    </row>
    <row r="36" spans="1:24" s="264" customFormat="1" ht="13.5" thickTop="1">
      <c r="A36" s="263"/>
      <c r="B36" s="558" t="s">
        <v>732</v>
      </c>
      <c r="C36" s="563"/>
      <c r="D36" s="564">
        <f>Input!$GB$29</f>
        <v>2604</v>
      </c>
      <c r="E36" s="564">
        <f>Input!$GC$29</f>
        <v>6663694</v>
      </c>
      <c r="F36" s="564">
        <f>Input!$GD$29</f>
        <v>4691716</v>
      </c>
      <c r="G36" s="564">
        <f>Input!$GE$29</f>
        <v>0</v>
      </c>
      <c r="H36" s="564">
        <f>Input!$GF$29</f>
        <v>0</v>
      </c>
      <c r="I36" s="564">
        <f>Input!$GG$29</f>
        <v>0</v>
      </c>
      <c r="J36" s="564">
        <f>Input!$GH$29</f>
        <v>0</v>
      </c>
      <c r="K36" s="564">
        <f>Input!$GI$29</f>
        <v>0</v>
      </c>
      <c r="L36" s="564">
        <f>Input!$GJ$29</f>
        <v>0</v>
      </c>
      <c r="M36" s="565">
        <f t="shared" si="6"/>
        <v>11358014</v>
      </c>
      <c r="O36" s="261"/>
      <c r="Q36" s="412" t="str">
        <f>IF(Q30&lt;&gt;Q32,"Out of Balance","Balanced")</f>
        <v>Balanced</v>
      </c>
      <c r="R36" s="412" t="str">
        <f>IF(R30&lt;&gt;R34,"Out of Balance","Balanced")</f>
        <v>Balanced</v>
      </c>
      <c r="T36" s="560" t="s">
        <v>1053</v>
      </c>
      <c r="U36" s="266"/>
      <c r="V36" s="266"/>
      <c r="W36" s="334">
        <f>(M20+M33)*-1</f>
        <v>0</v>
      </c>
      <c r="X36" s="425"/>
    </row>
    <row r="37" spans="1:24" s="264" customFormat="1">
      <c r="A37" s="263"/>
      <c r="B37" s="261" t="s">
        <v>727</v>
      </c>
      <c r="C37" s="566"/>
      <c r="D37" s="372">
        <f>Input!$GK$29</f>
        <v>0</v>
      </c>
      <c r="E37" s="372">
        <f>Input!$GL$29</f>
        <v>0</v>
      </c>
      <c r="F37" s="372">
        <f>Input!$GM$29</f>
        <v>0</v>
      </c>
      <c r="G37" s="372">
        <f>Input!$GN$29</f>
        <v>0</v>
      </c>
      <c r="H37" s="372">
        <f>Input!$GO$29</f>
        <v>0</v>
      </c>
      <c r="I37" s="372">
        <f>Input!$GP$29</f>
        <v>0</v>
      </c>
      <c r="J37" s="372">
        <f>Input!$GQ$29</f>
        <v>0</v>
      </c>
      <c r="K37" s="372">
        <f>Input!$GR$29</f>
        <v>0</v>
      </c>
      <c r="L37" s="372">
        <f>Input!$GS$29</f>
        <v>0</v>
      </c>
      <c r="M37" s="567">
        <f t="shared" si="6"/>
        <v>0</v>
      </c>
      <c r="O37" s="261"/>
      <c r="T37" s="560" t="s">
        <v>1112</v>
      </c>
      <c r="U37" s="266"/>
      <c r="V37" s="266"/>
      <c r="W37" s="430">
        <f>(M25+M38)*-1</f>
        <v>0</v>
      </c>
      <c r="X37" s="655"/>
    </row>
    <row r="38" spans="1:24" s="264" customFormat="1">
      <c r="A38" s="263"/>
      <c r="B38" s="261" t="s">
        <v>728</v>
      </c>
      <c r="C38" s="566"/>
      <c r="D38" s="372">
        <f>Input!$GT$29</f>
        <v>0</v>
      </c>
      <c r="E38" s="372">
        <f>Input!$GU$29</f>
        <v>0</v>
      </c>
      <c r="F38" s="372">
        <f>Input!$GV$29</f>
        <v>0</v>
      </c>
      <c r="G38" s="372">
        <f>Input!$GW$29</f>
        <v>0</v>
      </c>
      <c r="H38" s="372">
        <f>Input!$GX$29</f>
        <v>0</v>
      </c>
      <c r="I38" s="372">
        <f>Input!$GY$29</f>
        <v>0</v>
      </c>
      <c r="J38" s="372">
        <f>Input!$GZ$29</f>
        <v>0</v>
      </c>
      <c r="K38" s="372">
        <f>Input!$HA$29</f>
        <v>0</v>
      </c>
      <c r="L38" s="372">
        <f>Input!$HB$29</f>
        <v>0</v>
      </c>
      <c r="M38" s="567">
        <f t="shared" si="6"/>
        <v>0</v>
      </c>
      <c r="O38" s="261"/>
      <c r="T38" s="650" t="s">
        <v>1113</v>
      </c>
      <c r="U38" s="584"/>
      <c r="V38" s="584"/>
      <c r="W38" s="656">
        <f>SUM(W36:W37)</f>
        <v>0</v>
      </c>
      <c r="X38" s="425"/>
    </row>
    <row r="39" spans="1:24" s="264" customFormat="1">
      <c r="A39" s="263"/>
      <c r="B39" s="261" t="s">
        <v>729</v>
      </c>
      <c r="C39" s="566"/>
      <c r="D39" s="372">
        <f>Input!$HC$29</f>
        <v>-115</v>
      </c>
      <c r="E39" s="372">
        <f>Input!$HD$29</f>
        <v>-318228</v>
      </c>
      <c r="F39" s="372">
        <f>Input!$HE$29</f>
        <v>-104289</v>
      </c>
      <c r="G39" s="372">
        <f>Input!$HF$29</f>
        <v>0</v>
      </c>
      <c r="H39" s="372">
        <f>Input!$HG$29</f>
        <v>0</v>
      </c>
      <c r="I39" s="372">
        <f>Input!$HH$29</f>
        <v>0</v>
      </c>
      <c r="J39" s="372">
        <f>Input!$HI$29</f>
        <v>0</v>
      </c>
      <c r="K39" s="372">
        <f>Input!$HJ$29</f>
        <v>0</v>
      </c>
      <c r="L39" s="372">
        <f>Input!$HK$29</f>
        <v>0</v>
      </c>
      <c r="M39" s="567">
        <f t="shared" si="6"/>
        <v>-422632</v>
      </c>
      <c r="O39" s="261"/>
      <c r="T39" s="560" t="s">
        <v>1054</v>
      </c>
      <c r="U39" s="266"/>
      <c r="V39" s="266"/>
      <c r="W39" s="334"/>
      <c r="X39" s="425">
        <f>W38+W35</f>
        <v>488714</v>
      </c>
    </row>
    <row r="40" spans="1:24" s="264" customFormat="1">
      <c r="A40" s="263"/>
      <c r="B40" s="261" t="s">
        <v>730</v>
      </c>
      <c r="C40" s="566"/>
      <c r="D40" s="372">
        <f>Input!$HL$29</f>
        <v>0</v>
      </c>
      <c r="E40" s="372">
        <f>Input!$HM$29</f>
        <v>0</v>
      </c>
      <c r="F40" s="372">
        <f>Input!$HN$29</f>
        <v>0</v>
      </c>
      <c r="G40" s="372">
        <f>Input!$HO$29</f>
        <v>0</v>
      </c>
      <c r="H40" s="372">
        <f>Input!$HP$29</f>
        <v>0</v>
      </c>
      <c r="I40" s="372">
        <f>Input!$HQ$29</f>
        <v>0</v>
      </c>
      <c r="J40" s="372">
        <f>Input!$HR$29</f>
        <v>0</v>
      </c>
      <c r="K40" s="372">
        <f>Input!$HS$29</f>
        <v>0</v>
      </c>
      <c r="L40" s="372">
        <f>Input!$HT$29</f>
        <v>0</v>
      </c>
      <c r="M40" s="567">
        <f t="shared" si="6"/>
        <v>0</v>
      </c>
      <c r="O40" s="261"/>
      <c r="T40" s="560"/>
      <c r="U40" s="261"/>
      <c r="V40" s="261"/>
      <c r="W40" s="261"/>
      <c r="X40" s="655"/>
    </row>
    <row r="41" spans="1:24" s="264" customFormat="1">
      <c r="A41" s="263"/>
      <c r="B41" s="261" t="s">
        <v>2133</v>
      </c>
      <c r="C41" s="566"/>
      <c r="D41" s="372">
        <f>Input!$HU$29</f>
        <v>-534</v>
      </c>
      <c r="E41" s="372">
        <f>Input!$HV$29</f>
        <v>-1460770</v>
      </c>
      <c r="F41" s="372">
        <f>Input!$HW$29</f>
        <v>-1148331</v>
      </c>
      <c r="G41" s="372">
        <f>Input!$HX$29</f>
        <v>0</v>
      </c>
      <c r="H41" s="372">
        <f>Input!$HY$29</f>
        <v>0</v>
      </c>
      <c r="I41" s="372">
        <f>Input!$HZ$29</f>
        <v>0</v>
      </c>
      <c r="J41" s="372">
        <f>Input!$IA$29</f>
        <v>0</v>
      </c>
      <c r="K41" s="372">
        <f>Input!$IB$29</f>
        <v>0</v>
      </c>
      <c r="L41" s="372">
        <f>Input!$IC$29</f>
        <v>0</v>
      </c>
      <c r="M41" s="567">
        <f t="shared" si="6"/>
        <v>-2609635</v>
      </c>
      <c r="O41"/>
      <c r="P41"/>
      <c r="Q41"/>
      <c r="R41"/>
      <c r="S41"/>
      <c r="T41" s="560" t="s">
        <v>1104</v>
      </c>
      <c r="U41" s="266"/>
      <c r="V41" s="266"/>
      <c r="W41" s="330">
        <f>(M21+M34)*-1</f>
        <v>0</v>
      </c>
      <c r="X41" s="425"/>
    </row>
    <row r="42" spans="1:24" s="264" customFormat="1">
      <c r="A42" s="263"/>
      <c r="B42" s="575" t="s">
        <v>40</v>
      </c>
      <c r="C42" s="563"/>
      <c r="D42" s="374">
        <f t="shared" ref="D42:L42" si="7">SUM(D36:D41)</f>
        <v>1955</v>
      </c>
      <c r="E42" s="374">
        <f t="shared" si="7"/>
        <v>4884696</v>
      </c>
      <c r="F42" s="374">
        <f t="shared" si="7"/>
        <v>3439096</v>
      </c>
      <c r="G42" s="374">
        <f t="shared" si="7"/>
        <v>0</v>
      </c>
      <c r="H42" s="374">
        <f t="shared" si="7"/>
        <v>0</v>
      </c>
      <c r="I42" s="374">
        <f t="shared" si="7"/>
        <v>0</v>
      </c>
      <c r="J42" s="374">
        <f t="shared" si="7"/>
        <v>0</v>
      </c>
      <c r="K42" s="374">
        <f t="shared" si="7"/>
        <v>0</v>
      </c>
      <c r="L42" s="374">
        <f t="shared" si="7"/>
        <v>0</v>
      </c>
      <c r="M42" s="374">
        <f t="shared" si="6"/>
        <v>8325747</v>
      </c>
      <c r="O42"/>
      <c r="P42"/>
      <c r="Q42"/>
      <c r="R42"/>
      <c r="S42"/>
      <c r="T42" s="560" t="s">
        <v>1107</v>
      </c>
      <c r="U42" s="266"/>
      <c r="V42" s="266"/>
      <c r="W42" s="430">
        <f>(M22+M35)*-1</f>
        <v>0</v>
      </c>
      <c r="X42" s="425"/>
    </row>
    <row r="43" spans="1:24" s="264" customFormat="1">
      <c r="A43" s="263"/>
      <c r="B43" s="261"/>
      <c r="C43" s="566"/>
      <c r="D43" s="566"/>
      <c r="E43" s="566"/>
      <c r="F43" s="566"/>
      <c r="G43" s="566"/>
      <c r="H43" s="566"/>
      <c r="I43" s="566"/>
      <c r="J43" s="566"/>
      <c r="K43" s="566"/>
      <c r="L43" s="566"/>
      <c r="M43" s="567"/>
      <c r="O43"/>
      <c r="P43"/>
      <c r="Q43"/>
      <c r="R43"/>
      <c r="S43"/>
      <c r="T43" s="650" t="s">
        <v>1114</v>
      </c>
      <c r="U43" s="584"/>
      <c r="V43" s="584"/>
      <c r="W43" s="656">
        <f>SUM(W41:W42)</f>
        <v>0</v>
      </c>
      <c r="X43" s="655"/>
    </row>
    <row r="44" spans="1:24" s="264" customFormat="1" ht="13.5" customHeight="1">
      <c r="A44" s="263"/>
      <c r="B44" s="575" t="s">
        <v>1055</v>
      </c>
      <c r="C44" s="563"/>
      <c r="D44" s="374">
        <f t="shared" ref="D44:L44" si="8">D42+D29</f>
        <v>5046343</v>
      </c>
      <c r="E44" s="374">
        <f t="shared" si="8"/>
        <v>18318899</v>
      </c>
      <c r="F44" s="374">
        <f t="shared" si="8"/>
        <v>3439096</v>
      </c>
      <c r="G44" s="374">
        <f t="shared" si="8"/>
        <v>0</v>
      </c>
      <c r="H44" s="374">
        <f t="shared" si="8"/>
        <v>0</v>
      </c>
      <c r="I44" s="374">
        <f t="shared" si="8"/>
        <v>0</v>
      </c>
      <c r="J44" s="374">
        <f t="shared" si="8"/>
        <v>0</v>
      </c>
      <c r="K44" s="374">
        <f t="shared" si="8"/>
        <v>0</v>
      </c>
      <c r="L44" s="374">
        <f t="shared" si="8"/>
        <v>0</v>
      </c>
      <c r="M44" s="374">
        <f>D44+E44+F44+G44+H44+I44+J44+K44+L44</f>
        <v>26804338</v>
      </c>
      <c r="O44"/>
      <c r="P44"/>
      <c r="Q44"/>
      <c r="R44"/>
      <c r="S44"/>
      <c r="T44" s="560"/>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0"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0" t="s">
        <v>1112</v>
      </c>
      <c r="U46" s="266"/>
      <c r="V46" s="266"/>
      <c r="W46" s="430">
        <f>(M25+M38)*-1</f>
        <v>0</v>
      </c>
      <c r="X46" s="425"/>
    </row>
    <row r="47" spans="1:24">
      <c r="A47" s="184">
        <v>30</v>
      </c>
      <c r="B47" s="176" t="s">
        <v>7</v>
      </c>
      <c r="C47" s="176"/>
      <c r="D47" s="375">
        <f>Input!$ID$29</f>
        <v>590591</v>
      </c>
      <c r="E47" s="375">
        <f>Input!$IE$29</f>
        <v>0</v>
      </c>
      <c r="F47" s="375">
        <f>Input!$IF$29</f>
        <v>0</v>
      </c>
      <c r="G47" s="375">
        <f>Input!$IG$29</f>
        <v>15060140</v>
      </c>
      <c r="H47" s="375">
        <f>Input!$IH$29</f>
        <v>0</v>
      </c>
      <c r="I47" s="375">
        <f>Input!$II$29</f>
        <v>0</v>
      </c>
      <c r="J47" s="375">
        <f>Input!$IJ$29</f>
        <v>0</v>
      </c>
      <c r="K47" s="375">
        <f>Input!$IK$29</f>
        <v>0</v>
      </c>
      <c r="L47" s="375">
        <f>Input!$IL$29</f>
        <v>0</v>
      </c>
      <c r="M47" s="374">
        <f>D47+E47+F47+G47+H47+I47+J47+K47+L47</f>
        <v>15650731</v>
      </c>
      <c r="N47" s="160"/>
      <c r="O47"/>
      <c r="P47"/>
      <c r="Q47"/>
      <c r="R47"/>
      <c r="S47"/>
      <c r="T47" s="657" t="s">
        <v>1115</v>
      </c>
      <c r="U47" s="27"/>
      <c r="V47" s="27"/>
      <c r="W47" s="656">
        <f>SUM(W45:W46)</f>
        <v>0</v>
      </c>
      <c r="X47" s="655"/>
    </row>
    <row r="48" spans="1:24">
      <c r="A48" s="184">
        <v>31</v>
      </c>
      <c r="B48" s="160"/>
      <c r="C48" s="160"/>
      <c r="D48" s="373"/>
      <c r="E48" s="373"/>
      <c r="F48" s="373"/>
      <c r="G48" s="373"/>
      <c r="H48" s="373"/>
      <c r="I48" s="373"/>
      <c r="J48" s="373"/>
      <c r="K48" s="373"/>
      <c r="L48" s="373"/>
      <c r="M48" s="373"/>
      <c r="N48" s="160"/>
      <c r="O48"/>
      <c r="P48"/>
      <c r="Q48"/>
      <c r="R48"/>
      <c r="S48"/>
      <c r="T48" s="560"/>
      <c r="U48" s="261"/>
      <c r="V48" s="261"/>
      <c r="W48" s="261"/>
      <c r="X48" s="658">
        <f>W43-W47</f>
        <v>0</v>
      </c>
    </row>
    <row r="49" spans="1:28">
      <c r="A49" s="184">
        <v>32</v>
      </c>
      <c r="B49" s="172" t="s">
        <v>8</v>
      </c>
      <c r="C49" s="172"/>
      <c r="D49" s="373"/>
      <c r="E49" s="373"/>
      <c r="F49" s="373"/>
      <c r="G49" s="373"/>
      <c r="H49" s="373"/>
      <c r="I49" s="373"/>
      <c r="J49" s="373"/>
      <c r="K49" s="373"/>
      <c r="L49" s="373"/>
      <c r="M49" s="373"/>
      <c r="N49" s="160"/>
      <c r="O49" s="273"/>
      <c r="T49" s="579" t="s">
        <v>287</v>
      </c>
      <c r="U49" s="511"/>
      <c r="V49" s="580"/>
      <c r="W49" s="580"/>
      <c r="X49" s="574">
        <f>SUM(X23:X48)</f>
        <v>37055977</v>
      </c>
    </row>
    <row r="50" spans="1:28">
      <c r="A50" s="184">
        <v>33</v>
      </c>
      <c r="B50" s="160" t="s">
        <v>42</v>
      </c>
      <c r="C50" s="160"/>
      <c r="D50" s="372">
        <f>Input!$IM$29</f>
        <v>9963</v>
      </c>
      <c r="E50" s="372">
        <f>Input!$IN$29</f>
        <v>19287</v>
      </c>
      <c r="F50" s="372">
        <f>Input!$IO$29</f>
        <v>0</v>
      </c>
      <c r="G50" s="372">
        <f>Input!$IP$29</f>
        <v>0</v>
      </c>
      <c r="H50" s="372">
        <f>Input!$IQ$29</f>
        <v>0</v>
      </c>
      <c r="I50" s="372">
        <f>Input!$IR$29</f>
        <v>1715824</v>
      </c>
      <c r="J50" s="372">
        <f>Input!$IS$29</f>
        <v>0</v>
      </c>
      <c r="K50" s="372">
        <f>Input!$IT$29</f>
        <v>0</v>
      </c>
      <c r="L50" s="372">
        <f>Input!$IU$29</f>
        <v>0</v>
      </c>
      <c r="M50" s="373">
        <f t="shared" ref="M50:M57" si="9">D50+E50+F50+G50+H50+I50+J50+K50+L50</f>
        <v>1745074</v>
      </c>
      <c r="N50" s="160"/>
      <c r="O50" s="273"/>
      <c r="U50" s="275"/>
    </row>
    <row r="51" spans="1:28">
      <c r="A51" s="184">
        <v>34</v>
      </c>
      <c r="B51" s="160" t="s">
        <v>9</v>
      </c>
      <c r="C51" s="160"/>
      <c r="D51" s="372">
        <f>Input!$IV$29</f>
        <v>0</v>
      </c>
      <c r="E51" s="372">
        <f>Input!$IW$29</f>
        <v>0</v>
      </c>
      <c r="F51" s="372">
        <f>Input!$IX$29</f>
        <v>0</v>
      </c>
      <c r="G51" s="372">
        <f>Input!$IY$29</f>
        <v>0</v>
      </c>
      <c r="H51" s="372">
        <f>Input!$IZ$29</f>
        <v>0</v>
      </c>
      <c r="I51" s="372">
        <f>Input!$JA$29</f>
        <v>0</v>
      </c>
      <c r="J51" s="372">
        <f>Input!$JB$29</f>
        <v>0</v>
      </c>
      <c r="K51" s="372">
        <f>Input!$JC$29</f>
        <v>0</v>
      </c>
      <c r="L51" s="372">
        <f>Input!$JD$29</f>
        <v>0</v>
      </c>
      <c r="M51" s="376">
        <f t="shared" si="9"/>
        <v>0</v>
      </c>
      <c r="N51" s="160"/>
      <c r="Y51" s="277"/>
    </row>
    <row r="52" spans="1:28">
      <c r="A52" s="184">
        <v>35</v>
      </c>
      <c r="B52" s="160" t="s">
        <v>10</v>
      </c>
      <c r="C52" s="160"/>
      <c r="D52" s="372">
        <f>Input!$JE$29</f>
        <v>0</v>
      </c>
      <c r="E52" s="372">
        <f>Input!$JF$29</f>
        <v>0</v>
      </c>
      <c r="F52" s="372">
        <f>Input!$JG$29</f>
        <v>0</v>
      </c>
      <c r="G52" s="372">
        <f>Input!$JH$29</f>
        <v>1857016</v>
      </c>
      <c r="H52" s="372">
        <f>Input!$JI$29</f>
        <v>0</v>
      </c>
      <c r="I52" s="372">
        <f>Input!$JJ$29</f>
        <v>1150</v>
      </c>
      <c r="J52" s="372">
        <f>Input!$JK$29</f>
        <v>0</v>
      </c>
      <c r="K52" s="372">
        <f>Input!$JL$29</f>
        <v>0</v>
      </c>
      <c r="L52" s="372">
        <f>Input!$JM$29</f>
        <v>0</v>
      </c>
      <c r="M52" s="373">
        <f t="shared" si="9"/>
        <v>1858166</v>
      </c>
      <c r="N52" s="160"/>
      <c r="O52" s="273"/>
      <c r="P52" s="278"/>
    </row>
    <row r="53" spans="1:28">
      <c r="A53" s="184">
        <v>36</v>
      </c>
      <c r="B53" s="160" t="s">
        <v>11</v>
      </c>
      <c r="C53" s="160"/>
      <c r="D53" s="372">
        <f>Input!$JN$29</f>
        <v>0</v>
      </c>
      <c r="E53" s="372">
        <f>Input!$JO$29</f>
        <v>322197</v>
      </c>
      <c r="F53" s="372">
        <f>Input!$JP$29</f>
        <v>0</v>
      </c>
      <c r="G53" s="372">
        <f>Input!$JQ$29</f>
        <v>0</v>
      </c>
      <c r="H53" s="372">
        <f>Input!$JR$29</f>
        <v>0</v>
      </c>
      <c r="I53" s="372">
        <f>Input!$JS$29</f>
        <v>0</v>
      </c>
      <c r="J53" s="372">
        <f>Input!$JT$29</f>
        <v>0</v>
      </c>
      <c r="K53" s="372">
        <f>Input!$JU$29</f>
        <v>0</v>
      </c>
      <c r="L53" s="372">
        <f>Input!$JV$29</f>
        <v>0</v>
      </c>
      <c r="M53" s="373">
        <f t="shared" si="9"/>
        <v>322197</v>
      </c>
      <c r="N53" s="160"/>
      <c r="O53" s="273"/>
    </row>
    <row r="54" spans="1:28" ht="13.5" thickBot="1">
      <c r="A54" s="184">
        <v>37</v>
      </c>
      <c r="B54" s="177" t="s">
        <v>2134</v>
      </c>
      <c r="C54" s="177"/>
      <c r="D54" s="372">
        <f>Input!$JW$29</f>
        <v>0</v>
      </c>
      <c r="E54" s="372">
        <f>Input!$JX$29</f>
        <v>0</v>
      </c>
      <c r="F54" s="372">
        <f>Input!$JY$29</f>
        <v>2065046</v>
      </c>
      <c r="G54" s="372">
        <f>Input!$JZ$29</f>
        <v>0</v>
      </c>
      <c r="H54" s="372">
        <f>Input!$KA$29</f>
        <v>0</v>
      </c>
      <c r="I54" s="372">
        <f>Input!$KB$29</f>
        <v>0</v>
      </c>
      <c r="J54" s="372">
        <f>Input!$KC$29</f>
        <v>0</v>
      </c>
      <c r="K54" s="372">
        <f>Input!$KD$29</f>
        <v>0</v>
      </c>
      <c r="L54" s="372">
        <f>Input!$KE$29</f>
        <v>0</v>
      </c>
      <c r="M54" s="373">
        <f t="shared" si="9"/>
        <v>2065046</v>
      </c>
      <c r="N54" s="160"/>
      <c r="O54" s="273"/>
    </row>
    <row r="55" spans="1:28" ht="14.25" thickTop="1" thickBot="1">
      <c r="A55" s="184">
        <v>38</v>
      </c>
      <c r="B55" s="160" t="s">
        <v>43</v>
      </c>
      <c r="C55" s="160"/>
      <c r="D55" s="372">
        <f>Input!$KF$29</f>
        <v>0</v>
      </c>
      <c r="E55" s="372">
        <f>Input!$KG$29</f>
        <v>919114</v>
      </c>
      <c r="F55" s="372">
        <f>Input!$KH$29</f>
        <v>3218380</v>
      </c>
      <c r="G55" s="372">
        <f>Input!$KI$29</f>
        <v>0</v>
      </c>
      <c r="H55" s="372">
        <f>Input!$KJ$29</f>
        <v>0</v>
      </c>
      <c r="I55" s="372">
        <f>Input!$KK$29</f>
        <v>0</v>
      </c>
      <c r="J55" s="372">
        <f>Input!$KL$29</f>
        <v>0</v>
      </c>
      <c r="K55" s="372">
        <f>Input!$KM$29</f>
        <v>0</v>
      </c>
      <c r="L55" s="372">
        <f>Input!$KN$29</f>
        <v>0</v>
      </c>
      <c r="M55" s="373">
        <f t="shared" si="9"/>
        <v>4137494</v>
      </c>
      <c r="N55" s="160"/>
      <c r="O55" s="1616" t="s">
        <v>251</v>
      </c>
      <c r="P55" s="1617"/>
      <c r="Q55" s="1617"/>
      <c r="R55" s="1618"/>
      <c r="S55" s="437"/>
      <c r="T55" s="1619" t="s">
        <v>252</v>
      </c>
      <c r="U55" s="1620"/>
      <c r="V55" s="1620"/>
      <c r="W55" s="1620"/>
      <c r="X55" s="1621"/>
      <c r="Y55" s="320"/>
      <c r="Z55" s="1749" t="s">
        <v>1301</v>
      </c>
      <c r="AA55" s="1750"/>
      <c r="AB55" s="1751"/>
    </row>
    <row r="56" spans="1:28" ht="13.5" customHeight="1" thickTop="1">
      <c r="A56" s="184">
        <v>39</v>
      </c>
      <c r="B56" s="176" t="s">
        <v>3</v>
      </c>
      <c r="C56" s="176"/>
      <c r="D56" s="374">
        <f>SUM(D50:D55)</f>
        <v>9963</v>
      </c>
      <c r="E56" s="374">
        <f t="shared" ref="E56:L56" si="10">SUM(E50:E55)</f>
        <v>1260598</v>
      </c>
      <c r="F56" s="374">
        <f t="shared" si="10"/>
        <v>5283426</v>
      </c>
      <c r="G56" s="374">
        <f t="shared" si="10"/>
        <v>1857016</v>
      </c>
      <c r="H56" s="374">
        <f t="shared" si="10"/>
        <v>0</v>
      </c>
      <c r="I56" s="374">
        <f t="shared" si="10"/>
        <v>1716974</v>
      </c>
      <c r="J56" s="374">
        <f t="shared" si="10"/>
        <v>0</v>
      </c>
      <c r="K56" s="374">
        <f t="shared" si="10"/>
        <v>0</v>
      </c>
      <c r="L56" s="374">
        <f t="shared" si="10"/>
        <v>0</v>
      </c>
      <c r="M56" s="374">
        <f t="shared" si="9"/>
        <v>10127977</v>
      </c>
      <c r="N56" s="160"/>
      <c r="O56" s="1622" t="s">
        <v>1135</v>
      </c>
      <c r="P56" s="1625" t="s">
        <v>254</v>
      </c>
      <c r="Q56" s="1625" t="s">
        <v>292</v>
      </c>
      <c r="R56" s="1628" t="s">
        <v>1063</v>
      </c>
      <c r="S56" s="280"/>
      <c r="T56" s="1739" t="s">
        <v>1136</v>
      </c>
      <c r="U56" s="1637" t="s">
        <v>254</v>
      </c>
      <c r="V56" s="1634" t="s">
        <v>256</v>
      </c>
      <c r="W56" s="1637" t="s">
        <v>257</v>
      </c>
      <c r="X56" s="1638" t="s">
        <v>1064</v>
      </c>
      <c r="Z56" s="1754" t="s">
        <v>1302</v>
      </c>
      <c r="AA56" s="1747" t="s">
        <v>1303</v>
      </c>
      <c r="AB56" s="1752" t="s">
        <v>238</v>
      </c>
    </row>
    <row r="57" spans="1:28">
      <c r="A57" s="184">
        <v>40</v>
      </c>
      <c r="B57" s="162" t="s">
        <v>68</v>
      </c>
      <c r="C57" s="162"/>
      <c r="D57" s="374">
        <f>D15+D44+D47+D56</f>
        <v>26845209</v>
      </c>
      <c r="E57" s="374">
        <f t="shared" ref="E57:L57" si="11">E15+E44+E47+E56</f>
        <v>19579497</v>
      </c>
      <c r="F57" s="374">
        <f t="shared" si="11"/>
        <v>8722522</v>
      </c>
      <c r="G57" s="374">
        <f t="shared" si="11"/>
        <v>19129602</v>
      </c>
      <c r="H57" s="374">
        <f t="shared" si="11"/>
        <v>0</v>
      </c>
      <c r="I57" s="374">
        <f t="shared" si="11"/>
        <v>1716974</v>
      </c>
      <c r="J57" s="374">
        <f t="shared" si="11"/>
        <v>0</v>
      </c>
      <c r="K57" s="374">
        <f t="shared" si="11"/>
        <v>0</v>
      </c>
      <c r="L57" s="374">
        <f t="shared" si="11"/>
        <v>0</v>
      </c>
      <c r="M57" s="374">
        <f t="shared" si="9"/>
        <v>75993804</v>
      </c>
      <c r="N57" s="160"/>
      <c r="O57" s="1623"/>
      <c r="P57" s="1626"/>
      <c r="Q57" s="1626"/>
      <c r="R57" s="1629"/>
      <c r="S57" s="280"/>
      <c r="T57" s="1740"/>
      <c r="U57" s="1626"/>
      <c r="V57" s="1635"/>
      <c r="W57" s="1626"/>
      <c r="X57" s="1639"/>
      <c r="Z57" s="1755"/>
      <c r="AA57" s="1747"/>
      <c r="AB57" s="1752"/>
    </row>
    <row r="58" spans="1:28">
      <c r="A58" s="184">
        <v>41</v>
      </c>
      <c r="B58" s="160"/>
      <c r="C58" s="160"/>
      <c r="D58" s="373"/>
      <c r="E58" s="373"/>
      <c r="F58" s="373"/>
      <c r="G58" s="373"/>
      <c r="H58" s="373"/>
      <c r="I58" s="373"/>
      <c r="J58" s="373"/>
      <c r="K58" s="373"/>
      <c r="L58" s="373"/>
      <c r="M58" s="373"/>
      <c r="N58" s="160"/>
      <c r="O58" s="1623"/>
      <c r="P58" s="1626"/>
      <c r="Q58" s="1626"/>
      <c r="R58" s="1629"/>
      <c r="S58" s="280"/>
      <c r="T58" s="1740"/>
      <c r="U58" s="1626"/>
      <c r="V58" s="1635"/>
      <c r="W58" s="1626"/>
      <c r="X58" s="1639"/>
      <c r="Z58" s="1755"/>
      <c r="AA58" s="1747"/>
      <c r="AB58" s="1752"/>
    </row>
    <row r="59" spans="1:28" ht="14.25" customHeight="1">
      <c r="A59" s="184">
        <v>42</v>
      </c>
      <c r="B59" s="174" t="s">
        <v>72</v>
      </c>
      <c r="C59" s="174"/>
      <c r="D59" s="377"/>
      <c r="E59" s="377"/>
      <c r="F59" s="377"/>
      <c r="G59" s="1746" t="str">
        <f>IF(OR(P105&gt;0,P106&lt;&gt;0,P107&lt;&gt;0),"Do not Enter Cents - Whole Dollars Only","")</f>
        <v/>
      </c>
      <c r="H59" s="1746"/>
      <c r="I59" s="1746"/>
      <c r="J59" s="1746"/>
      <c r="K59" s="1746"/>
      <c r="L59" s="377"/>
      <c r="M59" s="377"/>
      <c r="N59" s="160"/>
      <c r="O59" s="1624"/>
      <c r="P59" s="1627"/>
      <c r="Q59" s="1627"/>
      <c r="R59" s="1630"/>
      <c r="S59" s="280"/>
      <c r="T59" s="1741"/>
      <c r="U59" s="1627"/>
      <c r="V59" s="1636"/>
      <c r="W59" s="1627"/>
      <c r="X59" s="1640"/>
      <c r="Z59" s="1756"/>
      <c r="AA59" s="1748"/>
      <c r="AB59" s="1753"/>
    </row>
    <row r="60" spans="1:28" ht="13.5" thickBot="1">
      <c r="A60" s="184">
        <v>43</v>
      </c>
      <c r="B60" s="160" t="s">
        <v>14</v>
      </c>
      <c r="C60" s="160"/>
      <c r="D60" s="372">
        <f>Input!$KO$29</f>
        <v>17713878</v>
      </c>
      <c r="E60" s="372">
        <f>Input!$KP$29</f>
        <v>2811946</v>
      </c>
      <c r="F60" s="372">
        <f>Input!$KQ$29</f>
        <v>0</v>
      </c>
      <c r="G60" s="372">
        <f>Input!$KR$29</f>
        <v>73729</v>
      </c>
      <c r="H60" s="372">
        <f>Input!$KS$29</f>
        <v>0</v>
      </c>
      <c r="I60" s="372">
        <f>Input!$KT$29</f>
        <v>0</v>
      </c>
      <c r="J60" s="372">
        <f>Input!$KU$29</f>
        <v>0</v>
      </c>
      <c r="K60" s="372">
        <f>Input!$KV$29</f>
        <v>0</v>
      </c>
      <c r="L60" s="372">
        <f>Input!$KW$29</f>
        <v>0</v>
      </c>
      <c r="M60" s="373">
        <f t="shared" ref="M60:M71" si="12">D60+E60+F60+G60+H60+I60+J60+K60+L60</f>
        <v>20599553</v>
      </c>
      <c r="N60" s="160"/>
      <c r="O60" s="282">
        <f>D60+E60+G60+J60</f>
        <v>20599553</v>
      </c>
      <c r="P60" s="518">
        <f>Input!$SS$29</f>
        <v>282203</v>
      </c>
      <c r="Q60" s="438" t="s">
        <v>259</v>
      </c>
      <c r="R60" s="284">
        <f>SUM(O60:P60)</f>
        <v>20881756</v>
      </c>
      <c r="S60" s="439"/>
      <c r="T60" s="286">
        <f t="shared" ref="T60:T67" si="13">D60+E60+G60</f>
        <v>20599553</v>
      </c>
      <c r="U60" s="287">
        <f t="shared" ref="U60:U67" si="14">P60</f>
        <v>282203</v>
      </c>
      <c r="V60" s="289">
        <f>Input!$TC$29</f>
        <v>0</v>
      </c>
      <c r="W60" s="289">
        <f>Input!$TK$29</f>
        <v>0</v>
      </c>
      <c r="X60" s="290">
        <f t="shared" ref="X60:X66" si="15">T60+U60-V60-W60</f>
        <v>20881756</v>
      </c>
      <c r="Z60" s="292" t="s">
        <v>14</v>
      </c>
      <c r="AA60" s="520">
        <f>Input!$TS$29</f>
        <v>20599553</v>
      </c>
      <c r="AB60" s="293">
        <f t="shared" ref="AB60:AB68" si="16">AA60-M60</f>
        <v>0</v>
      </c>
    </row>
    <row r="61" spans="1:28" ht="14.25" thickTop="1" thickBot="1">
      <c r="A61" s="184">
        <v>44</v>
      </c>
      <c r="B61" s="160" t="s">
        <v>15</v>
      </c>
      <c r="C61" s="160"/>
      <c r="D61" s="372">
        <f>Input!$KX$29</f>
        <v>274609</v>
      </c>
      <c r="E61" s="372">
        <f>Input!$KY$29</f>
        <v>7842</v>
      </c>
      <c r="F61" s="372">
        <f>Input!$KZ$29</f>
        <v>0</v>
      </c>
      <c r="G61" s="372">
        <f>Input!$LA$29</f>
        <v>134416</v>
      </c>
      <c r="H61" s="372">
        <f>Input!$LB$29</f>
        <v>0</v>
      </c>
      <c r="I61" s="372">
        <f>Input!$LC$29</f>
        <v>0</v>
      </c>
      <c r="J61" s="372">
        <f>Input!$LD$29</f>
        <v>0</v>
      </c>
      <c r="K61" s="372">
        <f>Input!$LE$29</f>
        <v>0</v>
      </c>
      <c r="L61" s="372">
        <f>Input!$LF$29</f>
        <v>0</v>
      </c>
      <c r="M61" s="373">
        <f t="shared" si="12"/>
        <v>416867</v>
      </c>
      <c r="N61" s="160"/>
      <c r="O61" s="440">
        <f t="shared" ref="O61:O67" si="17">D61+E61+G61+J61</f>
        <v>416867</v>
      </c>
      <c r="P61" s="518">
        <f>Input!$ST$29</f>
        <v>0</v>
      </c>
      <c r="Q61" s="441" t="s">
        <v>259</v>
      </c>
      <c r="R61" s="295">
        <f>SUM(O61:P61)</f>
        <v>416867</v>
      </c>
      <c r="S61" s="442"/>
      <c r="T61" s="296">
        <f t="shared" si="13"/>
        <v>416867</v>
      </c>
      <c r="U61" s="297">
        <f t="shared" si="14"/>
        <v>0</v>
      </c>
      <c r="V61" s="299">
        <f>Input!$TD$29</f>
        <v>0</v>
      </c>
      <c r="W61" s="299">
        <f>Input!$TL$29</f>
        <v>0</v>
      </c>
      <c r="X61" s="300">
        <f t="shared" si="15"/>
        <v>416867</v>
      </c>
      <c r="Z61" s="292" t="s">
        <v>15</v>
      </c>
      <c r="AA61" s="518">
        <f>Input!$TT$29</f>
        <v>416867</v>
      </c>
      <c r="AB61" s="301">
        <f t="shared" si="16"/>
        <v>0</v>
      </c>
    </row>
    <row r="62" spans="1:28" ht="13.5" thickTop="1">
      <c r="A62" s="184">
        <v>45</v>
      </c>
      <c r="B62" s="160" t="s">
        <v>16</v>
      </c>
      <c r="C62" s="160"/>
      <c r="D62" s="372">
        <f>Input!$LG$29</f>
        <v>327040</v>
      </c>
      <c r="E62" s="372">
        <f>Input!$LH$29</f>
        <v>189992</v>
      </c>
      <c r="F62" s="372">
        <f>Input!$LI$29</f>
        <v>3971</v>
      </c>
      <c r="G62" s="372">
        <f>Input!$LJ$29</f>
        <v>346911</v>
      </c>
      <c r="H62" s="372">
        <f>Input!$LK$29</f>
        <v>0</v>
      </c>
      <c r="I62" s="372">
        <f>Input!$LL$29</f>
        <v>0</v>
      </c>
      <c r="J62" s="372">
        <f>Input!$LM$29</f>
        <v>0</v>
      </c>
      <c r="K62" s="372">
        <f>Input!$LN$29</f>
        <v>0</v>
      </c>
      <c r="L62" s="372">
        <f>Input!$LO$29</f>
        <v>0</v>
      </c>
      <c r="M62" s="373">
        <f t="shared" si="12"/>
        <v>867914</v>
      </c>
      <c r="N62" s="160"/>
      <c r="O62" s="440">
        <f t="shared" si="17"/>
        <v>863943</v>
      </c>
      <c r="P62" s="518">
        <f>Input!$SU$29</f>
        <v>8442</v>
      </c>
      <c r="Q62" s="441" t="s">
        <v>259</v>
      </c>
      <c r="R62" s="302" t="s">
        <v>259</v>
      </c>
      <c r="S62" s="442"/>
      <c r="T62" s="296">
        <f t="shared" si="13"/>
        <v>863943</v>
      </c>
      <c r="U62" s="297">
        <f t="shared" si="14"/>
        <v>8442</v>
      </c>
      <c r="V62" s="299">
        <f>Input!$TE$29</f>
        <v>0</v>
      </c>
      <c r="W62" s="299">
        <f>Input!$TM$29</f>
        <v>0</v>
      </c>
      <c r="X62" s="303">
        <f t="shared" si="15"/>
        <v>872385</v>
      </c>
      <c r="Z62" s="292" t="s">
        <v>16</v>
      </c>
      <c r="AA62" s="518">
        <f>Input!$TU$29</f>
        <v>867914</v>
      </c>
      <c r="AB62" s="301">
        <f t="shared" si="16"/>
        <v>0</v>
      </c>
    </row>
    <row r="63" spans="1:28">
      <c r="A63" s="184">
        <v>46</v>
      </c>
      <c r="B63" s="160" t="s">
        <v>17</v>
      </c>
      <c r="C63" s="160"/>
      <c r="D63" s="372">
        <f>Input!$LP$29</f>
        <v>1835871</v>
      </c>
      <c r="E63" s="372">
        <f>Input!$LQ$29</f>
        <v>7335797</v>
      </c>
      <c r="F63" s="372">
        <f>Input!$LR$29</f>
        <v>265221</v>
      </c>
      <c r="G63" s="372">
        <f>Input!$LS$29</f>
        <v>4760541</v>
      </c>
      <c r="H63" s="372">
        <f>Input!$LT$29</f>
        <v>0</v>
      </c>
      <c r="I63" s="372">
        <f>Input!$LU$29</f>
        <v>0</v>
      </c>
      <c r="J63" s="372">
        <f>Input!$LV$29</f>
        <v>0</v>
      </c>
      <c r="K63" s="372">
        <f>Input!$LW$29</f>
        <v>0</v>
      </c>
      <c r="L63" s="372">
        <f>Input!$LX$29</f>
        <v>0</v>
      </c>
      <c r="M63" s="373">
        <f t="shared" si="12"/>
        <v>14197430</v>
      </c>
      <c r="N63" s="160"/>
      <c r="O63" s="440">
        <f t="shared" si="17"/>
        <v>13932209</v>
      </c>
      <c r="P63" s="518">
        <f>Input!$SV$29</f>
        <v>24555</v>
      </c>
      <c r="Q63" s="441" t="s">
        <v>259</v>
      </c>
      <c r="R63" s="295">
        <f t="shared" ref="R63:R65" si="18">SUM(O63:P63)</f>
        <v>13956764</v>
      </c>
      <c r="S63" s="442"/>
      <c r="T63" s="296">
        <f t="shared" si="13"/>
        <v>13932209</v>
      </c>
      <c r="U63" s="297">
        <f t="shared" si="14"/>
        <v>24555</v>
      </c>
      <c r="V63" s="299">
        <f>Input!$TF$29</f>
        <v>0</v>
      </c>
      <c r="W63" s="299">
        <f>Input!$TN$29</f>
        <v>0</v>
      </c>
      <c r="X63" s="303">
        <f t="shared" si="15"/>
        <v>13956764</v>
      </c>
      <c r="Z63" s="292" t="s">
        <v>17</v>
      </c>
      <c r="AA63" s="518">
        <f>Input!$TV$29</f>
        <v>14197430</v>
      </c>
      <c r="AB63" s="301">
        <f t="shared" si="16"/>
        <v>0</v>
      </c>
    </row>
    <row r="64" spans="1:28">
      <c r="A64" s="184">
        <v>47</v>
      </c>
      <c r="B64" s="160" t="s">
        <v>18</v>
      </c>
      <c r="C64" s="160"/>
      <c r="D64" s="372">
        <f>Input!$LY$29</f>
        <v>715152</v>
      </c>
      <c r="E64" s="372">
        <f>Input!$LZ$29</f>
        <v>4028413</v>
      </c>
      <c r="F64" s="372">
        <f>Input!$MA$29</f>
        <v>2264278</v>
      </c>
      <c r="G64" s="372">
        <f>Input!$MB$29</f>
        <v>40203</v>
      </c>
      <c r="H64" s="372">
        <f>Input!$MC$29</f>
        <v>2583</v>
      </c>
      <c r="I64" s="372">
        <f>Input!$MD$29</f>
        <v>0</v>
      </c>
      <c r="J64" s="372">
        <f>Input!$ME$29</f>
        <v>0</v>
      </c>
      <c r="K64" s="372">
        <f>Input!$MF$29</f>
        <v>0</v>
      </c>
      <c r="L64" s="372">
        <f>Input!$MG$29</f>
        <v>0</v>
      </c>
      <c r="M64" s="373">
        <f t="shared" si="12"/>
        <v>7050629</v>
      </c>
      <c r="N64" s="160"/>
      <c r="O64" s="440">
        <f t="shared" si="17"/>
        <v>4783768</v>
      </c>
      <c r="P64" s="518">
        <f>Input!$SW$29</f>
        <v>33872</v>
      </c>
      <c r="Q64" s="518">
        <f>Input!$TB$29</f>
        <v>1213171</v>
      </c>
      <c r="R64" s="295">
        <f>SUM(O64:P64)-Q64</f>
        <v>3604469</v>
      </c>
      <c r="S64" s="442"/>
      <c r="T64" s="296">
        <f t="shared" si="13"/>
        <v>4783768</v>
      </c>
      <c r="U64" s="297">
        <f t="shared" si="14"/>
        <v>33872</v>
      </c>
      <c r="V64" s="299">
        <f>Input!$TG$29</f>
        <v>0</v>
      </c>
      <c r="W64" s="299">
        <f>Input!$TO$29</f>
        <v>0</v>
      </c>
      <c r="X64" s="303">
        <f t="shared" si="15"/>
        <v>4817640</v>
      </c>
      <c r="Z64" s="292" t="s">
        <v>18</v>
      </c>
      <c r="AA64" s="518">
        <f>Input!$TW$29</f>
        <v>7050629</v>
      </c>
      <c r="AB64" s="301">
        <f t="shared" si="16"/>
        <v>0</v>
      </c>
    </row>
    <row r="65" spans="1:28">
      <c r="A65" s="184">
        <v>48</v>
      </c>
      <c r="B65" s="160" t="s">
        <v>19</v>
      </c>
      <c r="C65" s="160"/>
      <c r="D65" s="372">
        <f>Input!$MH$29</f>
        <v>2611896</v>
      </c>
      <c r="E65" s="372">
        <f>Input!$MI$29</f>
        <v>3270000</v>
      </c>
      <c r="F65" s="372">
        <f>Input!$MJ$29</f>
        <v>4804</v>
      </c>
      <c r="G65" s="372">
        <f>Input!$MK$29</f>
        <v>10896</v>
      </c>
      <c r="H65" s="372">
        <f>Input!$ML$29</f>
        <v>0</v>
      </c>
      <c r="I65" s="372">
        <f>Input!$MM$29</f>
        <v>0</v>
      </c>
      <c r="J65" s="372">
        <f>Input!$MN$29</f>
        <v>0</v>
      </c>
      <c r="K65" s="372">
        <f>Input!$MO$29</f>
        <v>0</v>
      </c>
      <c r="L65" s="372">
        <f>Input!$MP$29</f>
        <v>0</v>
      </c>
      <c r="M65" s="373">
        <f t="shared" si="12"/>
        <v>5897596</v>
      </c>
      <c r="N65" s="160"/>
      <c r="O65" s="440">
        <f t="shared" si="17"/>
        <v>5892792</v>
      </c>
      <c r="P65" s="518">
        <f>Input!$SX$29</f>
        <v>131321</v>
      </c>
      <c r="Q65" s="441" t="s">
        <v>259</v>
      </c>
      <c r="R65" s="295">
        <f t="shared" si="18"/>
        <v>6024113</v>
      </c>
      <c r="S65" s="442"/>
      <c r="T65" s="296">
        <f t="shared" si="13"/>
        <v>5892792</v>
      </c>
      <c r="U65" s="297">
        <f t="shared" si="14"/>
        <v>131321</v>
      </c>
      <c r="V65" s="299">
        <f>Input!$TH$29</f>
        <v>0</v>
      </c>
      <c r="W65" s="299">
        <f>Input!$TP$29</f>
        <v>0</v>
      </c>
      <c r="X65" s="303">
        <f t="shared" si="15"/>
        <v>6024113</v>
      </c>
      <c r="Z65" s="292" t="s">
        <v>19</v>
      </c>
      <c r="AA65" s="518">
        <f>Input!$TX$29</f>
        <v>5897596</v>
      </c>
      <c r="AB65" s="301">
        <f t="shared" si="16"/>
        <v>0</v>
      </c>
    </row>
    <row r="66" spans="1:28">
      <c r="A66" s="184">
        <v>49</v>
      </c>
      <c r="B66" s="160" t="s">
        <v>20</v>
      </c>
      <c r="C66" s="160"/>
      <c r="D66" s="372">
        <f>Input!$MQ$29</f>
        <v>1046977</v>
      </c>
      <c r="E66" s="372">
        <f>Input!$MR$29</f>
        <v>2178721</v>
      </c>
      <c r="F66" s="372">
        <f>Input!$MS$29</f>
        <v>16066</v>
      </c>
      <c r="G66" s="372">
        <f>Input!$MT$29</f>
        <v>12749</v>
      </c>
      <c r="H66" s="372">
        <f>Input!$MU$29</f>
        <v>0</v>
      </c>
      <c r="I66" s="372">
        <f>Input!$MV$29</f>
        <v>0</v>
      </c>
      <c r="J66" s="372">
        <f>Input!$MW$29</f>
        <v>0</v>
      </c>
      <c r="K66" s="372">
        <f>Input!$MX$29</f>
        <v>0</v>
      </c>
      <c r="L66" s="372">
        <f>Input!$MY$29</f>
        <v>0</v>
      </c>
      <c r="M66" s="373">
        <f t="shared" si="12"/>
        <v>3254513</v>
      </c>
      <c r="N66" s="160"/>
      <c r="O66" s="440">
        <f t="shared" si="17"/>
        <v>3238447</v>
      </c>
      <c r="P66" s="518">
        <f>Input!$SY$29</f>
        <v>86653</v>
      </c>
      <c r="Q66" s="441" t="s">
        <v>259</v>
      </c>
      <c r="R66" s="304" t="s">
        <v>259</v>
      </c>
      <c r="S66" s="442"/>
      <c r="T66" s="296">
        <f t="shared" si="13"/>
        <v>3238447</v>
      </c>
      <c r="U66" s="297">
        <f t="shared" si="14"/>
        <v>86653</v>
      </c>
      <c r="V66" s="299">
        <f>Input!$TI$29</f>
        <v>0</v>
      </c>
      <c r="W66" s="299">
        <f>Input!$TQ$29</f>
        <v>0</v>
      </c>
      <c r="X66" s="303">
        <f t="shared" si="15"/>
        <v>3325100</v>
      </c>
      <c r="Z66" s="292" t="s">
        <v>260</v>
      </c>
      <c r="AA66" s="518">
        <f>Input!$TY$29</f>
        <v>3254513</v>
      </c>
      <c r="AB66" s="301">
        <f t="shared" si="16"/>
        <v>0</v>
      </c>
    </row>
    <row r="67" spans="1:28" ht="13.5" thickBot="1">
      <c r="A67" s="184">
        <v>50</v>
      </c>
      <c r="B67" s="160" t="s">
        <v>21</v>
      </c>
      <c r="C67" s="160"/>
      <c r="D67" s="372">
        <f>Input!$MZ$29</f>
        <v>744751</v>
      </c>
      <c r="E67" s="372">
        <f>Input!$NA$29</f>
        <v>2451269</v>
      </c>
      <c r="F67" s="372">
        <f>Input!$NB$29</f>
        <v>132037</v>
      </c>
      <c r="G67" s="372">
        <f>Input!$NC$29</f>
        <v>5548737</v>
      </c>
      <c r="H67" s="372">
        <f>Input!$ND$29</f>
        <v>0</v>
      </c>
      <c r="I67" s="372">
        <f>Input!$NE$29</f>
        <v>0</v>
      </c>
      <c r="J67" s="372">
        <f>Input!$NF$29</f>
        <v>0</v>
      </c>
      <c r="K67" s="372">
        <f>Input!$NG$29</f>
        <v>0</v>
      </c>
      <c r="L67" s="372">
        <f>Input!$NH$29</f>
        <v>0</v>
      </c>
      <c r="M67" s="373">
        <f t="shared" si="12"/>
        <v>8876794</v>
      </c>
      <c r="N67" s="160"/>
      <c r="O67" s="440">
        <f t="shared" si="17"/>
        <v>8744757</v>
      </c>
      <c r="P67" s="518">
        <f>Input!$SZ$29</f>
        <v>0</v>
      </c>
      <c r="Q67" s="441" t="s">
        <v>259</v>
      </c>
      <c r="R67" s="304" t="s">
        <v>259</v>
      </c>
      <c r="S67" s="442"/>
      <c r="T67" s="306">
        <f t="shared" si="13"/>
        <v>8744757</v>
      </c>
      <c r="U67" s="307">
        <f t="shared" si="14"/>
        <v>0</v>
      </c>
      <c r="V67" s="308">
        <f>Input!$TJ$29</f>
        <v>0</v>
      </c>
      <c r="W67" s="308">
        <f>Input!$TR$29</f>
        <v>0</v>
      </c>
      <c r="X67" s="303">
        <f>U67+T67-V67-W67</f>
        <v>8744757</v>
      </c>
      <c r="Z67" s="292" t="s">
        <v>21</v>
      </c>
      <c r="AA67" s="518">
        <f>Input!$TZ$29</f>
        <v>8876794</v>
      </c>
      <c r="AB67" s="301">
        <f t="shared" si="16"/>
        <v>0</v>
      </c>
    </row>
    <row r="68" spans="1:28" ht="14.25" thickTop="1" thickBot="1">
      <c r="A68" s="184">
        <v>51</v>
      </c>
      <c r="B68" s="160" t="s">
        <v>2135</v>
      </c>
      <c r="C68" s="160"/>
      <c r="D68" s="372">
        <f>Input!$NI$29</f>
        <v>0</v>
      </c>
      <c r="E68" s="372">
        <f>Input!$NJ$29</f>
        <v>87</v>
      </c>
      <c r="F68" s="372">
        <f>Input!$NK$29</f>
        <v>2321983</v>
      </c>
      <c r="G68" s="372">
        <f>Input!$NL$29</f>
        <v>20387</v>
      </c>
      <c r="H68" s="372">
        <f>Input!$NM$29</f>
        <v>0</v>
      </c>
      <c r="I68" s="372">
        <f>Input!$NN$29</f>
        <v>0</v>
      </c>
      <c r="J68" s="372">
        <f>Input!$NO$29</f>
        <v>0</v>
      </c>
      <c r="K68" s="372">
        <f>Input!$NP$29</f>
        <v>0</v>
      </c>
      <c r="L68" s="372">
        <f>Input!$NQ$29</f>
        <v>0</v>
      </c>
      <c r="M68" s="373">
        <f t="shared" si="12"/>
        <v>2342457</v>
      </c>
      <c r="N68" s="160"/>
      <c r="O68" s="309" t="s">
        <v>259</v>
      </c>
      <c r="P68" s="519">
        <f>Input!$TA$29</f>
        <v>0</v>
      </c>
      <c r="Q68" s="444" t="s">
        <v>259</v>
      </c>
      <c r="R68" s="311" t="s">
        <v>259</v>
      </c>
      <c r="S68" s="442"/>
      <c r="T68" s="305"/>
      <c r="U68" s="305"/>
      <c r="V68" s="312" t="s">
        <v>261</v>
      </c>
      <c r="W68" s="313"/>
      <c r="X68" s="314">
        <f>SUM(X60:X67)</f>
        <v>59039382</v>
      </c>
      <c r="Z68" s="292" t="s">
        <v>22</v>
      </c>
      <c r="AA68" s="518">
        <f>Input!$UA$29</f>
        <v>2342457</v>
      </c>
      <c r="AB68" s="301">
        <f t="shared" si="16"/>
        <v>0</v>
      </c>
    </row>
    <row r="69" spans="1:28" ht="14.25" thickTop="1" thickBot="1">
      <c r="A69" s="184">
        <v>52</v>
      </c>
      <c r="B69" s="161" t="s">
        <v>59</v>
      </c>
      <c r="C69" s="161"/>
      <c r="D69" s="372">
        <f>Input!$NR$29</f>
        <v>280498</v>
      </c>
      <c r="E69" s="372">
        <f>Input!$NS$29</f>
        <v>37980</v>
      </c>
      <c r="F69" s="372">
        <f>Input!$NT$29</f>
        <v>2049</v>
      </c>
      <c r="G69" s="372">
        <f>Input!$NU$29</f>
        <v>246519</v>
      </c>
      <c r="H69" s="372">
        <f>Input!$NV$29</f>
        <v>0</v>
      </c>
      <c r="I69" s="372">
        <f>Input!$NW$29</f>
        <v>0</v>
      </c>
      <c r="J69" s="372">
        <f>Input!$NX$29</f>
        <v>0</v>
      </c>
      <c r="K69" s="372">
        <f>Input!$NY$29</f>
        <v>0</v>
      </c>
      <c r="L69" s="372">
        <f>Input!$NZ$29</f>
        <v>0</v>
      </c>
      <c r="M69" s="373">
        <f t="shared" si="12"/>
        <v>567046</v>
      </c>
      <c r="N69" s="160"/>
      <c r="O69" s="315"/>
      <c r="P69" s="316">
        <f>SUM(P60:P68)</f>
        <v>567046</v>
      </c>
      <c r="Q69" s="316">
        <f>SUM(Q64:Q68)</f>
        <v>1213171</v>
      </c>
      <c r="R69" s="317">
        <f>SUM(R60:R65)</f>
        <v>44883969</v>
      </c>
      <c r="S69" s="316"/>
      <c r="T69" s="305"/>
      <c r="U69" s="305"/>
      <c r="V69" s="305"/>
      <c r="W69" s="277"/>
      <c r="X69" s="277"/>
      <c r="Y69" s="277"/>
      <c r="Z69" s="292" t="s">
        <v>285</v>
      </c>
      <c r="AA69" s="445">
        <f>M88*-1</f>
        <v>7013519</v>
      </c>
      <c r="AB69" s="301">
        <f>AA69+M88</f>
        <v>0</v>
      </c>
    </row>
    <row r="70" spans="1:28" ht="14.25" thickTop="1" thickBot="1">
      <c r="A70" s="184">
        <v>53</v>
      </c>
      <c r="B70" s="178" t="s">
        <v>44</v>
      </c>
      <c r="C70" s="178"/>
      <c r="D70" s="378">
        <f>Input!$OA$29</f>
        <v>0</v>
      </c>
      <c r="E70" s="378">
        <f>Input!$OB$29</f>
        <v>240</v>
      </c>
      <c r="F70" s="378">
        <f>Input!$OC$29</f>
        <v>8998</v>
      </c>
      <c r="G70" s="378">
        <f>Input!$OD$29</f>
        <v>0</v>
      </c>
      <c r="H70" s="378">
        <f>Input!$OE$29</f>
        <v>0</v>
      </c>
      <c r="I70" s="378">
        <f>Input!$OF$29</f>
        <v>0</v>
      </c>
      <c r="J70" s="378">
        <f>Input!$OG$29</f>
        <v>2596431</v>
      </c>
      <c r="K70" s="378">
        <f>Input!$OH$29</f>
        <v>0</v>
      </c>
      <c r="L70" s="378">
        <f>Input!$OI$29</f>
        <v>204597</v>
      </c>
      <c r="M70" s="373">
        <f t="shared" si="12"/>
        <v>2810266</v>
      </c>
      <c r="N70" s="160"/>
      <c r="O70" s="320"/>
      <c r="P70" s="516" t="str">
        <f>IF(P69&lt;&gt;M69,"Out of Balance","Balanced")</f>
        <v>Balanced</v>
      </c>
      <c r="Q70" s="318"/>
      <c r="R70" s="305"/>
      <c r="S70" s="305"/>
      <c r="T70" s="305"/>
      <c r="U70" s="277"/>
      <c r="V70" s="1738" t="str">
        <f>IF(X68-INT(X68)&lt;&gt;0,"Whole Dollars Only","")</f>
        <v/>
      </c>
      <c r="W70" s="1738"/>
      <c r="X70" s="537"/>
      <c r="Y70" s="319"/>
      <c r="Z70" s="410" t="s">
        <v>262</v>
      </c>
      <c r="AA70" s="446" t="s">
        <v>259</v>
      </c>
      <c r="AB70" s="411">
        <f>M90</f>
        <v>0</v>
      </c>
    </row>
    <row r="71" spans="1:28" ht="13.5" thickTop="1">
      <c r="A71" s="184">
        <v>54</v>
      </c>
      <c r="B71" s="162" t="s">
        <v>69</v>
      </c>
      <c r="C71" s="162"/>
      <c r="D71" s="374">
        <f>SUM(D60:D70)</f>
        <v>25550672</v>
      </c>
      <c r="E71" s="374">
        <f>SUM(E60:E70)</f>
        <v>22312287</v>
      </c>
      <c r="F71" s="374">
        <f t="shared" ref="F71:L71" si="19">SUM(F60:F70)</f>
        <v>5019407</v>
      </c>
      <c r="G71" s="374">
        <f t="shared" si="19"/>
        <v>11195088</v>
      </c>
      <c r="H71" s="374">
        <f t="shared" si="19"/>
        <v>2583</v>
      </c>
      <c r="I71" s="374">
        <f t="shared" si="19"/>
        <v>0</v>
      </c>
      <c r="J71" s="374">
        <f t="shared" si="19"/>
        <v>2596431</v>
      </c>
      <c r="K71" s="374">
        <f t="shared" si="19"/>
        <v>0</v>
      </c>
      <c r="L71" s="374">
        <f t="shared" si="19"/>
        <v>204597</v>
      </c>
      <c r="M71" s="374">
        <f t="shared" si="12"/>
        <v>66881065</v>
      </c>
      <c r="N71" s="160"/>
      <c r="O71" s="322"/>
      <c r="P71" s="1738" t="str">
        <f>IF(P69-INT(P69)&lt;&gt;0,"Whole Dollars Only","")</f>
        <v/>
      </c>
      <c r="Q71" s="1738"/>
      <c r="R71" s="323"/>
      <c r="S71" s="323"/>
      <c r="T71" s="323"/>
      <c r="U71" s="291"/>
      <c r="V71" s="324"/>
      <c r="W71" s="321"/>
      <c r="X71" s="321"/>
      <c r="Y71" s="321"/>
      <c r="Z71" s="318"/>
      <c r="AA71" s="325">
        <f>SUM(AA60:AA70)</f>
        <v>70517272</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Input!$OJ$29</f>
        <v>0</v>
      </c>
      <c r="E74" s="372">
        <f>Input!$OK$29</f>
        <v>0</v>
      </c>
      <c r="F74" s="372">
        <f>Input!$OL$29</f>
        <v>0</v>
      </c>
      <c r="G74" s="372">
        <f>Input!$OM$29</f>
        <v>0</v>
      </c>
      <c r="H74" s="372">
        <f>Input!$ON$29</f>
        <v>0</v>
      </c>
      <c r="I74" s="372">
        <f>Input!$OO$29</f>
        <v>0</v>
      </c>
      <c r="J74" s="372">
        <f>Input!$OP$29</f>
        <v>-7732299</v>
      </c>
      <c r="K74" s="372">
        <f>Input!$OQ$29</f>
        <v>0</v>
      </c>
      <c r="L74" s="372">
        <f>Input!$OR$29</f>
        <v>0</v>
      </c>
      <c r="M74" s="373">
        <f>D74+E74+F74+G74+H74+I74+J74+K74+L74</f>
        <v>-7732299</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Input!$OS$29</f>
        <v>169650</v>
      </c>
      <c r="E75" s="372">
        <f>Input!$OT$29</f>
        <v>4969408</v>
      </c>
      <c r="F75" s="372">
        <f>Input!$OU$29</f>
        <v>-1730132</v>
      </c>
      <c r="G75" s="372">
        <f>Input!$OV$29</f>
        <v>-6643786</v>
      </c>
      <c r="H75" s="372">
        <f>Input!$OW$29</f>
        <v>72073</v>
      </c>
      <c r="I75" s="372">
        <f>Input!$OX$29</f>
        <v>-606787</v>
      </c>
      <c r="J75" s="372">
        <f>Input!$OY$29</f>
        <v>-3619071</v>
      </c>
      <c r="K75" s="372">
        <f>Input!$OZ$29</f>
        <v>4527281</v>
      </c>
      <c r="L75" s="372">
        <f>Input!$PA$29</f>
        <v>7672301</v>
      </c>
      <c r="M75" s="373">
        <f>D75+E75+F75+G75+H75+I75+J75+K75+L75</f>
        <v>4810937</v>
      </c>
      <c r="N75" s="160"/>
      <c r="O75" s="1723" t="str">
        <f>IF(M85&lt;0,"Footnote 11 is N/A - No Data Entry Required","Footnote 11")</f>
        <v>Footnote 11</v>
      </c>
      <c r="P75" s="1724"/>
      <c r="Q75" s="1724"/>
      <c r="R75" s="1725"/>
      <c r="S75" s="330"/>
      <c r="T75" s="330"/>
      <c r="U75" s="327"/>
      <c r="V75" s="276"/>
      <c r="W75" s="331"/>
      <c r="X75" s="331"/>
      <c r="Y75" s="328"/>
      <c r="Z75" s="328"/>
      <c r="AA75" s="276"/>
      <c r="AB75" s="276" t="s">
        <v>293</v>
      </c>
    </row>
    <row r="76" spans="1:28" ht="13.5" thickTop="1">
      <c r="A76" s="184">
        <v>59</v>
      </c>
      <c r="B76" s="160" t="s">
        <v>45</v>
      </c>
      <c r="C76" s="160"/>
      <c r="D76" s="372">
        <f>Input!$PB$29</f>
        <v>0</v>
      </c>
      <c r="E76" s="372">
        <f>Input!$PC$29</f>
        <v>0</v>
      </c>
      <c r="F76" s="372">
        <f>Input!$PD$29</f>
        <v>0</v>
      </c>
      <c r="G76" s="372">
        <f>Input!$PE$29</f>
        <v>0</v>
      </c>
      <c r="H76" s="372">
        <f>Input!$PF$29</f>
        <v>0</v>
      </c>
      <c r="I76" s="372">
        <f>Input!$PG$29</f>
        <v>0</v>
      </c>
      <c r="J76" s="372">
        <f>Input!$PH$29</f>
        <v>1444000</v>
      </c>
      <c r="K76" s="372">
        <f>Input!$PI$29</f>
        <v>0</v>
      </c>
      <c r="L76" s="372">
        <f>Input!$PJ$29</f>
        <v>0</v>
      </c>
      <c r="M76" s="373">
        <f>D76+E76+F76+G76+H76+I76+J76+K76+L76</f>
        <v>1444000</v>
      </c>
      <c r="N76" s="160"/>
      <c r="O76" s="487" t="s">
        <v>583</v>
      </c>
      <c r="P76" s="488"/>
      <c r="Q76" s="489"/>
      <c r="R76" s="490">
        <f>IF($M$85&lt;0,"N/A",$M$85)</f>
        <v>2340712</v>
      </c>
      <c r="S76" s="330"/>
      <c r="T76" s="330"/>
      <c r="U76" s="327"/>
      <c r="V76" s="276"/>
      <c r="W76" s="331"/>
      <c r="X76" s="331"/>
      <c r="Y76" s="331"/>
      <c r="Z76" s="331"/>
      <c r="AA76" s="276"/>
      <c r="AB76" s="276"/>
    </row>
    <row r="77" spans="1:28">
      <c r="A77" s="184">
        <v>60</v>
      </c>
      <c r="B77" s="160" t="s">
        <v>46</v>
      </c>
      <c r="C77" s="160"/>
      <c r="D77" s="372">
        <f>Input!$PK$29</f>
        <v>0</v>
      </c>
      <c r="E77" s="372">
        <f>Input!$PL$29</f>
        <v>0</v>
      </c>
      <c r="F77" s="372">
        <f>Input!$PM$29</f>
        <v>0</v>
      </c>
      <c r="G77" s="372">
        <f>Input!$PN$29</f>
        <v>0</v>
      </c>
      <c r="H77" s="372">
        <f>Input!$PO$29</f>
        <v>0</v>
      </c>
      <c r="I77" s="372">
        <f>Input!$PP$29</f>
        <v>0</v>
      </c>
      <c r="J77" s="372">
        <f>Input!$PQ$29</f>
        <v>0</v>
      </c>
      <c r="K77" s="372">
        <f>Input!$PR$29</f>
        <v>-7706264</v>
      </c>
      <c r="L77" s="372">
        <f>Input!$PS$29</f>
        <v>0</v>
      </c>
      <c r="M77" s="373">
        <f>D77+E77+F77+G77+H77+I77+J77+K77+L77</f>
        <v>-7706264</v>
      </c>
      <c r="N77" s="160"/>
      <c r="O77" s="491" t="s">
        <v>584</v>
      </c>
      <c r="P77" s="334"/>
      <c r="Q77" s="334"/>
      <c r="R77" s="521">
        <f>Input!$UB$29</f>
        <v>-70887</v>
      </c>
      <c r="S77" s="330"/>
      <c r="T77" s="330"/>
      <c r="U77" s="327"/>
      <c r="V77" s="276"/>
      <c r="W77" s="331"/>
      <c r="X77" s="331"/>
      <c r="Y77" s="331"/>
      <c r="Z77" s="331"/>
      <c r="AA77" s="276"/>
      <c r="AB77" s="276"/>
    </row>
    <row r="78" spans="1:28">
      <c r="A78" s="184">
        <v>61</v>
      </c>
      <c r="B78" s="162" t="s">
        <v>3</v>
      </c>
      <c r="C78" s="162"/>
      <c r="D78" s="374">
        <f t="shared" ref="D78:L78" si="20">SUM(D74:D77)</f>
        <v>169650</v>
      </c>
      <c r="E78" s="374">
        <f t="shared" si="20"/>
        <v>4969408</v>
      </c>
      <c r="F78" s="374">
        <f t="shared" si="20"/>
        <v>-1730132</v>
      </c>
      <c r="G78" s="374">
        <f t="shared" si="20"/>
        <v>-6643786</v>
      </c>
      <c r="H78" s="374">
        <f t="shared" si="20"/>
        <v>72073</v>
      </c>
      <c r="I78" s="374">
        <f t="shared" si="20"/>
        <v>-606787</v>
      </c>
      <c r="J78" s="374">
        <f t="shared" si="20"/>
        <v>-9907370</v>
      </c>
      <c r="K78" s="374">
        <f t="shared" si="20"/>
        <v>-3178983</v>
      </c>
      <c r="L78" s="374">
        <f t="shared" si="20"/>
        <v>7672301</v>
      </c>
      <c r="M78" s="374">
        <f>D78+E78+F78+G78+H78+I78+J78+K78+L78</f>
        <v>-9183626</v>
      </c>
      <c r="N78" s="160"/>
      <c r="O78" s="491" t="s">
        <v>585</v>
      </c>
      <c r="P78" s="276"/>
      <c r="Q78" s="334"/>
      <c r="R78" s="492">
        <f>IF($M$85&lt;0,"",$R$76-$R$77)</f>
        <v>2411599</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3"/>
      <c r="P79" s="276"/>
      <c r="Q79" s="334"/>
      <c r="R79" s="494"/>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5" t="s">
        <v>586</v>
      </c>
      <c r="P80" s="276"/>
      <c r="Q80" s="334"/>
      <c r="R80" s="521">
        <f>Input!$UC$29</f>
        <v>2386599</v>
      </c>
      <c r="S80" s="330"/>
      <c r="T80" s="330"/>
      <c r="U80" s="334"/>
      <c r="V80" s="276"/>
      <c r="W80" s="328"/>
      <c r="X80" s="328"/>
      <c r="Y80" s="331"/>
      <c r="Z80" s="331"/>
      <c r="AA80" s="276"/>
      <c r="AB80" s="276"/>
    </row>
    <row r="81" spans="1:28">
      <c r="A81" s="184">
        <v>64</v>
      </c>
      <c r="B81" s="160" t="s">
        <v>47</v>
      </c>
      <c r="C81" s="160"/>
      <c r="D81" s="372">
        <f>Input!$PT$29</f>
        <v>0</v>
      </c>
      <c r="E81" s="372">
        <f>Input!$PU$29</f>
        <v>-10596</v>
      </c>
      <c r="F81" s="372">
        <f>Input!$PV$29</f>
        <v>0</v>
      </c>
      <c r="G81" s="372">
        <f>Input!$PW$29</f>
        <v>0</v>
      </c>
      <c r="H81" s="372">
        <f>Input!$PX$29</f>
        <v>0</v>
      </c>
      <c r="I81" s="372">
        <f>Input!$PY$29</f>
        <v>2397195</v>
      </c>
      <c r="J81" s="372">
        <f>Input!$PZ$29</f>
        <v>0</v>
      </c>
      <c r="K81" s="372">
        <f>Input!$QA$29</f>
        <v>0</v>
      </c>
      <c r="L81" s="372">
        <f>Input!$QB$29</f>
        <v>0</v>
      </c>
      <c r="M81" s="373">
        <f>D81+E81+F81+G81+H81+I81+J81+K81+L81</f>
        <v>2386599</v>
      </c>
      <c r="N81" s="160"/>
      <c r="O81" s="496" t="s">
        <v>587</v>
      </c>
      <c r="P81" s="276"/>
      <c r="Q81" s="276"/>
      <c r="R81" s="497"/>
      <c r="S81" s="330"/>
      <c r="T81" s="330"/>
      <c r="W81" s="276"/>
      <c r="X81" s="276"/>
      <c r="Y81" s="331"/>
      <c r="Z81" s="331"/>
      <c r="AA81" s="276"/>
      <c r="AB81" s="276"/>
    </row>
    <row r="82" spans="1:28">
      <c r="A82" s="184">
        <v>65</v>
      </c>
      <c r="B82" s="160" t="s">
        <v>48</v>
      </c>
      <c r="C82" s="160"/>
      <c r="D82" s="372">
        <f>Input!$QC$29</f>
        <v>0</v>
      </c>
      <c r="E82" s="372">
        <f>Input!$QD$29</f>
        <v>0</v>
      </c>
      <c r="F82" s="372">
        <f>Input!$QE$29</f>
        <v>0</v>
      </c>
      <c r="G82" s="372">
        <f>Input!$QF$29</f>
        <v>0</v>
      </c>
      <c r="H82" s="372">
        <f>Input!$QG$29</f>
        <v>0</v>
      </c>
      <c r="I82" s="372">
        <f>Input!$QH$29</f>
        <v>25000</v>
      </c>
      <c r="J82" s="372">
        <f>Input!$QI$29</f>
        <v>0</v>
      </c>
      <c r="K82" s="372">
        <f>Input!$QJ$29</f>
        <v>0</v>
      </c>
      <c r="L82" s="372">
        <f>Input!$QK$29</f>
        <v>0</v>
      </c>
      <c r="M82" s="373">
        <f>D82+E82+F82+G82+H82+I82+J82+K82+L82</f>
        <v>25000</v>
      </c>
      <c r="N82" s="160"/>
      <c r="O82" s="498" t="s">
        <v>588</v>
      </c>
      <c r="P82" s="276"/>
      <c r="Q82" s="276"/>
      <c r="R82" s="492">
        <f>IFERROR($R$78-$R$80,"")</f>
        <v>25000</v>
      </c>
      <c r="Y82" s="331"/>
      <c r="Z82" s="401"/>
      <c r="AA82" s="268"/>
      <c r="AB82" s="268"/>
    </row>
    <row r="83" spans="1:28">
      <c r="A83" s="184">
        <v>66</v>
      </c>
      <c r="B83" s="162" t="s">
        <v>3</v>
      </c>
      <c r="C83" s="162"/>
      <c r="D83" s="374">
        <f t="shared" ref="D83:L83" si="21">SUM(D81:D82)</f>
        <v>0</v>
      </c>
      <c r="E83" s="374">
        <f t="shared" si="21"/>
        <v>-10596</v>
      </c>
      <c r="F83" s="374">
        <f t="shared" si="21"/>
        <v>0</v>
      </c>
      <c r="G83" s="374">
        <f t="shared" si="21"/>
        <v>0</v>
      </c>
      <c r="H83" s="374">
        <f t="shared" si="21"/>
        <v>0</v>
      </c>
      <c r="I83" s="374">
        <f t="shared" si="21"/>
        <v>2422195</v>
      </c>
      <c r="J83" s="374">
        <f t="shared" si="21"/>
        <v>0</v>
      </c>
      <c r="K83" s="374">
        <f t="shared" si="21"/>
        <v>0</v>
      </c>
      <c r="L83" s="374">
        <f t="shared" si="21"/>
        <v>0</v>
      </c>
      <c r="M83" s="374">
        <f>D83+E83+F83+G83+H83+I83+J83+K83+L83</f>
        <v>2411599</v>
      </c>
      <c r="N83" s="160"/>
      <c r="O83" s="493"/>
      <c r="P83" s="276"/>
      <c r="Q83" s="276"/>
      <c r="R83" s="497"/>
      <c r="Y83" s="163"/>
      <c r="Z83" s="447"/>
      <c r="AA83" s="439"/>
      <c r="AB83" s="448"/>
    </row>
    <row r="84" spans="1:28" ht="13.5" thickBot="1">
      <c r="A84" s="184">
        <v>67</v>
      </c>
      <c r="B84" s="160"/>
      <c r="C84" s="160"/>
      <c r="D84" s="373"/>
      <c r="E84" s="373"/>
      <c r="F84" s="373"/>
      <c r="G84" s="373"/>
      <c r="H84" s="373"/>
      <c r="I84" s="373"/>
      <c r="J84" s="373"/>
      <c r="K84" s="373"/>
      <c r="L84" s="373"/>
      <c r="M84" s="373"/>
      <c r="N84" s="160"/>
      <c r="O84" s="499" t="s">
        <v>589</v>
      </c>
      <c r="P84" s="500"/>
      <c r="Q84" s="500"/>
      <c r="R84" s="501">
        <f>IFERROR((R82+R80)-R78,"")</f>
        <v>0</v>
      </c>
      <c r="Y84" s="268"/>
      <c r="Z84" s="447"/>
      <c r="AA84" s="439"/>
      <c r="AB84" s="449"/>
    </row>
    <row r="85" spans="1:28" ht="13.5" thickTop="1">
      <c r="A85" s="184">
        <v>68</v>
      </c>
      <c r="B85" s="162" t="s">
        <v>574</v>
      </c>
      <c r="C85" s="162"/>
      <c r="D85" s="374">
        <f t="shared" ref="D85:L85" si="22">D57-D71+D78+D83</f>
        <v>1464187</v>
      </c>
      <c r="E85" s="374">
        <f t="shared" si="22"/>
        <v>2226022</v>
      </c>
      <c r="F85" s="374">
        <f t="shared" si="22"/>
        <v>1972983</v>
      </c>
      <c r="G85" s="374">
        <f t="shared" si="22"/>
        <v>1290728</v>
      </c>
      <c r="H85" s="374">
        <f t="shared" si="22"/>
        <v>69490</v>
      </c>
      <c r="I85" s="374">
        <f t="shared" si="22"/>
        <v>3532382</v>
      </c>
      <c r="J85" s="374">
        <f t="shared" si="22"/>
        <v>-12503801</v>
      </c>
      <c r="K85" s="374">
        <f t="shared" si="22"/>
        <v>-3178983</v>
      </c>
      <c r="L85" s="374">
        <f t="shared" si="22"/>
        <v>7467704</v>
      </c>
      <c r="M85" s="374">
        <f>D85+E85+F85+G85+H85+I85+J85+K85+L85</f>
        <v>2340712</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Input!$QL$29</f>
        <v>0</v>
      </c>
      <c r="E87" s="372">
        <f>Input!$QM$29</f>
        <v>0</v>
      </c>
      <c r="F87" s="372">
        <f>Input!$QN$29</f>
        <v>0</v>
      </c>
      <c r="G87" s="372">
        <f>Input!$QO$29</f>
        <v>0</v>
      </c>
      <c r="H87" s="372">
        <f>Input!$QP$29</f>
        <v>0</v>
      </c>
      <c r="I87" s="372">
        <f>Input!$QQ$29</f>
        <v>0</v>
      </c>
      <c r="J87" s="372">
        <f>Input!$QR$29</f>
        <v>-1444000</v>
      </c>
      <c r="K87" s="372">
        <f>Input!$QS$29</f>
        <v>4035267</v>
      </c>
      <c r="L87" s="372">
        <f>Input!$QT$29</f>
        <v>0</v>
      </c>
      <c r="M87" s="329">
        <f>D87+E87+F87+G87+H87+I87+J87+K87+L87</f>
        <v>2591267</v>
      </c>
      <c r="N87" s="160"/>
      <c r="Y87" s="268"/>
      <c r="Z87" s="447"/>
      <c r="AA87" s="439"/>
      <c r="AB87" s="449"/>
    </row>
    <row r="88" spans="1:28">
      <c r="A88" s="184">
        <v>72</v>
      </c>
      <c r="B88" s="160" t="s">
        <v>66</v>
      </c>
      <c r="C88" s="160"/>
      <c r="D88" s="372">
        <f>Input!$QU$29</f>
        <v>0</v>
      </c>
      <c r="E88" s="372">
        <f>Input!$QV$29</f>
        <v>0</v>
      </c>
      <c r="F88" s="372">
        <f>Input!$QW$29</f>
        <v>0</v>
      </c>
      <c r="G88" s="372">
        <f>Input!$QX$29</f>
        <v>0</v>
      </c>
      <c r="H88" s="372">
        <f>Input!$QY$29</f>
        <v>0</v>
      </c>
      <c r="I88" s="372">
        <f>Input!$QZ$29</f>
        <v>0</v>
      </c>
      <c r="J88" s="372">
        <f>Input!$RA$29</f>
        <v>0</v>
      </c>
      <c r="K88" s="372">
        <f>Input!$RB$29</f>
        <v>0</v>
      </c>
      <c r="L88" s="372">
        <f>Input!$RC$29</f>
        <v>-7013519</v>
      </c>
      <c r="M88" s="373">
        <f>D88+E88+F88+G88+H88+I88+J88+K88+L88</f>
        <v>-7013519</v>
      </c>
      <c r="N88" s="160"/>
      <c r="O88" s="270"/>
      <c r="P88" s="335"/>
      <c r="Y88" s="268"/>
      <c r="Z88" s="447"/>
      <c r="AA88" s="439"/>
      <c r="AB88" s="449"/>
    </row>
    <row r="89" spans="1:28" s="264" customFormat="1">
      <c r="A89" s="263"/>
      <c r="B89" s="171" t="s">
        <v>216</v>
      </c>
      <c r="C89" s="171"/>
      <c r="D89" s="372">
        <f>Input!$RD$29</f>
        <v>0</v>
      </c>
      <c r="E89" s="372">
        <f>Input!$RE$29</f>
        <v>0</v>
      </c>
      <c r="F89" s="372">
        <f>Input!$RF$29</f>
        <v>0</v>
      </c>
      <c r="G89" s="372">
        <f>Input!$RG$29</f>
        <v>0</v>
      </c>
      <c r="H89" s="372">
        <f>Input!$RH$29</f>
        <v>0</v>
      </c>
      <c r="I89" s="372">
        <f>Input!$RI$29</f>
        <v>0</v>
      </c>
      <c r="J89" s="372">
        <f>Input!$RJ$29</f>
        <v>0</v>
      </c>
      <c r="K89" s="372">
        <f>Input!$RK$29</f>
        <v>0</v>
      </c>
      <c r="L89" s="372">
        <f>Input!$RL$29</f>
        <v>0</v>
      </c>
      <c r="M89" s="373">
        <f t="shared" ref="M89:M91" si="23">D89+E89+F89+G89+H89+I89+J89+K89+L89</f>
        <v>0</v>
      </c>
      <c r="N89" s="160"/>
      <c r="O89" s="1726" t="s">
        <v>1355</v>
      </c>
      <c r="P89" s="1727"/>
      <c r="Q89" s="1727"/>
      <c r="R89" s="1727"/>
      <c r="S89" s="1727"/>
      <c r="T89" s="1727"/>
      <c r="U89" s="1728"/>
      <c r="Y89" s="268"/>
      <c r="Z89" s="447"/>
      <c r="AA89" s="439"/>
      <c r="AB89" s="449"/>
    </row>
    <row r="90" spans="1:28" s="264" customFormat="1">
      <c r="A90" s="263"/>
      <c r="B90" s="171" t="s">
        <v>105</v>
      </c>
      <c r="C90" s="171"/>
      <c r="D90" s="372">
        <f>Input!$RM$29</f>
        <v>0</v>
      </c>
      <c r="E90" s="372">
        <f>Input!$RN$29</f>
        <v>0</v>
      </c>
      <c r="F90" s="372">
        <f>Input!$RO$29</f>
        <v>0</v>
      </c>
      <c r="G90" s="372">
        <f>Input!$RP$29</f>
        <v>0</v>
      </c>
      <c r="H90" s="372">
        <f>Input!$RQ$29</f>
        <v>0</v>
      </c>
      <c r="I90" s="372">
        <f>Input!$RR$29</f>
        <v>0</v>
      </c>
      <c r="J90" s="372">
        <f>Input!$RS$29</f>
        <v>0</v>
      </c>
      <c r="K90" s="372">
        <f>Input!$RT$29</f>
        <v>0</v>
      </c>
      <c r="L90" s="372">
        <f>Input!$RU$29</f>
        <v>0</v>
      </c>
      <c r="M90" s="373">
        <f t="shared" si="23"/>
        <v>0</v>
      </c>
      <c r="N90" s="160"/>
      <c r="O90" s="502" t="s">
        <v>590</v>
      </c>
      <c r="P90" s="423"/>
      <c r="Q90" s="502" t="s">
        <v>591</v>
      </c>
      <c r="R90" s="423"/>
      <c r="S90" s="503"/>
      <c r="T90" s="502" t="s">
        <v>592</v>
      </c>
      <c r="U90" s="423"/>
      <c r="Y90" s="268"/>
      <c r="Z90" s="447"/>
      <c r="AA90" s="439"/>
      <c r="AB90" s="449"/>
    </row>
    <row r="91" spans="1:28" s="264" customFormat="1">
      <c r="A91" s="263"/>
      <c r="B91" s="171" t="s">
        <v>128</v>
      </c>
      <c r="C91" s="171"/>
      <c r="D91" s="372">
        <f>Input!$RV$29</f>
        <v>0</v>
      </c>
      <c r="E91" s="372">
        <f>Input!$RW$29</f>
        <v>0</v>
      </c>
      <c r="F91" s="372">
        <f>Input!$RX$29</f>
        <v>0</v>
      </c>
      <c r="G91" s="372">
        <f>Input!$RY$29</f>
        <v>0</v>
      </c>
      <c r="H91" s="372">
        <f>Input!$RZ$29</f>
        <v>0</v>
      </c>
      <c r="I91" s="372">
        <f>Input!$SA$29</f>
        <v>0</v>
      </c>
      <c r="J91" s="372">
        <f>Input!$SB$29</f>
        <v>0</v>
      </c>
      <c r="K91" s="372">
        <f>Input!$SC$29</f>
        <v>0</v>
      </c>
      <c r="L91" s="372">
        <f>Input!$SD$29</f>
        <v>0</v>
      </c>
      <c r="M91" s="373">
        <f t="shared" si="23"/>
        <v>0</v>
      </c>
      <c r="N91" s="160"/>
      <c r="O91" s="504"/>
      <c r="P91" s="505"/>
      <c r="Q91" s="504"/>
      <c r="R91" s="426"/>
      <c r="S91" s="276"/>
      <c r="T91" s="506"/>
      <c r="U91" s="426"/>
      <c r="Y91" s="268"/>
      <c r="Z91" s="447"/>
      <c r="AA91" s="439"/>
      <c r="AB91" s="449"/>
    </row>
    <row r="92" spans="1:28" s="264" customFormat="1">
      <c r="A92" s="263"/>
      <c r="B92" s="160" t="s">
        <v>67</v>
      </c>
      <c r="C92" s="160"/>
      <c r="D92" s="372">
        <f>Input!$SE$29</f>
        <v>280498</v>
      </c>
      <c r="E92" s="372">
        <f>Input!$SF$29</f>
        <v>37980</v>
      </c>
      <c r="F92" s="372">
        <f>Input!$SG$29</f>
        <v>2049</v>
      </c>
      <c r="G92" s="372">
        <f>Input!$SH$29</f>
        <v>246519</v>
      </c>
      <c r="H92" s="372">
        <f>Input!$SI$29</f>
        <v>0</v>
      </c>
      <c r="I92" s="372">
        <f>Input!$SJ$29</f>
        <v>0</v>
      </c>
      <c r="J92" s="372">
        <f>Input!$SK$29</f>
        <v>7732299</v>
      </c>
      <c r="K92" s="372">
        <f>Input!$SL$29</f>
        <v>0</v>
      </c>
      <c r="L92" s="372">
        <f>Input!$SM$29</f>
        <v>0</v>
      </c>
      <c r="M92" s="373">
        <f>D92+E92+F92+G92+H92+I92+J92+K92+L92</f>
        <v>8299345</v>
      </c>
      <c r="N92" s="160"/>
      <c r="O92" s="1729" t="str">
        <f>Input!UF$29</f>
        <v>June Nelson</v>
      </c>
      <c r="P92" s="1730"/>
      <c r="Q92" s="1729" t="str">
        <f>Input!$UG$29</f>
        <v>361-570-4873</v>
      </c>
      <c r="R92" s="1730"/>
      <c r="S92" s="276"/>
      <c r="T92" s="1731" t="str">
        <f>HYPERLINK("Mailto:"&amp;Input!$UH$29,Input!$UH$29)</f>
        <v>nelsonj@uhv.edu</v>
      </c>
      <c r="U92" s="1730"/>
      <c r="Y92" s="268"/>
      <c r="Z92" s="447"/>
      <c r="AA92" s="442"/>
      <c r="AB92" s="449"/>
    </row>
    <row r="93" spans="1:28" ht="13.5" thickBot="1">
      <c r="B93" s="179" t="s">
        <v>58</v>
      </c>
      <c r="C93" s="179"/>
      <c r="D93" s="380">
        <f t="shared" ref="D93:K93" si="24">SUM(D85:D92)</f>
        <v>1744685</v>
      </c>
      <c r="E93" s="380">
        <f t="shared" si="24"/>
        <v>2264002</v>
      </c>
      <c r="F93" s="380">
        <f t="shared" si="24"/>
        <v>1975032</v>
      </c>
      <c r="G93" s="380">
        <f t="shared" si="24"/>
        <v>1537247</v>
      </c>
      <c r="H93" s="380">
        <f t="shared" si="24"/>
        <v>69490</v>
      </c>
      <c r="I93" s="380">
        <f t="shared" si="24"/>
        <v>3532382</v>
      </c>
      <c r="J93" s="380">
        <f t="shared" si="24"/>
        <v>-6215502</v>
      </c>
      <c r="K93" s="380">
        <f t="shared" si="24"/>
        <v>856284</v>
      </c>
      <c r="L93" s="380">
        <f>SUM(L85:L92)</f>
        <v>454185</v>
      </c>
      <c r="M93" s="380">
        <f>D93+E93+F93+G93+H93+I93+J93+K93+L93</f>
        <v>6217805</v>
      </c>
      <c r="N93" s="160"/>
      <c r="O93" s="506"/>
      <c r="P93" s="507"/>
      <c r="Q93" s="276"/>
      <c r="R93" s="276"/>
      <c r="S93" s="276"/>
      <c r="T93" s="507"/>
      <c r="U93" s="508"/>
      <c r="Y93" s="268"/>
      <c r="Z93" s="447"/>
      <c r="AA93" s="442"/>
      <c r="AB93" s="449"/>
    </row>
    <row r="94" spans="1:28" ht="13.5" thickTop="1">
      <c r="C94" s="160"/>
      <c r="D94" s="165"/>
      <c r="E94" s="165"/>
      <c r="F94" s="165"/>
      <c r="G94" s="165"/>
      <c r="H94" s="165"/>
      <c r="I94" s="165"/>
      <c r="J94" s="165"/>
      <c r="K94" s="165"/>
      <c r="L94" s="165"/>
      <c r="M94" s="180"/>
      <c r="N94" s="160"/>
      <c r="O94" s="1720" t="s">
        <v>593</v>
      </c>
      <c r="P94" s="1721"/>
      <c r="Q94" s="1721"/>
      <c r="R94" s="1721"/>
      <c r="S94" s="1721"/>
      <c r="T94" s="1721"/>
      <c r="U94" s="1722"/>
      <c r="Y94" s="268"/>
      <c r="Z94" s="451"/>
      <c r="AA94" s="442"/>
      <c r="AB94" s="449"/>
    </row>
    <row r="95" spans="1:28">
      <c r="B95" s="171" t="s">
        <v>1369</v>
      </c>
      <c r="C95" s="169"/>
      <c r="D95" s="165"/>
      <c r="E95" s="165"/>
      <c r="F95" s="165"/>
      <c r="G95" s="165"/>
      <c r="H95" s="165"/>
      <c r="I95" s="165"/>
      <c r="J95" s="165"/>
      <c r="K95" s="165"/>
      <c r="L95" s="165"/>
      <c r="M95" s="180"/>
      <c r="N95" s="160"/>
      <c r="O95" s="1720"/>
      <c r="P95" s="1721"/>
      <c r="Q95" s="1721"/>
      <c r="R95" s="1721"/>
      <c r="S95" s="1721"/>
      <c r="T95" s="1721"/>
      <c r="U95" s="1722"/>
      <c r="Y95" s="268"/>
      <c r="Z95" s="452"/>
      <c r="AA95" s="453"/>
      <c r="AB95" s="454"/>
    </row>
    <row r="96" spans="1:28">
      <c r="B96" s="169" t="s">
        <v>80</v>
      </c>
      <c r="C96" s="160"/>
      <c r="D96" s="165"/>
      <c r="E96" s="165"/>
      <c r="F96" s="165"/>
      <c r="G96" s="165"/>
      <c r="H96" s="165"/>
      <c r="I96" s="165"/>
      <c r="J96" s="165"/>
      <c r="K96" s="165"/>
      <c r="L96" s="165"/>
      <c r="M96" s="180"/>
      <c r="N96" s="160"/>
      <c r="O96" s="509"/>
      <c r="P96" s="510"/>
      <c r="Q96" s="511"/>
      <c r="R96" s="511"/>
      <c r="S96" s="511"/>
      <c r="T96" s="510"/>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Input!$SN$29</f>
        <v>6217805</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3" t="str">
        <f>IF($L$118&lt;&gt;Input!$F$29,"Out of Balance","Balanced")</f>
        <v>Balanced</v>
      </c>
      <c r="M102" s="517"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52357315</v>
      </c>
      <c r="E105" s="373">
        <f>SUM($E$10:$E$14)+SUM($E$19:$E$28)+SUM($E$32:$E$41)+$E$47+SUM($E$50:$E$55)+SUM($E$60:$E$70)+SUM($E$74:$E$77)+SUM($E$81:$E$82)+SUM($E$87:$E$92)</f>
        <v>46888576</v>
      </c>
      <c r="F105" s="373">
        <f>SUM($F$10:$F$14)+SUM($F$19:$F$28)+SUM($F$32:$F$41)+$F$47+SUM($F$50:$F$55)+SUM($F$60:$F$70)+SUM($F$74:$F$77)+SUM($F$81:$F$82)+SUM($F$87:$F$92)</f>
        <v>12013846</v>
      </c>
      <c r="G105" s="373">
        <f>SUM($G$10:$G$14)+SUM($G$19:$G$28)+SUM($G$32:$G$41)+$G$47+SUM($G$50:$G$55)+SUM($G$60:$G$70)+SUM($G$74:$G$77)+SUM($G$81:$G$82)+SUM($G$87:$G$92)</f>
        <v>23927423</v>
      </c>
      <c r="H105" s="373">
        <f>SUM($H$10:$H$14)+SUM($H$19:$H$28)+SUM($H$32:$H$41)+$H$47+SUM($H$50:$H$55)+SUM($H$60:$H$70)+SUM($H$74:$H$77)+SUM($H$81:$H$82)+SUM($H$87:$H$92)</f>
        <v>74656</v>
      </c>
      <c r="I105" s="373">
        <f>SUM($I$10:$I$14)+SUM($I$19:$I$28)+SUM($I$32:$I$41)+$I$47+SUM($I$50:$I$55)+SUM($I$60:$I$70)+SUM($I$74:$I$77)+SUM($I$81:$I$82)+SUM($I$87:$I$92)</f>
        <v>3532382</v>
      </c>
      <c r="J105" s="373">
        <f>SUM($J$10:$J$14)+SUM($J$19:$J$28)+SUM($J$32:$J$41)+$J$47+SUM($J$50:$J$55)+SUM($J$60:$J$70)+SUM($J$74:$J$77)+SUM($J$81:$J$82)+SUM($J$87:$J$92)</f>
        <v>-1022640</v>
      </c>
      <c r="K105" s="373">
        <f>SUM($K$10:$K$14)+SUM($K$19:$K$28)+SUM($K$32:$K$41)+$K$47+SUM($K$50:$K$55)+SUM($K$60:$K$70)+SUM($K$74:$K$77)+SUM($K$81:$K$82)+SUM($K$87:$K$92)</f>
        <v>856284</v>
      </c>
      <c r="L105" s="373">
        <f>SUM($L$10:$L$14)+SUM($L$19:$L$28)+SUM($L$32:$L$41)+$L$47+SUM($L$50:$L$55)+SUM($L$60:$L$70)+SUM($L$74:$L$77)+SUM($L$81:$L$82)+SUM($L$87:$L$92)</f>
        <v>863379</v>
      </c>
      <c r="M105" s="373"/>
      <c r="N105" s="264"/>
      <c r="O105" s="373"/>
      <c r="P105" s="450">
        <f>M18-INT(M18)</f>
        <v>0</v>
      </c>
    </row>
    <row r="106" spans="2:28">
      <c r="B106" s="261"/>
      <c r="C106" s="261"/>
      <c r="D106" s="261"/>
      <c r="E106" s="261"/>
      <c r="F106" s="261"/>
      <c r="G106" s="261"/>
      <c r="H106" s="261"/>
      <c r="I106" s="261"/>
      <c r="J106" s="261"/>
      <c r="K106" s="261"/>
      <c r="L106" s="373">
        <f>SUM($D$105:$L$105)</f>
        <v>139491221</v>
      </c>
      <c r="M106" s="261"/>
      <c r="N106" s="264"/>
      <c r="O106" s="373"/>
      <c r="P106" s="450">
        <f>M31-INT(M31)</f>
        <v>0</v>
      </c>
    </row>
    <row r="107" spans="2:28">
      <c r="B107" s="261"/>
      <c r="C107" s="261"/>
      <c r="D107" s="261"/>
      <c r="E107" s="261"/>
      <c r="F107" s="261"/>
      <c r="G107" s="261"/>
      <c r="H107" s="261"/>
      <c r="I107" s="261"/>
      <c r="J107" s="261" t="s">
        <v>1299</v>
      </c>
      <c r="K107" s="261"/>
      <c r="L107" s="373">
        <f>$M$100</f>
        <v>6217805</v>
      </c>
      <c r="M107" s="261"/>
      <c r="N107" s="264"/>
      <c r="O107" s="373"/>
      <c r="P107" s="450">
        <f>M93-INT(M93)</f>
        <v>0</v>
      </c>
    </row>
    <row r="108" spans="2:28">
      <c r="B108" s="261"/>
      <c r="C108" s="261"/>
      <c r="D108" s="261"/>
      <c r="E108" s="261"/>
      <c r="F108" s="261"/>
      <c r="G108" s="261"/>
      <c r="H108" s="261"/>
      <c r="I108" s="261"/>
      <c r="J108" s="261" t="s">
        <v>1300</v>
      </c>
      <c r="K108" s="261"/>
      <c r="L108" s="512">
        <f>$Q$32</f>
        <v>36567263</v>
      </c>
      <c r="M108" s="261"/>
      <c r="N108" s="264"/>
      <c r="O108" s="373"/>
    </row>
    <row r="109" spans="2:28">
      <c r="B109" s="261"/>
      <c r="C109" s="261"/>
      <c r="D109" s="261"/>
      <c r="E109" s="261"/>
      <c r="F109" s="261"/>
      <c r="G109" s="261"/>
      <c r="H109" s="261"/>
      <c r="I109" s="261"/>
      <c r="J109" s="261" t="s">
        <v>1300</v>
      </c>
      <c r="K109" s="261"/>
      <c r="L109" s="512">
        <f>$R$34</f>
        <v>-9762925</v>
      </c>
      <c r="M109" s="261"/>
      <c r="N109" s="264"/>
      <c r="O109" s="373"/>
    </row>
    <row r="110" spans="2:28">
      <c r="B110" s="261"/>
      <c r="C110" s="261"/>
      <c r="D110" s="261"/>
      <c r="E110" s="261"/>
      <c r="F110" s="261"/>
      <c r="G110" s="261"/>
      <c r="H110" s="261"/>
      <c r="I110" s="261"/>
      <c r="J110" s="261" t="s">
        <v>29</v>
      </c>
      <c r="K110" s="261"/>
      <c r="L110" s="512">
        <f>SUM($P$60:$P$68)</f>
        <v>567046</v>
      </c>
      <c r="M110" s="261"/>
      <c r="N110" s="264"/>
      <c r="O110" s="373"/>
    </row>
    <row r="111" spans="2:28">
      <c r="B111" s="261"/>
      <c r="C111" s="261"/>
      <c r="D111" s="261"/>
      <c r="E111" s="261"/>
      <c r="F111" s="261"/>
      <c r="G111" s="261"/>
      <c r="H111" s="261"/>
      <c r="I111" s="261"/>
      <c r="J111" s="261" t="s">
        <v>594</v>
      </c>
      <c r="K111" s="261"/>
      <c r="L111" s="373">
        <f>$Q$64</f>
        <v>1213171</v>
      </c>
      <c r="M111" s="261"/>
      <c r="N111" s="264"/>
      <c r="O111" s="373"/>
    </row>
    <row r="112" spans="2:28">
      <c r="B112" s="261"/>
      <c r="C112" s="261"/>
      <c r="D112" s="261"/>
      <c r="E112" s="261"/>
      <c r="F112" s="261"/>
      <c r="G112" s="261"/>
      <c r="H112" s="261"/>
      <c r="I112" s="261"/>
      <c r="J112" s="261" t="s">
        <v>595</v>
      </c>
      <c r="K112" s="261"/>
      <c r="L112" s="512">
        <f>SUM($V$60:$V$67)</f>
        <v>0</v>
      </c>
      <c r="M112" s="261"/>
      <c r="N112" s="264"/>
      <c r="O112" s="373"/>
    </row>
    <row r="113" spans="2:15">
      <c r="B113" s="261"/>
      <c r="C113" s="261"/>
      <c r="D113" s="261"/>
      <c r="E113" s="261"/>
      <c r="F113" s="261"/>
      <c r="G113" s="261"/>
      <c r="H113" s="261"/>
      <c r="I113" s="261"/>
      <c r="J113" s="261" t="s">
        <v>596</v>
      </c>
      <c r="K113" s="261"/>
      <c r="L113" s="512">
        <f>SUM($W$60:$W$67)</f>
        <v>0</v>
      </c>
      <c r="M113" s="261"/>
      <c r="N113" s="264"/>
      <c r="O113" s="373"/>
    </row>
    <row r="114" spans="2:15">
      <c r="B114" s="261"/>
      <c r="C114" s="261"/>
      <c r="D114" s="261"/>
      <c r="E114" s="261"/>
      <c r="F114" s="261"/>
      <c r="G114" s="261"/>
      <c r="H114" s="261"/>
      <c r="I114" s="261"/>
      <c r="J114" s="261" t="s">
        <v>258</v>
      </c>
      <c r="K114" s="261"/>
      <c r="L114" s="512">
        <f>SUM($AA$60:$AA$68)</f>
        <v>63503753</v>
      </c>
      <c r="M114" s="261"/>
      <c r="N114" s="264"/>
      <c r="O114" s="373"/>
    </row>
    <row r="115" spans="2:15">
      <c r="B115" s="261"/>
      <c r="C115" s="261"/>
      <c r="D115" s="261"/>
      <c r="E115" s="261"/>
      <c r="F115" s="261"/>
      <c r="G115" s="261"/>
      <c r="H115" s="261"/>
      <c r="I115" s="261"/>
      <c r="J115" s="261" t="s">
        <v>597</v>
      </c>
      <c r="K115" s="261"/>
      <c r="L115" s="512">
        <f>$R$77</f>
        <v>-70887</v>
      </c>
      <c r="M115" s="261"/>
      <c r="N115" s="264"/>
      <c r="O115" s="373"/>
    </row>
    <row r="116" spans="2:15">
      <c r="B116" s="261"/>
      <c r="C116" s="261"/>
      <c r="D116" s="261"/>
      <c r="E116" s="261"/>
      <c r="F116" s="261"/>
      <c r="G116" s="261"/>
      <c r="H116" s="261"/>
      <c r="I116" s="261"/>
      <c r="J116" s="261" t="s">
        <v>597</v>
      </c>
      <c r="K116" s="261"/>
      <c r="L116" s="512">
        <f>$R$80</f>
        <v>2386599</v>
      </c>
      <c r="M116" s="261"/>
      <c r="N116" s="264"/>
      <c r="O116" s="373"/>
    </row>
    <row r="117" spans="2:15">
      <c r="B117" s="261"/>
      <c r="C117" s="261"/>
      <c r="D117" s="261"/>
      <c r="E117" s="261"/>
      <c r="F117" s="261"/>
      <c r="G117" s="261"/>
      <c r="H117" s="261"/>
      <c r="I117" s="261"/>
      <c r="J117" s="261" t="s">
        <v>1231</v>
      </c>
      <c r="K117" s="261"/>
      <c r="L117" s="1008">
        <f>VLOOKUP(B2,Names!B5:$C$87,2,FALSE)</f>
        <v>13231</v>
      </c>
      <c r="M117" s="261"/>
      <c r="N117" s="264"/>
      <c r="O117" s="373"/>
    </row>
    <row r="118" spans="2:15">
      <c r="B118" s="261"/>
      <c r="C118" s="261"/>
      <c r="D118" s="261"/>
      <c r="E118" s="261"/>
      <c r="F118" s="261"/>
      <c r="G118" s="261"/>
      <c r="H118" s="261"/>
      <c r="I118" s="261"/>
      <c r="J118" s="261"/>
      <c r="K118" s="261"/>
      <c r="L118" s="373">
        <f>SUM(L106:L117)</f>
        <v>240126277</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T19:X19"/>
    <mergeCell ref="V70:W70"/>
    <mergeCell ref="R56:R59"/>
    <mergeCell ref="AB56:AB59"/>
    <mergeCell ref="T55:X55"/>
    <mergeCell ref="Z55:AB55"/>
    <mergeCell ref="AA56:AA59"/>
    <mergeCell ref="T56:T59"/>
    <mergeCell ref="U56:U59"/>
    <mergeCell ref="V56:V59"/>
    <mergeCell ref="W56:W59"/>
    <mergeCell ref="X56:X59"/>
    <mergeCell ref="Z56:Z59"/>
    <mergeCell ref="B2:F2"/>
    <mergeCell ref="B3:F3"/>
    <mergeCell ref="B4:F4"/>
    <mergeCell ref="B6:M6"/>
    <mergeCell ref="O75:R75"/>
    <mergeCell ref="G59:K59"/>
    <mergeCell ref="P10:P11"/>
    <mergeCell ref="P71:Q71"/>
    <mergeCell ref="P56:P59"/>
    <mergeCell ref="Q56:Q59"/>
    <mergeCell ref="O19:R19"/>
    <mergeCell ref="P4:Q4"/>
    <mergeCell ref="O55:R55"/>
    <mergeCell ref="O56:O59"/>
    <mergeCell ref="O89:U89"/>
    <mergeCell ref="O92:P92"/>
    <mergeCell ref="Q92:R92"/>
    <mergeCell ref="T92:U92"/>
    <mergeCell ref="O94:U95"/>
  </mergeCells>
  <conditionalFormatting sqref="U87:X88 O88:Q88">
    <cfRule type="cellIs" dxfId="595" priority="176" stopIfTrue="1" operator="notEqual">
      <formula>#REF!</formula>
    </cfRule>
  </conditionalFormatting>
  <conditionalFormatting sqref="P70">
    <cfRule type="expression" dxfId="594" priority="156">
      <formula>$P$69&lt;&gt;$M$69</formula>
    </cfRule>
  </conditionalFormatting>
  <conditionalFormatting sqref="AB72">
    <cfRule type="expression" dxfId="593" priority="155">
      <formula>$AB$71&lt;&gt;0</formula>
    </cfRule>
  </conditionalFormatting>
  <conditionalFormatting sqref="P71">
    <cfRule type="expression" dxfId="592" priority="154">
      <formula>P69-INT(P69)</formula>
    </cfRule>
  </conditionalFormatting>
  <conditionalFormatting sqref="V70">
    <cfRule type="expression" dxfId="591" priority="152">
      <formula>X68-INT(X68)</formula>
    </cfRule>
  </conditionalFormatting>
  <conditionalFormatting sqref="O11">
    <cfRule type="expression" dxfId="590" priority="145">
      <formula>#REF!&lt;&gt;$M$11</formula>
    </cfRule>
  </conditionalFormatting>
  <conditionalFormatting sqref="U87:U88 O88:Q88">
    <cfRule type="cellIs" dxfId="589" priority="136" stopIfTrue="1" operator="notEqual">
      <formula>#REF!</formula>
    </cfRule>
  </conditionalFormatting>
  <conditionalFormatting sqref="R84">
    <cfRule type="expression" priority="134" stopIfTrue="1">
      <formula>$M$85&lt;0</formula>
    </cfRule>
    <cfRule type="expression" dxfId="588" priority="135">
      <formula>$S$85&lt;&gt;0</formula>
    </cfRule>
  </conditionalFormatting>
  <conditionalFormatting sqref="R80 R77">
    <cfRule type="expression" dxfId="587" priority="132" stopIfTrue="1">
      <formula>$M$85&gt;=0</formula>
    </cfRule>
    <cfRule type="expression" priority="133">
      <formula>$M$85&lt;0</formula>
    </cfRule>
  </conditionalFormatting>
  <conditionalFormatting sqref="U87:U88 O88:Q88">
    <cfRule type="cellIs" dxfId="586" priority="131" stopIfTrue="1" operator="notEqual">
      <formula>#REF!</formula>
    </cfRule>
  </conditionalFormatting>
  <conditionalFormatting sqref="O12">
    <cfRule type="expression" dxfId="585" priority="115">
      <formula>$P$12&lt;&gt;$M$12</formula>
    </cfRule>
  </conditionalFormatting>
  <conditionalFormatting sqref="O13">
    <cfRule type="expression" dxfId="584" priority="114">
      <formula>$P$13&lt;&gt;$M$13</formula>
    </cfRule>
  </conditionalFormatting>
  <conditionalFormatting sqref="U87:U88 O88:Q88">
    <cfRule type="cellIs" dxfId="583" priority="113" stopIfTrue="1" operator="notEqual">
      <formula>#REF!</formula>
    </cfRule>
  </conditionalFormatting>
  <conditionalFormatting sqref="Q36">
    <cfRule type="expression" dxfId="582" priority="27">
      <formula>#REF!&lt;&gt;#REF!</formula>
    </cfRule>
  </conditionalFormatting>
  <conditionalFormatting sqref="R35">
    <cfRule type="expression" dxfId="581" priority="26">
      <formula>#REF!&lt;&gt;0</formula>
    </cfRule>
  </conditionalFormatting>
  <conditionalFormatting sqref="Q35">
    <cfRule type="expression" dxfId="580" priority="25">
      <formula>#REF!&lt;&gt;0</formula>
    </cfRule>
  </conditionalFormatting>
  <conditionalFormatting sqref="R36">
    <cfRule type="expression" dxfId="579" priority="24">
      <formula>#REF!&lt;&gt;#REF!</formula>
    </cfRule>
  </conditionalFormatting>
  <conditionalFormatting sqref="D93:M98 T94:T95 R90:S95 U87:X93 T90:T92 Y90:Y95 O88:O92 P88:Q93">
    <cfRule type="cellIs" dxfId="578" priority="23" stopIfTrue="1" operator="notEqual">
      <formula>#REF!</formula>
    </cfRule>
  </conditionalFormatting>
  <conditionalFormatting sqref="P70">
    <cfRule type="expression" dxfId="577" priority="22">
      <formula>$P$69&lt;&gt;$M$69</formula>
    </cfRule>
  </conditionalFormatting>
  <conditionalFormatting sqref="AB72">
    <cfRule type="expression" dxfId="576" priority="21">
      <formula>$AB$71&lt;&gt;0</formula>
    </cfRule>
  </conditionalFormatting>
  <conditionalFormatting sqref="P71">
    <cfRule type="expression" dxfId="575" priority="20">
      <formula>P69-INT(P69)</formula>
    </cfRule>
  </conditionalFormatting>
  <conditionalFormatting sqref="V70">
    <cfRule type="expression" dxfId="574" priority="19">
      <formula>X68-INT(X68)</formula>
    </cfRule>
  </conditionalFormatting>
  <conditionalFormatting sqref="O12">
    <cfRule type="expression" dxfId="573" priority="18">
      <formula>$P$12&lt;&gt;$M$12</formula>
    </cfRule>
  </conditionalFormatting>
  <conditionalFormatting sqref="T94:T95 R90:S95 U87:U93 T90:T92 O88:O92 P88:Q93">
    <cfRule type="cellIs" dxfId="572" priority="16" stopIfTrue="1" operator="notEqual">
      <formula>#REF!</formula>
    </cfRule>
  </conditionalFormatting>
  <conditionalFormatting sqref="R84">
    <cfRule type="expression" priority="14" stopIfTrue="1">
      <formula>$M$85&lt;0</formula>
    </cfRule>
    <cfRule type="expression" dxfId="571" priority="15">
      <formula>$S$85&lt;&gt;0</formula>
    </cfRule>
  </conditionalFormatting>
  <conditionalFormatting sqref="R80 R77">
    <cfRule type="expression" dxfId="570" priority="12" stopIfTrue="1">
      <formula>$M$85&gt;=0</formula>
    </cfRule>
    <cfRule type="expression" priority="13">
      <formula>$M$85&lt;0</formula>
    </cfRule>
  </conditionalFormatting>
  <conditionalFormatting sqref="U87:U88 R89:U92 O88:Q92">
    <cfRule type="cellIs" dxfId="569" priority="11" stopIfTrue="1" operator="notEqual">
      <formula>#REF!</formula>
    </cfRule>
  </conditionalFormatting>
  <conditionalFormatting sqref="M101">
    <cfRule type="expression" dxfId="568" priority="10">
      <formula>$M$101&lt;&gt;0</formula>
    </cfRule>
  </conditionalFormatting>
  <conditionalFormatting sqref="M102">
    <cfRule type="expression" dxfId="567" priority="9">
      <formula>$M$93&lt;&gt;$M$100</formula>
    </cfRule>
  </conditionalFormatting>
  <conditionalFormatting sqref="U87:U92 R90:T92 O88:Q92">
    <cfRule type="cellIs" dxfId="566" priority="8" stopIfTrue="1" operator="notEqual">
      <formula>#REF!</formula>
    </cfRule>
  </conditionalFormatting>
  <conditionalFormatting sqref="T89:U89 Q91 T90 O89:O90 P89:Q89 R89:S91">
    <cfRule type="cellIs" dxfId="565" priority="7" stopIfTrue="1" operator="notEqual">
      <formula>#REF!</formula>
    </cfRule>
  </conditionalFormatting>
  <conditionalFormatting sqref="Q36">
    <cfRule type="expression" dxfId="564" priority="6">
      <formula>#REF!&lt;&gt;#REF!</formula>
    </cfRule>
  </conditionalFormatting>
  <conditionalFormatting sqref="R35">
    <cfRule type="expression" dxfId="563" priority="5">
      <formula>#REF!&lt;&gt;0</formula>
    </cfRule>
  </conditionalFormatting>
  <conditionalFormatting sqref="Q35">
    <cfRule type="expression" dxfId="562" priority="4">
      <formula>#REF!&lt;&gt;0</formula>
    </cfRule>
  </conditionalFormatting>
  <conditionalFormatting sqref="R36">
    <cfRule type="expression" dxfId="561" priority="3">
      <formula>#REF!&lt;&gt;#REF!</formula>
    </cfRule>
  </conditionalFormatting>
  <conditionalFormatting sqref="G59:K59">
    <cfRule type="expression" dxfId="560" priority="1">
      <formula>OR($P$105&gt;0,$P$106&lt;&gt;0,$P$107&lt;&gt;0)</formula>
    </cfRule>
  </conditionalFormatting>
  <hyperlinks>
    <hyperlink ref="O2" location="Index!A1" display="Return to Index" xr:uid="{00000000-0004-0000-7700-000000000000}"/>
  </hyperlinks>
  <printOptions horizontalCentered="1"/>
  <pageMargins left="0.5" right="0.5" top="0.25" bottom="0.25" header="0" footer="0.25"/>
  <pageSetup scale="10" orientation="landscape" r:id="rId1"/>
  <headerFooter alignWithMargins="0"/>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Sheet98"/>
  <dimension ref="A1:G30"/>
  <sheetViews>
    <sheetView showGridLines="0" zoomScale="80" zoomScaleNormal="80" workbookViewId="0">
      <selection activeCell="E74" sqref="E74:F74"/>
    </sheetView>
  </sheetViews>
  <sheetFormatPr defaultColWidth="9.140625" defaultRowHeight="12.75"/>
  <cols>
    <col min="1" max="1" width="7" style="53" customWidth="1"/>
    <col min="2" max="2" width="93.140625" style="53" customWidth="1"/>
    <col min="3" max="3" width="20.5703125" style="53" customWidth="1"/>
    <col min="4" max="9" width="9.140625" style="53"/>
    <col min="10" max="10" width="15" style="53" customWidth="1"/>
    <col min="11" max="16384" width="9.140625" style="53"/>
  </cols>
  <sheetData>
    <row r="1" spans="2:6" ht="18.75" thickBot="1">
      <c r="B1" s="466" t="str">
        <f>'UHV Chrts'!$A$1</f>
        <v>University of Houston - Victoria</v>
      </c>
      <c r="C1" s="835" t="s">
        <v>1200</v>
      </c>
    </row>
    <row r="2" spans="2:6">
      <c r="B2" s="393" t="str">
        <f>'Smmy Chrts'!$A$2</f>
        <v>For the Year Ended August 31, 2021</v>
      </c>
    </row>
    <row r="3" spans="2:6">
      <c r="B3" s="393" t="str">
        <f>'Smmy Chrts'!$A$3</f>
        <v>Source: FY 2021 Annual Financial Report</v>
      </c>
    </row>
    <row r="5" spans="2:6" customFormat="1">
      <c r="B5" s="529" t="s">
        <v>705</v>
      </c>
    </row>
    <row r="6" spans="2:6" customFormat="1">
      <c r="B6" s="530"/>
    </row>
    <row r="7" spans="2:6" customFormat="1" ht="226.5" customHeight="1">
      <c r="B7" s="531" t="s">
        <v>706</v>
      </c>
      <c r="C7" s="532"/>
    </row>
    <row r="8" spans="2:6" customFormat="1" ht="263.25" customHeight="1">
      <c r="B8" s="531" t="s">
        <v>707</v>
      </c>
    </row>
    <row r="9" spans="2:6" ht="64.5" customHeight="1">
      <c r="B9" s="533" t="str">
        <f>IF('UHV FGD'!$R$76="N/A","FN11.  N/A",$B$20&amp;$B$21&amp;$B$22&amp;$B$23&amp;$B$24&amp;$B$25&amp;$B$26&amp;$B$27&amp;$B$28&amp;$B$29&amp;$B$30)</f>
        <v>FN11: Of the net increase of $2,340,712 approximately $(71) thousand represents revenues received but not yet expended. This income is fully committed to program expenditures and capital disbursements. The remaining $2.4 million represents non-expendable funds from unrealized gains and additions to permanent endowments of approximately $2.4 million and $25 thousand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TEXT(IF('UHV FGD'!$M$85&lt;0,"N/A",'UHV FGD'!$M$85),"$* #,##0;$* (#,##0)")</f>
        <v>$2,340,712</v>
      </c>
      <c r="C21" s="480"/>
      <c r="D21" s="480"/>
      <c r="E21" s="480"/>
      <c r="G21" s="105"/>
    </row>
    <row r="22" spans="1:7">
      <c r="B22" s="105" t="s">
        <v>682</v>
      </c>
    </row>
    <row r="23" spans="1:7">
      <c r="A23" s="53">
        <v>61</v>
      </c>
      <c r="B23" s="515" t="str">
        <f>IF(ABS('UHV FGD'!$R$77)&gt;=1000000,TEXT('UHV FGD'!$R$77/1000000,"$* #,##0.0;$* (#,##0.0)")&amp;" million",IF(ABS('UHV FGD'!$R$77)&lt;1000,TEXT('UHV FGD'!$R$77,"$* #,##0;$* (#,##0)"),TEXT('UHV FGD'!$R$77/1000,"$* #,##0;$* (#,##0)")&amp;" thousand"))</f>
        <v>$(71) thousand</v>
      </c>
      <c r="C23" s="515"/>
      <c r="E23" s="515"/>
    </row>
    <row r="24" spans="1:7">
      <c r="B24" s="105" t="s">
        <v>708</v>
      </c>
    </row>
    <row r="25" spans="1:7">
      <c r="A25" s="53">
        <v>62</v>
      </c>
      <c r="B25" s="515" t="str">
        <f>IF(ABS('UHV FGD'!$R$78)&gt;=1000000,TEXT('UHV FGD'!$R$78/1000000,"$* #,##0.0;$* (#,##0.0)")&amp;" million",IF(ABS('UHV FGD'!$R$78)&lt;1000,TEXT('UHV FGD'!$R$78,"$* #,##0;$* (#,##0)"),TEXT('UHV FGD'!$R$78/1000,"$* #,##0;$* (#,##0)")&amp;" thousand"))</f>
        <v>$2.4 million</v>
      </c>
      <c r="C25" s="515"/>
      <c r="E25" s="515"/>
    </row>
    <row r="26" spans="1:7">
      <c r="B26" s="105" t="s">
        <v>683</v>
      </c>
    </row>
    <row r="27" spans="1:7">
      <c r="A27" s="53">
        <v>64</v>
      </c>
      <c r="B27" s="515" t="str">
        <f>IF(ABS('UHV FGD'!$R$80)&gt;=1000000,TEXT('UHV FGD'!$R$80/1000000,"$* #,##0.0;$* (#,##0.0)")&amp;" million",IF(ABS('UHV FGD'!$R$80)&lt;1000,TEXT('UHV FGD'!$R$80,"$* #,##0;$* (#,##0)"),TEXT('UHV FGD'!$R$80/1000,"$* #,##0;$* (#,##0)")&amp;" thousand"))</f>
        <v>$2.4 million</v>
      </c>
      <c r="C27" s="515"/>
      <c r="E27" s="515"/>
    </row>
    <row r="28" spans="1:7">
      <c r="B28" s="105" t="s">
        <v>684</v>
      </c>
    </row>
    <row r="29" spans="1:7">
      <c r="A29" s="53">
        <v>66</v>
      </c>
      <c r="B29" s="515" t="str">
        <f>IF(ABS('UHV FGD'!$R$82)&gt;=1000000,TEXT('UHV FGD'!$R$82/1000000,"$* #,##0.0;$* (#,##0.0)")&amp;" million",IF(ABS('UHV FGD'!$R$82)&lt;1000,TEXT('UHV FGD'!$R$82,"$* #,##0;$* (#,##0)"),TEXT('UHV FGD'!$R$82/1000,"$* #,##0;$* (#,##0)")&amp;" thousand"))</f>
        <v>$25 thousand</v>
      </c>
      <c r="C29" s="515"/>
      <c r="E29" s="515"/>
    </row>
    <row r="30" spans="1:7">
      <c r="B30" s="105" t="s">
        <v>709</v>
      </c>
    </row>
  </sheetData>
  <hyperlinks>
    <hyperlink ref="C1" location="Index!A1" display="Return to Index" xr:uid="{00000000-0004-0000-7800-000000000000}"/>
  </hyperlinks>
  <pageMargins left="0.25" right="0.25" top="0.25" bottom="0.25" header="0" footer="0.25"/>
  <pageSetup orientation="portrait" r:id="rId1"/>
  <headerFooter alignWithMargins="0"/>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Sheet99">
    <tabColor indexed="47"/>
    <pageSetUpPr fitToPage="1"/>
  </sheetPr>
  <dimension ref="A1:E165"/>
  <sheetViews>
    <sheetView showGridLines="0" zoomScale="65" zoomScaleNormal="65" zoomScaleSheetLayoutView="65" workbookViewId="0">
      <selection activeCell="B26" sqref="B26"/>
    </sheetView>
  </sheetViews>
  <sheetFormatPr defaultColWidth="9.140625" defaultRowHeight="12.75" customHeight="1"/>
  <cols>
    <col min="1" max="1" width="158.7109375" style="53" customWidth="1"/>
    <col min="2" max="2" width="22.140625" style="53" customWidth="1"/>
    <col min="3" max="3" width="48.140625" style="53" customWidth="1"/>
    <col min="4" max="4" width="20.7109375" style="53" customWidth="1"/>
    <col min="5" max="5" width="9.140625" style="679"/>
    <col min="6" max="16384" width="9.140625" style="53"/>
  </cols>
  <sheetData>
    <row r="1" spans="1:5" ht="28.5" thickBot="1">
      <c r="A1" s="159" t="s">
        <v>215</v>
      </c>
      <c r="B1" s="835" t="s">
        <v>1200</v>
      </c>
      <c r="C1" s="53" t="s">
        <v>1329</v>
      </c>
    </row>
    <row r="2" spans="1:5" ht="27.75">
      <c r="A2" s="54" t="str">
        <f>'Smmy Chrts'!$A$2</f>
        <v>For the Year Ended August 31, 2021</v>
      </c>
      <c r="C2" s="55" t="s">
        <v>63</v>
      </c>
    </row>
    <row r="3" spans="1:5" ht="27.75">
      <c r="A3" s="54" t="str">
        <f>'Smmy Chrts'!$A$3</f>
        <v>Source: FY 2021 Annual Financial Report</v>
      </c>
      <c r="C3" s="53" t="s">
        <v>64</v>
      </c>
    </row>
    <row r="4" spans="1:5" ht="12.75" customHeight="1">
      <c r="C4" s="53" t="s">
        <v>267</v>
      </c>
    </row>
    <row r="5" spans="1:5" ht="12.75" customHeight="1">
      <c r="C5" s="53" t="s">
        <v>268</v>
      </c>
    </row>
    <row r="7" spans="1:5" ht="12.75" customHeight="1">
      <c r="C7" s="1687" t="s">
        <v>25</v>
      </c>
      <c r="D7" s="1687"/>
    </row>
    <row r="8" spans="1:5" ht="12.75" customHeight="1">
      <c r="C8" s="57"/>
      <c r="D8" s="58"/>
    </row>
    <row r="9" spans="1:5" ht="12.75" customHeight="1">
      <c r="C9" s="59" t="str">
        <f>'LU Sum'!A9</f>
        <v>State of Texas</v>
      </c>
      <c r="D9" s="60">
        <f>'LU Sum'!B15</f>
        <v>79069607</v>
      </c>
      <c r="E9" s="680">
        <f>ROUND(D9/$D$14,3)</f>
        <v>0.27500000000000002</v>
      </c>
    </row>
    <row r="10" spans="1:5" ht="12.75" customHeight="1">
      <c r="C10" s="59" t="str">
        <f>'LU Sum'!A17</f>
        <v>Student &amp; Parent</v>
      </c>
      <c r="D10" s="60">
        <f>'LU Sum'!B20</f>
        <v>112190515</v>
      </c>
      <c r="E10" s="680">
        <f t="shared" ref="E10:E12" si="0">ROUND(D10/$D$14,3)</f>
        <v>0.39</v>
      </c>
    </row>
    <row r="11" spans="1:5" ht="12.75" customHeight="1">
      <c r="C11" s="59" t="str">
        <f>'LU Sum'!A22</f>
        <v>Federal Government</v>
      </c>
      <c r="D11" s="60">
        <f>'LU Sum'!B23</f>
        <v>52209570</v>
      </c>
      <c r="E11" s="680">
        <f t="shared" si="0"/>
        <v>0.182</v>
      </c>
    </row>
    <row r="12" spans="1:5" ht="12.75" customHeight="1">
      <c r="C12" s="59" t="str">
        <f>'LU Sum'!A25</f>
        <v>Institutional Resources</v>
      </c>
      <c r="D12" s="60">
        <f>'LU Sum'!B32</f>
        <v>44056565</v>
      </c>
      <c r="E12" s="680">
        <f t="shared" si="0"/>
        <v>0.153</v>
      </c>
    </row>
    <row r="13" spans="1:5" ht="12.75" customHeight="1">
      <c r="C13" s="57"/>
      <c r="D13" s="58"/>
      <c r="E13" s="680"/>
    </row>
    <row r="14" spans="1:5" ht="12.75" customHeight="1">
      <c r="C14" s="61" t="s">
        <v>68</v>
      </c>
      <c r="D14" s="62">
        <f>SUM(D9:D13)</f>
        <v>287526257</v>
      </c>
      <c r="E14" s="680">
        <f>SUM(E9:E13)</f>
        <v>1</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86" t="str">
        <f>C14&amp;" "&amp;TEXT(D14,"$#,###")</f>
        <v>Total Operating Sources $287,526,257</v>
      </c>
    </row>
    <row r="48" spans="1:1" ht="12.75" customHeight="1">
      <c r="A48" s="1686"/>
    </row>
    <row r="49" spans="1:5" ht="12.75" customHeight="1">
      <c r="A49" s="56"/>
    </row>
    <row r="52" spans="1:5" ht="12.75" customHeight="1">
      <c r="C52" s="63" t="s">
        <v>25</v>
      </c>
      <c r="D52" s="58"/>
    </row>
    <row r="54" spans="1:5" ht="12.75" customHeight="1">
      <c r="C54" s="59" t="s">
        <v>1</v>
      </c>
      <c r="D54" s="60">
        <f>'LU Sum'!B10</f>
        <v>58912199</v>
      </c>
      <c r="E54" s="680">
        <f>ROUND(D54/$D$67,3)</f>
        <v>0.20499999999999999</v>
      </c>
    </row>
    <row r="55" spans="1:5" ht="12.75" customHeight="1">
      <c r="C55" s="59" t="s">
        <v>221</v>
      </c>
      <c r="D55" s="60">
        <f>'LU Sum'!B11</f>
        <v>7016227</v>
      </c>
      <c r="E55" s="680">
        <f t="shared" ref="E55:E66" si="1">ROUND(D55/$D$67,3)</f>
        <v>2.4E-2</v>
      </c>
    </row>
    <row r="56" spans="1:5" ht="12.75" customHeight="1">
      <c r="C56" s="59"/>
      <c r="D56" s="60"/>
      <c r="E56" s="680"/>
    </row>
    <row r="57" spans="1:5" ht="12.75" customHeight="1">
      <c r="C57" s="59" t="str">
        <f>'LU Sum'!A13</f>
        <v>Higher Education Fund</v>
      </c>
      <c r="D57" s="60">
        <f>'LU Sum'!B13</f>
        <v>13141181</v>
      </c>
      <c r="E57" s="680">
        <f t="shared" si="1"/>
        <v>4.5999999999999999E-2</v>
      </c>
    </row>
    <row r="58" spans="1:5" ht="12.75" customHeight="1">
      <c r="C58" s="1069" t="s">
        <v>41</v>
      </c>
      <c r="D58" s="60">
        <f>'LU Sum'!B14</f>
        <v>0</v>
      </c>
      <c r="E58" s="680">
        <f t="shared" si="1"/>
        <v>0</v>
      </c>
    </row>
    <row r="59" spans="1:5" ht="12.75" customHeight="1">
      <c r="C59" s="59" t="s">
        <v>87</v>
      </c>
      <c r="D59" s="60">
        <f>'LU Sum'!B20</f>
        <v>112190515</v>
      </c>
      <c r="E59" s="680">
        <f t="shared" si="1"/>
        <v>0.39</v>
      </c>
    </row>
    <row r="60" spans="1:5" ht="12.75" customHeight="1">
      <c r="C60" s="64" t="s">
        <v>74</v>
      </c>
      <c r="D60" s="60">
        <f>'LU Sum'!B23</f>
        <v>52209570</v>
      </c>
      <c r="E60" s="680">
        <f t="shared" si="1"/>
        <v>0.182</v>
      </c>
    </row>
    <row r="61" spans="1:5" ht="12.75" customHeight="1">
      <c r="C61" s="59" t="s">
        <v>75</v>
      </c>
      <c r="D61" s="60">
        <f>'LU Sum'!B26</f>
        <v>1074257</v>
      </c>
      <c r="E61" s="680">
        <f t="shared" si="1"/>
        <v>4.0000000000000001E-3</v>
      </c>
    </row>
    <row r="62" spans="1:5" ht="12.75" customHeight="1">
      <c r="C62" s="59" t="s">
        <v>27</v>
      </c>
      <c r="D62" s="60">
        <f>'LU Sum'!B27</f>
        <v>2116426</v>
      </c>
      <c r="E62" s="680">
        <f t="shared" si="1"/>
        <v>7.0000000000000001E-3</v>
      </c>
    </row>
    <row r="63" spans="1:5" ht="12.75" customHeight="1">
      <c r="C63" s="59" t="s">
        <v>76</v>
      </c>
      <c r="D63" s="60">
        <f>'LU Sum'!B28</f>
        <v>6642852</v>
      </c>
      <c r="E63" s="680">
        <f t="shared" si="1"/>
        <v>2.3E-2</v>
      </c>
    </row>
    <row r="64" spans="1:5" ht="12.75" customHeight="1">
      <c r="C64" s="59" t="s">
        <v>77</v>
      </c>
      <c r="D64" s="60">
        <f>'LU Sum'!B29</f>
        <v>209198</v>
      </c>
      <c r="E64" s="680">
        <f t="shared" si="1"/>
        <v>1E-3</v>
      </c>
    </row>
    <row r="65" spans="1:5" ht="12.75" customHeight="1">
      <c r="C65" s="59" t="s">
        <v>220</v>
      </c>
      <c r="D65" s="60">
        <f>'LU Sum'!B30</f>
        <v>33020234</v>
      </c>
      <c r="E65" s="680">
        <f t="shared" si="1"/>
        <v>0.115</v>
      </c>
    </row>
    <row r="66" spans="1:5" ht="12.75" customHeight="1">
      <c r="C66" s="64" t="s">
        <v>52</v>
      </c>
      <c r="D66" s="60">
        <f>'LU Sum'!B31</f>
        <v>993598</v>
      </c>
      <c r="E66" s="680">
        <f t="shared" si="1"/>
        <v>3.0000000000000001E-3</v>
      </c>
    </row>
    <row r="67" spans="1:5" ht="12.75" customHeight="1">
      <c r="C67" s="61" t="s">
        <v>68</v>
      </c>
      <c r="D67" s="62">
        <f>SUM(D54:D66)</f>
        <v>287526257</v>
      </c>
      <c r="E67" s="681">
        <f>SUM(E54:E66)</f>
        <v>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86" t="str">
        <f>C67&amp;" "&amp;TEXT(D67,"$#,###")</f>
        <v>Total Operating Sources $287,526,257</v>
      </c>
    </row>
    <row r="93" spans="1:5" ht="12.75" customHeight="1">
      <c r="A93" s="1686"/>
    </row>
    <row r="94" spans="1:5" ht="12.75" customHeight="1">
      <c r="A94" s="65"/>
    </row>
    <row r="95" spans="1:5" s="68" customFormat="1" ht="12.75" customHeight="1">
      <c r="A95" s="66"/>
      <c r="E95" s="682"/>
    </row>
    <row r="96" spans="1:5" ht="12.75" customHeight="1">
      <c r="A96" s="65"/>
    </row>
    <row r="97" spans="1:5" ht="12.75" customHeight="1">
      <c r="A97" s="65"/>
    </row>
    <row r="98" spans="1:5" ht="12.75" customHeight="1">
      <c r="A98" s="65"/>
    </row>
    <row r="100" spans="1:5" ht="12.75" customHeight="1">
      <c r="C100" s="1687" t="s">
        <v>13</v>
      </c>
      <c r="D100" s="1687"/>
    </row>
    <row r="101" spans="1:5" ht="12.75" customHeight="1">
      <c r="C101" s="1687"/>
      <c r="D101" s="1687"/>
    </row>
    <row r="102" spans="1:5" ht="12.75" customHeight="1">
      <c r="C102" s="69" t="s">
        <v>14</v>
      </c>
      <c r="D102" s="60">
        <f>'LU Sum'!B36</f>
        <v>63622119</v>
      </c>
      <c r="E102" s="680">
        <f>ROUND(D102/$D$114,3)</f>
        <v>0.26300000000000001</v>
      </c>
    </row>
    <row r="103" spans="1:5" ht="12.75" customHeight="1">
      <c r="C103" s="69" t="s">
        <v>15</v>
      </c>
      <c r="D103" s="60">
        <f>'LU Sum'!B37</f>
        <v>4843833</v>
      </c>
      <c r="E103" s="680">
        <f t="shared" ref="E103:E112" si="2">ROUND(D103/$D$114,3)</f>
        <v>0.02</v>
      </c>
    </row>
    <row r="104" spans="1:5" ht="12.75" customHeight="1">
      <c r="C104" s="69" t="s">
        <v>16</v>
      </c>
      <c r="D104" s="60">
        <f>'LU Sum'!B38</f>
        <v>1304660</v>
      </c>
      <c r="E104" s="680">
        <f t="shared" si="2"/>
        <v>5.0000000000000001E-3</v>
      </c>
    </row>
    <row r="105" spans="1:5" ht="12.75" customHeight="1">
      <c r="C105" s="69" t="s">
        <v>17</v>
      </c>
      <c r="D105" s="60">
        <f>'LU Sum'!B39</f>
        <v>47163895</v>
      </c>
      <c r="E105" s="680">
        <f t="shared" si="2"/>
        <v>0.19500000000000001</v>
      </c>
    </row>
    <row r="106" spans="1:5" ht="12.75" customHeight="1">
      <c r="C106" s="69" t="s">
        <v>18</v>
      </c>
      <c r="D106" s="60">
        <f>'LU Sum'!B40</f>
        <v>9181241</v>
      </c>
      <c r="E106" s="680">
        <f t="shared" si="2"/>
        <v>3.7999999999999999E-2</v>
      </c>
    </row>
    <row r="107" spans="1:5" ht="12.75" customHeight="1">
      <c r="C107" s="69" t="s">
        <v>19</v>
      </c>
      <c r="D107" s="60">
        <f>'LU Sum'!B41</f>
        <v>32163493</v>
      </c>
      <c r="E107" s="680">
        <f t="shared" si="2"/>
        <v>0.13300000000000001</v>
      </c>
    </row>
    <row r="108" spans="1:5" ht="12.75" customHeight="1">
      <c r="C108" s="69" t="s">
        <v>78</v>
      </c>
      <c r="D108" s="60">
        <f>'LU Sum'!B42</f>
        <v>13795553</v>
      </c>
      <c r="E108" s="680">
        <f t="shared" si="2"/>
        <v>5.7000000000000002E-2</v>
      </c>
    </row>
    <row r="109" spans="1:5" ht="12.75" customHeight="1">
      <c r="C109" s="69" t="s">
        <v>79</v>
      </c>
      <c r="D109" s="60">
        <f>'LU Sum'!B43</f>
        <v>40118677</v>
      </c>
      <c r="E109" s="680">
        <f t="shared" si="2"/>
        <v>0.16600000000000001</v>
      </c>
    </row>
    <row r="110" spans="1:5" ht="12.75" customHeight="1">
      <c r="C110" s="64" t="s">
        <v>22</v>
      </c>
      <c r="D110" s="60">
        <f>'LU Sum'!B44</f>
        <v>27991412</v>
      </c>
      <c r="E110" s="680">
        <f t="shared" si="2"/>
        <v>0.11600000000000001</v>
      </c>
    </row>
    <row r="111" spans="1:5" ht="12.75" customHeight="1">
      <c r="C111" s="64" t="s">
        <v>29</v>
      </c>
      <c r="D111" s="60">
        <f>'LU Sum'!B45</f>
        <v>1468050</v>
      </c>
      <c r="E111" s="680">
        <f t="shared" si="2"/>
        <v>6.0000000000000001E-3</v>
      </c>
    </row>
    <row r="112" spans="1:5" ht="12.75" customHeight="1">
      <c r="C112" s="64" t="s">
        <v>53</v>
      </c>
      <c r="D112" s="60">
        <f>'LU Sum'!B46</f>
        <v>98196</v>
      </c>
      <c r="E112" s="680">
        <f t="shared" si="2"/>
        <v>0</v>
      </c>
    </row>
    <row r="113" spans="3:5" ht="12.75" customHeight="1">
      <c r="C113" s="57"/>
      <c r="D113" s="57"/>
    </row>
    <row r="114" spans="3:5" ht="12.75" customHeight="1">
      <c r="C114" s="70" t="s">
        <v>69</v>
      </c>
      <c r="D114" s="62">
        <f>SUM(D102:D113)</f>
        <v>241751129</v>
      </c>
      <c r="E114" s="681">
        <f>SUM(E102:E113)</f>
        <v>0.99900000000000011</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86" t="str">
        <f>C114&amp;" "&amp;TEXT(D114,"$#,###")</f>
        <v>Total Operating Uses $241,751,129</v>
      </c>
    </row>
    <row r="137" spans="1:1" ht="12.75" customHeight="1">
      <c r="A137" s="1686"/>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79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1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transitionEvaluation="1" transitionEntry="1" codeName="Sheet100">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'LU Chrts'!$A$1</f>
        <v xml:space="preserve">Lamar University </v>
      </c>
      <c r="B1" s="74"/>
      <c r="C1" s="1"/>
      <c r="D1" s="1704" t="s">
        <v>1200</v>
      </c>
      <c r="E1" s="1705"/>
      <c r="F1" s="1757" t="s">
        <v>1196</v>
      </c>
      <c r="G1" s="1706"/>
      <c r="H1" s="1706"/>
      <c r="I1" s="1706"/>
      <c r="J1" s="1707" t="s">
        <v>1197</v>
      </c>
      <c r="K1" s="1695"/>
      <c r="L1" s="1695"/>
      <c r="M1" s="1695"/>
      <c r="N1" s="1695"/>
      <c r="O1" s="1696"/>
    </row>
    <row r="2" spans="1:15" ht="15.75">
      <c r="A2" s="76" t="str">
        <f>'Smmy Chrts'!$A$2</f>
        <v>For the Year Ended August 31, 2021</v>
      </c>
      <c r="B2" s="74"/>
      <c r="C2" s="1"/>
      <c r="D2" s="37"/>
      <c r="E2" s="37"/>
      <c r="F2" s="37"/>
      <c r="J2" s="37"/>
      <c r="K2" s="37"/>
      <c r="L2" s="37"/>
      <c r="M2" s="37"/>
    </row>
    <row r="3" spans="1:15" ht="15.75">
      <c r="A3" s="76" t="str">
        <f>'Smmy Chrts'!$A$3</f>
        <v>Source: FY 2021 Annual Financial Report</v>
      </c>
      <c r="B3" s="74"/>
      <c r="C3" s="1"/>
    </row>
    <row r="4" spans="1:15" ht="13.5" customHeight="1">
      <c r="B4" s="77"/>
      <c r="C4" s="4"/>
      <c r="D4" s="1711" t="s">
        <v>1142</v>
      </c>
      <c r="E4" s="1711" t="s">
        <v>1143</v>
      </c>
      <c r="F4" s="266"/>
    </row>
    <row r="5" spans="1:15" ht="18">
      <c r="A5" s="39" t="str">
        <f>'Smmy Chrts'!$C$35</f>
        <v>Summary Worksheet FY 2021</v>
      </c>
      <c r="B5" s="40" t="s">
        <v>86</v>
      </c>
      <c r="C5" s="40" t="s">
        <v>129</v>
      </c>
      <c r="D5" s="1712"/>
      <c r="E5" s="1712"/>
      <c r="F5" s="266"/>
      <c r="G5" s="799" t="s">
        <v>1198</v>
      </c>
      <c r="I5" s="822" t="s">
        <v>2157</v>
      </c>
      <c r="J5" s="792" t="s">
        <v>1144</v>
      </c>
    </row>
    <row r="6" spans="1:15" ht="13.5" customHeight="1">
      <c r="A6" s="78" t="s">
        <v>266</v>
      </c>
      <c r="B6" s="41"/>
      <c r="C6" s="42">
        <f>VLOOKUP($A$1,FTSELU,12,FALSE)</f>
        <v>13516.8</v>
      </c>
      <c r="J6" s="712"/>
    </row>
    <row r="7" spans="1:15">
      <c r="I7" s="824" t="s">
        <v>1162</v>
      </c>
      <c r="J7" s="827"/>
    </row>
    <row r="8" spans="1:15">
      <c r="A8" s="81" t="s">
        <v>71</v>
      </c>
      <c r="B8" s="81"/>
      <c r="C8" s="24"/>
      <c r="I8" s="896">
        <f>VLOOKUP(A1,FTSELU,14,FALSE)</f>
        <v>917.01</v>
      </c>
      <c r="J8" s="712"/>
    </row>
    <row r="9" spans="1:15" ht="12.75" customHeight="1" thickBot="1">
      <c r="A9" s="78" t="s">
        <v>0</v>
      </c>
      <c r="B9" s="82"/>
      <c r="C9" s="7"/>
      <c r="J9" s="712"/>
    </row>
    <row r="10" spans="1:15" ht="12.75" customHeight="1" thickTop="1">
      <c r="A10" s="75" t="s">
        <v>1</v>
      </c>
      <c r="B10" s="83">
        <f>'LU FGD'!M10</f>
        <v>58912199</v>
      </c>
      <c r="C10" s="83">
        <f>ROUND(B10/$C$6,0)</f>
        <v>4358</v>
      </c>
      <c r="D10" s="512">
        <f>'LU FGD'!F10</f>
        <v>0</v>
      </c>
      <c r="E10" s="512"/>
      <c r="F10" s="84">
        <f>B10-(SUM(D10:E10))</f>
        <v>58912199</v>
      </c>
      <c r="G10" s="1143" t="s">
        <v>1</v>
      </c>
      <c r="H10" s="1144"/>
      <c r="I10" s="825" t="s">
        <v>1161</v>
      </c>
      <c r="J10" s="713">
        <f>ROUND(F10/$C$6,0)</f>
        <v>4358</v>
      </c>
    </row>
    <row r="11" spans="1:15" ht="12.75" customHeight="1" thickBot="1">
      <c r="A11" s="75" t="s">
        <v>2</v>
      </c>
      <c r="B11" s="86">
        <f>'LU FGD'!M11</f>
        <v>7016227</v>
      </c>
      <c r="C11" s="87">
        <f t="shared" ref="C11:C14" si="0">ROUND(B11/$C$6,0)</f>
        <v>519</v>
      </c>
      <c r="D11" s="86">
        <f>'LU FGD'!F11</f>
        <v>0</v>
      </c>
      <c r="E11" s="74"/>
      <c r="F11" s="606">
        <f t="shared" ref="F11:F14" si="1">B11-(SUM(D11:E11))</f>
        <v>7016227</v>
      </c>
      <c r="G11" s="1148">
        <f>SUM(F10:F11)</f>
        <v>65928426</v>
      </c>
      <c r="H11" s="715"/>
      <c r="I11" s="1373">
        <f>ROUND($G$11/$C$6,0)</f>
        <v>4878</v>
      </c>
      <c r="J11" s="716">
        <f t="shared" ref="J11:J14" si="2">ROUND(F11/$C$6,0)</f>
        <v>519</v>
      </c>
    </row>
    <row r="12" spans="1:15" ht="12.75" hidden="1" customHeight="1" thickTop="1" thickBot="1">
      <c r="A12" s="75" t="s">
        <v>1410</v>
      </c>
      <c r="B12" s="86"/>
      <c r="C12" s="87"/>
      <c r="D12" s="86"/>
      <c r="E12" s="74"/>
      <c r="F12" s="607"/>
      <c r="J12" s="716"/>
      <c r="O12" s="608"/>
    </row>
    <row r="13" spans="1:15" ht="12.75" customHeight="1" thickTop="1">
      <c r="A13" s="75" t="s">
        <v>1368</v>
      </c>
      <c r="B13" s="86">
        <f>'LU FGD'!M13</f>
        <v>13141181</v>
      </c>
      <c r="C13" s="87">
        <f t="shared" si="0"/>
        <v>972</v>
      </c>
      <c r="D13" s="86">
        <f>'LU FGD'!F13</f>
        <v>0</v>
      </c>
      <c r="E13" s="74"/>
      <c r="F13" s="893">
        <f t="shared" si="1"/>
        <v>13141181</v>
      </c>
      <c r="G13" s="882" t="s">
        <v>81</v>
      </c>
      <c r="H13" s="894"/>
      <c r="I13" s="826" t="s">
        <v>1163</v>
      </c>
      <c r="J13" s="716">
        <f t="shared" si="2"/>
        <v>972</v>
      </c>
    </row>
    <row r="14" spans="1:15" ht="12.75" customHeight="1" thickBot="1">
      <c r="A14" s="75" t="s">
        <v>49</v>
      </c>
      <c r="B14" s="86">
        <f>'LU FGD'!M14</f>
        <v>0</v>
      </c>
      <c r="C14" s="87">
        <f t="shared" si="0"/>
        <v>0</v>
      </c>
      <c r="D14" s="86">
        <f>'LU FGD'!F14</f>
        <v>0</v>
      </c>
      <c r="E14" s="74"/>
      <c r="F14" s="607">
        <f t="shared" si="1"/>
        <v>0</v>
      </c>
      <c r="G14" s="800">
        <f>SUM(F13:F14)</f>
        <v>13141181</v>
      </c>
      <c r="H14" s="895"/>
      <c r="I14" s="1377">
        <f>ROUND($G$11/$I$8,0)</f>
        <v>71895</v>
      </c>
      <c r="J14" s="828">
        <f t="shared" si="2"/>
        <v>0</v>
      </c>
    </row>
    <row r="15" spans="1:15" ht="12.75" customHeight="1" thickTop="1">
      <c r="A15" s="88" t="s">
        <v>3</v>
      </c>
      <c r="B15" s="89">
        <f>SUM(B10:B14)</f>
        <v>79069607</v>
      </c>
      <c r="C15" s="89">
        <f>SUM(C10:C14)</f>
        <v>5849</v>
      </c>
      <c r="D15" s="89">
        <f>SUM(D10:D14)</f>
        <v>0</v>
      </c>
      <c r="E15" s="89">
        <f>SUM(E10:E14)</f>
        <v>0</v>
      </c>
      <c r="F15" s="216">
        <f>SUM(F10:F14)</f>
        <v>79069607</v>
      </c>
      <c r="I15" s="1372"/>
      <c r="J15" s="757">
        <f>SUM(J10:J14)</f>
        <v>5849</v>
      </c>
    </row>
    <row r="16" spans="1:15">
      <c r="B16" s="48"/>
      <c r="C16" s="75"/>
      <c r="J16" s="712"/>
    </row>
    <row r="17" spans="1:31" ht="12.75" customHeight="1">
      <c r="A17" s="78" t="s">
        <v>4</v>
      </c>
      <c r="B17" s="86"/>
      <c r="C17" s="75"/>
      <c r="J17" s="712"/>
    </row>
    <row r="18" spans="1:31">
      <c r="A18" s="75" t="s">
        <v>39</v>
      </c>
      <c r="B18" s="83">
        <f>'LU FGD'!M29</f>
        <v>83311001</v>
      </c>
      <c r="C18" s="83">
        <f t="shared" ref="C18:C19" si="3">ROUND(B18/$C$6,0)</f>
        <v>6164</v>
      </c>
      <c r="D18" s="512">
        <f>'LU FGD'!$F$29</f>
        <v>0</v>
      </c>
      <c r="E18" s="512"/>
      <c r="F18" s="512">
        <f t="shared" ref="F18:F19" si="4">B18-(SUM(D18:E18))</f>
        <v>83311001</v>
      </c>
      <c r="G18" s="337"/>
      <c r="H18" s="337"/>
      <c r="I18" s="337"/>
      <c r="J18" s="713">
        <f>ROUND(F18/$C$6,0)</f>
        <v>6164</v>
      </c>
    </row>
    <row r="19" spans="1:31" ht="13.5" thickBot="1">
      <c r="A19" s="75" t="s">
        <v>40</v>
      </c>
      <c r="B19" s="86">
        <f>'LU FGD'!M42</f>
        <v>28879514</v>
      </c>
      <c r="C19" s="87">
        <f t="shared" si="3"/>
        <v>2137</v>
      </c>
      <c r="D19" s="74">
        <f>'LU FGD'!$F$42</f>
        <v>6546121</v>
      </c>
      <c r="E19" s="74"/>
      <c r="F19" s="74">
        <f t="shared" si="4"/>
        <v>22333393</v>
      </c>
      <c r="G19" s="337"/>
      <c r="H19" s="337"/>
      <c r="I19" s="337"/>
      <c r="J19" s="716">
        <f>ROUND(F19/$C$6,0)</f>
        <v>1652</v>
      </c>
    </row>
    <row r="20" spans="1:31" ht="14.25" thickTop="1" thickBot="1">
      <c r="A20" s="88" t="s">
        <v>5</v>
      </c>
      <c r="B20" s="89">
        <f>SUM(B18:B19)</f>
        <v>112190515</v>
      </c>
      <c r="C20" s="89">
        <f>SUM(C18:C19)</f>
        <v>8301</v>
      </c>
      <c r="D20" s="717">
        <f>SUM(D18:D19)</f>
        <v>6546121</v>
      </c>
      <c r="E20" s="718">
        <f>SUM(E18:E19)</f>
        <v>0</v>
      </c>
      <c r="F20" s="801">
        <f>SUM(F18:F19)</f>
        <v>105644394</v>
      </c>
      <c r="G20" s="720" t="s">
        <v>26</v>
      </c>
      <c r="H20" s="366"/>
      <c r="I20" s="367"/>
      <c r="J20" s="721">
        <f>SUM(J18:J19)</f>
        <v>7816</v>
      </c>
    </row>
    <row r="21" spans="1:31" ht="12.75" customHeight="1" thickTop="1">
      <c r="B21" s="91"/>
      <c r="C21" s="75"/>
      <c r="F21" s="804"/>
      <c r="J21" s="712"/>
    </row>
    <row r="22" spans="1:31" ht="14.25" customHeight="1" thickBot="1">
      <c r="A22" s="78" t="s">
        <v>6</v>
      </c>
      <c r="B22" s="91"/>
      <c r="C22" s="75"/>
      <c r="J22" s="712"/>
    </row>
    <row r="23" spans="1:31" ht="14.25" thickTop="1" thickBot="1">
      <c r="A23" s="88" t="s">
        <v>7</v>
      </c>
      <c r="B23" s="92">
        <f>'LU FGD'!M47</f>
        <v>52209570</v>
      </c>
      <c r="C23" s="89">
        <f t="shared" ref="C23" si="5">ROUND(B23/$C$6,0)</f>
        <v>3863</v>
      </c>
      <c r="D23" s="717">
        <f>'LU FGD'!F47</f>
        <v>0</v>
      </c>
      <c r="E23" s="718"/>
      <c r="F23" s="801">
        <f>B23-(SUM(D23:E23))</f>
        <v>52209570</v>
      </c>
      <c r="G23" s="722" t="s">
        <v>74</v>
      </c>
      <c r="H23" s="366"/>
      <c r="I23" s="367"/>
      <c r="J23" s="756">
        <f>ROUND(F23/$C$6,0)</f>
        <v>3863</v>
      </c>
    </row>
    <row r="24" spans="1:31" ht="13.5" thickTop="1">
      <c r="B24" s="91"/>
      <c r="C24" s="75"/>
      <c r="J24" s="712"/>
    </row>
    <row r="25" spans="1:31">
      <c r="A25" s="78" t="s">
        <v>8</v>
      </c>
      <c r="B25" s="91"/>
      <c r="C25" s="75"/>
      <c r="J25" s="712"/>
    </row>
    <row r="26" spans="1:31">
      <c r="A26" s="75" t="s">
        <v>42</v>
      </c>
      <c r="B26" s="83">
        <f>'LU FGD'!M50</f>
        <v>1074257</v>
      </c>
      <c r="C26" s="83">
        <f t="shared" ref="C26:C31" si="6">ROUND(B26/$C$6,0)</f>
        <v>79</v>
      </c>
      <c r="D26" s="512">
        <f>'LU FGD'!F50</f>
        <v>0</v>
      </c>
      <c r="E26" s="512"/>
      <c r="F26" s="512">
        <f t="shared" ref="F26:F31" si="7">B26-(SUM(D26:E26))</f>
        <v>1074257</v>
      </c>
      <c r="G26" s="337"/>
      <c r="H26" s="337"/>
      <c r="I26" s="337"/>
      <c r="J26" s="713">
        <f>ROUND(F26/$C$6,0)</f>
        <v>79</v>
      </c>
    </row>
    <row r="27" spans="1:31">
      <c r="A27" s="75" t="s">
        <v>9</v>
      </c>
      <c r="B27" s="86">
        <f>'LU FGD'!M51</f>
        <v>2116426</v>
      </c>
      <c r="C27" s="87">
        <f t="shared" si="6"/>
        <v>157</v>
      </c>
      <c r="D27" s="86">
        <f>'LU FGD'!F51</f>
        <v>0</v>
      </c>
      <c r="E27" s="74"/>
      <c r="F27" s="74">
        <f t="shared" si="7"/>
        <v>2116426</v>
      </c>
      <c r="G27" s="337"/>
      <c r="H27" s="337"/>
      <c r="I27" s="337"/>
      <c r="J27" s="716">
        <f t="shared" ref="J27:J31" si="8">ROUND(F27/$C$6,0)</f>
        <v>157</v>
      </c>
    </row>
    <row r="28" spans="1:31" ht="13.5" thickBot="1">
      <c r="A28" s="75" t="s">
        <v>10</v>
      </c>
      <c r="B28" s="86">
        <f>'LU FGD'!M52</f>
        <v>6642852</v>
      </c>
      <c r="C28" s="87">
        <f t="shared" si="6"/>
        <v>491</v>
      </c>
      <c r="D28" s="86">
        <f>'LU FGD'!F52</f>
        <v>149224</v>
      </c>
      <c r="E28" s="74"/>
      <c r="F28" s="74">
        <f t="shared" si="7"/>
        <v>6493628</v>
      </c>
      <c r="G28" s="337"/>
      <c r="H28" s="337"/>
      <c r="I28" s="337"/>
      <c r="J28" s="716">
        <f t="shared" si="8"/>
        <v>480</v>
      </c>
    </row>
    <row r="29" spans="1:31" ht="13.5" thickBot="1">
      <c r="A29" s="75" t="s">
        <v>11</v>
      </c>
      <c r="B29" s="86">
        <f>'LU FGD'!M53</f>
        <v>209198</v>
      </c>
      <c r="C29" s="87">
        <f t="shared" si="6"/>
        <v>15</v>
      </c>
      <c r="D29" s="86">
        <f>'LU FGD'!F53</f>
        <v>0</v>
      </c>
      <c r="E29" s="74"/>
      <c r="F29" s="74">
        <f t="shared" si="7"/>
        <v>209198</v>
      </c>
      <c r="G29" s="337"/>
      <c r="H29" s="337"/>
      <c r="I29" s="337"/>
      <c r="J29" s="716">
        <f t="shared" si="8"/>
        <v>15</v>
      </c>
      <c r="K29" s="1694" t="s">
        <v>1065</v>
      </c>
      <c r="L29" s="1695"/>
      <c r="M29" s="1695"/>
      <c r="N29" s="1695"/>
      <c r="O29" s="1696"/>
    </row>
    <row r="30" spans="1:31" ht="13.5" thickBot="1">
      <c r="A30" s="93" t="s">
        <v>2134</v>
      </c>
      <c r="B30" s="94">
        <f>'LU FGD'!M54</f>
        <v>33020234</v>
      </c>
      <c r="C30" s="87">
        <f t="shared" si="6"/>
        <v>2443</v>
      </c>
      <c r="D30" s="729">
        <f>B30</f>
        <v>33020234</v>
      </c>
      <c r="E30" s="74"/>
      <c r="F30" s="74">
        <f t="shared" si="7"/>
        <v>0</v>
      </c>
      <c r="G30" s="337"/>
      <c r="H30" s="337"/>
      <c r="I30" s="337"/>
      <c r="J30" s="716">
        <f t="shared" si="8"/>
        <v>0</v>
      </c>
      <c r="K30" s="1694" t="s">
        <v>1070</v>
      </c>
      <c r="L30" s="1695"/>
      <c r="M30" s="1695"/>
      <c r="N30" s="1695"/>
      <c r="O30" s="1696"/>
    </row>
    <row r="31" spans="1:31" ht="13.5" customHeight="1" thickBot="1">
      <c r="A31" s="95" t="s">
        <v>43</v>
      </c>
      <c r="B31" s="86">
        <f>'LU FGD'!M55</f>
        <v>993598</v>
      </c>
      <c r="C31" s="87">
        <f t="shared" si="6"/>
        <v>74</v>
      </c>
      <c r="D31" s="86">
        <f>'LU FGD'!F55</f>
        <v>362267</v>
      </c>
      <c r="E31" s="74"/>
      <c r="F31" s="74">
        <f t="shared" si="7"/>
        <v>631331</v>
      </c>
      <c r="G31" s="35"/>
      <c r="H31" s="35"/>
      <c r="I31" s="38"/>
      <c r="J31" s="716">
        <f t="shared" si="8"/>
        <v>47</v>
      </c>
      <c r="K31" s="1697" t="s">
        <v>1073</v>
      </c>
      <c r="L31" s="1697" t="s">
        <v>1071</v>
      </c>
      <c r="M31" s="1697" t="s">
        <v>1072</v>
      </c>
      <c r="N31" s="1697" t="s">
        <v>1240</v>
      </c>
      <c r="O31" s="1697"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44056565</v>
      </c>
      <c r="C32" s="89">
        <f>SUM(C26:C31)</f>
        <v>3259</v>
      </c>
      <c r="D32" s="723">
        <f>SUM(D26:D31)</f>
        <v>33531725</v>
      </c>
      <c r="E32" s="723">
        <f>SUM(E26:E31)</f>
        <v>0</v>
      </c>
      <c r="F32" s="802">
        <f>SUM(F26:F31)</f>
        <v>10524840</v>
      </c>
      <c r="G32" s="1708" t="s">
        <v>8</v>
      </c>
      <c r="H32" s="1709"/>
      <c r="I32" s="783" t="s">
        <v>1166</v>
      </c>
      <c r="J32" s="725">
        <f>SUM(J26:J31)</f>
        <v>778</v>
      </c>
      <c r="K32" s="1698"/>
      <c r="L32" s="1698"/>
      <c r="M32" s="1698"/>
      <c r="N32" s="1698" t="s">
        <v>1074</v>
      </c>
      <c r="O32" s="1698" t="s">
        <v>1075</v>
      </c>
    </row>
    <row r="33" spans="1:31" ht="14.25" thickTop="1" thickBot="1">
      <c r="A33" s="97" t="s">
        <v>68</v>
      </c>
      <c r="B33" s="52">
        <f>B15+B20+B23+B32</f>
        <v>287526257</v>
      </c>
      <c r="C33" s="45">
        <f>C15+C20+C23+C32</f>
        <v>21272</v>
      </c>
      <c r="D33" s="52">
        <f>D15+D20+D23+D32</f>
        <v>40077846</v>
      </c>
      <c r="E33" s="52">
        <f>E15+E20+E23+E32</f>
        <v>0</v>
      </c>
      <c r="F33" s="724">
        <f>F15+F20+F23+F32</f>
        <v>247448411</v>
      </c>
      <c r="G33" s="1758" t="s">
        <v>84</v>
      </c>
      <c r="H33" s="1759"/>
      <c r="I33" s="1375">
        <f>ROUND($G$35/$C$6,0)</f>
        <v>17335</v>
      </c>
      <c r="J33" s="726">
        <f>J15+J20+J23+J32</f>
        <v>18306</v>
      </c>
      <c r="K33" s="1698"/>
      <c r="L33" s="1698"/>
      <c r="M33" s="1698"/>
      <c r="N33" s="1698"/>
      <c r="O33" s="1698"/>
    </row>
    <row r="34" spans="1:31" ht="14.25" thickTop="1" thickBot="1">
      <c r="B34" s="98"/>
      <c r="C34" s="75"/>
      <c r="D34" s="337"/>
      <c r="E34" s="337"/>
      <c r="F34" s="337" t="s">
        <v>1199</v>
      </c>
      <c r="G34" s="787">
        <f>G14*-1</f>
        <v>-13141181</v>
      </c>
      <c r="H34" s="337"/>
      <c r="I34" s="783" t="s">
        <v>1167</v>
      </c>
      <c r="J34" s="727"/>
      <c r="K34" s="1699"/>
      <c r="L34" s="1699"/>
      <c r="M34" s="1699"/>
      <c r="N34" s="1699"/>
      <c r="O34" s="1699"/>
    </row>
    <row r="35" spans="1:31" ht="14.25" thickTop="1" thickBot="1">
      <c r="A35" s="81" t="s">
        <v>72</v>
      </c>
      <c r="B35" s="81"/>
      <c r="C35" s="81"/>
      <c r="D35" s="728"/>
      <c r="E35" s="728"/>
      <c r="F35" s="788" t="s">
        <v>1165</v>
      </c>
      <c r="G35" s="803">
        <f>F33+G34</f>
        <v>234307230</v>
      </c>
      <c r="I35" s="1376">
        <f>ROUND($G$35/$I$8,0)</f>
        <v>255512</v>
      </c>
      <c r="K35" s="609"/>
      <c r="L35" s="609"/>
      <c r="M35" s="609"/>
      <c r="N35" s="609"/>
      <c r="O35" s="609"/>
    </row>
    <row r="36" spans="1:31" ht="13.5" thickTop="1">
      <c r="A36" s="99" t="s">
        <v>14</v>
      </c>
      <c r="B36" s="83">
        <f>'LU FGD'!M60</f>
        <v>63622119</v>
      </c>
      <c r="C36" s="83">
        <f t="shared" ref="C36:C46" si="9">ROUND(B36/$C$6,0)</f>
        <v>4707</v>
      </c>
      <c r="D36" s="512">
        <f>'LU FGD'!F60</f>
        <v>0</v>
      </c>
      <c r="E36" s="512"/>
      <c r="F36" s="512">
        <f t="shared" ref="F36:F46" si="10">B36-(SUM(D36:E36))</f>
        <v>63622119</v>
      </c>
      <c r="G36" s="337"/>
      <c r="H36" s="1378" t="s">
        <v>2158</v>
      </c>
      <c r="I36" s="1379">
        <f>ROUND(F36/$C$6,0)</f>
        <v>4707</v>
      </c>
      <c r="J36" s="337" t="s">
        <v>752</v>
      </c>
      <c r="K36" s="512">
        <f>F36</f>
        <v>63622119</v>
      </c>
      <c r="L36" s="512">
        <f>K36</f>
        <v>63622119</v>
      </c>
      <c r="M36" s="512"/>
      <c r="N36" s="512"/>
      <c r="O36" s="512"/>
    </row>
    <row r="37" spans="1:31">
      <c r="A37" s="99" t="s">
        <v>15</v>
      </c>
      <c r="B37" s="86">
        <f>'LU FGD'!M61</f>
        <v>4843833</v>
      </c>
      <c r="C37" s="87">
        <f t="shared" si="9"/>
        <v>358</v>
      </c>
      <c r="D37" s="86">
        <f>'LU FGD'!F61</f>
        <v>0</v>
      </c>
      <c r="E37" s="74"/>
      <c r="F37" s="74">
        <f t="shared" si="10"/>
        <v>4843833</v>
      </c>
      <c r="G37" s="337"/>
      <c r="H37" s="337"/>
      <c r="J37" s="337" t="s">
        <v>1076</v>
      </c>
      <c r="K37" s="373">
        <f>F37</f>
        <v>4843833</v>
      </c>
      <c r="L37" s="373">
        <f>K37</f>
        <v>4843833</v>
      </c>
      <c r="M37" s="373"/>
      <c r="N37" s="373"/>
      <c r="O37" s="373"/>
    </row>
    <row r="38" spans="1:31">
      <c r="A38" s="99" t="s">
        <v>16</v>
      </c>
      <c r="B38" s="86">
        <f>'LU FGD'!M62</f>
        <v>1304660</v>
      </c>
      <c r="C38" s="87">
        <f t="shared" si="9"/>
        <v>97</v>
      </c>
      <c r="D38" s="86">
        <f>'LU FGD'!F62</f>
        <v>0</v>
      </c>
      <c r="E38" s="86">
        <f>B38-D38</f>
        <v>1304660</v>
      </c>
      <c r="F38" s="74">
        <f t="shared" si="10"/>
        <v>0</v>
      </c>
      <c r="G38" s="337"/>
      <c r="H38" s="337"/>
      <c r="I38" s="337"/>
      <c r="J38" s="337" t="s">
        <v>1077</v>
      </c>
      <c r="K38" s="736"/>
      <c r="L38" s="737"/>
      <c r="M38" s="737" t="s">
        <v>1152</v>
      </c>
      <c r="N38" s="737"/>
      <c r="O38" s="738"/>
    </row>
    <row r="39" spans="1:31">
      <c r="A39" s="99" t="s">
        <v>17</v>
      </c>
      <c r="B39" s="86">
        <f>'LU FGD'!M63</f>
        <v>47163895</v>
      </c>
      <c r="C39" s="87">
        <f t="shared" si="9"/>
        <v>3489</v>
      </c>
      <c r="D39" s="86">
        <f>'LU FGD'!F63</f>
        <v>0</v>
      </c>
      <c r="E39" s="74"/>
      <c r="F39" s="74">
        <f t="shared" si="10"/>
        <v>47163895</v>
      </c>
      <c r="G39" s="337"/>
      <c r="H39" s="1378" t="s">
        <v>2159</v>
      </c>
      <c r="I39" s="1379">
        <f>ROUND(F39/$C$6,0)</f>
        <v>3489</v>
      </c>
      <c r="J39" s="337" t="s">
        <v>1078</v>
      </c>
      <c r="K39" s="373">
        <f t="shared" ref="K39:K43" si="11">F39</f>
        <v>47163895</v>
      </c>
      <c r="L39" s="373">
        <f>K39</f>
        <v>47163895</v>
      </c>
      <c r="M39" s="373"/>
      <c r="N39" s="373"/>
      <c r="O39" s="373"/>
    </row>
    <row r="40" spans="1:31">
      <c r="A40" s="99" t="s">
        <v>18</v>
      </c>
      <c r="B40" s="86">
        <f>'LU FGD'!M64</f>
        <v>9181241</v>
      </c>
      <c r="C40" s="87">
        <f t="shared" si="9"/>
        <v>679</v>
      </c>
      <c r="D40" s="86">
        <f>'LU FGD'!F64</f>
        <v>0</v>
      </c>
      <c r="E40" s="74"/>
      <c r="F40" s="74">
        <f t="shared" si="10"/>
        <v>9181241</v>
      </c>
      <c r="G40" s="337"/>
      <c r="J40" s="337" t="s">
        <v>1079</v>
      </c>
      <c r="K40" s="373">
        <f t="shared" si="11"/>
        <v>9181241</v>
      </c>
      <c r="L40" s="373"/>
      <c r="M40" s="373">
        <f>K40</f>
        <v>9181241</v>
      </c>
      <c r="N40" s="373"/>
      <c r="O40" s="373"/>
    </row>
    <row r="41" spans="1:31">
      <c r="A41" s="99" t="s">
        <v>19</v>
      </c>
      <c r="B41" s="86">
        <f>'LU FGD'!M65</f>
        <v>32163493</v>
      </c>
      <c r="C41" s="87">
        <f t="shared" si="9"/>
        <v>2380</v>
      </c>
      <c r="D41" s="86">
        <f>'LU FGD'!F65</f>
        <v>0</v>
      </c>
      <c r="E41" s="74"/>
      <c r="F41" s="74">
        <f t="shared" si="10"/>
        <v>32163493</v>
      </c>
      <c r="G41" s="337"/>
      <c r="H41" s="1378" t="s">
        <v>2160</v>
      </c>
      <c r="I41" s="1379">
        <f>ROUND(F41/$C$6,0)</f>
        <v>2380</v>
      </c>
      <c r="J41" s="337" t="s">
        <v>757</v>
      </c>
      <c r="K41" s="373">
        <f t="shared" si="11"/>
        <v>32163493</v>
      </c>
      <c r="L41" s="373"/>
      <c r="M41" s="373"/>
      <c r="N41" s="373">
        <f>K41</f>
        <v>32163493</v>
      </c>
      <c r="O41" s="373"/>
    </row>
    <row r="42" spans="1:31">
      <c r="A42" s="99" t="s">
        <v>20</v>
      </c>
      <c r="B42" s="86">
        <f>'LU FGD'!M66</f>
        <v>13795553</v>
      </c>
      <c r="C42" s="87">
        <f t="shared" si="9"/>
        <v>1021</v>
      </c>
      <c r="D42" s="86">
        <f>'LU FGD'!F66</f>
        <v>0</v>
      </c>
      <c r="E42" s="74"/>
      <c r="F42" s="74">
        <f t="shared" si="10"/>
        <v>13795553</v>
      </c>
      <c r="G42" s="337"/>
      <c r="J42" s="337" t="s">
        <v>758</v>
      </c>
      <c r="K42" s="373">
        <f t="shared" si="11"/>
        <v>13795553</v>
      </c>
      <c r="L42" s="373"/>
      <c r="M42" s="373"/>
      <c r="N42" s="373">
        <f>K42</f>
        <v>13795553</v>
      </c>
      <c r="O42" s="373"/>
    </row>
    <row r="43" spans="1:31">
      <c r="A43" s="99" t="s">
        <v>21</v>
      </c>
      <c r="B43" s="86">
        <f>'LU FGD'!M67</f>
        <v>40118677</v>
      </c>
      <c r="C43" s="87">
        <f t="shared" si="9"/>
        <v>2968</v>
      </c>
      <c r="D43" s="86">
        <f>'LU FGD'!F67</f>
        <v>0</v>
      </c>
      <c r="E43" s="74"/>
      <c r="F43" s="74">
        <f t="shared" si="10"/>
        <v>40118677</v>
      </c>
      <c r="G43" s="337"/>
      <c r="H43" s="337"/>
      <c r="I43" s="337"/>
      <c r="J43" s="337" t="s">
        <v>1145</v>
      </c>
      <c r="K43" s="373">
        <f t="shared" si="11"/>
        <v>40118677</v>
      </c>
      <c r="L43" s="373"/>
      <c r="M43" s="373">
        <f>K43</f>
        <v>40118677</v>
      </c>
      <c r="N43" s="373"/>
      <c r="O43" s="373"/>
    </row>
    <row r="44" spans="1:31">
      <c r="A44" s="99" t="s">
        <v>2135</v>
      </c>
      <c r="B44" s="86">
        <f>'LU FGD'!M68</f>
        <v>27991412</v>
      </c>
      <c r="C44" s="87">
        <f t="shared" si="9"/>
        <v>2071</v>
      </c>
      <c r="D44" s="729">
        <f>B44</f>
        <v>27991412</v>
      </c>
      <c r="E44" s="74"/>
      <c r="F44" s="74">
        <f t="shared" si="10"/>
        <v>0</v>
      </c>
      <c r="G44" s="337"/>
      <c r="H44" s="337"/>
      <c r="I44" s="337"/>
      <c r="J44" s="337" t="s">
        <v>743</v>
      </c>
      <c r="K44" s="736"/>
      <c r="L44" s="737"/>
      <c r="M44" s="737" t="s">
        <v>1152</v>
      </c>
      <c r="N44" s="737"/>
      <c r="O44" s="738"/>
    </row>
    <row r="45" spans="1:31">
      <c r="A45" s="99" t="s">
        <v>61</v>
      </c>
      <c r="B45" s="86">
        <f>'LU FGD'!M69</f>
        <v>1468050</v>
      </c>
      <c r="C45" s="87">
        <f t="shared" si="9"/>
        <v>109</v>
      </c>
      <c r="D45" s="86">
        <f>'LU FGD'!F69</f>
        <v>0</v>
      </c>
      <c r="E45" s="74"/>
      <c r="F45" s="74">
        <f t="shared" si="10"/>
        <v>1468050</v>
      </c>
      <c r="G45" s="337"/>
      <c r="H45" s="337"/>
      <c r="I45" s="337"/>
      <c r="J45" s="337" t="s">
        <v>1080</v>
      </c>
      <c r="K45" s="373">
        <f t="shared" ref="K45:K46" si="12">F45</f>
        <v>1468050</v>
      </c>
      <c r="L45" s="373"/>
      <c r="M45" s="373"/>
      <c r="N45" s="373"/>
      <c r="O45" s="373">
        <f>K45</f>
        <v>1468050</v>
      </c>
    </row>
    <row r="46" spans="1:31" ht="13.5" thickBot="1">
      <c r="A46" s="75" t="s">
        <v>50</v>
      </c>
      <c r="B46" s="86">
        <f>'LU FGD'!M70</f>
        <v>98196</v>
      </c>
      <c r="C46" s="87">
        <f t="shared" si="9"/>
        <v>7</v>
      </c>
      <c r="D46" s="86">
        <f>'LU FGD'!F70</f>
        <v>0</v>
      </c>
      <c r="E46" s="74"/>
      <c r="F46" s="74">
        <f t="shared" si="10"/>
        <v>98196</v>
      </c>
      <c r="G46" s="35"/>
      <c r="H46" s="1378" t="s">
        <v>2161</v>
      </c>
      <c r="I46" s="1379">
        <f>ROUND(SUM(F37+F40+F42+F43+F45+F46)/$C$6,0)</f>
        <v>5142</v>
      </c>
      <c r="J46" s="610" t="s">
        <v>1075</v>
      </c>
      <c r="K46" s="373">
        <f t="shared" si="12"/>
        <v>98196</v>
      </c>
      <c r="L46" s="611"/>
      <c r="M46" s="611"/>
      <c r="N46" s="611"/>
      <c r="O46" s="373">
        <f>K46</f>
        <v>98196</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241751129</v>
      </c>
      <c r="C47" s="45">
        <f>SUM(C36:C46)</f>
        <v>17886</v>
      </c>
      <c r="D47" s="730">
        <f>SUM(D36:D46)</f>
        <v>27991412</v>
      </c>
      <c r="E47" s="731">
        <f>SUM(E36:E46)</f>
        <v>1304660</v>
      </c>
      <c r="F47" s="719">
        <f>SUM(F36:F46)</f>
        <v>212455057</v>
      </c>
      <c r="G47" s="1688" t="s">
        <v>1176</v>
      </c>
      <c r="H47" s="1689"/>
      <c r="I47" s="785" t="s">
        <v>1164</v>
      </c>
      <c r="J47" s="610" t="s">
        <v>1081</v>
      </c>
      <c r="K47" s="612">
        <f>SUM(K36:K46)</f>
        <v>212455057</v>
      </c>
      <c r="L47" s="612">
        <f>SUM(L36:L46)</f>
        <v>115629847</v>
      </c>
      <c r="M47" s="612">
        <f>SUM(M36:M46)</f>
        <v>49299918</v>
      </c>
      <c r="N47" s="612">
        <f>SUM(N36:N46)</f>
        <v>45959046</v>
      </c>
      <c r="O47" s="612">
        <f>SUM(O36:O46)</f>
        <v>1566246</v>
      </c>
    </row>
    <row r="48" spans="1:31" ht="14.25" thickTop="1" thickBot="1">
      <c r="A48" s="93"/>
      <c r="B48" s="98"/>
      <c r="C48" s="75"/>
      <c r="F48" s="613"/>
      <c r="G48" s="1690"/>
      <c r="H48" s="1691"/>
      <c r="I48" s="823">
        <f>ROUND(F47/C6,0)</f>
        <v>15718</v>
      </c>
      <c r="J48" s="1700" t="s">
        <v>1082</v>
      </c>
      <c r="K48" s="611"/>
      <c r="L48" s="611"/>
      <c r="M48" s="611"/>
      <c r="N48" s="611"/>
      <c r="O48" s="611"/>
    </row>
    <row r="49" spans="1:31" ht="13.5" thickBot="1">
      <c r="A49" s="78" t="s">
        <v>23</v>
      </c>
      <c r="B49" s="82"/>
      <c r="C49" s="75"/>
      <c r="F49" s="614"/>
      <c r="G49" s="1690"/>
      <c r="H49" s="1691"/>
      <c r="I49" s="811"/>
      <c r="J49" s="1700"/>
      <c r="K49" s="615">
        <f>ROUND(K47/$C$6,2)</f>
        <v>15717.85</v>
      </c>
      <c r="L49" s="615">
        <f t="shared" ref="L49:O49" si="13">ROUND(L47/$C$6,2)</f>
        <v>8554.5300000000007</v>
      </c>
      <c r="M49" s="615">
        <f t="shared" si="13"/>
        <v>3647.31</v>
      </c>
      <c r="N49" s="615">
        <f t="shared" si="13"/>
        <v>3400.14</v>
      </c>
      <c r="O49" s="615">
        <f t="shared" si="13"/>
        <v>115.87</v>
      </c>
      <c r="P49" s="35"/>
      <c r="Q49" s="96"/>
      <c r="R49" s="96"/>
      <c r="S49" s="96"/>
      <c r="T49" s="96"/>
      <c r="U49" s="96"/>
      <c r="V49" s="96"/>
      <c r="W49" s="96"/>
      <c r="X49" s="96"/>
      <c r="Y49" s="96"/>
      <c r="Z49" s="96"/>
      <c r="AA49" s="96"/>
      <c r="AB49" s="96"/>
      <c r="AC49" s="96"/>
      <c r="AD49" s="96"/>
      <c r="AE49" s="96"/>
    </row>
    <row r="50" spans="1:31" ht="13.5" thickBot="1">
      <c r="A50" s="75" t="s">
        <v>62</v>
      </c>
      <c r="B50" s="86">
        <f>'LU FGD'!M74</f>
        <v>-2694616</v>
      </c>
      <c r="C50" s="83">
        <f t="shared" ref="C50:C53" si="14">ROUND(B50/$C$6,0)</f>
        <v>-199</v>
      </c>
      <c r="D50" s="512">
        <f>'LU FGD'!F74</f>
        <v>0</v>
      </c>
      <c r="E50" s="512"/>
      <c r="F50" s="732">
        <f t="shared" ref="F50:F53" si="15">B50-(SUM(D50:E50))</f>
        <v>-2694616</v>
      </c>
      <c r="G50" s="1692"/>
      <c r="H50" s="1693"/>
      <c r="I50" s="808"/>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'LU FGD'!M75</f>
        <v>302062</v>
      </c>
      <c r="C51" s="87">
        <f t="shared" si="14"/>
        <v>22</v>
      </c>
      <c r="D51" s="91">
        <f>'LU FGD'!F75</f>
        <v>0</v>
      </c>
      <c r="E51" s="82"/>
      <c r="F51" s="74">
        <f t="shared" si="15"/>
        <v>302062</v>
      </c>
      <c r="G51" s="337"/>
      <c r="J51" s="337"/>
      <c r="K51" s="616"/>
      <c r="L51" s="616"/>
      <c r="M51" s="616"/>
      <c r="N51" s="616"/>
      <c r="O51" s="616"/>
    </row>
    <row r="52" spans="1:31">
      <c r="A52" s="75" t="s">
        <v>51</v>
      </c>
      <c r="B52" s="86">
        <f>'LU FGD'!M76</f>
        <v>0</v>
      </c>
      <c r="C52" s="87">
        <f t="shared" si="14"/>
        <v>0</v>
      </c>
      <c r="D52" s="91">
        <f>'LU FGD'!F76</f>
        <v>0</v>
      </c>
      <c r="E52" s="82"/>
      <c r="F52" s="74">
        <f t="shared" si="15"/>
        <v>0</v>
      </c>
      <c r="G52" s="337"/>
      <c r="J52" s="733"/>
      <c r="K52" s="733"/>
      <c r="L52" s="733"/>
      <c r="M52" s="733"/>
      <c r="N52" s="733"/>
      <c r="O52" s="733"/>
    </row>
    <row r="53" spans="1:31" ht="12" customHeight="1">
      <c r="A53" s="75" t="s">
        <v>46</v>
      </c>
      <c r="B53" s="86">
        <f>'LU FGD'!M77</f>
        <v>-16535152</v>
      </c>
      <c r="C53" s="87">
        <f t="shared" si="14"/>
        <v>-1223</v>
      </c>
      <c r="D53" s="91">
        <f>'LU FGD'!F77</f>
        <v>-9924963</v>
      </c>
      <c r="E53" s="82"/>
      <c r="F53" s="74">
        <f t="shared" si="15"/>
        <v>-6610189</v>
      </c>
      <c r="G53" s="35"/>
      <c r="J53" s="733"/>
      <c r="K53" s="733"/>
      <c r="L53" s="733"/>
      <c r="M53" s="733"/>
      <c r="N53" s="733"/>
      <c r="O53" s="733"/>
      <c r="P53" s="35"/>
      <c r="Q53" s="96"/>
      <c r="R53" s="96"/>
      <c r="S53" s="96"/>
      <c r="T53" s="96"/>
      <c r="U53" s="96"/>
      <c r="V53" s="96"/>
      <c r="W53" s="96"/>
      <c r="X53" s="96"/>
      <c r="Y53" s="96"/>
      <c r="Z53" s="96"/>
      <c r="AA53" s="96"/>
      <c r="AB53" s="96"/>
      <c r="AC53" s="96"/>
      <c r="AD53" s="96"/>
      <c r="AE53" s="96"/>
    </row>
    <row r="54" spans="1:31">
      <c r="A54" s="88" t="s">
        <v>3</v>
      </c>
      <c r="B54" s="89">
        <f>SUM(B50:B53)</f>
        <v>-18927706</v>
      </c>
      <c r="C54" s="89">
        <f>SUM(C50:C53)</f>
        <v>-1400</v>
      </c>
      <c r="D54" s="89">
        <f>SUM(D50:D53)</f>
        <v>-9924963</v>
      </c>
      <c r="E54" s="89">
        <f>SUM(E50:E53)</f>
        <v>0</v>
      </c>
      <c r="F54" s="102">
        <f>SUM(F50:F53)</f>
        <v>-9002743</v>
      </c>
      <c r="G54" s="337"/>
      <c r="H54" s="337"/>
      <c r="I54" s="337"/>
      <c r="J54" s="733"/>
      <c r="K54" s="733"/>
      <c r="L54" s="733"/>
      <c r="M54" s="733"/>
      <c r="N54" s="733"/>
      <c r="O54" s="733"/>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'LU FGD'!M81</f>
        <v>4954863</v>
      </c>
      <c r="C57" s="83">
        <f>ROUND(B57/$C$6,0)</f>
        <v>367</v>
      </c>
      <c r="D57" s="512">
        <f>'LU FGD'!F81</f>
        <v>0</v>
      </c>
      <c r="E57" s="512"/>
      <c r="F57" s="512">
        <f t="shared" ref="F57:F58" si="16">B57-(SUM(D57:E57))</f>
        <v>4954863</v>
      </c>
      <c r="G57" s="337"/>
      <c r="H57" s="337"/>
      <c r="I57" s="337"/>
      <c r="J57" s="337"/>
    </row>
    <row r="58" spans="1:31">
      <c r="A58" s="75" t="s">
        <v>48</v>
      </c>
      <c r="B58" s="86">
        <f>'LU FGD'!M82</f>
        <v>0</v>
      </c>
      <c r="C58" s="87">
        <f>ROUND(B58/$C$6,0)</f>
        <v>0</v>
      </c>
      <c r="D58" s="91">
        <f>'LU FGD'!F82</f>
        <v>0</v>
      </c>
      <c r="E58" s="82"/>
      <c r="F58" s="74">
        <f t="shared" si="16"/>
        <v>0</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4954863</v>
      </c>
      <c r="C59" s="89">
        <f>SUM(C57:C58)</f>
        <v>367</v>
      </c>
      <c r="D59" s="89">
        <f>SUM(D57:D58)</f>
        <v>0</v>
      </c>
      <c r="E59" s="89">
        <f>SUM(E57:E58)</f>
        <v>0</v>
      </c>
      <c r="F59" s="89">
        <f>SUM(F57:F58)</f>
        <v>4954863</v>
      </c>
      <c r="G59" s="367"/>
      <c r="H59" s="367"/>
      <c r="I59" s="367"/>
      <c r="J59" s="367"/>
      <c r="K59" s="266"/>
      <c r="L59" s="266"/>
      <c r="M59" s="266"/>
      <c r="N59" s="266"/>
      <c r="O59" s="266"/>
      <c r="P59" s="266"/>
    </row>
    <row r="60" spans="1:31">
      <c r="B60" s="82"/>
      <c r="C60" s="75"/>
    </row>
    <row r="61" spans="1:31" ht="13.5" thickBot="1">
      <c r="A61" s="103" t="s">
        <v>573</v>
      </c>
      <c r="B61" s="46">
        <f>B33-B47+B54+B59</f>
        <v>31802285</v>
      </c>
      <c r="C61" s="46">
        <f>C33-C47+C54+C59</f>
        <v>2353</v>
      </c>
      <c r="D61" s="46">
        <f>D33-D47+D54+D59</f>
        <v>2161471</v>
      </c>
      <c r="E61" s="46">
        <f>E33-E47+E54+E59</f>
        <v>-1304660</v>
      </c>
      <c r="F61" s="46">
        <f>F33-F47+F54+F59</f>
        <v>30945474</v>
      </c>
    </row>
    <row r="62" spans="1:31" ht="13.5" thickTop="1"/>
    <row r="63" spans="1:31">
      <c r="D63" s="512"/>
    </row>
    <row r="65" spans="2:16">
      <c r="B65" s="734">
        <f>'LU FGD'!$M$85</f>
        <v>31802285</v>
      </c>
      <c r="C65" s="75"/>
      <c r="D65" s="734">
        <f>'LU FGD'!$F$85</f>
        <v>-5549355</v>
      </c>
      <c r="E65" s="734">
        <f>'LU FGD'!$M$62*-1</f>
        <v>-1304660</v>
      </c>
      <c r="F65" s="75"/>
    </row>
    <row r="66" spans="2:16">
      <c r="B66" s="734"/>
      <c r="C66" s="75"/>
      <c r="D66" s="734">
        <f>'LU FGD'!$F$68</f>
        <v>27991412</v>
      </c>
      <c r="E66" s="734">
        <f>+$D$38</f>
        <v>0</v>
      </c>
      <c r="F66" s="734"/>
    </row>
    <row r="67" spans="2:16">
      <c r="B67" s="759"/>
      <c r="C67" s="75"/>
      <c r="D67" s="759">
        <f>-'LU FGD'!$M$68</f>
        <v>-27991412</v>
      </c>
      <c r="E67" s="759"/>
      <c r="F67" s="734"/>
    </row>
    <row r="68" spans="2:16">
      <c r="B68" s="734">
        <f>SUM(B65:B67)</f>
        <v>31802285</v>
      </c>
      <c r="C68" s="75"/>
      <c r="D68" s="734">
        <f>SUM(D65:D67)</f>
        <v>-5549355</v>
      </c>
      <c r="E68" s="734">
        <f>SUM(E65:E67)</f>
        <v>-1304660</v>
      </c>
      <c r="F68" s="734">
        <f>B68-D68-E68</f>
        <v>38656300</v>
      </c>
    </row>
    <row r="69" spans="2:16">
      <c r="B69" s="734"/>
      <c r="C69" s="75"/>
      <c r="D69" s="734">
        <f>'LU FGD'!F54*-1</f>
        <v>-25309408</v>
      </c>
      <c r="E69" s="734"/>
      <c r="F69" s="734"/>
    </row>
    <row r="70" spans="2:16" ht="12.75" customHeight="1">
      <c r="B70" s="759"/>
      <c r="C70" s="95"/>
      <c r="D70" s="759">
        <f>'LU FGD'!M54</f>
        <v>33020234</v>
      </c>
      <c r="E70" s="759"/>
      <c r="F70" s="759">
        <f>-D70-D69</f>
        <v>-7710826</v>
      </c>
    </row>
    <row r="71" spans="2:16" ht="12.75" customHeight="1">
      <c r="B71" s="734">
        <f>SUM(B68:B70)</f>
        <v>31802285</v>
      </c>
      <c r="C71" s="75"/>
      <c r="D71" s="734">
        <f>SUM(D68:D70)</f>
        <v>2161471</v>
      </c>
      <c r="E71" s="734">
        <f>SUM(E68:E70)</f>
        <v>-1304660</v>
      </c>
      <c r="F71" s="734">
        <f>SUM(F68:F70)</f>
        <v>30945474</v>
      </c>
    </row>
    <row r="72" spans="2:16" ht="12.75" customHeight="1">
      <c r="B72" s="734"/>
      <c r="C72" s="75"/>
      <c r="D72" s="734"/>
      <c r="E72" s="734"/>
      <c r="F72" s="734"/>
    </row>
    <row r="73" spans="2:16" ht="12.75" customHeight="1">
      <c r="B73" s="512">
        <f>B61-B71</f>
        <v>0</v>
      </c>
      <c r="C73" s="75"/>
      <c r="D73" s="512">
        <f>D61-D71</f>
        <v>0</v>
      </c>
      <c r="E73" s="512">
        <f>E61-E71</f>
        <v>0</v>
      </c>
      <c r="F73" s="512">
        <f>F61-F71</f>
        <v>0</v>
      </c>
    </row>
    <row r="74" spans="2:16" ht="12.75" customHeight="1">
      <c r="C74" s="75"/>
      <c r="F74" s="617"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G47:H50"/>
    <mergeCell ref="K30:O30"/>
    <mergeCell ref="M31:M34"/>
    <mergeCell ref="G32:H32"/>
    <mergeCell ref="G33:H33"/>
    <mergeCell ref="L31:L34"/>
    <mergeCell ref="K31:K34"/>
    <mergeCell ref="N31:N34"/>
    <mergeCell ref="O31:O34"/>
    <mergeCell ref="J48:J49"/>
    <mergeCell ref="F1:I1"/>
    <mergeCell ref="J1:O1"/>
    <mergeCell ref="D1:E1"/>
    <mergeCell ref="K29:O29"/>
    <mergeCell ref="D4:D5"/>
    <mergeCell ref="E4:E5"/>
  </mergeCells>
  <hyperlinks>
    <hyperlink ref="D1:E1" location="Index!A1" display="Return to Index" xr:uid="{00000000-0004-0000-7A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codeName="Sheet101">
    <tabColor indexed="11"/>
    <pageSetUpPr fitToPage="1"/>
  </sheetPr>
  <dimension ref="A1:AB122"/>
  <sheetViews>
    <sheetView showGridLines="0" topLeftCell="B2" zoomScale="75" zoomScaleNormal="75" workbookViewId="0">
      <pane xSplit="1" ySplit="8" topLeftCell="C10"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85546875" style="164" customWidth="1"/>
    <col min="14" max="14" width="5.42578125" style="164" customWidth="1"/>
    <col min="15" max="15" width="14.42578125" style="261" customWidth="1"/>
    <col min="16" max="16" width="25.7109375" style="264" customWidth="1"/>
    <col min="17" max="17" width="16.42578125" style="264" customWidth="1"/>
    <col min="18" max="18" width="19" style="264" customWidth="1"/>
    <col min="19" max="19" width="1.7109375" style="264" customWidth="1"/>
    <col min="20" max="20" width="17.140625" style="264" customWidth="1"/>
    <col min="21" max="21" width="16.85546875" style="264" customWidth="1"/>
    <col min="22" max="23" width="19.28515625" style="264" customWidth="1"/>
    <col min="24" max="24" width="17.14062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13" t="str">
        <f>'LU Chrts'!$A$1</f>
        <v xml:space="preserve">Lamar University </v>
      </c>
      <c r="C2" s="1713"/>
      <c r="D2" s="1713"/>
      <c r="E2" s="1713"/>
      <c r="F2" s="1742"/>
      <c r="G2" s="160"/>
      <c r="H2" s="161"/>
      <c r="I2" s="320" t="str">
        <f>IF($B$2&lt;&gt;Input!$B$30,"Name Mismatch","")</f>
        <v/>
      </c>
      <c r="J2" s="168"/>
      <c r="K2" s="169"/>
      <c r="L2" s="169"/>
      <c r="M2" s="170"/>
      <c r="O2" s="835" t="s">
        <v>1200</v>
      </c>
      <c r="P2" s="36"/>
    </row>
    <row r="3" spans="1:28" ht="20.25">
      <c r="A3" s="184">
        <v>2</v>
      </c>
      <c r="B3" s="1713" t="str">
        <f>'Smmy Chrts'!$A$2</f>
        <v>For the Year Ended August 31, 2021</v>
      </c>
      <c r="C3" s="1713"/>
      <c r="D3" s="1713"/>
      <c r="E3" s="1713"/>
      <c r="F3" s="1742"/>
      <c r="G3" s="161"/>
      <c r="H3" s="161"/>
      <c r="I3" s="169"/>
      <c r="J3" s="168"/>
      <c r="K3" s="169"/>
      <c r="L3" s="169"/>
      <c r="M3" s="170"/>
      <c r="O3" s="74"/>
    </row>
    <row r="4" spans="1:28" ht="20.25">
      <c r="A4" s="184">
        <v>3</v>
      </c>
      <c r="B4" s="1713" t="str">
        <f>'Smmy Chrts'!$A$3</f>
        <v>Source: FY 2021 Annual Financial Report</v>
      </c>
      <c r="C4" s="1713"/>
      <c r="D4" s="1713"/>
      <c r="E4" s="1713"/>
      <c r="F4" s="1742"/>
      <c r="G4" s="161"/>
      <c r="H4" s="161"/>
      <c r="I4" s="169"/>
      <c r="J4" s="168"/>
      <c r="K4" s="169"/>
      <c r="L4" s="169"/>
      <c r="M4" s="170"/>
      <c r="O4" s="74"/>
      <c r="P4" s="1744" t="s">
        <v>93</v>
      </c>
      <c r="Q4" s="1745"/>
      <c r="T4" s="36" t="s">
        <v>250</v>
      </c>
    </row>
    <row r="5" spans="1:28">
      <c r="A5" s="184">
        <v>4</v>
      </c>
      <c r="B5" s="160"/>
      <c r="C5" s="160"/>
      <c r="D5" s="160"/>
      <c r="E5" s="160"/>
      <c r="F5" s="160"/>
      <c r="G5" s="160"/>
      <c r="H5" s="160"/>
      <c r="I5" s="160"/>
      <c r="J5" s="160"/>
      <c r="K5" s="160"/>
      <c r="L5" s="160"/>
      <c r="M5" s="166"/>
      <c r="O5" s="262"/>
    </row>
    <row r="6" spans="1:28">
      <c r="A6" s="184">
        <v>5</v>
      </c>
      <c r="B6" s="1715" t="str">
        <f>'Smmy Chrts'!$C$32</f>
        <v>Detail Worksheet FY 2021</v>
      </c>
      <c r="C6" s="1715"/>
      <c r="D6" s="1743"/>
      <c r="E6" s="1743"/>
      <c r="F6" s="1743"/>
      <c r="G6" s="1743"/>
      <c r="H6" s="1743"/>
      <c r="I6" s="1743"/>
      <c r="J6" s="1743"/>
      <c r="K6" s="1743"/>
      <c r="L6" s="1743"/>
      <c r="M6" s="1743"/>
      <c r="O6" s="265"/>
    </row>
    <row r="7" spans="1:28">
      <c r="A7" s="184">
        <v>6</v>
      </c>
      <c r="B7" s="172"/>
      <c r="C7" s="172"/>
      <c r="D7" s="160"/>
      <c r="E7" s="160"/>
      <c r="F7" s="160"/>
      <c r="G7" s="160"/>
      <c r="H7" s="160"/>
      <c r="I7" s="160"/>
      <c r="J7" s="160"/>
      <c r="K7" s="160"/>
      <c r="L7" s="160"/>
      <c r="M7" s="173" t="str">
        <f>'Smmy Chrts'!$C$33</f>
        <v>FY 2021</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Input!$M$30</f>
        <v>58912199</v>
      </c>
      <c r="E10" s="372">
        <f>Input!$N$30</f>
        <v>0</v>
      </c>
      <c r="F10" s="372">
        <f>Input!$O$30</f>
        <v>0</v>
      </c>
      <c r="G10" s="372">
        <f>Input!$P$30</f>
        <v>0</v>
      </c>
      <c r="H10" s="372">
        <f>Input!$Q$30</f>
        <v>0</v>
      </c>
      <c r="I10" s="372">
        <f>Input!$R$30</f>
        <v>0</v>
      </c>
      <c r="J10" s="372">
        <f>Input!$S$30</f>
        <v>0</v>
      </c>
      <c r="K10" s="372">
        <f>Input!$T$30</f>
        <v>0</v>
      </c>
      <c r="L10" s="372">
        <f>Input!$U$30</f>
        <v>0</v>
      </c>
      <c r="M10" s="373">
        <f t="shared" ref="M10:M15" si="0">D10+E10+F10+G10+H10+I10+J10+K10+L10</f>
        <v>58912199</v>
      </c>
      <c r="N10" s="160"/>
      <c r="O10" s="271"/>
      <c r="P10" s="1718" t="s">
        <v>575</v>
      </c>
      <c r="U10" s="268"/>
    </row>
    <row r="11" spans="1:28">
      <c r="A11" s="184">
        <v>10</v>
      </c>
      <c r="B11" s="160" t="s">
        <v>2</v>
      </c>
      <c r="C11" s="160"/>
      <c r="D11" s="372">
        <f>Input!$V$30</f>
        <v>369660</v>
      </c>
      <c r="E11" s="372">
        <f>Input!$W$30</f>
        <v>0</v>
      </c>
      <c r="F11" s="372">
        <f>Input!$X$30</f>
        <v>0</v>
      </c>
      <c r="G11" s="372">
        <f>Input!$Y$30</f>
        <v>6646567</v>
      </c>
      <c r="H11" s="372">
        <f>Input!$Z$30</f>
        <v>0</v>
      </c>
      <c r="I11" s="372">
        <f>Input!$AA$30</f>
        <v>0</v>
      </c>
      <c r="J11" s="372">
        <f>Input!$AB$30</f>
        <v>0</v>
      </c>
      <c r="K11" s="372">
        <f>Input!$AC$30</f>
        <v>0</v>
      </c>
      <c r="L11" s="372">
        <f>Input!$AD$30</f>
        <v>0</v>
      </c>
      <c r="M11" s="373">
        <f t="shared" si="0"/>
        <v>7016227</v>
      </c>
      <c r="N11" s="160"/>
      <c r="O11" s="482"/>
      <c r="P11" s="1719"/>
      <c r="U11" s="268"/>
    </row>
    <row r="12" spans="1:28" ht="12.75" hidden="1" customHeight="1">
      <c r="B12" s="160" t="s">
        <v>1410</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Input!$AN$30</f>
        <v>13141181</v>
      </c>
      <c r="E13" s="372">
        <f>Input!$AO$30</f>
        <v>0</v>
      </c>
      <c r="F13" s="372">
        <f>Input!$AP$30</f>
        <v>0</v>
      </c>
      <c r="G13" s="372">
        <f>Input!$AQ$30</f>
        <v>0</v>
      </c>
      <c r="H13" s="372">
        <f>Input!$AR$30</f>
        <v>0</v>
      </c>
      <c r="I13" s="372">
        <f>Input!$AS$30</f>
        <v>0</v>
      </c>
      <c r="J13" s="372">
        <f>Input!$AT$30</f>
        <v>0</v>
      </c>
      <c r="K13" s="372">
        <f>Input!$AU$30</f>
        <v>0</v>
      </c>
      <c r="L13" s="372">
        <f>Input!$AV$30</f>
        <v>0</v>
      </c>
      <c r="M13" s="373">
        <f t="shared" si="0"/>
        <v>13141181</v>
      </c>
      <c r="N13" s="160"/>
      <c r="O13" s="482" t="str">
        <f>IF(P13&lt;&gt;M13,"Out of Balance","Balanced")</f>
        <v>Balanced</v>
      </c>
      <c r="P13" s="484">
        <f>IFERROR(VLOOKUP($B$2,AMTLU,6,FALSE),0)</f>
        <v>13141181</v>
      </c>
      <c r="U13" s="268"/>
    </row>
    <row r="14" spans="1:28">
      <c r="A14" s="184">
        <v>13</v>
      </c>
      <c r="B14" s="160" t="s">
        <v>49</v>
      </c>
      <c r="C14" s="160"/>
      <c r="D14" s="372">
        <f>Input!$AW$30</f>
        <v>0</v>
      </c>
      <c r="E14" s="372">
        <f>Input!$AX$30</f>
        <v>0</v>
      </c>
      <c r="F14" s="372">
        <f>Input!$AY$30</f>
        <v>0</v>
      </c>
      <c r="G14" s="372">
        <f>Input!$AZ$30</f>
        <v>0</v>
      </c>
      <c r="H14" s="372">
        <f>Input!$BA$30</f>
        <v>0</v>
      </c>
      <c r="I14" s="372">
        <f>Input!$BB$30</f>
        <v>0</v>
      </c>
      <c r="J14" s="372">
        <f>Input!$BC$30</f>
        <v>0</v>
      </c>
      <c r="K14" s="372">
        <f>Input!$BD$30</f>
        <v>0</v>
      </c>
      <c r="L14" s="372">
        <f>Input!$BE$30</f>
        <v>0</v>
      </c>
      <c r="M14" s="373">
        <f t="shared" si="0"/>
        <v>0</v>
      </c>
      <c r="N14" s="160"/>
      <c r="O14" s="482"/>
      <c r="P14" s="485"/>
    </row>
    <row r="15" spans="1:28" ht="15">
      <c r="A15" s="184">
        <v>14</v>
      </c>
      <c r="B15" s="176" t="s">
        <v>3</v>
      </c>
      <c r="C15" s="176"/>
      <c r="D15" s="374">
        <f t="shared" ref="D15:L15" si="1">SUM(D10:D14)</f>
        <v>72423040</v>
      </c>
      <c r="E15" s="374">
        <f t="shared" si="1"/>
        <v>0</v>
      </c>
      <c r="F15" s="374">
        <f t="shared" si="1"/>
        <v>0</v>
      </c>
      <c r="G15" s="374">
        <f t="shared" si="1"/>
        <v>6646567</v>
      </c>
      <c r="H15" s="374">
        <f t="shared" si="1"/>
        <v>0</v>
      </c>
      <c r="I15" s="374">
        <f t="shared" si="1"/>
        <v>0</v>
      </c>
      <c r="J15" s="374">
        <f t="shared" si="1"/>
        <v>0</v>
      </c>
      <c r="K15" s="374">
        <f t="shared" si="1"/>
        <v>0</v>
      </c>
      <c r="L15" s="374">
        <f t="shared" si="1"/>
        <v>0</v>
      </c>
      <c r="M15" s="374">
        <f t="shared" si="0"/>
        <v>79069607</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58" t="s">
        <v>1042</v>
      </c>
      <c r="C18" s="558"/>
      <c r="D18" s="374">
        <f t="shared" ref="D18:L18" si="2">D23-SUM(D19:D22)</f>
        <v>25292052</v>
      </c>
      <c r="E18" s="374">
        <f t="shared" si="2"/>
        <v>83187991</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108480043</v>
      </c>
      <c r="V18" s="327"/>
      <c r="X18" s="330"/>
    </row>
    <row r="19" spans="1:26" s="264" customFormat="1" ht="12.75" customHeight="1" thickTop="1" thickBot="1">
      <c r="A19" s="263"/>
      <c r="B19" s="261" t="s">
        <v>722</v>
      </c>
      <c r="C19" s="261"/>
      <c r="D19" s="372">
        <f>Input!$BF$30</f>
        <v>-4406982</v>
      </c>
      <c r="E19" s="372">
        <f>Input!$BG$30</f>
        <v>0</v>
      </c>
      <c r="F19" s="372">
        <f>Input!$BH$30</f>
        <v>0</v>
      </c>
      <c r="G19" s="372">
        <f>Input!$BI$30</f>
        <v>0</v>
      </c>
      <c r="H19" s="372">
        <f>Input!$BJ$30</f>
        <v>0</v>
      </c>
      <c r="I19" s="372">
        <f>Input!$BK$30</f>
        <v>0</v>
      </c>
      <c r="J19" s="372">
        <f>Input!$BL$30</f>
        <v>0</v>
      </c>
      <c r="K19" s="372">
        <f>Input!$BM$30</f>
        <v>0</v>
      </c>
      <c r="L19" s="372">
        <f>Input!$BN$30</f>
        <v>0</v>
      </c>
      <c r="M19" s="373">
        <f t="shared" si="3"/>
        <v>-4406982</v>
      </c>
      <c r="O19" s="1732" t="s">
        <v>1294</v>
      </c>
      <c r="P19" s="1733"/>
      <c r="Q19" s="1733"/>
      <c r="R19" s="1734"/>
      <c r="T19" s="1735" t="s">
        <v>1043</v>
      </c>
      <c r="U19" s="1736"/>
      <c r="V19" s="1736"/>
      <c r="W19" s="1736"/>
      <c r="X19" s="1737"/>
    </row>
    <row r="20" spans="1:26" s="264" customFormat="1" ht="12.75" customHeight="1" thickTop="1">
      <c r="A20" s="263"/>
      <c r="B20" s="261" t="s">
        <v>723</v>
      </c>
      <c r="C20" s="261"/>
      <c r="D20" s="372">
        <f>Input!$BO$30</f>
        <v>0</v>
      </c>
      <c r="E20" s="372">
        <f>Input!$BP$30</f>
        <v>0</v>
      </c>
      <c r="F20" s="372">
        <f>Input!$BQ$30</f>
        <v>0</v>
      </c>
      <c r="G20" s="372">
        <f>Input!$BR$30</f>
        <v>0</v>
      </c>
      <c r="H20" s="372">
        <f>Input!$BS$30</f>
        <v>0</v>
      </c>
      <c r="I20" s="372">
        <f>Input!$BT$30</f>
        <v>0</v>
      </c>
      <c r="J20" s="372">
        <f>Input!$BU$30</f>
        <v>0</v>
      </c>
      <c r="K20" s="372">
        <f>Input!$BV$30</f>
        <v>0</v>
      </c>
      <c r="L20" s="372">
        <f>Input!$BW$30</f>
        <v>0</v>
      </c>
      <c r="M20" s="373">
        <f t="shared" si="3"/>
        <v>0</v>
      </c>
      <c r="O20" s="421" t="s">
        <v>288</v>
      </c>
      <c r="P20" s="422"/>
      <c r="Q20" s="414"/>
      <c r="R20" s="559"/>
      <c r="T20" s="560" t="s">
        <v>1044</v>
      </c>
      <c r="U20" s="266"/>
      <c r="V20" s="266"/>
      <c r="X20" s="425"/>
    </row>
    <row r="21" spans="1:26" s="264" customFormat="1">
      <c r="A21" s="263"/>
      <c r="B21" s="261" t="s">
        <v>724</v>
      </c>
      <c r="C21" s="261"/>
      <c r="D21" s="372">
        <f>Input!$BX$30</f>
        <v>0</v>
      </c>
      <c r="E21" s="372">
        <f>Input!$BY$30</f>
        <v>0</v>
      </c>
      <c r="F21" s="372">
        <f>Input!$BZ$30</f>
        <v>0</v>
      </c>
      <c r="G21" s="372">
        <f>Input!$CA$30</f>
        <v>0</v>
      </c>
      <c r="H21" s="372">
        <f>Input!$CB$30</f>
        <v>0</v>
      </c>
      <c r="I21" s="372">
        <f>Input!$CC$30</f>
        <v>0</v>
      </c>
      <c r="J21" s="372">
        <f>Input!$CD$30</f>
        <v>0</v>
      </c>
      <c r="K21" s="372">
        <f>Input!$CE$30</f>
        <v>0</v>
      </c>
      <c r="L21" s="372">
        <f>Input!$CF$30</f>
        <v>0</v>
      </c>
      <c r="M21" s="373">
        <f t="shared" si="3"/>
        <v>0</v>
      </c>
      <c r="O21" s="434"/>
      <c r="R21" s="561"/>
      <c r="T21" s="650" t="s">
        <v>1045</v>
      </c>
      <c r="U21" s="266"/>
      <c r="V21" s="266"/>
      <c r="W21" s="651">
        <f>M44</f>
        <v>112190515</v>
      </c>
      <c r="X21" s="425"/>
      <c r="Z21" s="330"/>
    </row>
    <row r="22" spans="1:26" s="264" customFormat="1">
      <c r="A22" s="263"/>
      <c r="B22" s="261" t="s">
        <v>725</v>
      </c>
      <c r="C22" s="261"/>
      <c r="D22" s="372">
        <f>Input!$CG$30</f>
        <v>0</v>
      </c>
      <c r="E22" s="372">
        <f>Input!$CH$30</f>
        <v>0</v>
      </c>
      <c r="F22" s="372">
        <f>Input!$CI$30</f>
        <v>0</v>
      </c>
      <c r="G22" s="372">
        <f>Input!$CJ$30</f>
        <v>0</v>
      </c>
      <c r="H22" s="372">
        <f>Input!$CK$30</f>
        <v>0</v>
      </c>
      <c r="I22" s="372">
        <f>Input!$CL$30</f>
        <v>0</v>
      </c>
      <c r="J22" s="372">
        <f>Input!$CM$30</f>
        <v>0</v>
      </c>
      <c r="K22" s="372">
        <f>Input!$CN$30</f>
        <v>0</v>
      </c>
      <c r="L22" s="372">
        <f>Input!$CO$30</f>
        <v>0</v>
      </c>
      <c r="M22" s="373">
        <f t="shared" si="3"/>
        <v>0</v>
      </c>
      <c r="N22" s="270"/>
      <c r="O22" s="434" t="s">
        <v>1046</v>
      </c>
      <c r="P22" s="276"/>
      <c r="Q22" s="424">
        <f>M23</f>
        <v>104073061</v>
      </c>
      <c r="R22" s="562"/>
      <c r="T22" s="650" t="s">
        <v>1047</v>
      </c>
      <c r="U22" s="266"/>
      <c r="V22" s="266"/>
      <c r="W22" s="652">
        <f>R30*-1</f>
        <v>27608034</v>
      </c>
      <c r="X22" s="425"/>
    </row>
    <row r="23" spans="1:26" s="264" customFormat="1" ht="12.75" customHeight="1">
      <c r="A23" s="263"/>
      <c r="B23" s="558" t="s">
        <v>726</v>
      </c>
      <c r="C23" s="563"/>
      <c r="D23" s="564">
        <f>Input!$CP$30</f>
        <v>20885070</v>
      </c>
      <c r="E23" s="564">
        <f>Input!$CQ$30</f>
        <v>83187991</v>
      </c>
      <c r="F23" s="564">
        <f>Input!$CR$30</f>
        <v>0</v>
      </c>
      <c r="G23" s="564">
        <f>Input!$CS$30</f>
        <v>0</v>
      </c>
      <c r="H23" s="564">
        <f>Input!$CT$30</f>
        <v>0</v>
      </c>
      <c r="I23" s="564">
        <f>Input!$CU$30</f>
        <v>0</v>
      </c>
      <c r="J23" s="564">
        <f>Input!$CV$30</f>
        <v>0</v>
      </c>
      <c r="K23" s="564">
        <f>Input!$CW$30</f>
        <v>0</v>
      </c>
      <c r="L23" s="564">
        <f>Input!$CX$30</f>
        <v>0</v>
      </c>
      <c r="M23" s="565">
        <f t="shared" si="3"/>
        <v>104073061</v>
      </c>
      <c r="O23" s="434"/>
      <c r="P23" s="276"/>
      <c r="Q23" s="424"/>
      <c r="R23" s="562"/>
      <c r="T23" s="560" t="s">
        <v>1230</v>
      </c>
      <c r="U23" s="266"/>
      <c r="V23" s="266"/>
      <c r="W23" s="276"/>
      <c r="X23" s="425">
        <f>SUM(W21:W22)</f>
        <v>139798549</v>
      </c>
      <c r="Z23" s="330"/>
    </row>
    <row r="24" spans="1:26" s="264" customFormat="1" ht="12.75" customHeight="1">
      <c r="A24" s="263"/>
      <c r="B24" s="261" t="s">
        <v>727</v>
      </c>
      <c r="C24" s="566"/>
      <c r="D24" s="372">
        <f>Input!$CY$30</f>
        <v>0</v>
      </c>
      <c r="E24" s="372">
        <f>Input!$CZ$30</f>
        <v>0</v>
      </c>
      <c r="F24" s="372">
        <f>Input!$DA$30</f>
        <v>0</v>
      </c>
      <c r="G24" s="372">
        <f>Input!$DB$30</f>
        <v>0</v>
      </c>
      <c r="H24" s="372">
        <f>Input!$DC$30</f>
        <v>0</v>
      </c>
      <c r="I24" s="372">
        <f>Input!$DD$30</f>
        <v>0</v>
      </c>
      <c r="J24" s="372">
        <f>Input!$DE$30</f>
        <v>0</v>
      </c>
      <c r="K24" s="372">
        <f>Input!$DF$30</f>
        <v>0</v>
      </c>
      <c r="L24" s="372">
        <f>Input!$DG$30</f>
        <v>0</v>
      </c>
      <c r="M24" s="567">
        <f t="shared" si="3"/>
        <v>0</v>
      </c>
      <c r="O24" s="417" t="s">
        <v>1048</v>
      </c>
      <c r="P24" s="276"/>
      <c r="Q24" s="327"/>
      <c r="R24" s="646">
        <f>SUM(M24:M28)</f>
        <v>-20762060</v>
      </c>
      <c r="T24" s="560"/>
      <c r="U24" s="266"/>
      <c r="V24" s="266"/>
      <c r="X24" s="425"/>
      <c r="Z24" s="330"/>
    </row>
    <row r="25" spans="1:26" s="264" customFormat="1" ht="12.75" customHeight="1">
      <c r="A25" s="263"/>
      <c r="B25" s="261" t="s">
        <v>728</v>
      </c>
      <c r="C25" s="566"/>
      <c r="D25" s="372">
        <f>Input!$DH$30</f>
        <v>0</v>
      </c>
      <c r="E25" s="372">
        <f>Input!$DI$30</f>
        <v>0</v>
      </c>
      <c r="F25" s="372">
        <f>Input!$DJ$30</f>
        <v>0</v>
      </c>
      <c r="G25" s="372">
        <f>Input!$DK$30</f>
        <v>0</v>
      </c>
      <c r="H25" s="372">
        <f>Input!$DL$30</f>
        <v>0</v>
      </c>
      <c r="I25" s="372">
        <f>Input!$DM$30</f>
        <v>0</v>
      </c>
      <c r="J25" s="372">
        <f>Input!$DN$30</f>
        <v>0</v>
      </c>
      <c r="K25" s="372">
        <f>Input!$DO$30</f>
        <v>0</v>
      </c>
      <c r="L25" s="372">
        <f>Input!$DP$30</f>
        <v>0</v>
      </c>
      <c r="M25" s="567">
        <f t="shared" si="3"/>
        <v>0</v>
      </c>
      <c r="O25" s="434"/>
      <c r="P25" s="276"/>
      <c r="Q25" s="327"/>
      <c r="R25" s="646"/>
      <c r="T25" s="568" t="s">
        <v>1103</v>
      </c>
      <c r="U25" s="569"/>
      <c r="V25" s="569"/>
      <c r="W25" s="653">
        <f>(M26+M39)*-1</f>
        <v>6195694</v>
      </c>
      <c r="X25" s="425"/>
      <c r="Z25" s="330"/>
    </row>
    <row r="26" spans="1:26" s="264" customFormat="1" ht="12.75" customHeight="1">
      <c r="A26" s="263"/>
      <c r="B26" s="261" t="s">
        <v>729</v>
      </c>
      <c r="C26" s="566"/>
      <c r="D26" s="372">
        <f>Input!$DQ$30</f>
        <v>-1130251</v>
      </c>
      <c r="E26" s="372">
        <f>Input!$DR$30</f>
        <v>-3562300</v>
      </c>
      <c r="F26" s="372">
        <f>Input!$DS$30</f>
        <v>0</v>
      </c>
      <c r="G26" s="372">
        <f>Input!$DT$30</f>
        <v>0</v>
      </c>
      <c r="H26" s="372">
        <f>Input!$DU$30</f>
        <v>0</v>
      </c>
      <c r="I26" s="372">
        <f>Input!$DV$30</f>
        <v>0</v>
      </c>
      <c r="J26" s="372">
        <f>Input!$DW$30</f>
        <v>0</v>
      </c>
      <c r="K26" s="372">
        <f>Input!$DX$30</f>
        <v>0</v>
      </c>
      <c r="L26" s="372">
        <f>Input!$DY$30</f>
        <v>0</v>
      </c>
      <c r="M26" s="567">
        <f t="shared" si="3"/>
        <v>-4692551</v>
      </c>
      <c r="O26" s="434" t="s">
        <v>1049</v>
      </c>
      <c r="P26" s="276"/>
      <c r="Q26" s="427">
        <f>M36</f>
        <v>35725488</v>
      </c>
      <c r="R26" s="570"/>
      <c r="T26" s="560" t="s">
        <v>1104</v>
      </c>
      <c r="U26" s="266"/>
      <c r="V26" s="266"/>
      <c r="W26" s="571">
        <f>(M21+M34)*-1</f>
        <v>0</v>
      </c>
      <c r="X26" s="425"/>
      <c r="Z26" s="330"/>
    </row>
    <row r="27" spans="1:26" s="264" customFormat="1">
      <c r="A27" s="263"/>
      <c r="B27" s="261" t="s">
        <v>730</v>
      </c>
      <c r="C27" s="566"/>
      <c r="D27" s="372">
        <f>Input!$DZ$30</f>
        <v>0</v>
      </c>
      <c r="E27" s="372">
        <f>Input!$EA$30</f>
        <v>0</v>
      </c>
      <c r="F27" s="372">
        <f>Input!$EB$30</f>
        <v>0</v>
      </c>
      <c r="G27" s="372">
        <f>Input!$EC$30</f>
        <v>0</v>
      </c>
      <c r="H27" s="372">
        <f>Input!$ED$30</f>
        <v>0</v>
      </c>
      <c r="I27" s="372">
        <f>Input!$EE$30</f>
        <v>0</v>
      </c>
      <c r="J27" s="372">
        <f>Input!$EF$30</f>
        <v>0</v>
      </c>
      <c r="K27" s="372">
        <f>Input!$EG$30</f>
        <v>0</v>
      </c>
      <c r="L27" s="372">
        <f>Input!EH6</f>
        <v>0</v>
      </c>
      <c r="M27" s="567">
        <f t="shared" si="3"/>
        <v>0</v>
      </c>
      <c r="O27" s="434"/>
      <c r="P27" s="276"/>
      <c r="Q27" s="427"/>
      <c r="R27" s="570"/>
      <c r="T27" s="650" t="s">
        <v>1105</v>
      </c>
      <c r="U27" s="584"/>
      <c r="V27" s="584"/>
      <c r="W27" s="654">
        <f>SUM(W25:W26)</f>
        <v>6195694</v>
      </c>
      <c r="X27" s="655"/>
    </row>
    <row r="28" spans="1:26" s="264" customFormat="1">
      <c r="A28" s="263"/>
      <c r="B28" s="261" t="s">
        <v>2133</v>
      </c>
      <c r="C28" s="566"/>
      <c r="D28" s="372">
        <f>Input!$EI$30</f>
        <v>-3703171</v>
      </c>
      <c r="E28" s="372">
        <f>Input!$EJ$30</f>
        <v>-12366338</v>
      </c>
      <c r="F28" s="372">
        <f>Input!$EK$30</f>
        <v>0</v>
      </c>
      <c r="G28" s="372">
        <f>Input!$EL$30</f>
        <v>0</v>
      </c>
      <c r="H28" s="372">
        <f>Input!$EM$30</f>
        <v>0</v>
      </c>
      <c r="I28" s="372">
        <f>Input!$EN$30</f>
        <v>0</v>
      </c>
      <c r="J28" s="372">
        <f>Input!$EO$30</f>
        <v>0</v>
      </c>
      <c r="K28" s="372">
        <f>Input!$EP$30</f>
        <v>0</v>
      </c>
      <c r="L28" s="372">
        <f>Input!$EQ$30</f>
        <v>0</v>
      </c>
      <c r="M28" s="567">
        <f t="shared" si="3"/>
        <v>-16069509</v>
      </c>
      <c r="O28" s="417" t="s">
        <v>1050</v>
      </c>
      <c r="Q28" s="429"/>
      <c r="R28" s="646">
        <f>SUM(M37:M41)</f>
        <v>-6845974</v>
      </c>
      <c r="T28" s="560" t="s">
        <v>1106</v>
      </c>
      <c r="U28" s="266"/>
      <c r="V28" s="266"/>
      <c r="W28" s="425">
        <f>(M27+M40)*-1</f>
        <v>0</v>
      </c>
      <c r="X28" s="655"/>
      <c r="Z28" s="330"/>
    </row>
    <row r="29" spans="1:26" s="264" customFormat="1" ht="12" customHeight="1">
      <c r="A29" s="263"/>
      <c r="B29" s="575" t="s">
        <v>39</v>
      </c>
      <c r="C29" s="563"/>
      <c r="D29" s="374">
        <f t="shared" ref="D29:L29" si="4">SUM(D23:D28)</f>
        <v>16051648</v>
      </c>
      <c r="E29" s="374">
        <f t="shared" si="4"/>
        <v>67259353</v>
      </c>
      <c r="F29" s="374">
        <f t="shared" si="4"/>
        <v>0</v>
      </c>
      <c r="G29" s="374">
        <f t="shared" si="4"/>
        <v>0</v>
      </c>
      <c r="H29" s="374">
        <f t="shared" si="4"/>
        <v>0</v>
      </c>
      <c r="I29" s="374">
        <f t="shared" si="4"/>
        <v>0</v>
      </c>
      <c r="J29" s="374">
        <f t="shared" si="4"/>
        <v>0</v>
      </c>
      <c r="K29" s="374">
        <f t="shared" si="4"/>
        <v>0</v>
      </c>
      <c r="L29" s="374">
        <f t="shared" si="4"/>
        <v>0</v>
      </c>
      <c r="M29" s="374">
        <f t="shared" si="3"/>
        <v>83311001</v>
      </c>
      <c r="O29" s="417"/>
      <c r="Q29" s="429"/>
      <c r="R29" s="576"/>
      <c r="T29" s="560" t="s">
        <v>1107</v>
      </c>
      <c r="U29" s="266"/>
      <c r="V29" s="266"/>
      <c r="W29" s="571">
        <f>(M22+M35)*-1</f>
        <v>0</v>
      </c>
      <c r="X29" s="655"/>
    </row>
    <row r="30" spans="1:26" s="264" customFormat="1" ht="16.5" customHeight="1">
      <c r="A30" s="263"/>
      <c r="B30" s="261"/>
      <c r="C30" s="566"/>
      <c r="D30" s="566"/>
      <c r="E30" s="566"/>
      <c r="F30" s="566"/>
      <c r="G30" s="566"/>
      <c r="H30" s="566"/>
      <c r="I30" s="566"/>
      <c r="J30" s="566"/>
      <c r="K30" s="566"/>
      <c r="L30" s="566"/>
      <c r="M30" s="567"/>
      <c r="O30" s="431" t="s">
        <v>289</v>
      </c>
      <c r="P30" s="432"/>
      <c r="Q30" s="433">
        <f>Q26+Q22</f>
        <v>139798549</v>
      </c>
      <c r="R30" s="647">
        <f>R28+R24</f>
        <v>-27608034</v>
      </c>
      <c r="T30" s="650" t="s">
        <v>1108</v>
      </c>
      <c r="U30" s="584"/>
      <c r="V30" s="584"/>
      <c r="W30" s="654">
        <f>SUM(W28:W29)</f>
        <v>0</v>
      </c>
      <c r="X30" s="655"/>
    </row>
    <row r="31" spans="1:26" s="264" customFormat="1" ht="12.75" customHeight="1">
      <c r="A31" s="263"/>
      <c r="B31" s="558" t="s">
        <v>1052</v>
      </c>
      <c r="C31" s="558"/>
      <c r="D31" s="374">
        <f t="shared" ref="D31:L31" si="5">D36-SUM(D32:D35)</f>
        <v>20015</v>
      </c>
      <c r="E31" s="374">
        <f t="shared" si="5"/>
        <v>27635059</v>
      </c>
      <c r="F31" s="374">
        <f t="shared" si="5"/>
        <v>8070414</v>
      </c>
      <c r="G31" s="374">
        <f t="shared" si="5"/>
        <v>0</v>
      </c>
      <c r="H31" s="374">
        <f t="shared" si="5"/>
        <v>0</v>
      </c>
      <c r="I31" s="374">
        <f t="shared" si="5"/>
        <v>0</v>
      </c>
      <c r="J31" s="374">
        <f t="shared" si="5"/>
        <v>0</v>
      </c>
      <c r="K31" s="374">
        <f t="shared" si="5"/>
        <v>0</v>
      </c>
      <c r="L31" s="374">
        <f t="shared" si="5"/>
        <v>0</v>
      </c>
      <c r="M31" s="374">
        <f t="shared" ref="M31:M42" si="6">D31+E31+F31+G31+H31+I31+J31+K31+L31</f>
        <v>35725488</v>
      </c>
      <c r="O31" s="434" t="s">
        <v>290</v>
      </c>
      <c r="P31" s="276"/>
      <c r="Q31" s="335"/>
      <c r="R31" s="562"/>
      <c r="T31" s="572" t="s">
        <v>1109</v>
      </c>
      <c r="U31" s="573"/>
      <c r="V31" s="573"/>
      <c r="W31" s="574">
        <f>W27+W30</f>
        <v>6195694</v>
      </c>
      <c r="X31" s="425"/>
      <c r="Z31" s="330"/>
    </row>
    <row r="32" spans="1:26" s="264" customFormat="1" ht="12.75" customHeight="1">
      <c r="A32" s="263"/>
      <c r="B32" s="261" t="s">
        <v>722</v>
      </c>
      <c r="C32" s="261"/>
      <c r="D32" s="372">
        <f>Input!$ER$30</f>
        <v>0</v>
      </c>
      <c r="E32" s="372">
        <f>Input!$ES$30</f>
        <v>0</v>
      </c>
      <c r="F32" s="372">
        <f>Input!$ET$30</f>
        <v>0</v>
      </c>
      <c r="G32" s="372">
        <f>Input!$EU$30</f>
        <v>0</v>
      </c>
      <c r="H32" s="372">
        <f>Input!$EV$30</f>
        <v>0</v>
      </c>
      <c r="I32" s="372">
        <f>Input!$EW$30</f>
        <v>0</v>
      </c>
      <c r="J32" s="372">
        <f>Input!$EX$30</f>
        <v>0</v>
      </c>
      <c r="K32" s="372">
        <f>Input!$EY$30</f>
        <v>0</v>
      </c>
      <c r="L32" s="372">
        <f>Input!$EZ$30</f>
        <v>0</v>
      </c>
      <c r="M32" s="567">
        <f t="shared" si="6"/>
        <v>0</v>
      </c>
      <c r="O32" s="415" t="s">
        <v>1295</v>
      </c>
      <c r="P32" s="416"/>
      <c r="Q32" s="577">
        <f>Input!$SQ$30</f>
        <v>139798549</v>
      </c>
      <c r="R32" s="578"/>
      <c r="T32" s="560"/>
      <c r="U32" s="266"/>
      <c r="V32" s="266"/>
      <c r="X32" s="425"/>
      <c r="Z32" s="330"/>
    </row>
    <row r="33" spans="1:24" s="264" customFormat="1">
      <c r="A33" s="263"/>
      <c r="B33" s="261" t="s">
        <v>723</v>
      </c>
      <c r="C33" s="261"/>
      <c r="D33" s="372">
        <f>Input!$FA$30</f>
        <v>0</v>
      </c>
      <c r="E33" s="372">
        <f>Input!$FB$30</f>
        <v>0</v>
      </c>
      <c r="F33" s="372">
        <f>Input!$FC$30</f>
        <v>0</v>
      </c>
      <c r="G33" s="372">
        <f>Input!$FD$30</f>
        <v>0</v>
      </c>
      <c r="H33" s="372">
        <f>Input!$FE$30</f>
        <v>0</v>
      </c>
      <c r="I33" s="372">
        <f>Input!$FF$30</f>
        <v>0</v>
      </c>
      <c r="J33" s="372">
        <f>Input!$FG$30</f>
        <v>0</v>
      </c>
      <c r="K33" s="372">
        <f>Input!$FH$30</f>
        <v>0</v>
      </c>
      <c r="L33" s="372">
        <f>Input!$FI$30</f>
        <v>0</v>
      </c>
      <c r="M33" s="567">
        <f t="shared" si="6"/>
        <v>0</v>
      </c>
      <c r="O33" s="415"/>
      <c r="P33" s="416"/>
      <c r="Q33" s="327"/>
      <c r="R33" s="578"/>
      <c r="T33" s="560" t="s">
        <v>1051</v>
      </c>
      <c r="U33" s="266"/>
      <c r="V33" s="266"/>
      <c r="W33" s="334">
        <f>(M19+M32)*-1</f>
        <v>4406982</v>
      </c>
      <c r="X33" s="425"/>
    </row>
    <row r="34" spans="1:24" s="264" customFormat="1">
      <c r="A34" s="263"/>
      <c r="B34" s="261" t="s">
        <v>724</v>
      </c>
      <c r="C34" s="261"/>
      <c r="D34" s="372">
        <f>Input!$FJ$30</f>
        <v>0</v>
      </c>
      <c r="E34" s="372">
        <f>Input!$FK$30</f>
        <v>0</v>
      </c>
      <c r="F34" s="372">
        <f>Input!$FL$30</f>
        <v>0</v>
      </c>
      <c r="G34" s="372">
        <f>Input!$FM$30</f>
        <v>0</v>
      </c>
      <c r="H34" s="372">
        <f>Input!$FN$30</f>
        <v>0</v>
      </c>
      <c r="I34" s="372">
        <f>Input!$FO$30</f>
        <v>0</v>
      </c>
      <c r="J34" s="372">
        <f>Input!$FP$30</f>
        <v>0</v>
      </c>
      <c r="K34" s="372">
        <f>Input!$FQ$30</f>
        <v>0</v>
      </c>
      <c r="L34" s="372">
        <f>Input!$FR$30</f>
        <v>0</v>
      </c>
      <c r="M34" s="567">
        <f t="shared" si="6"/>
        <v>0</v>
      </c>
      <c r="O34" s="435" t="s">
        <v>1296</v>
      </c>
      <c r="P34" s="436"/>
      <c r="Q34" s="264" t="s">
        <v>291</v>
      </c>
      <c r="R34" s="648">
        <f>Input!$SR$30</f>
        <v>-27608034</v>
      </c>
      <c r="T34" s="560" t="s">
        <v>1110</v>
      </c>
      <c r="U34" s="266"/>
      <c r="V34" s="266"/>
      <c r="W34" s="430">
        <f>(M24+M37)*-1</f>
        <v>0</v>
      </c>
      <c r="X34" s="425"/>
    </row>
    <row r="35" spans="1:24" s="264" customFormat="1" ht="13.5" thickBot="1">
      <c r="A35" s="263"/>
      <c r="B35" s="261" t="s">
        <v>725</v>
      </c>
      <c r="C35" s="261"/>
      <c r="D35" s="372">
        <f>Input!$FS$30</f>
        <v>0</v>
      </c>
      <c r="E35" s="372">
        <f>Input!$FT$30</f>
        <v>0</v>
      </c>
      <c r="F35" s="372">
        <f>Input!$FU$30</f>
        <v>0</v>
      </c>
      <c r="G35" s="372">
        <f>Input!$FV$30</f>
        <v>0</v>
      </c>
      <c r="H35" s="372">
        <f>Input!$FW$30</f>
        <v>0</v>
      </c>
      <c r="I35" s="372">
        <f>Input!$FX$30</f>
        <v>0</v>
      </c>
      <c r="J35" s="372">
        <f>Input!$FY$30</f>
        <v>0</v>
      </c>
      <c r="K35" s="372">
        <f>Input!$FZ$30</f>
        <v>0</v>
      </c>
      <c r="L35" s="372">
        <f>Input!$GA$30</f>
        <v>0</v>
      </c>
      <c r="M35" s="567">
        <f t="shared" si="6"/>
        <v>0</v>
      </c>
      <c r="O35" s="418" t="s">
        <v>286</v>
      </c>
      <c r="P35" s="419"/>
      <c r="Q35" s="420">
        <f>Q30-Q32</f>
        <v>0</v>
      </c>
      <c r="R35" s="649">
        <f>R30-R34</f>
        <v>0</v>
      </c>
      <c r="T35" s="650" t="s">
        <v>1111</v>
      </c>
      <c r="U35" s="584"/>
      <c r="V35" s="584"/>
      <c r="W35" s="656">
        <f>SUM(W33:W34)</f>
        <v>4406982</v>
      </c>
      <c r="X35" s="655"/>
    </row>
    <row r="36" spans="1:24" s="264" customFormat="1" ht="13.5" thickTop="1">
      <c r="A36" s="263"/>
      <c r="B36" s="558" t="s">
        <v>732</v>
      </c>
      <c r="C36" s="563"/>
      <c r="D36" s="564">
        <f>Input!$GB$30</f>
        <v>20015</v>
      </c>
      <c r="E36" s="564">
        <f>Input!$GC$30</f>
        <v>27635059</v>
      </c>
      <c r="F36" s="564">
        <f>Input!$GD$30</f>
        <v>8070414</v>
      </c>
      <c r="G36" s="564">
        <f>Input!$GE$30</f>
        <v>0</v>
      </c>
      <c r="H36" s="564">
        <f>Input!$GF$30</f>
        <v>0</v>
      </c>
      <c r="I36" s="564">
        <f>Input!$GG$30</f>
        <v>0</v>
      </c>
      <c r="J36" s="564">
        <f>Input!$GH$30</f>
        <v>0</v>
      </c>
      <c r="K36" s="564">
        <f>Input!$GI$30</f>
        <v>0</v>
      </c>
      <c r="L36" s="564">
        <f>Input!$GJ$30</f>
        <v>0</v>
      </c>
      <c r="M36" s="565">
        <f t="shared" si="6"/>
        <v>35725488</v>
      </c>
      <c r="O36" s="261"/>
      <c r="Q36" s="412" t="str">
        <f>IF(Q30&lt;&gt;Q32,"Out of Balance","Balanced")</f>
        <v>Balanced</v>
      </c>
      <c r="R36" s="412" t="str">
        <f>IF(R30&lt;&gt;R34,"Out of Balance","Balanced")</f>
        <v>Balanced</v>
      </c>
      <c r="T36" s="560" t="s">
        <v>1053</v>
      </c>
      <c r="U36" s="266"/>
      <c r="V36" s="266"/>
      <c r="W36" s="334">
        <f>(M20+M33)*-1</f>
        <v>0</v>
      </c>
      <c r="X36" s="425"/>
    </row>
    <row r="37" spans="1:24" s="264" customFormat="1">
      <c r="A37" s="263"/>
      <c r="B37" s="261" t="s">
        <v>727</v>
      </c>
      <c r="C37" s="566"/>
      <c r="D37" s="372">
        <f>Input!$GK$30</f>
        <v>0</v>
      </c>
      <c r="E37" s="372">
        <f>Input!$GL$30</f>
        <v>0</v>
      </c>
      <c r="F37" s="372">
        <f>Input!$GM$30</f>
        <v>0</v>
      </c>
      <c r="G37" s="372">
        <f>Input!$GN$30</f>
        <v>0</v>
      </c>
      <c r="H37" s="372">
        <f>Input!$GO$30</f>
        <v>0</v>
      </c>
      <c r="I37" s="372">
        <f>Input!$GP$30</f>
        <v>0</v>
      </c>
      <c r="J37" s="372">
        <f>Input!$GQ$30</f>
        <v>0</v>
      </c>
      <c r="K37" s="372">
        <f>Input!$GR$30</f>
        <v>0</v>
      </c>
      <c r="L37" s="372">
        <f>Input!$GS$30</f>
        <v>0</v>
      </c>
      <c r="M37" s="567">
        <f t="shared" si="6"/>
        <v>0</v>
      </c>
      <c r="O37" s="261"/>
      <c r="T37" s="560" t="s">
        <v>1112</v>
      </c>
      <c r="U37" s="266"/>
      <c r="V37" s="266"/>
      <c r="W37" s="430">
        <f>(M25+M38)*-1</f>
        <v>0</v>
      </c>
      <c r="X37" s="655"/>
    </row>
    <row r="38" spans="1:24" s="264" customFormat="1">
      <c r="A38" s="263"/>
      <c r="B38" s="261" t="s">
        <v>728</v>
      </c>
      <c r="C38" s="566"/>
      <c r="D38" s="372">
        <f>Input!$GT$30</f>
        <v>0</v>
      </c>
      <c r="E38" s="372">
        <f>Input!$GU$30</f>
        <v>0</v>
      </c>
      <c r="F38" s="372">
        <f>Input!$GV$30</f>
        <v>0</v>
      </c>
      <c r="G38" s="372">
        <f>Input!$GW$30</f>
        <v>0</v>
      </c>
      <c r="H38" s="372">
        <f>Input!$GX$30</f>
        <v>0</v>
      </c>
      <c r="I38" s="372">
        <f>Input!$GY$30</f>
        <v>0</v>
      </c>
      <c r="J38" s="372">
        <f>Input!$GZ$30</f>
        <v>0</v>
      </c>
      <c r="K38" s="372">
        <f>Input!$HA$30</f>
        <v>0</v>
      </c>
      <c r="L38" s="372">
        <f>Input!$HB$30</f>
        <v>0</v>
      </c>
      <c r="M38" s="567">
        <f t="shared" si="6"/>
        <v>0</v>
      </c>
      <c r="O38" s="261"/>
      <c r="T38" s="650" t="s">
        <v>1113</v>
      </c>
      <c r="U38" s="584"/>
      <c r="V38" s="584"/>
      <c r="W38" s="656">
        <f>SUM(W36:W37)</f>
        <v>0</v>
      </c>
      <c r="X38" s="425"/>
    </row>
    <row r="39" spans="1:24" s="264" customFormat="1">
      <c r="A39" s="263"/>
      <c r="B39" s="261" t="s">
        <v>729</v>
      </c>
      <c r="C39" s="566"/>
      <c r="D39" s="372">
        <f>Input!$HC$30</f>
        <v>-2772</v>
      </c>
      <c r="E39" s="372">
        <f>Input!$HD$30</f>
        <v>-1049743</v>
      </c>
      <c r="F39" s="372">
        <f>Input!$HE$30</f>
        <v>-450628</v>
      </c>
      <c r="G39" s="372">
        <f>Input!$HF$30</f>
        <v>0</v>
      </c>
      <c r="H39" s="372">
        <f>Input!$HG$30</f>
        <v>0</v>
      </c>
      <c r="I39" s="372">
        <f>Input!$HH$30</f>
        <v>0</v>
      </c>
      <c r="J39" s="372">
        <f>Input!$HI$30</f>
        <v>0</v>
      </c>
      <c r="K39" s="372">
        <f>Input!$HJ$30</f>
        <v>0</v>
      </c>
      <c r="L39" s="372">
        <f>Input!$HK$30</f>
        <v>0</v>
      </c>
      <c r="M39" s="567">
        <f t="shared" si="6"/>
        <v>-1503143</v>
      </c>
      <c r="O39" s="261"/>
      <c r="T39" s="560" t="s">
        <v>1054</v>
      </c>
      <c r="U39" s="266"/>
      <c r="V39" s="266"/>
      <c r="W39" s="334"/>
      <c r="X39" s="425">
        <f>W38+W35</f>
        <v>4406982</v>
      </c>
    </row>
    <row r="40" spans="1:24" s="264" customFormat="1">
      <c r="A40" s="263"/>
      <c r="B40" s="261" t="s">
        <v>730</v>
      </c>
      <c r="C40" s="566"/>
      <c r="D40" s="372">
        <f>Input!$HL$30</f>
        <v>0</v>
      </c>
      <c r="E40" s="372">
        <f>Input!$HM$30</f>
        <v>0</v>
      </c>
      <c r="F40" s="372">
        <f>Input!$HN$30</f>
        <v>0</v>
      </c>
      <c r="G40" s="372">
        <f>Input!$HO$30</f>
        <v>0</v>
      </c>
      <c r="H40" s="372">
        <f>Input!$HP$30</f>
        <v>0</v>
      </c>
      <c r="I40" s="372">
        <f>Input!$HQ$30</f>
        <v>0</v>
      </c>
      <c r="J40" s="372">
        <f>Input!$HR$30</f>
        <v>0</v>
      </c>
      <c r="K40" s="372">
        <f>Input!$HS$30</f>
        <v>0</v>
      </c>
      <c r="L40" s="372">
        <f>Input!$HT$30</f>
        <v>0</v>
      </c>
      <c r="M40" s="567">
        <f t="shared" si="6"/>
        <v>0</v>
      </c>
      <c r="O40" s="261"/>
      <c r="T40" s="560"/>
      <c r="U40" s="261"/>
      <c r="V40" s="261"/>
      <c r="W40" s="261"/>
      <c r="X40" s="655"/>
    </row>
    <row r="41" spans="1:24" s="264" customFormat="1">
      <c r="A41" s="263"/>
      <c r="B41" s="261" t="s">
        <v>2133</v>
      </c>
      <c r="C41" s="566"/>
      <c r="D41" s="372">
        <f>Input!$HU$30</f>
        <v>-677</v>
      </c>
      <c r="E41" s="372">
        <f>Input!$HV$30</f>
        <v>-4268489</v>
      </c>
      <c r="F41" s="372">
        <f>Input!$HW$30</f>
        <v>-1073665</v>
      </c>
      <c r="G41" s="372">
        <f>Input!$HX$30</f>
        <v>0</v>
      </c>
      <c r="H41" s="372">
        <f>Input!$HY$30</f>
        <v>0</v>
      </c>
      <c r="I41" s="372">
        <f>Input!$HZ$30</f>
        <v>0</v>
      </c>
      <c r="J41" s="372">
        <f>Input!$IA$30</f>
        <v>0</v>
      </c>
      <c r="K41" s="372">
        <f>Input!$IB$30</f>
        <v>0</v>
      </c>
      <c r="L41" s="372">
        <f>Input!$IC$30</f>
        <v>0</v>
      </c>
      <c r="M41" s="567">
        <f t="shared" si="6"/>
        <v>-5342831</v>
      </c>
      <c r="O41"/>
      <c r="P41"/>
      <c r="Q41"/>
      <c r="R41"/>
      <c r="S41"/>
      <c r="T41" s="560" t="s">
        <v>1104</v>
      </c>
      <c r="U41" s="266"/>
      <c r="V41" s="266"/>
      <c r="W41" s="330">
        <f>(M21+M34)*-1</f>
        <v>0</v>
      </c>
      <c r="X41" s="425"/>
    </row>
    <row r="42" spans="1:24" s="264" customFormat="1">
      <c r="A42" s="263"/>
      <c r="B42" s="575" t="s">
        <v>40</v>
      </c>
      <c r="C42" s="563"/>
      <c r="D42" s="374">
        <f t="shared" ref="D42:L42" si="7">SUM(D36:D41)</f>
        <v>16566</v>
      </c>
      <c r="E42" s="374">
        <f t="shared" si="7"/>
        <v>22316827</v>
      </c>
      <c r="F42" s="374">
        <f t="shared" si="7"/>
        <v>6546121</v>
      </c>
      <c r="G42" s="374">
        <f t="shared" si="7"/>
        <v>0</v>
      </c>
      <c r="H42" s="374">
        <f t="shared" si="7"/>
        <v>0</v>
      </c>
      <c r="I42" s="374">
        <f t="shared" si="7"/>
        <v>0</v>
      </c>
      <c r="J42" s="374">
        <f t="shared" si="7"/>
        <v>0</v>
      </c>
      <c r="K42" s="374">
        <f t="shared" si="7"/>
        <v>0</v>
      </c>
      <c r="L42" s="374">
        <f t="shared" si="7"/>
        <v>0</v>
      </c>
      <c r="M42" s="374">
        <f t="shared" si="6"/>
        <v>28879514</v>
      </c>
      <c r="O42"/>
      <c r="P42"/>
      <c r="Q42"/>
      <c r="R42"/>
      <c r="S42"/>
      <c r="T42" s="560" t="s">
        <v>1107</v>
      </c>
      <c r="U42" s="266"/>
      <c r="V42" s="266"/>
      <c r="W42" s="430">
        <f>(M22+M35)*-1</f>
        <v>0</v>
      </c>
      <c r="X42" s="425"/>
    </row>
    <row r="43" spans="1:24" s="264" customFormat="1">
      <c r="A43" s="263"/>
      <c r="B43" s="261"/>
      <c r="C43" s="566"/>
      <c r="D43" s="566"/>
      <c r="E43" s="566"/>
      <c r="F43" s="566"/>
      <c r="G43" s="566"/>
      <c r="H43" s="566"/>
      <c r="I43" s="566"/>
      <c r="J43" s="566"/>
      <c r="K43" s="566"/>
      <c r="L43" s="566"/>
      <c r="M43" s="567"/>
      <c r="O43"/>
      <c r="P43"/>
      <c r="Q43"/>
      <c r="R43"/>
      <c r="S43"/>
      <c r="T43" s="650" t="s">
        <v>1114</v>
      </c>
      <c r="U43" s="584"/>
      <c r="V43" s="584"/>
      <c r="W43" s="656">
        <f>SUM(W41:W42)</f>
        <v>0</v>
      </c>
      <c r="X43" s="655"/>
    </row>
    <row r="44" spans="1:24" s="264" customFormat="1" ht="13.5" customHeight="1">
      <c r="A44" s="263"/>
      <c r="B44" s="575" t="s">
        <v>1055</v>
      </c>
      <c r="C44" s="563"/>
      <c r="D44" s="374">
        <f t="shared" ref="D44:L44" si="8">D42+D29</f>
        <v>16068214</v>
      </c>
      <c r="E44" s="374">
        <f t="shared" si="8"/>
        <v>89576180</v>
      </c>
      <c r="F44" s="374">
        <f t="shared" si="8"/>
        <v>6546121</v>
      </c>
      <c r="G44" s="374">
        <f t="shared" si="8"/>
        <v>0</v>
      </c>
      <c r="H44" s="374">
        <f t="shared" si="8"/>
        <v>0</v>
      </c>
      <c r="I44" s="374">
        <f t="shared" si="8"/>
        <v>0</v>
      </c>
      <c r="J44" s="374">
        <f t="shared" si="8"/>
        <v>0</v>
      </c>
      <c r="K44" s="374">
        <f t="shared" si="8"/>
        <v>0</v>
      </c>
      <c r="L44" s="374">
        <f t="shared" si="8"/>
        <v>0</v>
      </c>
      <c r="M44" s="374">
        <f>D44+E44+F44+G44+H44+I44+J44+K44+L44</f>
        <v>112190515</v>
      </c>
      <c r="O44"/>
      <c r="P44"/>
      <c r="Q44"/>
      <c r="R44"/>
      <c r="S44"/>
      <c r="T44" s="560"/>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0"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0" t="s">
        <v>1112</v>
      </c>
      <c r="U46" s="266"/>
      <c r="V46" s="266"/>
      <c r="W46" s="430">
        <f>(M25+M38)*-1</f>
        <v>0</v>
      </c>
      <c r="X46" s="425"/>
    </row>
    <row r="47" spans="1:24">
      <c r="A47" s="184">
        <v>30</v>
      </c>
      <c r="B47" s="176" t="s">
        <v>7</v>
      </c>
      <c r="C47" s="176"/>
      <c r="D47" s="375">
        <f>Input!$ID$30</f>
        <v>0</v>
      </c>
      <c r="E47" s="375">
        <f>Input!$IE$30</f>
        <v>0</v>
      </c>
      <c r="F47" s="375">
        <f>Input!$IF$30</f>
        <v>0</v>
      </c>
      <c r="G47" s="375">
        <f>Input!$IG$30</f>
        <v>52209570</v>
      </c>
      <c r="H47" s="375">
        <f>Input!$IH$30</f>
        <v>0</v>
      </c>
      <c r="I47" s="375">
        <f>Input!$II$30</f>
        <v>0</v>
      </c>
      <c r="J47" s="375">
        <f>Input!$IJ$30</f>
        <v>0</v>
      </c>
      <c r="K47" s="375">
        <f>Input!$IK$30</f>
        <v>0</v>
      </c>
      <c r="L47" s="375">
        <f>Input!$IL$30</f>
        <v>0</v>
      </c>
      <c r="M47" s="374">
        <f>D47+E47+F47+G47+H47+I47+J47+K47+L47</f>
        <v>52209570</v>
      </c>
      <c r="N47" s="160"/>
      <c r="O47"/>
      <c r="P47"/>
      <c r="Q47"/>
      <c r="R47"/>
      <c r="S47"/>
      <c r="T47" s="657" t="s">
        <v>1115</v>
      </c>
      <c r="U47" s="27"/>
      <c r="V47" s="27"/>
      <c r="W47" s="656">
        <f>SUM(W45:W46)</f>
        <v>0</v>
      </c>
      <c r="X47" s="655"/>
    </row>
    <row r="48" spans="1:24">
      <c r="A48" s="184">
        <v>31</v>
      </c>
      <c r="B48" s="160"/>
      <c r="C48" s="160"/>
      <c r="D48" s="373"/>
      <c r="E48" s="373"/>
      <c r="F48" s="373"/>
      <c r="G48" s="373"/>
      <c r="H48" s="373"/>
      <c r="I48" s="373"/>
      <c r="J48" s="373"/>
      <c r="K48" s="373"/>
      <c r="L48" s="373"/>
      <c r="M48" s="373"/>
      <c r="N48" s="160"/>
      <c r="O48"/>
      <c r="P48"/>
      <c r="Q48"/>
      <c r="R48"/>
      <c r="S48"/>
      <c r="T48" s="560"/>
      <c r="U48" s="261"/>
      <c r="V48" s="261"/>
      <c r="W48" s="261"/>
      <c r="X48" s="658">
        <f>W43-W47</f>
        <v>0</v>
      </c>
    </row>
    <row r="49" spans="1:28">
      <c r="A49" s="184">
        <v>32</v>
      </c>
      <c r="B49" s="172" t="s">
        <v>8</v>
      </c>
      <c r="C49" s="172"/>
      <c r="D49" s="373"/>
      <c r="E49" s="373"/>
      <c r="F49" s="373"/>
      <c r="G49" s="373"/>
      <c r="H49" s="373"/>
      <c r="I49" s="373"/>
      <c r="J49" s="373"/>
      <c r="K49" s="373"/>
      <c r="L49" s="373"/>
      <c r="M49" s="373"/>
      <c r="N49" s="160"/>
      <c r="O49" s="273"/>
      <c r="T49" s="579" t="s">
        <v>287</v>
      </c>
      <c r="U49" s="511"/>
      <c r="V49" s="580"/>
      <c r="W49" s="580"/>
      <c r="X49" s="574">
        <f>SUM(X23:X48)</f>
        <v>144205531</v>
      </c>
    </row>
    <row r="50" spans="1:28">
      <c r="A50" s="184">
        <v>33</v>
      </c>
      <c r="B50" s="160" t="s">
        <v>42</v>
      </c>
      <c r="C50" s="160"/>
      <c r="D50" s="372">
        <f>Input!$IM$30</f>
        <v>0</v>
      </c>
      <c r="E50" s="372">
        <f>Input!$IN$30</f>
        <v>0</v>
      </c>
      <c r="F50" s="372">
        <f>Input!$IO$30</f>
        <v>0</v>
      </c>
      <c r="G50" s="372">
        <f>Input!$IP$30</f>
        <v>1062367</v>
      </c>
      <c r="H50" s="372">
        <f>Input!$IQ$30</f>
        <v>0</v>
      </c>
      <c r="I50" s="372">
        <f>Input!$IR$30</f>
        <v>5235</v>
      </c>
      <c r="J50" s="372">
        <f>Input!$IS$30</f>
        <v>6655</v>
      </c>
      <c r="K50" s="372">
        <f>Input!$IT$30</f>
        <v>0</v>
      </c>
      <c r="L50" s="372">
        <f>Input!$IU$30</f>
        <v>0</v>
      </c>
      <c r="M50" s="373">
        <f t="shared" ref="M50:M57" si="9">D50+E50+F50+G50+H50+I50+J50+K50+L50</f>
        <v>1074257</v>
      </c>
      <c r="N50" s="160"/>
      <c r="O50" s="273"/>
      <c r="U50" s="275"/>
    </row>
    <row r="51" spans="1:28">
      <c r="A51" s="184">
        <v>34</v>
      </c>
      <c r="B51" s="160" t="s">
        <v>9</v>
      </c>
      <c r="C51" s="160"/>
      <c r="D51" s="372">
        <f>Input!$IV$30</f>
        <v>0</v>
      </c>
      <c r="E51" s="372">
        <f>Input!$IW$30</f>
        <v>195521</v>
      </c>
      <c r="F51" s="372">
        <f>Input!$IX$30</f>
        <v>0</v>
      </c>
      <c r="G51" s="372">
        <f>Input!$IY$30</f>
        <v>1920905</v>
      </c>
      <c r="H51" s="372">
        <f>Input!$IZ$30</f>
        <v>0</v>
      </c>
      <c r="I51" s="372">
        <f>Input!$JA$30</f>
        <v>0</v>
      </c>
      <c r="J51" s="372">
        <f>Input!$JB$30</f>
        <v>0</v>
      </c>
      <c r="K51" s="372">
        <f>Input!$JC$30</f>
        <v>0</v>
      </c>
      <c r="L51" s="372">
        <f>Input!$JD$30</f>
        <v>0</v>
      </c>
      <c r="M51" s="376">
        <f t="shared" si="9"/>
        <v>2116426</v>
      </c>
      <c r="N51" s="160"/>
      <c r="Y51" s="277"/>
    </row>
    <row r="52" spans="1:28">
      <c r="A52" s="184">
        <v>35</v>
      </c>
      <c r="B52" s="160" t="s">
        <v>10</v>
      </c>
      <c r="C52" s="160"/>
      <c r="D52" s="372">
        <f>Input!$JE$30</f>
        <v>0</v>
      </c>
      <c r="E52" s="372">
        <f>Input!$JF$30</f>
        <v>5985</v>
      </c>
      <c r="F52" s="372">
        <f>Input!$JG$30</f>
        <v>149224</v>
      </c>
      <c r="G52" s="372">
        <f>Input!$JH$30</f>
        <v>6090787</v>
      </c>
      <c r="H52" s="372">
        <f>Input!$JI$30</f>
        <v>0</v>
      </c>
      <c r="I52" s="372">
        <f>Input!$JJ$30</f>
        <v>390456</v>
      </c>
      <c r="J52" s="372">
        <f>Input!$JK$30</f>
        <v>6400</v>
      </c>
      <c r="K52" s="372">
        <f>Input!$JL$30</f>
        <v>0</v>
      </c>
      <c r="L52" s="372">
        <f>Input!$JM$30</f>
        <v>0</v>
      </c>
      <c r="M52" s="373">
        <f t="shared" si="9"/>
        <v>6642852</v>
      </c>
      <c r="N52" s="160"/>
      <c r="O52" s="273"/>
      <c r="P52" s="278"/>
    </row>
    <row r="53" spans="1:28">
      <c r="A53" s="184">
        <v>36</v>
      </c>
      <c r="B53" s="160" t="s">
        <v>11</v>
      </c>
      <c r="C53" s="160"/>
      <c r="D53" s="372">
        <f>Input!$JN$30</f>
        <v>0</v>
      </c>
      <c r="E53" s="372">
        <f>Input!$JO$30</f>
        <v>0</v>
      </c>
      <c r="F53" s="372">
        <f>Input!$JP$30</f>
        <v>0</v>
      </c>
      <c r="G53" s="372">
        <f>Input!$JQ$30</f>
        <v>209198</v>
      </c>
      <c r="H53" s="372">
        <f>Input!$JR$30</f>
        <v>0</v>
      </c>
      <c r="I53" s="372">
        <f>Input!$JS$30</f>
        <v>0</v>
      </c>
      <c r="J53" s="372">
        <f>Input!$JT$30</f>
        <v>0</v>
      </c>
      <c r="K53" s="372">
        <f>Input!$JU$30</f>
        <v>0</v>
      </c>
      <c r="L53" s="372">
        <f>Input!$JV$30</f>
        <v>0</v>
      </c>
      <c r="M53" s="373">
        <f t="shared" si="9"/>
        <v>209198</v>
      </c>
      <c r="N53" s="160"/>
      <c r="O53" s="273"/>
    </row>
    <row r="54" spans="1:28" ht="13.5" thickBot="1">
      <c r="A54" s="184">
        <v>37</v>
      </c>
      <c r="B54" s="177" t="s">
        <v>2134</v>
      </c>
      <c r="C54" s="177"/>
      <c r="D54" s="372">
        <f>Input!$JW$30</f>
        <v>6214657</v>
      </c>
      <c r="E54" s="372">
        <f>Input!$JX$30</f>
        <v>1496169</v>
      </c>
      <c r="F54" s="372">
        <f>Input!$JY$30</f>
        <v>25309408</v>
      </c>
      <c r="G54" s="372">
        <f>Input!$JZ$30</f>
        <v>0</v>
      </c>
      <c r="H54" s="372">
        <f>Input!$KA$30</f>
        <v>0</v>
      </c>
      <c r="I54" s="372">
        <f>Input!$KB$30</f>
        <v>0</v>
      </c>
      <c r="J54" s="372">
        <f>Input!$KC$30</f>
        <v>0</v>
      </c>
      <c r="K54" s="372">
        <f>Input!$KD$30</f>
        <v>0</v>
      </c>
      <c r="L54" s="372">
        <f>Input!$KE$30</f>
        <v>0</v>
      </c>
      <c r="M54" s="373">
        <f t="shared" si="9"/>
        <v>33020234</v>
      </c>
      <c r="N54" s="160"/>
      <c r="O54" s="273"/>
    </row>
    <row r="55" spans="1:28" ht="14.25" thickTop="1" thickBot="1">
      <c r="A55" s="184">
        <v>38</v>
      </c>
      <c r="B55" s="160" t="s">
        <v>43</v>
      </c>
      <c r="C55" s="160"/>
      <c r="D55" s="372">
        <f>Input!$KF$30</f>
        <v>34103</v>
      </c>
      <c r="E55" s="372">
        <f>Input!$KG$30</f>
        <v>404685</v>
      </c>
      <c r="F55" s="372">
        <f>Input!$KH$30</f>
        <v>362267</v>
      </c>
      <c r="G55" s="372">
        <f>Input!$KI$30</f>
        <v>192543</v>
      </c>
      <c r="H55" s="372">
        <f>Input!$KJ$30</f>
        <v>0</v>
      </c>
      <c r="I55" s="372">
        <f>Input!$KK$30</f>
        <v>0</v>
      </c>
      <c r="J55" s="372">
        <f>Input!$KL$30</f>
        <v>0</v>
      </c>
      <c r="K55" s="372">
        <f>Input!$KM$30</f>
        <v>0</v>
      </c>
      <c r="L55" s="372">
        <f>Input!$KN$30</f>
        <v>0</v>
      </c>
      <c r="M55" s="373">
        <f t="shared" si="9"/>
        <v>993598</v>
      </c>
      <c r="N55" s="160"/>
      <c r="O55" s="1616" t="s">
        <v>251</v>
      </c>
      <c r="P55" s="1617"/>
      <c r="Q55" s="1617"/>
      <c r="R55" s="1618"/>
      <c r="S55" s="437"/>
      <c r="T55" s="1619" t="s">
        <v>252</v>
      </c>
      <c r="U55" s="1620"/>
      <c r="V55" s="1620"/>
      <c r="W55" s="1620"/>
      <c r="X55" s="1621"/>
      <c r="Y55" s="320"/>
      <c r="Z55" s="1749" t="s">
        <v>1301</v>
      </c>
      <c r="AA55" s="1750"/>
      <c r="AB55" s="1751"/>
    </row>
    <row r="56" spans="1:28" ht="13.5" customHeight="1" thickTop="1">
      <c r="A56" s="184">
        <v>39</v>
      </c>
      <c r="B56" s="176" t="s">
        <v>3</v>
      </c>
      <c r="C56" s="176"/>
      <c r="D56" s="374">
        <f>SUM(D50:D55)</f>
        <v>6248760</v>
      </c>
      <c r="E56" s="374">
        <f t="shared" ref="E56:L56" si="10">SUM(E50:E55)</f>
        <v>2102360</v>
      </c>
      <c r="F56" s="374">
        <f t="shared" si="10"/>
        <v>25820899</v>
      </c>
      <c r="G56" s="374">
        <f t="shared" si="10"/>
        <v>9475800</v>
      </c>
      <c r="H56" s="374">
        <f t="shared" si="10"/>
        <v>0</v>
      </c>
      <c r="I56" s="374">
        <f t="shared" si="10"/>
        <v>395691</v>
      </c>
      <c r="J56" s="374">
        <f t="shared" si="10"/>
        <v>13055</v>
      </c>
      <c r="K56" s="374">
        <f t="shared" si="10"/>
        <v>0</v>
      </c>
      <c r="L56" s="374">
        <f t="shared" si="10"/>
        <v>0</v>
      </c>
      <c r="M56" s="374">
        <f t="shared" si="9"/>
        <v>44056565</v>
      </c>
      <c r="N56" s="160"/>
      <c r="O56" s="1622" t="s">
        <v>1135</v>
      </c>
      <c r="P56" s="1625" t="s">
        <v>254</v>
      </c>
      <c r="Q56" s="1625" t="s">
        <v>292</v>
      </c>
      <c r="R56" s="1628" t="s">
        <v>1063</v>
      </c>
      <c r="S56" s="280"/>
      <c r="T56" s="1739" t="s">
        <v>1136</v>
      </c>
      <c r="U56" s="1637" t="s">
        <v>254</v>
      </c>
      <c r="V56" s="1634" t="s">
        <v>256</v>
      </c>
      <c r="W56" s="1637" t="s">
        <v>257</v>
      </c>
      <c r="X56" s="1638" t="s">
        <v>1064</v>
      </c>
      <c r="Z56" s="1754" t="s">
        <v>1302</v>
      </c>
      <c r="AA56" s="1747" t="s">
        <v>1303</v>
      </c>
      <c r="AB56" s="1752" t="s">
        <v>238</v>
      </c>
    </row>
    <row r="57" spans="1:28">
      <c r="A57" s="184">
        <v>40</v>
      </c>
      <c r="B57" s="162" t="s">
        <v>68</v>
      </c>
      <c r="C57" s="162"/>
      <c r="D57" s="374">
        <f>D15+D44+D47+D56</f>
        <v>94740014</v>
      </c>
      <c r="E57" s="374">
        <f t="shared" ref="E57:L57" si="11">E15+E44+E47+E56</f>
        <v>91678540</v>
      </c>
      <c r="F57" s="374">
        <f t="shared" si="11"/>
        <v>32367020</v>
      </c>
      <c r="G57" s="374">
        <f t="shared" si="11"/>
        <v>68331937</v>
      </c>
      <c r="H57" s="374">
        <f t="shared" si="11"/>
        <v>0</v>
      </c>
      <c r="I57" s="374">
        <f t="shared" si="11"/>
        <v>395691</v>
      </c>
      <c r="J57" s="374">
        <f t="shared" si="11"/>
        <v>13055</v>
      </c>
      <c r="K57" s="374">
        <f t="shared" si="11"/>
        <v>0</v>
      </c>
      <c r="L57" s="374">
        <f t="shared" si="11"/>
        <v>0</v>
      </c>
      <c r="M57" s="374">
        <f t="shared" si="9"/>
        <v>287526257</v>
      </c>
      <c r="N57" s="160"/>
      <c r="O57" s="1623"/>
      <c r="P57" s="1626"/>
      <c r="Q57" s="1626"/>
      <c r="R57" s="1629"/>
      <c r="S57" s="280"/>
      <c r="T57" s="1740"/>
      <c r="U57" s="1626"/>
      <c r="V57" s="1635"/>
      <c r="W57" s="1626"/>
      <c r="X57" s="1639"/>
      <c r="Z57" s="1755"/>
      <c r="AA57" s="1747"/>
      <c r="AB57" s="1752"/>
    </row>
    <row r="58" spans="1:28">
      <c r="A58" s="184">
        <v>41</v>
      </c>
      <c r="B58" s="160"/>
      <c r="C58" s="160"/>
      <c r="D58" s="373"/>
      <c r="E58" s="373"/>
      <c r="F58" s="373"/>
      <c r="G58" s="373"/>
      <c r="H58" s="373"/>
      <c r="I58" s="373"/>
      <c r="J58" s="373"/>
      <c r="K58" s="373"/>
      <c r="L58" s="373"/>
      <c r="M58" s="373"/>
      <c r="N58" s="160"/>
      <c r="O58" s="1623"/>
      <c r="P58" s="1626"/>
      <c r="Q58" s="1626"/>
      <c r="R58" s="1629"/>
      <c r="S58" s="280"/>
      <c r="T58" s="1740"/>
      <c r="U58" s="1626"/>
      <c r="V58" s="1635"/>
      <c r="W58" s="1626"/>
      <c r="X58" s="1639"/>
      <c r="Z58" s="1755"/>
      <c r="AA58" s="1747"/>
      <c r="AB58" s="1752"/>
    </row>
    <row r="59" spans="1:28" ht="14.25" customHeight="1">
      <c r="A59" s="184">
        <v>42</v>
      </c>
      <c r="B59" s="174" t="s">
        <v>72</v>
      </c>
      <c r="C59" s="174"/>
      <c r="D59" s="377"/>
      <c r="E59" s="377"/>
      <c r="F59" s="377"/>
      <c r="G59" s="1746" t="str">
        <f>IF(OR(P105&gt;0,P106&lt;&gt;0,P107&lt;&gt;0),"Do not Enter Cents - Whole Dollars Only","")</f>
        <v/>
      </c>
      <c r="H59" s="1746"/>
      <c r="I59" s="1746"/>
      <c r="J59" s="1746"/>
      <c r="K59" s="1746"/>
      <c r="L59" s="377"/>
      <c r="M59" s="377"/>
      <c r="N59" s="160"/>
      <c r="O59" s="1624"/>
      <c r="P59" s="1627"/>
      <c r="Q59" s="1627"/>
      <c r="R59" s="1630"/>
      <c r="S59" s="280"/>
      <c r="T59" s="1741"/>
      <c r="U59" s="1627"/>
      <c r="V59" s="1636"/>
      <c r="W59" s="1627"/>
      <c r="X59" s="1640"/>
      <c r="Z59" s="1756"/>
      <c r="AA59" s="1748"/>
      <c r="AB59" s="1753"/>
    </row>
    <row r="60" spans="1:28" ht="13.5" thickBot="1">
      <c r="A60" s="184">
        <v>43</v>
      </c>
      <c r="B60" s="160" t="s">
        <v>14</v>
      </c>
      <c r="C60" s="160"/>
      <c r="D60" s="372">
        <f>Input!$KO$30</f>
        <v>56466753</v>
      </c>
      <c r="E60" s="372">
        <f>Input!$KP$30</f>
        <v>6733840</v>
      </c>
      <c r="F60" s="372">
        <f>Input!$KQ$30</f>
        <v>0</v>
      </c>
      <c r="G60" s="372">
        <f>Input!$KR$30</f>
        <v>421526</v>
      </c>
      <c r="H60" s="372">
        <f>Input!$KS$30</f>
        <v>0</v>
      </c>
      <c r="I60" s="372">
        <f>Input!$KT$30</f>
        <v>0</v>
      </c>
      <c r="J60" s="372">
        <f>Input!$KU$30</f>
        <v>0</v>
      </c>
      <c r="K60" s="372">
        <f>Input!$KV$30</f>
        <v>0</v>
      </c>
      <c r="L60" s="372">
        <f>Input!$KW$30</f>
        <v>0</v>
      </c>
      <c r="M60" s="373">
        <f t="shared" ref="M60:M71" si="12">D60+E60+F60+G60+H60+I60+J60+K60+L60</f>
        <v>63622119</v>
      </c>
      <c r="N60" s="160"/>
      <c r="O60" s="282">
        <f>D60+E60+G60+J60</f>
        <v>63622119</v>
      </c>
      <c r="P60" s="518">
        <f>Input!$SS$30</f>
        <v>34171</v>
      </c>
      <c r="Q60" s="438" t="s">
        <v>259</v>
      </c>
      <c r="R60" s="284">
        <f>SUM(O60:P60)</f>
        <v>63656290</v>
      </c>
      <c r="S60" s="439"/>
      <c r="T60" s="286">
        <f t="shared" ref="T60:T67" si="13">D60+E60+G60</f>
        <v>63622119</v>
      </c>
      <c r="U60" s="287">
        <f t="shared" ref="U60:U67" si="14">P60</f>
        <v>34171</v>
      </c>
      <c r="V60" s="289">
        <f>Input!$TC$30</f>
        <v>0</v>
      </c>
      <c r="W60" s="289">
        <f>Input!$TK$30</f>
        <v>0</v>
      </c>
      <c r="X60" s="290">
        <f t="shared" ref="X60:X66" si="15">T60+U60-V60-W60</f>
        <v>63656290</v>
      </c>
      <c r="Z60" s="292" t="s">
        <v>14</v>
      </c>
      <c r="AA60" s="520">
        <f>Input!$TS$30</f>
        <v>63622119</v>
      </c>
      <c r="AB60" s="293">
        <f t="shared" ref="AB60:AB68" si="16">AA60-M60</f>
        <v>0</v>
      </c>
    </row>
    <row r="61" spans="1:28" ht="14.25" thickTop="1" thickBot="1">
      <c r="A61" s="184">
        <v>44</v>
      </c>
      <c r="B61" s="160" t="s">
        <v>15</v>
      </c>
      <c r="C61" s="160"/>
      <c r="D61" s="372">
        <f>Input!$KX$30</f>
        <v>2553961</v>
      </c>
      <c r="E61" s="372">
        <f>Input!$KY$30</f>
        <v>375374</v>
      </c>
      <c r="F61" s="372">
        <f>Input!$KZ$30</f>
        <v>0</v>
      </c>
      <c r="G61" s="372">
        <f>Input!$LA$30</f>
        <v>1914498</v>
      </c>
      <c r="H61" s="372">
        <f>Input!$LB$30</f>
        <v>0</v>
      </c>
      <c r="I61" s="372">
        <f>Input!$LC$30</f>
        <v>0</v>
      </c>
      <c r="J61" s="372">
        <f>Input!$LD$30</f>
        <v>0</v>
      </c>
      <c r="K61" s="372">
        <f>Input!$LE$30</f>
        <v>0</v>
      </c>
      <c r="L61" s="372">
        <f>Input!$LF$30</f>
        <v>0</v>
      </c>
      <c r="M61" s="373">
        <f t="shared" si="12"/>
        <v>4843833</v>
      </c>
      <c r="N61" s="160"/>
      <c r="O61" s="440">
        <f t="shared" ref="O61:O67" si="17">D61+E61+G61+J61</f>
        <v>4843833</v>
      </c>
      <c r="P61" s="518">
        <f>Input!$ST$30</f>
        <v>124959</v>
      </c>
      <c r="Q61" s="441" t="s">
        <v>259</v>
      </c>
      <c r="R61" s="295">
        <f>SUM(O61:P61)</f>
        <v>4968792</v>
      </c>
      <c r="S61" s="442"/>
      <c r="T61" s="296">
        <f t="shared" si="13"/>
        <v>4843833</v>
      </c>
      <c r="U61" s="297">
        <f t="shared" si="14"/>
        <v>124959</v>
      </c>
      <c r="V61" s="299">
        <f>Input!$TD$30</f>
        <v>0</v>
      </c>
      <c r="W61" s="299">
        <f>Input!$TL$30</f>
        <v>148672</v>
      </c>
      <c r="X61" s="300">
        <f t="shared" si="15"/>
        <v>4820120</v>
      </c>
      <c r="Z61" s="292" t="s">
        <v>15</v>
      </c>
      <c r="AA61" s="518">
        <f>Input!$TT$30</f>
        <v>4843833</v>
      </c>
      <c r="AB61" s="301">
        <f t="shared" si="16"/>
        <v>0</v>
      </c>
    </row>
    <row r="62" spans="1:28" ht="13.5" thickTop="1">
      <c r="A62" s="184">
        <v>45</v>
      </c>
      <c r="B62" s="160" t="s">
        <v>16</v>
      </c>
      <c r="C62" s="160"/>
      <c r="D62" s="372">
        <f>Input!$LG$30</f>
        <v>183214</v>
      </c>
      <c r="E62" s="372">
        <f>Input!$LH$30</f>
        <v>442775</v>
      </c>
      <c r="F62" s="372">
        <f>Input!$LI$30</f>
        <v>0</v>
      </c>
      <c r="G62" s="372">
        <f>Input!$LJ$30</f>
        <v>678671</v>
      </c>
      <c r="H62" s="372">
        <f>Input!$LK$30</f>
        <v>0</v>
      </c>
      <c r="I62" s="372">
        <f>Input!$LL$30</f>
        <v>0</v>
      </c>
      <c r="J62" s="372">
        <f>Input!$LM$30</f>
        <v>0</v>
      </c>
      <c r="K62" s="372">
        <f>Input!$LN$30</f>
        <v>0</v>
      </c>
      <c r="L62" s="372">
        <f>Input!$LO$30</f>
        <v>0</v>
      </c>
      <c r="M62" s="373">
        <f t="shared" si="12"/>
        <v>1304660</v>
      </c>
      <c r="N62" s="160"/>
      <c r="O62" s="440">
        <f t="shared" si="17"/>
        <v>1304660</v>
      </c>
      <c r="P62" s="518">
        <f>Input!$SU$30</f>
        <v>0</v>
      </c>
      <c r="Q62" s="441" t="s">
        <v>259</v>
      </c>
      <c r="R62" s="302" t="s">
        <v>259</v>
      </c>
      <c r="S62" s="442"/>
      <c r="T62" s="296">
        <f t="shared" si="13"/>
        <v>1304660</v>
      </c>
      <c r="U62" s="297">
        <f t="shared" si="14"/>
        <v>0</v>
      </c>
      <c r="V62" s="299">
        <f>Input!$TE$30</f>
        <v>0</v>
      </c>
      <c r="W62" s="299">
        <f>Input!$TM$30</f>
        <v>0</v>
      </c>
      <c r="X62" s="303">
        <f t="shared" si="15"/>
        <v>1304660</v>
      </c>
      <c r="Z62" s="292" t="s">
        <v>16</v>
      </c>
      <c r="AA62" s="518">
        <f>Input!$TU$30</f>
        <v>1304660</v>
      </c>
      <c r="AB62" s="301">
        <f t="shared" si="16"/>
        <v>0</v>
      </c>
    </row>
    <row r="63" spans="1:28">
      <c r="A63" s="184">
        <v>46</v>
      </c>
      <c r="B63" s="160" t="s">
        <v>17</v>
      </c>
      <c r="C63" s="160"/>
      <c r="D63" s="372">
        <f>Input!$LP$30</f>
        <v>4490289</v>
      </c>
      <c r="E63" s="372">
        <f>Input!$LQ$30</f>
        <v>38932242</v>
      </c>
      <c r="F63" s="372">
        <f>Input!$LR$30</f>
        <v>0</v>
      </c>
      <c r="G63" s="372">
        <f>Input!$LS$30</f>
        <v>3741364</v>
      </c>
      <c r="H63" s="372">
        <f>Input!$LT$30</f>
        <v>0</v>
      </c>
      <c r="I63" s="372">
        <f>Input!$LU$30</f>
        <v>0</v>
      </c>
      <c r="J63" s="372">
        <f>Input!$LV$30</f>
        <v>0</v>
      </c>
      <c r="K63" s="372">
        <f>Input!$LW$30</f>
        <v>0</v>
      </c>
      <c r="L63" s="372">
        <f>Input!$LX$30</f>
        <v>0</v>
      </c>
      <c r="M63" s="373">
        <f t="shared" si="12"/>
        <v>47163895</v>
      </c>
      <c r="N63" s="160"/>
      <c r="O63" s="440">
        <f t="shared" si="17"/>
        <v>47163895</v>
      </c>
      <c r="P63" s="518">
        <f>Input!$SV$30</f>
        <v>457854</v>
      </c>
      <c r="Q63" s="441" t="s">
        <v>259</v>
      </c>
      <c r="R63" s="295">
        <f t="shared" ref="R63:R65" si="18">SUM(O63:P63)</f>
        <v>47621749</v>
      </c>
      <c r="S63" s="442"/>
      <c r="T63" s="296">
        <f t="shared" si="13"/>
        <v>47163895</v>
      </c>
      <c r="U63" s="297">
        <f t="shared" si="14"/>
        <v>457854</v>
      </c>
      <c r="V63" s="299">
        <f>Input!$TF$30</f>
        <v>0</v>
      </c>
      <c r="W63" s="299">
        <f>Input!$TN$30</f>
        <v>0</v>
      </c>
      <c r="X63" s="303">
        <f t="shared" si="15"/>
        <v>47621749</v>
      </c>
      <c r="Z63" s="292" t="s">
        <v>17</v>
      </c>
      <c r="AA63" s="518">
        <f>Input!$TV$30</f>
        <v>47163895</v>
      </c>
      <c r="AB63" s="301">
        <f t="shared" si="16"/>
        <v>0</v>
      </c>
    </row>
    <row r="64" spans="1:28">
      <c r="A64" s="184">
        <v>47</v>
      </c>
      <c r="B64" s="160" t="s">
        <v>18</v>
      </c>
      <c r="C64" s="160"/>
      <c r="D64" s="372">
        <f>Input!$LY$30</f>
        <v>5674805</v>
      </c>
      <c r="E64" s="372">
        <f>Input!$LZ$30</f>
        <v>3393054</v>
      </c>
      <c r="F64" s="372">
        <f>Input!$MA$30</f>
        <v>0</v>
      </c>
      <c r="G64" s="372">
        <f>Input!$MB$30</f>
        <v>113382</v>
      </c>
      <c r="H64" s="372">
        <f>Input!$MC$30</f>
        <v>0</v>
      </c>
      <c r="I64" s="372">
        <f>Input!$MD$30</f>
        <v>0</v>
      </c>
      <c r="J64" s="372">
        <f>Input!$ME$30</f>
        <v>0</v>
      </c>
      <c r="K64" s="372">
        <f>Input!$MF$30</f>
        <v>0</v>
      </c>
      <c r="L64" s="372">
        <f>Input!$MG$30</f>
        <v>0</v>
      </c>
      <c r="M64" s="373">
        <f t="shared" si="12"/>
        <v>9181241</v>
      </c>
      <c r="N64" s="160"/>
      <c r="O64" s="440">
        <f t="shared" si="17"/>
        <v>9181241</v>
      </c>
      <c r="P64" s="518">
        <f>Input!$SW$30</f>
        <v>0</v>
      </c>
      <c r="Q64" s="518">
        <f>Input!$TB$30</f>
        <v>0</v>
      </c>
      <c r="R64" s="295">
        <f>SUM(O64:P64)-Q64</f>
        <v>9181241</v>
      </c>
      <c r="S64" s="442"/>
      <c r="T64" s="296">
        <f t="shared" si="13"/>
        <v>9181241</v>
      </c>
      <c r="U64" s="297">
        <f t="shared" si="14"/>
        <v>0</v>
      </c>
      <c r="V64" s="299">
        <f>Input!$TG$30</f>
        <v>0</v>
      </c>
      <c r="W64" s="299">
        <f>Input!$TO$30</f>
        <v>0</v>
      </c>
      <c r="X64" s="303">
        <f t="shared" si="15"/>
        <v>9181241</v>
      </c>
      <c r="Z64" s="292" t="s">
        <v>18</v>
      </c>
      <c r="AA64" s="518">
        <f>Input!$TW$30</f>
        <v>9181241</v>
      </c>
      <c r="AB64" s="301">
        <f t="shared" si="16"/>
        <v>0</v>
      </c>
    </row>
    <row r="65" spans="1:28">
      <c r="A65" s="184">
        <v>48</v>
      </c>
      <c r="B65" s="160" t="s">
        <v>19</v>
      </c>
      <c r="C65" s="160"/>
      <c r="D65" s="372">
        <f>Input!$MH$30</f>
        <v>8524873</v>
      </c>
      <c r="E65" s="372">
        <f>Input!$MI$30</f>
        <v>9010580</v>
      </c>
      <c r="F65" s="372">
        <f>Input!$MJ$30</f>
        <v>0</v>
      </c>
      <c r="G65" s="372">
        <f>Input!$MK$30</f>
        <v>14628040</v>
      </c>
      <c r="H65" s="372">
        <f>Input!$ML$30</f>
        <v>0</v>
      </c>
      <c r="I65" s="372">
        <f>Input!$MM$30</f>
        <v>0</v>
      </c>
      <c r="J65" s="372">
        <f>Input!$MN$30</f>
        <v>0</v>
      </c>
      <c r="K65" s="372">
        <f>Input!$MO$30</f>
        <v>0</v>
      </c>
      <c r="L65" s="372">
        <f>Input!$MP$30</f>
        <v>0</v>
      </c>
      <c r="M65" s="373">
        <f t="shared" si="12"/>
        <v>32163493</v>
      </c>
      <c r="N65" s="160"/>
      <c r="O65" s="440">
        <f t="shared" si="17"/>
        <v>32163493</v>
      </c>
      <c r="P65" s="518">
        <f>Input!$SX$30</f>
        <v>613745</v>
      </c>
      <c r="Q65" s="441" t="s">
        <v>259</v>
      </c>
      <c r="R65" s="295">
        <f t="shared" si="18"/>
        <v>32777238</v>
      </c>
      <c r="S65" s="442"/>
      <c r="T65" s="296">
        <f t="shared" si="13"/>
        <v>32163493</v>
      </c>
      <c r="U65" s="297">
        <f t="shared" si="14"/>
        <v>613745</v>
      </c>
      <c r="V65" s="299">
        <f>Input!$TH$30</f>
        <v>0</v>
      </c>
      <c r="W65" s="299">
        <f>Input!$TP$30</f>
        <v>0</v>
      </c>
      <c r="X65" s="303">
        <f t="shared" si="15"/>
        <v>32777238</v>
      </c>
      <c r="Z65" s="292" t="s">
        <v>19</v>
      </c>
      <c r="AA65" s="518">
        <f>Input!$TX$30</f>
        <v>32163493</v>
      </c>
      <c r="AB65" s="301">
        <f t="shared" si="16"/>
        <v>0</v>
      </c>
    </row>
    <row r="66" spans="1:28">
      <c r="A66" s="184">
        <v>49</v>
      </c>
      <c r="B66" s="160" t="s">
        <v>20</v>
      </c>
      <c r="C66" s="160"/>
      <c r="D66" s="372">
        <f>Input!$MQ$30</f>
        <v>5908237</v>
      </c>
      <c r="E66" s="372">
        <f>Input!$MR$30</f>
        <v>7887316</v>
      </c>
      <c r="F66" s="372">
        <f>Input!$MS$30</f>
        <v>0</v>
      </c>
      <c r="G66" s="372">
        <f>Input!$MT$30</f>
        <v>0</v>
      </c>
      <c r="H66" s="372">
        <f>Input!$MU$30</f>
        <v>0</v>
      </c>
      <c r="I66" s="372">
        <f>Input!$MV$30</f>
        <v>0</v>
      </c>
      <c r="J66" s="372">
        <f>Input!$MW$30</f>
        <v>0</v>
      </c>
      <c r="K66" s="372">
        <f>Input!$MX$30</f>
        <v>0</v>
      </c>
      <c r="L66" s="372">
        <f>Input!$MY$30</f>
        <v>0</v>
      </c>
      <c r="M66" s="373">
        <f t="shared" si="12"/>
        <v>13795553</v>
      </c>
      <c r="N66" s="160"/>
      <c r="O66" s="440">
        <f t="shared" si="17"/>
        <v>13795553</v>
      </c>
      <c r="P66" s="518">
        <f>Input!$SY$30</f>
        <v>237321</v>
      </c>
      <c r="Q66" s="441" t="s">
        <v>259</v>
      </c>
      <c r="R66" s="304" t="s">
        <v>259</v>
      </c>
      <c r="S66" s="442"/>
      <c r="T66" s="296">
        <f t="shared" si="13"/>
        <v>13795553</v>
      </c>
      <c r="U66" s="297">
        <f t="shared" si="14"/>
        <v>237321</v>
      </c>
      <c r="V66" s="299">
        <f>Input!$TI$30</f>
        <v>0</v>
      </c>
      <c r="W66" s="299">
        <f>Input!$TQ$30</f>
        <v>0</v>
      </c>
      <c r="X66" s="303">
        <f t="shared" si="15"/>
        <v>14032874</v>
      </c>
      <c r="Z66" s="292" t="s">
        <v>260</v>
      </c>
      <c r="AA66" s="518">
        <f>Input!$TY$30</f>
        <v>13795553</v>
      </c>
      <c r="AB66" s="301">
        <f t="shared" si="16"/>
        <v>0</v>
      </c>
    </row>
    <row r="67" spans="1:28" ht="13.5" thickBot="1">
      <c r="A67" s="184">
        <v>50</v>
      </c>
      <c r="B67" s="160" t="s">
        <v>21</v>
      </c>
      <c r="C67" s="160"/>
      <c r="D67" s="372">
        <f>Input!$MZ$30</f>
        <v>919982</v>
      </c>
      <c r="E67" s="372">
        <f>Input!$NA$30</f>
        <v>12037051</v>
      </c>
      <c r="F67" s="372">
        <f>Input!$NB$30</f>
        <v>0</v>
      </c>
      <c r="G67" s="372">
        <f>Input!$NC$30</f>
        <v>27161644</v>
      </c>
      <c r="H67" s="372">
        <f>Input!$ND$30</f>
        <v>0</v>
      </c>
      <c r="I67" s="372">
        <f>Input!$NE$30</f>
        <v>0</v>
      </c>
      <c r="J67" s="372">
        <f>Input!$NF$30</f>
        <v>0</v>
      </c>
      <c r="K67" s="372">
        <f>Input!$NG$30</f>
        <v>0</v>
      </c>
      <c r="L67" s="372">
        <f>Input!$NH$30</f>
        <v>0</v>
      </c>
      <c r="M67" s="373">
        <f t="shared" si="12"/>
        <v>40118677</v>
      </c>
      <c r="N67" s="160"/>
      <c r="O67" s="440">
        <f t="shared" si="17"/>
        <v>40118677</v>
      </c>
      <c r="P67" s="518">
        <f>Input!$SZ$30</f>
        <v>0</v>
      </c>
      <c r="Q67" s="441" t="s">
        <v>259</v>
      </c>
      <c r="R67" s="304" t="s">
        <v>259</v>
      </c>
      <c r="S67" s="442"/>
      <c r="T67" s="306">
        <f t="shared" si="13"/>
        <v>40118677</v>
      </c>
      <c r="U67" s="307">
        <f t="shared" si="14"/>
        <v>0</v>
      </c>
      <c r="V67" s="308">
        <f>Input!$TJ$30</f>
        <v>0</v>
      </c>
      <c r="W67" s="308">
        <f>Input!$TR$30</f>
        <v>0</v>
      </c>
      <c r="X67" s="303">
        <f>U67+T67-V67-W67</f>
        <v>40118677</v>
      </c>
      <c r="Z67" s="292" t="s">
        <v>21</v>
      </c>
      <c r="AA67" s="518">
        <f>Input!$TZ$30</f>
        <v>40118677</v>
      </c>
      <c r="AB67" s="301">
        <f t="shared" si="16"/>
        <v>0</v>
      </c>
    </row>
    <row r="68" spans="1:28" ht="14.25" thickTop="1" thickBot="1">
      <c r="A68" s="184">
        <v>51</v>
      </c>
      <c r="B68" s="160" t="s">
        <v>2135</v>
      </c>
      <c r="C68" s="160"/>
      <c r="D68" s="372">
        <f>Input!$NI$30</f>
        <v>0</v>
      </c>
      <c r="E68" s="372">
        <f>Input!$NJ$30</f>
        <v>0</v>
      </c>
      <c r="F68" s="372">
        <f>Input!$NK$30</f>
        <v>27991412</v>
      </c>
      <c r="G68" s="372">
        <f>Input!$NL$30</f>
        <v>0</v>
      </c>
      <c r="H68" s="372">
        <f>Input!$NM$30</f>
        <v>0</v>
      </c>
      <c r="I68" s="372">
        <f>Input!$NN$30</f>
        <v>0</v>
      </c>
      <c r="J68" s="372">
        <f>Input!$NO$30</f>
        <v>0</v>
      </c>
      <c r="K68" s="372">
        <f>Input!$NP$30</f>
        <v>0</v>
      </c>
      <c r="L68" s="372">
        <f>Input!$NQ$30</f>
        <v>0</v>
      </c>
      <c r="M68" s="373">
        <f t="shared" si="12"/>
        <v>27991412</v>
      </c>
      <c r="N68" s="160"/>
      <c r="O68" s="309" t="s">
        <v>259</v>
      </c>
      <c r="P68" s="519">
        <f>Input!$TA$30</f>
        <v>0</v>
      </c>
      <c r="Q68" s="444" t="s">
        <v>259</v>
      </c>
      <c r="R68" s="311" t="s">
        <v>259</v>
      </c>
      <c r="S68" s="442"/>
      <c r="T68" s="305"/>
      <c r="U68" s="305"/>
      <c r="V68" s="312" t="s">
        <v>261</v>
      </c>
      <c r="W68" s="313"/>
      <c r="X68" s="314">
        <f>SUM(X60:X67)</f>
        <v>213512849</v>
      </c>
      <c r="Z68" s="292" t="s">
        <v>22</v>
      </c>
      <c r="AA68" s="518">
        <f>Input!$UA$30</f>
        <v>27991412</v>
      </c>
      <c r="AB68" s="301">
        <f t="shared" si="16"/>
        <v>0</v>
      </c>
    </row>
    <row r="69" spans="1:28" ht="14.25" thickTop="1" thickBot="1">
      <c r="A69" s="184">
        <v>52</v>
      </c>
      <c r="B69" s="161" t="s">
        <v>59</v>
      </c>
      <c r="C69" s="161"/>
      <c r="D69" s="372">
        <f>Input!$NR$30</f>
        <v>1345195</v>
      </c>
      <c r="E69" s="372">
        <f>Input!$NS$30</f>
        <v>85037</v>
      </c>
      <c r="F69" s="372">
        <f>Input!$NT$30</f>
        <v>0</v>
      </c>
      <c r="G69" s="372">
        <f>Input!$NU$30</f>
        <v>37818</v>
      </c>
      <c r="H69" s="372">
        <f>Input!$NV$30</f>
        <v>0</v>
      </c>
      <c r="I69" s="372">
        <f>Input!$NW$30</f>
        <v>0</v>
      </c>
      <c r="J69" s="372">
        <f>Input!$NX$30</f>
        <v>0</v>
      </c>
      <c r="K69" s="372">
        <f>Input!$NY$30</f>
        <v>0</v>
      </c>
      <c r="L69" s="372">
        <f>Input!$NZ$30</f>
        <v>0</v>
      </c>
      <c r="M69" s="373">
        <f t="shared" si="12"/>
        <v>1468050</v>
      </c>
      <c r="N69" s="160"/>
      <c r="O69" s="315"/>
      <c r="P69" s="316">
        <f>SUM(P60:P68)</f>
        <v>1468050</v>
      </c>
      <c r="Q69" s="316">
        <f>SUM(Q64:Q68)</f>
        <v>0</v>
      </c>
      <c r="R69" s="317">
        <f>SUM(R60:R65)</f>
        <v>158205310</v>
      </c>
      <c r="S69" s="316"/>
      <c r="T69" s="305"/>
      <c r="U69" s="305"/>
      <c r="V69" s="305"/>
      <c r="W69" s="277"/>
      <c r="X69" s="277"/>
      <c r="Y69" s="277"/>
      <c r="Z69" s="292" t="s">
        <v>285</v>
      </c>
      <c r="AA69" s="445">
        <f>M88*-1</f>
        <v>12021265</v>
      </c>
      <c r="AB69" s="301">
        <f>AA69+M88</f>
        <v>0</v>
      </c>
    </row>
    <row r="70" spans="1:28" ht="14.25" thickTop="1" thickBot="1">
      <c r="A70" s="184">
        <v>53</v>
      </c>
      <c r="B70" s="178" t="s">
        <v>44</v>
      </c>
      <c r="C70" s="178"/>
      <c r="D70" s="378">
        <f>Input!$OA$30</f>
        <v>0</v>
      </c>
      <c r="E70" s="378">
        <f>Input!$OB$30</f>
        <v>0</v>
      </c>
      <c r="F70" s="378">
        <f>Input!$OC$30</f>
        <v>0</v>
      </c>
      <c r="G70" s="378">
        <f>Input!$OD$30</f>
        <v>0</v>
      </c>
      <c r="H70" s="378">
        <f>Input!$OE$30</f>
        <v>96583</v>
      </c>
      <c r="I70" s="378">
        <f>Input!$OF$30</f>
        <v>0</v>
      </c>
      <c r="J70" s="378">
        <f>Input!$OG$30</f>
        <v>0</v>
      </c>
      <c r="K70" s="378">
        <f>Input!$OH$30</f>
        <v>0</v>
      </c>
      <c r="L70" s="378">
        <f>Input!$OI$30</f>
        <v>1613</v>
      </c>
      <c r="M70" s="373">
        <f t="shared" si="12"/>
        <v>98196</v>
      </c>
      <c r="N70" s="160"/>
      <c r="O70" s="320"/>
      <c r="P70" s="516" t="str">
        <f>IF(P69&lt;&gt;M69,"Out of Balance","Balanced")</f>
        <v>Balanced</v>
      </c>
      <c r="Q70" s="318"/>
      <c r="R70" s="305"/>
      <c r="S70" s="305"/>
      <c r="T70" s="305"/>
      <c r="U70" s="277"/>
      <c r="V70" s="1738" t="str">
        <f>IF(X68-INT(X68)&lt;&gt;0,"Whole Dollars Only","")</f>
        <v/>
      </c>
      <c r="W70" s="1738"/>
      <c r="X70" s="537"/>
      <c r="Y70" s="319"/>
      <c r="Z70" s="410" t="s">
        <v>262</v>
      </c>
      <c r="AA70" s="446" t="s">
        <v>259</v>
      </c>
      <c r="AB70" s="411">
        <f>M90</f>
        <v>0</v>
      </c>
    </row>
    <row r="71" spans="1:28" ht="13.5" thickTop="1">
      <c r="A71" s="184">
        <v>54</v>
      </c>
      <c r="B71" s="162" t="s">
        <v>69</v>
      </c>
      <c r="C71" s="162"/>
      <c r="D71" s="374">
        <f>SUM(D60:D70)</f>
        <v>86067309</v>
      </c>
      <c r="E71" s="374">
        <f>SUM(E60:E70)</f>
        <v>78897269</v>
      </c>
      <c r="F71" s="374">
        <f t="shared" ref="F71:L71" si="19">SUM(F60:F70)</f>
        <v>27991412</v>
      </c>
      <c r="G71" s="374">
        <f t="shared" si="19"/>
        <v>48696943</v>
      </c>
      <c r="H71" s="374">
        <f t="shared" si="19"/>
        <v>96583</v>
      </c>
      <c r="I71" s="374">
        <f t="shared" si="19"/>
        <v>0</v>
      </c>
      <c r="J71" s="374">
        <f t="shared" si="19"/>
        <v>0</v>
      </c>
      <c r="K71" s="374">
        <f t="shared" si="19"/>
        <v>0</v>
      </c>
      <c r="L71" s="374">
        <f t="shared" si="19"/>
        <v>1613</v>
      </c>
      <c r="M71" s="374">
        <f t="shared" si="12"/>
        <v>241751129</v>
      </c>
      <c r="N71" s="160"/>
      <c r="O71" s="322"/>
      <c r="P71" s="1738" t="str">
        <f>IF(P69-INT(P69)&lt;&gt;0,"Whole Dollars Only","")</f>
        <v/>
      </c>
      <c r="Q71" s="1738"/>
      <c r="R71" s="323"/>
      <c r="S71" s="323"/>
      <c r="T71" s="323"/>
      <c r="U71" s="291"/>
      <c r="V71" s="324"/>
      <c r="W71" s="321"/>
      <c r="X71" s="321"/>
      <c r="Y71" s="321"/>
      <c r="Z71" s="318"/>
      <c r="AA71" s="325">
        <f>SUM(AA60:AA70)</f>
        <v>252206148</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Input!$OJ$30</f>
        <v>0</v>
      </c>
      <c r="E74" s="372">
        <f>Input!$OK$30</f>
        <v>0</v>
      </c>
      <c r="F74" s="372">
        <f>Input!$OL$30</f>
        <v>0</v>
      </c>
      <c r="G74" s="372">
        <f>Input!$OM$30</f>
        <v>0</v>
      </c>
      <c r="H74" s="372">
        <f>Input!$ON$30</f>
        <v>0</v>
      </c>
      <c r="I74" s="372">
        <f>Input!$OO$30</f>
        <v>0</v>
      </c>
      <c r="J74" s="372">
        <f>Input!$OP$30</f>
        <v>-10149106</v>
      </c>
      <c r="K74" s="372">
        <f>Input!$OQ$30</f>
        <v>0</v>
      </c>
      <c r="L74" s="372">
        <f>Input!$OR$30</f>
        <v>7454490</v>
      </c>
      <c r="M74" s="373">
        <f>D74+E74+F74+G74+H74+I74+J74+K74+L74</f>
        <v>-2694616</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Input!$OS$30</f>
        <v>1930206</v>
      </c>
      <c r="E75" s="372">
        <f>Input!$OT$30</f>
        <v>-1628144</v>
      </c>
      <c r="F75" s="372">
        <f>Input!$OU$30</f>
        <v>0</v>
      </c>
      <c r="G75" s="372">
        <f>Input!$OV$30</f>
        <v>0</v>
      </c>
      <c r="H75" s="372">
        <f>Input!$OW$30</f>
        <v>0</v>
      </c>
      <c r="I75" s="372">
        <f>Input!$OX$30</f>
        <v>0</v>
      </c>
      <c r="J75" s="372">
        <f>Input!$OY$30</f>
        <v>0</v>
      </c>
      <c r="K75" s="372">
        <f>Input!$OZ$30</f>
        <v>0</v>
      </c>
      <c r="L75" s="372">
        <f>Input!$PA$30</f>
        <v>0</v>
      </c>
      <c r="M75" s="373">
        <f>D75+E75+F75+G75+H75+I75+J75+K75+L75</f>
        <v>302062</v>
      </c>
      <c r="N75" s="160"/>
      <c r="O75" s="1723" t="str">
        <f>IF(M85&lt;0,"Footnote 11 is N/A - No Data Entry Required","Footnote 11")</f>
        <v>Footnote 11</v>
      </c>
      <c r="P75" s="1724"/>
      <c r="Q75" s="1724"/>
      <c r="R75" s="1725"/>
      <c r="S75" s="330"/>
      <c r="T75" s="330"/>
      <c r="U75" s="327"/>
      <c r="V75" s="276"/>
      <c r="W75" s="331"/>
      <c r="X75" s="331"/>
      <c r="Y75" s="328"/>
      <c r="Z75" s="328"/>
      <c r="AA75" s="276"/>
      <c r="AB75" s="276" t="s">
        <v>293</v>
      </c>
    </row>
    <row r="76" spans="1:28" ht="13.5" thickTop="1">
      <c r="A76" s="184">
        <v>59</v>
      </c>
      <c r="B76" s="160" t="s">
        <v>45</v>
      </c>
      <c r="C76" s="160"/>
      <c r="D76" s="372">
        <f>Input!$PB$30</f>
        <v>0</v>
      </c>
      <c r="E76" s="372">
        <f>Input!$PC$30</f>
        <v>0</v>
      </c>
      <c r="F76" s="372">
        <f>Input!$PD$30</f>
        <v>0</v>
      </c>
      <c r="G76" s="372">
        <f>Input!$PE$30</f>
        <v>0</v>
      </c>
      <c r="H76" s="372">
        <f>Input!$PF$30</f>
        <v>0</v>
      </c>
      <c r="I76" s="372">
        <f>Input!$PG$30</f>
        <v>0</v>
      </c>
      <c r="J76" s="372">
        <f>Input!$PH$30</f>
        <v>0</v>
      </c>
      <c r="K76" s="372">
        <f>Input!$PI$30</f>
        <v>0</v>
      </c>
      <c r="L76" s="372">
        <f>Input!$PJ$30</f>
        <v>0</v>
      </c>
      <c r="M76" s="373">
        <f>D76+E76+F76+G76+H76+I76+J76+K76+L76</f>
        <v>0</v>
      </c>
      <c r="N76" s="160"/>
      <c r="O76" s="487" t="s">
        <v>583</v>
      </c>
      <c r="P76" s="488"/>
      <c r="Q76" s="489"/>
      <c r="R76" s="490">
        <f>IF($M$85&lt;0,"N/A",$M$85)</f>
        <v>31802285</v>
      </c>
      <c r="S76" s="330"/>
      <c r="T76" s="330"/>
      <c r="U76" s="327"/>
      <c r="V76" s="276"/>
      <c r="W76" s="331"/>
      <c r="X76" s="331"/>
      <c r="Y76" s="331"/>
      <c r="Z76" s="331"/>
      <c r="AA76" s="276"/>
      <c r="AB76" s="276"/>
    </row>
    <row r="77" spans="1:28">
      <c r="A77" s="184">
        <v>60</v>
      </c>
      <c r="B77" s="160" t="s">
        <v>46</v>
      </c>
      <c r="C77" s="160"/>
      <c r="D77" s="372">
        <f>Input!$PK$30</f>
        <v>-6405348</v>
      </c>
      <c r="E77" s="372">
        <f>Input!$PL$30</f>
        <v>-204841</v>
      </c>
      <c r="F77" s="372">
        <f>Input!$PM$30</f>
        <v>-9924963</v>
      </c>
      <c r="G77" s="372">
        <f>Input!$PN$30</f>
        <v>0</v>
      </c>
      <c r="H77" s="372">
        <f>Input!$PO$30</f>
        <v>0</v>
      </c>
      <c r="I77" s="372">
        <f>Input!$PP$30</f>
        <v>0</v>
      </c>
      <c r="J77" s="372">
        <f>Input!$PQ$30</f>
        <v>0</v>
      </c>
      <c r="K77" s="372">
        <f>Input!$PR$30</f>
        <v>0</v>
      </c>
      <c r="L77" s="372">
        <f>Input!$PS$30</f>
        <v>0</v>
      </c>
      <c r="M77" s="373">
        <f>D77+E77+F77+G77+H77+I77+J77+K77+L77</f>
        <v>-16535152</v>
      </c>
      <c r="N77" s="160"/>
      <c r="O77" s="491" t="s">
        <v>584</v>
      </c>
      <c r="P77" s="334"/>
      <c r="Q77" s="334"/>
      <c r="R77" s="521">
        <f>Input!$UB$30</f>
        <v>26456966</v>
      </c>
      <c r="S77" s="330"/>
      <c r="T77" s="330"/>
      <c r="U77" s="327"/>
      <c r="V77" s="276"/>
      <c r="W77" s="331"/>
      <c r="X77" s="331"/>
      <c r="Y77" s="331"/>
      <c r="Z77" s="331"/>
      <c r="AA77" s="276"/>
      <c r="AB77" s="276"/>
    </row>
    <row r="78" spans="1:28">
      <c r="A78" s="184">
        <v>61</v>
      </c>
      <c r="B78" s="162" t="s">
        <v>3</v>
      </c>
      <c r="C78" s="162"/>
      <c r="D78" s="374">
        <f t="shared" ref="D78:L78" si="20">SUM(D74:D77)</f>
        <v>-4475142</v>
      </c>
      <c r="E78" s="374">
        <f t="shared" si="20"/>
        <v>-1832985</v>
      </c>
      <c r="F78" s="374">
        <f t="shared" si="20"/>
        <v>-9924963</v>
      </c>
      <c r="G78" s="374">
        <f t="shared" si="20"/>
        <v>0</v>
      </c>
      <c r="H78" s="374">
        <f t="shared" si="20"/>
        <v>0</v>
      </c>
      <c r="I78" s="374">
        <f t="shared" si="20"/>
        <v>0</v>
      </c>
      <c r="J78" s="374">
        <f t="shared" si="20"/>
        <v>-10149106</v>
      </c>
      <c r="K78" s="374">
        <f t="shared" si="20"/>
        <v>0</v>
      </c>
      <c r="L78" s="374">
        <f t="shared" si="20"/>
        <v>7454490</v>
      </c>
      <c r="M78" s="374">
        <f>D78+E78+F78+G78+H78+I78+J78+K78+L78</f>
        <v>-18927706</v>
      </c>
      <c r="N78" s="160"/>
      <c r="O78" s="491" t="s">
        <v>585</v>
      </c>
      <c r="P78" s="276"/>
      <c r="Q78" s="334"/>
      <c r="R78" s="492">
        <f>IF($M$85&lt;0,"",$R$76-$R$77)</f>
        <v>5345319</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3"/>
      <c r="P79" s="276"/>
      <c r="Q79" s="334"/>
      <c r="R79" s="494"/>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5" t="s">
        <v>586</v>
      </c>
      <c r="P80" s="276"/>
      <c r="Q80" s="334"/>
      <c r="R80" s="521">
        <f>Input!$UC$30</f>
        <v>4954863</v>
      </c>
      <c r="S80" s="330"/>
      <c r="T80" s="330"/>
      <c r="U80" s="334"/>
      <c r="V80" s="276"/>
      <c r="W80" s="328"/>
      <c r="X80" s="328"/>
      <c r="Y80" s="331"/>
      <c r="Z80" s="331"/>
      <c r="AA80" s="276"/>
      <c r="AB80" s="276"/>
    </row>
    <row r="81" spans="1:28">
      <c r="A81" s="184">
        <v>64</v>
      </c>
      <c r="B81" s="160" t="s">
        <v>47</v>
      </c>
      <c r="C81" s="160"/>
      <c r="D81" s="372">
        <f>Input!PT6</f>
        <v>0</v>
      </c>
      <c r="E81" s="372">
        <f>Input!$PU$30</f>
        <v>0</v>
      </c>
      <c r="F81" s="372">
        <f>Input!$PV$30</f>
        <v>0</v>
      </c>
      <c r="G81" s="372">
        <f>Input!$PW$30</f>
        <v>0</v>
      </c>
      <c r="H81" s="372">
        <f>Input!$PX$30</f>
        <v>0</v>
      </c>
      <c r="I81" s="372">
        <f>Input!$PY$30</f>
        <v>4954863</v>
      </c>
      <c r="J81" s="372">
        <f>Input!$PZ$30</f>
        <v>0</v>
      </c>
      <c r="K81" s="372">
        <f>Input!$QA$30</f>
        <v>0</v>
      </c>
      <c r="L81" s="372">
        <f>Input!$QB$30</f>
        <v>0</v>
      </c>
      <c r="M81" s="373">
        <f>D81+E81+F81+G81+H81+I81+J81+K81+L81</f>
        <v>4954863</v>
      </c>
      <c r="N81" s="160"/>
      <c r="O81" s="496" t="s">
        <v>587</v>
      </c>
      <c r="P81" s="276"/>
      <c r="Q81" s="276"/>
      <c r="R81" s="497"/>
      <c r="S81" s="330"/>
      <c r="T81" s="330"/>
      <c r="W81" s="276"/>
      <c r="X81" s="276"/>
      <c r="Y81" s="331"/>
      <c r="Z81" s="331"/>
      <c r="AA81" s="276"/>
      <c r="AB81" s="276"/>
    </row>
    <row r="82" spans="1:28">
      <c r="A82" s="184">
        <v>65</v>
      </c>
      <c r="B82" s="160" t="s">
        <v>48</v>
      </c>
      <c r="C82" s="160"/>
      <c r="D82" s="372">
        <f>Input!$QC$30</f>
        <v>0</v>
      </c>
      <c r="E82" s="372">
        <f>Input!$QD$30</f>
        <v>0</v>
      </c>
      <c r="F82" s="372">
        <f>Input!$QE$30</f>
        <v>0</v>
      </c>
      <c r="G82" s="372">
        <f>Input!$QF$30</f>
        <v>0</v>
      </c>
      <c r="H82" s="372">
        <f>Input!$QG$30</f>
        <v>0</v>
      </c>
      <c r="I82" s="372">
        <f>Input!$QH$30</f>
        <v>0</v>
      </c>
      <c r="J82" s="372">
        <f>Input!$QI$30</f>
        <v>0</v>
      </c>
      <c r="K82" s="372">
        <f>Input!$QJ$30</f>
        <v>0</v>
      </c>
      <c r="L82" s="372">
        <f>Input!$QK$30</f>
        <v>0</v>
      </c>
      <c r="M82" s="373">
        <f>D82+E82+F82+G82+H82+I82+J82+K82+L82</f>
        <v>0</v>
      </c>
      <c r="N82" s="160"/>
      <c r="O82" s="498" t="s">
        <v>588</v>
      </c>
      <c r="P82" s="276"/>
      <c r="Q82" s="276"/>
      <c r="R82" s="492">
        <f>IFERROR($R$78-$R$80,"")</f>
        <v>390456</v>
      </c>
      <c r="Y82" s="331"/>
      <c r="Z82" s="401"/>
      <c r="AA82" s="268"/>
      <c r="AB82" s="268"/>
    </row>
    <row r="83" spans="1:28">
      <c r="A83" s="184">
        <v>66</v>
      </c>
      <c r="B83" s="162" t="s">
        <v>3</v>
      </c>
      <c r="C83" s="162"/>
      <c r="D83" s="374">
        <f t="shared" ref="D83:L83" si="21">SUM(D81:D82)</f>
        <v>0</v>
      </c>
      <c r="E83" s="374">
        <f t="shared" si="21"/>
        <v>0</v>
      </c>
      <c r="F83" s="374">
        <f t="shared" si="21"/>
        <v>0</v>
      </c>
      <c r="G83" s="374">
        <f t="shared" si="21"/>
        <v>0</v>
      </c>
      <c r="H83" s="374">
        <f t="shared" si="21"/>
        <v>0</v>
      </c>
      <c r="I83" s="374">
        <f t="shared" si="21"/>
        <v>4954863</v>
      </c>
      <c r="J83" s="374">
        <f t="shared" si="21"/>
        <v>0</v>
      </c>
      <c r="K83" s="374">
        <f t="shared" si="21"/>
        <v>0</v>
      </c>
      <c r="L83" s="374">
        <f t="shared" si="21"/>
        <v>0</v>
      </c>
      <c r="M83" s="374">
        <f>D83+E83+F83+G83+H83+I83+J83+K83+L83</f>
        <v>4954863</v>
      </c>
      <c r="N83" s="160"/>
      <c r="O83" s="493"/>
      <c r="P83" s="276"/>
      <c r="Q83" s="276"/>
      <c r="R83" s="497"/>
      <c r="Y83" s="163"/>
      <c r="Z83" s="447"/>
      <c r="AA83" s="439"/>
      <c r="AB83" s="448"/>
    </row>
    <row r="84" spans="1:28" ht="13.5" thickBot="1">
      <c r="A84" s="184">
        <v>67</v>
      </c>
      <c r="B84" s="160"/>
      <c r="C84" s="160"/>
      <c r="D84" s="373"/>
      <c r="E84" s="373"/>
      <c r="F84" s="373"/>
      <c r="G84" s="373"/>
      <c r="H84" s="373"/>
      <c r="I84" s="373"/>
      <c r="J84" s="373"/>
      <c r="K84" s="373"/>
      <c r="L84" s="373"/>
      <c r="M84" s="373"/>
      <c r="N84" s="160"/>
      <c r="O84" s="499" t="s">
        <v>589</v>
      </c>
      <c r="P84" s="500"/>
      <c r="Q84" s="500"/>
      <c r="R84" s="501">
        <f>IFERROR((R82+R80)-R78,"")</f>
        <v>0</v>
      </c>
      <c r="Y84" s="268"/>
      <c r="Z84" s="447"/>
      <c r="AA84" s="439"/>
      <c r="AB84" s="449"/>
    </row>
    <row r="85" spans="1:28" ht="13.5" thickTop="1">
      <c r="A85" s="184">
        <v>68</v>
      </c>
      <c r="B85" s="162" t="s">
        <v>574</v>
      </c>
      <c r="C85" s="162"/>
      <c r="D85" s="374">
        <f t="shared" ref="D85:L85" si="22">D57-D71+D78+D83</f>
        <v>4197563</v>
      </c>
      <c r="E85" s="374">
        <f t="shared" si="22"/>
        <v>10948286</v>
      </c>
      <c r="F85" s="374">
        <f t="shared" si="22"/>
        <v>-5549355</v>
      </c>
      <c r="G85" s="374">
        <f t="shared" si="22"/>
        <v>19634994</v>
      </c>
      <c r="H85" s="374">
        <f t="shared" si="22"/>
        <v>-96583</v>
      </c>
      <c r="I85" s="374">
        <f t="shared" si="22"/>
        <v>5350554</v>
      </c>
      <c r="J85" s="374">
        <f t="shared" si="22"/>
        <v>-10136051</v>
      </c>
      <c r="K85" s="374">
        <f t="shared" si="22"/>
        <v>0</v>
      </c>
      <c r="L85" s="374">
        <f t="shared" si="22"/>
        <v>7452877</v>
      </c>
      <c r="M85" s="374">
        <f>D85+E85+F85+G85+H85+I85+J85+K85+L85</f>
        <v>31802285</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Input!$QL$30</f>
        <v>0</v>
      </c>
      <c r="E87" s="372">
        <f>Input!$QM$30</f>
        <v>0</v>
      </c>
      <c r="F87" s="372">
        <f>Input!$QN$30</f>
        <v>0</v>
      </c>
      <c r="G87" s="372">
        <f>Input!$QO$30</f>
        <v>0</v>
      </c>
      <c r="H87" s="372">
        <f>Input!$QP$30</f>
        <v>0</v>
      </c>
      <c r="I87" s="372">
        <f>Input!$QQ$30</f>
        <v>0</v>
      </c>
      <c r="J87" s="372">
        <f>Input!$QR$30</f>
        <v>0</v>
      </c>
      <c r="K87" s="372">
        <f>Input!$QS$30</f>
        <v>0</v>
      </c>
      <c r="L87" s="372">
        <f>Input!$QT$30</f>
        <v>0</v>
      </c>
      <c r="M87" s="329">
        <f>D87+E87+F87+G87+H87+I87+J87+K87+L87</f>
        <v>0</v>
      </c>
      <c r="N87" s="160"/>
      <c r="Y87" s="268"/>
      <c r="Z87" s="447"/>
      <c r="AA87" s="439"/>
      <c r="AB87" s="449"/>
    </row>
    <row r="88" spans="1:28">
      <c r="A88" s="184">
        <v>72</v>
      </c>
      <c r="B88" s="160" t="s">
        <v>66</v>
      </c>
      <c r="C88" s="160"/>
      <c r="D88" s="372">
        <f>Input!$QU$30</f>
        <v>0</v>
      </c>
      <c r="E88" s="372">
        <f>Input!$QV$30</f>
        <v>0</v>
      </c>
      <c r="F88" s="372">
        <f>Input!$QW$30</f>
        <v>0</v>
      </c>
      <c r="G88" s="372">
        <f>Input!$QX$30</f>
        <v>0</v>
      </c>
      <c r="H88" s="372">
        <f>Input!$QY$30</f>
        <v>0</v>
      </c>
      <c r="I88" s="372">
        <f>Input!$QZ$30</f>
        <v>0</v>
      </c>
      <c r="J88" s="372">
        <f>Input!$RA$30</f>
        <v>0</v>
      </c>
      <c r="K88" s="372">
        <f>Input!$RB$30</f>
        <v>0</v>
      </c>
      <c r="L88" s="372">
        <f>Input!$RC$30</f>
        <v>-12021265</v>
      </c>
      <c r="M88" s="373">
        <f>D88+E88+F88+G88+H88+I88+J88+K88+L88</f>
        <v>-12021265</v>
      </c>
      <c r="N88" s="160"/>
      <c r="O88" s="270"/>
      <c r="P88" s="335"/>
      <c r="Y88" s="268"/>
      <c r="Z88" s="447"/>
      <c r="AA88" s="439"/>
      <c r="AB88" s="449"/>
    </row>
    <row r="89" spans="1:28" s="264" customFormat="1">
      <c r="A89" s="263"/>
      <c r="B89" s="171" t="s">
        <v>216</v>
      </c>
      <c r="C89" s="171"/>
      <c r="D89" s="372">
        <f>Input!$RD$30</f>
        <v>0</v>
      </c>
      <c r="E89" s="372">
        <f>Input!$RE$30</f>
        <v>0</v>
      </c>
      <c r="F89" s="372">
        <f>Input!$RF$30</f>
        <v>0</v>
      </c>
      <c r="G89" s="372">
        <f>Input!$RG$30</f>
        <v>0</v>
      </c>
      <c r="H89" s="372">
        <f>Input!$RH$30</f>
        <v>0</v>
      </c>
      <c r="I89" s="372">
        <f>Input!$RI$30</f>
        <v>0</v>
      </c>
      <c r="J89" s="372">
        <f>Input!$RJ$30</f>
        <v>0</v>
      </c>
      <c r="K89" s="372">
        <f>Input!$RK$30</f>
        <v>0</v>
      </c>
      <c r="L89" s="372">
        <f>Input!$RL$30</f>
        <v>0</v>
      </c>
      <c r="M89" s="373">
        <f t="shared" ref="M89:M91" si="23">D89+E89+F89+G89+H89+I89+J89+K89+L89</f>
        <v>0</v>
      </c>
      <c r="N89" s="160"/>
      <c r="O89" s="1726" t="s">
        <v>1355</v>
      </c>
      <c r="P89" s="1727"/>
      <c r="Q89" s="1727"/>
      <c r="R89" s="1727"/>
      <c r="S89" s="1727"/>
      <c r="T89" s="1727"/>
      <c r="U89" s="1728"/>
      <c r="Y89" s="268"/>
      <c r="Z89" s="447"/>
      <c r="AA89" s="439"/>
      <c r="AB89" s="449"/>
    </row>
    <row r="90" spans="1:28" s="264" customFormat="1">
      <c r="A90" s="263"/>
      <c r="B90" s="171" t="s">
        <v>105</v>
      </c>
      <c r="C90" s="171"/>
      <c r="D90" s="372">
        <f>Input!$RM$30</f>
        <v>0</v>
      </c>
      <c r="E90" s="372">
        <f>Input!$RN$30</f>
        <v>0</v>
      </c>
      <c r="F90" s="372">
        <f>Input!$RO$30</f>
        <v>0</v>
      </c>
      <c r="G90" s="372">
        <f>Input!$RP$30</f>
        <v>0</v>
      </c>
      <c r="H90" s="372">
        <f>Input!$RQ$30</f>
        <v>0</v>
      </c>
      <c r="I90" s="372">
        <f>Input!$RR$30</f>
        <v>0</v>
      </c>
      <c r="J90" s="372">
        <f>Input!$RS$30</f>
        <v>0</v>
      </c>
      <c r="K90" s="372">
        <f>Input!$RT$30</f>
        <v>0</v>
      </c>
      <c r="L90" s="372">
        <f>Input!$RU$30</f>
        <v>0</v>
      </c>
      <c r="M90" s="373">
        <f t="shared" si="23"/>
        <v>0</v>
      </c>
      <c r="N90" s="160"/>
      <c r="O90" s="502" t="s">
        <v>590</v>
      </c>
      <c r="P90" s="423"/>
      <c r="Q90" s="502" t="s">
        <v>591</v>
      </c>
      <c r="R90" s="423"/>
      <c r="S90" s="503"/>
      <c r="T90" s="502" t="s">
        <v>592</v>
      </c>
      <c r="U90" s="423"/>
      <c r="Y90" s="268"/>
      <c r="Z90" s="447"/>
      <c r="AA90" s="439"/>
      <c r="AB90" s="449"/>
    </row>
    <row r="91" spans="1:28" s="264" customFormat="1">
      <c r="A91" s="263"/>
      <c r="B91" s="171" t="s">
        <v>128</v>
      </c>
      <c r="C91" s="171"/>
      <c r="D91" s="372">
        <f>Input!$RV$30</f>
        <v>0</v>
      </c>
      <c r="E91" s="372">
        <f>Input!$RW$30</f>
        <v>0</v>
      </c>
      <c r="F91" s="372">
        <f>Input!$RX$30</f>
        <v>0</v>
      </c>
      <c r="G91" s="372">
        <f>Input!$RY$30</f>
        <v>0</v>
      </c>
      <c r="H91" s="372">
        <f>Input!$RZ$30</f>
        <v>0</v>
      </c>
      <c r="I91" s="372">
        <f>Input!$SA$30</f>
        <v>0</v>
      </c>
      <c r="J91" s="372">
        <f>Input!$SB$30</f>
        <v>0</v>
      </c>
      <c r="K91" s="372">
        <f>Input!$SC$30</f>
        <v>0</v>
      </c>
      <c r="L91" s="372">
        <f>Input!$SD$30</f>
        <v>0</v>
      </c>
      <c r="M91" s="373">
        <f t="shared" si="23"/>
        <v>0</v>
      </c>
      <c r="N91" s="160"/>
      <c r="O91" s="504"/>
      <c r="P91" s="505"/>
      <c r="Q91" s="504"/>
      <c r="R91" s="426"/>
      <c r="S91" s="276"/>
      <c r="T91" s="506"/>
      <c r="U91" s="426"/>
      <c r="Y91" s="268"/>
      <c r="Z91" s="447"/>
      <c r="AA91" s="439"/>
      <c r="AB91" s="449"/>
    </row>
    <row r="92" spans="1:28" s="264" customFormat="1">
      <c r="A92" s="263"/>
      <c r="B92" s="160" t="s">
        <v>67</v>
      </c>
      <c r="C92" s="160"/>
      <c r="D92" s="372">
        <f>Input!$SE$30</f>
        <v>0</v>
      </c>
      <c r="E92" s="372">
        <f>Input!$SF$30</f>
        <v>0</v>
      </c>
      <c r="F92" s="372">
        <f>Input!$SG$30</f>
        <v>0</v>
      </c>
      <c r="G92" s="372">
        <f>Input!$SH$30</f>
        <v>0</v>
      </c>
      <c r="H92" s="372">
        <f>Input!$SI$30</f>
        <v>0</v>
      </c>
      <c r="I92" s="372">
        <f>Input!$SJ$30</f>
        <v>0</v>
      </c>
      <c r="J92" s="372">
        <f>Input!$SK$30</f>
        <v>0</v>
      </c>
      <c r="K92" s="372">
        <f>Input!$SL$30</f>
        <v>0</v>
      </c>
      <c r="L92" s="372">
        <f>Input!$SM$30</f>
        <v>1468050</v>
      </c>
      <c r="M92" s="373">
        <f>D92+E92+F92+G92+H92+I92+J92+K92+L92</f>
        <v>1468050</v>
      </c>
      <c r="N92" s="160"/>
      <c r="O92" s="1729" t="str">
        <f>Input!UF$30</f>
        <v>Cynthia Brown</v>
      </c>
      <c r="P92" s="1730"/>
      <c r="Q92" s="1729" t="str">
        <f>Input!$UG$30</f>
        <v>409-880-7925</v>
      </c>
      <c r="R92" s="1730"/>
      <c r="S92" s="276"/>
      <c r="T92" s="1731" t="str">
        <f>HYPERLINK("Mailto:"&amp;Input!$UH$30,Input!$UH$30)</f>
        <v>clbrown@lamar.edu</v>
      </c>
      <c r="U92" s="1730"/>
      <c r="Y92" s="268"/>
      <c r="Z92" s="447"/>
      <c r="AA92" s="442"/>
      <c r="AB92" s="449"/>
    </row>
    <row r="93" spans="1:28" ht="13.5" thickBot="1">
      <c r="B93" s="179" t="s">
        <v>58</v>
      </c>
      <c r="C93" s="179"/>
      <c r="D93" s="380">
        <f t="shared" ref="D93:K93" si="24">SUM(D85:D92)</f>
        <v>4197563</v>
      </c>
      <c r="E93" s="380">
        <f t="shared" si="24"/>
        <v>10948286</v>
      </c>
      <c r="F93" s="380">
        <f t="shared" si="24"/>
        <v>-5549355</v>
      </c>
      <c r="G93" s="380">
        <f t="shared" si="24"/>
        <v>19634994</v>
      </c>
      <c r="H93" s="380">
        <f t="shared" si="24"/>
        <v>-96583</v>
      </c>
      <c r="I93" s="380">
        <f t="shared" si="24"/>
        <v>5350554</v>
      </c>
      <c r="J93" s="380">
        <f t="shared" si="24"/>
        <v>-10136051</v>
      </c>
      <c r="K93" s="380">
        <f t="shared" si="24"/>
        <v>0</v>
      </c>
      <c r="L93" s="380">
        <f>SUM(L85:L92)</f>
        <v>-3100338</v>
      </c>
      <c r="M93" s="380">
        <f>D93+E93+F93+G93+H93+I93+J93+K93+L93</f>
        <v>21249070</v>
      </c>
      <c r="N93" s="160"/>
      <c r="O93" s="506"/>
      <c r="P93" s="507"/>
      <c r="Q93" s="276"/>
      <c r="R93" s="276"/>
      <c r="S93" s="276"/>
      <c r="T93" s="507"/>
      <c r="U93" s="508"/>
      <c r="Y93" s="268"/>
      <c r="Z93" s="447"/>
      <c r="AA93" s="442"/>
      <c r="AB93" s="449"/>
    </row>
    <row r="94" spans="1:28" ht="13.5" thickTop="1">
      <c r="C94" s="160"/>
      <c r="D94" s="165"/>
      <c r="E94" s="165"/>
      <c r="F94" s="165"/>
      <c r="G94" s="165"/>
      <c r="H94" s="165"/>
      <c r="I94" s="165"/>
      <c r="J94" s="165"/>
      <c r="K94" s="165"/>
      <c r="L94" s="165"/>
      <c r="M94" s="180"/>
      <c r="N94" s="160"/>
      <c r="O94" s="1720" t="s">
        <v>593</v>
      </c>
      <c r="P94" s="1721"/>
      <c r="Q94" s="1721"/>
      <c r="R94" s="1721"/>
      <c r="S94" s="1721"/>
      <c r="T94" s="1721"/>
      <c r="U94" s="1722"/>
      <c r="Y94" s="268"/>
      <c r="Z94" s="451"/>
      <c r="AA94" s="442"/>
      <c r="AB94" s="449"/>
    </row>
    <row r="95" spans="1:28">
      <c r="B95" s="171" t="s">
        <v>1369</v>
      </c>
      <c r="C95" s="169"/>
      <c r="D95" s="165"/>
      <c r="E95" s="165"/>
      <c r="F95" s="165"/>
      <c r="G95" s="165"/>
      <c r="H95" s="165"/>
      <c r="I95" s="165"/>
      <c r="J95" s="165"/>
      <c r="K95" s="165"/>
      <c r="L95" s="165"/>
      <c r="M95" s="180"/>
      <c r="N95" s="160"/>
      <c r="O95" s="1720"/>
      <c r="P95" s="1721"/>
      <c r="Q95" s="1721"/>
      <c r="R95" s="1721"/>
      <c r="S95" s="1721"/>
      <c r="T95" s="1721"/>
      <c r="U95" s="1722"/>
      <c r="Y95" s="268"/>
      <c r="Z95" s="452"/>
      <c r="AA95" s="453"/>
      <c r="AB95" s="454"/>
    </row>
    <row r="96" spans="1:28">
      <c r="B96" s="169" t="s">
        <v>80</v>
      </c>
      <c r="C96" s="160"/>
      <c r="D96" s="165"/>
      <c r="E96" s="165"/>
      <c r="F96" s="165"/>
      <c r="G96" s="165"/>
      <c r="H96" s="165"/>
      <c r="I96" s="165"/>
      <c r="J96" s="165"/>
      <c r="K96" s="165"/>
      <c r="L96" s="165"/>
      <c r="M96" s="180"/>
      <c r="N96" s="160"/>
      <c r="O96" s="509"/>
      <c r="P96" s="510"/>
      <c r="Q96" s="511"/>
      <c r="R96" s="511"/>
      <c r="S96" s="511"/>
      <c r="T96" s="510"/>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5"/>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Input!$SN$30</f>
        <v>21249070</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3" t="str">
        <f>IF($L$118&lt;&gt;Input!$F$30,"Out of Balance","Balanced")</f>
        <v>Balanced</v>
      </c>
      <c r="M102" s="517"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171925199</v>
      </c>
      <c r="E105" s="373">
        <f>SUM($E$10:$E$14)+SUM($E$19:$E$28)+SUM($E$32:$E$41)+$E$47+SUM($E$50:$E$55)+SUM($E$60:$E$70)+SUM($E$74:$E$77)+SUM($E$81:$E$82)+SUM($E$87:$E$92)</f>
        <v>168742824</v>
      </c>
      <c r="F105" s="373">
        <f>SUM($F$10:$F$14)+SUM($F$19:$F$28)+SUM($F$32:$F$41)+$F$47+SUM($F$50:$F$55)+SUM($F$60:$F$70)+SUM($F$74:$F$77)+SUM($F$81:$F$82)+SUM($F$87:$F$92)</f>
        <v>50433469</v>
      </c>
      <c r="G105" s="373">
        <f>SUM($G$10:$G$14)+SUM($G$19:$G$28)+SUM($G$32:$G$41)+$G$47+SUM($G$50:$G$55)+SUM($G$60:$G$70)+SUM($G$74:$G$77)+SUM($G$81:$G$82)+SUM($G$87:$G$92)</f>
        <v>117028880</v>
      </c>
      <c r="H105" s="373">
        <f>SUM($H$10:$H$14)+SUM($H$19:$H$28)+SUM($H$32:$H$41)+$H$47+SUM($H$50:$H$55)+SUM($H$60:$H$70)+SUM($H$74:$H$77)+SUM($H$81:$H$82)+SUM($H$87:$H$92)</f>
        <v>96583</v>
      </c>
      <c r="I105" s="373">
        <f>SUM($I$10:$I$14)+SUM($I$19:$I$28)+SUM($I$32:$I$41)+$I$47+SUM($I$50:$I$55)+SUM($I$60:$I$70)+SUM($I$74:$I$77)+SUM($I$81:$I$82)+SUM($I$87:$I$92)</f>
        <v>5350554</v>
      </c>
      <c r="J105" s="373">
        <f>SUM($J$10:$J$14)+SUM($J$19:$J$28)+SUM($J$32:$J$41)+$J$47+SUM($J$50:$J$55)+SUM($J$60:$J$70)+SUM($J$74:$J$77)+SUM($J$81:$J$82)+SUM($J$87:$J$92)</f>
        <v>-10136051</v>
      </c>
      <c r="K105" s="373">
        <f>SUM($K$10:$K$14)+SUM($K$19:$K$28)+SUM($K$32:$K$41)+$K$47+SUM($K$50:$K$55)+SUM($K$60:$K$70)+SUM($K$74:$K$77)+SUM($K$81:$K$82)+SUM($K$87:$K$92)</f>
        <v>0</v>
      </c>
      <c r="L105" s="373">
        <f>SUM($L$10:$L$14)+SUM($L$19:$L$28)+SUM($L$32:$L$41)+$L$47+SUM($L$50:$L$55)+SUM($L$60:$L$70)+SUM($L$74:$L$77)+SUM($L$81:$L$82)+SUM($L$87:$L$92)</f>
        <v>-3097112</v>
      </c>
      <c r="M105" s="373"/>
      <c r="N105" s="264"/>
      <c r="O105" s="373"/>
      <c r="P105" s="450">
        <f>M18-INT(M18)</f>
        <v>0</v>
      </c>
    </row>
    <row r="106" spans="2:28">
      <c r="B106" s="261"/>
      <c r="C106" s="261"/>
      <c r="D106" s="261"/>
      <c r="E106" s="261"/>
      <c r="F106" s="261"/>
      <c r="G106" s="261"/>
      <c r="H106" s="261"/>
      <c r="I106" s="261"/>
      <c r="J106" s="261"/>
      <c r="K106" s="261"/>
      <c r="L106" s="373">
        <f>SUM($D$105:$L$105)</f>
        <v>500344346</v>
      </c>
      <c r="M106" s="261"/>
      <c r="N106" s="264"/>
      <c r="O106" s="373"/>
      <c r="P106" s="450">
        <f>M31-INT(M31)</f>
        <v>0</v>
      </c>
    </row>
    <row r="107" spans="2:28">
      <c r="B107" s="261"/>
      <c r="C107" s="261"/>
      <c r="D107" s="261"/>
      <c r="E107" s="261"/>
      <c r="F107" s="261"/>
      <c r="G107" s="261"/>
      <c r="H107" s="261"/>
      <c r="I107" s="261"/>
      <c r="J107" s="261" t="s">
        <v>1299</v>
      </c>
      <c r="K107" s="261"/>
      <c r="L107" s="373">
        <f>$M$100</f>
        <v>21249070</v>
      </c>
      <c r="M107" s="261"/>
      <c r="N107" s="264"/>
      <c r="O107" s="373"/>
      <c r="P107" s="450">
        <f>M93-INT(M93)</f>
        <v>0</v>
      </c>
    </row>
    <row r="108" spans="2:28">
      <c r="B108" s="261"/>
      <c r="C108" s="261"/>
      <c r="D108" s="261"/>
      <c r="E108" s="261"/>
      <c r="F108" s="261"/>
      <c r="G108" s="261"/>
      <c r="H108" s="261"/>
      <c r="I108" s="261"/>
      <c r="J108" s="261" t="s">
        <v>1300</v>
      </c>
      <c r="K108" s="261"/>
      <c r="L108" s="512">
        <f>$Q$32</f>
        <v>139798549</v>
      </c>
      <c r="M108" s="261"/>
      <c r="N108" s="264"/>
      <c r="O108" s="373"/>
    </row>
    <row r="109" spans="2:28">
      <c r="B109" s="261"/>
      <c r="C109" s="261"/>
      <c r="D109" s="261"/>
      <c r="E109" s="261"/>
      <c r="F109" s="261"/>
      <c r="G109" s="261"/>
      <c r="H109" s="261"/>
      <c r="I109" s="261"/>
      <c r="J109" s="261" t="s">
        <v>1300</v>
      </c>
      <c r="K109" s="261"/>
      <c r="L109" s="512">
        <f>$R$34</f>
        <v>-27608034</v>
      </c>
      <c r="M109" s="261"/>
      <c r="N109" s="264"/>
      <c r="O109" s="373"/>
    </row>
    <row r="110" spans="2:28">
      <c r="B110" s="261"/>
      <c r="C110" s="261"/>
      <c r="D110" s="261"/>
      <c r="E110" s="261"/>
      <c r="F110" s="261"/>
      <c r="G110" s="261"/>
      <c r="H110" s="261"/>
      <c r="I110" s="261"/>
      <c r="J110" s="261" t="s">
        <v>29</v>
      </c>
      <c r="K110" s="261"/>
      <c r="L110" s="512">
        <f>SUM($P$60:$P$68)</f>
        <v>1468050</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2">
        <f>SUM($V$60:$V$67)</f>
        <v>0</v>
      </c>
      <c r="M112" s="261"/>
      <c r="N112" s="264"/>
      <c r="O112" s="373"/>
    </row>
    <row r="113" spans="2:15">
      <c r="B113" s="261"/>
      <c r="C113" s="261"/>
      <c r="D113" s="261"/>
      <c r="E113" s="261"/>
      <c r="F113" s="261"/>
      <c r="G113" s="261"/>
      <c r="H113" s="261"/>
      <c r="I113" s="261"/>
      <c r="J113" s="261" t="s">
        <v>596</v>
      </c>
      <c r="K113" s="261"/>
      <c r="L113" s="512">
        <f>SUM($W$60:$W$67)</f>
        <v>148672</v>
      </c>
      <c r="M113" s="261"/>
      <c r="N113" s="264"/>
      <c r="O113" s="373"/>
    </row>
    <row r="114" spans="2:15">
      <c r="B114" s="261"/>
      <c r="C114" s="261"/>
      <c r="D114" s="261"/>
      <c r="E114" s="261"/>
      <c r="F114" s="261"/>
      <c r="G114" s="261"/>
      <c r="H114" s="261"/>
      <c r="I114" s="261"/>
      <c r="J114" s="261" t="s">
        <v>258</v>
      </c>
      <c r="K114" s="261"/>
      <c r="L114" s="512">
        <f>SUM($AA$60:$AA$68)</f>
        <v>240184883</v>
      </c>
      <c r="M114" s="261"/>
      <c r="N114" s="264"/>
      <c r="O114" s="373"/>
    </row>
    <row r="115" spans="2:15">
      <c r="B115" s="261"/>
      <c r="C115" s="261"/>
      <c r="D115" s="261"/>
      <c r="E115" s="261"/>
      <c r="F115" s="261"/>
      <c r="G115" s="261"/>
      <c r="H115" s="261"/>
      <c r="I115" s="261"/>
      <c r="J115" s="261" t="s">
        <v>597</v>
      </c>
      <c r="K115" s="261"/>
      <c r="L115" s="512">
        <f>$R$77</f>
        <v>26456966</v>
      </c>
      <c r="M115" s="261"/>
      <c r="N115" s="264"/>
      <c r="O115" s="373"/>
    </row>
    <row r="116" spans="2:15">
      <c r="B116" s="261"/>
      <c r="C116" s="261"/>
      <c r="D116" s="261"/>
      <c r="E116" s="261"/>
      <c r="F116" s="261"/>
      <c r="G116" s="261"/>
      <c r="H116" s="261"/>
      <c r="I116" s="261"/>
      <c r="J116" s="261" t="s">
        <v>597</v>
      </c>
      <c r="K116" s="261"/>
      <c r="L116" s="512">
        <f>$R$80</f>
        <v>4954863</v>
      </c>
      <c r="M116" s="261"/>
      <c r="N116" s="264"/>
      <c r="O116" s="373"/>
    </row>
    <row r="117" spans="2:15">
      <c r="B117" s="261"/>
      <c r="C117" s="261"/>
      <c r="D117" s="261"/>
      <c r="E117" s="261"/>
      <c r="F117" s="261"/>
      <c r="G117" s="261"/>
      <c r="H117" s="261"/>
      <c r="I117" s="261"/>
      <c r="J117" s="261" t="s">
        <v>1231</v>
      </c>
      <c r="K117" s="261"/>
      <c r="L117" s="1008">
        <f>VLOOKUP(B2,Names!B5:$C$87,2,FALSE)</f>
        <v>3581</v>
      </c>
      <c r="M117" s="261"/>
      <c r="N117" s="264"/>
      <c r="O117" s="373"/>
    </row>
    <row r="118" spans="2:15">
      <c r="B118" s="261"/>
      <c r="C118" s="261"/>
      <c r="D118" s="261"/>
      <c r="E118" s="261"/>
      <c r="F118" s="261"/>
      <c r="G118" s="261"/>
      <c r="H118" s="261"/>
      <c r="I118" s="261"/>
      <c r="J118" s="261"/>
      <c r="K118" s="261"/>
      <c r="L118" s="373">
        <f>SUM(L106:L117)</f>
        <v>907000946</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V56:V59"/>
    <mergeCell ref="W56:W59"/>
    <mergeCell ref="G59:K59"/>
    <mergeCell ref="AA56:AA59"/>
    <mergeCell ref="Z55:AB55"/>
    <mergeCell ref="R56:R59"/>
    <mergeCell ref="O55:R55"/>
    <mergeCell ref="T55:X55"/>
    <mergeCell ref="X56:X59"/>
    <mergeCell ref="AB56:AB59"/>
    <mergeCell ref="Z56:Z59"/>
    <mergeCell ref="B2:F2"/>
    <mergeCell ref="B3:F3"/>
    <mergeCell ref="B4:F4"/>
    <mergeCell ref="B6:M6"/>
    <mergeCell ref="P4:Q4"/>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s>
  <conditionalFormatting sqref="U87:X88 O88:Q88">
    <cfRule type="cellIs" dxfId="559" priority="170" stopIfTrue="1" operator="notEqual">
      <formula>#REF!</formula>
    </cfRule>
  </conditionalFormatting>
  <conditionalFormatting sqref="P70">
    <cfRule type="expression" dxfId="558" priority="149">
      <formula>$P$69&lt;&gt;$M$69</formula>
    </cfRule>
  </conditionalFormatting>
  <conditionalFormatting sqref="AB72">
    <cfRule type="expression" dxfId="557" priority="148">
      <formula>$AB$71&lt;&gt;0</formula>
    </cfRule>
  </conditionalFormatting>
  <conditionalFormatting sqref="P71">
    <cfRule type="expression" dxfId="556" priority="147">
      <formula>P69-INT(P69)</formula>
    </cfRule>
  </conditionalFormatting>
  <conditionalFormatting sqref="V70">
    <cfRule type="expression" dxfId="555" priority="145">
      <formula>X68-INT(X68)</formula>
    </cfRule>
  </conditionalFormatting>
  <conditionalFormatting sqref="O11">
    <cfRule type="expression" dxfId="554" priority="138">
      <formula>#REF!&lt;&gt;$M$11</formula>
    </cfRule>
  </conditionalFormatting>
  <conditionalFormatting sqref="U87:U88 O88:Q88">
    <cfRule type="cellIs" dxfId="553" priority="129" stopIfTrue="1" operator="notEqual">
      <formula>#REF!</formula>
    </cfRule>
  </conditionalFormatting>
  <conditionalFormatting sqref="R84">
    <cfRule type="expression" priority="127" stopIfTrue="1">
      <formula>$M$85&lt;0</formula>
    </cfRule>
    <cfRule type="expression" dxfId="552" priority="128">
      <formula>$S$85&lt;&gt;0</formula>
    </cfRule>
  </conditionalFormatting>
  <conditionalFormatting sqref="R80 R77">
    <cfRule type="expression" dxfId="551" priority="125" stopIfTrue="1">
      <formula>$M$85&gt;=0</formula>
    </cfRule>
    <cfRule type="expression" priority="126">
      <formula>$M$85&lt;0</formula>
    </cfRule>
  </conditionalFormatting>
  <conditionalFormatting sqref="U87:U88 O88:Q88">
    <cfRule type="cellIs" dxfId="550" priority="124" stopIfTrue="1" operator="notEqual">
      <formula>#REF!</formula>
    </cfRule>
  </conditionalFormatting>
  <conditionalFormatting sqref="O12">
    <cfRule type="expression" dxfId="549" priority="108">
      <formula>$P$12&lt;&gt;$M$12</formula>
    </cfRule>
  </conditionalFormatting>
  <conditionalFormatting sqref="O13">
    <cfRule type="expression" dxfId="548" priority="107">
      <formula>$P$13&lt;&gt;$M$13</formula>
    </cfRule>
  </conditionalFormatting>
  <conditionalFormatting sqref="U87:U88 O88:Q88">
    <cfRule type="cellIs" dxfId="547" priority="106" stopIfTrue="1" operator="notEqual">
      <formula>#REF!</formula>
    </cfRule>
  </conditionalFormatting>
  <conditionalFormatting sqref="Q36">
    <cfRule type="expression" dxfId="546" priority="27">
      <formula>#REF!&lt;&gt;#REF!</formula>
    </cfRule>
  </conditionalFormatting>
  <conditionalFormatting sqref="R35">
    <cfRule type="expression" dxfId="545" priority="26">
      <formula>#REF!&lt;&gt;0</formula>
    </cfRule>
  </conditionalFormatting>
  <conditionalFormatting sqref="Q35">
    <cfRule type="expression" dxfId="544" priority="25">
      <formula>#REF!&lt;&gt;0</formula>
    </cfRule>
  </conditionalFormatting>
  <conditionalFormatting sqref="R36">
    <cfRule type="expression" dxfId="543" priority="24">
      <formula>#REF!&lt;&gt;#REF!</formula>
    </cfRule>
  </conditionalFormatting>
  <conditionalFormatting sqref="D93:M98 T94:T95 R90:S95 U87:X93 T90:T92 Y90:Y95 O88:O92 P88:Q93 J99">
    <cfRule type="cellIs" dxfId="542" priority="23" stopIfTrue="1" operator="notEqual">
      <formula>#REF!</formula>
    </cfRule>
  </conditionalFormatting>
  <conditionalFormatting sqref="P70">
    <cfRule type="expression" dxfId="541" priority="22">
      <formula>$P$69&lt;&gt;$M$69</formula>
    </cfRule>
  </conditionalFormatting>
  <conditionalFormatting sqref="AB72">
    <cfRule type="expression" dxfId="540" priority="21">
      <formula>$AB$71&lt;&gt;0</formula>
    </cfRule>
  </conditionalFormatting>
  <conditionalFormatting sqref="P71">
    <cfRule type="expression" dxfId="539" priority="20">
      <formula>P69-INT(P69)</formula>
    </cfRule>
  </conditionalFormatting>
  <conditionalFormatting sqref="V70">
    <cfRule type="expression" dxfId="538" priority="19">
      <formula>X68-INT(X68)</formula>
    </cfRule>
  </conditionalFormatting>
  <conditionalFormatting sqref="O12">
    <cfRule type="expression" dxfId="537" priority="18">
      <formula>$P$12&lt;&gt;$M$12</formula>
    </cfRule>
  </conditionalFormatting>
  <conditionalFormatting sqref="T94:T95 R90:S95 U87:U93 T90:T92 O88:O92 P88:Q93">
    <cfRule type="cellIs" dxfId="536" priority="16" stopIfTrue="1" operator="notEqual">
      <formula>#REF!</formula>
    </cfRule>
  </conditionalFormatting>
  <conditionalFormatting sqref="R84">
    <cfRule type="expression" priority="14" stopIfTrue="1">
      <formula>$M$85&lt;0</formula>
    </cfRule>
    <cfRule type="expression" dxfId="535" priority="15">
      <formula>$S$85&lt;&gt;0</formula>
    </cfRule>
  </conditionalFormatting>
  <conditionalFormatting sqref="R80 R77">
    <cfRule type="expression" dxfId="534" priority="12" stopIfTrue="1">
      <formula>$M$85&gt;=0</formula>
    </cfRule>
    <cfRule type="expression" priority="13">
      <formula>$M$85&lt;0</formula>
    </cfRule>
  </conditionalFormatting>
  <conditionalFormatting sqref="U87:U88 R89:U92 O88:Q92">
    <cfRule type="cellIs" dxfId="533" priority="11" stopIfTrue="1" operator="notEqual">
      <formula>#REF!</formula>
    </cfRule>
  </conditionalFormatting>
  <conditionalFormatting sqref="M101">
    <cfRule type="expression" dxfId="532" priority="10">
      <formula>$M$101&lt;&gt;0</formula>
    </cfRule>
  </conditionalFormatting>
  <conditionalFormatting sqref="M102">
    <cfRule type="expression" dxfId="531" priority="9">
      <formula>$M$93&lt;&gt;$M$100</formula>
    </cfRule>
  </conditionalFormatting>
  <conditionalFormatting sqref="U87:U92 R90:T92 O88:Q92">
    <cfRule type="cellIs" dxfId="530" priority="8" stopIfTrue="1" operator="notEqual">
      <formula>#REF!</formula>
    </cfRule>
  </conditionalFormatting>
  <conditionalFormatting sqref="T89:U89 Q91 T90 O89:O90 P89:Q89 R89:S91">
    <cfRule type="cellIs" dxfId="529" priority="7" stopIfTrue="1" operator="notEqual">
      <formula>#REF!</formula>
    </cfRule>
  </conditionalFormatting>
  <conditionalFormatting sqref="Q36">
    <cfRule type="expression" dxfId="528" priority="6">
      <formula>#REF!&lt;&gt;#REF!</formula>
    </cfRule>
  </conditionalFormatting>
  <conditionalFormatting sqref="R35">
    <cfRule type="expression" dxfId="527" priority="5">
      <formula>#REF!&lt;&gt;0</formula>
    </cfRule>
  </conditionalFormatting>
  <conditionalFormatting sqref="Q35">
    <cfRule type="expression" dxfId="526" priority="4">
      <formula>#REF!&lt;&gt;0</formula>
    </cfRule>
  </conditionalFormatting>
  <conditionalFormatting sqref="R36">
    <cfRule type="expression" dxfId="525" priority="3">
      <formula>#REF!&lt;&gt;#REF!</formula>
    </cfRule>
  </conditionalFormatting>
  <conditionalFormatting sqref="G59:K59">
    <cfRule type="expression" dxfId="524" priority="1">
      <formula>OR($P$105&gt;0,$P$106&lt;&gt;0,$P$107&lt;&gt;0)</formula>
    </cfRule>
  </conditionalFormatting>
  <hyperlinks>
    <hyperlink ref="O2" location="Index!A1" display="Return to Index" xr:uid="{00000000-0004-0000-7B00-000000000000}"/>
  </hyperlinks>
  <printOptions horizontalCentered="1"/>
  <pageMargins left="0.5" right="0.5" top="0.25" bottom="0.25" header="0" footer="0.25"/>
  <pageSetup scale="10" orientation="landscape" r:id="rId1"/>
  <headerFooter alignWithMargins="0"/>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Sheet102"/>
  <dimension ref="A1:G30"/>
  <sheetViews>
    <sheetView showGridLines="0" zoomScale="80" zoomScaleNormal="80" workbookViewId="0">
      <selection activeCell="E74" sqref="E74:F74"/>
    </sheetView>
  </sheetViews>
  <sheetFormatPr defaultColWidth="9.140625" defaultRowHeight="12.75"/>
  <cols>
    <col min="1" max="1" width="7" style="53" customWidth="1"/>
    <col min="2" max="2" width="93.140625" style="53" customWidth="1"/>
    <col min="3" max="3" width="21.140625" style="53" customWidth="1"/>
    <col min="4" max="9" width="9.140625" style="53"/>
    <col min="10" max="10" width="15.28515625" style="53" customWidth="1"/>
    <col min="11" max="16384" width="9.140625" style="53"/>
  </cols>
  <sheetData>
    <row r="1" spans="2:6" ht="18.75" thickBot="1">
      <c r="B1" s="466" t="str">
        <f>'LU Chrts'!$A$1</f>
        <v xml:space="preserve">Lamar University </v>
      </c>
      <c r="C1" s="835" t="s">
        <v>1200</v>
      </c>
    </row>
    <row r="2" spans="2:6">
      <c r="B2" s="393" t="str">
        <f>'Smmy Chrts'!$A$2</f>
        <v>For the Year Ended August 31, 2021</v>
      </c>
    </row>
    <row r="3" spans="2:6">
      <c r="B3" s="393" t="str">
        <f>'Smmy Chrts'!$A$3</f>
        <v>Source: FY 2021 Annual Financial Report</v>
      </c>
    </row>
    <row r="5" spans="2:6" customFormat="1">
      <c r="B5" s="529" t="s">
        <v>705</v>
      </c>
    </row>
    <row r="6" spans="2:6" customFormat="1">
      <c r="B6" s="530"/>
    </row>
    <row r="7" spans="2:6" customFormat="1" ht="226.5" customHeight="1">
      <c r="B7" s="531" t="s">
        <v>706</v>
      </c>
      <c r="C7" s="532"/>
    </row>
    <row r="8" spans="2:6" customFormat="1" ht="263.25" customHeight="1">
      <c r="B8" s="531" t="s">
        <v>707</v>
      </c>
    </row>
    <row r="9" spans="2:6" ht="64.5" customHeight="1">
      <c r="B9" s="533" t="str">
        <f>IF('LU FGD'!$R$76="N/A","FN11.  N/A",$B$20&amp;$B$21&amp;$B$22&amp;$B$23&amp;$B$24&amp;$B$25&amp;$B$26&amp;$B$27&amp;$B$28&amp;$B$29&amp;$B$30)</f>
        <v>FN11: Of the net increase of $31,802,285 approximately $26.5 million represents revenues received but not yet expended. This income is fully committed to program expenditures and capital disbursements. The remaining $5.3 million represents non-expendable funds from unrealized gains and additions to permanent endowments of approximately $5.0 million and $390 thousand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TEXT(IF('LU FGD'!$M$85&lt;0,"N/A",'LU FGD'!$M$85),"$* #,##0;$* (#,##0)")</f>
        <v>$31,802,285</v>
      </c>
      <c r="C21" s="480"/>
      <c r="D21" s="480"/>
      <c r="E21" s="480"/>
      <c r="G21" s="105"/>
    </row>
    <row r="22" spans="1:7">
      <c r="B22" s="105" t="s">
        <v>682</v>
      </c>
    </row>
    <row r="23" spans="1:7">
      <c r="A23" s="53">
        <v>61</v>
      </c>
      <c r="B23" s="515" t="str">
        <f>IF(ABS('LU FGD'!$R$77)&gt;=1000000,TEXT('LU FGD'!$R$77/1000000,"$* #,##0.0;$* (#,##0.0)")&amp;" million",IF(ABS('LU FGD'!$R$77)&lt;1000,TEXT('LU FGD'!$R$77,"$* #,##0;$* (#,##0)"),TEXT('LU FGD'!$R$77/1000,"$* #,##0;$* (#,##0)")&amp;" thousand"))</f>
        <v>$26.5 million</v>
      </c>
      <c r="C23" s="515"/>
      <c r="E23" s="515"/>
    </row>
    <row r="24" spans="1:7">
      <c r="B24" s="105" t="s">
        <v>708</v>
      </c>
    </row>
    <row r="25" spans="1:7">
      <c r="A25" s="53">
        <v>62</v>
      </c>
      <c r="B25" s="515" t="str">
        <f>IF(ABS('LU FGD'!$R$78)&gt;=1000000,TEXT('LU FGD'!$R$78/1000000,"$* #,##0.0;$* (#,##0.0)")&amp;" million",IF(ABS('LU FGD'!$R$78)&lt;1000,TEXT('LU FGD'!$R$78,"$* #,##0;$* (#,##0)"),TEXT('LU FGD'!$R$78/1000,"$* #,##0;$* (#,##0)")&amp;" thousand"))</f>
        <v>$5.3 million</v>
      </c>
      <c r="C25" s="515"/>
      <c r="E25" s="515"/>
    </row>
    <row r="26" spans="1:7">
      <c r="B26" s="105" t="s">
        <v>683</v>
      </c>
    </row>
    <row r="27" spans="1:7">
      <c r="A27" s="53">
        <v>64</v>
      </c>
      <c r="B27" s="515" t="str">
        <f>IF(ABS('LU FGD'!$R$80)&gt;=1000000,TEXT('LU FGD'!$R$80/1000000,"$* #,##0.0;$* (#,##0.0)")&amp;" million",IF(ABS('LU FGD'!$R$80)&lt;1000,TEXT('LU FGD'!$R$80,"$* #,##0;$* (#,##0)"),TEXT('LU FGD'!$R$80/1000,"$* #,##0;$* (#,##0)")&amp;" thousand"))</f>
        <v>$5.0 million</v>
      </c>
      <c r="C27" s="515"/>
      <c r="E27" s="515"/>
    </row>
    <row r="28" spans="1:7">
      <c r="B28" s="105" t="s">
        <v>684</v>
      </c>
    </row>
    <row r="29" spans="1:7">
      <c r="A29" s="53">
        <v>66</v>
      </c>
      <c r="B29" s="515" t="str">
        <f>IF(ABS('LU FGD'!$R$82)&gt;=1000000,TEXT('LU FGD'!$R$82/1000000,"$* #,##0.0;$* (#,##0.0)")&amp;" million",IF(ABS('LU FGD'!$R$82)&lt;1000,TEXT('LU FGD'!$R$82,"$* #,##0;$* (#,##0)"),TEXT('LU FGD'!$R$82/1000,"$* #,##0;$* (#,##0)")&amp;" thousand"))</f>
        <v>$390 thousand</v>
      </c>
      <c r="C29" s="515"/>
      <c r="E29" s="515"/>
    </row>
    <row r="30" spans="1:7">
      <c r="B30" s="105" t="s">
        <v>709</v>
      </c>
    </row>
  </sheetData>
  <hyperlinks>
    <hyperlink ref="C1" location="Index!A1" display="Return to Index" xr:uid="{00000000-0004-0000-7C00-000000000000}"/>
  </hyperlinks>
  <pageMargins left="0.25" right="0.25" top="0.25" bottom="0.25" header="0" footer="0.25"/>
  <pageSetup orientation="portrait" r:id="rId1"/>
  <headerFooter alignWithMargins="0"/>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Sheet103">
    <tabColor indexed="47"/>
    <pageSetUpPr fitToPage="1"/>
  </sheetPr>
  <dimension ref="A1:E165"/>
  <sheetViews>
    <sheetView showGridLines="0" zoomScale="65" zoomScaleNormal="65" zoomScaleSheetLayoutView="65" workbookViewId="0">
      <selection activeCell="B36" sqref="B36"/>
    </sheetView>
  </sheetViews>
  <sheetFormatPr defaultColWidth="9.140625" defaultRowHeight="12.75" customHeight="1"/>
  <cols>
    <col min="1" max="1" width="158.7109375" style="53" customWidth="1"/>
    <col min="2" max="2" width="23.85546875" style="53" customWidth="1"/>
    <col min="3" max="3" width="48.140625" style="53" customWidth="1"/>
    <col min="4" max="4" width="20.7109375" style="53" customWidth="1"/>
    <col min="5" max="5" width="9.140625" style="679"/>
    <col min="6" max="16384" width="9.140625" style="53"/>
  </cols>
  <sheetData>
    <row r="1" spans="1:5" ht="28.5" thickBot="1">
      <c r="A1" s="159" t="s">
        <v>2247</v>
      </c>
      <c r="B1" s="835" t="s">
        <v>1200</v>
      </c>
      <c r="C1" s="53" t="s">
        <v>1329</v>
      </c>
    </row>
    <row r="2" spans="1:5" ht="13.5" customHeight="1">
      <c r="A2" s="1345" t="s">
        <v>2132</v>
      </c>
      <c r="C2" s="55" t="s">
        <v>63</v>
      </c>
    </row>
    <row r="3" spans="1:5" ht="27.75">
      <c r="A3" s="54" t="str">
        <f>'Smmy Chrts'!$A$2</f>
        <v>For the Year Ended August 31, 2021</v>
      </c>
      <c r="C3" s="53" t="s">
        <v>64</v>
      </c>
    </row>
    <row r="4" spans="1:5" ht="25.5" customHeight="1">
      <c r="A4" s="54" t="str">
        <f>'Smmy Chrts'!$A$3</f>
        <v>Source: FY 2021 Annual Financial Report</v>
      </c>
      <c r="C4" s="53" t="s">
        <v>267</v>
      </c>
    </row>
    <row r="5" spans="1:5" ht="12.75" customHeight="1">
      <c r="C5" s="53" t="s">
        <v>268</v>
      </c>
    </row>
    <row r="7" spans="1:5" ht="12.75" customHeight="1">
      <c r="C7" s="1687" t="s">
        <v>25</v>
      </c>
      <c r="D7" s="1687"/>
    </row>
    <row r="8" spans="1:5" ht="12.75" customHeight="1">
      <c r="C8" s="57"/>
      <c r="D8" s="58"/>
    </row>
    <row r="9" spans="1:5" ht="12.75" customHeight="1">
      <c r="C9" s="59" t="str">
        <f>'shsu1 Sum'!A9</f>
        <v>State of Texas</v>
      </c>
      <c r="D9" s="60">
        <f>'shsu1 Sum'!B15</f>
        <v>107341336</v>
      </c>
      <c r="E9" s="680">
        <f>ROUND(D9/$D$14,3)</f>
        <v>0.249</v>
      </c>
    </row>
    <row r="10" spans="1:5" ht="12.75" customHeight="1">
      <c r="C10" s="59" t="str">
        <f>'shsu1 Sum'!A17</f>
        <v>Student &amp; Parent</v>
      </c>
      <c r="D10" s="60">
        <f>'shsu1 Sum'!B20</f>
        <v>176866747</v>
      </c>
      <c r="E10" s="680">
        <f t="shared" ref="E10:E12" si="0">ROUND(D10/$D$14,3)</f>
        <v>0.40899999999999997</v>
      </c>
    </row>
    <row r="11" spans="1:5" ht="12.75" customHeight="1">
      <c r="C11" s="59" t="str">
        <f>'shsu1 Sum'!A22</f>
        <v>Federal Government</v>
      </c>
      <c r="D11" s="60">
        <f>'shsu1 Sum'!B23</f>
        <v>75908436</v>
      </c>
      <c r="E11" s="680">
        <f t="shared" si="0"/>
        <v>0.17599999999999999</v>
      </c>
    </row>
    <row r="12" spans="1:5" ht="12.75" customHeight="1">
      <c r="C12" s="59" t="str">
        <f>'shsu1 Sum'!A25</f>
        <v>Institutional Resources</v>
      </c>
      <c r="D12" s="60">
        <f>'shsu1 Sum'!B32</f>
        <v>71798488</v>
      </c>
      <c r="E12" s="680">
        <f t="shared" si="0"/>
        <v>0.16600000000000001</v>
      </c>
    </row>
    <row r="13" spans="1:5" ht="12.75" customHeight="1">
      <c r="C13" s="57"/>
      <c r="D13" s="58"/>
      <c r="E13" s="680"/>
    </row>
    <row r="14" spans="1:5" ht="12.75" customHeight="1">
      <c r="C14" s="61" t="s">
        <v>68</v>
      </c>
      <c r="D14" s="62">
        <f>SUM(D9:D13)</f>
        <v>431915007</v>
      </c>
      <c r="E14" s="680">
        <f>SUM(E9:E13)</f>
        <v>0.99999999999999989</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86" t="str">
        <f>C14&amp;" "&amp;TEXT(D14,"$#,###")</f>
        <v>Total Operating Sources $431,915,007</v>
      </c>
    </row>
    <row r="48" spans="1:1" ht="12.75" customHeight="1">
      <c r="A48" s="1686"/>
    </row>
    <row r="49" spans="1:5" ht="12.75" customHeight="1">
      <c r="A49" s="56"/>
    </row>
    <row r="52" spans="1:5" ht="12.75" customHeight="1">
      <c r="C52" s="63" t="s">
        <v>25</v>
      </c>
      <c r="D52" s="58"/>
    </row>
    <row r="54" spans="1:5" ht="12.75" customHeight="1">
      <c r="C54" s="59" t="s">
        <v>1</v>
      </c>
      <c r="D54" s="60">
        <f>'shsu1 Sum'!B10</f>
        <v>69852319</v>
      </c>
      <c r="E54" s="680">
        <f>ROUND(D54/$D$67,3)</f>
        <v>0.16200000000000001</v>
      </c>
    </row>
    <row r="55" spans="1:5" ht="12.75" customHeight="1">
      <c r="C55" s="59" t="s">
        <v>221</v>
      </c>
      <c r="D55" s="60">
        <f>'shsu1 Sum'!B11</f>
        <v>19252206</v>
      </c>
      <c r="E55" s="680">
        <f t="shared" ref="E55:E66" si="1">ROUND(D55/$D$67,3)</f>
        <v>4.4999999999999998E-2</v>
      </c>
    </row>
    <row r="56" spans="1:5" ht="12.75" customHeight="1">
      <c r="C56" s="59"/>
      <c r="D56" s="60"/>
      <c r="E56" s="680"/>
    </row>
    <row r="57" spans="1:5" ht="12.75" customHeight="1">
      <c r="C57" s="59" t="str">
        <f>'shsu1 Sum'!A13</f>
        <v>Higher Education Fund</v>
      </c>
      <c r="D57" s="60">
        <f>'shsu1 Sum'!B13</f>
        <v>18236811</v>
      </c>
      <c r="E57" s="680">
        <f t="shared" si="1"/>
        <v>4.2000000000000003E-2</v>
      </c>
    </row>
    <row r="58" spans="1:5" ht="12.75" customHeight="1">
      <c r="C58" s="1069" t="s">
        <v>41</v>
      </c>
      <c r="D58" s="60">
        <f>'shsu1 Sum'!B14</f>
        <v>0</v>
      </c>
      <c r="E58" s="680">
        <f t="shared" si="1"/>
        <v>0</v>
      </c>
    </row>
    <row r="59" spans="1:5" ht="12.75" customHeight="1">
      <c r="C59" s="59" t="s">
        <v>87</v>
      </c>
      <c r="D59" s="60">
        <f>'shsu1 Sum'!B20</f>
        <v>176866747</v>
      </c>
      <c r="E59" s="680">
        <f t="shared" si="1"/>
        <v>0.40899999999999997</v>
      </c>
    </row>
    <row r="60" spans="1:5" ht="12.75" customHeight="1">
      <c r="C60" s="64" t="s">
        <v>74</v>
      </c>
      <c r="D60" s="60">
        <f>'shsu1 Sum'!B23</f>
        <v>75908436</v>
      </c>
      <c r="E60" s="680">
        <f t="shared" si="1"/>
        <v>0.17599999999999999</v>
      </c>
    </row>
    <row r="61" spans="1:5" ht="12.75" customHeight="1">
      <c r="C61" s="59" t="s">
        <v>75</v>
      </c>
      <c r="D61" s="60">
        <f>'shsu1 Sum'!B26</f>
        <v>21848719</v>
      </c>
      <c r="E61" s="680">
        <f t="shared" si="1"/>
        <v>5.0999999999999997E-2</v>
      </c>
    </row>
    <row r="62" spans="1:5" ht="12.75" customHeight="1">
      <c r="C62" s="59" t="s">
        <v>27</v>
      </c>
      <c r="D62" s="60">
        <f>'shsu1 Sum'!B27</f>
        <v>4694576</v>
      </c>
      <c r="E62" s="680">
        <f t="shared" si="1"/>
        <v>1.0999999999999999E-2</v>
      </c>
    </row>
    <row r="63" spans="1:5" ht="12.75" customHeight="1">
      <c r="C63" s="59" t="s">
        <v>76</v>
      </c>
      <c r="D63" s="60">
        <f>'shsu1 Sum'!B28</f>
        <v>3750334</v>
      </c>
      <c r="E63" s="680">
        <f t="shared" si="1"/>
        <v>8.9999999999999993E-3</v>
      </c>
    </row>
    <row r="64" spans="1:5" ht="12.75" customHeight="1">
      <c r="C64" s="59" t="s">
        <v>77</v>
      </c>
      <c r="D64" s="60">
        <f>'shsu1 Sum'!B29</f>
        <v>3631921</v>
      </c>
      <c r="E64" s="680">
        <f t="shared" si="1"/>
        <v>8.0000000000000002E-3</v>
      </c>
    </row>
    <row r="65" spans="1:5" ht="12.75" customHeight="1">
      <c r="C65" s="59" t="s">
        <v>220</v>
      </c>
      <c r="D65" s="60">
        <f>'shsu1 Sum'!B30</f>
        <v>32037617</v>
      </c>
      <c r="E65" s="680">
        <f t="shared" si="1"/>
        <v>7.3999999999999996E-2</v>
      </c>
    </row>
    <row r="66" spans="1:5" ht="12.75" customHeight="1">
      <c r="C66" s="64" t="s">
        <v>52</v>
      </c>
      <c r="D66" s="60">
        <f>'shsu1 Sum'!B31</f>
        <v>5835321</v>
      </c>
      <c r="E66" s="680">
        <f t="shared" si="1"/>
        <v>1.4E-2</v>
      </c>
    </row>
    <row r="67" spans="1:5" ht="12.75" customHeight="1">
      <c r="C67" s="61" t="s">
        <v>68</v>
      </c>
      <c r="D67" s="62">
        <f>SUM(D54:D66)</f>
        <v>431915007</v>
      </c>
      <c r="E67" s="681">
        <f>SUM(E54:E66)</f>
        <v>1.0010000000000001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86" t="str">
        <f>C67&amp;" "&amp;TEXT(D67,"$#,###")</f>
        <v>Total Operating Sources $431,915,007</v>
      </c>
    </row>
    <row r="93" spans="1:5" ht="12.75" customHeight="1">
      <c r="A93" s="1686"/>
    </row>
    <row r="94" spans="1:5" ht="12.75" customHeight="1">
      <c r="A94" s="65"/>
    </row>
    <row r="95" spans="1:5" s="68" customFormat="1" ht="12.75" customHeight="1">
      <c r="A95" s="66"/>
      <c r="E95" s="682"/>
    </row>
    <row r="96" spans="1:5" ht="12.75" customHeight="1">
      <c r="A96" s="65"/>
    </row>
    <row r="97" spans="1:5" ht="12.75" customHeight="1">
      <c r="A97" s="65"/>
    </row>
    <row r="98" spans="1:5" ht="12.75" customHeight="1">
      <c r="A98" s="65"/>
    </row>
    <row r="100" spans="1:5" ht="12.75" customHeight="1">
      <c r="C100" s="1687" t="s">
        <v>13</v>
      </c>
      <c r="D100" s="1687"/>
    </row>
    <row r="101" spans="1:5" ht="12.75" customHeight="1">
      <c r="C101" s="1687"/>
      <c r="D101" s="1687"/>
    </row>
    <row r="102" spans="1:5" ht="12.75" customHeight="1">
      <c r="C102" s="69" t="s">
        <v>14</v>
      </c>
      <c r="D102" s="60">
        <f>'shsu1 Sum'!B36</f>
        <v>102021253</v>
      </c>
      <c r="E102" s="680">
        <f>ROUND(D102/$D$114,3)</f>
        <v>0.29099999999999998</v>
      </c>
    </row>
    <row r="103" spans="1:5" ht="12.75" customHeight="1">
      <c r="C103" s="69" t="s">
        <v>15</v>
      </c>
      <c r="D103" s="60">
        <f>'shsu1 Sum'!B37</f>
        <v>10416913</v>
      </c>
      <c r="E103" s="680">
        <f t="shared" ref="E103:E112" si="2">ROUND(D103/$D$114,3)</f>
        <v>0.03</v>
      </c>
    </row>
    <row r="104" spans="1:5" ht="12.75" customHeight="1">
      <c r="C104" s="69" t="s">
        <v>16</v>
      </c>
      <c r="D104" s="60">
        <f>'shsu1 Sum'!B38</f>
        <v>16145883</v>
      </c>
      <c r="E104" s="680">
        <f t="shared" si="2"/>
        <v>4.5999999999999999E-2</v>
      </c>
    </row>
    <row r="105" spans="1:5" ht="12.75" customHeight="1">
      <c r="C105" s="69" t="s">
        <v>17</v>
      </c>
      <c r="D105" s="60">
        <f>'shsu1 Sum'!B39</f>
        <v>45409150</v>
      </c>
      <c r="E105" s="680">
        <f t="shared" si="2"/>
        <v>0.13</v>
      </c>
    </row>
    <row r="106" spans="1:5" ht="12.75" customHeight="1">
      <c r="C106" s="69" t="s">
        <v>18</v>
      </c>
      <c r="D106" s="60">
        <f>'shsu1 Sum'!B40</f>
        <v>27978543</v>
      </c>
      <c r="E106" s="680">
        <f t="shared" si="2"/>
        <v>0.08</v>
      </c>
    </row>
    <row r="107" spans="1:5" ht="12.75" customHeight="1">
      <c r="C107" s="69" t="s">
        <v>19</v>
      </c>
      <c r="D107" s="60">
        <f>'shsu1 Sum'!B41</f>
        <v>24667154</v>
      </c>
      <c r="E107" s="680">
        <f t="shared" si="2"/>
        <v>7.0000000000000007E-2</v>
      </c>
    </row>
    <row r="108" spans="1:5" ht="12.75" customHeight="1">
      <c r="C108" s="69" t="s">
        <v>78</v>
      </c>
      <c r="D108" s="60">
        <f>'shsu1 Sum'!B42</f>
        <v>24366699</v>
      </c>
      <c r="E108" s="680">
        <f t="shared" si="2"/>
        <v>7.0000000000000007E-2</v>
      </c>
    </row>
    <row r="109" spans="1:5" ht="12.75" customHeight="1">
      <c r="C109" s="69" t="s">
        <v>79</v>
      </c>
      <c r="D109" s="60">
        <f>'shsu1 Sum'!B43</f>
        <v>50724853</v>
      </c>
      <c r="E109" s="680">
        <f t="shared" si="2"/>
        <v>0.14499999999999999</v>
      </c>
    </row>
    <row r="110" spans="1:5" ht="12.75" customHeight="1">
      <c r="C110" s="69" t="s">
        <v>22</v>
      </c>
      <c r="D110" s="60">
        <f>'shsu1 Sum'!B44</f>
        <v>43777054</v>
      </c>
      <c r="E110" s="680">
        <f t="shared" si="2"/>
        <v>0.125</v>
      </c>
    </row>
    <row r="111" spans="1:5" ht="12.75" customHeight="1">
      <c r="C111" s="64" t="s">
        <v>29</v>
      </c>
      <c r="D111" s="60">
        <f>'shsu1 Sum'!B45</f>
        <v>4693822</v>
      </c>
      <c r="E111" s="680">
        <f t="shared" si="2"/>
        <v>1.2999999999999999E-2</v>
      </c>
    </row>
    <row r="112" spans="1:5" ht="12.75" customHeight="1">
      <c r="C112" s="64" t="s">
        <v>53</v>
      </c>
      <c r="D112" s="60">
        <f>'shsu1 Sum'!B46</f>
        <v>349762</v>
      </c>
      <c r="E112" s="680">
        <f t="shared" si="2"/>
        <v>1E-3</v>
      </c>
    </row>
    <row r="113" spans="3:5" ht="12.75" customHeight="1">
      <c r="C113" s="57"/>
      <c r="D113" s="57"/>
    </row>
    <row r="114" spans="3:5" ht="12.75" customHeight="1">
      <c r="C114" s="70" t="s">
        <v>69</v>
      </c>
      <c r="D114" s="62">
        <f>SUM(D102:D113)</f>
        <v>350551086</v>
      </c>
      <c r="E114" s="681">
        <f>SUM(E102:E113)</f>
        <v>1.0009999999999999</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86" t="str">
        <f>C114&amp;" "&amp;TEXT(D114,"$#,###")</f>
        <v>Total Operating Uses $350,551,086</v>
      </c>
    </row>
    <row r="137" spans="1:1" ht="12.75" customHeight="1">
      <c r="A137" s="1686"/>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7D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1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transitionEvaluation="1" transitionEntry="1" codeName="Sheet104">
    <tabColor indexed="13"/>
  </sheetPr>
  <dimension ref="A1:AE79"/>
  <sheetViews>
    <sheetView showGridLines="0" zoomScale="85" zoomScaleNormal="85" workbookViewId="0">
      <pane xSplit="1" ySplit="6" topLeftCell="B16" activePane="bottomRight" state="frozen"/>
      <selection activeCell="E74" sqref="E74:F74"/>
      <selection pane="topRight" activeCell="E74" sqref="E74:F74"/>
      <selection pane="bottomLeft" activeCell="E74" sqref="E74:F74"/>
      <selection pane="bottomRight" activeCell="E39" sqref="E39"/>
    </sheetView>
  </sheetViews>
  <sheetFormatPr defaultColWidth="9.140625"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'shsu1 Chrts'!$A$1</f>
        <v>Sam Houston State University - Academic &amp; Health (A+H)</v>
      </c>
      <c r="B1" s="74"/>
      <c r="C1" s="1"/>
      <c r="D1" s="1704" t="s">
        <v>1200</v>
      </c>
      <c r="E1" s="1705"/>
      <c r="F1" s="1757" t="s">
        <v>1196</v>
      </c>
      <c r="G1" s="1706"/>
      <c r="H1" s="1706"/>
      <c r="I1" s="1706"/>
      <c r="J1" s="1707" t="s">
        <v>1197</v>
      </c>
      <c r="K1" s="1695"/>
      <c r="L1" s="1695"/>
      <c r="M1" s="1695"/>
      <c r="N1" s="1695"/>
      <c r="O1" s="1696"/>
    </row>
    <row r="2" spans="1:15">
      <c r="A2" s="172" t="s">
        <v>2132</v>
      </c>
      <c r="B2" s="74"/>
      <c r="C2" s="1"/>
      <c r="D2" s="37"/>
      <c r="E2" s="37"/>
      <c r="F2" s="37"/>
      <c r="J2" s="37"/>
      <c r="K2" s="37"/>
      <c r="L2" s="37"/>
      <c r="M2" s="37"/>
    </row>
    <row r="3" spans="1:15" ht="15.75">
      <c r="A3" s="76" t="str">
        <f>'Smmy Chrts'!$A$2</f>
        <v>For the Year Ended August 31, 2021</v>
      </c>
      <c r="B3" s="74"/>
      <c r="C3" s="1"/>
    </row>
    <row r="4" spans="1:15" ht="13.5" customHeight="1">
      <c r="A4" s="76" t="str">
        <f>'Smmy Chrts'!$A$3</f>
        <v>Source: FY 2021 Annual Financial Report</v>
      </c>
      <c r="B4" s="77"/>
      <c r="C4" s="4"/>
      <c r="D4" s="1711" t="s">
        <v>1142</v>
      </c>
      <c r="E4" s="1711" t="s">
        <v>1143</v>
      </c>
      <c r="F4" s="266"/>
    </row>
    <row r="5" spans="1:15" ht="18">
      <c r="A5" s="39" t="str">
        <f>'Smmy Chrts'!$C$35</f>
        <v>Summary Worksheet FY 2021</v>
      </c>
      <c r="B5" s="40" t="s">
        <v>86</v>
      </c>
      <c r="C5" s="40" t="s">
        <v>129</v>
      </c>
      <c r="D5" s="1712"/>
      <c r="E5" s="1712"/>
      <c r="F5" s="266"/>
      <c r="G5" s="799" t="s">
        <v>1198</v>
      </c>
      <c r="I5" s="822" t="s">
        <v>2157</v>
      </c>
      <c r="J5" s="792" t="s">
        <v>1144</v>
      </c>
    </row>
    <row r="6" spans="1:15" ht="13.5" customHeight="1">
      <c r="A6" s="78" t="s">
        <v>266</v>
      </c>
      <c r="B6" s="41"/>
      <c r="C6" s="42">
        <f>VLOOKUP($A$1,FTSELU,12,FALSE)</f>
        <v>17594.09</v>
      </c>
      <c r="J6" s="712"/>
    </row>
    <row r="7" spans="1:15">
      <c r="I7" s="824" t="s">
        <v>1162</v>
      </c>
      <c r="J7" s="827"/>
    </row>
    <row r="8" spans="1:15">
      <c r="A8" s="81" t="s">
        <v>71</v>
      </c>
      <c r="B8" s="81"/>
      <c r="C8" s="24"/>
      <c r="I8" s="896">
        <f>VLOOKUP(A1,FTSELU,14,FALSE)</f>
        <v>1473.12</v>
      </c>
      <c r="J8" s="712"/>
    </row>
    <row r="9" spans="1:15" ht="12.75" customHeight="1" thickBot="1">
      <c r="A9" s="78" t="s">
        <v>0</v>
      </c>
      <c r="B9" s="82"/>
      <c r="C9" s="7"/>
      <c r="J9" s="712"/>
    </row>
    <row r="10" spans="1:15" ht="12.75" customHeight="1" thickTop="1">
      <c r="A10" s="75" t="s">
        <v>1</v>
      </c>
      <c r="B10" s="83">
        <f>'shsu1 FGD'!M10</f>
        <v>69852319</v>
      </c>
      <c r="C10" s="83">
        <f>ROUND(B10/$C$6,0)</f>
        <v>3970</v>
      </c>
      <c r="D10" s="512">
        <f>'shsu1 FGD'!F10</f>
        <v>0</v>
      </c>
      <c r="E10" s="512"/>
      <c r="F10" s="84">
        <f>B10-(SUM(D10:E10))</f>
        <v>69852319</v>
      </c>
      <c r="G10" s="1143" t="s">
        <v>1</v>
      </c>
      <c r="H10" s="1144"/>
      <c r="I10" s="825" t="s">
        <v>1161</v>
      </c>
      <c r="J10" s="713">
        <f>ROUND(F10/$C$6,0)</f>
        <v>3970</v>
      </c>
    </row>
    <row r="11" spans="1:15" ht="12.75" customHeight="1" thickBot="1">
      <c r="A11" s="75" t="s">
        <v>2</v>
      </c>
      <c r="B11" s="86">
        <f>'shsu1 FGD'!M11</f>
        <v>19252206</v>
      </c>
      <c r="C11" s="87">
        <f t="shared" ref="C11:C14" si="0">ROUND(B11/$C$6,0)</f>
        <v>1094</v>
      </c>
      <c r="D11" s="86">
        <f>'shsu1 FGD'!F11</f>
        <v>0</v>
      </c>
      <c r="E11" s="74"/>
      <c r="F11" s="606">
        <f t="shared" ref="F11:F14" si="1">B11-(SUM(D11:E11))</f>
        <v>19252206</v>
      </c>
      <c r="G11" s="1148">
        <f>SUM(F10:F11)</f>
        <v>89104525</v>
      </c>
      <c r="H11" s="715"/>
      <c r="I11" s="1373">
        <f>ROUND($G$11/$C$6,0)</f>
        <v>5064</v>
      </c>
      <c r="J11" s="716">
        <f t="shared" ref="J11:J14" si="2">ROUND(F11/$C$6,0)</f>
        <v>1094</v>
      </c>
    </row>
    <row r="12" spans="1:15" ht="12.75" hidden="1" customHeight="1" thickTop="1" thickBot="1">
      <c r="A12" s="75" t="s">
        <v>1410</v>
      </c>
      <c r="B12" s="86"/>
      <c r="C12" s="87"/>
      <c r="D12" s="86"/>
      <c r="E12" s="74"/>
      <c r="F12" s="607"/>
      <c r="J12" s="716"/>
      <c r="O12" s="608"/>
    </row>
    <row r="13" spans="1:15" ht="12.75" customHeight="1" thickTop="1">
      <c r="A13" s="75" t="s">
        <v>1368</v>
      </c>
      <c r="B13" s="86">
        <f>'shsu1 FGD'!M13</f>
        <v>18236811</v>
      </c>
      <c r="C13" s="87">
        <f t="shared" si="0"/>
        <v>1037</v>
      </c>
      <c r="D13" s="86">
        <f>'shsu1 FGD'!F13</f>
        <v>0</v>
      </c>
      <c r="E13" s="74"/>
      <c r="F13" s="893">
        <f t="shared" si="1"/>
        <v>18236811</v>
      </c>
      <c r="G13" s="882" t="s">
        <v>81</v>
      </c>
      <c r="H13" s="894"/>
      <c r="I13" s="826" t="s">
        <v>1163</v>
      </c>
      <c r="J13" s="716">
        <f t="shared" si="2"/>
        <v>1037</v>
      </c>
    </row>
    <row r="14" spans="1:15" ht="12.75" customHeight="1" thickBot="1">
      <c r="A14" s="75" t="s">
        <v>49</v>
      </c>
      <c r="B14" s="86">
        <f>'shsu1 FGD'!M14</f>
        <v>0</v>
      </c>
      <c r="C14" s="87">
        <f t="shared" si="0"/>
        <v>0</v>
      </c>
      <c r="D14" s="86">
        <f>'shsu1 FGD'!F14</f>
        <v>0</v>
      </c>
      <c r="E14" s="74"/>
      <c r="F14" s="607">
        <f t="shared" si="1"/>
        <v>0</v>
      </c>
      <c r="G14" s="800">
        <f>SUM(F13:F14)</f>
        <v>18236811</v>
      </c>
      <c r="H14" s="895"/>
      <c r="I14" s="1377">
        <f>ROUND($G$11/$I$8,0)</f>
        <v>60487</v>
      </c>
      <c r="J14" s="828">
        <f t="shared" si="2"/>
        <v>0</v>
      </c>
    </row>
    <row r="15" spans="1:15" ht="12.75" customHeight="1" thickTop="1">
      <c r="A15" s="88" t="s">
        <v>3</v>
      </c>
      <c r="B15" s="89">
        <f>SUM(B10:B14)</f>
        <v>107341336</v>
      </c>
      <c r="C15" s="89">
        <f>SUM(C10:C14)</f>
        <v>6101</v>
      </c>
      <c r="D15" s="89">
        <f>SUM(D10:D14)</f>
        <v>0</v>
      </c>
      <c r="E15" s="89">
        <f>SUM(E10:E14)</f>
        <v>0</v>
      </c>
      <c r="F15" s="216">
        <f>SUM(F10:F14)</f>
        <v>107341336</v>
      </c>
      <c r="I15" s="1372"/>
      <c r="J15" s="757">
        <f>SUM(J10:J14)</f>
        <v>6101</v>
      </c>
    </row>
    <row r="16" spans="1:15">
      <c r="B16" s="48"/>
      <c r="C16" s="75"/>
      <c r="J16" s="712"/>
    </row>
    <row r="17" spans="1:31" ht="12.75" customHeight="1">
      <c r="A17" s="78" t="s">
        <v>4</v>
      </c>
      <c r="B17" s="86"/>
      <c r="C17" s="75"/>
      <c r="J17" s="712"/>
    </row>
    <row r="18" spans="1:31">
      <c r="A18" s="75" t="s">
        <v>39</v>
      </c>
      <c r="B18" s="83">
        <f>'shsu1 FGD'!M29</f>
        <v>88966340</v>
      </c>
      <c r="C18" s="83">
        <f t="shared" ref="C18:C19" si="3">ROUND(B18/$C$6,0)</f>
        <v>5057</v>
      </c>
      <c r="D18" s="512">
        <f>'shsu1 FGD'!$F$29</f>
        <v>0</v>
      </c>
      <c r="E18" s="512"/>
      <c r="F18" s="512">
        <f t="shared" ref="F18:F19" si="4">B18-(SUM(D18:E18))</f>
        <v>88966340</v>
      </c>
      <c r="G18" s="337"/>
      <c r="H18" s="337"/>
      <c r="I18" s="337"/>
      <c r="J18" s="713">
        <f>ROUND(F18/$C$6,0)</f>
        <v>5057</v>
      </c>
    </row>
    <row r="19" spans="1:31" ht="13.5" thickBot="1">
      <c r="A19" s="75" t="s">
        <v>40</v>
      </c>
      <c r="B19" s="86">
        <f>'shsu1 FGD'!M42</f>
        <v>87900407</v>
      </c>
      <c r="C19" s="87">
        <f t="shared" si="3"/>
        <v>4996</v>
      </c>
      <c r="D19" s="74">
        <f>'shsu1 FGD'!$F$42</f>
        <v>10620475</v>
      </c>
      <c r="E19" s="74"/>
      <c r="F19" s="74">
        <f t="shared" si="4"/>
        <v>77279932</v>
      </c>
      <c r="G19" s="337"/>
      <c r="H19" s="337"/>
      <c r="I19" s="337"/>
      <c r="J19" s="716">
        <f>ROUND(F19/$C$6,0)</f>
        <v>4392</v>
      </c>
    </row>
    <row r="20" spans="1:31" ht="14.25" thickTop="1" thickBot="1">
      <c r="A20" s="88" t="s">
        <v>5</v>
      </c>
      <c r="B20" s="89">
        <f>SUM(B18:B19)</f>
        <v>176866747</v>
      </c>
      <c r="C20" s="89">
        <f>SUM(C18:C19)</f>
        <v>10053</v>
      </c>
      <c r="D20" s="717">
        <f>SUM(D18:D19)</f>
        <v>10620475</v>
      </c>
      <c r="E20" s="718">
        <f>SUM(E18:E19)</f>
        <v>0</v>
      </c>
      <c r="F20" s="801">
        <f>SUM(F18:F19)</f>
        <v>166246272</v>
      </c>
      <c r="G20" s="720" t="s">
        <v>26</v>
      </c>
      <c r="H20" s="366"/>
      <c r="I20" s="367"/>
      <c r="J20" s="721">
        <f>SUM(J18:J19)</f>
        <v>9449</v>
      </c>
    </row>
    <row r="21" spans="1:31" ht="12.75" customHeight="1" thickTop="1">
      <c r="B21" s="91"/>
      <c r="C21" s="75"/>
      <c r="F21" s="804"/>
      <c r="J21" s="712"/>
    </row>
    <row r="22" spans="1:31" ht="14.25" customHeight="1" thickBot="1">
      <c r="A22" s="78" t="s">
        <v>6</v>
      </c>
      <c r="B22" s="91"/>
      <c r="C22" s="75"/>
      <c r="J22" s="712"/>
    </row>
    <row r="23" spans="1:31" ht="14.25" thickTop="1" thickBot="1">
      <c r="A23" s="88" t="s">
        <v>7</v>
      </c>
      <c r="B23" s="92">
        <f>'shsu1 FGD'!M47</f>
        <v>75908436</v>
      </c>
      <c r="C23" s="89">
        <f t="shared" ref="C23" si="5">ROUND(B23/$C$6,0)</f>
        <v>4314</v>
      </c>
      <c r="D23" s="717">
        <f>'shsu1 FGD'!F47</f>
        <v>0</v>
      </c>
      <c r="E23" s="718"/>
      <c r="F23" s="801">
        <f>B23-(SUM(D23:E23))</f>
        <v>75908436</v>
      </c>
      <c r="G23" s="722" t="s">
        <v>74</v>
      </c>
      <c r="H23" s="366"/>
      <c r="I23" s="367"/>
      <c r="J23" s="756">
        <f>ROUND(F23/$C$6,0)</f>
        <v>4314</v>
      </c>
    </row>
    <row r="24" spans="1:31" ht="13.5" thickTop="1">
      <c r="B24" s="91"/>
      <c r="C24" s="75"/>
      <c r="J24" s="712"/>
    </row>
    <row r="25" spans="1:31">
      <c r="A25" s="78" t="s">
        <v>8</v>
      </c>
      <c r="B25" s="91"/>
      <c r="C25" s="75"/>
      <c r="J25" s="712"/>
    </row>
    <row r="26" spans="1:31">
      <c r="A26" s="75" t="s">
        <v>42</v>
      </c>
      <c r="B26" s="83">
        <f>'shsu1 FGD'!M50</f>
        <v>21848719</v>
      </c>
      <c r="C26" s="83">
        <f t="shared" ref="C26:C31" si="6">ROUND(B26/$C$6,0)</f>
        <v>1242</v>
      </c>
      <c r="D26" s="512">
        <f>'shsu1 FGD'!F50</f>
        <v>0</v>
      </c>
      <c r="E26" s="512"/>
      <c r="F26" s="512">
        <f t="shared" ref="F26:F31" si="7">B26-(SUM(D26:E26))</f>
        <v>21848719</v>
      </c>
      <c r="G26" s="337"/>
      <c r="H26" s="337"/>
      <c r="I26" s="337"/>
      <c r="J26" s="713">
        <f>ROUND(F26/$C$6,0)</f>
        <v>1242</v>
      </c>
    </row>
    <row r="27" spans="1:31">
      <c r="A27" s="75" t="s">
        <v>9</v>
      </c>
      <c r="B27" s="86">
        <f>'shsu1 FGD'!M51</f>
        <v>4694576</v>
      </c>
      <c r="C27" s="87">
        <f t="shared" si="6"/>
        <v>267</v>
      </c>
      <c r="D27" s="86">
        <f>'shsu1 FGD'!F51</f>
        <v>0</v>
      </c>
      <c r="E27" s="74"/>
      <c r="F27" s="74">
        <f t="shared" si="7"/>
        <v>4694576</v>
      </c>
      <c r="G27" s="337"/>
      <c r="H27" s="337"/>
      <c r="I27" s="337"/>
      <c r="J27" s="716">
        <f t="shared" ref="J27:J31" si="8">ROUND(F27/$C$6,0)</f>
        <v>267</v>
      </c>
    </row>
    <row r="28" spans="1:31" ht="13.5" thickBot="1">
      <c r="A28" s="75" t="s">
        <v>10</v>
      </c>
      <c r="B28" s="86">
        <f>'shsu1 FGD'!M52</f>
        <v>3750334</v>
      </c>
      <c r="C28" s="87">
        <f t="shared" si="6"/>
        <v>213</v>
      </c>
      <c r="D28" s="86">
        <f>'shsu1 FGD'!F52</f>
        <v>5382</v>
      </c>
      <c r="E28" s="74"/>
      <c r="F28" s="74">
        <f t="shared" si="7"/>
        <v>3744952</v>
      </c>
      <c r="G28" s="337"/>
      <c r="H28" s="337"/>
      <c r="I28" s="337"/>
      <c r="J28" s="716">
        <f t="shared" si="8"/>
        <v>213</v>
      </c>
    </row>
    <row r="29" spans="1:31" ht="13.5" thickBot="1">
      <c r="A29" s="75" t="s">
        <v>11</v>
      </c>
      <c r="B29" s="86">
        <f>'shsu1 FGD'!M53</f>
        <v>3631921</v>
      </c>
      <c r="C29" s="87">
        <f t="shared" si="6"/>
        <v>206</v>
      </c>
      <c r="D29" s="86">
        <f>'shsu1 FGD'!F53</f>
        <v>167824</v>
      </c>
      <c r="E29" s="74"/>
      <c r="F29" s="74">
        <f t="shared" si="7"/>
        <v>3464097</v>
      </c>
      <c r="G29" s="337"/>
      <c r="H29" s="337"/>
      <c r="I29" s="337"/>
      <c r="J29" s="716">
        <f t="shared" si="8"/>
        <v>197</v>
      </c>
      <c r="K29" s="1694" t="s">
        <v>1065</v>
      </c>
      <c r="L29" s="1695"/>
      <c r="M29" s="1695"/>
      <c r="N29" s="1695"/>
      <c r="O29" s="1696"/>
    </row>
    <row r="30" spans="1:31" ht="13.5" thickBot="1">
      <c r="A30" s="93" t="s">
        <v>2134</v>
      </c>
      <c r="B30" s="94">
        <f>'shsu1 FGD'!M54</f>
        <v>32037617</v>
      </c>
      <c r="C30" s="87">
        <f t="shared" si="6"/>
        <v>1821</v>
      </c>
      <c r="D30" s="729">
        <f>B30</f>
        <v>32037617</v>
      </c>
      <c r="E30" s="74"/>
      <c r="F30" s="74">
        <f t="shared" si="7"/>
        <v>0</v>
      </c>
      <c r="G30" s="337"/>
      <c r="H30" s="337"/>
      <c r="I30" s="337"/>
      <c r="J30" s="716">
        <f t="shared" si="8"/>
        <v>0</v>
      </c>
      <c r="K30" s="1694" t="s">
        <v>1070</v>
      </c>
      <c r="L30" s="1695"/>
      <c r="M30" s="1695"/>
      <c r="N30" s="1695"/>
      <c r="O30" s="1696"/>
    </row>
    <row r="31" spans="1:31" ht="13.5" customHeight="1" thickBot="1">
      <c r="A31" s="95" t="s">
        <v>43</v>
      </c>
      <c r="B31" s="86">
        <f>'shsu1 FGD'!M55</f>
        <v>5835321</v>
      </c>
      <c r="C31" s="87">
        <f t="shared" si="6"/>
        <v>332</v>
      </c>
      <c r="D31" s="86">
        <f>'shsu1 FGD'!F55</f>
        <v>1348389</v>
      </c>
      <c r="E31" s="74"/>
      <c r="F31" s="74">
        <f t="shared" si="7"/>
        <v>4486932</v>
      </c>
      <c r="G31" s="35"/>
      <c r="H31" s="35"/>
      <c r="I31" s="38"/>
      <c r="J31" s="716">
        <f t="shared" si="8"/>
        <v>255</v>
      </c>
      <c r="K31" s="1697" t="s">
        <v>1073</v>
      </c>
      <c r="L31" s="1697" t="s">
        <v>1071</v>
      </c>
      <c r="M31" s="1697" t="s">
        <v>1072</v>
      </c>
      <c r="N31" s="1697" t="s">
        <v>1240</v>
      </c>
      <c r="O31" s="1697"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71798488</v>
      </c>
      <c r="C32" s="89">
        <f>SUM(C26:C31)</f>
        <v>4081</v>
      </c>
      <c r="D32" s="723">
        <f>SUM(D26:D31)</f>
        <v>33559212</v>
      </c>
      <c r="E32" s="723">
        <f>SUM(E26:E31)</f>
        <v>0</v>
      </c>
      <c r="F32" s="802">
        <f>SUM(F26:F31)</f>
        <v>38239276</v>
      </c>
      <c r="G32" s="1708" t="s">
        <v>8</v>
      </c>
      <c r="H32" s="1709"/>
      <c r="I32" s="783" t="s">
        <v>1166</v>
      </c>
      <c r="J32" s="725">
        <f>SUM(J26:J31)</f>
        <v>2174</v>
      </c>
      <c r="K32" s="1698"/>
      <c r="L32" s="1698"/>
      <c r="M32" s="1698"/>
      <c r="N32" s="1698" t="s">
        <v>1074</v>
      </c>
      <c r="O32" s="1698" t="s">
        <v>1075</v>
      </c>
    </row>
    <row r="33" spans="1:31" ht="14.25" thickTop="1" thickBot="1">
      <c r="A33" s="97" t="s">
        <v>68</v>
      </c>
      <c r="B33" s="52">
        <f>B15+B20+B23+B32</f>
        <v>431915007</v>
      </c>
      <c r="C33" s="45">
        <f>C15+C20+C23+C32</f>
        <v>24549</v>
      </c>
      <c r="D33" s="52">
        <f>D15+D20+D23+D32</f>
        <v>44179687</v>
      </c>
      <c r="E33" s="52">
        <f>E15+E20+E23+E32</f>
        <v>0</v>
      </c>
      <c r="F33" s="724">
        <f>F15+F20+F23+F32</f>
        <v>387735320</v>
      </c>
      <c r="G33" s="1758" t="s">
        <v>84</v>
      </c>
      <c r="H33" s="1759"/>
      <c r="I33" s="1375">
        <f>ROUND($G$35/$C$6,0)</f>
        <v>21001</v>
      </c>
      <c r="J33" s="726">
        <f>J15+J20+J23+J32</f>
        <v>22038</v>
      </c>
      <c r="K33" s="1698"/>
      <c r="L33" s="1698"/>
      <c r="M33" s="1698"/>
      <c r="N33" s="1698"/>
      <c r="O33" s="1698"/>
    </row>
    <row r="34" spans="1:31" ht="14.25" thickTop="1" thickBot="1">
      <c r="B34" s="98"/>
      <c r="C34" s="75"/>
      <c r="D34" s="337"/>
      <c r="E34" s="337"/>
      <c r="F34" s="337" t="s">
        <v>1199</v>
      </c>
      <c r="G34" s="787">
        <f>G14*-1</f>
        <v>-18236811</v>
      </c>
      <c r="H34" s="337"/>
      <c r="I34" s="783" t="s">
        <v>1167</v>
      </c>
      <c r="J34" s="727"/>
      <c r="K34" s="1699"/>
      <c r="L34" s="1699"/>
      <c r="M34" s="1699"/>
      <c r="N34" s="1699"/>
      <c r="O34" s="1699"/>
    </row>
    <row r="35" spans="1:31" ht="14.25" thickTop="1" thickBot="1">
      <c r="A35" s="81" t="s">
        <v>72</v>
      </c>
      <c r="B35" s="81"/>
      <c r="C35" s="81"/>
      <c r="D35" s="728"/>
      <c r="E35" s="728"/>
      <c r="F35" s="788" t="s">
        <v>1165</v>
      </c>
      <c r="G35" s="803">
        <f>F33+G34</f>
        <v>369498509</v>
      </c>
      <c r="I35" s="1376">
        <f>ROUND($G$35/$I$8,0)</f>
        <v>250827</v>
      </c>
      <c r="K35" s="609"/>
      <c r="L35" s="609"/>
      <c r="M35" s="609"/>
      <c r="N35" s="609"/>
      <c r="O35" s="609"/>
    </row>
    <row r="36" spans="1:31" ht="13.5" thickTop="1">
      <c r="A36" s="99" t="s">
        <v>14</v>
      </c>
      <c r="B36" s="83">
        <f>'shsu1 FGD'!M60</f>
        <v>102021253</v>
      </c>
      <c r="C36" s="83">
        <f t="shared" ref="C36:C46" si="9">ROUND(B36/$C$6,0)</f>
        <v>5799</v>
      </c>
      <c r="D36" s="512">
        <f>'shsu1 FGD'!F60</f>
        <v>0</v>
      </c>
      <c r="E36" s="512"/>
      <c r="F36" s="512">
        <f t="shared" ref="F36:F46" si="10">B36-(SUM(D36:E36))</f>
        <v>102021253</v>
      </c>
      <c r="G36" s="337"/>
      <c r="H36" s="1378" t="s">
        <v>2158</v>
      </c>
      <c r="I36" s="1379">
        <f>ROUND(F36/$C$6,0)</f>
        <v>5799</v>
      </c>
      <c r="J36" s="337" t="s">
        <v>752</v>
      </c>
      <c r="K36" s="512">
        <f>F36</f>
        <v>102021253</v>
      </c>
      <c r="L36" s="512">
        <f>K36</f>
        <v>102021253</v>
      </c>
      <c r="M36" s="512"/>
      <c r="N36" s="512"/>
      <c r="O36" s="512"/>
    </row>
    <row r="37" spans="1:31">
      <c r="A37" s="99" t="s">
        <v>15</v>
      </c>
      <c r="B37" s="86">
        <f>'shsu1 FGD'!M61</f>
        <v>10416913</v>
      </c>
      <c r="C37" s="87">
        <f t="shared" si="9"/>
        <v>592</v>
      </c>
      <c r="D37" s="86">
        <f>'shsu1 FGD'!F61</f>
        <v>0</v>
      </c>
      <c r="E37" s="74"/>
      <c r="F37" s="74">
        <f t="shared" si="10"/>
        <v>10416913</v>
      </c>
      <c r="G37" s="337"/>
      <c r="H37" s="337"/>
      <c r="J37" s="337" t="s">
        <v>1076</v>
      </c>
      <c r="K37" s="373">
        <f>F37</f>
        <v>10416913</v>
      </c>
      <c r="L37" s="373">
        <f>K37</f>
        <v>10416913</v>
      </c>
      <c r="M37" s="373"/>
      <c r="N37" s="373"/>
      <c r="O37" s="373"/>
    </row>
    <row r="38" spans="1:31">
      <c r="A38" s="99" t="s">
        <v>16</v>
      </c>
      <c r="B38" s="86">
        <f>'shsu1 FGD'!M62</f>
        <v>16145883</v>
      </c>
      <c r="C38" s="87">
        <f t="shared" si="9"/>
        <v>918</v>
      </c>
      <c r="D38" s="86">
        <f>'shsu1 FGD'!F62</f>
        <v>1802</v>
      </c>
      <c r="E38" s="86">
        <f>B38-D38</f>
        <v>16144081</v>
      </c>
      <c r="F38" s="74">
        <f t="shared" si="10"/>
        <v>0</v>
      </c>
      <c r="G38" s="337"/>
      <c r="H38" s="337"/>
      <c r="I38" s="337"/>
      <c r="J38" s="337" t="s">
        <v>1077</v>
      </c>
      <c r="K38" s="736"/>
      <c r="L38" s="737"/>
      <c r="M38" s="737" t="s">
        <v>1152</v>
      </c>
      <c r="N38" s="737"/>
      <c r="O38" s="738"/>
    </row>
    <row r="39" spans="1:31">
      <c r="A39" s="99" t="s">
        <v>17</v>
      </c>
      <c r="B39" s="86">
        <f>'shsu1 FGD'!M63</f>
        <v>45409150</v>
      </c>
      <c r="C39" s="87">
        <f t="shared" si="9"/>
        <v>2581</v>
      </c>
      <c r="D39" s="86">
        <f>'shsu1 FGD'!F63</f>
        <v>0</v>
      </c>
      <c r="E39" s="74"/>
      <c r="F39" s="74">
        <f t="shared" si="10"/>
        <v>45409150</v>
      </c>
      <c r="G39" s="337"/>
      <c r="H39" s="1378" t="s">
        <v>2159</v>
      </c>
      <c r="I39" s="1379">
        <f>ROUND(F39/$C$6,0)</f>
        <v>2581</v>
      </c>
      <c r="J39" s="337" t="s">
        <v>1078</v>
      </c>
      <c r="K39" s="373">
        <f t="shared" ref="K39:K43" si="11">F39</f>
        <v>45409150</v>
      </c>
      <c r="L39" s="373">
        <f>K39</f>
        <v>45409150</v>
      </c>
      <c r="M39" s="373"/>
      <c r="N39" s="373"/>
      <c r="O39" s="373"/>
    </row>
    <row r="40" spans="1:31">
      <c r="A40" s="99" t="s">
        <v>18</v>
      </c>
      <c r="B40" s="86">
        <f>'shsu1 FGD'!M64</f>
        <v>27978543</v>
      </c>
      <c r="C40" s="87">
        <f t="shared" si="9"/>
        <v>1590</v>
      </c>
      <c r="D40" s="86">
        <f>'shsu1 FGD'!F64</f>
        <v>0</v>
      </c>
      <c r="E40" s="74"/>
      <c r="F40" s="74">
        <f t="shared" si="10"/>
        <v>27978543</v>
      </c>
      <c r="G40" s="337"/>
      <c r="J40" s="337" t="s">
        <v>1079</v>
      </c>
      <c r="K40" s="373">
        <f t="shared" si="11"/>
        <v>27978543</v>
      </c>
      <c r="L40" s="373"/>
      <c r="M40" s="373">
        <f>K40</f>
        <v>27978543</v>
      </c>
      <c r="N40" s="373"/>
      <c r="O40" s="373"/>
    </row>
    <row r="41" spans="1:31">
      <c r="A41" s="99" t="s">
        <v>19</v>
      </c>
      <c r="B41" s="86">
        <f>'shsu1 FGD'!M65</f>
        <v>24667154</v>
      </c>
      <c r="C41" s="87">
        <f t="shared" si="9"/>
        <v>1402</v>
      </c>
      <c r="D41" s="86">
        <f>'shsu1 FGD'!F65</f>
        <v>0</v>
      </c>
      <c r="E41" s="74"/>
      <c r="F41" s="74">
        <f t="shared" si="10"/>
        <v>24667154</v>
      </c>
      <c r="G41" s="337"/>
      <c r="H41" s="1378" t="s">
        <v>2160</v>
      </c>
      <c r="I41" s="1379">
        <f>ROUND(F41/$C$6,0)</f>
        <v>1402</v>
      </c>
      <c r="J41" s="337" t="s">
        <v>757</v>
      </c>
      <c r="K41" s="373">
        <f t="shared" si="11"/>
        <v>24667154</v>
      </c>
      <c r="L41" s="373"/>
      <c r="M41" s="373"/>
      <c r="N41" s="373">
        <f>K41</f>
        <v>24667154</v>
      </c>
      <c r="O41" s="373"/>
    </row>
    <row r="42" spans="1:31">
      <c r="A42" s="99" t="s">
        <v>20</v>
      </c>
      <c r="B42" s="86">
        <f>'shsu1 FGD'!M66</f>
        <v>24366699</v>
      </c>
      <c r="C42" s="87">
        <f t="shared" si="9"/>
        <v>1385</v>
      </c>
      <c r="D42" s="86">
        <f>'shsu1 FGD'!F66</f>
        <v>0</v>
      </c>
      <c r="E42" s="74"/>
      <c r="F42" s="74">
        <f t="shared" si="10"/>
        <v>24366699</v>
      </c>
      <c r="G42" s="337"/>
      <c r="J42" s="337" t="s">
        <v>758</v>
      </c>
      <c r="K42" s="373">
        <f t="shared" si="11"/>
        <v>24366699</v>
      </c>
      <c r="L42" s="373"/>
      <c r="M42" s="373"/>
      <c r="N42" s="373">
        <f>K42</f>
        <v>24366699</v>
      </c>
      <c r="O42" s="373"/>
    </row>
    <row r="43" spans="1:31">
      <c r="A43" s="99" t="s">
        <v>21</v>
      </c>
      <c r="B43" s="86">
        <f>'shsu1 FGD'!M67</f>
        <v>50724853</v>
      </c>
      <c r="C43" s="87">
        <f t="shared" si="9"/>
        <v>2883</v>
      </c>
      <c r="D43" s="86">
        <f>'shsu1 FGD'!F67</f>
        <v>0</v>
      </c>
      <c r="E43" s="74"/>
      <c r="F43" s="74">
        <f t="shared" si="10"/>
        <v>50724853</v>
      </c>
      <c r="G43" s="337"/>
      <c r="H43" s="337"/>
      <c r="I43" s="337"/>
      <c r="J43" s="337" t="s">
        <v>1145</v>
      </c>
      <c r="K43" s="373">
        <f t="shared" si="11"/>
        <v>50724853</v>
      </c>
      <c r="L43" s="373"/>
      <c r="M43" s="373">
        <f>K43</f>
        <v>50724853</v>
      </c>
      <c r="N43" s="373"/>
      <c r="O43" s="373"/>
    </row>
    <row r="44" spans="1:31">
      <c r="A44" s="99" t="s">
        <v>2135</v>
      </c>
      <c r="B44" s="86">
        <f>'shsu1 FGD'!M68</f>
        <v>43777054</v>
      </c>
      <c r="C44" s="87">
        <f t="shared" si="9"/>
        <v>2488</v>
      </c>
      <c r="D44" s="729">
        <f>B44</f>
        <v>43777054</v>
      </c>
      <c r="E44" s="74"/>
      <c r="F44" s="74">
        <f t="shared" si="10"/>
        <v>0</v>
      </c>
      <c r="G44" s="337"/>
      <c r="H44" s="337"/>
      <c r="I44" s="337"/>
      <c r="J44" s="337" t="s">
        <v>743</v>
      </c>
      <c r="K44" s="736"/>
      <c r="L44" s="737"/>
      <c r="M44" s="737" t="s">
        <v>1152</v>
      </c>
      <c r="N44" s="737"/>
      <c r="O44" s="738"/>
    </row>
    <row r="45" spans="1:31">
      <c r="A45" s="99" t="s">
        <v>61</v>
      </c>
      <c r="B45" s="86">
        <f>'shsu1 FGD'!M69</f>
        <v>4693822</v>
      </c>
      <c r="C45" s="87">
        <f t="shared" si="9"/>
        <v>267</v>
      </c>
      <c r="D45" s="86">
        <f>'shsu1 FGD'!F69</f>
        <v>107282</v>
      </c>
      <c r="E45" s="74"/>
      <c r="F45" s="74">
        <f t="shared" si="10"/>
        <v>4586540</v>
      </c>
      <c r="G45" s="337"/>
      <c r="H45" s="337"/>
      <c r="I45" s="337"/>
      <c r="J45" s="337" t="s">
        <v>1080</v>
      </c>
      <c r="K45" s="373">
        <f t="shared" ref="K45:K46" si="12">F45</f>
        <v>4586540</v>
      </c>
      <c r="L45" s="373"/>
      <c r="M45" s="373"/>
      <c r="N45" s="373"/>
      <c r="O45" s="373">
        <f>K45</f>
        <v>4586540</v>
      </c>
    </row>
    <row r="46" spans="1:31" ht="13.5" thickBot="1">
      <c r="A46" s="75" t="s">
        <v>50</v>
      </c>
      <c r="B46" s="86">
        <f>'shsu1 FGD'!M70</f>
        <v>349762</v>
      </c>
      <c r="C46" s="87">
        <f t="shared" si="9"/>
        <v>20</v>
      </c>
      <c r="D46" s="86">
        <f>'shsu1 FGD'!F70</f>
        <v>0</v>
      </c>
      <c r="E46" s="74"/>
      <c r="F46" s="74">
        <f t="shared" si="10"/>
        <v>349762</v>
      </c>
      <c r="G46" s="35"/>
      <c r="H46" s="1378" t="s">
        <v>2161</v>
      </c>
      <c r="I46" s="1379">
        <f>ROUND(SUM(F37+F40+F42+F43+F45+F46)/$C$6,0)</f>
        <v>6731</v>
      </c>
      <c r="J46" s="610" t="s">
        <v>1075</v>
      </c>
      <c r="K46" s="373">
        <f t="shared" si="12"/>
        <v>349762</v>
      </c>
      <c r="L46" s="611"/>
      <c r="M46" s="611"/>
      <c r="N46" s="611"/>
      <c r="O46" s="373">
        <f>K46</f>
        <v>349762</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350551086</v>
      </c>
      <c r="C47" s="45">
        <f>SUM(C36:C46)</f>
        <v>19925</v>
      </c>
      <c r="D47" s="730">
        <f>SUM(D36:D46)</f>
        <v>43886138</v>
      </c>
      <c r="E47" s="731">
        <f>SUM(E36:E46)</f>
        <v>16144081</v>
      </c>
      <c r="F47" s="719">
        <f>SUM(F36:F46)</f>
        <v>290520867</v>
      </c>
      <c r="G47" s="1688" t="s">
        <v>1176</v>
      </c>
      <c r="H47" s="1689"/>
      <c r="I47" s="785" t="s">
        <v>1164</v>
      </c>
      <c r="J47" s="610" t="s">
        <v>1081</v>
      </c>
      <c r="K47" s="612">
        <f>SUM(K36:K46)</f>
        <v>290520867</v>
      </c>
      <c r="L47" s="612">
        <f>SUM(L36:L46)</f>
        <v>157847316</v>
      </c>
      <c r="M47" s="612">
        <f>SUM(M36:M46)</f>
        <v>78703396</v>
      </c>
      <c r="N47" s="612">
        <f>SUM(N36:N46)</f>
        <v>49033853</v>
      </c>
      <c r="O47" s="612">
        <f>SUM(O36:O46)</f>
        <v>4936302</v>
      </c>
    </row>
    <row r="48" spans="1:31" ht="14.25" thickTop="1" thickBot="1">
      <c r="A48" s="93"/>
      <c r="B48" s="98"/>
      <c r="C48" s="75"/>
      <c r="F48" s="613"/>
      <c r="G48" s="1690"/>
      <c r="H48" s="1691"/>
      <c r="I48" s="823">
        <f>ROUND(F47/C6,0)</f>
        <v>16512</v>
      </c>
      <c r="J48" s="1700" t="s">
        <v>1082</v>
      </c>
      <c r="K48" s="611"/>
      <c r="L48" s="611"/>
      <c r="M48" s="611"/>
      <c r="N48" s="611"/>
      <c r="O48" s="611"/>
    </row>
    <row r="49" spans="1:31" ht="13.5" thickBot="1">
      <c r="A49" s="78" t="s">
        <v>23</v>
      </c>
      <c r="B49" s="82"/>
      <c r="C49" s="75"/>
      <c r="F49" s="614"/>
      <c r="G49" s="1690"/>
      <c r="H49" s="1691"/>
      <c r="I49" s="811"/>
      <c r="J49" s="1700"/>
      <c r="K49" s="615">
        <f>ROUND(K47/$C$6,2)</f>
        <v>16512.41</v>
      </c>
      <c r="L49" s="615">
        <f t="shared" ref="L49:O49" si="13">ROUND(L47/$C$6,2)</f>
        <v>8971.61</v>
      </c>
      <c r="M49" s="615">
        <f t="shared" si="13"/>
        <v>4473.29</v>
      </c>
      <c r="N49" s="615">
        <f t="shared" si="13"/>
        <v>2786.95</v>
      </c>
      <c r="O49" s="615">
        <f t="shared" si="13"/>
        <v>280.57</v>
      </c>
      <c r="P49" s="35"/>
      <c r="Q49" s="96"/>
      <c r="R49" s="96"/>
      <c r="S49" s="96"/>
      <c r="T49" s="96"/>
      <c r="U49" s="96"/>
      <c r="V49" s="96"/>
      <c r="W49" s="96"/>
      <c r="X49" s="96"/>
      <c r="Y49" s="96"/>
      <c r="Z49" s="96"/>
      <c r="AA49" s="96"/>
      <c r="AB49" s="96"/>
      <c r="AC49" s="96"/>
      <c r="AD49" s="96"/>
      <c r="AE49" s="96"/>
    </row>
    <row r="50" spans="1:31" ht="13.5" thickBot="1">
      <c r="A50" s="75" t="s">
        <v>62</v>
      </c>
      <c r="B50" s="86">
        <f>'shsu1 FGD'!M74</f>
        <v>-52853362</v>
      </c>
      <c r="C50" s="83">
        <f t="shared" ref="C50:C53" si="14">ROUND(B50/$C$6,0)</f>
        <v>-3004</v>
      </c>
      <c r="D50" s="512">
        <f>'shsu1 FGD'!F74</f>
        <v>0</v>
      </c>
      <c r="E50" s="512"/>
      <c r="F50" s="732">
        <f t="shared" ref="F50:F53" si="15">B50-(SUM(D50:E50))</f>
        <v>-52853362</v>
      </c>
      <c r="G50" s="1692"/>
      <c r="H50" s="1693"/>
      <c r="I50" s="808"/>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'shsu1 FGD'!M75</f>
        <v>-5903864</v>
      </c>
      <c r="C51" s="87">
        <f t="shared" si="14"/>
        <v>-336</v>
      </c>
      <c r="D51" s="91">
        <f>'shsu1 FGD'!F75</f>
        <v>100000</v>
      </c>
      <c r="E51" s="82"/>
      <c r="F51" s="74">
        <f t="shared" si="15"/>
        <v>-6003864</v>
      </c>
      <c r="G51" s="337"/>
      <c r="J51" s="337"/>
      <c r="K51" s="616"/>
      <c r="L51" s="616"/>
      <c r="M51" s="616"/>
      <c r="N51" s="616"/>
      <c r="O51" s="616"/>
    </row>
    <row r="52" spans="1:31">
      <c r="A52" s="75" t="s">
        <v>51</v>
      </c>
      <c r="B52" s="86">
        <f>'shsu1 FGD'!M76</f>
        <v>0</v>
      </c>
      <c r="C52" s="87">
        <f t="shared" si="14"/>
        <v>0</v>
      </c>
      <c r="D52" s="91">
        <f>'shsu1 FGD'!F76</f>
        <v>0</v>
      </c>
      <c r="E52" s="82"/>
      <c r="F52" s="74">
        <f t="shared" si="15"/>
        <v>0</v>
      </c>
      <c r="G52" s="337"/>
      <c r="J52" s="733"/>
      <c r="K52" s="733"/>
      <c r="L52" s="733"/>
      <c r="M52" s="733"/>
      <c r="N52" s="733"/>
      <c r="O52" s="733"/>
    </row>
    <row r="53" spans="1:31" ht="12" customHeight="1">
      <c r="A53" s="75" t="s">
        <v>46</v>
      </c>
      <c r="B53" s="86">
        <f>'shsu1 FGD'!M77</f>
        <v>0</v>
      </c>
      <c r="C53" s="87">
        <f t="shared" si="14"/>
        <v>0</v>
      </c>
      <c r="D53" s="91">
        <f>'shsu1 FGD'!F77</f>
        <v>0</v>
      </c>
      <c r="E53" s="82"/>
      <c r="F53" s="74">
        <f t="shared" si="15"/>
        <v>0</v>
      </c>
      <c r="G53" s="35"/>
      <c r="J53" s="733"/>
      <c r="K53" s="733"/>
      <c r="L53" s="733"/>
      <c r="M53" s="733"/>
      <c r="N53" s="733"/>
      <c r="O53" s="733"/>
      <c r="P53" s="35"/>
      <c r="Q53" s="96"/>
      <c r="R53" s="96"/>
      <c r="S53" s="96"/>
      <c r="T53" s="96"/>
      <c r="U53" s="96"/>
      <c r="V53" s="96"/>
      <c r="W53" s="96"/>
      <c r="X53" s="96"/>
      <c r="Y53" s="96"/>
      <c r="Z53" s="96"/>
      <c r="AA53" s="96"/>
      <c r="AB53" s="96"/>
      <c r="AC53" s="96"/>
      <c r="AD53" s="96"/>
      <c r="AE53" s="96"/>
    </row>
    <row r="54" spans="1:31">
      <c r="A54" s="88" t="s">
        <v>3</v>
      </c>
      <c r="B54" s="89">
        <f>SUM(B50:B53)</f>
        <v>-58757226</v>
      </c>
      <c r="C54" s="89">
        <f>SUM(C50:C53)</f>
        <v>-3340</v>
      </c>
      <c r="D54" s="89">
        <f>SUM(D50:D53)</f>
        <v>100000</v>
      </c>
      <c r="E54" s="89">
        <f>SUM(E50:E53)</f>
        <v>0</v>
      </c>
      <c r="F54" s="102">
        <f>SUM(F50:F53)</f>
        <v>-58857226</v>
      </c>
      <c r="G54" s="337"/>
      <c r="H54" s="337"/>
      <c r="I54" s="337"/>
      <c r="J54" s="733"/>
      <c r="K54" s="733"/>
      <c r="L54" s="733"/>
      <c r="M54" s="733"/>
      <c r="N54" s="733"/>
      <c r="O54" s="733"/>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'shsu1 FGD'!M81</f>
        <v>30345840</v>
      </c>
      <c r="C57" s="83">
        <f>ROUND(B57/$C$6,0)</f>
        <v>1725</v>
      </c>
      <c r="D57" s="512">
        <f>'shsu1 FGD'!F81</f>
        <v>0</v>
      </c>
      <c r="E57" s="512"/>
      <c r="F57" s="512">
        <f t="shared" ref="F57:F58" si="16">B57-(SUM(D57:E57))</f>
        <v>30345840</v>
      </c>
      <c r="G57" s="337"/>
      <c r="H57" s="337"/>
      <c r="I57" s="337"/>
      <c r="J57" s="337"/>
    </row>
    <row r="58" spans="1:31">
      <c r="A58" s="75" t="s">
        <v>48</v>
      </c>
      <c r="B58" s="86">
        <f>'shsu1 FGD'!M82</f>
        <v>2811133</v>
      </c>
      <c r="C58" s="87">
        <f>ROUND(B58/$C$6,0)</f>
        <v>160</v>
      </c>
      <c r="D58" s="91">
        <f>'shsu1 FGD'!F82</f>
        <v>0</v>
      </c>
      <c r="E58" s="82"/>
      <c r="F58" s="74">
        <f t="shared" si="16"/>
        <v>2811133</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33156973</v>
      </c>
      <c r="C59" s="89">
        <f>SUM(C57:C58)</f>
        <v>1885</v>
      </c>
      <c r="D59" s="89">
        <f>SUM(D57:D58)</f>
        <v>0</v>
      </c>
      <c r="E59" s="89">
        <f>SUM(E57:E58)</f>
        <v>0</v>
      </c>
      <c r="F59" s="89">
        <f>SUM(F57:F58)</f>
        <v>33156973</v>
      </c>
      <c r="G59" s="367"/>
      <c r="H59" s="367"/>
      <c r="I59" s="367"/>
      <c r="J59" s="367"/>
      <c r="K59" s="266"/>
      <c r="L59" s="266"/>
      <c r="M59" s="266"/>
      <c r="N59" s="266"/>
      <c r="O59" s="266"/>
      <c r="P59" s="266"/>
    </row>
    <row r="60" spans="1:31">
      <c r="B60" s="82"/>
      <c r="C60" s="75"/>
    </row>
    <row r="61" spans="1:31" ht="13.5" thickBot="1">
      <c r="A61" s="103" t="s">
        <v>573</v>
      </c>
      <c r="B61" s="46">
        <f>B33-B47+B54+B59</f>
        <v>55763668</v>
      </c>
      <c r="C61" s="46">
        <f>C33-C47+C54+C59</f>
        <v>3169</v>
      </c>
      <c r="D61" s="46">
        <f>D33-D47+D54+D59</f>
        <v>393549</v>
      </c>
      <c r="E61" s="46">
        <f>E33-E47+E54+E59</f>
        <v>-16144081</v>
      </c>
      <c r="F61" s="46">
        <f>F33-F47+F54+F59</f>
        <v>71514200</v>
      </c>
    </row>
    <row r="62" spans="1:31" ht="13.5" thickTop="1"/>
    <row r="63" spans="1:31">
      <c r="D63" s="512"/>
    </row>
    <row r="65" spans="2:16">
      <c r="B65" s="734">
        <f>'shsu1 FGD'!$M$85</f>
        <v>55763668</v>
      </c>
      <c r="C65" s="75"/>
      <c r="D65" s="734">
        <f>'shsu1 FGD'!$F$85</f>
        <v>4095785</v>
      </c>
      <c r="E65" s="734">
        <f>'shsu1 FGD'!$M$62*-1</f>
        <v>-16145883</v>
      </c>
      <c r="F65" s="75"/>
    </row>
    <row r="66" spans="2:16">
      <c r="B66" s="734"/>
      <c r="C66" s="75"/>
      <c r="D66" s="734">
        <f>'shsu1 FGD'!$F$68</f>
        <v>39457535</v>
      </c>
      <c r="E66" s="734">
        <f>+$D$38</f>
        <v>1802</v>
      </c>
      <c r="F66" s="734"/>
    </row>
    <row r="67" spans="2:16">
      <c r="B67" s="759"/>
      <c r="C67" s="75"/>
      <c r="D67" s="759">
        <f>-'shsu1 FGD'!$M$68</f>
        <v>-43777054</v>
      </c>
      <c r="E67" s="759"/>
      <c r="F67" s="734"/>
    </row>
    <row r="68" spans="2:16">
      <c r="B68" s="734">
        <f>SUM(B65:B67)</f>
        <v>55763668</v>
      </c>
      <c r="C68" s="75"/>
      <c r="D68" s="734">
        <f>SUM(D65:D67)</f>
        <v>-223734</v>
      </c>
      <c r="E68" s="734">
        <f>SUM(E65:E67)</f>
        <v>-16144081</v>
      </c>
      <c r="F68" s="734">
        <f>B68-D68-E68</f>
        <v>72131483</v>
      </c>
    </row>
    <row r="69" spans="2:16">
      <c r="B69" s="734"/>
      <c r="C69" s="75"/>
      <c r="D69" s="734">
        <f>'shsu1 FGD'!F54*-1</f>
        <v>-31420334</v>
      </c>
      <c r="E69" s="734"/>
      <c r="F69" s="734"/>
    </row>
    <row r="70" spans="2:16" ht="12.75" customHeight="1">
      <c r="B70" s="759"/>
      <c r="C70" s="95"/>
      <c r="D70" s="759">
        <f>'shsu1 FGD'!M54</f>
        <v>32037617</v>
      </c>
      <c r="E70" s="759"/>
      <c r="F70" s="759">
        <f>-D70-D69</f>
        <v>-617283</v>
      </c>
    </row>
    <row r="71" spans="2:16" ht="12.75" customHeight="1">
      <c r="B71" s="734">
        <f>SUM(B68:B70)</f>
        <v>55763668</v>
      </c>
      <c r="C71" s="75"/>
      <c r="D71" s="734">
        <f>SUM(D68:D70)</f>
        <v>393549</v>
      </c>
      <c r="E71" s="734">
        <f>SUM(E68:E70)</f>
        <v>-16144081</v>
      </c>
      <c r="F71" s="734">
        <f>SUM(F68:F70)</f>
        <v>71514200</v>
      </c>
    </row>
    <row r="72" spans="2:16" ht="12.75" customHeight="1">
      <c r="B72" s="734"/>
      <c r="C72" s="75"/>
      <c r="D72" s="734"/>
      <c r="E72" s="734"/>
      <c r="F72" s="734"/>
    </row>
    <row r="73" spans="2:16" ht="12.75" customHeight="1">
      <c r="B73" s="512">
        <f>B61-B71</f>
        <v>0</v>
      </c>
      <c r="C73" s="75"/>
      <c r="D73" s="512">
        <f>D61-D71</f>
        <v>0</v>
      </c>
      <c r="E73" s="512">
        <f>E61-E71</f>
        <v>0</v>
      </c>
      <c r="F73" s="512">
        <f>F61-F71</f>
        <v>0</v>
      </c>
    </row>
    <row r="74" spans="2:16" ht="12.75" customHeight="1">
      <c r="C74" s="75"/>
      <c r="F74" s="617"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G47:H50"/>
    <mergeCell ref="K30:O30"/>
    <mergeCell ref="M31:M34"/>
    <mergeCell ref="G32:H32"/>
    <mergeCell ref="G33:H33"/>
    <mergeCell ref="L31:L34"/>
    <mergeCell ref="K31:K34"/>
    <mergeCell ref="N31:N34"/>
    <mergeCell ref="O31:O34"/>
    <mergeCell ref="J48:J49"/>
    <mergeCell ref="F1:I1"/>
    <mergeCell ref="J1:O1"/>
    <mergeCell ref="D1:E1"/>
    <mergeCell ref="K29:O29"/>
    <mergeCell ref="D4:D5"/>
    <mergeCell ref="E4:E5"/>
  </mergeCells>
  <hyperlinks>
    <hyperlink ref="D1:E1" location="Index!A1" display="Return to Index" xr:uid="{00000000-0004-0000-7E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codeName="Sheet105">
    <tabColor indexed="11"/>
    <pageSetUpPr fitToPage="1"/>
  </sheetPr>
  <dimension ref="A1:AB122"/>
  <sheetViews>
    <sheetView showGridLines="0" zoomScale="75" zoomScaleNormal="75" workbookViewId="0">
      <pane xSplit="2" ySplit="8" topLeftCell="C9" activePane="bottomRight" state="frozen"/>
      <selection activeCell="E74" sqref="E74:F74"/>
      <selection pane="topRight" activeCell="E74" sqref="E74:F74"/>
      <selection pane="bottomLeft" activeCell="E74" sqref="E74:F74"/>
      <selection pane="bottomRight" activeCell="B3" sqref="B3"/>
    </sheetView>
  </sheetViews>
  <sheetFormatPr defaultColWidth="9.140625"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4.5703125" style="164" customWidth="1"/>
    <col min="15" max="15" width="14.42578125" style="261" customWidth="1"/>
    <col min="16" max="16" width="25.7109375" style="264" customWidth="1"/>
    <col min="17" max="17" width="16.42578125" style="264" customWidth="1"/>
    <col min="18" max="18" width="18.7109375" style="264" customWidth="1"/>
    <col min="19" max="19" width="1.7109375" style="264" customWidth="1"/>
    <col min="20" max="20" width="17.140625" style="264" customWidth="1"/>
    <col min="21" max="21" width="16.85546875" style="264" customWidth="1"/>
    <col min="22" max="24" width="19.2851562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13" t="str">
        <f>'shsu1 Chrts'!$A$1</f>
        <v>Sam Houston State University - Academic &amp; Health (A+H)</v>
      </c>
      <c r="C2" s="1713"/>
      <c r="D2" s="1713"/>
      <c r="E2" s="1713"/>
      <c r="F2" s="1742"/>
      <c r="G2" s="160"/>
      <c r="H2" s="161"/>
      <c r="I2" s="320" t="str">
        <f>IF($B$2&lt;&gt;Input!$B$31,"Name Mismatch","")</f>
        <v/>
      </c>
      <c r="J2" s="168"/>
      <c r="K2" s="169"/>
      <c r="L2" s="169"/>
      <c r="M2" s="170"/>
      <c r="O2" s="835" t="s">
        <v>1200</v>
      </c>
      <c r="P2" s="36"/>
    </row>
    <row r="3" spans="1:28">
      <c r="A3" s="184">
        <v>4</v>
      </c>
      <c r="B3" s="172" t="s">
        <v>2132</v>
      </c>
      <c r="C3" s="160"/>
      <c r="D3" s="160"/>
      <c r="E3" s="160"/>
      <c r="F3" s="160"/>
      <c r="G3" s="160"/>
      <c r="H3" s="160"/>
      <c r="I3" s="160"/>
      <c r="J3" s="160"/>
      <c r="K3" s="160"/>
      <c r="L3" s="160"/>
      <c r="M3" s="166"/>
      <c r="O3" s="262"/>
    </row>
    <row r="4" spans="1:28" ht="20.25">
      <c r="A4" s="184">
        <v>2</v>
      </c>
      <c r="B4" s="1713" t="str">
        <f>'Smmy Chrts'!$A$2</f>
        <v>For the Year Ended August 31, 2021</v>
      </c>
      <c r="C4" s="1713"/>
      <c r="D4" s="1713"/>
      <c r="E4" s="1713"/>
      <c r="F4" s="1742"/>
      <c r="G4" s="161"/>
      <c r="H4" s="161"/>
      <c r="I4" s="169"/>
      <c r="J4" s="168"/>
      <c r="K4" s="169"/>
      <c r="L4" s="169"/>
      <c r="M4" s="170"/>
      <c r="O4" s="74"/>
    </row>
    <row r="5" spans="1:28" ht="20.25">
      <c r="A5" s="184">
        <v>3</v>
      </c>
      <c r="B5" s="1713" t="str">
        <f>'Smmy Chrts'!$A$3</f>
        <v>Source: FY 2021 Annual Financial Report</v>
      </c>
      <c r="C5" s="1713"/>
      <c r="D5" s="1713"/>
      <c r="E5" s="1713"/>
      <c r="F5" s="1742"/>
      <c r="G5" s="161"/>
      <c r="H5" s="161"/>
      <c r="I5" s="169"/>
      <c r="J5" s="168"/>
      <c r="K5" s="169"/>
      <c r="L5" s="169"/>
      <c r="M5" s="170"/>
      <c r="O5" s="74"/>
      <c r="P5" s="1744" t="s">
        <v>93</v>
      </c>
      <c r="Q5" s="1745"/>
      <c r="T5" s="36" t="s">
        <v>250</v>
      </c>
    </row>
    <row r="6" spans="1:28">
      <c r="A6" s="184">
        <v>5</v>
      </c>
      <c r="B6" s="1715" t="str">
        <f>'Smmy Chrts'!$C$32</f>
        <v>Detail Worksheet FY 2021</v>
      </c>
      <c r="C6" s="1715"/>
      <c r="D6" s="1743"/>
      <c r="E6" s="1743"/>
      <c r="F6" s="1743"/>
      <c r="G6" s="1743"/>
      <c r="H6" s="1743"/>
      <c r="I6" s="1743"/>
      <c r="J6" s="1743"/>
      <c r="K6" s="1743"/>
      <c r="L6" s="1743"/>
      <c r="M6" s="1743"/>
      <c r="O6" s="265"/>
    </row>
    <row r="7" spans="1:28">
      <c r="A7" s="184">
        <v>6</v>
      </c>
      <c r="B7" s="172"/>
      <c r="C7" s="172"/>
      <c r="D7" s="160"/>
      <c r="E7" s="160"/>
      <c r="F7" s="160"/>
      <c r="G7" s="160"/>
      <c r="H7" s="160"/>
      <c r="I7" s="160"/>
      <c r="J7" s="160"/>
      <c r="K7" s="160"/>
      <c r="L7" s="160"/>
      <c r="M7" s="173" t="str">
        <f>'Smmy Chrts'!$C$33</f>
        <v>FY 2021</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Input!$M$31</f>
        <v>69852319</v>
      </c>
      <c r="E10" s="372">
        <f>Input!$N$31</f>
        <v>0</v>
      </c>
      <c r="F10" s="372">
        <f>Input!$O$31</f>
        <v>0</v>
      </c>
      <c r="G10" s="372">
        <f>Input!$P$31</f>
        <v>0</v>
      </c>
      <c r="H10" s="372">
        <f>Input!$Q$31</f>
        <v>0</v>
      </c>
      <c r="I10" s="372">
        <f>Input!$R$31</f>
        <v>0</v>
      </c>
      <c r="J10" s="372">
        <f>Input!$S$31</f>
        <v>0</v>
      </c>
      <c r="K10" s="372">
        <f>Input!$T$31</f>
        <v>0</v>
      </c>
      <c r="L10" s="372">
        <f>Input!$U$31</f>
        <v>0</v>
      </c>
      <c r="M10" s="373">
        <f t="shared" ref="M10:M15" si="0">D10+E10+F10+G10+H10+I10+J10+K10+L10</f>
        <v>69852319</v>
      </c>
      <c r="N10" s="160"/>
      <c r="O10" s="271"/>
      <c r="P10" s="1718" t="s">
        <v>575</v>
      </c>
      <c r="U10" s="268"/>
    </row>
    <row r="11" spans="1:28">
      <c r="A11" s="184">
        <v>10</v>
      </c>
      <c r="B11" s="160" t="s">
        <v>2</v>
      </c>
      <c r="C11" s="160"/>
      <c r="D11" s="372">
        <f>Input!$V$31</f>
        <v>0</v>
      </c>
      <c r="E11" s="372">
        <f>Input!$W$31</f>
        <v>0</v>
      </c>
      <c r="F11" s="372">
        <f>Input!$X$31</f>
        <v>0</v>
      </c>
      <c r="G11" s="372">
        <f>Input!$Y$31</f>
        <v>19252206</v>
      </c>
      <c r="H11" s="372">
        <f>Input!$Z$31</f>
        <v>0</v>
      </c>
      <c r="I11" s="372">
        <f>Input!$AA$31</f>
        <v>0</v>
      </c>
      <c r="J11" s="372">
        <f>Input!$AB$31</f>
        <v>0</v>
      </c>
      <c r="K11" s="372">
        <f>Input!$AC$31</f>
        <v>0</v>
      </c>
      <c r="L11" s="372">
        <f>Input!$AD$31</f>
        <v>0</v>
      </c>
      <c r="M11" s="373">
        <f t="shared" si="0"/>
        <v>19252206</v>
      </c>
      <c r="N11" s="160"/>
      <c r="O11" s="482"/>
      <c r="P11" s="1719"/>
      <c r="U11" s="268"/>
    </row>
    <row r="12" spans="1:28" ht="12.75" hidden="1" customHeight="1">
      <c r="B12" s="160" t="s">
        <v>1410</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Input!$AN$31</f>
        <v>18236811</v>
      </c>
      <c r="E13" s="372">
        <f>Input!$AO$31</f>
        <v>0</v>
      </c>
      <c r="F13" s="372">
        <f>Input!$AP$31</f>
        <v>0</v>
      </c>
      <c r="G13" s="372">
        <f>Input!$AQ$31</f>
        <v>0</v>
      </c>
      <c r="H13" s="372">
        <f>Input!$AR$31</f>
        <v>0</v>
      </c>
      <c r="I13" s="372">
        <f>Input!$AS$31</f>
        <v>0</v>
      </c>
      <c r="J13" s="372">
        <f>Input!$AT$31</f>
        <v>0</v>
      </c>
      <c r="K13" s="372">
        <f>Input!$AU$31</f>
        <v>0</v>
      </c>
      <c r="L13" s="372">
        <f>Input!$AV$31</f>
        <v>0</v>
      </c>
      <c r="M13" s="373">
        <f t="shared" si="0"/>
        <v>18236811</v>
      </c>
      <c r="N13" s="160"/>
      <c r="O13" s="482" t="str">
        <f>IF(P13&lt;&gt;M13,"Out of Balance","Balanced")</f>
        <v>Balanced</v>
      </c>
      <c r="P13" s="484">
        <f>IFERROR(VLOOKUP($B$2,AMTLU,6,FALSE),0)</f>
        <v>18236811</v>
      </c>
      <c r="U13" s="268"/>
    </row>
    <row r="14" spans="1:28">
      <c r="A14" s="184">
        <v>13</v>
      </c>
      <c r="B14" s="160" t="s">
        <v>49</v>
      </c>
      <c r="C14" s="160"/>
      <c r="D14" s="372">
        <f>Input!$AW$31</f>
        <v>0</v>
      </c>
      <c r="E14" s="372">
        <f>Input!$AX$31</f>
        <v>0</v>
      </c>
      <c r="F14" s="372">
        <f>Input!$AY$31</f>
        <v>0</v>
      </c>
      <c r="G14" s="372">
        <f>Input!$AZ$31</f>
        <v>0</v>
      </c>
      <c r="H14" s="372">
        <f>Input!$BA$31</f>
        <v>0</v>
      </c>
      <c r="I14" s="372">
        <f>Input!$BB$31</f>
        <v>0</v>
      </c>
      <c r="J14" s="372">
        <f>Input!$BC$31</f>
        <v>0</v>
      </c>
      <c r="K14" s="372">
        <f>Input!$BD$31</f>
        <v>0</v>
      </c>
      <c r="L14" s="372">
        <f>Input!$BE$31</f>
        <v>0</v>
      </c>
      <c r="M14" s="373">
        <f t="shared" si="0"/>
        <v>0</v>
      </c>
      <c r="N14" s="160"/>
      <c r="O14" s="482"/>
      <c r="P14" s="485"/>
    </row>
    <row r="15" spans="1:28" ht="15">
      <c r="A15" s="184">
        <v>14</v>
      </c>
      <c r="B15" s="176" t="s">
        <v>3</v>
      </c>
      <c r="C15" s="176"/>
      <c r="D15" s="374">
        <f t="shared" ref="D15:L15" si="1">SUM(D10:D14)</f>
        <v>88089130</v>
      </c>
      <c r="E15" s="374">
        <f t="shared" si="1"/>
        <v>0</v>
      </c>
      <c r="F15" s="374">
        <f t="shared" si="1"/>
        <v>0</v>
      </c>
      <c r="G15" s="374">
        <f t="shared" si="1"/>
        <v>19252206</v>
      </c>
      <c r="H15" s="374">
        <f t="shared" si="1"/>
        <v>0</v>
      </c>
      <c r="I15" s="374">
        <f t="shared" si="1"/>
        <v>0</v>
      </c>
      <c r="J15" s="374">
        <f t="shared" si="1"/>
        <v>0</v>
      </c>
      <c r="K15" s="374">
        <f t="shared" si="1"/>
        <v>0</v>
      </c>
      <c r="L15" s="374">
        <f t="shared" si="1"/>
        <v>0</v>
      </c>
      <c r="M15" s="374">
        <f t="shared" si="0"/>
        <v>107341336</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4"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4" s="264" customFormat="1" ht="13.5" customHeight="1" thickBot="1">
      <c r="A18" s="263"/>
      <c r="B18" s="558" t="s">
        <v>1042</v>
      </c>
      <c r="C18" s="558"/>
      <c r="D18" s="374">
        <f t="shared" ref="D18:L18" si="2">D23-SUM(D19:D22)</f>
        <v>39045930</v>
      </c>
      <c r="E18" s="374">
        <f t="shared" si="2"/>
        <v>108090556</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147136486</v>
      </c>
      <c r="V18" s="327"/>
      <c r="X18" s="330"/>
    </row>
    <row r="19" spans="1:24" s="264" customFormat="1" ht="12.75" customHeight="1" thickTop="1" thickBot="1">
      <c r="A19" s="263"/>
      <c r="B19" s="261" t="s">
        <v>722</v>
      </c>
      <c r="C19" s="261"/>
      <c r="D19" s="372">
        <f>Input!$BF$31</f>
        <v>0</v>
      </c>
      <c r="E19" s="372">
        <f>Input!$BG$31</f>
        <v>0</v>
      </c>
      <c r="F19" s="372">
        <f>Input!$BH$31</f>
        <v>0</v>
      </c>
      <c r="G19" s="372">
        <f>Input!$BI$31</f>
        <v>0</v>
      </c>
      <c r="H19" s="372">
        <f>Input!$BJ$31</f>
        <v>0</v>
      </c>
      <c r="I19" s="372">
        <f>Input!$BK$31</f>
        <v>0</v>
      </c>
      <c r="J19" s="372">
        <f>Input!$BL$31</f>
        <v>0</v>
      </c>
      <c r="K19" s="372">
        <f>Input!$BM$31</f>
        <v>0</v>
      </c>
      <c r="L19" s="372">
        <f>Input!$BN$31</f>
        <v>0</v>
      </c>
      <c r="M19" s="373">
        <f t="shared" si="3"/>
        <v>0</v>
      </c>
      <c r="O19" s="1732" t="s">
        <v>1294</v>
      </c>
      <c r="P19" s="1733"/>
      <c r="Q19" s="1733"/>
      <c r="R19" s="1734"/>
      <c r="T19" s="1735" t="s">
        <v>1043</v>
      </c>
      <c r="U19" s="1736"/>
      <c r="V19" s="1736"/>
      <c r="W19" s="1736"/>
      <c r="X19" s="1737"/>
    </row>
    <row r="20" spans="1:24" s="264" customFormat="1" ht="12.75" customHeight="1" thickTop="1">
      <c r="A20" s="263"/>
      <c r="B20" s="261" t="s">
        <v>723</v>
      </c>
      <c r="C20" s="261"/>
      <c r="D20" s="372">
        <f>Input!$BO$31</f>
        <v>0</v>
      </c>
      <c r="E20" s="372">
        <f>Input!$BP$31</f>
        <v>0</v>
      </c>
      <c r="F20" s="372">
        <f>Input!$BQ$31</f>
        <v>0</v>
      </c>
      <c r="G20" s="372">
        <f>Input!$BR$31</f>
        <v>0</v>
      </c>
      <c r="H20" s="372">
        <f>Input!$BS$31</f>
        <v>0</v>
      </c>
      <c r="I20" s="372">
        <f>Input!$BT$31</f>
        <v>0</v>
      </c>
      <c r="J20" s="372">
        <f>Input!$BU$31</f>
        <v>0</v>
      </c>
      <c r="K20" s="372">
        <f>Input!$BV$31</f>
        <v>0</v>
      </c>
      <c r="L20" s="372">
        <f>Input!$BW$31</f>
        <v>0</v>
      </c>
      <c r="M20" s="373">
        <f t="shared" si="3"/>
        <v>0</v>
      </c>
      <c r="O20" s="421" t="s">
        <v>288</v>
      </c>
      <c r="P20" s="422"/>
      <c r="Q20" s="414"/>
      <c r="R20" s="559"/>
      <c r="T20" s="560" t="s">
        <v>1044</v>
      </c>
      <c r="U20" s="266"/>
      <c r="V20" s="266"/>
      <c r="X20" s="425"/>
    </row>
    <row r="21" spans="1:24" s="264" customFormat="1">
      <c r="A21" s="263"/>
      <c r="B21" s="261" t="s">
        <v>724</v>
      </c>
      <c r="C21" s="261"/>
      <c r="D21" s="372">
        <f>Input!$BX$31</f>
        <v>0</v>
      </c>
      <c r="E21" s="372">
        <f>Input!$BY$31</f>
        <v>0</v>
      </c>
      <c r="F21" s="372">
        <f>Input!$BZ$31</f>
        <v>0</v>
      </c>
      <c r="G21" s="372">
        <f>Input!$CA$31</f>
        <v>0</v>
      </c>
      <c r="H21" s="372">
        <f>Input!$CB$31</f>
        <v>0</v>
      </c>
      <c r="I21" s="372">
        <f>Input!$CC$31</f>
        <v>0</v>
      </c>
      <c r="J21" s="372">
        <f>Input!$CD$31</f>
        <v>0</v>
      </c>
      <c r="K21" s="372">
        <f>Input!$CE$31</f>
        <v>0</v>
      </c>
      <c r="L21" s="372">
        <f>Input!$CF$31</f>
        <v>0</v>
      </c>
      <c r="M21" s="373">
        <f t="shared" si="3"/>
        <v>0</v>
      </c>
      <c r="O21" s="434"/>
      <c r="R21" s="561"/>
      <c r="T21" s="650" t="s">
        <v>1045</v>
      </c>
      <c r="U21" s="266"/>
      <c r="V21" s="266"/>
      <c r="W21" s="651">
        <f>M44</f>
        <v>176866747</v>
      </c>
      <c r="X21" s="425"/>
    </row>
    <row r="22" spans="1:24" s="264" customFormat="1">
      <c r="A22" s="263"/>
      <c r="B22" s="261" t="s">
        <v>725</v>
      </c>
      <c r="C22" s="261"/>
      <c r="D22" s="372">
        <f>Input!$CG$31</f>
        <v>0</v>
      </c>
      <c r="E22" s="372">
        <f>Input!$CH$31</f>
        <v>0</v>
      </c>
      <c r="F22" s="372">
        <f>Input!$CI$31</f>
        <v>0</v>
      </c>
      <c r="G22" s="372">
        <f>Input!$CJ$31</f>
        <v>0</v>
      </c>
      <c r="H22" s="372">
        <f>Input!$CK$31</f>
        <v>0</v>
      </c>
      <c r="I22" s="372">
        <f>Input!$CL$31</f>
        <v>0</v>
      </c>
      <c r="J22" s="372">
        <f>Input!$CM$31</f>
        <v>0</v>
      </c>
      <c r="K22" s="372">
        <f>Input!$CN$31</f>
        <v>0</v>
      </c>
      <c r="L22" s="372">
        <f>Input!$CO$31</f>
        <v>0</v>
      </c>
      <c r="M22" s="373">
        <f t="shared" si="3"/>
        <v>0</v>
      </c>
      <c r="N22" s="270"/>
      <c r="O22" s="434" t="s">
        <v>1046</v>
      </c>
      <c r="P22" s="276"/>
      <c r="Q22" s="424">
        <f>M23</f>
        <v>147136486</v>
      </c>
      <c r="R22" s="562"/>
      <c r="T22" s="650" t="s">
        <v>1047</v>
      </c>
      <c r="U22" s="266"/>
      <c r="V22" s="266"/>
      <c r="W22" s="652">
        <f>R30*-1</f>
        <v>65302118</v>
      </c>
      <c r="X22" s="425"/>
    </row>
    <row r="23" spans="1:24" s="264" customFormat="1" ht="12.75" customHeight="1">
      <c r="A23" s="263"/>
      <c r="B23" s="558" t="s">
        <v>726</v>
      </c>
      <c r="C23" s="563"/>
      <c r="D23" s="564">
        <f>Input!$CP$31</f>
        <v>39045930</v>
      </c>
      <c r="E23" s="564">
        <f>Input!$CQ$31</f>
        <v>108090556</v>
      </c>
      <c r="F23" s="564">
        <f>Input!$CR$31</f>
        <v>0</v>
      </c>
      <c r="G23" s="564">
        <f>Input!$CS$31</f>
        <v>0</v>
      </c>
      <c r="H23" s="564">
        <f>Input!$CT$31</f>
        <v>0</v>
      </c>
      <c r="I23" s="564">
        <f>Input!$CU$31</f>
        <v>0</v>
      </c>
      <c r="J23" s="564">
        <f>Input!$CV$31</f>
        <v>0</v>
      </c>
      <c r="K23" s="564">
        <f>Input!$CW$31</f>
        <v>0</v>
      </c>
      <c r="L23" s="564">
        <f>Input!$CX$31</f>
        <v>0</v>
      </c>
      <c r="M23" s="565">
        <f t="shared" si="3"/>
        <v>147136486</v>
      </c>
      <c r="O23" s="434"/>
      <c r="P23" s="276"/>
      <c r="Q23" s="424"/>
      <c r="R23" s="562"/>
      <c r="T23" s="560" t="s">
        <v>1230</v>
      </c>
      <c r="U23" s="266"/>
      <c r="V23" s="266"/>
      <c r="W23" s="276"/>
      <c r="X23" s="425">
        <f>SUM(W21:W22)</f>
        <v>242168865</v>
      </c>
    </row>
    <row r="24" spans="1:24" s="264" customFormat="1" ht="12.75" customHeight="1">
      <c r="A24" s="263"/>
      <c r="B24" s="261" t="s">
        <v>727</v>
      </c>
      <c r="C24" s="566"/>
      <c r="D24" s="372">
        <f>Input!$CY$31</f>
        <v>-5049720</v>
      </c>
      <c r="E24" s="372">
        <f>Input!$CZ$31</f>
        <v>-70060</v>
      </c>
      <c r="F24" s="372">
        <f>Input!$DA$31</f>
        <v>0</v>
      </c>
      <c r="G24" s="372">
        <f>Input!$DB$31</f>
        <v>0</v>
      </c>
      <c r="H24" s="372">
        <f>Input!$DC$31</f>
        <v>0</v>
      </c>
      <c r="I24" s="372">
        <f>Input!$DD$31</f>
        <v>0</v>
      </c>
      <c r="J24" s="372">
        <f>Input!$DE$31</f>
        <v>0</v>
      </c>
      <c r="K24" s="372">
        <f>Input!$DF$31</f>
        <v>0</v>
      </c>
      <c r="L24" s="372">
        <f>Input!$DG$31</f>
        <v>0</v>
      </c>
      <c r="M24" s="567">
        <f t="shared" si="3"/>
        <v>-5119780</v>
      </c>
      <c r="O24" s="417" t="s">
        <v>1048</v>
      </c>
      <c r="P24" s="276"/>
      <c r="Q24" s="327"/>
      <c r="R24" s="646">
        <f>SUM(M24:M28)</f>
        <v>-58170146</v>
      </c>
      <c r="T24" s="560"/>
      <c r="U24" s="266"/>
      <c r="V24" s="266"/>
      <c r="X24" s="425"/>
    </row>
    <row r="25" spans="1:24" s="264" customFormat="1" ht="12.75" customHeight="1">
      <c r="A25" s="263"/>
      <c r="B25" s="261" t="s">
        <v>728</v>
      </c>
      <c r="C25" s="566"/>
      <c r="D25" s="372">
        <f>Input!$DH$31</f>
        <v>0</v>
      </c>
      <c r="E25" s="372">
        <f>Input!$DI$31</f>
        <v>0</v>
      </c>
      <c r="F25" s="372">
        <f>Input!$DJ$31</f>
        <v>0</v>
      </c>
      <c r="G25" s="372">
        <f>Input!$DK$31</f>
        <v>0</v>
      </c>
      <c r="H25" s="372">
        <f>Input!$DL$31</f>
        <v>0</v>
      </c>
      <c r="I25" s="372">
        <f>Input!$DM$31</f>
        <v>0</v>
      </c>
      <c r="J25" s="372">
        <f>Input!$DN$31</f>
        <v>0</v>
      </c>
      <c r="K25" s="372">
        <f>Input!$DO$31</f>
        <v>0</v>
      </c>
      <c r="L25" s="372">
        <f>Input!$DP$31</f>
        <v>0</v>
      </c>
      <c r="M25" s="567">
        <f t="shared" si="3"/>
        <v>0</v>
      </c>
      <c r="O25" s="434"/>
      <c r="P25" s="276"/>
      <c r="Q25" s="327"/>
      <c r="R25" s="646"/>
      <c r="T25" s="568" t="s">
        <v>1103</v>
      </c>
      <c r="U25" s="569"/>
      <c r="V25" s="569"/>
      <c r="W25" s="653">
        <f>(M26+M39)*-1</f>
        <v>17892700</v>
      </c>
      <c r="X25" s="425"/>
    </row>
    <row r="26" spans="1:24" s="264" customFormat="1" ht="12.75" customHeight="1">
      <c r="A26" s="263"/>
      <c r="B26" s="261" t="s">
        <v>729</v>
      </c>
      <c r="C26" s="566"/>
      <c r="D26" s="372">
        <f>Input!$DQ$31</f>
        <v>-3784272</v>
      </c>
      <c r="E26" s="372">
        <f>Input!$DR$31</f>
        <v>-6976456</v>
      </c>
      <c r="F26" s="372">
        <f>Input!$DS$31</f>
        <v>0</v>
      </c>
      <c r="G26" s="372">
        <f>Input!$DT$31</f>
        <v>0</v>
      </c>
      <c r="H26" s="372">
        <f>Input!$DU$31</f>
        <v>0</v>
      </c>
      <c r="I26" s="372">
        <f>Input!$DV$31</f>
        <v>0</v>
      </c>
      <c r="J26" s="372">
        <f>Input!$DW$31</f>
        <v>0</v>
      </c>
      <c r="K26" s="372">
        <f>Input!$DX$31</f>
        <v>0</v>
      </c>
      <c r="L26" s="372">
        <f>Input!$DY$31</f>
        <v>0</v>
      </c>
      <c r="M26" s="567">
        <f t="shared" si="3"/>
        <v>-10760728</v>
      </c>
      <c r="O26" s="434" t="s">
        <v>1049</v>
      </c>
      <c r="P26" s="276"/>
      <c r="Q26" s="427">
        <f>M36</f>
        <v>95032379</v>
      </c>
      <c r="R26" s="570"/>
      <c r="T26" s="560" t="s">
        <v>1104</v>
      </c>
      <c r="U26" s="266"/>
      <c r="V26" s="266"/>
      <c r="W26" s="571">
        <f>(M21+M34)*-1</f>
        <v>0</v>
      </c>
      <c r="X26" s="425"/>
    </row>
    <row r="27" spans="1:24" s="264" customFormat="1">
      <c r="A27" s="263"/>
      <c r="B27" s="261" t="s">
        <v>730</v>
      </c>
      <c r="C27" s="566"/>
      <c r="D27" s="372">
        <f>Input!$DZ$31</f>
        <v>0</v>
      </c>
      <c r="E27" s="372">
        <f>Input!$EA$31</f>
        <v>0</v>
      </c>
      <c r="F27" s="372">
        <f>Input!$EB$31</f>
        <v>0</v>
      </c>
      <c r="G27" s="372">
        <f>Input!$EC$31</f>
        <v>0</v>
      </c>
      <c r="H27" s="372">
        <f>Input!$ED$31</f>
        <v>0</v>
      </c>
      <c r="I27" s="372">
        <f>Input!$EE$31</f>
        <v>0</v>
      </c>
      <c r="J27" s="372">
        <f>Input!$EF$31</f>
        <v>0</v>
      </c>
      <c r="K27" s="372">
        <f>Input!$EG$31</f>
        <v>0</v>
      </c>
      <c r="L27" s="372">
        <f>Input!EH6</f>
        <v>0</v>
      </c>
      <c r="M27" s="567">
        <f t="shared" si="3"/>
        <v>0</v>
      </c>
      <c r="O27" s="434"/>
      <c r="P27" s="276"/>
      <c r="Q27" s="427"/>
      <c r="R27" s="570"/>
      <c r="T27" s="650" t="s">
        <v>1105</v>
      </c>
      <c r="U27" s="584"/>
      <c r="V27" s="584"/>
      <c r="W27" s="654">
        <f>SUM(W25:W26)</f>
        <v>17892700</v>
      </c>
      <c r="X27" s="655"/>
    </row>
    <row r="28" spans="1:24" s="264" customFormat="1">
      <c r="A28" s="263"/>
      <c r="B28" s="261" t="s">
        <v>2133</v>
      </c>
      <c r="C28" s="566"/>
      <c r="D28" s="372">
        <f>Input!$EI$31</f>
        <v>0</v>
      </c>
      <c r="E28" s="372">
        <f>Input!$EJ$31</f>
        <v>-42289638</v>
      </c>
      <c r="F28" s="372">
        <f>Input!$EK$31</f>
        <v>0</v>
      </c>
      <c r="G28" s="372">
        <f>Input!$EL$31</f>
        <v>0</v>
      </c>
      <c r="H28" s="372">
        <f>Input!$EM$31</f>
        <v>0</v>
      </c>
      <c r="I28" s="372">
        <f>Input!$EN$31</f>
        <v>0</v>
      </c>
      <c r="J28" s="372">
        <f>Input!$EO$31</f>
        <v>0</v>
      </c>
      <c r="K28" s="372">
        <f>Input!$EP$31</f>
        <v>0</v>
      </c>
      <c r="L28" s="372">
        <f>Input!$EQ$31</f>
        <v>0</v>
      </c>
      <c r="M28" s="567">
        <f t="shared" si="3"/>
        <v>-42289638</v>
      </c>
      <c r="O28" s="417" t="s">
        <v>1050</v>
      </c>
      <c r="Q28" s="429"/>
      <c r="R28" s="646">
        <f>SUM(M37:M41)</f>
        <v>-7131972</v>
      </c>
      <c r="T28" s="560" t="s">
        <v>1106</v>
      </c>
      <c r="U28" s="266"/>
      <c r="V28" s="266"/>
      <c r="W28" s="425">
        <f>(M27+M40)*-1</f>
        <v>0</v>
      </c>
      <c r="X28" s="655"/>
    </row>
    <row r="29" spans="1:24" s="264" customFormat="1" ht="12" customHeight="1">
      <c r="A29" s="263"/>
      <c r="B29" s="575" t="s">
        <v>39</v>
      </c>
      <c r="C29" s="563"/>
      <c r="D29" s="374">
        <f t="shared" ref="D29:L29" si="4">SUM(D23:D28)</f>
        <v>30211938</v>
      </c>
      <c r="E29" s="374">
        <f t="shared" si="4"/>
        <v>58754402</v>
      </c>
      <c r="F29" s="374">
        <f t="shared" si="4"/>
        <v>0</v>
      </c>
      <c r="G29" s="374">
        <f t="shared" si="4"/>
        <v>0</v>
      </c>
      <c r="H29" s="374">
        <f t="shared" si="4"/>
        <v>0</v>
      </c>
      <c r="I29" s="374">
        <f t="shared" si="4"/>
        <v>0</v>
      </c>
      <c r="J29" s="374">
        <f t="shared" si="4"/>
        <v>0</v>
      </c>
      <c r="K29" s="374">
        <f t="shared" si="4"/>
        <v>0</v>
      </c>
      <c r="L29" s="374">
        <f t="shared" si="4"/>
        <v>0</v>
      </c>
      <c r="M29" s="374">
        <f t="shared" si="3"/>
        <v>88966340</v>
      </c>
      <c r="O29" s="417"/>
      <c r="Q29" s="429"/>
      <c r="R29" s="576"/>
      <c r="T29" s="560" t="s">
        <v>1107</v>
      </c>
      <c r="U29" s="266"/>
      <c r="V29" s="266"/>
      <c r="W29" s="571">
        <f>(M22+M35)*-1</f>
        <v>0</v>
      </c>
      <c r="X29" s="655"/>
    </row>
    <row r="30" spans="1:24" s="264" customFormat="1" ht="16.5" customHeight="1">
      <c r="A30" s="263"/>
      <c r="B30" s="261"/>
      <c r="C30" s="566"/>
      <c r="D30" s="566"/>
      <c r="E30" s="566"/>
      <c r="F30" s="566"/>
      <c r="G30" s="566"/>
      <c r="H30" s="566"/>
      <c r="I30" s="566"/>
      <c r="J30" s="566"/>
      <c r="K30" s="566"/>
      <c r="L30" s="566"/>
      <c r="M30" s="567"/>
      <c r="O30" s="431" t="s">
        <v>289</v>
      </c>
      <c r="P30" s="432"/>
      <c r="Q30" s="433">
        <f>Q26+Q22</f>
        <v>242168865</v>
      </c>
      <c r="R30" s="647">
        <f>R28+R24</f>
        <v>-65302118</v>
      </c>
      <c r="T30" s="650" t="s">
        <v>1108</v>
      </c>
      <c r="U30" s="584"/>
      <c r="V30" s="584"/>
      <c r="W30" s="654">
        <f>SUM(W28:W29)</f>
        <v>0</v>
      </c>
      <c r="X30" s="655"/>
    </row>
    <row r="31" spans="1:24" s="264" customFormat="1" ht="12.75" customHeight="1">
      <c r="A31" s="263"/>
      <c r="B31" s="558" t="s">
        <v>1052</v>
      </c>
      <c r="C31" s="558"/>
      <c r="D31" s="374">
        <f t="shared" ref="D31:L31" si="5">D36-SUM(D32:D35)</f>
        <v>457509</v>
      </c>
      <c r="E31" s="374">
        <f t="shared" si="5"/>
        <v>83809733</v>
      </c>
      <c r="F31" s="374">
        <f t="shared" si="5"/>
        <v>10765137</v>
      </c>
      <c r="G31" s="374">
        <f t="shared" si="5"/>
        <v>0</v>
      </c>
      <c r="H31" s="374">
        <f t="shared" si="5"/>
        <v>0</v>
      </c>
      <c r="I31" s="374">
        <f t="shared" si="5"/>
        <v>0</v>
      </c>
      <c r="J31" s="374">
        <f t="shared" si="5"/>
        <v>0</v>
      </c>
      <c r="K31" s="374">
        <f t="shared" si="5"/>
        <v>0</v>
      </c>
      <c r="L31" s="374">
        <f t="shared" si="5"/>
        <v>0</v>
      </c>
      <c r="M31" s="374">
        <f t="shared" ref="M31:M42" si="6">D31+E31+F31+G31+H31+I31+J31+K31+L31</f>
        <v>95032379</v>
      </c>
      <c r="O31" s="434" t="s">
        <v>290</v>
      </c>
      <c r="P31" s="276"/>
      <c r="Q31" s="335"/>
      <c r="R31" s="562"/>
      <c r="T31" s="572" t="s">
        <v>1109</v>
      </c>
      <c r="U31" s="573"/>
      <c r="V31" s="573"/>
      <c r="W31" s="574">
        <f>W27+W30</f>
        <v>17892700</v>
      </c>
      <c r="X31" s="425"/>
    </row>
    <row r="32" spans="1:24" s="264" customFormat="1" ht="12.75" customHeight="1">
      <c r="A32" s="263"/>
      <c r="B32" s="261" t="s">
        <v>722</v>
      </c>
      <c r="C32" s="261"/>
      <c r="D32" s="372">
        <f>Input!$ER$31</f>
        <v>0</v>
      </c>
      <c r="E32" s="372">
        <f>Input!$ES$31</f>
        <v>0</v>
      </c>
      <c r="F32" s="372">
        <f>Input!$ET$31</f>
        <v>0</v>
      </c>
      <c r="G32" s="372">
        <f>Input!$EU$31</f>
        <v>0</v>
      </c>
      <c r="H32" s="372">
        <f>Input!$EV$31</f>
        <v>0</v>
      </c>
      <c r="I32" s="372">
        <f>Input!$EW$31</f>
        <v>0</v>
      </c>
      <c r="J32" s="372">
        <f>Input!$EX$31</f>
        <v>0</v>
      </c>
      <c r="K32" s="372">
        <f>Input!$EY$31</f>
        <v>0</v>
      </c>
      <c r="L32" s="372">
        <f>Input!$EZ$31</f>
        <v>0</v>
      </c>
      <c r="M32" s="567">
        <f t="shared" si="6"/>
        <v>0</v>
      </c>
      <c r="O32" s="415" t="s">
        <v>1295</v>
      </c>
      <c r="P32" s="416"/>
      <c r="Q32" s="577">
        <f>Input!$SQ$31</f>
        <v>242168865</v>
      </c>
      <c r="R32" s="578"/>
      <c r="T32" s="560"/>
      <c r="U32" s="266"/>
      <c r="V32" s="266"/>
      <c r="X32" s="425"/>
    </row>
    <row r="33" spans="1:24" s="264" customFormat="1">
      <c r="A33" s="263"/>
      <c r="B33" s="261" t="s">
        <v>723</v>
      </c>
      <c r="C33" s="261"/>
      <c r="D33" s="372">
        <f>Input!$FA$31</f>
        <v>0</v>
      </c>
      <c r="E33" s="372">
        <f>Input!$FB$31</f>
        <v>0</v>
      </c>
      <c r="F33" s="372">
        <f>Input!$FC$31</f>
        <v>0</v>
      </c>
      <c r="G33" s="372">
        <f>Input!$FD$31</f>
        <v>0</v>
      </c>
      <c r="H33" s="372">
        <f>Input!$FE$31</f>
        <v>0</v>
      </c>
      <c r="I33" s="372">
        <f>Input!$FF$31</f>
        <v>0</v>
      </c>
      <c r="J33" s="372">
        <f>Input!$FG$31</f>
        <v>0</v>
      </c>
      <c r="K33" s="372">
        <f>Input!$FH$31</f>
        <v>0</v>
      </c>
      <c r="L33" s="372">
        <f>Input!$FI$31</f>
        <v>0</v>
      </c>
      <c r="M33" s="567">
        <f t="shared" si="6"/>
        <v>0</v>
      </c>
      <c r="O33" s="415"/>
      <c r="P33" s="416"/>
      <c r="Q33" s="327"/>
      <c r="R33" s="578"/>
      <c r="T33" s="560" t="s">
        <v>1051</v>
      </c>
      <c r="U33" s="266"/>
      <c r="V33" s="266"/>
      <c r="W33" s="334">
        <f>(M19+M32)*-1</f>
        <v>0</v>
      </c>
      <c r="X33" s="425"/>
    </row>
    <row r="34" spans="1:24" s="264" customFormat="1">
      <c r="A34" s="263"/>
      <c r="B34" s="261" t="s">
        <v>724</v>
      </c>
      <c r="C34" s="261"/>
      <c r="D34" s="372">
        <f>Input!$FJ$31</f>
        <v>0</v>
      </c>
      <c r="E34" s="372">
        <f>Input!$FK$31</f>
        <v>0</v>
      </c>
      <c r="F34" s="372">
        <f>Input!$FL$31</f>
        <v>0</v>
      </c>
      <c r="G34" s="372">
        <f>Input!$FM$31</f>
        <v>0</v>
      </c>
      <c r="H34" s="372">
        <f>Input!$FN$31</f>
        <v>0</v>
      </c>
      <c r="I34" s="372">
        <f>Input!$FO$31</f>
        <v>0</v>
      </c>
      <c r="J34" s="372">
        <f>Input!$FP$31</f>
        <v>0</v>
      </c>
      <c r="K34" s="372">
        <f>Input!$FQ$31</f>
        <v>0</v>
      </c>
      <c r="L34" s="372">
        <f>Input!$FR$31</f>
        <v>0</v>
      </c>
      <c r="M34" s="567">
        <f t="shared" si="6"/>
        <v>0</v>
      </c>
      <c r="O34" s="435" t="s">
        <v>1296</v>
      </c>
      <c r="P34" s="436"/>
      <c r="Q34" s="264" t="s">
        <v>291</v>
      </c>
      <c r="R34" s="648">
        <f>Input!$SR$31</f>
        <v>-65302118</v>
      </c>
      <c r="T34" s="560" t="s">
        <v>1110</v>
      </c>
      <c r="U34" s="266"/>
      <c r="V34" s="266"/>
      <c r="W34" s="430">
        <f>(M24+M37)*-1</f>
        <v>5119780</v>
      </c>
      <c r="X34" s="425"/>
    </row>
    <row r="35" spans="1:24" s="264" customFormat="1" ht="13.5" thickBot="1">
      <c r="A35" s="263"/>
      <c r="B35" s="261" t="s">
        <v>725</v>
      </c>
      <c r="C35" s="261"/>
      <c r="D35" s="372">
        <f>Input!$FS$31</f>
        <v>0</v>
      </c>
      <c r="E35" s="372">
        <f>Input!$FT$31</f>
        <v>0</v>
      </c>
      <c r="F35" s="372">
        <f>Input!$FU$31</f>
        <v>0</v>
      </c>
      <c r="G35" s="372">
        <f>Input!$FV$31</f>
        <v>0</v>
      </c>
      <c r="H35" s="372">
        <f>Input!$FW$31</f>
        <v>0</v>
      </c>
      <c r="I35" s="372">
        <f>Input!$FX$31</f>
        <v>0</v>
      </c>
      <c r="J35" s="372">
        <f>Input!$FY$31</f>
        <v>0</v>
      </c>
      <c r="K35" s="372">
        <f>Input!$FZ$31</f>
        <v>0</v>
      </c>
      <c r="L35" s="372">
        <f>Input!$GA$31</f>
        <v>0</v>
      </c>
      <c r="M35" s="567">
        <f t="shared" si="6"/>
        <v>0</v>
      </c>
      <c r="O35" s="418" t="s">
        <v>286</v>
      </c>
      <c r="P35" s="419"/>
      <c r="Q35" s="420">
        <f>Q30-Q32</f>
        <v>0</v>
      </c>
      <c r="R35" s="649">
        <f>R30-R34</f>
        <v>0</v>
      </c>
      <c r="T35" s="650" t="s">
        <v>1111</v>
      </c>
      <c r="U35" s="584"/>
      <c r="V35" s="584"/>
      <c r="W35" s="656">
        <f>SUM(W33:W34)</f>
        <v>5119780</v>
      </c>
      <c r="X35" s="655"/>
    </row>
    <row r="36" spans="1:24" s="264" customFormat="1" ht="13.5" thickTop="1">
      <c r="A36" s="263"/>
      <c r="B36" s="558" t="s">
        <v>732</v>
      </c>
      <c r="C36" s="563"/>
      <c r="D36" s="564">
        <f>Input!$GB$31</f>
        <v>457509</v>
      </c>
      <c r="E36" s="564">
        <f>Input!$GC$31</f>
        <v>83809733</v>
      </c>
      <c r="F36" s="564">
        <f>Input!$GD$31</f>
        <v>10765137</v>
      </c>
      <c r="G36" s="564">
        <f>Input!$GE$31</f>
        <v>0</v>
      </c>
      <c r="H36" s="564">
        <f>Input!$GF$31</f>
        <v>0</v>
      </c>
      <c r="I36" s="564">
        <f>Input!$GG$31</f>
        <v>0</v>
      </c>
      <c r="J36" s="564">
        <f>Input!$GH$31</f>
        <v>0</v>
      </c>
      <c r="K36" s="564">
        <f>Input!$GI$31</f>
        <v>0</v>
      </c>
      <c r="L36" s="564">
        <f>Input!$GJ$31</f>
        <v>0</v>
      </c>
      <c r="M36" s="565">
        <f t="shared" si="6"/>
        <v>95032379</v>
      </c>
      <c r="O36" s="261"/>
      <c r="Q36" s="412" t="str">
        <f>IF(Q30&lt;&gt;Q32,"Out of Balance","Balanced")</f>
        <v>Balanced</v>
      </c>
      <c r="R36" s="412" t="str">
        <f>IF(R30&lt;&gt;R34,"Out of Balance","Balanced")</f>
        <v>Balanced</v>
      </c>
      <c r="T36" s="560" t="s">
        <v>1053</v>
      </c>
      <c r="U36" s="266"/>
      <c r="V36" s="266"/>
      <c r="W36" s="334">
        <f>(M20+M33)*-1</f>
        <v>0</v>
      </c>
      <c r="X36" s="425"/>
    </row>
    <row r="37" spans="1:24" s="264" customFormat="1">
      <c r="A37" s="263"/>
      <c r="B37" s="261" t="s">
        <v>727</v>
      </c>
      <c r="C37" s="566"/>
      <c r="D37" s="372">
        <f>Input!$GK$31</f>
        <v>0</v>
      </c>
      <c r="E37" s="372">
        <f>Input!$GL$31</f>
        <v>0</v>
      </c>
      <c r="F37" s="372">
        <f>Input!$GM$31</f>
        <v>0</v>
      </c>
      <c r="G37" s="372">
        <f>Input!$GN$31</f>
        <v>0</v>
      </c>
      <c r="H37" s="372">
        <f>Input!$GO$31</f>
        <v>0</v>
      </c>
      <c r="I37" s="372">
        <f>Input!$GP$31</f>
        <v>0</v>
      </c>
      <c r="J37" s="372">
        <f>Input!$GQ$31</f>
        <v>0</v>
      </c>
      <c r="K37" s="372">
        <f>Input!$GR$31</f>
        <v>0</v>
      </c>
      <c r="L37" s="372">
        <f>Input!$GS$31</f>
        <v>0</v>
      </c>
      <c r="M37" s="567">
        <f t="shared" si="6"/>
        <v>0</v>
      </c>
      <c r="O37" s="261"/>
      <c r="T37" s="560" t="s">
        <v>1112</v>
      </c>
      <c r="U37" s="266"/>
      <c r="V37" s="266"/>
      <c r="W37" s="430">
        <f>(M25+M38)*-1</f>
        <v>0</v>
      </c>
      <c r="X37" s="655"/>
    </row>
    <row r="38" spans="1:24" s="264" customFormat="1">
      <c r="A38" s="263"/>
      <c r="B38" s="261" t="s">
        <v>728</v>
      </c>
      <c r="C38" s="566"/>
      <c r="D38" s="372">
        <f>Input!$GT$31</f>
        <v>0</v>
      </c>
      <c r="E38" s="372">
        <f>Input!$GU$31</f>
        <v>0</v>
      </c>
      <c r="F38" s="372">
        <f>Input!$GV$31</f>
        <v>0</v>
      </c>
      <c r="G38" s="372">
        <f>Input!$GW$31</f>
        <v>0</v>
      </c>
      <c r="H38" s="372">
        <f>Input!$GX$31</f>
        <v>0</v>
      </c>
      <c r="I38" s="372">
        <f>Input!$GY$31</f>
        <v>0</v>
      </c>
      <c r="J38" s="372">
        <f>Input!$GZ$31</f>
        <v>0</v>
      </c>
      <c r="K38" s="372">
        <f>Input!$HA$31</f>
        <v>0</v>
      </c>
      <c r="L38" s="372">
        <f>Input!$HB$31</f>
        <v>0</v>
      </c>
      <c r="M38" s="567">
        <f t="shared" si="6"/>
        <v>0</v>
      </c>
      <c r="O38" s="261"/>
      <c r="T38" s="650" t="s">
        <v>1113</v>
      </c>
      <c r="U38" s="584"/>
      <c r="V38" s="584"/>
      <c r="W38" s="656">
        <f>SUM(W36:W37)</f>
        <v>0</v>
      </c>
      <c r="X38" s="425"/>
    </row>
    <row r="39" spans="1:24" s="264" customFormat="1">
      <c r="A39" s="263"/>
      <c r="B39" s="261" t="s">
        <v>729</v>
      </c>
      <c r="C39" s="566"/>
      <c r="D39" s="372">
        <f>Input!$HC$31</f>
        <v>0</v>
      </c>
      <c r="E39" s="372">
        <f>Input!$HD$31</f>
        <v>-6987310</v>
      </c>
      <c r="F39" s="372">
        <f>Input!$HE$31</f>
        <v>-144662</v>
      </c>
      <c r="G39" s="372">
        <f>Input!$HF$31</f>
        <v>0</v>
      </c>
      <c r="H39" s="372">
        <f>Input!$HG$31</f>
        <v>0</v>
      </c>
      <c r="I39" s="372">
        <f>Input!$HH$31</f>
        <v>0</v>
      </c>
      <c r="J39" s="372">
        <f>Input!$HI$31</f>
        <v>0</v>
      </c>
      <c r="K39" s="372">
        <f>Input!$HJ$31</f>
        <v>0</v>
      </c>
      <c r="L39" s="372">
        <f>Input!$HK$31</f>
        <v>0</v>
      </c>
      <c r="M39" s="567">
        <f t="shared" si="6"/>
        <v>-7131972</v>
      </c>
      <c r="O39" s="261"/>
      <c r="T39" s="560" t="s">
        <v>1054</v>
      </c>
      <c r="U39" s="266"/>
      <c r="V39" s="266"/>
      <c r="W39" s="334"/>
      <c r="X39" s="425">
        <f>W38+W35</f>
        <v>5119780</v>
      </c>
    </row>
    <row r="40" spans="1:24" s="264" customFormat="1">
      <c r="A40" s="263"/>
      <c r="B40" s="261" t="s">
        <v>730</v>
      </c>
      <c r="C40" s="566"/>
      <c r="D40" s="372">
        <f>Input!$HL$31</f>
        <v>0</v>
      </c>
      <c r="E40" s="372">
        <f>Input!$HM$31</f>
        <v>0</v>
      </c>
      <c r="F40" s="372">
        <f>Input!$HN$31</f>
        <v>0</v>
      </c>
      <c r="G40" s="372">
        <f>Input!$HO$31</f>
        <v>0</v>
      </c>
      <c r="H40" s="372">
        <f>Input!$HP$31</f>
        <v>0</v>
      </c>
      <c r="I40" s="372">
        <f>Input!$HQ$31</f>
        <v>0</v>
      </c>
      <c r="J40" s="372">
        <f>Input!$HR$31</f>
        <v>0</v>
      </c>
      <c r="K40" s="372">
        <f>Input!$HS$31</f>
        <v>0</v>
      </c>
      <c r="L40" s="372">
        <f>Input!$HT$31</f>
        <v>0</v>
      </c>
      <c r="M40" s="567">
        <f t="shared" si="6"/>
        <v>0</v>
      </c>
      <c r="O40" s="261"/>
      <c r="T40" s="560"/>
      <c r="U40" s="261"/>
      <c r="V40" s="261"/>
      <c r="W40" s="261"/>
      <c r="X40" s="655"/>
    </row>
    <row r="41" spans="1:24" s="264" customFormat="1">
      <c r="A41" s="263"/>
      <c r="B41" s="261" t="s">
        <v>2133</v>
      </c>
      <c r="C41" s="566"/>
      <c r="D41" s="372">
        <f>Input!$HU$31</f>
        <v>0</v>
      </c>
      <c r="E41" s="372">
        <f>Input!$HV$31</f>
        <v>0</v>
      </c>
      <c r="F41" s="372">
        <f>Input!$HW$31</f>
        <v>0</v>
      </c>
      <c r="G41" s="372">
        <f>Input!$HX$31</f>
        <v>0</v>
      </c>
      <c r="H41" s="372">
        <f>Input!$HY$31</f>
        <v>0</v>
      </c>
      <c r="I41" s="372">
        <f>Input!$HZ$31</f>
        <v>0</v>
      </c>
      <c r="J41" s="372">
        <f>Input!$IA$31</f>
        <v>0</v>
      </c>
      <c r="K41" s="372">
        <f>Input!$IB$31</f>
        <v>0</v>
      </c>
      <c r="L41" s="372">
        <f>Input!$IC$31</f>
        <v>0</v>
      </c>
      <c r="M41" s="567">
        <f t="shared" si="6"/>
        <v>0</v>
      </c>
      <c r="O41"/>
      <c r="P41"/>
      <c r="Q41"/>
      <c r="R41"/>
      <c r="S41"/>
      <c r="T41" s="560" t="s">
        <v>1104</v>
      </c>
      <c r="U41" s="266"/>
      <c r="V41" s="266"/>
      <c r="W41" s="330">
        <f>(M21+M34)*-1</f>
        <v>0</v>
      </c>
      <c r="X41" s="425"/>
    </row>
    <row r="42" spans="1:24" s="264" customFormat="1">
      <c r="A42" s="263"/>
      <c r="B42" s="575" t="s">
        <v>40</v>
      </c>
      <c r="C42" s="563"/>
      <c r="D42" s="374">
        <f t="shared" ref="D42:L42" si="7">SUM(D36:D41)</f>
        <v>457509</v>
      </c>
      <c r="E42" s="374">
        <f t="shared" si="7"/>
        <v>76822423</v>
      </c>
      <c r="F42" s="374">
        <f t="shared" si="7"/>
        <v>10620475</v>
      </c>
      <c r="G42" s="374">
        <f t="shared" si="7"/>
        <v>0</v>
      </c>
      <c r="H42" s="374">
        <f t="shared" si="7"/>
        <v>0</v>
      </c>
      <c r="I42" s="374">
        <f t="shared" si="7"/>
        <v>0</v>
      </c>
      <c r="J42" s="374">
        <f t="shared" si="7"/>
        <v>0</v>
      </c>
      <c r="K42" s="374">
        <f t="shared" si="7"/>
        <v>0</v>
      </c>
      <c r="L42" s="374">
        <f t="shared" si="7"/>
        <v>0</v>
      </c>
      <c r="M42" s="374">
        <f t="shared" si="6"/>
        <v>87900407</v>
      </c>
      <c r="O42"/>
      <c r="P42"/>
      <c r="Q42"/>
      <c r="R42"/>
      <c r="S42"/>
      <c r="T42" s="560" t="s">
        <v>1107</v>
      </c>
      <c r="U42" s="266"/>
      <c r="V42" s="266"/>
      <c r="W42" s="430">
        <f>(M22+M35)*-1</f>
        <v>0</v>
      </c>
      <c r="X42" s="425"/>
    </row>
    <row r="43" spans="1:24" s="264" customFormat="1">
      <c r="A43" s="263"/>
      <c r="B43" s="261"/>
      <c r="C43" s="566"/>
      <c r="D43" s="566"/>
      <c r="E43" s="566"/>
      <c r="F43" s="566"/>
      <c r="G43" s="566"/>
      <c r="H43" s="566"/>
      <c r="I43" s="566"/>
      <c r="J43" s="566"/>
      <c r="K43" s="566"/>
      <c r="L43" s="566"/>
      <c r="M43" s="567"/>
      <c r="O43"/>
      <c r="P43"/>
      <c r="Q43"/>
      <c r="R43"/>
      <c r="S43"/>
      <c r="T43" s="650" t="s">
        <v>1114</v>
      </c>
      <c r="U43" s="584"/>
      <c r="V43" s="584"/>
      <c r="W43" s="656">
        <f>SUM(W41:W42)</f>
        <v>0</v>
      </c>
      <c r="X43" s="655"/>
    </row>
    <row r="44" spans="1:24" s="264" customFormat="1" ht="13.5" customHeight="1">
      <c r="A44" s="263"/>
      <c r="B44" s="575" t="s">
        <v>1055</v>
      </c>
      <c r="C44" s="563"/>
      <c r="D44" s="374">
        <f t="shared" ref="D44:L44" si="8">D42+D29</f>
        <v>30669447</v>
      </c>
      <c r="E44" s="374">
        <f t="shared" si="8"/>
        <v>135576825</v>
      </c>
      <c r="F44" s="374">
        <f t="shared" si="8"/>
        <v>10620475</v>
      </c>
      <c r="G44" s="374">
        <f t="shared" si="8"/>
        <v>0</v>
      </c>
      <c r="H44" s="374">
        <f t="shared" si="8"/>
        <v>0</v>
      </c>
      <c r="I44" s="374">
        <f t="shared" si="8"/>
        <v>0</v>
      </c>
      <c r="J44" s="374">
        <f t="shared" si="8"/>
        <v>0</v>
      </c>
      <c r="K44" s="374">
        <f t="shared" si="8"/>
        <v>0</v>
      </c>
      <c r="L44" s="374">
        <f t="shared" si="8"/>
        <v>0</v>
      </c>
      <c r="M44" s="374">
        <f>D44+E44+F44+G44+H44+I44+J44+K44+L44</f>
        <v>176866747</v>
      </c>
      <c r="O44"/>
      <c r="P44"/>
      <c r="Q44"/>
      <c r="R44"/>
      <c r="S44"/>
      <c r="T44" s="560"/>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0" t="s">
        <v>1110</v>
      </c>
      <c r="U45" s="266"/>
      <c r="V45" s="266"/>
      <c r="W45" s="334">
        <f>(M24+M37)*-1</f>
        <v>5119780</v>
      </c>
      <c r="X45" s="425"/>
    </row>
    <row r="46" spans="1:24">
      <c r="A46" s="184">
        <v>29</v>
      </c>
      <c r="B46" s="172" t="s">
        <v>6</v>
      </c>
      <c r="C46" s="172"/>
      <c r="D46" s="373"/>
      <c r="E46" s="373"/>
      <c r="F46" s="373"/>
      <c r="G46" s="373"/>
      <c r="H46" s="373"/>
      <c r="I46" s="373"/>
      <c r="J46" s="373"/>
      <c r="K46" s="373"/>
      <c r="L46" s="373"/>
      <c r="M46" s="373"/>
      <c r="N46" s="160"/>
      <c r="O46"/>
      <c r="P46"/>
      <c r="Q46"/>
      <c r="R46"/>
      <c r="S46"/>
      <c r="T46" s="560" t="s">
        <v>1112</v>
      </c>
      <c r="U46" s="266"/>
      <c r="V46" s="266"/>
      <c r="W46" s="430">
        <f>(M25+M38)*-1</f>
        <v>0</v>
      </c>
      <c r="X46" s="425"/>
    </row>
    <row r="47" spans="1:24">
      <c r="A47" s="184">
        <v>30</v>
      </c>
      <c r="B47" s="176" t="s">
        <v>7</v>
      </c>
      <c r="C47" s="176"/>
      <c r="D47" s="375">
        <f>Input!$ID$31</f>
        <v>0</v>
      </c>
      <c r="E47" s="375">
        <f>Input!$IE$31</f>
        <v>0</v>
      </c>
      <c r="F47" s="375">
        <f>Input!$IF$31</f>
        <v>0</v>
      </c>
      <c r="G47" s="375">
        <f>Input!$IG$31</f>
        <v>75908436</v>
      </c>
      <c r="H47" s="375">
        <f>Input!$IH$31</f>
        <v>0</v>
      </c>
      <c r="I47" s="375">
        <f>Input!$II$31</f>
        <v>0</v>
      </c>
      <c r="J47" s="375">
        <f>Input!$IJ$31</f>
        <v>0</v>
      </c>
      <c r="K47" s="375">
        <f>Input!$IK$31</f>
        <v>0</v>
      </c>
      <c r="L47" s="375">
        <f>Input!$IL$31</f>
        <v>0</v>
      </c>
      <c r="M47" s="374">
        <f>D47+E47+F47+G47+H47+I47+J47+K47+L47</f>
        <v>75908436</v>
      </c>
      <c r="N47" s="160"/>
      <c r="O47"/>
      <c r="P47"/>
      <c r="Q47"/>
      <c r="R47"/>
      <c r="S47"/>
      <c r="T47" s="657" t="s">
        <v>1115</v>
      </c>
      <c r="U47" s="27"/>
      <c r="V47" s="27"/>
      <c r="W47" s="656">
        <f>SUM(W45:W46)</f>
        <v>5119780</v>
      </c>
      <c r="X47" s="655"/>
    </row>
    <row r="48" spans="1:24">
      <c r="A48" s="184">
        <v>31</v>
      </c>
      <c r="B48" s="160"/>
      <c r="C48" s="160"/>
      <c r="D48" s="373"/>
      <c r="E48" s="373"/>
      <c r="F48" s="373"/>
      <c r="G48" s="373"/>
      <c r="H48" s="373"/>
      <c r="I48" s="373"/>
      <c r="J48" s="373"/>
      <c r="K48" s="373"/>
      <c r="L48" s="373"/>
      <c r="M48" s="373"/>
      <c r="N48" s="160"/>
      <c r="O48"/>
      <c r="P48"/>
      <c r="Q48"/>
      <c r="R48"/>
      <c r="S48"/>
      <c r="T48" s="560"/>
      <c r="U48" s="261"/>
      <c r="V48" s="261"/>
      <c r="W48" s="261"/>
      <c r="X48" s="658">
        <f>W43-W47</f>
        <v>-5119780</v>
      </c>
    </row>
    <row r="49" spans="1:28">
      <c r="A49" s="184">
        <v>32</v>
      </c>
      <c r="B49" s="172" t="s">
        <v>8</v>
      </c>
      <c r="C49" s="172"/>
      <c r="D49" s="373"/>
      <c r="E49" s="373"/>
      <c r="F49" s="373"/>
      <c r="G49" s="373"/>
      <c r="H49" s="373"/>
      <c r="I49" s="373"/>
      <c r="J49" s="373"/>
      <c r="K49" s="373"/>
      <c r="L49" s="373"/>
      <c r="M49" s="373"/>
      <c r="N49" s="160"/>
      <c r="O49" s="273"/>
      <c r="T49" s="579" t="s">
        <v>287</v>
      </c>
      <c r="U49" s="511"/>
      <c r="V49" s="580"/>
      <c r="W49" s="580"/>
      <c r="X49" s="574">
        <f>SUM(X23:X48)</f>
        <v>242168865</v>
      </c>
    </row>
    <row r="50" spans="1:28">
      <c r="A50" s="184">
        <v>33</v>
      </c>
      <c r="B50" s="160" t="s">
        <v>42</v>
      </c>
      <c r="C50" s="160"/>
      <c r="D50" s="372">
        <f>Input!$IM$31</f>
        <v>0</v>
      </c>
      <c r="E50" s="372">
        <f>Input!$IN$31</f>
        <v>7090794</v>
      </c>
      <c r="F50" s="372">
        <f>Input!$IO$31</f>
        <v>0</v>
      </c>
      <c r="G50" s="372">
        <f>Input!$IP$31</f>
        <v>0</v>
      </c>
      <c r="H50" s="372">
        <f>Input!$IQ$31</f>
        <v>0</v>
      </c>
      <c r="I50" s="372">
        <f>Input!$IR$31</f>
        <v>14757084</v>
      </c>
      <c r="J50" s="372">
        <f>Input!$IS$31</f>
        <v>841</v>
      </c>
      <c r="K50" s="372">
        <f>Input!$IT$31</f>
        <v>0</v>
      </c>
      <c r="L50" s="372">
        <f>Input!$IU$31</f>
        <v>0</v>
      </c>
      <c r="M50" s="373">
        <f t="shared" ref="M50:M57" si="9">D50+E50+F50+G50+H50+I50+J50+K50+L50</f>
        <v>21848719</v>
      </c>
      <c r="N50" s="160"/>
      <c r="O50" s="273"/>
      <c r="U50" s="275"/>
    </row>
    <row r="51" spans="1:28">
      <c r="A51" s="184">
        <v>34</v>
      </c>
      <c r="B51" s="160" t="s">
        <v>9</v>
      </c>
      <c r="C51" s="160"/>
      <c r="D51" s="372">
        <f>Input!$IV$31</f>
        <v>0</v>
      </c>
      <c r="E51" s="372">
        <f>Input!$IW$31</f>
        <v>0</v>
      </c>
      <c r="F51" s="372">
        <f>Input!$IX$31</f>
        <v>0</v>
      </c>
      <c r="G51" s="372">
        <f>Input!$IY$31</f>
        <v>4694576</v>
      </c>
      <c r="H51" s="372">
        <f>Input!$IZ$31</f>
        <v>0</v>
      </c>
      <c r="I51" s="372">
        <f>Input!$JA$31</f>
        <v>0</v>
      </c>
      <c r="J51" s="372">
        <f>Input!$JB$31</f>
        <v>0</v>
      </c>
      <c r="K51" s="372">
        <f>Input!$JC$31</f>
        <v>0</v>
      </c>
      <c r="L51" s="372">
        <f>Input!$JD$31</f>
        <v>0</v>
      </c>
      <c r="M51" s="376">
        <f t="shared" si="9"/>
        <v>4694576</v>
      </c>
      <c r="N51" s="160"/>
      <c r="Y51" s="277"/>
    </row>
    <row r="52" spans="1:28">
      <c r="A52" s="184">
        <v>35</v>
      </c>
      <c r="B52" s="160" t="s">
        <v>10</v>
      </c>
      <c r="C52" s="160"/>
      <c r="D52" s="372">
        <f>Input!$JE$31</f>
        <v>0</v>
      </c>
      <c r="E52" s="372">
        <f>Input!$JF$31</f>
        <v>85228</v>
      </c>
      <c r="F52" s="372">
        <f>Input!$JG$31</f>
        <v>5382</v>
      </c>
      <c r="G52" s="372">
        <f>Input!$JH$31</f>
        <v>3659724</v>
      </c>
      <c r="H52" s="372">
        <f>Input!$JI$31</f>
        <v>0</v>
      </c>
      <c r="I52" s="372">
        <f>Input!$JJ$31</f>
        <v>0</v>
      </c>
      <c r="J52" s="372">
        <f>Input!$JK$31</f>
        <v>0</v>
      </c>
      <c r="K52" s="372">
        <f>Input!$JL$31</f>
        <v>0</v>
      </c>
      <c r="L52" s="372">
        <f>Input!$JM$31</f>
        <v>0</v>
      </c>
      <c r="M52" s="373">
        <f t="shared" si="9"/>
        <v>3750334</v>
      </c>
      <c r="N52" s="160"/>
      <c r="O52" s="273"/>
      <c r="P52" s="278"/>
    </row>
    <row r="53" spans="1:28">
      <c r="A53" s="184">
        <v>36</v>
      </c>
      <c r="B53" s="160" t="s">
        <v>11</v>
      </c>
      <c r="C53" s="160"/>
      <c r="D53" s="372">
        <f>Input!$JN$31</f>
        <v>166799</v>
      </c>
      <c r="E53" s="372">
        <f>Input!$JO$31</f>
        <v>1935023</v>
      </c>
      <c r="F53" s="372">
        <f>Input!$JP$31</f>
        <v>167824</v>
      </c>
      <c r="G53" s="372">
        <f>Input!$JQ$31</f>
        <v>1362275</v>
      </c>
      <c r="H53" s="372">
        <f>Input!$JR$31</f>
        <v>0</v>
      </c>
      <c r="I53" s="372">
        <f>Input!$JS$31</f>
        <v>0</v>
      </c>
      <c r="J53" s="372">
        <f>Input!$JT$31</f>
        <v>0</v>
      </c>
      <c r="K53" s="372">
        <f>Input!$JU$31</f>
        <v>0</v>
      </c>
      <c r="L53" s="372">
        <f>Input!$JV$31</f>
        <v>0</v>
      </c>
      <c r="M53" s="373">
        <f t="shared" si="9"/>
        <v>3631921</v>
      </c>
      <c r="N53" s="160"/>
      <c r="O53" s="273"/>
    </row>
    <row r="54" spans="1:28" ht="13.5" thickBot="1">
      <c r="A54" s="184">
        <v>37</v>
      </c>
      <c r="B54" s="177" t="s">
        <v>2134</v>
      </c>
      <c r="C54" s="177"/>
      <c r="D54" s="372">
        <f>Input!$JW$31</f>
        <v>0</v>
      </c>
      <c r="E54" s="372">
        <f>Input!$JX$31</f>
        <v>20353</v>
      </c>
      <c r="F54" s="372">
        <f>Input!$JY$31</f>
        <v>31420334</v>
      </c>
      <c r="G54" s="372">
        <f>Input!$JZ$31</f>
        <v>596930</v>
      </c>
      <c r="H54" s="372">
        <f>Input!$KA$31</f>
        <v>0</v>
      </c>
      <c r="I54" s="372">
        <f>Input!$KB$31</f>
        <v>0</v>
      </c>
      <c r="J54" s="372">
        <f>Input!$KC$31</f>
        <v>0</v>
      </c>
      <c r="K54" s="372">
        <f>Input!$KD$31</f>
        <v>0</v>
      </c>
      <c r="L54" s="372">
        <f>Input!$KE$31</f>
        <v>0</v>
      </c>
      <c r="M54" s="373">
        <f t="shared" si="9"/>
        <v>32037617</v>
      </c>
      <c r="N54" s="160"/>
      <c r="O54" s="273"/>
    </row>
    <row r="55" spans="1:28" ht="14.25" thickTop="1" thickBot="1">
      <c r="A55" s="184">
        <v>38</v>
      </c>
      <c r="B55" s="160" t="s">
        <v>43</v>
      </c>
      <c r="C55" s="160"/>
      <c r="D55" s="372">
        <f>Input!$KF$31</f>
        <v>4023600</v>
      </c>
      <c r="E55" s="372">
        <f>Input!$KG$31</f>
        <v>512540</v>
      </c>
      <c r="F55" s="372">
        <f>Input!$KH$31</f>
        <v>1348389</v>
      </c>
      <c r="G55" s="372">
        <f>Input!$KI$31</f>
        <v>2616243</v>
      </c>
      <c r="H55" s="372">
        <f>Input!$KJ$31</f>
        <v>-65</v>
      </c>
      <c r="I55" s="372">
        <f>Input!$KK$31</f>
        <v>100</v>
      </c>
      <c r="J55" s="372">
        <f>Input!$KL$31</f>
        <v>-2665486</v>
      </c>
      <c r="K55" s="372">
        <f>Input!$KM$31</f>
        <v>0</v>
      </c>
      <c r="L55" s="372">
        <f>Input!$KN$31</f>
        <v>0</v>
      </c>
      <c r="M55" s="373">
        <f t="shared" si="9"/>
        <v>5835321</v>
      </c>
      <c r="N55" s="160"/>
      <c r="O55" s="1616" t="s">
        <v>251</v>
      </c>
      <c r="P55" s="1617"/>
      <c r="Q55" s="1617"/>
      <c r="R55" s="1618"/>
      <c r="S55" s="437"/>
      <c r="T55" s="1619" t="s">
        <v>252</v>
      </c>
      <c r="U55" s="1620"/>
      <c r="V55" s="1620"/>
      <c r="W55" s="1620"/>
      <c r="X55" s="1621"/>
      <c r="Y55" s="320"/>
      <c r="Z55" s="1749" t="s">
        <v>1301</v>
      </c>
      <c r="AA55" s="1750"/>
      <c r="AB55" s="1751"/>
    </row>
    <row r="56" spans="1:28" ht="13.5" customHeight="1" thickTop="1">
      <c r="A56" s="184">
        <v>39</v>
      </c>
      <c r="B56" s="176" t="s">
        <v>3</v>
      </c>
      <c r="C56" s="176"/>
      <c r="D56" s="374">
        <f>SUM(D50:D55)</f>
        <v>4190399</v>
      </c>
      <c r="E56" s="374">
        <f t="shared" ref="E56:L56" si="10">SUM(E50:E55)</f>
        <v>9643938</v>
      </c>
      <c r="F56" s="374">
        <f t="shared" si="10"/>
        <v>32941929</v>
      </c>
      <c r="G56" s="374">
        <f t="shared" si="10"/>
        <v>12929748</v>
      </c>
      <c r="H56" s="374">
        <f t="shared" si="10"/>
        <v>-65</v>
      </c>
      <c r="I56" s="374">
        <f t="shared" si="10"/>
        <v>14757184</v>
      </c>
      <c r="J56" s="374">
        <f t="shared" si="10"/>
        <v>-2664645</v>
      </c>
      <c r="K56" s="374">
        <f t="shared" si="10"/>
        <v>0</v>
      </c>
      <c r="L56" s="374">
        <f t="shared" si="10"/>
        <v>0</v>
      </c>
      <c r="M56" s="374">
        <f t="shared" si="9"/>
        <v>71798488</v>
      </c>
      <c r="N56" s="160"/>
      <c r="O56" s="1622" t="s">
        <v>1135</v>
      </c>
      <c r="P56" s="1625" t="s">
        <v>254</v>
      </c>
      <c r="Q56" s="1625" t="s">
        <v>292</v>
      </c>
      <c r="R56" s="1628" t="s">
        <v>1063</v>
      </c>
      <c r="S56" s="280"/>
      <c r="T56" s="1739" t="s">
        <v>1136</v>
      </c>
      <c r="U56" s="1637" t="s">
        <v>254</v>
      </c>
      <c r="V56" s="1634" t="s">
        <v>256</v>
      </c>
      <c r="W56" s="1637" t="s">
        <v>257</v>
      </c>
      <c r="X56" s="1638" t="s">
        <v>1064</v>
      </c>
      <c r="Z56" s="1754" t="s">
        <v>1302</v>
      </c>
      <c r="AA56" s="1747" t="s">
        <v>1303</v>
      </c>
      <c r="AB56" s="1752" t="s">
        <v>238</v>
      </c>
    </row>
    <row r="57" spans="1:28">
      <c r="A57" s="184">
        <v>40</v>
      </c>
      <c r="B57" s="162" t="s">
        <v>68</v>
      </c>
      <c r="C57" s="162"/>
      <c r="D57" s="374">
        <f>D15+D44+D47+D56</f>
        <v>122948976</v>
      </c>
      <c r="E57" s="374">
        <f t="shared" ref="E57:L57" si="11">E15+E44+E47+E56</f>
        <v>145220763</v>
      </c>
      <c r="F57" s="374">
        <f t="shared" si="11"/>
        <v>43562404</v>
      </c>
      <c r="G57" s="374">
        <f t="shared" si="11"/>
        <v>108090390</v>
      </c>
      <c r="H57" s="374">
        <f t="shared" si="11"/>
        <v>-65</v>
      </c>
      <c r="I57" s="374">
        <f t="shared" si="11"/>
        <v>14757184</v>
      </c>
      <c r="J57" s="374">
        <f t="shared" si="11"/>
        <v>-2664645</v>
      </c>
      <c r="K57" s="374">
        <f t="shared" si="11"/>
        <v>0</v>
      </c>
      <c r="L57" s="374">
        <f t="shared" si="11"/>
        <v>0</v>
      </c>
      <c r="M57" s="374">
        <f t="shared" si="9"/>
        <v>431915007</v>
      </c>
      <c r="N57" s="160"/>
      <c r="O57" s="1623"/>
      <c r="P57" s="1626"/>
      <c r="Q57" s="1626"/>
      <c r="R57" s="1629"/>
      <c r="S57" s="280"/>
      <c r="T57" s="1740"/>
      <c r="U57" s="1626"/>
      <c r="V57" s="1635"/>
      <c r="W57" s="1626"/>
      <c r="X57" s="1639"/>
      <c r="Z57" s="1755"/>
      <c r="AA57" s="1747"/>
      <c r="AB57" s="1752"/>
    </row>
    <row r="58" spans="1:28">
      <c r="A58" s="184">
        <v>41</v>
      </c>
      <c r="B58" s="160"/>
      <c r="C58" s="160"/>
      <c r="D58" s="373"/>
      <c r="E58" s="373"/>
      <c r="F58" s="373"/>
      <c r="G58" s="373"/>
      <c r="H58" s="373"/>
      <c r="I58" s="373"/>
      <c r="J58" s="373"/>
      <c r="K58" s="373"/>
      <c r="L58" s="373"/>
      <c r="M58" s="373"/>
      <c r="N58" s="160"/>
      <c r="O58" s="1623"/>
      <c r="P58" s="1626"/>
      <c r="Q58" s="1626"/>
      <c r="R58" s="1629"/>
      <c r="S58" s="280"/>
      <c r="T58" s="1740"/>
      <c r="U58" s="1626"/>
      <c r="V58" s="1635"/>
      <c r="W58" s="1626"/>
      <c r="X58" s="1639"/>
      <c r="Z58" s="1755"/>
      <c r="AA58" s="1747"/>
      <c r="AB58" s="1752"/>
    </row>
    <row r="59" spans="1:28" ht="14.25" customHeight="1">
      <c r="A59" s="184">
        <v>42</v>
      </c>
      <c r="B59" s="174" t="s">
        <v>72</v>
      </c>
      <c r="C59" s="174"/>
      <c r="D59" s="377"/>
      <c r="E59" s="377"/>
      <c r="F59" s="377"/>
      <c r="G59" s="1746" t="str">
        <f>IF(OR(P105&gt;0,P106&lt;&gt;0,P107&lt;&gt;0),"Do not Enter Cents - Whole Dollars Only","")</f>
        <v/>
      </c>
      <c r="H59" s="1746"/>
      <c r="I59" s="1746"/>
      <c r="J59" s="1746"/>
      <c r="K59" s="1746"/>
      <c r="L59" s="377"/>
      <c r="M59" s="377"/>
      <c r="N59" s="160"/>
      <c r="O59" s="1624"/>
      <c r="P59" s="1627"/>
      <c r="Q59" s="1627"/>
      <c r="R59" s="1630"/>
      <c r="S59" s="280"/>
      <c r="T59" s="1741"/>
      <c r="U59" s="1627"/>
      <c r="V59" s="1636"/>
      <c r="W59" s="1627"/>
      <c r="X59" s="1640"/>
      <c r="Z59" s="1756"/>
      <c r="AA59" s="1748"/>
      <c r="AB59" s="1753"/>
    </row>
    <row r="60" spans="1:28" ht="13.5" thickBot="1">
      <c r="A60" s="184">
        <v>43</v>
      </c>
      <c r="B60" s="160" t="s">
        <v>14</v>
      </c>
      <c r="C60" s="160"/>
      <c r="D60" s="372">
        <f>Input!$KO$31</f>
        <v>62045770</v>
      </c>
      <c r="E60" s="372">
        <f>Input!$KP$31</f>
        <v>38774575</v>
      </c>
      <c r="F60" s="372">
        <f>Input!$KQ$31</f>
        <v>0</v>
      </c>
      <c r="G60" s="372">
        <f>Input!$KR$31</f>
        <v>1200908</v>
      </c>
      <c r="H60" s="372">
        <f>Input!$KS$31</f>
        <v>0</v>
      </c>
      <c r="I60" s="372">
        <f>Input!$KT$31</f>
        <v>0</v>
      </c>
      <c r="J60" s="372">
        <f>Input!$KU$31</f>
        <v>0</v>
      </c>
      <c r="K60" s="372">
        <f>Input!$KV$31</f>
        <v>0</v>
      </c>
      <c r="L60" s="372">
        <f>Input!$KW$31</f>
        <v>0</v>
      </c>
      <c r="M60" s="373">
        <f t="shared" ref="M60:M71" si="12">D60+E60+F60+G60+H60+I60+J60+K60+L60</f>
        <v>102021253</v>
      </c>
      <c r="N60" s="160"/>
      <c r="O60" s="282">
        <f>D60+E60+G60+J60</f>
        <v>102021253</v>
      </c>
      <c r="P60" s="518">
        <f>Input!$SS$31</f>
        <v>289194</v>
      </c>
      <c r="Q60" s="438" t="s">
        <v>259</v>
      </c>
      <c r="R60" s="284">
        <f>SUM(O60:P60)</f>
        <v>102310447</v>
      </c>
      <c r="S60" s="439"/>
      <c r="T60" s="286">
        <f t="shared" ref="T60:T67" si="13">D60+E60+G60</f>
        <v>102021253</v>
      </c>
      <c r="U60" s="287">
        <f t="shared" ref="U60:U67" si="14">P60</f>
        <v>289194</v>
      </c>
      <c r="V60" s="289">
        <f>Input!$TC$31</f>
        <v>0</v>
      </c>
      <c r="W60" s="289">
        <f>Input!$TK$31</f>
        <v>0</v>
      </c>
      <c r="X60" s="290">
        <f t="shared" ref="X60:X66" si="15">T60+U60-V60-W60</f>
        <v>102310447</v>
      </c>
      <c r="Z60" s="292" t="s">
        <v>14</v>
      </c>
      <c r="AA60" s="520">
        <f>Input!$TS$31</f>
        <v>102021253</v>
      </c>
      <c r="AB60" s="293">
        <f t="shared" ref="AB60:AB68" si="16">AA60-M60</f>
        <v>0</v>
      </c>
    </row>
    <row r="61" spans="1:28" ht="14.25" thickTop="1" thickBot="1">
      <c r="A61" s="184">
        <v>44</v>
      </c>
      <c r="B61" s="160" t="s">
        <v>15</v>
      </c>
      <c r="C61" s="160"/>
      <c r="D61" s="372">
        <f>Input!$KX$31</f>
        <v>1101638</v>
      </c>
      <c r="E61" s="372">
        <f>Input!$KY$31</f>
        <v>3098813</v>
      </c>
      <c r="F61" s="372">
        <f>Input!$KZ$31</f>
        <v>0</v>
      </c>
      <c r="G61" s="372">
        <f>Input!$LA$31</f>
        <v>6216462</v>
      </c>
      <c r="H61" s="372">
        <f>Input!$LB$31</f>
        <v>0</v>
      </c>
      <c r="I61" s="372">
        <f>Input!$LC$31</f>
        <v>0</v>
      </c>
      <c r="J61" s="372">
        <f>Input!$LD$31</f>
        <v>0</v>
      </c>
      <c r="K61" s="372">
        <f>Input!$LE$31</f>
        <v>0</v>
      </c>
      <c r="L61" s="372">
        <f>Input!$LF$31</f>
        <v>0</v>
      </c>
      <c r="M61" s="373">
        <f t="shared" si="12"/>
        <v>10416913</v>
      </c>
      <c r="N61" s="160"/>
      <c r="O61" s="440">
        <f t="shared" ref="O61:O67" si="17">D61+E61+G61+J61</f>
        <v>10416913</v>
      </c>
      <c r="P61" s="518">
        <f>Input!$ST$31</f>
        <v>351901</v>
      </c>
      <c r="Q61" s="441" t="s">
        <v>259</v>
      </c>
      <c r="R61" s="295">
        <f>SUM(O61:P61)</f>
        <v>10768814</v>
      </c>
      <c r="S61" s="442"/>
      <c r="T61" s="296">
        <f t="shared" si="13"/>
        <v>10416913</v>
      </c>
      <c r="U61" s="297">
        <f t="shared" si="14"/>
        <v>351901</v>
      </c>
      <c r="V61" s="299">
        <f>Input!$TD$31</f>
        <v>0</v>
      </c>
      <c r="W61" s="299">
        <f>Input!$TL$31</f>
        <v>0</v>
      </c>
      <c r="X61" s="300">
        <f t="shared" si="15"/>
        <v>10768814</v>
      </c>
      <c r="Z61" s="292" t="s">
        <v>15</v>
      </c>
      <c r="AA61" s="518">
        <f>Input!$TT$31</f>
        <v>10416913</v>
      </c>
      <c r="AB61" s="301">
        <f t="shared" si="16"/>
        <v>0</v>
      </c>
    </row>
    <row r="62" spans="1:28" ht="13.5" thickTop="1">
      <c r="A62" s="184">
        <v>45</v>
      </c>
      <c r="B62" s="160" t="s">
        <v>16</v>
      </c>
      <c r="C62" s="160"/>
      <c r="D62" s="372">
        <f>Input!$LG$31</f>
        <v>5229583</v>
      </c>
      <c r="E62" s="372">
        <f>Input!$LH$31</f>
        <v>360592</v>
      </c>
      <c r="F62" s="372">
        <f>Input!$LI$31</f>
        <v>1802</v>
      </c>
      <c r="G62" s="372">
        <f>Input!$LJ$31</f>
        <v>10553906</v>
      </c>
      <c r="H62" s="372">
        <f>Input!$LK$31</f>
        <v>0</v>
      </c>
      <c r="I62" s="372">
        <f>Input!$LL$31</f>
        <v>0</v>
      </c>
      <c r="J62" s="372">
        <f>Input!$LM$31</f>
        <v>0</v>
      </c>
      <c r="K62" s="372">
        <f>Input!$LN$31</f>
        <v>0</v>
      </c>
      <c r="L62" s="372">
        <f>Input!$LO$31</f>
        <v>0</v>
      </c>
      <c r="M62" s="373">
        <f t="shared" si="12"/>
        <v>16145883</v>
      </c>
      <c r="N62" s="160"/>
      <c r="O62" s="440">
        <f t="shared" si="17"/>
        <v>16144081</v>
      </c>
      <c r="P62" s="518">
        <f>Input!$SU$31</f>
        <v>501663</v>
      </c>
      <c r="Q62" s="441" t="s">
        <v>259</v>
      </c>
      <c r="R62" s="302" t="s">
        <v>259</v>
      </c>
      <c r="S62" s="442"/>
      <c r="T62" s="296">
        <f t="shared" si="13"/>
        <v>16144081</v>
      </c>
      <c r="U62" s="297">
        <f t="shared" si="14"/>
        <v>501663</v>
      </c>
      <c r="V62" s="299">
        <f>Input!$TE$31</f>
        <v>0</v>
      </c>
      <c r="W62" s="299">
        <f>Input!$TM$31</f>
        <v>0</v>
      </c>
      <c r="X62" s="303">
        <f t="shared" si="15"/>
        <v>16645744</v>
      </c>
      <c r="Z62" s="292" t="s">
        <v>16</v>
      </c>
      <c r="AA62" s="518">
        <f>Input!$TU$31</f>
        <v>16145883</v>
      </c>
      <c r="AB62" s="301">
        <f t="shared" si="16"/>
        <v>0</v>
      </c>
    </row>
    <row r="63" spans="1:28">
      <c r="A63" s="184">
        <v>46</v>
      </c>
      <c r="B63" s="160" t="s">
        <v>17</v>
      </c>
      <c r="C63" s="160"/>
      <c r="D63" s="372">
        <f>Input!$LP$31</f>
        <v>9742825</v>
      </c>
      <c r="E63" s="372">
        <f>Input!$LQ$31</f>
        <v>34845113</v>
      </c>
      <c r="F63" s="372">
        <f>Input!$LR$31</f>
        <v>0</v>
      </c>
      <c r="G63" s="372">
        <f>Input!$LS$31</f>
        <v>817342</v>
      </c>
      <c r="H63" s="372">
        <f>Input!$LT$31</f>
        <v>3870</v>
      </c>
      <c r="I63" s="372">
        <f>Input!$LU$31</f>
        <v>0</v>
      </c>
      <c r="J63" s="372">
        <f>Input!$LV$31</f>
        <v>0</v>
      </c>
      <c r="K63" s="372">
        <f>Input!$LW$31</f>
        <v>0</v>
      </c>
      <c r="L63" s="372">
        <f>Input!$LX$31</f>
        <v>0</v>
      </c>
      <c r="M63" s="373">
        <f t="shared" si="12"/>
        <v>45409150</v>
      </c>
      <c r="N63" s="160"/>
      <c r="O63" s="440">
        <f t="shared" si="17"/>
        <v>45405280</v>
      </c>
      <c r="P63" s="518">
        <f>Input!$SV$31</f>
        <v>3205392</v>
      </c>
      <c r="Q63" s="441" t="s">
        <v>259</v>
      </c>
      <c r="R63" s="295">
        <f t="shared" ref="R63:R65" si="18">SUM(O63:P63)</f>
        <v>48610672</v>
      </c>
      <c r="S63" s="442"/>
      <c r="T63" s="296">
        <f t="shared" si="13"/>
        <v>45405280</v>
      </c>
      <c r="U63" s="297">
        <f t="shared" si="14"/>
        <v>3205392</v>
      </c>
      <c r="V63" s="299">
        <f>Input!$TF$31</f>
        <v>0</v>
      </c>
      <c r="W63" s="299">
        <f>Input!$TN$31</f>
        <v>0</v>
      </c>
      <c r="X63" s="303">
        <f t="shared" si="15"/>
        <v>48610672</v>
      </c>
      <c r="Z63" s="292" t="s">
        <v>17</v>
      </c>
      <c r="AA63" s="518">
        <f>Input!$TV$31</f>
        <v>45409150</v>
      </c>
      <c r="AB63" s="301">
        <f t="shared" si="16"/>
        <v>0</v>
      </c>
    </row>
    <row r="64" spans="1:28">
      <c r="A64" s="184">
        <v>47</v>
      </c>
      <c r="B64" s="160" t="s">
        <v>18</v>
      </c>
      <c r="C64" s="160"/>
      <c r="D64" s="372">
        <f>Input!$LY$31</f>
        <v>5091368</v>
      </c>
      <c r="E64" s="372">
        <f>Input!$LZ$31</f>
        <v>22718857</v>
      </c>
      <c r="F64" s="372">
        <f>Input!$MA$31</f>
        <v>0</v>
      </c>
      <c r="G64" s="372">
        <f>Input!$MB$31</f>
        <v>123983</v>
      </c>
      <c r="H64" s="372">
        <f>Input!$MC$31</f>
        <v>0</v>
      </c>
      <c r="I64" s="372">
        <f>Input!$MD$31</f>
        <v>0</v>
      </c>
      <c r="J64" s="372">
        <f>Input!$ME$31</f>
        <v>44335</v>
      </c>
      <c r="K64" s="372">
        <f>Input!$MF$31</f>
        <v>0</v>
      </c>
      <c r="L64" s="372">
        <f>Input!$MG$31</f>
        <v>0</v>
      </c>
      <c r="M64" s="373">
        <f t="shared" si="12"/>
        <v>27978543</v>
      </c>
      <c r="N64" s="160"/>
      <c r="O64" s="440">
        <f t="shared" si="17"/>
        <v>27978543</v>
      </c>
      <c r="P64" s="518">
        <f>Input!$SW$31</f>
        <v>30301</v>
      </c>
      <c r="Q64" s="518">
        <f>Input!$TB$31</f>
        <v>0</v>
      </c>
      <c r="R64" s="295">
        <f>SUM(O64:P64)-Q64</f>
        <v>28008844</v>
      </c>
      <c r="S64" s="442"/>
      <c r="T64" s="296">
        <f t="shared" si="13"/>
        <v>27934208</v>
      </c>
      <c r="U64" s="297">
        <f t="shared" si="14"/>
        <v>30301</v>
      </c>
      <c r="V64" s="299">
        <f>Input!$TG$31</f>
        <v>0</v>
      </c>
      <c r="W64" s="299">
        <f>Input!$TO$31</f>
        <v>0</v>
      </c>
      <c r="X64" s="303">
        <f t="shared" si="15"/>
        <v>27964509</v>
      </c>
      <c r="Z64" s="292" t="s">
        <v>18</v>
      </c>
      <c r="AA64" s="518">
        <f>Input!$TW$31</f>
        <v>27978543</v>
      </c>
      <c r="AB64" s="301">
        <f t="shared" si="16"/>
        <v>0</v>
      </c>
    </row>
    <row r="65" spans="1:28">
      <c r="A65" s="184">
        <v>48</v>
      </c>
      <c r="B65" s="160" t="s">
        <v>19</v>
      </c>
      <c r="C65" s="160"/>
      <c r="D65" s="372">
        <f>Input!$MH$31</f>
        <v>6679959</v>
      </c>
      <c r="E65" s="372">
        <f>Input!$MI$31</f>
        <v>17217586</v>
      </c>
      <c r="F65" s="372">
        <f>Input!$MJ$31</f>
        <v>0</v>
      </c>
      <c r="G65" s="372">
        <f>Input!$MK$31</f>
        <v>720317</v>
      </c>
      <c r="H65" s="372">
        <f>Input!$ML$31</f>
        <v>0</v>
      </c>
      <c r="I65" s="372">
        <f>Input!$MM$31</f>
        <v>32937</v>
      </c>
      <c r="J65" s="372">
        <f>Input!$MN$31</f>
        <v>16355</v>
      </c>
      <c r="K65" s="372">
        <f>Input!$MO$31</f>
        <v>0</v>
      </c>
      <c r="L65" s="372">
        <f>Input!$MP$31</f>
        <v>0</v>
      </c>
      <c r="M65" s="373">
        <f t="shared" si="12"/>
        <v>24667154</v>
      </c>
      <c r="N65" s="160"/>
      <c r="O65" s="440">
        <f t="shared" si="17"/>
        <v>24634217</v>
      </c>
      <c r="P65" s="518">
        <f>Input!$SX$31</f>
        <v>38971</v>
      </c>
      <c r="Q65" s="441" t="s">
        <v>259</v>
      </c>
      <c r="R65" s="295">
        <f t="shared" si="18"/>
        <v>24673188</v>
      </c>
      <c r="S65" s="442"/>
      <c r="T65" s="296">
        <f t="shared" si="13"/>
        <v>24617862</v>
      </c>
      <c r="U65" s="297">
        <f t="shared" si="14"/>
        <v>38971</v>
      </c>
      <c r="V65" s="299">
        <f>Input!$TH$31</f>
        <v>0</v>
      </c>
      <c r="W65" s="299">
        <f>Input!$TP$31</f>
        <v>0</v>
      </c>
      <c r="X65" s="303">
        <f t="shared" si="15"/>
        <v>24656833</v>
      </c>
      <c r="Z65" s="292" t="s">
        <v>19</v>
      </c>
      <c r="AA65" s="518">
        <f>Input!$TX$31</f>
        <v>24667154</v>
      </c>
      <c r="AB65" s="301">
        <f t="shared" si="16"/>
        <v>0</v>
      </c>
    </row>
    <row r="66" spans="1:28">
      <c r="A66" s="184">
        <v>49</v>
      </c>
      <c r="B66" s="160" t="s">
        <v>20</v>
      </c>
      <c r="C66" s="160"/>
      <c r="D66" s="372">
        <f>Input!$MQ$31</f>
        <v>9976740</v>
      </c>
      <c r="E66" s="372">
        <f>Input!$MR$31</f>
        <v>11254318</v>
      </c>
      <c r="F66" s="372">
        <f>Input!$MS$31</f>
        <v>0</v>
      </c>
      <c r="G66" s="372">
        <f>Input!$MT$31</f>
        <v>2908346</v>
      </c>
      <c r="H66" s="372">
        <f>Input!$MU$31</f>
        <v>0</v>
      </c>
      <c r="I66" s="372">
        <f>Input!$MV$31</f>
        <v>0</v>
      </c>
      <c r="J66" s="372">
        <f>Input!$MW$31</f>
        <v>227295</v>
      </c>
      <c r="K66" s="372">
        <f>Input!$MX$31</f>
        <v>0</v>
      </c>
      <c r="L66" s="372">
        <f>Input!$MY$31</f>
        <v>0</v>
      </c>
      <c r="M66" s="373">
        <f t="shared" si="12"/>
        <v>24366699</v>
      </c>
      <c r="N66" s="160"/>
      <c r="O66" s="440">
        <f t="shared" si="17"/>
        <v>24366699</v>
      </c>
      <c r="P66" s="518">
        <f>Input!$SY$31</f>
        <v>169118</v>
      </c>
      <c r="Q66" s="441" t="s">
        <v>259</v>
      </c>
      <c r="R66" s="304" t="s">
        <v>259</v>
      </c>
      <c r="S66" s="442"/>
      <c r="T66" s="296">
        <f t="shared" si="13"/>
        <v>24139404</v>
      </c>
      <c r="U66" s="297">
        <f t="shared" si="14"/>
        <v>169118</v>
      </c>
      <c r="V66" s="299">
        <f>Input!$TI$31</f>
        <v>0</v>
      </c>
      <c r="W66" s="299">
        <f>Input!$TQ$31</f>
        <v>0</v>
      </c>
      <c r="X66" s="303">
        <f t="shared" si="15"/>
        <v>24308522</v>
      </c>
      <c r="Z66" s="292" t="s">
        <v>260</v>
      </c>
      <c r="AA66" s="518">
        <f>Input!$TY$31</f>
        <v>24366699</v>
      </c>
      <c r="AB66" s="301">
        <f t="shared" si="16"/>
        <v>0</v>
      </c>
    </row>
    <row r="67" spans="1:28" ht="13.5" thickBot="1">
      <c r="A67" s="184">
        <v>50</v>
      </c>
      <c r="B67" s="160" t="s">
        <v>21</v>
      </c>
      <c r="C67" s="160"/>
      <c r="D67" s="372">
        <f>Input!$MZ$31</f>
        <v>15418808</v>
      </c>
      <c r="E67" s="372">
        <f>Input!$NA$31</f>
        <v>18434412</v>
      </c>
      <c r="F67" s="372">
        <f>Input!$NB$31</f>
        <v>0</v>
      </c>
      <c r="G67" s="372">
        <f>Input!$NC$31</f>
        <v>16364088</v>
      </c>
      <c r="H67" s="372">
        <f>Input!$ND$31</f>
        <v>507545</v>
      </c>
      <c r="I67" s="372">
        <f>Input!$NE$31</f>
        <v>0</v>
      </c>
      <c r="J67" s="372">
        <f>Input!$NF$31</f>
        <v>0</v>
      </c>
      <c r="K67" s="372">
        <f>Input!$NG$31</f>
        <v>0</v>
      </c>
      <c r="L67" s="372">
        <f>Input!$NH$31</f>
        <v>0</v>
      </c>
      <c r="M67" s="373">
        <f t="shared" si="12"/>
        <v>50724853</v>
      </c>
      <c r="N67" s="160"/>
      <c r="O67" s="440">
        <f t="shared" si="17"/>
        <v>50217308</v>
      </c>
      <c r="P67" s="518">
        <f>Input!$SZ$31</f>
        <v>0</v>
      </c>
      <c r="Q67" s="441" t="s">
        <v>259</v>
      </c>
      <c r="R67" s="304" t="s">
        <v>259</v>
      </c>
      <c r="S67" s="442"/>
      <c r="T67" s="306">
        <f t="shared" si="13"/>
        <v>50217308</v>
      </c>
      <c r="U67" s="307">
        <f t="shared" si="14"/>
        <v>0</v>
      </c>
      <c r="V67" s="308">
        <f>Input!$TJ$31</f>
        <v>0</v>
      </c>
      <c r="W67" s="308">
        <f>Input!$TR$31</f>
        <v>0</v>
      </c>
      <c r="X67" s="303">
        <f>U67+T67-V67-W67</f>
        <v>50217308</v>
      </c>
      <c r="Z67" s="292" t="s">
        <v>21</v>
      </c>
      <c r="AA67" s="518">
        <f>Input!$TZ$31</f>
        <v>50724853</v>
      </c>
      <c r="AB67" s="301">
        <f t="shared" si="16"/>
        <v>0</v>
      </c>
    </row>
    <row r="68" spans="1:28" ht="14.25" thickTop="1" thickBot="1">
      <c r="A68" s="184">
        <v>51</v>
      </c>
      <c r="B68" s="160" t="s">
        <v>2135</v>
      </c>
      <c r="C68" s="160"/>
      <c r="D68" s="372">
        <f>Input!$NI$31</f>
        <v>0</v>
      </c>
      <c r="E68" s="372">
        <f>Input!$NJ$31</f>
        <v>3237447</v>
      </c>
      <c r="F68" s="372">
        <f>Input!$NK$31</f>
        <v>39457535</v>
      </c>
      <c r="G68" s="372">
        <f>Input!$NL$31</f>
        <v>1082072</v>
      </c>
      <c r="H68" s="372">
        <f>Input!$NM$31</f>
        <v>0</v>
      </c>
      <c r="I68" s="372">
        <f>Input!$NN$31</f>
        <v>0</v>
      </c>
      <c r="J68" s="372">
        <f>Input!$NO$31</f>
        <v>0</v>
      </c>
      <c r="K68" s="372">
        <f>Input!$NP$31</f>
        <v>0</v>
      </c>
      <c r="L68" s="372">
        <f>Input!$NQ$31</f>
        <v>0</v>
      </c>
      <c r="M68" s="373">
        <f t="shared" si="12"/>
        <v>43777054</v>
      </c>
      <c r="N68" s="160"/>
      <c r="O68" s="309" t="s">
        <v>259</v>
      </c>
      <c r="P68" s="519">
        <f>Input!$TA$31</f>
        <v>107282</v>
      </c>
      <c r="Q68" s="444" t="s">
        <v>259</v>
      </c>
      <c r="R68" s="311" t="s">
        <v>259</v>
      </c>
      <c r="S68" s="442"/>
      <c r="T68" s="305"/>
      <c r="U68" s="305"/>
      <c r="V68" s="312" t="s">
        <v>261</v>
      </c>
      <c r="W68" s="313"/>
      <c r="X68" s="314">
        <f>SUM(X60:X67)</f>
        <v>305482849</v>
      </c>
      <c r="Z68" s="292" t="s">
        <v>22</v>
      </c>
      <c r="AA68" s="518">
        <f>Input!$UA$31</f>
        <v>43777054</v>
      </c>
      <c r="AB68" s="301">
        <f t="shared" si="16"/>
        <v>0</v>
      </c>
    </row>
    <row r="69" spans="1:28" ht="14.25" thickTop="1" thickBot="1">
      <c r="A69" s="184">
        <v>52</v>
      </c>
      <c r="B69" s="161" t="s">
        <v>59</v>
      </c>
      <c r="C69" s="161"/>
      <c r="D69" s="372">
        <f>Input!$NR$31</f>
        <v>809208</v>
      </c>
      <c r="E69" s="372">
        <f>Input!$NS$31</f>
        <v>3019514</v>
      </c>
      <c r="F69" s="372">
        <f>Input!$NT$31</f>
        <v>107282</v>
      </c>
      <c r="G69" s="372">
        <f>Input!$NU$31</f>
        <v>757818</v>
      </c>
      <c r="H69" s="372">
        <f>Input!$NV$31</f>
        <v>0</v>
      </c>
      <c r="I69" s="372">
        <f>Input!$NW$31</f>
        <v>0</v>
      </c>
      <c r="J69" s="372">
        <f>Input!$NX$31</f>
        <v>0</v>
      </c>
      <c r="K69" s="372">
        <f>Input!$NY$31</f>
        <v>0</v>
      </c>
      <c r="L69" s="372">
        <f>Input!$NZ$31</f>
        <v>0</v>
      </c>
      <c r="M69" s="373">
        <f t="shared" si="12"/>
        <v>4693822</v>
      </c>
      <c r="N69" s="160"/>
      <c r="O69" s="315"/>
      <c r="P69" s="316">
        <f>SUM(P60:P68)</f>
        <v>4693822</v>
      </c>
      <c r="Q69" s="316">
        <f>SUM(Q64:Q68)</f>
        <v>0</v>
      </c>
      <c r="R69" s="317">
        <f>SUM(R60:R65)</f>
        <v>214371965</v>
      </c>
      <c r="S69" s="316"/>
      <c r="T69" s="305"/>
      <c r="U69" s="305"/>
      <c r="V69" s="305"/>
      <c r="W69" s="277"/>
      <c r="X69" s="277"/>
      <c r="Y69" s="277"/>
      <c r="Z69" s="292" t="s">
        <v>285</v>
      </c>
      <c r="AA69" s="445">
        <f>M88*-1</f>
        <v>39216453</v>
      </c>
      <c r="AB69" s="301">
        <f>AA69+M88</f>
        <v>0</v>
      </c>
    </row>
    <row r="70" spans="1:28" ht="14.25" thickTop="1" thickBot="1">
      <c r="A70" s="184">
        <v>53</v>
      </c>
      <c r="B70" s="178" t="s">
        <v>44</v>
      </c>
      <c r="C70" s="178"/>
      <c r="D70" s="378">
        <f>Input!$OA$31</f>
        <v>115776</v>
      </c>
      <c r="E70" s="378">
        <f>Input!$OB$31</f>
        <v>233986</v>
      </c>
      <c r="F70" s="378">
        <f>Input!$OC$31</f>
        <v>0</v>
      </c>
      <c r="G70" s="378">
        <f>Input!$OD$31</f>
        <v>0</v>
      </c>
      <c r="H70" s="378">
        <f>Input!$OE$31</f>
        <v>0</v>
      </c>
      <c r="I70" s="378">
        <f>Input!$OF$31</f>
        <v>0</v>
      </c>
      <c r="J70" s="378">
        <f>Input!$OG$31</f>
        <v>0</v>
      </c>
      <c r="K70" s="378">
        <f>Input!$OH$31</f>
        <v>0</v>
      </c>
      <c r="L70" s="378">
        <f>Input!$OI$31</f>
        <v>0</v>
      </c>
      <c r="M70" s="373">
        <f t="shared" si="12"/>
        <v>349762</v>
      </c>
      <c r="N70" s="160"/>
      <c r="O70" s="320"/>
      <c r="P70" s="516" t="str">
        <f>IF(P69&lt;&gt;M69,"Out of Balance","Balanced")</f>
        <v>Balanced</v>
      </c>
      <c r="Q70" s="318"/>
      <c r="R70" s="305"/>
      <c r="S70" s="305"/>
      <c r="T70" s="305"/>
      <c r="U70" s="277"/>
      <c r="V70" s="1738" t="str">
        <f>IF(X68-INT(X68)&lt;&gt;0,"Whole Dollars Only","")</f>
        <v/>
      </c>
      <c r="W70" s="1738"/>
      <c r="X70" s="537"/>
      <c r="Y70" s="319"/>
      <c r="Z70" s="410" t="s">
        <v>262</v>
      </c>
      <c r="AA70" s="446" t="s">
        <v>259</v>
      </c>
      <c r="AB70" s="411">
        <f>M90</f>
        <v>0</v>
      </c>
    </row>
    <row r="71" spans="1:28" ht="13.5" thickTop="1">
      <c r="A71" s="184">
        <v>54</v>
      </c>
      <c r="B71" s="162" t="s">
        <v>69</v>
      </c>
      <c r="C71" s="162"/>
      <c r="D71" s="374">
        <f>SUM(D60:D70)</f>
        <v>116211675</v>
      </c>
      <c r="E71" s="374">
        <f>SUM(E60:E70)</f>
        <v>153195213</v>
      </c>
      <c r="F71" s="374">
        <f t="shared" ref="F71:L71" si="19">SUM(F60:F70)</f>
        <v>39566619</v>
      </c>
      <c r="G71" s="374">
        <f t="shared" si="19"/>
        <v>40745242</v>
      </c>
      <c r="H71" s="374">
        <f t="shared" si="19"/>
        <v>511415</v>
      </c>
      <c r="I71" s="374">
        <f t="shared" si="19"/>
        <v>32937</v>
      </c>
      <c r="J71" s="374">
        <f t="shared" si="19"/>
        <v>287985</v>
      </c>
      <c r="K71" s="374">
        <f t="shared" si="19"/>
        <v>0</v>
      </c>
      <c r="L71" s="374">
        <f t="shared" si="19"/>
        <v>0</v>
      </c>
      <c r="M71" s="374">
        <f t="shared" si="12"/>
        <v>350551086</v>
      </c>
      <c r="N71" s="160"/>
      <c r="O71" s="322"/>
      <c r="P71" s="1738" t="str">
        <f>IF(P69-INT(P69)&lt;&gt;0,"Whole Dollars Only","")</f>
        <v/>
      </c>
      <c r="Q71" s="1738"/>
      <c r="R71" s="323"/>
      <c r="S71" s="323"/>
      <c r="T71" s="323"/>
      <c r="U71" s="291"/>
      <c r="V71" s="324"/>
      <c r="W71" s="321"/>
      <c r="X71" s="321"/>
      <c r="Y71" s="321"/>
      <c r="Z71" s="318"/>
      <c r="AA71" s="325">
        <f>SUM(AA60:AA70)</f>
        <v>384723955</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Input!$OJ$31</f>
        <v>0</v>
      </c>
      <c r="E74" s="372">
        <f>Input!$OK$31</f>
        <v>0</v>
      </c>
      <c r="F74" s="372">
        <f>Input!$OL$31</f>
        <v>0</v>
      </c>
      <c r="G74" s="372">
        <f>Input!$OM$31</f>
        <v>0</v>
      </c>
      <c r="H74" s="372">
        <f>Input!$ON$31</f>
        <v>0</v>
      </c>
      <c r="I74" s="372">
        <f>Input!$OO$31</f>
        <v>0</v>
      </c>
      <c r="J74" s="372">
        <f>Input!$OP$31</f>
        <v>-52853362</v>
      </c>
      <c r="K74" s="372">
        <f>Input!$OQ$31</f>
        <v>0</v>
      </c>
      <c r="L74" s="372">
        <f>Input!$OR$31</f>
        <v>0</v>
      </c>
      <c r="M74" s="373">
        <f>D74+E74+F74+G74+H74+I74+J74+K74+L74</f>
        <v>-52853362</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Input!$OS$31</f>
        <v>-4700429</v>
      </c>
      <c r="E75" s="372">
        <f>Input!$OT$31</f>
        <v>-2475068</v>
      </c>
      <c r="F75" s="372">
        <f>Input!$OU$31</f>
        <v>100000</v>
      </c>
      <c r="G75" s="372">
        <f>Input!$OV$31</f>
        <v>405250</v>
      </c>
      <c r="H75" s="372">
        <f>Input!$OW$31</f>
        <v>0</v>
      </c>
      <c r="I75" s="372">
        <f>Input!$OX$31</f>
        <v>0</v>
      </c>
      <c r="J75" s="372">
        <f>Input!$OY$31</f>
        <v>766383</v>
      </c>
      <c r="K75" s="372">
        <f>Input!$OZ$31</f>
        <v>0</v>
      </c>
      <c r="L75" s="372">
        <f>Input!$PA$31</f>
        <v>0</v>
      </c>
      <c r="M75" s="373">
        <f>D75+E75+F75+G75+H75+I75+J75+K75+L75</f>
        <v>-5903864</v>
      </c>
      <c r="N75" s="160"/>
      <c r="O75" s="1723" t="str">
        <f>IF(M85&lt;0,"Footnote 11 is N/A - No Data Entry Required","Footnote 11")</f>
        <v>Footnote 11</v>
      </c>
      <c r="P75" s="1724"/>
      <c r="Q75" s="1724"/>
      <c r="R75" s="1725"/>
      <c r="S75" s="330"/>
      <c r="T75" s="330"/>
      <c r="U75" s="327"/>
      <c r="V75" s="276"/>
      <c r="W75" s="331"/>
      <c r="X75" s="331"/>
      <c r="Y75" s="328"/>
      <c r="Z75" s="328"/>
      <c r="AA75" s="276"/>
      <c r="AB75" s="276" t="s">
        <v>293</v>
      </c>
    </row>
    <row r="76" spans="1:28" ht="13.5" thickTop="1">
      <c r="A76" s="184">
        <v>59</v>
      </c>
      <c r="B76" s="160" t="s">
        <v>45</v>
      </c>
      <c r="C76" s="160"/>
      <c r="D76" s="372">
        <f>Input!$PB$31</f>
        <v>0</v>
      </c>
      <c r="E76" s="372">
        <f>Input!$PC$31</f>
        <v>0</v>
      </c>
      <c r="F76" s="372">
        <f>Input!$PD$31</f>
        <v>0</v>
      </c>
      <c r="G76" s="372">
        <f>Input!$PE$31</f>
        <v>0</v>
      </c>
      <c r="H76" s="372">
        <f>Input!$PF$31</f>
        <v>0</v>
      </c>
      <c r="I76" s="372">
        <f>Input!$PG$31</f>
        <v>0</v>
      </c>
      <c r="J76" s="372">
        <f>Input!$PH$31</f>
        <v>0</v>
      </c>
      <c r="K76" s="372">
        <f>Input!$PI$31</f>
        <v>0</v>
      </c>
      <c r="L76" s="372">
        <f>Input!$PJ$31</f>
        <v>0</v>
      </c>
      <c r="M76" s="373">
        <f>D76+E76+F76+G76+H76+I76+J76+K76+L76</f>
        <v>0</v>
      </c>
      <c r="N76" s="160"/>
      <c r="O76" s="487" t="s">
        <v>583</v>
      </c>
      <c r="P76" s="488"/>
      <c r="Q76" s="489"/>
      <c r="R76" s="490">
        <f>IF($M$85&lt;0,"N/A",$M$85)</f>
        <v>55763668</v>
      </c>
      <c r="S76" s="330"/>
      <c r="T76" s="330"/>
      <c r="U76" s="327"/>
      <c r="V76" s="276"/>
      <c r="W76" s="331"/>
      <c r="X76" s="331"/>
      <c r="Y76" s="331"/>
      <c r="Z76" s="331"/>
      <c r="AA76" s="276"/>
      <c r="AB76" s="276"/>
    </row>
    <row r="77" spans="1:28">
      <c r="A77" s="184">
        <v>60</v>
      </c>
      <c r="B77" s="160" t="s">
        <v>46</v>
      </c>
      <c r="C77" s="160"/>
      <c r="D77" s="372">
        <f>Input!$PK$31</f>
        <v>0</v>
      </c>
      <c r="E77" s="372">
        <f>Input!$PL$31</f>
        <v>0</v>
      </c>
      <c r="F77" s="372">
        <f>Input!$PM$31</f>
        <v>0</v>
      </c>
      <c r="G77" s="372">
        <f>Input!$PN$31</f>
        <v>0</v>
      </c>
      <c r="H77" s="372">
        <f>Input!$PO$31</f>
        <v>0</v>
      </c>
      <c r="I77" s="372">
        <f>Input!$PP$31</f>
        <v>0</v>
      </c>
      <c r="J77" s="372">
        <f>Input!$PQ$31</f>
        <v>0</v>
      </c>
      <c r="K77" s="372">
        <f>Input!$PR$31</f>
        <v>0</v>
      </c>
      <c r="L77" s="372">
        <f>Input!$PS$31</f>
        <v>0</v>
      </c>
      <c r="M77" s="373">
        <f>D77+E77+F77+G77+H77+I77+J77+K77+L77</f>
        <v>0</v>
      </c>
      <c r="N77" s="160"/>
      <c r="O77" s="491" t="s">
        <v>584</v>
      </c>
      <c r="P77" s="334"/>
      <c r="Q77" s="334"/>
      <c r="R77" s="521">
        <f>Input!$UB$31</f>
        <v>28755149</v>
      </c>
      <c r="S77" s="330"/>
      <c r="T77" s="330"/>
      <c r="U77" s="327"/>
      <c r="V77" s="276"/>
      <c r="W77" s="331"/>
      <c r="X77" s="331"/>
      <c r="Y77" s="331"/>
      <c r="Z77" s="331"/>
      <c r="AA77" s="276"/>
      <c r="AB77" s="276"/>
    </row>
    <row r="78" spans="1:28">
      <c r="A78" s="184">
        <v>61</v>
      </c>
      <c r="B78" s="162" t="s">
        <v>3</v>
      </c>
      <c r="C78" s="162"/>
      <c r="D78" s="374">
        <f t="shared" ref="D78:L78" si="20">SUM(D74:D77)</f>
        <v>-4700429</v>
      </c>
      <c r="E78" s="374">
        <f t="shared" si="20"/>
        <v>-2475068</v>
      </c>
      <c r="F78" s="374">
        <f t="shared" si="20"/>
        <v>100000</v>
      </c>
      <c r="G78" s="374">
        <f t="shared" si="20"/>
        <v>405250</v>
      </c>
      <c r="H78" s="374">
        <f t="shared" si="20"/>
        <v>0</v>
      </c>
      <c r="I78" s="374">
        <f t="shared" si="20"/>
        <v>0</v>
      </c>
      <c r="J78" s="374">
        <f t="shared" si="20"/>
        <v>-52086979</v>
      </c>
      <c r="K78" s="374">
        <f t="shared" si="20"/>
        <v>0</v>
      </c>
      <c r="L78" s="374">
        <f t="shared" si="20"/>
        <v>0</v>
      </c>
      <c r="M78" s="374">
        <f>D78+E78+F78+G78+H78+I78+J78+K78+L78</f>
        <v>-58757226</v>
      </c>
      <c r="N78" s="160"/>
      <c r="O78" s="491" t="s">
        <v>585</v>
      </c>
      <c r="P78" s="276"/>
      <c r="Q78" s="334"/>
      <c r="R78" s="492">
        <f>IF($M$85&lt;0,"",$R$76-$R$77)</f>
        <v>27008519</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3"/>
      <c r="P79" s="276"/>
      <c r="Q79" s="334"/>
      <c r="R79" s="494"/>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5" t="s">
        <v>586</v>
      </c>
      <c r="P80" s="276"/>
      <c r="Q80" s="334"/>
      <c r="R80" s="521">
        <f>Input!$UC$31</f>
        <v>14660409</v>
      </c>
      <c r="S80" s="330"/>
      <c r="T80" s="330"/>
      <c r="U80" s="334"/>
      <c r="V80" s="276"/>
      <c r="W80" s="328"/>
      <c r="X80" s="328"/>
      <c r="Y80" s="331"/>
      <c r="Z80" s="331"/>
      <c r="AA80" s="276"/>
      <c r="AB80" s="276"/>
    </row>
    <row r="81" spans="1:28">
      <c r="A81" s="184">
        <v>64</v>
      </c>
      <c r="B81" s="160" t="s">
        <v>47</v>
      </c>
      <c r="C81" s="160"/>
      <c r="D81" s="372">
        <f>Input!$PT$31</f>
        <v>0</v>
      </c>
      <c r="E81" s="372">
        <f>Input!$PU$31</f>
        <v>15685431</v>
      </c>
      <c r="F81" s="372">
        <f>Input!$PV$31</f>
        <v>0</v>
      </c>
      <c r="G81" s="372">
        <f>Input!$PW$31</f>
        <v>0</v>
      </c>
      <c r="H81" s="372">
        <f>Input!$PX$31</f>
        <v>0</v>
      </c>
      <c r="I81" s="372">
        <f>Input!$PY$31</f>
        <v>14660409</v>
      </c>
      <c r="J81" s="372">
        <f>Input!$PZ$31</f>
        <v>0</v>
      </c>
      <c r="K81" s="372">
        <f>Input!$QA$31</f>
        <v>0</v>
      </c>
      <c r="L81" s="372">
        <f>Input!$QB$31</f>
        <v>0</v>
      </c>
      <c r="M81" s="373">
        <f>D81+E81+F81+G81+H81+I81+J81+K81+L81</f>
        <v>30345840</v>
      </c>
      <c r="N81" s="160"/>
      <c r="O81" s="496" t="s">
        <v>587</v>
      </c>
      <c r="P81" s="276"/>
      <c r="Q81" s="276"/>
      <c r="R81" s="497"/>
      <c r="S81" s="330"/>
      <c r="T81" s="330"/>
      <c r="W81" s="276"/>
      <c r="X81" s="276"/>
      <c r="Y81" s="331"/>
      <c r="Z81" s="331"/>
      <c r="AA81" s="276"/>
      <c r="AB81" s="276"/>
    </row>
    <row r="82" spans="1:28">
      <c r="A82" s="184">
        <v>65</v>
      </c>
      <c r="B82" s="160" t="s">
        <v>48</v>
      </c>
      <c r="C82" s="160"/>
      <c r="D82" s="372">
        <f>Input!$QC$31</f>
        <v>0</v>
      </c>
      <c r="E82" s="372">
        <f>Input!$QD$31</f>
        <v>0</v>
      </c>
      <c r="F82" s="372">
        <f>Input!$QE$31</f>
        <v>0</v>
      </c>
      <c r="G82" s="372">
        <f>Input!$QF$31</f>
        <v>0</v>
      </c>
      <c r="H82" s="372">
        <f>Input!$QG$31</f>
        <v>0</v>
      </c>
      <c r="I82" s="372">
        <f>Input!$QH$31</f>
        <v>2811133</v>
      </c>
      <c r="J82" s="372">
        <f>Input!$QI$31</f>
        <v>0</v>
      </c>
      <c r="K82" s="372">
        <f>Input!$QJ$31</f>
        <v>0</v>
      </c>
      <c r="L82" s="372">
        <f>Input!$QK$31</f>
        <v>0</v>
      </c>
      <c r="M82" s="373">
        <f>D82+E82+F82+G82+H82+I82+J82+K82+L82</f>
        <v>2811133</v>
      </c>
      <c r="N82" s="160"/>
      <c r="O82" s="498" t="s">
        <v>588</v>
      </c>
      <c r="P82" s="276"/>
      <c r="Q82" s="276"/>
      <c r="R82" s="492">
        <f>IFERROR($R$78-$R$80,"")</f>
        <v>12348110</v>
      </c>
      <c r="Y82" s="331"/>
      <c r="Z82" s="401"/>
      <c r="AA82" s="268"/>
      <c r="AB82" s="268"/>
    </row>
    <row r="83" spans="1:28">
      <c r="A83" s="184">
        <v>66</v>
      </c>
      <c r="B83" s="162" t="s">
        <v>3</v>
      </c>
      <c r="C83" s="162"/>
      <c r="D83" s="374">
        <f t="shared" ref="D83:L83" si="21">SUM(D81:D82)</f>
        <v>0</v>
      </c>
      <c r="E83" s="374">
        <f t="shared" si="21"/>
        <v>15685431</v>
      </c>
      <c r="F83" s="374">
        <f t="shared" si="21"/>
        <v>0</v>
      </c>
      <c r="G83" s="374">
        <f t="shared" si="21"/>
        <v>0</v>
      </c>
      <c r="H83" s="374">
        <f t="shared" si="21"/>
        <v>0</v>
      </c>
      <c r="I83" s="374">
        <f t="shared" si="21"/>
        <v>17471542</v>
      </c>
      <c r="J83" s="374">
        <f t="shared" si="21"/>
        <v>0</v>
      </c>
      <c r="K83" s="374">
        <f t="shared" si="21"/>
        <v>0</v>
      </c>
      <c r="L83" s="374">
        <f t="shared" si="21"/>
        <v>0</v>
      </c>
      <c r="M83" s="374">
        <f>D83+E83+F83+G83+H83+I83+J83+K83+L83</f>
        <v>33156973</v>
      </c>
      <c r="N83" s="160"/>
      <c r="O83" s="493"/>
      <c r="P83" s="276"/>
      <c r="Q83" s="276"/>
      <c r="R83" s="497"/>
      <c r="Y83" s="163"/>
      <c r="Z83" s="447"/>
      <c r="AA83" s="439"/>
      <c r="AB83" s="448"/>
    </row>
    <row r="84" spans="1:28" ht="13.5" thickBot="1">
      <c r="A84" s="184">
        <v>67</v>
      </c>
      <c r="B84" s="160"/>
      <c r="C84" s="160"/>
      <c r="D84" s="373"/>
      <c r="E84" s="373"/>
      <c r="F84" s="373"/>
      <c r="G84" s="373"/>
      <c r="H84" s="373"/>
      <c r="I84" s="373"/>
      <c r="J84" s="373"/>
      <c r="K84" s="373"/>
      <c r="L84" s="373"/>
      <c r="M84" s="373"/>
      <c r="N84" s="160"/>
      <c r="O84" s="499" t="s">
        <v>589</v>
      </c>
      <c r="P84" s="500"/>
      <c r="Q84" s="500"/>
      <c r="R84" s="501">
        <f>IFERROR((R82+R80)-R78,"")</f>
        <v>0</v>
      </c>
      <c r="Y84" s="268"/>
      <c r="Z84" s="447"/>
      <c r="AA84" s="439"/>
      <c r="AB84" s="449"/>
    </row>
    <row r="85" spans="1:28" ht="13.5" thickTop="1">
      <c r="A85" s="184">
        <v>68</v>
      </c>
      <c r="B85" s="162" t="s">
        <v>574</v>
      </c>
      <c r="C85" s="162"/>
      <c r="D85" s="374">
        <f t="shared" ref="D85:L85" si="22">D57-D71+D78+D83</f>
        <v>2036872</v>
      </c>
      <c r="E85" s="374">
        <f t="shared" si="22"/>
        <v>5235913</v>
      </c>
      <c r="F85" s="374">
        <f t="shared" si="22"/>
        <v>4095785</v>
      </c>
      <c r="G85" s="374">
        <f t="shared" si="22"/>
        <v>67750398</v>
      </c>
      <c r="H85" s="374">
        <f t="shared" si="22"/>
        <v>-511480</v>
      </c>
      <c r="I85" s="374">
        <f t="shared" si="22"/>
        <v>32195789</v>
      </c>
      <c r="J85" s="374">
        <f t="shared" si="22"/>
        <v>-55039609</v>
      </c>
      <c r="K85" s="374">
        <f t="shared" si="22"/>
        <v>0</v>
      </c>
      <c r="L85" s="374">
        <f t="shared" si="22"/>
        <v>0</v>
      </c>
      <c r="M85" s="374">
        <f>D85+E85+F85+G85+H85+I85+J85+K85+L85</f>
        <v>55763668</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Input!$QL$31</f>
        <v>0</v>
      </c>
      <c r="E87" s="372">
        <f>Input!$QM$31</f>
        <v>0</v>
      </c>
      <c r="F87" s="372">
        <f>Input!$QN$31</f>
        <v>0</v>
      </c>
      <c r="G87" s="372">
        <f>Input!$QO$31</f>
        <v>0</v>
      </c>
      <c r="H87" s="372">
        <f>Input!$QP$31</f>
        <v>0</v>
      </c>
      <c r="I87" s="372">
        <f>Input!$QQ$31</f>
        <v>0</v>
      </c>
      <c r="J87" s="372">
        <f>Input!$QR$31</f>
        <v>0</v>
      </c>
      <c r="K87" s="372">
        <f>Input!$QS$31</f>
        <v>0</v>
      </c>
      <c r="L87" s="372">
        <f>Input!$QT$31</f>
        <v>0</v>
      </c>
      <c r="M87" s="329">
        <f>D87+E87+F87+G87+H87+I87+J87+K87+L87</f>
        <v>0</v>
      </c>
      <c r="N87" s="160"/>
      <c r="Y87" s="268"/>
      <c r="Z87" s="447"/>
      <c r="AA87" s="439"/>
      <c r="AB87" s="449"/>
    </row>
    <row r="88" spans="1:28">
      <c r="A88" s="184">
        <v>72</v>
      </c>
      <c r="B88" s="160" t="s">
        <v>66</v>
      </c>
      <c r="C88" s="160"/>
      <c r="D88" s="372">
        <f>Input!$QU$31</f>
        <v>0</v>
      </c>
      <c r="E88" s="372">
        <f>Input!$QV$31</f>
        <v>0</v>
      </c>
      <c r="F88" s="372">
        <f>Input!$QW$31</f>
        <v>0</v>
      </c>
      <c r="G88" s="372">
        <f>Input!$QX$31</f>
        <v>0</v>
      </c>
      <c r="H88" s="372">
        <f>Input!$QY$31</f>
        <v>0</v>
      </c>
      <c r="I88" s="372">
        <f>Input!$QZ$31</f>
        <v>0</v>
      </c>
      <c r="J88" s="372">
        <f>Input!$RA$31</f>
        <v>-39216453</v>
      </c>
      <c r="K88" s="372">
        <f>Input!$RB$31</f>
        <v>0</v>
      </c>
      <c r="L88" s="372">
        <f>Input!$RC$31</f>
        <v>0</v>
      </c>
      <c r="M88" s="373">
        <f>D88+E88+F88+G88+H88+I88+J88+K88+L88</f>
        <v>-39216453</v>
      </c>
      <c r="N88" s="160"/>
      <c r="O88" s="270"/>
      <c r="P88" s="335"/>
      <c r="Y88" s="268"/>
      <c r="Z88" s="447"/>
      <c r="AA88" s="439"/>
      <c r="AB88" s="449"/>
    </row>
    <row r="89" spans="1:28" s="264" customFormat="1">
      <c r="A89" s="263"/>
      <c r="B89" s="171" t="s">
        <v>216</v>
      </c>
      <c r="C89" s="171"/>
      <c r="D89" s="372">
        <f>Input!$RD$31</f>
        <v>0</v>
      </c>
      <c r="E89" s="372">
        <f>Input!$RE$31</f>
        <v>0</v>
      </c>
      <c r="F89" s="372">
        <f>Input!$RF$31</f>
        <v>0</v>
      </c>
      <c r="G89" s="372">
        <f>Input!$RG$31</f>
        <v>0</v>
      </c>
      <c r="H89" s="372">
        <f>Input!$RH$31</f>
        <v>0</v>
      </c>
      <c r="I89" s="372">
        <f>Input!$RI$31</f>
        <v>0</v>
      </c>
      <c r="J89" s="372">
        <f>Input!$RJ$31</f>
        <v>0</v>
      </c>
      <c r="K89" s="372">
        <f>Input!$RK$31</f>
        <v>0</v>
      </c>
      <c r="L89" s="372">
        <f>Input!$RL$31</f>
        <v>0</v>
      </c>
      <c r="M89" s="373">
        <f t="shared" ref="M89:M91" si="23">D89+E89+F89+G89+H89+I89+J89+K89+L89</f>
        <v>0</v>
      </c>
      <c r="N89" s="160"/>
      <c r="O89" s="1726" t="s">
        <v>1355</v>
      </c>
      <c r="P89" s="1727"/>
      <c r="Q89" s="1727"/>
      <c r="R89" s="1727"/>
      <c r="S89" s="1727"/>
      <c r="T89" s="1727"/>
      <c r="U89" s="1728"/>
      <c r="Y89" s="268"/>
      <c r="Z89" s="447"/>
      <c r="AA89" s="439"/>
      <c r="AB89" s="449"/>
    </row>
    <row r="90" spans="1:28" s="264" customFormat="1">
      <c r="A90" s="263"/>
      <c r="B90" s="171" t="s">
        <v>105</v>
      </c>
      <c r="C90" s="171"/>
      <c r="D90" s="372">
        <f>Input!$RM$31</f>
        <v>0</v>
      </c>
      <c r="E90" s="372">
        <f>Input!$RN$31</f>
        <v>0</v>
      </c>
      <c r="F90" s="372">
        <f>Input!$RO$31</f>
        <v>0</v>
      </c>
      <c r="G90" s="372">
        <f>Input!$RP$31</f>
        <v>0</v>
      </c>
      <c r="H90" s="372">
        <f>Input!$RQ$31</f>
        <v>0</v>
      </c>
      <c r="I90" s="372">
        <f>Input!$RR$31</f>
        <v>0</v>
      </c>
      <c r="J90" s="372">
        <f>Input!$RS$31</f>
        <v>0</v>
      </c>
      <c r="K90" s="372">
        <f>Input!$RT$31</f>
        <v>0</v>
      </c>
      <c r="L90" s="372">
        <f>Input!$RU$31</f>
        <v>0</v>
      </c>
      <c r="M90" s="373">
        <f t="shared" si="23"/>
        <v>0</v>
      </c>
      <c r="N90" s="160"/>
      <c r="O90" s="502" t="s">
        <v>590</v>
      </c>
      <c r="P90" s="423"/>
      <c r="Q90" s="502" t="s">
        <v>591</v>
      </c>
      <c r="R90" s="423"/>
      <c r="S90" s="503"/>
      <c r="T90" s="502" t="s">
        <v>592</v>
      </c>
      <c r="U90" s="423"/>
      <c r="Y90" s="268"/>
      <c r="Z90" s="447"/>
      <c r="AA90" s="439"/>
      <c r="AB90" s="449"/>
    </row>
    <row r="91" spans="1:28" s="264" customFormat="1">
      <c r="A91" s="263"/>
      <c r="B91" s="171" t="s">
        <v>128</v>
      </c>
      <c r="C91" s="171"/>
      <c r="D91" s="372">
        <f>Input!$RV$31</f>
        <v>0</v>
      </c>
      <c r="E91" s="372">
        <f>Input!$RW$31</f>
        <v>0</v>
      </c>
      <c r="F91" s="372">
        <f>Input!$RX$31</f>
        <v>0</v>
      </c>
      <c r="G91" s="372">
        <f>Input!$RY$31</f>
        <v>0</v>
      </c>
      <c r="H91" s="372">
        <f>Input!$RZ$31</f>
        <v>0</v>
      </c>
      <c r="I91" s="372">
        <f>Input!$SA$31</f>
        <v>0</v>
      </c>
      <c r="J91" s="372">
        <f>Input!$SB$31</f>
        <v>0</v>
      </c>
      <c r="K91" s="372">
        <f>Input!$SC$31</f>
        <v>0</v>
      </c>
      <c r="L91" s="372">
        <f>Input!$SD$31</f>
        <v>0</v>
      </c>
      <c r="M91" s="373">
        <f t="shared" si="23"/>
        <v>0</v>
      </c>
      <c r="N91" s="160"/>
      <c r="O91" s="504"/>
      <c r="P91" s="505"/>
      <c r="Q91" s="504"/>
      <c r="R91" s="426"/>
      <c r="S91" s="276"/>
      <c r="T91" s="506"/>
      <c r="U91" s="426"/>
      <c r="Y91" s="268"/>
      <c r="Z91" s="447"/>
      <c r="AA91" s="439"/>
      <c r="AB91" s="449"/>
    </row>
    <row r="92" spans="1:28" s="264" customFormat="1">
      <c r="A92" s="263"/>
      <c r="B92" s="160" t="s">
        <v>67</v>
      </c>
      <c r="C92" s="160"/>
      <c r="D92" s="372">
        <f>Input!$SE$31</f>
        <v>809208</v>
      </c>
      <c r="E92" s="372">
        <f>Input!$SF$31</f>
        <v>3019514</v>
      </c>
      <c r="F92" s="372">
        <f>Input!$SG$31</f>
        <v>107282</v>
      </c>
      <c r="G92" s="372">
        <f>Input!$SH$31</f>
        <v>757818</v>
      </c>
      <c r="H92" s="372">
        <f>Input!$SI$31</f>
        <v>0</v>
      </c>
      <c r="I92" s="372">
        <f>Input!$SJ$31</f>
        <v>0</v>
      </c>
      <c r="J92" s="372">
        <f>Input!$SK$31</f>
        <v>52853362</v>
      </c>
      <c r="K92" s="372">
        <f>Input!$SL$31</f>
        <v>0</v>
      </c>
      <c r="L92" s="372">
        <f>Input!$SM$31</f>
        <v>0</v>
      </c>
      <c r="M92" s="373">
        <f>D92+E92+F92+G92+H92+I92+J92+K92+L92</f>
        <v>57547184</v>
      </c>
      <c r="N92" s="160"/>
      <c r="O92" s="1729" t="str">
        <f>Input!UF$31</f>
        <v>Amanda Withers</v>
      </c>
      <c r="P92" s="1730"/>
      <c r="Q92" s="1729" t="str">
        <f>Input!$UG$31</f>
        <v>936-294-2289</v>
      </c>
      <c r="R92" s="1730"/>
      <c r="S92" s="276"/>
      <c r="T92" s="1731" t="str">
        <f>HYPERLINK("Mailto:"&amp;Input!$UH$31,Input!$UH$31)</f>
        <v>withers@shsu.edu</v>
      </c>
      <c r="U92" s="1730"/>
      <c r="Y92" s="268"/>
      <c r="Z92" s="447"/>
      <c r="AA92" s="442"/>
      <c r="AB92" s="449"/>
    </row>
    <row r="93" spans="1:28" ht="13.5" thickBot="1">
      <c r="B93" s="179" t="s">
        <v>58</v>
      </c>
      <c r="C93" s="179"/>
      <c r="D93" s="380">
        <f t="shared" ref="D93:K93" si="24">SUM(D85:D92)</f>
        <v>2846080</v>
      </c>
      <c r="E93" s="380">
        <f t="shared" si="24"/>
        <v>8255427</v>
      </c>
      <c r="F93" s="380">
        <f t="shared" si="24"/>
        <v>4203067</v>
      </c>
      <c r="G93" s="380">
        <f t="shared" si="24"/>
        <v>68508216</v>
      </c>
      <c r="H93" s="380">
        <f t="shared" si="24"/>
        <v>-511480</v>
      </c>
      <c r="I93" s="380">
        <f t="shared" si="24"/>
        <v>32195789</v>
      </c>
      <c r="J93" s="380">
        <f t="shared" si="24"/>
        <v>-41402700</v>
      </c>
      <c r="K93" s="380">
        <f t="shared" si="24"/>
        <v>0</v>
      </c>
      <c r="L93" s="380">
        <f>SUM(L85:L92)</f>
        <v>0</v>
      </c>
      <c r="M93" s="380">
        <f>D93+E93+F93+G93+H93+I93+J93+K93+L93</f>
        <v>74094399</v>
      </c>
      <c r="N93" s="160"/>
      <c r="O93" s="506"/>
      <c r="P93" s="507"/>
      <c r="Q93" s="276"/>
      <c r="R93" s="276"/>
      <c r="S93" s="276"/>
      <c r="T93" s="507"/>
      <c r="U93" s="508"/>
      <c r="Y93" s="268"/>
      <c r="Z93" s="447"/>
      <c r="AA93" s="442"/>
      <c r="AB93" s="449"/>
    </row>
    <row r="94" spans="1:28" ht="13.5" thickTop="1">
      <c r="C94" s="160"/>
      <c r="D94" s="165"/>
      <c r="E94" s="165"/>
      <c r="F94" s="165"/>
      <c r="G94" s="165"/>
      <c r="H94" s="165"/>
      <c r="I94" s="165"/>
      <c r="J94" s="165"/>
      <c r="K94" s="165"/>
      <c r="L94" s="165"/>
      <c r="M94" s="180"/>
      <c r="N94" s="160"/>
      <c r="O94" s="1720" t="s">
        <v>593</v>
      </c>
      <c r="P94" s="1721"/>
      <c r="Q94" s="1721"/>
      <c r="R94" s="1721"/>
      <c r="S94" s="1721"/>
      <c r="T94" s="1721"/>
      <c r="U94" s="1722"/>
      <c r="Y94" s="268"/>
      <c r="Z94" s="451"/>
      <c r="AA94" s="442"/>
      <c r="AB94" s="449"/>
    </row>
    <row r="95" spans="1:28">
      <c r="B95" s="171" t="s">
        <v>1369</v>
      </c>
      <c r="C95" s="169"/>
      <c r="D95" s="165"/>
      <c r="E95" s="165"/>
      <c r="F95" s="165"/>
      <c r="G95" s="165"/>
      <c r="H95" s="165"/>
      <c r="I95" s="165"/>
      <c r="J95" s="165"/>
      <c r="K95" s="165"/>
      <c r="L95" s="165"/>
      <c r="M95" s="180"/>
      <c r="N95" s="160"/>
      <c r="O95" s="1720"/>
      <c r="P95" s="1721"/>
      <c r="Q95" s="1721"/>
      <c r="R95" s="1721"/>
      <c r="S95" s="1721"/>
      <c r="T95" s="1721"/>
      <c r="U95" s="1722"/>
      <c r="Y95" s="268"/>
      <c r="Z95" s="452"/>
      <c r="AA95" s="453"/>
      <c r="AB95" s="454"/>
    </row>
    <row r="96" spans="1:28">
      <c r="B96" s="169" t="s">
        <v>80</v>
      </c>
      <c r="C96" s="160"/>
      <c r="D96" s="165"/>
      <c r="E96" s="165"/>
      <c r="F96" s="165"/>
      <c r="G96" s="165"/>
      <c r="H96" s="165"/>
      <c r="I96" s="165"/>
      <c r="J96" s="165"/>
      <c r="K96" s="165"/>
      <c r="L96" s="165"/>
      <c r="M96" s="180"/>
      <c r="N96" s="160"/>
      <c r="O96" s="509"/>
      <c r="P96" s="510"/>
      <c r="Q96" s="511"/>
      <c r="R96" s="511"/>
      <c r="S96" s="511"/>
      <c r="T96" s="510"/>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Input!$SN$31</f>
        <v>74094399</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3" t="str">
        <f>IF($L$118&lt;&gt;Input!$F$31,"Out of Balance","Balanced")</f>
        <v>Balanced</v>
      </c>
      <c r="M102" s="517"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235269430</v>
      </c>
      <c r="E105" s="373">
        <f>SUM($E$10:$E$14)+SUM($E$19:$E$28)+SUM($E$32:$E$41)+$E$47+SUM($E$50:$E$55)+SUM($E$60:$E$70)+SUM($E$74:$E$77)+SUM($E$81:$E$82)+SUM($E$87:$E$92)</f>
        <v>314645853</v>
      </c>
      <c r="F105" s="373">
        <f>SUM($F$10:$F$14)+SUM($F$19:$F$28)+SUM($F$32:$F$41)+$F$47+SUM($F$50:$F$55)+SUM($F$60:$F$70)+SUM($F$74:$F$77)+SUM($F$81:$F$82)+SUM($F$87:$F$92)</f>
        <v>83336305</v>
      </c>
      <c r="G105" s="373">
        <f>SUM($G$10:$G$14)+SUM($G$19:$G$28)+SUM($G$32:$G$41)+$G$47+SUM($G$50:$G$55)+SUM($G$60:$G$70)+SUM($G$74:$G$77)+SUM($G$81:$G$82)+SUM($G$87:$G$92)</f>
        <v>149998700</v>
      </c>
      <c r="H105" s="373">
        <f>SUM($H$10:$H$14)+SUM($H$19:$H$28)+SUM($H$32:$H$41)+$H$47+SUM($H$50:$H$55)+SUM($H$60:$H$70)+SUM($H$74:$H$77)+SUM($H$81:$H$82)+SUM($H$87:$H$92)</f>
        <v>511350</v>
      </c>
      <c r="I105" s="373">
        <f>SUM($I$10:$I$14)+SUM($I$19:$I$28)+SUM($I$32:$I$41)+$I$47+SUM($I$50:$I$55)+SUM($I$60:$I$70)+SUM($I$74:$I$77)+SUM($I$81:$I$82)+SUM($I$87:$I$92)</f>
        <v>32261663</v>
      </c>
      <c r="J105" s="373">
        <f>SUM($J$10:$J$14)+SUM($J$19:$J$28)+SUM($J$32:$J$41)+$J$47+SUM($J$50:$J$55)+SUM($J$60:$J$70)+SUM($J$74:$J$77)+SUM($J$81:$J$82)+SUM($J$87:$J$92)</f>
        <v>-40826730</v>
      </c>
      <c r="K105" s="373">
        <f>SUM($K$10:$K$14)+SUM($K$19:$K$28)+SUM($K$32:$K$41)+$K$47+SUM($K$50:$K$55)+SUM($K$60:$K$70)+SUM($K$74:$K$77)+SUM($K$81:$K$82)+SUM($K$87:$K$92)</f>
        <v>0</v>
      </c>
      <c r="L105" s="373">
        <f>SUM($L$10:$L$14)+SUM($L$19:$L$28)+SUM($L$32:$L$41)+$L$47+SUM($L$50:$L$55)+SUM($L$60:$L$70)+SUM($L$74:$L$77)+SUM($L$81:$L$82)+SUM($L$87:$L$92)</f>
        <v>0</v>
      </c>
      <c r="M105" s="373"/>
      <c r="N105" s="264"/>
      <c r="O105" s="373"/>
      <c r="P105" s="450">
        <f>M18-INT(M18)</f>
        <v>0</v>
      </c>
    </row>
    <row r="106" spans="2:28">
      <c r="B106" s="261"/>
      <c r="C106" s="261"/>
      <c r="D106" s="261"/>
      <c r="E106" s="261"/>
      <c r="F106" s="261"/>
      <c r="G106" s="261"/>
      <c r="H106" s="261"/>
      <c r="I106" s="261"/>
      <c r="J106" s="261"/>
      <c r="K106" s="261"/>
      <c r="L106" s="373">
        <f>SUM($D$105:$L$105)</f>
        <v>775196571</v>
      </c>
      <c r="M106" s="261"/>
      <c r="N106" s="264"/>
      <c r="O106" s="373"/>
      <c r="P106" s="450">
        <f>M31-INT(M31)</f>
        <v>0</v>
      </c>
    </row>
    <row r="107" spans="2:28">
      <c r="B107" s="261"/>
      <c r="C107" s="261"/>
      <c r="D107" s="261"/>
      <c r="E107" s="261"/>
      <c r="F107" s="261"/>
      <c r="G107" s="261"/>
      <c r="H107" s="261"/>
      <c r="I107" s="261"/>
      <c r="J107" s="261" t="s">
        <v>1299</v>
      </c>
      <c r="K107" s="261"/>
      <c r="L107" s="373">
        <f>$M$100</f>
        <v>74094399</v>
      </c>
      <c r="M107" s="261"/>
      <c r="N107" s="264"/>
      <c r="O107" s="373"/>
      <c r="P107" s="450">
        <f>M93-INT(M93)</f>
        <v>0</v>
      </c>
    </row>
    <row r="108" spans="2:28">
      <c r="B108" s="261"/>
      <c r="C108" s="261"/>
      <c r="D108" s="261"/>
      <c r="E108" s="261"/>
      <c r="F108" s="261"/>
      <c r="G108" s="261"/>
      <c r="H108" s="261"/>
      <c r="I108" s="261"/>
      <c r="J108" s="261" t="s">
        <v>1300</v>
      </c>
      <c r="K108" s="261"/>
      <c r="L108" s="512">
        <f>$Q$32</f>
        <v>242168865</v>
      </c>
      <c r="M108" s="261"/>
      <c r="N108" s="264"/>
      <c r="O108" s="373"/>
    </row>
    <row r="109" spans="2:28">
      <c r="B109" s="261"/>
      <c r="C109" s="261"/>
      <c r="D109" s="261"/>
      <c r="E109" s="261"/>
      <c r="F109" s="261"/>
      <c r="G109" s="261"/>
      <c r="H109" s="261"/>
      <c r="I109" s="261"/>
      <c r="J109" s="261" t="s">
        <v>1300</v>
      </c>
      <c r="K109" s="261"/>
      <c r="L109" s="512">
        <f>$R$34</f>
        <v>-65302118</v>
      </c>
      <c r="M109" s="261"/>
      <c r="N109" s="264"/>
      <c r="O109" s="373"/>
    </row>
    <row r="110" spans="2:28">
      <c r="B110" s="261"/>
      <c r="C110" s="261"/>
      <c r="D110" s="261"/>
      <c r="E110" s="261"/>
      <c r="F110" s="261"/>
      <c r="G110" s="261"/>
      <c r="H110" s="261"/>
      <c r="I110" s="261"/>
      <c r="J110" s="261" t="s">
        <v>29</v>
      </c>
      <c r="K110" s="261"/>
      <c r="L110" s="512">
        <f>SUM($P$60:$P$68)</f>
        <v>4693822</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2">
        <f>SUM($V$60:$V$67)</f>
        <v>0</v>
      </c>
      <c r="M112" s="261"/>
      <c r="N112" s="264"/>
      <c r="O112" s="373"/>
    </row>
    <row r="113" spans="2:15">
      <c r="B113" s="261"/>
      <c r="C113" s="261"/>
      <c r="D113" s="261"/>
      <c r="E113" s="261"/>
      <c r="F113" s="261"/>
      <c r="G113" s="261"/>
      <c r="H113" s="261"/>
      <c r="I113" s="261"/>
      <c r="J113" s="261" t="s">
        <v>596</v>
      </c>
      <c r="K113" s="261"/>
      <c r="L113" s="512">
        <f>SUM($W$60:$W$67)</f>
        <v>0</v>
      </c>
      <c r="M113" s="261"/>
      <c r="N113" s="264"/>
      <c r="O113" s="373"/>
    </row>
    <row r="114" spans="2:15">
      <c r="B114" s="261"/>
      <c r="C114" s="261"/>
      <c r="D114" s="261"/>
      <c r="E114" s="261"/>
      <c r="F114" s="261"/>
      <c r="G114" s="261"/>
      <c r="H114" s="261"/>
      <c r="I114" s="261"/>
      <c r="J114" s="261" t="s">
        <v>258</v>
      </c>
      <c r="K114" s="261"/>
      <c r="L114" s="512">
        <f>SUM($AA$60:$AA$68)</f>
        <v>345507502</v>
      </c>
      <c r="M114" s="261"/>
      <c r="N114" s="264"/>
      <c r="O114" s="373"/>
    </row>
    <row r="115" spans="2:15">
      <c r="B115" s="261"/>
      <c r="C115" s="261"/>
      <c r="D115" s="261"/>
      <c r="E115" s="261"/>
      <c r="F115" s="261"/>
      <c r="G115" s="261"/>
      <c r="H115" s="261"/>
      <c r="I115" s="261"/>
      <c r="J115" s="261" t="s">
        <v>597</v>
      </c>
      <c r="K115" s="261"/>
      <c r="L115" s="512">
        <f>$R$77</f>
        <v>28755149</v>
      </c>
      <c r="M115" s="261"/>
      <c r="N115" s="264"/>
      <c r="O115" s="373"/>
    </row>
    <row r="116" spans="2:15">
      <c r="B116" s="261"/>
      <c r="C116" s="261"/>
      <c r="D116" s="261"/>
      <c r="E116" s="261"/>
      <c r="F116" s="261"/>
      <c r="G116" s="261"/>
      <c r="H116" s="261"/>
      <c r="I116" s="261"/>
      <c r="J116" s="261" t="s">
        <v>597</v>
      </c>
      <c r="K116" s="261"/>
      <c r="L116" s="512">
        <f>$R$80</f>
        <v>14660409</v>
      </c>
      <c r="M116" s="261"/>
      <c r="N116" s="264"/>
      <c r="O116" s="373"/>
    </row>
    <row r="117" spans="2:15">
      <c r="B117" s="261"/>
      <c r="C117" s="261"/>
      <c r="D117" s="261"/>
      <c r="E117" s="261"/>
      <c r="F117" s="261"/>
      <c r="G117" s="261"/>
      <c r="H117" s="261"/>
      <c r="I117" s="261"/>
      <c r="J117" s="261" t="s">
        <v>1231</v>
      </c>
      <c r="K117" s="261"/>
      <c r="L117" s="1008">
        <f>VLOOKUP(B2,Names!B5:$C$87,2,FALSE)</f>
        <v>3606</v>
      </c>
      <c r="M117" s="261"/>
      <c r="N117" s="264"/>
      <c r="O117" s="373"/>
    </row>
    <row r="118" spans="2:15">
      <c r="B118" s="261"/>
      <c r="C118" s="261"/>
      <c r="D118" s="261"/>
      <c r="E118" s="261"/>
      <c r="F118" s="261"/>
      <c r="G118" s="261"/>
      <c r="H118" s="261"/>
      <c r="I118" s="261"/>
      <c r="J118" s="261"/>
      <c r="K118" s="261"/>
      <c r="L118" s="373">
        <f>SUM(L106:L117)</f>
        <v>1419778205</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V56:V59"/>
    <mergeCell ref="W56:W59"/>
    <mergeCell ref="G59:K59"/>
    <mergeCell ref="AA56:AA59"/>
    <mergeCell ref="Z55:AB55"/>
    <mergeCell ref="R56:R59"/>
    <mergeCell ref="O55:R55"/>
    <mergeCell ref="T55:X55"/>
    <mergeCell ref="X56:X59"/>
    <mergeCell ref="AB56:AB59"/>
    <mergeCell ref="Z56:Z59"/>
    <mergeCell ref="B2:F2"/>
    <mergeCell ref="B4:F4"/>
    <mergeCell ref="B5:F5"/>
    <mergeCell ref="B6:M6"/>
    <mergeCell ref="P5:Q5"/>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s>
  <conditionalFormatting sqref="U87:X88 O88:Q88">
    <cfRule type="cellIs" dxfId="523" priority="166" stopIfTrue="1" operator="notEqual">
      <formula>#REF!</formula>
    </cfRule>
  </conditionalFormatting>
  <conditionalFormatting sqref="P70">
    <cfRule type="expression" dxfId="522" priority="144">
      <formula>$P$69&lt;&gt;$M$69</formula>
    </cfRule>
  </conditionalFormatting>
  <conditionalFormatting sqref="AB72">
    <cfRule type="expression" dxfId="521" priority="143">
      <formula>$AB$71&lt;&gt;0</formula>
    </cfRule>
  </conditionalFormatting>
  <conditionalFormatting sqref="P71">
    <cfRule type="expression" dxfId="520" priority="142">
      <formula>P69-INT(P69)</formula>
    </cfRule>
  </conditionalFormatting>
  <conditionalFormatting sqref="V70">
    <cfRule type="expression" dxfId="519" priority="140">
      <formula>X68-INT(X68)</formula>
    </cfRule>
  </conditionalFormatting>
  <conditionalFormatting sqref="O11">
    <cfRule type="expression" dxfId="518" priority="133">
      <formula>#REF!&lt;&gt;$M$11</formula>
    </cfRule>
  </conditionalFormatting>
  <conditionalFormatting sqref="U87:U88 O88:Q88">
    <cfRule type="cellIs" dxfId="517" priority="124" stopIfTrue="1" operator="notEqual">
      <formula>#REF!</formula>
    </cfRule>
  </conditionalFormatting>
  <conditionalFormatting sqref="R84">
    <cfRule type="expression" priority="122" stopIfTrue="1">
      <formula>$M$85&lt;0</formula>
    </cfRule>
    <cfRule type="expression" dxfId="516" priority="123">
      <formula>$S$85&lt;&gt;0</formula>
    </cfRule>
  </conditionalFormatting>
  <conditionalFormatting sqref="R80 R77">
    <cfRule type="expression" dxfId="515" priority="120" stopIfTrue="1">
      <formula>$M$85&gt;=0</formula>
    </cfRule>
    <cfRule type="expression" priority="121">
      <formula>$M$85&lt;0</formula>
    </cfRule>
  </conditionalFormatting>
  <conditionalFormatting sqref="U87:U88 O88:Q88">
    <cfRule type="cellIs" dxfId="514" priority="119" stopIfTrue="1" operator="notEqual">
      <formula>#REF!</formula>
    </cfRule>
  </conditionalFormatting>
  <conditionalFormatting sqref="O12">
    <cfRule type="expression" dxfId="513" priority="103">
      <formula>$P$12&lt;&gt;$M$12</formula>
    </cfRule>
  </conditionalFormatting>
  <conditionalFormatting sqref="O13">
    <cfRule type="expression" dxfId="512" priority="102">
      <formula>$P$13&lt;&gt;$M$13</formula>
    </cfRule>
  </conditionalFormatting>
  <conditionalFormatting sqref="Q36">
    <cfRule type="expression" dxfId="511" priority="27">
      <formula>#REF!&lt;&gt;#REF!</formula>
    </cfRule>
  </conditionalFormatting>
  <conditionalFormatting sqref="R35">
    <cfRule type="expression" dxfId="510" priority="26">
      <formula>#REF!&lt;&gt;0</formula>
    </cfRule>
  </conditionalFormatting>
  <conditionalFormatting sqref="Q35">
    <cfRule type="expression" dxfId="509" priority="25">
      <formula>#REF!&lt;&gt;0</formula>
    </cfRule>
  </conditionalFormatting>
  <conditionalFormatting sqref="R36">
    <cfRule type="expression" dxfId="508" priority="24">
      <formula>#REF!&lt;&gt;#REF!</formula>
    </cfRule>
  </conditionalFormatting>
  <conditionalFormatting sqref="D93:M98 T94:T95 R90:S95 U87:X93 T90:T92 Y90:Y95 O88:O92 P88:Q93">
    <cfRule type="cellIs" dxfId="507" priority="23" stopIfTrue="1" operator="notEqual">
      <formula>#REF!</formula>
    </cfRule>
  </conditionalFormatting>
  <conditionalFormatting sqref="P70">
    <cfRule type="expression" dxfId="506" priority="22">
      <formula>$P$69&lt;&gt;$M$69</formula>
    </cfRule>
  </conditionalFormatting>
  <conditionalFormatting sqref="AB72">
    <cfRule type="expression" dxfId="505" priority="21">
      <formula>$AB$71&lt;&gt;0</formula>
    </cfRule>
  </conditionalFormatting>
  <conditionalFormatting sqref="P71">
    <cfRule type="expression" dxfId="504" priority="20">
      <formula>P69-INT(P69)</formula>
    </cfRule>
  </conditionalFormatting>
  <conditionalFormatting sqref="V70">
    <cfRule type="expression" dxfId="503" priority="19">
      <formula>X68-INT(X68)</formula>
    </cfRule>
  </conditionalFormatting>
  <conditionalFormatting sqref="O12">
    <cfRule type="expression" dxfId="502" priority="18">
      <formula>$P$12&lt;&gt;$M$12</formula>
    </cfRule>
  </conditionalFormatting>
  <conditionalFormatting sqref="T94:T95 R90:S95 U87:U93 T90:T92 O88:O92 P88:Q93">
    <cfRule type="cellIs" dxfId="501" priority="16" stopIfTrue="1" operator="notEqual">
      <formula>#REF!</formula>
    </cfRule>
  </conditionalFormatting>
  <conditionalFormatting sqref="R84">
    <cfRule type="expression" priority="14" stopIfTrue="1">
      <formula>$M$85&lt;0</formula>
    </cfRule>
    <cfRule type="expression" dxfId="500" priority="15">
      <formula>$S$85&lt;&gt;0</formula>
    </cfRule>
  </conditionalFormatting>
  <conditionalFormatting sqref="R80">
    <cfRule type="expression" dxfId="499" priority="12" stopIfTrue="1">
      <formula>$M$85&gt;=0</formula>
    </cfRule>
    <cfRule type="expression" priority="13">
      <formula>$M$85&lt;0</formula>
    </cfRule>
  </conditionalFormatting>
  <conditionalFormatting sqref="U87:U88 R89:U92 O88:Q92">
    <cfRule type="cellIs" dxfId="498" priority="11" stopIfTrue="1" operator="notEqual">
      <formula>#REF!</formula>
    </cfRule>
  </conditionalFormatting>
  <conditionalFormatting sqref="M101">
    <cfRule type="expression" dxfId="497" priority="10">
      <formula>$M$101&lt;&gt;0</formula>
    </cfRule>
  </conditionalFormatting>
  <conditionalFormatting sqref="M102">
    <cfRule type="expression" dxfId="496" priority="9">
      <formula>$M$93&lt;&gt;$M$100</formula>
    </cfRule>
  </conditionalFormatting>
  <conditionalFormatting sqref="U87:U92 R90:T92 O88:Q92">
    <cfRule type="cellIs" dxfId="495" priority="8" stopIfTrue="1" operator="notEqual">
      <formula>#REF!</formula>
    </cfRule>
  </conditionalFormatting>
  <conditionalFormatting sqref="T89:U89 Q91 T90 O89:O90 P89:Q89 R89:S91">
    <cfRule type="cellIs" dxfId="494" priority="7" stopIfTrue="1" operator="notEqual">
      <formula>#REF!</formula>
    </cfRule>
  </conditionalFormatting>
  <conditionalFormatting sqref="Q36">
    <cfRule type="expression" dxfId="493" priority="6">
      <formula>#REF!&lt;&gt;#REF!</formula>
    </cfRule>
  </conditionalFormatting>
  <conditionalFormatting sqref="R35">
    <cfRule type="expression" dxfId="492" priority="5">
      <formula>#REF!&lt;&gt;0</formula>
    </cfRule>
  </conditionalFormatting>
  <conditionalFormatting sqref="Q35">
    <cfRule type="expression" dxfId="491" priority="4">
      <formula>#REF!&lt;&gt;0</formula>
    </cfRule>
  </conditionalFormatting>
  <conditionalFormatting sqref="R36">
    <cfRule type="expression" dxfId="490" priority="3">
      <formula>#REF!&lt;&gt;#REF!</formula>
    </cfRule>
  </conditionalFormatting>
  <conditionalFormatting sqref="G59:K59">
    <cfRule type="expression" dxfId="489" priority="1">
      <formula>OR($P$105&gt;0,$P$106&lt;&gt;0,$P$107&lt;&gt;0)</formula>
    </cfRule>
  </conditionalFormatting>
  <hyperlinks>
    <hyperlink ref="O2" location="Index!A1" display="Return to Index" xr:uid="{00000000-0004-0000-7F00-000000000000}"/>
  </hyperlinks>
  <printOptions horizontalCentered="1"/>
  <pageMargins left="0.5" right="0.5" top="0.25" bottom="0.25" header="0" footer="0.25"/>
  <pageSetup scale="10" orientation="landscape" r:id="rId1"/>
  <headerFooter alignWithMargins="0"/>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codeName="Sheet106"/>
  <dimension ref="A1:G30"/>
  <sheetViews>
    <sheetView showGridLines="0" zoomScale="80" zoomScaleNormal="80" workbookViewId="0">
      <selection activeCell="C3" sqref="C3"/>
    </sheetView>
  </sheetViews>
  <sheetFormatPr defaultColWidth="9.140625" defaultRowHeight="12.75"/>
  <cols>
    <col min="1" max="1" width="7" style="53" customWidth="1"/>
    <col min="2" max="2" width="93.140625" style="53" customWidth="1"/>
    <col min="3" max="3" width="18.85546875" style="53" customWidth="1"/>
    <col min="4" max="9" width="9.140625" style="53"/>
    <col min="10" max="10" width="14.85546875" style="53" customWidth="1"/>
    <col min="11" max="16384" width="9.140625" style="53"/>
  </cols>
  <sheetData>
    <row r="1" spans="2:6" ht="18.75" thickBot="1">
      <c r="B1" s="466" t="str">
        <f>'shsu1 Chrts'!$A$1</f>
        <v>Sam Houston State University - Academic &amp; Health (A+H)</v>
      </c>
      <c r="C1" s="835" t="s">
        <v>1200</v>
      </c>
    </row>
    <row r="2" spans="2:6">
      <c r="B2" s="172" t="s">
        <v>2132</v>
      </c>
    </row>
    <row r="3" spans="2:6">
      <c r="B3" s="393" t="str">
        <f>'Smmy Chrts'!$A$2</f>
        <v>For the Year Ended August 31, 2021</v>
      </c>
    </row>
    <row r="4" spans="2:6">
      <c r="B4" s="393" t="str">
        <f>'Smmy Chrts'!$A$3</f>
        <v>Source: FY 2021 Annual Financial Report</v>
      </c>
    </row>
    <row r="5" spans="2:6" customFormat="1">
      <c r="B5" s="529" t="s">
        <v>705</v>
      </c>
    </row>
    <row r="6" spans="2:6" customFormat="1">
      <c r="B6" s="530"/>
    </row>
    <row r="7" spans="2:6" customFormat="1" ht="226.5" customHeight="1">
      <c r="B7" s="531" t="s">
        <v>706</v>
      </c>
      <c r="C7" s="532"/>
    </row>
    <row r="8" spans="2:6" customFormat="1" ht="263.25" customHeight="1">
      <c r="B8" s="531" t="s">
        <v>707</v>
      </c>
    </row>
    <row r="9" spans="2:6" ht="64.5" customHeight="1">
      <c r="B9" s="533" t="str">
        <f>IF('shsu1 FGD'!$R$76="N/A","FN11.  N/A",$B$20&amp;$B$21&amp;$B$22&amp;$B$23&amp;$B$24&amp;$B$25&amp;$B$26&amp;$B$27&amp;$B$28&amp;$B$29&amp;$B$30)</f>
        <v>FN11: Of the net increase of $55,763,668 approximately $28.8 million represents revenues received but not yet expended. This income is fully committed to program expenditures and capital disbursements. The remaining $27.0 million represents non-expendable funds from unrealized gains and additions to permanent endowments of approximately $14.7 million and $12.3 million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TEXT(IF('shsu1 FGD'!$M$85&lt;0,"N/A",'shsu1 FGD'!$M$85),"$* #,##0;$* (#,##0)")</f>
        <v>$55,763,668</v>
      </c>
      <c r="C21" s="480"/>
      <c r="D21" s="480"/>
      <c r="E21" s="480"/>
      <c r="G21" s="105"/>
    </row>
    <row r="22" spans="1:7">
      <c r="B22" s="105" t="s">
        <v>682</v>
      </c>
    </row>
    <row r="23" spans="1:7">
      <c r="A23" s="53">
        <v>61</v>
      </c>
      <c r="B23" s="515" t="str">
        <f>IF(ABS('shsu1 FGD'!$R$77)&gt;=1000000,TEXT('shsu1 FGD'!$R$77/1000000,"$* #,##0.0;$* (#,##0.0)")&amp;" million",IF(ABS('shsu1 FGD'!$R$77)&lt;1000,TEXT('shsu1 FGD'!$R$77,"$* #,##0;$* (#,##0)"),TEXT('shsu1 FGD'!$R$77/1000,"$* #,##0;$* (#,##0)")&amp;" thousand"))</f>
        <v>$28.8 million</v>
      </c>
      <c r="C23" s="515"/>
      <c r="E23" s="515"/>
    </row>
    <row r="24" spans="1:7">
      <c r="B24" s="105" t="s">
        <v>708</v>
      </c>
    </row>
    <row r="25" spans="1:7">
      <c r="A25" s="53">
        <v>62</v>
      </c>
      <c r="B25" s="515" t="str">
        <f>IF(ABS('shsu1 FGD'!$R$78)&gt;=1000000,TEXT('shsu1 FGD'!$R$78/1000000,"$* #,##0.0;$* (#,##0.0)")&amp;" million",IF(ABS('shsu1 FGD'!$R$78)&lt;1000,TEXT('shsu1 FGD'!$R$78,"$* #,##0;$* (#,##0)"),TEXT('shsu1 FGD'!$R$78/1000,"$* #,##0;$* (#,##0)")&amp;" thousand"))</f>
        <v>$27.0 million</v>
      </c>
      <c r="C25" s="515"/>
      <c r="E25" s="515"/>
    </row>
    <row r="26" spans="1:7">
      <c r="B26" s="105" t="s">
        <v>683</v>
      </c>
    </row>
    <row r="27" spans="1:7">
      <c r="A27" s="53">
        <v>64</v>
      </c>
      <c r="B27" s="515" t="str">
        <f>IF(ABS('shsu1 FGD'!$R$80)&gt;=1000000,TEXT('shsu1 FGD'!$R$80/1000000,"$* #,##0.0;$* (#,##0.0)")&amp;" million",IF(ABS('shsu1 FGD'!$R$80)&lt;1000,TEXT('shsu1 FGD'!$R$80,"$* #,##0;$* (#,##0)"),TEXT('shsu1 FGD'!$R$80/1000,"$* #,##0;$* (#,##0)")&amp;" thousand"))</f>
        <v>$14.7 million</v>
      </c>
      <c r="C27" s="515"/>
      <c r="E27" s="515"/>
    </row>
    <row r="28" spans="1:7">
      <c r="B28" s="105" t="s">
        <v>684</v>
      </c>
    </row>
    <row r="29" spans="1:7">
      <c r="A29" s="53">
        <v>66</v>
      </c>
      <c r="B29" s="515" t="str">
        <f>IF(ABS('shsu1 FGD'!$R$82)&gt;=1000000,TEXT('shsu1 FGD'!$R$82/1000000,"$* #,##0.0;$* (#,##0.0)")&amp;" million",IF(ABS('shsu1 FGD'!$R$82)&lt;1000,TEXT('shsu1 FGD'!$R$82,"$* #,##0;$* (#,##0)"),TEXT('shsu1 FGD'!$R$82/1000,"$* #,##0;$* (#,##0)")&amp;" thousand"))</f>
        <v>$12.3 million</v>
      </c>
      <c r="C29" s="515"/>
      <c r="E29" s="515"/>
    </row>
    <row r="30" spans="1:7">
      <c r="B30" s="105" t="s">
        <v>709</v>
      </c>
    </row>
  </sheetData>
  <hyperlinks>
    <hyperlink ref="C1" location="Index!A1" display="Return to Index" xr:uid="{00000000-0004-0000-8000-000000000000}"/>
  </hyperlinks>
  <pageMargins left="0.25" right="0.25" top="0.25" bottom="0.25" header="0" footer="0.25"/>
  <pageSetup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41"/>
  </sheetPr>
  <dimension ref="A1:Z807"/>
  <sheetViews>
    <sheetView showGridLines="0" zoomScale="85" zoomScaleNormal="85" workbookViewId="0">
      <pane xSplit="6" ySplit="10" topLeftCell="G32" activePane="bottomRight" state="frozen"/>
      <selection activeCell="F74" sqref="E74:F74"/>
      <selection pane="topRight" activeCell="F74" sqref="E74:F74"/>
      <selection pane="bottomLeft" activeCell="F74" sqref="E74:F74"/>
      <selection pane="bottomRight" activeCell="J4" sqref="J4"/>
    </sheetView>
  </sheetViews>
  <sheetFormatPr defaultColWidth="9.140625" defaultRowHeight="12.75"/>
  <cols>
    <col min="1" max="1" width="7.28515625" style="480" customWidth="1"/>
    <col min="2" max="2" width="5" style="480" customWidth="1"/>
    <col min="3" max="3" width="13" style="480" customWidth="1"/>
    <col min="4" max="4" width="25.140625" style="53" customWidth="1"/>
    <col min="5" max="5" width="10.28515625" style="53" customWidth="1"/>
    <col min="6" max="6" width="11.140625" style="53" customWidth="1"/>
    <col min="7" max="8" width="14" style="53" customWidth="1"/>
    <col min="9" max="10" width="13.7109375" style="53" customWidth="1"/>
    <col min="11" max="11" width="12.42578125" style="53" customWidth="1"/>
    <col min="12" max="12" width="15.5703125" style="53" customWidth="1"/>
    <col min="13" max="13" width="14.7109375" style="53" customWidth="1"/>
    <col min="14" max="14" width="4.7109375" style="53" customWidth="1"/>
    <col min="15" max="16" width="14" style="53" customWidth="1"/>
    <col min="17" max="18" width="13.7109375" style="53" customWidth="1"/>
    <col min="19" max="19" width="12.42578125" style="53" customWidth="1"/>
    <col min="20" max="20" width="14" style="53" customWidth="1"/>
    <col min="21" max="21" width="14.7109375" style="53" customWidth="1"/>
    <col min="22" max="22" width="4.42578125" style="53" customWidth="1"/>
    <col min="23" max="23" width="17.28515625" style="154" customWidth="1"/>
    <col min="24" max="24" width="27.28515625" style="53" customWidth="1"/>
    <col min="25" max="25" width="18.85546875" style="53" customWidth="1"/>
    <col min="26" max="26" width="18.42578125" style="53" customWidth="1"/>
    <col min="27" max="16384" width="9.140625" style="53"/>
  </cols>
  <sheetData>
    <row r="1" spans="1:26" ht="13.5" thickBot="1">
      <c r="J1" s="814" t="s">
        <v>131</v>
      </c>
      <c r="P1" s="855" t="s">
        <v>1200</v>
      </c>
      <c r="R1" s="814"/>
      <c r="W1" s="114"/>
      <c r="X1" s="855" t="s">
        <v>1200</v>
      </c>
    </row>
    <row r="2" spans="1:26">
      <c r="J2" s="814" t="s">
        <v>2387</v>
      </c>
      <c r="R2" s="814"/>
      <c r="W2" s="114"/>
    </row>
    <row r="3" spans="1:26">
      <c r="A3" s="215"/>
      <c r="J3" s="68" t="s">
        <v>2484</v>
      </c>
      <c r="R3" s="814"/>
      <c r="W3" s="114"/>
    </row>
    <row r="4" spans="1:26">
      <c r="W4" s="114"/>
    </row>
    <row r="5" spans="1:26">
      <c r="A5" s="215"/>
      <c r="F5" s="480" t="s">
        <v>1127</v>
      </c>
      <c r="G5" s="480"/>
      <c r="H5" s="480"/>
      <c r="I5" s="480"/>
      <c r="J5" s="480"/>
      <c r="K5" s="480"/>
      <c r="L5" s="480"/>
      <c r="M5" s="480"/>
      <c r="N5" s="480"/>
      <c r="O5" s="480"/>
      <c r="P5" s="480"/>
      <c r="Q5" s="480"/>
      <c r="R5" s="480"/>
      <c r="S5" s="480"/>
      <c r="T5" s="480"/>
      <c r="U5" s="480"/>
      <c r="V5" s="480"/>
      <c r="W5" s="114"/>
    </row>
    <row r="6" spans="1:26">
      <c r="E6" s="480">
        <v>2021</v>
      </c>
      <c r="F6" s="480" t="s">
        <v>1128</v>
      </c>
      <c r="G6" s="480"/>
      <c r="H6" s="480"/>
      <c r="I6" s="480"/>
      <c r="J6" s="480"/>
      <c r="K6" s="480"/>
      <c r="L6" s="480"/>
      <c r="M6" s="480"/>
      <c r="N6" s="480"/>
      <c r="O6" s="480"/>
      <c r="P6" s="480"/>
      <c r="Q6" s="480"/>
      <c r="R6" s="480"/>
      <c r="S6" s="480"/>
      <c r="T6" s="480"/>
      <c r="U6" s="480"/>
      <c r="V6" s="480"/>
      <c r="W6" s="114"/>
    </row>
    <row r="7" spans="1:26">
      <c r="F7" s="480" t="s">
        <v>1129</v>
      </c>
      <c r="G7" s="480"/>
      <c r="H7" s="480"/>
      <c r="I7" s="480"/>
      <c r="J7" s="480"/>
      <c r="K7" s="480"/>
      <c r="L7" s="480"/>
      <c r="M7" s="480"/>
      <c r="N7" s="480"/>
      <c r="O7" s="480"/>
      <c r="P7" s="480"/>
      <c r="Q7" s="480"/>
      <c r="R7" s="480"/>
      <c r="S7" s="480"/>
      <c r="T7" s="480"/>
      <c r="U7" s="480"/>
      <c r="V7" s="480"/>
      <c r="W7" s="114"/>
    </row>
    <row r="8" spans="1:26" s="123" customFormat="1" ht="48.75" customHeight="1" thickBot="1">
      <c r="A8" s="1149" t="s">
        <v>1123</v>
      </c>
      <c r="B8" s="1664" t="s">
        <v>1134</v>
      </c>
      <c r="C8" s="1664"/>
      <c r="D8" s="118" t="s">
        <v>298</v>
      </c>
      <c r="E8" s="118" t="s">
        <v>1168</v>
      </c>
      <c r="F8" s="118" t="s">
        <v>132</v>
      </c>
      <c r="G8" s="858" t="s">
        <v>726</v>
      </c>
      <c r="H8" s="858" t="s">
        <v>1413</v>
      </c>
      <c r="I8" s="858" t="s">
        <v>1414</v>
      </c>
      <c r="J8" s="858" t="s">
        <v>1415</v>
      </c>
      <c r="K8" s="858" t="s">
        <v>1416</v>
      </c>
      <c r="L8" s="858" t="s">
        <v>1417</v>
      </c>
      <c r="M8" s="858" t="s">
        <v>1285</v>
      </c>
      <c r="N8" s="796"/>
      <c r="O8" s="858" t="s">
        <v>732</v>
      </c>
      <c r="P8" s="858" t="s">
        <v>1413</v>
      </c>
      <c r="Q8" s="858" t="s">
        <v>1414</v>
      </c>
      <c r="R8" s="858" t="s">
        <v>1415</v>
      </c>
      <c r="S8" s="858" t="s">
        <v>1416</v>
      </c>
      <c r="T8" s="858" t="s">
        <v>1417</v>
      </c>
      <c r="U8" s="858" t="s">
        <v>1265</v>
      </c>
      <c r="V8" s="858"/>
      <c r="W8" s="858" t="s">
        <v>1412</v>
      </c>
      <c r="X8" s="796"/>
      <c r="Y8" s="796"/>
    </row>
    <row r="9" spans="1:26" s="55" customFormat="1" ht="18.75" customHeight="1">
      <c r="A9" s="861"/>
      <c r="B9" s="694"/>
      <c r="C9" s="694"/>
      <c r="D9" s="862"/>
      <c r="E9" s="694"/>
      <c r="F9" s="694"/>
      <c r="G9" s="1158"/>
      <c r="H9" s="1159"/>
      <c r="I9" s="1159"/>
      <c r="J9" s="1159"/>
      <c r="K9" s="1159"/>
      <c r="L9" s="1159"/>
      <c r="M9" s="1160"/>
      <c r="N9" s="694"/>
      <c r="O9" s="1158"/>
      <c r="P9" s="1159"/>
      <c r="Q9" s="1159"/>
      <c r="R9" s="1159"/>
      <c r="S9" s="1159"/>
      <c r="T9" s="1159"/>
      <c r="U9" s="1160"/>
      <c r="V9" s="694"/>
      <c r="W9" s="864"/>
      <c r="X9" s="866"/>
      <c r="Y9" s="866"/>
    </row>
    <row r="10" spans="1:26" ht="18" customHeight="1">
      <c r="A10" s="468"/>
      <c r="D10" s="776"/>
      <c r="E10" s="1150" t="s">
        <v>1171</v>
      </c>
      <c r="F10" s="480" t="s">
        <v>1170</v>
      </c>
      <c r="G10" s="1161"/>
      <c r="H10" s="210"/>
      <c r="I10" s="210"/>
      <c r="J10" s="210"/>
      <c r="K10" s="210"/>
      <c r="L10" s="210"/>
      <c r="M10" s="1162"/>
      <c r="N10" s="480"/>
      <c r="O10" s="1161"/>
      <c r="P10" s="210"/>
      <c r="Q10" s="210"/>
      <c r="R10" s="210"/>
      <c r="S10" s="210"/>
      <c r="T10" s="210"/>
      <c r="U10" s="1162"/>
      <c r="V10" s="480"/>
      <c r="W10" s="1151"/>
      <c r="X10" s="1152"/>
      <c r="Y10" s="1152"/>
    </row>
    <row r="11" spans="1:26" ht="14.25" customHeight="1">
      <c r="A11" s="468"/>
      <c r="D11" s="53" t="s">
        <v>1182</v>
      </c>
      <c r="E11" s="124">
        <f t="shared" ref="E11:E49" si="0">$E$6</f>
        <v>2021</v>
      </c>
      <c r="F11" s="910">
        <v>20</v>
      </c>
      <c r="G11" s="1163" t="s">
        <v>1183</v>
      </c>
      <c r="H11" s="1164" t="s">
        <v>1183</v>
      </c>
      <c r="I11" s="1164" t="s">
        <v>1183</v>
      </c>
      <c r="J11" s="1164" t="s">
        <v>1183</v>
      </c>
      <c r="K11" s="1164" t="s">
        <v>1183</v>
      </c>
      <c r="L11" s="1164" t="s">
        <v>1183</v>
      </c>
      <c r="M11" s="1165" t="s">
        <v>1183</v>
      </c>
      <c r="N11" s="910"/>
      <c r="O11" s="1163" t="s">
        <v>1183</v>
      </c>
      <c r="P11" s="1164" t="s">
        <v>1183</v>
      </c>
      <c r="Q11" s="1164" t="s">
        <v>1183</v>
      </c>
      <c r="R11" s="1164" t="s">
        <v>1183</v>
      </c>
      <c r="S11" s="1164" t="s">
        <v>1183</v>
      </c>
      <c r="T11" s="1164" t="s">
        <v>1183</v>
      </c>
      <c r="U11" s="1165" t="s">
        <v>1183</v>
      </c>
      <c r="V11" s="910"/>
      <c r="W11" s="1153" t="s">
        <v>1183</v>
      </c>
      <c r="X11" s="1152"/>
      <c r="Y11" s="1152"/>
    </row>
    <row r="12" spans="1:26">
      <c r="A12" s="480">
        <v>320</v>
      </c>
      <c r="B12" s="678">
        <v>5</v>
      </c>
      <c r="C12" s="68" t="s">
        <v>696</v>
      </c>
      <c r="D12" s="53" t="s">
        <v>140</v>
      </c>
      <c r="E12" s="124">
        <f t="shared" ref="E12:E47" si="1">$E$6</f>
        <v>2021</v>
      </c>
      <c r="F12" s="1000">
        <v>3541</v>
      </c>
      <c r="G12" s="1166">
        <f>'ASU FGD'!$M$23</f>
        <v>40705058</v>
      </c>
      <c r="H12" s="1167">
        <f>'ASU FGD'!$M$24</f>
        <v>0</v>
      </c>
      <c r="I12" s="1167">
        <f>'ASU FGD'!$M$25</f>
        <v>0</v>
      </c>
      <c r="J12" s="1167">
        <f>'ASU FGD'!$M$26</f>
        <v>-2809591</v>
      </c>
      <c r="K12" s="1167">
        <f>'ASU FGD'!$M$27</f>
        <v>-53949</v>
      </c>
      <c r="L12" s="1167">
        <f>'ASU FGD'!$M$28</f>
        <v>-11484817</v>
      </c>
      <c r="M12" s="1168">
        <f t="shared" ref="M12:M47" si="2">SUM(G12:L12)</f>
        <v>26356701</v>
      </c>
      <c r="N12" s="1000"/>
      <c r="O12" s="1166">
        <f>'ASU FGD'!$M$36</f>
        <v>27975353</v>
      </c>
      <c r="P12" s="1167">
        <f>'ASU FGD'!$M$37</f>
        <v>0</v>
      </c>
      <c r="Q12" s="1167">
        <f>'ASU FGD'!$M$38</f>
        <v>0</v>
      </c>
      <c r="R12" s="1167">
        <f>'ASU FGD'!$M$39</f>
        <v>-1562652</v>
      </c>
      <c r="S12" s="1167">
        <f>'ASU FGD'!$M$40</f>
        <v>-13934</v>
      </c>
      <c r="T12" s="1167">
        <f>'ASU FGD'!$M$41</f>
        <v>-8011968</v>
      </c>
      <c r="U12" s="1168">
        <f t="shared" ref="U12:U47" si="3">SUM(O12:T12)</f>
        <v>18386799</v>
      </c>
      <c r="V12" s="1167"/>
      <c r="W12" s="1154">
        <f t="shared" ref="W12:W47" si="4">U12+M12</f>
        <v>44743500</v>
      </c>
      <c r="X12" s="458"/>
      <c r="Y12" s="1155"/>
      <c r="Z12" s="1177"/>
    </row>
    <row r="13" spans="1:26">
      <c r="A13" s="480">
        <v>210</v>
      </c>
      <c r="B13" s="678">
        <v>3</v>
      </c>
      <c r="C13" s="68" t="s">
        <v>697</v>
      </c>
      <c r="D13" s="53" t="s">
        <v>142</v>
      </c>
      <c r="E13" s="124">
        <f t="shared" si="1"/>
        <v>2021</v>
      </c>
      <c r="F13" s="1000">
        <v>3565</v>
      </c>
      <c r="G13" s="1166">
        <f>'TAMUC FGD'!$M$23</f>
        <v>45261226</v>
      </c>
      <c r="H13" s="1167">
        <f>'TAMUC FGD'!$M$24</f>
        <v>0</v>
      </c>
      <c r="I13" s="1167">
        <f>'TAMUC FGD'!$M$25</f>
        <v>0</v>
      </c>
      <c r="J13" s="1167">
        <f>'TAMUC FGD'!$M$26</f>
        <v>-4203329</v>
      </c>
      <c r="K13" s="1167">
        <f>'TAMUC FGD'!$M$27</f>
        <v>0</v>
      </c>
      <c r="L13" s="1167">
        <f>'TAMUC FGD'!$M$28</f>
        <v>-6865185</v>
      </c>
      <c r="M13" s="1168">
        <f t="shared" si="2"/>
        <v>34192712</v>
      </c>
      <c r="N13" s="1000"/>
      <c r="O13" s="1166">
        <f>'TAMUC FGD'!$M$36</f>
        <v>60815669</v>
      </c>
      <c r="P13" s="1167">
        <f>'TAMUC FGD'!$M$37</f>
        <v>0</v>
      </c>
      <c r="Q13" s="1167">
        <f>'TAMUC FGD'!$M$38</f>
        <v>0</v>
      </c>
      <c r="R13" s="1167">
        <f>'TAMUC FGD'!$M$39</f>
        <v>-647049</v>
      </c>
      <c r="S13" s="1167">
        <f>'TAMUC FGD'!$M$40</f>
        <v>0</v>
      </c>
      <c r="T13" s="1167">
        <f>'TAMUC FGD'!$M$41</f>
        <v>-14260639</v>
      </c>
      <c r="U13" s="1168">
        <f t="shared" si="3"/>
        <v>45907981</v>
      </c>
      <c r="V13" s="1167"/>
      <c r="W13" s="1154">
        <f t="shared" si="4"/>
        <v>80100693</v>
      </c>
      <c r="X13" s="458"/>
      <c r="Y13" s="1155"/>
      <c r="Z13" s="1177"/>
    </row>
    <row r="14" spans="1:26">
      <c r="A14" s="480">
        <v>270</v>
      </c>
      <c r="B14" s="678">
        <v>4</v>
      </c>
      <c r="C14" s="68" t="s">
        <v>1132</v>
      </c>
      <c r="D14" s="53" t="s">
        <v>144</v>
      </c>
      <c r="E14" s="124">
        <f t="shared" si="1"/>
        <v>2021</v>
      </c>
      <c r="F14" s="1000">
        <v>3581</v>
      </c>
      <c r="G14" s="1166">
        <f>'LU FGD'!$M$23</f>
        <v>104073061</v>
      </c>
      <c r="H14" s="1167">
        <f>'LU FGD'!$M$24</f>
        <v>0</v>
      </c>
      <c r="I14" s="1167">
        <f>'LU FGD'!$M$25</f>
        <v>0</v>
      </c>
      <c r="J14" s="1167">
        <f>'LU FGD'!$M$26</f>
        <v>-4692551</v>
      </c>
      <c r="K14" s="1167">
        <f>'LU FGD'!$M$27</f>
        <v>0</v>
      </c>
      <c r="L14" s="1167">
        <f>'LU FGD'!$M$28</f>
        <v>-16069509</v>
      </c>
      <c r="M14" s="1168">
        <f t="shared" si="2"/>
        <v>83311001</v>
      </c>
      <c r="N14" s="1000"/>
      <c r="O14" s="1166">
        <f>'LU FGD'!$M$36</f>
        <v>35725488</v>
      </c>
      <c r="P14" s="1167">
        <f>'LU FGD'!$M$37</f>
        <v>0</v>
      </c>
      <c r="Q14" s="1167">
        <f>'LU FGD'!$M$38</f>
        <v>0</v>
      </c>
      <c r="R14" s="1167">
        <f>'LU FGD'!$M$39</f>
        <v>-1503143</v>
      </c>
      <c r="S14" s="1167">
        <f>'LU FGD'!$M$40</f>
        <v>0</v>
      </c>
      <c r="T14" s="1167">
        <f>'LU FGD'!$M$41</f>
        <v>-5342831</v>
      </c>
      <c r="U14" s="1168">
        <f t="shared" si="3"/>
        <v>28879514</v>
      </c>
      <c r="V14" s="1167"/>
      <c r="W14" s="1154">
        <f t="shared" si="4"/>
        <v>112190515</v>
      </c>
      <c r="X14" s="458"/>
      <c r="Y14" s="1155"/>
      <c r="Z14" s="1177"/>
    </row>
    <row r="15" spans="1:26">
      <c r="A15" s="480">
        <v>340</v>
      </c>
      <c r="B15" s="678">
        <v>5</v>
      </c>
      <c r="C15" s="68" t="s">
        <v>696</v>
      </c>
      <c r="D15" s="53" t="s">
        <v>146</v>
      </c>
      <c r="E15" s="124">
        <f t="shared" si="1"/>
        <v>2021</v>
      </c>
      <c r="F15" s="1000">
        <v>3592</v>
      </c>
      <c r="G15" s="1166">
        <f>'MidWST FGD'!$M$23</f>
        <v>26988791</v>
      </c>
      <c r="H15" s="1167">
        <f>'MidWST FGD'!$M$24</f>
        <v>0</v>
      </c>
      <c r="I15" s="1167">
        <f>'MidWST FGD'!$M$25</f>
        <v>0</v>
      </c>
      <c r="J15" s="1167">
        <f>'MidWST FGD'!$M$26</f>
        <v>-1533740</v>
      </c>
      <c r="K15" s="1167">
        <f>'MidWST FGD'!$M$27</f>
        <v>-132158</v>
      </c>
      <c r="L15" s="1167">
        <f>'MidWST FGD'!$M$28</f>
        <v>-7930588</v>
      </c>
      <c r="M15" s="1168">
        <f t="shared" si="2"/>
        <v>17392305</v>
      </c>
      <c r="N15" s="1000"/>
      <c r="O15" s="1166">
        <f>'MidWST FGD'!$M$36</f>
        <v>25511774</v>
      </c>
      <c r="P15" s="1167">
        <f>'MidWST FGD'!$M$37</f>
        <v>0</v>
      </c>
      <c r="Q15" s="1167">
        <f>'MidWST FGD'!$M$38</f>
        <v>0</v>
      </c>
      <c r="R15" s="1167">
        <f>'MidWST FGD'!$M$39</f>
        <v>-1142680</v>
      </c>
      <c r="S15" s="1167">
        <f>'MidWST FGD'!$M$40</f>
        <v>-1132069</v>
      </c>
      <c r="T15" s="1167">
        <f>'MidWST FGD'!$M$41</f>
        <v>-6796550</v>
      </c>
      <c r="U15" s="1168">
        <f t="shared" si="3"/>
        <v>16440475</v>
      </c>
      <c r="V15" s="1167"/>
      <c r="W15" s="1154">
        <f t="shared" si="4"/>
        <v>33832780</v>
      </c>
      <c r="X15" s="458"/>
      <c r="Y15" s="1155"/>
      <c r="Z15" s="1177"/>
    </row>
    <row r="16" spans="1:26">
      <c r="A16" s="480">
        <v>330</v>
      </c>
      <c r="B16" s="678">
        <v>2</v>
      </c>
      <c r="C16" s="68" t="s">
        <v>1133</v>
      </c>
      <c r="D16" s="53" t="s">
        <v>148</v>
      </c>
      <c r="E16" s="124">
        <f t="shared" si="1"/>
        <v>2021</v>
      </c>
      <c r="F16" s="1000">
        <v>3594</v>
      </c>
      <c r="G16" s="1166">
        <f>'UNT FGD'!$M$23</f>
        <v>345877660</v>
      </c>
      <c r="H16" s="1167">
        <f>'UNT FGD'!$M$24</f>
        <v>0</v>
      </c>
      <c r="I16" s="1167">
        <f>'UNT FGD'!$M$25</f>
        <v>0</v>
      </c>
      <c r="J16" s="1167">
        <f>'UNT FGD'!$M$26</f>
        <v>0</v>
      </c>
      <c r="K16" s="1167">
        <f>'UNT FGD'!$M$27</f>
        <v>0</v>
      </c>
      <c r="L16" s="1167">
        <f>'UNT FGD'!$M$28</f>
        <v>-33809704</v>
      </c>
      <c r="M16" s="1168">
        <f t="shared" si="2"/>
        <v>312067956</v>
      </c>
      <c r="N16" s="1000"/>
      <c r="O16" s="1166">
        <f>'UNT FGD'!$M$36</f>
        <v>145907322</v>
      </c>
      <c r="P16" s="1167">
        <f>'UNT FGD'!$M$37</f>
        <v>0</v>
      </c>
      <c r="Q16" s="1167">
        <f>'UNT FGD'!$M$38</f>
        <v>0</v>
      </c>
      <c r="R16" s="1167">
        <f>'UNT FGD'!$M$39</f>
        <v>0</v>
      </c>
      <c r="S16" s="1167">
        <f>'UNT FGD'!$M$40</f>
        <v>0</v>
      </c>
      <c r="T16" s="1167">
        <f>'UNT FGD'!$M$41</f>
        <v>-94450627</v>
      </c>
      <c r="U16" s="1168">
        <f t="shared" si="3"/>
        <v>51456695</v>
      </c>
      <c r="V16" s="1167"/>
      <c r="W16" s="1154">
        <f t="shared" si="4"/>
        <v>363524651</v>
      </c>
      <c r="X16" s="458"/>
      <c r="Y16" s="1155"/>
      <c r="Z16" s="1177"/>
    </row>
    <row r="17" spans="1:26">
      <c r="A17" s="480">
        <v>91</v>
      </c>
      <c r="B17" s="678">
        <v>5</v>
      </c>
      <c r="C17" s="68" t="s">
        <v>696</v>
      </c>
      <c r="D17" s="116" t="s">
        <v>1399</v>
      </c>
      <c r="E17" s="124">
        <f t="shared" si="1"/>
        <v>2021</v>
      </c>
      <c r="F17" s="1178">
        <v>3599</v>
      </c>
      <c r="G17" s="1166">
        <f>'RGV1 FGD'!$M$23</f>
        <v>223294982</v>
      </c>
      <c r="H17" s="1167">
        <f>'RGV1 FGD'!$M$24</f>
        <v>0</v>
      </c>
      <c r="I17" s="1167">
        <f>'RGV1 FGD'!$M$25</f>
        <v>0</v>
      </c>
      <c r="J17" s="1167">
        <f>'RGV1 FGD'!$M$26</f>
        <v>-8071791</v>
      </c>
      <c r="K17" s="1167">
        <f>'RGV1 FGD'!$M$27</f>
        <v>0</v>
      </c>
      <c r="L17" s="1167">
        <f>'RGV1 FGD'!$M$28</f>
        <v>-117640776</v>
      </c>
      <c r="M17" s="1168">
        <f t="shared" si="2"/>
        <v>97582415</v>
      </c>
      <c r="N17" s="1000"/>
      <c r="O17" s="1166">
        <f>'RGV1 FGD'!$M$36</f>
        <v>53980109</v>
      </c>
      <c r="P17" s="1167">
        <f>'RGV1 FGD'!$M$37</f>
        <v>0</v>
      </c>
      <c r="Q17" s="1167">
        <f>'RGV1 FGD'!$M$38</f>
        <v>0</v>
      </c>
      <c r="R17" s="1167">
        <f>'RGV1 FGD'!$M$39</f>
        <v>-992344</v>
      </c>
      <c r="S17" s="1167">
        <f>'RGV1 FGD'!$M$40</f>
        <v>0</v>
      </c>
      <c r="T17" s="1167">
        <f>'RGV1 FGD'!$M$41</f>
        <v>-10651243</v>
      </c>
      <c r="U17" s="1168">
        <f t="shared" si="3"/>
        <v>42336522</v>
      </c>
      <c r="V17" s="1167"/>
      <c r="W17" s="1154">
        <f t="shared" si="4"/>
        <v>139918937</v>
      </c>
      <c r="X17" s="458"/>
      <c r="Y17" s="1155"/>
      <c r="Z17" s="1177"/>
    </row>
    <row r="18" spans="1:26">
      <c r="A18" s="480">
        <v>281</v>
      </c>
      <c r="B18" s="678">
        <v>3</v>
      </c>
      <c r="C18" s="68" t="s">
        <v>697</v>
      </c>
      <c r="D18" s="116" t="s">
        <v>2262</v>
      </c>
      <c r="E18" s="124">
        <f t="shared" si="1"/>
        <v>2021</v>
      </c>
      <c r="F18" s="1000">
        <v>3606</v>
      </c>
      <c r="G18" s="1166">
        <f>'shsu1 FGD'!$M$23</f>
        <v>147136486</v>
      </c>
      <c r="H18" s="1167">
        <f>'shsu1 FGD'!$M$24</f>
        <v>-5119780</v>
      </c>
      <c r="I18" s="1167">
        <f>'shsu1 FGD'!$M$25</f>
        <v>0</v>
      </c>
      <c r="J18" s="1167">
        <f>'shsu1 FGD'!$M$26</f>
        <v>-10760728</v>
      </c>
      <c r="K18" s="1167">
        <f>'shsu1 FGD'!$M$27</f>
        <v>0</v>
      </c>
      <c r="L18" s="1167">
        <f>'shsu1 FGD'!$M$28</f>
        <v>-42289638</v>
      </c>
      <c r="M18" s="1168">
        <f t="shared" si="2"/>
        <v>88966340</v>
      </c>
      <c r="N18" s="1000"/>
      <c r="O18" s="1166">
        <f>'shsu1 FGD'!$M$36</f>
        <v>95032379</v>
      </c>
      <c r="P18" s="1167">
        <f>'shsu1 FGD'!$M$37</f>
        <v>0</v>
      </c>
      <c r="Q18" s="1167">
        <f>'shsu1 FGD'!$M$38</f>
        <v>0</v>
      </c>
      <c r="R18" s="1167">
        <f>'shsu1 FGD'!$M$39</f>
        <v>-7131972</v>
      </c>
      <c r="S18" s="1167">
        <f>'shsu1 FGD'!$M$40</f>
        <v>0</v>
      </c>
      <c r="T18" s="1167">
        <f>'shsu1 FGD'!$M$41</f>
        <v>0</v>
      </c>
      <c r="U18" s="1168">
        <f t="shared" si="3"/>
        <v>87900407</v>
      </c>
      <c r="V18" s="1167"/>
      <c r="W18" s="1154">
        <f t="shared" si="4"/>
        <v>176866747</v>
      </c>
      <c r="X18" s="458"/>
      <c r="Y18" s="1155"/>
      <c r="Z18" s="1177"/>
    </row>
    <row r="19" spans="1:26">
      <c r="A19" s="480">
        <v>290</v>
      </c>
      <c r="B19" s="678">
        <v>3</v>
      </c>
      <c r="C19" s="68" t="s">
        <v>697</v>
      </c>
      <c r="D19" s="53" t="s">
        <v>1421</v>
      </c>
      <c r="E19" s="124">
        <f t="shared" si="1"/>
        <v>2021</v>
      </c>
      <c r="F19" s="1000">
        <v>3615</v>
      </c>
      <c r="G19" s="1166">
        <f>'TXST FGD'!$M$23</f>
        <v>290362104</v>
      </c>
      <c r="H19" s="1167">
        <f>'TXST FGD'!$M$24</f>
        <v>0</v>
      </c>
      <c r="I19" s="1167">
        <f>'TXST FGD'!$M$25</f>
        <v>0</v>
      </c>
      <c r="J19" s="1167">
        <f>'TXST FGD'!$M$26</f>
        <v>-19223868</v>
      </c>
      <c r="K19" s="1167">
        <f>'TXST FGD'!$M$27</f>
        <v>0</v>
      </c>
      <c r="L19" s="1167">
        <f>'TXST FGD'!$M$28</f>
        <v>-68927810</v>
      </c>
      <c r="M19" s="1168">
        <f t="shared" si="2"/>
        <v>202210426</v>
      </c>
      <c r="N19" s="1000"/>
      <c r="O19" s="1166">
        <f>'TXST FGD'!$M$36</f>
        <v>114984780</v>
      </c>
      <c r="P19" s="1167">
        <f>'TXST FGD'!$M$37</f>
        <v>0</v>
      </c>
      <c r="Q19" s="1167">
        <f>'TXST FGD'!$M$38</f>
        <v>0</v>
      </c>
      <c r="R19" s="1167">
        <f>'TXST FGD'!$M$39</f>
        <v>-18056022</v>
      </c>
      <c r="S19" s="1167">
        <f>'TXST FGD'!$M$40</f>
        <v>0</v>
      </c>
      <c r="T19" s="1167">
        <f>'TXST FGD'!$M$41</f>
        <v>-13457177</v>
      </c>
      <c r="U19" s="1168">
        <f t="shared" si="3"/>
        <v>83471581</v>
      </c>
      <c r="V19" s="1167"/>
      <c r="W19" s="1154">
        <f t="shared" si="4"/>
        <v>285682007</v>
      </c>
      <c r="X19" s="458"/>
      <c r="Y19" s="1155"/>
      <c r="Z19" s="1177"/>
    </row>
    <row r="20" spans="1:26">
      <c r="A20" s="480">
        <v>350</v>
      </c>
      <c r="B20" s="678">
        <v>4</v>
      </c>
      <c r="C20" s="68" t="s">
        <v>1132</v>
      </c>
      <c r="D20" s="53" t="s">
        <v>156</v>
      </c>
      <c r="E20" s="124">
        <f t="shared" si="1"/>
        <v>2021</v>
      </c>
      <c r="F20" s="1000">
        <v>3624</v>
      </c>
      <c r="G20" s="1166">
        <f>'SFA FGD'!$M$23</f>
        <v>90455286</v>
      </c>
      <c r="H20" s="1167">
        <f>'SFA FGD'!$M$24</f>
        <v>0</v>
      </c>
      <c r="I20" s="1167">
        <f>'SFA FGD'!$M$25</f>
        <v>0</v>
      </c>
      <c r="J20" s="1167">
        <f>'SFA FGD'!$M$26</f>
        <v>-11179523</v>
      </c>
      <c r="K20" s="1167">
        <f>'SFA FGD'!$M$27</f>
        <v>0</v>
      </c>
      <c r="L20" s="1167">
        <f>'SFA FGD'!$M$28</f>
        <v>-22234181</v>
      </c>
      <c r="M20" s="1168">
        <f t="shared" si="2"/>
        <v>57041582</v>
      </c>
      <c r="N20" s="1000"/>
      <c r="O20" s="1166">
        <f>'SFA FGD'!$M$36</f>
        <v>37845988</v>
      </c>
      <c r="P20" s="1167">
        <f>'SFA FGD'!$M$37</f>
        <v>0</v>
      </c>
      <c r="Q20" s="1167">
        <f>'SFA FGD'!$M$38</f>
        <v>0</v>
      </c>
      <c r="R20" s="1167">
        <f>'SFA FGD'!$M$39</f>
        <v>-5060841</v>
      </c>
      <c r="S20" s="1167">
        <f>'SFA FGD'!$M$40</f>
        <v>0</v>
      </c>
      <c r="T20" s="1167">
        <f>'SFA FGD'!$M$41</f>
        <v>-9298687</v>
      </c>
      <c r="U20" s="1168">
        <f t="shared" si="3"/>
        <v>23486460</v>
      </c>
      <c r="V20" s="1167"/>
      <c r="W20" s="1154">
        <f t="shared" si="4"/>
        <v>80528042</v>
      </c>
      <c r="X20" s="458"/>
      <c r="Y20" s="1155"/>
      <c r="Z20" s="1177"/>
    </row>
    <row r="21" spans="1:26">
      <c r="A21" s="480">
        <v>300</v>
      </c>
      <c r="B21" s="678">
        <v>5</v>
      </c>
      <c r="C21" s="68" t="s">
        <v>696</v>
      </c>
      <c r="D21" s="53" t="s">
        <v>158</v>
      </c>
      <c r="E21" s="124">
        <f t="shared" si="1"/>
        <v>2021</v>
      </c>
      <c r="F21" s="1000">
        <v>3625</v>
      </c>
      <c r="G21" s="1166">
        <f>'SRSU FGD'!$M$23</f>
        <v>10369872</v>
      </c>
      <c r="H21" s="1167">
        <f>'SRSU FGD'!$M$24</f>
        <v>-118051</v>
      </c>
      <c r="I21" s="1167">
        <f>'SRSU FGD'!$M$25</f>
        <v>-13704</v>
      </c>
      <c r="J21" s="1167">
        <f>'SRSU FGD'!$M$26</f>
        <v>-105764</v>
      </c>
      <c r="K21" s="1167">
        <f>'SRSU FGD'!$M$27</f>
        <v>0</v>
      </c>
      <c r="L21" s="1167">
        <f>'SRSU FGD'!$M$28</f>
        <v>-3814981</v>
      </c>
      <c r="M21" s="1168">
        <f t="shared" si="2"/>
        <v>6317372</v>
      </c>
      <c r="N21" s="1000"/>
      <c r="O21" s="1166">
        <f>'SRSU FGD'!$M$36</f>
        <v>4802981</v>
      </c>
      <c r="P21" s="1167">
        <f>'SRSU FGD'!$M$37</f>
        <v>-799769</v>
      </c>
      <c r="Q21" s="1167">
        <f>'SRSU FGD'!$M$38</f>
        <v>0</v>
      </c>
      <c r="R21" s="1167">
        <f>'SRSU FGD'!$M$39</f>
        <v>-641997</v>
      </c>
      <c r="S21" s="1167">
        <f>'SRSU FGD'!$M$40</f>
        <v>0</v>
      </c>
      <c r="T21" s="1167">
        <f>'SRSU FGD'!$M$41</f>
        <v>0</v>
      </c>
      <c r="U21" s="1168">
        <f t="shared" si="3"/>
        <v>3361215</v>
      </c>
      <c r="V21" s="1167"/>
      <c r="W21" s="1154">
        <f t="shared" si="4"/>
        <v>9678587</v>
      </c>
      <c r="X21" s="458"/>
      <c r="Y21" s="1155"/>
      <c r="Z21" s="1177"/>
    </row>
    <row r="22" spans="1:26">
      <c r="A22" s="480">
        <v>150</v>
      </c>
      <c r="B22" s="678">
        <v>4</v>
      </c>
      <c r="C22" s="68" t="s">
        <v>1132</v>
      </c>
      <c r="D22" s="53" t="s">
        <v>160</v>
      </c>
      <c r="E22" s="124">
        <f t="shared" si="1"/>
        <v>2021</v>
      </c>
      <c r="F22" s="1000">
        <v>3630</v>
      </c>
      <c r="G22" s="1166">
        <f>'PVAMU FGD'!$M$23</f>
        <v>67545947</v>
      </c>
      <c r="H22" s="1167">
        <f>'PVAMU FGD'!$M$24</f>
        <v>0</v>
      </c>
      <c r="I22" s="1167">
        <f>'PVAMU FGD'!$M$25</f>
        <v>0</v>
      </c>
      <c r="J22" s="1167">
        <f>'PVAMU FGD'!$M$26</f>
        <v>-2846276</v>
      </c>
      <c r="K22" s="1167">
        <f>'PVAMU FGD'!$M$27</f>
        <v>0</v>
      </c>
      <c r="L22" s="1167">
        <f>'PVAMU FGD'!$M$28</f>
        <v>-24231867</v>
      </c>
      <c r="M22" s="1168">
        <f t="shared" si="2"/>
        <v>40467804</v>
      </c>
      <c r="N22" s="1000"/>
      <c r="O22" s="1166">
        <f>'PVAMU FGD'!$M$36</f>
        <v>32339445</v>
      </c>
      <c r="P22" s="1167">
        <f>'PVAMU FGD'!$M$37</f>
        <v>0</v>
      </c>
      <c r="Q22" s="1167">
        <f>'PVAMU FGD'!$M$38</f>
        <v>0</v>
      </c>
      <c r="R22" s="1167">
        <f>'PVAMU FGD'!$M$39</f>
        <v>-1691183</v>
      </c>
      <c r="S22" s="1167">
        <f>'PVAMU FGD'!$M$40</f>
        <v>0</v>
      </c>
      <c r="T22" s="1167">
        <f>'PVAMU FGD'!$M$41</f>
        <v>-12509554</v>
      </c>
      <c r="U22" s="1168">
        <f t="shared" si="3"/>
        <v>18138708</v>
      </c>
      <c r="V22" s="1167"/>
      <c r="W22" s="1154">
        <f t="shared" si="4"/>
        <v>58606512</v>
      </c>
      <c r="X22" s="458"/>
      <c r="Y22" s="1155"/>
      <c r="Z22" s="1177"/>
    </row>
    <row r="23" spans="1:26">
      <c r="A23" s="480">
        <v>160</v>
      </c>
      <c r="B23" s="678">
        <v>4</v>
      </c>
      <c r="C23" s="68" t="s">
        <v>1132</v>
      </c>
      <c r="D23" s="53" t="s">
        <v>162</v>
      </c>
      <c r="E23" s="124">
        <f t="shared" si="1"/>
        <v>2021</v>
      </c>
      <c r="F23" s="1000">
        <v>3631</v>
      </c>
      <c r="G23" s="1166">
        <f>'TARLST FGD'!$M$23</f>
        <v>76252437</v>
      </c>
      <c r="H23" s="1167">
        <f>'TARLST FGD'!$M$24</f>
        <v>0</v>
      </c>
      <c r="I23" s="1167">
        <f>'TARLST FGD'!$M$25</f>
        <v>0</v>
      </c>
      <c r="J23" s="1167">
        <f>'TARLST FGD'!$M$26</f>
        <v>-4974728</v>
      </c>
      <c r="K23" s="1167">
        <f>'TARLST FGD'!$M$27</f>
        <v>-277625</v>
      </c>
      <c r="L23" s="1167">
        <f>'TARLST FGD'!$M$28</f>
        <v>-13680786</v>
      </c>
      <c r="M23" s="1168">
        <f t="shared" si="2"/>
        <v>57319298</v>
      </c>
      <c r="N23" s="1000"/>
      <c r="O23" s="1166">
        <f>'TARLST FGD'!$M$36</f>
        <v>50328413</v>
      </c>
      <c r="P23" s="1167">
        <f>'TARLST FGD'!$M$37</f>
        <v>0</v>
      </c>
      <c r="Q23" s="1167">
        <f>'TARLST FGD'!$M$38</f>
        <v>0</v>
      </c>
      <c r="R23" s="1167">
        <f>'TARLST FGD'!$M$39</f>
        <v>-3162677</v>
      </c>
      <c r="S23" s="1167">
        <f>'TARLST FGD'!$M$40</f>
        <v>0</v>
      </c>
      <c r="T23" s="1167">
        <f>'TARLST FGD'!$M$41</f>
        <v>-9395406</v>
      </c>
      <c r="U23" s="1168">
        <f t="shared" si="3"/>
        <v>37770330</v>
      </c>
      <c r="V23" s="1167"/>
      <c r="W23" s="1154">
        <f t="shared" si="4"/>
        <v>95089628</v>
      </c>
      <c r="X23" s="458"/>
      <c r="Y23" s="1155"/>
      <c r="Z23" s="1177"/>
    </row>
    <row r="24" spans="1:26">
      <c r="A24" s="480">
        <v>130</v>
      </c>
      <c r="B24" s="678">
        <v>1</v>
      </c>
      <c r="C24" s="68" t="s">
        <v>15</v>
      </c>
      <c r="D24" s="53" t="s">
        <v>164</v>
      </c>
      <c r="E24" s="124">
        <f t="shared" si="1"/>
        <v>2021</v>
      </c>
      <c r="F24" s="1000">
        <v>3632</v>
      </c>
      <c r="G24" s="1166">
        <f>'TAMU FGD'!$M$23</f>
        <v>568696347</v>
      </c>
      <c r="H24" s="1167">
        <f>'TAMU FGD'!$M$24</f>
        <v>0</v>
      </c>
      <c r="I24" s="1167">
        <f>'TAMU FGD'!$M$25</f>
        <v>0</v>
      </c>
      <c r="J24" s="1167">
        <f>'TAMU FGD'!$M$26</f>
        <v>-26779046</v>
      </c>
      <c r="K24" s="1167">
        <f>'TAMU FGD'!$M$27</f>
        <v>0</v>
      </c>
      <c r="L24" s="1167">
        <f>'TAMU FGD'!$M$28</f>
        <v>-99434778</v>
      </c>
      <c r="M24" s="1168">
        <f t="shared" si="2"/>
        <v>442482523</v>
      </c>
      <c r="N24" s="1000"/>
      <c r="O24" s="1166">
        <f>'TAMU FGD'!$M$36</f>
        <v>304792598</v>
      </c>
      <c r="P24" s="1167">
        <f>'TAMU FGD'!$M$37</f>
        <v>0</v>
      </c>
      <c r="Q24" s="1167">
        <f>'TAMU FGD'!$M$38</f>
        <v>0</v>
      </c>
      <c r="R24" s="1167">
        <f>'TAMU FGD'!$M$39</f>
        <v>-12454439</v>
      </c>
      <c r="S24" s="1167">
        <f>'TAMU FGD'!$M$40</f>
        <v>0</v>
      </c>
      <c r="T24" s="1167">
        <f>'TAMU FGD'!$M$41</f>
        <v>-55189814</v>
      </c>
      <c r="U24" s="1168">
        <f t="shared" si="3"/>
        <v>237148345</v>
      </c>
      <c r="V24" s="1167"/>
      <c r="W24" s="1154">
        <f t="shared" si="4"/>
        <v>679630868</v>
      </c>
      <c r="X24" s="458"/>
      <c r="Y24" s="1155"/>
      <c r="Z24" s="1177"/>
    </row>
    <row r="25" spans="1:26">
      <c r="A25" s="480">
        <v>180</v>
      </c>
      <c r="B25" s="678">
        <v>3</v>
      </c>
      <c r="C25" s="68" t="s">
        <v>697</v>
      </c>
      <c r="D25" s="53" t="s">
        <v>166</v>
      </c>
      <c r="E25" s="124">
        <f t="shared" si="1"/>
        <v>2021</v>
      </c>
      <c r="F25" s="1000">
        <v>3639</v>
      </c>
      <c r="G25" s="1166">
        <f>'TAMUK FGD'!$M$23</f>
        <v>32012360</v>
      </c>
      <c r="H25" s="1167">
        <f>'TAMUK FGD'!$M$24</f>
        <v>-2721</v>
      </c>
      <c r="I25" s="1167">
        <f>'TAMUK FGD'!$M$25</f>
        <v>0</v>
      </c>
      <c r="J25" s="1167">
        <f>'TAMUK FGD'!$M$26</f>
        <v>-1715410</v>
      </c>
      <c r="K25" s="1167">
        <f>'TAMUK FGD'!$M$27</f>
        <v>0</v>
      </c>
      <c r="L25" s="1167">
        <f>'TAMUK FGD'!$M$28</f>
        <v>-9289061</v>
      </c>
      <c r="M25" s="1168">
        <f t="shared" si="2"/>
        <v>21005168</v>
      </c>
      <c r="N25" s="1000"/>
      <c r="O25" s="1166">
        <f>'TAMUK FGD'!$M$36</f>
        <v>28319340</v>
      </c>
      <c r="P25" s="1167">
        <f>'TAMUK FGD'!$M$37</f>
        <v>0</v>
      </c>
      <c r="Q25" s="1167">
        <f>'TAMUK FGD'!$M$38</f>
        <v>0</v>
      </c>
      <c r="R25" s="1167">
        <f>'TAMUK FGD'!$M$39</f>
        <v>-1847465</v>
      </c>
      <c r="S25" s="1167">
        <f>'TAMUK FGD'!$M$40</f>
        <v>0</v>
      </c>
      <c r="T25" s="1167">
        <f>'TAMUK FGD'!$M$41</f>
        <v>-7889911</v>
      </c>
      <c r="U25" s="1168">
        <f t="shared" si="3"/>
        <v>18581964</v>
      </c>
      <c r="V25" s="1167"/>
      <c r="W25" s="1154">
        <f t="shared" si="4"/>
        <v>39587132</v>
      </c>
      <c r="X25" s="458"/>
      <c r="Y25" s="1155"/>
      <c r="Z25" s="1177"/>
    </row>
    <row r="26" spans="1:26">
      <c r="A26" s="480">
        <v>360</v>
      </c>
      <c r="B26" s="678">
        <v>3</v>
      </c>
      <c r="C26" s="68" t="s">
        <v>697</v>
      </c>
      <c r="D26" s="53" t="s">
        <v>168</v>
      </c>
      <c r="E26" s="124">
        <f t="shared" si="1"/>
        <v>2021</v>
      </c>
      <c r="F26" s="1000">
        <v>3642</v>
      </c>
      <c r="G26" s="1166">
        <f>'TSU FGD'!$M$23</f>
        <v>61987273</v>
      </c>
      <c r="H26" s="1167">
        <f>'TSU FGD'!$M$24</f>
        <v>0</v>
      </c>
      <c r="I26" s="1167">
        <f>'TSU FGD'!$M$25</f>
        <v>0</v>
      </c>
      <c r="J26" s="1167">
        <f>'TSU FGD'!$M$26</f>
        <v>-3192164</v>
      </c>
      <c r="K26" s="1167">
        <f>'TSU FGD'!$M$27</f>
        <v>0</v>
      </c>
      <c r="L26" s="1167">
        <f>'TSU FGD'!$M$28</f>
        <v>-16762697</v>
      </c>
      <c r="M26" s="1168">
        <f t="shared" si="2"/>
        <v>42032412</v>
      </c>
      <c r="N26" s="1000"/>
      <c r="O26" s="1166">
        <f>'TSU FGD'!$M$36</f>
        <v>16245038</v>
      </c>
      <c r="P26" s="1167">
        <f>'TSU FGD'!$M$37</f>
        <v>0</v>
      </c>
      <c r="Q26" s="1167">
        <f>'TSU FGD'!$M$38</f>
        <v>0</v>
      </c>
      <c r="R26" s="1167">
        <f>'TSU FGD'!$M$39</f>
        <v>0</v>
      </c>
      <c r="S26" s="1167">
        <f>'TSU FGD'!$M$40</f>
        <v>0</v>
      </c>
      <c r="T26" s="1167">
        <f>'TSU FGD'!$M$41</f>
        <v>-4627556</v>
      </c>
      <c r="U26" s="1168">
        <f t="shared" si="3"/>
        <v>11617482</v>
      </c>
      <c r="V26" s="1167"/>
      <c r="W26" s="1154">
        <f t="shared" si="4"/>
        <v>53649894</v>
      </c>
      <c r="X26" s="458"/>
      <c r="Y26" s="1155"/>
      <c r="Z26" s="1177"/>
    </row>
    <row r="27" spans="1:26">
      <c r="A27" s="480">
        <v>310</v>
      </c>
      <c r="B27" s="678">
        <v>2</v>
      </c>
      <c r="C27" s="68" t="s">
        <v>1133</v>
      </c>
      <c r="D27" s="53" t="s">
        <v>170</v>
      </c>
      <c r="E27" s="124">
        <f t="shared" si="1"/>
        <v>2021</v>
      </c>
      <c r="F27" s="1000">
        <v>3644</v>
      </c>
      <c r="G27" s="1166">
        <f>'TTU FGD'!$M$23</f>
        <v>327339329</v>
      </c>
      <c r="H27" s="1167">
        <f>'TTU FGD'!$M$24</f>
        <v>0</v>
      </c>
      <c r="I27" s="1167">
        <f>'TTU FGD'!$M$25</f>
        <v>0</v>
      </c>
      <c r="J27" s="1167">
        <f>'TTU FGD'!$M$26</f>
        <v>-18435849</v>
      </c>
      <c r="K27" s="1167">
        <f>'TTU FGD'!$M$27</f>
        <v>0</v>
      </c>
      <c r="L27" s="1167">
        <f>'TTU FGD'!$M$28</f>
        <v>-64339052</v>
      </c>
      <c r="M27" s="1168">
        <f t="shared" si="2"/>
        <v>244564428</v>
      </c>
      <c r="N27" s="1000"/>
      <c r="O27" s="1166">
        <f>'TTU FGD'!$M$36</f>
        <v>151011071</v>
      </c>
      <c r="P27" s="1167">
        <f>'TTU FGD'!$M$37</f>
        <v>0</v>
      </c>
      <c r="Q27" s="1167">
        <f>'TTU FGD'!$M$38</f>
        <v>0</v>
      </c>
      <c r="R27" s="1167">
        <f>'TTU FGD'!$M$39</f>
        <v>-8594237</v>
      </c>
      <c r="S27" s="1167">
        <f>'TTU FGD'!$M$40</f>
        <v>0</v>
      </c>
      <c r="T27" s="1167">
        <f>'TTU FGD'!$M$41</f>
        <v>-29686424</v>
      </c>
      <c r="U27" s="1168">
        <f t="shared" si="3"/>
        <v>112730410</v>
      </c>
      <c r="V27" s="1167"/>
      <c r="W27" s="1154">
        <f t="shared" si="4"/>
        <v>357294838</v>
      </c>
      <c r="X27" s="458"/>
      <c r="Y27" s="1155"/>
      <c r="Z27" s="1177"/>
    </row>
    <row r="28" spans="1:26">
      <c r="A28" s="480">
        <v>370</v>
      </c>
      <c r="B28" s="678">
        <v>3</v>
      </c>
      <c r="C28" s="68" t="s">
        <v>697</v>
      </c>
      <c r="D28" s="56" t="s">
        <v>172</v>
      </c>
      <c r="E28" s="124">
        <f t="shared" si="1"/>
        <v>2021</v>
      </c>
      <c r="F28" s="1001">
        <v>3646</v>
      </c>
      <c r="G28" s="1166">
        <f>'TWU FGD'!$M$23</f>
        <v>124471943</v>
      </c>
      <c r="H28" s="1167">
        <f>'TWU FGD'!$M$24</f>
        <v>-5958562</v>
      </c>
      <c r="I28" s="1167">
        <f>'TWU FGD'!$M$25</f>
        <v>-40224</v>
      </c>
      <c r="J28" s="1167">
        <f>'TWU FGD'!$M$26</f>
        <v>-2419468</v>
      </c>
      <c r="K28" s="1167">
        <f>'TWU FGD'!$M$27</f>
        <v>-2881523</v>
      </c>
      <c r="L28" s="1167">
        <f>'TWU FGD'!$M$28</f>
        <v>0</v>
      </c>
      <c r="M28" s="1168">
        <f t="shared" si="2"/>
        <v>113172166</v>
      </c>
      <c r="N28" s="1000"/>
      <c r="O28" s="1166">
        <f>'TWU FGD'!$M$36</f>
        <v>19075819</v>
      </c>
      <c r="P28" s="1167">
        <f>'TWU FGD'!$M$37</f>
        <v>-87170</v>
      </c>
      <c r="Q28" s="1167">
        <f>'TWU FGD'!$M$38</f>
        <v>-2325</v>
      </c>
      <c r="R28" s="1167">
        <f>'TWU FGD'!$M$39</f>
        <v>-3136288</v>
      </c>
      <c r="S28" s="1167">
        <f>'TWU FGD'!$M$40</f>
        <v>-921</v>
      </c>
      <c r="T28" s="1167">
        <f>'TWU FGD'!$M$41</f>
        <v>-39859947</v>
      </c>
      <c r="U28" s="1168">
        <f t="shared" si="3"/>
        <v>-24010832</v>
      </c>
      <c r="V28" s="1167"/>
      <c r="W28" s="1154">
        <f t="shared" si="4"/>
        <v>89161334</v>
      </c>
      <c r="X28" s="458"/>
      <c r="Y28" s="1155"/>
      <c r="Z28" s="1177"/>
    </row>
    <row r="29" spans="1:26" ht="14.25" customHeight="1">
      <c r="A29" s="480">
        <v>231</v>
      </c>
      <c r="B29" s="678">
        <v>2</v>
      </c>
      <c r="C29" s="68" t="s">
        <v>1133</v>
      </c>
      <c r="D29" s="116" t="s">
        <v>2261</v>
      </c>
      <c r="E29" s="124">
        <f t="shared" si="1"/>
        <v>2021</v>
      </c>
      <c r="F29" s="1000">
        <v>3652</v>
      </c>
      <c r="G29" s="1166">
        <f>'UH1 FGD'!$M$23</f>
        <v>408506485</v>
      </c>
      <c r="H29" s="1167">
        <f>'UH1 FGD'!$M$24</f>
        <v>0</v>
      </c>
      <c r="I29" s="1167">
        <f>'UH1 FGD'!$M$25</f>
        <v>0</v>
      </c>
      <c r="J29" s="1167">
        <f>'UH1 FGD'!$M$26</f>
        <v>-10996289</v>
      </c>
      <c r="K29" s="1167">
        <f>'UH1 FGD'!$M$27</f>
        <v>0</v>
      </c>
      <c r="L29" s="1167">
        <f>'UH1 FGD'!$M$28</f>
        <v>-107097289</v>
      </c>
      <c r="M29" s="1168">
        <f t="shared" si="2"/>
        <v>290412907</v>
      </c>
      <c r="N29" s="1000"/>
      <c r="O29" s="1166">
        <f>'UH1 FGD'!$M$36</f>
        <v>154724874</v>
      </c>
      <c r="P29" s="1167">
        <f>'UH1 FGD'!$M$37</f>
        <v>0</v>
      </c>
      <c r="Q29" s="1167">
        <f>'UH1 FGD'!$M$38</f>
        <v>0</v>
      </c>
      <c r="R29" s="1167">
        <f>'UH1 FGD'!$M$39</f>
        <v>-3428318</v>
      </c>
      <c r="S29" s="1167">
        <f>'UH1 FGD'!$M$40</f>
        <v>0</v>
      </c>
      <c r="T29" s="1167">
        <f>'UH1 FGD'!$M$41</f>
        <v>-41137370</v>
      </c>
      <c r="U29" s="1168">
        <f t="shared" si="3"/>
        <v>110159186</v>
      </c>
      <c r="V29" s="1167"/>
      <c r="W29" s="1154">
        <f t="shared" si="4"/>
        <v>400572093</v>
      </c>
      <c r="X29" s="458"/>
      <c r="Y29" s="1155"/>
      <c r="Z29" s="1177"/>
    </row>
    <row r="30" spans="1:26">
      <c r="A30" s="480">
        <v>40</v>
      </c>
      <c r="B30" s="678">
        <v>2</v>
      </c>
      <c r="C30" s="68" t="s">
        <v>1133</v>
      </c>
      <c r="D30" s="53" t="s">
        <v>176</v>
      </c>
      <c r="E30" s="124">
        <f t="shared" si="1"/>
        <v>2021</v>
      </c>
      <c r="F30" s="1000">
        <v>3656</v>
      </c>
      <c r="G30" s="1166">
        <f>'ARL FGD'!$M$23</f>
        <v>318940789</v>
      </c>
      <c r="H30" s="1167">
        <f>'ARL FGD'!$M$24</f>
        <v>0</v>
      </c>
      <c r="I30" s="1167">
        <f>'ARL FGD'!$M$25</f>
        <v>0</v>
      </c>
      <c r="J30" s="1167">
        <f>'ARL FGD'!$M$26</f>
        <v>-12131783</v>
      </c>
      <c r="K30" s="1167">
        <f>'ARL FGD'!$M$27</f>
        <v>0</v>
      </c>
      <c r="L30" s="1167">
        <f>'ARL FGD'!$M$28</f>
        <v>-67520253</v>
      </c>
      <c r="M30" s="1168">
        <f t="shared" si="2"/>
        <v>239288753</v>
      </c>
      <c r="N30" s="1000"/>
      <c r="O30" s="1166">
        <f>'ARL FGD'!$M$36</f>
        <v>145181677</v>
      </c>
      <c r="P30" s="1167">
        <f>'ARL FGD'!$M$37</f>
        <v>0</v>
      </c>
      <c r="Q30" s="1167">
        <f>'ARL FGD'!$M$38</f>
        <v>0</v>
      </c>
      <c r="R30" s="1167">
        <f>'ARL FGD'!$M$39</f>
        <v>-2140903</v>
      </c>
      <c r="S30" s="1167">
        <f>'ARL FGD'!$M$40</f>
        <v>0</v>
      </c>
      <c r="T30" s="1167">
        <f>'ARL FGD'!$M$41</f>
        <v>-33849593</v>
      </c>
      <c r="U30" s="1168">
        <f t="shared" si="3"/>
        <v>109191181</v>
      </c>
      <c r="V30" s="1167"/>
      <c r="W30" s="1154">
        <f t="shared" si="4"/>
        <v>348479934</v>
      </c>
      <c r="X30" s="458"/>
      <c r="Y30" s="1155"/>
      <c r="Z30" s="1177"/>
    </row>
    <row r="31" spans="1:26">
      <c r="A31" s="480">
        <v>51</v>
      </c>
      <c r="B31" s="678">
        <v>1</v>
      </c>
      <c r="C31" s="68" t="s">
        <v>15</v>
      </c>
      <c r="D31" s="116" t="s">
        <v>1398</v>
      </c>
      <c r="E31" s="124">
        <f t="shared" si="1"/>
        <v>2021</v>
      </c>
      <c r="F31" s="1000">
        <v>3658</v>
      </c>
      <c r="G31" s="1166">
        <f>'AUS1 FGD'!$M$23</f>
        <v>620746289</v>
      </c>
      <c r="H31" s="1167">
        <f>'AUS1 FGD'!$M$24</f>
        <v>0</v>
      </c>
      <c r="I31" s="1167">
        <f>'AUS1 FGD'!$M$25</f>
        <v>0</v>
      </c>
      <c r="J31" s="1167">
        <f>'AUS1 FGD'!$M$26</f>
        <v>-18592467</v>
      </c>
      <c r="K31" s="1167">
        <f>'AUS1 FGD'!$M$27</f>
        <v>0</v>
      </c>
      <c r="L31" s="1167">
        <f>'AUS1 FGD'!$M$28</f>
        <v>-150439834</v>
      </c>
      <c r="M31" s="1168">
        <f t="shared" si="2"/>
        <v>451713988</v>
      </c>
      <c r="N31" s="1000"/>
      <c r="O31" s="1166">
        <f>'AUS1 FGD'!$M$36</f>
        <v>92462176</v>
      </c>
      <c r="P31" s="1167">
        <f>'AUS1 FGD'!$M$37</f>
        <v>0</v>
      </c>
      <c r="Q31" s="1167">
        <f>'AUS1 FGD'!$M$38</f>
        <v>0</v>
      </c>
      <c r="R31" s="1167">
        <f>'AUS1 FGD'!$M$39</f>
        <v>-1189957</v>
      </c>
      <c r="S31" s="1167">
        <f>'AUS1 FGD'!$M$40</f>
        <v>0</v>
      </c>
      <c r="T31" s="1167">
        <f>'AUS1 FGD'!$M$41</f>
        <v>-21621471</v>
      </c>
      <c r="U31" s="1168">
        <f t="shared" si="3"/>
        <v>69650748</v>
      </c>
      <c r="V31" s="1167"/>
      <c r="W31" s="1154">
        <f t="shared" si="4"/>
        <v>521364736</v>
      </c>
      <c r="X31" s="458"/>
      <c r="Y31" s="1155"/>
      <c r="Z31" s="1177"/>
    </row>
    <row r="32" spans="1:26">
      <c r="A32" s="480">
        <v>70</v>
      </c>
      <c r="B32" s="678">
        <v>2</v>
      </c>
      <c r="C32" s="68" t="s">
        <v>1133</v>
      </c>
      <c r="D32" s="53" t="s">
        <v>180</v>
      </c>
      <c r="E32" s="124">
        <f t="shared" si="1"/>
        <v>2021</v>
      </c>
      <c r="F32" s="1000">
        <v>3661</v>
      </c>
      <c r="G32" s="1166">
        <f>'E-P FGD'!$M$23</f>
        <v>150363784</v>
      </c>
      <c r="H32" s="1167">
        <f>'E-P FGD'!$M$24</f>
        <v>0</v>
      </c>
      <c r="I32" s="1167">
        <f>'E-P FGD'!$M$25</f>
        <v>0</v>
      </c>
      <c r="J32" s="1167">
        <f>'E-P FGD'!$M$26</f>
        <v>-5568394</v>
      </c>
      <c r="K32" s="1167">
        <f>'E-P FGD'!$M$27</f>
        <v>0</v>
      </c>
      <c r="L32" s="1167">
        <f>'E-P FGD'!$M$28</f>
        <v>-35109785</v>
      </c>
      <c r="M32" s="1168">
        <f t="shared" si="2"/>
        <v>109685605</v>
      </c>
      <c r="N32" s="1000"/>
      <c r="O32" s="1166">
        <f>'E-P FGD'!$M$36</f>
        <v>53867851</v>
      </c>
      <c r="P32" s="1167">
        <f>'E-P FGD'!$M$37</f>
        <v>0</v>
      </c>
      <c r="Q32" s="1167">
        <f>'E-P FGD'!$M$38</f>
        <v>0</v>
      </c>
      <c r="R32" s="1167">
        <f>'E-P FGD'!$M$39</f>
        <v>-1353855</v>
      </c>
      <c r="S32" s="1167">
        <f>'E-P FGD'!$M$40</f>
        <v>0</v>
      </c>
      <c r="T32" s="1167">
        <f>'E-P FGD'!$M$41</f>
        <v>-13210707</v>
      </c>
      <c r="U32" s="1168">
        <f t="shared" si="3"/>
        <v>39303289</v>
      </c>
      <c r="V32" s="1167"/>
      <c r="W32" s="1154">
        <f t="shared" si="4"/>
        <v>148988894</v>
      </c>
      <c r="X32" s="458"/>
      <c r="Y32" s="1155"/>
      <c r="Z32" s="1177"/>
    </row>
    <row r="33" spans="1:26">
      <c r="A33" s="480">
        <v>200</v>
      </c>
      <c r="B33" s="678">
        <v>4</v>
      </c>
      <c r="C33" s="68" t="s">
        <v>1132</v>
      </c>
      <c r="D33" s="53" t="s">
        <v>182</v>
      </c>
      <c r="E33" s="124">
        <f t="shared" si="1"/>
        <v>2021</v>
      </c>
      <c r="F33" s="1001">
        <v>3665</v>
      </c>
      <c r="G33" s="1166">
        <f>'WTAMU FGD'!$M$23</f>
        <v>56448523</v>
      </c>
      <c r="H33" s="1167">
        <f>'WTAMU FGD'!$M$24</f>
        <v>0</v>
      </c>
      <c r="I33" s="1167">
        <f>'WTAMU FGD'!$M$25</f>
        <v>0</v>
      </c>
      <c r="J33" s="1167">
        <f>'WTAMU FGD'!$M$26</f>
        <v>-4085106</v>
      </c>
      <c r="K33" s="1167">
        <f>'WTAMU FGD'!$M$27</f>
        <v>0</v>
      </c>
      <c r="L33" s="1167">
        <f>'WTAMU FGD'!$M$28</f>
        <v>-11923744</v>
      </c>
      <c r="M33" s="1168">
        <f t="shared" si="2"/>
        <v>40439673</v>
      </c>
      <c r="N33" s="1000"/>
      <c r="O33" s="1166">
        <f>'WTAMU FGD'!$M$36</f>
        <v>28953630</v>
      </c>
      <c r="P33" s="1167">
        <f>'WTAMU FGD'!$M$37</f>
        <v>0</v>
      </c>
      <c r="Q33" s="1167">
        <f>'WTAMU FGD'!$M$38</f>
        <v>0</v>
      </c>
      <c r="R33" s="1167">
        <f>'WTAMU FGD'!$M$39</f>
        <v>-2734657</v>
      </c>
      <c r="S33" s="1167">
        <f>'WTAMU FGD'!$M$40</f>
        <v>0</v>
      </c>
      <c r="T33" s="1167">
        <f>'WTAMU FGD'!$M$41</f>
        <v>-5476617</v>
      </c>
      <c r="U33" s="1168">
        <f t="shared" si="3"/>
        <v>20742356</v>
      </c>
      <c r="V33" s="1167"/>
      <c r="W33" s="1154">
        <f t="shared" si="4"/>
        <v>61182029</v>
      </c>
      <c r="X33" s="458"/>
      <c r="Y33" s="1155"/>
      <c r="Z33" s="1177"/>
    </row>
    <row r="34" spans="1:26">
      <c r="A34" s="480">
        <v>190</v>
      </c>
      <c r="B34" s="678">
        <v>4</v>
      </c>
      <c r="C34" s="68" t="s">
        <v>1132</v>
      </c>
      <c r="D34" s="53" t="s">
        <v>184</v>
      </c>
      <c r="E34" s="124">
        <f t="shared" si="1"/>
        <v>2021</v>
      </c>
      <c r="F34" s="1000">
        <v>9651</v>
      </c>
      <c r="G34" s="1166">
        <f>'TAMIU FGD'!$M$23</f>
        <v>33618137</v>
      </c>
      <c r="H34" s="1167">
        <f>'TAMIU FGD'!$M$24</f>
        <v>0</v>
      </c>
      <c r="I34" s="1167">
        <f>'TAMIU FGD'!$M$25</f>
        <v>0</v>
      </c>
      <c r="J34" s="1167">
        <f>'TAMIU FGD'!$M$26</f>
        <v>-1131264</v>
      </c>
      <c r="K34" s="1167">
        <f>'TAMIU FGD'!$M$27</f>
        <v>0</v>
      </c>
      <c r="L34" s="1167">
        <f>'TAMIU FGD'!$M$28</f>
        <v>-14383524</v>
      </c>
      <c r="M34" s="1168">
        <f t="shared" si="2"/>
        <v>18103349</v>
      </c>
      <c r="N34" s="1000"/>
      <c r="O34" s="1166">
        <f>'TAMIU FGD'!$M$36</f>
        <v>32803412</v>
      </c>
      <c r="P34" s="1167">
        <f>'TAMIU FGD'!$M$37</f>
        <v>0</v>
      </c>
      <c r="Q34" s="1167">
        <f>'TAMIU FGD'!$M$38</f>
        <v>0</v>
      </c>
      <c r="R34" s="1167">
        <f>'TAMIU FGD'!$M$39</f>
        <v>-930840</v>
      </c>
      <c r="S34" s="1167">
        <f>'TAMIU FGD'!$M$40</f>
        <v>0</v>
      </c>
      <c r="T34" s="1167">
        <f>'TAMIU FGD'!$M$41</f>
        <v>-14207911</v>
      </c>
      <c r="U34" s="1168">
        <f t="shared" si="3"/>
        <v>17664661</v>
      </c>
      <c r="V34" s="1167"/>
      <c r="W34" s="1154">
        <f t="shared" si="4"/>
        <v>35768010</v>
      </c>
      <c r="X34" s="458"/>
      <c r="Y34" s="1155"/>
      <c r="Z34" s="1177"/>
    </row>
    <row r="35" spans="1:26">
      <c r="A35" s="480">
        <v>60</v>
      </c>
      <c r="B35" s="678">
        <v>2</v>
      </c>
      <c r="C35" s="68" t="s">
        <v>1133</v>
      </c>
      <c r="D35" s="53" t="s">
        <v>186</v>
      </c>
      <c r="E35" s="124">
        <f t="shared" si="1"/>
        <v>2021</v>
      </c>
      <c r="F35" s="1000">
        <v>9741</v>
      </c>
      <c r="G35" s="1166">
        <f>'DAL FGD'!$M$23</f>
        <v>326923099</v>
      </c>
      <c r="H35" s="1167">
        <f>'DAL FGD'!$M$24</f>
        <v>0</v>
      </c>
      <c r="I35" s="1167">
        <f>'DAL FGD'!$M$25</f>
        <v>0</v>
      </c>
      <c r="J35" s="1167">
        <f>'DAL FGD'!$M$26</f>
        <v>-8088507</v>
      </c>
      <c r="K35" s="1167">
        <f>'DAL FGD'!$M$27</f>
        <v>0</v>
      </c>
      <c r="L35" s="1167">
        <f>'DAL FGD'!$M$28</f>
        <v>-121626094</v>
      </c>
      <c r="M35" s="1168">
        <f t="shared" si="2"/>
        <v>197208498</v>
      </c>
      <c r="N35" s="1000"/>
      <c r="O35" s="1166">
        <f>'DAL FGD'!$M$36</f>
        <v>112408079</v>
      </c>
      <c r="P35" s="1167">
        <f>'DAL FGD'!$M$37</f>
        <v>0</v>
      </c>
      <c r="Q35" s="1167">
        <f>'DAL FGD'!$M$38</f>
        <v>0</v>
      </c>
      <c r="R35" s="1167">
        <f>'DAL FGD'!$M$39</f>
        <v>-661597</v>
      </c>
      <c r="S35" s="1167">
        <f>'DAL FGD'!$M$40</f>
        <v>0</v>
      </c>
      <c r="T35" s="1167">
        <f>'DAL FGD'!$M$41</f>
        <v>-9030722</v>
      </c>
      <c r="U35" s="1168">
        <f t="shared" si="3"/>
        <v>102715760</v>
      </c>
      <c r="V35" s="1167"/>
      <c r="W35" s="1154">
        <f t="shared" si="4"/>
        <v>299924258</v>
      </c>
      <c r="X35" s="458"/>
      <c r="Y35" s="1155"/>
      <c r="Z35" s="1177"/>
    </row>
    <row r="36" spans="1:26">
      <c r="A36" s="480">
        <v>100</v>
      </c>
      <c r="B36" s="678">
        <v>5</v>
      </c>
      <c r="C36" s="68" t="s">
        <v>696</v>
      </c>
      <c r="D36" s="53" t="s">
        <v>188</v>
      </c>
      <c r="E36" s="124">
        <f t="shared" si="1"/>
        <v>2021</v>
      </c>
      <c r="F36" s="1000">
        <v>9930</v>
      </c>
      <c r="G36" s="1166">
        <f>'P-B FGD'!$M$23</f>
        <v>28478424</v>
      </c>
      <c r="H36" s="1167">
        <f>'P-B FGD'!$M$24</f>
        <v>0</v>
      </c>
      <c r="I36" s="1167">
        <f>'P-B FGD'!$M$25</f>
        <v>0</v>
      </c>
      <c r="J36" s="1167">
        <f>'P-B FGD'!$M$26</f>
        <v>-1654428</v>
      </c>
      <c r="K36" s="1167">
        <f>'P-B FGD'!$M$27</f>
        <v>0</v>
      </c>
      <c r="L36" s="1167">
        <f>'P-B FGD'!$M$28</f>
        <v>-9456006</v>
      </c>
      <c r="M36" s="1168">
        <f t="shared" si="2"/>
        <v>17367990</v>
      </c>
      <c r="N36" s="1000"/>
      <c r="O36" s="1166">
        <f>'P-B FGD'!$M$36</f>
        <v>15651728</v>
      </c>
      <c r="P36" s="1167">
        <f>'P-B FGD'!$M$37</f>
        <v>0</v>
      </c>
      <c r="Q36" s="1167">
        <f>'P-B FGD'!$M$38</f>
        <v>0</v>
      </c>
      <c r="R36" s="1167">
        <f>'P-B FGD'!$M$39</f>
        <v>-92958</v>
      </c>
      <c r="S36" s="1167">
        <f>'P-B FGD'!$M$40</f>
        <v>0</v>
      </c>
      <c r="T36" s="1167">
        <f>'P-B FGD'!$M$41</f>
        <v>-413654</v>
      </c>
      <c r="U36" s="1168">
        <f t="shared" si="3"/>
        <v>15145116</v>
      </c>
      <c r="V36" s="1167"/>
      <c r="W36" s="1154">
        <f t="shared" si="4"/>
        <v>32513106</v>
      </c>
      <c r="X36" s="458"/>
      <c r="Y36" s="1155"/>
      <c r="Z36" s="1177"/>
    </row>
    <row r="37" spans="1:26">
      <c r="A37" s="480">
        <v>110</v>
      </c>
      <c r="B37" s="678">
        <v>2</v>
      </c>
      <c r="C37" s="68" t="s">
        <v>1133</v>
      </c>
      <c r="D37" s="53" t="s">
        <v>190</v>
      </c>
      <c r="E37" s="124">
        <f t="shared" si="1"/>
        <v>2021</v>
      </c>
      <c r="F37" s="1000">
        <v>10115</v>
      </c>
      <c r="G37" s="1166">
        <f>'S-A FGD'!$M$23</f>
        <v>231876081</v>
      </c>
      <c r="H37" s="1167">
        <f>'S-A FGD'!$M$24</f>
        <v>0</v>
      </c>
      <c r="I37" s="1167">
        <f>'S-A FGD'!$M$25</f>
        <v>0</v>
      </c>
      <c r="J37" s="1167">
        <f>'S-A FGD'!$M$26</f>
        <v>-20788789</v>
      </c>
      <c r="K37" s="1167">
        <f>'S-A FGD'!$M$27</f>
        <v>0</v>
      </c>
      <c r="L37" s="1167">
        <f>'S-A FGD'!$M$28</f>
        <v>-51095846</v>
      </c>
      <c r="M37" s="1168">
        <f t="shared" si="2"/>
        <v>159991446</v>
      </c>
      <c r="N37" s="1000"/>
      <c r="O37" s="1166">
        <f>'S-A FGD'!$M$36</f>
        <v>132698710</v>
      </c>
      <c r="P37" s="1167">
        <f>'S-A FGD'!$M$37</f>
        <v>0</v>
      </c>
      <c r="Q37" s="1167">
        <f>'S-A FGD'!$M$38</f>
        <v>0</v>
      </c>
      <c r="R37" s="1167">
        <f>'S-A FGD'!$M$39</f>
        <v>-2350335</v>
      </c>
      <c r="S37" s="1167">
        <f>'S-A FGD'!$M$40</f>
        <v>0</v>
      </c>
      <c r="T37" s="1167">
        <f>'S-A FGD'!$M$41</f>
        <v>-38640385</v>
      </c>
      <c r="U37" s="1168">
        <f t="shared" si="3"/>
        <v>91707990</v>
      </c>
      <c r="V37" s="1167"/>
      <c r="W37" s="1154">
        <f t="shared" si="4"/>
        <v>251699436</v>
      </c>
      <c r="X37" s="458"/>
      <c r="Y37" s="1155"/>
      <c r="Z37" s="1177"/>
    </row>
    <row r="38" spans="1:26">
      <c r="A38" s="480">
        <v>140</v>
      </c>
      <c r="B38" s="678">
        <v>5</v>
      </c>
      <c r="C38" s="68" t="s">
        <v>696</v>
      </c>
      <c r="D38" s="53" t="s">
        <v>192</v>
      </c>
      <c r="E38" s="124">
        <f t="shared" si="1"/>
        <v>2021</v>
      </c>
      <c r="F38" s="1000">
        <v>10298</v>
      </c>
      <c r="G38" s="1166">
        <f>'TAMUG FGD'!$M$23</f>
        <v>15298640</v>
      </c>
      <c r="H38" s="1167">
        <f>'TAMUG FGD'!$M$24</f>
        <v>0</v>
      </c>
      <c r="I38" s="1167">
        <f>'TAMUG FGD'!$M$25</f>
        <v>0</v>
      </c>
      <c r="J38" s="1167">
        <f>'TAMUG FGD'!$M$26</f>
        <v>-1109273</v>
      </c>
      <c r="K38" s="1167">
        <f>'TAMUG FGD'!$M$27</f>
        <v>0</v>
      </c>
      <c r="L38" s="1167">
        <f>'TAMUG FGD'!$M$28</f>
        <v>-1513697</v>
      </c>
      <c r="M38" s="1168">
        <f t="shared" si="2"/>
        <v>12675670</v>
      </c>
      <c r="N38" s="1000"/>
      <c r="O38" s="1166">
        <f>'TAMUG FGD'!$M$36</f>
        <v>10472586</v>
      </c>
      <c r="P38" s="1167">
        <f>'TAMUG FGD'!$M$37</f>
        <v>0</v>
      </c>
      <c r="Q38" s="1167">
        <f>'TAMUG FGD'!$M$38</f>
        <v>0</v>
      </c>
      <c r="R38" s="1167">
        <f>'TAMUG FGD'!$M$39</f>
        <v>-578986</v>
      </c>
      <c r="S38" s="1167">
        <f>'TAMUG FGD'!$M$40</f>
        <v>0</v>
      </c>
      <c r="T38" s="1167">
        <f>'TAMUG FGD'!$M$41</f>
        <v>-1216550</v>
      </c>
      <c r="U38" s="1168">
        <f t="shared" si="3"/>
        <v>8677050</v>
      </c>
      <c r="V38" s="1167"/>
      <c r="W38" s="1154">
        <f t="shared" si="4"/>
        <v>21352720</v>
      </c>
      <c r="X38" s="458"/>
      <c r="Y38" s="1155"/>
      <c r="Z38" s="1177"/>
    </row>
    <row r="39" spans="1:26">
      <c r="A39" s="480">
        <v>170</v>
      </c>
      <c r="B39" s="678">
        <v>4</v>
      </c>
      <c r="C39" s="68" t="s">
        <v>1132</v>
      </c>
      <c r="D39" s="53" t="s">
        <v>194</v>
      </c>
      <c r="E39" s="124">
        <f t="shared" si="1"/>
        <v>2021</v>
      </c>
      <c r="F39" s="1000">
        <v>11161</v>
      </c>
      <c r="G39" s="1166">
        <f>'TAMUCC FGD'!$M$23</f>
        <v>54070081</v>
      </c>
      <c r="H39" s="1167">
        <f>'TAMUCC FGD'!$M$24</f>
        <v>-160211</v>
      </c>
      <c r="I39" s="1167">
        <f>'TAMUCC FGD'!$M$25</f>
        <v>0</v>
      </c>
      <c r="J39" s="1167">
        <f>'TAMUCC FGD'!$M$26</f>
        <v>-4388489</v>
      </c>
      <c r="K39" s="1167">
        <f>'TAMUCC FGD'!$M$27</f>
        <v>0</v>
      </c>
      <c r="L39" s="1167">
        <f>'TAMUCC FGD'!$M$28</f>
        <v>-10367639</v>
      </c>
      <c r="M39" s="1168">
        <f t="shared" si="2"/>
        <v>39153742</v>
      </c>
      <c r="N39" s="1000"/>
      <c r="O39" s="1166">
        <f>'TAMUCC FGD'!$M$36</f>
        <v>59366040</v>
      </c>
      <c r="P39" s="1167">
        <f>'TAMUCC FGD'!$M$37</f>
        <v>0</v>
      </c>
      <c r="Q39" s="1167">
        <f>'TAMUCC FGD'!$M$38</f>
        <v>0</v>
      </c>
      <c r="R39" s="1167">
        <f>'TAMUCC FGD'!$M$39</f>
        <v>-5970259</v>
      </c>
      <c r="S39" s="1167">
        <f>'TAMUCC FGD'!$M$40</f>
        <v>0</v>
      </c>
      <c r="T39" s="1167">
        <f>'TAMUCC FGD'!$M$41</f>
        <v>-10407078</v>
      </c>
      <c r="U39" s="1168">
        <f t="shared" si="3"/>
        <v>42988703</v>
      </c>
      <c r="V39" s="1167"/>
      <c r="W39" s="1154">
        <f t="shared" si="4"/>
        <v>82142445</v>
      </c>
      <c r="X39" s="458"/>
      <c r="Y39" s="1155"/>
      <c r="Z39" s="1177"/>
    </row>
    <row r="40" spans="1:26">
      <c r="A40" s="480">
        <v>120</v>
      </c>
      <c r="B40" s="678">
        <v>5</v>
      </c>
      <c r="C40" s="68" t="s">
        <v>696</v>
      </c>
      <c r="D40" s="53" t="s">
        <v>196</v>
      </c>
      <c r="E40" s="124">
        <f t="shared" si="1"/>
        <v>2021</v>
      </c>
      <c r="F40" s="1000">
        <v>11163</v>
      </c>
      <c r="G40" s="1166">
        <f>'TYL FGD'!$M$23</f>
        <v>63594045</v>
      </c>
      <c r="H40" s="1167">
        <f>'TYL FGD'!$M$24</f>
        <v>0</v>
      </c>
      <c r="I40" s="1167">
        <f>'TYL FGD'!$M$25</f>
        <v>0</v>
      </c>
      <c r="J40" s="1167">
        <f>'TYL FGD'!$M$26</f>
        <v>-4147383</v>
      </c>
      <c r="K40" s="1167">
        <f>'TYL FGD'!$M$27</f>
        <v>0</v>
      </c>
      <c r="L40" s="1167">
        <f>'TYL FGD'!$M$28</f>
        <v>-23478301</v>
      </c>
      <c r="M40" s="1168">
        <f t="shared" si="2"/>
        <v>35968361</v>
      </c>
      <c r="N40" s="1000"/>
      <c r="O40" s="1166">
        <f>'TYL FGD'!$M$36</f>
        <v>23787690</v>
      </c>
      <c r="P40" s="1167">
        <f>'TYL FGD'!$M$37</f>
        <v>0</v>
      </c>
      <c r="Q40" s="1167">
        <f>'TYL FGD'!$M$38</f>
        <v>0</v>
      </c>
      <c r="R40" s="1167">
        <f>'TYL FGD'!$M$39</f>
        <v>-148737</v>
      </c>
      <c r="S40" s="1167">
        <f>'TYL FGD'!$M$40</f>
        <v>-2265399</v>
      </c>
      <c r="T40" s="1167">
        <f>'TYL FGD'!$M$41</f>
        <v>0</v>
      </c>
      <c r="U40" s="1168">
        <f t="shared" si="3"/>
        <v>21373554</v>
      </c>
      <c r="V40" s="1167"/>
      <c r="W40" s="1154">
        <f t="shared" si="4"/>
        <v>57341915</v>
      </c>
      <c r="X40" s="458"/>
      <c r="Y40" s="1155"/>
      <c r="Z40" s="1177"/>
    </row>
    <row r="41" spans="1:26">
      <c r="A41" s="480">
        <v>240</v>
      </c>
      <c r="B41" s="678">
        <v>5</v>
      </c>
      <c r="C41" s="68" t="s">
        <v>696</v>
      </c>
      <c r="D41" s="53" t="s">
        <v>198</v>
      </c>
      <c r="E41" s="124">
        <f t="shared" si="1"/>
        <v>2021</v>
      </c>
      <c r="F41" s="1000">
        <v>11711</v>
      </c>
      <c r="G41" s="1166">
        <f>'UHCL FGD'!$M$23</f>
        <v>60352111</v>
      </c>
      <c r="H41" s="1167">
        <f>'UHCL FGD'!$M$24</f>
        <v>0</v>
      </c>
      <c r="I41" s="1167">
        <f>'UHCL FGD'!$M$25</f>
        <v>0</v>
      </c>
      <c r="J41" s="1167">
        <f>'UHCL FGD'!$M$26</f>
        <v>-2022174</v>
      </c>
      <c r="K41" s="1167">
        <f>'UHCL FGD'!$M$27</f>
        <v>0</v>
      </c>
      <c r="L41" s="1167">
        <f>'UHCL FGD'!$M$28</f>
        <v>-14625774</v>
      </c>
      <c r="M41" s="1168">
        <f t="shared" si="2"/>
        <v>43704163</v>
      </c>
      <c r="N41" s="1000"/>
      <c r="O41" s="1166">
        <f>'UHCL FGD'!$M$36</f>
        <v>18560213</v>
      </c>
      <c r="P41" s="1167">
        <f>'UHCL FGD'!$M$37</f>
        <v>0</v>
      </c>
      <c r="Q41" s="1167">
        <f>'UHCL FGD'!$M$38</f>
        <v>0</v>
      </c>
      <c r="R41" s="1167">
        <f>'UHCL FGD'!$M$39</f>
        <v>-497426</v>
      </c>
      <c r="S41" s="1167">
        <f>'UHCL FGD'!$M$40</f>
        <v>0</v>
      </c>
      <c r="T41" s="1167">
        <f>'UHCL FGD'!$M$41</f>
        <v>-4430102</v>
      </c>
      <c r="U41" s="1168">
        <f t="shared" si="3"/>
        <v>13632685</v>
      </c>
      <c r="V41" s="1167"/>
      <c r="W41" s="1154">
        <f t="shared" si="4"/>
        <v>57336848</v>
      </c>
      <c r="X41" s="458"/>
      <c r="Y41" s="1155"/>
      <c r="Z41" s="1177"/>
    </row>
    <row r="42" spans="1:26">
      <c r="A42" s="480">
        <v>250</v>
      </c>
      <c r="B42" s="678">
        <v>5</v>
      </c>
      <c r="C42" s="68" t="s">
        <v>696</v>
      </c>
      <c r="D42" s="53" t="s">
        <v>200</v>
      </c>
      <c r="E42" s="124">
        <f t="shared" si="1"/>
        <v>2021</v>
      </c>
      <c r="F42" s="1000">
        <v>12826</v>
      </c>
      <c r="G42" s="1166">
        <f>'UHD FGD'!$M$23</f>
        <v>91427715</v>
      </c>
      <c r="H42" s="1167">
        <f>'UHD FGD'!$M$24</f>
        <v>0</v>
      </c>
      <c r="I42" s="1167">
        <f>'UHD FGD'!$M$25</f>
        <v>0</v>
      </c>
      <c r="J42" s="1167">
        <f>'UHD FGD'!$M$26</f>
        <v>-2043393</v>
      </c>
      <c r="K42" s="1167">
        <f>'UHD FGD'!$M$27</f>
        <v>0</v>
      </c>
      <c r="L42" s="1167">
        <f>'UHD FGD'!$M$28</f>
        <v>-33937584</v>
      </c>
      <c r="M42" s="1168">
        <f t="shared" si="2"/>
        <v>55446738</v>
      </c>
      <c r="N42" s="1000"/>
      <c r="O42" s="1166">
        <f>'UHD FGD'!$M$36</f>
        <v>27615579</v>
      </c>
      <c r="P42" s="1167">
        <f>'UHD FGD'!$M$37</f>
        <v>0</v>
      </c>
      <c r="Q42" s="1167">
        <f>'UHD FGD'!$M$38</f>
        <v>0</v>
      </c>
      <c r="R42" s="1167">
        <f>'UHD FGD'!$M$39</f>
        <v>-1848377</v>
      </c>
      <c r="S42" s="1167">
        <f>'UHD FGD'!$M$40</f>
        <v>0</v>
      </c>
      <c r="T42" s="1167">
        <f>'UHD FGD'!$M$41</f>
        <v>-9124930</v>
      </c>
      <c r="U42" s="1168">
        <f t="shared" si="3"/>
        <v>16642272</v>
      </c>
      <c r="V42" s="1167"/>
      <c r="W42" s="1154">
        <f t="shared" si="4"/>
        <v>72089010</v>
      </c>
      <c r="X42" s="458"/>
      <c r="Y42" s="1155"/>
      <c r="Z42" s="1177"/>
    </row>
    <row r="43" spans="1:26">
      <c r="A43" s="480">
        <v>260</v>
      </c>
      <c r="B43" s="678">
        <v>5</v>
      </c>
      <c r="C43" s="68" t="s">
        <v>696</v>
      </c>
      <c r="D43" s="53" t="s">
        <v>202</v>
      </c>
      <c r="E43" s="124">
        <f t="shared" si="1"/>
        <v>2021</v>
      </c>
      <c r="F43" s="1000">
        <v>13231</v>
      </c>
      <c r="G43" s="1166">
        <f>'UHV FGD'!$M$23</f>
        <v>25209249</v>
      </c>
      <c r="H43" s="1167">
        <f>'UHV FGD'!$M$24</f>
        <v>0</v>
      </c>
      <c r="I43" s="1167">
        <f>'UHV FGD'!$M$25</f>
        <v>0</v>
      </c>
      <c r="J43" s="1167">
        <f>'UHV FGD'!$M$26</f>
        <v>-1202254</v>
      </c>
      <c r="K43" s="1167">
        <f>'UHV FGD'!$M$27</f>
        <v>0</v>
      </c>
      <c r="L43" s="1167">
        <f>'UHV FGD'!$M$28</f>
        <v>-5528404</v>
      </c>
      <c r="M43" s="1168">
        <f t="shared" si="2"/>
        <v>18478591</v>
      </c>
      <c r="N43" s="1000"/>
      <c r="O43" s="1166">
        <f>'UHV FGD'!$M$36</f>
        <v>11358014</v>
      </c>
      <c r="P43" s="1167">
        <f>'UHV FGD'!$M$37</f>
        <v>0</v>
      </c>
      <c r="Q43" s="1167">
        <f>'UHV FGD'!$M$38</f>
        <v>0</v>
      </c>
      <c r="R43" s="1167">
        <f>'UHV FGD'!$M$39</f>
        <v>-422632</v>
      </c>
      <c r="S43" s="1167">
        <f>'UHV FGD'!$M$40</f>
        <v>0</v>
      </c>
      <c r="T43" s="1167">
        <f>'UHV FGD'!$M$41</f>
        <v>-2609635</v>
      </c>
      <c r="U43" s="1168">
        <f t="shared" si="3"/>
        <v>8325747</v>
      </c>
      <c r="V43" s="1167"/>
      <c r="W43" s="1154">
        <f t="shared" si="4"/>
        <v>26804338</v>
      </c>
      <c r="X43" s="458"/>
      <c r="Y43" s="1155"/>
      <c r="Z43" s="1177"/>
    </row>
    <row r="44" spans="1:26">
      <c r="A44" s="480">
        <v>220</v>
      </c>
      <c r="B44" s="678">
        <v>5</v>
      </c>
      <c r="C44" s="68" t="s">
        <v>696</v>
      </c>
      <c r="D44" s="53" t="s">
        <v>204</v>
      </c>
      <c r="E44" s="124">
        <f t="shared" si="1"/>
        <v>2021</v>
      </c>
      <c r="F44" s="1000">
        <v>29269</v>
      </c>
      <c r="G44" s="1166">
        <f>'TAMUT FGD'!$M$23</f>
        <v>10534302</v>
      </c>
      <c r="H44" s="1167">
        <f>'TAMUT FGD'!$M$24</f>
        <v>0</v>
      </c>
      <c r="I44" s="1167">
        <f>'TAMUT FGD'!$M$25</f>
        <v>0</v>
      </c>
      <c r="J44" s="1167">
        <f>'TAMUT FGD'!$M$26</f>
        <v>-602126</v>
      </c>
      <c r="K44" s="1167">
        <f>'TAMUT FGD'!$M$27</f>
        <v>0</v>
      </c>
      <c r="L44" s="1167">
        <f>'TAMUT FGD'!$M$28</f>
        <v>-2283130</v>
      </c>
      <c r="M44" s="1168">
        <f t="shared" si="2"/>
        <v>7649046</v>
      </c>
      <c r="N44" s="1000"/>
      <c r="O44" s="1166">
        <f>'TAMUT FGD'!$M$36</f>
        <v>5112838</v>
      </c>
      <c r="P44" s="1167">
        <f>'TAMUT FGD'!$M$37</f>
        <v>0</v>
      </c>
      <c r="Q44" s="1167">
        <f>'TAMUT FGD'!$M$38</f>
        <v>0</v>
      </c>
      <c r="R44" s="1167">
        <f>'TAMUT FGD'!$M$39</f>
        <v>-283785</v>
      </c>
      <c r="S44" s="1167">
        <f>'TAMUT FGD'!$M$40</f>
        <v>0</v>
      </c>
      <c r="T44" s="1167">
        <f>'TAMUT FGD'!$M$41</f>
        <v>-1116578</v>
      </c>
      <c r="U44" s="1168">
        <f t="shared" si="3"/>
        <v>3712475</v>
      </c>
      <c r="V44" s="1167"/>
      <c r="W44" s="1154">
        <f t="shared" si="4"/>
        <v>11361521</v>
      </c>
      <c r="X44" s="458"/>
      <c r="Y44" s="1155"/>
      <c r="Z44" s="1177"/>
    </row>
    <row r="45" spans="1:26">
      <c r="A45" s="480">
        <v>223</v>
      </c>
      <c r="B45" s="678">
        <v>4</v>
      </c>
      <c r="C45" s="68" t="s">
        <v>1132</v>
      </c>
      <c r="D45" s="53" t="s">
        <v>278</v>
      </c>
      <c r="E45" s="124">
        <f t="shared" si="1"/>
        <v>2021</v>
      </c>
      <c r="F45" s="1000">
        <v>42295</v>
      </c>
      <c r="G45" s="1166">
        <f>'TAMUCT FGD'!$M$23</f>
        <v>11764600</v>
      </c>
      <c r="H45" s="1167">
        <f>'TAMUCT FGD'!$M$24</f>
        <v>0</v>
      </c>
      <c r="I45" s="1167">
        <f>'TAMUCT FGD'!$M$25</f>
        <v>0</v>
      </c>
      <c r="J45" s="1167">
        <f>'TAMUCT FGD'!$M$26</f>
        <v>-1567660</v>
      </c>
      <c r="K45" s="1167">
        <f>'TAMUCT FGD'!$M$27</f>
        <v>0</v>
      </c>
      <c r="L45" s="1167">
        <f>'TAMUCT FGD'!$M$28</f>
        <v>-1421672</v>
      </c>
      <c r="M45" s="1168">
        <f t="shared" si="2"/>
        <v>8775268</v>
      </c>
      <c r="N45" s="1000"/>
      <c r="O45" s="1166">
        <f>'TAMUCT FGD'!$M$36</f>
        <v>5208319</v>
      </c>
      <c r="P45" s="1167">
        <f>'TAMUCT FGD'!$M$37</f>
        <v>0</v>
      </c>
      <c r="Q45" s="1167">
        <f>'TAMUCT FGD'!$M$38</f>
        <v>0</v>
      </c>
      <c r="R45" s="1167">
        <f>'TAMUCT FGD'!$M$39</f>
        <v>0</v>
      </c>
      <c r="S45" s="1167">
        <f>'TAMUCT FGD'!$M$40</f>
        <v>0</v>
      </c>
      <c r="T45" s="1167">
        <f>'TAMUCT FGD'!$M$41</f>
        <v>-1323188</v>
      </c>
      <c r="U45" s="1168">
        <f t="shared" si="3"/>
        <v>3885131</v>
      </c>
      <c r="V45" s="1167"/>
      <c r="W45" s="1154">
        <f t="shared" si="4"/>
        <v>12660399</v>
      </c>
      <c r="X45" s="458"/>
      <c r="Y45" s="1155"/>
      <c r="Z45" s="1177"/>
    </row>
    <row r="46" spans="1:26">
      <c r="A46" s="480">
        <v>333</v>
      </c>
      <c r="B46" s="678">
        <v>4</v>
      </c>
      <c r="C46" s="68" t="s">
        <v>1132</v>
      </c>
      <c r="D46" s="56" t="s">
        <v>276</v>
      </c>
      <c r="E46" s="124">
        <f t="shared" si="1"/>
        <v>2021</v>
      </c>
      <c r="F46" s="1001">
        <v>42421</v>
      </c>
      <c r="G46" s="1166">
        <f>'UNTD FGD'!$M$23</f>
        <v>31279897</v>
      </c>
      <c r="H46" s="1167">
        <f>'UNTD FGD'!$M$24</f>
        <v>0</v>
      </c>
      <c r="I46" s="1167">
        <f>'UNTD FGD'!$M$25</f>
        <v>0</v>
      </c>
      <c r="J46" s="1167">
        <f>'UNTD FGD'!$M$26</f>
        <v>0</v>
      </c>
      <c r="K46" s="1167">
        <f>'UNTD FGD'!$M$27</f>
        <v>0</v>
      </c>
      <c r="L46" s="1167">
        <f>'UNTD FGD'!$M$28</f>
        <v>-7385299</v>
      </c>
      <c r="M46" s="1168">
        <f t="shared" si="2"/>
        <v>23894598</v>
      </c>
      <c r="N46" s="1000"/>
      <c r="O46" s="1166">
        <f>'UNTD FGD'!$M$36</f>
        <v>6466914</v>
      </c>
      <c r="P46" s="1167">
        <f>'UNTD FGD'!$M$37</f>
        <v>0</v>
      </c>
      <c r="Q46" s="1167">
        <f>'UNTD FGD'!$M$38</f>
        <v>0</v>
      </c>
      <c r="R46" s="1167">
        <f>'UNTD FGD'!$M$39</f>
        <v>0</v>
      </c>
      <c r="S46" s="1167">
        <f>'UNTD FGD'!$M$40</f>
        <v>0</v>
      </c>
      <c r="T46" s="1167">
        <f>'UNTD FGD'!$M$41</f>
        <v>0</v>
      </c>
      <c r="U46" s="1168">
        <f t="shared" si="3"/>
        <v>6466914</v>
      </c>
      <c r="V46" s="1167"/>
      <c r="W46" s="1154">
        <f t="shared" si="4"/>
        <v>30361512</v>
      </c>
      <c r="X46" s="458"/>
      <c r="Y46" s="1155"/>
      <c r="Z46" s="1177"/>
    </row>
    <row r="47" spans="1:26" s="56" customFormat="1">
      <c r="A47" s="210">
        <v>226</v>
      </c>
      <c r="B47" s="1038">
        <v>4</v>
      </c>
      <c r="C47" s="67" t="s">
        <v>1132</v>
      </c>
      <c r="D47" s="56" t="s">
        <v>279</v>
      </c>
      <c r="E47" s="669">
        <f t="shared" si="1"/>
        <v>2021</v>
      </c>
      <c r="F47" s="1001">
        <v>103639</v>
      </c>
      <c r="G47" s="1166">
        <f>'TAMUSA FGD'!$M$23</f>
        <v>23972080</v>
      </c>
      <c r="H47" s="1167">
        <f>'TAMUSA FGD'!$M$24</f>
        <v>0</v>
      </c>
      <c r="I47" s="1167">
        <f>'TAMUSA FGD'!$M$25</f>
        <v>0</v>
      </c>
      <c r="J47" s="1167">
        <f>'TAMUSA FGD'!$M$26</f>
        <v>-2282902</v>
      </c>
      <c r="K47" s="1167">
        <f>'TAMUSA FGD'!$M$27</f>
        <v>0</v>
      </c>
      <c r="L47" s="1167">
        <f>'TAMUSA FGD'!$M$28</f>
        <v>-5857646</v>
      </c>
      <c r="M47" s="1168">
        <f t="shared" si="2"/>
        <v>15831532</v>
      </c>
      <c r="N47" s="1000"/>
      <c r="O47" s="1166">
        <f>'TAMUSA FGD'!$M$36</f>
        <v>21099934</v>
      </c>
      <c r="P47" s="1167">
        <f>'TAMUSA FGD'!$M$37</f>
        <v>0</v>
      </c>
      <c r="Q47" s="1167">
        <f>'TAMUSA FGD'!$M$38</f>
        <v>0</v>
      </c>
      <c r="R47" s="1167">
        <f>'TAMUSA FGD'!$M$39</f>
        <v>-1689415</v>
      </c>
      <c r="S47" s="1167">
        <f>'TAMUSA FGD'!$M$40</f>
        <v>0</v>
      </c>
      <c r="T47" s="1167">
        <f>'TAMUSA FGD'!$M$41</f>
        <v>-5745677</v>
      </c>
      <c r="U47" s="1168">
        <f t="shared" si="3"/>
        <v>13664842</v>
      </c>
      <c r="V47" s="1167"/>
      <c r="W47" s="1154">
        <f t="shared" si="4"/>
        <v>29496374</v>
      </c>
      <c r="X47" s="458"/>
      <c r="Y47" s="1155"/>
      <c r="Z47" s="1177"/>
    </row>
    <row r="48" spans="1:26">
      <c r="B48" s="678"/>
      <c r="C48" s="68"/>
      <c r="D48" s="133"/>
      <c r="E48" s="124"/>
      <c r="F48" s="1002"/>
      <c r="G48" s="1169"/>
      <c r="H48" s="1002"/>
      <c r="I48" s="1002"/>
      <c r="J48" s="1002"/>
      <c r="K48" s="1002"/>
      <c r="L48" s="1002"/>
      <c r="M48" s="1170"/>
      <c r="N48" s="1002"/>
      <c r="O48" s="1169"/>
      <c r="P48" s="1002"/>
      <c r="Q48" s="1002"/>
      <c r="R48" s="1002"/>
      <c r="S48" s="1002"/>
      <c r="T48" s="1002"/>
      <c r="U48" s="1170"/>
      <c r="V48" s="1002"/>
      <c r="W48" s="1156"/>
      <c r="X48" s="458"/>
      <c r="Y48" s="1155"/>
      <c r="Z48" s="1177"/>
    </row>
    <row r="49" spans="1:25" ht="13.5" thickBot="1">
      <c r="A49" s="139"/>
      <c r="B49" s="139"/>
      <c r="C49" s="139"/>
      <c r="D49" s="140" t="s">
        <v>207</v>
      </c>
      <c r="E49" s="795">
        <f t="shared" si="0"/>
        <v>2021</v>
      </c>
      <c r="F49" s="911">
        <v>445566</v>
      </c>
      <c r="G49" s="1171">
        <f t="shared" ref="G49:M49" si="5">SUM(G12:G48)</f>
        <v>5146234493</v>
      </c>
      <c r="H49" s="1172">
        <f t="shared" si="5"/>
        <v>-11359325</v>
      </c>
      <c r="I49" s="1172">
        <f t="shared" si="5"/>
        <v>-53928</v>
      </c>
      <c r="J49" s="1172">
        <f t="shared" si="5"/>
        <v>-225346507</v>
      </c>
      <c r="K49" s="1172">
        <f t="shared" si="5"/>
        <v>-3345255</v>
      </c>
      <c r="L49" s="1172">
        <f t="shared" si="5"/>
        <v>-1233856951</v>
      </c>
      <c r="M49" s="1173">
        <f t="shared" si="5"/>
        <v>3672272527</v>
      </c>
      <c r="N49" s="1174"/>
      <c r="O49" s="1171">
        <f>SUM(O12:O48)</f>
        <v>2162493831</v>
      </c>
      <c r="P49" s="1172">
        <f t="shared" ref="P49:U49" si="6">SUM(P12:P48)</f>
        <v>-886939</v>
      </c>
      <c r="Q49" s="1172">
        <f t="shared" si="6"/>
        <v>-2325</v>
      </c>
      <c r="R49" s="1172">
        <f t="shared" si="6"/>
        <v>-93948026</v>
      </c>
      <c r="S49" s="1172">
        <f t="shared" si="6"/>
        <v>-3412323</v>
      </c>
      <c r="T49" s="1172">
        <f t="shared" si="6"/>
        <v>-534990502</v>
      </c>
      <c r="U49" s="1173">
        <f t="shared" si="6"/>
        <v>1529253716</v>
      </c>
      <c r="V49" s="1172"/>
      <c r="W49" s="1157">
        <f>SUM(W12:W48)</f>
        <v>5201526243</v>
      </c>
      <c r="X49" s="458"/>
      <c r="Y49" s="1155"/>
    </row>
    <row r="50" spans="1:25" s="114" customFormat="1" ht="14.25" thickTop="1" thickBot="1">
      <c r="A50" s="145"/>
      <c r="B50" s="145"/>
      <c r="C50" s="145"/>
      <c r="E50" s="139">
        <f>COUNTA(E12:E48)</f>
        <v>36</v>
      </c>
      <c r="X50" s="797"/>
      <c r="Y50" s="1155"/>
    </row>
    <row r="51" spans="1:25" s="114" customFormat="1" ht="13.5" thickTop="1">
      <c r="A51" s="145"/>
      <c r="C51" s="145"/>
      <c r="X51" s="356"/>
      <c r="Y51" s="356"/>
    </row>
    <row r="52" spans="1:25" s="114" customFormat="1">
      <c r="A52" s="145"/>
      <c r="C52" s="145"/>
      <c r="X52" s="798"/>
      <c r="Y52" s="798"/>
    </row>
    <row r="53" spans="1:25" s="114" customFormat="1">
      <c r="A53" s="145"/>
      <c r="B53" s="145"/>
      <c r="C53" s="145"/>
      <c r="E53" s="114" t="s">
        <v>2119</v>
      </c>
      <c r="X53" s="354"/>
      <c r="Y53" s="354"/>
    </row>
    <row r="54" spans="1:25" s="114" customFormat="1">
      <c r="A54" s="145"/>
      <c r="B54" s="145"/>
      <c r="C54" s="145"/>
      <c r="D54" s="146"/>
      <c r="X54" s="354"/>
      <c r="Y54" s="354"/>
    </row>
    <row r="55" spans="1:25" s="114" customFormat="1">
      <c r="A55" s="145"/>
      <c r="B55" s="145"/>
      <c r="C55" s="145"/>
      <c r="X55" s="354"/>
      <c r="Y55" s="354"/>
    </row>
    <row r="56" spans="1:25" s="114" customFormat="1">
      <c r="A56" s="145"/>
      <c r="B56" s="145"/>
      <c r="C56" s="145"/>
    </row>
    <row r="57" spans="1:25" s="114" customFormat="1">
      <c r="A57" s="145"/>
      <c r="B57" s="145"/>
      <c r="C57" s="145"/>
      <c r="X57" s="146"/>
      <c r="Y57" s="146"/>
    </row>
    <row r="58" spans="1:25" s="114" customFormat="1">
      <c r="A58" s="145"/>
      <c r="B58" s="145"/>
      <c r="C58" s="145"/>
    </row>
    <row r="59" spans="1:25" s="114" customFormat="1">
      <c r="A59" s="145"/>
      <c r="B59" s="145"/>
      <c r="C59" s="145"/>
      <c r="G59" s="153"/>
      <c r="M59" s="153">
        <f>'Smmy FGD'!$M$677</f>
        <v>3672272527</v>
      </c>
      <c r="U59" s="153">
        <f>'Smmy FGD'!$M$1122</f>
        <v>1529253716</v>
      </c>
      <c r="W59" s="1176">
        <f>'Smmy FGD'!M1160</f>
        <v>5201526243</v>
      </c>
    </row>
    <row r="60" spans="1:25" s="114" customFormat="1">
      <c r="A60" s="145"/>
      <c r="B60" s="145"/>
      <c r="C60" s="145"/>
      <c r="G60" s="153"/>
      <c r="M60" s="153">
        <f>M59-M49</f>
        <v>0</v>
      </c>
      <c r="U60" s="153">
        <f>U59-U49</f>
        <v>0</v>
      </c>
      <c r="W60" s="153">
        <f>W59-W49</f>
        <v>0</v>
      </c>
    </row>
    <row r="61" spans="1:25" s="114" customFormat="1">
      <c r="A61" s="145"/>
      <c r="B61" s="145"/>
      <c r="C61" s="145"/>
      <c r="W61" s="151"/>
    </row>
    <row r="62" spans="1:25" s="114" customFormat="1">
      <c r="A62" s="145"/>
      <c r="B62" s="145"/>
      <c r="C62" s="145"/>
      <c r="W62" s="151"/>
    </row>
    <row r="63" spans="1:25" s="114" customFormat="1">
      <c r="A63" s="145"/>
      <c r="B63" s="145"/>
      <c r="C63" s="145"/>
      <c r="W63" s="151"/>
    </row>
    <row r="64" spans="1:25" s="114" customFormat="1">
      <c r="A64" s="145"/>
      <c r="B64" s="145"/>
      <c r="C64" s="145"/>
    </row>
    <row r="65" spans="1:25" s="114" customFormat="1">
      <c r="A65" s="145"/>
      <c r="B65" s="145"/>
      <c r="C65" s="145"/>
    </row>
    <row r="66" spans="1:25" s="114" customFormat="1">
      <c r="A66" s="145"/>
      <c r="B66" s="145"/>
      <c r="C66" s="145"/>
      <c r="M66" s="665" t="str">
        <f>IF(SUM(M12:M48)&lt;&gt;'Smmy FGD'!$M$677,"Error","Balanced")</f>
        <v>Balanced</v>
      </c>
      <c r="U66" s="665" t="str">
        <f>IF(SUM(U12:U48)&lt;&gt;'Smmy FGD'!$M$1122,"Error","Balanced")</f>
        <v>Balanced</v>
      </c>
      <c r="V66" s="665"/>
      <c r="W66" s="665" t="str">
        <f>IF(SUM(W12:W48)&lt;&gt;'Smmy FGD'!$M$1160,"Error","Balanced")</f>
        <v>Balanced</v>
      </c>
    </row>
    <row r="67" spans="1:25" s="114" customFormat="1">
      <c r="A67" s="145"/>
      <c r="B67" s="145"/>
      <c r="C67" s="145"/>
    </row>
    <row r="68" spans="1:25" s="114" customFormat="1">
      <c r="A68" s="145"/>
      <c r="B68" s="145"/>
      <c r="C68" s="145"/>
      <c r="W68" s="145"/>
    </row>
    <row r="69" spans="1:25" s="114" customFormat="1">
      <c r="A69" s="145"/>
      <c r="B69" s="145"/>
      <c r="C69" s="145"/>
    </row>
    <row r="70" spans="1:25" s="114" customFormat="1">
      <c r="A70" s="145"/>
      <c r="B70" s="145"/>
      <c r="C70" s="145"/>
    </row>
    <row r="71" spans="1:25" s="114" customFormat="1">
      <c r="A71" s="145"/>
      <c r="B71" s="145"/>
      <c r="C71" s="145"/>
      <c r="D71" s="814"/>
      <c r="F71" s="857"/>
      <c r="G71" s="857"/>
      <c r="H71" s="857"/>
      <c r="I71" s="857"/>
      <c r="J71" s="857"/>
      <c r="K71" s="857"/>
      <c r="L71" s="857"/>
      <c r="M71" s="857"/>
      <c r="N71" s="857"/>
      <c r="O71" s="857"/>
      <c r="P71" s="857"/>
      <c r="Q71" s="857"/>
      <c r="R71" s="857"/>
      <c r="S71" s="857"/>
      <c r="T71" s="857"/>
      <c r="U71" s="857"/>
      <c r="V71" s="857"/>
      <c r="W71" s="857"/>
      <c r="X71" s="145"/>
      <c r="Y71" s="145"/>
    </row>
    <row r="72" spans="1:25" s="114" customFormat="1">
      <c r="A72" s="145"/>
      <c r="B72" s="145"/>
      <c r="C72" s="145"/>
    </row>
    <row r="73" spans="1:25" s="114" customFormat="1">
      <c r="A73" s="145"/>
      <c r="B73" s="145"/>
      <c r="C73" s="145"/>
    </row>
    <row r="74" spans="1:25" s="114" customFormat="1">
      <c r="A74" s="145"/>
      <c r="B74" s="145"/>
      <c r="C74" s="145"/>
      <c r="F74" s="153"/>
      <c r="G74" s="153"/>
      <c r="H74" s="153"/>
      <c r="I74" s="153"/>
      <c r="J74" s="153"/>
      <c r="K74" s="153"/>
      <c r="L74" s="153"/>
      <c r="M74" s="153"/>
      <c r="N74" s="153"/>
      <c r="O74" s="153"/>
      <c r="P74" s="153"/>
      <c r="Q74" s="153"/>
      <c r="R74" s="153"/>
      <c r="S74" s="153"/>
      <c r="T74" s="153"/>
      <c r="U74" s="153"/>
      <c r="V74" s="153"/>
      <c r="W74" s="153"/>
      <c r="Y74" s="913"/>
    </row>
    <row r="75" spans="1:25" s="114" customFormat="1">
      <c r="A75" s="145"/>
      <c r="B75" s="145"/>
      <c r="C75" s="145"/>
      <c r="Y75" s="913"/>
    </row>
    <row r="76" spans="1:25" s="114" customFormat="1">
      <c r="A76" s="145"/>
      <c r="B76" s="145"/>
      <c r="C76" s="145"/>
      <c r="Y76" s="913"/>
    </row>
    <row r="77" spans="1:25" s="114" customFormat="1">
      <c r="A77" s="145"/>
      <c r="B77" s="145"/>
      <c r="C77" s="145"/>
      <c r="Y77" s="913"/>
    </row>
    <row r="78" spans="1:25" s="114" customFormat="1">
      <c r="A78" s="145"/>
      <c r="B78" s="145"/>
      <c r="C78" s="145"/>
    </row>
    <row r="79" spans="1:25" s="114" customFormat="1">
      <c r="A79" s="145"/>
      <c r="B79" s="145"/>
      <c r="C79" s="145"/>
    </row>
    <row r="80" spans="1:25" s="114" customFormat="1">
      <c r="A80" s="145"/>
      <c r="B80" s="145"/>
      <c r="C80" s="145"/>
    </row>
    <row r="81" spans="1:3" s="114" customFormat="1">
      <c r="A81" s="145"/>
      <c r="B81" s="145"/>
      <c r="C81" s="145"/>
    </row>
    <row r="82" spans="1:3" s="114" customFormat="1">
      <c r="A82" s="145"/>
      <c r="B82" s="145"/>
      <c r="C82" s="145"/>
    </row>
    <row r="83" spans="1:3" s="114" customFormat="1">
      <c r="A83" s="145"/>
      <c r="B83" s="145"/>
      <c r="C83" s="145"/>
    </row>
    <row r="84" spans="1:3" s="114" customFormat="1">
      <c r="A84" s="145"/>
      <c r="B84" s="145"/>
      <c r="C84" s="145"/>
    </row>
    <row r="85" spans="1:3" s="114" customFormat="1">
      <c r="A85" s="145"/>
      <c r="B85" s="145"/>
      <c r="C85" s="145"/>
    </row>
    <row r="86" spans="1:3" s="114" customFormat="1">
      <c r="A86" s="145"/>
      <c r="B86" s="145"/>
      <c r="C86" s="145"/>
    </row>
    <row r="87" spans="1:3" s="114" customFormat="1">
      <c r="A87" s="145"/>
      <c r="B87" s="145"/>
      <c r="C87" s="145"/>
    </row>
    <row r="88" spans="1:3" s="114" customFormat="1">
      <c r="A88" s="145"/>
      <c r="B88" s="145"/>
      <c r="C88" s="145"/>
    </row>
    <row r="89" spans="1:3" s="114" customFormat="1">
      <c r="A89" s="145"/>
      <c r="B89" s="145"/>
      <c r="C89" s="145"/>
    </row>
    <row r="90" spans="1:3" s="114" customFormat="1">
      <c r="A90" s="145"/>
      <c r="B90" s="145"/>
      <c r="C90" s="145"/>
    </row>
    <row r="91" spans="1:3" s="114" customFormat="1">
      <c r="A91" s="145"/>
      <c r="B91" s="145"/>
      <c r="C91" s="145"/>
    </row>
    <row r="92" spans="1:3" s="114" customFormat="1">
      <c r="A92" s="145"/>
      <c r="B92" s="145"/>
      <c r="C92" s="145"/>
    </row>
    <row r="93" spans="1:3" s="114" customFormat="1">
      <c r="A93" s="145"/>
      <c r="B93" s="145"/>
      <c r="C93" s="145"/>
    </row>
    <row r="94" spans="1:3" s="114" customFormat="1">
      <c r="A94" s="145"/>
      <c r="B94" s="145"/>
      <c r="C94" s="145"/>
    </row>
    <row r="95" spans="1:3" s="114" customFormat="1">
      <c r="A95" s="145"/>
      <c r="B95" s="145"/>
      <c r="C95" s="145"/>
    </row>
    <row r="96" spans="1:3" s="114" customFormat="1">
      <c r="A96" s="145"/>
      <c r="B96" s="145"/>
      <c r="C96" s="145"/>
    </row>
    <row r="97" spans="1:3" s="114" customFormat="1">
      <c r="A97" s="145"/>
      <c r="B97" s="145"/>
      <c r="C97" s="145"/>
    </row>
    <row r="98" spans="1:3" s="114" customFormat="1">
      <c r="A98" s="145"/>
      <c r="B98" s="145"/>
      <c r="C98" s="145"/>
    </row>
    <row r="99" spans="1:3" s="114" customFormat="1">
      <c r="A99" s="145"/>
      <c r="B99" s="145"/>
      <c r="C99" s="145"/>
    </row>
    <row r="100" spans="1:3" s="114" customFormat="1">
      <c r="A100" s="145"/>
      <c r="B100" s="145"/>
      <c r="C100" s="145"/>
    </row>
    <row r="101" spans="1:3" s="114" customFormat="1">
      <c r="A101" s="145"/>
      <c r="B101" s="145"/>
      <c r="C101" s="145"/>
    </row>
    <row r="102" spans="1:3" s="114" customFormat="1">
      <c r="A102" s="145"/>
      <c r="B102" s="145"/>
      <c r="C102" s="145"/>
    </row>
    <row r="103" spans="1:3" s="114" customFormat="1">
      <c r="A103" s="145"/>
      <c r="B103" s="145"/>
      <c r="C103" s="145"/>
    </row>
    <row r="104" spans="1:3" s="114" customFormat="1">
      <c r="A104" s="145"/>
      <c r="B104" s="145"/>
      <c r="C104" s="145"/>
    </row>
    <row r="105" spans="1:3" s="114" customFormat="1">
      <c r="A105" s="145"/>
      <c r="B105" s="145"/>
      <c r="C105" s="145"/>
    </row>
    <row r="106" spans="1:3" s="114" customFormat="1">
      <c r="A106" s="145"/>
      <c r="B106" s="145"/>
      <c r="C106" s="145"/>
    </row>
    <row r="107" spans="1:3" s="114" customFormat="1">
      <c r="A107" s="145"/>
      <c r="B107" s="145"/>
      <c r="C107" s="145"/>
    </row>
    <row r="108" spans="1:3" s="114" customFormat="1">
      <c r="A108" s="145"/>
      <c r="B108" s="145"/>
      <c r="C108" s="145"/>
    </row>
    <row r="109" spans="1:3" s="114" customFormat="1">
      <c r="A109" s="145"/>
      <c r="B109" s="145"/>
      <c r="C109" s="145"/>
    </row>
    <row r="110" spans="1:3" s="114" customFormat="1">
      <c r="A110" s="145"/>
      <c r="B110" s="145"/>
      <c r="C110" s="145"/>
    </row>
    <row r="111" spans="1:3" s="114" customFormat="1">
      <c r="A111" s="145"/>
      <c r="B111" s="145"/>
      <c r="C111" s="145"/>
    </row>
    <row r="112" spans="1:3" s="114" customFormat="1">
      <c r="A112" s="145"/>
      <c r="B112" s="145"/>
      <c r="C112" s="145"/>
    </row>
    <row r="113" spans="1:3" s="114" customFormat="1">
      <c r="A113" s="145"/>
      <c r="B113" s="145"/>
      <c r="C113" s="145"/>
    </row>
    <row r="114" spans="1:3" s="114" customFormat="1">
      <c r="A114" s="145"/>
      <c r="B114" s="145"/>
      <c r="C114" s="145"/>
    </row>
    <row r="115" spans="1:3" s="114" customFormat="1">
      <c r="A115" s="145"/>
      <c r="B115" s="145"/>
      <c r="C115" s="145"/>
    </row>
    <row r="116" spans="1:3" s="114" customFormat="1">
      <c r="A116" s="145"/>
      <c r="B116" s="145"/>
      <c r="C116" s="145"/>
    </row>
    <row r="117" spans="1:3" s="114" customFormat="1">
      <c r="A117" s="145"/>
      <c r="B117" s="145"/>
      <c r="C117" s="145"/>
    </row>
    <row r="118" spans="1:3" s="114" customFormat="1">
      <c r="A118" s="145"/>
      <c r="B118" s="145"/>
      <c r="C118" s="145"/>
    </row>
    <row r="119" spans="1:3" s="114" customFormat="1">
      <c r="A119" s="145"/>
      <c r="B119" s="145"/>
      <c r="C119" s="145"/>
    </row>
    <row r="120" spans="1:3" s="114" customFormat="1">
      <c r="A120" s="145"/>
      <c r="B120" s="145"/>
      <c r="C120" s="145"/>
    </row>
    <row r="121" spans="1:3" s="114" customFormat="1">
      <c r="A121" s="145"/>
      <c r="B121" s="145"/>
      <c r="C121" s="145"/>
    </row>
    <row r="122" spans="1:3" s="114" customFormat="1">
      <c r="A122" s="145"/>
      <c r="B122" s="145"/>
      <c r="C122" s="145"/>
    </row>
    <row r="123" spans="1:3" s="114" customFormat="1">
      <c r="A123" s="145"/>
      <c r="B123" s="145"/>
      <c r="C123" s="145"/>
    </row>
    <row r="124" spans="1:3" s="114" customFormat="1">
      <c r="A124" s="145"/>
      <c r="B124" s="145"/>
      <c r="C124" s="145"/>
    </row>
    <row r="125" spans="1:3" s="114" customFormat="1">
      <c r="A125" s="145"/>
      <c r="B125" s="145"/>
      <c r="C125" s="145"/>
    </row>
    <row r="126" spans="1:3" s="114" customFormat="1">
      <c r="A126" s="145"/>
      <c r="B126" s="145"/>
      <c r="C126" s="145"/>
    </row>
    <row r="127" spans="1:3" s="114" customFormat="1">
      <c r="A127" s="145"/>
      <c r="B127" s="145"/>
      <c r="C127" s="145"/>
    </row>
    <row r="128" spans="1:3" s="114" customFormat="1">
      <c r="A128" s="145"/>
      <c r="B128" s="145"/>
      <c r="C128" s="145"/>
    </row>
    <row r="129" spans="1:3" s="114" customFormat="1">
      <c r="A129" s="145"/>
      <c r="B129" s="145"/>
      <c r="C129" s="145"/>
    </row>
    <row r="130" spans="1:3" s="114" customFormat="1">
      <c r="A130" s="145"/>
      <c r="B130" s="145"/>
      <c r="C130" s="145"/>
    </row>
    <row r="131" spans="1:3" s="114" customFormat="1">
      <c r="A131" s="145"/>
      <c r="B131" s="145"/>
      <c r="C131" s="145"/>
    </row>
    <row r="132" spans="1:3" s="114" customFormat="1">
      <c r="A132" s="145"/>
      <c r="B132" s="145"/>
      <c r="C132" s="145"/>
    </row>
    <row r="133" spans="1:3" s="114" customFormat="1">
      <c r="A133" s="145"/>
      <c r="B133" s="145"/>
      <c r="C133" s="145"/>
    </row>
    <row r="134" spans="1:3" s="114" customFormat="1">
      <c r="A134" s="145"/>
      <c r="B134" s="145"/>
      <c r="C134" s="145"/>
    </row>
    <row r="135" spans="1:3" s="114" customFormat="1">
      <c r="A135" s="145"/>
      <c r="B135" s="145"/>
      <c r="C135" s="145"/>
    </row>
    <row r="136" spans="1:3" s="114" customFormat="1">
      <c r="A136" s="145"/>
      <c r="B136" s="145"/>
      <c r="C136" s="145"/>
    </row>
    <row r="137" spans="1:3" s="114" customFormat="1">
      <c r="A137" s="145"/>
      <c r="B137" s="145"/>
      <c r="C137" s="145"/>
    </row>
    <row r="138" spans="1:3" s="114" customFormat="1">
      <c r="A138" s="145"/>
      <c r="B138" s="145"/>
      <c r="C138" s="145"/>
    </row>
    <row r="139" spans="1:3" s="114" customFormat="1">
      <c r="A139" s="145"/>
      <c r="B139" s="145"/>
      <c r="C139" s="145"/>
    </row>
    <row r="140" spans="1:3" s="114" customFormat="1">
      <c r="A140" s="145"/>
      <c r="B140" s="145"/>
      <c r="C140" s="145"/>
    </row>
    <row r="141" spans="1:3" s="114" customFormat="1">
      <c r="A141" s="145"/>
      <c r="B141" s="145"/>
      <c r="C141" s="145"/>
    </row>
    <row r="142" spans="1:3" s="114" customFormat="1">
      <c r="A142" s="145"/>
      <c r="B142" s="145"/>
      <c r="C142" s="145"/>
    </row>
    <row r="143" spans="1:3" s="114" customFormat="1">
      <c r="A143" s="145"/>
      <c r="B143" s="145"/>
      <c r="C143" s="145"/>
    </row>
    <row r="144" spans="1:3" s="114" customFormat="1">
      <c r="A144" s="145"/>
      <c r="B144" s="145"/>
      <c r="C144" s="145"/>
    </row>
    <row r="145" spans="1:3" s="114" customFormat="1">
      <c r="A145" s="145"/>
      <c r="B145" s="145"/>
      <c r="C145" s="145"/>
    </row>
    <row r="146" spans="1:3" s="114" customFormat="1">
      <c r="A146" s="145"/>
      <c r="B146" s="145"/>
      <c r="C146" s="145"/>
    </row>
    <row r="147" spans="1:3" s="114" customFormat="1">
      <c r="A147" s="145"/>
      <c r="B147" s="145"/>
      <c r="C147" s="145"/>
    </row>
    <row r="148" spans="1:3" s="114" customFormat="1">
      <c r="A148" s="145"/>
      <c r="B148" s="145"/>
      <c r="C148" s="145"/>
    </row>
    <row r="149" spans="1:3" s="114" customFormat="1">
      <c r="A149" s="145"/>
      <c r="B149" s="145"/>
      <c r="C149" s="145"/>
    </row>
    <row r="150" spans="1:3" s="114" customFormat="1">
      <c r="A150" s="145"/>
      <c r="B150" s="145"/>
      <c r="C150" s="145"/>
    </row>
    <row r="151" spans="1:3" s="114" customFormat="1">
      <c r="A151" s="145"/>
      <c r="B151" s="145"/>
      <c r="C151" s="145"/>
    </row>
    <row r="152" spans="1:3" s="114" customFormat="1">
      <c r="A152" s="145"/>
      <c r="B152" s="145"/>
      <c r="C152" s="145"/>
    </row>
    <row r="153" spans="1:3" s="114" customFormat="1">
      <c r="A153" s="145"/>
      <c r="B153" s="145"/>
      <c r="C153" s="145"/>
    </row>
    <row r="154" spans="1:3" s="114" customFormat="1">
      <c r="A154" s="145"/>
      <c r="B154" s="145"/>
      <c r="C154" s="145"/>
    </row>
    <row r="155" spans="1:3" s="114" customFormat="1">
      <c r="A155" s="145"/>
      <c r="B155" s="145"/>
      <c r="C155" s="145"/>
    </row>
    <row r="156" spans="1:3" s="114" customFormat="1">
      <c r="A156" s="145"/>
      <c r="B156" s="145"/>
      <c r="C156" s="145"/>
    </row>
    <row r="157" spans="1:3" s="114" customFormat="1">
      <c r="A157" s="145"/>
      <c r="B157" s="145"/>
      <c r="C157" s="145"/>
    </row>
    <row r="158" spans="1:3" s="114" customFormat="1">
      <c r="A158" s="145"/>
      <c r="B158" s="145"/>
      <c r="C158" s="145"/>
    </row>
    <row r="159" spans="1:3" s="114" customFormat="1">
      <c r="A159" s="145"/>
      <c r="B159" s="145"/>
      <c r="C159" s="145"/>
    </row>
    <row r="160" spans="1:3" s="114" customFormat="1">
      <c r="A160" s="145"/>
      <c r="B160" s="145"/>
      <c r="C160" s="145"/>
    </row>
    <row r="161" spans="1:3" s="114" customFormat="1">
      <c r="A161" s="145"/>
      <c r="B161" s="145"/>
      <c r="C161" s="145"/>
    </row>
    <row r="162" spans="1:3" s="114" customFormat="1">
      <c r="A162" s="145"/>
      <c r="B162" s="145"/>
      <c r="C162" s="145"/>
    </row>
    <row r="163" spans="1:3" s="114" customFormat="1">
      <c r="A163" s="145"/>
      <c r="B163" s="145"/>
      <c r="C163" s="145"/>
    </row>
    <row r="164" spans="1:3" s="114" customFormat="1">
      <c r="A164" s="145"/>
      <c r="B164" s="145"/>
      <c r="C164" s="145"/>
    </row>
    <row r="165" spans="1:3" s="114" customFormat="1">
      <c r="A165" s="145"/>
      <c r="B165" s="145"/>
      <c r="C165" s="145"/>
    </row>
    <row r="166" spans="1:3" s="114" customFormat="1">
      <c r="A166" s="145"/>
      <c r="B166" s="145"/>
      <c r="C166" s="145"/>
    </row>
    <row r="167" spans="1:3" s="114" customFormat="1">
      <c r="A167" s="145"/>
      <c r="B167" s="145"/>
      <c r="C167" s="145"/>
    </row>
    <row r="168" spans="1:3" s="114" customFormat="1">
      <c r="A168" s="145"/>
      <c r="B168" s="145"/>
      <c r="C168" s="145"/>
    </row>
    <row r="169" spans="1:3" s="114" customFormat="1">
      <c r="A169" s="145"/>
      <c r="B169" s="145"/>
      <c r="C169" s="145"/>
    </row>
    <row r="170" spans="1:3" s="114" customFormat="1">
      <c r="A170" s="145"/>
      <c r="B170" s="145"/>
      <c r="C170" s="145"/>
    </row>
    <row r="171" spans="1:3" s="114" customFormat="1">
      <c r="A171" s="145"/>
      <c r="B171" s="145"/>
      <c r="C171" s="145"/>
    </row>
    <row r="172" spans="1:3" s="114" customFormat="1">
      <c r="A172" s="145"/>
      <c r="B172" s="145"/>
      <c r="C172" s="145"/>
    </row>
    <row r="173" spans="1:3" s="114" customFormat="1">
      <c r="A173" s="145"/>
      <c r="B173" s="145"/>
      <c r="C173" s="145"/>
    </row>
    <row r="174" spans="1:3" s="114" customFormat="1">
      <c r="A174" s="145"/>
      <c r="B174" s="145"/>
      <c r="C174" s="145"/>
    </row>
    <row r="175" spans="1:3" s="114" customFormat="1">
      <c r="A175" s="145"/>
      <c r="B175" s="145"/>
      <c r="C175" s="145"/>
    </row>
    <row r="176" spans="1:3" s="114" customFormat="1">
      <c r="A176" s="145"/>
      <c r="B176" s="145"/>
      <c r="C176" s="145"/>
    </row>
    <row r="177" spans="1:3" s="114" customFormat="1">
      <c r="A177" s="145"/>
      <c r="B177" s="145"/>
      <c r="C177" s="145"/>
    </row>
    <row r="178" spans="1:3" s="114" customFormat="1">
      <c r="A178" s="145"/>
      <c r="B178" s="145"/>
      <c r="C178" s="145"/>
    </row>
    <row r="179" spans="1:3" s="114" customFormat="1">
      <c r="A179" s="145"/>
      <c r="B179" s="145"/>
      <c r="C179" s="145"/>
    </row>
    <row r="180" spans="1:3" s="114" customFormat="1">
      <c r="A180" s="145"/>
      <c r="B180" s="145"/>
      <c r="C180" s="145"/>
    </row>
    <row r="181" spans="1:3" s="114" customFormat="1">
      <c r="A181" s="145"/>
      <c r="B181" s="145"/>
      <c r="C181" s="145"/>
    </row>
    <row r="182" spans="1:3" s="114" customFormat="1">
      <c r="A182" s="145"/>
      <c r="B182" s="145"/>
      <c r="C182" s="145"/>
    </row>
    <row r="183" spans="1:3" s="114" customFormat="1">
      <c r="A183" s="145"/>
      <c r="B183" s="145"/>
      <c r="C183" s="145"/>
    </row>
    <row r="184" spans="1:3" s="114" customFormat="1">
      <c r="A184" s="145"/>
      <c r="B184" s="145"/>
      <c r="C184" s="145"/>
    </row>
    <row r="185" spans="1:3" s="114" customFormat="1">
      <c r="A185" s="145"/>
      <c r="B185" s="145"/>
      <c r="C185" s="145"/>
    </row>
    <row r="186" spans="1:3" s="114" customFormat="1">
      <c r="A186" s="145"/>
      <c r="B186" s="145"/>
      <c r="C186" s="145"/>
    </row>
    <row r="187" spans="1:3" s="114" customFormat="1">
      <c r="A187" s="145"/>
      <c r="B187" s="145"/>
      <c r="C187" s="145"/>
    </row>
    <row r="188" spans="1:3" s="114" customFormat="1">
      <c r="A188" s="145"/>
      <c r="B188" s="145"/>
      <c r="C188" s="145"/>
    </row>
    <row r="189" spans="1:3" s="114" customFormat="1">
      <c r="A189" s="145"/>
      <c r="B189" s="145"/>
      <c r="C189" s="145"/>
    </row>
    <row r="190" spans="1:3" s="114" customFormat="1">
      <c r="A190" s="145"/>
      <c r="B190" s="145"/>
      <c r="C190" s="145"/>
    </row>
    <row r="191" spans="1:3" s="114" customFormat="1">
      <c r="A191" s="145"/>
      <c r="B191" s="145"/>
      <c r="C191" s="145"/>
    </row>
    <row r="192" spans="1:3" s="114" customFormat="1">
      <c r="A192" s="145"/>
      <c r="B192" s="145"/>
      <c r="C192" s="145"/>
    </row>
    <row r="193" spans="1:3" s="114" customFormat="1">
      <c r="A193" s="145"/>
      <c r="B193" s="145"/>
      <c r="C193" s="145"/>
    </row>
    <row r="194" spans="1:3" s="114" customFormat="1">
      <c r="A194" s="145"/>
      <c r="B194" s="145"/>
      <c r="C194" s="145"/>
    </row>
    <row r="195" spans="1:3" s="114" customFormat="1">
      <c r="A195" s="145"/>
      <c r="B195" s="145"/>
      <c r="C195" s="145"/>
    </row>
    <row r="196" spans="1:3" s="114" customFormat="1">
      <c r="A196" s="145"/>
      <c r="B196" s="145"/>
      <c r="C196" s="145"/>
    </row>
    <row r="197" spans="1:3" s="114" customFormat="1">
      <c r="A197" s="145"/>
      <c r="B197" s="145"/>
      <c r="C197" s="145"/>
    </row>
    <row r="198" spans="1:3" s="114" customFormat="1">
      <c r="A198" s="145"/>
      <c r="B198" s="145"/>
      <c r="C198" s="145"/>
    </row>
    <row r="199" spans="1:3" s="114" customFormat="1">
      <c r="A199" s="145"/>
      <c r="B199" s="145"/>
      <c r="C199" s="145"/>
    </row>
    <row r="200" spans="1:3" s="114" customFormat="1">
      <c r="A200" s="145"/>
      <c r="B200" s="145"/>
      <c r="C200" s="145"/>
    </row>
    <row r="201" spans="1:3" s="114" customFormat="1">
      <c r="A201" s="145"/>
      <c r="B201" s="145"/>
      <c r="C201" s="145"/>
    </row>
    <row r="202" spans="1:3" s="114" customFormat="1">
      <c r="A202" s="145"/>
      <c r="B202" s="145"/>
      <c r="C202" s="145"/>
    </row>
    <row r="203" spans="1:3" s="114" customFormat="1">
      <c r="A203" s="145"/>
      <c r="B203" s="145"/>
      <c r="C203" s="145"/>
    </row>
    <row r="204" spans="1:3" s="114" customFormat="1">
      <c r="A204" s="145"/>
      <c r="B204" s="145"/>
      <c r="C204" s="145"/>
    </row>
    <row r="205" spans="1:3" s="114" customFormat="1">
      <c r="A205" s="145"/>
      <c r="B205" s="145"/>
      <c r="C205" s="145"/>
    </row>
    <row r="206" spans="1:3" s="114" customFormat="1">
      <c r="A206" s="145"/>
      <c r="B206" s="145"/>
      <c r="C206" s="145"/>
    </row>
    <row r="207" spans="1:3" s="114" customFormat="1">
      <c r="A207" s="145"/>
      <c r="B207" s="145"/>
      <c r="C207" s="145"/>
    </row>
    <row r="208" spans="1:3" s="114" customFormat="1">
      <c r="A208" s="145"/>
      <c r="B208" s="145"/>
      <c r="C208" s="145"/>
    </row>
    <row r="209" spans="1:3" s="114" customFormat="1">
      <c r="A209" s="145"/>
      <c r="B209" s="145"/>
      <c r="C209" s="145"/>
    </row>
    <row r="210" spans="1:3" s="114" customFormat="1">
      <c r="A210" s="145"/>
      <c r="B210" s="145"/>
      <c r="C210" s="145"/>
    </row>
    <row r="211" spans="1:3" s="114" customFormat="1">
      <c r="A211" s="145"/>
      <c r="B211" s="145"/>
      <c r="C211" s="145"/>
    </row>
    <row r="212" spans="1:3" s="114" customFormat="1">
      <c r="A212" s="145"/>
      <c r="B212" s="145"/>
      <c r="C212" s="145"/>
    </row>
    <row r="213" spans="1:3" s="114" customFormat="1">
      <c r="A213" s="145"/>
      <c r="B213" s="145"/>
      <c r="C213" s="145"/>
    </row>
    <row r="214" spans="1:3" s="114" customFormat="1">
      <c r="A214" s="145"/>
      <c r="B214" s="145"/>
      <c r="C214" s="145"/>
    </row>
    <row r="215" spans="1:3" s="114" customFormat="1">
      <c r="A215" s="145"/>
      <c r="B215" s="145"/>
      <c r="C215" s="145"/>
    </row>
    <row r="216" spans="1:3" s="114" customFormat="1">
      <c r="A216" s="145"/>
      <c r="B216" s="145"/>
      <c r="C216" s="145"/>
    </row>
    <row r="217" spans="1:3" s="114" customFormat="1">
      <c r="A217" s="145"/>
      <c r="B217" s="145"/>
      <c r="C217" s="145"/>
    </row>
    <row r="218" spans="1:3" s="114" customFormat="1">
      <c r="A218" s="145"/>
      <c r="B218" s="145"/>
      <c r="C218" s="145"/>
    </row>
    <row r="219" spans="1:3" s="114" customFormat="1">
      <c r="A219" s="145"/>
      <c r="B219" s="145"/>
      <c r="C219" s="145"/>
    </row>
    <row r="220" spans="1:3" s="114" customFormat="1">
      <c r="A220" s="145"/>
      <c r="B220" s="145"/>
      <c r="C220" s="145"/>
    </row>
    <row r="221" spans="1:3" s="114" customFormat="1">
      <c r="A221" s="145"/>
      <c r="B221" s="145"/>
      <c r="C221" s="145"/>
    </row>
    <row r="222" spans="1:3" s="114" customFormat="1">
      <c r="A222" s="145"/>
      <c r="B222" s="145"/>
      <c r="C222" s="145"/>
    </row>
    <row r="223" spans="1:3" s="114" customFormat="1">
      <c r="A223" s="145"/>
      <c r="B223" s="145"/>
      <c r="C223" s="145"/>
    </row>
    <row r="224" spans="1:3" s="114" customFormat="1">
      <c r="A224" s="145"/>
      <c r="B224" s="145"/>
      <c r="C224" s="145"/>
    </row>
    <row r="225" spans="1:3" s="114" customFormat="1">
      <c r="A225" s="145"/>
      <c r="B225" s="145"/>
      <c r="C225" s="145"/>
    </row>
    <row r="226" spans="1:3" s="114" customFormat="1">
      <c r="A226" s="145"/>
      <c r="B226" s="145"/>
      <c r="C226" s="145"/>
    </row>
    <row r="227" spans="1:3" s="114" customFormat="1">
      <c r="A227" s="145"/>
      <c r="B227" s="145"/>
      <c r="C227" s="145"/>
    </row>
    <row r="228" spans="1:3" s="114" customFormat="1">
      <c r="A228" s="145"/>
      <c r="B228" s="145"/>
      <c r="C228" s="145"/>
    </row>
    <row r="229" spans="1:3" s="114" customFormat="1">
      <c r="A229" s="145"/>
      <c r="B229" s="145"/>
      <c r="C229" s="145"/>
    </row>
    <row r="230" spans="1:3" s="114" customFormat="1">
      <c r="A230" s="145"/>
      <c r="B230" s="145"/>
      <c r="C230" s="145"/>
    </row>
    <row r="231" spans="1:3" s="114" customFormat="1">
      <c r="A231" s="145"/>
      <c r="B231" s="145"/>
      <c r="C231" s="145"/>
    </row>
    <row r="232" spans="1:3" s="114" customFormat="1">
      <c r="A232" s="145"/>
      <c r="B232" s="145"/>
      <c r="C232" s="145"/>
    </row>
    <row r="233" spans="1:3" s="114" customFormat="1">
      <c r="A233" s="145"/>
      <c r="B233" s="145"/>
      <c r="C233" s="145"/>
    </row>
    <row r="234" spans="1:3" s="114" customFormat="1">
      <c r="A234" s="145"/>
      <c r="B234" s="145"/>
      <c r="C234" s="145"/>
    </row>
    <row r="235" spans="1:3" s="114" customFormat="1">
      <c r="A235" s="145"/>
      <c r="B235" s="145"/>
      <c r="C235" s="145"/>
    </row>
    <row r="236" spans="1:3" s="114" customFormat="1">
      <c r="A236" s="145"/>
      <c r="B236" s="145"/>
      <c r="C236" s="145"/>
    </row>
    <row r="237" spans="1:3" s="114" customFormat="1">
      <c r="A237" s="145"/>
      <c r="B237" s="145"/>
      <c r="C237" s="145"/>
    </row>
    <row r="238" spans="1:3" s="114" customFormat="1">
      <c r="A238" s="145"/>
      <c r="B238" s="145"/>
      <c r="C238" s="145"/>
    </row>
    <row r="239" spans="1:3" s="114" customFormat="1">
      <c r="A239" s="145"/>
      <c r="B239" s="145"/>
      <c r="C239" s="145"/>
    </row>
    <row r="240" spans="1:3" s="114" customFormat="1">
      <c r="A240" s="145"/>
      <c r="B240" s="145"/>
      <c r="C240" s="145"/>
    </row>
    <row r="241" spans="1:3" s="114" customFormat="1">
      <c r="A241" s="145"/>
      <c r="B241" s="145"/>
      <c r="C241" s="145"/>
    </row>
    <row r="242" spans="1:3" s="114" customFormat="1">
      <c r="A242" s="145"/>
      <c r="B242" s="145"/>
      <c r="C242" s="145"/>
    </row>
    <row r="243" spans="1:3" s="114" customFormat="1">
      <c r="A243" s="145"/>
      <c r="B243" s="145"/>
      <c r="C243" s="145"/>
    </row>
    <row r="244" spans="1:3" s="114" customFormat="1">
      <c r="A244" s="145"/>
      <c r="B244" s="145"/>
      <c r="C244" s="145"/>
    </row>
    <row r="245" spans="1:3" s="114" customFormat="1">
      <c r="A245" s="145"/>
      <c r="B245" s="145"/>
      <c r="C245" s="145"/>
    </row>
    <row r="246" spans="1:3" s="114" customFormat="1">
      <c r="A246" s="145"/>
      <c r="B246" s="145"/>
      <c r="C246" s="145"/>
    </row>
    <row r="247" spans="1:3" s="114" customFormat="1">
      <c r="A247" s="145"/>
      <c r="B247" s="145"/>
      <c r="C247" s="145"/>
    </row>
    <row r="248" spans="1:3" s="114" customFormat="1">
      <c r="A248" s="145"/>
      <c r="B248" s="145"/>
      <c r="C248" s="145"/>
    </row>
    <row r="249" spans="1:3" s="114" customFormat="1">
      <c r="A249" s="145"/>
      <c r="B249" s="145"/>
      <c r="C249" s="145"/>
    </row>
    <row r="250" spans="1:3" s="114" customFormat="1">
      <c r="A250" s="145"/>
      <c r="B250" s="145"/>
      <c r="C250" s="145"/>
    </row>
    <row r="251" spans="1:3" s="114" customFormat="1">
      <c r="A251" s="145"/>
      <c r="B251" s="145"/>
      <c r="C251" s="145"/>
    </row>
    <row r="252" spans="1:3" s="114" customFormat="1">
      <c r="A252" s="145"/>
      <c r="B252" s="145"/>
      <c r="C252" s="145"/>
    </row>
    <row r="253" spans="1:3" s="114" customFormat="1">
      <c r="A253" s="145"/>
      <c r="B253" s="145"/>
      <c r="C253" s="145"/>
    </row>
    <row r="254" spans="1:3" s="114" customFormat="1">
      <c r="A254" s="145"/>
      <c r="B254" s="145"/>
      <c r="C254" s="145"/>
    </row>
    <row r="255" spans="1:3" s="114" customFormat="1">
      <c r="A255" s="145"/>
      <c r="B255" s="145"/>
      <c r="C255" s="145"/>
    </row>
    <row r="256" spans="1:3" s="114" customFormat="1">
      <c r="A256" s="145"/>
      <c r="B256" s="145"/>
      <c r="C256" s="145"/>
    </row>
    <row r="257" spans="1:3" s="114" customFormat="1">
      <c r="A257" s="145"/>
      <c r="B257" s="145"/>
      <c r="C257" s="145"/>
    </row>
    <row r="258" spans="1:3" s="114" customFormat="1">
      <c r="A258" s="145"/>
      <c r="B258" s="145"/>
      <c r="C258" s="145"/>
    </row>
    <row r="259" spans="1:3" s="114" customFormat="1">
      <c r="A259" s="145"/>
      <c r="B259" s="145"/>
      <c r="C259" s="145"/>
    </row>
    <row r="260" spans="1:3" s="114" customFormat="1">
      <c r="A260" s="145"/>
      <c r="B260" s="145"/>
      <c r="C260" s="145"/>
    </row>
    <row r="261" spans="1:3" s="114" customFormat="1">
      <c r="A261" s="145"/>
      <c r="B261" s="145"/>
      <c r="C261" s="145"/>
    </row>
    <row r="262" spans="1:3" s="114" customFormat="1">
      <c r="A262" s="145"/>
      <c r="B262" s="145"/>
      <c r="C262" s="145"/>
    </row>
    <row r="263" spans="1:3" s="114" customFormat="1">
      <c r="A263" s="145"/>
      <c r="B263" s="145"/>
      <c r="C263" s="145"/>
    </row>
    <row r="264" spans="1:3" s="114" customFormat="1">
      <c r="A264" s="145"/>
      <c r="B264" s="145"/>
      <c r="C264" s="145"/>
    </row>
    <row r="265" spans="1:3" s="114" customFormat="1">
      <c r="A265" s="145"/>
      <c r="B265" s="145"/>
      <c r="C265" s="145"/>
    </row>
    <row r="266" spans="1:3" s="114" customFormat="1">
      <c r="A266" s="145"/>
      <c r="B266" s="145"/>
      <c r="C266" s="145"/>
    </row>
    <row r="267" spans="1:3" s="114" customFormat="1">
      <c r="A267" s="145"/>
      <c r="B267" s="145"/>
      <c r="C267" s="145"/>
    </row>
    <row r="268" spans="1:3" s="114" customFormat="1">
      <c r="A268" s="145"/>
      <c r="B268" s="145"/>
      <c r="C268" s="145"/>
    </row>
    <row r="269" spans="1:3" s="114" customFormat="1">
      <c r="A269" s="145"/>
      <c r="B269" s="145"/>
      <c r="C269" s="145"/>
    </row>
    <row r="270" spans="1:3" s="114" customFormat="1">
      <c r="A270" s="145"/>
      <c r="B270" s="145"/>
      <c r="C270" s="145"/>
    </row>
    <row r="271" spans="1:3" s="114" customFormat="1">
      <c r="A271" s="145"/>
      <c r="B271" s="145"/>
      <c r="C271" s="145"/>
    </row>
    <row r="272" spans="1:3" s="114" customFormat="1">
      <c r="A272" s="145"/>
      <c r="B272" s="145"/>
      <c r="C272" s="145"/>
    </row>
    <row r="273" spans="1:3" s="114" customFormat="1">
      <c r="A273" s="145"/>
      <c r="B273" s="145"/>
      <c r="C273" s="145"/>
    </row>
    <row r="274" spans="1:3" s="114" customFormat="1">
      <c r="A274" s="145"/>
      <c r="B274" s="145"/>
      <c r="C274" s="145"/>
    </row>
    <row r="275" spans="1:3" s="114" customFormat="1">
      <c r="A275" s="145"/>
      <c r="B275" s="145"/>
      <c r="C275" s="145"/>
    </row>
    <row r="276" spans="1:3" s="114" customFormat="1">
      <c r="A276" s="145"/>
      <c r="B276" s="145"/>
      <c r="C276" s="145"/>
    </row>
    <row r="277" spans="1:3" s="114" customFormat="1">
      <c r="A277" s="145"/>
      <c r="B277" s="145"/>
      <c r="C277" s="145"/>
    </row>
    <row r="278" spans="1:3" s="114" customFormat="1">
      <c r="A278" s="145"/>
      <c r="B278" s="145"/>
      <c r="C278" s="145"/>
    </row>
    <row r="279" spans="1:3" s="114" customFormat="1">
      <c r="A279" s="145"/>
      <c r="B279" s="145"/>
      <c r="C279" s="145"/>
    </row>
    <row r="280" spans="1:3" s="114" customFormat="1">
      <c r="A280" s="145"/>
      <c r="B280" s="145"/>
      <c r="C280" s="145"/>
    </row>
    <row r="281" spans="1:3" s="114" customFormat="1">
      <c r="A281" s="145"/>
      <c r="B281" s="145"/>
      <c r="C281" s="145"/>
    </row>
    <row r="282" spans="1:3" s="114" customFormat="1">
      <c r="A282" s="145"/>
      <c r="B282" s="145"/>
      <c r="C282" s="145"/>
    </row>
    <row r="283" spans="1:3" s="114" customFormat="1">
      <c r="A283" s="145"/>
      <c r="B283" s="145"/>
      <c r="C283" s="145"/>
    </row>
    <row r="284" spans="1:3" s="114" customFormat="1">
      <c r="A284" s="145"/>
      <c r="B284" s="145"/>
      <c r="C284" s="145"/>
    </row>
    <row r="285" spans="1:3" s="114" customFormat="1">
      <c r="A285" s="145"/>
      <c r="B285" s="145"/>
      <c r="C285" s="145"/>
    </row>
    <row r="286" spans="1:3" s="114" customFormat="1">
      <c r="A286" s="145"/>
      <c r="B286" s="145"/>
      <c r="C286" s="145"/>
    </row>
    <row r="287" spans="1:3" s="114" customFormat="1">
      <c r="A287" s="145"/>
      <c r="B287" s="145"/>
      <c r="C287" s="145"/>
    </row>
    <row r="288" spans="1:3" s="114" customFormat="1">
      <c r="A288" s="145"/>
      <c r="B288" s="145"/>
      <c r="C288" s="145"/>
    </row>
    <row r="289" spans="1:3" s="114" customFormat="1">
      <c r="A289" s="145"/>
      <c r="B289" s="145"/>
      <c r="C289" s="145"/>
    </row>
    <row r="290" spans="1:3" s="114" customFormat="1">
      <c r="A290" s="145"/>
      <c r="B290" s="145"/>
      <c r="C290" s="145"/>
    </row>
    <row r="291" spans="1:3" s="114" customFormat="1">
      <c r="A291" s="145"/>
      <c r="B291" s="145"/>
      <c r="C291" s="145"/>
    </row>
    <row r="292" spans="1:3" s="114" customFormat="1">
      <c r="A292" s="145"/>
      <c r="B292" s="145"/>
      <c r="C292" s="145"/>
    </row>
    <row r="293" spans="1:3" s="114" customFormat="1">
      <c r="A293" s="145"/>
      <c r="B293" s="145"/>
      <c r="C293" s="145"/>
    </row>
    <row r="294" spans="1:3" s="114" customFormat="1">
      <c r="A294" s="145"/>
      <c r="B294" s="145"/>
      <c r="C294" s="145"/>
    </row>
    <row r="295" spans="1:3" s="114" customFormat="1">
      <c r="A295" s="145"/>
      <c r="B295" s="145"/>
      <c r="C295" s="145"/>
    </row>
    <row r="296" spans="1:3" s="114" customFormat="1">
      <c r="A296" s="145"/>
      <c r="B296" s="145"/>
      <c r="C296" s="145"/>
    </row>
    <row r="297" spans="1:3" s="114" customFormat="1">
      <c r="A297" s="145"/>
      <c r="B297" s="145"/>
      <c r="C297" s="145"/>
    </row>
    <row r="298" spans="1:3" s="114" customFormat="1">
      <c r="A298" s="145"/>
      <c r="B298" s="145"/>
      <c r="C298" s="145"/>
    </row>
    <row r="299" spans="1:3" s="114" customFormat="1">
      <c r="A299" s="145"/>
      <c r="B299" s="145"/>
      <c r="C299" s="145"/>
    </row>
    <row r="300" spans="1:3" s="114" customFormat="1">
      <c r="A300" s="145"/>
      <c r="B300" s="145"/>
      <c r="C300" s="145"/>
    </row>
    <row r="301" spans="1:3" s="114" customFormat="1">
      <c r="A301" s="145"/>
      <c r="B301" s="145"/>
      <c r="C301" s="145"/>
    </row>
    <row r="302" spans="1:3" s="114" customFormat="1">
      <c r="A302" s="145"/>
      <c r="B302" s="145"/>
      <c r="C302" s="145"/>
    </row>
    <row r="303" spans="1:3" s="114" customFormat="1">
      <c r="A303" s="145"/>
      <c r="B303" s="145"/>
      <c r="C303" s="145"/>
    </row>
    <row r="304" spans="1:3" s="114" customFormat="1">
      <c r="A304" s="145"/>
      <c r="B304" s="145"/>
      <c r="C304" s="145"/>
    </row>
    <row r="305" spans="1:3" s="114" customFormat="1">
      <c r="A305" s="145"/>
      <c r="B305" s="145"/>
      <c r="C305" s="145"/>
    </row>
    <row r="306" spans="1:3" s="114" customFormat="1">
      <c r="A306" s="145"/>
      <c r="B306" s="145"/>
      <c r="C306" s="145"/>
    </row>
    <row r="307" spans="1:3" s="114" customFormat="1">
      <c r="A307" s="145"/>
      <c r="B307" s="145"/>
      <c r="C307" s="145"/>
    </row>
    <row r="308" spans="1:3" s="114" customFormat="1">
      <c r="A308" s="145"/>
      <c r="B308" s="145"/>
      <c r="C308" s="145"/>
    </row>
    <row r="309" spans="1:3" s="114" customFormat="1">
      <c r="A309" s="145"/>
      <c r="B309" s="145"/>
      <c r="C309" s="145"/>
    </row>
    <row r="310" spans="1:3" s="114" customFormat="1">
      <c r="A310" s="145"/>
      <c r="B310" s="145"/>
      <c r="C310" s="145"/>
    </row>
    <row r="311" spans="1:3" s="114" customFormat="1">
      <c r="A311" s="145"/>
      <c r="B311" s="145"/>
      <c r="C311" s="145"/>
    </row>
    <row r="312" spans="1:3" s="114" customFormat="1">
      <c r="A312" s="145"/>
      <c r="B312" s="145"/>
      <c r="C312" s="145"/>
    </row>
    <row r="313" spans="1:3" s="114" customFormat="1">
      <c r="A313" s="145"/>
      <c r="B313" s="145"/>
      <c r="C313" s="145"/>
    </row>
    <row r="314" spans="1:3" s="114" customFormat="1">
      <c r="A314" s="145"/>
      <c r="B314" s="145"/>
      <c r="C314" s="145"/>
    </row>
    <row r="315" spans="1:3" s="114" customFormat="1">
      <c r="A315" s="145"/>
      <c r="B315" s="145"/>
      <c r="C315" s="145"/>
    </row>
    <row r="316" spans="1:3" s="114" customFormat="1">
      <c r="A316" s="145"/>
      <c r="B316" s="145"/>
      <c r="C316" s="145"/>
    </row>
    <row r="317" spans="1:3" s="114" customFormat="1">
      <c r="A317" s="145"/>
      <c r="B317" s="145"/>
      <c r="C317" s="145"/>
    </row>
    <row r="318" spans="1:3" s="114" customFormat="1">
      <c r="A318" s="145"/>
      <c r="B318" s="145"/>
      <c r="C318" s="145"/>
    </row>
    <row r="319" spans="1:3" s="114" customFormat="1">
      <c r="A319" s="145"/>
      <c r="B319" s="145"/>
      <c r="C319" s="145"/>
    </row>
    <row r="320" spans="1:3" s="114" customFormat="1">
      <c r="A320" s="145"/>
      <c r="B320" s="145"/>
      <c r="C320" s="145"/>
    </row>
    <row r="321" spans="1:3" s="114" customFormat="1">
      <c r="A321" s="145"/>
      <c r="B321" s="145"/>
      <c r="C321" s="145"/>
    </row>
    <row r="322" spans="1:3" s="114" customFormat="1">
      <c r="A322" s="145"/>
      <c r="B322" s="145"/>
      <c r="C322" s="145"/>
    </row>
    <row r="323" spans="1:3" s="114" customFormat="1">
      <c r="A323" s="145"/>
      <c r="B323" s="145"/>
      <c r="C323" s="145"/>
    </row>
    <row r="324" spans="1:3" s="114" customFormat="1">
      <c r="A324" s="145"/>
      <c r="B324" s="145"/>
      <c r="C324" s="145"/>
    </row>
    <row r="325" spans="1:3" s="114" customFormat="1">
      <c r="A325" s="145"/>
      <c r="B325" s="145"/>
      <c r="C325" s="145"/>
    </row>
    <row r="326" spans="1:3" s="114" customFormat="1">
      <c r="A326" s="145"/>
      <c r="B326" s="145"/>
      <c r="C326" s="145"/>
    </row>
    <row r="327" spans="1:3" s="114" customFormat="1">
      <c r="A327" s="145"/>
      <c r="B327" s="145"/>
      <c r="C327" s="145"/>
    </row>
    <row r="328" spans="1:3" s="114" customFormat="1">
      <c r="A328" s="145"/>
      <c r="B328" s="145"/>
      <c r="C328" s="145"/>
    </row>
    <row r="329" spans="1:3" s="114" customFormat="1">
      <c r="A329" s="145"/>
      <c r="B329" s="145"/>
      <c r="C329" s="145"/>
    </row>
    <row r="330" spans="1:3" s="114" customFormat="1">
      <c r="A330" s="145"/>
      <c r="B330" s="145"/>
      <c r="C330" s="145"/>
    </row>
    <row r="331" spans="1:3" s="114" customFormat="1">
      <c r="A331" s="145"/>
      <c r="B331" s="145"/>
      <c r="C331" s="145"/>
    </row>
    <row r="332" spans="1:3" s="114" customFormat="1">
      <c r="A332" s="145"/>
      <c r="B332" s="145"/>
      <c r="C332" s="145"/>
    </row>
    <row r="333" spans="1:3" s="114" customFormat="1">
      <c r="A333" s="145"/>
      <c r="B333" s="145"/>
      <c r="C333" s="145"/>
    </row>
    <row r="334" spans="1:3" s="114" customFormat="1">
      <c r="A334" s="145"/>
      <c r="B334" s="145"/>
      <c r="C334" s="145"/>
    </row>
    <row r="335" spans="1:3" s="114" customFormat="1">
      <c r="A335" s="145"/>
      <c r="B335" s="145"/>
      <c r="C335" s="145"/>
    </row>
    <row r="336" spans="1:3" s="114" customFormat="1">
      <c r="A336" s="145"/>
      <c r="B336" s="145"/>
      <c r="C336" s="145"/>
    </row>
    <row r="337" spans="1:3" s="114" customFormat="1">
      <c r="A337" s="145"/>
      <c r="B337" s="145"/>
      <c r="C337" s="145"/>
    </row>
    <row r="338" spans="1:3" s="114" customFormat="1">
      <c r="A338" s="145"/>
      <c r="B338" s="145"/>
      <c r="C338" s="145"/>
    </row>
    <row r="339" spans="1:3" s="114" customFormat="1">
      <c r="A339" s="145"/>
      <c r="B339" s="145"/>
      <c r="C339" s="145"/>
    </row>
    <row r="340" spans="1:3" s="114" customFormat="1">
      <c r="A340" s="145"/>
      <c r="B340" s="145"/>
      <c r="C340" s="145"/>
    </row>
    <row r="341" spans="1:3" s="114" customFormat="1">
      <c r="A341" s="145"/>
      <c r="B341" s="145"/>
      <c r="C341" s="145"/>
    </row>
    <row r="342" spans="1:3" s="114" customFormat="1">
      <c r="A342" s="145"/>
      <c r="B342" s="145"/>
      <c r="C342" s="145"/>
    </row>
    <row r="343" spans="1:3" s="114" customFormat="1">
      <c r="A343" s="145"/>
      <c r="B343" s="145"/>
      <c r="C343" s="145"/>
    </row>
    <row r="344" spans="1:3" s="114" customFormat="1">
      <c r="A344" s="145"/>
      <c r="B344" s="145"/>
      <c r="C344" s="145"/>
    </row>
    <row r="345" spans="1:3" s="114" customFormat="1">
      <c r="A345" s="145"/>
      <c r="B345" s="145"/>
      <c r="C345" s="145"/>
    </row>
    <row r="346" spans="1:3" s="114" customFormat="1">
      <c r="A346" s="145"/>
      <c r="B346" s="145"/>
      <c r="C346" s="145"/>
    </row>
    <row r="347" spans="1:3" s="114" customFormat="1">
      <c r="A347" s="145"/>
      <c r="B347" s="145"/>
      <c r="C347" s="145"/>
    </row>
    <row r="348" spans="1:3" s="114" customFormat="1">
      <c r="A348" s="145"/>
      <c r="B348" s="145"/>
      <c r="C348" s="145"/>
    </row>
    <row r="349" spans="1:3" s="114" customFormat="1">
      <c r="A349" s="145"/>
      <c r="B349" s="145"/>
      <c r="C349" s="145"/>
    </row>
    <row r="350" spans="1:3" s="114" customFormat="1">
      <c r="A350" s="145"/>
      <c r="B350" s="145"/>
      <c r="C350" s="145"/>
    </row>
    <row r="351" spans="1:3" s="114" customFormat="1">
      <c r="A351" s="145"/>
      <c r="B351" s="145"/>
      <c r="C351" s="145"/>
    </row>
    <row r="352" spans="1:3" s="114" customFormat="1">
      <c r="A352" s="145"/>
      <c r="B352" s="145"/>
      <c r="C352" s="145"/>
    </row>
    <row r="353" spans="1:3" s="114" customFormat="1">
      <c r="A353" s="145"/>
      <c r="B353" s="145"/>
      <c r="C353" s="145"/>
    </row>
    <row r="354" spans="1:3" s="114" customFormat="1">
      <c r="A354" s="145"/>
      <c r="B354" s="145"/>
      <c r="C354" s="145"/>
    </row>
    <row r="355" spans="1:3" s="114" customFormat="1">
      <c r="A355" s="145"/>
      <c r="B355" s="145"/>
      <c r="C355" s="145"/>
    </row>
    <row r="356" spans="1:3" s="114" customFormat="1">
      <c r="A356" s="145"/>
      <c r="B356" s="145"/>
      <c r="C356" s="145"/>
    </row>
    <row r="357" spans="1:3" s="114" customFormat="1">
      <c r="A357" s="145"/>
      <c r="B357" s="145"/>
      <c r="C357" s="145"/>
    </row>
    <row r="358" spans="1:3" s="114" customFormat="1">
      <c r="A358" s="145"/>
      <c r="B358" s="145"/>
      <c r="C358" s="145"/>
    </row>
    <row r="359" spans="1:3" s="114" customFormat="1">
      <c r="A359" s="145"/>
      <c r="B359" s="145"/>
      <c r="C359" s="145"/>
    </row>
    <row r="360" spans="1:3" s="114" customFormat="1">
      <c r="A360" s="145"/>
      <c r="B360" s="145"/>
      <c r="C360" s="145"/>
    </row>
    <row r="361" spans="1:3" s="114" customFormat="1">
      <c r="A361" s="145"/>
      <c r="B361" s="145"/>
      <c r="C361" s="145"/>
    </row>
    <row r="362" spans="1:3" s="114" customFormat="1">
      <c r="A362" s="145"/>
      <c r="B362" s="145"/>
      <c r="C362" s="145"/>
    </row>
    <row r="363" spans="1:3" s="114" customFormat="1">
      <c r="A363" s="145"/>
      <c r="B363" s="145"/>
      <c r="C363" s="145"/>
    </row>
    <row r="364" spans="1:3" s="114" customFormat="1">
      <c r="A364" s="145"/>
      <c r="B364" s="145"/>
      <c r="C364" s="145"/>
    </row>
    <row r="365" spans="1:3" s="114" customFormat="1">
      <c r="A365" s="145"/>
      <c r="B365" s="145"/>
      <c r="C365" s="145"/>
    </row>
    <row r="366" spans="1:3" s="114" customFormat="1">
      <c r="A366" s="145"/>
      <c r="B366" s="145"/>
      <c r="C366" s="145"/>
    </row>
    <row r="367" spans="1:3" s="114" customFormat="1">
      <c r="A367" s="145"/>
      <c r="B367" s="145"/>
      <c r="C367" s="145"/>
    </row>
    <row r="368" spans="1:3" s="114" customFormat="1">
      <c r="A368" s="145"/>
      <c r="B368" s="145"/>
      <c r="C368" s="145"/>
    </row>
    <row r="369" spans="1:3" s="114" customFormat="1">
      <c r="A369" s="145"/>
      <c r="B369" s="145"/>
      <c r="C369" s="145"/>
    </row>
    <row r="370" spans="1:3" s="114" customFormat="1">
      <c r="A370" s="145"/>
      <c r="B370" s="145"/>
      <c r="C370" s="145"/>
    </row>
    <row r="371" spans="1:3" s="114" customFormat="1">
      <c r="A371" s="145"/>
      <c r="B371" s="145"/>
      <c r="C371" s="145"/>
    </row>
    <row r="372" spans="1:3" s="114" customFormat="1">
      <c r="A372" s="145"/>
      <c r="B372" s="145"/>
      <c r="C372" s="145"/>
    </row>
    <row r="373" spans="1:3" s="114" customFormat="1">
      <c r="A373" s="145"/>
      <c r="B373" s="145"/>
      <c r="C373" s="145"/>
    </row>
    <row r="374" spans="1:3" s="114" customFormat="1">
      <c r="A374" s="145"/>
      <c r="B374" s="145"/>
      <c r="C374" s="145"/>
    </row>
    <row r="375" spans="1:3" s="114" customFormat="1">
      <c r="A375" s="145"/>
      <c r="B375" s="145"/>
      <c r="C375" s="145"/>
    </row>
    <row r="376" spans="1:3" s="114" customFormat="1">
      <c r="A376" s="145"/>
      <c r="B376" s="145"/>
      <c r="C376" s="145"/>
    </row>
    <row r="377" spans="1:3" s="114" customFormat="1">
      <c r="A377" s="145"/>
      <c r="B377" s="145"/>
      <c r="C377" s="145"/>
    </row>
    <row r="378" spans="1:3" s="114" customFormat="1">
      <c r="A378" s="145"/>
      <c r="B378" s="145"/>
      <c r="C378" s="145"/>
    </row>
    <row r="379" spans="1:3" s="114" customFormat="1">
      <c r="A379" s="145"/>
      <c r="B379" s="145"/>
      <c r="C379" s="145"/>
    </row>
    <row r="380" spans="1:3" s="114" customFormat="1">
      <c r="A380" s="145"/>
      <c r="B380" s="145"/>
      <c r="C380" s="145"/>
    </row>
    <row r="381" spans="1:3" s="114" customFormat="1">
      <c r="A381" s="145"/>
      <c r="B381" s="145"/>
      <c r="C381" s="145"/>
    </row>
    <row r="382" spans="1:3" s="114" customFormat="1">
      <c r="A382" s="145"/>
      <c r="B382" s="145"/>
      <c r="C382" s="145"/>
    </row>
    <row r="383" spans="1:3" s="114" customFormat="1">
      <c r="A383" s="145"/>
      <c r="B383" s="145"/>
      <c r="C383" s="145"/>
    </row>
    <row r="384" spans="1:3" s="114" customFormat="1">
      <c r="A384" s="145"/>
      <c r="B384" s="145"/>
      <c r="C384" s="145"/>
    </row>
    <row r="385" spans="1:3" s="114" customFormat="1">
      <c r="A385" s="145"/>
      <c r="B385" s="145"/>
      <c r="C385" s="145"/>
    </row>
    <row r="386" spans="1:3" s="114" customFormat="1">
      <c r="A386" s="145"/>
      <c r="B386" s="145"/>
      <c r="C386" s="145"/>
    </row>
    <row r="387" spans="1:3" s="114" customFormat="1">
      <c r="A387" s="145"/>
      <c r="B387" s="145"/>
      <c r="C387" s="145"/>
    </row>
    <row r="388" spans="1:3" s="114" customFormat="1">
      <c r="A388" s="145"/>
      <c r="B388" s="145"/>
      <c r="C388" s="145"/>
    </row>
    <row r="389" spans="1:3" s="114" customFormat="1">
      <c r="A389" s="145"/>
      <c r="B389" s="145"/>
      <c r="C389" s="145"/>
    </row>
    <row r="390" spans="1:3" s="114" customFormat="1">
      <c r="A390" s="145"/>
      <c r="B390" s="145"/>
      <c r="C390" s="145"/>
    </row>
    <row r="391" spans="1:3" s="114" customFormat="1">
      <c r="A391" s="145"/>
      <c r="B391" s="145"/>
      <c r="C391" s="145"/>
    </row>
    <row r="392" spans="1:3" s="114" customFormat="1">
      <c r="A392" s="145"/>
      <c r="B392" s="145"/>
      <c r="C392" s="145"/>
    </row>
    <row r="393" spans="1:3" s="114" customFormat="1">
      <c r="A393" s="145"/>
      <c r="B393" s="145"/>
      <c r="C393" s="145"/>
    </row>
    <row r="394" spans="1:3" s="114" customFormat="1">
      <c r="A394" s="145"/>
      <c r="B394" s="145"/>
      <c r="C394" s="145"/>
    </row>
    <row r="395" spans="1:3" s="114" customFormat="1">
      <c r="A395" s="145"/>
      <c r="B395" s="145"/>
      <c r="C395" s="145"/>
    </row>
    <row r="396" spans="1:3" s="114" customFormat="1">
      <c r="A396" s="145"/>
      <c r="B396" s="145"/>
      <c r="C396" s="145"/>
    </row>
    <row r="397" spans="1:3" s="114" customFormat="1">
      <c r="A397" s="145"/>
      <c r="B397" s="145"/>
      <c r="C397" s="145"/>
    </row>
    <row r="398" spans="1:3" s="114" customFormat="1">
      <c r="A398" s="145"/>
      <c r="B398" s="145"/>
      <c r="C398" s="145"/>
    </row>
    <row r="399" spans="1:3" s="114" customFormat="1">
      <c r="A399" s="145"/>
      <c r="B399" s="145"/>
      <c r="C399" s="145"/>
    </row>
    <row r="400" spans="1:3" s="114" customFormat="1">
      <c r="A400" s="145"/>
      <c r="B400" s="145"/>
      <c r="C400" s="145"/>
    </row>
    <row r="401" spans="1:3" s="114" customFormat="1">
      <c r="A401" s="145"/>
      <c r="B401" s="145"/>
      <c r="C401" s="145"/>
    </row>
    <row r="402" spans="1:3" s="114" customFormat="1">
      <c r="A402" s="145"/>
      <c r="B402" s="145"/>
      <c r="C402" s="145"/>
    </row>
    <row r="403" spans="1:3" s="114" customFormat="1">
      <c r="A403" s="145"/>
      <c r="B403" s="145"/>
      <c r="C403" s="145"/>
    </row>
    <row r="404" spans="1:3" s="114" customFormat="1">
      <c r="A404" s="145"/>
      <c r="B404" s="145"/>
      <c r="C404" s="145"/>
    </row>
    <row r="405" spans="1:3" s="114" customFormat="1">
      <c r="A405" s="145"/>
      <c r="B405" s="145"/>
      <c r="C405" s="145"/>
    </row>
    <row r="406" spans="1:3" s="114" customFormat="1">
      <c r="A406" s="145"/>
      <c r="B406" s="145"/>
      <c r="C406" s="145"/>
    </row>
    <row r="407" spans="1:3" s="114" customFormat="1">
      <c r="A407" s="145"/>
      <c r="B407" s="145"/>
      <c r="C407" s="145"/>
    </row>
    <row r="408" spans="1:3" s="114" customFormat="1">
      <c r="A408" s="145"/>
      <c r="B408" s="145"/>
      <c r="C408" s="145"/>
    </row>
    <row r="409" spans="1:3" s="114" customFormat="1">
      <c r="A409" s="145"/>
      <c r="B409" s="145"/>
      <c r="C409" s="145"/>
    </row>
    <row r="410" spans="1:3" s="114" customFormat="1">
      <c r="A410" s="145"/>
      <c r="B410" s="145"/>
      <c r="C410" s="145"/>
    </row>
    <row r="411" spans="1:3" s="114" customFormat="1">
      <c r="A411" s="145"/>
      <c r="B411" s="145"/>
      <c r="C411" s="145"/>
    </row>
    <row r="412" spans="1:3" s="114" customFormat="1">
      <c r="A412" s="145"/>
      <c r="B412" s="145"/>
      <c r="C412" s="145"/>
    </row>
    <row r="413" spans="1:3" s="114" customFormat="1">
      <c r="A413" s="145"/>
      <c r="B413" s="145"/>
      <c r="C413" s="145"/>
    </row>
    <row r="414" spans="1:3" s="114" customFormat="1">
      <c r="A414" s="145"/>
      <c r="B414" s="145"/>
      <c r="C414" s="145"/>
    </row>
    <row r="415" spans="1:3" s="114" customFormat="1">
      <c r="A415" s="145"/>
      <c r="B415" s="145"/>
      <c r="C415" s="145"/>
    </row>
    <row r="416" spans="1:3" s="114" customFormat="1">
      <c r="A416" s="145"/>
      <c r="B416" s="145"/>
      <c r="C416" s="145"/>
    </row>
    <row r="417" spans="1:3" s="114" customFormat="1">
      <c r="A417" s="145"/>
      <c r="B417" s="145"/>
      <c r="C417" s="145"/>
    </row>
    <row r="418" spans="1:3" s="114" customFormat="1">
      <c r="A418" s="145"/>
      <c r="B418" s="145"/>
      <c r="C418" s="145"/>
    </row>
    <row r="419" spans="1:3" s="114" customFormat="1">
      <c r="A419" s="145"/>
      <c r="B419" s="145"/>
      <c r="C419" s="145"/>
    </row>
    <row r="420" spans="1:3" s="114" customFormat="1">
      <c r="A420" s="145"/>
      <c r="B420" s="145"/>
      <c r="C420" s="145"/>
    </row>
    <row r="421" spans="1:3" s="114" customFormat="1">
      <c r="A421" s="145"/>
      <c r="B421" s="145"/>
      <c r="C421" s="145"/>
    </row>
    <row r="422" spans="1:3" s="114" customFormat="1">
      <c r="A422" s="145"/>
      <c r="B422" s="145"/>
      <c r="C422" s="145"/>
    </row>
    <row r="423" spans="1:3" s="114" customFormat="1">
      <c r="A423" s="145"/>
      <c r="B423" s="145"/>
      <c r="C423" s="145"/>
    </row>
    <row r="424" spans="1:3" s="114" customFormat="1">
      <c r="A424" s="145"/>
      <c r="B424" s="145"/>
      <c r="C424" s="145"/>
    </row>
    <row r="425" spans="1:3" s="114" customFormat="1">
      <c r="A425" s="145"/>
      <c r="B425" s="145"/>
      <c r="C425" s="145"/>
    </row>
    <row r="426" spans="1:3" s="114" customFormat="1">
      <c r="A426" s="145"/>
      <c r="B426" s="145"/>
      <c r="C426" s="145"/>
    </row>
    <row r="427" spans="1:3" s="114" customFormat="1">
      <c r="A427" s="145"/>
      <c r="B427" s="145"/>
      <c r="C427" s="145"/>
    </row>
    <row r="428" spans="1:3" s="114" customFormat="1">
      <c r="A428" s="145"/>
      <c r="B428" s="145"/>
      <c r="C428" s="145"/>
    </row>
    <row r="429" spans="1:3" s="114" customFormat="1">
      <c r="A429" s="145"/>
      <c r="B429" s="145"/>
      <c r="C429" s="145"/>
    </row>
    <row r="430" spans="1:3" s="114" customFormat="1">
      <c r="A430" s="145"/>
      <c r="B430" s="145"/>
      <c r="C430" s="145"/>
    </row>
    <row r="431" spans="1:3" s="114" customFormat="1">
      <c r="A431" s="145"/>
      <c r="B431" s="145"/>
      <c r="C431" s="145"/>
    </row>
    <row r="432" spans="1:3" s="114" customFormat="1">
      <c r="A432" s="145"/>
      <c r="B432" s="145"/>
      <c r="C432" s="145"/>
    </row>
    <row r="433" spans="1:3" s="114" customFormat="1">
      <c r="A433" s="145"/>
      <c r="B433" s="145"/>
      <c r="C433" s="145"/>
    </row>
    <row r="434" spans="1:3" s="114" customFormat="1">
      <c r="A434" s="145"/>
      <c r="B434" s="145"/>
      <c r="C434" s="145"/>
    </row>
    <row r="435" spans="1:3" s="114" customFormat="1">
      <c r="A435" s="145"/>
      <c r="B435" s="145"/>
      <c r="C435" s="145"/>
    </row>
    <row r="436" spans="1:3" s="114" customFormat="1">
      <c r="A436" s="145"/>
      <c r="B436" s="145"/>
      <c r="C436" s="145"/>
    </row>
    <row r="437" spans="1:3" s="114" customFormat="1">
      <c r="A437" s="145"/>
      <c r="B437" s="145"/>
      <c r="C437" s="145"/>
    </row>
    <row r="438" spans="1:3" s="114" customFormat="1">
      <c r="A438" s="145"/>
      <c r="B438" s="145"/>
      <c r="C438" s="145"/>
    </row>
    <row r="439" spans="1:3" s="114" customFormat="1">
      <c r="A439" s="145"/>
      <c r="B439" s="145"/>
      <c r="C439" s="145"/>
    </row>
    <row r="440" spans="1:3" s="114" customFormat="1">
      <c r="A440" s="145"/>
      <c r="B440" s="145"/>
      <c r="C440" s="145"/>
    </row>
    <row r="441" spans="1:3" s="114" customFormat="1">
      <c r="A441" s="145"/>
      <c r="B441" s="145"/>
      <c r="C441" s="145"/>
    </row>
    <row r="442" spans="1:3" s="114" customFormat="1">
      <c r="A442" s="145"/>
      <c r="B442" s="145"/>
      <c r="C442" s="145"/>
    </row>
    <row r="443" spans="1:3" s="114" customFormat="1">
      <c r="A443" s="145"/>
      <c r="B443" s="145"/>
      <c r="C443" s="145"/>
    </row>
    <row r="444" spans="1:3" s="114" customFormat="1">
      <c r="A444" s="145"/>
      <c r="B444" s="145"/>
      <c r="C444" s="145"/>
    </row>
    <row r="445" spans="1:3" s="114" customFormat="1">
      <c r="A445" s="145"/>
      <c r="B445" s="145"/>
      <c r="C445" s="145"/>
    </row>
    <row r="446" spans="1:3" s="114" customFormat="1">
      <c r="A446" s="145"/>
      <c r="B446" s="145"/>
      <c r="C446" s="145"/>
    </row>
    <row r="447" spans="1:3" s="114" customFormat="1">
      <c r="A447" s="145"/>
      <c r="B447" s="145"/>
      <c r="C447" s="145"/>
    </row>
    <row r="448" spans="1:3" s="114" customFormat="1">
      <c r="A448" s="145"/>
      <c r="B448" s="145"/>
      <c r="C448" s="145"/>
    </row>
    <row r="449" spans="1:3" s="114" customFormat="1">
      <c r="A449" s="145"/>
      <c r="B449" s="145"/>
      <c r="C449" s="145"/>
    </row>
    <row r="450" spans="1:3" s="114" customFormat="1">
      <c r="A450" s="145"/>
      <c r="B450" s="145"/>
      <c r="C450" s="145"/>
    </row>
    <row r="451" spans="1:3" s="114" customFormat="1">
      <c r="A451" s="145"/>
      <c r="B451" s="145"/>
      <c r="C451" s="145"/>
    </row>
    <row r="452" spans="1:3" s="114" customFormat="1">
      <c r="A452" s="145"/>
      <c r="B452" s="145"/>
      <c r="C452" s="145"/>
    </row>
    <row r="453" spans="1:3" s="114" customFormat="1">
      <c r="A453" s="145"/>
      <c r="B453" s="145"/>
      <c r="C453" s="145"/>
    </row>
    <row r="454" spans="1:3" s="114" customFormat="1">
      <c r="A454" s="145"/>
      <c r="B454" s="145"/>
      <c r="C454" s="145"/>
    </row>
    <row r="455" spans="1:3" s="114" customFormat="1">
      <c r="A455" s="145"/>
      <c r="B455" s="145"/>
      <c r="C455" s="145"/>
    </row>
    <row r="456" spans="1:3" s="114" customFormat="1">
      <c r="A456" s="145"/>
      <c r="B456" s="145"/>
      <c r="C456" s="145"/>
    </row>
    <row r="457" spans="1:3" s="114" customFormat="1">
      <c r="A457" s="145"/>
      <c r="B457" s="145"/>
      <c r="C457" s="145"/>
    </row>
    <row r="458" spans="1:3" s="114" customFormat="1">
      <c r="A458" s="145"/>
      <c r="B458" s="145"/>
      <c r="C458" s="145"/>
    </row>
    <row r="459" spans="1:3" s="114" customFormat="1">
      <c r="A459" s="145"/>
      <c r="B459" s="145"/>
      <c r="C459" s="145"/>
    </row>
    <row r="460" spans="1:3" s="114" customFormat="1">
      <c r="A460" s="145"/>
      <c r="B460" s="145"/>
      <c r="C460" s="145"/>
    </row>
    <row r="461" spans="1:3" s="114" customFormat="1">
      <c r="A461" s="145"/>
      <c r="B461" s="145"/>
      <c r="C461" s="145"/>
    </row>
    <row r="462" spans="1:3" s="114" customFormat="1">
      <c r="A462" s="145"/>
      <c r="B462" s="145"/>
      <c r="C462" s="145"/>
    </row>
    <row r="463" spans="1:3" s="114" customFormat="1">
      <c r="A463" s="145"/>
      <c r="B463" s="145"/>
      <c r="C463" s="145"/>
    </row>
    <row r="464" spans="1:3" s="114" customFormat="1">
      <c r="A464" s="145"/>
      <c r="B464" s="145"/>
      <c r="C464" s="145"/>
    </row>
    <row r="465" spans="1:3" s="114" customFormat="1">
      <c r="A465" s="145"/>
      <c r="B465" s="145"/>
      <c r="C465" s="145"/>
    </row>
    <row r="466" spans="1:3" s="114" customFormat="1">
      <c r="A466" s="145"/>
      <c r="B466" s="145"/>
      <c r="C466" s="145"/>
    </row>
    <row r="467" spans="1:3" s="114" customFormat="1">
      <c r="A467" s="145"/>
      <c r="B467" s="145"/>
      <c r="C467" s="145"/>
    </row>
    <row r="468" spans="1:3" s="114" customFormat="1">
      <c r="A468" s="145"/>
      <c r="B468" s="145"/>
      <c r="C468" s="145"/>
    </row>
    <row r="469" spans="1:3" s="114" customFormat="1">
      <c r="A469" s="145"/>
      <c r="B469" s="145"/>
      <c r="C469" s="145"/>
    </row>
    <row r="470" spans="1:3" s="114" customFormat="1">
      <c r="A470" s="145"/>
      <c r="B470" s="145"/>
      <c r="C470" s="145"/>
    </row>
    <row r="471" spans="1:3" s="114" customFormat="1">
      <c r="A471" s="145"/>
      <c r="B471" s="145"/>
      <c r="C471" s="145"/>
    </row>
    <row r="472" spans="1:3" s="114" customFormat="1">
      <c r="A472" s="145"/>
      <c r="B472" s="145"/>
      <c r="C472" s="145"/>
    </row>
    <row r="473" spans="1:3" s="114" customFormat="1">
      <c r="A473" s="145"/>
      <c r="B473" s="145"/>
      <c r="C473" s="145"/>
    </row>
    <row r="474" spans="1:3" s="114" customFormat="1">
      <c r="A474" s="145"/>
      <c r="B474" s="145"/>
      <c r="C474" s="145"/>
    </row>
    <row r="475" spans="1:3" s="114" customFormat="1">
      <c r="A475" s="145"/>
      <c r="B475" s="145"/>
      <c r="C475" s="145"/>
    </row>
    <row r="476" spans="1:3" s="114" customFormat="1">
      <c r="A476" s="145"/>
      <c r="B476" s="145"/>
      <c r="C476" s="145"/>
    </row>
    <row r="477" spans="1:3" s="114" customFormat="1">
      <c r="A477" s="145"/>
      <c r="B477" s="145"/>
      <c r="C477" s="145"/>
    </row>
    <row r="478" spans="1:3" s="114" customFormat="1">
      <c r="A478" s="145"/>
      <c r="B478" s="145"/>
      <c r="C478" s="145"/>
    </row>
    <row r="479" spans="1:3" s="114" customFormat="1">
      <c r="A479" s="145"/>
      <c r="B479" s="145"/>
      <c r="C479" s="145"/>
    </row>
    <row r="480" spans="1:3" s="114" customFormat="1">
      <c r="A480" s="145"/>
      <c r="B480" s="145"/>
      <c r="C480" s="145"/>
    </row>
    <row r="481" spans="1:3" s="114" customFormat="1">
      <c r="A481" s="145"/>
      <c r="B481" s="145"/>
      <c r="C481" s="145"/>
    </row>
    <row r="482" spans="1:3" s="114" customFormat="1">
      <c r="A482" s="145"/>
      <c r="B482" s="145"/>
      <c r="C482" s="145"/>
    </row>
    <row r="483" spans="1:3" s="114" customFormat="1">
      <c r="A483" s="145"/>
      <c r="B483" s="145"/>
      <c r="C483" s="145"/>
    </row>
    <row r="484" spans="1:3" s="114" customFormat="1">
      <c r="A484" s="145"/>
      <c r="B484" s="145"/>
      <c r="C484" s="145"/>
    </row>
    <row r="485" spans="1:3" s="114" customFormat="1">
      <c r="A485" s="145"/>
      <c r="B485" s="145"/>
      <c r="C485" s="145"/>
    </row>
    <row r="486" spans="1:3" s="114" customFormat="1">
      <c r="A486" s="145"/>
      <c r="B486" s="145"/>
      <c r="C486" s="145"/>
    </row>
    <row r="487" spans="1:3" s="114" customFormat="1">
      <c r="A487" s="145"/>
      <c r="B487" s="145"/>
      <c r="C487" s="145"/>
    </row>
    <row r="488" spans="1:3" s="114" customFormat="1">
      <c r="A488" s="145"/>
      <c r="B488" s="145"/>
      <c r="C488" s="145"/>
    </row>
    <row r="489" spans="1:3" s="114" customFormat="1">
      <c r="A489" s="145"/>
      <c r="B489" s="145"/>
      <c r="C489" s="145"/>
    </row>
    <row r="490" spans="1:3" s="114" customFormat="1">
      <c r="A490" s="145"/>
      <c r="B490" s="145"/>
      <c r="C490" s="145"/>
    </row>
    <row r="491" spans="1:3" s="114" customFormat="1">
      <c r="A491" s="145"/>
      <c r="B491" s="145"/>
      <c r="C491" s="145"/>
    </row>
    <row r="492" spans="1:3" s="114" customFormat="1">
      <c r="A492" s="145"/>
      <c r="B492" s="145"/>
      <c r="C492" s="145"/>
    </row>
    <row r="493" spans="1:3" s="114" customFormat="1">
      <c r="A493" s="145"/>
      <c r="B493" s="145"/>
      <c r="C493" s="145"/>
    </row>
    <row r="494" spans="1:3" s="114" customFormat="1">
      <c r="A494" s="145"/>
      <c r="B494" s="145"/>
      <c r="C494" s="145"/>
    </row>
    <row r="495" spans="1:3" s="114" customFormat="1">
      <c r="A495" s="145"/>
      <c r="B495" s="145"/>
      <c r="C495" s="145"/>
    </row>
    <row r="496" spans="1:3" s="114" customFormat="1">
      <c r="A496" s="145"/>
      <c r="B496" s="145"/>
      <c r="C496" s="145"/>
    </row>
    <row r="497" spans="1:3" s="114" customFormat="1">
      <c r="A497" s="145"/>
      <c r="B497" s="145"/>
      <c r="C497" s="145"/>
    </row>
    <row r="498" spans="1:3" s="114" customFormat="1">
      <c r="A498" s="145"/>
      <c r="B498" s="145"/>
      <c r="C498" s="145"/>
    </row>
    <row r="499" spans="1:3" s="114" customFormat="1">
      <c r="A499" s="145"/>
      <c r="B499" s="145"/>
      <c r="C499" s="145"/>
    </row>
    <row r="500" spans="1:3" s="114" customFormat="1">
      <c r="A500" s="145"/>
      <c r="B500" s="145"/>
      <c r="C500" s="145"/>
    </row>
    <row r="501" spans="1:3" s="114" customFormat="1">
      <c r="A501" s="145"/>
      <c r="B501" s="145"/>
      <c r="C501" s="145"/>
    </row>
    <row r="502" spans="1:3" s="114" customFormat="1">
      <c r="A502" s="145"/>
      <c r="B502" s="145"/>
      <c r="C502" s="145"/>
    </row>
    <row r="503" spans="1:3" s="114" customFormat="1">
      <c r="A503" s="145"/>
      <c r="B503" s="145"/>
      <c r="C503" s="145"/>
    </row>
    <row r="504" spans="1:3" s="114" customFormat="1">
      <c r="A504" s="145"/>
      <c r="B504" s="145"/>
      <c r="C504" s="145"/>
    </row>
    <row r="505" spans="1:3" s="114" customFormat="1">
      <c r="A505" s="145"/>
      <c r="B505" s="145"/>
      <c r="C505" s="145"/>
    </row>
    <row r="506" spans="1:3" s="114" customFormat="1">
      <c r="A506" s="145"/>
      <c r="B506" s="145"/>
      <c r="C506" s="145"/>
    </row>
    <row r="507" spans="1:3" s="114" customFormat="1">
      <c r="A507" s="145"/>
      <c r="B507" s="145"/>
      <c r="C507" s="145"/>
    </row>
    <row r="508" spans="1:3" s="114" customFormat="1">
      <c r="A508" s="145"/>
      <c r="B508" s="145"/>
      <c r="C508" s="145"/>
    </row>
    <row r="509" spans="1:3" s="114" customFormat="1">
      <c r="A509" s="145"/>
      <c r="B509" s="145"/>
      <c r="C509" s="145"/>
    </row>
    <row r="510" spans="1:3" s="114" customFormat="1">
      <c r="A510" s="145"/>
      <c r="B510" s="145"/>
      <c r="C510" s="145"/>
    </row>
    <row r="511" spans="1:3" s="114" customFormat="1">
      <c r="A511" s="145"/>
      <c r="B511" s="145"/>
      <c r="C511" s="145"/>
    </row>
    <row r="512" spans="1:3" s="114" customFormat="1">
      <c r="A512" s="145"/>
      <c r="B512" s="145"/>
      <c r="C512" s="145"/>
    </row>
    <row r="513" spans="1:3" s="114" customFormat="1">
      <c r="A513" s="145"/>
      <c r="B513" s="145"/>
      <c r="C513" s="145"/>
    </row>
    <row r="514" spans="1:3" s="114" customFormat="1">
      <c r="A514" s="145"/>
      <c r="B514" s="145"/>
      <c r="C514" s="145"/>
    </row>
    <row r="515" spans="1:3" s="114" customFormat="1">
      <c r="A515" s="145"/>
      <c r="B515" s="145"/>
      <c r="C515" s="145"/>
    </row>
    <row r="516" spans="1:3" s="114" customFormat="1">
      <c r="A516" s="145"/>
      <c r="B516" s="145"/>
      <c r="C516" s="145"/>
    </row>
    <row r="517" spans="1:3" s="114" customFormat="1">
      <c r="A517" s="145"/>
      <c r="B517" s="145"/>
      <c r="C517" s="145"/>
    </row>
    <row r="518" spans="1:3" s="114" customFormat="1">
      <c r="A518" s="145"/>
      <c r="B518" s="145"/>
      <c r="C518" s="145"/>
    </row>
    <row r="519" spans="1:3" s="114" customFormat="1">
      <c r="A519" s="145"/>
      <c r="B519" s="145"/>
      <c r="C519" s="145"/>
    </row>
    <row r="520" spans="1:3" s="114" customFormat="1">
      <c r="A520" s="145"/>
      <c r="B520" s="145"/>
      <c r="C520" s="145"/>
    </row>
    <row r="521" spans="1:3" s="114" customFormat="1">
      <c r="A521" s="145"/>
      <c r="B521" s="145"/>
      <c r="C521" s="145"/>
    </row>
    <row r="522" spans="1:3" s="114" customFormat="1">
      <c r="A522" s="145"/>
      <c r="B522" s="145"/>
      <c r="C522" s="145"/>
    </row>
    <row r="523" spans="1:3" s="114" customFormat="1">
      <c r="A523" s="145"/>
      <c r="B523" s="145"/>
      <c r="C523" s="145"/>
    </row>
    <row r="524" spans="1:3" s="114" customFormat="1">
      <c r="A524" s="145"/>
      <c r="B524" s="145"/>
      <c r="C524" s="145"/>
    </row>
    <row r="525" spans="1:3" s="114" customFormat="1">
      <c r="A525" s="145"/>
      <c r="B525" s="145"/>
      <c r="C525" s="145"/>
    </row>
    <row r="526" spans="1:3" s="114" customFormat="1">
      <c r="A526" s="145"/>
      <c r="B526" s="145"/>
      <c r="C526" s="145"/>
    </row>
    <row r="527" spans="1:3" s="114" customFormat="1">
      <c r="A527" s="145"/>
      <c r="B527" s="145"/>
      <c r="C527" s="145"/>
    </row>
    <row r="528" spans="1:3" s="114" customFormat="1">
      <c r="A528" s="145"/>
      <c r="B528" s="145"/>
      <c r="C528" s="145"/>
    </row>
    <row r="529" spans="1:3" s="114" customFormat="1">
      <c r="A529" s="145"/>
      <c r="B529" s="145"/>
      <c r="C529" s="145"/>
    </row>
    <row r="530" spans="1:3" s="114" customFormat="1">
      <c r="A530" s="145"/>
      <c r="B530" s="145"/>
      <c r="C530" s="145"/>
    </row>
    <row r="531" spans="1:3" s="114" customFormat="1">
      <c r="A531" s="145"/>
      <c r="B531" s="145"/>
      <c r="C531" s="145"/>
    </row>
    <row r="532" spans="1:3" s="114" customFormat="1">
      <c r="A532" s="145"/>
      <c r="B532" s="145"/>
      <c r="C532" s="145"/>
    </row>
    <row r="533" spans="1:3" s="114" customFormat="1">
      <c r="A533" s="145"/>
      <c r="B533" s="145"/>
      <c r="C533" s="145"/>
    </row>
    <row r="534" spans="1:3" s="114" customFormat="1">
      <c r="A534" s="145"/>
      <c r="B534" s="145"/>
      <c r="C534" s="145"/>
    </row>
    <row r="535" spans="1:3" s="114" customFormat="1">
      <c r="A535" s="145"/>
      <c r="B535" s="145"/>
      <c r="C535" s="145"/>
    </row>
    <row r="536" spans="1:3" s="114" customFormat="1">
      <c r="A536" s="145"/>
      <c r="B536" s="145"/>
      <c r="C536" s="145"/>
    </row>
    <row r="537" spans="1:3" s="114" customFormat="1">
      <c r="A537" s="145"/>
      <c r="B537" s="145"/>
      <c r="C537" s="145"/>
    </row>
    <row r="538" spans="1:3" s="114" customFormat="1">
      <c r="A538" s="145"/>
      <c r="B538" s="145"/>
      <c r="C538" s="145"/>
    </row>
    <row r="539" spans="1:3" s="114" customFormat="1">
      <c r="A539" s="145"/>
      <c r="B539" s="145"/>
      <c r="C539" s="145"/>
    </row>
    <row r="540" spans="1:3" s="114" customFormat="1">
      <c r="A540" s="145"/>
      <c r="B540" s="145"/>
      <c r="C540" s="145"/>
    </row>
    <row r="541" spans="1:3" s="114" customFormat="1">
      <c r="A541" s="145"/>
      <c r="B541" s="145"/>
      <c r="C541" s="145"/>
    </row>
    <row r="542" spans="1:3" s="114" customFormat="1">
      <c r="A542" s="145"/>
      <c r="B542" s="145"/>
      <c r="C542" s="145"/>
    </row>
    <row r="543" spans="1:3" s="114" customFormat="1">
      <c r="A543" s="145"/>
      <c r="B543" s="145"/>
      <c r="C543" s="145"/>
    </row>
    <row r="544" spans="1:3" s="114" customFormat="1">
      <c r="A544" s="145"/>
      <c r="B544" s="145"/>
      <c r="C544" s="145"/>
    </row>
    <row r="545" spans="1:3" s="114" customFormat="1">
      <c r="A545" s="145"/>
      <c r="B545" s="145"/>
      <c r="C545" s="145"/>
    </row>
    <row r="546" spans="1:3" s="114" customFormat="1">
      <c r="A546" s="145"/>
      <c r="B546" s="145"/>
      <c r="C546" s="145"/>
    </row>
    <row r="547" spans="1:3" s="114" customFormat="1">
      <c r="A547" s="145"/>
      <c r="B547" s="145"/>
      <c r="C547" s="145"/>
    </row>
    <row r="548" spans="1:3" s="114" customFormat="1">
      <c r="A548" s="145"/>
      <c r="B548" s="145"/>
      <c r="C548" s="145"/>
    </row>
    <row r="549" spans="1:3" s="114" customFormat="1">
      <c r="A549" s="145"/>
      <c r="B549" s="145"/>
      <c r="C549" s="145"/>
    </row>
    <row r="550" spans="1:3" s="114" customFormat="1">
      <c r="A550" s="145"/>
      <c r="B550" s="145"/>
      <c r="C550" s="145"/>
    </row>
    <row r="551" spans="1:3" s="114" customFormat="1">
      <c r="A551" s="145"/>
      <c r="B551" s="145"/>
      <c r="C551" s="145"/>
    </row>
    <row r="552" spans="1:3" s="114" customFormat="1">
      <c r="A552" s="145"/>
      <c r="B552" s="145"/>
      <c r="C552" s="145"/>
    </row>
    <row r="553" spans="1:3" s="114" customFormat="1">
      <c r="A553" s="145"/>
      <c r="B553" s="145"/>
      <c r="C553" s="145"/>
    </row>
    <row r="554" spans="1:3" s="114" customFormat="1">
      <c r="A554" s="145"/>
      <c r="B554" s="145"/>
      <c r="C554" s="145"/>
    </row>
    <row r="555" spans="1:3" s="114" customFormat="1">
      <c r="A555" s="145"/>
      <c r="B555" s="145"/>
      <c r="C555" s="145"/>
    </row>
    <row r="556" spans="1:3" s="114" customFormat="1">
      <c r="A556" s="145"/>
      <c r="B556" s="145"/>
      <c r="C556" s="145"/>
    </row>
    <row r="557" spans="1:3" s="114" customFormat="1">
      <c r="A557" s="145"/>
      <c r="B557" s="145"/>
      <c r="C557" s="145"/>
    </row>
    <row r="558" spans="1:3" s="114" customFormat="1">
      <c r="A558" s="145"/>
      <c r="B558" s="145"/>
      <c r="C558" s="145"/>
    </row>
    <row r="559" spans="1:3" s="114" customFormat="1">
      <c r="A559" s="145"/>
      <c r="B559" s="145"/>
      <c r="C559" s="145"/>
    </row>
    <row r="560" spans="1:3" s="114" customFormat="1">
      <c r="A560" s="145"/>
      <c r="B560" s="145"/>
      <c r="C560" s="145"/>
    </row>
    <row r="561" spans="1:3" s="114" customFormat="1">
      <c r="A561" s="145"/>
      <c r="B561" s="145"/>
      <c r="C561" s="145"/>
    </row>
    <row r="562" spans="1:3" s="114" customFormat="1">
      <c r="A562" s="145"/>
      <c r="B562" s="145"/>
      <c r="C562" s="145"/>
    </row>
    <row r="563" spans="1:3" s="114" customFormat="1">
      <c r="A563" s="145"/>
      <c r="B563" s="145"/>
      <c r="C563" s="145"/>
    </row>
    <row r="564" spans="1:3" s="114" customFormat="1">
      <c r="A564" s="145"/>
      <c r="B564" s="145"/>
      <c r="C564" s="145"/>
    </row>
    <row r="565" spans="1:3" s="114" customFormat="1">
      <c r="A565" s="145"/>
      <c r="B565" s="145"/>
      <c r="C565" s="145"/>
    </row>
    <row r="566" spans="1:3" s="114" customFormat="1">
      <c r="A566" s="145"/>
      <c r="B566" s="145"/>
      <c r="C566" s="145"/>
    </row>
    <row r="567" spans="1:3" s="114" customFormat="1">
      <c r="A567" s="145"/>
      <c r="B567" s="145"/>
      <c r="C567" s="145"/>
    </row>
    <row r="568" spans="1:3" s="114" customFormat="1">
      <c r="A568" s="145"/>
      <c r="B568" s="145"/>
      <c r="C568" s="145"/>
    </row>
    <row r="569" spans="1:3" s="114" customFormat="1">
      <c r="A569" s="145"/>
      <c r="B569" s="145"/>
      <c r="C569" s="145"/>
    </row>
    <row r="570" spans="1:3" s="114" customFormat="1">
      <c r="A570" s="145"/>
      <c r="B570" s="145"/>
      <c r="C570" s="145"/>
    </row>
    <row r="571" spans="1:3" s="114" customFormat="1">
      <c r="A571" s="145"/>
      <c r="B571" s="145"/>
      <c r="C571" s="145"/>
    </row>
    <row r="572" spans="1:3" s="114" customFormat="1">
      <c r="A572" s="145"/>
      <c r="B572" s="145"/>
      <c r="C572" s="145"/>
    </row>
    <row r="573" spans="1:3" s="114" customFormat="1">
      <c r="A573" s="145"/>
      <c r="B573" s="145"/>
      <c r="C573" s="145"/>
    </row>
    <row r="574" spans="1:3" s="114" customFormat="1">
      <c r="A574" s="145"/>
      <c r="B574" s="145"/>
      <c r="C574" s="145"/>
    </row>
    <row r="575" spans="1:3" s="114" customFormat="1">
      <c r="A575" s="145"/>
      <c r="B575" s="145"/>
      <c r="C575" s="145"/>
    </row>
    <row r="576" spans="1:3" s="114" customFormat="1">
      <c r="A576" s="145"/>
      <c r="B576" s="145"/>
      <c r="C576" s="145"/>
    </row>
    <row r="577" spans="1:3" s="114" customFormat="1">
      <c r="A577" s="145"/>
      <c r="B577" s="145"/>
      <c r="C577" s="145"/>
    </row>
    <row r="578" spans="1:3" s="114" customFormat="1">
      <c r="A578" s="145"/>
      <c r="B578" s="145"/>
      <c r="C578" s="145"/>
    </row>
    <row r="579" spans="1:3" s="114" customFormat="1">
      <c r="A579" s="145"/>
      <c r="B579" s="145"/>
      <c r="C579" s="145"/>
    </row>
    <row r="580" spans="1:3" s="114" customFormat="1">
      <c r="A580" s="145"/>
      <c r="B580" s="145"/>
      <c r="C580" s="145"/>
    </row>
    <row r="581" spans="1:3" s="114" customFormat="1">
      <c r="A581" s="145"/>
      <c r="B581" s="145"/>
      <c r="C581" s="145"/>
    </row>
    <row r="582" spans="1:3" s="114" customFormat="1">
      <c r="A582" s="145"/>
      <c r="B582" s="145"/>
      <c r="C582" s="145"/>
    </row>
    <row r="583" spans="1:3" s="114" customFormat="1">
      <c r="A583" s="145"/>
      <c r="B583" s="145"/>
      <c r="C583" s="145"/>
    </row>
    <row r="584" spans="1:3" s="114" customFormat="1">
      <c r="A584" s="145"/>
      <c r="B584" s="145"/>
      <c r="C584" s="145"/>
    </row>
    <row r="585" spans="1:3" s="114" customFormat="1">
      <c r="A585" s="145"/>
      <c r="B585" s="145"/>
      <c r="C585" s="145"/>
    </row>
    <row r="586" spans="1:3" s="114" customFormat="1">
      <c r="A586" s="145"/>
      <c r="B586" s="145"/>
      <c r="C586" s="145"/>
    </row>
    <row r="587" spans="1:3" s="114" customFormat="1">
      <c r="A587" s="145"/>
      <c r="B587" s="145"/>
      <c r="C587" s="145"/>
    </row>
    <row r="588" spans="1:3" s="114" customFormat="1">
      <c r="A588" s="145"/>
      <c r="B588" s="145"/>
      <c r="C588" s="145"/>
    </row>
    <row r="589" spans="1:3" s="114" customFormat="1">
      <c r="A589" s="145"/>
      <c r="B589" s="145"/>
      <c r="C589" s="145"/>
    </row>
    <row r="590" spans="1:3" s="114" customFormat="1">
      <c r="A590" s="145"/>
      <c r="B590" s="145"/>
      <c r="C590" s="145"/>
    </row>
    <row r="591" spans="1:3" s="114" customFormat="1">
      <c r="A591" s="145"/>
      <c r="B591" s="145"/>
      <c r="C591" s="145"/>
    </row>
    <row r="592" spans="1:3" s="114" customFormat="1">
      <c r="A592" s="145"/>
      <c r="B592" s="145"/>
      <c r="C592" s="145"/>
    </row>
    <row r="593" spans="1:3" s="114" customFormat="1">
      <c r="A593" s="145"/>
      <c r="B593" s="145"/>
      <c r="C593" s="145"/>
    </row>
    <row r="594" spans="1:3" s="114" customFormat="1">
      <c r="A594" s="145"/>
      <c r="B594" s="145"/>
      <c r="C594" s="145"/>
    </row>
    <row r="595" spans="1:3" s="114" customFormat="1">
      <c r="A595" s="145"/>
      <c r="B595" s="145"/>
      <c r="C595" s="145"/>
    </row>
    <row r="596" spans="1:3" s="114" customFormat="1">
      <c r="A596" s="145"/>
      <c r="B596" s="145"/>
      <c r="C596" s="145"/>
    </row>
    <row r="597" spans="1:3" s="114" customFormat="1">
      <c r="A597" s="145"/>
      <c r="B597" s="145"/>
      <c r="C597" s="145"/>
    </row>
    <row r="598" spans="1:3" s="114" customFormat="1">
      <c r="A598" s="145"/>
      <c r="B598" s="145"/>
      <c r="C598" s="145"/>
    </row>
    <row r="599" spans="1:3" s="114" customFormat="1">
      <c r="A599" s="145"/>
      <c r="B599" s="145"/>
      <c r="C599" s="145"/>
    </row>
    <row r="600" spans="1:3" s="114" customFormat="1">
      <c r="A600" s="145"/>
      <c r="B600" s="145"/>
      <c r="C600" s="145"/>
    </row>
    <row r="601" spans="1:3" s="114" customFormat="1">
      <c r="A601" s="145"/>
      <c r="B601" s="145"/>
      <c r="C601" s="145"/>
    </row>
    <row r="602" spans="1:3" s="114" customFormat="1">
      <c r="A602" s="145"/>
      <c r="B602" s="145"/>
      <c r="C602" s="145"/>
    </row>
    <row r="603" spans="1:3" s="114" customFormat="1">
      <c r="A603" s="145"/>
      <c r="B603" s="145"/>
      <c r="C603" s="145"/>
    </row>
    <row r="604" spans="1:3" s="114" customFormat="1">
      <c r="A604" s="145"/>
      <c r="B604" s="145"/>
      <c r="C604" s="145"/>
    </row>
    <row r="605" spans="1:3" s="114" customFormat="1">
      <c r="A605" s="145"/>
      <c r="B605" s="145"/>
      <c r="C605" s="145"/>
    </row>
    <row r="606" spans="1:3" s="114" customFormat="1">
      <c r="A606" s="145"/>
      <c r="B606" s="145"/>
      <c r="C606" s="145"/>
    </row>
    <row r="607" spans="1:3" s="114" customFormat="1">
      <c r="A607" s="145"/>
      <c r="B607" s="145"/>
      <c r="C607" s="145"/>
    </row>
    <row r="608" spans="1:3" s="114" customFormat="1">
      <c r="A608" s="145"/>
      <c r="B608" s="145"/>
      <c r="C608" s="145"/>
    </row>
    <row r="609" spans="1:3" s="114" customFormat="1">
      <c r="A609" s="145"/>
      <c r="B609" s="145"/>
      <c r="C609" s="145"/>
    </row>
    <row r="610" spans="1:3" s="114" customFormat="1">
      <c r="A610" s="145"/>
      <c r="B610" s="145"/>
      <c r="C610" s="145"/>
    </row>
    <row r="611" spans="1:3" s="114" customFormat="1">
      <c r="A611" s="145"/>
      <c r="B611" s="145"/>
      <c r="C611" s="145"/>
    </row>
    <row r="612" spans="1:3" s="114" customFormat="1">
      <c r="A612" s="145"/>
      <c r="B612" s="145"/>
      <c r="C612" s="145"/>
    </row>
    <row r="613" spans="1:3" s="114" customFormat="1">
      <c r="A613" s="145"/>
      <c r="B613" s="145"/>
      <c r="C613" s="145"/>
    </row>
    <row r="614" spans="1:3" s="114" customFormat="1">
      <c r="A614" s="145"/>
      <c r="B614" s="145"/>
      <c r="C614" s="145"/>
    </row>
    <row r="615" spans="1:3" s="114" customFormat="1">
      <c r="A615" s="145"/>
      <c r="B615" s="145"/>
      <c r="C615" s="145"/>
    </row>
    <row r="616" spans="1:3" s="114" customFormat="1">
      <c r="A616" s="145"/>
      <c r="B616" s="145"/>
      <c r="C616" s="145"/>
    </row>
    <row r="617" spans="1:3" s="114" customFormat="1">
      <c r="A617" s="145"/>
      <c r="B617" s="145"/>
      <c r="C617" s="145"/>
    </row>
    <row r="618" spans="1:3" s="114" customFormat="1">
      <c r="A618" s="145"/>
      <c r="B618" s="145"/>
      <c r="C618" s="145"/>
    </row>
    <row r="619" spans="1:3" s="114" customFormat="1">
      <c r="A619" s="145"/>
      <c r="B619" s="145"/>
      <c r="C619" s="145"/>
    </row>
    <row r="620" spans="1:3" s="114" customFormat="1">
      <c r="A620" s="145"/>
      <c r="B620" s="145"/>
      <c r="C620" s="145"/>
    </row>
    <row r="621" spans="1:3" s="114" customFormat="1">
      <c r="A621" s="145"/>
      <c r="B621" s="145"/>
      <c r="C621" s="145"/>
    </row>
    <row r="622" spans="1:3" s="114" customFormat="1">
      <c r="A622" s="145"/>
      <c r="B622" s="145"/>
      <c r="C622" s="145"/>
    </row>
    <row r="623" spans="1:3" s="114" customFormat="1">
      <c r="A623" s="145"/>
      <c r="B623" s="145"/>
      <c r="C623" s="145"/>
    </row>
    <row r="624" spans="1:3" s="114" customFormat="1">
      <c r="A624" s="145"/>
      <c r="B624" s="145"/>
      <c r="C624" s="145"/>
    </row>
    <row r="625" spans="1:3" s="114" customFormat="1">
      <c r="A625" s="145"/>
      <c r="B625" s="145"/>
      <c r="C625" s="145"/>
    </row>
    <row r="626" spans="1:3" s="114" customFormat="1">
      <c r="A626" s="145"/>
      <c r="B626" s="145"/>
      <c r="C626" s="145"/>
    </row>
    <row r="627" spans="1:3" s="114" customFormat="1">
      <c r="A627" s="145"/>
      <c r="B627" s="145"/>
      <c r="C627" s="145"/>
    </row>
    <row r="628" spans="1:3" s="114" customFormat="1">
      <c r="A628" s="145"/>
      <c r="B628" s="145"/>
      <c r="C628" s="145"/>
    </row>
    <row r="629" spans="1:3" s="114" customFormat="1">
      <c r="A629" s="145"/>
      <c r="B629" s="145"/>
      <c r="C629" s="145"/>
    </row>
    <row r="630" spans="1:3" s="114" customFormat="1">
      <c r="A630" s="145"/>
      <c r="B630" s="145"/>
      <c r="C630" s="145"/>
    </row>
    <row r="631" spans="1:3" s="114" customFormat="1">
      <c r="A631" s="145"/>
      <c r="B631" s="145"/>
      <c r="C631" s="145"/>
    </row>
    <row r="632" spans="1:3" s="114" customFormat="1">
      <c r="A632" s="145"/>
      <c r="B632" s="145"/>
      <c r="C632" s="145"/>
    </row>
    <row r="633" spans="1:3" s="114" customFormat="1">
      <c r="A633" s="145"/>
      <c r="B633" s="145"/>
      <c r="C633" s="145"/>
    </row>
    <row r="634" spans="1:3" s="114" customFormat="1">
      <c r="A634" s="145"/>
      <c r="B634" s="145"/>
      <c r="C634" s="145"/>
    </row>
    <row r="635" spans="1:3" s="114" customFormat="1">
      <c r="A635" s="145"/>
      <c r="B635" s="145"/>
      <c r="C635" s="145"/>
    </row>
    <row r="636" spans="1:3" s="114" customFormat="1">
      <c r="A636" s="145"/>
      <c r="B636" s="145"/>
      <c r="C636" s="145"/>
    </row>
    <row r="637" spans="1:3" s="114" customFormat="1">
      <c r="A637" s="145"/>
      <c r="B637" s="145"/>
      <c r="C637" s="145"/>
    </row>
    <row r="638" spans="1:3" s="114" customFormat="1">
      <c r="A638" s="145"/>
      <c r="B638" s="145"/>
      <c r="C638" s="145"/>
    </row>
    <row r="639" spans="1:3" s="114" customFormat="1">
      <c r="A639" s="145"/>
      <c r="B639" s="145"/>
      <c r="C639" s="145"/>
    </row>
    <row r="640" spans="1:3" s="114" customFormat="1">
      <c r="A640" s="145"/>
      <c r="B640" s="145"/>
      <c r="C640" s="145"/>
    </row>
    <row r="641" spans="1:3" s="114" customFormat="1">
      <c r="A641" s="145"/>
      <c r="B641" s="145"/>
      <c r="C641" s="145"/>
    </row>
    <row r="642" spans="1:3" s="114" customFormat="1">
      <c r="A642" s="145"/>
      <c r="B642" s="145"/>
      <c r="C642" s="145"/>
    </row>
    <row r="643" spans="1:3" s="114" customFormat="1">
      <c r="A643" s="145"/>
      <c r="B643" s="145"/>
      <c r="C643" s="145"/>
    </row>
    <row r="644" spans="1:3" s="114" customFormat="1">
      <c r="A644" s="145"/>
      <c r="B644" s="145"/>
      <c r="C644" s="145"/>
    </row>
    <row r="645" spans="1:3" s="114" customFormat="1">
      <c r="A645" s="145"/>
      <c r="B645" s="145"/>
      <c r="C645" s="145"/>
    </row>
    <row r="646" spans="1:3" s="114" customFormat="1">
      <c r="A646" s="145"/>
      <c r="B646" s="145"/>
      <c r="C646" s="145"/>
    </row>
    <row r="647" spans="1:3" s="114" customFormat="1">
      <c r="A647" s="145"/>
      <c r="B647" s="145"/>
      <c r="C647" s="145"/>
    </row>
    <row r="648" spans="1:3" s="114" customFormat="1">
      <c r="A648" s="145"/>
      <c r="B648" s="145"/>
      <c r="C648" s="145"/>
    </row>
    <row r="649" spans="1:3" s="114" customFormat="1">
      <c r="A649" s="145"/>
      <c r="B649" s="145"/>
      <c r="C649" s="145"/>
    </row>
    <row r="650" spans="1:3" s="114" customFormat="1">
      <c r="A650" s="145"/>
      <c r="B650" s="145"/>
      <c r="C650" s="145"/>
    </row>
    <row r="651" spans="1:3" s="114" customFormat="1">
      <c r="A651" s="145"/>
      <c r="B651" s="145"/>
      <c r="C651" s="145"/>
    </row>
    <row r="652" spans="1:3" s="114" customFormat="1">
      <c r="A652" s="145"/>
      <c r="B652" s="145"/>
      <c r="C652" s="145"/>
    </row>
    <row r="653" spans="1:3" s="114" customFormat="1">
      <c r="A653" s="145"/>
      <c r="B653" s="145"/>
      <c r="C653" s="145"/>
    </row>
    <row r="654" spans="1:3" s="114" customFormat="1">
      <c r="A654" s="145"/>
      <c r="B654" s="145"/>
      <c r="C654" s="145"/>
    </row>
    <row r="655" spans="1:3" s="114" customFormat="1">
      <c r="A655" s="145"/>
      <c r="B655" s="145"/>
      <c r="C655" s="145"/>
    </row>
    <row r="656" spans="1:3" s="114" customFormat="1">
      <c r="A656" s="145"/>
      <c r="B656" s="145"/>
      <c r="C656" s="145"/>
    </row>
    <row r="657" spans="1:3" s="114" customFormat="1">
      <c r="A657" s="145"/>
      <c r="B657" s="145"/>
      <c r="C657" s="145"/>
    </row>
    <row r="658" spans="1:3" s="114" customFormat="1">
      <c r="A658" s="145"/>
      <c r="B658" s="145"/>
      <c r="C658" s="145"/>
    </row>
    <row r="659" spans="1:3" s="114" customFormat="1">
      <c r="A659" s="145"/>
      <c r="B659" s="145"/>
      <c r="C659" s="145"/>
    </row>
    <row r="660" spans="1:3" s="114" customFormat="1">
      <c r="A660" s="145"/>
      <c r="B660" s="145"/>
      <c r="C660" s="145"/>
    </row>
    <row r="661" spans="1:3" s="114" customFormat="1">
      <c r="A661" s="145"/>
      <c r="B661" s="145"/>
      <c r="C661" s="145"/>
    </row>
    <row r="662" spans="1:3" s="114" customFormat="1">
      <c r="A662" s="145"/>
      <c r="B662" s="145"/>
      <c r="C662" s="145"/>
    </row>
    <row r="663" spans="1:3" s="114" customFormat="1">
      <c r="A663" s="145"/>
      <c r="B663" s="145"/>
      <c r="C663" s="145"/>
    </row>
    <row r="664" spans="1:3" s="114" customFormat="1">
      <c r="A664" s="145"/>
      <c r="B664" s="145"/>
      <c r="C664" s="145"/>
    </row>
    <row r="665" spans="1:3" s="114" customFormat="1">
      <c r="A665" s="145"/>
      <c r="B665" s="145"/>
      <c r="C665" s="145"/>
    </row>
    <row r="666" spans="1:3" s="114" customFormat="1">
      <c r="A666" s="145"/>
      <c r="B666" s="145"/>
      <c r="C666" s="145"/>
    </row>
    <row r="667" spans="1:3" s="114" customFormat="1">
      <c r="A667" s="145"/>
      <c r="B667" s="145"/>
      <c r="C667" s="145"/>
    </row>
    <row r="668" spans="1:3" s="114" customFormat="1">
      <c r="A668" s="145"/>
      <c r="B668" s="145"/>
      <c r="C668" s="145"/>
    </row>
    <row r="669" spans="1:3" s="114" customFormat="1">
      <c r="A669" s="145"/>
      <c r="B669" s="145"/>
      <c r="C669" s="145"/>
    </row>
    <row r="670" spans="1:3" s="114" customFormat="1">
      <c r="A670" s="145"/>
      <c r="B670" s="145"/>
      <c r="C670" s="145"/>
    </row>
    <row r="671" spans="1:3" s="114" customFormat="1">
      <c r="A671" s="145"/>
      <c r="B671" s="145"/>
      <c r="C671" s="145"/>
    </row>
    <row r="672" spans="1:3" s="114" customFormat="1">
      <c r="A672" s="145"/>
      <c r="B672" s="145"/>
      <c r="C672" s="145"/>
    </row>
    <row r="673" spans="1:3" s="114" customFormat="1">
      <c r="A673" s="145"/>
      <c r="B673" s="145"/>
      <c r="C673" s="145"/>
    </row>
    <row r="674" spans="1:3" s="114" customFormat="1">
      <c r="A674" s="145"/>
      <c r="B674" s="145"/>
      <c r="C674" s="145"/>
    </row>
    <row r="675" spans="1:3" s="114" customFormat="1">
      <c r="A675" s="145"/>
      <c r="B675" s="145"/>
      <c r="C675" s="145"/>
    </row>
    <row r="676" spans="1:3" s="114" customFormat="1">
      <c r="A676" s="145"/>
      <c r="B676" s="145"/>
      <c r="C676" s="145"/>
    </row>
    <row r="677" spans="1:3" s="114" customFormat="1">
      <c r="A677" s="145"/>
      <c r="B677" s="145"/>
      <c r="C677" s="145"/>
    </row>
    <row r="678" spans="1:3" s="114" customFormat="1">
      <c r="A678" s="145"/>
      <c r="B678" s="145"/>
      <c r="C678" s="145"/>
    </row>
    <row r="679" spans="1:3" s="114" customFormat="1">
      <c r="A679" s="145"/>
      <c r="B679" s="145"/>
      <c r="C679" s="145"/>
    </row>
    <row r="680" spans="1:3" s="114" customFormat="1">
      <c r="A680" s="145"/>
      <c r="B680" s="145"/>
      <c r="C680" s="145"/>
    </row>
    <row r="681" spans="1:3" s="114" customFormat="1">
      <c r="A681" s="145"/>
      <c r="B681" s="145"/>
      <c r="C681" s="145"/>
    </row>
    <row r="682" spans="1:3" s="114" customFormat="1">
      <c r="A682" s="145"/>
      <c r="B682" s="145"/>
      <c r="C682" s="145"/>
    </row>
    <row r="683" spans="1:3" s="114" customFormat="1">
      <c r="A683" s="145"/>
      <c r="B683" s="145"/>
      <c r="C683" s="145"/>
    </row>
    <row r="684" spans="1:3" s="114" customFormat="1">
      <c r="A684" s="145"/>
      <c r="B684" s="145"/>
      <c r="C684" s="145"/>
    </row>
    <row r="685" spans="1:3" s="114" customFormat="1">
      <c r="A685" s="145"/>
      <c r="B685" s="145"/>
      <c r="C685" s="145"/>
    </row>
    <row r="686" spans="1:3" s="114" customFormat="1">
      <c r="A686" s="145"/>
      <c r="B686" s="145"/>
      <c r="C686" s="145"/>
    </row>
    <row r="687" spans="1:3" s="114" customFormat="1">
      <c r="A687" s="145"/>
      <c r="B687" s="145"/>
      <c r="C687" s="145"/>
    </row>
    <row r="688" spans="1:3" s="114" customFormat="1">
      <c r="A688" s="145"/>
      <c r="B688" s="145"/>
      <c r="C688" s="145"/>
    </row>
    <row r="689" spans="1:3" s="114" customFormat="1">
      <c r="A689" s="145"/>
      <c r="B689" s="145"/>
      <c r="C689" s="145"/>
    </row>
    <row r="690" spans="1:3" s="114" customFormat="1">
      <c r="A690" s="145"/>
      <c r="B690" s="145"/>
      <c r="C690" s="145"/>
    </row>
    <row r="691" spans="1:3" s="114" customFormat="1">
      <c r="A691" s="145"/>
      <c r="B691" s="145"/>
      <c r="C691" s="145"/>
    </row>
    <row r="692" spans="1:3" s="114" customFormat="1">
      <c r="A692" s="145"/>
      <c r="B692" s="145"/>
      <c r="C692" s="145"/>
    </row>
    <row r="693" spans="1:3" s="114" customFormat="1">
      <c r="A693" s="145"/>
      <c r="B693" s="145"/>
      <c r="C693" s="145"/>
    </row>
    <row r="694" spans="1:3" s="114" customFormat="1">
      <c r="A694" s="145"/>
      <c r="B694" s="145"/>
      <c r="C694" s="145"/>
    </row>
    <row r="695" spans="1:3" s="114" customFormat="1">
      <c r="A695" s="145"/>
      <c r="B695" s="145"/>
      <c r="C695" s="145"/>
    </row>
    <row r="696" spans="1:3" s="114" customFormat="1">
      <c r="A696" s="145"/>
      <c r="B696" s="145"/>
      <c r="C696" s="145"/>
    </row>
    <row r="697" spans="1:3" s="114" customFormat="1">
      <c r="A697" s="145"/>
      <c r="B697" s="145"/>
      <c r="C697" s="145"/>
    </row>
    <row r="698" spans="1:3" s="114" customFormat="1">
      <c r="A698" s="145"/>
      <c r="B698" s="145"/>
      <c r="C698" s="145"/>
    </row>
    <row r="699" spans="1:3" s="114" customFormat="1">
      <c r="A699" s="145"/>
      <c r="B699" s="145"/>
      <c r="C699" s="145"/>
    </row>
    <row r="700" spans="1:3" s="114" customFormat="1">
      <c r="A700" s="145"/>
      <c r="B700" s="145"/>
      <c r="C700" s="145"/>
    </row>
    <row r="701" spans="1:3" s="114" customFormat="1">
      <c r="A701" s="145"/>
      <c r="B701" s="145"/>
      <c r="C701" s="145"/>
    </row>
    <row r="702" spans="1:3" s="114" customFormat="1">
      <c r="A702" s="145"/>
      <c r="B702" s="145"/>
      <c r="C702" s="145"/>
    </row>
    <row r="703" spans="1:3" s="114" customFormat="1">
      <c r="A703" s="145"/>
      <c r="B703" s="145"/>
      <c r="C703" s="145"/>
    </row>
    <row r="704" spans="1:3" s="114" customFormat="1">
      <c r="A704" s="145"/>
      <c r="B704" s="145"/>
      <c r="C704" s="145"/>
    </row>
    <row r="705" spans="1:3" s="114" customFormat="1">
      <c r="A705" s="145"/>
      <c r="B705" s="145"/>
      <c r="C705" s="145"/>
    </row>
    <row r="706" spans="1:3" s="114" customFormat="1">
      <c r="A706" s="145"/>
      <c r="B706" s="145"/>
      <c r="C706" s="145"/>
    </row>
    <row r="707" spans="1:3" s="114" customFormat="1">
      <c r="A707" s="145"/>
      <c r="B707" s="145"/>
      <c r="C707" s="145"/>
    </row>
    <row r="708" spans="1:3" s="114" customFormat="1">
      <c r="A708" s="145"/>
      <c r="B708" s="145"/>
      <c r="C708" s="145"/>
    </row>
    <row r="709" spans="1:3" s="114" customFormat="1">
      <c r="A709" s="145"/>
      <c r="B709" s="145"/>
      <c r="C709" s="145"/>
    </row>
    <row r="710" spans="1:3" s="114" customFormat="1">
      <c r="A710" s="145"/>
      <c r="B710" s="145"/>
      <c r="C710" s="145"/>
    </row>
    <row r="711" spans="1:3" s="114" customFormat="1">
      <c r="A711" s="145"/>
      <c r="B711" s="145"/>
      <c r="C711" s="145"/>
    </row>
    <row r="712" spans="1:3" s="114" customFormat="1">
      <c r="A712" s="145"/>
      <c r="B712" s="145"/>
      <c r="C712" s="145"/>
    </row>
    <row r="713" spans="1:3" s="114" customFormat="1">
      <c r="A713" s="145"/>
      <c r="B713" s="145"/>
      <c r="C713" s="145"/>
    </row>
    <row r="714" spans="1:3" s="114" customFormat="1">
      <c r="A714" s="145"/>
      <c r="B714" s="145"/>
      <c r="C714" s="145"/>
    </row>
    <row r="715" spans="1:3" s="114" customFormat="1">
      <c r="A715" s="145"/>
      <c r="B715" s="145"/>
      <c r="C715" s="145"/>
    </row>
    <row r="716" spans="1:3" s="114" customFormat="1">
      <c r="A716" s="145"/>
      <c r="B716" s="145"/>
      <c r="C716" s="145"/>
    </row>
    <row r="717" spans="1:3" s="114" customFormat="1">
      <c r="A717" s="145"/>
      <c r="B717" s="145"/>
      <c r="C717" s="145"/>
    </row>
    <row r="718" spans="1:3" s="114" customFormat="1">
      <c r="A718" s="145"/>
      <c r="B718" s="145"/>
      <c r="C718" s="145"/>
    </row>
    <row r="719" spans="1:3" s="114" customFormat="1">
      <c r="A719" s="145"/>
      <c r="B719" s="145"/>
      <c r="C719" s="145"/>
    </row>
    <row r="720" spans="1:3" s="114" customFormat="1">
      <c r="A720" s="145"/>
      <c r="B720" s="145"/>
      <c r="C720" s="145"/>
    </row>
    <row r="721" spans="1:3" s="114" customFormat="1">
      <c r="A721" s="145"/>
      <c r="B721" s="145"/>
      <c r="C721" s="145"/>
    </row>
    <row r="722" spans="1:3" s="114" customFormat="1">
      <c r="A722" s="145"/>
      <c r="B722" s="145"/>
      <c r="C722" s="145"/>
    </row>
    <row r="723" spans="1:3" s="114" customFormat="1">
      <c r="A723" s="145"/>
      <c r="B723" s="145"/>
      <c r="C723" s="145"/>
    </row>
    <row r="724" spans="1:3" s="114" customFormat="1">
      <c r="A724" s="145"/>
      <c r="B724" s="145"/>
      <c r="C724" s="145"/>
    </row>
    <row r="725" spans="1:3" s="114" customFormat="1">
      <c r="A725" s="145"/>
      <c r="B725" s="145"/>
      <c r="C725" s="145"/>
    </row>
    <row r="726" spans="1:3" s="114" customFormat="1">
      <c r="A726" s="145"/>
      <c r="B726" s="145"/>
      <c r="C726" s="145"/>
    </row>
    <row r="727" spans="1:3" s="114" customFormat="1">
      <c r="A727" s="145"/>
      <c r="B727" s="145"/>
      <c r="C727" s="145"/>
    </row>
    <row r="728" spans="1:3" s="114" customFormat="1">
      <c r="A728" s="145"/>
      <c r="B728" s="145"/>
      <c r="C728" s="145"/>
    </row>
    <row r="729" spans="1:3" s="114" customFormat="1">
      <c r="A729" s="145"/>
      <c r="B729" s="145"/>
      <c r="C729" s="145"/>
    </row>
    <row r="730" spans="1:3" s="114" customFormat="1">
      <c r="A730" s="145"/>
      <c r="B730" s="145"/>
      <c r="C730" s="145"/>
    </row>
    <row r="731" spans="1:3" s="114" customFormat="1">
      <c r="A731" s="145"/>
      <c r="B731" s="145"/>
      <c r="C731" s="145"/>
    </row>
    <row r="732" spans="1:3" s="114" customFormat="1">
      <c r="A732" s="145"/>
      <c r="B732" s="145"/>
      <c r="C732" s="145"/>
    </row>
    <row r="733" spans="1:3" s="114" customFormat="1">
      <c r="A733" s="145"/>
      <c r="B733" s="145"/>
      <c r="C733" s="145"/>
    </row>
    <row r="734" spans="1:3" s="114" customFormat="1">
      <c r="A734" s="145"/>
      <c r="B734" s="145"/>
      <c r="C734" s="145"/>
    </row>
    <row r="735" spans="1:3" s="114" customFormat="1">
      <c r="A735" s="145"/>
      <c r="B735" s="145"/>
      <c r="C735" s="145"/>
    </row>
    <row r="736" spans="1:3" s="114" customFormat="1">
      <c r="A736" s="145"/>
      <c r="B736" s="145"/>
      <c r="C736" s="145"/>
    </row>
    <row r="737" spans="1:3" s="114" customFormat="1">
      <c r="A737" s="145"/>
      <c r="B737" s="145"/>
      <c r="C737" s="145"/>
    </row>
    <row r="738" spans="1:3" s="114" customFormat="1">
      <c r="A738" s="145"/>
      <c r="B738" s="145"/>
      <c r="C738" s="145"/>
    </row>
    <row r="739" spans="1:3" s="114" customFormat="1">
      <c r="A739" s="145"/>
      <c r="B739" s="145"/>
      <c r="C739" s="145"/>
    </row>
    <row r="740" spans="1:3" s="114" customFormat="1">
      <c r="A740" s="145"/>
      <c r="B740" s="145"/>
      <c r="C740" s="145"/>
    </row>
    <row r="741" spans="1:3" s="114" customFormat="1">
      <c r="A741" s="145"/>
      <c r="B741" s="145"/>
      <c r="C741" s="145"/>
    </row>
    <row r="742" spans="1:3" s="114" customFormat="1">
      <c r="A742" s="145"/>
      <c r="B742" s="145"/>
      <c r="C742" s="145"/>
    </row>
    <row r="743" spans="1:3" s="114" customFormat="1">
      <c r="A743" s="145"/>
      <c r="B743" s="145"/>
      <c r="C743" s="145"/>
    </row>
    <row r="744" spans="1:3" s="114" customFormat="1">
      <c r="A744" s="145"/>
      <c r="B744" s="145"/>
      <c r="C744" s="145"/>
    </row>
    <row r="745" spans="1:3" s="114" customFormat="1">
      <c r="A745" s="145"/>
      <c r="B745" s="145"/>
      <c r="C745" s="145"/>
    </row>
    <row r="746" spans="1:3" s="114" customFormat="1">
      <c r="A746" s="145"/>
      <c r="B746" s="145"/>
      <c r="C746" s="145"/>
    </row>
    <row r="747" spans="1:3" s="114" customFormat="1">
      <c r="A747" s="145"/>
      <c r="B747" s="145"/>
      <c r="C747" s="145"/>
    </row>
    <row r="748" spans="1:3" s="114" customFormat="1">
      <c r="A748" s="145"/>
      <c r="B748" s="145"/>
      <c r="C748" s="145"/>
    </row>
    <row r="749" spans="1:3" s="114" customFormat="1">
      <c r="A749" s="145"/>
      <c r="B749" s="145"/>
      <c r="C749" s="145"/>
    </row>
    <row r="750" spans="1:3" s="114" customFormat="1">
      <c r="A750" s="145"/>
      <c r="B750" s="145"/>
      <c r="C750" s="145"/>
    </row>
    <row r="751" spans="1:3" s="114" customFormat="1">
      <c r="A751" s="145"/>
      <c r="B751" s="145"/>
      <c r="C751" s="145"/>
    </row>
    <row r="752" spans="1:3" s="114" customFormat="1">
      <c r="A752" s="145"/>
      <c r="B752" s="145"/>
      <c r="C752" s="145"/>
    </row>
    <row r="753" spans="1:3" s="114" customFormat="1">
      <c r="A753" s="145"/>
      <c r="B753" s="145"/>
      <c r="C753" s="145"/>
    </row>
    <row r="754" spans="1:3" s="114" customFormat="1">
      <c r="A754" s="145"/>
      <c r="B754" s="145"/>
      <c r="C754" s="145"/>
    </row>
    <row r="755" spans="1:3" s="114" customFormat="1">
      <c r="A755" s="145"/>
      <c r="B755" s="145"/>
      <c r="C755" s="145"/>
    </row>
    <row r="756" spans="1:3" s="114" customFormat="1">
      <c r="A756" s="145"/>
      <c r="B756" s="145"/>
      <c r="C756" s="145"/>
    </row>
    <row r="757" spans="1:3" s="114" customFormat="1">
      <c r="A757" s="145"/>
      <c r="B757" s="145"/>
      <c r="C757" s="145"/>
    </row>
    <row r="758" spans="1:3" s="114" customFormat="1">
      <c r="A758" s="145"/>
      <c r="B758" s="145"/>
      <c r="C758" s="145"/>
    </row>
    <row r="759" spans="1:3" s="114" customFormat="1">
      <c r="A759" s="145"/>
      <c r="B759" s="145"/>
      <c r="C759" s="145"/>
    </row>
    <row r="760" spans="1:3" s="114" customFormat="1">
      <c r="A760" s="145"/>
      <c r="B760" s="145"/>
      <c r="C760" s="145"/>
    </row>
    <row r="761" spans="1:3" s="114" customFormat="1">
      <c r="A761" s="145"/>
      <c r="B761" s="145"/>
      <c r="C761" s="145"/>
    </row>
    <row r="762" spans="1:3" s="114" customFormat="1">
      <c r="A762" s="145"/>
      <c r="B762" s="145"/>
      <c r="C762" s="145"/>
    </row>
    <row r="763" spans="1:3" s="114" customFormat="1">
      <c r="A763" s="145"/>
      <c r="B763" s="145"/>
      <c r="C763" s="145"/>
    </row>
    <row r="764" spans="1:3" s="114" customFormat="1">
      <c r="A764" s="145"/>
      <c r="B764" s="145"/>
      <c r="C764" s="145"/>
    </row>
    <row r="765" spans="1:3" s="114" customFormat="1">
      <c r="A765" s="145"/>
      <c r="B765" s="145"/>
      <c r="C765" s="145"/>
    </row>
    <row r="766" spans="1:3" s="114" customFormat="1">
      <c r="A766" s="145"/>
      <c r="B766" s="145"/>
      <c r="C766" s="145"/>
    </row>
    <row r="767" spans="1:3" s="114" customFormat="1">
      <c r="A767" s="145"/>
      <c r="B767" s="145"/>
      <c r="C767" s="145"/>
    </row>
    <row r="768" spans="1:3" s="114" customFormat="1">
      <c r="A768" s="145"/>
      <c r="B768" s="145"/>
      <c r="C768" s="145"/>
    </row>
    <row r="769" spans="1:3" s="114" customFormat="1">
      <c r="A769" s="145"/>
      <c r="B769" s="145"/>
      <c r="C769" s="145"/>
    </row>
    <row r="770" spans="1:3" s="114" customFormat="1">
      <c r="A770" s="145"/>
      <c r="B770" s="145"/>
      <c r="C770" s="145"/>
    </row>
    <row r="771" spans="1:3" s="114" customFormat="1">
      <c r="A771" s="145"/>
      <c r="B771" s="145"/>
      <c r="C771" s="145"/>
    </row>
    <row r="772" spans="1:3" s="114" customFormat="1">
      <c r="A772" s="145"/>
      <c r="B772" s="145"/>
      <c r="C772" s="145"/>
    </row>
    <row r="773" spans="1:3" s="114" customFormat="1">
      <c r="A773" s="145"/>
      <c r="B773" s="145"/>
      <c r="C773" s="145"/>
    </row>
    <row r="774" spans="1:3" s="114" customFormat="1">
      <c r="A774" s="145"/>
      <c r="B774" s="145"/>
      <c r="C774" s="145"/>
    </row>
    <row r="775" spans="1:3" s="114" customFormat="1">
      <c r="A775" s="145"/>
      <c r="B775" s="145"/>
      <c r="C775" s="145"/>
    </row>
    <row r="776" spans="1:3" s="114" customFormat="1">
      <c r="A776" s="145"/>
      <c r="B776" s="145"/>
      <c r="C776" s="145"/>
    </row>
    <row r="777" spans="1:3" s="114" customFormat="1">
      <c r="A777" s="145"/>
      <c r="B777" s="145"/>
      <c r="C777" s="145"/>
    </row>
    <row r="778" spans="1:3" s="114" customFormat="1">
      <c r="A778" s="145"/>
      <c r="B778" s="145"/>
      <c r="C778" s="145"/>
    </row>
    <row r="779" spans="1:3" s="114" customFormat="1">
      <c r="A779" s="145"/>
      <c r="B779" s="145"/>
      <c r="C779" s="145"/>
    </row>
    <row r="780" spans="1:3" s="114" customFormat="1">
      <c r="A780" s="145"/>
      <c r="B780" s="145"/>
      <c r="C780" s="145"/>
    </row>
    <row r="781" spans="1:3" s="114" customFormat="1">
      <c r="A781" s="145"/>
      <c r="B781" s="145"/>
      <c r="C781" s="145"/>
    </row>
    <row r="782" spans="1:3" s="114" customFormat="1">
      <c r="A782" s="145"/>
      <c r="B782" s="145"/>
      <c r="C782" s="145"/>
    </row>
    <row r="783" spans="1:3" s="114" customFormat="1">
      <c r="A783" s="145"/>
      <c r="B783" s="145"/>
      <c r="C783" s="145"/>
    </row>
    <row r="784" spans="1:3" s="114" customFormat="1">
      <c r="A784" s="145"/>
      <c r="B784" s="145"/>
      <c r="C784" s="145"/>
    </row>
    <row r="785" spans="1:3" s="114" customFormat="1">
      <c r="A785" s="145"/>
      <c r="B785" s="145"/>
      <c r="C785" s="145"/>
    </row>
    <row r="786" spans="1:3" s="114" customFormat="1">
      <c r="A786" s="145"/>
      <c r="B786" s="145"/>
      <c r="C786" s="145"/>
    </row>
    <row r="787" spans="1:3" s="114" customFormat="1">
      <c r="A787" s="145"/>
      <c r="B787" s="145"/>
      <c r="C787" s="145"/>
    </row>
    <row r="788" spans="1:3" s="114" customFormat="1">
      <c r="A788" s="145"/>
      <c r="B788" s="145"/>
      <c r="C788" s="145"/>
    </row>
    <row r="789" spans="1:3" s="114" customFormat="1">
      <c r="A789" s="145"/>
      <c r="B789" s="145"/>
      <c r="C789" s="145"/>
    </row>
    <row r="790" spans="1:3" s="114" customFormat="1">
      <c r="A790" s="145"/>
      <c r="B790" s="145"/>
      <c r="C790" s="145"/>
    </row>
    <row r="791" spans="1:3" s="114" customFormat="1">
      <c r="A791" s="145"/>
      <c r="B791" s="145"/>
      <c r="C791" s="145"/>
    </row>
    <row r="792" spans="1:3" s="114" customFormat="1">
      <c r="A792" s="145"/>
      <c r="B792" s="145"/>
      <c r="C792" s="145"/>
    </row>
    <row r="793" spans="1:3" s="114" customFormat="1">
      <c r="A793" s="145"/>
      <c r="B793" s="145"/>
      <c r="C793" s="145"/>
    </row>
    <row r="794" spans="1:3" s="114" customFormat="1">
      <c r="A794" s="145"/>
      <c r="B794" s="145"/>
      <c r="C794" s="145"/>
    </row>
    <row r="795" spans="1:3" s="114" customFormat="1">
      <c r="A795" s="145"/>
      <c r="B795" s="145"/>
      <c r="C795" s="145"/>
    </row>
    <row r="796" spans="1:3" s="114" customFormat="1">
      <c r="A796" s="145"/>
      <c r="B796" s="145"/>
      <c r="C796" s="145"/>
    </row>
    <row r="797" spans="1:3" s="114" customFormat="1">
      <c r="A797" s="145"/>
      <c r="B797" s="145"/>
      <c r="C797" s="145"/>
    </row>
    <row r="798" spans="1:3" s="114" customFormat="1">
      <c r="A798" s="145"/>
      <c r="B798" s="145"/>
      <c r="C798" s="145"/>
    </row>
    <row r="799" spans="1:3" s="114" customFormat="1">
      <c r="A799" s="145"/>
      <c r="B799" s="145"/>
      <c r="C799" s="145"/>
    </row>
    <row r="800" spans="1:3" s="114" customFormat="1">
      <c r="A800" s="145"/>
      <c r="B800" s="145"/>
      <c r="C800" s="145"/>
    </row>
    <row r="801" spans="1:25" s="114" customFormat="1">
      <c r="A801" s="145"/>
      <c r="B801" s="145"/>
      <c r="C801" s="145"/>
    </row>
    <row r="802" spans="1:25" s="114" customFormat="1">
      <c r="A802" s="145"/>
      <c r="B802" s="145"/>
      <c r="C802" s="145"/>
    </row>
    <row r="803" spans="1:25" s="114" customFormat="1">
      <c r="A803" s="145"/>
      <c r="B803" s="145"/>
      <c r="C803" s="145"/>
    </row>
    <row r="804" spans="1:25" s="114" customFormat="1">
      <c r="A804" s="145"/>
      <c r="B804" s="145"/>
      <c r="C804" s="145"/>
    </row>
    <row r="805" spans="1:25">
      <c r="X805" s="114"/>
      <c r="Y805" s="114"/>
    </row>
    <row r="806" spans="1:25">
      <c r="X806" s="114"/>
      <c r="Y806" s="114"/>
    </row>
    <row r="807" spans="1:25">
      <c r="X807" s="114"/>
      <c r="Y807" s="114"/>
    </row>
  </sheetData>
  <sortState xmlns:xlrd2="http://schemas.microsoft.com/office/spreadsheetml/2017/richdata2" ref="A12:Z48">
    <sortCondition ref="F12:F48"/>
  </sortState>
  <mergeCells count="1">
    <mergeCell ref="B8:C8"/>
  </mergeCells>
  <hyperlinks>
    <hyperlink ref="X1" location="Index!A1" display="Return to Index" xr:uid="{00000000-0004-0000-0C00-000000000000}"/>
    <hyperlink ref="P1" location="Index!A1" display="Return to Index" xr:uid="{00000000-0004-0000-0C00-000001000000}"/>
  </hyperlinks>
  <printOptions horizontalCentered="1"/>
  <pageMargins left="0.25" right="0.25" top="0.5" bottom="0.5" header="0.5" footer="0.5"/>
  <pageSetup scale="78" orientation="landscape" horizontalDpi="1200" verticalDpi="1200" r:id="rId1"/>
  <headerFooter alignWithMargins="0">
    <oddFooter>&amp;L&amp;8Planning &amp; Accountability&amp;R&amp;8&amp;D</oddFooter>
  </headerFooter>
  <rowBreaks count="1" manualBreakCount="1">
    <brk id="50" max="10" man="1"/>
  </row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codeName="Sheet107">
    <tabColor indexed="47"/>
    <pageSetUpPr fitToPage="1"/>
  </sheetPr>
  <dimension ref="A1:E165"/>
  <sheetViews>
    <sheetView showGridLines="0" zoomScale="65" zoomScaleNormal="65" zoomScaleSheetLayoutView="65" workbookViewId="0">
      <selection activeCell="C34" sqref="C34"/>
    </sheetView>
  </sheetViews>
  <sheetFormatPr defaultColWidth="9.140625" defaultRowHeight="12.75" customHeight="1"/>
  <cols>
    <col min="1" max="1" width="158.7109375" style="53" customWidth="1"/>
    <col min="2" max="2" width="22.7109375" style="53" customWidth="1"/>
    <col min="3" max="3" width="50.5703125" style="53" customWidth="1"/>
    <col min="4" max="4" width="20.7109375" style="53" customWidth="1"/>
    <col min="5" max="5" width="9.140625" style="679"/>
    <col min="6" max="16384" width="9.140625" style="53"/>
  </cols>
  <sheetData>
    <row r="1" spans="1:5" ht="28.5" thickBot="1">
      <c r="A1" s="159" t="s">
        <v>1273</v>
      </c>
      <c r="B1" s="835" t="s">
        <v>1200</v>
      </c>
      <c r="C1" s="53" t="s">
        <v>1329</v>
      </c>
    </row>
    <row r="2" spans="1:5" ht="27.75">
      <c r="A2" s="54" t="str">
        <f>'Smmy Chrts'!$A$2</f>
        <v>For the Year Ended August 31, 2021</v>
      </c>
      <c r="C2" s="55" t="s">
        <v>63</v>
      </c>
    </row>
    <row r="3" spans="1:5" ht="27.75">
      <c r="A3" s="54" t="str">
        <f>'Smmy Chrts'!$A$3</f>
        <v>Source: FY 2021 Annual Financial Report</v>
      </c>
      <c r="C3" s="53" t="s">
        <v>64</v>
      </c>
    </row>
    <row r="4" spans="1:5" ht="12.75" customHeight="1">
      <c r="C4" s="53" t="s">
        <v>267</v>
      </c>
    </row>
    <row r="5" spans="1:5" ht="12.75" customHeight="1">
      <c r="C5" s="53" t="s">
        <v>268</v>
      </c>
    </row>
    <row r="7" spans="1:5" ht="12.75" customHeight="1">
      <c r="C7" s="1687" t="s">
        <v>25</v>
      </c>
      <c r="D7" s="1687"/>
    </row>
    <row r="8" spans="1:5" ht="12.75" customHeight="1">
      <c r="C8" s="57"/>
      <c r="D8" s="58"/>
    </row>
    <row r="9" spans="1:5" ht="12.75" customHeight="1">
      <c r="C9" s="59" t="str">
        <f>'TXST Sum'!A9</f>
        <v>State of Texas</v>
      </c>
      <c r="D9" s="60">
        <f>'TXST Sum'!B15</f>
        <v>206842810</v>
      </c>
      <c r="E9" s="680">
        <f>ROUND(D9/$D$14,3)</f>
        <v>0.27400000000000002</v>
      </c>
    </row>
    <row r="10" spans="1:5" ht="12.75" customHeight="1">
      <c r="C10" s="59" t="str">
        <f>'TXST Sum'!A17</f>
        <v>Student &amp; Parent</v>
      </c>
      <c r="D10" s="60">
        <f>'TXST Sum'!B20</f>
        <v>285682007</v>
      </c>
      <c r="E10" s="680">
        <f t="shared" ref="E10:E12" si="0">ROUND(D10/$D$14,3)</f>
        <v>0.378</v>
      </c>
    </row>
    <row r="11" spans="1:5" ht="12.75" customHeight="1">
      <c r="C11" s="59" t="str">
        <f>'TXST Sum'!A22</f>
        <v>Federal Government</v>
      </c>
      <c r="D11" s="60">
        <f>'TXST Sum'!B23</f>
        <v>142660412</v>
      </c>
      <c r="E11" s="680">
        <f t="shared" si="0"/>
        <v>0.189</v>
      </c>
    </row>
    <row r="12" spans="1:5" ht="12.75" customHeight="1">
      <c r="C12" s="59" t="str">
        <f>'TXST Sum'!A25</f>
        <v>Institutional Resources</v>
      </c>
      <c r="D12" s="60">
        <f>'TXST Sum'!B32</f>
        <v>120781233</v>
      </c>
      <c r="E12" s="680">
        <f t="shared" si="0"/>
        <v>0.16</v>
      </c>
    </row>
    <row r="13" spans="1:5" ht="12.75" customHeight="1">
      <c r="C13" s="57"/>
      <c r="D13" s="58"/>
      <c r="E13" s="680"/>
    </row>
    <row r="14" spans="1:5" ht="12.75" customHeight="1">
      <c r="C14" s="61" t="s">
        <v>68</v>
      </c>
      <c r="D14" s="62">
        <f>SUM(D9:D13)</f>
        <v>755966462</v>
      </c>
      <c r="E14" s="680">
        <f>SUM(E9:E13)</f>
        <v>1.0009999999999999</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86" t="str">
        <f>C14&amp;" "&amp;TEXT(D14,"$#,###")</f>
        <v>Total Operating Sources $755,966,462</v>
      </c>
    </row>
    <row r="48" spans="1:1" ht="12.75" customHeight="1">
      <c r="A48" s="1686"/>
    </row>
    <row r="49" spans="1:5" ht="12.75" customHeight="1">
      <c r="A49" s="56"/>
    </row>
    <row r="52" spans="1:5" ht="12.75" customHeight="1">
      <c r="C52" s="63" t="s">
        <v>25</v>
      </c>
      <c r="D52" s="58"/>
    </row>
    <row r="54" spans="1:5" ht="12.75" customHeight="1">
      <c r="C54" s="59" t="s">
        <v>1</v>
      </c>
      <c r="D54" s="60">
        <f>'TXST Sum'!B10</f>
        <v>138011843</v>
      </c>
      <c r="E54" s="680">
        <f>ROUND(D54/$D$67,3)</f>
        <v>0.183</v>
      </c>
    </row>
    <row r="55" spans="1:5" ht="12.75" customHeight="1">
      <c r="C55" s="59" t="s">
        <v>221</v>
      </c>
      <c r="D55" s="60">
        <f>'TXST Sum'!B11</f>
        <v>31224489</v>
      </c>
      <c r="E55" s="680">
        <f t="shared" ref="E55:E66" si="1">ROUND(D55/$D$67,3)</f>
        <v>4.1000000000000002E-2</v>
      </c>
    </row>
    <row r="56" spans="1:5" ht="12.75" customHeight="1">
      <c r="C56" s="59"/>
      <c r="D56" s="60"/>
      <c r="E56" s="680"/>
    </row>
    <row r="57" spans="1:5" ht="12.75" customHeight="1">
      <c r="C57" s="59" t="str">
        <f>'TXST Sum'!A13</f>
        <v>Higher Education Fund</v>
      </c>
      <c r="D57" s="60">
        <f>'TXST Sum'!B13</f>
        <v>37606478</v>
      </c>
      <c r="E57" s="680">
        <f t="shared" si="1"/>
        <v>0.05</v>
      </c>
    </row>
    <row r="58" spans="1:5" ht="12.75" customHeight="1">
      <c r="C58" s="1069" t="s">
        <v>41</v>
      </c>
      <c r="D58" s="60">
        <f>'TXST Sum'!B14</f>
        <v>0</v>
      </c>
      <c r="E58" s="680">
        <f t="shared" si="1"/>
        <v>0</v>
      </c>
    </row>
    <row r="59" spans="1:5" ht="12.75" customHeight="1">
      <c r="C59" s="59" t="s">
        <v>87</v>
      </c>
      <c r="D59" s="60">
        <f>'TXST Sum'!B20</f>
        <v>285682007</v>
      </c>
      <c r="E59" s="680">
        <f t="shared" si="1"/>
        <v>0.378</v>
      </c>
    </row>
    <row r="60" spans="1:5" ht="12.75" customHeight="1">
      <c r="C60" s="64" t="s">
        <v>74</v>
      </c>
      <c r="D60" s="60">
        <f>'TXST Sum'!B23</f>
        <v>142660412</v>
      </c>
      <c r="E60" s="680">
        <f t="shared" si="1"/>
        <v>0.189</v>
      </c>
    </row>
    <row r="61" spans="1:5" ht="12.75" customHeight="1">
      <c r="C61" s="59" t="s">
        <v>75</v>
      </c>
      <c r="D61" s="60">
        <f>'TXST Sum'!B26</f>
        <v>22445953</v>
      </c>
      <c r="E61" s="680">
        <f t="shared" si="1"/>
        <v>0.03</v>
      </c>
    </row>
    <row r="62" spans="1:5" ht="12.75" customHeight="1">
      <c r="C62" s="1069" t="s">
        <v>27</v>
      </c>
      <c r="D62" s="60">
        <f>'TXST Sum'!B27</f>
        <v>740389</v>
      </c>
      <c r="E62" s="680">
        <f t="shared" si="1"/>
        <v>1E-3</v>
      </c>
    </row>
    <row r="63" spans="1:5" ht="12.75" customHeight="1">
      <c r="C63" s="59" t="s">
        <v>76</v>
      </c>
      <c r="D63" s="60">
        <f>'TXST Sum'!B28</f>
        <v>12828178</v>
      </c>
      <c r="E63" s="680">
        <f t="shared" si="1"/>
        <v>1.7000000000000001E-2</v>
      </c>
    </row>
    <row r="64" spans="1:5" ht="12.75" customHeight="1">
      <c r="C64" s="59" t="s">
        <v>77</v>
      </c>
      <c r="D64" s="60">
        <f>'TXST Sum'!B29</f>
        <v>11959446</v>
      </c>
      <c r="E64" s="680">
        <f t="shared" si="1"/>
        <v>1.6E-2</v>
      </c>
    </row>
    <row r="65" spans="1:5" ht="12.75" customHeight="1">
      <c r="C65" s="59" t="s">
        <v>220</v>
      </c>
      <c r="D65" s="60">
        <f>'TXST Sum'!B30</f>
        <v>69893224</v>
      </c>
      <c r="E65" s="680">
        <f t="shared" si="1"/>
        <v>9.1999999999999998E-2</v>
      </c>
    </row>
    <row r="66" spans="1:5" ht="12.75" customHeight="1">
      <c r="C66" s="64" t="s">
        <v>52</v>
      </c>
      <c r="D66" s="60">
        <f>'TXST Sum'!B31</f>
        <v>2914043</v>
      </c>
      <c r="E66" s="680">
        <f t="shared" si="1"/>
        <v>4.0000000000000001E-3</v>
      </c>
    </row>
    <row r="67" spans="1:5" ht="12.75" customHeight="1">
      <c r="C67" s="61" t="s">
        <v>68</v>
      </c>
      <c r="D67" s="62">
        <f>SUM(D54:D66)</f>
        <v>755966462</v>
      </c>
      <c r="E67" s="681">
        <f>SUM(E54:E66)</f>
        <v>1.0009999999999999</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86" t="str">
        <f>C67&amp;" "&amp;TEXT(D67,"$#,###")</f>
        <v>Total Operating Sources $755,966,462</v>
      </c>
    </row>
    <row r="93" spans="1:5" ht="12.75" customHeight="1">
      <c r="A93" s="1686"/>
    </row>
    <row r="94" spans="1:5" ht="12.75" customHeight="1">
      <c r="A94" s="65"/>
    </row>
    <row r="95" spans="1:5" s="68" customFormat="1" ht="12.75" customHeight="1">
      <c r="A95" s="66"/>
      <c r="E95" s="682"/>
    </row>
    <row r="96" spans="1:5" ht="12.75" customHeight="1">
      <c r="A96" s="65"/>
    </row>
    <row r="97" spans="1:5" ht="12.75" customHeight="1">
      <c r="A97" s="65"/>
    </row>
    <row r="98" spans="1:5" ht="12.75" customHeight="1">
      <c r="A98" s="65"/>
    </row>
    <row r="100" spans="1:5" ht="12.75" customHeight="1">
      <c r="C100" s="1687" t="s">
        <v>13</v>
      </c>
      <c r="D100" s="1687"/>
    </row>
    <row r="101" spans="1:5" ht="12.75" customHeight="1">
      <c r="C101" s="1687"/>
      <c r="D101" s="1687"/>
    </row>
    <row r="102" spans="1:5" ht="12.75" customHeight="1">
      <c r="C102" s="69" t="s">
        <v>14</v>
      </c>
      <c r="D102" s="60">
        <f>'TXST Sum'!B36</f>
        <v>204998973</v>
      </c>
      <c r="E102" s="680">
        <f>ROUND(D102/$D$114,3)</f>
        <v>0.34599999999999997</v>
      </c>
    </row>
    <row r="103" spans="1:5" ht="12.75" customHeight="1">
      <c r="C103" s="69" t="s">
        <v>15</v>
      </c>
      <c r="D103" s="60">
        <f>'TXST Sum'!B37</f>
        <v>63379031</v>
      </c>
      <c r="E103" s="680">
        <f t="shared" ref="E103:E112" si="2">ROUND(D103/$D$114,3)</f>
        <v>0.107</v>
      </c>
    </row>
    <row r="104" spans="1:5" ht="12.75" customHeight="1">
      <c r="C104" s="69" t="s">
        <v>16</v>
      </c>
      <c r="D104" s="60">
        <f>'TXST Sum'!B38</f>
        <v>1454346</v>
      </c>
      <c r="E104" s="680">
        <f t="shared" si="2"/>
        <v>2E-3</v>
      </c>
    </row>
    <row r="105" spans="1:5" ht="12.75" customHeight="1">
      <c r="C105" s="69" t="s">
        <v>17</v>
      </c>
      <c r="D105" s="60">
        <f>'TXST Sum'!B39</f>
        <v>40428154</v>
      </c>
      <c r="E105" s="680">
        <f t="shared" si="2"/>
        <v>6.8000000000000005E-2</v>
      </c>
    </row>
    <row r="106" spans="1:5" ht="12.75" customHeight="1">
      <c r="C106" s="69" t="s">
        <v>18</v>
      </c>
      <c r="D106" s="60">
        <f>'TXST Sum'!B40</f>
        <v>32153801</v>
      </c>
      <c r="E106" s="680">
        <f t="shared" si="2"/>
        <v>5.3999999999999999E-2</v>
      </c>
    </row>
    <row r="107" spans="1:5" ht="12.75" customHeight="1">
      <c r="C107" s="69" t="s">
        <v>19</v>
      </c>
      <c r="D107" s="60">
        <f>'TXST Sum'!B41</f>
        <v>39713377</v>
      </c>
      <c r="E107" s="680">
        <f t="shared" si="2"/>
        <v>6.7000000000000004E-2</v>
      </c>
    </row>
    <row r="108" spans="1:5" ht="12.75" customHeight="1">
      <c r="C108" s="69" t="s">
        <v>78</v>
      </c>
      <c r="D108" s="60">
        <f>'TXST Sum'!B42</f>
        <v>50015180</v>
      </c>
      <c r="E108" s="680">
        <f t="shared" si="2"/>
        <v>8.4000000000000005E-2</v>
      </c>
    </row>
    <row r="109" spans="1:5" ht="12.75" customHeight="1">
      <c r="C109" s="69" t="s">
        <v>79</v>
      </c>
      <c r="D109" s="60">
        <f>'TXST Sum'!B43</f>
        <v>81474279</v>
      </c>
      <c r="E109" s="680">
        <f t="shared" si="2"/>
        <v>0.13800000000000001</v>
      </c>
    </row>
    <row r="110" spans="1:5" ht="12.75" customHeight="1">
      <c r="C110" s="69" t="s">
        <v>22</v>
      </c>
      <c r="D110" s="60">
        <f>'TXST Sum'!B44</f>
        <v>68499438</v>
      </c>
      <c r="E110" s="680">
        <f t="shared" si="2"/>
        <v>0.11600000000000001</v>
      </c>
    </row>
    <row r="111" spans="1:5" ht="12.75" customHeight="1">
      <c r="C111" s="64" t="s">
        <v>29</v>
      </c>
      <c r="D111" s="60">
        <f>'TXST Sum'!B45</f>
        <v>9758036</v>
      </c>
      <c r="E111" s="680">
        <f t="shared" si="2"/>
        <v>1.6E-2</v>
      </c>
    </row>
    <row r="112" spans="1:5" ht="12.75" customHeight="1">
      <c r="C112" s="64" t="s">
        <v>53</v>
      </c>
      <c r="D112" s="60">
        <f>'TXST Sum'!B46</f>
        <v>584362</v>
      </c>
      <c r="E112" s="680">
        <f t="shared" si="2"/>
        <v>1E-3</v>
      </c>
    </row>
    <row r="113" spans="3:5" ht="12.75" customHeight="1">
      <c r="C113" s="57"/>
      <c r="D113" s="57"/>
    </row>
    <row r="114" spans="3:5" ht="12.75" customHeight="1">
      <c r="C114" s="70" t="s">
        <v>69</v>
      </c>
      <c r="D114" s="62">
        <f>SUM(D102:D113)</f>
        <v>592458977</v>
      </c>
      <c r="E114" s="681">
        <f>SUM(E102:E113)</f>
        <v>0.99899999999999989</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86" t="str">
        <f>C114&amp;" "&amp;TEXT(D114,"$#,###")</f>
        <v>Total Operating Uses $592,458,977</v>
      </c>
    </row>
    <row r="137" spans="1:1" ht="12.75" customHeight="1">
      <c r="A137" s="1686"/>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81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1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transitionEvaluation="1" transitionEntry="1" codeName="Sheet108">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'TXST Chrts'!$A$1</f>
        <v>Texas State University</v>
      </c>
      <c r="B1" s="74"/>
      <c r="C1" s="1"/>
      <c r="D1" s="1704" t="s">
        <v>1200</v>
      </c>
      <c r="E1" s="1705"/>
      <c r="F1" s="1757" t="s">
        <v>1196</v>
      </c>
      <c r="G1" s="1706"/>
      <c r="H1" s="1706"/>
      <c r="I1" s="1706"/>
      <c r="J1" s="1707" t="s">
        <v>1197</v>
      </c>
      <c r="K1" s="1695"/>
      <c r="L1" s="1695"/>
      <c r="M1" s="1695"/>
      <c r="N1" s="1695"/>
      <c r="O1" s="1696"/>
    </row>
    <row r="2" spans="1:15" ht="15.75">
      <c r="A2" s="76" t="str">
        <f>'Smmy Chrts'!$A$2</f>
        <v>For the Year Ended August 31, 2021</v>
      </c>
      <c r="B2" s="74"/>
      <c r="C2" s="1"/>
      <c r="D2" s="37"/>
      <c r="E2" s="37"/>
      <c r="F2" s="37"/>
      <c r="J2" s="37"/>
      <c r="K2" s="37"/>
      <c r="L2" s="37"/>
      <c r="M2" s="37"/>
    </row>
    <row r="3" spans="1:15" ht="15.75">
      <c r="A3" s="76" t="str">
        <f>'Smmy Chrts'!$A$3</f>
        <v>Source: FY 2021 Annual Financial Report</v>
      </c>
      <c r="B3" s="74"/>
      <c r="C3" s="1"/>
    </row>
    <row r="4" spans="1:15" ht="13.5" customHeight="1">
      <c r="B4" s="77"/>
      <c r="C4" s="4"/>
      <c r="D4" s="1711" t="s">
        <v>1142</v>
      </c>
      <c r="E4" s="1711" t="s">
        <v>1143</v>
      </c>
      <c r="F4" s="266"/>
    </row>
    <row r="5" spans="1:15" ht="18">
      <c r="A5" s="39" t="str">
        <f>'Smmy Chrts'!$C$35</f>
        <v>Summary Worksheet FY 2021</v>
      </c>
      <c r="B5" s="40" t="s">
        <v>86</v>
      </c>
      <c r="C5" s="40" t="s">
        <v>129</v>
      </c>
      <c r="D5" s="1712"/>
      <c r="E5" s="1712"/>
      <c r="F5" s="266"/>
      <c r="G5" s="799" t="s">
        <v>1198</v>
      </c>
      <c r="I5" s="822" t="s">
        <v>2157</v>
      </c>
      <c r="J5" s="792" t="s">
        <v>1144</v>
      </c>
    </row>
    <row r="6" spans="1:15" ht="13.5" customHeight="1">
      <c r="A6" s="78" t="s">
        <v>266</v>
      </c>
      <c r="B6" s="41"/>
      <c r="C6" s="42">
        <f>VLOOKUP($A$1,FTSELU,12,FALSE)</f>
        <v>31295.23</v>
      </c>
      <c r="J6" s="712"/>
    </row>
    <row r="7" spans="1:15">
      <c r="I7" s="824" t="s">
        <v>1162</v>
      </c>
      <c r="J7" s="827"/>
    </row>
    <row r="8" spans="1:15">
      <c r="A8" s="81" t="s">
        <v>71</v>
      </c>
      <c r="B8" s="81"/>
      <c r="C8" s="24"/>
      <c r="I8" s="896">
        <f>VLOOKUP(A1,FTSELU,14,FALSE)</f>
        <v>2391.8000000000002</v>
      </c>
      <c r="J8" s="712"/>
    </row>
    <row r="9" spans="1:15" ht="12.75" customHeight="1" thickBot="1">
      <c r="A9" s="78" t="s">
        <v>0</v>
      </c>
      <c r="B9" s="82"/>
      <c r="C9" s="7"/>
      <c r="J9" s="712"/>
    </row>
    <row r="10" spans="1:15" ht="12.75" customHeight="1" thickTop="1">
      <c r="A10" s="75" t="s">
        <v>1</v>
      </c>
      <c r="B10" s="83">
        <f>'TXST FGD'!M10</f>
        <v>138011843</v>
      </c>
      <c r="C10" s="83">
        <f>ROUND(B10/$C$6,0)</f>
        <v>4410</v>
      </c>
      <c r="D10" s="512">
        <f>'TXST FGD'!F10</f>
        <v>0</v>
      </c>
      <c r="E10" s="512"/>
      <c r="F10" s="84">
        <f>B10-(SUM(D10:E10))</f>
        <v>138011843</v>
      </c>
      <c r="G10" s="1143" t="s">
        <v>1</v>
      </c>
      <c r="H10" s="1144"/>
      <c r="I10" s="825" t="s">
        <v>1161</v>
      </c>
      <c r="J10" s="713">
        <f>ROUND(F10/$C$6,0)</f>
        <v>4410</v>
      </c>
    </row>
    <row r="11" spans="1:15" ht="12.75" customHeight="1" thickBot="1">
      <c r="A11" s="75" t="s">
        <v>2</v>
      </c>
      <c r="B11" s="86">
        <f>'TXST FGD'!M11</f>
        <v>31224489</v>
      </c>
      <c r="C11" s="87">
        <f t="shared" ref="C11:C14" si="0">ROUND(B11/$C$6,0)</f>
        <v>998</v>
      </c>
      <c r="D11" s="86">
        <f>'TXST FGD'!F11</f>
        <v>0</v>
      </c>
      <c r="E11" s="74"/>
      <c r="F11" s="606">
        <f t="shared" ref="F11:F14" si="1">B11-(SUM(D11:E11))</f>
        <v>31224489</v>
      </c>
      <c r="G11" s="1148">
        <f>SUM(F10:F11)</f>
        <v>169236332</v>
      </c>
      <c r="H11" s="715"/>
      <c r="I11" s="1373">
        <f>ROUND($G$11/$C$6,0)</f>
        <v>5408</v>
      </c>
      <c r="J11" s="716">
        <f t="shared" ref="J11:J14" si="2">ROUND(F11/$C$6,0)</f>
        <v>998</v>
      </c>
    </row>
    <row r="12" spans="1:15" ht="12.75" hidden="1" customHeight="1" thickTop="1" thickBot="1">
      <c r="A12" s="75" t="s">
        <v>1410</v>
      </c>
      <c r="B12" s="86"/>
      <c r="C12" s="87"/>
      <c r="D12" s="86"/>
      <c r="E12" s="74"/>
      <c r="F12" s="607"/>
      <c r="J12" s="716"/>
      <c r="O12" s="608"/>
    </row>
    <row r="13" spans="1:15" ht="12.75" customHeight="1" thickTop="1">
      <c r="A13" s="75" t="s">
        <v>1368</v>
      </c>
      <c r="B13" s="86">
        <f>'TXST FGD'!M13</f>
        <v>37606478</v>
      </c>
      <c r="C13" s="87">
        <f t="shared" si="0"/>
        <v>1202</v>
      </c>
      <c r="D13" s="86">
        <f>'TXST FGD'!F13</f>
        <v>0</v>
      </c>
      <c r="E13" s="74"/>
      <c r="F13" s="893">
        <f t="shared" si="1"/>
        <v>37606478</v>
      </c>
      <c r="G13" s="882" t="s">
        <v>81</v>
      </c>
      <c r="H13" s="894"/>
      <c r="I13" s="826" t="s">
        <v>1163</v>
      </c>
      <c r="J13" s="716">
        <f t="shared" si="2"/>
        <v>1202</v>
      </c>
    </row>
    <row r="14" spans="1:15" ht="12.75" customHeight="1" thickBot="1">
      <c r="A14" s="75" t="s">
        <v>49</v>
      </c>
      <c r="B14" s="86">
        <f>'TXST FGD'!M14</f>
        <v>0</v>
      </c>
      <c r="C14" s="87">
        <f t="shared" si="0"/>
        <v>0</v>
      </c>
      <c r="D14" s="86">
        <f>'TXST FGD'!F14</f>
        <v>0</v>
      </c>
      <c r="E14" s="74"/>
      <c r="F14" s="607">
        <f t="shared" si="1"/>
        <v>0</v>
      </c>
      <c r="G14" s="800">
        <f>SUM(F13:F14)</f>
        <v>37606478</v>
      </c>
      <c r="H14" s="895"/>
      <c r="I14" s="1377">
        <f>ROUND($G$11/$I$8,0)</f>
        <v>70757</v>
      </c>
      <c r="J14" s="828">
        <f t="shared" si="2"/>
        <v>0</v>
      </c>
    </row>
    <row r="15" spans="1:15" ht="12.75" customHeight="1" thickTop="1">
      <c r="A15" s="88" t="s">
        <v>3</v>
      </c>
      <c r="B15" s="89">
        <f>SUM(B10:B14)</f>
        <v>206842810</v>
      </c>
      <c r="C15" s="89">
        <f>SUM(C10:C14)</f>
        <v>6610</v>
      </c>
      <c r="D15" s="89">
        <f>SUM(D10:D14)</f>
        <v>0</v>
      </c>
      <c r="E15" s="89">
        <f>SUM(E10:E14)</f>
        <v>0</v>
      </c>
      <c r="F15" s="216">
        <f>SUM(F10:F14)</f>
        <v>206842810</v>
      </c>
      <c r="I15" s="1372"/>
      <c r="J15" s="757">
        <f>SUM(J10:J14)</f>
        <v>6610</v>
      </c>
    </row>
    <row r="16" spans="1:15">
      <c r="B16" s="48"/>
      <c r="C16" s="75"/>
      <c r="J16" s="712"/>
    </row>
    <row r="17" spans="1:31" ht="12.75" customHeight="1">
      <c r="A17" s="78" t="s">
        <v>4</v>
      </c>
      <c r="B17" s="86"/>
      <c r="C17" s="75"/>
      <c r="J17" s="712"/>
    </row>
    <row r="18" spans="1:31">
      <c r="A18" s="75" t="s">
        <v>39</v>
      </c>
      <c r="B18" s="83">
        <f>'TXST FGD'!M29</f>
        <v>202210426</v>
      </c>
      <c r="C18" s="83">
        <f t="shared" ref="C18:C19" si="3">ROUND(B18/$C$6,0)</f>
        <v>6461</v>
      </c>
      <c r="D18" s="512">
        <f>'TXST FGD'!$F$29</f>
        <v>0</v>
      </c>
      <c r="E18" s="512"/>
      <c r="F18" s="512">
        <f t="shared" ref="F18:F19" si="4">B18-(SUM(D18:E18))</f>
        <v>202210426</v>
      </c>
      <c r="G18" s="337"/>
      <c r="H18" s="337"/>
      <c r="I18" s="337"/>
      <c r="J18" s="713">
        <f>ROUND(F18/$C$6,0)</f>
        <v>6461</v>
      </c>
    </row>
    <row r="19" spans="1:31" ht="13.5" thickBot="1">
      <c r="A19" s="75" t="s">
        <v>40</v>
      </c>
      <c r="B19" s="86">
        <f>'TXST FGD'!M42</f>
        <v>83471581</v>
      </c>
      <c r="C19" s="87">
        <f t="shared" si="3"/>
        <v>2667</v>
      </c>
      <c r="D19" s="74">
        <f>'TXST FGD'!$F$42</f>
        <v>43146031</v>
      </c>
      <c r="E19" s="74"/>
      <c r="F19" s="74">
        <f t="shared" si="4"/>
        <v>40325550</v>
      </c>
      <c r="G19" s="337"/>
      <c r="H19" s="337"/>
      <c r="I19" s="337"/>
      <c r="J19" s="716">
        <f>ROUND(F19/$C$6,0)</f>
        <v>1289</v>
      </c>
    </row>
    <row r="20" spans="1:31" ht="14.25" thickTop="1" thickBot="1">
      <c r="A20" s="88" t="s">
        <v>5</v>
      </c>
      <c r="B20" s="89">
        <f>SUM(B18:B19)</f>
        <v>285682007</v>
      </c>
      <c r="C20" s="89">
        <f>SUM(C18:C19)</f>
        <v>9128</v>
      </c>
      <c r="D20" s="717">
        <f>SUM(D18:D19)</f>
        <v>43146031</v>
      </c>
      <c r="E20" s="718">
        <f>SUM(E18:E19)</f>
        <v>0</v>
      </c>
      <c r="F20" s="801">
        <f>SUM(F18:F19)</f>
        <v>242535976</v>
      </c>
      <c r="G20" s="720" t="s">
        <v>26</v>
      </c>
      <c r="H20" s="366"/>
      <c r="I20" s="367"/>
      <c r="J20" s="721">
        <f>SUM(J18:J19)</f>
        <v>7750</v>
      </c>
    </row>
    <row r="21" spans="1:31" ht="12.75" customHeight="1" thickTop="1">
      <c r="B21" s="91"/>
      <c r="C21" s="75"/>
      <c r="F21" s="804"/>
      <c r="J21" s="712"/>
    </row>
    <row r="22" spans="1:31" ht="14.25" customHeight="1" thickBot="1">
      <c r="A22" s="78" t="s">
        <v>6</v>
      </c>
      <c r="B22" s="91"/>
      <c r="C22" s="75"/>
      <c r="J22" s="712"/>
    </row>
    <row r="23" spans="1:31" ht="14.25" thickTop="1" thickBot="1">
      <c r="A23" s="88" t="s">
        <v>7</v>
      </c>
      <c r="B23" s="92">
        <f>'TXST FGD'!M47</f>
        <v>142660412</v>
      </c>
      <c r="C23" s="89">
        <f t="shared" ref="C23" si="5">ROUND(B23/$C$6,0)</f>
        <v>4559</v>
      </c>
      <c r="D23" s="717">
        <f>'TXST FGD'!F47</f>
        <v>0</v>
      </c>
      <c r="E23" s="718"/>
      <c r="F23" s="801">
        <f>B23-(SUM(D23:E23))</f>
        <v>142660412</v>
      </c>
      <c r="G23" s="722" t="s">
        <v>74</v>
      </c>
      <c r="H23" s="366"/>
      <c r="I23" s="367"/>
      <c r="J23" s="756">
        <f>ROUND(F23/$C$6,0)</f>
        <v>4559</v>
      </c>
    </row>
    <row r="24" spans="1:31" ht="13.5" thickTop="1">
      <c r="B24" s="91"/>
      <c r="C24" s="75"/>
      <c r="J24" s="712"/>
    </row>
    <row r="25" spans="1:31">
      <c r="A25" s="78" t="s">
        <v>8</v>
      </c>
      <c r="B25" s="91"/>
      <c r="C25" s="75"/>
      <c r="J25" s="712"/>
    </row>
    <row r="26" spans="1:31">
      <c r="A26" s="75" t="s">
        <v>42</v>
      </c>
      <c r="B26" s="83">
        <f>'TXST FGD'!M50</f>
        <v>22445953</v>
      </c>
      <c r="C26" s="83">
        <f t="shared" ref="C26:C31" si="6">ROUND(B26/$C$6,0)</f>
        <v>717</v>
      </c>
      <c r="D26" s="512">
        <f>'TXST FGD'!F50</f>
        <v>2978435</v>
      </c>
      <c r="E26" s="512"/>
      <c r="F26" s="512">
        <f t="shared" ref="F26:F31" si="7">B26-(SUM(D26:E26))</f>
        <v>19467518</v>
      </c>
      <c r="G26" s="337"/>
      <c r="H26" s="337"/>
      <c r="I26" s="337"/>
      <c r="J26" s="713">
        <f>ROUND(F26/$C$6,0)</f>
        <v>622</v>
      </c>
    </row>
    <row r="27" spans="1:31">
      <c r="A27" s="75" t="s">
        <v>9</v>
      </c>
      <c r="B27" s="86">
        <f>'TXST FGD'!M51</f>
        <v>740389</v>
      </c>
      <c r="C27" s="87">
        <f t="shared" si="6"/>
        <v>24</v>
      </c>
      <c r="D27" s="86">
        <f>'TXST FGD'!F51</f>
        <v>0</v>
      </c>
      <c r="E27" s="74"/>
      <c r="F27" s="74">
        <f t="shared" si="7"/>
        <v>740389</v>
      </c>
      <c r="G27" s="337"/>
      <c r="H27" s="337"/>
      <c r="I27" s="337"/>
      <c r="J27" s="716">
        <f t="shared" ref="J27:J31" si="8">ROUND(F27/$C$6,0)</f>
        <v>24</v>
      </c>
    </row>
    <row r="28" spans="1:31" ht="13.5" thickBot="1">
      <c r="A28" s="75" t="s">
        <v>10</v>
      </c>
      <c r="B28" s="86">
        <f>'TXST FGD'!M52</f>
        <v>12828178</v>
      </c>
      <c r="C28" s="87">
        <f t="shared" si="6"/>
        <v>410</v>
      </c>
      <c r="D28" s="86">
        <f>'TXST FGD'!F52</f>
        <v>0</v>
      </c>
      <c r="E28" s="74"/>
      <c r="F28" s="74">
        <f t="shared" si="7"/>
        <v>12828178</v>
      </c>
      <c r="G28" s="337"/>
      <c r="H28" s="337"/>
      <c r="I28" s="337"/>
      <c r="J28" s="716">
        <f t="shared" si="8"/>
        <v>410</v>
      </c>
    </row>
    <row r="29" spans="1:31" ht="13.5" thickBot="1">
      <c r="A29" s="75" t="s">
        <v>11</v>
      </c>
      <c r="B29" s="86">
        <f>'TXST FGD'!M53</f>
        <v>11959446</v>
      </c>
      <c r="C29" s="87">
        <f t="shared" si="6"/>
        <v>382</v>
      </c>
      <c r="D29" s="86">
        <f>'TXST FGD'!F53</f>
        <v>0</v>
      </c>
      <c r="E29" s="74"/>
      <c r="F29" s="74">
        <f t="shared" si="7"/>
        <v>11959446</v>
      </c>
      <c r="G29" s="337"/>
      <c r="H29" s="337"/>
      <c r="I29" s="337"/>
      <c r="J29" s="716">
        <f t="shared" si="8"/>
        <v>382</v>
      </c>
      <c r="K29" s="1694" t="s">
        <v>1065</v>
      </c>
      <c r="L29" s="1695"/>
      <c r="M29" s="1695"/>
      <c r="N29" s="1695"/>
      <c r="O29" s="1696"/>
    </row>
    <row r="30" spans="1:31" ht="13.5" thickBot="1">
      <c r="A30" s="93" t="s">
        <v>2134</v>
      </c>
      <c r="B30" s="94">
        <f>'TXST FGD'!M54</f>
        <v>69893224</v>
      </c>
      <c r="C30" s="87">
        <f t="shared" si="6"/>
        <v>2233</v>
      </c>
      <c r="D30" s="729">
        <f>B30</f>
        <v>69893224</v>
      </c>
      <c r="E30" s="74"/>
      <c r="F30" s="74">
        <f t="shared" si="7"/>
        <v>0</v>
      </c>
      <c r="G30" s="337"/>
      <c r="H30" s="337"/>
      <c r="I30" s="337"/>
      <c r="J30" s="716">
        <f t="shared" si="8"/>
        <v>0</v>
      </c>
      <c r="K30" s="1694" t="s">
        <v>1070</v>
      </c>
      <c r="L30" s="1695"/>
      <c r="M30" s="1695"/>
      <c r="N30" s="1695"/>
      <c r="O30" s="1696"/>
    </row>
    <row r="31" spans="1:31" ht="13.5" customHeight="1" thickBot="1">
      <c r="A31" s="95" t="s">
        <v>43</v>
      </c>
      <c r="B31" s="86">
        <f>'TXST FGD'!M55</f>
        <v>2914043</v>
      </c>
      <c r="C31" s="87">
        <f t="shared" si="6"/>
        <v>93</v>
      </c>
      <c r="D31" s="86">
        <f>'TXST FGD'!F55</f>
        <v>119556</v>
      </c>
      <c r="E31" s="74"/>
      <c r="F31" s="74">
        <f t="shared" si="7"/>
        <v>2794487</v>
      </c>
      <c r="G31" s="35"/>
      <c r="H31" s="35"/>
      <c r="I31" s="38"/>
      <c r="J31" s="716">
        <f t="shared" si="8"/>
        <v>89</v>
      </c>
      <c r="K31" s="1697" t="s">
        <v>1073</v>
      </c>
      <c r="L31" s="1697" t="s">
        <v>1071</v>
      </c>
      <c r="M31" s="1697" t="s">
        <v>1072</v>
      </c>
      <c r="N31" s="1697" t="s">
        <v>1240</v>
      </c>
      <c r="O31" s="1697"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120781233</v>
      </c>
      <c r="C32" s="89">
        <f>SUM(C26:C31)</f>
        <v>3859</v>
      </c>
      <c r="D32" s="723">
        <f>SUM(D26:D31)</f>
        <v>72991215</v>
      </c>
      <c r="E32" s="723">
        <f>SUM(E26:E31)</f>
        <v>0</v>
      </c>
      <c r="F32" s="802">
        <f>SUM(F26:F31)</f>
        <v>47790018</v>
      </c>
      <c r="G32" s="1708" t="s">
        <v>8</v>
      </c>
      <c r="H32" s="1709"/>
      <c r="I32" s="783" t="s">
        <v>1166</v>
      </c>
      <c r="J32" s="725">
        <f>SUM(J26:J31)</f>
        <v>1527</v>
      </c>
      <c r="K32" s="1698"/>
      <c r="L32" s="1698"/>
      <c r="M32" s="1698"/>
      <c r="N32" s="1698" t="s">
        <v>1074</v>
      </c>
      <c r="O32" s="1698" t="s">
        <v>1075</v>
      </c>
    </row>
    <row r="33" spans="1:31" ht="14.25" thickTop="1" thickBot="1">
      <c r="A33" s="97" t="s">
        <v>68</v>
      </c>
      <c r="B33" s="52">
        <f>B15+B20+B23+B32</f>
        <v>755966462</v>
      </c>
      <c r="C33" s="45">
        <f>C15+C20+C23+C32</f>
        <v>24156</v>
      </c>
      <c r="D33" s="52">
        <f>D15+D20+D23+D32</f>
        <v>116137246</v>
      </c>
      <c r="E33" s="52">
        <f>E15+E20+E23+E32</f>
        <v>0</v>
      </c>
      <c r="F33" s="724">
        <f>F15+F20+F23+F32</f>
        <v>639829216</v>
      </c>
      <c r="G33" s="1758" t="s">
        <v>84</v>
      </c>
      <c r="H33" s="1759"/>
      <c r="I33" s="1375">
        <f>ROUND($G$35/$C$6,0)</f>
        <v>19243</v>
      </c>
      <c r="J33" s="726">
        <f>J15+J20+J23+J32</f>
        <v>20446</v>
      </c>
      <c r="K33" s="1698"/>
      <c r="L33" s="1698"/>
      <c r="M33" s="1698"/>
      <c r="N33" s="1698"/>
      <c r="O33" s="1698"/>
    </row>
    <row r="34" spans="1:31" ht="14.25" thickTop="1" thickBot="1">
      <c r="B34" s="98"/>
      <c r="C34" s="75"/>
      <c r="D34" s="337"/>
      <c r="E34" s="337"/>
      <c r="F34" s="337" t="s">
        <v>1199</v>
      </c>
      <c r="G34" s="787">
        <f>G14*-1</f>
        <v>-37606478</v>
      </c>
      <c r="H34" s="337"/>
      <c r="I34" s="783" t="s">
        <v>1167</v>
      </c>
      <c r="J34" s="727"/>
      <c r="K34" s="1699"/>
      <c r="L34" s="1699"/>
      <c r="M34" s="1699"/>
      <c r="N34" s="1699"/>
      <c r="O34" s="1699"/>
    </row>
    <row r="35" spans="1:31" ht="14.25" thickTop="1" thickBot="1">
      <c r="A35" s="81" t="s">
        <v>72</v>
      </c>
      <c r="B35" s="81"/>
      <c r="C35" s="81"/>
      <c r="D35" s="728"/>
      <c r="E35" s="728"/>
      <c r="F35" s="788" t="s">
        <v>1165</v>
      </c>
      <c r="G35" s="803">
        <f>F33+G34</f>
        <v>602222738</v>
      </c>
      <c r="I35" s="1376">
        <f>ROUND($G$35/$I$8,0)</f>
        <v>251786</v>
      </c>
      <c r="K35" s="609"/>
      <c r="L35" s="609"/>
      <c r="M35" s="609"/>
      <c r="N35" s="609"/>
      <c r="O35" s="609"/>
    </row>
    <row r="36" spans="1:31" ht="13.5" thickTop="1">
      <c r="A36" s="99" t="s">
        <v>14</v>
      </c>
      <c r="B36" s="83">
        <f>'TXST FGD'!M60</f>
        <v>204998973</v>
      </c>
      <c r="C36" s="83">
        <f t="shared" ref="C36:C46" si="9">ROUND(B36/$C$6,0)</f>
        <v>6550</v>
      </c>
      <c r="D36" s="512">
        <f>'TXST FGD'!F60</f>
        <v>0</v>
      </c>
      <c r="E36" s="512"/>
      <c r="F36" s="512">
        <f t="shared" ref="F36:F46" si="10">B36-(SUM(D36:E36))</f>
        <v>204998973</v>
      </c>
      <c r="G36" s="337"/>
      <c r="H36" s="1378" t="s">
        <v>2158</v>
      </c>
      <c r="I36" s="1379">
        <f>ROUND(F36/$C$6,0)</f>
        <v>6550</v>
      </c>
      <c r="J36" s="337" t="s">
        <v>752</v>
      </c>
      <c r="K36" s="512">
        <f>F36</f>
        <v>204998973</v>
      </c>
      <c r="L36" s="512">
        <f>K36</f>
        <v>204998973</v>
      </c>
      <c r="M36" s="512"/>
      <c r="N36" s="512"/>
      <c r="O36" s="512"/>
    </row>
    <row r="37" spans="1:31">
      <c r="A37" s="99" t="s">
        <v>15</v>
      </c>
      <c r="B37" s="86">
        <f>'TXST FGD'!M61</f>
        <v>63379031</v>
      </c>
      <c r="C37" s="87">
        <f t="shared" si="9"/>
        <v>2025</v>
      </c>
      <c r="D37" s="86">
        <f>'TXST FGD'!F61</f>
        <v>0</v>
      </c>
      <c r="E37" s="74"/>
      <c r="F37" s="74">
        <f t="shared" si="10"/>
        <v>63379031</v>
      </c>
      <c r="G37" s="337"/>
      <c r="H37" s="337"/>
      <c r="J37" s="337" t="s">
        <v>1076</v>
      </c>
      <c r="K37" s="373">
        <f>F37</f>
        <v>63379031</v>
      </c>
      <c r="L37" s="373">
        <f>K37</f>
        <v>63379031</v>
      </c>
      <c r="M37" s="373"/>
      <c r="N37" s="373"/>
      <c r="O37" s="373"/>
    </row>
    <row r="38" spans="1:31">
      <c r="A38" s="99" t="s">
        <v>16</v>
      </c>
      <c r="B38" s="86">
        <f>'TXST FGD'!M62</f>
        <v>1454346</v>
      </c>
      <c r="C38" s="87">
        <f t="shared" si="9"/>
        <v>46</v>
      </c>
      <c r="D38" s="86">
        <f>'TXST FGD'!F62</f>
        <v>0</v>
      </c>
      <c r="E38" s="86">
        <f>B38-D38</f>
        <v>1454346</v>
      </c>
      <c r="F38" s="74">
        <f t="shared" si="10"/>
        <v>0</v>
      </c>
      <c r="G38" s="337"/>
      <c r="H38" s="337"/>
      <c r="I38" s="337"/>
      <c r="J38" s="337" t="s">
        <v>1077</v>
      </c>
      <c r="K38" s="736"/>
      <c r="L38" s="737"/>
      <c r="M38" s="737" t="s">
        <v>1152</v>
      </c>
      <c r="N38" s="737"/>
      <c r="O38" s="738"/>
    </row>
    <row r="39" spans="1:31">
      <c r="A39" s="99" t="s">
        <v>17</v>
      </c>
      <c r="B39" s="86">
        <f>'TXST FGD'!M63</f>
        <v>40428154</v>
      </c>
      <c r="C39" s="87">
        <f t="shared" si="9"/>
        <v>1292</v>
      </c>
      <c r="D39" s="86">
        <f>'TXST FGD'!F63</f>
        <v>0</v>
      </c>
      <c r="E39" s="74"/>
      <c r="F39" s="74">
        <f t="shared" si="10"/>
        <v>40428154</v>
      </c>
      <c r="G39" s="337"/>
      <c r="H39" s="1378" t="s">
        <v>2159</v>
      </c>
      <c r="I39" s="1379">
        <f>ROUND(F39/$C$6,0)</f>
        <v>1292</v>
      </c>
      <c r="J39" s="337" t="s">
        <v>1078</v>
      </c>
      <c r="K39" s="373">
        <f t="shared" ref="K39:K43" si="11">F39</f>
        <v>40428154</v>
      </c>
      <c r="L39" s="373">
        <f>K39</f>
        <v>40428154</v>
      </c>
      <c r="M39" s="373"/>
      <c r="N39" s="373"/>
      <c r="O39" s="373"/>
    </row>
    <row r="40" spans="1:31">
      <c r="A40" s="99" t="s">
        <v>18</v>
      </c>
      <c r="B40" s="86">
        <f>'TXST FGD'!M64</f>
        <v>32153801</v>
      </c>
      <c r="C40" s="87">
        <f t="shared" si="9"/>
        <v>1027</v>
      </c>
      <c r="D40" s="86">
        <f>'TXST FGD'!F64</f>
        <v>13636597</v>
      </c>
      <c r="E40" s="74"/>
      <c r="F40" s="74">
        <f t="shared" si="10"/>
        <v>18517204</v>
      </c>
      <c r="G40" s="337"/>
      <c r="J40" s="337" t="s">
        <v>1079</v>
      </c>
      <c r="K40" s="373">
        <f t="shared" si="11"/>
        <v>18517204</v>
      </c>
      <c r="L40" s="373"/>
      <c r="M40" s="373">
        <f>K40</f>
        <v>18517204</v>
      </c>
      <c r="N40" s="373"/>
      <c r="O40" s="373"/>
    </row>
    <row r="41" spans="1:31">
      <c r="A41" s="99" t="s">
        <v>19</v>
      </c>
      <c r="B41" s="86">
        <f>'TXST FGD'!M65</f>
        <v>39713377</v>
      </c>
      <c r="C41" s="87">
        <f t="shared" si="9"/>
        <v>1269</v>
      </c>
      <c r="D41" s="86">
        <f>'TXST FGD'!F65</f>
        <v>0</v>
      </c>
      <c r="E41" s="74"/>
      <c r="F41" s="74">
        <f t="shared" si="10"/>
        <v>39713377</v>
      </c>
      <c r="G41" s="337"/>
      <c r="H41" s="1378" t="s">
        <v>2160</v>
      </c>
      <c r="I41" s="1379">
        <f>ROUND(F41/$C$6,0)</f>
        <v>1269</v>
      </c>
      <c r="J41" s="337" t="s">
        <v>757</v>
      </c>
      <c r="K41" s="373">
        <f t="shared" si="11"/>
        <v>39713377</v>
      </c>
      <c r="L41" s="373"/>
      <c r="M41" s="373"/>
      <c r="N41" s="373">
        <f>K41</f>
        <v>39713377</v>
      </c>
      <c r="O41" s="373"/>
    </row>
    <row r="42" spans="1:31">
      <c r="A42" s="99" t="s">
        <v>20</v>
      </c>
      <c r="B42" s="86">
        <f>'TXST FGD'!M66</f>
        <v>50015180</v>
      </c>
      <c r="C42" s="87">
        <f t="shared" si="9"/>
        <v>1598</v>
      </c>
      <c r="D42" s="86">
        <f>'TXST FGD'!F66</f>
        <v>1289075</v>
      </c>
      <c r="E42" s="74"/>
      <c r="F42" s="74">
        <f t="shared" si="10"/>
        <v>48726105</v>
      </c>
      <c r="G42" s="337"/>
      <c r="J42" s="337" t="s">
        <v>758</v>
      </c>
      <c r="K42" s="373">
        <f t="shared" si="11"/>
        <v>48726105</v>
      </c>
      <c r="L42" s="373"/>
      <c r="M42" s="373"/>
      <c r="N42" s="373">
        <f>K42</f>
        <v>48726105</v>
      </c>
      <c r="O42" s="373"/>
    </row>
    <row r="43" spans="1:31">
      <c r="A43" s="99" t="s">
        <v>21</v>
      </c>
      <c r="B43" s="86">
        <f>'TXST FGD'!M67</f>
        <v>81474279</v>
      </c>
      <c r="C43" s="87">
        <f t="shared" si="9"/>
        <v>2603</v>
      </c>
      <c r="D43" s="86">
        <f>'TXST FGD'!F67</f>
        <v>2341862</v>
      </c>
      <c r="E43" s="74"/>
      <c r="F43" s="74">
        <f t="shared" si="10"/>
        <v>79132417</v>
      </c>
      <c r="G43" s="337"/>
      <c r="H43" s="337"/>
      <c r="I43" s="337"/>
      <c r="J43" s="337" t="s">
        <v>1145</v>
      </c>
      <c r="K43" s="373">
        <f t="shared" si="11"/>
        <v>79132417</v>
      </c>
      <c r="L43" s="373"/>
      <c r="M43" s="373">
        <f>K43</f>
        <v>79132417</v>
      </c>
      <c r="N43" s="373"/>
      <c r="O43" s="373"/>
    </row>
    <row r="44" spans="1:31">
      <c r="A44" s="99" t="s">
        <v>2135</v>
      </c>
      <c r="B44" s="86">
        <f>'TXST FGD'!M68</f>
        <v>68499438</v>
      </c>
      <c r="C44" s="87">
        <f t="shared" si="9"/>
        <v>2189</v>
      </c>
      <c r="D44" s="729">
        <f>B44</f>
        <v>68499438</v>
      </c>
      <c r="E44" s="74"/>
      <c r="F44" s="74">
        <f t="shared" si="10"/>
        <v>0</v>
      </c>
      <c r="G44" s="337"/>
      <c r="H44" s="337"/>
      <c r="I44" s="337"/>
      <c r="J44" s="337" t="s">
        <v>743</v>
      </c>
      <c r="K44" s="736"/>
      <c r="L44" s="737"/>
      <c r="M44" s="737" t="s">
        <v>1152</v>
      </c>
      <c r="N44" s="737"/>
      <c r="O44" s="738"/>
    </row>
    <row r="45" spans="1:31">
      <c r="A45" s="99" t="s">
        <v>61</v>
      </c>
      <c r="B45" s="86">
        <f>'TXST FGD'!M69</f>
        <v>9758036</v>
      </c>
      <c r="C45" s="87">
        <f t="shared" si="9"/>
        <v>312</v>
      </c>
      <c r="D45" s="86">
        <f>'TXST FGD'!F69</f>
        <v>119430</v>
      </c>
      <c r="E45" s="74"/>
      <c r="F45" s="74">
        <f t="shared" si="10"/>
        <v>9638606</v>
      </c>
      <c r="G45" s="337"/>
      <c r="H45" s="337"/>
      <c r="I45" s="337"/>
      <c r="J45" s="337" t="s">
        <v>1080</v>
      </c>
      <c r="K45" s="373">
        <f t="shared" ref="K45:K46" si="12">F45</f>
        <v>9638606</v>
      </c>
      <c r="L45" s="373"/>
      <c r="M45" s="373"/>
      <c r="N45" s="373"/>
      <c r="O45" s="373">
        <f>K45</f>
        <v>9638606</v>
      </c>
    </row>
    <row r="46" spans="1:31" ht="13.5" thickBot="1">
      <c r="A46" s="75" t="s">
        <v>50</v>
      </c>
      <c r="B46" s="86">
        <f>'TXST FGD'!M70</f>
        <v>584362</v>
      </c>
      <c r="C46" s="87">
        <f t="shared" si="9"/>
        <v>19</v>
      </c>
      <c r="D46" s="86">
        <f>'TXST FGD'!F70</f>
        <v>15862</v>
      </c>
      <c r="E46" s="74"/>
      <c r="F46" s="74">
        <f t="shared" si="10"/>
        <v>568500</v>
      </c>
      <c r="G46" s="35"/>
      <c r="H46" s="1378" t="s">
        <v>2161</v>
      </c>
      <c r="I46" s="1379">
        <f>ROUND(SUM(F37+F40+F42+F43+F45+F46)/$C$6,0)</f>
        <v>7029</v>
      </c>
      <c r="J46" s="610" t="s">
        <v>1075</v>
      </c>
      <c r="K46" s="373">
        <f t="shared" si="12"/>
        <v>568500</v>
      </c>
      <c r="L46" s="611"/>
      <c r="M46" s="611"/>
      <c r="N46" s="611"/>
      <c r="O46" s="373">
        <f>K46</f>
        <v>568500</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592458977</v>
      </c>
      <c r="C47" s="45">
        <f>SUM(C36:C46)</f>
        <v>18930</v>
      </c>
      <c r="D47" s="730">
        <f>SUM(D36:D46)</f>
        <v>85902264</v>
      </c>
      <c r="E47" s="731">
        <f>SUM(E36:E46)</f>
        <v>1454346</v>
      </c>
      <c r="F47" s="719">
        <f>SUM(F36:F46)</f>
        <v>505102367</v>
      </c>
      <c r="G47" s="1688" t="s">
        <v>1176</v>
      </c>
      <c r="H47" s="1689"/>
      <c r="I47" s="785" t="s">
        <v>1164</v>
      </c>
      <c r="J47" s="610" t="s">
        <v>1081</v>
      </c>
      <c r="K47" s="612">
        <f>SUM(K36:K46)</f>
        <v>505102367</v>
      </c>
      <c r="L47" s="612">
        <f>SUM(L36:L46)</f>
        <v>308806158</v>
      </c>
      <c r="M47" s="612">
        <f>SUM(M36:M46)</f>
        <v>97649621</v>
      </c>
      <c r="N47" s="612">
        <f>SUM(N36:N46)</f>
        <v>88439482</v>
      </c>
      <c r="O47" s="612">
        <f>SUM(O36:O46)</f>
        <v>10207106</v>
      </c>
    </row>
    <row r="48" spans="1:31" ht="14.25" thickTop="1" thickBot="1">
      <c r="A48" s="93"/>
      <c r="B48" s="98"/>
      <c r="C48" s="75"/>
      <c r="F48" s="613"/>
      <c r="G48" s="1690"/>
      <c r="H48" s="1691"/>
      <c r="I48" s="823">
        <f>ROUND(F47/C6,0)</f>
        <v>16140</v>
      </c>
      <c r="J48" s="1700" t="s">
        <v>1082</v>
      </c>
      <c r="K48" s="611"/>
      <c r="L48" s="611"/>
      <c r="M48" s="611"/>
      <c r="N48" s="611"/>
      <c r="O48" s="611"/>
    </row>
    <row r="49" spans="1:31" ht="13.5" thickBot="1">
      <c r="A49" s="78" t="s">
        <v>23</v>
      </c>
      <c r="B49" s="82"/>
      <c r="C49" s="75"/>
      <c r="F49" s="614"/>
      <c r="G49" s="1690"/>
      <c r="H49" s="1691"/>
      <c r="I49" s="811"/>
      <c r="J49" s="1700"/>
      <c r="K49" s="615">
        <f>ROUND(K47/$C$6,2)</f>
        <v>16139.92</v>
      </c>
      <c r="L49" s="615">
        <f t="shared" ref="L49:O49" si="13">ROUND(L47/$C$6,2)</f>
        <v>9867.52</v>
      </c>
      <c r="M49" s="615">
        <f t="shared" si="13"/>
        <v>3120.27</v>
      </c>
      <c r="N49" s="615">
        <f t="shared" si="13"/>
        <v>2825.97</v>
      </c>
      <c r="O49" s="615">
        <f t="shared" si="13"/>
        <v>326.16000000000003</v>
      </c>
      <c r="P49" s="35"/>
      <c r="Q49" s="96"/>
      <c r="R49" s="96"/>
      <c r="S49" s="96"/>
      <c r="T49" s="96"/>
      <c r="U49" s="96"/>
      <c r="V49" s="96"/>
      <c r="W49" s="96"/>
      <c r="X49" s="96"/>
      <c r="Y49" s="96"/>
      <c r="Z49" s="96"/>
      <c r="AA49" s="96"/>
      <c r="AB49" s="96"/>
      <c r="AC49" s="96"/>
      <c r="AD49" s="96"/>
      <c r="AE49" s="96"/>
    </row>
    <row r="50" spans="1:31" ht="13.5" thickBot="1">
      <c r="A50" s="75" t="s">
        <v>62</v>
      </c>
      <c r="B50" s="86">
        <f>'TXST FGD'!M74</f>
        <v>-29063077</v>
      </c>
      <c r="C50" s="83">
        <f t="shared" ref="C50:C53" si="14">ROUND(B50/$C$6,0)</f>
        <v>-929</v>
      </c>
      <c r="D50" s="512">
        <f>'TXST FGD'!F74</f>
        <v>0</v>
      </c>
      <c r="E50" s="512"/>
      <c r="F50" s="732">
        <f t="shared" ref="F50:F53" si="15">B50-(SUM(D50:E50))</f>
        <v>-29063077</v>
      </c>
      <c r="G50" s="1692"/>
      <c r="H50" s="1693"/>
      <c r="I50" s="808"/>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'TXST FGD'!M75</f>
        <v>-3612145</v>
      </c>
      <c r="C51" s="87">
        <f t="shared" si="14"/>
        <v>-115</v>
      </c>
      <c r="D51" s="91">
        <f>'TXST FGD'!F75</f>
        <v>0</v>
      </c>
      <c r="E51" s="82"/>
      <c r="F51" s="74">
        <f t="shared" si="15"/>
        <v>-3612145</v>
      </c>
      <c r="G51" s="337"/>
      <c r="J51" s="337"/>
      <c r="K51" s="616"/>
      <c r="L51" s="616"/>
      <c r="M51" s="616"/>
      <c r="N51" s="616"/>
      <c r="O51" s="616"/>
    </row>
    <row r="52" spans="1:31">
      <c r="A52" s="75" t="s">
        <v>51</v>
      </c>
      <c r="B52" s="86">
        <f>'TXST FGD'!M76</f>
        <v>0</v>
      </c>
      <c r="C52" s="87">
        <f t="shared" si="14"/>
        <v>0</v>
      </c>
      <c r="D52" s="91">
        <f>'TXST FGD'!F76</f>
        <v>0</v>
      </c>
      <c r="E52" s="82"/>
      <c r="F52" s="74">
        <f t="shared" si="15"/>
        <v>0</v>
      </c>
      <c r="G52" s="337"/>
      <c r="J52" s="733"/>
      <c r="K52" s="733"/>
      <c r="L52" s="733"/>
      <c r="M52" s="733"/>
      <c r="N52" s="733"/>
      <c r="O52" s="733"/>
    </row>
    <row r="53" spans="1:31" ht="12" customHeight="1">
      <c r="A53" s="75" t="s">
        <v>46</v>
      </c>
      <c r="B53" s="86">
        <f>'TXST FGD'!M77</f>
        <v>-60468333</v>
      </c>
      <c r="C53" s="87">
        <f t="shared" si="14"/>
        <v>-1932</v>
      </c>
      <c r="D53" s="91">
        <f>'TXST FGD'!F77</f>
        <v>-31093592</v>
      </c>
      <c r="E53" s="82"/>
      <c r="F53" s="74">
        <f t="shared" si="15"/>
        <v>-29374741</v>
      </c>
      <c r="G53" s="35"/>
      <c r="J53" s="733"/>
      <c r="K53" s="733"/>
      <c r="L53" s="733"/>
      <c r="M53" s="733"/>
      <c r="N53" s="733"/>
      <c r="O53" s="733"/>
      <c r="P53" s="35"/>
      <c r="Q53" s="96"/>
      <c r="R53" s="96"/>
      <c r="S53" s="96"/>
      <c r="T53" s="96"/>
      <c r="U53" s="96"/>
      <c r="V53" s="96"/>
      <c r="W53" s="96"/>
      <c r="X53" s="96"/>
      <c r="Y53" s="96"/>
      <c r="Z53" s="96"/>
      <c r="AA53" s="96"/>
      <c r="AB53" s="96"/>
      <c r="AC53" s="96"/>
      <c r="AD53" s="96"/>
      <c r="AE53" s="96"/>
    </row>
    <row r="54" spans="1:31">
      <c r="A54" s="88" t="s">
        <v>3</v>
      </c>
      <c r="B54" s="89">
        <f>SUM(B50:B53)</f>
        <v>-93143555</v>
      </c>
      <c r="C54" s="89">
        <f>SUM(C50:C53)</f>
        <v>-2976</v>
      </c>
      <c r="D54" s="89">
        <f>SUM(D50:D53)</f>
        <v>-31093592</v>
      </c>
      <c r="E54" s="89">
        <f>SUM(E50:E53)</f>
        <v>0</v>
      </c>
      <c r="F54" s="102">
        <f>SUM(F50:F53)</f>
        <v>-62049963</v>
      </c>
      <c r="G54" s="337"/>
      <c r="H54" s="337"/>
      <c r="I54" s="337"/>
      <c r="J54" s="733"/>
      <c r="K54" s="733"/>
      <c r="L54" s="733"/>
      <c r="M54" s="733"/>
      <c r="N54" s="733"/>
      <c r="O54" s="733"/>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'TXST FGD'!M81</f>
        <v>19039213</v>
      </c>
      <c r="C57" s="83">
        <f>ROUND(B57/$C$6,0)</f>
        <v>608</v>
      </c>
      <c r="D57" s="512">
        <f>'TXST FGD'!F81</f>
        <v>0</v>
      </c>
      <c r="E57" s="512"/>
      <c r="F57" s="512">
        <f t="shared" ref="F57:F58" si="16">B57-(SUM(D57:E57))</f>
        <v>19039213</v>
      </c>
      <c r="G57" s="337"/>
      <c r="H57" s="337"/>
      <c r="I57" s="337"/>
      <c r="J57" s="337"/>
    </row>
    <row r="58" spans="1:31">
      <c r="A58" s="75" t="s">
        <v>48</v>
      </c>
      <c r="B58" s="86">
        <f>'TXST FGD'!M82</f>
        <v>239539</v>
      </c>
      <c r="C58" s="87">
        <f>ROUND(B58/$C$6,0)</f>
        <v>8</v>
      </c>
      <c r="D58" s="91">
        <f>'TXST FGD'!F82</f>
        <v>0</v>
      </c>
      <c r="E58" s="82"/>
      <c r="F58" s="74">
        <f t="shared" si="16"/>
        <v>239539</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19278752</v>
      </c>
      <c r="C59" s="89">
        <f>SUM(C57:C58)</f>
        <v>616</v>
      </c>
      <c r="D59" s="89">
        <f>SUM(D57:D58)</f>
        <v>0</v>
      </c>
      <c r="E59" s="89">
        <f>SUM(E57:E58)</f>
        <v>0</v>
      </c>
      <c r="F59" s="89">
        <f>SUM(F57:F58)</f>
        <v>19278752</v>
      </c>
      <c r="G59" s="367"/>
      <c r="H59" s="367"/>
      <c r="I59" s="367"/>
      <c r="J59" s="367"/>
      <c r="K59" s="266"/>
      <c r="L59" s="266"/>
      <c r="M59" s="266"/>
      <c r="N59" s="266"/>
      <c r="O59" s="266"/>
      <c r="P59" s="266"/>
    </row>
    <row r="60" spans="1:31">
      <c r="B60" s="82"/>
      <c r="C60" s="75"/>
    </row>
    <row r="61" spans="1:31" ht="13.5" thickBot="1">
      <c r="A61" s="103" t="s">
        <v>573</v>
      </c>
      <c r="B61" s="46">
        <f>B33-B47+B54+B59</f>
        <v>89642682</v>
      </c>
      <c r="C61" s="46">
        <f>C33-C47+C54+C59</f>
        <v>2866</v>
      </c>
      <c r="D61" s="46">
        <f>D33-D47+D54+D59</f>
        <v>-858610</v>
      </c>
      <c r="E61" s="46">
        <f>E33-E47+E54+E59</f>
        <v>-1454346</v>
      </c>
      <c r="F61" s="46">
        <f>F33-F47+F54+F59</f>
        <v>91955638</v>
      </c>
    </row>
    <row r="62" spans="1:31" ht="13.5" thickTop="1"/>
    <row r="63" spans="1:31">
      <c r="D63" s="512"/>
    </row>
    <row r="65" spans="2:16">
      <c r="B65" s="734">
        <f>'TXST FGD'!$M$85</f>
        <v>89642682</v>
      </c>
      <c r="C65" s="75"/>
      <c r="D65" s="734">
        <f>'TXST FGD'!$F$85</f>
        <v>-838072</v>
      </c>
      <c r="E65" s="734">
        <f>'TXST FGD'!$M$62*-1</f>
        <v>-1454346</v>
      </c>
      <c r="F65" s="75"/>
    </row>
    <row r="66" spans="2:16">
      <c r="B66" s="734"/>
      <c r="C66" s="75"/>
      <c r="D66" s="734">
        <f>'TXST FGD'!$F$68</f>
        <v>68478900</v>
      </c>
      <c r="E66" s="734">
        <f>+$D$38</f>
        <v>0</v>
      </c>
      <c r="F66" s="734"/>
    </row>
    <row r="67" spans="2:16">
      <c r="B67" s="759"/>
      <c r="C67" s="75"/>
      <c r="D67" s="759">
        <f>-'TXST FGD'!$M$68</f>
        <v>-68499438</v>
      </c>
      <c r="E67" s="759"/>
      <c r="F67" s="734"/>
    </row>
    <row r="68" spans="2:16">
      <c r="B68" s="734">
        <f>SUM(B65:B67)</f>
        <v>89642682</v>
      </c>
      <c r="C68" s="75"/>
      <c r="D68" s="734">
        <f>SUM(D65:D67)</f>
        <v>-858610</v>
      </c>
      <c r="E68" s="734">
        <f>SUM(E65:E67)</f>
        <v>-1454346</v>
      </c>
      <c r="F68" s="734">
        <f>B68-D68-E68</f>
        <v>91955638</v>
      </c>
    </row>
    <row r="69" spans="2:16">
      <c r="B69" s="734"/>
      <c r="C69" s="75"/>
      <c r="D69" s="734">
        <f>'TXST FGD'!F54*-1</f>
        <v>-69893224</v>
      </c>
      <c r="E69" s="734"/>
      <c r="F69" s="734"/>
    </row>
    <row r="70" spans="2:16" ht="12.75" customHeight="1">
      <c r="B70" s="759"/>
      <c r="C70" s="95"/>
      <c r="D70" s="759">
        <f>'TXST FGD'!M54</f>
        <v>69893224</v>
      </c>
      <c r="E70" s="759"/>
      <c r="F70" s="759">
        <f>-D70-D69</f>
        <v>0</v>
      </c>
    </row>
    <row r="71" spans="2:16" ht="12.75" customHeight="1">
      <c r="B71" s="734">
        <f>SUM(B68:B70)</f>
        <v>89642682</v>
      </c>
      <c r="C71" s="75"/>
      <c r="D71" s="734">
        <f>SUM(D68:D70)</f>
        <v>-858610</v>
      </c>
      <c r="E71" s="734">
        <f>SUM(E68:E70)</f>
        <v>-1454346</v>
      </c>
      <c r="F71" s="734">
        <f>SUM(F68:F70)</f>
        <v>91955638</v>
      </c>
    </row>
    <row r="72" spans="2:16" ht="12.75" customHeight="1">
      <c r="B72" s="734"/>
      <c r="C72" s="75"/>
      <c r="D72" s="734"/>
      <c r="E72" s="734"/>
      <c r="F72" s="734"/>
    </row>
    <row r="73" spans="2:16" ht="12.75" customHeight="1">
      <c r="B73" s="512">
        <f>B61-B71</f>
        <v>0</v>
      </c>
      <c r="C73" s="75"/>
      <c r="D73" s="512">
        <f>D61-D71</f>
        <v>0</v>
      </c>
      <c r="E73" s="512">
        <f>E61-E71</f>
        <v>0</v>
      </c>
      <c r="F73" s="512">
        <f>F61-F71</f>
        <v>0</v>
      </c>
    </row>
    <row r="74" spans="2:16" ht="12.75" customHeight="1">
      <c r="C74" s="75"/>
      <c r="F74" s="617"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G47:H50"/>
    <mergeCell ref="K30:O30"/>
    <mergeCell ref="M31:M34"/>
    <mergeCell ref="G32:H32"/>
    <mergeCell ref="G33:H33"/>
    <mergeCell ref="L31:L34"/>
    <mergeCell ref="K31:K34"/>
    <mergeCell ref="N31:N34"/>
    <mergeCell ref="O31:O34"/>
    <mergeCell ref="J48:J49"/>
    <mergeCell ref="F1:I1"/>
    <mergeCell ref="J1:O1"/>
    <mergeCell ref="D1:E1"/>
    <mergeCell ref="K29:O29"/>
    <mergeCell ref="D4:D5"/>
    <mergeCell ref="E4:E5"/>
  </mergeCells>
  <hyperlinks>
    <hyperlink ref="D1:E1" location="Index!A1" display="Return to Index" xr:uid="{00000000-0004-0000-82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codeName="Sheet109">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D25" sqref="D25"/>
    </sheetView>
  </sheetViews>
  <sheetFormatPr defaultColWidth="9.140625"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4.28515625" style="164" customWidth="1"/>
    <col min="15" max="15" width="14.42578125" style="261" customWidth="1"/>
    <col min="16" max="16" width="25.7109375" style="264" customWidth="1"/>
    <col min="17" max="17" width="16.42578125" style="264" customWidth="1"/>
    <col min="18" max="18" width="18.140625" style="264" customWidth="1"/>
    <col min="19" max="19" width="1.7109375" style="264" customWidth="1"/>
    <col min="20" max="20" width="17.140625" style="264" customWidth="1"/>
    <col min="21" max="21" width="16.85546875" style="264" customWidth="1"/>
    <col min="22" max="23" width="19.28515625" style="264" customWidth="1"/>
    <col min="24" max="24" width="19.14062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13" t="str">
        <f>'TXST Chrts'!$A$1</f>
        <v>Texas State University</v>
      </c>
      <c r="C2" s="1713"/>
      <c r="D2" s="1713"/>
      <c r="E2" s="1713"/>
      <c r="F2" s="1742"/>
      <c r="G2" s="160"/>
      <c r="H2" s="161"/>
      <c r="I2" s="320" t="str">
        <f>IF($B$2&lt;&gt;Input!$B$32,"Name Mismatch","")</f>
        <v/>
      </c>
      <c r="J2" s="168"/>
      <c r="K2" s="169"/>
      <c r="L2" s="169"/>
      <c r="M2" s="170"/>
      <c r="O2" s="835" t="s">
        <v>1200</v>
      </c>
      <c r="P2" s="36"/>
    </row>
    <row r="3" spans="1:28" ht="20.25">
      <c r="A3" s="184">
        <v>2</v>
      </c>
      <c r="B3" s="1713" t="str">
        <f>'Smmy Chrts'!$A$2</f>
        <v>For the Year Ended August 31, 2021</v>
      </c>
      <c r="C3" s="1713"/>
      <c r="D3" s="1713"/>
      <c r="E3" s="1713"/>
      <c r="F3" s="1742"/>
      <c r="G3" s="161"/>
      <c r="H3" s="161"/>
      <c r="I3" s="169"/>
      <c r="J3" s="168"/>
      <c r="K3" s="169"/>
      <c r="L3" s="169"/>
      <c r="M3" s="170"/>
      <c r="O3" s="74"/>
    </row>
    <row r="4" spans="1:28" ht="20.25">
      <c r="A4" s="184">
        <v>3</v>
      </c>
      <c r="B4" s="1713" t="str">
        <f>'Smmy Chrts'!$A$3</f>
        <v>Source: FY 2021 Annual Financial Report</v>
      </c>
      <c r="C4" s="1713"/>
      <c r="D4" s="1713"/>
      <c r="E4" s="1713"/>
      <c r="F4" s="1742"/>
      <c r="G4" s="161"/>
      <c r="H4" s="161"/>
      <c r="I4" s="169"/>
      <c r="J4" s="168"/>
      <c r="K4" s="169"/>
      <c r="L4" s="169"/>
      <c r="M4" s="170"/>
      <c r="O4" s="74"/>
      <c r="P4" s="1744" t="s">
        <v>93</v>
      </c>
      <c r="Q4" s="1745"/>
      <c r="T4" s="36" t="s">
        <v>250</v>
      </c>
    </row>
    <row r="5" spans="1:28">
      <c r="A5" s="184">
        <v>4</v>
      </c>
      <c r="B5" s="160"/>
      <c r="C5" s="160"/>
      <c r="D5" s="160"/>
      <c r="E5" s="160"/>
      <c r="F5" s="160"/>
      <c r="G5" s="160"/>
      <c r="H5" s="160"/>
      <c r="I5" s="160"/>
      <c r="J5" s="160"/>
      <c r="K5" s="160"/>
      <c r="L5" s="160"/>
      <c r="M5" s="166"/>
      <c r="O5" s="262"/>
    </row>
    <row r="6" spans="1:28">
      <c r="A6" s="184">
        <v>5</v>
      </c>
      <c r="B6" s="1715" t="str">
        <f>'Smmy Chrts'!$C$32</f>
        <v>Detail Worksheet FY 2021</v>
      </c>
      <c r="C6" s="1715"/>
      <c r="D6" s="1743"/>
      <c r="E6" s="1743"/>
      <c r="F6" s="1743"/>
      <c r="G6" s="1743"/>
      <c r="H6" s="1743"/>
      <c r="I6" s="1743"/>
      <c r="J6" s="1743"/>
      <c r="K6" s="1743"/>
      <c r="L6" s="1743"/>
      <c r="M6" s="1743"/>
      <c r="O6" s="265"/>
    </row>
    <row r="7" spans="1:28">
      <c r="A7" s="184">
        <v>6</v>
      </c>
      <c r="B7" s="172"/>
      <c r="C7" s="172"/>
      <c r="D7" s="160"/>
      <c r="E7" s="160"/>
      <c r="F7" s="160"/>
      <c r="G7" s="160"/>
      <c r="H7" s="160"/>
      <c r="I7" s="160"/>
      <c r="J7" s="160"/>
      <c r="K7" s="160"/>
      <c r="L7" s="160"/>
      <c r="M7" s="173" t="str">
        <f>'Smmy Chrts'!$C$33</f>
        <v>FY 2021</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Input!$M$32</f>
        <v>138011843</v>
      </c>
      <c r="E10" s="372">
        <f>Input!$N$32</f>
        <v>0</v>
      </c>
      <c r="F10" s="372">
        <f>Input!$O$32</f>
        <v>0</v>
      </c>
      <c r="G10" s="372">
        <f>Input!$P$32</f>
        <v>0</v>
      </c>
      <c r="H10" s="372">
        <f>Input!$Q$32</f>
        <v>0</v>
      </c>
      <c r="I10" s="372">
        <f>Input!$R$32</f>
        <v>0</v>
      </c>
      <c r="J10" s="372">
        <f>Input!$S$32</f>
        <v>0</v>
      </c>
      <c r="K10" s="372">
        <f>Input!$T$32</f>
        <v>0</v>
      </c>
      <c r="L10" s="372">
        <f>Input!$U$32</f>
        <v>0</v>
      </c>
      <c r="M10" s="373">
        <f t="shared" ref="M10:M15" si="0">D10+E10+F10+G10+H10+I10+J10+K10+L10</f>
        <v>138011843</v>
      </c>
      <c r="N10" s="160"/>
      <c r="O10" s="271"/>
      <c r="P10" s="1718" t="s">
        <v>575</v>
      </c>
      <c r="U10" s="268"/>
    </row>
    <row r="11" spans="1:28">
      <c r="A11" s="184">
        <v>10</v>
      </c>
      <c r="B11" s="160" t="s">
        <v>2</v>
      </c>
      <c r="C11" s="160"/>
      <c r="D11" s="372">
        <f>Input!$V$32</f>
        <v>147947</v>
      </c>
      <c r="E11" s="372">
        <f>Input!$W$32</f>
        <v>200000</v>
      </c>
      <c r="F11" s="372">
        <f>Input!$X$32</f>
        <v>0</v>
      </c>
      <c r="G11" s="372">
        <f>Input!$Y$32</f>
        <v>30876542</v>
      </c>
      <c r="H11" s="372">
        <f>Input!$Z$32</f>
        <v>0</v>
      </c>
      <c r="I11" s="372">
        <f>Input!$AA$32</f>
        <v>0</v>
      </c>
      <c r="J11" s="372">
        <f>Input!$AB$32</f>
        <v>0</v>
      </c>
      <c r="K11" s="372">
        <f>Input!$AC$32</f>
        <v>0</v>
      </c>
      <c r="L11" s="372">
        <f>Input!$AD$32</f>
        <v>0</v>
      </c>
      <c r="M11" s="373">
        <f t="shared" si="0"/>
        <v>31224489</v>
      </c>
      <c r="N11" s="160"/>
      <c r="O11" s="482"/>
      <c r="P11" s="1719"/>
      <c r="U11" s="268"/>
    </row>
    <row r="12" spans="1:28" ht="12.75" hidden="1" customHeight="1">
      <c r="B12" s="160" t="s">
        <v>1410</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Input!$AN$32</f>
        <v>37606478</v>
      </c>
      <c r="E13" s="372">
        <f>Input!$AO$32</f>
        <v>0</v>
      </c>
      <c r="F13" s="372">
        <f>Input!$AP$32</f>
        <v>0</v>
      </c>
      <c r="G13" s="372">
        <f>Input!$AQ$32</f>
        <v>0</v>
      </c>
      <c r="H13" s="372">
        <f>Input!$AR$32</f>
        <v>0</v>
      </c>
      <c r="I13" s="372">
        <f>Input!$AS$32</f>
        <v>0</v>
      </c>
      <c r="J13" s="372">
        <f>Input!$AT$32</f>
        <v>0</v>
      </c>
      <c r="K13" s="372">
        <f>Input!$AU$32</f>
        <v>0</v>
      </c>
      <c r="L13" s="372">
        <f>Input!$AV$32</f>
        <v>0</v>
      </c>
      <c r="M13" s="373">
        <f t="shared" si="0"/>
        <v>37606478</v>
      </c>
      <c r="N13" s="160"/>
      <c r="O13" s="482" t="str">
        <f>IF(P13&lt;&gt;M13,"Out of Balance","Balanced")</f>
        <v>Balanced</v>
      </c>
      <c r="P13" s="484">
        <f>IFERROR(VLOOKUP($B$2,AMTLU,6,FALSE),0)</f>
        <v>37606478</v>
      </c>
      <c r="U13" s="268"/>
    </row>
    <row r="14" spans="1:28">
      <c r="A14" s="184">
        <v>13</v>
      </c>
      <c r="B14" s="160" t="s">
        <v>49</v>
      </c>
      <c r="C14" s="160"/>
      <c r="D14" s="372">
        <f>Input!$AW$32</f>
        <v>0</v>
      </c>
      <c r="E14" s="372">
        <f>Input!$AX$32</f>
        <v>0</v>
      </c>
      <c r="F14" s="372">
        <f>Input!$AY$32</f>
        <v>0</v>
      </c>
      <c r="G14" s="372">
        <f>Input!$AZ$32</f>
        <v>0</v>
      </c>
      <c r="H14" s="372">
        <f>Input!$BA$32</f>
        <v>0</v>
      </c>
      <c r="I14" s="372">
        <f>Input!$BB$32</f>
        <v>0</v>
      </c>
      <c r="J14" s="372">
        <f>Input!$BC$32</f>
        <v>0</v>
      </c>
      <c r="K14" s="372">
        <f>Input!$BD$32</f>
        <v>0</v>
      </c>
      <c r="L14" s="372">
        <f>Input!$BE$32</f>
        <v>0</v>
      </c>
      <c r="M14" s="373">
        <f t="shared" si="0"/>
        <v>0</v>
      </c>
      <c r="N14" s="160"/>
      <c r="O14" s="482"/>
      <c r="P14" s="485"/>
    </row>
    <row r="15" spans="1:28" ht="15">
      <c r="A15" s="184">
        <v>14</v>
      </c>
      <c r="B15" s="176" t="s">
        <v>3</v>
      </c>
      <c r="C15" s="176"/>
      <c r="D15" s="374">
        <f t="shared" ref="D15:L15" si="1">SUM(D10:D14)</f>
        <v>175766268</v>
      </c>
      <c r="E15" s="374">
        <f t="shared" si="1"/>
        <v>200000</v>
      </c>
      <c r="F15" s="374">
        <f t="shared" si="1"/>
        <v>0</v>
      </c>
      <c r="G15" s="374">
        <f t="shared" si="1"/>
        <v>30876542</v>
      </c>
      <c r="H15" s="374">
        <f t="shared" si="1"/>
        <v>0</v>
      </c>
      <c r="I15" s="374">
        <f t="shared" si="1"/>
        <v>0</v>
      </c>
      <c r="J15" s="374">
        <f t="shared" si="1"/>
        <v>0</v>
      </c>
      <c r="K15" s="374">
        <f t="shared" si="1"/>
        <v>0</v>
      </c>
      <c r="L15" s="374">
        <f t="shared" si="1"/>
        <v>0</v>
      </c>
      <c r="M15" s="374">
        <f t="shared" si="0"/>
        <v>206842810</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58" t="s">
        <v>1042</v>
      </c>
      <c r="C18" s="558"/>
      <c r="D18" s="374">
        <f t="shared" ref="D18:L18" si="2">D23-SUM(D19:D22)</f>
        <v>63271861</v>
      </c>
      <c r="E18" s="374">
        <f t="shared" si="2"/>
        <v>234730059</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298001920</v>
      </c>
      <c r="V18" s="327"/>
      <c r="X18" s="330"/>
    </row>
    <row r="19" spans="1:26" s="264" customFormat="1" ht="12.75" customHeight="1" thickTop="1" thickBot="1">
      <c r="A19" s="263"/>
      <c r="B19" s="261" t="s">
        <v>722</v>
      </c>
      <c r="C19" s="261"/>
      <c r="D19" s="372">
        <f>Input!$BF$32</f>
        <v>-7598758</v>
      </c>
      <c r="E19" s="372">
        <f>Input!$BG$32</f>
        <v>-41058</v>
      </c>
      <c r="F19" s="372">
        <f>Input!$BH$32</f>
        <v>0</v>
      </c>
      <c r="G19" s="372">
        <f>Input!$BI$32</f>
        <v>0</v>
      </c>
      <c r="H19" s="372">
        <f>Input!$BJ$32</f>
        <v>0</v>
      </c>
      <c r="I19" s="372">
        <f>Input!$BK$32</f>
        <v>0</v>
      </c>
      <c r="J19" s="372">
        <f>Input!$BL$32</f>
        <v>0</v>
      </c>
      <c r="K19" s="372">
        <f>Input!$BM$32</f>
        <v>0</v>
      </c>
      <c r="L19" s="372">
        <f>Input!$BN$32</f>
        <v>0</v>
      </c>
      <c r="M19" s="373">
        <f t="shared" si="3"/>
        <v>-7639816</v>
      </c>
      <c r="O19" s="1732" t="s">
        <v>1294</v>
      </c>
      <c r="P19" s="1733"/>
      <c r="Q19" s="1733"/>
      <c r="R19" s="1734"/>
      <c r="T19" s="1735" t="s">
        <v>1043</v>
      </c>
      <c r="U19" s="1736"/>
      <c r="V19" s="1736"/>
      <c r="W19" s="1736"/>
      <c r="X19" s="1737"/>
    </row>
    <row r="20" spans="1:26" s="264" customFormat="1" ht="12.75" customHeight="1" thickTop="1">
      <c r="A20" s="263"/>
      <c r="B20" s="261" t="s">
        <v>723</v>
      </c>
      <c r="C20" s="261"/>
      <c r="D20" s="372">
        <f>Input!$BO$32</f>
        <v>0</v>
      </c>
      <c r="E20" s="372">
        <f>Input!$BP$32</f>
        <v>0</v>
      </c>
      <c r="F20" s="372">
        <f>Input!$BQ$32</f>
        <v>0</v>
      </c>
      <c r="G20" s="372">
        <f>Input!$BR$32</f>
        <v>0</v>
      </c>
      <c r="H20" s="372">
        <f>Input!$BS$32</f>
        <v>0</v>
      </c>
      <c r="I20" s="372">
        <f>Input!$BT$32</f>
        <v>0</v>
      </c>
      <c r="J20" s="372">
        <f>Input!$BU$32</f>
        <v>0</v>
      </c>
      <c r="K20" s="372">
        <f>Input!$BV$32</f>
        <v>0</v>
      </c>
      <c r="L20" s="372">
        <f>Input!$BW$32</f>
        <v>0</v>
      </c>
      <c r="M20" s="373">
        <f t="shared" si="3"/>
        <v>0</v>
      </c>
      <c r="O20" s="421" t="s">
        <v>288</v>
      </c>
      <c r="P20" s="422"/>
      <c r="Q20" s="414"/>
      <c r="R20" s="559"/>
      <c r="T20" s="560" t="s">
        <v>1044</v>
      </c>
      <c r="U20" s="266"/>
      <c r="V20" s="266"/>
      <c r="X20" s="425"/>
    </row>
    <row r="21" spans="1:26" s="264" customFormat="1">
      <c r="A21" s="263"/>
      <c r="B21" s="261" t="s">
        <v>724</v>
      </c>
      <c r="C21" s="261"/>
      <c r="D21" s="372">
        <f>Input!$BX$32</f>
        <v>0</v>
      </c>
      <c r="E21" s="372">
        <f>Input!$BY$32</f>
        <v>0</v>
      </c>
      <c r="F21" s="372">
        <f>Input!$BZ$32</f>
        <v>0</v>
      </c>
      <c r="G21" s="372">
        <f>Input!$CA$32</f>
        <v>0</v>
      </c>
      <c r="H21" s="372">
        <f>Input!$CB$32</f>
        <v>0</v>
      </c>
      <c r="I21" s="372">
        <f>Input!$CC$32</f>
        <v>0</v>
      </c>
      <c r="J21" s="372">
        <f>Input!$CD$32</f>
        <v>0</v>
      </c>
      <c r="K21" s="372">
        <f>Input!$CE$32</f>
        <v>0</v>
      </c>
      <c r="L21" s="372">
        <f>Input!$CF$32</f>
        <v>0</v>
      </c>
      <c r="M21" s="373">
        <f t="shared" si="3"/>
        <v>0</v>
      </c>
      <c r="O21" s="434"/>
      <c r="R21" s="561"/>
      <c r="T21" s="650" t="s">
        <v>1045</v>
      </c>
      <c r="U21" s="266"/>
      <c r="V21" s="266"/>
      <c r="W21" s="651">
        <f>M44</f>
        <v>285682007</v>
      </c>
      <c r="X21" s="425"/>
      <c r="Z21" s="330"/>
    </row>
    <row r="22" spans="1:26" s="264" customFormat="1">
      <c r="A22" s="263"/>
      <c r="B22" s="261" t="s">
        <v>725</v>
      </c>
      <c r="C22" s="261"/>
      <c r="D22" s="372">
        <f>Input!$CG$32</f>
        <v>0</v>
      </c>
      <c r="E22" s="372">
        <f>Input!$CH$32</f>
        <v>0</v>
      </c>
      <c r="F22" s="372">
        <f>Input!$CI$32</f>
        <v>0</v>
      </c>
      <c r="G22" s="372">
        <f>Input!$CJ$32</f>
        <v>0</v>
      </c>
      <c r="H22" s="372">
        <f>Input!$CK$32</f>
        <v>0</v>
      </c>
      <c r="I22" s="372">
        <f>Input!$CL$32</f>
        <v>0</v>
      </c>
      <c r="J22" s="372">
        <f>Input!$CM$32</f>
        <v>0</v>
      </c>
      <c r="K22" s="372">
        <f>Input!$CN$32</f>
        <v>0</v>
      </c>
      <c r="L22" s="372">
        <f>Input!$CO$32</f>
        <v>0</v>
      </c>
      <c r="M22" s="373">
        <f t="shared" si="3"/>
        <v>0</v>
      </c>
      <c r="N22" s="270"/>
      <c r="O22" s="434" t="s">
        <v>1046</v>
      </c>
      <c r="P22" s="276"/>
      <c r="Q22" s="424">
        <f>M23</f>
        <v>290362104</v>
      </c>
      <c r="R22" s="562"/>
      <c r="T22" s="650" t="s">
        <v>1047</v>
      </c>
      <c r="U22" s="266"/>
      <c r="V22" s="266"/>
      <c r="W22" s="652">
        <f>R30*-1</f>
        <v>119664877</v>
      </c>
      <c r="X22" s="425"/>
    </row>
    <row r="23" spans="1:26" s="264" customFormat="1" ht="12.75" customHeight="1">
      <c r="A23" s="263"/>
      <c r="B23" s="558" t="s">
        <v>726</v>
      </c>
      <c r="C23" s="563"/>
      <c r="D23" s="564">
        <f>Input!$CP$32</f>
        <v>55673103</v>
      </c>
      <c r="E23" s="564">
        <f>Input!$CQ$32</f>
        <v>234689001</v>
      </c>
      <c r="F23" s="564">
        <f>Input!$CR$32</f>
        <v>0</v>
      </c>
      <c r="G23" s="564">
        <f>Input!$CS$32</f>
        <v>0</v>
      </c>
      <c r="H23" s="564">
        <f>Input!$CT$32</f>
        <v>0</v>
      </c>
      <c r="I23" s="564">
        <f>Input!$CU$32</f>
        <v>0</v>
      </c>
      <c r="J23" s="564">
        <f>Input!$CV$32</f>
        <v>0</v>
      </c>
      <c r="K23" s="564">
        <f>Input!$CW$32</f>
        <v>0</v>
      </c>
      <c r="L23" s="564">
        <f>Input!$CX$32</f>
        <v>0</v>
      </c>
      <c r="M23" s="565">
        <f t="shared" si="3"/>
        <v>290362104</v>
      </c>
      <c r="O23" s="434"/>
      <c r="P23" s="276"/>
      <c r="Q23" s="424"/>
      <c r="R23" s="562"/>
      <c r="T23" s="560" t="s">
        <v>1230</v>
      </c>
      <c r="U23" s="266"/>
      <c r="V23" s="266"/>
      <c r="W23" s="276"/>
      <c r="X23" s="425">
        <f>SUM(W21:W22)</f>
        <v>405346884</v>
      </c>
      <c r="Z23" s="330"/>
    </row>
    <row r="24" spans="1:26" s="264" customFormat="1" ht="12.75" customHeight="1">
      <c r="A24" s="263"/>
      <c r="B24" s="261" t="s">
        <v>727</v>
      </c>
      <c r="C24" s="566"/>
      <c r="D24" s="372">
        <f>Input!$CY$32</f>
        <v>0</v>
      </c>
      <c r="E24" s="372">
        <f>Input!$CZ$32</f>
        <v>0</v>
      </c>
      <c r="F24" s="372">
        <f>Input!$DA$32</f>
        <v>0</v>
      </c>
      <c r="G24" s="372">
        <f>Input!$DB$32</f>
        <v>0</v>
      </c>
      <c r="H24" s="372">
        <f>Input!$DC$32</f>
        <v>0</v>
      </c>
      <c r="I24" s="372">
        <f>Input!$DD$32</f>
        <v>0</v>
      </c>
      <c r="J24" s="372">
        <f>Input!$DE$32</f>
        <v>0</v>
      </c>
      <c r="K24" s="372">
        <f>Input!$DF$32</f>
        <v>0</v>
      </c>
      <c r="L24" s="372">
        <f>Input!$DG$32</f>
        <v>0</v>
      </c>
      <c r="M24" s="567">
        <f t="shared" si="3"/>
        <v>0</v>
      </c>
      <c r="O24" s="417" t="s">
        <v>1048</v>
      </c>
      <c r="P24" s="276"/>
      <c r="Q24" s="327"/>
      <c r="R24" s="646">
        <f>SUM(M24:M28)</f>
        <v>-88151678</v>
      </c>
      <c r="T24" s="560"/>
      <c r="U24" s="266"/>
      <c r="V24" s="266"/>
      <c r="X24" s="425"/>
      <c r="Z24" s="330"/>
    </row>
    <row r="25" spans="1:26" s="264" customFormat="1" ht="12.75" customHeight="1">
      <c r="A25" s="263"/>
      <c r="B25" s="261" t="s">
        <v>728</v>
      </c>
      <c r="C25" s="566"/>
      <c r="D25" s="372">
        <f>Input!$DH$32</f>
        <v>0</v>
      </c>
      <c r="E25" s="372">
        <f>Input!$DI$32</f>
        <v>0</v>
      </c>
      <c r="F25" s="372">
        <f>Input!$DJ$32</f>
        <v>0</v>
      </c>
      <c r="G25" s="372">
        <f>Input!$DK$32</f>
        <v>0</v>
      </c>
      <c r="H25" s="372">
        <f>Input!$DL$32</f>
        <v>0</v>
      </c>
      <c r="I25" s="372">
        <f>Input!$DM$32</f>
        <v>0</v>
      </c>
      <c r="J25" s="372">
        <f>Input!$DN$32</f>
        <v>0</v>
      </c>
      <c r="K25" s="372">
        <f>Input!$DO$32</f>
        <v>0</v>
      </c>
      <c r="L25" s="372">
        <f>Input!$DP$32</f>
        <v>0</v>
      </c>
      <c r="M25" s="567">
        <f t="shared" si="3"/>
        <v>0</v>
      </c>
      <c r="O25" s="434"/>
      <c r="P25" s="276"/>
      <c r="Q25" s="327"/>
      <c r="R25" s="646"/>
      <c r="T25" s="568" t="s">
        <v>1103</v>
      </c>
      <c r="U25" s="569"/>
      <c r="V25" s="569"/>
      <c r="W25" s="653">
        <f>(M26+M39)*-1</f>
        <v>37279890</v>
      </c>
      <c r="X25" s="425"/>
      <c r="Z25" s="330"/>
    </row>
    <row r="26" spans="1:26" s="264" customFormat="1" ht="12.75" customHeight="1">
      <c r="A26" s="263"/>
      <c r="B26" s="261" t="s">
        <v>729</v>
      </c>
      <c r="C26" s="566"/>
      <c r="D26" s="372">
        <f>Input!$DQ$32</f>
        <v>-3337674</v>
      </c>
      <c r="E26" s="372">
        <f>Input!$DR$32</f>
        <v>-15886194</v>
      </c>
      <c r="F26" s="372">
        <f>Input!$DS$32</f>
        <v>0</v>
      </c>
      <c r="G26" s="372">
        <f>Input!$DT$32</f>
        <v>0</v>
      </c>
      <c r="H26" s="372">
        <f>Input!$DU$32</f>
        <v>0</v>
      </c>
      <c r="I26" s="372">
        <f>Input!$DV$32</f>
        <v>0</v>
      </c>
      <c r="J26" s="372">
        <f>Input!$DW$32</f>
        <v>0</v>
      </c>
      <c r="K26" s="372">
        <f>Input!$DX$32</f>
        <v>0</v>
      </c>
      <c r="L26" s="372">
        <f>Input!$DY$32</f>
        <v>0</v>
      </c>
      <c r="M26" s="567">
        <f t="shared" si="3"/>
        <v>-19223868</v>
      </c>
      <c r="O26" s="434" t="s">
        <v>1049</v>
      </c>
      <c r="P26" s="276"/>
      <c r="Q26" s="427">
        <f>M36</f>
        <v>114984780</v>
      </c>
      <c r="R26" s="570"/>
      <c r="T26" s="560" t="s">
        <v>1104</v>
      </c>
      <c r="U26" s="266"/>
      <c r="V26" s="266"/>
      <c r="W26" s="571">
        <f>(M21+M34)*-1</f>
        <v>0</v>
      </c>
      <c r="X26" s="425"/>
      <c r="Z26" s="330"/>
    </row>
    <row r="27" spans="1:26" s="264" customFormat="1">
      <c r="A27" s="263"/>
      <c r="B27" s="261" t="s">
        <v>730</v>
      </c>
      <c r="C27" s="566"/>
      <c r="D27" s="372">
        <f>Input!$DZ$32</f>
        <v>0</v>
      </c>
      <c r="E27" s="372">
        <f>Input!$EA$32</f>
        <v>0</v>
      </c>
      <c r="F27" s="372">
        <f>Input!$EB$32</f>
        <v>0</v>
      </c>
      <c r="G27" s="372">
        <f>Input!$EC$32</f>
        <v>0</v>
      </c>
      <c r="H27" s="372">
        <f>Input!$ED$32</f>
        <v>0</v>
      </c>
      <c r="I27" s="372">
        <f>Input!$EE$32</f>
        <v>0</v>
      </c>
      <c r="J27" s="372">
        <f>Input!$EF$32</f>
        <v>0</v>
      </c>
      <c r="K27" s="372">
        <f>Input!$EG$32</f>
        <v>0</v>
      </c>
      <c r="L27" s="372">
        <f>Input!EH6</f>
        <v>0</v>
      </c>
      <c r="M27" s="567">
        <f t="shared" si="3"/>
        <v>0</v>
      </c>
      <c r="O27" s="434"/>
      <c r="P27" s="276"/>
      <c r="Q27" s="427"/>
      <c r="R27" s="570"/>
      <c r="T27" s="650" t="s">
        <v>1105</v>
      </c>
      <c r="U27" s="584"/>
      <c r="V27" s="584"/>
      <c r="W27" s="654">
        <f>SUM(W25:W26)</f>
        <v>37279890</v>
      </c>
      <c r="X27" s="655"/>
    </row>
    <row r="28" spans="1:26" s="264" customFormat="1">
      <c r="A28" s="263"/>
      <c r="B28" s="261" t="s">
        <v>2133</v>
      </c>
      <c r="C28" s="566"/>
      <c r="D28" s="372">
        <f>Input!$EI$32</f>
        <v>-13677468</v>
      </c>
      <c r="E28" s="372">
        <f>Input!$EJ$32</f>
        <v>-55250342</v>
      </c>
      <c r="F28" s="372">
        <f>Input!$EK$32</f>
        <v>0</v>
      </c>
      <c r="G28" s="372">
        <f>Input!$EL$32</f>
        <v>0</v>
      </c>
      <c r="H28" s="372">
        <f>Input!$EM$32</f>
        <v>0</v>
      </c>
      <c r="I28" s="372">
        <f>Input!$EN$32</f>
        <v>0</v>
      </c>
      <c r="J28" s="372">
        <f>Input!$EO$32</f>
        <v>0</v>
      </c>
      <c r="K28" s="372">
        <f>Input!$EP$32</f>
        <v>0</v>
      </c>
      <c r="L28" s="372">
        <f>Input!$EQ$32</f>
        <v>0</v>
      </c>
      <c r="M28" s="567">
        <f t="shared" si="3"/>
        <v>-68927810</v>
      </c>
      <c r="O28" s="417" t="s">
        <v>1050</v>
      </c>
      <c r="Q28" s="429"/>
      <c r="R28" s="646">
        <f>SUM(M37:M41)</f>
        <v>-31513199</v>
      </c>
      <c r="T28" s="560" t="s">
        <v>1106</v>
      </c>
      <c r="U28" s="266"/>
      <c r="V28" s="266"/>
      <c r="W28" s="425">
        <f>(M27+M40)*-1</f>
        <v>0</v>
      </c>
      <c r="X28" s="655"/>
      <c r="Z28" s="330"/>
    </row>
    <row r="29" spans="1:26" s="264" customFormat="1" ht="12" customHeight="1">
      <c r="A29" s="263"/>
      <c r="B29" s="575" t="s">
        <v>39</v>
      </c>
      <c r="C29" s="563"/>
      <c r="D29" s="374">
        <f t="shared" ref="D29:L29" si="4">SUM(D23:D28)</f>
        <v>38657961</v>
      </c>
      <c r="E29" s="374">
        <f t="shared" si="4"/>
        <v>163552465</v>
      </c>
      <c r="F29" s="374">
        <f t="shared" si="4"/>
        <v>0</v>
      </c>
      <c r="G29" s="374">
        <f t="shared" si="4"/>
        <v>0</v>
      </c>
      <c r="H29" s="374">
        <f t="shared" si="4"/>
        <v>0</v>
      </c>
      <c r="I29" s="374">
        <f t="shared" si="4"/>
        <v>0</v>
      </c>
      <c r="J29" s="374">
        <f t="shared" si="4"/>
        <v>0</v>
      </c>
      <c r="K29" s="374">
        <f t="shared" si="4"/>
        <v>0</v>
      </c>
      <c r="L29" s="374">
        <f t="shared" si="4"/>
        <v>0</v>
      </c>
      <c r="M29" s="374">
        <f t="shared" si="3"/>
        <v>202210426</v>
      </c>
      <c r="O29" s="417"/>
      <c r="Q29" s="429"/>
      <c r="R29" s="576"/>
      <c r="T29" s="560" t="s">
        <v>1107</v>
      </c>
      <c r="U29" s="266"/>
      <c r="V29" s="266"/>
      <c r="W29" s="571">
        <f>(M22+M35)*-1</f>
        <v>0</v>
      </c>
      <c r="X29" s="655"/>
    </row>
    <row r="30" spans="1:26" s="264" customFormat="1" ht="16.5" customHeight="1">
      <c r="A30" s="263"/>
      <c r="B30" s="261"/>
      <c r="C30" s="566"/>
      <c r="D30" s="566"/>
      <c r="E30" s="566"/>
      <c r="F30" s="566"/>
      <c r="G30" s="566"/>
      <c r="H30" s="566"/>
      <c r="I30" s="566"/>
      <c r="J30" s="566"/>
      <c r="K30" s="566"/>
      <c r="L30" s="566"/>
      <c r="M30" s="567"/>
      <c r="O30" s="431" t="s">
        <v>289</v>
      </c>
      <c r="P30" s="432"/>
      <c r="Q30" s="433">
        <f>Q26+Q22</f>
        <v>405346884</v>
      </c>
      <c r="R30" s="647">
        <f>R28+R24</f>
        <v>-119664877</v>
      </c>
      <c r="T30" s="650" t="s">
        <v>1108</v>
      </c>
      <c r="U30" s="584"/>
      <c r="V30" s="584"/>
      <c r="W30" s="654">
        <f>SUM(W28:W29)</f>
        <v>0</v>
      </c>
      <c r="X30" s="655"/>
    </row>
    <row r="31" spans="1:26" s="264" customFormat="1" ht="12.75" customHeight="1">
      <c r="A31" s="263"/>
      <c r="B31" s="558" t="s">
        <v>1052</v>
      </c>
      <c r="C31" s="558"/>
      <c r="D31" s="374">
        <f t="shared" ref="D31:L31" si="5">D36-SUM(D32:D35)</f>
        <v>1995141</v>
      </c>
      <c r="E31" s="374">
        <f t="shared" si="5"/>
        <v>56328453</v>
      </c>
      <c r="F31" s="374">
        <f t="shared" si="5"/>
        <v>56902251</v>
      </c>
      <c r="G31" s="374">
        <f t="shared" si="5"/>
        <v>0</v>
      </c>
      <c r="H31" s="374">
        <f t="shared" si="5"/>
        <v>0</v>
      </c>
      <c r="I31" s="374">
        <f t="shared" si="5"/>
        <v>0</v>
      </c>
      <c r="J31" s="374">
        <f t="shared" si="5"/>
        <v>0</v>
      </c>
      <c r="K31" s="374">
        <f t="shared" si="5"/>
        <v>0</v>
      </c>
      <c r="L31" s="374">
        <f t="shared" si="5"/>
        <v>0</v>
      </c>
      <c r="M31" s="374">
        <f t="shared" ref="M31:M42" si="6">D31+E31+F31+G31+H31+I31+J31+K31+L31</f>
        <v>115225845</v>
      </c>
      <c r="O31" s="434" t="s">
        <v>290</v>
      </c>
      <c r="P31" s="276"/>
      <c r="Q31" s="335"/>
      <c r="R31" s="562"/>
      <c r="T31" s="572" t="s">
        <v>1109</v>
      </c>
      <c r="U31" s="573"/>
      <c r="V31" s="573"/>
      <c r="W31" s="574">
        <f>W27+W30</f>
        <v>37279890</v>
      </c>
      <c r="X31" s="425"/>
      <c r="Z31" s="330"/>
    </row>
    <row r="32" spans="1:26" s="264" customFormat="1" ht="12.75" customHeight="1">
      <c r="A32" s="263"/>
      <c r="B32" s="261" t="s">
        <v>722</v>
      </c>
      <c r="C32" s="261"/>
      <c r="D32" s="372">
        <f>Input!$ER$32</f>
        <v>0</v>
      </c>
      <c r="E32" s="372">
        <f>Input!$ES$32</f>
        <v>-126999</v>
      </c>
      <c r="F32" s="372">
        <f>Input!$ET$32</f>
        <v>-114066</v>
      </c>
      <c r="G32" s="372">
        <f>Input!$EU$32</f>
        <v>0</v>
      </c>
      <c r="H32" s="372">
        <f>Input!$EV$32</f>
        <v>0</v>
      </c>
      <c r="I32" s="372">
        <f>Input!$EW$32</f>
        <v>0</v>
      </c>
      <c r="J32" s="372">
        <f>Input!$EX$32</f>
        <v>0</v>
      </c>
      <c r="K32" s="372">
        <f>Input!$EY$32</f>
        <v>0</v>
      </c>
      <c r="L32" s="372">
        <f>Input!$EZ$32</f>
        <v>0</v>
      </c>
      <c r="M32" s="567">
        <f t="shared" si="6"/>
        <v>-241065</v>
      </c>
      <c r="O32" s="415" t="s">
        <v>1295</v>
      </c>
      <c r="P32" s="416"/>
      <c r="Q32" s="577">
        <f>Input!$SQ$32</f>
        <v>405346884</v>
      </c>
      <c r="R32" s="578"/>
      <c r="T32" s="560"/>
      <c r="U32" s="266"/>
      <c r="V32" s="266"/>
      <c r="X32" s="425"/>
      <c r="Z32" s="330"/>
    </row>
    <row r="33" spans="1:24" s="264" customFormat="1">
      <c r="A33" s="263"/>
      <c r="B33" s="261" t="s">
        <v>723</v>
      </c>
      <c r="C33" s="261"/>
      <c r="D33" s="372">
        <f>Input!$FA$32</f>
        <v>0</v>
      </c>
      <c r="E33" s="372">
        <f>Input!$FB$32</f>
        <v>0</v>
      </c>
      <c r="F33" s="372">
        <f>Input!$FC$32</f>
        <v>0</v>
      </c>
      <c r="G33" s="372">
        <f>Input!$FD$32</f>
        <v>0</v>
      </c>
      <c r="H33" s="372">
        <f>Input!$FE$32</f>
        <v>0</v>
      </c>
      <c r="I33" s="372">
        <f>Input!$FF$32</f>
        <v>0</v>
      </c>
      <c r="J33" s="372">
        <f>Input!$FG$32</f>
        <v>0</v>
      </c>
      <c r="K33" s="372">
        <f>Input!$FH$32</f>
        <v>0</v>
      </c>
      <c r="L33" s="372">
        <f>Input!$FI$32</f>
        <v>0</v>
      </c>
      <c r="M33" s="567">
        <f t="shared" si="6"/>
        <v>0</v>
      </c>
      <c r="O33" s="415"/>
      <c r="P33" s="416"/>
      <c r="Q33" s="327"/>
      <c r="R33" s="578"/>
      <c r="T33" s="560" t="s">
        <v>1051</v>
      </c>
      <c r="U33" s="266"/>
      <c r="V33" s="266"/>
      <c r="W33" s="334">
        <f>(M19+M32)*-1</f>
        <v>7880881</v>
      </c>
      <c r="X33" s="425"/>
    </row>
    <row r="34" spans="1:24" s="264" customFormat="1">
      <c r="A34" s="263"/>
      <c r="B34" s="261" t="s">
        <v>724</v>
      </c>
      <c r="C34" s="261"/>
      <c r="D34" s="372">
        <f>Input!$FJ$32</f>
        <v>0</v>
      </c>
      <c r="E34" s="372">
        <f>Input!$FK$32</f>
        <v>0</v>
      </c>
      <c r="F34" s="372">
        <f>Input!$FL$32</f>
        <v>0</v>
      </c>
      <c r="G34" s="372">
        <f>Input!$FM$32</f>
        <v>0</v>
      </c>
      <c r="H34" s="372">
        <f>Input!$FN$32</f>
        <v>0</v>
      </c>
      <c r="I34" s="372">
        <f>Input!$FO$32</f>
        <v>0</v>
      </c>
      <c r="J34" s="372">
        <f>Input!$FP$32</f>
        <v>0</v>
      </c>
      <c r="K34" s="372">
        <f>Input!$FQ$32</f>
        <v>0</v>
      </c>
      <c r="L34" s="372">
        <f>Input!$FR$32</f>
        <v>0</v>
      </c>
      <c r="M34" s="567">
        <f t="shared" si="6"/>
        <v>0</v>
      </c>
      <c r="O34" s="435" t="s">
        <v>1296</v>
      </c>
      <c r="P34" s="436"/>
      <c r="Q34" s="264" t="s">
        <v>291</v>
      </c>
      <c r="R34" s="648">
        <f>Input!$SR$32</f>
        <v>-119664877</v>
      </c>
      <c r="T34" s="560" t="s">
        <v>1110</v>
      </c>
      <c r="U34" s="266"/>
      <c r="V34" s="266"/>
      <c r="W34" s="430">
        <f>(M24+M37)*-1</f>
        <v>0</v>
      </c>
      <c r="X34" s="425"/>
    </row>
    <row r="35" spans="1:24" s="264" customFormat="1" ht="13.5" thickBot="1">
      <c r="A35" s="263"/>
      <c r="B35" s="261" t="s">
        <v>725</v>
      </c>
      <c r="C35" s="261"/>
      <c r="D35" s="372">
        <f>Input!$FS$32</f>
        <v>0</v>
      </c>
      <c r="E35" s="372">
        <f>Input!$FT$32</f>
        <v>0</v>
      </c>
      <c r="F35" s="372">
        <f>Input!$FU$32</f>
        <v>0</v>
      </c>
      <c r="G35" s="372">
        <f>Input!$FV$32</f>
        <v>0</v>
      </c>
      <c r="H35" s="372">
        <f>Input!$FW$32</f>
        <v>0</v>
      </c>
      <c r="I35" s="372">
        <f>Input!$FX$32</f>
        <v>0</v>
      </c>
      <c r="J35" s="372">
        <f>Input!$FY$32</f>
        <v>0</v>
      </c>
      <c r="K35" s="372">
        <f>Input!$FZ$32</f>
        <v>0</v>
      </c>
      <c r="L35" s="372">
        <f>Input!$GA$32</f>
        <v>0</v>
      </c>
      <c r="M35" s="567">
        <f t="shared" si="6"/>
        <v>0</v>
      </c>
      <c r="O35" s="418" t="s">
        <v>286</v>
      </c>
      <c r="P35" s="419"/>
      <c r="Q35" s="420">
        <f>Q30-Q32</f>
        <v>0</v>
      </c>
      <c r="R35" s="649">
        <f>R30-R34</f>
        <v>0</v>
      </c>
      <c r="T35" s="650" t="s">
        <v>1111</v>
      </c>
      <c r="U35" s="584"/>
      <c r="V35" s="584"/>
      <c r="W35" s="656">
        <f>SUM(W33:W34)</f>
        <v>7880881</v>
      </c>
      <c r="X35" s="655"/>
    </row>
    <row r="36" spans="1:24" s="264" customFormat="1" ht="13.5" thickTop="1">
      <c r="A36" s="263"/>
      <c r="B36" s="558" t="s">
        <v>732</v>
      </c>
      <c r="C36" s="563"/>
      <c r="D36" s="564">
        <f>Input!$GB$32</f>
        <v>1995141</v>
      </c>
      <c r="E36" s="564">
        <f>Input!$GC$32</f>
        <v>56201454</v>
      </c>
      <c r="F36" s="564">
        <f>Input!$GD$32</f>
        <v>56788185</v>
      </c>
      <c r="G36" s="564">
        <f>Input!$GE$32</f>
        <v>0</v>
      </c>
      <c r="H36" s="564">
        <f>Input!$GF$32</f>
        <v>0</v>
      </c>
      <c r="I36" s="564">
        <f>Input!$GG$32</f>
        <v>0</v>
      </c>
      <c r="J36" s="564">
        <f>Input!$GH$32</f>
        <v>0</v>
      </c>
      <c r="K36" s="564">
        <f>Input!$GI$32</f>
        <v>0</v>
      </c>
      <c r="L36" s="564">
        <f>Input!$GJ$32</f>
        <v>0</v>
      </c>
      <c r="M36" s="565">
        <f t="shared" si="6"/>
        <v>114984780</v>
      </c>
      <c r="O36" s="261"/>
      <c r="Q36" s="412" t="str">
        <f>IF(Q30&lt;&gt;Q32,"Out of Balance","Balanced")</f>
        <v>Balanced</v>
      </c>
      <c r="R36" s="412" t="str">
        <f>IF(R30&lt;&gt;R34,"Out of Balance","Balanced")</f>
        <v>Balanced</v>
      </c>
      <c r="T36" s="560" t="s">
        <v>1053</v>
      </c>
      <c r="U36" s="266"/>
      <c r="V36" s="266"/>
      <c r="W36" s="334">
        <f>(M20+M33)*-1</f>
        <v>0</v>
      </c>
      <c r="X36" s="425"/>
    </row>
    <row r="37" spans="1:24" s="264" customFormat="1">
      <c r="A37" s="263"/>
      <c r="B37" s="261" t="s">
        <v>727</v>
      </c>
      <c r="C37" s="566"/>
      <c r="D37" s="372">
        <f>Input!$GK$32</f>
        <v>0</v>
      </c>
      <c r="E37" s="372">
        <f>Input!$GL$32</f>
        <v>0</v>
      </c>
      <c r="F37" s="372">
        <f>Input!$GM$32</f>
        <v>0</v>
      </c>
      <c r="G37" s="372">
        <f>Input!$GN$32</f>
        <v>0</v>
      </c>
      <c r="H37" s="372">
        <f>Input!$GO$32</f>
        <v>0</v>
      </c>
      <c r="I37" s="372">
        <f>Input!$GP$32</f>
        <v>0</v>
      </c>
      <c r="J37" s="372">
        <f>Input!$GQ$32</f>
        <v>0</v>
      </c>
      <c r="K37" s="372">
        <f>Input!$GR$32</f>
        <v>0</v>
      </c>
      <c r="L37" s="372">
        <f>Input!$GS$32</f>
        <v>0</v>
      </c>
      <c r="M37" s="567">
        <f t="shared" si="6"/>
        <v>0</v>
      </c>
      <c r="O37" s="261"/>
      <c r="T37" s="560" t="s">
        <v>1112</v>
      </c>
      <c r="U37" s="266"/>
      <c r="V37" s="266"/>
      <c r="W37" s="430">
        <f>(M25+M38)*-1</f>
        <v>0</v>
      </c>
      <c r="X37" s="655"/>
    </row>
    <row r="38" spans="1:24" s="264" customFormat="1">
      <c r="A38" s="263"/>
      <c r="B38" s="261" t="s">
        <v>728</v>
      </c>
      <c r="C38" s="566"/>
      <c r="D38" s="372">
        <f>Input!$GT$32</f>
        <v>0</v>
      </c>
      <c r="E38" s="372">
        <f>Input!$GU$32</f>
        <v>0</v>
      </c>
      <c r="F38" s="372">
        <f>Input!$GV$32</f>
        <v>0</v>
      </c>
      <c r="G38" s="372">
        <f>Input!$GW$32</f>
        <v>0</v>
      </c>
      <c r="H38" s="372">
        <f>Input!$GX$32</f>
        <v>0</v>
      </c>
      <c r="I38" s="372">
        <f>Input!$GY$32</f>
        <v>0</v>
      </c>
      <c r="J38" s="372">
        <f>Input!$GZ$32</f>
        <v>0</v>
      </c>
      <c r="K38" s="372">
        <f>Input!$HA$32</f>
        <v>0</v>
      </c>
      <c r="L38" s="372">
        <f>Input!$HB$32</f>
        <v>0</v>
      </c>
      <c r="M38" s="567">
        <f t="shared" si="6"/>
        <v>0</v>
      </c>
      <c r="O38" s="261"/>
      <c r="T38" s="650" t="s">
        <v>1113</v>
      </c>
      <c r="U38" s="584"/>
      <c r="V38" s="584"/>
      <c r="W38" s="656">
        <f>SUM(W36:W37)</f>
        <v>0</v>
      </c>
      <c r="X38" s="425"/>
    </row>
    <row r="39" spans="1:24" s="264" customFormat="1">
      <c r="A39" s="263"/>
      <c r="B39" s="261" t="s">
        <v>729</v>
      </c>
      <c r="C39" s="566"/>
      <c r="D39" s="372">
        <f>Input!$HC$32</f>
        <v>-3105</v>
      </c>
      <c r="E39" s="372">
        <f>Input!$HD$32</f>
        <v>-3225472</v>
      </c>
      <c r="F39" s="372">
        <f>Input!$HE$32</f>
        <v>-14827445</v>
      </c>
      <c r="G39" s="372">
        <f>Input!$HF$32</f>
        <v>0</v>
      </c>
      <c r="H39" s="372">
        <f>Input!$HG$32</f>
        <v>0</v>
      </c>
      <c r="I39" s="372">
        <f>Input!$HH$32</f>
        <v>0</v>
      </c>
      <c r="J39" s="372">
        <f>Input!$HI$32</f>
        <v>0</v>
      </c>
      <c r="K39" s="372">
        <f>Input!$HJ$32</f>
        <v>0</v>
      </c>
      <c r="L39" s="372">
        <f>Input!$HK$32</f>
        <v>0</v>
      </c>
      <c r="M39" s="567">
        <f t="shared" si="6"/>
        <v>-18056022</v>
      </c>
      <c r="O39" s="261"/>
      <c r="T39" s="560" t="s">
        <v>1054</v>
      </c>
      <c r="U39" s="266"/>
      <c r="V39" s="266"/>
      <c r="W39" s="334"/>
      <c r="X39" s="425">
        <f>W38+W35</f>
        <v>7880881</v>
      </c>
    </row>
    <row r="40" spans="1:24" s="264" customFormat="1">
      <c r="A40" s="263"/>
      <c r="B40" s="261" t="s">
        <v>730</v>
      </c>
      <c r="C40" s="566"/>
      <c r="D40" s="372">
        <f>Input!$HL$32</f>
        <v>0</v>
      </c>
      <c r="E40" s="372">
        <f>Input!$HM$32</f>
        <v>0</v>
      </c>
      <c r="F40" s="372">
        <f>Input!$HN$32</f>
        <v>0</v>
      </c>
      <c r="G40" s="372">
        <f>Input!$HO$32</f>
        <v>0</v>
      </c>
      <c r="H40" s="372">
        <f>Input!$HP$32</f>
        <v>0</v>
      </c>
      <c r="I40" s="372">
        <f>Input!$HQ$32</f>
        <v>0</v>
      </c>
      <c r="J40" s="372">
        <f>Input!$HR$32</f>
        <v>0</v>
      </c>
      <c r="K40" s="372">
        <f>Input!$HS$32</f>
        <v>0</v>
      </c>
      <c r="L40" s="372">
        <f>Input!$HT$32</f>
        <v>0</v>
      </c>
      <c r="M40" s="567">
        <f t="shared" si="6"/>
        <v>0</v>
      </c>
      <c r="O40" s="261"/>
      <c r="T40" s="560"/>
      <c r="U40" s="261"/>
      <c r="V40" s="261"/>
      <c r="W40" s="261"/>
      <c r="X40" s="655"/>
    </row>
    <row r="41" spans="1:24" s="264" customFormat="1">
      <c r="A41" s="263"/>
      <c r="B41" s="261" t="s">
        <v>2133</v>
      </c>
      <c r="C41" s="566"/>
      <c r="D41" s="372">
        <f>Input!$HU$32</f>
        <v>-644542</v>
      </c>
      <c r="E41" s="372">
        <f>Input!$HV$32</f>
        <v>-13997926</v>
      </c>
      <c r="F41" s="372">
        <f>Input!$HW$32</f>
        <v>1185291</v>
      </c>
      <c r="G41" s="372">
        <f>Input!$HX$32</f>
        <v>0</v>
      </c>
      <c r="H41" s="372">
        <f>Input!$HY$32</f>
        <v>0</v>
      </c>
      <c r="I41" s="372">
        <f>Input!$HZ$32</f>
        <v>0</v>
      </c>
      <c r="J41" s="372">
        <f>Input!$IA$32</f>
        <v>0</v>
      </c>
      <c r="K41" s="372">
        <f>Input!$IB$32</f>
        <v>0</v>
      </c>
      <c r="L41" s="372">
        <f>Input!$IC$32</f>
        <v>0</v>
      </c>
      <c r="M41" s="567">
        <f t="shared" si="6"/>
        <v>-13457177</v>
      </c>
      <c r="O41"/>
      <c r="P41"/>
      <c r="Q41"/>
      <c r="R41"/>
      <c r="S41"/>
      <c r="T41" s="560" t="s">
        <v>1104</v>
      </c>
      <c r="U41" s="266"/>
      <c r="V41" s="266"/>
      <c r="W41" s="330">
        <f>(M21+M34)*-1</f>
        <v>0</v>
      </c>
      <c r="X41" s="425"/>
    </row>
    <row r="42" spans="1:24" s="264" customFormat="1">
      <c r="A42" s="263"/>
      <c r="B42" s="575" t="s">
        <v>40</v>
      </c>
      <c r="C42" s="563"/>
      <c r="D42" s="374">
        <f t="shared" ref="D42:L42" si="7">SUM(D36:D41)</f>
        <v>1347494</v>
      </c>
      <c r="E42" s="374">
        <f t="shared" si="7"/>
        <v>38978056</v>
      </c>
      <c r="F42" s="374">
        <f t="shared" si="7"/>
        <v>43146031</v>
      </c>
      <c r="G42" s="374">
        <f t="shared" si="7"/>
        <v>0</v>
      </c>
      <c r="H42" s="374">
        <f t="shared" si="7"/>
        <v>0</v>
      </c>
      <c r="I42" s="374">
        <f t="shared" si="7"/>
        <v>0</v>
      </c>
      <c r="J42" s="374">
        <f t="shared" si="7"/>
        <v>0</v>
      </c>
      <c r="K42" s="374">
        <f t="shared" si="7"/>
        <v>0</v>
      </c>
      <c r="L42" s="374">
        <f t="shared" si="7"/>
        <v>0</v>
      </c>
      <c r="M42" s="374">
        <f t="shared" si="6"/>
        <v>83471581</v>
      </c>
      <c r="O42"/>
      <c r="P42"/>
      <c r="Q42"/>
      <c r="R42"/>
      <c r="S42"/>
      <c r="T42" s="560" t="s">
        <v>1107</v>
      </c>
      <c r="U42" s="266"/>
      <c r="V42" s="266"/>
      <c r="W42" s="430">
        <f>(M22+M35)*-1</f>
        <v>0</v>
      </c>
      <c r="X42" s="425"/>
    </row>
    <row r="43" spans="1:24" s="264" customFormat="1">
      <c r="A43" s="263"/>
      <c r="B43" s="261"/>
      <c r="C43" s="566"/>
      <c r="D43" s="566"/>
      <c r="E43" s="566"/>
      <c r="F43" s="566"/>
      <c r="G43" s="566"/>
      <c r="H43" s="566"/>
      <c r="I43" s="566"/>
      <c r="J43" s="566"/>
      <c r="K43" s="566"/>
      <c r="L43" s="566"/>
      <c r="M43" s="567"/>
      <c r="O43"/>
      <c r="P43"/>
      <c r="Q43"/>
      <c r="R43"/>
      <c r="S43"/>
      <c r="T43" s="650" t="s">
        <v>1114</v>
      </c>
      <c r="U43" s="584"/>
      <c r="V43" s="584"/>
      <c r="W43" s="656">
        <f>SUM(W41:W42)</f>
        <v>0</v>
      </c>
      <c r="X43" s="655"/>
    </row>
    <row r="44" spans="1:24" s="264" customFormat="1" ht="13.5" customHeight="1">
      <c r="A44" s="263"/>
      <c r="B44" s="575" t="s">
        <v>1055</v>
      </c>
      <c r="C44" s="563"/>
      <c r="D44" s="374">
        <f t="shared" ref="D44:L44" si="8">D42+D29</f>
        <v>40005455</v>
      </c>
      <c r="E44" s="374">
        <f t="shared" si="8"/>
        <v>202530521</v>
      </c>
      <c r="F44" s="374">
        <f t="shared" si="8"/>
        <v>43146031</v>
      </c>
      <c r="G44" s="374">
        <f t="shared" si="8"/>
        <v>0</v>
      </c>
      <c r="H44" s="374">
        <f t="shared" si="8"/>
        <v>0</v>
      </c>
      <c r="I44" s="374">
        <f t="shared" si="8"/>
        <v>0</v>
      </c>
      <c r="J44" s="374">
        <f t="shared" si="8"/>
        <v>0</v>
      </c>
      <c r="K44" s="374">
        <f t="shared" si="8"/>
        <v>0</v>
      </c>
      <c r="L44" s="374">
        <f t="shared" si="8"/>
        <v>0</v>
      </c>
      <c r="M44" s="374">
        <f>D44+E44+F44+G44+H44+I44+J44+K44+L44</f>
        <v>285682007</v>
      </c>
      <c r="O44"/>
      <c r="P44"/>
      <c r="Q44"/>
      <c r="R44"/>
      <c r="S44"/>
      <c r="T44" s="560"/>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0"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0" t="s">
        <v>1112</v>
      </c>
      <c r="U46" s="266"/>
      <c r="V46" s="266"/>
      <c r="W46" s="430">
        <f>(M25+M38)*-1</f>
        <v>0</v>
      </c>
      <c r="X46" s="425"/>
    </row>
    <row r="47" spans="1:24">
      <c r="A47" s="184">
        <v>30</v>
      </c>
      <c r="B47" s="176" t="s">
        <v>7</v>
      </c>
      <c r="C47" s="176"/>
      <c r="D47" s="375">
        <f>Input!$ID$32</f>
        <v>0</v>
      </c>
      <c r="E47" s="375">
        <f>Input!$IE$32</f>
        <v>0</v>
      </c>
      <c r="F47" s="375">
        <f>Input!$IF$32</f>
        <v>0</v>
      </c>
      <c r="G47" s="375">
        <f>Input!$IG$32</f>
        <v>142660412</v>
      </c>
      <c r="H47" s="375">
        <f>Input!$IH$32</f>
        <v>0</v>
      </c>
      <c r="I47" s="375">
        <f>Input!$II$32</f>
        <v>0</v>
      </c>
      <c r="J47" s="375">
        <f>Input!$IJ$32</f>
        <v>0</v>
      </c>
      <c r="K47" s="375">
        <f>Input!$IK$32</f>
        <v>0</v>
      </c>
      <c r="L47" s="375">
        <f>Input!$IL$32</f>
        <v>0</v>
      </c>
      <c r="M47" s="374">
        <f>D47+E47+F47+G47+H47+I47+J47+K47+L47</f>
        <v>142660412</v>
      </c>
      <c r="N47" s="160"/>
      <c r="O47"/>
      <c r="P47"/>
      <c r="Q47"/>
      <c r="R47"/>
      <c r="S47"/>
      <c r="T47" s="657" t="s">
        <v>1115</v>
      </c>
      <c r="U47" s="27"/>
      <c r="V47" s="27"/>
      <c r="W47" s="656">
        <f>SUM(W45:W46)</f>
        <v>0</v>
      </c>
      <c r="X47" s="655"/>
    </row>
    <row r="48" spans="1:24">
      <c r="A48" s="184">
        <v>31</v>
      </c>
      <c r="B48" s="160"/>
      <c r="C48" s="160"/>
      <c r="D48" s="373"/>
      <c r="E48" s="373"/>
      <c r="F48" s="373"/>
      <c r="G48" s="373"/>
      <c r="H48" s="373"/>
      <c r="I48" s="373"/>
      <c r="J48" s="373"/>
      <c r="K48" s="373"/>
      <c r="L48" s="373"/>
      <c r="M48" s="373"/>
      <c r="N48" s="160"/>
      <c r="O48"/>
      <c r="P48"/>
      <c r="Q48"/>
      <c r="R48"/>
      <c r="S48"/>
      <c r="T48" s="560"/>
      <c r="U48" s="261"/>
      <c r="V48" s="261"/>
      <c r="W48" s="261"/>
      <c r="X48" s="658">
        <f>W43-W47</f>
        <v>0</v>
      </c>
    </row>
    <row r="49" spans="1:28">
      <c r="A49" s="184">
        <v>32</v>
      </c>
      <c r="B49" s="172" t="s">
        <v>8</v>
      </c>
      <c r="C49" s="172"/>
      <c r="D49" s="373"/>
      <c r="E49" s="373"/>
      <c r="F49" s="373"/>
      <c r="G49" s="373"/>
      <c r="H49" s="373"/>
      <c r="I49" s="373"/>
      <c r="J49" s="373"/>
      <c r="K49" s="373"/>
      <c r="L49" s="373"/>
      <c r="M49" s="373"/>
      <c r="N49" s="160"/>
      <c r="O49" s="273"/>
      <c r="T49" s="579" t="s">
        <v>287</v>
      </c>
      <c r="U49" s="511"/>
      <c r="V49" s="580"/>
      <c r="W49" s="580"/>
      <c r="X49" s="574">
        <f>SUM(X23:X48)</f>
        <v>413227765</v>
      </c>
    </row>
    <row r="50" spans="1:28">
      <c r="A50" s="184">
        <v>33</v>
      </c>
      <c r="B50" s="160" t="s">
        <v>42</v>
      </c>
      <c r="C50" s="160"/>
      <c r="D50" s="372">
        <f>Input!$IM$32</f>
        <v>128489</v>
      </c>
      <c r="E50" s="372">
        <f>Input!$IN$32</f>
        <v>9887725</v>
      </c>
      <c r="F50" s="372">
        <f>Input!$IO$32</f>
        <v>2978435</v>
      </c>
      <c r="G50" s="372">
        <f>Input!$IP$32</f>
        <v>844554</v>
      </c>
      <c r="H50" s="372">
        <f>Input!$IQ$32</f>
        <v>85793</v>
      </c>
      <c r="I50" s="372">
        <f>Input!$IR$32</f>
        <v>6520450</v>
      </c>
      <c r="J50" s="372">
        <f>Input!$IS$32</f>
        <v>2000507</v>
      </c>
      <c r="K50" s="372">
        <f>Input!$IT$32</f>
        <v>0</v>
      </c>
      <c r="L50" s="372">
        <f>Input!$IU$32</f>
        <v>0</v>
      </c>
      <c r="M50" s="373">
        <f t="shared" ref="M50:M57" si="9">D50+E50+F50+G50+H50+I50+J50+K50+L50</f>
        <v>22445953</v>
      </c>
      <c r="N50" s="160"/>
      <c r="O50" s="273"/>
      <c r="U50" s="275"/>
    </row>
    <row r="51" spans="1:28">
      <c r="A51" s="184">
        <v>34</v>
      </c>
      <c r="B51" s="160" t="s">
        <v>9</v>
      </c>
      <c r="C51" s="160"/>
      <c r="D51" s="372">
        <f>Input!$IV$32</f>
        <v>0</v>
      </c>
      <c r="E51" s="372">
        <f>Input!$IW$32</f>
        <v>0</v>
      </c>
      <c r="F51" s="372">
        <f>Input!$IX$32</f>
        <v>0</v>
      </c>
      <c r="G51" s="372">
        <f>Input!$IY$32</f>
        <v>740389</v>
      </c>
      <c r="H51" s="372">
        <f>Input!$IZ$32</f>
        <v>0</v>
      </c>
      <c r="I51" s="372">
        <f>Input!$JA$32</f>
        <v>0</v>
      </c>
      <c r="J51" s="372">
        <f>Input!$JB$32</f>
        <v>0</v>
      </c>
      <c r="K51" s="372">
        <f>Input!$JC$32</f>
        <v>0</v>
      </c>
      <c r="L51" s="372">
        <f>Input!$JD$32</f>
        <v>0</v>
      </c>
      <c r="M51" s="376">
        <f t="shared" si="9"/>
        <v>740389</v>
      </c>
      <c r="N51" s="160"/>
      <c r="Y51" s="277"/>
    </row>
    <row r="52" spans="1:28">
      <c r="A52" s="184">
        <v>35</v>
      </c>
      <c r="B52" s="160" t="s">
        <v>10</v>
      </c>
      <c r="C52" s="160"/>
      <c r="D52" s="372">
        <f>Input!$JE$32</f>
        <v>0</v>
      </c>
      <c r="E52" s="372">
        <f>Input!$JF$32</f>
        <v>30802</v>
      </c>
      <c r="F52" s="372">
        <f>Input!$JG$32</f>
        <v>0</v>
      </c>
      <c r="G52" s="372">
        <f>Input!$JH$32</f>
        <v>12797376</v>
      </c>
      <c r="H52" s="372">
        <f>Input!$JI$32</f>
        <v>0</v>
      </c>
      <c r="I52" s="372">
        <f>Input!$JJ$32</f>
        <v>0</v>
      </c>
      <c r="J52" s="372">
        <f>Input!$JK$32</f>
        <v>0</v>
      </c>
      <c r="K52" s="372">
        <f>Input!$JL$32</f>
        <v>0</v>
      </c>
      <c r="L52" s="372">
        <f>Input!$JM$32</f>
        <v>0</v>
      </c>
      <c r="M52" s="373">
        <f t="shared" si="9"/>
        <v>12828178</v>
      </c>
      <c r="N52" s="160"/>
      <c r="O52" s="273"/>
      <c r="P52" s="278"/>
    </row>
    <row r="53" spans="1:28">
      <c r="A53" s="184">
        <v>36</v>
      </c>
      <c r="B53" s="160" t="s">
        <v>11</v>
      </c>
      <c r="C53" s="160"/>
      <c r="D53" s="372">
        <f>Input!$JN$32</f>
        <v>1044132</v>
      </c>
      <c r="E53" s="372">
        <f>Input!$JO$32</f>
        <v>10858893</v>
      </c>
      <c r="F53" s="372">
        <f>Input!$JP$32</f>
        <v>0</v>
      </c>
      <c r="G53" s="372">
        <f>Input!$JQ$32</f>
        <v>55830</v>
      </c>
      <c r="H53" s="372">
        <f>Input!$JR$32</f>
        <v>0</v>
      </c>
      <c r="I53" s="372">
        <f>Input!$JS$32</f>
        <v>691</v>
      </c>
      <c r="J53" s="372">
        <f>Input!$JT$32</f>
        <v>0</v>
      </c>
      <c r="K53" s="372">
        <f>Input!$JU$32</f>
        <v>-100</v>
      </c>
      <c r="L53" s="372">
        <f>Input!$JV$32</f>
        <v>0</v>
      </c>
      <c r="M53" s="373">
        <f t="shared" si="9"/>
        <v>11959446</v>
      </c>
      <c r="N53" s="160"/>
      <c r="O53" s="273"/>
    </row>
    <row r="54" spans="1:28" ht="13.5" thickBot="1">
      <c r="A54" s="184">
        <v>37</v>
      </c>
      <c r="B54" s="177" t="s">
        <v>2134</v>
      </c>
      <c r="C54" s="177"/>
      <c r="D54" s="372">
        <f>Input!$JW$32</f>
        <v>0</v>
      </c>
      <c r="E54" s="372">
        <f>Input!$JX$32</f>
        <v>0</v>
      </c>
      <c r="F54" s="372">
        <f>Input!$JY$32</f>
        <v>69893224</v>
      </c>
      <c r="G54" s="372">
        <f>Input!$JZ$32</f>
        <v>0</v>
      </c>
      <c r="H54" s="372">
        <f>Input!$KA$32</f>
        <v>0</v>
      </c>
      <c r="I54" s="372">
        <f>Input!$KB$32</f>
        <v>0</v>
      </c>
      <c r="J54" s="372">
        <f>Input!$KC$32</f>
        <v>0</v>
      </c>
      <c r="K54" s="372">
        <f>Input!$KD$32</f>
        <v>0</v>
      </c>
      <c r="L54" s="372">
        <f>Input!$KE$32</f>
        <v>0</v>
      </c>
      <c r="M54" s="373">
        <f t="shared" si="9"/>
        <v>69893224</v>
      </c>
      <c r="N54" s="160"/>
      <c r="O54" s="273"/>
    </row>
    <row r="55" spans="1:28" ht="14.25" thickTop="1" thickBot="1">
      <c r="A55" s="184">
        <v>38</v>
      </c>
      <c r="B55" s="160" t="s">
        <v>43</v>
      </c>
      <c r="C55" s="160"/>
      <c r="D55" s="372">
        <f>Input!$KF$32</f>
        <v>20121</v>
      </c>
      <c r="E55" s="372">
        <f>Input!$KG$32</f>
        <v>2674164</v>
      </c>
      <c r="F55" s="372">
        <f>Input!$KH$32</f>
        <v>119556</v>
      </c>
      <c r="G55" s="372">
        <f>Input!$KI$32</f>
        <v>1500</v>
      </c>
      <c r="H55" s="372">
        <f>Input!$KJ$32</f>
        <v>61328</v>
      </c>
      <c r="I55" s="372">
        <f>Input!$KK$32</f>
        <v>37374</v>
      </c>
      <c r="J55" s="372">
        <f>Input!$KL$32</f>
        <v>0</v>
      </c>
      <c r="K55" s="372">
        <f>Input!$KM$32</f>
        <v>0</v>
      </c>
      <c r="L55" s="372">
        <f>Input!$KN$32</f>
        <v>0</v>
      </c>
      <c r="M55" s="373">
        <f t="shared" si="9"/>
        <v>2914043</v>
      </c>
      <c r="N55" s="160"/>
      <c r="O55" s="1616" t="s">
        <v>251</v>
      </c>
      <c r="P55" s="1617"/>
      <c r="Q55" s="1617"/>
      <c r="R55" s="1618"/>
      <c r="S55" s="437"/>
      <c r="T55" s="1619" t="s">
        <v>252</v>
      </c>
      <c r="U55" s="1620"/>
      <c r="V55" s="1620"/>
      <c r="W55" s="1620"/>
      <c r="X55" s="1621"/>
      <c r="Y55" s="320"/>
      <c r="Z55" s="1749" t="s">
        <v>1301</v>
      </c>
      <c r="AA55" s="1750"/>
      <c r="AB55" s="1751"/>
    </row>
    <row r="56" spans="1:28" ht="13.5" customHeight="1" thickTop="1">
      <c r="A56" s="184">
        <v>39</v>
      </c>
      <c r="B56" s="176" t="s">
        <v>3</v>
      </c>
      <c r="C56" s="176"/>
      <c r="D56" s="374">
        <f>SUM(D50:D55)</f>
        <v>1192742</v>
      </c>
      <c r="E56" s="374">
        <f t="shared" ref="E56:L56" si="10">SUM(E50:E55)</f>
        <v>23451584</v>
      </c>
      <c r="F56" s="374">
        <f t="shared" si="10"/>
        <v>72991215</v>
      </c>
      <c r="G56" s="374">
        <f t="shared" si="10"/>
        <v>14439649</v>
      </c>
      <c r="H56" s="374">
        <f t="shared" si="10"/>
        <v>147121</v>
      </c>
      <c r="I56" s="374">
        <f t="shared" si="10"/>
        <v>6558515</v>
      </c>
      <c r="J56" s="374">
        <f t="shared" si="10"/>
        <v>2000507</v>
      </c>
      <c r="K56" s="374">
        <f t="shared" si="10"/>
        <v>-100</v>
      </c>
      <c r="L56" s="374">
        <f t="shared" si="10"/>
        <v>0</v>
      </c>
      <c r="M56" s="374">
        <f t="shared" si="9"/>
        <v>120781233</v>
      </c>
      <c r="N56" s="160"/>
      <c r="O56" s="1622" t="s">
        <v>1135</v>
      </c>
      <c r="P56" s="1625" t="s">
        <v>254</v>
      </c>
      <c r="Q56" s="1625" t="s">
        <v>292</v>
      </c>
      <c r="R56" s="1628" t="s">
        <v>1063</v>
      </c>
      <c r="S56" s="280"/>
      <c r="T56" s="1739" t="s">
        <v>1136</v>
      </c>
      <c r="U56" s="1637" t="s">
        <v>254</v>
      </c>
      <c r="V56" s="1634" t="s">
        <v>256</v>
      </c>
      <c r="W56" s="1637" t="s">
        <v>257</v>
      </c>
      <c r="X56" s="1638" t="s">
        <v>1064</v>
      </c>
      <c r="Z56" s="1754" t="s">
        <v>1302</v>
      </c>
      <c r="AA56" s="1747" t="s">
        <v>1303</v>
      </c>
      <c r="AB56" s="1752" t="s">
        <v>238</v>
      </c>
    </row>
    <row r="57" spans="1:28">
      <c r="A57" s="184">
        <v>40</v>
      </c>
      <c r="B57" s="162" t="s">
        <v>68</v>
      </c>
      <c r="C57" s="162"/>
      <c r="D57" s="374">
        <f>D15+D44+D47+D56</f>
        <v>216964465</v>
      </c>
      <c r="E57" s="374">
        <f t="shared" ref="E57:L57" si="11">E15+E44+E47+E56</f>
        <v>226182105</v>
      </c>
      <c r="F57" s="374">
        <f t="shared" si="11"/>
        <v>116137246</v>
      </c>
      <c r="G57" s="374">
        <f t="shared" si="11"/>
        <v>187976603</v>
      </c>
      <c r="H57" s="374">
        <f t="shared" si="11"/>
        <v>147121</v>
      </c>
      <c r="I57" s="374">
        <f t="shared" si="11"/>
        <v>6558515</v>
      </c>
      <c r="J57" s="374">
        <f t="shared" si="11"/>
        <v>2000507</v>
      </c>
      <c r="K57" s="374">
        <f t="shared" si="11"/>
        <v>-100</v>
      </c>
      <c r="L57" s="374">
        <f t="shared" si="11"/>
        <v>0</v>
      </c>
      <c r="M57" s="374">
        <f t="shared" si="9"/>
        <v>755966462</v>
      </c>
      <c r="N57" s="160"/>
      <c r="O57" s="1623"/>
      <c r="P57" s="1626"/>
      <c r="Q57" s="1626"/>
      <c r="R57" s="1629"/>
      <c r="S57" s="280"/>
      <c r="T57" s="1740"/>
      <c r="U57" s="1626"/>
      <c r="V57" s="1635"/>
      <c r="W57" s="1626"/>
      <c r="X57" s="1639"/>
      <c r="Z57" s="1755"/>
      <c r="AA57" s="1747"/>
      <c r="AB57" s="1752"/>
    </row>
    <row r="58" spans="1:28">
      <c r="A58" s="184">
        <v>41</v>
      </c>
      <c r="B58" s="160"/>
      <c r="C58" s="160"/>
      <c r="D58" s="373"/>
      <c r="E58" s="373"/>
      <c r="F58" s="373"/>
      <c r="G58" s="373"/>
      <c r="H58" s="373"/>
      <c r="I58" s="373"/>
      <c r="J58" s="373"/>
      <c r="K58" s="373"/>
      <c r="L58" s="373"/>
      <c r="M58" s="373"/>
      <c r="N58" s="160"/>
      <c r="O58" s="1623"/>
      <c r="P58" s="1626"/>
      <c r="Q58" s="1626"/>
      <c r="R58" s="1629"/>
      <c r="S58" s="280"/>
      <c r="T58" s="1740"/>
      <c r="U58" s="1626"/>
      <c r="V58" s="1635"/>
      <c r="W58" s="1626"/>
      <c r="X58" s="1639"/>
      <c r="Z58" s="1755"/>
      <c r="AA58" s="1747"/>
      <c r="AB58" s="1752"/>
    </row>
    <row r="59" spans="1:28" ht="14.25" customHeight="1">
      <c r="A59" s="184">
        <v>42</v>
      </c>
      <c r="B59" s="174" t="s">
        <v>72</v>
      </c>
      <c r="C59" s="174"/>
      <c r="D59" s="377"/>
      <c r="E59" s="377"/>
      <c r="F59" s="377"/>
      <c r="G59" s="1746" t="str">
        <f>IF(OR(P105&gt;0,P106&lt;&gt;0,P107&lt;&gt;0),"Do not Enter Cents - Whole Dollars Only","")</f>
        <v/>
      </c>
      <c r="H59" s="1746"/>
      <c r="I59" s="1746"/>
      <c r="J59" s="1746"/>
      <c r="K59" s="1746"/>
      <c r="L59" s="377"/>
      <c r="M59" s="377"/>
      <c r="N59" s="160"/>
      <c r="O59" s="1624"/>
      <c r="P59" s="1627"/>
      <c r="Q59" s="1627"/>
      <c r="R59" s="1630"/>
      <c r="S59" s="280"/>
      <c r="T59" s="1741"/>
      <c r="U59" s="1627"/>
      <c r="V59" s="1636"/>
      <c r="W59" s="1627"/>
      <c r="X59" s="1640"/>
      <c r="Z59" s="1756"/>
      <c r="AA59" s="1748"/>
      <c r="AB59" s="1753"/>
    </row>
    <row r="60" spans="1:28" ht="13.5" thickBot="1">
      <c r="A60" s="184">
        <v>43</v>
      </c>
      <c r="B60" s="160" t="s">
        <v>14</v>
      </c>
      <c r="C60" s="160"/>
      <c r="D60" s="372">
        <f>Input!$KO$32</f>
        <v>162468101</v>
      </c>
      <c r="E60" s="372">
        <f>Input!$KP$32</f>
        <v>36430969</v>
      </c>
      <c r="F60" s="372">
        <f>Input!$KQ$32</f>
        <v>0</v>
      </c>
      <c r="G60" s="372">
        <f>Input!$KR$32</f>
        <v>6099903</v>
      </c>
      <c r="H60" s="372">
        <f>Input!$KS$32</f>
        <v>0</v>
      </c>
      <c r="I60" s="372">
        <f>Input!$KT$32</f>
        <v>0</v>
      </c>
      <c r="J60" s="372">
        <f>Input!$KU$32</f>
        <v>0</v>
      </c>
      <c r="K60" s="372">
        <f>Input!$KV$32</f>
        <v>0</v>
      </c>
      <c r="L60" s="372">
        <f>Input!$KW$32</f>
        <v>0</v>
      </c>
      <c r="M60" s="373">
        <f t="shared" ref="M60:M71" si="12">D60+E60+F60+G60+H60+I60+J60+K60+L60</f>
        <v>204998973</v>
      </c>
      <c r="N60" s="160"/>
      <c r="O60" s="282">
        <f>D60+E60+G60+J60</f>
        <v>204998973</v>
      </c>
      <c r="P60" s="518">
        <f>Input!$SS$32</f>
        <v>742872</v>
      </c>
      <c r="Q60" s="438" t="s">
        <v>259</v>
      </c>
      <c r="R60" s="284">
        <f>SUM(O60:P60)</f>
        <v>205741845</v>
      </c>
      <c r="S60" s="439"/>
      <c r="T60" s="286">
        <f t="shared" ref="T60:T67" si="13">D60+E60+G60</f>
        <v>204998973</v>
      </c>
      <c r="U60" s="287">
        <f t="shared" ref="U60:U67" si="14">P60</f>
        <v>742872</v>
      </c>
      <c r="V60" s="289">
        <f>Input!$TC$32</f>
        <v>0</v>
      </c>
      <c r="W60" s="289">
        <f>Input!$TK$32</f>
        <v>0</v>
      </c>
      <c r="X60" s="290">
        <f t="shared" ref="X60:X66" si="15">T60+U60-V60-W60</f>
        <v>205741845</v>
      </c>
      <c r="Z60" s="292" t="s">
        <v>14</v>
      </c>
      <c r="AA60" s="520">
        <f>Input!$TS$32</f>
        <v>204998973</v>
      </c>
      <c r="AB60" s="293">
        <f t="shared" ref="AB60:AB68" si="16">AA60-M60</f>
        <v>0</v>
      </c>
    </row>
    <row r="61" spans="1:28" ht="14.25" thickTop="1" thickBot="1">
      <c r="A61" s="184">
        <v>44</v>
      </c>
      <c r="B61" s="160" t="s">
        <v>15</v>
      </c>
      <c r="C61" s="160"/>
      <c r="D61" s="372">
        <f>Input!$KX$32</f>
        <v>20171250</v>
      </c>
      <c r="E61" s="372">
        <f>Input!$KY$32</f>
        <v>9262347</v>
      </c>
      <c r="F61" s="372">
        <f>Input!$KZ$32</f>
        <v>0</v>
      </c>
      <c r="G61" s="372">
        <f>Input!$LA$32</f>
        <v>33945434</v>
      </c>
      <c r="H61" s="372">
        <f>Input!$LB$32</f>
        <v>0</v>
      </c>
      <c r="I61" s="372">
        <f>Input!$LC$32</f>
        <v>0</v>
      </c>
      <c r="J61" s="372">
        <f>Input!$LD$32</f>
        <v>0</v>
      </c>
      <c r="K61" s="372">
        <f>Input!$LE$32</f>
        <v>0</v>
      </c>
      <c r="L61" s="372">
        <f>Input!$LF$32</f>
        <v>0</v>
      </c>
      <c r="M61" s="373">
        <f t="shared" si="12"/>
        <v>63379031</v>
      </c>
      <c r="N61" s="160"/>
      <c r="O61" s="440">
        <f t="shared" ref="O61:O67" si="17">D61+E61+G61+J61</f>
        <v>63379031</v>
      </c>
      <c r="P61" s="518">
        <f>Input!$ST$32</f>
        <v>3179215</v>
      </c>
      <c r="Q61" s="441" t="s">
        <v>259</v>
      </c>
      <c r="R61" s="295">
        <f>SUM(O61:P61)</f>
        <v>66558246</v>
      </c>
      <c r="S61" s="442"/>
      <c r="T61" s="296">
        <f t="shared" si="13"/>
        <v>63379031</v>
      </c>
      <c r="U61" s="297">
        <f t="shared" si="14"/>
        <v>3179215</v>
      </c>
      <c r="V61" s="299">
        <f>Input!$TD$32</f>
        <v>772596</v>
      </c>
      <c r="W61" s="299">
        <f>Input!$TL$32</f>
        <v>0</v>
      </c>
      <c r="X61" s="300">
        <f t="shared" si="15"/>
        <v>65785650</v>
      </c>
      <c r="Z61" s="292" t="s">
        <v>15</v>
      </c>
      <c r="AA61" s="518">
        <f>Input!$TT$32</f>
        <v>63379031</v>
      </c>
      <c r="AB61" s="301">
        <f t="shared" si="16"/>
        <v>0</v>
      </c>
    </row>
    <row r="62" spans="1:28" ht="13.5" thickTop="1">
      <c r="A62" s="184">
        <v>45</v>
      </c>
      <c r="B62" s="160" t="s">
        <v>16</v>
      </c>
      <c r="C62" s="160"/>
      <c r="D62" s="372">
        <f>Input!$LG$32</f>
        <v>424520</v>
      </c>
      <c r="E62" s="372">
        <f>Input!$LH$32</f>
        <v>847790</v>
      </c>
      <c r="F62" s="372">
        <f>Input!$LI$32</f>
        <v>0</v>
      </c>
      <c r="G62" s="372">
        <f>Input!$LJ$32</f>
        <v>182036</v>
      </c>
      <c r="H62" s="372">
        <f>Input!$LK$32</f>
        <v>0</v>
      </c>
      <c r="I62" s="372">
        <f>Input!$LL$32</f>
        <v>0</v>
      </c>
      <c r="J62" s="372">
        <f>Input!$LM$32</f>
        <v>0</v>
      </c>
      <c r="K62" s="372">
        <f>Input!$LN$32</f>
        <v>0</v>
      </c>
      <c r="L62" s="372">
        <f>Input!$LO$32</f>
        <v>0</v>
      </c>
      <c r="M62" s="373">
        <f t="shared" si="12"/>
        <v>1454346</v>
      </c>
      <c r="N62" s="160"/>
      <c r="O62" s="440">
        <f t="shared" si="17"/>
        <v>1454346</v>
      </c>
      <c r="P62" s="518">
        <f>Input!$SU$32</f>
        <v>0</v>
      </c>
      <c r="Q62" s="441" t="s">
        <v>259</v>
      </c>
      <c r="R62" s="302" t="s">
        <v>259</v>
      </c>
      <c r="S62" s="442"/>
      <c r="T62" s="296">
        <f t="shared" si="13"/>
        <v>1454346</v>
      </c>
      <c r="U62" s="297">
        <f t="shared" si="14"/>
        <v>0</v>
      </c>
      <c r="V62" s="299">
        <f>Input!$TE$32</f>
        <v>0</v>
      </c>
      <c r="W62" s="299">
        <f>Input!$TM$32</f>
        <v>0</v>
      </c>
      <c r="X62" s="303">
        <f t="shared" si="15"/>
        <v>1454346</v>
      </c>
      <c r="Z62" s="292" t="s">
        <v>16</v>
      </c>
      <c r="AA62" s="518">
        <f>Input!$TU$32</f>
        <v>1454346</v>
      </c>
      <c r="AB62" s="301">
        <f t="shared" si="16"/>
        <v>0</v>
      </c>
    </row>
    <row r="63" spans="1:28">
      <c r="A63" s="184">
        <v>46</v>
      </c>
      <c r="B63" s="160" t="s">
        <v>17</v>
      </c>
      <c r="C63" s="160"/>
      <c r="D63" s="372">
        <f>Input!$LP$32</f>
        <v>10017185</v>
      </c>
      <c r="E63" s="372">
        <f>Input!$LQ$32</f>
        <v>29199615</v>
      </c>
      <c r="F63" s="372">
        <f>Input!$LR$32</f>
        <v>0</v>
      </c>
      <c r="G63" s="372">
        <f>Input!$LS$32</f>
        <v>1211354</v>
      </c>
      <c r="H63" s="372">
        <f>Input!$LT$32</f>
        <v>0</v>
      </c>
      <c r="I63" s="372">
        <f>Input!$LU$32</f>
        <v>0</v>
      </c>
      <c r="J63" s="372">
        <f>Input!$LV$32</f>
        <v>0</v>
      </c>
      <c r="K63" s="372">
        <f>Input!$LW$32</f>
        <v>0</v>
      </c>
      <c r="L63" s="372">
        <f>Input!$LX$32</f>
        <v>0</v>
      </c>
      <c r="M63" s="373">
        <f t="shared" si="12"/>
        <v>40428154</v>
      </c>
      <c r="N63" s="160"/>
      <c r="O63" s="440">
        <f t="shared" si="17"/>
        <v>40428154</v>
      </c>
      <c r="P63" s="518">
        <f>Input!$SV$32</f>
        <v>5454150</v>
      </c>
      <c r="Q63" s="441" t="s">
        <v>259</v>
      </c>
      <c r="R63" s="295">
        <f t="shared" ref="R63:R65" si="18">SUM(O63:P63)</f>
        <v>45882304</v>
      </c>
      <c r="S63" s="442"/>
      <c r="T63" s="296">
        <f t="shared" si="13"/>
        <v>40428154</v>
      </c>
      <c r="U63" s="297">
        <f t="shared" si="14"/>
        <v>5454150</v>
      </c>
      <c r="V63" s="299">
        <f>Input!$TF$32</f>
        <v>0</v>
      </c>
      <c r="W63" s="299">
        <f>Input!$TN$32</f>
        <v>0</v>
      </c>
      <c r="X63" s="303">
        <f t="shared" si="15"/>
        <v>45882304</v>
      </c>
      <c r="Z63" s="292" t="s">
        <v>17</v>
      </c>
      <c r="AA63" s="518">
        <f>Input!$TV$32</f>
        <v>40428154</v>
      </c>
      <c r="AB63" s="301">
        <f t="shared" si="16"/>
        <v>0</v>
      </c>
    </row>
    <row r="64" spans="1:28">
      <c r="A64" s="184">
        <v>47</v>
      </c>
      <c r="B64" s="160" t="s">
        <v>18</v>
      </c>
      <c r="C64" s="160"/>
      <c r="D64" s="372">
        <f>Input!$LY$32</f>
        <v>7068611</v>
      </c>
      <c r="E64" s="372">
        <f>Input!$LZ$32</f>
        <v>10630608</v>
      </c>
      <c r="F64" s="372">
        <f>Input!$MA$32</f>
        <v>13636597</v>
      </c>
      <c r="G64" s="372">
        <f>Input!$MB$32</f>
        <v>817985</v>
      </c>
      <c r="H64" s="372">
        <f>Input!$MC$32</f>
        <v>0</v>
      </c>
      <c r="I64" s="372">
        <f>Input!$MD$32</f>
        <v>0</v>
      </c>
      <c r="J64" s="372">
        <f>Input!$ME$32</f>
        <v>0</v>
      </c>
      <c r="K64" s="372">
        <f>Input!$MF$32</f>
        <v>0</v>
      </c>
      <c r="L64" s="372">
        <f>Input!$MG$32</f>
        <v>0</v>
      </c>
      <c r="M64" s="373">
        <f t="shared" si="12"/>
        <v>32153801</v>
      </c>
      <c r="N64" s="160"/>
      <c r="O64" s="440">
        <f t="shared" si="17"/>
        <v>18517204</v>
      </c>
      <c r="P64" s="518">
        <f>Input!$SW$32</f>
        <v>23932</v>
      </c>
      <c r="Q64" s="518">
        <f>Input!$TB$32</f>
        <v>0</v>
      </c>
      <c r="R64" s="295">
        <f>SUM(O64:P64)-Q64</f>
        <v>18541136</v>
      </c>
      <c r="S64" s="442"/>
      <c r="T64" s="296">
        <f t="shared" si="13"/>
        <v>18517204</v>
      </c>
      <c r="U64" s="297">
        <f t="shared" si="14"/>
        <v>23932</v>
      </c>
      <c r="V64" s="299">
        <f>Input!$TG$32</f>
        <v>0</v>
      </c>
      <c r="W64" s="299">
        <f>Input!$TO$32</f>
        <v>0</v>
      </c>
      <c r="X64" s="303">
        <f t="shared" si="15"/>
        <v>18541136</v>
      </c>
      <c r="Z64" s="292" t="s">
        <v>18</v>
      </c>
      <c r="AA64" s="518">
        <f>Input!$TW$32</f>
        <v>32153801</v>
      </c>
      <c r="AB64" s="301">
        <f t="shared" si="16"/>
        <v>0</v>
      </c>
    </row>
    <row r="65" spans="1:28">
      <c r="A65" s="184">
        <v>48</v>
      </c>
      <c r="B65" s="160" t="s">
        <v>19</v>
      </c>
      <c r="C65" s="160"/>
      <c r="D65" s="372">
        <f>Input!$MH$32</f>
        <v>2351666</v>
      </c>
      <c r="E65" s="372">
        <f>Input!$MI$32</f>
        <v>37012446</v>
      </c>
      <c r="F65" s="372">
        <f>Input!$MJ$32</f>
        <v>0</v>
      </c>
      <c r="G65" s="372">
        <f>Input!$MK$32</f>
        <v>349265</v>
      </c>
      <c r="H65" s="372">
        <f>Input!$ML$32</f>
        <v>0</v>
      </c>
      <c r="I65" s="372">
        <f>Input!$MM$32</f>
        <v>0</v>
      </c>
      <c r="J65" s="372">
        <f>Input!$MN$32</f>
        <v>0</v>
      </c>
      <c r="K65" s="372">
        <f>Input!$MO$32</f>
        <v>0</v>
      </c>
      <c r="L65" s="372">
        <f>Input!$MP$32</f>
        <v>0</v>
      </c>
      <c r="M65" s="373">
        <f t="shared" si="12"/>
        <v>39713377</v>
      </c>
      <c r="N65" s="160"/>
      <c r="O65" s="440">
        <f t="shared" si="17"/>
        <v>39713377</v>
      </c>
      <c r="P65" s="518">
        <f>Input!$SX$32</f>
        <v>33420</v>
      </c>
      <c r="Q65" s="441" t="s">
        <v>259</v>
      </c>
      <c r="R65" s="295">
        <f t="shared" si="18"/>
        <v>39746797</v>
      </c>
      <c r="S65" s="442"/>
      <c r="T65" s="296">
        <f t="shared" si="13"/>
        <v>39713377</v>
      </c>
      <c r="U65" s="297">
        <f t="shared" si="14"/>
        <v>33420</v>
      </c>
      <c r="V65" s="299">
        <f>Input!$TH$32</f>
        <v>0</v>
      </c>
      <c r="W65" s="299">
        <f>Input!$TP$32</f>
        <v>0</v>
      </c>
      <c r="X65" s="303">
        <f t="shared" si="15"/>
        <v>39746797</v>
      </c>
      <c r="Z65" s="292" t="s">
        <v>19</v>
      </c>
      <c r="AA65" s="518">
        <f>Input!$TX$32</f>
        <v>39713377</v>
      </c>
      <c r="AB65" s="301">
        <f t="shared" si="16"/>
        <v>0</v>
      </c>
    </row>
    <row r="66" spans="1:28">
      <c r="A66" s="184">
        <v>49</v>
      </c>
      <c r="B66" s="160" t="s">
        <v>20</v>
      </c>
      <c r="C66" s="160"/>
      <c r="D66" s="372">
        <f>Input!$MQ$32</f>
        <v>13756010</v>
      </c>
      <c r="E66" s="372">
        <f>Input!$MR$32</f>
        <v>29977186</v>
      </c>
      <c r="F66" s="372">
        <f>Input!$MS$32</f>
        <v>1289075</v>
      </c>
      <c r="G66" s="372">
        <f>Input!$MT$32</f>
        <v>4992909</v>
      </c>
      <c r="H66" s="372">
        <f>Input!$MU$32</f>
        <v>0</v>
      </c>
      <c r="I66" s="372">
        <f>Input!$MV$32</f>
        <v>0</v>
      </c>
      <c r="J66" s="372">
        <f>Input!$MW$32</f>
        <v>0</v>
      </c>
      <c r="K66" s="372">
        <f>Input!$MX$32</f>
        <v>0</v>
      </c>
      <c r="L66" s="372">
        <f>Input!$MY$32</f>
        <v>0</v>
      </c>
      <c r="M66" s="373">
        <f t="shared" si="12"/>
        <v>50015180</v>
      </c>
      <c r="N66" s="160"/>
      <c r="O66" s="440">
        <f t="shared" si="17"/>
        <v>48726105</v>
      </c>
      <c r="P66" s="518">
        <f>Input!$SY$32</f>
        <v>202253</v>
      </c>
      <c r="Q66" s="441" t="s">
        <v>259</v>
      </c>
      <c r="R66" s="304" t="s">
        <v>259</v>
      </c>
      <c r="S66" s="442"/>
      <c r="T66" s="296">
        <f t="shared" si="13"/>
        <v>48726105</v>
      </c>
      <c r="U66" s="297">
        <f t="shared" si="14"/>
        <v>202253</v>
      </c>
      <c r="V66" s="299">
        <f>Input!$TI$32</f>
        <v>0</v>
      </c>
      <c r="W66" s="299">
        <f>Input!$TQ$32</f>
        <v>0</v>
      </c>
      <c r="X66" s="303">
        <f t="shared" si="15"/>
        <v>48928358</v>
      </c>
      <c r="Z66" s="292" t="s">
        <v>260</v>
      </c>
      <c r="AA66" s="518">
        <f>Input!$TY$32</f>
        <v>50015180</v>
      </c>
      <c r="AB66" s="301">
        <f t="shared" si="16"/>
        <v>0</v>
      </c>
    </row>
    <row r="67" spans="1:28" ht="13.5" thickBot="1">
      <c r="A67" s="184">
        <v>50</v>
      </c>
      <c r="B67" s="160" t="s">
        <v>21</v>
      </c>
      <c r="C67" s="160"/>
      <c r="D67" s="372">
        <f>Input!$MZ$32</f>
        <v>2813496</v>
      </c>
      <c r="E67" s="372">
        <f>Input!$NA$32</f>
        <v>17963613</v>
      </c>
      <c r="F67" s="372">
        <f>Input!$NB$32</f>
        <v>2341862</v>
      </c>
      <c r="G67" s="372">
        <f>Input!$NC$32</f>
        <v>58355308</v>
      </c>
      <c r="H67" s="372">
        <f>Input!$ND$32</f>
        <v>0</v>
      </c>
      <c r="I67" s="372">
        <f>Input!$NE$32</f>
        <v>0</v>
      </c>
      <c r="J67" s="372">
        <f>Input!$NF$32</f>
        <v>0</v>
      </c>
      <c r="K67" s="372">
        <f>Input!$NG$32</f>
        <v>0</v>
      </c>
      <c r="L67" s="372">
        <f>Input!$NH$32</f>
        <v>0</v>
      </c>
      <c r="M67" s="373">
        <f t="shared" si="12"/>
        <v>81474279</v>
      </c>
      <c r="N67" s="160"/>
      <c r="O67" s="440">
        <f t="shared" si="17"/>
        <v>79132417</v>
      </c>
      <c r="P67" s="518">
        <f>Input!$SZ$32</f>
        <v>5699</v>
      </c>
      <c r="Q67" s="441" t="s">
        <v>259</v>
      </c>
      <c r="R67" s="304" t="s">
        <v>259</v>
      </c>
      <c r="S67" s="442"/>
      <c r="T67" s="306">
        <f t="shared" si="13"/>
        <v>79132417</v>
      </c>
      <c r="U67" s="307">
        <f t="shared" si="14"/>
        <v>5699</v>
      </c>
      <c r="V67" s="308">
        <f>Input!$TJ$32</f>
        <v>0</v>
      </c>
      <c r="W67" s="308">
        <f>Input!$TR$32</f>
        <v>0</v>
      </c>
      <c r="X67" s="303">
        <f>U67+T67-V67-W67</f>
        <v>79138116</v>
      </c>
      <c r="Z67" s="292" t="s">
        <v>21</v>
      </c>
      <c r="AA67" s="518">
        <f>Input!$TZ$32</f>
        <v>81474279</v>
      </c>
      <c r="AB67" s="301">
        <f t="shared" si="16"/>
        <v>0</v>
      </c>
    </row>
    <row r="68" spans="1:28" ht="14.25" thickTop="1" thickBot="1">
      <c r="A68" s="184">
        <v>51</v>
      </c>
      <c r="B68" s="160" t="s">
        <v>2135</v>
      </c>
      <c r="C68" s="160"/>
      <c r="D68" s="372">
        <f>Input!$NI$32</f>
        <v>0</v>
      </c>
      <c r="E68" s="372">
        <f>Input!$NJ$32</f>
        <v>0</v>
      </c>
      <c r="F68" s="372">
        <f>Input!$NK$32</f>
        <v>68478900</v>
      </c>
      <c r="G68" s="372">
        <f>Input!$NL$32</f>
        <v>20538</v>
      </c>
      <c r="H68" s="372">
        <f>Input!$NM$32</f>
        <v>0</v>
      </c>
      <c r="I68" s="372">
        <f>Input!$NN$32</f>
        <v>0</v>
      </c>
      <c r="J68" s="372">
        <f>Input!$NO$32</f>
        <v>0</v>
      </c>
      <c r="K68" s="372">
        <f>Input!$NP$32</f>
        <v>0</v>
      </c>
      <c r="L68" s="372">
        <f>Input!$NQ$32</f>
        <v>0</v>
      </c>
      <c r="M68" s="373">
        <f t="shared" si="12"/>
        <v>68499438</v>
      </c>
      <c r="N68" s="160"/>
      <c r="O68" s="309" t="s">
        <v>259</v>
      </c>
      <c r="P68" s="519">
        <f>Input!$TA$32</f>
        <v>116495</v>
      </c>
      <c r="Q68" s="444" t="s">
        <v>259</v>
      </c>
      <c r="R68" s="311" t="s">
        <v>259</v>
      </c>
      <c r="S68" s="442"/>
      <c r="T68" s="305"/>
      <c r="U68" s="305"/>
      <c r="V68" s="312" t="s">
        <v>261</v>
      </c>
      <c r="W68" s="313"/>
      <c r="X68" s="314">
        <f>SUM(X60:X67)</f>
        <v>505218552</v>
      </c>
      <c r="Z68" s="292" t="s">
        <v>22</v>
      </c>
      <c r="AA68" s="518">
        <f>Input!$UA$32</f>
        <v>68499438</v>
      </c>
      <c r="AB68" s="301">
        <f t="shared" si="16"/>
        <v>0</v>
      </c>
    </row>
    <row r="69" spans="1:28" ht="14.25" thickTop="1" thickBot="1">
      <c r="A69" s="184">
        <v>52</v>
      </c>
      <c r="B69" s="161" t="s">
        <v>59</v>
      </c>
      <c r="C69" s="161"/>
      <c r="D69" s="372">
        <f>Input!$NR$32</f>
        <v>2710115</v>
      </c>
      <c r="E69" s="372">
        <f>Input!$NS$32</f>
        <v>5632662</v>
      </c>
      <c r="F69" s="372">
        <f>Input!$NT$32</f>
        <v>119430</v>
      </c>
      <c r="G69" s="372">
        <f>Input!$NU$32</f>
        <v>1295829</v>
      </c>
      <c r="H69" s="372">
        <f>Input!$NV$32</f>
        <v>0</v>
      </c>
      <c r="I69" s="372">
        <f>Input!$NW$32</f>
        <v>0</v>
      </c>
      <c r="J69" s="372">
        <f>Input!$NX$32</f>
        <v>0</v>
      </c>
      <c r="K69" s="372">
        <f>Input!$NY$32</f>
        <v>0</v>
      </c>
      <c r="L69" s="372">
        <f>Input!$NZ$32</f>
        <v>0</v>
      </c>
      <c r="M69" s="373">
        <f t="shared" si="12"/>
        <v>9758036</v>
      </c>
      <c r="N69" s="160"/>
      <c r="O69" s="315"/>
      <c r="P69" s="316">
        <f>SUM(P60:P68)</f>
        <v>9758036</v>
      </c>
      <c r="Q69" s="316">
        <f>SUM(Q64:Q68)</f>
        <v>0</v>
      </c>
      <c r="R69" s="317">
        <f>SUM(R60:R65)</f>
        <v>376470328</v>
      </c>
      <c r="S69" s="316"/>
      <c r="T69" s="305"/>
      <c r="U69" s="305"/>
      <c r="V69" s="305"/>
      <c r="W69" s="277"/>
      <c r="X69" s="277"/>
      <c r="Y69" s="277"/>
      <c r="Z69" s="292" t="s">
        <v>285</v>
      </c>
      <c r="AA69" s="445">
        <f>M88*-1</f>
        <v>72067914</v>
      </c>
      <c r="AB69" s="301">
        <f>AA69+M88</f>
        <v>0</v>
      </c>
    </row>
    <row r="70" spans="1:28" ht="14.25" thickTop="1" thickBot="1">
      <c r="A70" s="184">
        <v>53</v>
      </c>
      <c r="B70" s="178" t="s">
        <v>44</v>
      </c>
      <c r="C70" s="178"/>
      <c r="D70" s="378">
        <f>Input!$OA$32</f>
        <v>232</v>
      </c>
      <c r="E70" s="378">
        <f>Input!$OB$32</f>
        <v>12577</v>
      </c>
      <c r="F70" s="378">
        <f>Input!$OC$32</f>
        <v>15862</v>
      </c>
      <c r="G70" s="378">
        <f>Input!$OD$32</f>
        <v>17970</v>
      </c>
      <c r="H70" s="378">
        <f>Input!$OE$32</f>
        <v>448668</v>
      </c>
      <c r="I70" s="378">
        <f>Input!$OF$32</f>
        <v>76207</v>
      </c>
      <c r="J70" s="378">
        <f>Input!$OG$32</f>
        <v>12188</v>
      </c>
      <c r="K70" s="378">
        <f>Input!$OH$32</f>
        <v>658</v>
      </c>
      <c r="L70" s="378">
        <f>Input!$OI$32</f>
        <v>0</v>
      </c>
      <c r="M70" s="373">
        <f t="shared" si="12"/>
        <v>584362</v>
      </c>
      <c r="N70" s="160"/>
      <c r="O70" s="320"/>
      <c r="P70" s="516" t="str">
        <f>IF(P69&lt;&gt;M69,"Out of Balance","Balanced")</f>
        <v>Balanced</v>
      </c>
      <c r="Q70" s="318"/>
      <c r="R70" s="305"/>
      <c r="S70" s="305"/>
      <c r="T70" s="305"/>
      <c r="U70" s="277"/>
      <c r="V70" s="1738" t="str">
        <f>IF(X68-INT(X68)&lt;&gt;0,"Whole Dollars Only","")</f>
        <v/>
      </c>
      <c r="W70" s="1738"/>
      <c r="X70" s="537"/>
      <c r="Y70" s="319"/>
      <c r="Z70" s="410" t="s">
        <v>262</v>
      </c>
      <c r="AA70" s="446" t="s">
        <v>259</v>
      </c>
      <c r="AB70" s="411">
        <f>M90</f>
        <v>0</v>
      </c>
    </row>
    <row r="71" spans="1:28" ht="13.5" thickTop="1">
      <c r="A71" s="184">
        <v>54</v>
      </c>
      <c r="B71" s="162" t="s">
        <v>69</v>
      </c>
      <c r="C71" s="162"/>
      <c r="D71" s="374">
        <f>SUM(D60:D70)</f>
        <v>221781186</v>
      </c>
      <c r="E71" s="374">
        <f>SUM(E60:E70)</f>
        <v>176969813</v>
      </c>
      <c r="F71" s="374">
        <f t="shared" ref="F71:L71" si="19">SUM(F60:F70)</f>
        <v>85881726</v>
      </c>
      <c r="G71" s="374">
        <f t="shared" si="19"/>
        <v>107288531</v>
      </c>
      <c r="H71" s="374">
        <f t="shared" si="19"/>
        <v>448668</v>
      </c>
      <c r="I71" s="374">
        <f t="shared" si="19"/>
        <v>76207</v>
      </c>
      <c r="J71" s="374">
        <f t="shared" si="19"/>
        <v>12188</v>
      </c>
      <c r="K71" s="374">
        <f t="shared" si="19"/>
        <v>658</v>
      </c>
      <c r="L71" s="374">
        <f t="shared" si="19"/>
        <v>0</v>
      </c>
      <c r="M71" s="374">
        <f t="shared" si="12"/>
        <v>592458977</v>
      </c>
      <c r="N71" s="160"/>
      <c r="O71" s="322"/>
      <c r="P71" s="1738" t="str">
        <f>IF(R69-INT(R69)&lt;&gt;0,"Whole Dollars Only","")</f>
        <v/>
      </c>
      <c r="Q71" s="1738"/>
      <c r="R71" s="323"/>
      <c r="S71" s="323"/>
      <c r="T71" s="323"/>
      <c r="U71" s="291"/>
      <c r="V71" s="324"/>
      <c r="W71" s="1738"/>
      <c r="X71" s="1738"/>
      <c r="Y71" s="321"/>
      <c r="Z71" s="318"/>
      <c r="AA71" s="325">
        <f>SUM(AA60:AA70)</f>
        <v>654184493</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Input!$OJ$32</f>
        <v>0</v>
      </c>
      <c r="E74" s="372">
        <f>Input!$OK$32</f>
        <v>0</v>
      </c>
      <c r="F74" s="372">
        <f>Input!$OL$32</f>
        <v>0</v>
      </c>
      <c r="G74" s="372">
        <f>Input!$OM$32</f>
        <v>0</v>
      </c>
      <c r="H74" s="372">
        <f>Input!$ON$32</f>
        <v>0</v>
      </c>
      <c r="I74" s="372">
        <f>Input!$OO$32</f>
        <v>0</v>
      </c>
      <c r="J74" s="372">
        <f>Input!$OP$32</f>
        <v>-29063077</v>
      </c>
      <c r="K74" s="372">
        <f>Input!$OQ$32</f>
        <v>0</v>
      </c>
      <c r="L74" s="372">
        <f>Input!$OR$32</f>
        <v>0</v>
      </c>
      <c r="M74" s="373">
        <f>D74+E74+F74+G74+H74+I74+J74+K74+L74</f>
        <v>-29063077</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Input!$OS$32</f>
        <v>1189063</v>
      </c>
      <c r="E75" s="372">
        <f>Input!$OT$32</f>
        <v>-4801208</v>
      </c>
      <c r="F75" s="372">
        <f>Input!$OU$32</f>
        <v>0</v>
      </c>
      <c r="G75" s="372">
        <f>Input!$OV$32</f>
        <v>0</v>
      </c>
      <c r="H75" s="372">
        <f>Input!$OW$32</f>
        <v>0</v>
      </c>
      <c r="I75" s="372">
        <f>Input!$OX$32</f>
        <v>0</v>
      </c>
      <c r="J75" s="372">
        <f>Input!$OY$32</f>
        <v>0</v>
      </c>
      <c r="K75" s="372">
        <f>Input!$OZ$32</f>
        <v>0</v>
      </c>
      <c r="L75" s="372">
        <f>Input!$PA$32</f>
        <v>0</v>
      </c>
      <c r="M75" s="373">
        <f>D75+E75+F75+G75+H75+I75+J75+K75+L75</f>
        <v>-3612145</v>
      </c>
      <c r="N75" s="160"/>
      <c r="O75" s="1723" t="str">
        <f>IF(M85&lt;0,"Footnote 11 is N/A - No Data Entry Required","Footnote 11")</f>
        <v>Footnote 11</v>
      </c>
      <c r="P75" s="1724"/>
      <c r="Q75" s="1724"/>
      <c r="R75" s="1725"/>
      <c r="S75" s="330"/>
      <c r="T75" s="330"/>
      <c r="U75" s="327"/>
      <c r="V75" s="276"/>
      <c r="W75" s="331"/>
      <c r="X75" s="331"/>
      <c r="Y75" s="328"/>
      <c r="Z75" s="328"/>
      <c r="AA75" s="276"/>
      <c r="AB75" s="276" t="s">
        <v>293</v>
      </c>
    </row>
    <row r="76" spans="1:28" ht="13.5" thickTop="1">
      <c r="A76" s="184">
        <v>59</v>
      </c>
      <c r="B76" s="160" t="s">
        <v>45</v>
      </c>
      <c r="C76" s="160"/>
      <c r="D76" s="372">
        <f>Input!$PB$32</f>
        <v>0</v>
      </c>
      <c r="E76" s="372">
        <f>Input!$PC$32</f>
        <v>0</v>
      </c>
      <c r="F76" s="372">
        <f>Input!$PD$32</f>
        <v>0</v>
      </c>
      <c r="G76" s="372">
        <f>Input!$PE$32</f>
        <v>0</v>
      </c>
      <c r="H76" s="372">
        <f>Input!$PF$32</f>
        <v>0</v>
      </c>
      <c r="I76" s="372">
        <f>Input!$PG$32</f>
        <v>0</v>
      </c>
      <c r="J76" s="372">
        <f>Input!$PH$32</f>
        <v>0</v>
      </c>
      <c r="K76" s="372">
        <f>Input!$PI$32</f>
        <v>0</v>
      </c>
      <c r="L76" s="372">
        <f>Input!$PJ$32</f>
        <v>0</v>
      </c>
      <c r="M76" s="373">
        <f>D76+E76+F76+G76+H76+I76+J76+K76+L76</f>
        <v>0</v>
      </c>
      <c r="N76" s="160"/>
      <c r="O76" s="487" t="s">
        <v>583</v>
      </c>
      <c r="P76" s="488"/>
      <c r="Q76" s="489"/>
      <c r="R76" s="490">
        <f>IF($M$85&lt;0,"N/A",$M$85)</f>
        <v>89642682</v>
      </c>
      <c r="S76" s="330"/>
      <c r="T76" s="330"/>
      <c r="U76" s="327"/>
      <c r="V76" s="276"/>
      <c r="W76" s="331"/>
      <c r="X76" s="331"/>
      <c r="Y76" s="331"/>
      <c r="Z76" s="331"/>
      <c r="AA76" s="276"/>
      <c r="AB76" s="276"/>
    </row>
    <row r="77" spans="1:28">
      <c r="A77" s="184">
        <v>60</v>
      </c>
      <c r="B77" s="160" t="s">
        <v>46</v>
      </c>
      <c r="C77" s="160"/>
      <c r="D77" s="372">
        <f>Input!$PK$32</f>
        <v>-22343790</v>
      </c>
      <c r="E77" s="372">
        <f>Input!$PL$32</f>
        <v>-6893566</v>
      </c>
      <c r="F77" s="372">
        <f>Input!$PM$32</f>
        <v>-31093592</v>
      </c>
      <c r="G77" s="372">
        <f>Input!$PN$32</f>
        <v>0</v>
      </c>
      <c r="H77" s="372">
        <f>Input!$PO$32</f>
        <v>0</v>
      </c>
      <c r="I77" s="372">
        <f>Input!$PP$32</f>
        <v>0</v>
      </c>
      <c r="J77" s="372">
        <f>Input!$PQ$32</f>
        <v>-137385</v>
      </c>
      <c r="K77" s="372">
        <f>Input!$PR$32</f>
        <v>0</v>
      </c>
      <c r="L77" s="372">
        <f>Input!$PS$32</f>
        <v>0</v>
      </c>
      <c r="M77" s="373">
        <f>D77+E77+F77+G77+H77+I77+J77+K77+L77</f>
        <v>-60468333</v>
      </c>
      <c r="N77" s="160"/>
      <c r="O77" s="491" t="s">
        <v>584</v>
      </c>
      <c r="P77" s="334"/>
      <c r="Q77" s="334"/>
      <c r="R77" s="521">
        <f>Input!$UB$32</f>
        <v>0</v>
      </c>
      <c r="S77" s="330"/>
      <c r="T77" s="330"/>
      <c r="U77" s="327"/>
      <c r="V77" s="276"/>
      <c r="W77" s="331"/>
      <c r="X77" s="331"/>
      <c r="Y77" s="331"/>
      <c r="Z77" s="331"/>
      <c r="AA77" s="276"/>
      <c r="AB77" s="276"/>
    </row>
    <row r="78" spans="1:28">
      <c r="A78" s="184">
        <v>61</v>
      </c>
      <c r="B78" s="162" t="s">
        <v>3</v>
      </c>
      <c r="C78" s="162"/>
      <c r="D78" s="374">
        <f t="shared" ref="D78:L78" si="20">SUM(D74:D77)</f>
        <v>-21154727</v>
      </c>
      <c r="E78" s="374">
        <f t="shared" si="20"/>
        <v>-11694774</v>
      </c>
      <c r="F78" s="374">
        <f t="shared" si="20"/>
        <v>-31093592</v>
      </c>
      <c r="G78" s="374">
        <f t="shared" si="20"/>
        <v>0</v>
      </c>
      <c r="H78" s="374">
        <f t="shared" si="20"/>
        <v>0</v>
      </c>
      <c r="I78" s="374">
        <f t="shared" si="20"/>
        <v>0</v>
      </c>
      <c r="J78" s="374">
        <f t="shared" si="20"/>
        <v>-29200462</v>
      </c>
      <c r="K78" s="374">
        <f t="shared" si="20"/>
        <v>0</v>
      </c>
      <c r="L78" s="374">
        <f t="shared" si="20"/>
        <v>0</v>
      </c>
      <c r="M78" s="374">
        <f>D78+E78+F78+G78+H78+I78+J78+K78+L78</f>
        <v>-93143555</v>
      </c>
      <c r="N78" s="160"/>
      <c r="O78" s="491" t="s">
        <v>585</v>
      </c>
      <c r="P78" s="276"/>
      <c r="Q78" s="334"/>
      <c r="R78" s="492">
        <f>IF($M$85&lt;0,"",$R$76-$R$77)</f>
        <v>89642682</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3"/>
      <c r="P79" s="276"/>
      <c r="Q79" s="334"/>
      <c r="R79" s="494"/>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5" t="s">
        <v>586</v>
      </c>
      <c r="P80" s="276"/>
      <c r="Q80" s="334"/>
      <c r="R80" s="521">
        <f>Input!$UC$32</f>
        <v>0</v>
      </c>
      <c r="S80" s="330"/>
      <c r="T80" s="330"/>
      <c r="U80" s="334"/>
      <c r="V80" s="276"/>
      <c r="W80" s="328"/>
      <c r="X80" s="328"/>
      <c r="Y80" s="331"/>
      <c r="Z80" s="331"/>
      <c r="AA80" s="276"/>
      <c r="AB80" s="276"/>
    </row>
    <row r="81" spans="1:28">
      <c r="A81" s="184">
        <v>64</v>
      </c>
      <c r="B81" s="160" t="s">
        <v>47</v>
      </c>
      <c r="C81" s="160"/>
      <c r="D81" s="372">
        <f>Input!$PT$32</f>
        <v>0</v>
      </c>
      <c r="E81" s="372">
        <f>Input!$PU$32</f>
        <v>0</v>
      </c>
      <c r="F81" s="372">
        <f>Input!$PV$32</f>
        <v>0</v>
      </c>
      <c r="G81" s="372">
        <f>Input!$PW$32</f>
        <v>0</v>
      </c>
      <c r="H81" s="372">
        <f>Input!$PX$32</f>
        <v>0</v>
      </c>
      <c r="I81" s="372">
        <f>Input!$PY$32</f>
        <v>11401898</v>
      </c>
      <c r="J81" s="372">
        <f>Input!$PZ$32</f>
        <v>0</v>
      </c>
      <c r="K81" s="372">
        <f>Input!$QA$32</f>
        <v>0</v>
      </c>
      <c r="L81" s="372">
        <f>Input!$QB$32</f>
        <v>7637315</v>
      </c>
      <c r="M81" s="373">
        <f>D81+E81+F81+G81+H81+I81+J81+K81+L81</f>
        <v>19039213</v>
      </c>
      <c r="N81" s="160"/>
      <c r="O81" s="496" t="s">
        <v>587</v>
      </c>
      <c r="P81" s="276"/>
      <c r="Q81" s="276"/>
      <c r="R81" s="497"/>
      <c r="S81" s="330"/>
      <c r="T81" s="330"/>
      <c r="W81" s="276"/>
      <c r="X81" s="276"/>
      <c r="Y81" s="331"/>
      <c r="Z81" s="331"/>
      <c r="AA81" s="276"/>
      <c r="AB81" s="276"/>
    </row>
    <row r="82" spans="1:28">
      <c r="A82" s="184">
        <v>65</v>
      </c>
      <c r="B82" s="160" t="s">
        <v>48</v>
      </c>
      <c r="C82" s="160"/>
      <c r="D82" s="372">
        <f>Input!$QC$32</f>
        <v>0</v>
      </c>
      <c r="E82" s="372">
        <f>Input!$QD$32</f>
        <v>0</v>
      </c>
      <c r="F82" s="372">
        <f>Input!$QE$32</f>
        <v>0</v>
      </c>
      <c r="G82" s="372">
        <f>Input!$QF$32</f>
        <v>0</v>
      </c>
      <c r="H82" s="372">
        <f>Input!$QG$32</f>
        <v>0</v>
      </c>
      <c r="I82" s="372">
        <f>Input!$QH$32</f>
        <v>239539</v>
      </c>
      <c r="J82" s="372">
        <f>Input!$QI$32</f>
        <v>0</v>
      </c>
      <c r="K82" s="372">
        <f>Input!$QJ$32</f>
        <v>0</v>
      </c>
      <c r="L82" s="372">
        <f>Input!$QK$32</f>
        <v>0</v>
      </c>
      <c r="M82" s="373">
        <f>D82+E82+F82+G82+H82+I82+J82+K82+L82</f>
        <v>239539</v>
      </c>
      <c r="N82" s="160"/>
      <c r="O82" s="498" t="s">
        <v>588</v>
      </c>
      <c r="P82" s="276"/>
      <c r="Q82" s="276"/>
      <c r="R82" s="492">
        <f>IFERROR($R$78-$R$80,"")</f>
        <v>89642682</v>
      </c>
      <c r="Y82" s="331"/>
      <c r="Z82" s="401"/>
      <c r="AA82" s="268"/>
      <c r="AB82" s="268"/>
    </row>
    <row r="83" spans="1:28">
      <c r="A83" s="184">
        <v>66</v>
      </c>
      <c r="B83" s="162" t="s">
        <v>3</v>
      </c>
      <c r="C83" s="162"/>
      <c r="D83" s="374">
        <f t="shared" ref="D83:L83" si="21">SUM(D81:D82)</f>
        <v>0</v>
      </c>
      <c r="E83" s="374">
        <f t="shared" si="21"/>
        <v>0</v>
      </c>
      <c r="F83" s="374">
        <f t="shared" si="21"/>
        <v>0</v>
      </c>
      <c r="G83" s="374">
        <f t="shared" si="21"/>
        <v>0</v>
      </c>
      <c r="H83" s="374">
        <f t="shared" si="21"/>
        <v>0</v>
      </c>
      <c r="I83" s="374">
        <f t="shared" si="21"/>
        <v>11641437</v>
      </c>
      <c r="J83" s="374">
        <f t="shared" si="21"/>
        <v>0</v>
      </c>
      <c r="K83" s="374">
        <f t="shared" si="21"/>
        <v>0</v>
      </c>
      <c r="L83" s="374">
        <f t="shared" si="21"/>
        <v>7637315</v>
      </c>
      <c r="M83" s="374">
        <f>D83+E83+F83+G83+H83+I83+J83+K83+L83</f>
        <v>19278752</v>
      </c>
      <c r="N83" s="160"/>
      <c r="O83" s="493"/>
      <c r="P83" s="276"/>
      <c r="Q83" s="276"/>
      <c r="R83" s="497"/>
      <c r="Y83" s="163"/>
      <c r="Z83" s="447"/>
      <c r="AA83" s="439"/>
      <c r="AB83" s="448"/>
    </row>
    <row r="84" spans="1:28" ht="13.5" thickBot="1">
      <c r="A84" s="184">
        <v>67</v>
      </c>
      <c r="B84" s="160"/>
      <c r="C84" s="160"/>
      <c r="D84" s="373"/>
      <c r="E84" s="373"/>
      <c r="F84" s="373"/>
      <c r="G84" s="373"/>
      <c r="H84" s="373"/>
      <c r="I84" s="373"/>
      <c r="J84" s="373"/>
      <c r="K84" s="373"/>
      <c r="L84" s="373"/>
      <c r="M84" s="373"/>
      <c r="N84" s="160"/>
      <c r="O84" s="499" t="s">
        <v>589</v>
      </c>
      <c r="P84" s="500"/>
      <c r="Q84" s="500"/>
      <c r="R84" s="501">
        <f>IFERROR((R82+R80)-R78,"")</f>
        <v>0</v>
      </c>
      <c r="Y84" s="268"/>
      <c r="Z84" s="447"/>
      <c r="AA84" s="439"/>
      <c r="AB84" s="449"/>
    </row>
    <row r="85" spans="1:28" ht="13.5" thickTop="1">
      <c r="A85" s="184">
        <v>68</v>
      </c>
      <c r="B85" s="162" t="s">
        <v>574</v>
      </c>
      <c r="C85" s="162"/>
      <c r="D85" s="374">
        <f t="shared" ref="D85:L85" si="22">D57-D71+D78+D83</f>
        <v>-25971448</v>
      </c>
      <c r="E85" s="374">
        <f t="shared" si="22"/>
        <v>37517518</v>
      </c>
      <c r="F85" s="374">
        <f t="shared" si="22"/>
        <v>-838072</v>
      </c>
      <c r="G85" s="374">
        <f t="shared" si="22"/>
        <v>80688072</v>
      </c>
      <c r="H85" s="374">
        <f t="shared" si="22"/>
        <v>-301547</v>
      </c>
      <c r="I85" s="374">
        <f t="shared" si="22"/>
        <v>18123745</v>
      </c>
      <c r="J85" s="374">
        <f t="shared" si="22"/>
        <v>-27212143</v>
      </c>
      <c r="K85" s="374">
        <f t="shared" si="22"/>
        <v>-758</v>
      </c>
      <c r="L85" s="374">
        <f t="shared" si="22"/>
        <v>7637315</v>
      </c>
      <c r="M85" s="374">
        <f>D85+E85+F85+G85+H85+I85+J85+K85+L85</f>
        <v>89642682</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Input!$QL$32</f>
        <v>0</v>
      </c>
      <c r="E87" s="372">
        <f>Input!$QM$32</f>
        <v>0</v>
      </c>
      <c r="F87" s="372">
        <f>Input!$QN$32</f>
        <v>0</v>
      </c>
      <c r="G87" s="372">
        <f>Input!$QO$32</f>
        <v>0</v>
      </c>
      <c r="H87" s="372">
        <f>Input!$QP$32</f>
        <v>0</v>
      </c>
      <c r="I87" s="372">
        <f>Input!$QQ$32</f>
        <v>0</v>
      </c>
      <c r="J87" s="372">
        <f>Input!$QR$32</f>
        <v>0</v>
      </c>
      <c r="K87" s="372">
        <f>Input!$QS$32</f>
        <v>0</v>
      </c>
      <c r="L87" s="372">
        <f>Input!$QT$32</f>
        <v>0</v>
      </c>
      <c r="M87" s="329">
        <f>D87+E87+F87+G87+H87+I87+J87+K87+L87</f>
        <v>0</v>
      </c>
      <c r="N87" s="160"/>
      <c r="Y87" s="268"/>
      <c r="Z87" s="447"/>
      <c r="AA87" s="439"/>
      <c r="AB87" s="449"/>
    </row>
    <row r="88" spans="1:28">
      <c r="A88" s="184">
        <v>72</v>
      </c>
      <c r="B88" s="160" t="s">
        <v>66</v>
      </c>
      <c r="C88" s="160"/>
      <c r="D88" s="372">
        <f>Input!$QU$32</f>
        <v>0</v>
      </c>
      <c r="E88" s="372">
        <f>Input!$QV$32</f>
        <v>0</v>
      </c>
      <c r="F88" s="372">
        <f>Input!$QW$32</f>
        <v>0</v>
      </c>
      <c r="G88" s="372">
        <f>Input!$QX$32</f>
        <v>0</v>
      </c>
      <c r="H88" s="372">
        <f>Input!$QY$32</f>
        <v>0</v>
      </c>
      <c r="I88" s="372">
        <f>Input!$QZ$32</f>
        <v>0</v>
      </c>
      <c r="J88" s="372">
        <f>Input!$RA$32</f>
        <v>0</v>
      </c>
      <c r="K88" s="372">
        <f>Input!$RB$32</f>
        <v>0</v>
      </c>
      <c r="L88" s="372">
        <f>Input!$RC$32</f>
        <v>-72067914</v>
      </c>
      <c r="M88" s="373">
        <f>D88+E88+F88+G88+H88+I88+J88+K88+L88</f>
        <v>-72067914</v>
      </c>
      <c r="N88" s="160"/>
      <c r="O88" s="270"/>
      <c r="P88" s="335"/>
      <c r="Y88" s="268"/>
      <c r="Z88" s="447"/>
      <c r="AA88" s="439"/>
      <c r="AB88" s="449"/>
    </row>
    <row r="89" spans="1:28" s="264" customFormat="1">
      <c r="A89" s="263"/>
      <c r="B89" s="171" t="s">
        <v>216</v>
      </c>
      <c r="C89" s="171"/>
      <c r="D89" s="372">
        <f>Input!$RD$32</f>
        <v>0</v>
      </c>
      <c r="E89" s="372">
        <f>Input!$RE$32</f>
        <v>0</v>
      </c>
      <c r="F89" s="372">
        <f>Input!$RF$32</f>
        <v>0</v>
      </c>
      <c r="G89" s="372">
        <f>Input!$RG$32</f>
        <v>0</v>
      </c>
      <c r="H89" s="372">
        <f>Input!$RH$32</f>
        <v>0</v>
      </c>
      <c r="I89" s="372">
        <f>Input!$RI$32</f>
        <v>0</v>
      </c>
      <c r="J89" s="372">
        <f>Input!$RJ$32</f>
        <v>0</v>
      </c>
      <c r="K89" s="372">
        <f>Input!$RK$32</f>
        <v>0</v>
      </c>
      <c r="L89" s="372">
        <f>Input!$RL$32</f>
        <v>0</v>
      </c>
      <c r="M89" s="373">
        <f t="shared" ref="M89:M91" si="23">D89+E89+F89+G89+H89+I89+J89+K89+L89</f>
        <v>0</v>
      </c>
      <c r="N89" s="160"/>
      <c r="O89" s="1726" t="s">
        <v>1355</v>
      </c>
      <c r="P89" s="1727"/>
      <c r="Q89" s="1727"/>
      <c r="R89" s="1727"/>
      <c r="S89" s="1727"/>
      <c r="T89" s="1727"/>
      <c r="U89" s="1728"/>
      <c r="Y89" s="268"/>
      <c r="Z89" s="447"/>
      <c r="AA89" s="439"/>
      <c r="AB89" s="449"/>
    </row>
    <row r="90" spans="1:28" s="264" customFormat="1">
      <c r="A90" s="263"/>
      <c r="B90" s="171" t="s">
        <v>105</v>
      </c>
      <c r="C90" s="171"/>
      <c r="D90" s="372">
        <f>Input!$RM$32</f>
        <v>0</v>
      </c>
      <c r="E90" s="372">
        <f>Input!$RN$32</f>
        <v>0</v>
      </c>
      <c r="F90" s="372">
        <f>Input!$RO$32</f>
        <v>0</v>
      </c>
      <c r="G90" s="372">
        <f>Input!$RP$32</f>
        <v>0</v>
      </c>
      <c r="H90" s="372">
        <f>Input!$RQ$32</f>
        <v>0</v>
      </c>
      <c r="I90" s="372">
        <f>Input!$RR$32</f>
        <v>0</v>
      </c>
      <c r="J90" s="372">
        <f>Input!$RS$32</f>
        <v>0</v>
      </c>
      <c r="K90" s="372">
        <f>Input!$RT$32</f>
        <v>0</v>
      </c>
      <c r="L90" s="372">
        <f>Input!$RU$32</f>
        <v>0</v>
      </c>
      <c r="M90" s="373">
        <f t="shared" si="23"/>
        <v>0</v>
      </c>
      <c r="N90" s="160"/>
      <c r="O90" s="502" t="s">
        <v>590</v>
      </c>
      <c r="P90" s="423"/>
      <c r="Q90" s="502" t="s">
        <v>591</v>
      </c>
      <c r="R90" s="423"/>
      <c r="S90" s="503"/>
      <c r="T90" s="502" t="s">
        <v>592</v>
      </c>
      <c r="U90" s="423"/>
      <c r="Y90" s="268"/>
      <c r="Z90" s="447"/>
      <c r="AA90" s="439"/>
      <c r="AB90" s="449"/>
    </row>
    <row r="91" spans="1:28" s="264" customFormat="1">
      <c r="A91" s="263"/>
      <c r="B91" s="171" t="s">
        <v>128</v>
      </c>
      <c r="C91" s="171"/>
      <c r="D91" s="372">
        <f>Input!$RV$32</f>
        <v>0</v>
      </c>
      <c r="E91" s="372">
        <f>Input!$RW$32</f>
        <v>877585</v>
      </c>
      <c r="F91" s="372">
        <f>Input!$RX$32</f>
        <v>35330</v>
      </c>
      <c r="G91" s="372">
        <f>Input!$RY$32</f>
        <v>175639</v>
      </c>
      <c r="H91" s="372">
        <f>Input!$RZ$32</f>
        <v>0</v>
      </c>
      <c r="I91" s="372">
        <f>Input!$SA$32</f>
        <v>0</v>
      </c>
      <c r="J91" s="372">
        <f>Input!$SB$32</f>
        <v>0</v>
      </c>
      <c r="K91" s="372">
        <f>Input!$SC$32</f>
        <v>0</v>
      </c>
      <c r="L91" s="372">
        <f>Input!$SD$32</f>
        <v>0</v>
      </c>
      <c r="M91" s="373">
        <f t="shared" si="23"/>
        <v>1088554</v>
      </c>
      <c r="N91" s="160"/>
      <c r="O91" s="504"/>
      <c r="P91" s="505"/>
      <c r="Q91" s="504"/>
      <c r="R91" s="426"/>
      <c r="S91" s="276"/>
      <c r="T91" s="506"/>
      <c r="U91" s="426"/>
      <c r="Y91" s="268"/>
      <c r="Z91" s="447"/>
      <c r="AA91" s="439"/>
      <c r="AB91" s="449"/>
    </row>
    <row r="92" spans="1:28" s="264" customFormat="1">
      <c r="A92" s="263"/>
      <c r="B92" s="160" t="s">
        <v>67</v>
      </c>
      <c r="C92" s="160"/>
      <c r="D92" s="372">
        <f>Input!$SE$32</f>
        <v>2710115</v>
      </c>
      <c r="E92" s="372">
        <f>Input!$SF$32</f>
        <v>5632662</v>
      </c>
      <c r="F92" s="372">
        <f>Input!$SG$32</f>
        <v>119430</v>
      </c>
      <c r="G92" s="372">
        <f>Input!$SH$32</f>
        <v>1295829</v>
      </c>
      <c r="H92" s="372">
        <f>Input!$SI$32</f>
        <v>0</v>
      </c>
      <c r="I92" s="372">
        <f>Input!$SJ$32</f>
        <v>0</v>
      </c>
      <c r="J92" s="372">
        <f>Input!$SK$32</f>
        <v>29063077</v>
      </c>
      <c r="K92" s="372">
        <f>Input!$SL$32</f>
        <v>0</v>
      </c>
      <c r="L92" s="372">
        <f>Input!$SM$32</f>
        <v>0</v>
      </c>
      <c r="M92" s="373">
        <f>D92+E92+F92+G92+H92+I92+J92+K92+L92</f>
        <v>38821113</v>
      </c>
      <c r="N92" s="160"/>
      <c r="O92" s="1729" t="str">
        <f>Input!UF$32</f>
        <v>Cindy Haley</v>
      </c>
      <c r="P92" s="1730"/>
      <c r="Q92" s="1729" t="str">
        <f>Input!$UG$32</f>
        <v>512-245-2087</v>
      </c>
      <c r="R92" s="1730"/>
      <c r="S92" s="276"/>
      <c r="T92" s="1731" t="str">
        <f>HYPERLINK("Mailto:"&amp;Input!$UH$32,Input!$UH$32)</f>
        <v>cindy.haley@txstate.edu</v>
      </c>
      <c r="U92" s="1730"/>
      <c r="Y92" s="268"/>
      <c r="Z92" s="447"/>
      <c r="AA92" s="442"/>
      <c r="AB92" s="449"/>
    </row>
    <row r="93" spans="1:28" ht="13.5" thickBot="1">
      <c r="B93" s="179" t="s">
        <v>58</v>
      </c>
      <c r="C93" s="179"/>
      <c r="D93" s="380">
        <f t="shared" ref="D93:K93" si="24">SUM(D85:D92)</f>
        <v>-23261333</v>
      </c>
      <c r="E93" s="380">
        <f t="shared" si="24"/>
        <v>44027765</v>
      </c>
      <c r="F93" s="380">
        <f t="shared" si="24"/>
        <v>-683312</v>
      </c>
      <c r="G93" s="380">
        <f t="shared" si="24"/>
        <v>82159540</v>
      </c>
      <c r="H93" s="380">
        <f t="shared" si="24"/>
        <v>-301547</v>
      </c>
      <c r="I93" s="380">
        <f t="shared" si="24"/>
        <v>18123745</v>
      </c>
      <c r="J93" s="380">
        <f t="shared" si="24"/>
        <v>1850934</v>
      </c>
      <c r="K93" s="380">
        <f t="shared" si="24"/>
        <v>-758</v>
      </c>
      <c r="L93" s="380">
        <f>SUM(L85:L92)</f>
        <v>-64430599</v>
      </c>
      <c r="M93" s="380">
        <f>D93+E93+F93+G93+H93+I93+J93+K93+L93</f>
        <v>57484435</v>
      </c>
      <c r="N93" s="160"/>
      <c r="O93" s="506"/>
      <c r="P93" s="507"/>
      <c r="Q93" s="276"/>
      <c r="R93" s="276"/>
      <c r="S93" s="276"/>
      <c r="T93" s="507"/>
      <c r="U93" s="508"/>
      <c r="Y93" s="268"/>
      <c r="Z93" s="447"/>
      <c r="AA93" s="442"/>
      <c r="AB93" s="449"/>
    </row>
    <row r="94" spans="1:28" ht="13.5" thickTop="1">
      <c r="C94" s="160"/>
      <c r="D94" s="165"/>
      <c r="E94" s="165"/>
      <c r="F94" s="165"/>
      <c r="G94" s="165"/>
      <c r="H94" s="165"/>
      <c r="I94" s="165"/>
      <c r="J94" s="165"/>
      <c r="K94" s="165"/>
      <c r="L94" s="165"/>
      <c r="M94" s="180"/>
      <c r="N94" s="160"/>
      <c r="O94" s="1720" t="s">
        <v>593</v>
      </c>
      <c r="P94" s="1721"/>
      <c r="Q94" s="1721"/>
      <c r="R94" s="1721"/>
      <c r="S94" s="1721"/>
      <c r="T94" s="1721"/>
      <c r="U94" s="1722"/>
      <c r="Y94" s="268"/>
      <c r="Z94" s="451"/>
      <c r="AA94" s="442"/>
      <c r="AB94" s="449"/>
    </row>
    <row r="95" spans="1:28">
      <c r="B95" s="171" t="s">
        <v>1369</v>
      </c>
      <c r="C95" s="169"/>
      <c r="D95" s="165"/>
      <c r="E95" s="165"/>
      <c r="F95" s="165"/>
      <c r="G95" s="165"/>
      <c r="H95" s="165"/>
      <c r="I95" s="165"/>
      <c r="J95" s="165"/>
      <c r="K95" s="165"/>
      <c r="L95" s="165"/>
      <c r="M95" s="180"/>
      <c r="N95" s="160"/>
      <c r="O95" s="1720"/>
      <c r="P95" s="1721"/>
      <c r="Q95" s="1721"/>
      <c r="R95" s="1721"/>
      <c r="S95" s="1721"/>
      <c r="T95" s="1721"/>
      <c r="U95" s="1722"/>
      <c r="Y95" s="268"/>
      <c r="Z95" s="452"/>
      <c r="AA95" s="453"/>
      <c r="AB95" s="454"/>
    </row>
    <row r="96" spans="1:28">
      <c r="B96" s="169" t="s">
        <v>80</v>
      </c>
      <c r="C96" s="160"/>
      <c r="D96" s="165"/>
      <c r="E96" s="165"/>
      <c r="F96" s="165"/>
      <c r="G96" s="165"/>
      <c r="H96" s="165"/>
      <c r="I96" s="165"/>
      <c r="J96" s="165"/>
      <c r="K96" s="165"/>
      <c r="L96" s="165"/>
      <c r="M96" s="180"/>
      <c r="N96" s="160"/>
      <c r="O96" s="509"/>
      <c r="P96" s="510"/>
      <c r="Q96" s="511"/>
      <c r="R96" s="511"/>
      <c r="S96" s="511"/>
      <c r="T96" s="510"/>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Input!$SN$32</f>
        <v>57484435</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3" t="str">
        <f>IF($L$118&lt;&gt;Input!$F$32,"Out of Balance","Balanced")</f>
        <v>Balanced</v>
      </c>
      <c r="M102" s="517"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412702281</v>
      </c>
      <c r="E105" s="373">
        <f>SUM($E$10:$E$14)+SUM($E$19:$E$28)+SUM($E$32:$E$41)+$E$47+SUM($E$50:$E$55)+SUM($E$60:$E$70)+SUM($E$74:$E$77)+SUM($E$81:$E$82)+SUM($E$87:$E$92)</f>
        <v>397799334</v>
      </c>
      <c r="F105" s="373">
        <f>SUM($F$10:$F$14)+SUM($F$19:$F$28)+SUM($F$32:$F$41)+$F$47+SUM($F$50:$F$55)+SUM($F$60:$F$70)+SUM($F$74:$F$77)+SUM($F$81:$F$82)+SUM($F$87:$F$92)</f>
        <v>170966074</v>
      </c>
      <c r="G105" s="373">
        <f>SUM($G$10:$G$14)+SUM($G$19:$G$28)+SUM($G$32:$G$41)+$G$47+SUM($G$50:$G$55)+SUM($G$60:$G$70)+SUM($G$74:$G$77)+SUM($G$81:$G$82)+SUM($G$87:$G$92)</f>
        <v>296736602</v>
      </c>
      <c r="H105" s="373">
        <f>SUM($H$10:$H$14)+SUM($H$19:$H$28)+SUM($H$32:$H$41)+$H$47+SUM($H$50:$H$55)+SUM($H$60:$H$70)+SUM($H$74:$H$77)+SUM($H$81:$H$82)+SUM($H$87:$H$92)</f>
        <v>595789</v>
      </c>
      <c r="I105" s="373">
        <f>SUM($I$10:$I$14)+SUM($I$19:$I$28)+SUM($I$32:$I$41)+$I$47+SUM($I$50:$I$55)+SUM($I$60:$I$70)+SUM($I$74:$I$77)+SUM($I$81:$I$82)+SUM($I$87:$I$92)</f>
        <v>18276159</v>
      </c>
      <c r="J105" s="373">
        <f>SUM($J$10:$J$14)+SUM($J$19:$J$28)+SUM($J$32:$J$41)+$J$47+SUM($J$50:$J$55)+SUM($J$60:$J$70)+SUM($J$74:$J$77)+SUM($J$81:$J$82)+SUM($J$87:$J$92)</f>
        <v>1875310</v>
      </c>
      <c r="K105" s="373">
        <f>SUM($K$10:$K$14)+SUM($K$19:$K$28)+SUM($K$32:$K$41)+$K$47+SUM($K$50:$K$55)+SUM($K$60:$K$70)+SUM($K$74:$K$77)+SUM($K$81:$K$82)+SUM($K$87:$K$92)</f>
        <v>558</v>
      </c>
      <c r="L105" s="373">
        <f>SUM($L$10:$L$14)+SUM($L$19:$L$28)+SUM($L$32:$L$41)+$L$47+SUM($L$50:$L$55)+SUM($L$60:$L$70)+SUM($L$74:$L$77)+SUM($L$81:$L$82)+SUM($L$87:$L$92)</f>
        <v>-64430599</v>
      </c>
      <c r="M105" s="373"/>
      <c r="N105" s="264"/>
      <c r="O105" s="373"/>
      <c r="P105" s="450">
        <f>M18-INT(M18)</f>
        <v>0</v>
      </c>
    </row>
    <row r="106" spans="2:28">
      <c r="B106" s="261"/>
      <c r="C106" s="261"/>
      <c r="D106" s="261"/>
      <c r="E106" s="261"/>
      <c r="F106" s="261"/>
      <c r="G106" s="261"/>
      <c r="H106" s="261"/>
      <c r="I106" s="261"/>
      <c r="J106" s="261"/>
      <c r="K106" s="261"/>
      <c r="L106" s="373">
        <f>SUM($D$105:$L$105)</f>
        <v>1234521508</v>
      </c>
      <c r="M106" s="261"/>
      <c r="N106" s="264"/>
      <c r="O106" s="373"/>
      <c r="P106" s="450">
        <f>M31-INT(M31)</f>
        <v>0</v>
      </c>
    </row>
    <row r="107" spans="2:28">
      <c r="B107" s="261"/>
      <c r="C107" s="261"/>
      <c r="D107" s="261"/>
      <c r="E107" s="261"/>
      <c r="F107" s="261"/>
      <c r="G107" s="261"/>
      <c r="H107" s="261"/>
      <c r="I107" s="261"/>
      <c r="J107" s="261" t="s">
        <v>1299</v>
      </c>
      <c r="K107" s="261"/>
      <c r="L107" s="373">
        <f>$M$100</f>
        <v>57484435</v>
      </c>
      <c r="M107" s="261"/>
      <c r="N107" s="264"/>
      <c r="O107" s="373"/>
      <c r="P107" s="450">
        <f>M93-INT(M93)</f>
        <v>0</v>
      </c>
    </row>
    <row r="108" spans="2:28">
      <c r="B108" s="261"/>
      <c r="C108" s="261"/>
      <c r="D108" s="261"/>
      <c r="E108" s="261"/>
      <c r="F108" s="261"/>
      <c r="G108" s="261"/>
      <c r="H108" s="261"/>
      <c r="I108" s="261"/>
      <c r="J108" s="261" t="s">
        <v>1300</v>
      </c>
      <c r="K108" s="261"/>
      <c r="L108" s="512">
        <f>$Q$32</f>
        <v>405346884</v>
      </c>
      <c r="M108" s="261"/>
      <c r="N108" s="264"/>
      <c r="O108" s="373"/>
    </row>
    <row r="109" spans="2:28">
      <c r="B109" s="261"/>
      <c r="C109" s="261"/>
      <c r="D109" s="261"/>
      <c r="E109" s="261"/>
      <c r="F109" s="261"/>
      <c r="G109" s="261"/>
      <c r="H109" s="261"/>
      <c r="I109" s="261"/>
      <c r="J109" s="261" t="s">
        <v>1300</v>
      </c>
      <c r="K109" s="261"/>
      <c r="L109" s="512">
        <f>$R$34</f>
        <v>-119664877</v>
      </c>
      <c r="M109" s="261"/>
      <c r="N109" s="264"/>
      <c r="O109" s="373"/>
    </row>
    <row r="110" spans="2:28">
      <c r="B110" s="261"/>
      <c r="C110" s="261"/>
      <c r="D110" s="261"/>
      <c r="E110" s="261"/>
      <c r="F110" s="261"/>
      <c r="G110" s="261"/>
      <c r="H110" s="261"/>
      <c r="I110" s="261"/>
      <c r="J110" s="261" t="s">
        <v>29</v>
      </c>
      <c r="K110" s="261"/>
      <c r="L110" s="512">
        <f>SUM($P$60:$P$68)</f>
        <v>9758036</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2">
        <f>SUM($V$60:$V$67)</f>
        <v>772596</v>
      </c>
      <c r="M112" s="261"/>
      <c r="N112" s="264"/>
      <c r="O112" s="373"/>
    </row>
    <row r="113" spans="2:15">
      <c r="B113" s="261"/>
      <c r="C113" s="261"/>
      <c r="D113" s="261"/>
      <c r="E113" s="261"/>
      <c r="F113" s="261"/>
      <c r="G113" s="261"/>
      <c r="H113" s="261"/>
      <c r="I113" s="261"/>
      <c r="J113" s="261" t="s">
        <v>596</v>
      </c>
      <c r="K113" s="261"/>
      <c r="L113" s="512">
        <f>SUM($W$60:$W$67)</f>
        <v>0</v>
      </c>
      <c r="M113" s="261"/>
      <c r="N113" s="264"/>
      <c r="O113" s="373"/>
    </row>
    <row r="114" spans="2:15">
      <c r="B114" s="261"/>
      <c r="C114" s="261"/>
      <c r="D114" s="261"/>
      <c r="E114" s="261"/>
      <c r="F114" s="261"/>
      <c r="G114" s="261"/>
      <c r="H114" s="261"/>
      <c r="I114" s="261"/>
      <c r="J114" s="261" t="s">
        <v>258</v>
      </c>
      <c r="K114" s="261"/>
      <c r="L114" s="512">
        <f>SUM($AA$60:$AA$68)</f>
        <v>582116579</v>
      </c>
      <c r="M114" s="261"/>
      <c r="N114" s="264"/>
      <c r="O114" s="373"/>
    </row>
    <row r="115" spans="2:15">
      <c r="B115" s="261"/>
      <c r="C115" s="261"/>
      <c r="D115" s="261"/>
      <c r="E115" s="261"/>
      <c r="F115" s="261"/>
      <c r="G115" s="261"/>
      <c r="H115" s="261"/>
      <c r="I115" s="261"/>
      <c r="J115" s="261" t="s">
        <v>597</v>
      </c>
      <c r="K115" s="261"/>
      <c r="L115" s="512">
        <f>$R$77</f>
        <v>0</v>
      </c>
      <c r="M115" s="261"/>
      <c r="N115" s="264"/>
      <c r="O115" s="373"/>
    </row>
    <row r="116" spans="2:15">
      <c r="B116" s="261"/>
      <c r="C116" s="261"/>
      <c r="D116" s="261"/>
      <c r="E116" s="261"/>
      <c r="F116" s="261"/>
      <c r="G116" s="261"/>
      <c r="H116" s="261"/>
      <c r="I116" s="261"/>
      <c r="J116" s="261" t="s">
        <v>597</v>
      </c>
      <c r="K116" s="261"/>
      <c r="L116" s="512">
        <f>$R$80</f>
        <v>0</v>
      </c>
      <c r="M116" s="261"/>
      <c r="N116" s="264"/>
      <c r="O116" s="373"/>
    </row>
    <row r="117" spans="2:15">
      <c r="B117" s="261"/>
      <c r="C117" s="261"/>
      <c r="D117" s="261"/>
      <c r="E117" s="261"/>
      <c r="F117" s="261"/>
      <c r="G117" s="261"/>
      <c r="H117" s="261"/>
      <c r="I117" s="261"/>
      <c r="J117" s="261" t="s">
        <v>1231</v>
      </c>
      <c r="K117" s="261"/>
      <c r="L117" s="1008">
        <f>VLOOKUP(B2,Names!B5:$C$87,2,FALSE)</f>
        <v>3615</v>
      </c>
      <c r="M117" s="261"/>
      <c r="N117" s="264"/>
      <c r="O117" s="373"/>
    </row>
    <row r="118" spans="2:15">
      <c r="B118" s="261"/>
      <c r="C118" s="261"/>
      <c r="D118" s="261"/>
      <c r="E118" s="261"/>
      <c r="F118" s="261"/>
      <c r="G118" s="261"/>
      <c r="H118" s="261"/>
      <c r="I118" s="261"/>
      <c r="J118" s="261"/>
      <c r="K118" s="261"/>
      <c r="L118" s="373">
        <f>SUM(L106:L117)</f>
        <v>2170338776</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3">
    <mergeCell ref="AB56:AB59"/>
    <mergeCell ref="T55:X55"/>
    <mergeCell ref="Z55:AB55"/>
    <mergeCell ref="V70:W70"/>
    <mergeCell ref="AA56:AA59"/>
    <mergeCell ref="V56:V59"/>
    <mergeCell ref="W56:W59"/>
    <mergeCell ref="X56:X59"/>
    <mergeCell ref="Z56:Z59"/>
    <mergeCell ref="T56:T59"/>
    <mergeCell ref="U56:U59"/>
    <mergeCell ref="B2:F2"/>
    <mergeCell ref="B3:F3"/>
    <mergeCell ref="B4:F4"/>
    <mergeCell ref="B6:M6"/>
    <mergeCell ref="P71:Q71"/>
    <mergeCell ref="P4:Q4"/>
    <mergeCell ref="O55:R55"/>
    <mergeCell ref="G59:K59"/>
    <mergeCell ref="P10:P11"/>
    <mergeCell ref="O56:O59"/>
    <mergeCell ref="P56:P59"/>
    <mergeCell ref="Q56:Q59"/>
    <mergeCell ref="R56:R59"/>
    <mergeCell ref="O19:R19"/>
    <mergeCell ref="T19:X19"/>
    <mergeCell ref="W71:X71"/>
    <mergeCell ref="O94:U95"/>
    <mergeCell ref="O75:R75"/>
    <mergeCell ref="O89:U89"/>
    <mergeCell ref="O92:P92"/>
    <mergeCell ref="Q92:R92"/>
    <mergeCell ref="T92:U92"/>
  </mergeCells>
  <conditionalFormatting sqref="U87:X88 O88:Q88">
    <cfRule type="cellIs" dxfId="488" priority="158" stopIfTrue="1" operator="notEqual">
      <formula>#REF!</formula>
    </cfRule>
  </conditionalFormatting>
  <conditionalFormatting sqref="P70">
    <cfRule type="expression" dxfId="487" priority="137">
      <formula>$P$69&lt;&gt;$M$69</formula>
    </cfRule>
  </conditionalFormatting>
  <conditionalFormatting sqref="AB72">
    <cfRule type="expression" dxfId="486" priority="136">
      <formula>$AB$71&lt;&gt;0</formula>
    </cfRule>
  </conditionalFormatting>
  <conditionalFormatting sqref="P71">
    <cfRule type="expression" dxfId="485" priority="135">
      <formula>P69-INT(P69)</formula>
    </cfRule>
  </conditionalFormatting>
  <conditionalFormatting sqref="V70">
    <cfRule type="expression" dxfId="484" priority="133">
      <formula>X68-INT(X68)</formula>
    </cfRule>
  </conditionalFormatting>
  <conditionalFormatting sqref="O11">
    <cfRule type="expression" dxfId="483" priority="126">
      <formula>#REF!&lt;&gt;$M$11</formula>
    </cfRule>
  </conditionalFormatting>
  <conditionalFormatting sqref="U87:U88 O88:Q88">
    <cfRule type="cellIs" dxfId="482" priority="117" stopIfTrue="1" operator="notEqual">
      <formula>#REF!</formula>
    </cfRule>
  </conditionalFormatting>
  <conditionalFormatting sqref="R84">
    <cfRule type="expression" priority="115" stopIfTrue="1">
      <formula>$M$85&lt;0</formula>
    </cfRule>
    <cfRule type="expression" dxfId="481" priority="116">
      <formula>$S$85&lt;&gt;0</formula>
    </cfRule>
  </conditionalFormatting>
  <conditionalFormatting sqref="R80 R77">
    <cfRule type="expression" dxfId="480" priority="113" stopIfTrue="1">
      <formula>$M$85&gt;=0</formula>
    </cfRule>
    <cfRule type="expression" priority="114">
      <formula>$M$85&lt;0</formula>
    </cfRule>
  </conditionalFormatting>
  <conditionalFormatting sqref="U87:U88 O88:Q88">
    <cfRule type="cellIs" dxfId="479" priority="112" stopIfTrue="1" operator="notEqual">
      <formula>#REF!</formula>
    </cfRule>
  </conditionalFormatting>
  <conditionalFormatting sqref="O12">
    <cfRule type="expression" dxfId="478" priority="96">
      <formula>$P$12&lt;&gt;$M$12</formula>
    </cfRule>
  </conditionalFormatting>
  <conditionalFormatting sqref="O13">
    <cfRule type="expression" dxfId="477" priority="95">
      <formula>$P$13&lt;&gt;$M$13</formula>
    </cfRule>
  </conditionalFormatting>
  <conditionalFormatting sqref="U87:U88 O88:Q88">
    <cfRule type="cellIs" dxfId="476" priority="94" stopIfTrue="1" operator="notEqual">
      <formula>#REF!</formula>
    </cfRule>
  </conditionalFormatting>
  <conditionalFormatting sqref="Q36">
    <cfRule type="expression" dxfId="475" priority="29">
      <formula>#REF!&lt;&gt;#REF!</formula>
    </cfRule>
  </conditionalFormatting>
  <conditionalFormatting sqref="R35">
    <cfRule type="expression" dxfId="474" priority="28">
      <formula>#REF!&lt;&gt;0</formula>
    </cfRule>
  </conditionalFormatting>
  <conditionalFormatting sqref="Q35">
    <cfRule type="expression" dxfId="473" priority="27">
      <formula>#REF!&lt;&gt;0</formula>
    </cfRule>
  </conditionalFormatting>
  <conditionalFormatting sqref="R36">
    <cfRule type="expression" dxfId="472" priority="26">
      <formula>#REF!&lt;&gt;#REF!</formula>
    </cfRule>
  </conditionalFormatting>
  <conditionalFormatting sqref="D93:M98 T94:T95 R90:S95 U87:X93 T90:T92 Y90:Y95 O88:O92 P88:Q93">
    <cfRule type="cellIs" dxfId="471" priority="25" stopIfTrue="1" operator="notEqual">
      <formula>#REF!</formula>
    </cfRule>
  </conditionalFormatting>
  <conditionalFormatting sqref="P70">
    <cfRule type="expression" dxfId="470" priority="24">
      <formula>$P$69&lt;&gt;$M$69</formula>
    </cfRule>
  </conditionalFormatting>
  <conditionalFormatting sqref="AB72">
    <cfRule type="expression" dxfId="469" priority="23">
      <formula>$AB$71&lt;&gt;0</formula>
    </cfRule>
  </conditionalFormatting>
  <conditionalFormatting sqref="P71">
    <cfRule type="expression" dxfId="468" priority="22">
      <formula>P69-INT(P69)</formula>
    </cfRule>
  </conditionalFormatting>
  <conditionalFormatting sqref="V70">
    <cfRule type="expression" dxfId="467" priority="21">
      <formula>X68-INT(X68)</formula>
    </cfRule>
  </conditionalFormatting>
  <conditionalFormatting sqref="O12">
    <cfRule type="expression" dxfId="466" priority="20">
      <formula>$P$12&lt;&gt;$M$12</formula>
    </cfRule>
  </conditionalFormatting>
  <conditionalFormatting sqref="T94:T95 R90:S95 U87:U93 T90:T92 O88:O92 P88:Q93">
    <cfRule type="cellIs" dxfId="465" priority="18" stopIfTrue="1" operator="notEqual">
      <formula>#REF!</formula>
    </cfRule>
  </conditionalFormatting>
  <conditionalFormatting sqref="R84">
    <cfRule type="expression" priority="16" stopIfTrue="1">
      <formula>$M$85&lt;0</formula>
    </cfRule>
    <cfRule type="expression" dxfId="464" priority="17">
      <formula>$S$85&lt;&gt;0</formula>
    </cfRule>
  </conditionalFormatting>
  <conditionalFormatting sqref="R80 R77">
    <cfRule type="expression" dxfId="463" priority="14" stopIfTrue="1">
      <formula>$M$85&gt;=0</formula>
    </cfRule>
    <cfRule type="expression" priority="15">
      <formula>$M$85&lt;0</formula>
    </cfRule>
  </conditionalFormatting>
  <conditionalFormatting sqref="U87:U88 R89:U92 O88:Q92">
    <cfRule type="cellIs" dxfId="462" priority="13" stopIfTrue="1" operator="notEqual">
      <formula>#REF!</formula>
    </cfRule>
  </conditionalFormatting>
  <conditionalFormatting sqref="M101">
    <cfRule type="expression" dxfId="461" priority="12">
      <formula>$M$101&lt;&gt;0</formula>
    </cfRule>
  </conditionalFormatting>
  <conditionalFormatting sqref="M102">
    <cfRule type="expression" dxfId="460" priority="11">
      <formula>$M$93&lt;&gt;$M$100</formula>
    </cfRule>
  </conditionalFormatting>
  <conditionalFormatting sqref="U87:U92 R90:T92 O88:Q92">
    <cfRule type="cellIs" dxfId="459" priority="10" stopIfTrue="1" operator="notEqual">
      <formula>#REF!</formula>
    </cfRule>
  </conditionalFormatting>
  <conditionalFormatting sqref="T89:U89 Q91 T90 O89:O90 P89:Q89 R89:S91">
    <cfRule type="cellIs" dxfId="458" priority="9" stopIfTrue="1" operator="notEqual">
      <formula>#REF!</formula>
    </cfRule>
  </conditionalFormatting>
  <conditionalFormatting sqref="Q36">
    <cfRule type="expression" dxfId="457" priority="8">
      <formula>#REF!&lt;&gt;#REF!</formula>
    </cfRule>
  </conditionalFormatting>
  <conditionalFormatting sqref="R35">
    <cfRule type="expression" dxfId="456" priority="7">
      <formula>#REF!&lt;&gt;0</formula>
    </cfRule>
  </conditionalFormatting>
  <conditionalFormatting sqref="Q35">
    <cfRule type="expression" dxfId="455" priority="6">
      <formula>#REF!&lt;&gt;0</formula>
    </cfRule>
  </conditionalFormatting>
  <conditionalFormatting sqref="R36">
    <cfRule type="expression" dxfId="454" priority="5">
      <formula>#REF!&lt;&gt;#REF!</formula>
    </cfRule>
  </conditionalFormatting>
  <conditionalFormatting sqref="G59:K59">
    <cfRule type="expression" dxfId="453" priority="3">
      <formula>OR($P$105&gt;0,$P$106&lt;&gt;0,$P$107&lt;&gt;0)</formula>
    </cfRule>
  </conditionalFormatting>
  <conditionalFormatting sqref="W71">
    <cfRule type="expression" dxfId="452" priority="2">
      <formula>W69-INT(W69)</formula>
    </cfRule>
  </conditionalFormatting>
  <conditionalFormatting sqref="W71">
    <cfRule type="expression" dxfId="451" priority="1">
      <formula>W69-INT(W69)</formula>
    </cfRule>
  </conditionalFormatting>
  <hyperlinks>
    <hyperlink ref="O2" location="Index!A1" display="Return to Index" xr:uid="{00000000-0004-0000-8300-000000000000}"/>
  </hyperlinks>
  <printOptions horizontalCentered="1"/>
  <pageMargins left="0.5" right="0.5" top="0.25" bottom="0.25" header="0" footer="0.25"/>
  <pageSetup scale="10" orientation="landscape" r:id="rId1"/>
  <headerFooter alignWithMargins="0"/>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codeName="Sheet110"/>
  <dimension ref="A1:G30"/>
  <sheetViews>
    <sheetView showGridLines="0" zoomScale="80" zoomScaleNormal="80" workbookViewId="0">
      <selection activeCell="E74" sqref="E74:F74"/>
    </sheetView>
  </sheetViews>
  <sheetFormatPr defaultColWidth="9.140625" defaultRowHeight="12.75"/>
  <cols>
    <col min="1" max="1" width="7" style="53" customWidth="1"/>
    <col min="2" max="2" width="93.140625" style="53" customWidth="1"/>
    <col min="3" max="3" width="19.7109375" style="53" customWidth="1"/>
    <col min="4" max="9" width="9.140625" style="53"/>
    <col min="10" max="10" width="15.140625" style="53" customWidth="1"/>
    <col min="11" max="16384" width="9.140625" style="53"/>
  </cols>
  <sheetData>
    <row r="1" spans="2:6" ht="18.75" thickBot="1">
      <c r="B1" s="465" t="str">
        <f>'TXST Chrts'!$A$1</f>
        <v>Texas State University</v>
      </c>
      <c r="C1" s="835" t="s">
        <v>1200</v>
      </c>
    </row>
    <row r="2" spans="2:6">
      <c r="B2" s="393" t="str">
        <f>'Smmy Chrts'!$A$2</f>
        <v>For the Year Ended August 31, 2021</v>
      </c>
    </row>
    <row r="3" spans="2:6">
      <c r="B3" s="393" t="str">
        <f>'Smmy Chrts'!$A$3</f>
        <v>Source: FY 2021 Annual Financial Report</v>
      </c>
    </row>
    <row r="5" spans="2:6" customFormat="1">
      <c r="B5" s="529" t="s">
        <v>705</v>
      </c>
    </row>
    <row r="6" spans="2:6" customFormat="1">
      <c r="B6" s="530"/>
    </row>
    <row r="7" spans="2:6" customFormat="1" ht="226.5" customHeight="1">
      <c r="B7" s="531" t="s">
        <v>706</v>
      </c>
      <c r="C7" s="532"/>
    </row>
    <row r="8" spans="2:6" customFormat="1" ht="263.25" customHeight="1">
      <c r="B8" s="531" t="s">
        <v>707</v>
      </c>
    </row>
    <row r="9" spans="2:6" ht="64.5" customHeight="1">
      <c r="B9" s="533" t="str">
        <f>IF('TXST FGD'!$R$76="N/A","FN11.  N/A",$B$20&amp;$B$21&amp;$B$22&amp;$B$23&amp;$B$24&amp;$B$25&amp;$B$26&amp;$B$27&amp;$B$28&amp;$B$29&amp;$B$30)</f>
        <v>FN11: Of the net increase of $89,642,682 approximately $0 represents revenues received but not yet expended. This income is fully committed to program expenditures and capital disbursements. The remaining $89.6 million represents non-expendable funds from unrealized gains and additions to permanent endowments of approximately $0 and $89.6 million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TEXT(IF('TXST FGD'!$M$85&lt;0,"N/A",'TXST FGD'!$M$85),"$* #,##0;$* (#,##0)")</f>
        <v>$89,642,682</v>
      </c>
      <c r="C21" s="480"/>
      <c r="D21" s="480"/>
      <c r="E21" s="480"/>
      <c r="G21" s="105"/>
    </row>
    <row r="22" spans="1:7">
      <c r="B22" s="105" t="s">
        <v>682</v>
      </c>
    </row>
    <row r="23" spans="1:7">
      <c r="A23" s="53">
        <v>61</v>
      </c>
      <c r="B23" s="515" t="str">
        <f>IF(ABS('TXST FGD'!$R$77)&gt;=1000000,TEXT('TXST FGD'!$R$77/1000000,"$* #,##0.0;$* (#,##0.0)")&amp;" million",IF(ABS('TXST FGD'!$R$77)&lt;1000,TEXT('TXST FGD'!$R$77,"$* #,##0;$* (#,##0)"),TEXT('TXST FGD'!$R$77/1000,"$* #,##0;$* (#,##0)")&amp;" thousand"))</f>
        <v>$0</v>
      </c>
      <c r="C23" s="515"/>
      <c r="E23" s="515"/>
    </row>
    <row r="24" spans="1:7">
      <c r="B24" s="105" t="s">
        <v>708</v>
      </c>
    </row>
    <row r="25" spans="1:7">
      <c r="A25" s="53">
        <v>62</v>
      </c>
      <c r="B25" s="515" t="str">
        <f>IF(ABS('TXST FGD'!$R$78)&gt;=1000000,TEXT('TXST FGD'!$R$78/1000000,"$* #,##0.0;$* (#,##0.0)")&amp;" million",IF(ABS('TXST FGD'!$R$78)&lt;1000,TEXT('TXST FGD'!$R$78,"$* #,##0;$* (#,##0)"),TEXT('TXST FGD'!$R$78/1000,"$* #,##0;$* (#,##0)")&amp;" thousand"))</f>
        <v>$89.6 million</v>
      </c>
      <c r="C25" s="515"/>
      <c r="E25" s="515"/>
    </row>
    <row r="26" spans="1:7">
      <c r="B26" s="105" t="s">
        <v>683</v>
      </c>
    </row>
    <row r="27" spans="1:7">
      <c r="A27" s="53">
        <v>64</v>
      </c>
      <c r="B27" s="515" t="str">
        <f>IF(ABS('TXST FGD'!$R$80)&gt;=1000000,TEXT('TXST FGD'!$R$80/1000000,"$* #,##0.0;$* (#,##0.0)")&amp;" million",IF(ABS('TXST FGD'!$R$80)&lt;1000,TEXT('TXST FGD'!$R$80,"$* #,##0;$* (#,##0)"),TEXT('TXST FGD'!$R$80/1000,"$* #,##0;$* (#,##0)")&amp;" thousand"))</f>
        <v>$0</v>
      </c>
      <c r="C27" s="515"/>
      <c r="E27" s="515"/>
    </row>
    <row r="28" spans="1:7">
      <c r="B28" s="105" t="s">
        <v>684</v>
      </c>
    </row>
    <row r="29" spans="1:7">
      <c r="A29" s="53">
        <v>66</v>
      </c>
      <c r="B29" s="515" t="str">
        <f>IF(ABS('TXST FGD'!$R$82)&gt;=1000000,TEXT('TXST FGD'!$R$82/1000000,"$* #,##0.0;$* (#,##0.0)")&amp;" million",IF(ABS('TXST FGD'!$R$82)&lt;1000,TEXT('TXST FGD'!$R$82,"$* #,##0;$* (#,##0)"),TEXT('TXST FGD'!$R$82/1000,"$* #,##0;$* (#,##0)")&amp;" thousand"))</f>
        <v>$89.6 million</v>
      </c>
      <c r="C29" s="515"/>
      <c r="E29" s="515"/>
    </row>
    <row r="30" spans="1:7">
      <c r="B30" s="105" t="s">
        <v>709</v>
      </c>
    </row>
  </sheetData>
  <hyperlinks>
    <hyperlink ref="C1" location="Index!A1" display="Return to Index" xr:uid="{00000000-0004-0000-8400-000000000000}"/>
  </hyperlinks>
  <pageMargins left="0.25" right="0.25" top="0.25" bottom="0.25" header="0" footer="0.25"/>
  <pageSetup orientation="portrait" r:id="rId1"/>
  <headerFooter alignWithMargins="0"/>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codeName="Sheet111">
    <tabColor indexed="47"/>
    <pageSetUpPr fitToPage="1"/>
  </sheetPr>
  <dimension ref="A1:E165"/>
  <sheetViews>
    <sheetView showGridLines="0" zoomScale="65" zoomScaleNormal="65" zoomScaleSheetLayoutView="65" workbookViewId="0">
      <selection activeCell="C37" sqref="C37"/>
    </sheetView>
  </sheetViews>
  <sheetFormatPr defaultColWidth="9.140625" defaultRowHeight="12.75" customHeight="1"/>
  <cols>
    <col min="1" max="1" width="158.7109375" style="53" customWidth="1"/>
    <col min="2" max="2" width="25" style="53" customWidth="1"/>
    <col min="3" max="3" width="48.28515625" style="53" customWidth="1"/>
    <col min="4" max="4" width="20.7109375" style="53" customWidth="1"/>
    <col min="5" max="5" width="9.140625" style="679"/>
    <col min="6" max="16384" width="9.140625" style="53"/>
  </cols>
  <sheetData>
    <row r="1" spans="1:5" ht="28.5" thickBot="1">
      <c r="A1" s="159" t="s">
        <v>120</v>
      </c>
      <c r="B1" s="835" t="s">
        <v>1200</v>
      </c>
      <c r="C1" s="53" t="s">
        <v>1329</v>
      </c>
    </row>
    <row r="2" spans="1:5" ht="27.75">
      <c r="A2" s="54" t="str">
        <f>'Smmy Chrts'!$A$2</f>
        <v>For the Year Ended August 31, 2021</v>
      </c>
      <c r="C2" s="55" t="s">
        <v>63</v>
      </c>
    </row>
    <row r="3" spans="1:5" ht="27.75">
      <c r="A3" s="54" t="str">
        <f>'Smmy Chrts'!$A$3</f>
        <v>Source: FY 2021 Annual Financial Report</v>
      </c>
      <c r="C3" s="53" t="s">
        <v>64</v>
      </c>
    </row>
    <row r="4" spans="1:5" ht="12.75" customHeight="1">
      <c r="C4" s="53" t="s">
        <v>267</v>
      </c>
    </row>
    <row r="5" spans="1:5" ht="12.75" customHeight="1">
      <c r="C5" s="53" t="s">
        <v>268</v>
      </c>
    </row>
    <row r="7" spans="1:5" ht="12.75" customHeight="1">
      <c r="C7" s="1687" t="s">
        <v>25</v>
      </c>
      <c r="D7" s="1687"/>
    </row>
    <row r="8" spans="1:5" ht="12.75" customHeight="1">
      <c r="C8" s="57"/>
      <c r="D8" s="58"/>
    </row>
    <row r="9" spans="1:5" ht="12.75" customHeight="1">
      <c r="C9" s="59" t="str">
        <f>'SRSU Sum'!A9</f>
        <v>State of Texas</v>
      </c>
      <c r="D9" s="60">
        <f>'SRSU Sum'!B15</f>
        <v>23686109</v>
      </c>
      <c r="E9" s="680">
        <f>ROUND(D9/$D$14,3)</f>
        <v>0.39500000000000002</v>
      </c>
    </row>
    <row r="10" spans="1:5" ht="12.75" customHeight="1">
      <c r="C10" s="59" t="str">
        <f>'SRSU Sum'!A17</f>
        <v>Student &amp; Parent</v>
      </c>
      <c r="D10" s="60">
        <f>'SRSU Sum'!B20</f>
        <v>9678587</v>
      </c>
      <c r="E10" s="680">
        <f t="shared" ref="E10:E12" si="0">ROUND(D10/$D$14,3)</f>
        <v>0.16200000000000001</v>
      </c>
    </row>
    <row r="11" spans="1:5" ht="12.75" customHeight="1">
      <c r="C11" s="59" t="str">
        <f>'SRSU Sum'!A22</f>
        <v>Federal Government</v>
      </c>
      <c r="D11" s="60">
        <f>'SRSU Sum'!B23</f>
        <v>13524396</v>
      </c>
      <c r="E11" s="680">
        <f t="shared" si="0"/>
        <v>0.22600000000000001</v>
      </c>
    </row>
    <row r="12" spans="1:5" ht="12.75" customHeight="1">
      <c r="C12" s="59" t="str">
        <f>'SRSU Sum'!A25</f>
        <v>Institutional Resources</v>
      </c>
      <c r="D12" s="60">
        <f>'SRSU Sum'!B32</f>
        <v>13017811</v>
      </c>
      <c r="E12" s="680">
        <f t="shared" si="0"/>
        <v>0.217</v>
      </c>
    </row>
    <row r="13" spans="1:5" ht="12.75" customHeight="1">
      <c r="C13" s="57"/>
      <c r="D13" s="58"/>
      <c r="E13" s="680"/>
    </row>
    <row r="14" spans="1:5" ht="12.75" customHeight="1">
      <c r="C14" s="61" t="s">
        <v>68</v>
      </c>
      <c r="D14" s="62">
        <f>SUM(D9:D13)</f>
        <v>59906903</v>
      </c>
      <c r="E14" s="680">
        <f>SUM(E9:E13)</f>
        <v>1</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86" t="str">
        <f>C14&amp;" "&amp;TEXT(D14,"$#,###")</f>
        <v>Total Operating Sources $59,906,903</v>
      </c>
    </row>
    <row r="48" spans="1:1" ht="12.75" customHeight="1">
      <c r="A48" s="1686"/>
    </row>
    <row r="49" spans="1:5" ht="12.75" customHeight="1">
      <c r="A49" s="56"/>
    </row>
    <row r="52" spans="1:5" ht="12.75" customHeight="1">
      <c r="C52" s="63" t="s">
        <v>25</v>
      </c>
      <c r="D52" s="58"/>
    </row>
    <row r="54" spans="1:5" ht="12.75" customHeight="1">
      <c r="C54" s="59" t="s">
        <v>1</v>
      </c>
      <c r="D54" s="60">
        <f>'SRSU Sum'!B10</f>
        <v>19241603</v>
      </c>
      <c r="E54" s="680">
        <f>ROUND(D54/$D$67,3)</f>
        <v>0.32100000000000001</v>
      </c>
    </row>
    <row r="55" spans="1:5" ht="12.75" customHeight="1">
      <c r="C55" s="59" t="s">
        <v>221</v>
      </c>
      <c r="D55" s="60">
        <f>'SRSU Sum'!B11</f>
        <v>1819893</v>
      </c>
      <c r="E55" s="680">
        <f t="shared" ref="E55:E66" si="1">ROUND(D55/$D$67,3)</f>
        <v>0.03</v>
      </c>
    </row>
    <row r="56" spans="1:5" ht="12.75" customHeight="1">
      <c r="C56" s="59"/>
      <c r="D56" s="60"/>
      <c r="E56" s="680"/>
    </row>
    <row r="57" spans="1:5" ht="12.75" customHeight="1">
      <c r="C57" s="59" t="str">
        <f>'SRSU Sum'!A13</f>
        <v>Higher Education Fund</v>
      </c>
      <c r="D57" s="60">
        <f>'SRSU Sum'!B13</f>
        <v>2624613</v>
      </c>
      <c r="E57" s="680">
        <f t="shared" si="1"/>
        <v>4.3999999999999997E-2</v>
      </c>
    </row>
    <row r="58" spans="1:5" ht="12.75" customHeight="1">
      <c r="C58" s="1069" t="s">
        <v>41</v>
      </c>
      <c r="D58" s="60">
        <f>'SRSU Sum'!B14</f>
        <v>0</v>
      </c>
      <c r="E58" s="680">
        <f t="shared" si="1"/>
        <v>0</v>
      </c>
    </row>
    <row r="59" spans="1:5" ht="12.75" customHeight="1">
      <c r="C59" s="59" t="s">
        <v>87</v>
      </c>
      <c r="D59" s="60">
        <f>'SRSU Sum'!B20</f>
        <v>9678587</v>
      </c>
      <c r="E59" s="680">
        <f t="shared" si="1"/>
        <v>0.16200000000000001</v>
      </c>
    </row>
    <row r="60" spans="1:5" ht="12.75" customHeight="1">
      <c r="C60" s="64" t="s">
        <v>74</v>
      </c>
      <c r="D60" s="60">
        <f>'SRSU Sum'!B23</f>
        <v>13524396</v>
      </c>
      <c r="E60" s="680">
        <f t="shared" si="1"/>
        <v>0.22600000000000001</v>
      </c>
    </row>
    <row r="61" spans="1:5" ht="12.75" customHeight="1">
      <c r="C61" s="59" t="s">
        <v>75</v>
      </c>
      <c r="D61" s="60">
        <f>'SRSU Sum'!B26</f>
        <v>2616199</v>
      </c>
      <c r="E61" s="680">
        <f t="shared" si="1"/>
        <v>4.3999999999999997E-2</v>
      </c>
    </row>
    <row r="62" spans="1:5" ht="12.75" customHeight="1">
      <c r="C62" s="1069" t="s">
        <v>27</v>
      </c>
      <c r="D62" s="60">
        <f>'SRSU Sum'!B27</f>
        <v>0</v>
      </c>
      <c r="E62" s="680">
        <f t="shared" si="1"/>
        <v>0</v>
      </c>
    </row>
    <row r="63" spans="1:5" ht="12.75" customHeight="1">
      <c r="C63" s="59" t="s">
        <v>76</v>
      </c>
      <c r="D63" s="60">
        <f>'SRSU Sum'!B28</f>
        <v>6975188</v>
      </c>
      <c r="E63" s="680">
        <f t="shared" si="1"/>
        <v>0.11600000000000001</v>
      </c>
    </row>
    <row r="64" spans="1:5" ht="12.75" customHeight="1">
      <c r="C64" s="59" t="s">
        <v>77</v>
      </c>
      <c r="D64" s="60">
        <f>'SRSU Sum'!B29</f>
        <v>311191</v>
      </c>
      <c r="E64" s="680">
        <f t="shared" si="1"/>
        <v>5.0000000000000001E-3</v>
      </c>
    </row>
    <row r="65" spans="1:5" ht="12.75" customHeight="1">
      <c r="C65" s="59" t="s">
        <v>220</v>
      </c>
      <c r="D65" s="60">
        <f>'SRSU Sum'!B30</f>
        <v>2457439</v>
      </c>
      <c r="E65" s="680">
        <f t="shared" si="1"/>
        <v>4.1000000000000002E-2</v>
      </c>
    </row>
    <row r="66" spans="1:5" ht="12.75" customHeight="1">
      <c r="C66" s="64" t="s">
        <v>52</v>
      </c>
      <c r="D66" s="60">
        <f>'SRSU Sum'!B31</f>
        <v>657794</v>
      </c>
      <c r="E66" s="680">
        <f t="shared" si="1"/>
        <v>1.0999999999999999E-2</v>
      </c>
    </row>
    <row r="67" spans="1:5" ht="12.75" customHeight="1">
      <c r="C67" s="61" t="s">
        <v>68</v>
      </c>
      <c r="D67" s="62">
        <f>SUM(D54:D66)</f>
        <v>59906903</v>
      </c>
      <c r="E67" s="681">
        <f>SUM(E54:E66)</f>
        <v>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86" t="str">
        <f>C67&amp;" "&amp;TEXT(D67,"$#,###")</f>
        <v>Total Operating Sources $59,906,903</v>
      </c>
    </row>
    <row r="93" spans="1:5" ht="12.75" customHeight="1">
      <c r="A93" s="1686"/>
    </row>
    <row r="94" spans="1:5" ht="12.75" customHeight="1">
      <c r="A94" s="65"/>
    </row>
    <row r="95" spans="1:5" s="68" customFormat="1" ht="12.75" customHeight="1">
      <c r="A95" s="66"/>
      <c r="E95" s="682"/>
    </row>
    <row r="96" spans="1:5" ht="12.75" customHeight="1">
      <c r="A96" s="65"/>
    </row>
    <row r="97" spans="1:5" ht="12.75" customHeight="1">
      <c r="A97" s="65"/>
    </row>
    <row r="98" spans="1:5" ht="12.75" customHeight="1">
      <c r="A98" s="65"/>
    </row>
    <row r="100" spans="1:5" ht="12.75" customHeight="1">
      <c r="C100" s="1687" t="s">
        <v>13</v>
      </c>
      <c r="D100" s="1687"/>
    </row>
    <row r="101" spans="1:5" ht="12.75" customHeight="1">
      <c r="C101" s="1687"/>
      <c r="D101" s="1687"/>
    </row>
    <row r="102" spans="1:5" ht="12.75" customHeight="1">
      <c r="C102" s="69" t="s">
        <v>14</v>
      </c>
      <c r="D102" s="60">
        <f>'SRSU Sum'!B36</f>
        <v>9919558</v>
      </c>
      <c r="E102" s="680">
        <f>ROUND(D102/$D$114,3)</f>
        <v>0.19500000000000001</v>
      </c>
    </row>
    <row r="103" spans="1:5" ht="12.75" customHeight="1">
      <c r="C103" s="69" t="s">
        <v>15</v>
      </c>
      <c r="D103" s="60">
        <f>'SRSU Sum'!B37</f>
        <v>1775780</v>
      </c>
      <c r="E103" s="680">
        <f t="shared" ref="E103:E112" si="2">ROUND(D103/$D$114,3)</f>
        <v>3.5000000000000003E-2</v>
      </c>
    </row>
    <row r="104" spans="1:5" ht="12.75" customHeight="1">
      <c r="C104" s="69" t="s">
        <v>16</v>
      </c>
      <c r="D104" s="60">
        <f>'SRSU Sum'!B38</f>
        <v>1381715</v>
      </c>
      <c r="E104" s="680">
        <f t="shared" si="2"/>
        <v>2.7E-2</v>
      </c>
    </row>
    <row r="105" spans="1:5" ht="12.75" customHeight="1">
      <c r="C105" s="69" t="s">
        <v>17</v>
      </c>
      <c r="D105" s="60">
        <f>'SRSU Sum'!B39</f>
        <v>4136916</v>
      </c>
      <c r="E105" s="680">
        <f t="shared" si="2"/>
        <v>8.1000000000000003E-2</v>
      </c>
    </row>
    <row r="106" spans="1:5" ht="12.75" customHeight="1">
      <c r="C106" s="69" t="s">
        <v>18</v>
      </c>
      <c r="D106" s="60">
        <f>'SRSU Sum'!B40</f>
        <v>3934229</v>
      </c>
      <c r="E106" s="680">
        <f t="shared" si="2"/>
        <v>7.6999999999999999E-2</v>
      </c>
    </row>
    <row r="107" spans="1:5" ht="12.75" customHeight="1">
      <c r="C107" s="69" t="s">
        <v>19</v>
      </c>
      <c r="D107" s="60">
        <f>'SRSU Sum'!B41</f>
        <v>13772449</v>
      </c>
      <c r="E107" s="680">
        <f t="shared" si="2"/>
        <v>0.27</v>
      </c>
    </row>
    <row r="108" spans="1:5" ht="12.75" customHeight="1">
      <c r="C108" s="69" t="s">
        <v>78</v>
      </c>
      <c r="D108" s="60">
        <f>'SRSU Sum'!B42</f>
        <v>5347313</v>
      </c>
      <c r="E108" s="680">
        <f t="shared" si="2"/>
        <v>0.105</v>
      </c>
    </row>
    <row r="109" spans="1:5" ht="12.75" customHeight="1">
      <c r="C109" s="69" t="s">
        <v>79</v>
      </c>
      <c r="D109" s="60">
        <f>'SRSU Sum'!B43</f>
        <v>5602061</v>
      </c>
      <c r="E109" s="680">
        <f t="shared" si="2"/>
        <v>0.11</v>
      </c>
    </row>
    <row r="110" spans="1:5" ht="12.75" customHeight="1">
      <c r="C110" s="69" t="s">
        <v>22</v>
      </c>
      <c r="D110" s="60">
        <f>'SRSU Sum'!B44</f>
        <v>4623659</v>
      </c>
      <c r="E110" s="680">
        <f t="shared" si="2"/>
        <v>9.0999999999999998E-2</v>
      </c>
    </row>
    <row r="111" spans="1:5" ht="12.75" customHeight="1">
      <c r="C111" s="64" t="s">
        <v>29</v>
      </c>
      <c r="D111" s="60">
        <f>'SRSU Sum'!B45</f>
        <v>471724</v>
      </c>
      <c r="E111" s="680">
        <f t="shared" si="2"/>
        <v>8.9999999999999993E-3</v>
      </c>
    </row>
    <row r="112" spans="1:5" ht="12.75" customHeight="1">
      <c r="C112" s="64" t="s">
        <v>53</v>
      </c>
      <c r="D112" s="60">
        <f>'SRSU Sum'!B46</f>
        <v>0</v>
      </c>
      <c r="E112" s="680">
        <f t="shared" si="2"/>
        <v>0</v>
      </c>
    </row>
    <row r="113" spans="3:5" ht="12.75" customHeight="1">
      <c r="C113" s="57"/>
      <c r="D113" s="57"/>
    </row>
    <row r="114" spans="3:5" ht="12.75" customHeight="1">
      <c r="C114" s="70" t="s">
        <v>69</v>
      </c>
      <c r="D114" s="62">
        <f>SUM(D102:D113)</f>
        <v>50965404</v>
      </c>
      <c r="E114" s="681">
        <f>SUM(E102:E113)</f>
        <v>1</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86" t="str">
        <f>C114&amp;" "&amp;TEXT(D114,"$#,###")</f>
        <v>Total Operating Uses $50,965,404</v>
      </c>
    </row>
    <row r="137" spans="1:1" ht="12.75" customHeight="1">
      <c r="A137" s="1686"/>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85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1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transitionEvaluation="1" transitionEntry="1" codeName="Sheet112">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'SRSU Chrts'!$A$1</f>
        <v>Sul Ross State University</v>
      </c>
      <c r="B1" s="74"/>
      <c r="C1" s="1"/>
      <c r="D1" s="1704" t="s">
        <v>1200</v>
      </c>
      <c r="E1" s="1705"/>
      <c r="F1" s="1757" t="s">
        <v>1196</v>
      </c>
      <c r="G1" s="1706"/>
      <c r="H1" s="1706"/>
      <c r="I1" s="1706"/>
      <c r="J1" s="1707" t="s">
        <v>1197</v>
      </c>
      <c r="K1" s="1695"/>
      <c r="L1" s="1695"/>
      <c r="M1" s="1695"/>
      <c r="N1" s="1695"/>
      <c r="O1" s="1696"/>
    </row>
    <row r="2" spans="1:15" ht="15.75">
      <c r="A2" s="76" t="str">
        <f>'Smmy Chrts'!$A$2</f>
        <v>For the Year Ended August 31, 2021</v>
      </c>
      <c r="B2" s="74"/>
      <c r="C2" s="1"/>
      <c r="D2" s="37"/>
      <c r="E2" s="37"/>
      <c r="F2" s="37"/>
      <c r="J2" s="37"/>
      <c r="K2" s="37"/>
      <c r="L2" s="37"/>
      <c r="M2" s="37"/>
    </row>
    <row r="3" spans="1:15" ht="15.75">
      <c r="A3" s="76" t="str">
        <f>'Smmy Chrts'!$A$3</f>
        <v>Source: FY 2021 Annual Financial Report</v>
      </c>
      <c r="B3" s="74"/>
      <c r="C3" s="1"/>
    </row>
    <row r="4" spans="1:15" ht="13.5" customHeight="1">
      <c r="B4" s="77"/>
      <c r="C4" s="4"/>
      <c r="D4" s="1711" t="s">
        <v>1142</v>
      </c>
      <c r="E4" s="1711" t="s">
        <v>1143</v>
      </c>
      <c r="F4" s="266"/>
    </row>
    <row r="5" spans="1:15" ht="18">
      <c r="A5" s="39" t="str">
        <f>'Smmy Chrts'!$C$35</f>
        <v>Summary Worksheet FY 2021</v>
      </c>
      <c r="B5" s="40" t="s">
        <v>86</v>
      </c>
      <c r="C5" s="40" t="s">
        <v>129</v>
      </c>
      <c r="D5" s="1712"/>
      <c r="E5" s="1712"/>
      <c r="F5" s="266"/>
      <c r="G5" s="799" t="s">
        <v>1198</v>
      </c>
      <c r="I5" s="822" t="s">
        <v>2157</v>
      </c>
      <c r="J5" s="792" t="s">
        <v>1144</v>
      </c>
    </row>
    <row r="6" spans="1:15" ht="13.5" customHeight="1">
      <c r="A6" s="78" t="s">
        <v>266</v>
      </c>
      <c r="B6" s="41"/>
      <c r="C6" s="42">
        <f>FTSE!$O$36</f>
        <v>1712.5099999999998</v>
      </c>
      <c r="J6" s="712"/>
    </row>
    <row r="7" spans="1:15">
      <c r="I7" s="824" t="s">
        <v>1162</v>
      </c>
      <c r="J7" s="827"/>
    </row>
    <row r="8" spans="1:15">
      <c r="A8" s="81" t="s">
        <v>71</v>
      </c>
      <c r="B8" s="81"/>
      <c r="C8" s="24"/>
      <c r="I8" s="896">
        <f>VLOOKUP(A1,FTSELU,15,FALSE)</f>
        <v>248.26999999999998</v>
      </c>
      <c r="J8" s="712"/>
    </row>
    <row r="9" spans="1:15" ht="12.75" customHeight="1" thickBot="1">
      <c r="A9" s="78" t="s">
        <v>0</v>
      </c>
      <c r="B9" s="82"/>
      <c r="C9" s="7"/>
      <c r="J9" s="712"/>
    </row>
    <row r="10" spans="1:15" ht="12.75" customHeight="1" thickTop="1">
      <c r="A10" s="75" t="s">
        <v>1</v>
      </c>
      <c r="B10" s="83">
        <f>'SRSU FGD'!M10</f>
        <v>19241603</v>
      </c>
      <c r="C10" s="83">
        <f>ROUND(B10/$C$6,0)</f>
        <v>11236</v>
      </c>
      <c r="D10" s="512">
        <f>'SRSU FGD'!F10</f>
        <v>0</v>
      </c>
      <c r="E10" s="512"/>
      <c r="F10" s="84">
        <f>B10-(SUM(D10:E10))</f>
        <v>19241603</v>
      </c>
      <c r="G10" s="1143" t="s">
        <v>1</v>
      </c>
      <c r="H10" s="1144"/>
      <c r="I10" s="825" t="s">
        <v>1161</v>
      </c>
      <c r="J10" s="713">
        <f>ROUND(F10/$C$6,0)</f>
        <v>11236</v>
      </c>
    </row>
    <row r="11" spans="1:15" ht="12.75" customHeight="1" thickBot="1">
      <c r="A11" s="75" t="s">
        <v>2</v>
      </c>
      <c r="B11" s="86">
        <f>'SRSU FGD'!M11</f>
        <v>1819893</v>
      </c>
      <c r="C11" s="87">
        <f t="shared" ref="C11:C14" si="0">ROUND(B11/$C$6,0)</f>
        <v>1063</v>
      </c>
      <c r="D11" s="86">
        <f>'SRSU FGD'!F11</f>
        <v>0</v>
      </c>
      <c r="E11" s="74"/>
      <c r="F11" s="606">
        <f t="shared" ref="F11:F14" si="1">B11-(SUM(D11:E11))</f>
        <v>1819893</v>
      </c>
      <c r="G11" s="1148">
        <f>SUM(F10:F11)</f>
        <v>21061496</v>
      </c>
      <c r="H11" s="715"/>
      <c r="I11" s="1373">
        <f>ROUND($G$11/$C$6,0)</f>
        <v>12299</v>
      </c>
      <c r="J11" s="716">
        <f t="shared" ref="J11:J14" si="2">ROUND(F11/$C$6,0)</f>
        <v>1063</v>
      </c>
    </row>
    <row r="12" spans="1:15" ht="12.75" hidden="1" customHeight="1" thickTop="1" thickBot="1">
      <c r="A12" s="75" t="s">
        <v>1410</v>
      </c>
      <c r="B12" s="86"/>
      <c r="C12" s="87"/>
      <c r="D12" s="86"/>
      <c r="E12" s="74"/>
      <c r="F12" s="607"/>
      <c r="J12" s="716"/>
      <c r="O12" s="608"/>
    </row>
    <row r="13" spans="1:15" ht="12.75" customHeight="1" thickTop="1">
      <c r="A13" s="75" t="s">
        <v>1368</v>
      </c>
      <c r="B13" s="86">
        <f>'SRSU FGD'!M13</f>
        <v>2624613</v>
      </c>
      <c r="C13" s="87">
        <f t="shared" si="0"/>
        <v>1533</v>
      </c>
      <c r="D13" s="86">
        <f>'SRSU FGD'!F13</f>
        <v>0</v>
      </c>
      <c r="E13" s="74"/>
      <c r="F13" s="893">
        <f t="shared" si="1"/>
        <v>2624613</v>
      </c>
      <c r="G13" s="882" t="s">
        <v>81</v>
      </c>
      <c r="H13" s="894"/>
      <c r="I13" s="826" t="s">
        <v>1163</v>
      </c>
      <c r="J13" s="716">
        <f t="shared" si="2"/>
        <v>1533</v>
      </c>
    </row>
    <row r="14" spans="1:15" ht="12.75" customHeight="1" thickBot="1">
      <c r="A14" s="75" t="s">
        <v>49</v>
      </c>
      <c r="B14" s="86">
        <f>'SRSU FGD'!M14</f>
        <v>0</v>
      </c>
      <c r="C14" s="87">
        <f t="shared" si="0"/>
        <v>0</v>
      </c>
      <c r="D14" s="86">
        <f>'SRSU FGD'!F14</f>
        <v>0</v>
      </c>
      <c r="E14" s="74"/>
      <c r="F14" s="607">
        <f t="shared" si="1"/>
        <v>0</v>
      </c>
      <c r="G14" s="800">
        <f>SUM(F13:F14)</f>
        <v>2624613</v>
      </c>
      <c r="H14" s="895"/>
      <c r="I14" s="1377">
        <f>ROUND($G$11/$I$8,0)</f>
        <v>84833</v>
      </c>
      <c r="J14" s="828">
        <f t="shared" si="2"/>
        <v>0</v>
      </c>
    </row>
    <row r="15" spans="1:15" ht="12.75" customHeight="1" thickTop="1">
      <c r="A15" s="88" t="s">
        <v>3</v>
      </c>
      <c r="B15" s="89">
        <f>SUM(B10:B14)</f>
        <v>23686109</v>
      </c>
      <c r="C15" s="89">
        <f>SUM(C10:C14)</f>
        <v>13832</v>
      </c>
      <c r="D15" s="89">
        <f>SUM(D10:D14)</f>
        <v>0</v>
      </c>
      <c r="E15" s="89">
        <f>SUM(E10:E14)</f>
        <v>0</v>
      </c>
      <c r="F15" s="216">
        <f>SUM(F10:F14)</f>
        <v>23686109</v>
      </c>
      <c r="I15" s="1372"/>
      <c r="J15" s="757">
        <f>SUM(J10:J14)</f>
        <v>13832</v>
      </c>
    </row>
    <row r="16" spans="1:15">
      <c r="B16" s="48"/>
      <c r="C16" s="75"/>
      <c r="J16" s="712"/>
    </row>
    <row r="17" spans="1:31" ht="12.75" customHeight="1">
      <c r="A17" s="78" t="s">
        <v>4</v>
      </c>
      <c r="B17" s="86"/>
      <c r="C17" s="75"/>
      <c r="J17" s="712"/>
    </row>
    <row r="18" spans="1:31">
      <c r="A18" s="75" t="s">
        <v>39</v>
      </c>
      <c r="B18" s="83">
        <f>'SRSU FGD'!M29</f>
        <v>6317372</v>
      </c>
      <c r="C18" s="83">
        <f t="shared" ref="C18:C19" si="3">ROUND(B18/$C$6,0)</f>
        <v>3689</v>
      </c>
      <c r="D18" s="512">
        <f>'SRSU FGD'!$F$29</f>
        <v>0</v>
      </c>
      <c r="E18" s="512"/>
      <c r="F18" s="512">
        <f t="shared" ref="F18:F19" si="4">B18-(SUM(D18:E18))</f>
        <v>6317372</v>
      </c>
      <c r="G18" s="337"/>
      <c r="H18" s="337"/>
      <c r="I18" s="337"/>
      <c r="J18" s="713">
        <f>ROUND(F18/$C$6,0)</f>
        <v>3689</v>
      </c>
    </row>
    <row r="19" spans="1:31" ht="13.5" thickBot="1">
      <c r="A19" s="75" t="s">
        <v>40</v>
      </c>
      <c r="B19" s="86">
        <f>'SRSU FGD'!M42</f>
        <v>3361215</v>
      </c>
      <c r="C19" s="87">
        <f t="shared" si="3"/>
        <v>1963</v>
      </c>
      <c r="D19" s="74">
        <f>'SRSU FGD'!$F$42</f>
        <v>0</v>
      </c>
      <c r="E19" s="74"/>
      <c r="F19" s="74">
        <f t="shared" si="4"/>
        <v>3361215</v>
      </c>
      <c r="G19" s="337"/>
      <c r="H19" s="337"/>
      <c r="I19" s="337"/>
      <c r="J19" s="716">
        <f>ROUND(F19/$C$6,0)</f>
        <v>1963</v>
      </c>
    </row>
    <row r="20" spans="1:31" ht="14.25" thickTop="1" thickBot="1">
      <c r="A20" s="88" t="s">
        <v>5</v>
      </c>
      <c r="B20" s="89">
        <f>SUM(B18:B19)</f>
        <v>9678587</v>
      </c>
      <c r="C20" s="89">
        <f>SUM(C18:C19)</f>
        <v>5652</v>
      </c>
      <c r="D20" s="717">
        <f>SUM(D18:D19)</f>
        <v>0</v>
      </c>
      <c r="E20" s="718">
        <f>SUM(E18:E19)</f>
        <v>0</v>
      </c>
      <c r="F20" s="801">
        <f>SUM(F18:F19)</f>
        <v>9678587</v>
      </c>
      <c r="G20" s="720" t="s">
        <v>26</v>
      </c>
      <c r="H20" s="366"/>
      <c r="I20" s="367"/>
      <c r="J20" s="721">
        <f>SUM(J18:J19)</f>
        <v>5652</v>
      </c>
    </row>
    <row r="21" spans="1:31" ht="12.75" customHeight="1" thickTop="1">
      <c r="B21" s="91"/>
      <c r="C21" s="75"/>
      <c r="F21" s="804"/>
      <c r="J21" s="712"/>
    </row>
    <row r="22" spans="1:31" ht="14.25" customHeight="1" thickBot="1">
      <c r="A22" s="78" t="s">
        <v>6</v>
      </c>
      <c r="B22" s="91"/>
      <c r="C22" s="75"/>
      <c r="J22" s="712"/>
    </row>
    <row r="23" spans="1:31" ht="14.25" thickTop="1" thickBot="1">
      <c r="A23" s="88" t="s">
        <v>7</v>
      </c>
      <c r="B23" s="92">
        <f>'SRSU FGD'!M47</f>
        <v>13524396</v>
      </c>
      <c r="C23" s="89">
        <f t="shared" ref="C23" si="5">ROUND(B23/$C$6,0)</f>
        <v>7897</v>
      </c>
      <c r="D23" s="717">
        <f>'SRSU FGD'!F47</f>
        <v>0</v>
      </c>
      <c r="E23" s="718"/>
      <c r="F23" s="801">
        <f>B23-(SUM(D23:E23))</f>
        <v>13524396</v>
      </c>
      <c r="G23" s="722" t="s">
        <v>74</v>
      </c>
      <c r="H23" s="366"/>
      <c r="I23" s="367"/>
      <c r="J23" s="756">
        <f>ROUND(F23/$C$6,0)</f>
        <v>7897</v>
      </c>
    </row>
    <row r="24" spans="1:31" ht="13.5" thickTop="1">
      <c r="B24" s="91"/>
      <c r="C24" s="75"/>
      <c r="J24" s="712"/>
    </row>
    <row r="25" spans="1:31">
      <c r="A25" s="78" t="s">
        <v>8</v>
      </c>
      <c r="B25" s="91"/>
      <c r="C25" s="75"/>
      <c r="J25" s="712"/>
    </row>
    <row r="26" spans="1:31">
      <c r="A26" s="75" t="s">
        <v>42</v>
      </c>
      <c r="B26" s="83">
        <f>'SRSU FGD'!M50</f>
        <v>2616199</v>
      </c>
      <c r="C26" s="83">
        <f t="shared" ref="C26:C31" si="6">ROUND(B26/$C$6,0)</f>
        <v>1528</v>
      </c>
      <c r="D26" s="512">
        <f>'SRSU FGD'!F50</f>
        <v>1169</v>
      </c>
      <c r="E26" s="512"/>
      <c r="F26" s="512">
        <f t="shared" ref="F26:F31" si="7">B26-(SUM(D26:E26))</f>
        <v>2615030</v>
      </c>
      <c r="G26" s="337"/>
      <c r="H26" s="337"/>
      <c r="I26" s="337"/>
      <c r="J26" s="713">
        <f>ROUND(F26/$C$6,0)</f>
        <v>1527</v>
      </c>
    </row>
    <row r="27" spans="1:31">
      <c r="A27" s="75" t="s">
        <v>9</v>
      </c>
      <c r="B27" s="86">
        <f>'SRSU FGD'!M51</f>
        <v>0</v>
      </c>
      <c r="C27" s="87">
        <f t="shared" si="6"/>
        <v>0</v>
      </c>
      <c r="D27" s="86">
        <f>'SRSU FGD'!F51</f>
        <v>0</v>
      </c>
      <c r="E27" s="74"/>
      <c r="F27" s="74">
        <f t="shared" si="7"/>
        <v>0</v>
      </c>
      <c r="G27" s="337"/>
      <c r="H27" s="337"/>
      <c r="I27" s="337"/>
      <c r="J27" s="716">
        <f t="shared" ref="J27:J31" si="8">ROUND(F27/$C$6,0)</f>
        <v>0</v>
      </c>
    </row>
    <row r="28" spans="1:31" ht="13.5" thickBot="1">
      <c r="A28" s="75" t="s">
        <v>10</v>
      </c>
      <c r="B28" s="86">
        <f>'SRSU FGD'!M52</f>
        <v>6975188</v>
      </c>
      <c r="C28" s="87">
        <f t="shared" si="6"/>
        <v>4073</v>
      </c>
      <c r="D28" s="86">
        <f>'SRSU FGD'!F52</f>
        <v>0</v>
      </c>
      <c r="E28" s="74"/>
      <c r="F28" s="74">
        <f t="shared" si="7"/>
        <v>6975188</v>
      </c>
      <c r="G28" s="337"/>
      <c r="H28" s="337"/>
      <c r="I28" s="337"/>
      <c r="J28" s="716">
        <f t="shared" si="8"/>
        <v>4073</v>
      </c>
    </row>
    <row r="29" spans="1:31" ht="13.5" thickBot="1">
      <c r="A29" s="75" t="s">
        <v>11</v>
      </c>
      <c r="B29" s="86">
        <f>'SRSU FGD'!M53</f>
        <v>311191</v>
      </c>
      <c r="C29" s="87">
        <f t="shared" si="6"/>
        <v>182</v>
      </c>
      <c r="D29" s="86">
        <f>'SRSU FGD'!F53</f>
        <v>0</v>
      </c>
      <c r="E29" s="74"/>
      <c r="F29" s="74">
        <f t="shared" si="7"/>
        <v>311191</v>
      </c>
      <c r="G29" s="337"/>
      <c r="H29" s="337"/>
      <c r="I29" s="337"/>
      <c r="J29" s="716">
        <f t="shared" si="8"/>
        <v>182</v>
      </c>
      <c r="K29" s="1694" t="s">
        <v>1065</v>
      </c>
      <c r="L29" s="1695"/>
      <c r="M29" s="1695"/>
      <c r="N29" s="1695"/>
      <c r="O29" s="1696"/>
    </row>
    <row r="30" spans="1:31" ht="13.5" thickBot="1">
      <c r="A30" s="93" t="s">
        <v>2134</v>
      </c>
      <c r="B30" s="94">
        <f>'SRSU FGD'!M54</f>
        <v>2457439</v>
      </c>
      <c r="C30" s="87">
        <f t="shared" si="6"/>
        <v>1435</v>
      </c>
      <c r="D30" s="729">
        <f>B30</f>
        <v>2457439</v>
      </c>
      <c r="E30" s="74"/>
      <c r="F30" s="74">
        <f t="shared" si="7"/>
        <v>0</v>
      </c>
      <c r="G30" s="337"/>
      <c r="H30" s="337"/>
      <c r="I30" s="337"/>
      <c r="J30" s="716">
        <f t="shared" si="8"/>
        <v>0</v>
      </c>
      <c r="K30" s="1694" t="s">
        <v>1070</v>
      </c>
      <c r="L30" s="1695"/>
      <c r="M30" s="1695"/>
      <c r="N30" s="1695"/>
      <c r="O30" s="1696"/>
    </row>
    <row r="31" spans="1:31" ht="13.5" customHeight="1" thickBot="1">
      <c r="A31" s="95" t="s">
        <v>43</v>
      </c>
      <c r="B31" s="86">
        <f>'SRSU FGD'!M55</f>
        <v>657794</v>
      </c>
      <c r="C31" s="87">
        <f t="shared" si="6"/>
        <v>384</v>
      </c>
      <c r="D31" s="86">
        <f>'SRSU FGD'!F55</f>
        <v>0</v>
      </c>
      <c r="E31" s="74"/>
      <c r="F31" s="74">
        <f t="shared" si="7"/>
        <v>657794</v>
      </c>
      <c r="G31" s="35"/>
      <c r="H31" s="35"/>
      <c r="I31" s="38"/>
      <c r="J31" s="716">
        <f t="shared" si="8"/>
        <v>384</v>
      </c>
      <c r="K31" s="1697" t="s">
        <v>1073</v>
      </c>
      <c r="L31" s="1697" t="s">
        <v>1071</v>
      </c>
      <c r="M31" s="1697" t="s">
        <v>1072</v>
      </c>
      <c r="N31" s="1697" t="s">
        <v>1240</v>
      </c>
      <c r="O31" s="1697"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13017811</v>
      </c>
      <c r="C32" s="89">
        <f>SUM(C26:C31)</f>
        <v>7602</v>
      </c>
      <c r="D32" s="723">
        <f>SUM(D26:D31)</f>
        <v>2458608</v>
      </c>
      <c r="E32" s="723">
        <f>SUM(E26:E31)</f>
        <v>0</v>
      </c>
      <c r="F32" s="802">
        <f>SUM(F26:F31)</f>
        <v>10559203</v>
      </c>
      <c r="G32" s="1708" t="s">
        <v>8</v>
      </c>
      <c r="H32" s="1709"/>
      <c r="I32" s="783" t="s">
        <v>1166</v>
      </c>
      <c r="J32" s="725">
        <f>SUM(J26:J31)</f>
        <v>6166</v>
      </c>
      <c r="K32" s="1698"/>
      <c r="L32" s="1698"/>
      <c r="M32" s="1698"/>
      <c r="N32" s="1698" t="s">
        <v>1074</v>
      </c>
      <c r="O32" s="1698" t="s">
        <v>1075</v>
      </c>
    </row>
    <row r="33" spans="1:31" ht="14.25" thickTop="1" thickBot="1">
      <c r="A33" s="97" t="s">
        <v>68</v>
      </c>
      <c r="B33" s="52">
        <f>B15+B20+B23+B32</f>
        <v>59906903</v>
      </c>
      <c r="C33" s="45">
        <f>C15+C20+C23+C32</f>
        <v>34983</v>
      </c>
      <c r="D33" s="52">
        <f>D15+D20+D23+D32</f>
        <v>2458608</v>
      </c>
      <c r="E33" s="52">
        <f>E15+E20+E23+E32</f>
        <v>0</v>
      </c>
      <c r="F33" s="724">
        <f>F15+F20+F23+F32</f>
        <v>57448295</v>
      </c>
      <c r="G33" s="1758" t="s">
        <v>84</v>
      </c>
      <c r="H33" s="1759"/>
      <c r="I33" s="1375">
        <f>ROUND($G$35/$C$6,0)</f>
        <v>32014</v>
      </c>
      <c r="J33" s="726">
        <f>J15+J20+J23+J32</f>
        <v>33547</v>
      </c>
      <c r="K33" s="1698"/>
      <c r="L33" s="1698"/>
      <c r="M33" s="1698"/>
      <c r="N33" s="1698"/>
      <c r="O33" s="1698"/>
    </row>
    <row r="34" spans="1:31" ht="14.25" thickTop="1" thickBot="1">
      <c r="B34" s="98"/>
      <c r="C34" s="75"/>
      <c r="D34" s="337"/>
      <c r="E34" s="337"/>
      <c r="F34" s="337" t="s">
        <v>1199</v>
      </c>
      <c r="G34" s="787">
        <f>G14*-1</f>
        <v>-2624613</v>
      </c>
      <c r="H34" s="337"/>
      <c r="I34" s="783" t="s">
        <v>1167</v>
      </c>
      <c r="J34" s="727"/>
      <c r="K34" s="1699"/>
      <c r="L34" s="1699"/>
      <c r="M34" s="1699"/>
      <c r="N34" s="1699"/>
      <c r="O34" s="1699"/>
    </row>
    <row r="35" spans="1:31" ht="14.25" thickTop="1" thickBot="1">
      <c r="A35" s="81" t="s">
        <v>72</v>
      </c>
      <c r="B35" s="81"/>
      <c r="C35" s="81"/>
      <c r="D35" s="728"/>
      <c r="E35" s="728"/>
      <c r="F35" s="788" t="s">
        <v>1165</v>
      </c>
      <c r="G35" s="803">
        <f>F33+G34</f>
        <v>54823682</v>
      </c>
      <c r="I35" s="1376">
        <f>ROUND($G$35/$I$8,0)</f>
        <v>220823</v>
      </c>
      <c r="K35" s="609"/>
      <c r="L35" s="609"/>
      <c r="M35" s="609"/>
      <c r="N35" s="609"/>
      <c r="O35" s="609"/>
    </row>
    <row r="36" spans="1:31" ht="13.5" thickTop="1">
      <c r="A36" s="99" t="s">
        <v>14</v>
      </c>
      <c r="B36" s="83">
        <f>'SRSU FGD'!M60</f>
        <v>9919558</v>
      </c>
      <c r="C36" s="83">
        <f t="shared" ref="C36:C46" si="9">ROUND(B36/$C$6,0)</f>
        <v>5792</v>
      </c>
      <c r="D36" s="512">
        <f>'SRSU FGD'!F60</f>
        <v>0</v>
      </c>
      <c r="E36" s="512"/>
      <c r="F36" s="512">
        <f t="shared" ref="F36:F46" si="10">B36-(SUM(D36:E36))</f>
        <v>9919558</v>
      </c>
      <c r="G36" s="337"/>
      <c r="H36" s="1378" t="s">
        <v>2158</v>
      </c>
      <c r="I36" s="1379">
        <f>ROUND(F36/$C$6,0)</f>
        <v>5792</v>
      </c>
      <c r="J36" s="337" t="s">
        <v>752</v>
      </c>
      <c r="K36" s="512">
        <f>F36</f>
        <v>9919558</v>
      </c>
      <c r="L36" s="512">
        <f>K36</f>
        <v>9919558</v>
      </c>
      <c r="M36" s="512"/>
      <c r="N36" s="512"/>
      <c r="O36" s="512"/>
    </row>
    <row r="37" spans="1:31">
      <c r="A37" s="99" t="s">
        <v>15</v>
      </c>
      <c r="B37" s="86">
        <f>'SRSU FGD'!M61</f>
        <v>1775780</v>
      </c>
      <c r="C37" s="87">
        <f t="shared" si="9"/>
        <v>1037</v>
      </c>
      <c r="D37" s="86">
        <f>'SRSU FGD'!F61</f>
        <v>0</v>
      </c>
      <c r="E37" s="74"/>
      <c r="F37" s="74">
        <f t="shared" si="10"/>
        <v>1775780</v>
      </c>
      <c r="G37" s="337"/>
      <c r="H37" s="337"/>
      <c r="J37" s="337" t="s">
        <v>1076</v>
      </c>
      <c r="K37" s="373">
        <f>F37</f>
        <v>1775780</v>
      </c>
      <c r="L37" s="373">
        <f>K37</f>
        <v>1775780</v>
      </c>
      <c r="M37" s="373"/>
      <c r="N37" s="373"/>
      <c r="O37" s="373"/>
    </row>
    <row r="38" spans="1:31">
      <c r="A38" s="99" t="s">
        <v>16</v>
      </c>
      <c r="B38" s="86">
        <f>'SRSU FGD'!M62</f>
        <v>1381715</v>
      </c>
      <c r="C38" s="87">
        <f t="shared" si="9"/>
        <v>807</v>
      </c>
      <c r="D38" s="86">
        <f>'SRSU FGD'!F62</f>
        <v>11459</v>
      </c>
      <c r="E38" s="86">
        <f>B38-D38</f>
        <v>1370256</v>
      </c>
      <c r="F38" s="74">
        <f t="shared" si="10"/>
        <v>0</v>
      </c>
      <c r="G38" s="337"/>
      <c r="H38" s="337"/>
      <c r="I38" s="337"/>
      <c r="J38" s="337" t="s">
        <v>1077</v>
      </c>
      <c r="K38" s="736"/>
      <c r="L38" s="737"/>
      <c r="M38" s="737" t="s">
        <v>1152</v>
      </c>
      <c r="N38" s="737"/>
      <c r="O38" s="738"/>
    </row>
    <row r="39" spans="1:31">
      <c r="A39" s="99" t="s">
        <v>17</v>
      </c>
      <c r="B39" s="86">
        <f>'SRSU FGD'!M63</f>
        <v>4136916</v>
      </c>
      <c r="C39" s="87">
        <f t="shared" si="9"/>
        <v>2416</v>
      </c>
      <c r="D39" s="86">
        <f>'SRSU FGD'!F63</f>
        <v>0</v>
      </c>
      <c r="E39" s="74"/>
      <c r="F39" s="74">
        <f t="shared" si="10"/>
        <v>4136916</v>
      </c>
      <c r="G39" s="337"/>
      <c r="H39" s="1378" t="s">
        <v>2159</v>
      </c>
      <c r="I39" s="1379">
        <f>ROUND(F39/$C$6,0)</f>
        <v>2416</v>
      </c>
      <c r="J39" s="337" t="s">
        <v>1078</v>
      </c>
      <c r="K39" s="373">
        <f t="shared" ref="K39:K43" si="11">F39</f>
        <v>4136916</v>
      </c>
      <c r="L39" s="373">
        <f>K39</f>
        <v>4136916</v>
      </c>
      <c r="M39" s="373"/>
      <c r="N39" s="373"/>
      <c r="O39" s="373"/>
    </row>
    <row r="40" spans="1:31">
      <c r="A40" s="99" t="s">
        <v>18</v>
      </c>
      <c r="B40" s="86">
        <f>'SRSU FGD'!M64</f>
        <v>3934229</v>
      </c>
      <c r="C40" s="87">
        <f t="shared" si="9"/>
        <v>2297</v>
      </c>
      <c r="D40" s="86">
        <f>'SRSU FGD'!F64</f>
        <v>54116</v>
      </c>
      <c r="E40" s="74"/>
      <c r="F40" s="74">
        <f t="shared" si="10"/>
        <v>3880113</v>
      </c>
      <c r="G40" s="337"/>
      <c r="J40" s="337" t="s">
        <v>1079</v>
      </c>
      <c r="K40" s="373">
        <f t="shared" si="11"/>
        <v>3880113</v>
      </c>
      <c r="L40" s="373"/>
      <c r="M40" s="373">
        <f>K40</f>
        <v>3880113</v>
      </c>
      <c r="N40" s="373"/>
      <c r="O40" s="373"/>
    </row>
    <row r="41" spans="1:31">
      <c r="A41" s="99" t="s">
        <v>19</v>
      </c>
      <c r="B41" s="86">
        <f>'SRSU FGD'!M65</f>
        <v>13772449</v>
      </c>
      <c r="C41" s="87">
        <f t="shared" si="9"/>
        <v>8042</v>
      </c>
      <c r="D41" s="86">
        <f>'SRSU FGD'!F65</f>
        <v>51918</v>
      </c>
      <c r="E41" s="74"/>
      <c r="F41" s="74">
        <f t="shared" si="10"/>
        <v>13720531</v>
      </c>
      <c r="G41" s="337"/>
      <c r="H41" s="1378" t="s">
        <v>2160</v>
      </c>
      <c r="I41" s="1379">
        <f>ROUND(F41/$C$6,0)</f>
        <v>8012</v>
      </c>
      <c r="J41" s="337" t="s">
        <v>757</v>
      </c>
      <c r="K41" s="373">
        <f t="shared" si="11"/>
        <v>13720531</v>
      </c>
      <c r="L41" s="373"/>
      <c r="M41" s="373"/>
      <c r="N41" s="373">
        <f>K41</f>
        <v>13720531</v>
      </c>
      <c r="O41" s="373"/>
    </row>
    <row r="42" spans="1:31">
      <c r="A42" s="99" t="s">
        <v>20</v>
      </c>
      <c r="B42" s="86">
        <f>'SRSU FGD'!M66</f>
        <v>5347313</v>
      </c>
      <c r="C42" s="87">
        <f t="shared" si="9"/>
        <v>3123</v>
      </c>
      <c r="D42" s="86">
        <f>'SRSU FGD'!F66</f>
        <v>18</v>
      </c>
      <c r="E42" s="74"/>
      <c r="F42" s="74">
        <f t="shared" si="10"/>
        <v>5347295</v>
      </c>
      <c r="G42" s="337"/>
      <c r="J42" s="337" t="s">
        <v>758</v>
      </c>
      <c r="K42" s="373">
        <f t="shared" si="11"/>
        <v>5347295</v>
      </c>
      <c r="L42" s="373"/>
      <c r="M42" s="373"/>
      <c r="N42" s="373">
        <f>K42</f>
        <v>5347295</v>
      </c>
      <c r="O42" s="373"/>
    </row>
    <row r="43" spans="1:31">
      <c r="A43" s="99" t="s">
        <v>21</v>
      </c>
      <c r="B43" s="86">
        <f>'SRSU FGD'!M67</f>
        <v>5602061</v>
      </c>
      <c r="C43" s="87">
        <f t="shared" si="9"/>
        <v>3271</v>
      </c>
      <c r="D43" s="86">
        <f>'SRSU FGD'!F67</f>
        <v>0</v>
      </c>
      <c r="E43" s="74"/>
      <c r="F43" s="74">
        <f t="shared" si="10"/>
        <v>5602061</v>
      </c>
      <c r="G43" s="337"/>
      <c r="H43" s="337"/>
      <c r="I43" s="337"/>
      <c r="J43" s="337" t="s">
        <v>1145</v>
      </c>
      <c r="K43" s="373">
        <f t="shared" si="11"/>
        <v>5602061</v>
      </c>
      <c r="L43" s="373"/>
      <c r="M43" s="373">
        <f>K43</f>
        <v>5602061</v>
      </c>
      <c r="N43" s="373"/>
      <c r="O43" s="373"/>
    </row>
    <row r="44" spans="1:31">
      <c r="A44" s="99" t="s">
        <v>2135</v>
      </c>
      <c r="B44" s="86">
        <f>'SRSU FGD'!M68</f>
        <v>4623659</v>
      </c>
      <c r="C44" s="87">
        <f t="shared" si="9"/>
        <v>2700</v>
      </c>
      <c r="D44" s="729">
        <f>B44</f>
        <v>4623659</v>
      </c>
      <c r="E44" s="74"/>
      <c r="F44" s="74">
        <f t="shared" si="10"/>
        <v>0</v>
      </c>
      <c r="G44" s="337"/>
      <c r="H44" s="337"/>
      <c r="I44" s="337"/>
      <c r="J44" s="337" t="s">
        <v>743</v>
      </c>
      <c r="K44" s="736"/>
      <c r="L44" s="737"/>
      <c r="M44" s="737" t="s">
        <v>1152</v>
      </c>
      <c r="N44" s="737"/>
      <c r="O44" s="738"/>
    </row>
    <row r="45" spans="1:31">
      <c r="A45" s="99" t="s">
        <v>61</v>
      </c>
      <c r="B45" s="86">
        <f>'SRSU FGD'!M69</f>
        <v>471724</v>
      </c>
      <c r="C45" s="87">
        <f t="shared" si="9"/>
        <v>275</v>
      </c>
      <c r="D45" s="86">
        <f>'SRSU FGD'!F69</f>
        <v>15085</v>
      </c>
      <c r="E45" s="74"/>
      <c r="F45" s="74">
        <f t="shared" si="10"/>
        <v>456639</v>
      </c>
      <c r="G45" s="337"/>
      <c r="H45" s="337"/>
      <c r="I45" s="337"/>
      <c r="J45" s="337" t="s">
        <v>1080</v>
      </c>
      <c r="K45" s="373">
        <f t="shared" ref="K45:K46" si="12">F45</f>
        <v>456639</v>
      </c>
      <c r="L45" s="373"/>
      <c r="M45" s="373"/>
      <c r="N45" s="373"/>
      <c r="O45" s="373">
        <f>K45</f>
        <v>456639</v>
      </c>
    </row>
    <row r="46" spans="1:31" ht="13.5" thickBot="1">
      <c r="A46" s="75" t="s">
        <v>50</v>
      </c>
      <c r="B46" s="86">
        <f>'SRSU FGD'!M70</f>
        <v>0</v>
      </c>
      <c r="C46" s="87">
        <f t="shared" si="9"/>
        <v>0</v>
      </c>
      <c r="D46" s="86">
        <f>'SRSU FGD'!F70</f>
        <v>0</v>
      </c>
      <c r="E46" s="74"/>
      <c r="F46" s="74">
        <f t="shared" si="10"/>
        <v>0</v>
      </c>
      <c r="G46" s="35"/>
      <c r="H46" s="1378" t="s">
        <v>2161</v>
      </c>
      <c r="I46" s="1379">
        <f>ROUND(SUM(F37+F40+F42+F43+F45+F46)/$C$6,0)</f>
        <v>9963</v>
      </c>
      <c r="J46" s="610" t="s">
        <v>1075</v>
      </c>
      <c r="K46" s="373">
        <f t="shared" si="12"/>
        <v>0</v>
      </c>
      <c r="L46" s="611"/>
      <c r="M46" s="611"/>
      <c r="N46" s="611"/>
      <c r="O46" s="373">
        <f>K46</f>
        <v>0</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50965404</v>
      </c>
      <c r="C47" s="45">
        <f>SUM(C36:C46)</f>
        <v>29760</v>
      </c>
      <c r="D47" s="730">
        <f>SUM(D36:D46)</f>
        <v>4756255</v>
      </c>
      <c r="E47" s="731">
        <f>SUM(E36:E46)</f>
        <v>1370256</v>
      </c>
      <c r="F47" s="719">
        <f>SUM(F36:F46)</f>
        <v>44838893</v>
      </c>
      <c r="G47" s="1688" t="s">
        <v>1176</v>
      </c>
      <c r="H47" s="1689"/>
      <c r="I47" s="785" t="s">
        <v>1164</v>
      </c>
      <c r="J47" s="610" t="s">
        <v>1081</v>
      </c>
      <c r="K47" s="612">
        <f>SUM(K36:K46)</f>
        <v>44838893</v>
      </c>
      <c r="L47" s="612">
        <f>SUM(L36:L46)</f>
        <v>15832254</v>
      </c>
      <c r="M47" s="612">
        <f>SUM(M36:M46)</f>
        <v>9482174</v>
      </c>
      <c r="N47" s="612">
        <f>SUM(N36:N46)</f>
        <v>19067826</v>
      </c>
      <c r="O47" s="612">
        <f>SUM(O36:O46)</f>
        <v>456639</v>
      </c>
    </row>
    <row r="48" spans="1:31" ht="14.25" thickTop="1" thickBot="1">
      <c r="A48" s="93"/>
      <c r="B48" s="98"/>
      <c r="C48" s="75"/>
      <c r="F48" s="613"/>
      <c r="G48" s="1690"/>
      <c r="H48" s="1691"/>
      <c r="I48" s="823">
        <f>ROUND(F47/C6,0)</f>
        <v>26183</v>
      </c>
      <c r="J48" s="1700" t="s">
        <v>1082</v>
      </c>
      <c r="K48" s="611"/>
      <c r="L48" s="611"/>
      <c r="M48" s="611"/>
      <c r="N48" s="611"/>
      <c r="O48" s="611"/>
    </row>
    <row r="49" spans="1:31" ht="13.5" thickBot="1">
      <c r="A49" s="78" t="s">
        <v>23</v>
      </c>
      <c r="B49" s="82"/>
      <c r="C49" s="75"/>
      <c r="F49" s="614"/>
      <c r="G49" s="1690"/>
      <c r="H49" s="1691"/>
      <c r="I49" s="811"/>
      <c r="J49" s="1700"/>
      <c r="K49" s="615">
        <f>ROUND(K47/$C$6,2)</f>
        <v>26183.14</v>
      </c>
      <c r="L49" s="615">
        <f t="shared" ref="L49:O49" si="13">ROUND(L47/$C$6,2)</f>
        <v>9245.06</v>
      </c>
      <c r="M49" s="615">
        <f t="shared" si="13"/>
        <v>5537</v>
      </c>
      <c r="N49" s="615">
        <f t="shared" si="13"/>
        <v>11134.43</v>
      </c>
      <c r="O49" s="615">
        <f t="shared" si="13"/>
        <v>266.64999999999998</v>
      </c>
      <c r="P49" s="35"/>
      <c r="Q49" s="96"/>
      <c r="R49" s="96"/>
      <c r="S49" s="96"/>
      <c r="T49" s="96"/>
      <c r="U49" s="96"/>
      <c r="V49" s="96"/>
      <c r="W49" s="96"/>
      <c r="X49" s="96"/>
      <c r="Y49" s="96"/>
      <c r="Z49" s="96"/>
      <c r="AA49" s="96"/>
      <c r="AB49" s="96"/>
      <c r="AC49" s="96"/>
      <c r="AD49" s="96"/>
      <c r="AE49" s="96"/>
    </row>
    <row r="50" spans="1:31" ht="13.5" thickBot="1">
      <c r="A50" s="75" t="s">
        <v>62</v>
      </c>
      <c r="B50" s="86">
        <f>'SRSU FGD'!M74</f>
        <v>-3443236</v>
      </c>
      <c r="C50" s="83">
        <f t="shared" ref="C50:C53" si="14">ROUND(B50/$C$6,0)</f>
        <v>-2011</v>
      </c>
      <c r="D50" s="512">
        <f>'SRSU FGD'!F74</f>
        <v>0</v>
      </c>
      <c r="E50" s="512"/>
      <c r="F50" s="732">
        <f t="shared" ref="F50:F53" si="15">B50-(SUM(D50:E50))</f>
        <v>-3443236</v>
      </c>
      <c r="G50" s="1692"/>
      <c r="H50" s="1693"/>
      <c r="I50" s="808"/>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'SRSU FGD'!M75</f>
        <v>-3941288</v>
      </c>
      <c r="C51" s="87">
        <f t="shared" si="14"/>
        <v>-2301</v>
      </c>
      <c r="D51" s="91">
        <f>'SRSU FGD'!F75</f>
        <v>-2598748</v>
      </c>
      <c r="E51" s="82"/>
      <c r="F51" s="74">
        <f t="shared" si="15"/>
        <v>-1342540</v>
      </c>
      <c r="G51" s="337"/>
      <c r="J51" s="337"/>
      <c r="K51" s="616"/>
      <c r="L51" s="616"/>
      <c r="M51" s="616"/>
      <c r="N51" s="616"/>
      <c r="O51" s="616"/>
    </row>
    <row r="52" spans="1:31">
      <c r="A52" s="75" t="s">
        <v>51</v>
      </c>
      <c r="B52" s="86">
        <f>'SRSU FGD'!M76</f>
        <v>0</v>
      </c>
      <c r="C52" s="87">
        <f t="shared" si="14"/>
        <v>0</v>
      </c>
      <c r="D52" s="91">
        <f>'SRSU FGD'!F76</f>
        <v>0</v>
      </c>
      <c r="E52" s="82"/>
      <c r="F52" s="74">
        <f t="shared" si="15"/>
        <v>0</v>
      </c>
      <c r="G52" s="337"/>
      <c r="J52" s="733"/>
      <c r="K52" s="733"/>
      <c r="L52" s="733"/>
      <c r="M52" s="733"/>
      <c r="N52" s="733"/>
      <c r="O52" s="733"/>
    </row>
    <row r="53" spans="1:31" ht="12" customHeight="1">
      <c r="A53" s="75" t="s">
        <v>46</v>
      </c>
      <c r="B53" s="86">
        <f>'SRSU FGD'!M77</f>
        <v>0</v>
      </c>
      <c r="C53" s="87">
        <f t="shared" si="14"/>
        <v>0</v>
      </c>
      <c r="D53" s="91">
        <f>'SRSU FGD'!F77</f>
        <v>0</v>
      </c>
      <c r="E53" s="82"/>
      <c r="F53" s="74">
        <f t="shared" si="15"/>
        <v>0</v>
      </c>
      <c r="G53" s="35"/>
      <c r="J53" s="733"/>
      <c r="K53" s="733"/>
      <c r="L53" s="733"/>
      <c r="M53" s="733"/>
      <c r="N53" s="733"/>
      <c r="O53" s="733"/>
      <c r="P53" s="35"/>
      <c r="Q53" s="96"/>
      <c r="R53" s="96"/>
      <c r="S53" s="96"/>
      <c r="T53" s="96"/>
      <c r="U53" s="96"/>
      <c r="V53" s="96"/>
      <c r="W53" s="96"/>
      <c r="X53" s="96"/>
      <c r="Y53" s="96"/>
      <c r="Z53" s="96"/>
      <c r="AA53" s="96"/>
      <c r="AB53" s="96"/>
      <c r="AC53" s="96"/>
      <c r="AD53" s="96"/>
      <c r="AE53" s="96"/>
    </row>
    <row r="54" spans="1:31">
      <c r="A54" s="88" t="s">
        <v>3</v>
      </c>
      <c r="B54" s="89">
        <f>SUM(B50:B53)</f>
        <v>-7384524</v>
      </c>
      <c r="C54" s="89">
        <f>SUM(C50:C53)</f>
        <v>-4312</v>
      </c>
      <c r="D54" s="89">
        <f>SUM(D50:D53)</f>
        <v>-2598748</v>
      </c>
      <c r="E54" s="89">
        <f>SUM(E50:E53)</f>
        <v>0</v>
      </c>
      <c r="F54" s="102">
        <f>SUM(F50:F53)</f>
        <v>-4785776</v>
      </c>
      <c r="G54" s="337"/>
      <c r="H54" s="337"/>
      <c r="I54" s="337"/>
      <c r="J54" s="733"/>
      <c r="K54" s="733"/>
      <c r="L54" s="733"/>
      <c r="M54" s="733"/>
      <c r="N54" s="733"/>
      <c r="O54" s="733"/>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'SRSU FGD'!M81</f>
        <v>2258482</v>
      </c>
      <c r="C57" s="83">
        <f>ROUND(B57/$C$6,0)</f>
        <v>1319</v>
      </c>
      <c r="D57" s="512">
        <f>'SRSU FGD'!F81</f>
        <v>0</v>
      </c>
      <c r="E57" s="512"/>
      <c r="F57" s="512">
        <f t="shared" ref="F57:F58" si="16">B57-(SUM(D57:E57))</f>
        <v>2258482</v>
      </c>
      <c r="G57" s="337"/>
      <c r="H57" s="337"/>
      <c r="I57" s="337"/>
      <c r="J57" s="337"/>
    </row>
    <row r="58" spans="1:31">
      <c r="A58" s="75" t="s">
        <v>48</v>
      </c>
      <c r="B58" s="86">
        <f>'SRSU FGD'!M82</f>
        <v>196306</v>
      </c>
      <c r="C58" s="87">
        <f>ROUND(B58/$C$6,0)</f>
        <v>115</v>
      </c>
      <c r="D58" s="91">
        <f>'SRSU FGD'!F82</f>
        <v>0</v>
      </c>
      <c r="E58" s="82"/>
      <c r="F58" s="74">
        <f t="shared" si="16"/>
        <v>196306</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2454788</v>
      </c>
      <c r="C59" s="89">
        <f>SUM(C57:C58)</f>
        <v>1434</v>
      </c>
      <c r="D59" s="89">
        <f>SUM(D57:D58)</f>
        <v>0</v>
      </c>
      <c r="E59" s="89">
        <f>SUM(E57:E58)</f>
        <v>0</v>
      </c>
      <c r="F59" s="89">
        <f>SUM(F57:F58)</f>
        <v>2454788</v>
      </c>
      <c r="G59" s="367"/>
      <c r="H59" s="367"/>
      <c r="I59" s="367"/>
      <c r="J59" s="367"/>
      <c r="K59" s="266"/>
      <c r="L59" s="266"/>
      <c r="M59" s="266"/>
      <c r="N59" s="266"/>
      <c r="O59" s="266"/>
      <c r="P59" s="266"/>
    </row>
    <row r="60" spans="1:31">
      <c r="B60" s="82"/>
      <c r="C60" s="75"/>
    </row>
    <row r="61" spans="1:31" ht="13.5" thickBot="1">
      <c r="A61" s="103" t="s">
        <v>573</v>
      </c>
      <c r="B61" s="46">
        <f>B33-B47+B54+B59</f>
        <v>4011763</v>
      </c>
      <c r="C61" s="46">
        <f>C33-C47+C54+C59</f>
        <v>2345</v>
      </c>
      <c r="D61" s="46">
        <f>D33-D47+D54+D59</f>
        <v>-4896395</v>
      </c>
      <c r="E61" s="46">
        <f>E33-E47+E54+E59</f>
        <v>-1370256</v>
      </c>
      <c r="F61" s="46">
        <f>F33-F47+F54+F59</f>
        <v>10278414</v>
      </c>
    </row>
    <row r="62" spans="1:31" ht="13.5" thickTop="1"/>
    <row r="63" spans="1:31">
      <c r="D63" s="512"/>
    </row>
    <row r="65" spans="2:16">
      <c r="B65" s="734">
        <f>'SRSU FGD'!$M$85</f>
        <v>4011763</v>
      </c>
      <c r="C65" s="75"/>
      <c r="D65" s="734">
        <f>'SRSU FGD'!$F$85</f>
        <v>-4896395</v>
      </c>
      <c r="E65" s="734">
        <f>'SRSU FGD'!$M$62*-1</f>
        <v>-1381715</v>
      </c>
      <c r="F65" s="75"/>
    </row>
    <row r="66" spans="2:16">
      <c r="B66" s="734"/>
      <c r="C66" s="75"/>
      <c r="D66" s="734">
        <f>'SRSU FGD'!$F$68</f>
        <v>4623659</v>
      </c>
      <c r="E66" s="734">
        <f>+$D$38</f>
        <v>11459</v>
      </c>
      <c r="F66" s="734"/>
    </row>
    <row r="67" spans="2:16">
      <c r="B67" s="759"/>
      <c r="C67" s="75"/>
      <c r="D67" s="759">
        <f>-'SRSU FGD'!$M$68</f>
        <v>-4623659</v>
      </c>
      <c r="E67" s="759"/>
      <c r="F67" s="734"/>
    </row>
    <row r="68" spans="2:16">
      <c r="B68" s="734">
        <f>SUM(B65:B67)</f>
        <v>4011763</v>
      </c>
      <c r="C68" s="75"/>
      <c r="D68" s="734">
        <f>SUM(D65:D67)</f>
        <v>-4896395</v>
      </c>
      <c r="E68" s="734">
        <f>SUM(E65:E67)</f>
        <v>-1370256</v>
      </c>
      <c r="F68" s="734">
        <f>B68-D68-E68</f>
        <v>10278414</v>
      </c>
    </row>
    <row r="69" spans="2:16">
      <c r="B69" s="734"/>
      <c r="C69" s="75"/>
      <c r="D69" s="734">
        <f>'SRSU FGD'!F54*-1</f>
        <v>-2457439</v>
      </c>
      <c r="E69" s="734"/>
      <c r="F69" s="734"/>
    </row>
    <row r="70" spans="2:16" ht="12.75" customHeight="1">
      <c r="B70" s="759"/>
      <c r="C70" s="95"/>
      <c r="D70" s="759">
        <f>'SRSU FGD'!M54</f>
        <v>2457439</v>
      </c>
      <c r="E70" s="759"/>
      <c r="F70" s="759">
        <f>-D70-D69</f>
        <v>0</v>
      </c>
    </row>
    <row r="71" spans="2:16" ht="12.75" customHeight="1">
      <c r="B71" s="734">
        <f>SUM(B68:B70)</f>
        <v>4011763</v>
      </c>
      <c r="C71" s="75"/>
      <c r="D71" s="734">
        <f>SUM(D68:D70)</f>
        <v>-4896395</v>
      </c>
      <c r="E71" s="734">
        <f>SUM(E68:E70)</f>
        <v>-1370256</v>
      </c>
      <c r="F71" s="734">
        <f>SUM(F68:F70)</f>
        <v>10278414</v>
      </c>
    </row>
    <row r="72" spans="2:16" ht="12.75" customHeight="1">
      <c r="B72" s="734"/>
      <c r="C72" s="75"/>
      <c r="D72" s="734"/>
      <c r="E72" s="734"/>
      <c r="F72" s="734"/>
    </row>
    <row r="73" spans="2:16" ht="12.75" customHeight="1">
      <c r="B73" s="512">
        <f>B61-B71</f>
        <v>0</v>
      </c>
      <c r="C73" s="75"/>
      <c r="D73" s="512">
        <f>D61-D71</f>
        <v>0</v>
      </c>
      <c r="E73" s="512">
        <f>E61-E71</f>
        <v>0</v>
      </c>
      <c r="F73" s="512">
        <f>F61-F71</f>
        <v>0</v>
      </c>
    </row>
    <row r="74" spans="2:16" ht="12.75" customHeight="1">
      <c r="C74" s="75"/>
      <c r="F74" s="617"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G47:H50"/>
    <mergeCell ref="K30:O30"/>
    <mergeCell ref="M31:M34"/>
    <mergeCell ref="G32:H32"/>
    <mergeCell ref="G33:H33"/>
    <mergeCell ref="L31:L34"/>
    <mergeCell ref="K31:K34"/>
    <mergeCell ref="N31:N34"/>
    <mergeCell ref="O31:O34"/>
    <mergeCell ref="J48:J49"/>
    <mergeCell ref="F1:I1"/>
    <mergeCell ref="J1:O1"/>
    <mergeCell ref="D1:E1"/>
    <mergeCell ref="K29:O29"/>
    <mergeCell ref="D4:D5"/>
    <mergeCell ref="E4:E5"/>
  </mergeCells>
  <hyperlinks>
    <hyperlink ref="D1:E1" location="Index!A1" display="Return to Index" xr:uid="{00000000-0004-0000-86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codeName="Sheet113">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D26" sqref="D26"/>
    </sheetView>
  </sheetViews>
  <sheetFormatPr defaultColWidth="9.140625"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4.42578125" style="164" customWidth="1"/>
    <col min="15" max="15" width="14.42578125" style="261" customWidth="1"/>
    <col min="16" max="16" width="25.7109375" style="264" customWidth="1"/>
    <col min="17" max="17" width="16.42578125" style="264" customWidth="1"/>
    <col min="18" max="18" width="16.140625" style="264" customWidth="1"/>
    <col min="19" max="19" width="1.7109375" style="264" customWidth="1"/>
    <col min="20" max="20" width="17.140625" style="264" customWidth="1"/>
    <col min="21" max="21" width="16.85546875" style="264" customWidth="1"/>
    <col min="22" max="23" width="19.28515625" style="264" customWidth="1"/>
    <col min="24" max="24" width="16.855468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13" t="str">
        <f>'SRSU Chrts'!$A$1</f>
        <v>Sul Ross State University</v>
      </c>
      <c r="C2" s="1713"/>
      <c r="D2" s="1713"/>
      <c r="E2" s="1713"/>
      <c r="F2" s="1742"/>
      <c r="G2" s="160"/>
      <c r="H2" s="161"/>
      <c r="I2" s="320" t="str">
        <f>IF($B$2&lt;&gt;Input!$B$33,"Name Mismatch","")</f>
        <v/>
      </c>
      <c r="J2" s="168"/>
      <c r="K2" s="169"/>
      <c r="L2" s="169"/>
      <c r="M2" s="170"/>
      <c r="O2" s="835" t="s">
        <v>1200</v>
      </c>
      <c r="P2" s="36"/>
    </row>
    <row r="3" spans="1:28" ht="20.25">
      <c r="A3" s="184">
        <v>2</v>
      </c>
      <c r="B3" s="1713" t="str">
        <f>'Smmy Chrts'!$A$2</f>
        <v>For the Year Ended August 31, 2021</v>
      </c>
      <c r="C3" s="1713"/>
      <c r="D3" s="1713"/>
      <c r="E3" s="1713"/>
      <c r="F3" s="1742"/>
      <c r="G3" s="161"/>
      <c r="H3" s="161"/>
      <c r="I3" s="169"/>
      <c r="J3" s="168"/>
      <c r="K3" s="169"/>
      <c r="L3" s="169"/>
      <c r="M3" s="170"/>
      <c r="O3" s="74"/>
    </row>
    <row r="4" spans="1:28" ht="20.25">
      <c r="A4" s="184">
        <v>3</v>
      </c>
      <c r="B4" s="1713" t="str">
        <f>'Smmy Chrts'!$A$3</f>
        <v>Source: FY 2021 Annual Financial Report</v>
      </c>
      <c r="C4" s="1713"/>
      <c r="D4" s="1713"/>
      <c r="E4" s="1713"/>
      <c r="F4" s="1742"/>
      <c r="G4" s="161"/>
      <c r="H4" s="161"/>
      <c r="I4" s="169"/>
      <c r="J4" s="168"/>
      <c r="K4" s="169"/>
      <c r="L4" s="169"/>
      <c r="M4" s="170"/>
      <c r="O4" s="74"/>
      <c r="P4" s="1744" t="s">
        <v>93</v>
      </c>
      <c r="Q4" s="1745"/>
      <c r="T4" s="36" t="s">
        <v>250</v>
      </c>
    </row>
    <row r="5" spans="1:28">
      <c r="A5" s="184">
        <v>4</v>
      </c>
      <c r="B5" s="160"/>
      <c r="C5" s="160"/>
      <c r="D5" s="160"/>
      <c r="E5" s="160"/>
      <c r="F5" s="160"/>
      <c r="G5" s="160"/>
      <c r="H5" s="160"/>
      <c r="I5" s="160"/>
      <c r="J5" s="160"/>
      <c r="K5" s="160"/>
      <c r="L5" s="160"/>
      <c r="M5" s="166"/>
      <c r="O5" s="262"/>
    </row>
    <row r="6" spans="1:28">
      <c r="A6" s="184">
        <v>5</v>
      </c>
      <c r="B6" s="1715" t="str">
        <f>'Smmy Chrts'!$C$32</f>
        <v>Detail Worksheet FY 2021</v>
      </c>
      <c r="C6" s="1715"/>
      <c r="D6" s="1743"/>
      <c r="E6" s="1743"/>
      <c r="F6" s="1743"/>
      <c r="G6" s="1743"/>
      <c r="H6" s="1743"/>
      <c r="I6" s="1743"/>
      <c r="J6" s="1743"/>
      <c r="K6" s="1743"/>
      <c r="L6" s="1743"/>
      <c r="M6" s="1743"/>
      <c r="O6" s="265"/>
    </row>
    <row r="7" spans="1:28">
      <c r="A7" s="184">
        <v>6</v>
      </c>
      <c r="B7" s="172"/>
      <c r="C7" s="172"/>
      <c r="D7" s="160"/>
      <c r="E7" s="160"/>
      <c r="F7" s="160"/>
      <c r="G7" s="160"/>
      <c r="H7" s="160"/>
      <c r="I7" s="160"/>
      <c r="J7" s="160"/>
      <c r="K7" s="160"/>
      <c r="L7" s="160"/>
      <c r="M7" s="173" t="str">
        <f>'Smmy Chrts'!$C$33</f>
        <v>FY 2021</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Input!$M$33</f>
        <v>19241603</v>
      </c>
      <c r="E10" s="372">
        <f>Input!$N$33</f>
        <v>0</v>
      </c>
      <c r="F10" s="372">
        <f>Input!$O$33</f>
        <v>0</v>
      </c>
      <c r="G10" s="372">
        <f>Input!$P$33</f>
        <v>0</v>
      </c>
      <c r="H10" s="372">
        <f>Input!$Q$33</f>
        <v>0</v>
      </c>
      <c r="I10" s="372">
        <f>Input!$R$33</f>
        <v>0</v>
      </c>
      <c r="J10" s="372">
        <f>Input!$S$33</f>
        <v>0</v>
      </c>
      <c r="K10" s="372">
        <f>Input!$T$33</f>
        <v>0</v>
      </c>
      <c r="L10" s="372">
        <f>Input!$U$33</f>
        <v>0</v>
      </c>
      <c r="M10" s="373">
        <f t="shared" ref="M10:M15" si="0">D10+E10+F10+G10+H10+I10+J10+K10+L10</f>
        <v>19241603</v>
      </c>
      <c r="N10" s="160"/>
      <c r="O10" s="271"/>
      <c r="P10" s="1718" t="s">
        <v>575</v>
      </c>
      <c r="U10" s="268"/>
    </row>
    <row r="11" spans="1:28">
      <c r="A11" s="184">
        <v>10</v>
      </c>
      <c r="B11" s="160" t="s">
        <v>2</v>
      </c>
      <c r="C11" s="160"/>
      <c r="D11" s="372">
        <f>Input!$V$33</f>
        <v>0</v>
      </c>
      <c r="E11" s="372">
        <f>Input!$W$33</f>
        <v>0</v>
      </c>
      <c r="F11" s="372">
        <f>Input!$X$33</f>
        <v>0</v>
      </c>
      <c r="G11" s="372">
        <f>Input!$Y$33</f>
        <v>1819893</v>
      </c>
      <c r="H11" s="372">
        <f>Input!$Z$33</f>
        <v>0</v>
      </c>
      <c r="I11" s="372">
        <f>Input!$AA$33</f>
        <v>0</v>
      </c>
      <c r="J11" s="372">
        <f>Input!$AB$33</f>
        <v>0</v>
      </c>
      <c r="K11" s="372">
        <f>Input!$AC$33</f>
        <v>0</v>
      </c>
      <c r="L11" s="372">
        <f>Input!$AD$33</f>
        <v>0</v>
      </c>
      <c r="M11" s="373">
        <f t="shared" si="0"/>
        <v>1819893</v>
      </c>
      <c r="N11" s="160"/>
      <c r="O11" s="482"/>
      <c r="P11" s="1719"/>
      <c r="U11" s="268"/>
    </row>
    <row r="12" spans="1:28" ht="12.75" hidden="1" customHeight="1">
      <c r="B12" s="160" t="s">
        <v>1410</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Input!$AN$33</f>
        <v>2624613</v>
      </c>
      <c r="E13" s="372">
        <f>Input!$AO$33</f>
        <v>0</v>
      </c>
      <c r="F13" s="372">
        <f>Input!$AP$33</f>
        <v>0</v>
      </c>
      <c r="G13" s="372">
        <f>Input!$AQ$33</f>
        <v>0</v>
      </c>
      <c r="H13" s="372">
        <f>Input!$AR$33</f>
        <v>0</v>
      </c>
      <c r="I13" s="372">
        <f>Input!$AS$33</f>
        <v>0</v>
      </c>
      <c r="J13" s="372">
        <f>Input!$AT$33</f>
        <v>0</v>
      </c>
      <c r="K13" s="372">
        <f>Input!$AU$33</f>
        <v>0</v>
      </c>
      <c r="L13" s="372">
        <f>Input!$AV$33</f>
        <v>0</v>
      </c>
      <c r="M13" s="373">
        <f t="shared" si="0"/>
        <v>2624613</v>
      </c>
      <c r="N13" s="160"/>
      <c r="O13" s="482" t="str">
        <f>IF(P13&lt;&gt;M13,"Out of Balance","Balanced")</f>
        <v>Balanced</v>
      </c>
      <c r="P13" s="484">
        <f>IFERROR(VLOOKUP($B$2,AMTLU,6,FALSE),0)</f>
        <v>2624613</v>
      </c>
      <c r="U13" s="268"/>
    </row>
    <row r="14" spans="1:28">
      <c r="A14" s="184">
        <v>13</v>
      </c>
      <c r="B14" s="160" t="s">
        <v>49</v>
      </c>
      <c r="C14" s="160"/>
      <c r="D14" s="372">
        <f>Input!$AW$33</f>
        <v>0</v>
      </c>
      <c r="E14" s="372">
        <f>Input!$AX$33</f>
        <v>0</v>
      </c>
      <c r="F14" s="372">
        <f>Input!$AY$33</f>
        <v>0</v>
      </c>
      <c r="G14" s="372">
        <f>Input!$AZ$33</f>
        <v>0</v>
      </c>
      <c r="H14" s="372">
        <f>Input!$BA$33</f>
        <v>0</v>
      </c>
      <c r="I14" s="372">
        <f>Input!$BB$33</f>
        <v>0</v>
      </c>
      <c r="J14" s="372">
        <f>Input!$BC$33</f>
        <v>0</v>
      </c>
      <c r="K14" s="372">
        <f>Input!$BD$33</f>
        <v>0</v>
      </c>
      <c r="L14" s="372">
        <f>Input!$BE$33</f>
        <v>0</v>
      </c>
      <c r="M14" s="373">
        <f t="shared" si="0"/>
        <v>0</v>
      </c>
      <c r="N14" s="160"/>
      <c r="O14" s="482"/>
      <c r="P14" s="485"/>
    </row>
    <row r="15" spans="1:28" ht="15">
      <c r="A15" s="184">
        <v>14</v>
      </c>
      <c r="B15" s="176" t="s">
        <v>3</v>
      </c>
      <c r="C15" s="176"/>
      <c r="D15" s="374">
        <f t="shared" ref="D15:L15" si="1">SUM(D10:D14)</f>
        <v>21866216</v>
      </c>
      <c r="E15" s="374">
        <f t="shared" si="1"/>
        <v>0</v>
      </c>
      <c r="F15" s="374">
        <f t="shared" si="1"/>
        <v>0</v>
      </c>
      <c r="G15" s="374">
        <f t="shared" si="1"/>
        <v>1819893</v>
      </c>
      <c r="H15" s="374">
        <f t="shared" si="1"/>
        <v>0</v>
      </c>
      <c r="I15" s="374">
        <f t="shared" si="1"/>
        <v>0</v>
      </c>
      <c r="J15" s="374">
        <f t="shared" si="1"/>
        <v>0</v>
      </c>
      <c r="K15" s="374">
        <f t="shared" si="1"/>
        <v>0</v>
      </c>
      <c r="L15" s="374">
        <f t="shared" si="1"/>
        <v>0</v>
      </c>
      <c r="M15" s="374">
        <f t="shared" si="0"/>
        <v>23686109</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58" t="s">
        <v>1042</v>
      </c>
      <c r="C18" s="558"/>
      <c r="D18" s="374">
        <f t="shared" ref="D18:L18" si="2">D23-SUM(D19:D22)</f>
        <v>2827081</v>
      </c>
      <c r="E18" s="374">
        <f t="shared" si="2"/>
        <v>7542791</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10369872</v>
      </c>
      <c r="V18" s="327"/>
      <c r="X18" s="330"/>
    </row>
    <row r="19" spans="1:26" s="264" customFormat="1" ht="12.75" customHeight="1" thickTop="1" thickBot="1">
      <c r="A19" s="263"/>
      <c r="B19" s="261" t="s">
        <v>722</v>
      </c>
      <c r="C19" s="261"/>
      <c r="D19" s="372">
        <f>Input!$BF$33</f>
        <v>0</v>
      </c>
      <c r="E19" s="372">
        <f>Input!$BG$33</f>
        <v>0</v>
      </c>
      <c r="F19" s="372">
        <f>Input!$BH$33</f>
        <v>0</v>
      </c>
      <c r="G19" s="372">
        <f>Input!$BI$33</f>
        <v>0</v>
      </c>
      <c r="H19" s="372">
        <f>Input!$BJ$33</f>
        <v>0</v>
      </c>
      <c r="I19" s="372">
        <f>Input!$BK$33</f>
        <v>0</v>
      </c>
      <c r="J19" s="372">
        <f>Input!$BL$33</f>
        <v>0</v>
      </c>
      <c r="K19" s="372">
        <f>Input!$BM$33</f>
        <v>0</v>
      </c>
      <c r="L19" s="372">
        <f>Input!$BN$33</f>
        <v>0</v>
      </c>
      <c r="M19" s="373">
        <f t="shared" si="3"/>
        <v>0</v>
      </c>
      <c r="O19" s="1732" t="s">
        <v>1294</v>
      </c>
      <c r="P19" s="1733"/>
      <c r="Q19" s="1733"/>
      <c r="R19" s="1734"/>
      <c r="T19" s="1735" t="s">
        <v>1043</v>
      </c>
      <c r="U19" s="1736"/>
      <c r="V19" s="1736"/>
      <c r="W19" s="1736"/>
      <c r="X19" s="1737"/>
    </row>
    <row r="20" spans="1:26" s="264" customFormat="1" ht="12.75" customHeight="1" thickTop="1">
      <c r="A20" s="263"/>
      <c r="B20" s="261" t="s">
        <v>723</v>
      </c>
      <c r="C20" s="261"/>
      <c r="D20" s="372">
        <f>Input!$BO$33</f>
        <v>0</v>
      </c>
      <c r="E20" s="372">
        <f>Input!$BP$33</f>
        <v>0</v>
      </c>
      <c r="F20" s="372">
        <f>Input!$BQ$33</f>
        <v>0</v>
      </c>
      <c r="G20" s="372">
        <f>Input!$BR$33</f>
        <v>0</v>
      </c>
      <c r="H20" s="372">
        <f>Input!$BS$33</f>
        <v>0</v>
      </c>
      <c r="I20" s="372">
        <f>Input!$BT$33</f>
        <v>0</v>
      </c>
      <c r="J20" s="372">
        <f>Input!$BU$33</f>
        <v>0</v>
      </c>
      <c r="K20" s="372">
        <f>Input!$BV$33</f>
        <v>0</v>
      </c>
      <c r="L20" s="372">
        <f>Input!$BW$33</f>
        <v>0</v>
      </c>
      <c r="M20" s="373">
        <f t="shared" si="3"/>
        <v>0</v>
      </c>
      <c r="O20" s="421" t="s">
        <v>288</v>
      </c>
      <c r="P20" s="422"/>
      <c r="Q20" s="414"/>
      <c r="R20" s="559"/>
      <c r="T20" s="560" t="s">
        <v>1044</v>
      </c>
      <c r="U20" s="266"/>
      <c r="V20" s="266"/>
      <c r="X20" s="425"/>
    </row>
    <row r="21" spans="1:26" s="264" customFormat="1">
      <c r="A21" s="263"/>
      <c r="B21" s="261" t="s">
        <v>724</v>
      </c>
      <c r="C21" s="261"/>
      <c r="D21" s="372">
        <f>Input!$BX$33</f>
        <v>0</v>
      </c>
      <c r="E21" s="372">
        <f>Input!$BY$33</f>
        <v>0</v>
      </c>
      <c r="F21" s="372">
        <f>Input!$BZ$33</f>
        <v>0</v>
      </c>
      <c r="G21" s="372">
        <f>Input!$CA$33</f>
        <v>0</v>
      </c>
      <c r="H21" s="372">
        <f>Input!$CB$33</f>
        <v>0</v>
      </c>
      <c r="I21" s="372">
        <f>Input!$CC$33</f>
        <v>0</v>
      </c>
      <c r="J21" s="372">
        <f>Input!$CD$33</f>
        <v>0</v>
      </c>
      <c r="K21" s="372">
        <f>Input!$CE$33</f>
        <v>0</v>
      </c>
      <c r="L21" s="372">
        <f>Input!$CF$33</f>
        <v>0</v>
      </c>
      <c r="M21" s="373">
        <f t="shared" si="3"/>
        <v>0</v>
      </c>
      <c r="O21" s="434"/>
      <c r="R21" s="561"/>
      <c r="T21" s="650" t="s">
        <v>1045</v>
      </c>
      <c r="U21" s="266"/>
      <c r="V21" s="266"/>
      <c r="W21" s="651">
        <f>M44</f>
        <v>9678587</v>
      </c>
      <c r="X21" s="425"/>
      <c r="Z21" s="330"/>
    </row>
    <row r="22" spans="1:26" s="264" customFormat="1">
      <c r="A22" s="263"/>
      <c r="B22" s="261" t="s">
        <v>725</v>
      </c>
      <c r="C22" s="261"/>
      <c r="D22" s="372">
        <f>Input!$CG$33</f>
        <v>0</v>
      </c>
      <c r="E22" s="372">
        <f>Input!$CH$33</f>
        <v>0</v>
      </c>
      <c r="F22" s="372">
        <f>Input!$CI$33</f>
        <v>0</v>
      </c>
      <c r="G22" s="372">
        <f>Input!$CJ$33</f>
        <v>0</v>
      </c>
      <c r="H22" s="372">
        <f>Input!$CK$33</f>
        <v>0</v>
      </c>
      <c r="I22" s="372">
        <f>Input!$CL$33</f>
        <v>0</v>
      </c>
      <c r="J22" s="372">
        <f>Input!$CM$33</f>
        <v>0</v>
      </c>
      <c r="K22" s="372">
        <f>Input!$CN$33</f>
        <v>0</v>
      </c>
      <c r="L22" s="372">
        <f>Input!$CO$33</f>
        <v>0</v>
      </c>
      <c r="M22" s="373">
        <f t="shared" si="3"/>
        <v>0</v>
      </c>
      <c r="N22" s="270"/>
      <c r="O22" s="434" t="s">
        <v>1046</v>
      </c>
      <c r="P22" s="276"/>
      <c r="Q22" s="424">
        <f>M23</f>
        <v>10369872</v>
      </c>
      <c r="R22" s="562"/>
      <c r="T22" s="650" t="s">
        <v>1047</v>
      </c>
      <c r="U22" s="266"/>
      <c r="V22" s="266"/>
      <c r="W22" s="652">
        <f>R30*-1</f>
        <v>5494266</v>
      </c>
      <c r="X22" s="425"/>
    </row>
    <row r="23" spans="1:26" s="264" customFormat="1" ht="12.75" customHeight="1">
      <c r="A23" s="263"/>
      <c r="B23" s="558" t="s">
        <v>726</v>
      </c>
      <c r="C23" s="563"/>
      <c r="D23" s="564">
        <f>Input!$CP$33</f>
        <v>2827081</v>
      </c>
      <c r="E23" s="564">
        <f>Input!$CQ$33</f>
        <v>7542791</v>
      </c>
      <c r="F23" s="564">
        <f>Input!$CR$33</f>
        <v>0</v>
      </c>
      <c r="G23" s="564">
        <f>Input!$CS$33</f>
        <v>0</v>
      </c>
      <c r="H23" s="564">
        <f>Input!$CT$33</f>
        <v>0</v>
      </c>
      <c r="I23" s="564">
        <f>Input!$CU$33</f>
        <v>0</v>
      </c>
      <c r="J23" s="564">
        <f>Input!$CV$33</f>
        <v>0</v>
      </c>
      <c r="K23" s="564">
        <f>Input!$CW$33</f>
        <v>0</v>
      </c>
      <c r="L23" s="564">
        <f>Input!$CX$33</f>
        <v>0</v>
      </c>
      <c r="M23" s="565">
        <f t="shared" si="3"/>
        <v>10369872</v>
      </c>
      <c r="O23" s="434"/>
      <c r="P23" s="276"/>
      <c r="Q23" s="424"/>
      <c r="R23" s="562"/>
      <c r="T23" s="560" t="s">
        <v>1230</v>
      </c>
      <c r="U23" s="266"/>
      <c r="V23" s="266"/>
      <c r="W23" s="276"/>
      <c r="X23" s="425">
        <f>SUM(W21:W22)</f>
        <v>15172853</v>
      </c>
      <c r="Z23" s="330"/>
    </row>
    <row r="24" spans="1:26" s="264" customFormat="1" ht="12.75" customHeight="1">
      <c r="A24" s="263"/>
      <c r="B24" s="261" t="s">
        <v>727</v>
      </c>
      <c r="C24" s="566"/>
      <c r="D24" s="372">
        <f>Input!$CY$33</f>
        <v>-22233</v>
      </c>
      <c r="E24" s="372">
        <f>Input!$CZ$33</f>
        <v>-95818</v>
      </c>
      <c r="F24" s="372">
        <f>Input!$DA$33</f>
        <v>0</v>
      </c>
      <c r="G24" s="372">
        <f>Input!$DB$33</f>
        <v>0</v>
      </c>
      <c r="H24" s="372">
        <f>Input!$DC$33</f>
        <v>0</v>
      </c>
      <c r="I24" s="372">
        <f>Input!$DD$33</f>
        <v>0</v>
      </c>
      <c r="J24" s="372">
        <f>Input!$DE$33</f>
        <v>0</v>
      </c>
      <c r="K24" s="372">
        <f>Input!$DF$33</f>
        <v>0</v>
      </c>
      <c r="L24" s="372">
        <f>Input!$DG$33</f>
        <v>0</v>
      </c>
      <c r="M24" s="567">
        <f t="shared" si="3"/>
        <v>-118051</v>
      </c>
      <c r="O24" s="417" t="s">
        <v>1048</v>
      </c>
      <c r="P24" s="276"/>
      <c r="Q24" s="327"/>
      <c r="R24" s="646">
        <f>SUM(M24:M28)</f>
        <v>-4052500</v>
      </c>
      <c r="T24" s="560"/>
      <c r="U24" s="266"/>
      <c r="V24" s="266"/>
      <c r="X24" s="425"/>
      <c r="Z24" s="330"/>
    </row>
    <row r="25" spans="1:26" s="264" customFormat="1" ht="12.75" customHeight="1">
      <c r="A25" s="263"/>
      <c r="B25" s="261" t="s">
        <v>728</v>
      </c>
      <c r="C25" s="566"/>
      <c r="D25" s="372">
        <f>Input!$DH$33</f>
        <v>-13704</v>
      </c>
      <c r="E25" s="372">
        <f>Input!$DI$33</f>
        <v>0</v>
      </c>
      <c r="F25" s="372">
        <f>Input!$DJ$33</f>
        <v>0</v>
      </c>
      <c r="G25" s="372">
        <f>Input!$DK$33</f>
        <v>0</v>
      </c>
      <c r="H25" s="372">
        <f>Input!$DL$33</f>
        <v>0</v>
      </c>
      <c r="I25" s="372">
        <f>Input!$DM$33</f>
        <v>0</v>
      </c>
      <c r="J25" s="372">
        <f>Input!$DN$33</f>
        <v>0</v>
      </c>
      <c r="K25" s="372">
        <f>Input!$DO$33</f>
        <v>0</v>
      </c>
      <c r="L25" s="372">
        <f>Input!$DP$33</f>
        <v>0</v>
      </c>
      <c r="M25" s="567">
        <f t="shared" si="3"/>
        <v>-13704</v>
      </c>
      <c r="O25" s="434"/>
      <c r="P25" s="276"/>
      <c r="Q25" s="327"/>
      <c r="R25" s="646"/>
      <c r="T25" s="568" t="s">
        <v>1103</v>
      </c>
      <c r="U25" s="569"/>
      <c r="V25" s="569"/>
      <c r="W25" s="653">
        <f>(M26+M39)*-1</f>
        <v>747761</v>
      </c>
      <c r="X25" s="425"/>
      <c r="Z25" s="330"/>
    </row>
    <row r="26" spans="1:26" s="264" customFormat="1" ht="12.75" customHeight="1">
      <c r="A26" s="263"/>
      <c r="B26" s="261" t="s">
        <v>729</v>
      </c>
      <c r="C26" s="566"/>
      <c r="D26" s="372">
        <f>Input!$DQ$33</f>
        <v>-28848</v>
      </c>
      <c r="E26" s="372">
        <f>Input!$DR$33</f>
        <v>-76916</v>
      </c>
      <c r="F26" s="372">
        <f>Input!$DS$33</f>
        <v>0</v>
      </c>
      <c r="G26" s="372">
        <f>Input!$DT$33</f>
        <v>0</v>
      </c>
      <c r="H26" s="372">
        <f>Input!$DU$33</f>
        <v>0</v>
      </c>
      <c r="I26" s="372">
        <f>Input!$DV$33</f>
        <v>0</v>
      </c>
      <c r="J26" s="372">
        <f>Input!$DW$33</f>
        <v>0</v>
      </c>
      <c r="K26" s="372">
        <f>Input!$DX$33</f>
        <v>0</v>
      </c>
      <c r="L26" s="372">
        <f>Input!$DY$33</f>
        <v>0</v>
      </c>
      <c r="M26" s="567">
        <f t="shared" si="3"/>
        <v>-105764</v>
      </c>
      <c r="O26" s="434" t="s">
        <v>1049</v>
      </c>
      <c r="P26" s="276"/>
      <c r="Q26" s="427">
        <f>M36</f>
        <v>4802981</v>
      </c>
      <c r="R26" s="570"/>
      <c r="T26" s="560" t="s">
        <v>1104</v>
      </c>
      <c r="U26" s="266"/>
      <c r="V26" s="266"/>
      <c r="W26" s="571">
        <f>(M21+M34)*-1</f>
        <v>0</v>
      </c>
      <c r="X26" s="425"/>
      <c r="Z26" s="330"/>
    </row>
    <row r="27" spans="1:26" s="264" customFormat="1">
      <c r="A27" s="263"/>
      <c r="B27" s="261" t="s">
        <v>730</v>
      </c>
      <c r="C27" s="566"/>
      <c r="D27" s="372">
        <f>Input!$DZ$33</f>
        <v>0</v>
      </c>
      <c r="E27" s="372">
        <f>Input!$EA$33</f>
        <v>0</v>
      </c>
      <c r="F27" s="372">
        <f>Input!$EB$33</f>
        <v>0</v>
      </c>
      <c r="G27" s="372">
        <f>Input!$EC$33</f>
        <v>0</v>
      </c>
      <c r="H27" s="372">
        <f>Input!$ED$33</f>
        <v>0</v>
      </c>
      <c r="I27" s="372">
        <f>Input!$EE$33</f>
        <v>0</v>
      </c>
      <c r="J27" s="372">
        <f>Input!$EF$33</f>
        <v>0</v>
      </c>
      <c r="K27" s="372">
        <f>Input!$EG$33</f>
        <v>0</v>
      </c>
      <c r="L27" s="372">
        <f>Input!EH6</f>
        <v>0</v>
      </c>
      <c r="M27" s="567">
        <f t="shared" si="3"/>
        <v>0</v>
      </c>
      <c r="O27" s="434"/>
      <c r="P27" s="276"/>
      <c r="Q27" s="427"/>
      <c r="R27" s="570"/>
      <c r="T27" s="650" t="s">
        <v>1105</v>
      </c>
      <c r="U27" s="584"/>
      <c r="V27" s="584"/>
      <c r="W27" s="654">
        <f>SUM(W25:W26)</f>
        <v>747761</v>
      </c>
      <c r="X27" s="655"/>
    </row>
    <row r="28" spans="1:26" s="264" customFormat="1">
      <c r="A28" s="263"/>
      <c r="B28" s="261" t="s">
        <v>2133</v>
      </c>
      <c r="C28" s="566"/>
      <c r="D28" s="372">
        <f>Input!$EI$33</f>
        <v>0</v>
      </c>
      <c r="E28" s="372">
        <f>Input!$EJ$33</f>
        <v>-3814981</v>
      </c>
      <c r="F28" s="372">
        <f>Input!$EK$33</f>
        <v>0</v>
      </c>
      <c r="G28" s="372">
        <f>Input!$EL$33</f>
        <v>0</v>
      </c>
      <c r="H28" s="372">
        <f>Input!$EM$33</f>
        <v>0</v>
      </c>
      <c r="I28" s="372">
        <f>Input!$EN$33</f>
        <v>0</v>
      </c>
      <c r="J28" s="372">
        <f>Input!$EO$33</f>
        <v>0</v>
      </c>
      <c r="K28" s="372">
        <f>Input!$EP$33</f>
        <v>0</v>
      </c>
      <c r="L28" s="372">
        <f>Input!$EQ$33</f>
        <v>0</v>
      </c>
      <c r="M28" s="567">
        <f t="shared" si="3"/>
        <v>-3814981</v>
      </c>
      <c r="O28" s="417" t="s">
        <v>1050</v>
      </c>
      <c r="Q28" s="429"/>
      <c r="R28" s="646">
        <f>SUM(M37:M41)</f>
        <v>-1441766</v>
      </c>
      <c r="T28" s="560" t="s">
        <v>1106</v>
      </c>
      <c r="U28" s="266"/>
      <c r="V28" s="266"/>
      <c r="W28" s="425">
        <f>(M27+M40)*-1</f>
        <v>0</v>
      </c>
      <c r="X28" s="655"/>
      <c r="Z28" s="330"/>
    </row>
    <row r="29" spans="1:26" s="264" customFormat="1" ht="12" customHeight="1">
      <c r="A29" s="263"/>
      <c r="B29" s="575" t="s">
        <v>39</v>
      </c>
      <c r="C29" s="563"/>
      <c r="D29" s="374">
        <f t="shared" ref="D29:L29" si="4">SUM(D23:D28)</f>
        <v>2762296</v>
      </c>
      <c r="E29" s="374">
        <f t="shared" si="4"/>
        <v>3555076</v>
      </c>
      <c r="F29" s="374">
        <f t="shared" si="4"/>
        <v>0</v>
      </c>
      <c r="G29" s="374">
        <f t="shared" si="4"/>
        <v>0</v>
      </c>
      <c r="H29" s="374">
        <f t="shared" si="4"/>
        <v>0</v>
      </c>
      <c r="I29" s="374">
        <f t="shared" si="4"/>
        <v>0</v>
      </c>
      <c r="J29" s="374">
        <f t="shared" si="4"/>
        <v>0</v>
      </c>
      <c r="K29" s="374">
        <f t="shared" si="4"/>
        <v>0</v>
      </c>
      <c r="L29" s="374">
        <f t="shared" si="4"/>
        <v>0</v>
      </c>
      <c r="M29" s="374">
        <f t="shared" si="3"/>
        <v>6317372</v>
      </c>
      <c r="O29" s="417"/>
      <c r="Q29" s="429"/>
      <c r="R29" s="576"/>
      <c r="T29" s="560" t="s">
        <v>1107</v>
      </c>
      <c r="U29" s="266"/>
      <c r="V29" s="266"/>
      <c r="W29" s="571">
        <f>(M22+M35)*-1</f>
        <v>0</v>
      </c>
      <c r="X29" s="655"/>
    </row>
    <row r="30" spans="1:26" s="264" customFormat="1" ht="16.5" customHeight="1">
      <c r="A30" s="263"/>
      <c r="B30" s="261"/>
      <c r="C30" s="566"/>
      <c r="D30" s="566"/>
      <c r="E30" s="566"/>
      <c r="F30" s="566"/>
      <c r="G30" s="566"/>
      <c r="H30" s="566"/>
      <c r="I30" s="566"/>
      <c r="J30" s="566"/>
      <c r="K30" s="566"/>
      <c r="L30" s="566"/>
      <c r="M30" s="567"/>
      <c r="O30" s="431" t="s">
        <v>289</v>
      </c>
      <c r="P30" s="432"/>
      <c r="Q30" s="433">
        <f>Q26+Q22</f>
        <v>15172853</v>
      </c>
      <c r="R30" s="647">
        <f>R28+R24</f>
        <v>-5494266</v>
      </c>
      <c r="T30" s="650" t="s">
        <v>1108</v>
      </c>
      <c r="U30" s="584"/>
      <c r="V30" s="584"/>
      <c r="W30" s="654">
        <f>SUM(W28:W29)</f>
        <v>0</v>
      </c>
      <c r="X30" s="655"/>
    </row>
    <row r="31" spans="1:26" s="264" customFormat="1" ht="12.75" customHeight="1">
      <c r="A31" s="263"/>
      <c r="B31" s="558" t="s">
        <v>1052</v>
      </c>
      <c r="C31" s="558"/>
      <c r="D31" s="374">
        <f t="shared" ref="D31:L31" si="5">D36-SUM(D32:D35)</f>
        <v>513036</v>
      </c>
      <c r="E31" s="374">
        <f t="shared" si="5"/>
        <v>4289945</v>
      </c>
      <c r="F31" s="374">
        <f t="shared" si="5"/>
        <v>0</v>
      </c>
      <c r="G31" s="374">
        <f t="shared" si="5"/>
        <v>0</v>
      </c>
      <c r="H31" s="374">
        <f t="shared" si="5"/>
        <v>0</v>
      </c>
      <c r="I31" s="374">
        <f t="shared" si="5"/>
        <v>0</v>
      </c>
      <c r="J31" s="374">
        <f t="shared" si="5"/>
        <v>0</v>
      </c>
      <c r="K31" s="374">
        <f t="shared" si="5"/>
        <v>0</v>
      </c>
      <c r="L31" s="374">
        <f t="shared" si="5"/>
        <v>0</v>
      </c>
      <c r="M31" s="374">
        <f t="shared" ref="M31:M42" si="6">D31+E31+F31+G31+H31+I31+J31+K31+L31</f>
        <v>4802981</v>
      </c>
      <c r="O31" s="434" t="s">
        <v>290</v>
      </c>
      <c r="P31" s="276"/>
      <c r="Q31" s="335"/>
      <c r="R31" s="562"/>
      <c r="T31" s="572" t="s">
        <v>1109</v>
      </c>
      <c r="U31" s="573"/>
      <c r="V31" s="573"/>
      <c r="W31" s="574">
        <f>W27+W30</f>
        <v>747761</v>
      </c>
      <c r="X31" s="425"/>
      <c r="Z31" s="330"/>
    </row>
    <row r="32" spans="1:26" s="264" customFormat="1" ht="12.75" customHeight="1">
      <c r="A32" s="263"/>
      <c r="B32" s="261" t="s">
        <v>722</v>
      </c>
      <c r="C32" s="261"/>
      <c r="D32" s="372">
        <f>Input!$ER$33</f>
        <v>0</v>
      </c>
      <c r="E32" s="372">
        <f>Input!$ES$33</f>
        <v>0</v>
      </c>
      <c r="F32" s="372">
        <f>Input!$ET$33</f>
        <v>0</v>
      </c>
      <c r="G32" s="372">
        <f>Input!$EU$33</f>
        <v>0</v>
      </c>
      <c r="H32" s="372">
        <f>Input!$EV$33</f>
        <v>0</v>
      </c>
      <c r="I32" s="372">
        <f>Input!$EW$33</f>
        <v>0</v>
      </c>
      <c r="J32" s="372">
        <f>Input!$EX$33</f>
        <v>0</v>
      </c>
      <c r="K32" s="372">
        <f>Input!$EY$33</f>
        <v>0</v>
      </c>
      <c r="L32" s="372">
        <f>Input!$EZ$33</f>
        <v>0</v>
      </c>
      <c r="M32" s="567">
        <f t="shared" si="6"/>
        <v>0</v>
      </c>
      <c r="O32" s="415" t="s">
        <v>1295</v>
      </c>
      <c r="P32" s="416"/>
      <c r="Q32" s="577">
        <f>Input!$SQ$33</f>
        <v>15172853</v>
      </c>
      <c r="R32" s="578"/>
      <c r="T32" s="560"/>
      <c r="U32" s="266"/>
      <c r="V32" s="266"/>
      <c r="X32" s="425"/>
      <c r="Z32" s="330"/>
    </row>
    <row r="33" spans="1:24" s="264" customFormat="1">
      <c r="A33" s="263"/>
      <c r="B33" s="261" t="s">
        <v>723</v>
      </c>
      <c r="C33" s="261"/>
      <c r="D33" s="372">
        <f>Input!$FA$33</f>
        <v>0</v>
      </c>
      <c r="E33" s="372">
        <f>Input!$FB$33</f>
        <v>0</v>
      </c>
      <c r="F33" s="372">
        <f>Input!$FC$33</f>
        <v>0</v>
      </c>
      <c r="G33" s="372">
        <f>Input!$FD$33</f>
        <v>0</v>
      </c>
      <c r="H33" s="372">
        <f>Input!$FE$33</f>
        <v>0</v>
      </c>
      <c r="I33" s="372">
        <f>Input!$FF$33</f>
        <v>0</v>
      </c>
      <c r="J33" s="372">
        <f>Input!$FG$33</f>
        <v>0</v>
      </c>
      <c r="K33" s="372">
        <f>Input!$FH$33</f>
        <v>0</v>
      </c>
      <c r="L33" s="372">
        <f>Input!$FI$33</f>
        <v>0</v>
      </c>
      <c r="M33" s="567">
        <f t="shared" si="6"/>
        <v>0</v>
      </c>
      <c r="O33" s="415"/>
      <c r="P33" s="416"/>
      <c r="Q33" s="327"/>
      <c r="R33" s="578"/>
      <c r="T33" s="560" t="s">
        <v>1051</v>
      </c>
      <c r="U33" s="266"/>
      <c r="V33" s="266"/>
      <c r="W33" s="334">
        <f>(M19+M32)*-1</f>
        <v>0</v>
      </c>
      <c r="X33" s="425"/>
    </row>
    <row r="34" spans="1:24" s="264" customFormat="1">
      <c r="A34" s="263"/>
      <c r="B34" s="261" t="s">
        <v>724</v>
      </c>
      <c r="C34" s="261"/>
      <c r="D34" s="372">
        <f>Input!$FJ$33</f>
        <v>0</v>
      </c>
      <c r="E34" s="372">
        <f>Input!$FK$33</f>
        <v>0</v>
      </c>
      <c r="F34" s="372">
        <f>Input!$FL$33</f>
        <v>0</v>
      </c>
      <c r="G34" s="372">
        <f>Input!$FM$33</f>
        <v>0</v>
      </c>
      <c r="H34" s="372">
        <f>Input!$FN$33</f>
        <v>0</v>
      </c>
      <c r="I34" s="372">
        <f>Input!$FO$33</f>
        <v>0</v>
      </c>
      <c r="J34" s="372">
        <f>Input!$FP$33</f>
        <v>0</v>
      </c>
      <c r="K34" s="372">
        <f>Input!$FQ$33</f>
        <v>0</v>
      </c>
      <c r="L34" s="372">
        <f>Input!$FR$33</f>
        <v>0</v>
      </c>
      <c r="M34" s="567">
        <f t="shared" si="6"/>
        <v>0</v>
      </c>
      <c r="O34" s="435" t="s">
        <v>1296</v>
      </c>
      <c r="P34" s="436"/>
      <c r="Q34" s="264" t="s">
        <v>291</v>
      </c>
      <c r="R34" s="648">
        <f>Input!$SR$33</f>
        <v>-5494266</v>
      </c>
      <c r="T34" s="560" t="s">
        <v>1110</v>
      </c>
      <c r="U34" s="266"/>
      <c r="V34" s="266"/>
      <c r="W34" s="430">
        <f>(M24+M37)*-1</f>
        <v>917820</v>
      </c>
      <c r="X34" s="425"/>
    </row>
    <row r="35" spans="1:24" s="264" customFormat="1" ht="13.5" thickBot="1">
      <c r="A35" s="263"/>
      <c r="B35" s="261" t="s">
        <v>725</v>
      </c>
      <c r="C35" s="261"/>
      <c r="D35" s="372">
        <f>Input!$FS$33</f>
        <v>0</v>
      </c>
      <c r="E35" s="372">
        <f>Input!$FT$33</f>
        <v>0</v>
      </c>
      <c r="F35" s="372">
        <f>Input!$FU$33</f>
        <v>0</v>
      </c>
      <c r="G35" s="372">
        <f>Input!$FV$33</f>
        <v>0</v>
      </c>
      <c r="H35" s="372">
        <f>Input!$FW$33</f>
        <v>0</v>
      </c>
      <c r="I35" s="372">
        <f>Input!$FX$33</f>
        <v>0</v>
      </c>
      <c r="J35" s="372">
        <f>Input!$FY$33</f>
        <v>0</v>
      </c>
      <c r="K35" s="372">
        <f>Input!$FZ$33</f>
        <v>0</v>
      </c>
      <c r="L35" s="372">
        <f>Input!$GA$33</f>
        <v>0</v>
      </c>
      <c r="M35" s="567">
        <f t="shared" si="6"/>
        <v>0</v>
      </c>
      <c r="O35" s="418" t="s">
        <v>286</v>
      </c>
      <c r="P35" s="419"/>
      <c r="Q35" s="420">
        <f>Q30-Q32</f>
        <v>0</v>
      </c>
      <c r="R35" s="649">
        <f>R30-R34</f>
        <v>0</v>
      </c>
      <c r="T35" s="650" t="s">
        <v>1111</v>
      </c>
      <c r="U35" s="584"/>
      <c r="V35" s="584"/>
      <c r="W35" s="656">
        <f>SUM(W33:W34)</f>
        <v>917820</v>
      </c>
      <c r="X35" s="655"/>
    </row>
    <row r="36" spans="1:24" s="264" customFormat="1" ht="13.5" thickTop="1">
      <c r="A36" s="263"/>
      <c r="B36" s="558" t="s">
        <v>732</v>
      </c>
      <c r="C36" s="563"/>
      <c r="D36" s="564">
        <f>Input!$GB$33</f>
        <v>513036</v>
      </c>
      <c r="E36" s="564">
        <f>Input!$GC$33</f>
        <v>4289945</v>
      </c>
      <c r="F36" s="564">
        <f>Input!$GD$33</f>
        <v>0</v>
      </c>
      <c r="G36" s="564">
        <f>Input!$GE$33</f>
        <v>0</v>
      </c>
      <c r="H36" s="564">
        <f>Input!$GF$33</f>
        <v>0</v>
      </c>
      <c r="I36" s="564">
        <f>Input!$GG$33</f>
        <v>0</v>
      </c>
      <c r="J36" s="564">
        <f>Input!$GH$33</f>
        <v>0</v>
      </c>
      <c r="K36" s="564">
        <f>Input!$GI$33</f>
        <v>0</v>
      </c>
      <c r="L36" s="564">
        <f>Input!$GJ$33</f>
        <v>0</v>
      </c>
      <c r="M36" s="565">
        <f t="shared" si="6"/>
        <v>4802981</v>
      </c>
      <c r="O36" s="261"/>
      <c r="Q36" s="412" t="str">
        <f>IF(Q30&lt;&gt;Q32,"Out of Balance","Balanced")</f>
        <v>Balanced</v>
      </c>
      <c r="R36" s="412" t="str">
        <f>IF(R30&lt;&gt;R34,"Out of Balance","Balanced")</f>
        <v>Balanced</v>
      </c>
      <c r="T36" s="560" t="s">
        <v>1053</v>
      </c>
      <c r="U36" s="266"/>
      <c r="V36" s="266"/>
      <c r="W36" s="334">
        <f>(M20+M33)*-1</f>
        <v>0</v>
      </c>
      <c r="X36" s="425"/>
    </row>
    <row r="37" spans="1:24" s="264" customFormat="1">
      <c r="A37" s="263"/>
      <c r="B37" s="261" t="s">
        <v>727</v>
      </c>
      <c r="C37" s="566"/>
      <c r="D37" s="372">
        <f>Input!$GK$33</f>
        <v>-218143</v>
      </c>
      <c r="E37" s="372">
        <f>Input!$GL$33</f>
        <v>-581626</v>
      </c>
      <c r="F37" s="372">
        <f>Input!$GM$33</f>
        <v>0</v>
      </c>
      <c r="G37" s="372">
        <f>Input!$GN$33</f>
        <v>0</v>
      </c>
      <c r="H37" s="372">
        <f>Input!$GO$33</f>
        <v>0</v>
      </c>
      <c r="I37" s="372">
        <f>Input!$GP$33</f>
        <v>0</v>
      </c>
      <c r="J37" s="372">
        <f>Input!$GQ$33</f>
        <v>0</v>
      </c>
      <c r="K37" s="372">
        <f>Input!$GR$33</f>
        <v>0</v>
      </c>
      <c r="L37" s="372">
        <f>Input!$GS$33</f>
        <v>0</v>
      </c>
      <c r="M37" s="567">
        <f t="shared" si="6"/>
        <v>-799769</v>
      </c>
      <c r="O37" s="261"/>
      <c r="T37" s="560" t="s">
        <v>1112</v>
      </c>
      <c r="U37" s="266"/>
      <c r="V37" s="266"/>
      <c r="W37" s="430">
        <f>(M25+M38)*-1</f>
        <v>13704</v>
      </c>
      <c r="X37" s="655"/>
    </row>
    <row r="38" spans="1:24" s="264" customFormat="1">
      <c r="A38" s="263"/>
      <c r="B38" s="261" t="s">
        <v>728</v>
      </c>
      <c r="C38" s="566"/>
      <c r="D38" s="372">
        <f>Input!$GT$33</f>
        <v>0</v>
      </c>
      <c r="E38" s="372">
        <f>Input!$GU$33</f>
        <v>0</v>
      </c>
      <c r="F38" s="372">
        <f>Input!$GV$33</f>
        <v>0</v>
      </c>
      <c r="G38" s="372">
        <f>Input!$GW$33</f>
        <v>0</v>
      </c>
      <c r="H38" s="372">
        <f>Input!$GX$33</f>
        <v>0</v>
      </c>
      <c r="I38" s="372">
        <f>Input!$GY$33</f>
        <v>0</v>
      </c>
      <c r="J38" s="372">
        <f>Input!$GZ$33</f>
        <v>0</v>
      </c>
      <c r="K38" s="372">
        <f>Input!$HA$33</f>
        <v>0</v>
      </c>
      <c r="L38" s="372">
        <f>Input!$HB$33</f>
        <v>0</v>
      </c>
      <c r="M38" s="567">
        <f t="shared" si="6"/>
        <v>0</v>
      </c>
      <c r="O38" s="261"/>
      <c r="T38" s="650" t="s">
        <v>1113</v>
      </c>
      <c r="U38" s="584"/>
      <c r="V38" s="584"/>
      <c r="W38" s="656">
        <f>SUM(W36:W37)</f>
        <v>13704</v>
      </c>
      <c r="X38" s="425"/>
    </row>
    <row r="39" spans="1:24" s="264" customFormat="1">
      <c r="A39" s="263"/>
      <c r="B39" s="261" t="s">
        <v>729</v>
      </c>
      <c r="C39" s="566"/>
      <c r="D39" s="372">
        <f>Input!$HC$33</f>
        <v>-175110</v>
      </c>
      <c r="E39" s="372">
        <f>Input!$HD$33</f>
        <v>-466887</v>
      </c>
      <c r="F39" s="372">
        <f>Input!$HE$33</f>
        <v>0</v>
      </c>
      <c r="G39" s="372">
        <f>Input!$HF$33</f>
        <v>0</v>
      </c>
      <c r="H39" s="372">
        <f>Input!$HG$33</f>
        <v>0</v>
      </c>
      <c r="I39" s="372">
        <f>Input!$HH$33</f>
        <v>0</v>
      </c>
      <c r="J39" s="372">
        <f>Input!$HI$33</f>
        <v>0</v>
      </c>
      <c r="K39" s="372">
        <f>Input!$HJ$33</f>
        <v>0</v>
      </c>
      <c r="L39" s="372">
        <f>Input!$HK$33</f>
        <v>0</v>
      </c>
      <c r="M39" s="567">
        <f t="shared" si="6"/>
        <v>-641997</v>
      </c>
      <c r="O39" s="261"/>
      <c r="T39" s="560" t="s">
        <v>1054</v>
      </c>
      <c r="U39" s="266"/>
      <c r="V39" s="266"/>
      <c r="W39" s="334"/>
      <c r="X39" s="425">
        <f>W38+W35</f>
        <v>931524</v>
      </c>
    </row>
    <row r="40" spans="1:24" s="264" customFormat="1">
      <c r="A40" s="263"/>
      <c r="B40" s="261" t="s">
        <v>730</v>
      </c>
      <c r="C40" s="566"/>
      <c r="D40" s="372">
        <f>Input!$HL$33</f>
        <v>0</v>
      </c>
      <c r="E40" s="372">
        <f>Input!$HM$33</f>
        <v>0</v>
      </c>
      <c r="F40" s="372">
        <f>Input!$HN$33</f>
        <v>0</v>
      </c>
      <c r="G40" s="372">
        <f>Input!$HO$33</f>
        <v>0</v>
      </c>
      <c r="H40" s="372">
        <f>Input!$HP$33</f>
        <v>0</v>
      </c>
      <c r="I40" s="372">
        <f>Input!$HQ$33</f>
        <v>0</v>
      </c>
      <c r="J40" s="372">
        <f>Input!$HR$33</f>
        <v>0</v>
      </c>
      <c r="K40" s="372">
        <f>Input!$HS$33</f>
        <v>0</v>
      </c>
      <c r="L40" s="372">
        <f>Input!$HT$33</f>
        <v>0</v>
      </c>
      <c r="M40" s="567">
        <f t="shared" si="6"/>
        <v>0</v>
      </c>
      <c r="O40" s="261"/>
      <c r="T40" s="560"/>
      <c r="U40" s="261"/>
      <c r="V40" s="261"/>
      <c r="W40" s="261"/>
      <c r="X40" s="655"/>
    </row>
    <row r="41" spans="1:24" s="264" customFormat="1">
      <c r="A41" s="263"/>
      <c r="B41" s="261" t="s">
        <v>2133</v>
      </c>
      <c r="C41" s="566"/>
      <c r="D41" s="372">
        <f>Input!$HU$33</f>
        <v>0</v>
      </c>
      <c r="E41" s="372">
        <f>Input!$HV$33</f>
        <v>0</v>
      </c>
      <c r="F41" s="372">
        <f>Input!$HW$33</f>
        <v>0</v>
      </c>
      <c r="G41" s="372">
        <f>Input!$HX$33</f>
        <v>0</v>
      </c>
      <c r="H41" s="372">
        <f>Input!$HY$33</f>
        <v>0</v>
      </c>
      <c r="I41" s="372">
        <f>Input!$HZ$33</f>
        <v>0</v>
      </c>
      <c r="J41" s="372">
        <f>Input!$IA$33</f>
        <v>0</v>
      </c>
      <c r="K41" s="372">
        <f>Input!$IB$33</f>
        <v>0</v>
      </c>
      <c r="L41" s="372">
        <f>Input!$IC$33</f>
        <v>0</v>
      </c>
      <c r="M41" s="567">
        <f t="shared" si="6"/>
        <v>0</v>
      </c>
      <c r="O41"/>
      <c r="P41"/>
      <c r="Q41"/>
      <c r="R41"/>
      <c r="S41"/>
      <c r="T41" s="560" t="s">
        <v>1104</v>
      </c>
      <c r="U41" s="266"/>
      <c r="V41" s="266"/>
      <c r="W41" s="330">
        <f>(M21+M34)*-1</f>
        <v>0</v>
      </c>
      <c r="X41" s="425"/>
    </row>
    <row r="42" spans="1:24" s="264" customFormat="1">
      <c r="A42" s="263"/>
      <c r="B42" s="575" t="s">
        <v>40</v>
      </c>
      <c r="C42" s="563"/>
      <c r="D42" s="374">
        <f t="shared" ref="D42:L42" si="7">SUM(D36:D41)</f>
        <v>119783</v>
      </c>
      <c r="E42" s="374">
        <f t="shared" si="7"/>
        <v>3241432</v>
      </c>
      <c r="F42" s="374">
        <f t="shared" si="7"/>
        <v>0</v>
      </c>
      <c r="G42" s="374">
        <f t="shared" si="7"/>
        <v>0</v>
      </c>
      <c r="H42" s="374">
        <f t="shared" si="7"/>
        <v>0</v>
      </c>
      <c r="I42" s="374">
        <f t="shared" si="7"/>
        <v>0</v>
      </c>
      <c r="J42" s="374">
        <f t="shared" si="7"/>
        <v>0</v>
      </c>
      <c r="K42" s="374">
        <f t="shared" si="7"/>
        <v>0</v>
      </c>
      <c r="L42" s="374">
        <f t="shared" si="7"/>
        <v>0</v>
      </c>
      <c r="M42" s="374">
        <f t="shared" si="6"/>
        <v>3361215</v>
      </c>
      <c r="O42"/>
      <c r="P42"/>
      <c r="Q42"/>
      <c r="R42"/>
      <c r="S42"/>
      <c r="T42" s="560" t="s">
        <v>1107</v>
      </c>
      <c r="U42" s="266"/>
      <c r="V42" s="266"/>
      <c r="W42" s="430">
        <f>(M22+M35)*-1</f>
        <v>0</v>
      </c>
      <c r="X42" s="425"/>
    </row>
    <row r="43" spans="1:24" s="264" customFormat="1">
      <c r="A43" s="263"/>
      <c r="B43" s="261"/>
      <c r="C43" s="566"/>
      <c r="D43" s="566"/>
      <c r="E43" s="566"/>
      <c r="F43" s="566"/>
      <c r="G43" s="566"/>
      <c r="H43" s="566"/>
      <c r="I43" s="566"/>
      <c r="J43" s="566"/>
      <c r="K43" s="566"/>
      <c r="L43" s="566"/>
      <c r="M43" s="567"/>
      <c r="O43"/>
      <c r="P43"/>
      <c r="Q43"/>
      <c r="R43"/>
      <c r="S43"/>
      <c r="T43" s="650" t="s">
        <v>1114</v>
      </c>
      <c r="U43" s="584"/>
      <c r="V43" s="584"/>
      <c r="W43" s="656">
        <f>SUM(W41:W42)</f>
        <v>0</v>
      </c>
      <c r="X43" s="655"/>
    </row>
    <row r="44" spans="1:24" s="264" customFormat="1" ht="13.5" customHeight="1">
      <c r="A44" s="263"/>
      <c r="B44" s="575" t="s">
        <v>1055</v>
      </c>
      <c r="C44" s="563"/>
      <c r="D44" s="374">
        <f t="shared" ref="D44:L44" si="8">D42+D29</f>
        <v>2882079</v>
      </c>
      <c r="E44" s="374">
        <f t="shared" si="8"/>
        <v>6796508</v>
      </c>
      <c r="F44" s="374">
        <f t="shared" si="8"/>
        <v>0</v>
      </c>
      <c r="G44" s="374">
        <f t="shared" si="8"/>
        <v>0</v>
      </c>
      <c r="H44" s="374">
        <f t="shared" si="8"/>
        <v>0</v>
      </c>
      <c r="I44" s="374">
        <f t="shared" si="8"/>
        <v>0</v>
      </c>
      <c r="J44" s="374">
        <f t="shared" si="8"/>
        <v>0</v>
      </c>
      <c r="K44" s="374">
        <f t="shared" si="8"/>
        <v>0</v>
      </c>
      <c r="L44" s="374">
        <f t="shared" si="8"/>
        <v>0</v>
      </c>
      <c r="M44" s="374">
        <f>D44+E44+F44+G44+H44+I44+J44+K44+L44</f>
        <v>9678587</v>
      </c>
      <c r="O44"/>
      <c r="P44"/>
      <c r="Q44"/>
      <c r="R44"/>
      <c r="S44"/>
      <c r="T44" s="560"/>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0" t="s">
        <v>1110</v>
      </c>
      <c r="U45" s="266"/>
      <c r="V45" s="266"/>
      <c r="W45" s="334">
        <f>(M24+M37)*-1</f>
        <v>917820</v>
      </c>
      <c r="X45" s="425"/>
    </row>
    <row r="46" spans="1:24">
      <c r="A46" s="184">
        <v>29</v>
      </c>
      <c r="B46" s="172" t="s">
        <v>6</v>
      </c>
      <c r="C46" s="172"/>
      <c r="D46" s="373"/>
      <c r="E46" s="373"/>
      <c r="F46" s="373"/>
      <c r="G46" s="373"/>
      <c r="H46" s="373"/>
      <c r="I46" s="373"/>
      <c r="J46" s="373"/>
      <c r="K46" s="373"/>
      <c r="L46" s="373"/>
      <c r="M46" s="373"/>
      <c r="N46" s="160"/>
      <c r="O46"/>
      <c r="P46"/>
      <c r="Q46"/>
      <c r="R46"/>
      <c r="S46"/>
      <c r="T46" s="560" t="s">
        <v>1112</v>
      </c>
      <c r="U46" s="266"/>
      <c r="V46" s="266"/>
      <c r="W46" s="430">
        <f>(M25+M38)*-1</f>
        <v>13704</v>
      </c>
      <c r="X46" s="425"/>
    </row>
    <row r="47" spans="1:24">
      <c r="A47" s="184">
        <v>30</v>
      </c>
      <c r="B47" s="176" t="s">
        <v>7</v>
      </c>
      <c r="C47" s="176"/>
      <c r="D47" s="375">
        <f>Input!$ID$33</f>
        <v>0</v>
      </c>
      <c r="E47" s="375">
        <f>Input!$IE$33</f>
        <v>0</v>
      </c>
      <c r="F47" s="375">
        <f>Input!$IF$33</f>
        <v>0</v>
      </c>
      <c r="G47" s="375">
        <f>Input!$IG$33</f>
        <v>13524396</v>
      </c>
      <c r="H47" s="375">
        <f>Input!$IH$33</f>
        <v>0</v>
      </c>
      <c r="I47" s="375">
        <f>Input!$II$33</f>
        <v>0</v>
      </c>
      <c r="J47" s="375">
        <f>Input!$IJ$33</f>
        <v>0</v>
      </c>
      <c r="K47" s="375">
        <f>Input!$IK$33</f>
        <v>0</v>
      </c>
      <c r="L47" s="375">
        <f>Input!$IL$33</f>
        <v>0</v>
      </c>
      <c r="M47" s="374">
        <f>D47+E47+F47+G47+H47+I47+J47+K47+L47</f>
        <v>13524396</v>
      </c>
      <c r="N47" s="160"/>
      <c r="O47"/>
      <c r="P47"/>
      <c r="Q47"/>
      <c r="R47"/>
      <c r="S47"/>
      <c r="T47" s="657" t="s">
        <v>1115</v>
      </c>
      <c r="U47" s="27"/>
      <c r="V47" s="27"/>
      <c r="W47" s="656">
        <f>SUM(W45:W46)</f>
        <v>931524</v>
      </c>
      <c r="X47" s="655"/>
    </row>
    <row r="48" spans="1:24">
      <c r="A48" s="184">
        <v>31</v>
      </c>
      <c r="B48" s="160"/>
      <c r="C48" s="160"/>
      <c r="D48" s="373"/>
      <c r="E48" s="373"/>
      <c r="F48" s="373"/>
      <c r="G48" s="373"/>
      <c r="H48" s="373"/>
      <c r="I48" s="373"/>
      <c r="J48" s="373"/>
      <c r="K48" s="373"/>
      <c r="L48" s="373"/>
      <c r="M48" s="373"/>
      <c r="N48" s="160"/>
      <c r="O48"/>
      <c r="P48"/>
      <c r="Q48"/>
      <c r="R48"/>
      <c r="S48"/>
      <c r="T48" s="560"/>
      <c r="U48" s="261"/>
      <c r="V48" s="261"/>
      <c r="W48" s="261"/>
      <c r="X48" s="658">
        <f>W43-W47</f>
        <v>-931524</v>
      </c>
    </row>
    <row r="49" spans="1:28">
      <c r="A49" s="184">
        <v>32</v>
      </c>
      <c r="B49" s="172" t="s">
        <v>8</v>
      </c>
      <c r="C49" s="172"/>
      <c r="D49" s="373"/>
      <c r="E49" s="373"/>
      <c r="F49" s="373"/>
      <c r="G49" s="373"/>
      <c r="H49" s="373"/>
      <c r="I49" s="373"/>
      <c r="J49" s="373"/>
      <c r="K49" s="373"/>
      <c r="L49" s="373"/>
      <c r="M49" s="373"/>
      <c r="N49" s="160"/>
      <c r="O49" s="273"/>
      <c r="T49" s="579" t="s">
        <v>287</v>
      </c>
      <c r="U49" s="511"/>
      <c r="V49" s="580"/>
      <c r="W49" s="580"/>
      <c r="X49" s="574">
        <f>SUM(X23:X48)</f>
        <v>15172853</v>
      </c>
    </row>
    <row r="50" spans="1:28">
      <c r="A50" s="184">
        <v>33</v>
      </c>
      <c r="B50" s="160" t="s">
        <v>42</v>
      </c>
      <c r="C50" s="160"/>
      <c r="D50" s="372">
        <f>Input!$IM$33</f>
        <v>9269</v>
      </c>
      <c r="E50" s="372">
        <f>Input!$IN$33</f>
        <v>4862</v>
      </c>
      <c r="F50" s="372">
        <f>Input!$IO$33</f>
        <v>1169</v>
      </c>
      <c r="G50" s="372">
        <f>Input!$IP$33</f>
        <v>704</v>
      </c>
      <c r="H50" s="372">
        <f>Input!$IQ$33</f>
        <v>0</v>
      </c>
      <c r="I50" s="372">
        <f>Input!$IR$33</f>
        <v>2596430</v>
      </c>
      <c r="J50" s="372">
        <f>Input!$IS$33</f>
        <v>3765</v>
      </c>
      <c r="K50" s="372">
        <f>Input!$IT$33</f>
        <v>0</v>
      </c>
      <c r="L50" s="372">
        <f>Input!$IU$33</f>
        <v>0</v>
      </c>
      <c r="M50" s="373">
        <f t="shared" ref="M50:M57" si="9">D50+E50+F50+G50+H50+I50+J50+K50+L50</f>
        <v>2616199</v>
      </c>
      <c r="N50" s="160"/>
      <c r="O50" s="273"/>
      <c r="U50" s="275"/>
    </row>
    <row r="51" spans="1:28">
      <c r="A51" s="184">
        <v>34</v>
      </c>
      <c r="B51" s="160" t="s">
        <v>9</v>
      </c>
      <c r="C51" s="160"/>
      <c r="D51" s="372">
        <f>Input!$IV$33</f>
        <v>0</v>
      </c>
      <c r="E51" s="372">
        <f>Input!$IW$33</f>
        <v>0</v>
      </c>
      <c r="F51" s="372">
        <f>Input!$IX$33</f>
        <v>0</v>
      </c>
      <c r="G51" s="372">
        <f>Input!$IY$33</f>
        <v>0</v>
      </c>
      <c r="H51" s="372">
        <f>Input!$IZ$33</f>
        <v>0</v>
      </c>
      <c r="I51" s="372">
        <f>Input!$JA$33</f>
        <v>0</v>
      </c>
      <c r="J51" s="372">
        <f>Input!$JB$33</f>
        <v>0</v>
      </c>
      <c r="K51" s="372">
        <f>Input!$JC$33</f>
        <v>0</v>
      </c>
      <c r="L51" s="372">
        <f>Input!$JD$33</f>
        <v>0</v>
      </c>
      <c r="M51" s="376">
        <f t="shared" si="9"/>
        <v>0</v>
      </c>
      <c r="N51" s="160"/>
      <c r="Y51" s="277"/>
    </row>
    <row r="52" spans="1:28">
      <c r="A52" s="184">
        <v>35</v>
      </c>
      <c r="B52" s="160" t="s">
        <v>10</v>
      </c>
      <c r="C52" s="160"/>
      <c r="D52" s="372">
        <f>Input!$JE$33</f>
        <v>0</v>
      </c>
      <c r="E52" s="372">
        <f>Input!$JF$33</f>
        <v>2050</v>
      </c>
      <c r="F52" s="372">
        <f>Input!$JG$33</f>
        <v>0</v>
      </c>
      <c r="G52" s="372">
        <f>Input!$JH$33</f>
        <v>6388929</v>
      </c>
      <c r="H52" s="372">
        <f>Input!$JI$33</f>
        <v>0</v>
      </c>
      <c r="I52" s="372">
        <f>Input!$JJ$33</f>
        <v>9247</v>
      </c>
      <c r="J52" s="372">
        <f>Input!$JK$33</f>
        <v>574962</v>
      </c>
      <c r="K52" s="372">
        <f>Input!$JL$33</f>
        <v>0</v>
      </c>
      <c r="L52" s="372">
        <f>Input!$JM$33</f>
        <v>0</v>
      </c>
      <c r="M52" s="373">
        <f t="shared" si="9"/>
        <v>6975188</v>
      </c>
      <c r="N52" s="160"/>
      <c r="O52" s="273"/>
      <c r="P52" s="278"/>
    </row>
    <row r="53" spans="1:28">
      <c r="A53" s="184">
        <v>36</v>
      </c>
      <c r="B53" s="160" t="s">
        <v>11</v>
      </c>
      <c r="C53" s="160"/>
      <c r="D53" s="372">
        <f>Input!$JN$33</f>
        <v>0</v>
      </c>
      <c r="E53" s="372">
        <f>Input!$JO$33</f>
        <v>205737</v>
      </c>
      <c r="F53" s="372">
        <f>Input!$JP$33</f>
        <v>0</v>
      </c>
      <c r="G53" s="372">
        <f>Input!$JQ$33</f>
        <v>86760</v>
      </c>
      <c r="H53" s="372">
        <f>Input!$JR$33</f>
        <v>0</v>
      </c>
      <c r="I53" s="372">
        <f>Input!$JS$33</f>
        <v>18694</v>
      </c>
      <c r="J53" s="372">
        <f>Input!$JT$33</f>
        <v>0</v>
      </c>
      <c r="K53" s="372">
        <f>Input!$JU$33</f>
        <v>0</v>
      </c>
      <c r="L53" s="372">
        <f>Input!$JV$33</f>
        <v>0</v>
      </c>
      <c r="M53" s="373">
        <f t="shared" si="9"/>
        <v>311191</v>
      </c>
      <c r="N53" s="160"/>
      <c r="O53" s="273"/>
    </row>
    <row r="54" spans="1:28" ht="13.5" thickBot="1">
      <c r="A54" s="184">
        <v>37</v>
      </c>
      <c r="B54" s="177" t="s">
        <v>2134</v>
      </c>
      <c r="C54" s="177"/>
      <c r="D54" s="372">
        <f>Input!$JW$33</f>
        <v>0</v>
      </c>
      <c r="E54" s="372">
        <f>Input!$JX$33</f>
        <v>0</v>
      </c>
      <c r="F54" s="372">
        <f>Input!$JY$33</f>
        <v>2457439</v>
      </c>
      <c r="G54" s="372">
        <f>Input!$JZ$33</f>
        <v>0</v>
      </c>
      <c r="H54" s="372">
        <f>Input!$KA$33</f>
        <v>0</v>
      </c>
      <c r="I54" s="372">
        <f>Input!$KB$33</f>
        <v>0</v>
      </c>
      <c r="J54" s="372">
        <f>Input!$KC$33</f>
        <v>0</v>
      </c>
      <c r="K54" s="372">
        <f>Input!$KD$33</f>
        <v>0</v>
      </c>
      <c r="L54" s="372">
        <f>Input!$KE$33</f>
        <v>0</v>
      </c>
      <c r="M54" s="373">
        <f t="shared" si="9"/>
        <v>2457439</v>
      </c>
      <c r="N54" s="160"/>
      <c r="O54" s="273"/>
    </row>
    <row r="55" spans="1:28" ht="14.25" thickTop="1" thickBot="1">
      <c r="A55" s="184">
        <v>38</v>
      </c>
      <c r="B55" s="160" t="s">
        <v>43</v>
      </c>
      <c r="C55" s="160"/>
      <c r="D55" s="372">
        <f>Input!$KF$33</f>
        <v>0</v>
      </c>
      <c r="E55" s="372">
        <f>Input!$KG$33</f>
        <v>204850</v>
      </c>
      <c r="F55" s="372">
        <f>Input!$KH$33</f>
        <v>0</v>
      </c>
      <c r="G55" s="372">
        <f>Input!$KI$33</f>
        <v>0</v>
      </c>
      <c r="H55" s="372">
        <f>Input!$KJ$33</f>
        <v>0</v>
      </c>
      <c r="I55" s="372">
        <f>Input!$KK$33</f>
        <v>0</v>
      </c>
      <c r="J55" s="372">
        <f>Input!$KL$33</f>
        <v>452944</v>
      </c>
      <c r="K55" s="372">
        <f>Input!$KM$33</f>
        <v>0</v>
      </c>
      <c r="L55" s="372">
        <f>Input!$KN$33</f>
        <v>0</v>
      </c>
      <c r="M55" s="373">
        <f t="shared" si="9"/>
        <v>657794</v>
      </c>
      <c r="N55" s="160"/>
      <c r="O55" s="1616" t="s">
        <v>251</v>
      </c>
      <c r="P55" s="1617"/>
      <c r="Q55" s="1617"/>
      <c r="R55" s="1618"/>
      <c r="S55" s="437"/>
      <c r="T55" s="1619" t="s">
        <v>252</v>
      </c>
      <c r="U55" s="1620"/>
      <c r="V55" s="1620"/>
      <c r="W55" s="1620"/>
      <c r="X55" s="1621"/>
      <c r="Y55" s="320"/>
      <c r="Z55" s="1749" t="s">
        <v>1301</v>
      </c>
      <c r="AA55" s="1750"/>
      <c r="AB55" s="1751"/>
    </row>
    <row r="56" spans="1:28" ht="13.5" customHeight="1" thickTop="1">
      <c r="A56" s="184">
        <v>39</v>
      </c>
      <c r="B56" s="176" t="s">
        <v>3</v>
      </c>
      <c r="C56" s="176"/>
      <c r="D56" s="374">
        <f>SUM(D50:D55)</f>
        <v>9269</v>
      </c>
      <c r="E56" s="374">
        <f t="shared" ref="E56:L56" si="10">SUM(E50:E55)</f>
        <v>417499</v>
      </c>
      <c r="F56" s="374">
        <f t="shared" si="10"/>
        <v>2458608</v>
      </c>
      <c r="G56" s="374">
        <f t="shared" si="10"/>
        <v>6476393</v>
      </c>
      <c r="H56" s="374">
        <f t="shared" si="10"/>
        <v>0</v>
      </c>
      <c r="I56" s="374">
        <f t="shared" si="10"/>
        <v>2624371</v>
      </c>
      <c r="J56" s="374">
        <f t="shared" si="10"/>
        <v>1031671</v>
      </c>
      <c r="K56" s="374">
        <f t="shared" si="10"/>
        <v>0</v>
      </c>
      <c r="L56" s="374">
        <f t="shared" si="10"/>
        <v>0</v>
      </c>
      <c r="M56" s="374">
        <f t="shared" si="9"/>
        <v>13017811</v>
      </c>
      <c r="N56" s="160"/>
      <c r="O56" s="1622" t="s">
        <v>1135</v>
      </c>
      <c r="P56" s="1625" t="s">
        <v>254</v>
      </c>
      <c r="Q56" s="1625" t="s">
        <v>292</v>
      </c>
      <c r="R56" s="1628" t="s">
        <v>1063</v>
      </c>
      <c r="S56" s="280"/>
      <c r="T56" s="1739" t="s">
        <v>1136</v>
      </c>
      <c r="U56" s="1637" t="s">
        <v>254</v>
      </c>
      <c r="V56" s="1634" t="s">
        <v>256</v>
      </c>
      <c r="W56" s="1637" t="s">
        <v>257</v>
      </c>
      <c r="X56" s="1638" t="s">
        <v>1064</v>
      </c>
      <c r="Z56" s="1754" t="s">
        <v>1302</v>
      </c>
      <c r="AA56" s="1747" t="s">
        <v>1303</v>
      </c>
      <c r="AB56" s="1752" t="s">
        <v>238</v>
      </c>
    </row>
    <row r="57" spans="1:28">
      <c r="A57" s="184">
        <v>40</v>
      </c>
      <c r="B57" s="162" t="s">
        <v>68</v>
      </c>
      <c r="C57" s="162"/>
      <c r="D57" s="374">
        <f>D15+D44+D47+D56</f>
        <v>24757564</v>
      </c>
      <c r="E57" s="374">
        <f t="shared" ref="E57:L57" si="11">E15+E44+E47+E56</f>
        <v>7214007</v>
      </c>
      <c r="F57" s="374">
        <f t="shared" si="11"/>
        <v>2458608</v>
      </c>
      <c r="G57" s="374">
        <f t="shared" si="11"/>
        <v>21820682</v>
      </c>
      <c r="H57" s="374">
        <f t="shared" si="11"/>
        <v>0</v>
      </c>
      <c r="I57" s="374">
        <f t="shared" si="11"/>
        <v>2624371</v>
      </c>
      <c r="J57" s="374">
        <f t="shared" si="11"/>
        <v>1031671</v>
      </c>
      <c r="K57" s="374">
        <f t="shared" si="11"/>
        <v>0</v>
      </c>
      <c r="L57" s="374">
        <f t="shared" si="11"/>
        <v>0</v>
      </c>
      <c r="M57" s="374">
        <f t="shared" si="9"/>
        <v>59906903</v>
      </c>
      <c r="N57" s="160"/>
      <c r="O57" s="1623"/>
      <c r="P57" s="1626"/>
      <c r="Q57" s="1626"/>
      <c r="R57" s="1629"/>
      <c r="S57" s="280"/>
      <c r="T57" s="1740"/>
      <c r="U57" s="1626"/>
      <c r="V57" s="1635"/>
      <c r="W57" s="1626"/>
      <c r="X57" s="1639"/>
      <c r="Z57" s="1755"/>
      <c r="AA57" s="1747"/>
      <c r="AB57" s="1752"/>
    </row>
    <row r="58" spans="1:28">
      <c r="A58" s="184">
        <v>41</v>
      </c>
      <c r="B58" s="160"/>
      <c r="C58" s="160"/>
      <c r="D58" s="373"/>
      <c r="E58" s="373"/>
      <c r="F58" s="373"/>
      <c r="G58" s="373"/>
      <c r="H58" s="373"/>
      <c r="I58" s="373"/>
      <c r="J58" s="373"/>
      <c r="K58" s="373"/>
      <c r="L58" s="373"/>
      <c r="M58" s="373"/>
      <c r="N58" s="160"/>
      <c r="O58" s="1623"/>
      <c r="P58" s="1626"/>
      <c r="Q58" s="1626"/>
      <c r="R58" s="1629"/>
      <c r="S58" s="280"/>
      <c r="T58" s="1740"/>
      <c r="U58" s="1626"/>
      <c r="V58" s="1635"/>
      <c r="W58" s="1626"/>
      <c r="X58" s="1639"/>
      <c r="Z58" s="1755"/>
      <c r="AA58" s="1747"/>
      <c r="AB58" s="1752"/>
    </row>
    <row r="59" spans="1:28" ht="14.25" customHeight="1">
      <c r="A59" s="184">
        <v>42</v>
      </c>
      <c r="B59" s="174" t="s">
        <v>72</v>
      </c>
      <c r="C59" s="174"/>
      <c r="D59" s="377"/>
      <c r="E59" s="377"/>
      <c r="F59" s="377"/>
      <c r="G59" s="1746" t="str">
        <f>IF(OR(P105&gt;0,P106&lt;&gt;0,P107&lt;&gt;0),"Do not Enter Cents - Whole Dollars Only","")</f>
        <v/>
      </c>
      <c r="H59" s="1746"/>
      <c r="I59" s="1746"/>
      <c r="J59" s="1746"/>
      <c r="K59" s="1746"/>
      <c r="L59" s="377"/>
      <c r="M59" s="377"/>
      <c r="N59" s="160"/>
      <c r="O59" s="1624"/>
      <c r="P59" s="1627"/>
      <c r="Q59" s="1627"/>
      <c r="R59" s="1630"/>
      <c r="S59" s="280"/>
      <c r="T59" s="1741"/>
      <c r="U59" s="1627"/>
      <c r="V59" s="1636"/>
      <c r="W59" s="1627"/>
      <c r="X59" s="1640"/>
      <c r="Z59" s="1756"/>
      <c r="AA59" s="1748"/>
      <c r="AB59" s="1753"/>
    </row>
    <row r="60" spans="1:28" ht="13.5" thickBot="1">
      <c r="A60" s="184">
        <v>43</v>
      </c>
      <c r="B60" s="160" t="s">
        <v>14</v>
      </c>
      <c r="C60" s="160"/>
      <c r="D60" s="372">
        <f>Input!$KO$33</f>
        <v>9901816</v>
      </c>
      <c r="E60" s="372">
        <f>Input!$KP$33</f>
        <v>1190971</v>
      </c>
      <c r="F60" s="372">
        <f>Input!$KQ$33</f>
        <v>0</v>
      </c>
      <c r="G60" s="372">
        <f>Input!$KR$33</f>
        <v>-1173229</v>
      </c>
      <c r="H60" s="372">
        <f>Input!$KS$33</f>
        <v>0</v>
      </c>
      <c r="I60" s="372">
        <f>Input!$KT$33</f>
        <v>0</v>
      </c>
      <c r="J60" s="372">
        <f>Input!$KU$33</f>
        <v>0</v>
      </c>
      <c r="K60" s="372">
        <f>Input!$KV$33</f>
        <v>0</v>
      </c>
      <c r="L60" s="372">
        <f>Input!$KW$33</f>
        <v>0</v>
      </c>
      <c r="M60" s="373">
        <f t="shared" ref="M60:M71" si="12">D60+E60+F60+G60+H60+I60+J60+K60+L60</f>
        <v>9919558</v>
      </c>
      <c r="N60" s="160"/>
      <c r="O60" s="282">
        <f>D60+E60+G60+J60</f>
        <v>9919558</v>
      </c>
      <c r="P60" s="518">
        <f>Input!$SS$33</f>
        <v>0</v>
      </c>
      <c r="Q60" s="438" t="s">
        <v>259</v>
      </c>
      <c r="R60" s="284">
        <f>SUM(O60:P60)</f>
        <v>9919558</v>
      </c>
      <c r="S60" s="439"/>
      <c r="T60" s="286">
        <f t="shared" ref="T60:T67" si="13">D60+E60+G60</f>
        <v>9919558</v>
      </c>
      <c r="U60" s="287">
        <f t="shared" ref="U60:U67" si="14">P60</f>
        <v>0</v>
      </c>
      <c r="V60" s="289">
        <f>Input!$TC$33</f>
        <v>0</v>
      </c>
      <c r="W60" s="289">
        <f>Input!$TK$33</f>
        <v>0</v>
      </c>
      <c r="X60" s="290">
        <f t="shared" ref="X60:X66" si="15">T60+U60-V60-W60</f>
        <v>9919558</v>
      </c>
      <c r="Z60" s="292" t="s">
        <v>14</v>
      </c>
      <c r="AA60" s="520">
        <f>Input!$TS$33</f>
        <v>9919558</v>
      </c>
      <c r="AB60" s="293">
        <f t="shared" ref="AB60:AB68" si="16">AA60-M60</f>
        <v>0</v>
      </c>
    </row>
    <row r="61" spans="1:28" ht="14.25" thickTop="1" thickBot="1">
      <c r="A61" s="184">
        <v>44</v>
      </c>
      <c r="B61" s="160" t="s">
        <v>15</v>
      </c>
      <c r="C61" s="160"/>
      <c r="D61" s="372">
        <f>Input!$KX$33</f>
        <v>479745</v>
      </c>
      <c r="E61" s="372">
        <f>Input!$KY$33</f>
        <v>47086</v>
      </c>
      <c r="F61" s="372">
        <f>Input!$KZ$33</f>
        <v>0</v>
      </c>
      <c r="G61" s="372">
        <f>Input!$LA$33</f>
        <v>1248949</v>
      </c>
      <c r="H61" s="372">
        <f>Input!$LB$33</f>
        <v>0</v>
      </c>
      <c r="I61" s="372">
        <f>Input!$LC$33</f>
        <v>0</v>
      </c>
      <c r="J61" s="372">
        <f>Input!$LD$33</f>
        <v>0</v>
      </c>
      <c r="K61" s="372">
        <f>Input!$LE$33</f>
        <v>0</v>
      </c>
      <c r="L61" s="372">
        <f>Input!$LF$33</f>
        <v>0</v>
      </c>
      <c r="M61" s="373">
        <f t="shared" si="12"/>
        <v>1775780</v>
      </c>
      <c r="N61" s="160"/>
      <c r="O61" s="440">
        <f t="shared" ref="O61:O67" si="17">D61+E61+G61+J61</f>
        <v>1775780</v>
      </c>
      <c r="P61" s="518">
        <f>Input!$ST$33</f>
        <v>0</v>
      </c>
      <c r="Q61" s="441" t="s">
        <v>259</v>
      </c>
      <c r="R61" s="295">
        <f>SUM(O61:P61)</f>
        <v>1775780</v>
      </c>
      <c r="S61" s="442"/>
      <c r="T61" s="296">
        <f t="shared" si="13"/>
        <v>1775780</v>
      </c>
      <c r="U61" s="297">
        <f t="shared" si="14"/>
        <v>0</v>
      </c>
      <c r="V61" s="299">
        <f>Input!$TD$33</f>
        <v>0</v>
      </c>
      <c r="W61" s="299">
        <f>Input!$TL$33</f>
        <v>0</v>
      </c>
      <c r="X61" s="300">
        <f t="shared" si="15"/>
        <v>1775780</v>
      </c>
      <c r="Z61" s="292" t="s">
        <v>15</v>
      </c>
      <c r="AA61" s="518">
        <f>Input!$TT$33</f>
        <v>1775780</v>
      </c>
      <c r="AB61" s="301">
        <f t="shared" si="16"/>
        <v>0</v>
      </c>
    </row>
    <row r="62" spans="1:28" ht="13.5" thickTop="1">
      <c r="A62" s="184">
        <v>45</v>
      </c>
      <c r="B62" s="160" t="s">
        <v>16</v>
      </c>
      <c r="C62" s="160"/>
      <c r="D62" s="372">
        <f>Input!$LG$33</f>
        <v>483159</v>
      </c>
      <c r="E62" s="372">
        <f>Input!$LH$33</f>
        <v>16241</v>
      </c>
      <c r="F62" s="372">
        <f>Input!$LI$33</f>
        <v>11459</v>
      </c>
      <c r="G62" s="372">
        <f>Input!$LJ$33</f>
        <v>870856</v>
      </c>
      <c r="H62" s="372">
        <f>Input!$LK$33</f>
        <v>0</v>
      </c>
      <c r="I62" s="372">
        <f>Input!$LL$33</f>
        <v>0</v>
      </c>
      <c r="J62" s="372">
        <f>Input!$LM$33</f>
        <v>0</v>
      </c>
      <c r="K62" s="372">
        <f>Input!$LN$33</f>
        <v>0</v>
      </c>
      <c r="L62" s="372">
        <f>Input!$LO$33</f>
        <v>0</v>
      </c>
      <c r="M62" s="373">
        <f t="shared" si="12"/>
        <v>1381715</v>
      </c>
      <c r="N62" s="160"/>
      <c r="O62" s="440">
        <f t="shared" si="17"/>
        <v>1370256</v>
      </c>
      <c r="P62" s="518">
        <f>Input!$SU$33</f>
        <v>2014</v>
      </c>
      <c r="Q62" s="441" t="s">
        <v>259</v>
      </c>
      <c r="R62" s="302" t="s">
        <v>259</v>
      </c>
      <c r="S62" s="442"/>
      <c r="T62" s="296">
        <f t="shared" si="13"/>
        <v>1370256</v>
      </c>
      <c r="U62" s="297">
        <f t="shared" si="14"/>
        <v>2014</v>
      </c>
      <c r="V62" s="299">
        <f>Input!$TE$33</f>
        <v>0</v>
      </c>
      <c r="W62" s="299">
        <f>Input!$TM$33</f>
        <v>0</v>
      </c>
      <c r="X62" s="303">
        <f t="shared" si="15"/>
        <v>1372270</v>
      </c>
      <c r="Z62" s="292" t="s">
        <v>16</v>
      </c>
      <c r="AA62" s="518">
        <f>Input!$TU$33</f>
        <v>1381715</v>
      </c>
      <c r="AB62" s="301">
        <f t="shared" si="16"/>
        <v>0</v>
      </c>
    </row>
    <row r="63" spans="1:28">
      <c r="A63" s="184">
        <v>46</v>
      </c>
      <c r="B63" s="160" t="s">
        <v>17</v>
      </c>
      <c r="C63" s="160"/>
      <c r="D63" s="372">
        <f>Input!$LP$33</f>
        <v>1990827</v>
      </c>
      <c r="E63" s="372">
        <f>Input!$LQ$33</f>
        <v>1383764</v>
      </c>
      <c r="F63" s="372">
        <f>Input!$LR$33</f>
        <v>0</v>
      </c>
      <c r="G63" s="372">
        <f>Input!$LS$33</f>
        <v>762325</v>
      </c>
      <c r="H63" s="372">
        <f>Input!$LT$33</f>
        <v>0</v>
      </c>
      <c r="I63" s="372">
        <f>Input!$LU$33</f>
        <v>0</v>
      </c>
      <c r="J63" s="372">
        <f>Input!$LV$33</f>
        <v>0</v>
      </c>
      <c r="K63" s="372">
        <f>Input!$LW$33</f>
        <v>0</v>
      </c>
      <c r="L63" s="372">
        <f>Input!$LX$33</f>
        <v>0</v>
      </c>
      <c r="M63" s="373">
        <f t="shared" si="12"/>
        <v>4136916</v>
      </c>
      <c r="N63" s="160"/>
      <c r="O63" s="440">
        <f t="shared" si="17"/>
        <v>4136916</v>
      </c>
      <c r="P63" s="518">
        <f>Input!$SV$33</f>
        <v>126</v>
      </c>
      <c r="Q63" s="441" t="s">
        <v>259</v>
      </c>
      <c r="R63" s="295">
        <f t="shared" ref="R63:R65" si="18">SUM(O63:P63)</f>
        <v>4137042</v>
      </c>
      <c r="S63" s="442"/>
      <c r="T63" s="296">
        <f t="shared" si="13"/>
        <v>4136916</v>
      </c>
      <c r="U63" s="297">
        <f t="shared" si="14"/>
        <v>126</v>
      </c>
      <c r="V63" s="299">
        <f>Input!$TF$33</f>
        <v>0</v>
      </c>
      <c r="W63" s="299">
        <f>Input!$TN$33</f>
        <v>0</v>
      </c>
      <c r="X63" s="303">
        <f t="shared" si="15"/>
        <v>4137042</v>
      </c>
      <c r="Z63" s="292" t="s">
        <v>17</v>
      </c>
      <c r="AA63" s="518">
        <f>Input!$TV$33</f>
        <v>4136916</v>
      </c>
      <c r="AB63" s="301">
        <f t="shared" si="16"/>
        <v>0</v>
      </c>
    </row>
    <row r="64" spans="1:28">
      <c r="A64" s="184">
        <v>47</v>
      </c>
      <c r="B64" s="160" t="s">
        <v>18</v>
      </c>
      <c r="C64" s="160"/>
      <c r="D64" s="372">
        <f>Input!$LY$33</f>
        <v>1934551</v>
      </c>
      <c r="E64" s="372">
        <f>Input!$LZ$33</f>
        <v>78084</v>
      </c>
      <c r="F64" s="372">
        <f>Input!$MA$33</f>
        <v>54116</v>
      </c>
      <c r="G64" s="372">
        <f>Input!$MB$33</f>
        <v>1867478</v>
      </c>
      <c r="H64" s="372">
        <f>Input!$MC$33</f>
        <v>0</v>
      </c>
      <c r="I64" s="372">
        <f>Input!$MD$33</f>
        <v>0</v>
      </c>
      <c r="J64" s="372">
        <f>Input!$ME$33</f>
        <v>0</v>
      </c>
      <c r="K64" s="372">
        <f>Input!$MF$33</f>
        <v>0</v>
      </c>
      <c r="L64" s="372">
        <f>Input!$MG$33</f>
        <v>0</v>
      </c>
      <c r="M64" s="373">
        <f t="shared" si="12"/>
        <v>3934229</v>
      </c>
      <c r="N64" s="160"/>
      <c r="O64" s="440">
        <f t="shared" si="17"/>
        <v>3880113</v>
      </c>
      <c r="P64" s="518">
        <f>Input!$SW$33</f>
        <v>0</v>
      </c>
      <c r="Q64" s="518">
        <f>Input!$TB$33</f>
        <v>0</v>
      </c>
      <c r="R64" s="295">
        <f>SUM(O64:P64)-Q64</f>
        <v>3880113</v>
      </c>
      <c r="S64" s="442"/>
      <c r="T64" s="296">
        <f t="shared" si="13"/>
        <v>3880113</v>
      </c>
      <c r="U64" s="297">
        <f t="shared" si="14"/>
        <v>0</v>
      </c>
      <c r="V64" s="299">
        <f>Input!$TG$33</f>
        <v>0</v>
      </c>
      <c r="W64" s="299">
        <f>Input!$TO$33</f>
        <v>0</v>
      </c>
      <c r="X64" s="303">
        <f t="shared" si="15"/>
        <v>3880113</v>
      </c>
      <c r="Z64" s="292" t="s">
        <v>18</v>
      </c>
      <c r="AA64" s="518">
        <f>Input!$TW$33</f>
        <v>3934229</v>
      </c>
      <c r="AB64" s="301">
        <f t="shared" si="16"/>
        <v>0</v>
      </c>
    </row>
    <row r="65" spans="1:28">
      <c r="A65" s="184">
        <v>48</v>
      </c>
      <c r="B65" s="160" t="s">
        <v>19</v>
      </c>
      <c r="C65" s="160"/>
      <c r="D65" s="372">
        <f>Input!$MH$33</f>
        <v>5677778</v>
      </c>
      <c r="E65" s="372">
        <f>Input!$MI$33</f>
        <v>7425451</v>
      </c>
      <c r="F65" s="372">
        <f>Input!$MJ$33</f>
        <v>51918</v>
      </c>
      <c r="G65" s="372">
        <f>Input!$MK$33</f>
        <v>616736</v>
      </c>
      <c r="H65" s="372">
        <f>Input!$ML$33</f>
        <v>0</v>
      </c>
      <c r="I65" s="372">
        <f>Input!$MM$33</f>
        <v>0</v>
      </c>
      <c r="J65" s="372">
        <f>Input!$MN$33</f>
        <v>566</v>
      </c>
      <c r="K65" s="372">
        <f>Input!$MO$33</f>
        <v>0</v>
      </c>
      <c r="L65" s="372">
        <f>Input!$MP$33</f>
        <v>0</v>
      </c>
      <c r="M65" s="373">
        <f t="shared" si="12"/>
        <v>13772449</v>
      </c>
      <c r="N65" s="160"/>
      <c r="O65" s="440">
        <f t="shared" si="17"/>
        <v>13720531</v>
      </c>
      <c r="P65" s="518">
        <f>Input!$SX$33</f>
        <v>367469</v>
      </c>
      <c r="Q65" s="441" t="s">
        <v>259</v>
      </c>
      <c r="R65" s="295">
        <f t="shared" si="18"/>
        <v>14088000</v>
      </c>
      <c r="S65" s="442"/>
      <c r="T65" s="296">
        <f t="shared" si="13"/>
        <v>13719965</v>
      </c>
      <c r="U65" s="297">
        <f t="shared" si="14"/>
        <v>367469</v>
      </c>
      <c r="V65" s="299">
        <f>Input!$TH$33</f>
        <v>0</v>
      </c>
      <c r="W65" s="299">
        <f>Input!$TP$33</f>
        <v>0</v>
      </c>
      <c r="X65" s="303">
        <f t="shared" si="15"/>
        <v>14087434</v>
      </c>
      <c r="Z65" s="292" t="s">
        <v>19</v>
      </c>
      <c r="AA65" s="518">
        <f>Input!$TX$33</f>
        <v>13772449</v>
      </c>
      <c r="AB65" s="301">
        <f t="shared" si="16"/>
        <v>0</v>
      </c>
    </row>
    <row r="66" spans="1:28">
      <c r="A66" s="184">
        <v>49</v>
      </c>
      <c r="B66" s="160" t="s">
        <v>20</v>
      </c>
      <c r="C66" s="160"/>
      <c r="D66" s="372">
        <f>Input!$MQ$33</f>
        <v>3887695</v>
      </c>
      <c r="E66" s="372">
        <f>Input!$MR$33</f>
        <v>138451</v>
      </c>
      <c r="F66" s="372">
        <f>Input!$MS$33</f>
        <v>18</v>
      </c>
      <c r="G66" s="372">
        <f>Input!$MT$33</f>
        <v>31913</v>
      </c>
      <c r="H66" s="372">
        <f>Input!$MU$33</f>
        <v>0</v>
      </c>
      <c r="I66" s="372">
        <f>Input!$MV$33</f>
        <v>0</v>
      </c>
      <c r="J66" s="372">
        <f>Input!$MW$33</f>
        <v>1289236</v>
      </c>
      <c r="K66" s="372">
        <f>Input!$MX$33</f>
        <v>0</v>
      </c>
      <c r="L66" s="372">
        <f>Input!$MY$33</f>
        <v>0</v>
      </c>
      <c r="M66" s="373">
        <f t="shared" si="12"/>
        <v>5347313</v>
      </c>
      <c r="N66" s="160"/>
      <c r="O66" s="440">
        <f t="shared" si="17"/>
        <v>5347295</v>
      </c>
      <c r="P66" s="518">
        <f>Input!$SY$33</f>
        <v>87030</v>
      </c>
      <c r="Q66" s="441" t="s">
        <v>259</v>
      </c>
      <c r="R66" s="304" t="s">
        <v>259</v>
      </c>
      <c r="S66" s="442"/>
      <c r="T66" s="296">
        <f t="shared" si="13"/>
        <v>4058059</v>
      </c>
      <c r="U66" s="297">
        <f t="shared" si="14"/>
        <v>87030</v>
      </c>
      <c r="V66" s="299">
        <f>Input!$TI$33</f>
        <v>0</v>
      </c>
      <c r="W66" s="299">
        <f>Input!$TQ$33</f>
        <v>0</v>
      </c>
      <c r="X66" s="303">
        <f t="shared" si="15"/>
        <v>4145089</v>
      </c>
      <c r="Z66" s="292" t="s">
        <v>260</v>
      </c>
      <c r="AA66" s="518">
        <f>Input!$TY$33</f>
        <v>5347313</v>
      </c>
      <c r="AB66" s="301">
        <f t="shared" si="16"/>
        <v>0</v>
      </c>
    </row>
    <row r="67" spans="1:28" ht="13.5" thickBot="1">
      <c r="A67" s="184">
        <v>50</v>
      </c>
      <c r="B67" s="160" t="s">
        <v>21</v>
      </c>
      <c r="C67" s="160"/>
      <c r="D67" s="372">
        <f>Input!$MZ$33</f>
        <v>-4591404</v>
      </c>
      <c r="E67" s="372">
        <f>Input!$NA$33</f>
        <v>844518</v>
      </c>
      <c r="F67" s="372">
        <f>Input!$NB$33</f>
        <v>0</v>
      </c>
      <c r="G67" s="372">
        <f>Input!$NC$33</f>
        <v>9348947</v>
      </c>
      <c r="H67" s="372">
        <f>Input!$ND$33</f>
        <v>0</v>
      </c>
      <c r="I67" s="372">
        <f>Input!$NE$33</f>
        <v>0</v>
      </c>
      <c r="J67" s="372">
        <f>Input!$NF$33</f>
        <v>0</v>
      </c>
      <c r="K67" s="372">
        <f>Input!$NG$33</f>
        <v>0</v>
      </c>
      <c r="L67" s="372">
        <f>Input!$NH$33</f>
        <v>0</v>
      </c>
      <c r="M67" s="373">
        <f t="shared" si="12"/>
        <v>5602061</v>
      </c>
      <c r="N67" s="160"/>
      <c r="O67" s="440">
        <f t="shared" si="17"/>
        <v>5602061</v>
      </c>
      <c r="P67" s="518">
        <f>Input!$SZ$33</f>
        <v>0</v>
      </c>
      <c r="Q67" s="441" t="s">
        <v>259</v>
      </c>
      <c r="R67" s="304" t="s">
        <v>259</v>
      </c>
      <c r="S67" s="442"/>
      <c r="T67" s="306">
        <f t="shared" si="13"/>
        <v>5602061</v>
      </c>
      <c r="U67" s="307">
        <f t="shared" si="14"/>
        <v>0</v>
      </c>
      <c r="V67" s="308">
        <f>Input!$TJ$33</f>
        <v>0</v>
      </c>
      <c r="W67" s="308">
        <f>Input!$TR$33</f>
        <v>0</v>
      </c>
      <c r="X67" s="303">
        <f>U67+T67-V67-W67</f>
        <v>5602061</v>
      </c>
      <c r="Z67" s="292" t="s">
        <v>21</v>
      </c>
      <c r="AA67" s="518">
        <f>Input!$TZ$33</f>
        <v>5602061</v>
      </c>
      <c r="AB67" s="301">
        <f t="shared" si="16"/>
        <v>0</v>
      </c>
    </row>
    <row r="68" spans="1:28" ht="14.25" thickTop="1" thickBot="1">
      <c r="A68" s="184">
        <v>51</v>
      </c>
      <c r="B68" s="160" t="s">
        <v>2135</v>
      </c>
      <c r="C68" s="160"/>
      <c r="D68" s="372">
        <f>Input!$NI$33</f>
        <v>0</v>
      </c>
      <c r="E68" s="372">
        <f>Input!$NJ$33</f>
        <v>0</v>
      </c>
      <c r="F68" s="372">
        <f>Input!$NK$33</f>
        <v>4623659</v>
      </c>
      <c r="G68" s="372">
        <f>Input!$NL$33</f>
        <v>0</v>
      </c>
      <c r="H68" s="372">
        <f>Input!$NM$33</f>
        <v>0</v>
      </c>
      <c r="I68" s="372">
        <f>Input!$NN$33</f>
        <v>0</v>
      </c>
      <c r="J68" s="372">
        <f>Input!$NO$33</f>
        <v>0</v>
      </c>
      <c r="K68" s="372">
        <f>Input!$NP$33</f>
        <v>0</v>
      </c>
      <c r="L68" s="372">
        <f>Input!$NQ$33</f>
        <v>0</v>
      </c>
      <c r="M68" s="373">
        <f t="shared" si="12"/>
        <v>4623659</v>
      </c>
      <c r="N68" s="160"/>
      <c r="O68" s="309" t="s">
        <v>259</v>
      </c>
      <c r="P68" s="519">
        <f>Input!$TA$33</f>
        <v>15085</v>
      </c>
      <c r="Q68" s="444" t="s">
        <v>259</v>
      </c>
      <c r="R68" s="311" t="s">
        <v>259</v>
      </c>
      <c r="S68" s="442"/>
      <c r="T68" s="305"/>
      <c r="U68" s="305"/>
      <c r="V68" s="312" t="s">
        <v>261</v>
      </c>
      <c r="W68" s="313"/>
      <c r="X68" s="314">
        <f>SUM(X60:X67)</f>
        <v>44919347</v>
      </c>
      <c r="Z68" s="292" t="s">
        <v>22</v>
      </c>
      <c r="AA68" s="518">
        <f>Input!$UA$33</f>
        <v>4623659</v>
      </c>
      <c r="AB68" s="301">
        <f t="shared" si="16"/>
        <v>0</v>
      </c>
    </row>
    <row r="69" spans="1:28" ht="14.25" thickTop="1" thickBot="1">
      <c r="A69" s="184">
        <v>52</v>
      </c>
      <c r="B69" s="161" t="s">
        <v>59</v>
      </c>
      <c r="C69" s="161"/>
      <c r="D69" s="372">
        <f>Input!$NR$33</f>
        <v>187610</v>
      </c>
      <c r="E69" s="372">
        <f>Input!$NS$33</f>
        <v>216538</v>
      </c>
      <c r="F69" s="372">
        <f>Input!$NT$33</f>
        <v>15085</v>
      </c>
      <c r="G69" s="372">
        <f>Input!$NU$33</f>
        <v>52491</v>
      </c>
      <c r="H69" s="372">
        <f>Input!$NV$33</f>
        <v>0</v>
      </c>
      <c r="I69" s="372">
        <f>Input!$NW$33</f>
        <v>0</v>
      </c>
      <c r="J69" s="372">
        <f>Input!$NX$33</f>
        <v>0</v>
      </c>
      <c r="K69" s="372">
        <f>Input!$NY$33</f>
        <v>0</v>
      </c>
      <c r="L69" s="372">
        <f>Input!$NZ$33</f>
        <v>0</v>
      </c>
      <c r="M69" s="373">
        <f t="shared" si="12"/>
        <v>471724</v>
      </c>
      <c r="N69" s="160"/>
      <c r="O69" s="315"/>
      <c r="P69" s="316">
        <f>SUM(P60:P68)</f>
        <v>471724</v>
      </c>
      <c r="Q69" s="316">
        <f>SUM(Q64:Q68)</f>
        <v>0</v>
      </c>
      <c r="R69" s="317">
        <f>SUM(R60:R65)</f>
        <v>33800493</v>
      </c>
      <c r="S69" s="316"/>
      <c r="T69" s="305"/>
      <c r="U69" s="305"/>
      <c r="V69" s="305"/>
      <c r="W69" s="277"/>
      <c r="X69" s="277"/>
      <c r="Y69" s="277"/>
      <c r="Z69" s="292" t="s">
        <v>285</v>
      </c>
      <c r="AA69" s="445">
        <f>M88*-1</f>
        <v>4534260</v>
      </c>
      <c r="AB69" s="301">
        <f>AA69+M88</f>
        <v>0</v>
      </c>
    </row>
    <row r="70" spans="1:28" ht="14.25" thickTop="1" thickBot="1">
      <c r="A70" s="184">
        <v>53</v>
      </c>
      <c r="B70" s="178" t="s">
        <v>44</v>
      </c>
      <c r="C70" s="178"/>
      <c r="D70" s="378">
        <f>Input!$OA$33</f>
        <v>0</v>
      </c>
      <c r="E70" s="378">
        <f>Input!$OB$33</f>
        <v>0</v>
      </c>
      <c r="F70" s="378">
        <f>Input!$OC$33</f>
        <v>0</v>
      </c>
      <c r="G70" s="378">
        <f>Input!$OD$33</f>
        <v>0</v>
      </c>
      <c r="H70" s="378">
        <f>Input!$OE$33</f>
        <v>0</v>
      </c>
      <c r="I70" s="378">
        <f>Input!$OF$33</f>
        <v>0</v>
      </c>
      <c r="J70" s="378">
        <f>Input!$OG$33</f>
        <v>0</v>
      </c>
      <c r="K70" s="378">
        <f>Input!$OH$33</f>
        <v>0</v>
      </c>
      <c r="L70" s="378">
        <f>Input!$OI$33</f>
        <v>0</v>
      </c>
      <c r="M70" s="373">
        <f t="shared" si="12"/>
        <v>0</v>
      </c>
      <c r="N70" s="160"/>
      <c r="O70" s="320"/>
      <c r="P70" s="516" t="str">
        <f>IF(P69&lt;&gt;M69,"Out of Balance","Balanced")</f>
        <v>Balanced</v>
      </c>
      <c r="Q70" s="318"/>
      <c r="R70" s="305"/>
      <c r="S70" s="305"/>
      <c r="T70" s="305"/>
      <c r="U70" s="277"/>
      <c r="V70" s="1738" t="str">
        <f>IF(X68-INT(X68)&lt;&gt;0,"Whole Dollars Only","")</f>
        <v/>
      </c>
      <c r="W70" s="1738"/>
      <c r="X70" s="537"/>
      <c r="Y70" s="319"/>
      <c r="Z70" s="410" t="s">
        <v>262</v>
      </c>
      <c r="AA70" s="446" t="s">
        <v>259</v>
      </c>
      <c r="AB70" s="411">
        <f>M90</f>
        <v>0</v>
      </c>
    </row>
    <row r="71" spans="1:28" ht="13.5" thickTop="1">
      <c r="A71" s="184">
        <v>54</v>
      </c>
      <c r="B71" s="162" t="s">
        <v>69</v>
      </c>
      <c r="C71" s="162"/>
      <c r="D71" s="374">
        <f>SUM(D60:D70)</f>
        <v>19951777</v>
      </c>
      <c r="E71" s="374">
        <f>SUM(E60:E70)</f>
        <v>11341104</v>
      </c>
      <c r="F71" s="374">
        <f t="shared" ref="F71:L71" si="19">SUM(F60:F70)</f>
        <v>4756255</v>
      </c>
      <c r="G71" s="374">
        <f t="shared" si="19"/>
        <v>13626466</v>
      </c>
      <c r="H71" s="374">
        <f t="shared" si="19"/>
        <v>0</v>
      </c>
      <c r="I71" s="374">
        <f t="shared" si="19"/>
        <v>0</v>
      </c>
      <c r="J71" s="374">
        <f t="shared" si="19"/>
        <v>1289802</v>
      </c>
      <c r="K71" s="374">
        <f t="shared" si="19"/>
        <v>0</v>
      </c>
      <c r="L71" s="374">
        <f t="shared" si="19"/>
        <v>0</v>
      </c>
      <c r="M71" s="374">
        <f t="shared" si="12"/>
        <v>50965404</v>
      </c>
      <c r="N71" s="160"/>
      <c r="O71" s="322"/>
      <c r="P71" s="1738" t="str">
        <f>IF(P69-INT(P69)&lt;&gt;0,"Whole Dollars Only","")</f>
        <v/>
      </c>
      <c r="Q71" s="1738"/>
      <c r="R71" s="323"/>
      <c r="S71" s="323"/>
      <c r="T71" s="323"/>
      <c r="U71" s="291"/>
      <c r="V71" s="324"/>
      <c r="W71" s="321"/>
      <c r="X71" s="321"/>
      <c r="Y71" s="321"/>
      <c r="Z71" s="318"/>
      <c r="AA71" s="325">
        <f>SUM(AA60:AA70)</f>
        <v>55027940</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Input!$OJ$33</f>
        <v>0</v>
      </c>
      <c r="E74" s="372">
        <f>Input!$OK$33</f>
        <v>0</v>
      </c>
      <c r="F74" s="372">
        <f>Input!$OL$33</f>
        <v>0</v>
      </c>
      <c r="G74" s="372">
        <f>Input!$OM$33</f>
        <v>0</v>
      </c>
      <c r="H74" s="372">
        <f>Input!$ON$33</f>
        <v>0</v>
      </c>
      <c r="I74" s="372">
        <f>Input!$OO$33</f>
        <v>0</v>
      </c>
      <c r="J74" s="372">
        <f>Input!$OP$33</f>
        <v>-3443236</v>
      </c>
      <c r="K74" s="372">
        <f>Input!$OQ$33</f>
        <v>0</v>
      </c>
      <c r="L74" s="372">
        <f>Input!$OR$33</f>
        <v>0</v>
      </c>
      <c r="M74" s="373">
        <f>D74+E74+F74+G74+H74+I74+J74+K74+L74</f>
        <v>-3443236</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Input!$OS$33</f>
        <v>-2902541</v>
      </c>
      <c r="E75" s="372">
        <f>Input!$OT$33</f>
        <v>779693</v>
      </c>
      <c r="F75" s="372">
        <f>Input!$OU$33</f>
        <v>-2598748</v>
      </c>
      <c r="G75" s="372">
        <f>Input!$OV$33</f>
        <v>-1193478</v>
      </c>
      <c r="H75" s="372">
        <f>Input!$OW$33</f>
        <v>0</v>
      </c>
      <c r="I75" s="372">
        <f>Input!$OX$33</f>
        <v>-783406</v>
      </c>
      <c r="J75" s="372">
        <f>Input!$OY$33</f>
        <v>2757192</v>
      </c>
      <c r="K75" s="372">
        <f>Input!$OZ$33</f>
        <v>0</v>
      </c>
      <c r="L75" s="372">
        <f>Input!$PA$33</f>
        <v>0</v>
      </c>
      <c r="M75" s="373">
        <f>D75+E75+F75+G75+H75+I75+J75+K75+L75</f>
        <v>-3941288</v>
      </c>
      <c r="N75" s="160"/>
      <c r="O75" s="1723" t="str">
        <f>IF(M85&lt;0,"Footnote 11 is N/A - No Data Entry Required","Footnote 11")</f>
        <v>Footnote 11</v>
      </c>
      <c r="P75" s="1724"/>
      <c r="Q75" s="1724"/>
      <c r="R75" s="1725"/>
      <c r="S75" s="330"/>
      <c r="T75" s="330"/>
      <c r="U75" s="327"/>
      <c r="V75" s="276"/>
      <c r="W75" s="331"/>
      <c r="X75" s="331"/>
      <c r="Y75" s="328"/>
      <c r="Z75" s="328"/>
      <c r="AA75" s="276"/>
      <c r="AB75" s="276" t="s">
        <v>293</v>
      </c>
    </row>
    <row r="76" spans="1:28" ht="13.5" thickTop="1">
      <c r="A76" s="184">
        <v>59</v>
      </c>
      <c r="B76" s="160" t="s">
        <v>45</v>
      </c>
      <c r="C76" s="160"/>
      <c r="D76" s="372">
        <f>Input!$PB$33</f>
        <v>0</v>
      </c>
      <c r="E76" s="372">
        <f>Input!$PC$33</f>
        <v>0</v>
      </c>
      <c r="F76" s="372">
        <f>Input!$PD$33</f>
        <v>0</v>
      </c>
      <c r="G76" s="372">
        <f>Input!$PE$33</f>
        <v>0</v>
      </c>
      <c r="H76" s="372">
        <f>Input!$PF$33</f>
        <v>0</v>
      </c>
      <c r="I76" s="372">
        <f>Input!$PG$33</f>
        <v>0</v>
      </c>
      <c r="J76" s="372">
        <f>Input!$PH$33</f>
        <v>0</v>
      </c>
      <c r="K76" s="372">
        <f>Input!$PI$33</f>
        <v>0</v>
      </c>
      <c r="L76" s="372">
        <f>Input!$PJ$33</f>
        <v>0</v>
      </c>
      <c r="M76" s="373">
        <f>D76+E76+F76+G76+H76+I76+J76+K76+L76</f>
        <v>0</v>
      </c>
      <c r="N76" s="160"/>
      <c r="O76" s="487" t="s">
        <v>583</v>
      </c>
      <c r="P76" s="488"/>
      <c r="Q76" s="489"/>
      <c r="R76" s="490">
        <f>IF($M$85&lt;0,"N/A",$M$85)</f>
        <v>4011763</v>
      </c>
      <c r="S76" s="330"/>
      <c r="T76" s="330"/>
      <c r="U76" s="327"/>
      <c r="V76" s="276"/>
      <c r="W76" s="331"/>
      <c r="X76" s="331"/>
      <c r="Y76" s="331"/>
      <c r="Z76" s="331"/>
      <c r="AA76" s="276"/>
      <c r="AB76" s="276"/>
    </row>
    <row r="77" spans="1:28">
      <c r="A77" s="184">
        <v>60</v>
      </c>
      <c r="B77" s="160" t="s">
        <v>46</v>
      </c>
      <c r="C77" s="160"/>
      <c r="D77" s="372">
        <f>Input!$PK$33</f>
        <v>0</v>
      </c>
      <c r="E77" s="372">
        <f>Input!$PL$33</f>
        <v>0</v>
      </c>
      <c r="F77" s="372">
        <f>Input!$PM$33</f>
        <v>0</v>
      </c>
      <c r="G77" s="372">
        <f>Input!$PN$33</f>
        <v>0</v>
      </c>
      <c r="H77" s="372">
        <f>Input!$PO$33</f>
        <v>0</v>
      </c>
      <c r="I77" s="372">
        <f>Input!$PP$33</f>
        <v>0</v>
      </c>
      <c r="J77" s="372">
        <f>Input!$PQ$33</f>
        <v>0</v>
      </c>
      <c r="K77" s="372">
        <f>Input!$PR$33</f>
        <v>0</v>
      </c>
      <c r="L77" s="372">
        <f>Input!$PS$33</f>
        <v>0</v>
      </c>
      <c r="M77" s="373">
        <f>D77+E77+F77+G77+H77+I77+J77+K77+L77</f>
        <v>0</v>
      </c>
      <c r="N77" s="160"/>
      <c r="O77" s="491" t="s">
        <v>584</v>
      </c>
      <c r="P77" s="334"/>
      <c r="Q77" s="334"/>
      <c r="R77" s="521">
        <f>Input!$UB$33</f>
        <v>1784935</v>
      </c>
      <c r="S77" s="330"/>
      <c r="T77" s="330"/>
      <c r="U77" s="327"/>
      <c r="V77" s="276"/>
      <c r="W77" s="331"/>
      <c r="X77" s="331"/>
      <c r="Y77" s="331"/>
      <c r="Z77" s="331"/>
      <c r="AA77" s="276"/>
      <c r="AB77" s="276"/>
    </row>
    <row r="78" spans="1:28">
      <c r="A78" s="184">
        <v>61</v>
      </c>
      <c r="B78" s="162" t="s">
        <v>3</v>
      </c>
      <c r="C78" s="162"/>
      <c r="D78" s="374">
        <f t="shared" ref="D78:L78" si="20">SUM(D74:D77)</f>
        <v>-2902541</v>
      </c>
      <c r="E78" s="374">
        <f t="shared" si="20"/>
        <v>779693</v>
      </c>
      <c r="F78" s="374">
        <f t="shared" si="20"/>
        <v>-2598748</v>
      </c>
      <c r="G78" s="374">
        <f t="shared" si="20"/>
        <v>-1193478</v>
      </c>
      <c r="H78" s="374">
        <f t="shared" si="20"/>
        <v>0</v>
      </c>
      <c r="I78" s="374">
        <f t="shared" si="20"/>
        <v>-783406</v>
      </c>
      <c r="J78" s="374">
        <f t="shared" si="20"/>
        <v>-686044</v>
      </c>
      <c r="K78" s="374">
        <f t="shared" si="20"/>
        <v>0</v>
      </c>
      <c r="L78" s="374">
        <f t="shared" si="20"/>
        <v>0</v>
      </c>
      <c r="M78" s="374">
        <f>D78+E78+F78+G78+H78+I78+J78+K78+L78</f>
        <v>-7384524</v>
      </c>
      <c r="N78" s="160"/>
      <c r="O78" s="491" t="s">
        <v>585</v>
      </c>
      <c r="P78" s="276"/>
      <c r="Q78" s="334"/>
      <c r="R78" s="492">
        <f>IF($M$85&lt;0,"",$R$76-$R$77)</f>
        <v>2226828</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3"/>
      <c r="P79" s="276"/>
      <c r="Q79" s="334"/>
      <c r="R79" s="494"/>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5" t="s">
        <v>586</v>
      </c>
      <c r="P80" s="276"/>
      <c r="Q80" s="334"/>
      <c r="R80" s="521">
        <f>Input!$UC$33</f>
        <v>2259418</v>
      </c>
      <c r="S80" s="330"/>
      <c r="T80" s="330"/>
      <c r="U80" s="334"/>
      <c r="V80" s="276"/>
      <c r="W80" s="328"/>
      <c r="X80" s="328"/>
      <c r="Y80" s="331"/>
      <c r="Z80" s="331"/>
      <c r="AA80" s="276"/>
      <c r="AB80" s="276"/>
    </row>
    <row r="81" spans="1:28">
      <c r="A81" s="184">
        <v>64</v>
      </c>
      <c r="B81" s="160" t="s">
        <v>47</v>
      </c>
      <c r="C81" s="160"/>
      <c r="D81" s="372">
        <f>Input!PT6</f>
        <v>0</v>
      </c>
      <c r="E81" s="372">
        <f>Input!$PU$33</f>
        <v>0</v>
      </c>
      <c r="F81" s="372">
        <f>Input!$PV$33</f>
        <v>0</v>
      </c>
      <c r="G81" s="372">
        <f>Input!$PW$33</f>
        <v>0</v>
      </c>
      <c r="H81" s="372">
        <f>Input!$PX$33</f>
        <v>0</v>
      </c>
      <c r="I81" s="372">
        <f>Input!$PY$33</f>
        <v>2258482</v>
      </c>
      <c r="J81" s="372">
        <f>Input!$PZ$33</f>
        <v>0</v>
      </c>
      <c r="K81" s="372">
        <f>Input!$QA$33</f>
        <v>0</v>
      </c>
      <c r="L81" s="372">
        <f>Input!$QB$33</f>
        <v>0</v>
      </c>
      <c r="M81" s="373">
        <f>D81+E81+F81+G81+H81+I81+J81+K81+L81</f>
        <v>2258482</v>
      </c>
      <c r="N81" s="160"/>
      <c r="O81" s="496" t="s">
        <v>587</v>
      </c>
      <c r="P81" s="276"/>
      <c r="Q81" s="276"/>
      <c r="R81" s="497"/>
      <c r="S81" s="330"/>
      <c r="T81" s="330"/>
      <c r="W81" s="276"/>
      <c r="X81" s="276"/>
      <c r="Y81" s="331"/>
      <c r="Z81" s="331"/>
      <c r="AA81" s="276"/>
      <c r="AB81" s="276"/>
    </row>
    <row r="82" spans="1:28">
      <c r="A82" s="184">
        <v>65</v>
      </c>
      <c r="B82" s="160" t="s">
        <v>48</v>
      </c>
      <c r="C82" s="160"/>
      <c r="D82" s="372">
        <f>Input!$QC$33</f>
        <v>0</v>
      </c>
      <c r="E82" s="372">
        <f>Input!$QD$33</f>
        <v>0</v>
      </c>
      <c r="F82" s="372">
        <f>Input!$QE$33</f>
        <v>0</v>
      </c>
      <c r="G82" s="372">
        <f>Input!$QF$33</f>
        <v>0</v>
      </c>
      <c r="H82" s="372">
        <f>Input!$QG$33</f>
        <v>0</v>
      </c>
      <c r="I82" s="372">
        <f>Input!$QH$33</f>
        <v>196306</v>
      </c>
      <c r="J82" s="372">
        <f>Input!$QI$33</f>
        <v>0</v>
      </c>
      <c r="K82" s="372">
        <f>Input!$QJ$33</f>
        <v>0</v>
      </c>
      <c r="L82" s="372">
        <f>Input!$QK$33</f>
        <v>0</v>
      </c>
      <c r="M82" s="373">
        <f>D82+E82+F82+G82+H82+I82+J82+K82+L82</f>
        <v>196306</v>
      </c>
      <c r="N82" s="160"/>
      <c r="O82" s="498" t="s">
        <v>588</v>
      </c>
      <c r="P82" s="276"/>
      <c r="Q82" s="276"/>
      <c r="R82" s="492">
        <f>IFERROR($R$78-$R$80,"")</f>
        <v>-32590</v>
      </c>
      <c r="Y82" s="331"/>
      <c r="Z82" s="401"/>
      <c r="AA82" s="268"/>
      <c r="AB82" s="268"/>
    </row>
    <row r="83" spans="1:28">
      <c r="A83" s="184">
        <v>66</v>
      </c>
      <c r="B83" s="162" t="s">
        <v>3</v>
      </c>
      <c r="C83" s="162"/>
      <c r="D83" s="374">
        <f t="shared" ref="D83:L83" si="21">SUM(D81:D82)</f>
        <v>0</v>
      </c>
      <c r="E83" s="374">
        <f t="shared" si="21"/>
        <v>0</v>
      </c>
      <c r="F83" s="374">
        <f t="shared" si="21"/>
        <v>0</v>
      </c>
      <c r="G83" s="374">
        <f t="shared" si="21"/>
        <v>0</v>
      </c>
      <c r="H83" s="374">
        <f t="shared" si="21"/>
        <v>0</v>
      </c>
      <c r="I83" s="374">
        <f t="shared" si="21"/>
        <v>2454788</v>
      </c>
      <c r="J83" s="374">
        <f t="shared" si="21"/>
        <v>0</v>
      </c>
      <c r="K83" s="374">
        <f t="shared" si="21"/>
        <v>0</v>
      </c>
      <c r="L83" s="374">
        <f t="shared" si="21"/>
        <v>0</v>
      </c>
      <c r="M83" s="374">
        <f>D83+E83+F83+G83+H83+I83+J83+K83+L83</f>
        <v>2454788</v>
      </c>
      <c r="N83" s="160"/>
      <c r="O83" s="493"/>
      <c r="P83" s="276"/>
      <c r="Q83" s="276"/>
      <c r="R83" s="497"/>
      <c r="Y83" s="163"/>
      <c r="Z83" s="447"/>
      <c r="AA83" s="439"/>
      <c r="AB83" s="448"/>
    </row>
    <row r="84" spans="1:28" ht="13.5" thickBot="1">
      <c r="A84" s="184">
        <v>67</v>
      </c>
      <c r="B84" s="160"/>
      <c r="C84" s="160"/>
      <c r="D84" s="373"/>
      <c r="E84" s="373"/>
      <c r="F84" s="373"/>
      <c r="G84" s="373"/>
      <c r="H84" s="373"/>
      <c r="I84" s="373"/>
      <c r="J84" s="373"/>
      <c r="K84" s="373"/>
      <c r="L84" s="373"/>
      <c r="M84" s="373"/>
      <c r="N84" s="160"/>
      <c r="O84" s="499" t="s">
        <v>589</v>
      </c>
      <c r="P84" s="500"/>
      <c r="Q84" s="500"/>
      <c r="R84" s="501">
        <f>IFERROR((R82+R80)-R78,"")</f>
        <v>0</v>
      </c>
      <c r="Y84" s="268"/>
      <c r="Z84" s="447"/>
      <c r="AA84" s="439"/>
      <c r="AB84" s="449"/>
    </row>
    <row r="85" spans="1:28" ht="13.5" thickTop="1">
      <c r="A85" s="184">
        <v>68</v>
      </c>
      <c r="B85" s="162" t="s">
        <v>574</v>
      </c>
      <c r="C85" s="162"/>
      <c r="D85" s="374">
        <f t="shared" ref="D85:L85" si="22">D57-D71+D78+D83</f>
        <v>1903246</v>
      </c>
      <c r="E85" s="374">
        <f t="shared" si="22"/>
        <v>-3347404</v>
      </c>
      <c r="F85" s="374">
        <f t="shared" si="22"/>
        <v>-4896395</v>
      </c>
      <c r="G85" s="374">
        <f t="shared" si="22"/>
        <v>7000738</v>
      </c>
      <c r="H85" s="374">
        <f t="shared" si="22"/>
        <v>0</v>
      </c>
      <c r="I85" s="374">
        <f t="shared" si="22"/>
        <v>4295753</v>
      </c>
      <c r="J85" s="374">
        <f t="shared" si="22"/>
        <v>-944175</v>
      </c>
      <c r="K85" s="374">
        <f t="shared" si="22"/>
        <v>0</v>
      </c>
      <c r="L85" s="374">
        <f t="shared" si="22"/>
        <v>0</v>
      </c>
      <c r="M85" s="374">
        <f>D85+E85+F85+G85+H85+I85+J85+K85+L85</f>
        <v>4011763</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Input!$QL$33</f>
        <v>0</v>
      </c>
      <c r="E87" s="372">
        <f>Input!$QM$33</f>
        <v>0</v>
      </c>
      <c r="F87" s="372">
        <f>Input!$QN$33</f>
        <v>0</v>
      </c>
      <c r="G87" s="372">
        <f>Input!$QO$33</f>
        <v>0</v>
      </c>
      <c r="H87" s="372">
        <f>Input!$QP$33</f>
        <v>0</v>
      </c>
      <c r="I87" s="372">
        <f>Input!$QQ$33</f>
        <v>0</v>
      </c>
      <c r="J87" s="372">
        <f>Input!$QR$33</f>
        <v>0</v>
      </c>
      <c r="K87" s="372">
        <f>Input!$QS$33</f>
        <v>0</v>
      </c>
      <c r="L87" s="372">
        <f>Input!$QT$33</f>
        <v>0</v>
      </c>
      <c r="M87" s="329">
        <f>D87+E87+F87+G87+H87+I87+J87+K87+L87</f>
        <v>0</v>
      </c>
      <c r="N87" s="160"/>
      <c r="Y87" s="268"/>
      <c r="Z87" s="447"/>
      <c r="AA87" s="439"/>
      <c r="AB87" s="449"/>
    </row>
    <row r="88" spans="1:28">
      <c r="A88" s="184">
        <v>72</v>
      </c>
      <c r="B88" s="160" t="s">
        <v>66</v>
      </c>
      <c r="C88" s="160"/>
      <c r="D88" s="372">
        <f>Input!$QU$33</f>
        <v>0</v>
      </c>
      <c r="E88" s="372">
        <f>Input!$QV$33</f>
        <v>0</v>
      </c>
      <c r="F88" s="372">
        <f>Input!$QW$33</f>
        <v>0</v>
      </c>
      <c r="G88" s="372">
        <f>Input!$QX$33</f>
        <v>0</v>
      </c>
      <c r="H88" s="372">
        <f>Input!$QY$33</f>
        <v>0</v>
      </c>
      <c r="I88" s="372">
        <f>Input!$QZ$33</f>
        <v>0</v>
      </c>
      <c r="J88" s="372">
        <f>Input!$RA$33</f>
        <v>0</v>
      </c>
      <c r="K88" s="372">
        <f>Input!$RB$33</f>
        <v>0</v>
      </c>
      <c r="L88" s="372">
        <f>Input!$RC$33</f>
        <v>-4534260</v>
      </c>
      <c r="M88" s="373">
        <f>D88+E88+F88+G88+H88+I88+J88+K88+L88</f>
        <v>-4534260</v>
      </c>
      <c r="N88" s="160"/>
      <c r="O88" s="270"/>
      <c r="P88" s="335"/>
      <c r="Y88" s="268"/>
      <c r="Z88" s="447"/>
      <c r="AA88" s="439"/>
      <c r="AB88" s="449"/>
    </row>
    <row r="89" spans="1:28" s="264" customFormat="1">
      <c r="A89" s="263"/>
      <c r="B89" s="171" t="s">
        <v>216</v>
      </c>
      <c r="C89" s="171"/>
      <c r="D89" s="372">
        <f>Input!$RD$33</f>
        <v>0</v>
      </c>
      <c r="E89" s="372">
        <f>Input!$RE$33</f>
        <v>0</v>
      </c>
      <c r="F89" s="372">
        <f>Input!$RF$33</f>
        <v>0</v>
      </c>
      <c r="G89" s="372">
        <f>Input!$RG$33</f>
        <v>0</v>
      </c>
      <c r="H89" s="372">
        <f>Input!$RH$33</f>
        <v>0</v>
      </c>
      <c r="I89" s="372">
        <f>Input!$RI$33</f>
        <v>0</v>
      </c>
      <c r="J89" s="372">
        <f>Input!$RJ$33</f>
        <v>0</v>
      </c>
      <c r="K89" s="372">
        <f>Input!$RK$33</f>
        <v>0</v>
      </c>
      <c r="L89" s="372">
        <f>Input!$RL$33</f>
        <v>0</v>
      </c>
      <c r="M89" s="373">
        <f t="shared" ref="M89:M91" si="23">D89+E89+F89+G89+H89+I89+J89+K89+L89</f>
        <v>0</v>
      </c>
      <c r="N89" s="160"/>
      <c r="O89" s="1726" t="s">
        <v>1355</v>
      </c>
      <c r="P89" s="1727"/>
      <c r="Q89" s="1727"/>
      <c r="R89" s="1727"/>
      <c r="S89" s="1727"/>
      <c r="T89" s="1727"/>
      <c r="U89" s="1728"/>
      <c r="Y89" s="268"/>
      <c r="Z89" s="447"/>
      <c r="AA89" s="439"/>
      <c r="AB89" s="449"/>
    </row>
    <row r="90" spans="1:28" s="264" customFormat="1">
      <c r="A90" s="263"/>
      <c r="B90" s="171" t="s">
        <v>105</v>
      </c>
      <c r="C90" s="171"/>
      <c r="D90" s="372">
        <f>Input!$RM$33</f>
        <v>0</v>
      </c>
      <c r="E90" s="372">
        <f>Input!$RN$33</f>
        <v>0</v>
      </c>
      <c r="F90" s="372">
        <f>Input!$RO$33</f>
        <v>0</v>
      </c>
      <c r="G90" s="372">
        <f>Input!$RP$33</f>
        <v>0</v>
      </c>
      <c r="H90" s="372">
        <f>Input!$RQ$33</f>
        <v>0</v>
      </c>
      <c r="I90" s="372">
        <f>Input!$RR$33</f>
        <v>0</v>
      </c>
      <c r="J90" s="372">
        <f>Input!$RS$33</f>
        <v>0</v>
      </c>
      <c r="K90" s="372">
        <f>Input!$RT$33</f>
        <v>0</v>
      </c>
      <c r="L90" s="372">
        <f>Input!$RU$33</f>
        <v>0</v>
      </c>
      <c r="M90" s="373">
        <f t="shared" si="23"/>
        <v>0</v>
      </c>
      <c r="N90" s="160"/>
      <c r="O90" s="502" t="s">
        <v>590</v>
      </c>
      <c r="P90" s="423"/>
      <c r="Q90" s="502" t="s">
        <v>591</v>
      </c>
      <c r="R90" s="423"/>
      <c r="S90" s="503"/>
      <c r="T90" s="502" t="s">
        <v>592</v>
      </c>
      <c r="U90" s="423"/>
      <c r="Y90" s="268"/>
      <c r="Z90" s="447"/>
      <c r="AA90" s="439"/>
      <c r="AB90" s="449"/>
    </row>
    <row r="91" spans="1:28" s="264" customFormat="1">
      <c r="A91" s="263"/>
      <c r="B91" s="171" t="s">
        <v>128</v>
      </c>
      <c r="C91" s="171"/>
      <c r="D91" s="372">
        <f>Input!$RV$33</f>
        <v>0</v>
      </c>
      <c r="E91" s="372">
        <f>Input!$RW$33</f>
        <v>0</v>
      </c>
      <c r="F91" s="372">
        <f>Input!$RX$33</f>
        <v>0</v>
      </c>
      <c r="G91" s="372">
        <f>Input!$RY$33</f>
        <v>0</v>
      </c>
      <c r="H91" s="372">
        <f>Input!$RZ$33</f>
        <v>0</v>
      </c>
      <c r="I91" s="372">
        <f>Input!$SA$33</f>
        <v>0</v>
      </c>
      <c r="J91" s="372">
        <f>Input!$SB$33</f>
        <v>0</v>
      </c>
      <c r="K91" s="372">
        <f>Input!$SC$33</f>
        <v>0</v>
      </c>
      <c r="L91" s="372">
        <f>Input!$SD$33</f>
        <v>0</v>
      </c>
      <c r="M91" s="373">
        <f t="shared" si="23"/>
        <v>0</v>
      </c>
      <c r="N91" s="160"/>
      <c r="O91" s="504"/>
      <c r="P91" s="505"/>
      <c r="Q91" s="504"/>
      <c r="R91" s="426"/>
      <c r="S91" s="276"/>
      <c r="T91" s="506"/>
      <c r="U91" s="426"/>
      <c r="Y91" s="268"/>
      <c r="Z91" s="447"/>
      <c r="AA91" s="439"/>
      <c r="AB91" s="449"/>
    </row>
    <row r="92" spans="1:28" s="264" customFormat="1">
      <c r="A92" s="263"/>
      <c r="B92" s="160" t="s">
        <v>67</v>
      </c>
      <c r="C92" s="160"/>
      <c r="D92" s="372">
        <f>Input!$SE$33</f>
        <v>187610</v>
      </c>
      <c r="E92" s="372">
        <f>Input!$SF$33</f>
        <v>216538</v>
      </c>
      <c r="F92" s="372">
        <f>Input!$SG$33</f>
        <v>15085</v>
      </c>
      <c r="G92" s="372">
        <f>Input!$SH$33</f>
        <v>52491</v>
      </c>
      <c r="H92" s="372">
        <f>Input!$SI$33</f>
        <v>0</v>
      </c>
      <c r="I92" s="372">
        <f>Input!$SJ$33</f>
        <v>0</v>
      </c>
      <c r="J92" s="372">
        <f>Input!$SK$33</f>
        <v>3443236</v>
      </c>
      <c r="K92" s="372">
        <f>Input!$SL$33</f>
        <v>0</v>
      </c>
      <c r="L92" s="372">
        <f>Input!$SM$33</f>
        <v>0</v>
      </c>
      <c r="M92" s="373">
        <f>D92+E92+F92+G92+H92+I92+J92+K92+L92</f>
        <v>3914960</v>
      </c>
      <c r="N92" s="160"/>
      <c r="O92" s="1729" t="str">
        <f>Input!UF$33</f>
        <v>Bonnie Albright</v>
      </c>
      <c r="P92" s="1730"/>
      <c r="Q92" s="1729" t="str">
        <f>Input!$UG$33</f>
        <v>432-837-8078</v>
      </c>
      <c r="R92" s="1730"/>
      <c r="S92" s="276"/>
      <c r="T92" s="1731" t="str">
        <f>HYPERLINK("Mailto:"&amp;Input!$UH$33,Input!$UH$33)</f>
        <v>bonnie.albright@sulross.edu</v>
      </c>
      <c r="U92" s="1730"/>
      <c r="Y92" s="268"/>
      <c r="Z92" s="447"/>
      <c r="AA92" s="442"/>
      <c r="AB92" s="449"/>
    </row>
    <row r="93" spans="1:28" ht="13.5" thickBot="1">
      <c r="B93" s="179" t="s">
        <v>58</v>
      </c>
      <c r="C93" s="179"/>
      <c r="D93" s="380">
        <f t="shared" ref="D93:K93" si="24">SUM(D85:D92)</f>
        <v>2090856</v>
      </c>
      <c r="E93" s="380">
        <f t="shared" si="24"/>
        <v>-3130866</v>
      </c>
      <c r="F93" s="380">
        <f t="shared" si="24"/>
        <v>-4881310</v>
      </c>
      <c r="G93" s="380">
        <f t="shared" si="24"/>
        <v>7053229</v>
      </c>
      <c r="H93" s="380">
        <f t="shared" si="24"/>
        <v>0</v>
      </c>
      <c r="I93" s="380">
        <f t="shared" si="24"/>
        <v>4295753</v>
      </c>
      <c r="J93" s="380">
        <f t="shared" si="24"/>
        <v>2499061</v>
      </c>
      <c r="K93" s="380">
        <f t="shared" si="24"/>
        <v>0</v>
      </c>
      <c r="L93" s="380">
        <f>SUM(L85:L92)</f>
        <v>-4534260</v>
      </c>
      <c r="M93" s="380">
        <f>D93+E93+F93+G93+H93+I93+J93+K93+L93</f>
        <v>3392463</v>
      </c>
      <c r="N93" s="160"/>
      <c r="O93" s="506"/>
      <c r="P93" s="507"/>
      <c r="Q93" s="276"/>
      <c r="R93" s="276"/>
      <c r="S93" s="276"/>
      <c r="T93" s="507"/>
      <c r="U93" s="508"/>
      <c r="Y93" s="268"/>
      <c r="Z93" s="447"/>
      <c r="AA93" s="442"/>
      <c r="AB93" s="449"/>
    </row>
    <row r="94" spans="1:28" ht="13.5" thickTop="1">
      <c r="C94" s="160"/>
      <c r="D94" s="165"/>
      <c r="E94" s="165"/>
      <c r="F94" s="165"/>
      <c r="G94" s="165"/>
      <c r="H94" s="165"/>
      <c r="I94" s="165"/>
      <c r="J94" s="165"/>
      <c r="K94" s="165"/>
      <c r="L94" s="165"/>
      <c r="M94" s="180"/>
      <c r="N94" s="160"/>
      <c r="O94" s="1720" t="s">
        <v>593</v>
      </c>
      <c r="P94" s="1721"/>
      <c r="Q94" s="1721"/>
      <c r="R94" s="1721"/>
      <c r="S94" s="1721"/>
      <c r="T94" s="1721"/>
      <c r="U94" s="1722"/>
      <c r="Y94" s="268"/>
      <c r="Z94" s="451"/>
      <c r="AA94" s="442"/>
      <c r="AB94" s="449"/>
    </row>
    <row r="95" spans="1:28">
      <c r="B95" s="171" t="s">
        <v>1369</v>
      </c>
      <c r="C95" s="169"/>
      <c r="D95" s="165"/>
      <c r="E95" s="165"/>
      <c r="F95" s="165"/>
      <c r="G95" s="165"/>
      <c r="H95" s="165"/>
      <c r="I95" s="165"/>
      <c r="J95" s="165"/>
      <c r="K95" s="165"/>
      <c r="L95" s="165"/>
      <c r="M95" s="180"/>
      <c r="N95" s="160"/>
      <c r="O95" s="1720"/>
      <c r="P95" s="1721"/>
      <c r="Q95" s="1721"/>
      <c r="R95" s="1721"/>
      <c r="S95" s="1721"/>
      <c r="T95" s="1721"/>
      <c r="U95" s="1722"/>
      <c r="Y95" s="268"/>
      <c r="Z95" s="452"/>
      <c r="AA95" s="453"/>
      <c r="AB95" s="454"/>
    </row>
    <row r="96" spans="1:28">
      <c r="B96" s="169" t="s">
        <v>80</v>
      </c>
      <c r="C96" s="160"/>
      <c r="D96" s="165"/>
      <c r="E96" s="165"/>
      <c r="F96" s="165"/>
      <c r="G96" s="165"/>
      <c r="H96" s="165"/>
      <c r="I96" s="165"/>
      <c r="J96" s="165"/>
      <c r="K96" s="165"/>
      <c r="L96" s="165"/>
      <c r="M96" s="180"/>
      <c r="N96" s="160"/>
      <c r="O96" s="509"/>
      <c r="P96" s="510"/>
      <c r="Q96" s="511"/>
      <c r="R96" s="511"/>
      <c r="S96" s="511"/>
      <c r="T96" s="510"/>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Input!$SN$33</f>
        <v>3392463</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3" t="str">
        <f>IF($L$118&lt;&gt;Input!$F$33,"Out of Balance","Balanced")</f>
        <v>Balanced</v>
      </c>
      <c r="M102" s="517"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41994410</v>
      </c>
      <c r="E105" s="373">
        <f>SUM($E$10:$E$14)+SUM($E$19:$E$28)+SUM($E$32:$E$41)+$E$47+SUM($E$50:$E$55)+SUM($E$60:$E$70)+SUM($E$74:$E$77)+SUM($E$81:$E$82)+SUM($E$87:$E$92)</f>
        <v>19551342</v>
      </c>
      <c r="F105" s="373">
        <f>SUM($F$10:$F$14)+SUM($F$19:$F$28)+SUM($F$32:$F$41)+$F$47+SUM($F$50:$F$55)+SUM($F$60:$F$70)+SUM($F$74:$F$77)+SUM($F$81:$F$82)+SUM($F$87:$F$92)</f>
        <v>4631200</v>
      </c>
      <c r="G105" s="373">
        <f>SUM($G$10:$G$14)+SUM($G$19:$G$28)+SUM($G$32:$G$41)+$G$47+SUM($G$50:$G$55)+SUM($G$60:$G$70)+SUM($G$74:$G$77)+SUM($G$81:$G$82)+SUM($G$87:$G$92)</f>
        <v>34306161</v>
      </c>
      <c r="H105" s="373">
        <f>SUM($H$10:$H$14)+SUM($H$19:$H$28)+SUM($H$32:$H$41)+$H$47+SUM($H$50:$H$55)+SUM($H$60:$H$70)+SUM($H$74:$H$77)+SUM($H$81:$H$82)+SUM($H$87:$H$92)</f>
        <v>0</v>
      </c>
      <c r="I105" s="373">
        <f>SUM($I$10:$I$14)+SUM($I$19:$I$28)+SUM($I$32:$I$41)+$I$47+SUM($I$50:$I$55)+SUM($I$60:$I$70)+SUM($I$74:$I$77)+SUM($I$81:$I$82)+SUM($I$87:$I$92)</f>
        <v>4295753</v>
      </c>
      <c r="J105" s="373">
        <f>SUM($J$10:$J$14)+SUM($J$19:$J$28)+SUM($J$32:$J$41)+$J$47+SUM($J$50:$J$55)+SUM($J$60:$J$70)+SUM($J$74:$J$77)+SUM($J$81:$J$82)+SUM($J$87:$J$92)</f>
        <v>5078665</v>
      </c>
      <c r="K105" s="373">
        <f>SUM($K$10:$K$14)+SUM($K$19:$K$28)+SUM($K$32:$K$41)+$K$47+SUM($K$50:$K$55)+SUM($K$60:$K$70)+SUM($K$74:$K$77)+SUM($K$81:$K$82)+SUM($K$87:$K$92)</f>
        <v>0</v>
      </c>
      <c r="L105" s="373">
        <f>SUM($L$10:$L$14)+SUM($L$19:$L$28)+SUM($L$32:$L$41)+$L$47+SUM($L$50:$L$55)+SUM($L$60:$L$70)+SUM($L$74:$L$77)+SUM($L$81:$L$82)+SUM($L$87:$L$92)</f>
        <v>-4534260</v>
      </c>
      <c r="M105" s="373"/>
      <c r="N105" s="264"/>
      <c r="O105" s="373"/>
      <c r="P105" s="450">
        <f>M18-INT(M18)</f>
        <v>0</v>
      </c>
    </row>
    <row r="106" spans="2:28">
      <c r="B106" s="261"/>
      <c r="C106" s="261"/>
      <c r="D106" s="261"/>
      <c r="E106" s="261"/>
      <c r="F106" s="261"/>
      <c r="G106" s="261"/>
      <c r="H106" s="261"/>
      <c r="I106" s="261"/>
      <c r="J106" s="261"/>
      <c r="K106" s="261"/>
      <c r="L106" s="373">
        <f>SUM($D$105:$L$105)</f>
        <v>105323271</v>
      </c>
      <c r="M106" s="261"/>
      <c r="N106" s="264"/>
      <c r="O106" s="373"/>
      <c r="P106" s="450">
        <f>M31-INT(M31)</f>
        <v>0</v>
      </c>
    </row>
    <row r="107" spans="2:28">
      <c r="B107" s="261"/>
      <c r="C107" s="261"/>
      <c r="D107" s="261"/>
      <c r="E107" s="261"/>
      <c r="F107" s="261"/>
      <c r="G107" s="261"/>
      <c r="H107" s="261"/>
      <c r="I107" s="261"/>
      <c r="J107" s="261" t="s">
        <v>1299</v>
      </c>
      <c r="K107" s="261"/>
      <c r="L107" s="373">
        <f>$M$100</f>
        <v>3392463</v>
      </c>
      <c r="M107" s="261"/>
      <c r="N107" s="264"/>
      <c r="O107" s="373"/>
      <c r="P107" s="450">
        <f>M93-INT(M93)</f>
        <v>0</v>
      </c>
    </row>
    <row r="108" spans="2:28">
      <c r="B108" s="261"/>
      <c r="C108" s="261"/>
      <c r="D108" s="261"/>
      <c r="E108" s="261"/>
      <c r="F108" s="261"/>
      <c r="G108" s="261"/>
      <c r="H108" s="261"/>
      <c r="I108" s="261"/>
      <c r="J108" s="261" t="s">
        <v>1300</v>
      </c>
      <c r="K108" s="261"/>
      <c r="L108" s="512">
        <f>$Q$32</f>
        <v>15172853</v>
      </c>
      <c r="M108" s="261"/>
      <c r="N108" s="264"/>
      <c r="O108" s="373"/>
    </row>
    <row r="109" spans="2:28">
      <c r="B109" s="261"/>
      <c r="C109" s="261"/>
      <c r="D109" s="261"/>
      <c r="E109" s="261"/>
      <c r="F109" s="261"/>
      <c r="G109" s="261"/>
      <c r="H109" s="261"/>
      <c r="I109" s="261"/>
      <c r="J109" s="261" t="s">
        <v>1300</v>
      </c>
      <c r="K109" s="261"/>
      <c r="L109" s="512">
        <f>$R$34</f>
        <v>-5494266</v>
      </c>
      <c r="M109" s="261"/>
      <c r="N109" s="264"/>
      <c r="O109" s="373"/>
    </row>
    <row r="110" spans="2:28">
      <c r="B110" s="261"/>
      <c r="C110" s="261"/>
      <c r="D110" s="261"/>
      <c r="E110" s="261"/>
      <c r="F110" s="261"/>
      <c r="G110" s="261"/>
      <c r="H110" s="261"/>
      <c r="I110" s="261"/>
      <c r="J110" s="261" t="s">
        <v>29</v>
      </c>
      <c r="K110" s="261"/>
      <c r="L110" s="512">
        <f>SUM($P$60:$P$68)</f>
        <v>471724</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2">
        <f>SUM($V$60:$V$67)</f>
        <v>0</v>
      </c>
      <c r="M112" s="261"/>
      <c r="N112" s="264"/>
      <c r="O112" s="373"/>
    </row>
    <row r="113" spans="2:15">
      <c r="B113" s="261"/>
      <c r="C113" s="261"/>
      <c r="D113" s="261"/>
      <c r="E113" s="261"/>
      <c r="F113" s="261"/>
      <c r="G113" s="261"/>
      <c r="H113" s="261"/>
      <c r="I113" s="261"/>
      <c r="J113" s="261" t="s">
        <v>596</v>
      </c>
      <c r="K113" s="261"/>
      <c r="L113" s="512">
        <f>SUM($W$60:$W$67)</f>
        <v>0</v>
      </c>
      <c r="M113" s="261"/>
      <c r="N113" s="264"/>
      <c r="O113" s="373"/>
    </row>
    <row r="114" spans="2:15">
      <c r="B114" s="261"/>
      <c r="C114" s="261"/>
      <c r="D114" s="261"/>
      <c r="E114" s="261"/>
      <c r="F114" s="261"/>
      <c r="G114" s="261"/>
      <c r="H114" s="261"/>
      <c r="I114" s="261"/>
      <c r="J114" s="261" t="s">
        <v>258</v>
      </c>
      <c r="K114" s="261"/>
      <c r="L114" s="512">
        <f>SUM($AA$60:$AA$68)</f>
        <v>50493680</v>
      </c>
      <c r="M114" s="261"/>
      <c r="N114" s="264"/>
      <c r="O114" s="373"/>
    </row>
    <row r="115" spans="2:15">
      <c r="B115" s="261"/>
      <c r="C115" s="261"/>
      <c r="D115" s="261"/>
      <c r="E115" s="261"/>
      <c r="F115" s="261"/>
      <c r="G115" s="261"/>
      <c r="H115" s="261"/>
      <c r="I115" s="261"/>
      <c r="J115" s="261" t="s">
        <v>597</v>
      </c>
      <c r="K115" s="261"/>
      <c r="L115" s="512">
        <f>$R$77</f>
        <v>1784935</v>
      </c>
      <c r="M115" s="261"/>
      <c r="N115" s="264"/>
      <c r="O115" s="373"/>
    </row>
    <row r="116" spans="2:15">
      <c r="B116" s="261"/>
      <c r="C116" s="261"/>
      <c r="D116" s="261"/>
      <c r="E116" s="261"/>
      <c r="F116" s="261"/>
      <c r="G116" s="261"/>
      <c r="H116" s="261"/>
      <c r="I116" s="261"/>
      <c r="J116" s="261" t="s">
        <v>597</v>
      </c>
      <c r="K116" s="261"/>
      <c r="L116" s="512">
        <f>$R$80</f>
        <v>2259418</v>
      </c>
      <c r="M116" s="261"/>
      <c r="N116" s="264"/>
      <c r="O116" s="373"/>
    </row>
    <row r="117" spans="2:15">
      <c r="B117" s="261"/>
      <c r="C117" s="261"/>
      <c r="D117" s="261"/>
      <c r="E117" s="261"/>
      <c r="F117" s="261"/>
      <c r="G117" s="261"/>
      <c r="H117" s="261"/>
      <c r="I117" s="261"/>
      <c r="J117" s="261" t="s">
        <v>1231</v>
      </c>
      <c r="K117" s="261"/>
      <c r="L117" s="1008">
        <f>VLOOKUP(B2,Names!B5:$C$87,2,FALSE)</f>
        <v>3625</v>
      </c>
      <c r="M117" s="261"/>
      <c r="N117" s="264"/>
      <c r="O117" s="373"/>
    </row>
    <row r="118" spans="2:15">
      <c r="B118" s="261"/>
      <c r="C118" s="261"/>
      <c r="D118" s="261"/>
      <c r="E118" s="261"/>
      <c r="F118" s="261"/>
      <c r="G118" s="261"/>
      <c r="H118" s="261"/>
      <c r="I118" s="261"/>
      <c r="J118" s="261"/>
      <c r="K118" s="261"/>
      <c r="L118" s="373">
        <f>SUM(L106:L117)</f>
        <v>173407703</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V56:V59"/>
    <mergeCell ref="W56:W59"/>
    <mergeCell ref="G59:K59"/>
    <mergeCell ref="AA56:AA59"/>
    <mergeCell ref="Z55:AB55"/>
    <mergeCell ref="R56:R59"/>
    <mergeCell ref="O55:R55"/>
    <mergeCell ref="T55:X55"/>
    <mergeCell ref="X56:X59"/>
    <mergeCell ref="AB56:AB59"/>
    <mergeCell ref="Z56:Z59"/>
    <mergeCell ref="B2:F2"/>
    <mergeCell ref="B3:F3"/>
    <mergeCell ref="B4:F4"/>
    <mergeCell ref="B6:M6"/>
    <mergeCell ref="P4:Q4"/>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s>
  <conditionalFormatting sqref="U87:X88 O88:Q88">
    <cfRule type="cellIs" dxfId="450" priority="150" stopIfTrue="1" operator="notEqual">
      <formula>#REF!</formula>
    </cfRule>
  </conditionalFormatting>
  <conditionalFormatting sqref="P70">
    <cfRule type="expression" dxfId="449" priority="129">
      <formula>$P$69&lt;&gt;$M$69</formula>
    </cfRule>
  </conditionalFormatting>
  <conditionalFormatting sqref="AB72">
    <cfRule type="expression" dxfId="448" priority="128">
      <formula>$AB$71&lt;&gt;0</formula>
    </cfRule>
  </conditionalFormatting>
  <conditionalFormatting sqref="P71">
    <cfRule type="expression" dxfId="447" priority="127">
      <formula>P69-INT(P69)</formula>
    </cfRule>
  </conditionalFormatting>
  <conditionalFormatting sqref="V70">
    <cfRule type="expression" dxfId="446" priority="125">
      <formula>X68-INT(X68)</formula>
    </cfRule>
  </conditionalFormatting>
  <conditionalFormatting sqref="O11">
    <cfRule type="expression" dxfId="445" priority="118">
      <formula>#REF!&lt;&gt;$M$11</formula>
    </cfRule>
  </conditionalFormatting>
  <conditionalFormatting sqref="U87:U88 O88:Q88">
    <cfRule type="cellIs" dxfId="444" priority="109" stopIfTrue="1" operator="notEqual">
      <formula>#REF!</formula>
    </cfRule>
  </conditionalFormatting>
  <conditionalFormatting sqref="R84">
    <cfRule type="expression" priority="107" stopIfTrue="1">
      <formula>$M$85&lt;0</formula>
    </cfRule>
    <cfRule type="expression" dxfId="443" priority="108">
      <formula>$S$85&lt;&gt;0</formula>
    </cfRule>
  </conditionalFormatting>
  <conditionalFormatting sqref="R80 R77">
    <cfRule type="expression" dxfId="442" priority="105" stopIfTrue="1">
      <formula>$M$85&gt;=0</formula>
    </cfRule>
    <cfRule type="expression" priority="106">
      <formula>$M$85&lt;0</formula>
    </cfRule>
  </conditionalFormatting>
  <conditionalFormatting sqref="U87:U88 O88:Q88">
    <cfRule type="cellIs" dxfId="441" priority="104" stopIfTrue="1" operator="notEqual">
      <formula>#REF!</formula>
    </cfRule>
  </conditionalFormatting>
  <conditionalFormatting sqref="O12">
    <cfRule type="expression" dxfId="440" priority="88">
      <formula>$P$12&lt;&gt;$M$12</formula>
    </cfRule>
  </conditionalFormatting>
  <conditionalFormatting sqref="O13">
    <cfRule type="expression" dxfId="439" priority="87">
      <formula>$P$13&lt;&gt;$M$13</formula>
    </cfRule>
  </conditionalFormatting>
  <conditionalFormatting sqref="Q36">
    <cfRule type="expression" dxfId="438" priority="27">
      <formula>#REF!&lt;&gt;#REF!</formula>
    </cfRule>
  </conditionalFormatting>
  <conditionalFormatting sqref="R35">
    <cfRule type="expression" dxfId="437" priority="26">
      <formula>#REF!&lt;&gt;0</formula>
    </cfRule>
  </conditionalFormatting>
  <conditionalFormatting sqref="Q35">
    <cfRule type="expression" dxfId="436" priority="25">
      <formula>#REF!&lt;&gt;0</formula>
    </cfRule>
  </conditionalFormatting>
  <conditionalFormatting sqref="R36">
    <cfRule type="expression" dxfId="435" priority="24">
      <formula>#REF!&lt;&gt;#REF!</formula>
    </cfRule>
  </conditionalFormatting>
  <conditionalFormatting sqref="D93:M98 T94:T95 R90:S95 U87:X93 T90:T92 Y90:Y95 O88:O92 P88:Q93">
    <cfRule type="cellIs" dxfId="434" priority="23" stopIfTrue="1" operator="notEqual">
      <formula>#REF!</formula>
    </cfRule>
  </conditionalFormatting>
  <conditionalFormatting sqref="P70">
    <cfRule type="expression" dxfId="433" priority="22">
      <formula>$P$69&lt;&gt;$M$69</formula>
    </cfRule>
  </conditionalFormatting>
  <conditionalFormatting sqref="AB72">
    <cfRule type="expression" dxfId="432" priority="21">
      <formula>$AB$71&lt;&gt;0</formula>
    </cfRule>
  </conditionalFormatting>
  <conditionalFormatting sqref="P71">
    <cfRule type="expression" dxfId="431" priority="20">
      <formula>P69-INT(P69)</formula>
    </cfRule>
  </conditionalFormatting>
  <conditionalFormatting sqref="V70">
    <cfRule type="expression" dxfId="430" priority="19">
      <formula>X68-INT(X68)</formula>
    </cfRule>
  </conditionalFormatting>
  <conditionalFormatting sqref="O12">
    <cfRule type="expression" dxfId="429" priority="18">
      <formula>$P$12&lt;&gt;$M$12</formula>
    </cfRule>
  </conditionalFormatting>
  <conditionalFormatting sqref="T94:T95 R90:S95 U87:U93 T90:T92 O88:O92 P88:Q93">
    <cfRule type="cellIs" dxfId="428" priority="16" stopIfTrue="1" operator="notEqual">
      <formula>#REF!</formula>
    </cfRule>
  </conditionalFormatting>
  <conditionalFormatting sqref="R84">
    <cfRule type="expression" priority="14" stopIfTrue="1">
      <formula>$M$85&lt;0</formula>
    </cfRule>
    <cfRule type="expression" dxfId="427" priority="15">
      <formula>$S$85&lt;&gt;0</formula>
    </cfRule>
  </conditionalFormatting>
  <conditionalFormatting sqref="R80 R77">
    <cfRule type="expression" dxfId="426" priority="12" stopIfTrue="1">
      <formula>$M$85&gt;=0</formula>
    </cfRule>
    <cfRule type="expression" priority="13">
      <formula>$M$85&lt;0</formula>
    </cfRule>
  </conditionalFormatting>
  <conditionalFormatting sqref="U87:U88 R89:U92 O88:Q92">
    <cfRule type="cellIs" dxfId="425" priority="11" stopIfTrue="1" operator="notEqual">
      <formula>#REF!</formula>
    </cfRule>
  </conditionalFormatting>
  <conditionalFormatting sqref="M101">
    <cfRule type="expression" dxfId="424" priority="10">
      <formula>$M$101&lt;&gt;0</formula>
    </cfRule>
  </conditionalFormatting>
  <conditionalFormatting sqref="M102">
    <cfRule type="expression" dxfId="423" priority="9">
      <formula>$M$93&lt;&gt;$M$100</formula>
    </cfRule>
  </conditionalFormatting>
  <conditionalFormatting sqref="U87:U92 R90:T92 O88:Q92">
    <cfRule type="cellIs" dxfId="422" priority="8" stopIfTrue="1" operator="notEqual">
      <formula>#REF!</formula>
    </cfRule>
  </conditionalFormatting>
  <conditionalFormatting sqref="T89:U89 Q91 T90 O89:O90 P89:Q89 R89:S91">
    <cfRule type="cellIs" dxfId="421" priority="7" stopIfTrue="1" operator="notEqual">
      <formula>#REF!</formula>
    </cfRule>
  </conditionalFormatting>
  <conditionalFormatting sqref="Q36">
    <cfRule type="expression" dxfId="420" priority="6">
      <formula>#REF!&lt;&gt;#REF!</formula>
    </cfRule>
  </conditionalFormatting>
  <conditionalFormatting sqref="R35">
    <cfRule type="expression" dxfId="419" priority="5">
      <formula>#REF!&lt;&gt;0</formula>
    </cfRule>
  </conditionalFormatting>
  <conditionalFormatting sqref="Q35">
    <cfRule type="expression" dxfId="418" priority="4">
      <formula>#REF!&lt;&gt;0</formula>
    </cfRule>
  </conditionalFormatting>
  <conditionalFormatting sqref="R36">
    <cfRule type="expression" dxfId="417" priority="3">
      <formula>#REF!&lt;&gt;#REF!</formula>
    </cfRule>
  </conditionalFormatting>
  <conditionalFormatting sqref="G59:K59">
    <cfRule type="expression" dxfId="416" priority="1">
      <formula>OR($P$105&gt;0,$P$106&lt;&gt;0,$P$107&lt;&gt;0)</formula>
    </cfRule>
  </conditionalFormatting>
  <hyperlinks>
    <hyperlink ref="O2" location="Index!A1" display="Return to Index" xr:uid="{00000000-0004-0000-8700-000000000000}"/>
  </hyperlinks>
  <printOptions horizontalCentered="1"/>
  <pageMargins left="0.5" right="0.5" top="0.25" bottom="0.25" header="0" footer="0.25"/>
  <pageSetup scale="10" orientation="landscape" r:id="rId1"/>
  <headerFooter alignWithMargins="0"/>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codeName="Sheet114"/>
  <dimension ref="A1:G30"/>
  <sheetViews>
    <sheetView showGridLines="0" zoomScale="80" zoomScaleNormal="80" workbookViewId="0">
      <selection activeCell="E74" sqref="E74:F74"/>
    </sheetView>
  </sheetViews>
  <sheetFormatPr defaultColWidth="9.140625" defaultRowHeight="12.75"/>
  <cols>
    <col min="1" max="1" width="7" style="53" customWidth="1"/>
    <col min="2" max="2" width="93.140625" style="53" customWidth="1"/>
    <col min="3" max="3" width="19" style="53" customWidth="1"/>
    <col min="4" max="9" width="9.140625" style="53"/>
    <col min="10" max="10" width="15" style="53" customWidth="1"/>
    <col min="11" max="16384" width="9.140625" style="53"/>
  </cols>
  <sheetData>
    <row r="1" spans="2:6" ht="18.75" thickBot="1">
      <c r="B1" s="466" t="str">
        <f>'SRSU Chrts'!$A$1</f>
        <v>Sul Ross State University</v>
      </c>
      <c r="C1" s="835" t="s">
        <v>1200</v>
      </c>
    </row>
    <row r="2" spans="2:6">
      <c r="B2" s="393" t="str">
        <f>'Smmy Chrts'!$A$2</f>
        <v>For the Year Ended August 31, 2021</v>
      </c>
    </row>
    <row r="3" spans="2:6">
      <c r="B3" s="393" t="str">
        <f>'Smmy Chrts'!$A$3</f>
        <v>Source: FY 2021 Annual Financial Report</v>
      </c>
    </row>
    <row r="5" spans="2:6" customFormat="1">
      <c r="B5" s="529" t="s">
        <v>705</v>
      </c>
    </row>
    <row r="6" spans="2:6" customFormat="1">
      <c r="B6" s="530"/>
    </row>
    <row r="7" spans="2:6" customFormat="1" ht="226.5" customHeight="1">
      <c r="B7" s="531" t="s">
        <v>706</v>
      </c>
      <c r="C7" s="532"/>
    </row>
    <row r="8" spans="2:6" customFormat="1" ht="263.25" customHeight="1">
      <c r="B8" s="531" t="s">
        <v>707</v>
      </c>
    </row>
    <row r="9" spans="2:6" ht="64.5" customHeight="1">
      <c r="B9" s="533" t="str">
        <f>IF('SRSU FGD'!$R$76="N/A","FN11.  N/A",$B$20&amp;$B$21&amp;$B$22&amp;$B$23&amp;$B$24&amp;$B$25&amp;$B$26&amp;$B$27&amp;$B$28&amp;$B$29&amp;$B$30)</f>
        <v>FN11: Of the net increase of $4,011,763 approximately $1.8 million represents revenues received but not yet expended. This income is fully committed to program expenditures and capital disbursements. The remaining $2.2 million represents non-expendable funds from unrealized gains and additions to permanent endowments of approximately $2.3 million and $(33) thousand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TEXT(IF('SRSU FGD'!$M$85&lt;0,"N/A",'SRSU FGD'!$M$85),"$* #,##0;$* (#,##0)")</f>
        <v>$4,011,763</v>
      </c>
      <c r="C21" s="480"/>
      <c r="D21" s="480"/>
      <c r="E21" s="480"/>
      <c r="G21" s="105"/>
    </row>
    <row r="22" spans="1:7">
      <c r="B22" s="105" t="s">
        <v>682</v>
      </c>
    </row>
    <row r="23" spans="1:7">
      <c r="A23" s="53">
        <v>61</v>
      </c>
      <c r="B23" s="515" t="str">
        <f>IF(ABS('SRSU FGD'!$R$77)&gt;=1000000,TEXT('SRSU FGD'!$R$77/1000000,"$* #,##0.0;$* (#,##0.0)")&amp;" million",IF(ABS('SRSU FGD'!$R$77)&lt;1000,TEXT('SRSU FGD'!$R$77,"$* #,##0;$* (#,##0)"),TEXT('SRSU FGD'!$R$77/1000,"$* #,##0;$* (#,##0)")&amp;" thousand"))</f>
        <v>$1.8 million</v>
      </c>
      <c r="C23" s="515"/>
      <c r="E23" s="515"/>
    </row>
    <row r="24" spans="1:7">
      <c r="B24" s="105" t="s">
        <v>708</v>
      </c>
    </row>
    <row r="25" spans="1:7">
      <c r="A25" s="53">
        <v>62</v>
      </c>
      <c r="B25" s="515" t="str">
        <f>IF(ABS('SRSU FGD'!$R$78)&gt;=1000000,TEXT('SRSU FGD'!$R$78/1000000,"$* #,##0.0;$* (#,##0.0)")&amp;" million",IF(ABS('SRSU FGD'!$R$78)&lt;1000,TEXT('SRSU FGD'!$R$78,"$* #,##0;$* (#,##0)"),TEXT('SRSU FGD'!$R$78/1000,"$* #,##0;$* (#,##0)")&amp;" thousand"))</f>
        <v>$2.2 million</v>
      </c>
      <c r="C25" s="515"/>
      <c r="E25" s="515"/>
    </row>
    <row r="26" spans="1:7">
      <c r="B26" s="105" t="s">
        <v>683</v>
      </c>
    </row>
    <row r="27" spans="1:7">
      <c r="A27" s="53">
        <v>64</v>
      </c>
      <c r="B27" s="515" t="str">
        <f>IF(ABS('SRSU FGD'!$R$80)&gt;=1000000,TEXT('SRSU FGD'!$R$80/1000000,"$* #,##0.0;$* (#,##0.0)")&amp;" million",IF(ABS('SRSU FGD'!$R$80)&lt;1000,TEXT('SRSU FGD'!$R$80,"$* #,##0;$* (#,##0)"),TEXT('SRSU FGD'!$R$80/1000,"$* #,##0;$* (#,##0)")&amp;" thousand"))</f>
        <v>$2.3 million</v>
      </c>
      <c r="C27" s="515"/>
      <c r="E27" s="515"/>
    </row>
    <row r="28" spans="1:7">
      <c r="B28" s="105" t="s">
        <v>684</v>
      </c>
    </row>
    <row r="29" spans="1:7">
      <c r="A29" s="53">
        <v>66</v>
      </c>
      <c r="B29" s="515" t="str">
        <f>IF(ABS('SRSU FGD'!$R$82)&gt;=1000000,TEXT('SRSU FGD'!$R$82/1000000,"$* #,##0.0;$* (#,##0.0)")&amp;" million",IF(ABS('SRSU FGD'!$R$82)&lt;1000,TEXT('SRSU FGD'!$R$82,"$* #,##0;$* (#,##0)"),TEXT('SRSU FGD'!$R$82/1000,"$* #,##0;$* (#,##0)")&amp;" thousand"))</f>
        <v>$(33) thousand</v>
      </c>
      <c r="C29" s="515"/>
      <c r="E29" s="515"/>
    </row>
    <row r="30" spans="1:7">
      <c r="B30" s="105" t="s">
        <v>709</v>
      </c>
    </row>
  </sheetData>
  <hyperlinks>
    <hyperlink ref="C1" location="Index!A1" display="Return to Index" xr:uid="{00000000-0004-0000-8800-000000000000}"/>
  </hyperlinks>
  <pageMargins left="0.25" right="0.25" top="0.25" bottom="0.25" header="0" footer="0.25"/>
  <pageSetup orientation="portrait" r:id="rId1"/>
  <headerFooter alignWithMargins="0"/>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sheetPr codeName="Sheet115">
    <tabColor indexed="47"/>
    <pageSetUpPr fitToPage="1"/>
  </sheetPr>
  <dimension ref="A1:E165"/>
  <sheetViews>
    <sheetView showGridLines="0" zoomScale="65" zoomScaleNormal="65" zoomScaleSheetLayoutView="65" workbookViewId="0">
      <selection activeCell="C35" sqref="C35"/>
    </sheetView>
  </sheetViews>
  <sheetFormatPr defaultColWidth="9.140625" defaultRowHeight="12.75" customHeight="1"/>
  <cols>
    <col min="1" max="1" width="158.7109375" style="53" customWidth="1"/>
    <col min="2" max="2" width="24.5703125" style="53" customWidth="1"/>
    <col min="3" max="3" width="50.140625" style="53" customWidth="1"/>
    <col min="4" max="4" width="20.7109375" style="53" customWidth="1"/>
    <col min="5" max="5" width="9.140625" style="679"/>
    <col min="6" max="16384" width="9.140625" style="53"/>
  </cols>
  <sheetData>
    <row r="1" spans="1:5" ht="28.5" thickBot="1">
      <c r="A1" s="107" t="s">
        <v>121</v>
      </c>
      <c r="B1" s="835" t="s">
        <v>1200</v>
      </c>
      <c r="C1" s="53" t="s">
        <v>1329</v>
      </c>
    </row>
    <row r="2" spans="1:5" ht="27.75">
      <c r="A2" s="54" t="str">
        <f>'Smmy Chrts'!$A$2</f>
        <v>For the Year Ended August 31, 2021</v>
      </c>
      <c r="C2" s="55" t="s">
        <v>63</v>
      </c>
    </row>
    <row r="3" spans="1:5" ht="27.75">
      <c r="A3" s="54" t="str">
        <f>'Smmy Chrts'!$A$3</f>
        <v>Source: FY 2021 Annual Financial Report</v>
      </c>
      <c r="C3" s="53" t="s">
        <v>64</v>
      </c>
    </row>
    <row r="4" spans="1:5" ht="12.75" customHeight="1">
      <c r="C4" s="53" t="s">
        <v>267</v>
      </c>
    </row>
    <row r="5" spans="1:5" ht="12.75" customHeight="1">
      <c r="C5" s="53" t="s">
        <v>268</v>
      </c>
    </row>
    <row r="7" spans="1:5" ht="12.75" customHeight="1">
      <c r="C7" s="1687" t="s">
        <v>25</v>
      </c>
      <c r="D7" s="1687"/>
    </row>
    <row r="8" spans="1:5" ht="12.75" customHeight="1">
      <c r="C8" s="57"/>
      <c r="D8" s="58"/>
    </row>
    <row r="9" spans="1:5" ht="12.75" customHeight="1">
      <c r="C9" s="59" t="str">
        <f>'TTU Sum'!A9</f>
        <v>State of Texas</v>
      </c>
      <c r="D9" s="60">
        <f>'TTU Sum'!B15</f>
        <v>263622386</v>
      </c>
      <c r="E9" s="680">
        <f>ROUND(D9/$D$14,3)</f>
        <v>0.255</v>
      </c>
    </row>
    <row r="10" spans="1:5" ht="12.75" customHeight="1">
      <c r="C10" s="59" t="str">
        <f>'TTU Sum'!A17</f>
        <v>Student &amp; Parent</v>
      </c>
      <c r="D10" s="60">
        <f>'TTU Sum'!B20</f>
        <v>357294838</v>
      </c>
      <c r="E10" s="680">
        <f t="shared" ref="E10:E12" si="0">ROUND(D10/$D$14,3)</f>
        <v>0.34499999999999997</v>
      </c>
    </row>
    <row r="11" spans="1:5" ht="12.75" customHeight="1">
      <c r="C11" s="59" t="str">
        <f>'TTU Sum'!A22</f>
        <v>Federal Government</v>
      </c>
      <c r="D11" s="60">
        <f>'TTU Sum'!B23</f>
        <v>126847258</v>
      </c>
      <c r="E11" s="680">
        <f t="shared" si="0"/>
        <v>0.123</v>
      </c>
    </row>
    <row r="12" spans="1:5" ht="12.75" customHeight="1">
      <c r="C12" s="59" t="str">
        <f>'TTU Sum'!A25</f>
        <v>Institutional Resources</v>
      </c>
      <c r="D12" s="60">
        <f>'TTU Sum'!B32</f>
        <v>287341959</v>
      </c>
      <c r="E12" s="680">
        <f t="shared" si="0"/>
        <v>0.27800000000000002</v>
      </c>
    </row>
    <row r="13" spans="1:5" ht="12.75" customHeight="1">
      <c r="C13" s="57"/>
      <c r="D13" s="58"/>
      <c r="E13" s="680"/>
    </row>
    <row r="14" spans="1:5" ht="12.75" customHeight="1">
      <c r="C14" s="61" t="s">
        <v>68</v>
      </c>
      <c r="D14" s="62">
        <f>SUM(D9:D13)</f>
        <v>1035106441</v>
      </c>
      <c r="E14" s="680">
        <f>SUM(E9:E13)</f>
        <v>1.0009999999999999</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86" t="str">
        <f>C14&amp;" "&amp;TEXT(D14,"$#,###")</f>
        <v>Total Operating Sources $1,035,106,441</v>
      </c>
    </row>
    <row r="48" spans="1:1" ht="12.75" customHeight="1">
      <c r="A48" s="1686"/>
    </row>
    <row r="49" spans="1:5" ht="12.75" customHeight="1">
      <c r="A49" s="56"/>
    </row>
    <row r="52" spans="1:5" ht="12.75" customHeight="1">
      <c r="C52" s="63" t="s">
        <v>25</v>
      </c>
      <c r="D52" s="58"/>
    </row>
    <row r="54" spans="1:5" ht="12.75" customHeight="1">
      <c r="C54" s="59" t="s">
        <v>1</v>
      </c>
      <c r="D54" s="60">
        <f>'TTU Sum'!B10</f>
        <v>194264324</v>
      </c>
      <c r="E54" s="680">
        <f>ROUND(D54/$D$67,3)</f>
        <v>0.188</v>
      </c>
    </row>
    <row r="55" spans="1:5" ht="12.75" customHeight="1">
      <c r="C55" s="59" t="s">
        <v>221</v>
      </c>
      <c r="D55" s="60">
        <f>'TTU Sum'!B11</f>
        <v>19483316</v>
      </c>
      <c r="E55" s="680">
        <f t="shared" ref="E55:E66" si="1">ROUND(D55/$D$67,3)</f>
        <v>1.9E-2</v>
      </c>
    </row>
    <row r="56" spans="1:5" ht="12.75" customHeight="1">
      <c r="C56" s="59"/>
      <c r="D56" s="60"/>
      <c r="E56" s="680"/>
    </row>
    <row r="57" spans="1:5" ht="12.75" customHeight="1">
      <c r="C57" s="59" t="str">
        <f>'TTU Sum'!A13</f>
        <v>Higher Education Fund</v>
      </c>
      <c r="D57" s="60">
        <f>'TTU Sum'!B13</f>
        <v>49874746</v>
      </c>
      <c r="E57" s="680">
        <f t="shared" si="1"/>
        <v>4.8000000000000001E-2</v>
      </c>
    </row>
    <row r="58" spans="1:5" ht="12.75" customHeight="1">
      <c r="C58" s="1069" t="s">
        <v>41</v>
      </c>
      <c r="D58" s="60">
        <f>'TTU Sum'!B14</f>
        <v>0</v>
      </c>
      <c r="E58" s="680">
        <f t="shared" si="1"/>
        <v>0</v>
      </c>
    </row>
    <row r="59" spans="1:5" ht="12.75" customHeight="1">
      <c r="C59" s="59" t="s">
        <v>87</v>
      </c>
      <c r="D59" s="60">
        <f>'TTU Sum'!B20</f>
        <v>357294838</v>
      </c>
      <c r="E59" s="680">
        <f t="shared" si="1"/>
        <v>0.34499999999999997</v>
      </c>
    </row>
    <row r="60" spans="1:5" ht="12.75" customHeight="1">
      <c r="C60" s="64" t="s">
        <v>74</v>
      </c>
      <c r="D60" s="60">
        <f>'TTU Sum'!B23</f>
        <v>126847258</v>
      </c>
      <c r="E60" s="680">
        <f t="shared" si="1"/>
        <v>0.123</v>
      </c>
    </row>
    <row r="61" spans="1:5" ht="12.75" customHeight="1">
      <c r="C61" s="59" t="s">
        <v>75</v>
      </c>
      <c r="D61" s="60">
        <f>'TTU Sum'!B26</f>
        <v>12350524</v>
      </c>
      <c r="E61" s="680">
        <f t="shared" si="1"/>
        <v>1.2E-2</v>
      </c>
    </row>
    <row r="62" spans="1:5" ht="12.75" customHeight="1">
      <c r="C62" s="59" t="s">
        <v>27</v>
      </c>
      <c r="D62" s="60">
        <f>'TTU Sum'!B27</f>
        <v>897267</v>
      </c>
      <c r="E62" s="680">
        <f t="shared" si="1"/>
        <v>1E-3</v>
      </c>
    </row>
    <row r="63" spans="1:5" ht="12.75" customHeight="1">
      <c r="C63" s="59" t="s">
        <v>76</v>
      </c>
      <c r="D63" s="60">
        <f>'TTU Sum'!B28</f>
        <v>115375636</v>
      </c>
      <c r="E63" s="680">
        <f t="shared" si="1"/>
        <v>0.111</v>
      </c>
    </row>
    <row r="64" spans="1:5" ht="12.75" customHeight="1">
      <c r="C64" s="59" t="s">
        <v>77</v>
      </c>
      <c r="D64" s="60">
        <f>'TTU Sum'!B29</f>
        <v>15934030</v>
      </c>
      <c r="E64" s="680">
        <f t="shared" si="1"/>
        <v>1.4999999999999999E-2</v>
      </c>
    </row>
    <row r="65" spans="1:5" ht="12.75" customHeight="1">
      <c r="C65" s="59" t="s">
        <v>220</v>
      </c>
      <c r="D65" s="60">
        <f>'TTU Sum'!B30</f>
        <v>134410311</v>
      </c>
      <c r="E65" s="680">
        <f t="shared" si="1"/>
        <v>0.13</v>
      </c>
    </row>
    <row r="66" spans="1:5" ht="12.75" customHeight="1">
      <c r="C66" s="64" t="s">
        <v>52</v>
      </c>
      <c r="D66" s="60">
        <f>'TTU Sum'!B31</f>
        <v>8374191</v>
      </c>
      <c r="E66" s="680">
        <f t="shared" si="1"/>
        <v>8.0000000000000002E-3</v>
      </c>
    </row>
    <row r="67" spans="1:5" ht="12.75" customHeight="1">
      <c r="C67" s="61" t="s">
        <v>68</v>
      </c>
      <c r="D67" s="62">
        <f>SUM(D54:D66)</f>
        <v>1035106441</v>
      </c>
      <c r="E67" s="681">
        <f>SUM(E54:E66)</f>
        <v>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86" t="str">
        <f>C67&amp;" "&amp;TEXT(D67,"$#,###")</f>
        <v>Total Operating Sources $1,035,106,441</v>
      </c>
    </row>
    <row r="93" spans="1:5" ht="12.75" customHeight="1">
      <c r="A93" s="1686"/>
    </row>
    <row r="94" spans="1:5" ht="12.75" customHeight="1">
      <c r="A94" s="65"/>
    </row>
    <row r="95" spans="1:5" s="68" customFormat="1" ht="12.75" customHeight="1">
      <c r="A95" s="66"/>
      <c r="E95" s="682"/>
    </row>
    <row r="96" spans="1:5" ht="12.75" customHeight="1">
      <c r="A96" s="65"/>
    </row>
    <row r="97" spans="1:5" ht="12.75" customHeight="1">
      <c r="A97" s="65"/>
    </row>
    <row r="98" spans="1:5" ht="12.75" customHeight="1">
      <c r="A98" s="65"/>
    </row>
    <row r="100" spans="1:5" ht="12.75" customHeight="1">
      <c r="C100" s="1687" t="s">
        <v>13</v>
      </c>
      <c r="D100" s="1687"/>
    </row>
    <row r="101" spans="1:5" ht="12.75" customHeight="1">
      <c r="C101" s="1687"/>
      <c r="D101" s="1687"/>
    </row>
    <row r="102" spans="1:5" ht="12.75" customHeight="1">
      <c r="C102" s="69" t="s">
        <v>14</v>
      </c>
      <c r="D102" s="60">
        <f>'TTU Sum'!B36</f>
        <v>205744864</v>
      </c>
      <c r="E102" s="680">
        <f>ROUND(D102/$D$114,3)</f>
        <v>0.24399999999999999</v>
      </c>
    </row>
    <row r="103" spans="1:5" ht="12.75" customHeight="1">
      <c r="C103" s="69" t="s">
        <v>15</v>
      </c>
      <c r="D103" s="60">
        <f>'TTU Sum'!B37</f>
        <v>164250494</v>
      </c>
      <c r="E103" s="680">
        <f t="shared" ref="E103:E112" si="2">ROUND(D103/$D$114,3)</f>
        <v>0.19500000000000001</v>
      </c>
    </row>
    <row r="104" spans="1:5" ht="12.75" customHeight="1">
      <c r="C104" s="69" t="s">
        <v>16</v>
      </c>
      <c r="D104" s="60">
        <f>'TTU Sum'!B38</f>
        <v>16683446</v>
      </c>
      <c r="E104" s="680">
        <f t="shared" si="2"/>
        <v>0.02</v>
      </c>
    </row>
    <row r="105" spans="1:5" ht="12.75" customHeight="1">
      <c r="C105" s="69" t="s">
        <v>17</v>
      </c>
      <c r="D105" s="60">
        <f>'TTU Sum'!B39</f>
        <v>86733482</v>
      </c>
      <c r="E105" s="680">
        <f t="shared" si="2"/>
        <v>0.10299999999999999</v>
      </c>
    </row>
    <row r="106" spans="1:5" ht="12.75" customHeight="1">
      <c r="C106" s="69" t="s">
        <v>18</v>
      </c>
      <c r="D106" s="60">
        <f>'TTU Sum'!B40</f>
        <v>50367868</v>
      </c>
      <c r="E106" s="680">
        <f t="shared" si="2"/>
        <v>0.06</v>
      </c>
    </row>
    <row r="107" spans="1:5" ht="12.75" customHeight="1">
      <c r="C107" s="69" t="s">
        <v>19</v>
      </c>
      <c r="D107" s="60">
        <f>'TTU Sum'!B41</f>
        <v>47908596</v>
      </c>
      <c r="E107" s="680">
        <f t="shared" si="2"/>
        <v>5.7000000000000002E-2</v>
      </c>
    </row>
    <row r="108" spans="1:5" ht="12.75" customHeight="1">
      <c r="C108" s="69" t="s">
        <v>78</v>
      </c>
      <c r="D108" s="60">
        <f>'TTU Sum'!B42</f>
        <v>52975607</v>
      </c>
      <c r="E108" s="680">
        <f t="shared" si="2"/>
        <v>6.3E-2</v>
      </c>
    </row>
    <row r="109" spans="1:5" ht="12.75" customHeight="1">
      <c r="C109" s="69" t="s">
        <v>79</v>
      </c>
      <c r="D109" s="60">
        <f>'TTU Sum'!B43</f>
        <v>66923464</v>
      </c>
      <c r="E109" s="680">
        <f t="shared" si="2"/>
        <v>7.9000000000000001E-2</v>
      </c>
    </row>
    <row r="110" spans="1:5" ht="12.75" customHeight="1">
      <c r="C110" s="69" t="s">
        <v>22</v>
      </c>
      <c r="D110" s="60">
        <f>'TTU Sum'!B44</f>
        <v>123786419</v>
      </c>
      <c r="E110" s="680">
        <f t="shared" si="2"/>
        <v>0.14699999999999999</v>
      </c>
    </row>
    <row r="111" spans="1:5" ht="12.75" customHeight="1">
      <c r="C111" s="64" t="s">
        <v>29</v>
      </c>
      <c r="D111" s="60">
        <f>'TTU Sum'!B45</f>
        <v>26314605</v>
      </c>
      <c r="E111" s="680">
        <f t="shared" si="2"/>
        <v>3.1E-2</v>
      </c>
    </row>
    <row r="112" spans="1:5" ht="12.75" customHeight="1">
      <c r="C112" s="64" t="s">
        <v>53</v>
      </c>
      <c r="D112" s="60">
        <f>'TTU Sum'!B46</f>
        <v>597780</v>
      </c>
      <c r="E112" s="680">
        <f t="shared" si="2"/>
        <v>1E-3</v>
      </c>
    </row>
    <row r="113" spans="3:5" ht="12.75" customHeight="1">
      <c r="C113" s="57"/>
      <c r="D113" s="57"/>
    </row>
    <row r="114" spans="3:5" ht="12.75" customHeight="1">
      <c r="C114" s="70" t="s">
        <v>69</v>
      </c>
      <c r="D114" s="62">
        <f>SUM(D102:D113)</f>
        <v>842286625</v>
      </c>
      <c r="E114" s="681">
        <f>SUM(E102:E113)</f>
        <v>1.0000000000000002</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86" t="str">
        <f>C114&amp;" "&amp;TEXT(D114,"$#,###")</f>
        <v>Total Operating Uses $842,286,625</v>
      </c>
    </row>
    <row r="137" spans="1:1" ht="12.75" customHeight="1">
      <c r="A137" s="1686"/>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89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1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sheetPr transitionEvaluation="1" transitionEntry="1" codeName="Sheet116">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'TTU Chrts'!$A$1</f>
        <v>Texas Tech University</v>
      </c>
      <c r="B1" s="74"/>
      <c r="C1" s="1"/>
      <c r="D1" s="1704" t="s">
        <v>1200</v>
      </c>
      <c r="E1" s="1705"/>
      <c r="F1" s="1757" t="s">
        <v>1196</v>
      </c>
      <c r="G1" s="1706"/>
      <c r="H1" s="1706"/>
      <c r="I1" s="1706"/>
      <c r="J1" s="1707" t="s">
        <v>1197</v>
      </c>
      <c r="K1" s="1695"/>
      <c r="L1" s="1695"/>
      <c r="M1" s="1695"/>
      <c r="N1" s="1695"/>
      <c r="O1" s="1696"/>
    </row>
    <row r="2" spans="1:15" ht="15.75">
      <c r="A2" s="76" t="str">
        <f>'Smmy Chrts'!$A$2</f>
        <v>For the Year Ended August 31, 2021</v>
      </c>
      <c r="B2" s="74"/>
      <c r="C2" s="1"/>
      <c r="D2" s="37"/>
      <c r="E2" s="37"/>
      <c r="F2" s="37"/>
      <c r="J2" s="37"/>
      <c r="K2" s="37"/>
      <c r="L2" s="37"/>
      <c r="M2" s="37"/>
    </row>
    <row r="3" spans="1:15" ht="15.75">
      <c r="A3" s="76" t="str">
        <f>'Smmy Chrts'!$A$3</f>
        <v>Source: FY 2021 Annual Financial Report</v>
      </c>
      <c r="B3" s="74"/>
      <c r="C3" s="1"/>
    </row>
    <row r="4" spans="1:15" ht="13.5" customHeight="1">
      <c r="B4" s="77"/>
      <c r="C4" s="4"/>
      <c r="D4" s="1711" t="s">
        <v>1142</v>
      </c>
      <c r="E4" s="1711" t="s">
        <v>1143</v>
      </c>
      <c r="F4" s="266"/>
    </row>
    <row r="5" spans="1:15" ht="18">
      <c r="A5" s="39" t="str">
        <f>'Smmy Chrts'!$C$35</f>
        <v>Summary Worksheet FY 2021</v>
      </c>
      <c r="B5" s="40" t="s">
        <v>86</v>
      </c>
      <c r="C5" s="40" t="s">
        <v>129</v>
      </c>
      <c r="D5" s="1712"/>
      <c r="E5" s="1712"/>
      <c r="F5" s="266"/>
      <c r="G5" s="799" t="s">
        <v>1198</v>
      </c>
      <c r="I5" s="822" t="s">
        <v>2157</v>
      </c>
      <c r="J5" s="792" t="s">
        <v>1144</v>
      </c>
    </row>
    <row r="6" spans="1:15" ht="13.5" customHeight="1">
      <c r="A6" s="78" t="s">
        <v>266</v>
      </c>
      <c r="B6" s="41"/>
      <c r="C6" s="42">
        <f>VLOOKUP($A$1,FTSELU,12,FALSE)</f>
        <v>36035.31</v>
      </c>
      <c r="J6" s="712"/>
    </row>
    <row r="7" spans="1:15">
      <c r="I7" s="824" t="s">
        <v>1162</v>
      </c>
      <c r="J7" s="827"/>
    </row>
    <row r="8" spans="1:15">
      <c r="A8" s="81" t="s">
        <v>71</v>
      </c>
      <c r="B8" s="81"/>
      <c r="C8" s="24"/>
      <c r="I8" s="896">
        <f>VLOOKUP(A1,FTSELU,14,FALSE)</f>
        <v>3644.48</v>
      </c>
      <c r="J8" s="712"/>
    </row>
    <row r="9" spans="1:15" ht="12.75" customHeight="1" thickBot="1">
      <c r="A9" s="78" t="s">
        <v>0</v>
      </c>
      <c r="B9" s="82"/>
      <c r="C9" s="7"/>
      <c r="J9" s="712"/>
    </row>
    <row r="10" spans="1:15" ht="12.75" customHeight="1" thickTop="1">
      <c r="A10" s="75" t="s">
        <v>1</v>
      </c>
      <c r="B10" s="83">
        <f>'TTU FGD'!M10</f>
        <v>194264324</v>
      </c>
      <c r="C10" s="83">
        <f>ROUND(B10/$C$6,0)</f>
        <v>5391</v>
      </c>
      <c r="D10" s="512">
        <f>'TTU FGD'!F10</f>
        <v>0</v>
      </c>
      <c r="E10" s="512"/>
      <c r="F10" s="84">
        <f>B10-(SUM(D10:E10))</f>
        <v>194264324</v>
      </c>
      <c r="G10" s="1143" t="s">
        <v>1</v>
      </c>
      <c r="H10" s="1144"/>
      <c r="I10" s="825" t="s">
        <v>1161</v>
      </c>
      <c r="J10" s="713">
        <f>ROUND(F10/$C$6,0)</f>
        <v>5391</v>
      </c>
    </row>
    <row r="11" spans="1:15" ht="12.75" customHeight="1" thickBot="1">
      <c r="A11" s="75" t="s">
        <v>2</v>
      </c>
      <c r="B11" s="86">
        <f>'TTU FGD'!M11</f>
        <v>19483316</v>
      </c>
      <c r="C11" s="87">
        <f t="shared" ref="C11:C14" si="0">ROUND(B11/$C$6,0)</f>
        <v>541</v>
      </c>
      <c r="D11" s="86">
        <f>'TTU FGD'!F11</f>
        <v>0</v>
      </c>
      <c r="E11" s="74"/>
      <c r="F11" s="606">
        <f t="shared" ref="F11:F14" si="1">B11-(SUM(D11:E11))</f>
        <v>19483316</v>
      </c>
      <c r="G11" s="1148">
        <f>SUM(F10:F11)</f>
        <v>213747640</v>
      </c>
      <c r="H11" s="715"/>
      <c r="I11" s="1373">
        <f>ROUND($G$11/$C$6,0)</f>
        <v>5932</v>
      </c>
      <c r="J11" s="716">
        <f t="shared" ref="J11:J14" si="2">ROUND(F11/$C$6,0)</f>
        <v>541</v>
      </c>
    </row>
    <row r="12" spans="1:15" ht="12.75" hidden="1" customHeight="1" thickTop="1" thickBot="1">
      <c r="A12" s="75" t="s">
        <v>1410</v>
      </c>
      <c r="B12" s="86"/>
      <c r="C12" s="87"/>
      <c r="D12" s="86"/>
      <c r="E12" s="74"/>
      <c r="F12" s="607"/>
      <c r="J12" s="716"/>
      <c r="O12" s="608"/>
    </row>
    <row r="13" spans="1:15" ht="12.75" customHeight="1" thickTop="1">
      <c r="A13" s="75" t="s">
        <v>1368</v>
      </c>
      <c r="B13" s="86">
        <f>'TTU FGD'!M13</f>
        <v>49874746</v>
      </c>
      <c r="C13" s="87">
        <f t="shared" si="0"/>
        <v>1384</v>
      </c>
      <c r="D13" s="86">
        <f>'TTU FGD'!F13</f>
        <v>0</v>
      </c>
      <c r="E13" s="74"/>
      <c r="F13" s="893">
        <f t="shared" si="1"/>
        <v>49874746</v>
      </c>
      <c r="G13" s="882" t="s">
        <v>81</v>
      </c>
      <c r="H13" s="894"/>
      <c r="I13" s="826" t="s">
        <v>1163</v>
      </c>
      <c r="J13" s="716">
        <f t="shared" si="2"/>
        <v>1384</v>
      </c>
    </row>
    <row r="14" spans="1:15" ht="12.75" customHeight="1" thickBot="1">
      <c r="A14" s="75" t="s">
        <v>49</v>
      </c>
      <c r="B14" s="86">
        <f>'TTU FGD'!M14</f>
        <v>0</v>
      </c>
      <c r="C14" s="87">
        <f t="shared" si="0"/>
        <v>0</v>
      </c>
      <c r="D14" s="86">
        <f>'TTU FGD'!F14</f>
        <v>0</v>
      </c>
      <c r="E14" s="74"/>
      <c r="F14" s="607">
        <f t="shared" si="1"/>
        <v>0</v>
      </c>
      <c r="G14" s="800">
        <f>SUM(F13:F14)</f>
        <v>49874746</v>
      </c>
      <c r="H14" s="895"/>
      <c r="I14" s="1377">
        <f>ROUND($G$11/$I$8,0)</f>
        <v>58650</v>
      </c>
      <c r="J14" s="828">
        <f t="shared" si="2"/>
        <v>0</v>
      </c>
    </row>
    <row r="15" spans="1:15" ht="12.75" customHeight="1" thickTop="1">
      <c r="A15" s="88" t="s">
        <v>3</v>
      </c>
      <c r="B15" s="89">
        <f>SUM(B10:B14)</f>
        <v>263622386</v>
      </c>
      <c r="C15" s="89">
        <f>SUM(C10:C14)</f>
        <v>7316</v>
      </c>
      <c r="D15" s="89">
        <f>SUM(D10:D14)</f>
        <v>0</v>
      </c>
      <c r="E15" s="89">
        <f>SUM(E10:E14)</f>
        <v>0</v>
      </c>
      <c r="F15" s="216">
        <f>SUM(F10:F14)</f>
        <v>263622386</v>
      </c>
      <c r="I15" s="1372"/>
      <c r="J15" s="757">
        <f>SUM(J10:J14)</f>
        <v>7316</v>
      </c>
    </row>
    <row r="16" spans="1:15">
      <c r="B16" s="48"/>
      <c r="C16" s="75"/>
      <c r="J16" s="712"/>
    </row>
    <row r="17" spans="1:31" ht="12.75" customHeight="1">
      <c r="A17" s="78" t="s">
        <v>4</v>
      </c>
      <c r="B17" s="86"/>
      <c r="C17" s="75"/>
      <c r="J17" s="712"/>
    </row>
    <row r="18" spans="1:31">
      <c r="A18" s="75" t="s">
        <v>39</v>
      </c>
      <c r="B18" s="83">
        <f>'TTU FGD'!M29</f>
        <v>244564428</v>
      </c>
      <c r="C18" s="83">
        <f t="shared" ref="C18:C19" si="3">ROUND(B18/$C$6,0)</f>
        <v>6787</v>
      </c>
      <c r="D18" s="512">
        <f>'TTU FGD'!$F$29</f>
        <v>0</v>
      </c>
      <c r="E18" s="512"/>
      <c r="F18" s="512">
        <f t="shared" ref="F18:F19" si="4">B18-(SUM(D18:E18))</f>
        <v>244564428</v>
      </c>
      <c r="G18" s="337"/>
      <c r="H18" s="337"/>
      <c r="I18" s="337"/>
      <c r="J18" s="713">
        <f>ROUND(F18/$C$6,0)</f>
        <v>6787</v>
      </c>
    </row>
    <row r="19" spans="1:31" ht="13.5" thickBot="1">
      <c r="A19" s="75" t="s">
        <v>40</v>
      </c>
      <c r="B19" s="86">
        <f>'TTU FGD'!M42</f>
        <v>112730410</v>
      </c>
      <c r="C19" s="87">
        <f t="shared" si="3"/>
        <v>3128</v>
      </c>
      <c r="D19" s="74">
        <f>'TTU FGD'!$F$42</f>
        <v>4436553</v>
      </c>
      <c r="E19" s="74"/>
      <c r="F19" s="74">
        <f t="shared" si="4"/>
        <v>108293857</v>
      </c>
      <c r="G19" s="337"/>
      <c r="H19" s="337"/>
      <c r="I19" s="337"/>
      <c r="J19" s="716">
        <f>ROUND(F19/$C$6,0)</f>
        <v>3005</v>
      </c>
    </row>
    <row r="20" spans="1:31" ht="14.25" thickTop="1" thickBot="1">
      <c r="A20" s="88" t="s">
        <v>5</v>
      </c>
      <c r="B20" s="89">
        <f>SUM(B18:B19)</f>
        <v>357294838</v>
      </c>
      <c r="C20" s="89">
        <f>SUM(C18:C19)</f>
        <v>9915</v>
      </c>
      <c r="D20" s="717">
        <f>SUM(D18:D19)</f>
        <v>4436553</v>
      </c>
      <c r="E20" s="718">
        <f>SUM(E18:E19)</f>
        <v>0</v>
      </c>
      <c r="F20" s="801">
        <f>SUM(F18:F19)</f>
        <v>352858285</v>
      </c>
      <c r="G20" s="720" t="s">
        <v>26</v>
      </c>
      <c r="H20" s="366"/>
      <c r="I20" s="367"/>
      <c r="J20" s="721">
        <f>SUM(J18:J19)</f>
        <v>9792</v>
      </c>
    </row>
    <row r="21" spans="1:31" ht="12.75" customHeight="1" thickTop="1">
      <c r="B21" s="91"/>
      <c r="C21" s="75"/>
      <c r="F21" s="804"/>
      <c r="J21" s="712"/>
    </row>
    <row r="22" spans="1:31" ht="14.25" customHeight="1" thickBot="1">
      <c r="A22" s="78" t="s">
        <v>6</v>
      </c>
      <c r="B22" s="91"/>
      <c r="C22" s="75"/>
      <c r="J22" s="712"/>
    </row>
    <row r="23" spans="1:31" ht="14.25" thickTop="1" thickBot="1">
      <c r="A23" s="88" t="s">
        <v>7</v>
      </c>
      <c r="B23" s="92">
        <f>'TTU FGD'!M47</f>
        <v>126847258</v>
      </c>
      <c r="C23" s="89">
        <f t="shared" ref="C23" si="5">ROUND(B23/$C$6,0)</f>
        <v>3520</v>
      </c>
      <c r="D23" s="717">
        <f>'TTU FGD'!F47</f>
        <v>0</v>
      </c>
      <c r="E23" s="718"/>
      <c r="F23" s="801">
        <f>B23-(SUM(D23:E23))</f>
        <v>126847258</v>
      </c>
      <c r="G23" s="722" t="s">
        <v>74</v>
      </c>
      <c r="H23" s="366"/>
      <c r="I23" s="367"/>
      <c r="J23" s="756">
        <f>ROUND(F23/$C$6,0)</f>
        <v>3520</v>
      </c>
    </row>
    <row r="24" spans="1:31" ht="13.5" thickTop="1">
      <c r="B24" s="91"/>
      <c r="C24" s="75"/>
      <c r="J24" s="712"/>
    </row>
    <row r="25" spans="1:31">
      <c r="A25" s="78" t="s">
        <v>8</v>
      </c>
      <c r="B25" s="91"/>
      <c r="C25" s="75"/>
      <c r="J25" s="712"/>
    </row>
    <row r="26" spans="1:31">
      <c r="A26" s="75" t="s">
        <v>42</v>
      </c>
      <c r="B26" s="83">
        <f>'TTU FGD'!M50</f>
        <v>12350524</v>
      </c>
      <c r="C26" s="83">
        <f t="shared" ref="C26:C31" si="6">ROUND(B26/$C$6,0)</f>
        <v>343</v>
      </c>
      <c r="D26" s="512">
        <f>'TTU FGD'!F50</f>
        <v>2077236</v>
      </c>
      <c r="E26" s="512"/>
      <c r="F26" s="512">
        <f t="shared" ref="F26:F31" si="7">B26-(SUM(D26:E26))</f>
        <v>10273288</v>
      </c>
      <c r="G26" s="337"/>
      <c r="H26" s="337"/>
      <c r="I26" s="337"/>
      <c r="J26" s="713">
        <f>ROUND(F26/$C$6,0)</f>
        <v>285</v>
      </c>
    </row>
    <row r="27" spans="1:31">
      <c r="A27" s="75" t="s">
        <v>9</v>
      </c>
      <c r="B27" s="86">
        <f>'TTU FGD'!M51</f>
        <v>897267</v>
      </c>
      <c r="C27" s="87">
        <f t="shared" si="6"/>
        <v>25</v>
      </c>
      <c r="D27" s="86">
        <f>'TTU FGD'!F51</f>
        <v>0</v>
      </c>
      <c r="E27" s="74"/>
      <c r="F27" s="74">
        <f t="shared" si="7"/>
        <v>897267</v>
      </c>
      <c r="G27" s="337"/>
      <c r="H27" s="337"/>
      <c r="I27" s="337"/>
      <c r="J27" s="716">
        <f t="shared" ref="J27:J31" si="8">ROUND(F27/$C$6,0)</f>
        <v>25</v>
      </c>
    </row>
    <row r="28" spans="1:31" ht="13.5" thickBot="1">
      <c r="A28" s="75" t="s">
        <v>10</v>
      </c>
      <c r="B28" s="86">
        <f>'TTU FGD'!M52</f>
        <v>115375636</v>
      </c>
      <c r="C28" s="87">
        <f t="shared" si="6"/>
        <v>3202</v>
      </c>
      <c r="D28" s="86">
        <f>'TTU FGD'!F52</f>
        <v>1561684</v>
      </c>
      <c r="E28" s="74"/>
      <c r="F28" s="74">
        <f t="shared" si="7"/>
        <v>113813952</v>
      </c>
      <c r="G28" s="337"/>
      <c r="H28" s="337"/>
      <c r="I28" s="337"/>
      <c r="J28" s="716">
        <f t="shared" si="8"/>
        <v>3158</v>
      </c>
    </row>
    <row r="29" spans="1:31" ht="13.5" thickBot="1">
      <c r="A29" s="75" t="s">
        <v>11</v>
      </c>
      <c r="B29" s="86">
        <f>'TTU FGD'!M53</f>
        <v>15934030</v>
      </c>
      <c r="C29" s="87">
        <f t="shared" si="6"/>
        <v>442</v>
      </c>
      <c r="D29" s="86">
        <f>'TTU FGD'!F53</f>
        <v>0</v>
      </c>
      <c r="E29" s="74"/>
      <c r="F29" s="74">
        <f t="shared" si="7"/>
        <v>15934030</v>
      </c>
      <c r="G29" s="337"/>
      <c r="H29" s="337"/>
      <c r="I29" s="337"/>
      <c r="J29" s="716">
        <f t="shared" si="8"/>
        <v>442</v>
      </c>
      <c r="K29" s="1694" t="s">
        <v>1065</v>
      </c>
      <c r="L29" s="1695"/>
      <c r="M29" s="1695"/>
      <c r="N29" s="1695"/>
      <c r="O29" s="1696"/>
    </row>
    <row r="30" spans="1:31" ht="13.5" thickBot="1">
      <c r="A30" s="93" t="s">
        <v>2134</v>
      </c>
      <c r="B30" s="94">
        <f>'TTU FGD'!M54</f>
        <v>134410311</v>
      </c>
      <c r="C30" s="87">
        <f t="shared" si="6"/>
        <v>3730</v>
      </c>
      <c r="D30" s="729">
        <f>B30</f>
        <v>134410311</v>
      </c>
      <c r="E30" s="74"/>
      <c r="F30" s="74">
        <f t="shared" si="7"/>
        <v>0</v>
      </c>
      <c r="G30" s="337"/>
      <c r="H30" s="337"/>
      <c r="I30" s="337"/>
      <c r="J30" s="716">
        <f t="shared" si="8"/>
        <v>0</v>
      </c>
      <c r="K30" s="1694" t="s">
        <v>1070</v>
      </c>
      <c r="L30" s="1695"/>
      <c r="M30" s="1695"/>
      <c r="N30" s="1695"/>
      <c r="O30" s="1696"/>
    </row>
    <row r="31" spans="1:31" ht="13.5" customHeight="1" thickBot="1">
      <c r="A31" s="95" t="s">
        <v>43</v>
      </c>
      <c r="B31" s="86">
        <f>'TTU FGD'!M55</f>
        <v>8374191</v>
      </c>
      <c r="C31" s="87">
        <f t="shared" si="6"/>
        <v>232</v>
      </c>
      <c r="D31" s="86">
        <f>'TTU FGD'!F55</f>
        <v>4754782</v>
      </c>
      <c r="E31" s="74"/>
      <c r="F31" s="74">
        <f t="shared" si="7"/>
        <v>3619409</v>
      </c>
      <c r="G31" s="35"/>
      <c r="H31" s="35"/>
      <c r="I31" s="38"/>
      <c r="J31" s="716">
        <f t="shared" si="8"/>
        <v>100</v>
      </c>
      <c r="K31" s="1697" t="s">
        <v>1073</v>
      </c>
      <c r="L31" s="1697" t="s">
        <v>1071</v>
      </c>
      <c r="M31" s="1697" t="s">
        <v>1072</v>
      </c>
      <c r="N31" s="1697" t="s">
        <v>1240</v>
      </c>
      <c r="O31" s="1697"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287341959</v>
      </c>
      <c r="C32" s="89">
        <f>SUM(C26:C31)</f>
        <v>7974</v>
      </c>
      <c r="D32" s="723">
        <f>SUM(D26:D31)</f>
        <v>142804013</v>
      </c>
      <c r="E32" s="723">
        <f>SUM(E26:E31)</f>
        <v>0</v>
      </c>
      <c r="F32" s="802">
        <f>SUM(F26:F31)</f>
        <v>144537946</v>
      </c>
      <c r="G32" s="1708" t="s">
        <v>8</v>
      </c>
      <c r="H32" s="1709"/>
      <c r="I32" s="783" t="s">
        <v>1166</v>
      </c>
      <c r="J32" s="725">
        <f>SUM(J26:J31)</f>
        <v>4010</v>
      </c>
      <c r="K32" s="1698"/>
      <c r="L32" s="1698"/>
      <c r="M32" s="1698"/>
      <c r="N32" s="1698" t="s">
        <v>1074</v>
      </c>
      <c r="O32" s="1698" t="s">
        <v>1075</v>
      </c>
    </row>
    <row r="33" spans="1:31" ht="14.25" thickTop="1" thickBot="1">
      <c r="A33" s="97" t="s">
        <v>68</v>
      </c>
      <c r="B33" s="52">
        <f>B15+B20+B23+B32</f>
        <v>1035106441</v>
      </c>
      <c r="C33" s="45">
        <f>C15+C20+C23+C32</f>
        <v>28725</v>
      </c>
      <c r="D33" s="52">
        <f>D15+D20+D23+D32</f>
        <v>147240566</v>
      </c>
      <c r="E33" s="52">
        <f>E15+E20+E23+E32</f>
        <v>0</v>
      </c>
      <c r="F33" s="724">
        <f>F15+F20+F23+F32</f>
        <v>887865875</v>
      </c>
      <c r="G33" s="1758" t="s">
        <v>84</v>
      </c>
      <c r="H33" s="1759"/>
      <c r="I33" s="1375">
        <f>ROUND($G$35/$C$6,0)</f>
        <v>23255</v>
      </c>
      <c r="J33" s="726">
        <f>J15+J20+J23+J32</f>
        <v>24638</v>
      </c>
      <c r="K33" s="1698"/>
      <c r="L33" s="1698"/>
      <c r="M33" s="1698"/>
      <c r="N33" s="1698"/>
      <c r="O33" s="1698"/>
    </row>
    <row r="34" spans="1:31" ht="14.25" thickTop="1" thickBot="1">
      <c r="B34" s="98"/>
      <c r="C34" s="75"/>
      <c r="D34" s="337"/>
      <c r="E34" s="337"/>
      <c r="F34" s="337" t="s">
        <v>1199</v>
      </c>
      <c r="G34" s="787">
        <f>G14*-1</f>
        <v>-49874746</v>
      </c>
      <c r="H34" s="337"/>
      <c r="I34" s="783" t="s">
        <v>1167</v>
      </c>
      <c r="J34" s="727"/>
      <c r="K34" s="1699"/>
      <c r="L34" s="1699"/>
      <c r="M34" s="1699"/>
      <c r="N34" s="1699"/>
      <c r="O34" s="1699"/>
    </row>
    <row r="35" spans="1:31" ht="14.25" thickTop="1" thickBot="1">
      <c r="A35" s="81" t="s">
        <v>72</v>
      </c>
      <c r="B35" s="81"/>
      <c r="C35" s="81"/>
      <c r="D35" s="728"/>
      <c r="E35" s="728"/>
      <c r="F35" s="788" t="s">
        <v>1165</v>
      </c>
      <c r="G35" s="803">
        <f>F33+G34</f>
        <v>837991129</v>
      </c>
      <c r="I35" s="1376">
        <f>ROUND($G$35/$I$8,0)</f>
        <v>229934</v>
      </c>
      <c r="K35" s="609"/>
      <c r="L35" s="609"/>
      <c r="M35" s="609"/>
      <c r="N35" s="609"/>
      <c r="O35" s="609"/>
    </row>
    <row r="36" spans="1:31" ht="13.5" thickTop="1">
      <c r="A36" s="99" t="s">
        <v>14</v>
      </c>
      <c r="B36" s="83">
        <f>'TTU FGD'!M60</f>
        <v>205744864</v>
      </c>
      <c r="C36" s="83">
        <f t="shared" ref="C36:C46" si="9">ROUND(B36/$C$6,0)</f>
        <v>5710</v>
      </c>
      <c r="D36" s="512">
        <f>'TTU FGD'!F60</f>
        <v>0</v>
      </c>
      <c r="E36" s="512"/>
      <c r="F36" s="512">
        <f t="shared" ref="F36:F46" si="10">B36-(SUM(D36:E36))</f>
        <v>205744864</v>
      </c>
      <c r="G36" s="337"/>
      <c r="H36" s="1378" t="s">
        <v>2158</v>
      </c>
      <c r="I36" s="1379">
        <f>ROUND(F36/$C$6,0)</f>
        <v>5710</v>
      </c>
      <c r="J36" s="337" t="s">
        <v>752</v>
      </c>
      <c r="K36" s="512">
        <f>F36</f>
        <v>205744864</v>
      </c>
      <c r="L36" s="512">
        <f>K36</f>
        <v>205744864</v>
      </c>
      <c r="M36" s="512"/>
      <c r="N36" s="512"/>
      <c r="O36" s="512"/>
    </row>
    <row r="37" spans="1:31">
      <c r="A37" s="99" t="s">
        <v>15</v>
      </c>
      <c r="B37" s="86">
        <f>'TTU FGD'!M61</f>
        <v>164250494</v>
      </c>
      <c r="C37" s="87">
        <f t="shared" si="9"/>
        <v>4558</v>
      </c>
      <c r="D37" s="86">
        <f>'TTU FGD'!F61</f>
        <v>0</v>
      </c>
      <c r="E37" s="74"/>
      <c r="F37" s="74">
        <f t="shared" si="10"/>
        <v>164250494</v>
      </c>
      <c r="G37" s="337"/>
      <c r="H37" s="337"/>
      <c r="J37" s="337" t="s">
        <v>1076</v>
      </c>
      <c r="K37" s="373">
        <f>F37</f>
        <v>164250494</v>
      </c>
      <c r="L37" s="373">
        <f>K37</f>
        <v>164250494</v>
      </c>
      <c r="M37" s="373"/>
      <c r="N37" s="373"/>
      <c r="O37" s="373"/>
    </row>
    <row r="38" spans="1:31">
      <c r="A38" s="99" t="s">
        <v>16</v>
      </c>
      <c r="B38" s="86">
        <f>'TTU FGD'!M62</f>
        <v>16683446</v>
      </c>
      <c r="C38" s="87">
        <f t="shared" si="9"/>
        <v>463</v>
      </c>
      <c r="D38" s="86">
        <f>'TTU FGD'!F62</f>
        <v>8000</v>
      </c>
      <c r="E38" s="86">
        <f>B38-D38</f>
        <v>16675446</v>
      </c>
      <c r="F38" s="74">
        <f t="shared" si="10"/>
        <v>0</v>
      </c>
      <c r="G38" s="337"/>
      <c r="H38" s="337"/>
      <c r="I38" s="337"/>
      <c r="J38" s="337" t="s">
        <v>1077</v>
      </c>
      <c r="K38" s="736"/>
      <c r="L38" s="737"/>
      <c r="M38" s="737" t="s">
        <v>1152</v>
      </c>
      <c r="N38" s="737"/>
      <c r="O38" s="738"/>
    </row>
    <row r="39" spans="1:31">
      <c r="A39" s="99" t="s">
        <v>17</v>
      </c>
      <c r="B39" s="86">
        <f>'TTU FGD'!M63</f>
        <v>86733482</v>
      </c>
      <c r="C39" s="87">
        <f t="shared" si="9"/>
        <v>2407</v>
      </c>
      <c r="D39" s="86">
        <f>'TTU FGD'!F63</f>
        <v>0</v>
      </c>
      <c r="E39" s="74"/>
      <c r="F39" s="74">
        <f t="shared" si="10"/>
        <v>86733482</v>
      </c>
      <c r="G39" s="337"/>
      <c r="H39" s="1378" t="s">
        <v>2159</v>
      </c>
      <c r="I39" s="1379">
        <f>ROUND(F39/$C$6,0)</f>
        <v>2407</v>
      </c>
      <c r="J39" s="337" t="s">
        <v>1078</v>
      </c>
      <c r="K39" s="373">
        <f t="shared" ref="K39:K43" si="11">F39</f>
        <v>86733482</v>
      </c>
      <c r="L39" s="373">
        <f>K39</f>
        <v>86733482</v>
      </c>
      <c r="M39" s="373"/>
      <c r="N39" s="373"/>
      <c r="O39" s="373"/>
    </row>
    <row r="40" spans="1:31">
      <c r="A40" s="99" t="s">
        <v>18</v>
      </c>
      <c r="B40" s="86">
        <f>'TTU FGD'!M64</f>
        <v>50367868</v>
      </c>
      <c r="C40" s="87">
        <f t="shared" si="9"/>
        <v>1398</v>
      </c>
      <c r="D40" s="86">
        <f>'TTU FGD'!F64</f>
        <v>0</v>
      </c>
      <c r="E40" s="74"/>
      <c r="F40" s="74">
        <f t="shared" si="10"/>
        <v>50367868</v>
      </c>
      <c r="G40" s="337"/>
      <c r="J40" s="337" t="s">
        <v>1079</v>
      </c>
      <c r="K40" s="373">
        <f t="shared" si="11"/>
        <v>50367868</v>
      </c>
      <c r="L40" s="373"/>
      <c r="M40" s="373">
        <f>K40</f>
        <v>50367868</v>
      </c>
      <c r="N40" s="373"/>
      <c r="O40" s="373"/>
    </row>
    <row r="41" spans="1:31">
      <c r="A41" s="99" t="s">
        <v>19</v>
      </c>
      <c r="B41" s="86">
        <f>'TTU FGD'!M65</f>
        <v>47908596</v>
      </c>
      <c r="C41" s="87">
        <f t="shared" si="9"/>
        <v>1329</v>
      </c>
      <c r="D41" s="86">
        <f>'TTU FGD'!F65</f>
        <v>0</v>
      </c>
      <c r="E41" s="74"/>
      <c r="F41" s="74">
        <f t="shared" si="10"/>
        <v>47908596</v>
      </c>
      <c r="G41" s="337"/>
      <c r="H41" s="1378" t="s">
        <v>2160</v>
      </c>
      <c r="I41" s="1379">
        <f>ROUND(F41/$C$6,0)</f>
        <v>1329</v>
      </c>
      <c r="J41" s="337" t="s">
        <v>757</v>
      </c>
      <c r="K41" s="373">
        <f t="shared" si="11"/>
        <v>47908596</v>
      </c>
      <c r="L41" s="373"/>
      <c r="M41" s="373"/>
      <c r="N41" s="373">
        <f>K41</f>
        <v>47908596</v>
      </c>
      <c r="O41" s="373"/>
    </row>
    <row r="42" spans="1:31">
      <c r="A42" s="99" t="s">
        <v>20</v>
      </c>
      <c r="B42" s="86">
        <f>'TTU FGD'!M66</f>
        <v>52975607</v>
      </c>
      <c r="C42" s="87">
        <f t="shared" si="9"/>
        <v>1470</v>
      </c>
      <c r="D42" s="86">
        <f>'TTU FGD'!F66</f>
        <v>0</v>
      </c>
      <c r="E42" s="74"/>
      <c r="F42" s="74">
        <f t="shared" si="10"/>
        <v>52975607</v>
      </c>
      <c r="G42" s="337"/>
      <c r="J42" s="337" t="s">
        <v>758</v>
      </c>
      <c r="K42" s="373">
        <f t="shared" si="11"/>
        <v>52975607</v>
      </c>
      <c r="L42" s="373"/>
      <c r="M42" s="373"/>
      <c r="N42" s="373">
        <f>K42</f>
        <v>52975607</v>
      </c>
      <c r="O42" s="373"/>
    </row>
    <row r="43" spans="1:31">
      <c r="A43" s="99" t="s">
        <v>21</v>
      </c>
      <c r="B43" s="86">
        <f>'TTU FGD'!M67</f>
        <v>66923464</v>
      </c>
      <c r="C43" s="87">
        <f t="shared" si="9"/>
        <v>1857</v>
      </c>
      <c r="D43" s="86">
        <f>'TTU FGD'!F67</f>
        <v>529176</v>
      </c>
      <c r="E43" s="74"/>
      <c r="F43" s="74">
        <f t="shared" si="10"/>
        <v>66394288</v>
      </c>
      <c r="G43" s="337"/>
      <c r="H43" s="337"/>
      <c r="I43" s="337"/>
      <c r="J43" s="337" t="s">
        <v>1145</v>
      </c>
      <c r="K43" s="373">
        <f t="shared" si="11"/>
        <v>66394288</v>
      </c>
      <c r="L43" s="373"/>
      <c r="M43" s="373">
        <f>K43</f>
        <v>66394288</v>
      </c>
      <c r="N43" s="373"/>
      <c r="O43" s="373"/>
    </row>
    <row r="44" spans="1:31">
      <c r="A44" s="99" t="s">
        <v>2135</v>
      </c>
      <c r="B44" s="86">
        <f>'TTU FGD'!M68</f>
        <v>123786419</v>
      </c>
      <c r="C44" s="87">
        <f t="shared" si="9"/>
        <v>3435</v>
      </c>
      <c r="D44" s="729">
        <f>B44</f>
        <v>123786419</v>
      </c>
      <c r="E44" s="74"/>
      <c r="F44" s="74">
        <f t="shared" si="10"/>
        <v>0</v>
      </c>
      <c r="G44" s="337"/>
      <c r="H44" s="337"/>
      <c r="I44" s="337"/>
      <c r="J44" s="337" t="s">
        <v>743</v>
      </c>
      <c r="K44" s="736"/>
      <c r="L44" s="737"/>
      <c r="M44" s="737" t="s">
        <v>1152</v>
      </c>
      <c r="N44" s="737"/>
      <c r="O44" s="738"/>
    </row>
    <row r="45" spans="1:31">
      <c r="A45" s="99" t="s">
        <v>61</v>
      </c>
      <c r="B45" s="86">
        <f>'TTU FGD'!M69</f>
        <v>26314605</v>
      </c>
      <c r="C45" s="87">
        <f t="shared" si="9"/>
        <v>730</v>
      </c>
      <c r="D45" s="86">
        <f>'TTU FGD'!F69</f>
        <v>1334167</v>
      </c>
      <c r="E45" s="74"/>
      <c r="F45" s="74">
        <f t="shared" si="10"/>
        <v>24980438</v>
      </c>
      <c r="G45" s="337"/>
      <c r="H45" s="337"/>
      <c r="I45" s="337"/>
      <c r="J45" s="337" t="s">
        <v>1080</v>
      </c>
      <c r="K45" s="373">
        <f t="shared" ref="K45:K46" si="12">F45</f>
        <v>24980438</v>
      </c>
      <c r="L45" s="373"/>
      <c r="M45" s="373"/>
      <c r="N45" s="373"/>
      <c r="O45" s="373">
        <f>K45</f>
        <v>24980438</v>
      </c>
    </row>
    <row r="46" spans="1:31" ht="13.5" thickBot="1">
      <c r="A46" s="75" t="s">
        <v>50</v>
      </c>
      <c r="B46" s="86">
        <f>'TTU FGD'!M70</f>
        <v>597780</v>
      </c>
      <c r="C46" s="87">
        <f t="shared" si="9"/>
        <v>17</v>
      </c>
      <c r="D46" s="86">
        <f>'TTU FGD'!F70</f>
        <v>5406</v>
      </c>
      <c r="E46" s="74"/>
      <c r="F46" s="74">
        <f t="shared" si="10"/>
        <v>592374</v>
      </c>
      <c r="G46" s="35"/>
      <c r="H46" s="1378" t="s">
        <v>2161</v>
      </c>
      <c r="I46" s="1379">
        <f>ROUND(SUM(F37+F40+F42+F43+F45+F46)/$C$6,0)</f>
        <v>9978</v>
      </c>
      <c r="J46" s="610" t="s">
        <v>1075</v>
      </c>
      <c r="K46" s="373">
        <f t="shared" si="12"/>
        <v>592374</v>
      </c>
      <c r="L46" s="611"/>
      <c r="M46" s="611"/>
      <c r="N46" s="611"/>
      <c r="O46" s="373">
        <f>K46</f>
        <v>592374</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842286625</v>
      </c>
      <c r="C47" s="45">
        <f>SUM(C36:C46)</f>
        <v>23374</v>
      </c>
      <c r="D47" s="730">
        <f>SUM(D36:D46)</f>
        <v>125663168</v>
      </c>
      <c r="E47" s="731">
        <f>SUM(E36:E46)</f>
        <v>16675446</v>
      </c>
      <c r="F47" s="719">
        <f>SUM(F36:F46)</f>
        <v>699948011</v>
      </c>
      <c r="G47" s="1688" t="s">
        <v>1176</v>
      </c>
      <c r="H47" s="1689"/>
      <c r="I47" s="785" t="s">
        <v>1164</v>
      </c>
      <c r="J47" s="610" t="s">
        <v>1081</v>
      </c>
      <c r="K47" s="612">
        <f>SUM(K36:K46)</f>
        <v>699948011</v>
      </c>
      <c r="L47" s="612">
        <f>SUM(L36:L46)</f>
        <v>456728840</v>
      </c>
      <c r="M47" s="612">
        <f>SUM(M36:M46)</f>
        <v>116762156</v>
      </c>
      <c r="N47" s="612">
        <f>SUM(N36:N46)</f>
        <v>100884203</v>
      </c>
      <c r="O47" s="612">
        <f>SUM(O36:O46)</f>
        <v>25572812</v>
      </c>
    </row>
    <row r="48" spans="1:31" ht="14.25" thickTop="1" thickBot="1">
      <c r="A48" s="93"/>
      <c r="B48" s="98"/>
      <c r="C48" s="75"/>
      <c r="F48" s="613"/>
      <c r="G48" s="1690"/>
      <c r="H48" s="1691"/>
      <c r="I48" s="823">
        <f>ROUND(F47/C6,0)</f>
        <v>19424</v>
      </c>
      <c r="J48" s="1700" t="s">
        <v>1082</v>
      </c>
      <c r="K48" s="611"/>
      <c r="L48" s="611"/>
      <c r="M48" s="611"/>
      <c r="N48" s="611"/>
      <c r="O48" s="611"/>
    </row>
    <row r="49" spans="1:31" ht="13.5" thickBot="1">
      <c r="A49" s="78" t="s">
        <v>23</v>
      </c>
      <c r="B49" s="82"/>
      <c r="C49" s="75"/>
      <c r="F49" s="614"/>
      <c r="G49" s="1690"/>
      <c r="H49" s="1691"/>
      <c r="I49" s="811"/>
      <c r="J49" s="1700"/>
      <c r="K49" s="615">
        <f>ROUND(K47/$C$6,2)</f>
        <v>19423.95</v>
      </c>
      <c r="L49" s="615">
        <f t="shared" ref="L49:O49" si="13">ROUND(L47/$C$6,2)</f>
        <v>12674.48</v>
      </c>
      <c r="M49" s="615">
        <f t="shared" si="13"/>
        <v>3240.22</v>
      </c>
      <c r="N49" s="615">
        <f t="shared" si="13"/>
        <v>2799.59</v>
      </c>
      <c r="O49" s="615">
        <f t="shared" si="13"/>
        <v>709.66</v>
      </c>
      <c r="P49" s="35"/>
      <c r="Q49" s="96"/>
      <c r="R49" s="96"/>
      <c r="S49" s="96"/>
      <c r="T49" s="96"/>
      <c r="U49" s="96"/>
      <c r="V49" s="96"/>
      <c r="W49" s="96"/>
      <c r="X49" s="96"/>
      <c r="Y49" s="96"/>
      <c r="Z49" s="96"/>
      <c r="AA49" s="96"/>
      <c r="AB49" s="96"/>
      <c r="AC49" s="96"/>
      <c r="AD49" s="96"/>
      <c r="AE49" s="96"/>
    </row>
    <row r="50" spans="1:31" ht="13.5" thickBot="1">
      <c r="A50" s="75" t="s">
        <v>62</v>
      </c>
      <c r="B50" s="86">
        <f>'TTU FGD'!M74</f>
        <v>-108431164</v>
      </c>
      <c r="C50" s="83">
        <f t="shared" ref="C50:C53" si="14">ROUND(B50/$C$6,0)</f>
        <v>-3009</v>
      </c>
      <c r="D50" s="512">
        <f>'TTU FGD'!F74</f>
        <v>0</v>
      </c>
      <c r="E50" s="512"/>
      <c r="F50" s="732">
        <f t="shared" ref="F50:F53" si="15">B50-(SUM(D50:E50))</f>
        <v>-108431164</v>
      </c>
      <c r="G50" s="1692"/>
      <c r="H50" s="1693"/>
      <c r="I50" s="808"/>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'TTU FGD'!M75</f>
        <v>-51280768</v>
      </c>
      <c r="C51" s="87">
        <f t="shared" si="14"/>
        <v>-1423</v>
      </c>
      <c r="D51" s="91">
        <f>'TTU FGD'!F75</f>
        <v>1872191</v>
      </c>
      <c r="E51" s="82"/>
      <c r="F51" s="74">
        <f t="shared" si="15"/>
        <v>-53152959</v>
      </c>
      <c r="G51" s="337"/>
      <c r="J51" s="337"/>
      <c r="K51" s="616"/>
      <c r="L51" s="616"/>
      <c r="M51" s="616"/>
      <c r="N51" s="616"/>
      <c r="O51" s="616"/>
    </row>
    <row r="52" spans="1:31">
      <c r="A52" s="75" t="s">
        <v>51</v>
      </c>
      <c r="B52" s="86">
        <f>'TTU FGD'!M76</f>
        <v>89031003</v>
      </c>
      <c r="C52" s="87">
        <f t="shared" si="14"/>
        <v>2471</v>
      </c>
      <c r="D52" s="91">
        <f>'TTU FGD'!F76</f>
        <v>0</v>
      </c>
      <c r="E52" s="82"/>
      <c r="F52" s="74">
        <f t="shared" si="15"/>
        <v>89031003</v>
      </c>
      <c r="G52" s="337"/>
      <c r="J52" s="733"/>
      <c r="K52" s="733"/>
      <c r="L52" s="733"/>
      <c r="M52" s="733"/>
      <c r="N52" s="733"/>
      <c r="O52" s="733"/>
    </row>
    <row r="53" spans="1:31" ht="12" customHeight="1">
      <c r="A53" s="75" t="s">
        <v>46</v>
      </c>
      <c r="B53" s="86">
        <f>'TTU FGD'!M77</f>
        <v>-52347614</v>
      </c>
      <c r="C53" s="87">
        <f t="shared" si="14"/>
        <v>-1453</v>
      </c>
      <c r="D53" s="91">
        <f>'TTU FGD'!F77</f>
        <v>-11597188</v>
      </c>
      <c r="E53" s="82"/>
      <c r="F53" s="74">
        <f t="shared" si="15"/>
        <v>-40750426</v>
      </c>
      <c r="G53" s="35"/>
      <c r="J53" s="733"/>
      <c r="K53" s="733"/>
      <c r="L53" s="733"/>
      <c r="M53" s="733"/>
      <c r="N53" s="733"/>
      <c r="O53" s="733"/>
      <c r="P53" s="35"/>
      <c r="Q53" s="96"/>
      <c r="R53" s="96"/>
      <c r="S53" s="96"/>
      <c r="T53" s="96"/>
      <c r="U53" s="96"/>
      <c r="V53" s="96"/>
      <c r="W53" s="96"/>
      <c r="X53" s="96"/>
      <c r="Y53" s="96"/>
      <c r="Z53" s="96"/>
      <c r="AA53" s="96"/>
      <c r="AB53" s="96"/>
      <c r="AC53" s="96"/>
      <c r="AD53" s="96"/>
      <c r="AE53" s="96"/>
    </row>
    <row r="54" spans="1:31">
      <c r="A54" s="88" t="s">
        <v>3</v>
      </c>
      <c r="B54" s="89">
        <f>SUM(B50:B53)</f>
        <v>-123028543</v>
      </c>
      <c r="C54" s="89">
        <f>SUM(C50:C53)</f>
        <v>-3414</v>
      </c>
      <c r="D54" s="89">
        <f>SUM(D50:D53)</f>
        <v>-9724997</v>
      </c>
      <c r="E54" s="89">
        <f>SUM(E50:E53)</f>
        <v>0</v>
      </c>
      <c r="F54" s="102">
        <f>SUM(F50:F53)</f>
        <v>-113303546</v>
      </c>
      <c r="G54" s="337"/>
      <c r="H54" s="337"/>
      <c r="I54" s="337"/>
      <c r="J54" s="733"/>
      <c r="K54" s="733"/>
      <c r="L54" s="733"/>
      <c r="M54" s="733"/>
      <c r="N54" s="733"/>
      <c r="O54" s="733"/>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'TTU FGD'!M81</f>
        <v>129822569</v>
      </c>
      <c r="C57" s="83">
        <f>ROUND(B57/$C$6,0)</f>
        <v>3603</v>
      </c>
      <c r="D57" s="512">
        <f>'TTU FGD'!F81</f>
        <v>8454897</v>
      </c>
      <c r="E57" s="512"/>
      <c r="F57" s="512">
        <f t="shared" ref="F57:F58" si="16">B57-(SUM(D57:E57))</f>
        <v>121367672</v>
      </c>
      <c r="G57" s="337"/>
      <c r="H57" s="337"/>
      <c r="I57" s="337"/>
      <c r="J57" s="337"/>
    </row>
    <row r="58" spans="1:31">
      <c r="A58" s="75" t="s">
        <v>48</v>
      </c>
      <c r="B58" s="86">
        <f>'TTU FGD'!M82</f>
        <v>540520</v>
      </c>
      <c r="C58" s="87">
        <f>ROUND(B58/$C$6,0)</f>
        <v>15</v>
      </c>
      <c r="D58" s="91">
        <f>'TTU FGD'!F82</f>
        <v>0</v>
      </c>
      <c r="E58" s="82"/>
      <c r="F58" s="74">
        <f t="shared" si="16"/>
        <v>540520</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130363089</v>
      </c>
      <c r="C59" s="89">
        <f>SUM(C57:C58)</f>
        <v>3618</v>
      </c>
      <c r="D59" s="89">
        <f>SUM(D57:D58)</f>
        <v>8454897</v>
      </c>
      <c r="E59" s="89">
        <f>SUM(E57:E58)</f>
        <v>0</v>
      </c>
      <c r="F59" s="89">
        <f>SUM(F57:F58)</f>
        <v>121908192</v>
      </c>
      <c r="G59" s="367"/>
      <c r="H59" s="367"/>
      <c r="I59" s="367"/>
      <c r="J59" s="367"/>
      <c r="K59" s="266"/>
      <c r="L59" s="266"/>
      <c r="M59" s="266"/>
      <c r="N59" s="266"/>
      <c r="O59" s="266"/>
      <c r="P59" s="266"/>
    </row>
    <row r="60" spans="1:31">
      <c r="B60" s="82"/>
      <c r="C60" s="75"/>
    </row>
    <row r="61" spans="1:31" ht="13.5" thickBot="1">
      <c r="A61" s="103" t="s">
        <v>573</v>
      </c>
      <c r="B61" s="46">
        <f>B33-B47+B54+B59</f>
        <v>200154362</v>
      </c>
      <c r="C61" s="46">
        <f>C33-C47+C54+C59</f>
        <v>5555</v>
      </c>
      <c r="D61" s="46">
        <f>D33-D47+D54+D59</f>
        <v>20307298</v>
      </c>
      <c r="E61" s="46">
        <f>E33-E47+E54+E59</f>
        <v>-16675446</v>
      </c>
      <c r="F61" s="46">
        <f>F33-F47+F54+F59</f>
        <v>196522510</v>
      </c>
    </row>
    <row r="62" spans="1:31" ht="13.5" thickTop="1"/>
    <row r="63" spans="1:31">
      <c r="D63" s="512"/>
    </row>
    <row r="65" spans="2:16">
      <c r="B65" s="734">
        <f>'TTU FGD'!$M$85</f>
        <v>200154362</v>
      </c>
      <c r="C65" s="75"/>
      <c r="D65" s="734">
        <f>'TTU FGD'!$F$85</f>
        <v>22413798</v>
      </c>
      <c r="E65" s="734">
        <f>'TTU FGD'!$M$62*-1</f>
        <v>-16683446</v>
      </c>
      <c r="F65" s="75"/>
    </row>
    <row r="66" spans="2:16">
      <c r="B66" s="734"/>
      <c r="C66" s="75"/>
      <c r="D66" s="734">
        <f>'TTU FGD'!$F$68</f>
        <v>121679919</v>
      </c>
      <c r="E66" s="734">
        <f>+$D$38</f>
        <v>8000</v>
      </c>
      <c r="F66" s="734"/>
    </row>
    <row r="67" spans="2:16">
      <c r="B67" s="759"/>
      <c r="C67" s="75"/>
      <c r="D67" s="759">
        <f>-'TTU FGD'!$M$68</f>
        <v>-123786419</v>
      </c>
      <c r="E67" s="759"/>
      <c r="F67" s="734"/>
    </row>
    <row r="68" spans="2:16">
      <c r="B68" s="734">
        <f>SUM(B65:B67)</f>
        <v>200154362</v>
      </c>
      <c r="C68" s="75"/>
      <c r="D68" s="734">
        <f>SUM(D65:D67)</f>
        <v>20307298</v>
      </c>
      <c r="E68" s="734">
        <f>SUM(E65:E67)</f>
        <v>-16675446</v>
      </c>
      <c r="F68" s="734">
        <f>B68-D68-E68</f>
        <v>196522510</v>
      </c>
    </row>
    <row r="69" spans="2:16">
      <c r="B69" s="734"/>
      <c r="C69" s="75"/>
      <c r="D69" s="734">
        <f>'TTU FGD'!F54*-1</f>
        <v>-134410311</v>
      </c>
      <c r="E69" s="734"/>
      <c r="F69" s="734"/>
    </row>
    <row r="70" spans="2:16" ht="12.75" customHeight="1">
      <c r="B70" s="759"/>
      <c r="C70" s="95"/>
      <c r="D70" s="759">
        <f>'TTU FGD'!M54</f>
        <v>134410311</v>
      </c>
      <c r="E70" s="759"/>
      <c r="F70" s="759">
        <f>-D70-D69</f>
        <v>0</v>
      </c>
    </row>
    <row r="71" spans="2:16" ht="12.75" customHeight="1">
      <c r="B71" s="734">
        <f>SUM(B68:B70)</f>
        <v>200154362</v>
      </c>
      <c r="C71" s="75"/>
      <c r="D71" s="734">
        <f>SUM(D68:D70)</f>
        <v>20307298</v>
      </c>
      <c r="E71" s="734">
        <f>SUM(E68:E70)</f>
        <v>-16675446</v>
      </c>
      <c r="F71" s="734">
        <f>SUM(F68:F70)</f>
        <v>196522510</v>
      </c>
    </row>
    <row r="72" spans="2:16" ht="12.75" customHeight="1">
      <c r="B72" s="734"/>
      <c r="C72" s="75"/>
      <c r="D72" s="734"/>
      <c r="E72" s="734"/>
      <c r="F72" s="734"/>
    </row>
    <row r="73" spans="2:16" ht="12.75" customHeight="1">
      <c r="B73" s="512">
        <f>B61-B71</f>
        <v>0</v>
      </c>
      <c r="C73" s="75"/>
      <c r="D73" s="512">
        <f>D61-D71</f>
        <v>0</v>
      </c>
      <c r="E73" s="512">
        <f>E61-E71</f>
        <v>0</v>
      </c>
      <c r="F73" s="512">
        <f>F61-F71</f>
        <v>0</v>
      </c>
    </row>
    <row r="74" spans="2:16" ht="12.75" customHeight="1">
      <c r="C74" s="75"/>
      <c r="F74" s="617"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G47:H50"/>
    <mergeCell ref="K30:O30"/>
    <mergeCell ref="M31:M34"/>
    <mergeCell ref="G32:H32"/>
    <mergeCell ref="G33:H33"/>
    <mergeCell ref="L31:L34"/>
    <mergeCell ref="K31:K34"/>
    <mergeCell ref="N31:N34"/>
    <mergeCell ref="O31:O34"/>
    <mergeCell ref="J48:J49"/>
    <mergeCell ref="F1:I1"/>
    <mergeCell ref="J1:O1"/>
    <mergeCell ref="D1:E1"/>
    <mergeCell ref="K29:O29"/>
    <mergeCell ref="D4:D5"/>
    <mergeCell ref="E4:E5"/>
  </mergeCells>
  <hyperlinks>
    <hyperlink ref="D1:E1" location="Index!A1" display="Return to Index" xr:uid="{00000000-0004-0000-8A00-000000000000}"/>
  </hyperlinks>
  <printOptions horizontalCentered="1"/>
  <pageMargins left="0.5" right="0.5" top="0.25" bottom="0.25" header="0" footer="0.25"/>
  <pageSetup scale="92" orientation="portrait" r:id="rId1"/>
  <headerFooter alignWithMargins="0"/>
  <rowBreaks count="2" manualBreakCount="2">
    <brk id="61" max="10" man="1"/>
    <brk id="62" max="1" man="1"/>
  </rowBreaks>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59999389629810485"/>
  </sheetPr>
  <dimension ref="A1:U804"/>
  <sheetViews>
    <sheetView showGridLines="0" zoomScale="90" zoomScaleNormal="90" workbookViewId="0">
      <pane ySplit="10" topLeftCell="A11" activePane="bottomLeft" state="frozen"/>
      <selection activeCell="R2" sqref="R2"/>
      <selection pane="bottomLeft" activeCell="K35" sqref="K35"/>
    </sheetView>
  </sheetViews>
  <sheetFormatPr defaultColWidth="9.140625" defaultRowHeight="12.75" outlineLevelRow="1"/>
  <cols>
    <col min="1" max="1" width="7.28515625" style="480" customWidth="1"/>
    <col min="2" max="2" width="5" style="480" customWidth="1"/>
    <col min="3" max="3" width="13" style="480" customWidth="1"/>
    <col min="4" max="4" width="26.7109375" style="53" customWidth="1"/>
    <col min="5" max="5" width="10.28515625" style="53" customWidth="1"/>
    <col min="6" max="6" width="11.140625" style="53" customWidth="1"/>
    <col min="7" max="7" width="14.140625" style="53" customWidth="1"/>
    <col min="8" max="8" width="13.42578125" style="53" customWidth="1"/>
    <col min="9" max="10" width="17.28515625" style="154" customWidth="1"/>
    <col min="11" max="11" width="17.85546875" style="154" customWidth="1"/>
    <col min="12" max="13" width="16.42578125" style="154" customWidth="1"/>
    <col min="14" max="14" width="16.5703125" style="154" customWidth="1"/>
    <col min="15" max="15" width="7.28515625" style="53" customWidth="1"/>
    <col min="16" max="16" width="18.85546875" style="53" customWidth="1"/>
    <col min="17" max="17" width="7.7109375" style="53" customWidth="1"/>
    <col min="18" max="18" width="4" style="53" customWidth="1"/>
    <col min="19" max="19" width="19.42578125" style="53" customWidth="1"/>
    <col min="20" max="20" width="16.5703125" style="53" customWidth="1"/>
    <col min="21" max="21" width="26.85546875" style="53" customWidth="1"/>
    <col min="22" max="16384" width="9.140625" style="53"/>
  </cols>
  <sheetData>
    <row r="1" spans="1:21" ht="13.5" thickBot="1">
      <c r="I1" s="814" t="s">
        <v>131</v>
      </c>
      <c r="J1" s="114"/>
      <c r="K1" s="114"/>
      <c r="L1" s="114"/>
      <c r="M1" s="114"/>
      <c r="N1" s="855" t="s">
        <v>1200</v>
      </c>
    </row>
    <row r="2" spans="1:21">
      <c r="I2" s="814" t="s">
        <v>2182</v>
      </c>
      <c r="J2" s="114"/>
      <c r="K2" s="114"/>
      <c r="L2" s="114"/>
      <c r="M2" s="114"/>
      <c r="N2" s="114"/>
    </row>
    <row r="3" spans="1:21">
      <c r="A3" s="215" t="s">
        <v>2156</v>
      </c>
      <c r="I3" s="908" t="s">
        <v>2201</v>
      </c>
      <c r="J3" s="114"/>
      <c r="K3" s="114"/>
      <c r="L3" s="114"/>
      <c r="M3" s="114"/>
      <c r="N3" s="114"/>
    </row>
    <row r="4" spans="1:21">
      <c r="I4" s="114"/>
      <c r="J4" s="114"/>
      <c r="K4" s="114"/>
      <c r="L4" s="114"/>
      <c r="M4" s="114"/>
      <c r="N4" s="114"/>
    </row>
    <row r="5" spans="1:21">
      <c r="A5" s="1661" t="s">
        <v>2139</v>
      </c>
      <c r="B5" s="1662"/>
      <c r="C5" s="1663"/>
      <c r="F5" s="480" t="s">
        <v>1127</v>
      </c>
      <c r="G5" s="480"/>
      <c r="H5" s="480"/>
      <c r="I5" s="114"/>
      <c r="J5" s="114"/>
      <c r="K5" s="114"/>
      <c r="L5" s="114"/>
      <c r="M5" s="114"/>
      <c r="N5" s="114"/>
    </row>
    <row r="6" spans="1:21">
      <c r="E6" s="480">
        <v>2017</v>
      </c>
      <c r="F6" s="480" t="s">
        <v>1128</v>
      </c>
      <c r="G6" s="480"/>
      <c r="H6" s="480"/>
      <c r="I6" s="114"/>
      <c r="J6" s="114"/>
      <c r="K6" s="114"/>
      <c r="L6" s="114"/>
      <c r="M6" s="114"/>
      <c r="N6" s="114"/>
    </row>
    <row r="7" spans="1:21">
      <c r="F7" s="480" t="s">
        <v>1129</v>
      </c>
      <c r="G7" s="480"/>
      <c r="H7" s="480"/>
      <c r="I7" s="114"/>
      <c r="J7" s="114"/>
      <c r="K7" s="114"/>
      <c r="L7" s="114"/>
      <c r="M7" s="114"/>
      <c r="N7" s="114"/>
      <c r="S7" s="1649" t="s">
        <v>1084</v>
      </c>
      <c r="T7" s="1650"/>
      <c r="U7" s="1651"/>
    </row>
    <row r="8" spans="1:21" s="123" customFormat="1" ht="48.75" customHeight="1" thickBot="1">
      <c r="A8" s="1351" t="s">
        <v>1123</v>
      </c>
      <c r="B8" s="1664" t="s">
        <v>1134</v>
      </c>
      <c r="C8" s="1664"/>
      <c r="D8" s="118" t="s">
        <v>298</v>
      </c>
      <c r="E8" s="118" t="s">
        <v>1168</v>
      </c>
      <c r="F8" s="118" t="s">
        <v>132</v>
      </c>
      <c r="G8" s="858" t="s">
        <v>1317</v>
      </c>
      <c r="H8" s="858" t="s">
        <v>1318</v>
      </c>
      <c r="I8" s="858" t="s">
        <v>1191</v>
      </c>
      <c r="J8" s="858" t="s">
        <v>1189</v>
      </c>
      <c r="K8" s="858" t="s">
        <v>1</v>
      </c>
      <c r="L8" s="858" t="s">
        <v>1068</v>
      </c>
      <c r="M8" s="858" t="s">
        <v>83</v>
      </c>
      <c r="N8" s="858" t="s">
        <v>1226</v>
      </c>
      <c r="O8" s="796"/>
      <c r="P8" s="796"/>
      <c r="Q8" s="796"/>
      <c r="R8" s="621"/>
      <c r="S8" s="814" t="s">
        <v>299</v>
      </c>
      <c r="T8" s="158" t="s">
        <v>703</v>
      </c>
      <c r="U8" s="814" t="s">
        <v>704</v>
      </c>
    </row>
    <row r="9" spans="1:21" s="55" customFormat="1" ht="18.75" customHeight="1">
      <c r="A9" s="861" t="s">
        <v>2140</v>
      </c>
      <c r="B9" s="694"/>
      <c r="C9" s="694"/>
      <c r="D9" s="862"/>
      <c r="E9" s="694" t="s">
        <v>2141</v>
      </c>
      <c r="F9" s="694" t="s">
        <v>2142</v>
      </c>
      <c r="G9" s="863" t="s">
        <v>1319</v>
      </c>
      <c r="H9" s="864" t="s">
        <v>2143</v>
      </c>
      <c r="I9" s="864" t="s">
        <v>1172</v>
      </c>
      <c r="J9" s="864" t="s">
        <v>1175</v>
      </c>
      <c r="K9" s="864" t="s">
        <v>2144</v>
      </c>
      <c r="L9" s="864" t="s">
        <v>1177</v>
      </c>
      <c r="M9" s="864" t="s">
        <v>2145</v>
      </c>
      <c r="N9" s="865" t="s">
        <v>2146</v>
      </c>
      <c r="O9" s="866"/>
      <c r="P9" s="866"/>
      <c r="Q9" s="866"/>
      <c r="S9" s="1352"/>
      <c r="T9" s="1352"/>
      <c r="U9" s="1352"/>
    </row>
    <row r="10" spans="1:21" ht="18" customHeight="1">
      <c r="A10" s="468" t="s">
        <v>1193</v>
      </c>
      <c r="D10" s="776"/>
      <c r="E10" s="793" t="s">
        <v>1171</v>
      </c>
      <c r="F10" s="480" t="s">
        <v>1170</v>
      </c>
      <c r="G10" s="1353" t="s">
        <v>1320</v>
      </c>
      <c r="H10" s="1354" t="s">
        <v>1321</v>
      </c>
      <c r="I10" s="1354" t="s">
        <v>1184</v>
      </c>
      <c r="J10" s="868" t="s">
        <v>1185</v>
      </c>
      <c r="K10" s="869" t="s">
        <v>1186</v>
      </c>
      <c r="L10" s="869" t="s">
        <v>1187</v>
      </c>
      <c r="M10" s="869" t="s">
        <v>1188</v>
      </c>
      <c r="N10" s="892" t="s">
        <v>1227</v>
      </c>
      <c r="O10" s="794"/>
      <c r="P10" s="794"/>
      <c r="Q10" s="794"/>
      <c r="S10" s="763"/>
      <c r="T10" s="763"/>
      <c r="U10" s="763"/>
    </row>
    <row r="11" spans="1:21" ht="14.25" customHeight="1">
      <c r="A11" s="468"/>
      <c r="D11" s="53" t="s">
        <v>1182</v>
      </c>
      <c r="E11" s="124">
        <f t="shared" ref="E11:E48" si="0">$E$6</f>
        <v>2017</v>
      </c>
      <c r="F11" s="910">
        <v>20</v>
      </c>
      <c r="G11" s="1355">
        <f>ROUND((VLOOKUP($F11,Univ_IE_Keys!$AA$13:$AE$59,4,FALSE))/Univ_IE_Keys!$AF13,2)</f>
        <v>50.36</v>
      </c>
      <c r="H11" s="1031">
        <f>ROUND((VLOOKUP($F11,Univ_IE_Keys!$AA$13:$AE$59,5,FALSE))/Univ_IE_Keys!$AF13,2)</f>
        <v>8.81</v>
      </c>
      <c r="I11" s="1012" t="s">
        <v>1183</v>
      </c>
      <c r="J11" s="885" t="s">
        <v>1183</v>
      </c>
      <c r="K11" s="885" t="s">
        <v>1183</v>
      </c>
      <c r="L11" s="885" t="s">
        <v>1183</v>
      </c>
      <c r="M11" s="885" t="s">
        <v>1183</v>
      </c>
      <c r="N11" s="1356" t="s">
        <v>1183</v>
      </c>
      <c r="O11" s="794"/>
      <c r="P11" s="794"/>
      <c r="Q11" s="794"/>
      <c r="S11" s="763"/>
      <c r="T11" s="763"/>
      <c r="U11" s="763"/>
    </row>
    <row r="12" spans="1:21">
      <c r="A12" s="480">
        <v>320</v>
      </c>
      <c r="B12" s="678"/>
      <c r="C12" s="68"/>
      <c r="D12" s="53" t="s">
        <v>140</v>
      </c>
      <c r="E12" s="124">
        <f t="shared" si="0"/>
        <v>2017</v>
      </c>
      <c r="F12" s="1000">
        <v>3541</v>
      </c>
      <c r="G12" s="1355">
        <f>ROUND((VLOOKUP($F12,Univ_IE_Keys!$AA$13:$AE$59,4,FALSE))/Univ_IE_Keys!$M12,2)</f>
        <v>9.6999999999999993</v>
      </c>
      <c r="H12" s="1031">
        <f>ROUND((VLOOKUP($F12,Univ_IE_Keys!$AA$13:$AE$59,5,FALSE))/Univ_IE_Keys!$M12,2)</f>
        <v>3.36</v>
      </c>
      <c r="I12" s="1013">
        <f>'ASU Sum'!$G$35</f>
        <v>142030345</v>
      </c>
      <c r="J12" s="1366">
        <f>'ASU Sum'!$F$20</f>
        <v>38091980</v>
      </c>
      <c r="K12" s="1357">
        <f>'ASU Sum'!$G$11</f>
        <v>42521327</v>
      </c>
      <c r="L12" s="1366">
        <f>'ASU Sum'!$F$23</f>
        <v>32115992</v>
      </c>
      <c r="M12" s="1366">
        <f>'ASU Sum'!$F$32</f>
        <v>29301046</v>
      </c>
      <c r="N12" s="1358">
        <f>'ASU Sum'!$G$14</f>
        <v>6792999</v>
      </c>
      <c r="O12" s="356"/>
      <c r="P12" s="356"/>
      <c r="Q12" s="356"/>
      <c r="S12" s="528" t="str">
        <f>'ASU FGD'!$O$92</f>
        <v>Janet Coleman</v>
      </c>
      <c r="T12" s="528" t="str">
        <f>'ASU FGD'!$Q$92</f>
        <v>325-942-2014</v>
      </c>
      <c r="U12" s="528" t="str">
        <f>'ASU FGD'!$T$92</f>
        <v>janet.coleman@angelo.edu</v>
      </c>
    </row>
    <row r="13" spans="1:21">
      <c r="A13" s="480">
        <v>210</v>
      </c>
      <c r="B13" s="678"/>
      <c r="C13" s="68"/>
      <c r="D13" s="53" t="s">
        <v>142</v>
      </c>
      <c r="E13" s="124">
        <f t="shared" si="0"/>
        <v>2017</v>
      </c>
      <c r="F13" s="1000">
        <v>3565</v>
      </c>
      <c r="G13" s="1355">
        <f>ROUND((VLOOKUP($F13,Univ_IE_Keys!$AA$13:$AE$59,4,FALSE))/Univ_IE_Keys!$M13,2)</f>
        <v>5.52</v>
      </c>
      <c r="H13" s="1359">
        <f>ROUND((VLOOKUP($F13,Univ_IE_Keys!$AA$13:$AE$59,5,FALSE))/Univ_IE_Keys!$M13,2)</f>
        <v>4.05</v>
      </c>
      <c r="I13" s="1013">
        <f>'TAMUC Sum'!$G$35</f>
        <v>191798281</v>
      </c>
      <c r="J13" s="1366">
        <f>'TAMUC Sum'!$F$20</f>
        <v>66300947</v>
      </c>
      <c r="K13" s="1357">
        <f>'TAMUC Sum'!$G$11</f>
        <v>59088127</v>
      </c>
      <c r="L13" s="1366">
        <f>'TAMUC Sum'!$F$23</f>
        <v>44440614</v>
      </c>
      <c r="M13" s="1366">
        <f>'TAMUC Sum'!$F$32</f>
        <v>21968593</v>
      </c>
      <c r="N13" s="1358">
        <f>'TAMUC Sum'!$G$14</f>
        <v>11123859</v>
      </c>
      <c r="O13" s="356"/>
      <c r="P13" s="356"/>
      <c r="Q13" s="356"/>
      <c r="S13" s="528" t="str">
        <f>'TAMUC FGD'!$O$92</f>
        <v>Chris Arrington</v>
      </c>
      <c r="T13" s="528" t="str">
        <f>'TAMUC FGD'!$Q$92</f>
        <v>979-458-9151</v>
      </c>
      <c r="U13" s="528" t="str">
        <f>'TAMUC FGD'!$T$92</f>
        <v>carrington@tamus.edu</v>
      </c>
    </row>
    <row r="14" spans="1:21">
      <c r="A14" s="480">
        <v>270</v>
      </c>
      <c r="B14" s="678"/>
      <c r="C14" s="68"/>
      <c r="D14" s="53" t="s">
        <v>144</v>
      </c>
      <c r="E14" s="124">
        <f t="shared" si="0"/>
        <v>2017</v>
      </c>
      <c r="F14" s="1000">
        <v>3581</v>
      </c>
      <c r="G14" s="1355">
        <f>ROUND((VLOOKUP($F14,Univ_IE_Keys!$AA$13:$AE$59,4,FALSE))/Univ_IE_Keys!$M14,2)</f>
        <v>6.05</v>
      </c>
      <c r="H14" s="1359">
        <f>ROUND((VLOOKUP($F14,Univ_IE_Keys!$AA$13:$AE$59,5,FALSE))/Univ_IE_Keys!$M14,2)</f>
        <v>2.97</v>
      </c>
      <c r="I14" s="1013">
        <f>'LU Sum'!$G$35</f>
        <v>234307230</v>
      </c>
      <c r="J14" s="1366">
        <f>'LU Sum'!$F$20</f>
        <v>105644394</v>
      </c>
      <c r="K14" s="1357">
        <f>'LU Sum'!$G$11</f>
        <v>65928426</v>
      </c>
      <c r="L14" s="1366">
        <f>'LU Sum'!$F$23</f>
        <v>52209570</v>
      </c>
      <c r="M14" s="1366">
        <f>'LU Sum'!$F$32</f>
        <v>10524840</v>
      </c>
      <c r="N14" s="1358">
        <f>'LU Sum'!$G$14</f>
        <v>13141181</v>
      </c>
      <c r="O14" s="356"/>
      <c r="P14" s="356"/>
      <c r="Q14" s="356"/>
      <c r="S14" s="528" t="str">
        <f>'LU FGD'!$O$92</f>
        <v>Cynthia Brown</v>
      </c>
      <c r="T14" s="528" t="str">
        <f>'LU FGD'!$Q$92</f>
        <v>409-880-7925</v>
      </c>
      <c r="U14" s="528" t="str">
        <f>'LU FGD'!$T$92</f>
        <v>clbrown@lamar.edu</v>
      </c>
    </row>
    <row r="15" spans="1:21">
      <c r="A15" s="480">
        <v>340</v>
      </c>
      <c r="B15" s="678"/>
      <c r="C15" s="68"/>
      <c r="D15" s="53" t="s">
        <v>146</v>
      </c>
      <c r="E15" s="124">
        <f t="shared" si="0"/>
        <v>2017</v>
      </c>
      <c r="F15" s="1000">
        <v>3592</v>
      </c>
      <c r="G15" s="1355">
        <f>ROUND((VLOOKUP($F15,Univ_IE_Keys!$AA$13:$AE$59,4,FALSE))/Univ_IE_Keys!$M15,2)</f>
        <v>14.43</v>
      </c>
      <c r="H15" s="1359">
        <f>ROUND((VLOOKUP($F15,Univ_IE_Keys!$AA$13:$AE$59,5,FALSE))/Univ_IE_Keys!$M15,2)</f>
        <v>12.67</v>
      </c>
      <c r="I15" s="1013">
        <f>'MidWST Sum'!$G$35</f>
        <v>99620647</v>
      </c>
      <c r="J15" s="1366">
        <f>'MidWST Sum'!$F$20</f>
        <v>33535775</v>
      </c>
      <c r="K15" s="1357">
        <f>'MidWST Sum'!$G$11</f>
        <v>30715397</v>
      </c>
      <c r="L15" s="1366">
        <f>'MidWST Sum'!$F$23</f>
        <v>23356845</v>
      </c>
      <c r="M15" s="1366">
        <f>'MidWST Sum'!$F$32</f>
        <v>12012630</v>
      </c>
      <c r="N15" s="1358">
        <f>'MidWST Sum'!$G$14</f>
        <v>4933200</v>
      </c>
      <c r="O15" s="356"/>
      <c r="P15" s="356"/>
      <c r="Q15" s="356"/>
      <c r="S15" s="528" t="str">
        <f>'MidWST FGD'!$O$92</f>
        <v>Chris Stovall</v>
      </c>
      <c r="T15" s="528" t="str">
        <f>'MidWST FGD'!$Q$92</f>
        <v>(940) 397-4273</v>
      </c>
      <c r="U15" s="528" t="str">
        <f>'MidWST FGD'!$T$92</f>
        <v>chris.stovall@msutexas.edu</v>
      </c>
    </row>
    <row r="16" spans="1:21">
      <c r="A16" s="480">
        <v>330</v>
      </c>
      <c r="B16" s="678"/>
      <c r="C16" s="68"/>
      <c r="D16" s="53" t="s">
        <v>148</v>
      </c>
      <c r="E16" s="124">
        <f t="shared" si="0"/>
        <v>2017</v>
      </c>
      <c r="F16" s="1000">
        <v>3594</v>
      </c>
      <c r="G16" s="1355">
        <f>ROUND((VLOOKUP($F16,Univ_IE_Keys!$AA$13:$AE$59,4,FALSE))/Univ_IE_Keys!$M16,2)</f>
        <v>5.31</v>
      </c>
      <c r="H16" s="1359">
        <f>ROUND((VLOOKUP($F16,Univ_IE_Keys!$AA$13:$AE$59,5,FALSE))/Univ_IE_Keys!$M16,2)</f>
        <v>5.26</v>
      </c>
      <c r="I16" s="1013">
        <f>'UNT Sum'!$G$35</f>
        <v>731444667</v>
      </c>
      <c r="J16" s="1366">
        <f>'UNT Sum'!$F$20</f>
        <v>346350615</v>
      </c>
      <c r="K16" s="1357">
        <f>'UNT Sum'!$G$11</f>
        <v>166646513</v>
      </c>
      <c r="L16" s="1366">
        <f>'UNT Sum'!$F$23</f>
        <v>165506817</v>
      </c>
      <c r="M16" s="1366">
        <f>'UNT Sum'!$F$32</f>
        <v>52940722</v>
      </c>
      <c r="N16" s="1358">
        <f>'UNT Sum'!$G$14</f>
        <v>37346563</v>
      </c>
      <c r="O16" s="356"/>
      <c r="P16" s="356"/>
      <c r="Q16" s="356"/>
      <c r="S16" s="528" t="str">
        <f>'UNT FGD'!$O$92</f>
        <v>Leydi Carter</v>
      </c>
      <c r="T16" s="528" t="str">
        <f>'UNT FGD'!$Q$92</f>
        <v>(940) 369-5089</v>
      </c>
      <c r="U16" s="528" t="str">
        <f>'UNT FGD'!$T$92</f>
        <v>Leydi.Carter@untsystem.edu</v>
      </c>
    </row>
    <row r="17" spans="1:21">
      <c r="A17" s="1123">
        <v>91</v>
      </c>
      <c r="B17" s="678"/>
      <c r="C17" s="68"/>
      <c r="D17" s="116" t="s">
        <v>1399</v>
      </c>
      <c r="E17" s="124">
        <f t="shared" si="0"/>
        <v>2017</v>
      </c>
      <c r="F17" s="1000">
        <v>3599</v>
      </c>
      <c r="G17" s="1355">
        <f>ROUND((VLOOKUP($F17,Univ_IE_Keys!$AA$13:$AE$59,4,FALSE))/Univ_IE_Keys!$M45,2)</f>
        <v>143.75</v>
      </c>
      <c r="H17" s="1359">
        <f>ROUND((VLOOKUP($F17,Univ_IE_Keys!$AA$13:$AE$59,5,FALSE))/Univ_IE_Keys!$M45,2)</f>
        <v>96.23</v>
      </c>
      <c r="I17" s="1013">
        <f>'RGV1 Sum'!$G$35</f>
        <v>600598938</v>
      </c>
      <c r="J17" s="1366">
        <f>'RGV1 Sum'!$F$20</f>
        <v>127994340</v>
      </c>
      <c r="K17" s="1357">
        <f>'RGV1 Sum'!$G$11</f>
        <v>152832944</v>
      </c>
      <c r="L17" s="1366">
        <f>'RGV1 Sum'!$F$23</f>
        <v>246799186</v>
      </c>
      <c r="M17" s="1366">
        <f>'RGV1 Sum'!$F$32</f>
        <v>72972468</v>
      </c>
      <c r="N17" s="1358">
        <f>'RGV1 Sum'!$G$14</f>
        <v>0</v>
      </c>
      <c r="O17" s="353"/>
      <c r="P17" s="353"/>
      <c r="Q17" s="353"/>
      <c r="R17" s="56"/>
      <c r="S17" s="528" t="str">
        <f>'RGV1 FGD'!$O$92</f>
        <v>Lilia M. St. Clair</v>
      </c>
      <c r="T17" s="528" t="str">
        <f>'RGV1 FGD'!$Q$92</f>
        <v>956-665-7906</v>
      </c>
      <c r="U17" s="528" t="str">
        <f>'RGV1 FGD'!$T$92</f>
        <v>lilia.stclair@utrgv.edu</v>
      </c>
    </row>
    <row r="18" spans="1:21">
      <c r="A18" s="480">
        <v>280</v>
      </c>
      <c r="B18" s="678"/>
      <c r="C18" s="68"/>
      <c r="D18" s="53" t="s">
        <v>152</v>
      </c>
      <c r="E18" s="124">
        <f t="shared" si="0"/>
        <v>2017</v>
      </c>
      <c r="F18" s="1000">
        <v>3606</v>
      </c>
      <c r="G18" s="1355">
        <f>ROUND((VLOOKUP($F18,Univ_IE_Keys!$AA$13:$AE$59,4,FALSE))/Univ_IE_Keys!$M18,2)</f>
        <v>8.17</v>
      </c>
      <c r="H18" s="1359">
        <f>ROUND((VLOOKUP($F18,Univ_IE_Keys!$AA$13:$AE$59,5,FALSE))/Univ_IE_Keys!$M18,2)</f>
        <v>5.01</v>
      </c>
      <c r="I18" s="1013">
        <f>'shsu1 Sum'!$G$35</f>
        <v>369498509</v>
      </c>
      <c r="J18" s="1366">
        <f>'shsu1 Sum'!$F$20</f>
        <v>166246272</v>
      </c>
      <c r="K18" s="1357">
        <f>'shsu1 Sum'!$G$11</f>
        <v>89104525</v>
      </c>
      <c r="L18" s="1366">
        <f>'shsu1 Sum'!$F$23</f>
        <v>75908436</v>
      </c>
      <c r="M18" s="1366">
        <f>'shsu1 Sum'!$F$32</f>
        <v>38239276</v>
      </c>
      <c r="N18" s="1358">
        <f>'shsu1 Sum'!$G$14</f>
        <v>18236811</v>
      </c>
      <c r="O18" s="356"/>
      <c r="P18" s="356"/>
      <c r="Q18" s="356"/>
      <c r="S18" s="528" t="str">
        <f>'shsu1 FGD'!$O$92</f>
        <v>Amanda Withers</v>
      </c>
      <c r="T18" s="528" t="str">
        <f>'shsu1 FGD'!$Q$92</f>
        <v>936-294-2289</v>
      </c>
      <c r="U18" s="528" t="str">
        <f>'shsu1 FGD'!$T$92</f>
        <v>withers@shsu.edu</v>
      </c>
    </row>
    <row r="19" spans="1:21">
      <c r="A19" s="480">
        <v>290</v>
      </c>
      <c r="B19" s="678"/>
      <c r="C19" s="68"/>
      <c r="D19" s="53" t="s">
        <v>1421</v>
      </c>
      <c r="E19" s="124">
        <f t="shared" si="0"/>
        <v>2017</v>
      </c>
      <c r="F19" s="1000">
        <v>3615</v>
      </c>
      <c r="G19" s="1355">
        <f>ROUND((VLOOKUP($F19,Univ_IE_Keys!$AA$13:$AE$59,4,FALSE))/Univ_IE_Keys!$M19,2)</f>
        <v>7.82</v>
      </c>
      <c r="H19" s="1359">
        <f>ROUND((VLOOKUP($F19,Univ_IE_Keys!$AA$13:$AE$59,5,FALSE))/Univ_IE_Keys!$M19,2)</f>
        <v>4.5</v>
      </c>
      <c r="I19" s="1013">
        <f>'TXST Sum'!$G$35</f>
        <v>602222738</v>
      </c>
      <c r="J19" s="1366">
        <f>'TXST Sum'!$F$20</f>
        <v>242535976</v>
      </c>
      <c r="K19" s="1357">
        <f>'TXST Sum'!$G$11</f>
        <v>169236332</v>
      </c>
      <c r="L19" s="1366">
        <f>'TXST Sum'!$F$23</f>
        <v>142660412</v>
      </c>
      <c r="M19" s="1366">
        <f>'TXST Sum'!$F$32</f>
        <v>47790018</v>
      </c>
      <c r="N19" s="1358">
        <f>'TXST Sum'!$G$14</f>
        <v>37606478</v>
      </c>
      <c r="O19" s="356"/>
      <c r="P19" s="356"/>
      <c r="Q19" s="356"/>
      <c r="S19" s="528" t="str">
        <f>'TXST FGD'!$O$92</f>
        <v>Cindy Haley</v>
      </c>
      <c r="T19" s="528" t="str">
        <f>'TXST FGD'!$Q$92</f>
        <v>512-245-2087</v>
      </c>
      <c r="U19" s="528" t="str">
        <f>'TXST FGD'!$T$92</f>
        <v>cindy.haley@txstate.edu</v>
      </c>
    </row>
    <row r="20" spans="1:21">
      <c r="A20" s="480">
        <v>350</v>
      </c>
      <c r="B20" s="678"/>
      <c r="C20" s="68"/>
      <c r="D20" s="53" t="s">
        <v>156</v>
      </c>
      <c r="E20" s="124">
        <f t="shared" si="0"/>
        <v>2017</v>
      </c>
      <c r="F20" s="1000">
        <v>3624</v>
      </c>
      <c r="G20" s="1355">
        <f>ROUND((VLOOKUP($F20,Univ_IE_Keys!$AA$13:$AE$59,4,FALSE))/Univ_IE_Keys!$M20,2)</f>
        <v>11.18</v>
      </c>
      <c r="H20" s="1359">
        <f>ROUND((VLOOKUP($F20,Univ_IE_Keys!$AA$13:$AE$59,5,FALSE))/Univ_IE_Keys!$M20,2)</f>
        <v>9.73</v>
      </c>
      <c r="I20" s="1013">
        <f>'SFA Sum'!$G$35</f>
        <v>233028358</v>
      </c>
      <c r="J20" s="1366">
        <f>'SFA Sum'!$F$20</f>
        <v>76274030</v>
      </c>
      <c r="K20" s="1357">
        <f>'SFA Sum'!$G$11</f>
        <v>58896073</v>
      </c>
      <c r="L20" s="1366">
        <f>'SFA Sum'!$F$23</f>
        <v>74490644</v>
      </c>
      <c r="M20" s="1366">
        <f>'SFA Sum'!$F$32</f>
        <v>23367611</v>
      </c>
      <c r="N20" s="1358">
        <f>'SFA Sum'!$G$14</f>
        <v>11277793</v>
      </c>
      <c r="O20" s="356"/>
      <c r="P20" s="356"/>
      <c r="Q20" s="356"/>
      <c r="S20" s="528" t="str">
        <f>'SFA FGD'!$O$92</f>
        <v>Dannette Sales</v>
      </c>
      <c r="T20" s="528" t="str">
        <f>'SFA FGD'!$Q$92</f>
        <v>(936) 468-2354</v>
      </c>
      <c r="U20" s="528" t="str">
        <f>'SFA FGD'!$T$92</f>
        <v>salesdl@sfasu.edu</v>
      </c>
    </row>
    <row r="21" spans="1:21">
      <c r="A21" s="480">
        <v>300</v>
      </c>
      <c r="B21" s="678"/>
      <c r="C21" s="68"/>
      <c r="D21" s="53" t="s">
        <v>158</v>
      </c>
      <c r="E21" s="124">
        <f t="shared" si="0"/>
        <v>2017</v>
      </c>
      <c r="F21" s="1000">
        <v>3625</v>
      </c>
      <c r="G21" s="1355">
        <f>ROUND((VLOOKUP($F21,Univ_IE_Keys!$AA$13:$AE$59,4,FALSE))/Univ_IE_Keys!$M21,2)</f>
        <v>22.89</v>
      </c>
      <c r="H21" s="1359">
        <f>ROUND((VLOOKUP($F21,Univ_IE_Keys!$AA$13:$AE$59,5,FALSE))/Univ_IE_Keys!$M21,2)</f>
        <v>22.85</v>
      </c>
      <c r="I21" s="1013">
        <f>'SRSU Sum'!$G$35</f>
        <v>54823682</v>
      </c>
      <c r="J21" s="1366">
        <f>'SRSU Sum'!$F$20</f>
        <v>9678587</v>
      </c>
      <c r="K21" s="1357">
        <f>'SRSU Sum'!$G$11</f>
        <v>21061496</v>
      </c>
      <c r="L21" s="1366">
        <f>'SRSU Sum'!$F$23</f>
        <v>13524396</v>
      </c>
      <c r="M21" s="1366">
        <f>'SRSU Sum'!$F$32</f>
        <v>10559203</v>
      </c>
      <c r="N21" s="1358">
        <f>'SRSU Sum'!$G$14</f>
        <v>2624613</v>
      </c>
      <c r="O21" s="356"/>
      <c r="P21" s="356"/>
      <c r="Q21" s="356"/>
      <c r="S21" s="528" t="str">
        <f>'SRSU FGD'!$O$92</f>
        <v>Bonnie Albright</v>
      </c>
      <c r="T21" s="528" t="str">
        <f>'SRSU FGD'!$Q$92</f>
        <v>432-837-8078</v>
      </c>
      <c r="U21" s="528" t="str">
        <f>'SRSU FGD'!$T$92</f>
        <v>bonnie.albright@sulross.edu</v>
      </c>
    </row>
    <row r="22" spans="1:21">
      <c r="A22" s="480">
        <v>150</v>
      </c>
      <c r="B22" s="678"/>
      <c r="C22" s="68"/>
      <c r="D22" s="53" t="s">
        <v>160</v>
      </c>
      <c r="E22" s="124">
        <f t="shared" si="0"/>
        <v>2017</v>
      </c>
      <c r="F22" s="1000">
        <v>3630</v>
      </c>
      <c r="G22" s="1355">
        <f>ROUND((VLOOKUP($F22,Univ_IE_Keys!$AA$13:$AE$59,4,FALSE))/Univ_IE_Keys!$M22,2)</f>
        <v>11.39</v>
      </c>
      <c r="H22" s="1359">
        <f>ROUND((VLOOKUP($F22,Univ_IE_Keys!$AA$13:$AE$59,5,FALSE))/Univ_IE_Keys!$M22,2)</f>
        <v>10.52</v>
      </c>
      <c r="I22" s="1013">
        <f>'PVAMU Sum'!$G$35</f>
        <v>272765578</v>
      </c>
      <c r="J22" s="1366">
        <f>'PVAMU Sum'!$F$20</f>
        <v>53291516</v>
      </c>
      <c r="K22" s="1357">
        <f>'PVAMU Sum'!$G$11</f>
        <v>68769239</v>
      </c>
      <c r="L22" s="1366">
        <f>'PVAMU Sum'!$F$23</f>
        <v>104828664</v>
      </c>
      <c r="M22" s="1366">
        <f>'PVAMU Sum'!$F$32</f>
        <v>45876159</v>
      </c>
      <c r="N22" s="1358">
        <f>'PVAMU Sum'!$G$14</f>
        <v>26604505</v>
      </c>
      <c r="O22" s="356"/>
      <c r="P22" s="356"/>
      <c r="Q22" s="356"/>
      <c r="S22" s="528" t="str">
        <f>'PVAMU FGD'!$O$92</f>
        <v>Chris Arrington</v>
      </c>
      <c r="T22" s="528" t="str">
        <f>'PVAMU FGD'!$Q$92</f>
        <v>979-458-9151</v>
      </c>
      <c r="U22" s="528" t="str">
        <f>'PVAMU FGD'!$T$92</f>
        <v>carrington@tamus.edu</v>
      </c>
    </row>
    <row r="23" spans="1:21">
      <c r="A23" s="480">
        <v>160</v>
      </c>
      <c r="B23" s="678"/>
      <c r="C23" s="68"/>
      <c r="D23" s="53" t="s">
        <v>162</v>
      </c>
      <c r="E23" s="124">
        <f t="shared" si="0"/>
        <v>2017</v>
      </c>
      <c r="F23" s="1000">
        <v>3631</v>
      </c>
      <c r="G23" s="1355">
        <f>ROUND((VLOOKUP($F23,Univ_IE_Keys!$AA$13:$AE$59,4,FALSE))/Univ_IE_Keys!$M23,2)</f>
        <v>7.73</v>
      </c>
      <c r="H23" s="1359">
        <f>ROUND((VLOOKUP($F23,Univ_IE_Keys!$AA$13:$AE$59,5,FALSE))/Univ_IE_Keys!$M23,2)</f>
        <v>5.38</v>
      </c>
      <c r="I23" s="1013">
        <f>'TARLST Sum'!$G$35</f>
        <v>228023097</v>
      </c>
      <c r="J23" s="1366">
        <f>'TARLST Sum'!$F$20</f>
        <v>83273755</v>
      </c>
      <c r="K23" s="1357">
        <f>'TARLST Sum'!$G$11</f>
        <v>62943792</v>
      </c>
      <c r="L23" s="1366">
        <f>'TARLST Sum'!$F$23</f>
        <v>57260009</v>
      </c>
      <c r="M23" s="1366">
        <f>'TARLST Sum'!$F$32</f>
        <v>24545541</v>
      </c>
      <c r="N23" s="1358">
        <f>'TARLST Sum'!$G$14</f>
        <v>0</v>
      </c>
      <c r="O23" s="356"/>
      <c r="P23" s="356"/>
      <c r="Q23" s="356"/>
      <c r="S23" s="528" t="str">
        <f>'TARLST FGD'!$O$92</f>
        <v>Chris Arrington</v>
      </c>
      <c r="T23" s="528" t="str">
        <f>'TARLST FGD'!$Q$92</f>
        <v>254-968-1643</v>
      </c>
      <c r="U23" s="528" t="str">
        <f>'TARLST FGD'!$T$92</f>
        <v>fincher@tarleton.edu</v>
      </c>
    </row>
    <row r="24" spans="1:21">
      <c r="A24" s="480">
        <v>130</v>
      </c>
      <c r="B24" s="678"/>
      <c r="C24" s="68"/>
      <c r="D24" s="53" t="s">
        <v>164</v>
      </c>
      <c r="E24" s="124">
        <f t="shared" si="0"/>
        <v>2017</v>
      </c>
      <c r="F24" s="1000">
        <v>3632</v>
      </c>
      <c r="G24" s="1355">
        <f>ROUND((VLOOKUP($F24,Univ_IE_Keys!$AA$13:$AE$59,4,FALSE))/Univ_IE_Keys!$M24,2)</f>
        <v>6.86</v>
      </c>
      <c r="H24" s="1359">
        <f>ROUND((VLOOKUP($F24,Univ_IE_Keys!$AA$13:$AE$59,5,FALSE))/Univ_IE_Keys!$M24,2)</f>
        <v>4.3499999999999996</v>
      </c>
      <c r="I24" s="1013">
        <f>'TAMU Sum'!$G$35</f>
        <v>1872384458</v>
      </c>
      <c r="J24" s="1366">
        <f>'TAMU Sum'!$F$20</f>
        <v>647717317</v>
      </c>
      <c r="K24" s="1357">
        <f>'TAMU Sum'!$G$11</f>
        <v>449121506</v>
      </c>
      <c r="L24" s="1366">
        <f>'TAMU Sum'!$F$23</f>
        <v>272642791</v>
      </c>
      <c r="M24" s="1366">
        <f>'TAMU Sum'!$F$32</f>
        <v>502902844</v>
      </c>
      <c r="N24" s="1358">
        <f>'TAMU Sum'!$G$14</f>
        <v>201614294</v>
      </c>
      <c r="O24" s="356"/>
      <c r="P24" s="356"/>
      <c r="Q24" s="356"/>
      <c r="S24" s="528" t="str">
        <f>'TAMU FGD'!$O$92</f>
        <v>Chris Arrington</v>
      </c>
      <c r="T24" s="528" t="str">
        <f>'TAMU FGD'!$Q$92</f>
        <v>979-458-9151</v>
      </c>
      <c r="U24" s="528" t="str">
        <f>'TAMU FGD'!$T$92</f>
        <v>carrington@tamus.edu</v>
      </c>
    </row>
    <row r="25" spans="1:21">
      <c r="A25" s="480">
        <v>180</v>
      </c>
      <c r="B25" s="678"/>
      <c r="C25" s="68"/>
      <c r="D25" s="53" t="s">
        <v>166</v>
      </c>
      <c r="E25" s="124">
        <f t="shared" si="0"/>
        <v>2017</v>
      </c>
      <c r="F25" s="1000">
        <v>3639</v>
      </c>
      <c r="G25" s="1355">
        <f>ROUND((VLOOKUP($F25,Univ_IE_Keys!$AA$13:$AE$59,4,FALSE))/Univ_IE_Keys!$M25,2)</f>
        <v>13.23</v>
      </c>
      <c r="H25" s="1359">
        <f>ROUND((VLOOKUP($F25,Univ_IE_Keys!$AA$13:$AE$59,5,FALSE))/Univ_IE_Keys!$M25,2)</f>
        <v>10.7</v>
      </c>
      <c r="I25" s="1013">
        <f>'TAMUK Sum'!$G$35</f>
        <v>156599114</v>
      </c>
      <c r="J25" s="1366">
        <f>'TAMUK Sum'!$F$20</f>
        <v>34165807</v>
      </c>
      <c r="K25" s="1357">
        <f>'TAMUK Sum'!$G$11</f>
        <v>53624257</v>
      </c>
      <c r="L25" s="1366">
        <f>'TAMUK Sum'!$F$23</f>
        <v>47273104</v>
      </c>
      <c r="M25" s="1366">
        <f>'TAMUK Sum'!$F$32</f>
        <v>21535946</v>
      </c>
      <c r="N25" s="1358">
        <f>'TAMUK Sum'!$G$14</f>
        <v>8858060</v>
      </c>
      <c r="O25" s="356"/>
      <c r="P25" s="356"/>
      <c r="Q25" s="356"/>
      <c r="S25" s="528" t="str">
        <f>'TAMUK FGD'!$O$92</f>
        <v>Chris Arrington</v>
      </c>
      <c r="T25" s="528" t="str">
        <f>'TAMUK FGD'!$Q$92</f>
        <v>979-458-9151</v>
      </c>
      <c r="U25" s="528" t="str">
        <f>'TAMUK FGD'!$T$92</f>
        <v>carrington@tamus.edu</v>
      </c>
    </row>
    <row r="26" spans="1:21">
      <c r="A26" s="480">
        <v>360</v>
      </c>
      <c r="B26" s="678"/>
      <c r="C26" s="68"/>
      <c r="D26" s="53" t="s">
        <v>168</v>
      </c>
      <c r="E26" s="124">
        <f t="shared" si="0"/>
        <v>2017</v>
      </c>
      <c r="F26" s="1000">
        <v>3642</v>
      </c>
      <c r="G26" s="1355">
        <f>ROUND((VLOOKUP($F26,Univ_IE_Keys!$AA$13:$AE$59,4,FALSE))/Univ_IE_Keys!$M26,2)</f>
        <v>16.579999999999998</v>
      </c>
      <c r="H26" s="1359">
        <f>ROUND((VLOOKUP($F26,Univ_IE_Keys!$AA$13:$AE$59,5,FALSE))/Univ_IE_Keys!$M26,2)</f>
        <v>11.92</v>
      </c>
      <c r="I26" s="1013">
        <f>'TSU Sum'!$G$35</f>
        <v>230425802</v>
      </c>
      <c r="J26" s="1366">
        <f>'TSU Sum'!$F$20</f>
        <v>48520382</v>
      </c>
      <c r="K26" s="1357">
        <f>'TSU Sum'!$G$11</f>
        <v>67848348</v>
      </c>
      <c r="L26" s="1366">
        <f>'TSU Sum'!$F$23</f>
        <v>89345091</v>
      </c>
      <c r="M26" s="1366">
        <f>'TSU Sum'!$F$32</f>
        <v>24711981</v>
      </c>
      <c r="N26" s="1358">
        <f>'TSU Sum'!$G$14</f>
        <v>11719335</v>
      </c>
      <c r="O26" s="356"/>
      <c r="P26" s="356"/>
      <c r="Q26" s="356"/>
      <c r="S26" s="528" t="str">
        <f>'TSU FGD'!$O$92</f>
        <v>Bobbie Phelps</v>
      </c>
      <c r="T26" s="528" t="str">
        <f>'TSU FGD'!$Q$92</f>
        <v>713-313-6890</v>
      </c>
      <c r="U26" s="528" t="str">
        <f>'TSU FGD'!$T$92</f>
        <v>bobbie.phelps@tsu.edu</v>
      </c>
    </row>
    <row r="27" spans="1:21">
      <c r="A27" s="480">
        <v>310</v>
      </c>
      <c r="B27" s="678"/>
      <c r="C27" s="68"/>
      <c r="D27" s="53" t="s">
        <v>170</v>
      </c>
      <c r="E27" s="124">
        <f t="shared" si="0"/>
        <v>2017</v>
      </c>
      <c r="F27" s="1000">
        <v>3644</v>
      </c>
      <c r="G27" s="1355">
        <f>ROUND((VLOOKUP($F27,Univ_IE_Keys!$AA$13:$AE$59,4,FALSE))/Univ_IE_Keys!$M27,2)</f>
        <v>6.86</v>
      </c>
      <c r="H27" s="1359">
        <f>ROUND((VLOOKUP($F27,Univ_IE_Keys!$AA$13:$AE$59,5,FALSE))/Univ_IE_Keys!$M27,2)</f>
        <v>3.8</v>
      </c>
      <c r="I27" s="1013">
        <f>'TTU Sum'!$G$35</f>
        <v>837991129</v>
      </c>
      <c r="J27" s="1366">
        <f>'TTU Sum'!$F$20</f>
        <v>352858285</v>
      </c>
      <c r="K27" s="1357">
        <f>'TTU Sum'!$G$11</f>
        <v>213747640</v>
      </c>
      <c r="L27" s="1366">
        <f>'TTU Sum'!$F$23</f>
        <v>126847258</v>
      </c>
      <c r="M27" s="1366">
        <f>'TTU Sum'!$F$32</f>
        <v>144537946</v>
      </c>
      <c r="N27" s="1358">
        <f>'TTU Sum'!$G$14</f>
        <v>49874746</v>
      </c>
      <c r="O27" s="356"/>
      <c r="P27" s="356"/>
      <c r="Q27" s="356"/>
      <c r="S27" s="528" t="str">
        <f>'TTU FGD'!$O$92</f>
        <v>Lori Eppler</v>
      </c>
      <c r="T27" s="528" t="str">
        <f>'TTU FGD'!$Q$92</f>
        <v>806-834-4640</v>
      </c>
      <c r="U27" s="528" t="str">
        <f>'TTU FGD'!$T$92</f>
        <v>lori.eppler@ttu.edu</v>
      </c>
    </row>
    <row r="28" spans="1:21">
      <c r="A28" s="480">
        <v>370</v>
      </c>
      <c r="B28" s="678"/>
      <c r="C28" s="68"/>
      <c r="D28" s="56" t="s">
        <v>172</v>
      </c>
      <c r="E28" s="124">
        <f t="shared" si="0"/>
        <v>2017</v>
      </c>
      <c r="F28" s="1001">
        <v>3646</v>
      </c>
      <c r="G28" s="1355">
        <f>ROUND((VLOOKUP($F28,Univ_IE_Keys!$AA$13:$AE$59,4,FALSE))/Univ_IE_Keys!$M28,2)</f>
        <v>7.81</v>
      </c>
      <c r="H28" s="1359">
        <f>ROUND((VLOOKUP($F28,Univ_IE_Keys!$AA$13:$AE$59,5,FALSE))/Univ_IE_Keys!$M28,2)</f>
        <v>4.83</v>
      </c>
      <c r="I28" s="1013">
        <f>'TWU Sum'!$G$35</f>
        <v>230298980</v>
      </c>
      <c r="J28" s="1366">
        <f>'TWU Sum'!$F$20</f>
        <v>89161334</v>
      </c>
      <c r="K28" s="1357">
        <f>'TWU Sum'!$G$11</f>
        <v>81290161</v>
      </c>
      <c r="L28" s="1366">
        <f>'TWU Sum'!$F$23</f>
        <v>42101935</v>
      </c>
      <c r="M28" s="1366">
        <f>'TWU Sum'!$F$32</f>
        <v>17745550</v>
      </c>
      <c r="N28" s="1358">
        <f>'TWU Sum'!$G$14</f>
        <v>14554133</v>
      </c>
      <c r="O28" s="356"/>
      <c r="P28" s="356"/>
      <c r="Q28" s="356"/>
      <c r="S28" s="528" t="str">
        <f>'TWU FGD'!$O$92</f>
        <v>June Orth</v>
      </c>
      <c r="T28" s="528" t="str">
        <f>'TWU FGD'!$Q$92</f>
        <v>940-898-3522</v>
      </c>
      <c r="U28" s="528" t="str">
        <f>'TWU FGD'!$T$92</f>
        <v>borth@twu.edu</v>
      </c>
    </row>
    <row r="29" spans="1:21">
      <c r="A29" s="480">
        <v>230</v>
      </c>
      <c r="B29" s="678"/>
      <c r="C29" s="68"/>
      <c r="D29" s="53" t="s">
        <v>174</v>
      </c>
      <c r="E29" s="124">
        <f t="shared" si="0"/>
        <v>2017</v>
      </c>
      <c r="F29" s="1000">
        <v>3652</v>
      </c>
      <c r="G29" s="1355">
        <f>ROUND((VLOOKUP($F29,Univ_IE_Keys!$AA$13:$AE$59,4,FALSE))/Univ_IE_Keys!$M29,2)</f>
        <v>8.41</v>
      </c>
      <c r="H29" s="1359">
        <f>ROUND((VLOOKUP($F29,Univ_IE_Keys!$AA$13:$AE$59,5,FALSE))/Univ_IE_Keys!$M29,2)</f>
        <v>5.2</v>
      </c>
      <c r="I29" s="1013">
        <f>'UH1 Sum'!$G$35</f>
        <v>1234178421</v>
      </c>
      <c r="J29" s="1366">
        <f>'UH1 Sum'!$F$20</f>
        <v>379222889</v>
      </c>
      <c r="K29" s="1357">
        <f>'UH1 Sum'!$G$11</f>
        <v>249063522</v>
      </c>
      <c r="L29" s="1366">
        <f>'UH1 Sum'!$F$23</f>
        <v>263368751</v>
      </c>
      <c r="M29" s="1366">
        <f>'UH1 Sum'!$F$32</f>
        <v>342523259</v>
      </c>
      <c r="N29" s="1358">
        <f>'UH1 Sum'!$G$14</f>
        <v>54514004</v>
      </c>
      <c r="O29" s="356"/>
      <c r="P29" s="356"/>
      <c r="Q29" s="356"/>
      <c r="S29" s="528" t="str">
        <f>'UH1 FGD'!$O$92</f>
        <v>CHARLOTTE HOTZ</v>
      </c>
      <c r="T29" s="528" t="str">
        <f>'UH1 FGD'!$Q$92</f>
        <v>713.743.5296</v>
      </c>
      <c r="U29" s="528" t="str">
        <f>'UH1 FGD'!$T$92</f>
        <v>cahotz@uh.edu</v>
      </c>
    </row>
    <row r="30" spans="1:21" ht="14.25" customHeight="1">
      <c r="A30" s="480">
        <v>40</v>
      </c>
      <c r="B30" s="678"/>
      <c r="C30" s="68"/>
      <c r="D30" s="53" t="s">
        <v>176</v>
      </c>
      <c r="E30" s="124">
        <f t="shared" si="0"/>
        <v>2017</v>
      </c>
      <c r="F30" s="1000">
        <v>3656</v>
      </c>
      <c r="G30" s="1355">
        <f>ROUND((VLOOKUP($F30,Univ_IE_Keys!$AA$13:$AE$59,4,FALSE))/Univ_IE_Keys!$M30,2)</f>
        <v>5.53</v>
      </c>
      <c r="H30" s="1359">
        <f>ROUND((VLOOKUP($F30,Univ_IE_Keys!$AA$13:$AE$59,5,FALSE))/Univ_IE_Keys!$M30,2)</f>
        <v>3.59</v>
      </c>
      <c r="I30" s="1013">
        <f>'ARL Sum'!$G$35</f>
        <v>758392653</v>
      </c>
      <c r="J30" s="1366">
        <f>'ARL Sum'!$F$20</f>
        <v>333494337</v>
      </c>
      <c r="K30" s="1357">
        <f>'ARL Sum'!$G$11</f>
        <v>160771184</v>
      </c>
      <c r="L30" s="1366">
        <f>'ARL Sum'!$F$23</f>
        <v>176364560</v>
      </c>
      <c r="M30" s="1366">
        <f>'ARL Sum'!$F$32</f>
        <v>87762572</v>
      </c>
      <c r="N30" s="1358">
        <f>'ARL Sum'!$G$14</f>
        <v>0</v>
      </c>
      <c r="O30" s="356"/>
      <c r="P30" s="356"/>
      <c r="Q30" s="356"/>
      <c r="S30" s="528" t="str">
        <f>'ARL FGD'!$O$92</f>
        <v>Ting Chen</v>
      </c>
      <c r="T30" s="528" t="str">
        <f>'ARL FGD'!$Q$92</f>
        <v>817-272-7489</v>
      </c>
      <c r="U30" s="528" t="str">
        <f>'ARL FGD'!$T$92</f>
        <v>ting.chen@uta.edu</v>
      </c>
    </row>
    <row r="31" spans="1:21">
      <c r="A31" s="1123">
        <v>51</v>
      </c>
      <c r="B31" s="678"/>
      <c r="C31" s="68"/>
      <c r="D31" s="116" t="s">
        <v>1398</v>
      </c>
      <c r="E31" s="124">
        <f t="shared" si="0"/>
        <v>2017</v>
      </c>
      <c r="F31" s="1000">
        <v>3658</v>
      </c>
      <c r="G31" s="1355">
        <f>ROUND((VLOOKUP($F31,Univ_IE_Keys!$AA$13:$AE$59,4,FALSE))/Univ_IE_Keys!$M31,2)</f>
        <v>11.75</v>
      </c>
      <c r="H31" s="1359">
        <f>ROUND((VLOOKUP($F31,Univ_IE_Keys!$AA$13:$AE$59,5,FALSE))/Univ_IE_Keys!$M31,2)</f>
        <v>3.89</v>
      </c>
      <c r="I31" s="1013">
        <f>'AUS1 Sum'!$G$35</f>
        <v>2616126122</v>
      </c>
      <c r="J31" s="1366">
        <f>'AUS1 Sum'!$F$20</f>
        <v>487004378</v>
      </c>
      <c r="K31" s="1357">
        <f>'AUS1 Sum'!$G$11</f>
        <v>387382636</v>
      </c>
      <c r="L31" s="1366">
        <f>'AUS1 Sum'!$F$23</f>
        <v>599352881</v>
      </c>
      <c r="M31" s="1366">
        <f>'AUS1 Sum'!$F$32</f>
        <v>1142386227</v>
      </c>
      <c r="N31" s="1358">
        <f>'AUS1 Sum'!$G$14</f>
        <v>392376810</v>
      </c>
      <c r="O31" s="356"/>
      <c r="P31" s="356"/>
      <c r="Q31" s="356"/>
      <c r="S31" s="528" t="str">
        <f>'AUS1 FGD'!$O$92</f>
        <v>Marcy Lowther</v>
      </c>
      <c r="T31" s="528" t="str">
        <f>'AUS1 FGD'!$Q$92</f>
        <v>512-471-2808</v>
      </c>
      <c r="U31" s="528" t="str">
        <f>'AUS1 FGD'!$T$92</f>
        <v>mlowther@austin.utexas.edu</v>
      </c>
    </row>
    <row r="32" spans="1:21">
      <c r="A32" s="480">
        <v>70</v>
      </c>
      <c r="B32" s="678"/>
      <c r="C32" s="68"/>
      <c r="D32" s="53" t="s">
        <v>180</v>
      </c>
      <c r="E32" s="124">
        <f t="shared" si="0"/>
        <v>2017</v>
      </c>
      <c r="F32" s="1000">
        <v>3661</v>
      </c>
      <c r="G32" s="1355">
        <f>ROUND((VLOOKUP($F32,Univ_IE_Keys!$AA$13:$AE$59,4,FALSE))/Univ_IE_Keys!$M32,2)</f>
        <v>7.54</v>
      </c>
      <c r="H32" s="1359">
        <f>ROUND((VLOOKUP($F32,Univ_IE_Keys!$AA$13:$AE$59,5,FALSE))/Univ_IE_Keys!$M32,2)</f>
        <v>3.78</v>
      </c>
      <c r="I32" s="1013">
        <f>'E-P Sum'!$G$35</f>
        <v>519765124</v>
      </c>
      <c r="J32" s="1366">
        <f>'E-P Sum'!$F$20</f>
        <v>140269683</v>
      </c>
      <c r="K32" s="1357">
        <f>'E-P Sum'!$G$11</f>
        <v>133335593</v>
      </c>
      <c r="L32" s="1366">
        <f>'E-P Sum'!$F$23</f>
        <v>206524165</v>
      </c>
      <c r="M32" s="1366">
        <f>'E-P Sum'!$F$32</f>
        <v>39635683</v>
      </c>
      <c r="N32" s="1358">
        <f>'E-P Sum'!$G$14</f>
        <v>0</v>
      </c>
      <c r="O32" s="353"/>
      <c r="P32" s="353"/>
      <c r="Q32" s="353"/>
      <c r="S32" s="528" t="str">
        <f>'E-P FGD'!$O$92</f>
        <v>Daniel Dominguez</v>
      </c>
      <c r="T32" s="528" t="str">
        <f>'E-P FGD'!$Q$92</f>
        <v>(915)747-5083</v>
      </c>
      <c r="U32" s="528" t="str">
        <f>'E-P FGD'!$T$92</f>
        <v>drdominguez@utep.edu</v>
      </c>
    </row>
    <row r="33" spans="1:21">
      <c r="A33" s="480">
        <v>200</v>
      </c>
      <c r="B33" s="678"/>
      <c r="C33" s="68"/>
      <c r="D33" s="53" t="s">
        <v>182</v>
      </c>
      <c r="E33" s="124">
        <f t="shared" si="0"/>
        <v>2017</v>
      </c>
      <c r="F33" s="1001">
        <v>3665</v>
      </c>
      <c r="G33" s="1355">
        <f>ROUND((VLOOKUP($F33,Univ_IE_Keys!$AA$13:$AE$59,4,FALSE))/Univ_IE_Keys!$M33,2)</f>
        <v>15.15</v>
      </c>
      <c r="H33" s="1359">
        <f>ROUND((VLOOKUP($F33,Univ_IE_Keys!$AA$13:$AE$59,5,FALSE))/Univ_IE_Keys!$M33,2)</f>
        <v>7.18</v>
      </c>
      <c r="I33" s="1013">
        <f>'WTAMU Sum'!$G$35</f>
        <v>160803193</v>
      </c>
      <c r="J33" s="1366">
        <f>'WTAMU Sum'!$F$20</f>
        <v>51617523</v>
      </c>
      <c r="K33" s="1357">
        <f>'WTAMU Sum'!$G$11</f>
        <v>47050495</v>
      </c>
      <c r="L33" s="1366">
        <f>'WTAMU Sum'!$F$23</f>
        <v>34173176</v>
      </c>
      <c r="M33" s="1366">
        <f>'WTAMU Sum'!$F$32</f>
        <v>27961999</v>
      </c>
      <c r="N33" s="1358">
        <f>'WTAMU Sum'!$G$14</f>
        <v>7446495</v>
      </c>
      <c r="O33" s="353"/>
      <c r="P33" s="353"/>
      <c r="Q33" s="353"/>
      <c r="S33" s="528" t="str">
        <f>'WTAMU FGD'!$O$92</f>
        <v>Chris Arrington</v>
      </c>
      <c r="T33" s="528" t="str">
        <f>'WTAMU FGD'!$Q$92</f>
        <v>979-458-9151</v>
      </c>
      <c r="U33" s="528" t="str">
        <f>'WTAMU FGD'!$T$92</f>
        <v>carrington@tamus.edu</v>
      </c>
    </row>
    <row r="34" spans="1:21">
      <c r="A34" s="480">
        <v>190</v>
      </c>
      <c r="B34" s="678"/>
      <c r="C34" s="68"/>
      <c r="D34" s="53" t="s">
        <v>184</v>
      </c>
      <c r="E34" s="124">
        <f t="shared" si="0"/>
        <v>2017</v>
      </c>
      <c r="F34" s="1000">
        <v>9651</v>
      </c>
      <c r="G34" s="1355">
        <f>ROUND((VLOOKUP($F34,Univ_IE_Keys!$AA$13:$AE$59,4,FALSE))/Univ_IE_Keys!$M34,2)</f>
        <v>11.06</v>
      </c>
      <c r="H34" s="1359">
        <f>ROUND((VLOOKUP($F34,Univ_IE_Keys!$AA$13:$AE$59,5,FALSE))/Univ_IE_Keys!$M34,2)</f>
        <v>6.03</v>
      </c>
      <c r="I34" s="1013">
        <f>'TAMIU Sum'!$G$35</f>
        <v>145523668</v>
      </c>
      <c r="J34" s="1366">
        <f>'TAMIU Sum'!$F$20</f>
        <v>31387596</v>
      </c>
      <c r="K34" s="1357">
        <f>'TAMIU Sum'!$G$11</f>
        <v>49132692</v>
      </c>
      <c r="L34" s="1366">
        <f>'TAMIU Sum'!$F$23</f>
        <v>51758469</v>
      </c>
      <c r="M34" s="1366">
        <f>'TAMIU Sum'!$F$32</f>
        <v>13244911</v>
      </c>
      <c r="N34" s="1358">
        <f>'TAMIU Sum'!$G$14</f>
        <v>7462394</v>
      </c>
      <c r="O34" s="353"/>
      <c r="P34" s="353"/>
      <c r="Q34" s="353"/>
      <c r="S34" s="528" t="str">
        <f>'TAMIU FGD'!$O$92</f>
        <v>Chris Arrington</v>
      </c>
      <c r="T34" s="528" t="str">
        <f>'TAMIU FGD'!$Q$92</f>
        <v>979-458-9151</v>
      </c>
      <c r="U34" s="528" t="str">
        <f>'TAMIU FGD'!$T$92</f>
        <v>carrington@tamus.edu</v>
      </c>
    </row>
    <row r="35" spans="1:21">
      <c r="A35" s="480">
        <v>60</v>
      </c>
      <c r="B35" s="678"/>
      <c r="C35" s="68"/>
      <c r="D35" s="53" t="s">
        <v>186</v>
      </c>
      <c r="E35" s="124">
        <f t="shared" si="0"/>
        <v>2017</v>
      </c>
      <c r="F35" s="1000">
        <v>9741</v>
      </c>
      <c r="G35" s="1355">
        <f>ROUND((VLOOKUP($F35,Univ_IE_Keys!$AA$13:$AE$59,4,FALSE))/Univ_IE_Keys!$M35,2)</f>
        <v>7.42</v>
      </c>
      <c r="H35" s="1359">
        <f>ROUND((VLOOKUP($F35,Univ_IE_Keys!$AA$13:$AE$59,5,FALSE))/Univ_IE_Keys!$M35,2)</f>
        <v>2.63</v>
      </c>
      <c r="I35" s="1013">
        <f>'DAL Sum'!$G$35</f>
        <v>656963216</v>
      </c>
      <c r="J35" s="1366">
        <f>'DAL Sum'!$F$20</f>
        <v>279071910</v>
      </c>
      <c r="K35" s="1357">
        <f>'DAL Sum'!$G$11</f>
        <v>129433047</v>
      </c>
      <c r="L35" s="1366">
        <f>'DAL Sum'!$F$23</f>
        <v>143175656</v>
      </c>
      <c r="M35" s="1366">
        <f>'DAL Sum'!$F$32</f>
        <v>105282603</v>
      </c>
      <c r="N35" s="1358">
        <f>'DAL Sum'!$G$14</f>
        <v>0</v>
      </c>
      <c r="O35" s="353"/>
      <c r="P35" s="353"/>
      <c r="Q35" s="353"/>
      <c r="S35" s="528" t="str">
        <f>'DAL FGD'!$O$92</f>
        <v>Cindy Milligan</v>
      </c>
      <c r="T35" s="528" t="str">
        <f>'DAL FGD'!$Q$92</f>
        <v>(972) 883-2632</v>
      </c>
      <c r="U35" s="528" t="str">
        <f>'DAL FGD'!$T$92</f>
        <v>cxm133830@utdallas.edu</v>
      </c>
    </row>
    <row r="36" spans="1:21">
      <c r="A36" s="480">
        <v>100</v>
      </c>
      <c r="B36" s="678"/>
      <c r="C36" s="68"/>
      <c r="D36" s="53" t="s">
        <v>188</v>
      </c>
      <c r="E36" s="124">
        <f t="shared" si="0"/>
        <v>2017</v>
      </c>
      <c r="F36" s="1000">
        <v>9930</v>
      </c>
      <c r="G36" s="1355">
        <f>ROUND((VLOOKUP($F36,Univ_IE_Keys!$AA$13:$AE$59,4,FALSE))/Univ_IE_Keys!$M36,2)</f>
        <v>3.48</v>
      </c>
      <c r="H36" s="1359">
        <f>ROUND((VLOOKUP($F36,Univ_IE_Keys!$AA$13:$AE$59,5,FALSE))/Univ_IE_Keys!$M36,2)</f>
        <v>2.33</v>
      </c>
      <c r="I36" s="1013">
        <f>'P-B Sum'!$G$35</f>
        <v>105820671</v>
      </c>
      <c r="J36" s="1366">
        <f>'P-B Sum'!$F$20</f>
        <v>29564335</v>
      </c>
      <c r="K36" s="1357">
        <f>'P-B Sum'!$G$11</f>
        <v>43016478</v>
      </c>
      <c r="L36" s="1366">
        <f>'P-B Sum'!$F$23</f>
        <v>22084960</v>
      </c>
      <c r="M36" s="1366">
        <f>'P-B Sum'!$F$32</f>
        <v>11154898</v>
      </c>
      <c r="N36" s="1358">
        <f>'P-B Sum'!$G$14</f>
        <v>0</v>
      </c>
      <c r="O36" s="353"/>
      <c r="P36" s="353"/>
      <c r="Q36" s="353"/>
      <c r="S36" s="528" t="str">
        <f>'P-B FGD'!$O$92</f>
        <v>Jana Juarez</v>
      </c>
      <c r="T36" s="528" t="str">
        <f>'P-B FGD'!$Q$92</f>
        <v>432-552-2717</v>
      </c>
      <c r="U36" s="528" t="str">
        <f>'P-B FGD'!$T$92</f>
        <v>juarez_j@utpb.edu</v>
      </c>
    </row>
    <row r="37" spans="1:21">
      <c r="A37" s="480">
        <v>110</v>
      </c>
      <c r="B37" s="678"/>
      <c r="C37" s="68"/>
      <c r="D37" s="53" t="s">
        <v>190</v>
      </c>
      <c r="E37" s="124">
        <f t="shared" si="0"/>
        <v>2017</v>
      </c>
      <c r="F37" s="1000">
        <v>10115</v>
      </c>
      <c r="G37" s="1355">
        <f>ROUND((VLOOKUP($F37,Univ_IE_Keys!$AA$13:$AE$59,4,FALSE))/Univ_IE_Keys!$M37,2)</f>
        <v>7.06</v>
      </c>
      <c r="H37" s="1359">
        <f>ROUND((VLOOKUP($F37,Univ_IE_Keys!$AA$13:$AE$59,5,FALSE))/Univ_IE_Keys!$M37,2)</f>
        <v>3.97</v>
      </c>
      <c r="I37" s="1013">
        <f>'S-A Sum'!$G$35</f>
        <v>725771430</v>
      </c>
      <c r="J37" s="1366">
        <f>'S-A Sum'!$F$20</f>
        <v>228192154</v>
      </c>
      <c r="K37" s="1357">
        <f>'S-A Sum'!$G$11</f>
        <v>162176413</v>
      </c>
      <c r="L37" s="1366">
        <f>'S-A Sum'!$F$23</f>
        <v>200914830</v>
      </c>
      <c r="M37" s="1366">
        <f>'S-A Sum'!$F$32</f>
        <v>134488033</v>
      </c>
      <c r="N37" s="1358">
        <f>'S-A Sum'!$G$14</f>
        <v>0</v>
      </c>
      <c r="O37" s="353"/>
      <c r="P37" s="353"/>
      <c r="Q37" s="353"/>
      <c r="S37" s="528" t="str">
        <f>'S-A FGD'!$O$92</f>
        <v>Sheri Hardison</v>
      </c>
      <c r="T37" s="528" t="str">
        <f>'S-A FGD'!$Q$92</f>
        <v>210-458-6774</v>
      </c>
      <c r="U37" s="528" t="str">
        <f>'S-A FGD'!$T$92</f>
        <v>sheri.hardison@utsa.edu</v>
      </c>
    </row>
    <row r="38" spans="1:21">
      <c r="A38" s="480">
        <v>140</v>
      </c>
      <c r="B38" s="678"/>
      <c r="C38" s="68"/>
      <c r="D38" s="53" t="s">
        <v>192</v>
      </c>
      <c r="E38" s="124">
        <f t="shared" si="0"/>
        <v>2017</v>
      </c>
      <c r="F38" s="1000">
        <v>10298</v>
      </c>
      <c r="G38" s="1355">
        <f>ROUND((VLOOKUP($F38,Univ_IE_Keys!$AA$13:$AE$59,4,FALSE))/Univ_IE_Keys!$M38,2)</f>
        <v>17.510000000000002</v>
      </c>
      <c r="H38" s="1359">
        <f>ROUND((VLOOKUP($F38,Univ_IE_Keys!$AA$13:$AE$59,5,FALSE))/Univ_IE_Keys!$M38,2)</f>
        <v>17.48</v>
      </c>
      <c r="I38" s="1013">
        <f>'TAMUG Sum'!$G$35</f>
        <v>113478450</v>
      </c>
      <c r="J38" s="1366">
        <f>'TAMUG Sum'!$F$20</f>
        <v>21292132</v>
      </c>
      <c r="K38" s="1357">
        <f>'TAMUG Sum'!$G$11</f>
        <v>71006415</v>
      </c>
      <c r="L38" s="1366">
        <f>'TAMUG Sum'!$F$23</f>
        <v>10245867</v>
      </c>
      <c r="M38" s="1366">
        <f>'TAMUG Sum'!$F$32</f>
        <v>10934036</v>
      </c>
      <c r="N38" s="1358">
        <f>'TAMUG Sum'!$G$14</f>
        <v>0</v>
      </c>
      <c r="O38" s="353"/>
      <c r="P38" s="353"/>
      <c r="Q38" s="353"/>
      <c r="S38" s="528" t="str">
        <f>'TAMUG FGD'!$O$92</f>
        <v>Chris Arrington</v>
      </c>
      <c r="T38" s="528" t="str">
        <f>'TAMUG FGD'!$Q$92</f>
        <v>979-458-9151</v>
      </c>
      <c r="U38" s="528" t="str">
        <f>'TAMUG FGD'!$T$92</f>
        <v>carrington@tamus.edu</v>
      </c>
    </row>
    <row r="39" spans="1:21">
      <c r="A39" s="480">
        <v>170</v>
      </c>
      <c r="B39" s="678"/>
      <c r="C39" s="68"/>
      <c r="D39" s="53" t="s">
        <v>194</v>
      </c>
      <c r="E39" s="124">
        <f t="shared" si="0"/>
        <v>2017</v>
      </c>
      <c r="F39" s="1000">
        <v>11161</v>
      </c>
      <c r="G39" s="1355">
        <f>ROUND((VLOOKUP($F39,Univ_IE_Keys!$AA$13:$AE$59,4,FALSE))/Univ_IE_Keys!$M39,2)</f>
        <v>7.59</v>
      </c>
      <c r="H39" s="1359">
        <f>ROUND((VLOOKUP($F39,Univ_IE_Keys!$AA$13:$AE$59,5,FALSE))/Univ_IE_Keys!$M39,2)</f>
        <v>6.41</v>
      </c>
      <c r="I39" s="1013">
        <f>'TAMUCC Sum'!$G$35</f>
        <v>226016351</v>
      </c>
      <c r="J39" s="1366">
        <f>'TAMUCC Sum'!$F$20</f>
        <v>67622717</v>
      </c>
      <c r="K39" s="1357">
        <f>'TAMUCC Sum'!$G$11</f>
        <v>69246907</v>
      </c>
      <c r="L39" s="1366">
        <f>'TAMUCC Sum'!$F$23</f>
        <v>64668767</v>
      </c>
      <c r="M39" s="1366">
        <f>'TAMUCC Sum'!$F$32</f>
        <v>24477960</v>
      </c>
      <c r="N39" s="1358">
        <f>'TAMUCC Sum'!$G$14</f>
        <v>11478824</v>
      </c>
      <c r="O39" s="353"/>
      <c r="P39" s="353"/>
      <c r="Q39" s="353"/>
      <c r="S39" s="528" t="str">
        <f>'TAMUCC FGD'!$O$92</f>
        <v>Chris Arrington</v>
      </c>
      <c r="T39" s="528" t="str">
        <f>'TAMUCC FGD'!$Q$92</f>
        <v>979-458-9151</v>
      </c>
      <c r="U39" s="528" t="str">
        <f>'TAMUCC FGD'!$T$92</f>
        <v>carrington@tamus.edu</v>
      </c>
    </row>
    <row r="40" spans="1:21">
      <c r="A40" s="480">
        <v>120</v>
      </c>
      <c r="B40" s="678"/>
      <c r="C40" s="68"/>
      <c r="D40" s="53" t="s">
        <v>196</v>
      </c>
      <c r="E40" s="124">
        <f t="shared" si="0"/>
        <v>2017</v>
      </c>
      <c r="F40" s="1000">
        <v>11163</v>
      </c>
      <c r="G40" s="1355">
        <f>ROUND((VLOOKUP($F40,Univ_IE_Keys!$AA$13:$AE$59,4,FALSE))/Univ_IE_Keys!$M40,2)</f>
        <v>9.24</v>
      </c>
      <c r="H40" s="1359">
        <f>ROUND((VLOOKUP($F40,Univ_IE_Keys!$AA$13:$AE$59,5,FALSE))/Univ_IE_Keys!$M40,2)</f>
        <v>3.73</v>
      </c>
      <c r="I40" s="1013">
        <f>'TYL Sum'!$G$35</f>
        <v>151030010</v>
      </c>
      <c r="J40" s="1366">
        <f>'TYL Sum'!$F$20</f>
        <v>52273469</v>
      </c>
      <c r="K40" s="1357">
        <f>'TYL Sum'!$G$11</f>
        <v>52855515</v>
      </c>
      <c r="L40" s="1366">
        <f>'TYL Sum'!$F$23</f>
        <v>23208570</v>
      </c>
      <c r="M40" s="1366">
        <f>'TYL Sum'!$F$32</f>
        <v>22692456</v>
      </c>
      <c r="N40" s="1358">
        <f>'TYL Sum'!$G$14</f>
        <v>0</v>
      </c>
      <c r="O40" s="353"/>
      <c r="P40" s="353"/>
      <c r="Q40" s="353"/>
      <c r="S40" s="528" t="str">
        <f>'TYL FGD'!$O$92</f>
        <v>Brenda Golemon</v>
      </c>
      <c r="T40" s="528" t="str">
        <f>'TYL FGD'!$Q$92</f>
        <v>903-566-7319</v>
      </c>
      <c r="U40" s="528" t="str">
        <f>'TYL FGD'!$T$92</f>
        <v>bgolemon@gmail.com</v>
      </c>
    </row>
    <row r="41" spans="1:21">
      <c r="A41" s="480">
        <v>240</v>
      </c>
      <c r="B41" s="678"/>
      <c r="C41" s="68"/>
      <c r="D41" s="53" t="s">
        <v>198</v>
      </c>
      <c r="E41" s="124">
        <f t="shared" si="0"/>
        <v>2017</v>
      </c>
      <c r="F41" s="1000">
        <v>11711</v>
      </c>
      <c r="G41" s="1355">
        <f>ROUND((VLOOKUP($F41,Univ_IE_Keys!$AA$13:$AE$59,4,FALSE))/Univ_IE_Keys!$M41,2)</f>
        <v>9.98</v>
      </c>
      <c r="H41" s="1359">
        <f>ROUND((VLOOKUP($F41,Univ_IE_Keys!$AA$13:$AE$59,5,FALSE))/Univ_IE_Keys!$M41,2)</f>
        <v>8.9499999999999993</v>
      </c>
      <c r="I41" s="1013">
        <f>'UHCL Sum'!$G$35</f>
        <v>138701678</v>
      </c>
      <c r="J41" s="1366">
        <f>'UHCL Sum'!$F$20</f>
        <v>51356468</v>
      </c>
      <c r="K41" s="1357">
        <f>'UHCL Sum'!$G$11</f>
        <v>39325155</v>
      </c>
      <c r="L41" s="1366">
        <f>'UHCL Sum'!$F$23</f>
        <v>37552981</v>
      </c>
      <c r="M41" s="1366">
        <f>'UHCL Sum'!$F$32</f>
        <v>10467074</v>
      </c>
      <c r="N41" s="1358">
        <f>'UHCL Sum'!$G$14</f>
        <v>7726043</v>
      </c>
      <c r="O41" s="353"/>
      <c r="P41" s="353"/>
      <c r="Q41" s="353"/>
      <c r="S41" s="528" t="str">
        <f>'UHCL FGD'!$O$92</f>
        <v>Mila Bautista</v>
      </c>
      <c r="T41" s="528" t="str">
        <f>'UHCL FGD'!$Q$92</f>
        <v>281-283-2129</v>
      </c>
      <c r="U41" s="528" t="str">
        <f>'UHCL FGD'!$T$92</f>
        <v>BautistaM@uhcl.edu</v>
      </c>
    </row>
    <row r="42" spans="1:21">
      <c r="A42" s="480">
        <v>250</v>
      </c>
      <c r="B42" s="678"/>
      <c r="C42" s="68"/>
      <c r="D42" s="53" t="s">
        <v>200</v>
      </c>
      <c r="E42" s="124">
        <f t="shared" si="0"/>
        <v>2017</v>
      </c>
      <c r="F42" s="1000">
        <v>12826</v>
      </c>
      <c r="G42" s="1355">
        <f>ROUND((VLOOKUP($F42,Univ_IE_Keys!$AA$13:$AE$59,4,FALSE))/Univ_IE_Keys!$M42,2)</f>
        <v>9.42</v>
      </c>
      <c r="H42" s="1359">
        <f>ROUND((VLOOKUP($F42,Univ_IE_Keys!$AA$13:$AE$59,5,FALSE))/Univ_IE_Keys!$M42,2)</f>
        <v>2.09</v>
      </c>
      <c r="I42" s="1013">
        <f>'UHD Sum'!$G$35</f>
        <v>183771990</v>
      </c>
      <c r="J42" s="1366">
        <f>'UHD Sum'!$F$20</f>
        <v>65776567</v>
      </c>
      <c r="K42" s="1357">
        <f>'UHD Sum'!$G$11</f>
        <v>38889927</v>
      </c>
      <c r="L42" s="1366">
        <f>'UHD Sum'!$F$23</f>
        <v>63925563</v>
      </c>
      <c r="M42" s="1366">
        <f>'UHD Sum'!$F$32</f>
        <v>15179933</v>
      </c>
      <c r="N42" s="1358">
        <f>'UHD Sum'!$G$14</f>
        <v>10828344</v>
      </c>
      <c r="O42" s="353"/>
      <c r="P42" s="353"/>
      <c r="Q42" s="353"/>
      <c r="S42" s="528" t="str">
        <f>'UHD FGD'!$O$92</f>
        <v>Alice Tsai</v>
      </c>
      <c r="T42" s="528" t="str">
        <f>'UHD FGD'!$Q$92</f>
        <v>713-221-8098</v>
      </c>
      <c r="U42" s="528" t="str">
        <f>'UHD FGD'!$T$92</f>
        <v>Tsaia@uhd.edu</v>
      </c>
    </row>
    <row r="43" spans="1:21">
      <c r="A43" s="480">
        <v>260</v>
      </c>
      <c r="B43" s="678"/>
      <c r="C43" s="68"/>
      <c r="D43" s="53" t="s">
        <v>202</v>
      </c>
      <c r="E43" s="124">
        <f t="shared" si="0"/>
        <v>2017</v>
      </c>
      <c r="F43" s="1000">
        <v>13231</v>
      </c>
      <c r="G43" s="1355">
        <f>ROUND((VLOOKUP($F43,Univ_IE_Keys!$AA$13:$AE$59,4,FALSE))/Univ_IE_Keys!$M43,2)</f>
        <v>4.62</v>
      </c>
      <c r="H43" s="1359">
        <f>ROUND((VLOOKUP($F43,Univ_IE_Keys!$AA$13:$AE$59,5,FALSE))/Univ_IE_Keys!$M43,2)</f>
        <v>0.56000000000000005</v>
      </c>
      <c r="I43" s="1013">
        <f>'UHV Sum'!$G$35</f>
        <v>63728465</v>
      </c>
      <c r="J43" s="1366">
        <f>'UHV Sum'!$F$20</f>
        <v>23365242</v>
      </c>
      <c r="K43" s="1357">
        <f>'UHV Sum'!$G$11</f>
        <v>19867941</v>
      </c>
      <c r="L43" s="1366">
        <f>'UHV Sum'!$F$23</f>
        <v>15650731</v>
      </c>
      <c r="M43" s="1366">
        <f>'UHV Sum'!$F$32</f>
        <v>4844551</v>
      </c>
      <c r="N43" s="1358">
        <f>'UHV Sum'!$G$14</f>
        <v>3542817</v>
      </c>
      <c r="O43" s="353"/>
      <c r="P43" s="353"/>
      <c r="Q43" s="353"/>
      <c r="S43" s="528" t="str">
        <f>'UHV FGD'!$O$92</f>
        <v>June Nelson</v>
      </c>
      <c r="T43" s="528" t="str">
        <f>'UHV FGD'!$Q$92</f>
        <v>361-570-4873</v>
      </c>
      <c r="U43" s="528" t="str">
        <f>'UHV FGD'!$T$92</f>
        <v>nelsonj@uhv.edu</v>
      </c>
    </row>
    <row r="44" spans="1:21">
      <c r="A44" s="480">
        <v>220</v>
      </c>
      <c r="B44" s="678"/>
      <c r="C44" s="68"/>
      <c r="D44" s="53" t="s">
        <v>204</v>
      </c>
      <c r="E44" s="124">
        <f t="shared" si="0"/>
        <v>2017</v>
      </c>
      <c r="F44" s="1000">
        <v>29269</v>
      </c>
      <c r="G44" s="1355">
        <f>ROUND((VLOOKUP($F44,Univ_IE_Keys!$AA$13:$AE$59,4,FALSE))/Univ_IE_Keys!$M44,2)</f>
        <v>14.93</v>
      </c>
      <c r="H44" s="1359">
        <f>ROUND((VLOOKUP($F44,Univ_IE_Keys!$AA$13:$AE$59,5,FALSE))/Univ_IE_Keys!$M44,2)</f>
        <v>9.65</v>
      </c>
      <c r="I44" s="1013">
        <f>'TAMUT Sum'!$G$35</f>
        <v>51264627</v>
      </c>
      <c r="J44" s="1366">
        <f>'TAMUT Sum'!$F$20</f>
        <v>10626119</v>
      </c>
      <c r="K44" s="1357">
        <f>'TAMUT Sum'!$G$11</f>
        <v>26526760</v>
      </c>
      <c r="L44" s="1366">
        <f>'TAMUT Sum'!$F$23</f>
        <v>9745130</v>
      </c>
      <c r="M44" s="1366">
        <f>'TAMUT Sum'!$F$32</f>
        <v>4366618</v>
      </c>
      <c r="N44" s="1358">
        <f>'TAMUT Sum'!$G$14</f>
        <v>2050273</v>
      </c>
      <c r="O44" s="353"/>
      <c r="P44" s="353"/>
      <c r="Q44" s="353"/>
      <c r="S44" s="528" t="str">
        <f>'TAMUT FGD'!$O$92</f>
        <v>Chris Arrington</v>
      </c>
      <c r="T44" s="528" t="str">
        <f>'TAMUT FGD'!$Q$92</f>
        <v>979-458-9151</v>
      </c>
      <c r="U44" s="528" t="str">
        <f>'TAMUT FGD'!$T$92</f>
        <v>carrington@tamus.edu</v>
      </c>
    </row>
    <row r="45" spans="1:21">
      <c r="A45" s="480">
        <v>223</v>
      </c>
      <c r="B45" s="678"/>
      <c r="C45" s="68"/>
      <c r="D45" s="53" t="s">
        <v>278</v>
      </c>
      <c r="E45" s="124">
        <f t="shared" si="0"/>
        <v>2017</v>
      </c>
      <c r="F45" s="1000">
        <v>42295</v>
      </c>
      <c r="G45" s="1355">
        <f>ROUND((VLOOKUP($F45,Univ_IE_Keys!$AA$13:$AE$59,4,FALSE))/Univ_IE_Keys!$M46,2)</f>
        <v>7.64</v>
      </c>
      <c r="H45" s="1359">
        <f>ROUND((VLOOKUP($F45,Univ_IE_Keys!$AA$13:$AE$59,5,FALSE))/Univ_IE_Keys!$M46,2)</f>
        <v>2</v>
      </c>
      <c r="I45" s="1013">
        <f>'TAMUCT Sum'!$G$35</f>
        <v>41653156</v>
      </c>
      <c r="J45" s="1366">
        <f>'TAMUCT Sum'!$F$20</f>
        <v>12660399</v>
      </c>
      <c r="K45" s="1357">
        <f>'TAMUCT Sum'!$G$11</f>
        <v>18794464</v>
      </c>
      <c r="L45" s="1366">
        <f>'TAMUCT Sum'!$F$23</f>
        <v>8130294</v>
      </c>
      <c r="M45" s="1366">
        <f>'TAMUCT Sum'!$F$32</f>
        <v>2067999</v>
      </c>
      <c r="N45" s="1358">
        <f>'TAMUCT Sum'!$G$14</f>
        <v>0</v>
      </c>
      <c r="O45" s="356"/>
      <c r="P45" s="356"/>
      <c r="Q45" s="356"/>
      <c r="S45" s="528" t="str">
        <f>'TAMUCT FGD'!$O$92</f>
        <v>Chris Arrington</v>
      </c>
      <c r="T45" s="528" t="str">
        <f>'TAMUCT FGD'!$Q$92</f>
        <v>979-458-9151</v>
      </c>
      <c r="U45" s="528" t="str">
        <f>'TAMUCT FGD'!$T$92</f>
        <v>fincher@tarleton.edu</v>
      </c>
    </row>
    <row r="46" spans="1:21">
      <c r="A46" s="480">
        <v>333</v>
      </c>
      <c r="B46" s="678"/>
      <c r="C46" s="68"/>
      <c r="D46" s="56" t="s">
        <v>276</v>
      </c>
      <c r="E46" s="124">
        <f t="shared" si="0"/>
        <v>2017</v>
      </c>
      <c r="F46" s="1001">
        <v>42421</v>
      </c>
      <c r="G46" s="1355">
        <f>ROUND((VLOOKUP($F46,Univ_IE_Keys!$AA$13:$AE$59,4,FALSE))/Univ_IE_Keys!$M47,2)</f>
        <v>8.6300000000000008</v>
      </c>
      <c r="H46" s="1359">
        <f>ROUND((VLOOKUP($F46,Univ_IE_Keys!$AA$13:$AE$59,5,FALSE))/Univ_IE_Keys!$M47,2)</f>
        <v>0.87</v>
      </c>
      <c r="I46" s="1013">
        <f>'UNTD Sum'!$G$35</f>
        <v>86543145</v>
      </c>
      <c r="J46" s="1366">
        <f>'UNTD Sum'!$F$20</f>
        <v>30361512</v>
      </c>
      <c r="K46" s="1357">
        <f>'UNTD Sum'!$G$11</f>
        <v>30073544</v>
      </c>
      <c r="L46" s="1366">
        <f>'UNTD Sum'!$F$23</f>
        <v>22473380</v>
      </c>
      <c r="M46" s="1366">
        <f>'UNTD Sum'!$F$32</f>
        <v>3634709</v>
      </c>
      <c r="N46" s="1358">
        <f>'UNTD Sum'!$G$14</f>
        <v>3354441</v>
      </c>
      <c r="O46" s="797"/>
      <c r="P46" s="797"/>
      <c r="Q46" s="797"/>
      <c r="S46" s="528" t="str">
        <f>'UNTD FGD'!$O$92</f>
        <v>Gia Doss</v>
      </c>
      <c r="T46" s="528">
        <f>'UNTD FGD'!$Q$92</f>
        <v>0</v>
      </c>
      <c r="U46" s="528" t="str">
        <f>'UNTD FGD'!$T$92</f>
        <v>Gia.Doss@untsystem.edu</v>
      </c>
    </row>
    <row r="47" spans="1:21">
      <c r="A47" s="210">
        <v>226</v>
      </c>
      <c r="B47" s="1038"/>
      <c r="C47" s="67"/>
      <c r="D47" s="56" t="s">
        <v>279</v>
      </c>
      <c r="E47" s="669">
        <f t="shared" si="0"/>
        <v>2017</v>
      </c>
      <c r="F47" s="1001">
        <v>42485</v>
      </c>
      <c r="G47" s="1355">
        <f>ROUND((VLOOKUP($F47,Univ_IE_Keys!$AA$13:$AE$59,4,FALSE))/Univ_IE_Keys!$M48,2)</f>
        <v>0.11</v>
      </c>
      <c r="H47" s="1359">
        <f>ROUND((VLOOKUP($F47,Univ_IE_Keys!$AA$13:$AE$59,5,FALSE))/Univ_IE_Keys!$M48,2)</f>
        <v>0.04</v>
      </c>
      <c r="I47" s="1020">
        <f>'TAMUSA Sum'!$G$35</f>
        <v>109835007</v>
      </c>
      <c r="J47" s="1366">
        <f>'TAMUSA Sum'!$F$20</f>
        <v>29070862</v>
      </c>
      <c r="K47" s="1357">
        <f>'TAMUSA Sum'!$G$11</f>
        <v>38086689</v>
      </c>
      <c r="L47" s="1366">
        <f>'TAMUSA Sum'!$F$23</f>
        <v>35360842</v>
      </c>
      <c r="M47" s="1366">
        <f>'TAMUSA Sum'!$F$32</f>
        <v>7316614</v>
      </c>
      <c r="N47" s="1358">
        <f>'TAMUSA Sum'!$G$14</f>
        <v>0</v>
      </c>
      <c r="O47" s="797"/>
      <c r="P47" s="797"/>
      <c r="Q47" s="797"/>
      <c r="R47" s="56"/>
      <c r="S47" s="1039" t="str">
        <f>'TAMUSA FGD'!$O$92</f>
        <v>Chris Arrington</v>
      </c>
      <c r="T47" s="1039" t="str">
        <f>'TAMUSA FGD'!$Q$92</f>
        <v>979-458-9151</v>
      </c>
      <c r="U47" s="1039" t="str">
        <f>'TAMUSA FGD'!$T$92</f>
        <v>carrington@tamus.edu</v>
      </c>
    </row>
    <row r="48" spans="1:21" s="56" customFormat="1">
      <c r="A48" s="480">
        <v>80</v>
      </c>
      <c r="B48" s="678"/>
      <c r="C48" s="68"/>
      <c r="D48" s="53" t="s">
        <v>98</v>
      </c>
      <c r="E48" s="124">
        <f t="shared" si="0"/>
        <v>2017</v>
      </c>
      <c r="F48" s="1000">
        <v>103599</v>
      </c>
      <c r="G48" s="1355"/>
      <c r="H48" s="1359"/>
      <c r="I48" s="1013"/>
      <c r="J48" s="1366"/>
      <c r="K48" s="1357"/>
      <c r="L48" s="1366"/>
      <c r="M48" s="1366"/>
      <c r="N48" s="1358"/>
      <c r="O48" s="356"/>
      <c r="P48" s="356"/>
      <c r="Q48" s="356"/>
      <c r="R48" s="53"/>
      <c r="S48" s="528"/>
      <c r="T48" s="528"/>
      <c r="U48" s="528"/>
    </row>
    <row r="49" spans="1:21" ht="13.5" thickBot="1">
      <c r="A49" s="139"/>
      <c r="B49" s="139"/>
      <c r="C49" s="139"/>
      <c r="D49" s="140" t="s">
        <v>207</v>
      </c>
      <c r="E49" s="795">
        <f t="shared" ref="E49" si="1">$E$6</f>
        <v>2017</v>
      </c>
      <c r="F49" s="911">
        <v>445566</v>
      </c>
      <c r="G49" s="1360">
        <f>ROUND(Univ_IE_Keys!$AD$60/Univ_IE_Keys!$M$48,2)</f>
        <v>8.77</v>
      </c>
      <c r="H49" s="1014">
        <f>ROUND(Univ_IE_Keys!$AE$60/Univ_IE_Keys!$M$48,2)</f>
        <v>6.51</v>
      </c>
      <c r="I49" s="1015">
        <f>'Smmy Sum'!$G$71</f>
        <v>15177228930</v>
      </c>
      <c r="J49" s="1157">
        <f>'Smmy Sum'!$F$56</f>
        <v>4845871604</v>
      </c>
      <c r="K49" s="1157">
        <f>'Smmy Sum'!$G$47</f>
        <v>3619411480</v>
      </c>
      <c r="L49" s="1157">
        <f>'Smmy Sum'!$F$59</f>
        <v>3599991337</v>
      </c>
      <c r="M49" s="1157">
        <f>'Smmy Sum'!$F$68</f>
        <v>3111954509</v>
      </c>
      <c r="N49" s="1367">
        <f>'Smmy Sum'!$G$50</f>
        <v>957089015</v>
      </c>
      <c r="O49" s="798"/>
      <c r="P49" s="798"/>
      <c r="Q49" s="798"/>
      <c r="S49" s="114"/>
      <c r="T49" s="114"/>
      <c r="U49" s="114"/>
    </row>
    <row r="50" spans="1:21" s="114" customFormat="1" ht="14.25" thickTop="1" thickBot="1">
      <c r="A50" s="145"/>
      <c r="B50" s="145"/>
      <c r="C50" s="145"/>
      <c r="E50" s="139">
        <f>COUNTA(E12:E48)</f>
        <v>37</v>
      </c>
      <c r="O50" s="354"/>
      <c r="P50" s="354"/>
      <c r="Q50" s="354"/>
    </row>
    <row r="51" spans="1:21" s="114" customFormat="1" ht="13.5" thickTop="1">
      <c r="A51" s="145"/>
      <c r="B51" s="114" t="s">
        <v>1138</v>
      </c>
      <c r="C51" s="145"/>
      <c r="O51" s="354"/>
      <c r="P51" s="354"/>
      <c r="Q51" s="354"/>
    </row>
    <row r="52" spans="1:21" s="114" customFormat="1">
      <c r="A52" s="145"/>
      <c r="B52" s="114" t="s">
        <v>1137</v>
      </c>
      <c r="C52" s="145"/>
      <c r="I52" s="145" t="s">
        <v>1190</v>
      </c>
      <c r="J52" s="145" t="s">
        <v>1190</v>
      </c>
      <c r="K52" s="145" t="s">
        <v>1190</v>
      </c>
      <c r="L52" s="145"/>
      <c r="M52" s="145" t="s">
        <v>1190</v>
      </c>
      <c r="N52" s="145" t="s">
        <v>1190</v>
      </c>
      <c r="O52" s="354"/>
      <c r="P52" s="354"/>
      <c r="Q52" s="354"/>
    </row>
    <row r="53" spans="1:21" s="114" customFormat="1" ht="38.25">
      <c r="A53" s="145"/>
      <c r="B53" s="145"/>
      <c r="C53" s="145"/>
      <c r="E53" s="114" t="s">
        <v>282</v>
      </c>
      <c r="I53" s="870" t="s">
        <v>84</v>
      </c>
      <c r="J53" s="148" t="s">
        <v>39</v>
      </c>
      <c r="K53" s="147" t="s">
        <v>1</v>
      </c>
      <c r="L53" s="148" t="s">
        <v>7</v>
      </c>
      <c r="M53" s="148" t="s">
        <v>42</v>
      </c>
      <c r="N53" s="148" t="s">
        <v>28</v>
      </c>
    </row>
    <row r="54" spans="1:21" s="114" customFormat="1" ht="51" hidden="1" outlineLevel="1">
      <c r="A54" s="145"/>
      <c r="B54" s="145"/>
      <c r="C54" s="145"/>
      <c r="D54" s="146" t="s">
        <v>209</v>
      </c>
      <c r="I54" s="754" t="s">
        <v>1213</v>
      </c>
      <c r="J54" s="148" t="s">
        <v>40</v>
      </c>
      <c r="K54" s="147" t="s">
        <v>2</v>
      </c>
      <c r="L54" s="806"/>
      <c r="M54" s="148" t="s">
        <v>9</v>
      </c>
      <c r="N54" s="148" t="s">
        <v>49</v>
      </c>
      <c r="O54" s="146"/>
      <c r="P54" s="146"/>
      <c r="Q54" s="146"/>
    </row>
    <row r="55" spans="1:21" s="114" customFormat="1" ht="38.25" hidden="1" outlineLevel="1">
      <c r="A55" s="145"/>
      <c r="B55" s="145"/>
      <c r="C55" s="145"/>
      <c r="I55" s="807"/>
      <c r="J55" s="754" t="s">
        <v>1142</v>
      </c>
      <c r="K55" s="147" t="s">
        <v>130</v>
      </c>
      <c r="L55" s="807"/>
      <c r="M55" s="148" t="s">
        <v>10</v>
      </c>
      <c r="N55" s="807"/>
    </row>
    <row r="56" spans="1:21" s="114" customFormat="1" ht="25.5" hidden="1" outlineLevel="1">
      <c r="A56" s="145"/>
      <c r="B56" s="145"/>
      <c r="C56" s="145"/>
      <c r="I56" s="67"/>
      <c r="J56" s="67"/>
      <c r="K56" s="807"/>
      <c r="L56" s="67"/>
      <c r="M56" s="148" t="s">
        <v>11</v>
      </c>
      <c r="N56" s="67"/>
    </row>
    <row r="57" spans="1:21" s="114" customFormat="1" ht="25.5" hidden="1" outlineLevel="1">
      <c r="A57" s="145"/>
      <c r="B57" s="145"/>
      <c r="C57" s="145"/>
      <c r="M57" s="755" t="s">
        <v>711</v>
      </c>
    </row>
    <row r="58" spans="1:21" s="114" customFormat="1" ht="25.5" hidden="1" outlineLevel="1">
      <c r="A58" s="145"/>
      <c r="B58" s="145"/>
      <c r="C58" s="145"/>
      <c r="M58" s="148" t="s">
        <v>43</v>
      </c>
    </row>
    <row r="59" spans="1:21" s="114" customFormat="1" hidden="1" outlineLevel="1">
      <c r="A59" s="145"/>
      <c r="B59" s="145"/>
      <c r="C59" s="145"/>
      <c r="I59" s="814" t="s">
        <v>210</v>
      </c>
      <c r="J59" s="814"/>
      <c r="K59" s="814"/>
      <c r="L59" s="814"/>
      <c r="M59" s="814"/>
      <c r="N59" s="814"/>
    </row>
    <row r="60" spans="1:21" s="114" customFormat="1" hidden="1" outlineLevel="1">
      <c r="A60" s="145"/>
      <c r="B60" s="145"/>
      <c r="C60" s="145"/>
      <c r="I60" s="151" t="s">
        <v>211</v>
      </c>
      <c r="J60" s="151"/>
      <c r="K60" s="151"/>
      <c r="L60" s="151"/>
      <c r="M60" s="151"/>
      <c r="N60" s="151"/>
    </row>
    <row r="61" spans="1:21" s="114" customFormat="1" hidden="1" outlineLevel="1">
      <c r="A61" s="145"/>
      <c r="B61" s="145"/>
      <c r="C61" s="145"/>
      <c r="I61" s="151" t="s">
        <v>1153</v>
      </c>
      <c r="J61" s="151"/>
      <c r="K61" s="151"/>
      <c r="L61" s="151"/>
      <c r="M61" s="151"/>
      <c r="N61" s="151"/>
    </row>
    <row r="62" spans="1:21" s="114" customFormat="1" hidden="1" outlineLevel="1">
      <c r="A62" s="145"/>
      <c r="B62" s="145"/>
      <c r="C62" s="145"/>
      <c r="I62" s="151" t="s">
        <v>213</v>
      </c>
      <c r="J62" s="151"/>
      <c r="K62" s="151"/>
      <c r="L62" s="151"/>
      <c r="M62" s="151"/>
      <c r="N62" s="151"/>
    </row>
    <row r="63" spans="1:21" s="114" customFormat="1" hidden="1" outlineLevel="1">
      <c r="A63" s="145"/>
      <c r="B63" s="145"/>
      <c r="C63" s="145"/>
      <c r="I63" s="151" t="s">
        <v>214</v>
      </c>
      <c r="J63" s="151"/>
      <c r="K63" s="151"/>
      <c r="L63" s="151"/>
      <c r="M63" s="151"/>
      <c r="N63" s="151"/>
    </row>
    <row r="64" spans="1:21" s="114" customFormat="1" collapsed="1">
      <c r="A64" s="145"/>
      <c r="B64" s="145"/>
      <c r="C64" s="145"/>
      <c r="S64" s="144"/>
    </row>
    <row r="65" spans="1:17" s="114" customFormat="1">
      <c r="A65" s="145"/>
      <c r="B65" s="145"/>
      <c r="C65" s="145"/>
    </row>
    <row r="66" spans="1:17" s="114" customFormat="1">
      <c r="A66" s="145"/>
      <c r="B66" s="145"/>
      <c r="C66" s="145"/>
      <c r="F66" s="153">
        <f>F71-F49-F48-F11</f>
        <v>345995</v>
      </c>
      <c r="I66" s="665" t="str">
        <f>IF(SUM(I12:I48)&lt;&gt;'Smmy Sum'!$G$71,"Error","Balanced")</f>
        <v>Balanced</v>
      </c>
      <c r="J66" s="665" t="str">
        <f>IF(SUM(J12:J48)&lt;&gt;'Smmy Sum'!$F$56,"Error","Balanced")</f>
        <v>Balanced</v>
      </c>
      <c r="K66" s="665" t="str">
        <f>IF(SUM(K12:K48)&lt;&gt;'Smmy Sum'!$G$47,"Error","Balanced")</f>
        <v>Balanced</v>
      </c>
      <c r="L66" s="665" t="str">
        <f>IF(SUM(L12:L48)&lt;&gt;'Smmy Sum'!$F$59,"Error","Balanced")</f>
        <v>Balanced</v>
      </c>
      <c r="M66" s="665" t="str">
        <f>IF(SUM(M12:M48)&lt;&gt;'Smmy Sum'!$F$68,"Error","Balanced")</f>
        <v>Balanced</v>
      </c>
      <c r="N66" s="665" t="str">
        <f>IF(SUM(N12:N48)&lt;&gt;'Smmy Sum'!$G$50,"Error","Balanced")</f>
        <v>Balanced</v>
      </c>
      <c r="O66" s="665"/>
      <c r="P66" s="665"/>
      <c r="Q66" s="665"/>
    </row>
    <row r="67" spans="1:17" s="114" customFormat="1">
      <c r="A67" s="145"/>
      <c r="B67" s="145"/>
      <c r="C67" s="145"/>
      <c r="F67" s="114">
        <f>Names!$I$74</f>
        <v>0</v>
      </c>
    </row>
    <row r="68" spans="1:17" s="114" customFormat="1">
      <c r="A68" s="145"/>
      <c r="B68" s="145"/>
      <c r="C68" s="145"/>
      <c r="F68" s="153">
        <f>F66-F67</f>
        <v>345995</v>
      </c>
      <c r="I68" s="145" t="s">
        <v>458</v>
      </c>
      <c r="J68" s="145" t="s">
        <v>403</v>
      </c>
      <c r="K68" s="145" t="s">
        <v>419</v>
      </c>
      <c r="L68" s="145" t="s">
        <v>404</v>
      </c>
      <c r="M68" s="145" t="s">
        <v>814</v>
      </c>
      <c r="N68" s="145" t="s">
        <v>814</v>
      </c>
      <c r="O68" s="145"/>
      <c r="P68" s="145"/>
      <c r="Q68" s="145"/>
    </row>
    <row r="69" spans="1:17" s="114" customFormat="1">
      <c r="A69" s="145"/>
      <c r="B69" s="145"/>
      <c r="C69" s="145"/>
    </row>
    <row r="70" spans="1:17" s="114" customFormat="1">
      <c r="A70" s="145"/>
      <c r="B70" s="145"/>
      <c r="C70" s="145"/>
    </row>
    <row r="71" spans="1:17" s="114" customFormat="1">
      <c r="A71" s="145"/>
      <c r="B71" s="145"/>
      <c r="C71" s="145"/>
      <c r="D71" s="814" t="s">
        <v>1338</v>
      </c>
      <c r="F71" s="857">
        <f>SUM(F11:F48)+F49</f>
        <v>895180</v>
      </c>
      <c r="G71" s="912">
        <f>SUM(G11:G48)+G49</f>
        <v>531.48</v>
      </c>
      <c r="H71" s="912">
        <f>SUM(H11:H48)+H49</f>
        <v>323.83</v>
      </c>
      <c r="I71" s="857">
        <f t="shared" ref="I71:N71" si="2">SUM(I12:I48)+I49</f>
        <v>30354457860</v>
      </c>
      <c r="J71" s="857">
        <f t="shared" si="2"/>
        <v>9691743208</v>
      </c>
      <c r="K71" s="857">
        <f t="shared" si="2"/>
        <v>7238822960</v>
      </c>
      <c r="L71" s="857">
        <f t="shared" si="2"/>
        <v>7199982674</v>
      </c>
      <c r="M71" s="857">
        <f t="shared" si="2"/>
        <v>6223909018</v>
      </c>
      <c r="N71" s="857">
        <f t="shared" si="2"/>
        <v>1914178030</v>
      </c>
      <c r="P71" s="913">
        <f>SUM(F71:O71)</f>
        <v>62623989785.309998</v>
      </c>
    </row>
    <row r="72" spans="1:17" s="114" customFormat="1">
      <c r="A72" s="145"/>
      <c r="B72" s="145"/>
      <c r="C72" s="145"/>
      <c r="P72" s="913"/>
    </row>
    <row r="73" spans="1:17" s="114" customFormat="1">
      <c r="A73" s="145"/>
      <c r="B73" s="145"/>
      <c r="C73" s="145"/>
      <c r="D73" s="114" t="s">
        <v>2202</v>
      </c>
      <c r="F73" s="1466">
        <v>895180</v>
      </c>
      <c r="G73" s="1469">
        <v>485.83999999999986</v>
      </c>
      <c r="H73" s="1469">
        <v>284.90999999999997</v>
      </c>
      <c r="I73" s="1466">
        <v>24008973266</v>
      </c>
      <c r="J73" s="1466">
        <v>8438223666</v>
      </c>
      <c r="K73" s="1466">
        <v>6989425924</v>
      </c>
      <c r="L73" s="1466">
        <v>3915888450</v>
      </c>
      <c r="M73" s="1466">
        <v>4665435226</v>
      </c>
      <c r="N73" s="1466">
        <v>1618987648</v>
      </c>
      <c r="O73" s="146"/>
      <c r="P73" s="1469">
        <v>49637830130.75</v>
      </c>
    </row>
    <row r="74" spans="1:17" s="114" customFormat="1">
      <c r="A74" s="145"/>
      <c r="B74" s="145"/>
      <c r="C74" s="145"/>
      <c r="F74" s="153">
        <f>F71-F73</f>
        <v>0</v>
      </c>
      <c r="G74" s="153">
        <f t="shared" ref="G74:N74" si="3">G71-G73</f>
        <v>45.640000000000157</v>
      </c>
      <c r="H74" s="153">
        <f t="shared" si="3"/>
        <v>38.920000000000016</v>
      </c>
      <c r="I74" s="153">
        <f t="shared" si="3"/>
        <v>6345484594</v>
      </c>
      <c r="J74" s="153">
        <f t="shared" si="3"/>
        <v>1253519542</v>
      </c>
      <c r="K74" s="153">
        <f t="shared" si="3"/>
        <v>249397036</v>
      </c>
      <c r="L74" s="153">
        <f t="shared" si="3"/>
        <v>3284094224</v>
      </c>
      <c r="M74" s="153">
        <f t="shared" si="3"/>
        <v>1558473792</v>
      </c>
      <c r="N74" s="153">
        <f t="shared" si="3"/>
        <v>295190382</v>
      </c>
      <c r="P74" s="913">
        <f>P71-P73</f>
        <v>12986159654.559998</v>
      </c>
    </row>
    <row r="75" spans="1:17" s="114" customFormat="1">
      <c r="A75" s="145"/>
      <c r="B75" s="145"/>
      <c r="C75" s="145"/>
    </row>
    <row r="76" spans="1:17" s="114" customFormat="1">
      <c r="A76" s="145"/>
      <c r="B76" s="145"/>
      <c r="C76" s="145"/>
    </row>
    <row r="77" spans="1:17" s="114" customFormat="1">
      <c r="A77" s="145"/>
      <c r="B77" s="145"/>
      <c r="C77" s="145"/>
    </row>
    <row r="78" spans="1:17" s="114" customFormat="1">
      <c r="A78" s="145"/>
      <c r="B78" s="145"/>
      <c r="C78" s="145"/>
    </row>
    <row r="79" spans="1:17" s="114" customFormat="1">
      <c r="A79" s="145"/>
      <c r="B79" s="145"/>
      <c r="C79" s="145"/>
    </row>
    <row r="80" spans="1:17" s="114" customFormat="1">
      <c r="A80" s="145"/>
      <c r="B80" s="145"/>
      <c r="C80" s="145"/>
    </row>
    <row r="81" spans="1:3" s="114" customFormat="1">
      <c r="A81" s="145"/>
      <c r="B81" s="145"/>
      <c r="C81" s="145"/>
    </row>
    <row r="82" spans="1:3" s="114" customFormat="1">
      <c r="A82" s="145"/>
      <c r="B82" s="145"/>
      <c r="C82" s="145"/>
    </row>
    <row r="83" spans="1:3" s="114" customFormat="1">
      <c r="A83" s="145"/>
      <c r="B83" s="145"/>
      <c r="C83" s="145"/>
    </row>
    <row r="84" spans="1:3" s="114" customFormat="1">
      <c r="A84" s="145"/>
      <c r="B84" s="145"/>
      <c r="C84" s="145"/>
    </row>
    <row r="85" spans="1:3" s="114" customFormat="1">
      <c r="A85" s="145"/>
      <c r="B85" s="145"/>
      <c r="C85" s="145"/>
    </row>
    <row r="86" spans="1:3" s="114" customFormat="1">
      <c r="A86" s="145"/>
      <c r="B86" s="145"/>
      <c r="C86" s="145"/>
    </row>
    <row r="87" spans="1:3" s="114" customFormat="1">
      <c r="A87" s="145"/>
      <c r="B87" s="145"/>
      <c r="C87" s="145"/>
    </row>
    <row r="88" spans="1:3" s="114" customFormat="1">
      <c r="A88" s="145"/>
      <c r="B88" s="145"/>
      <c r="C88" s="145"/>
    </row>
    <row r="89" spans="1:3" s="114" customFormat="1">
      <c r="A89" s="145"/>
      <c r="B89" s="145"/>
      <c r="C89" s="145"/>
    </row>
    <row r="90" spans="1:3" s="114" customFormat="1">
      <c r="A90" s="145"/>
      <c r="B90" s="145"/>
      <c r="C90" s="145"/>
    </row>
    <row r="91" spans="1:3" s="114" customFormat="1">
      <c r="A91" s="145"/>
      <c r="B91" s="145"/>
      <c r="C91" s="145"/>
    </row>
    <row r="92" spans="1:3" s="114" customFormat="1">
      <c r="A92" s="145"/>
      <c r="B92" s="145"/>
      <c r="C92" s="145"/>
    </row>
    <row r="93" spans="1:3" s="114" customFormat="1">
      <c r="A93" s="145"/>
      <c r="B93" s="145"/>
      <c r="C93" s="145"/>
    </row>
    <row r="94" spans="1:3" s="114" customFormat="1">
      <c r="A94" s="145"/>
      <c r="B94" s="145"/>
      <c r="C94" s="145"/>
    </row>
    <row r="95" spans="1:3" s="114" customFormat="1">
      <c r="A95" s="145"/>
      <c r="B95" s="145"/>
      <c r="C95" s="145"/>
    </row>
    <row r="96" spans="1:3" s="114" customFormat="1">
      <c r="A96" s="145"/>
      <c r="B96" s="145"/>
      <c r="C96" s="145"/>
    </row>
    <row r="97" spans="1:3" s="114" customFormat="1">
      <c r="A97" s="145"/>
      <c r="B97" s="145"/>
      <c r="C97" s="145"/>
    </row>
    <row r="98" spans="1:3" s="114" customFormat="1">
      <c r="A98" s="145"/>
      <c r="B98" s="145"/>
      <c r="C98" s="145"/>
    </row>
    <row r="99" spans="1:3" s="114" customFormat="1">
      <c r="A99" s="145"/>
      <c r="B99" s="145"/>
      <c r="C99" s="145"/>
    </row>
    <row r="100" spans="1:3" s="114" customFormat="1">
      <c r="A100" s="145"/>
      <c r="B100" s="145"/>
      <c r="C100" s="145"/>
    </row>
    <row r="101" spans="1:3" s="114" customFormat="1">
      <c r="A101" s="145"/>
      <c r="B101" s="145"/>
      <c r="C101" s="145"/>
    </row>
    <row r="102" spans="1:3" s="114" customFormat="1">
      <c r="A102" s="145"/>
      <c r="B102" s="145"/>
      <c r="C102" s="145"/>
    </row>
    <row r="103" spans="1:3" s="114" customFormat="1">
      <c r="A103" s="145"/>
      <c r="B103" s="145"/>
      <c r="C103" s="145"/>
    </row>
    <row r="104" spans="1:3" s="114" customFormat="1">
      <c r="A104" s="145"/>
      <c r="B104" s="145"/>
      <c r="C104" s="145"/>
    </row>
    <row r="105" spans="1:3" s="114" customFormat="1">
      <c r="A105" s="145"/>
      <c r="B105" s="145"/>
      <c r="C105" s="145"/>
    </row>
    <row r="106" spans="1:3" s="114" customFormat="1">
      <c r="A106" s="145"/>
      <c r="B106" s="145"/>
      <c r="C106" s="145"/>
    </row>
    <row r="107" spans="1:3" s="114" customFormat="1">
      <c r="A107" s="145"/>
      <c r="B107" s="145"/>
      <c r="C107" s="145"/>
    </row>
    <row r="108" spans="1:3" s="114" customFormat="1">
      <c r="A108" s="145"/>
      <c r="B108" s="145"/>
      <c r="C108" s="145"/>
    </row>
    <row r="109" spans="1:3" s="114" customFormat="1">
      <c r="A109" s="145"/>
      <c r="B109" s="145"/>
      <c r="C109" s="145"/>
    </row>
    <row r="110" spans="1:3" s="114" customFormat="1">
      <c r="A110" s="145"/>
      <c r="B110" s="145"/>
      <c r="C110" s="145"/>
    </row>
    <row r="111" spans="1:3" s="114" customFormat="1">
      <c r="A111" s="145"/>
      <c r="B111" s="145"/>
      <c r="C111" s="145"/>
    </row>
    <row r="112" spans="1:3" s="114" customFormat="1">
      <c r="A112" s="145"/>
      <c r="B112" s="145"/>
      <c r="C112" s="145"/>
    </row>
    <row r="113" spans="1:3" s="114" customFormat="1">
      <c r="A113" s="145"/>
      <c r="B113" s="145"/>
      <c r="C113" s="145"/>
    </row>
    <row r="114" spans="1:3" s="114" customFormat="1">
      <c r="A114" s="145"/>
      <c r="B114" s="145"/>
      <c r="C114" s="145"/>
    </row>
    <row r="115" spans="1:3" s="114" customFormat="1">
      <c r="A115" s="145"/>
      <c r="B115" s="145"/>
      <c r="C115" s="145"/>
    </row>
    <row r="116" spans="1:3" s="114" customFormat="1">
      <c r="A116" s="145"/>
      <c r="B116" s="145"/>
      <c r="C116" s="145"/>
    </row>
    <row r="117" spans="1:3" s="114" customFormat="1">
      <c r="A117" s="145"/>
      <c r="B117" s="145"/>
      <c r="C117" s="145"/>
    </row>
    <row r="118" spans="1:3" s="114" customFormat="1">
      <c r="A118" s="145"/>
      <c r="B118" s="145"/>
      <c r="C118" s="145"/>
    </row>
    <row r="119" spans="1:3" s="114" customFormat="1">
      <c r="A119" s="145"/>
      <c r="B119" s="145"/>
      <c r="C119" s="145"/>
    </row>
    <row r="120" spans="1:3" s="114" customFormat="1">
      <c r="A120" s="145"/>
      <c r="B120" s="145"/>
      <c r="C120" s="145"/>
    </row>
    <row r="121" spans="1:3" s="114" customFormat="1">
      <c r="A121" s="145"/>
      <c r="B121" s="145"/>
      <c r="C121" s="145"/>
    </row>
    <row r="122" spans="1:3" s="114" customFormat="1">
      <c r="A122" s="145"/>
      <c r="B122" s="145"/>
      <c r="C122" s="145"/>
    </row>
    <row r="123" spans="1:3" s="114" customFormat="1">
      <c r="A123" s="145"/>
      <c r="B123" s="145"/>
      <c r="C123" s="145"/>
    </row>
    <row r="124" spans="1:3" s="114" customFormat="1">
      <c r="A124" s="145"/>
      <c r="B124" s="145"/>
      <c r="C124" s="145"/>
    </row>
    <row r="125" spans="1:3" s="114" customFormat="1">
      <c r="A125" s="145"/>
      <c r="B125" s="145"/>
      <c r="C125" s="145"/>
    </row>
    <row r="126" spans="1:3" s="114" customFormat="1">
      <c r="A126" s="145"/>
      <c r="B126" s="145"/>
      <c r="C126" s="145"/>
    </row>
    <row r="127" spans="1:3" s="114" customFormat="1">
      <c r="A127" s="145"/>
      <c r="B127" s="145"/>
      <c r="C127" s="145"/>
    </row>
    <row r="128" spans="1:3" s="114" customFormat="1">
      <c r="A128" s="145"/>
      <c r="B128" s="145"/>
      <c r="C128" s="145"/>
    </row>
    <row r="129" spans="1:3" s="114" customFormat="1">
      <c r="A129" s="145"/>
      <c r="B129" s="145"/>
      <c r="C129" s="145"/>
    </row>
    <row r="130" spans="1:3" s="114" customFormat="1">
      <c r="A130" s="145"/>
      <c r="B130" s="145"/>
      <c r="C130" s="145"/>
    </row>
    <row r="131" spans="1:3" s="114" customFormat="1">
      <c r="A131" s="145"/>
      <c r="B131" s="145"/>
      <c r="C131" s="145"/>
    </row>
    <row r="132" spans="1:3" s="114" customFormat="1">
      <c r="A132" s="145"/>
      <c r="B132" s="145"/>
      <c r="C132" s="145"/>
    </row>
    <row r="133" spans="1:3" s="114" customFormat="1">
      <c r="A133" s="145"/>
      <c r="B133" s="145"/>
      <c r="C133" s="145"/>
    </row>
    <row r="134" spans="1:3" s="114" customFormat="1">
      <c r="A134" s="145"/>
      <c r="B134" s="145"/>
      <c r="C134" s="145"/>
    </row>
    <row r="135" spans="1:3" s="114" customFormat="1">
      <c r="A135" s="145"/>
      <c r="B135" s="145"/>
      <c r="C135" s="145"/>
    </row>
    <row r="136" spans="1:3" s="114" customFormat="1">
      <c r="A136" s="145"/>
      <c r="B136" s="145"/>
      <c r="C136" s="145"/>
    </row>
    <row r="137" spans="1:3" s="114" customFormat="1">
      <c r="A137" s="145"/>
      <c r="B137" s="145"/>
      <c r="C137" s="145"/>
    </row>
    <row r="138" spans="1:3" s="114" customFormat="1">
      <c r="A138" s="145"/>
      <c r="B138" s="145"/>
      <c r="C138" s="145"/>
    </row>
    <row r="139" spans="1:3" s="114" customFormat="1">
      <c r="A139" s="145"/>
      <c r="B139" s="145"/>
      <c r="C139" s="145"/>
    </row>
    <row r="140" spans="1:3" s="114" customFormat="1">
      <c r="A140" s="145"/>
      <c r="B140" s="145"/>
      <c r="C140" s="145"/>
    </row>
    <row r="141" spans="1:3" s="114" customFormat="1">
      <c r="A141" s="145"/>
      <c r="B141" s="145"/>
      <c r="C141" s="145"/>
    </row>
    <row r="142" spans="1:3" s="114" customFormat="1">
      <c r="A142" s="145"/>
      <c r="B142" s="145"/>
      <c r="C142" s="145"/>
    </row>
    <row r="143" spans="1:3" s="114" customFormat="1">
      <c r="A143" s="145"/>
      <c r="B143" s="145"/>
      <c r="C143" s="145"/>
    </row>
    <row r="144" spans="1:3" s="114" customFormat="1">
      <c r="A144" s="145"/>
      <c r="B144" s="145"/>
      <c r="C144" s="145"/>
    </row>
    <row r="145" spans="1:3" s="114" customFormat="1">
      <c r="A145" s="145"/>
      <c r="B145" s="145"/>
      <c r="C145" s="145"/>
    </row>
    <row r="146" spans="1:3" s="114" customFormat="1">
      <c r="A146" s="145"/>
      <c r="B146" s="145"/>
      <c r="C146" s="145"/>
    </row>
    <row r="147" spans="1:3" s="114" customFormat="1">
      <c r="A147" s="145"/>
      <c r="B147" s="145"/>
      <c r="C147" s="145"/>
    </row>
    <row r="148" spans="1:3" s="114" customFormat="1">
      <c r="A148" s="145"/>
      <c r="B148" s="145"/>
      <c r="C148" s="145"/>
    </row>
    <row r="149" spans="1:3" s="114" customFormat="1">
      <c r="A149" s="145"/>
      <c r="B149" s="145"/>
      <c r="C149" s="145"/>
    </row>
    <row r="150" spans="1:3" s="114" customFormat="1">
      <c r="A150" s="145"/>
      <c r="B150" s="145"/>
      <c r="C150" s="145"/>
    </row>
    <row r="151" spans="1:3" s="114" customFormat="1">
      <c r="A151" s="145"/>
      <c r="B151" s="145"/>
      <c r="C151" s="145"/>
    </row>
    <row r="152" spans="1:3" s="114" customFormat="1">
      <c r="A152" s="145"/>
      <c r="B152" s="145"/>
      <c r="C152" s="145"/>
    </row>
    <row r="153" spans="1:3" s="114" customFormat="1">
      <c r="A153" s="145"/>
      <c r="B153" s="145"/>
      <c r="C153" s="145"/>
    </row>
    <row r="154" spans="1:3" s="114" customFormat="1">
      <c r="A154" s="145"/>
      <c r="B154" s="145"/>
      <c r="C154" s="145"/>
    </row>
    <row r="155" spans="1:3" s="114" customFormat="1">
      <c r="A155" s="145"/>
      <c r="B155" s="145"/>
      <c r="C155" s="145"/>
    </row>
    <row r="156" spans="1:3" s="114" customFormat="1">
      <c r="A156" s="145"/>
      <c r="B156" s="145"/>
      <c r="C156" s="145"/>
    </row>
    <row r="157" spans="1:3" s="114" customFormat="1">
      <c r="A157" s="145"/>
      <c r="B157" s="145"/>
      <c r="C157" s="145"/>
    </row>
    <row r="158" spans="1:3" s="114" customFormat="1">
      <c r="A158" s="145"/>
      <c r="B158" s="145"/>
      <c r="C158" s="145"/>
    </row>
    <row r="159" spans="1:3" s="114" customFormat="1">
      <c r="A159" s="145"/>
      <c r="B159" s="145"/>
      <c r="C159" s="145"/>
    </row>
    <row r="160" spans="1:3" s="114" customFormat="1">
      <c r="A160" s="145"/>
      <c r="B160" s="145"/>
      <c r="C160" s="145"/>
    </row>
    <row r="161" spans="1:3" s="114" customFormat="1">
      <c r="A161" s="145"/>
      <c r="B161" s="145"/>
      <c r="C161" s="145"/>
    </row>
    <row r="162" spans="1:3" s="114" customFormat="1">
      <c r="A162" s="145"/>
      <c r="B162" s="145"/>
      <c r="C162" s="145"/>
    </row>
    <row r="163" spans="1:3" s="114" customFormat="1">
      <c r="A163" s="145"/>
      <c r="B163" s="145"/>
      <c r="C163" s="145"/>
    </row>
    <row r="164" spans="1:3" s="114" customFormat="1">
      <c r="A164" s="145"/>
      <c r="B164" s="145"/>
      <c r="C164" s="145"/>
    </row>
    <row r="165" spans="1:3" s="114" customFormat="1">
      <c r="A165" s="145"/>
      <c r="B165" s="145"/>
      <c r="C165" s="145"/>
    </row>
    <row r="166" spans="1:3" s="114" customFormat="1">
      <c r="A166" s="145"/>
      <c r="B166" s="145"/>
      <c r="C166" s="145"/>
    </row>
    <row r="167" spans="1:3" s="114" customFormat="1">
      <c r="A167" s="145"/>
      <c r="B167" s="145"/>
      <c r="C167" s="145"/>
    </row>
    <row r="168" spans="1:3" s="114" customFormat="1">
      <c r="A168" s="145"/>
      <c r="B168" s="145"/>
      <c r="C168" s="145"/>
    </row>
    <row r="169" spans="1:3" s="114" customFormat="1">
      <c r="A169" s="145"/>
      <c r="B169" s="145"/>
      <c r="C169" s="145"/>
    </row>
    <row r="170" spans="1:3" s="114" customFormat="1">
      <c r="A170" s="145"/>
      <c r="B170" s="145"/>
      <c r="C170" s="145"/>
    </row>
    <row r="171" spans="1:3" s="114" customFormat="1">
      <c r="A171" s="145"/>
      <c r="B171" s="145"/>
      <c r="C171" s="145"/>
    </row>
    <row r="172" spans="1:3" s="114" customFormat="1">
      <c r="A172" s="145"/>
      <c r="B172" s="145"/>
      <c r="C172" s="145"/>
    </row>
    <row r="173" spans="1:3" s="114" customFormat="1">
      <c r="A173" s="145"/>
      <c r="B173" s="145"/>
      <c r="C173" s="145"/>
    </row>
    <row r="174" spans="1:3" s="114" customFormat="1">
      <c r="A174" s="145"/>
      <c r="B174" s="145"/>
      <c r="C174" s="145"/>
    </row>
    <row r="175" spans="1:3" s="114" customFormat="1">
      <c r="A175" s="145"/>
      <c r="B175" s="145"/>
      <c r="C175" s="145"/>
    </row>
    <row r="176" spans="1:3" s="114" customFormat="1">
      <c r="A176" s="145"/>
      <c r="B176" s="145"/>
      <c r="C176" s="145"/>
    </row>
    <row r="177" spans="1:3" s="114" customFormat="1">
      <c r="A177" s="145"/>
      <c r="B177" s="145"/>
      <c r="C177" s="145"/>
    </row>
    <row r="178" spans="1:3" s="114" customFormat="1">
      <c r="A178" s="145"/>
      <c r="B178" s="145"/>
      <c r="C178" s="145"/>
    </row>
    <row r="179" spans="1:3" s="114" customFormat="1">
      <c r="A179" s="145"/>
      <c r="B179" s="145"/>
      <c r="C179" s="145"/>
    </row>
    <row r="180" spans="1:3" s="114" customFormat="1">
      <c r="A180" s="145"/>
      <c r="B180" s="145"/>
      <c r="C180" s="145"/>
    </row>
    <row r="181" spans="1:3" s="114" customFormat="1">
      <c r="A181" s="145"/>
      <c r="B181" s="145"/>
      <c r="C181" s="145"/>
    </row>
    <row r="182" spans="1:3" s="114" customFormat="1">
      <c r="A182" s="145"/>
      <c r="B182" s="145"/>
      <c r="C182" s="145"/>
    </row>
    <row r="183" spans="1:3" s="114" customFormat="1">
      <c r="A183" s="145"/>
      <c r="B183" s="145"/>
      <c r="C183" s="145"/>
    </row>
    <row r="184" spans="1:3" s="114" customFormat="1">
      <c r="A184" s="145"/>
      <c r="B184" s="145"/>
      <c r="C184" s="145"/>
    </row>
    <row r="185" spans="1:3" s="114" customFormat="1">
      <c r="A185" s="145"/>
      <c r="B185" s="145"/>
      <c r="C185" s="145"/>
    </row>
    <row r="186" spans="1:3" s="114" customFormat="1">
      <c r="A186" s="145"/>
      <c r="B186" s="145"/>
      <c r="C186" s="145"/>
    </row>
    <row r="187" spans="1:3" s="114" customFormat="1">
      <c r="A187" s="145"/>
      <c r="B187" s="145"/>
      <c r="C187" s="145"/>
    </row>
    <row r="188" spans="1:3" s="114" customFormat="1">
      <c r="A188" s="145"/>
      <c r="B188" s="145"/>
      <c r="C188" s="145"/>
    </row>
    <row r="189" spans="1:3" s="114" customFormat="1">
      <c r="A189" s="145"/>
      <c r="B189" s="145"/>
      <c r="C189" s="145"/>
    </row>
    <row r="190" spans="1:3" s="114" customFormat="1">
      <c r="A190" s="145"/>
      <c r="B190" s="145"/>
      <c r="C190" s="145"/>
    </row>
    <row r="191" spans="1:3" s="114" customFormat="1">
      <c r="A191" s="145"/>
      <c r="B191" s="145"/>
      <c r="C191" s="145"/>
    </row>
    <row r="192" spans="1:3" s="114" customFormat="1">
      <c r="A192" s="145"/>
      <c r="B192" s="145"/>
      <c r="C192" s="145"/>
    </row>
    <row r="193" spans="1:3" s="114" customFormat="1">
      <c r="A193" s="145"/>
      <c r="B193" s="145"/>
      <c r="C193" s="145"/>
    </row>
    <row r="194" spans="1:3" s="114" customFormat="1">
      <c r="A194" s="145"/>
      <c r="B194" s="145"/>
      <c r="C194" s="145"/>
    </row>
    <row r="195" spans="1:3" s="114" customFormat="1">
      <c r="A195" s="145"/>
      <c r="B195" s="145"/>
      <c r="C195" s="145"/>
    </row>
    <row r="196" spans="1:3" s="114" customFormat="1">
      <c r="A196" s="145"/>
      <c r="B196" s="145"/>
      <c r="C196" s="145"/>
    </row>
    <row r="197" spans="1:3" s="114" customFormat="1">
      <c r="A197" s="145"/>
      <c r="B197" s="145"/>
      <c r="C197" s="145"/>
    </row>
    <row r="198" spans="1:3" s="114" customFormat="1">
      <c r="A198" s="145"/>
      <c r="B198" s="145"/>
      <c r="C198" s="145"/>
    </row>
    <row r="199" spans="1:3" s="114" customFormat="1">
      <c r="A199" s="145"/>
      <c r="B199" s="145"/>
      <c r="C199" s="145"/>
    </row>
    <row r="200" spans="1:3" s="114" customFormat="1">
      <c r="A200" s="145"/>
      <c r="B200" s="145"/>
      <c r="C200" s="145"/>
    </row>
    <row r="201" spans="1:3" s="114" customFormat="1">
      <c r="A201" s="145"/>
      <c r="B201" s="145"/>
      <c r="C201" s="145"/>
    </row>
    <row r="202" spans="1:3" s="114" customFormat="1">
      <c r="A202" s="145"/>
      <c r="B202" s="145"/>
      <c r="C202" s="145"/>
    </row>
    <row r="203" spans="1:3" s="114" customFormat="1">
      <c r="A203" s="145"/>
      <c r="B203" s="145"/>
      <c r="C203" s="145"/>
    </row>
    <row r="204" spans="1:3" s="114" customFormat="1">
      <c r="A204" s="145"/>
      <c r="B204" s="145"/>
      <c r="C204" s="145"/>
    </row>
    <row r="205" spans="1:3" s="114" customFormat="1">
      <c r="A205" s="145"/>
      <c r="B205" s="145"/>
      <c r="C205" s="145"/>
    </row>
    <row r="206" spans="1:3" s="114" customFormat="1">
      <c r="A206" s="145"/>
      <c r="B206" s="145"/>
      <c r="C206" s="145"/>
    </row>
    <row r="207" spans="1:3" s="114" customFormat="1">
      <c r="A207" s="145"/>
      <c r="B207" s="145"/>
      <c r="C207" s="145"/>
    </row>
    <row r="208" spans="1:3" s="114" customFormat="1">
      <c r="A208" s="145"/>
      <c r="B208" s="145"/>
      <c r="C208" s="145"/>
    </row>
    <row r="209" spans="1:3" s="114" customFormat="1">
      <c r="A209" s="145"/>
      <c r="B209" s="145"/>
      <c r="C209" s="145"/>
    </row>
    <row r="210" spans="1:3" s="114" customFormat="1">
      <c r="A210" s="145"/>
      <c r="B210" s="145"/>
      <c r="C210" s="145"/>
    </row>
    <row r="211" spans="1:3" s="114" customFormat="1">
      <c r="A211" s="145"/>
      <c r="B211" s="145"/>
      <c r="C211" s="145"/>
    </row>
    <row r="212" spans="1:3" s="114" customFormat="1">
      <c r="A212" s="145"/>
      <c r="B212" s="145"/>
      <c r="C212" s="145"/>
    </row>
    <row r="213" spans="1:3" s="114" customFormat="1">
      <c r="A213" s="145"/>
      <c r="B213" s="145"/>
      <c r="C213" s="145"/>
    </row>
    <row r="214" spans="1:3" s="114" customFormat="1">
      <c r="A214" s="145"/>
      <c r="B214" s="145"/>
      <c r="C214" s="145"/>
    </row>
    <row r="215" spans="1:3" s="114" customFormat="1">
      <c r="A215" s="145"/>
      <c r="B215" s="145"/>
      <c r="C215" s="145"/>
    </row>
    <row r="216" spans="1:3" s="114" customFormat="1">
      <c r="A216" s="145"/>
      <c r="B216" s="145"/>
      <c r="C216" s="145"/>
    </row>
    <row r="217" spans="1:3" s="114" customFormat="1">
      <c r="A217" s="145"/>
      <c r="B217" s="145"/>
      <c r="C217" s="145"/>
    </row>
    <row r="218" spans="1:3" s="114" customFormat="1">
      <c r="A218" s="145"/>
      <c r="B218" s="145"/>
      <c r="C218" s="145"/>
    </row>
    <row r="219" spans="1:3" s="114" customFormat="1">
      <c r="A219" s="145"/>
      <c r="B219" s="145"/>
      <c r="C219" s="145"/>
    </row>
    <row r="220" spans="1:3" s="114" customFormat="1">
      <c r="A220" s="145"/>
      <c r="B220" s="145"/>
      <c r="C220" s="145"/>
    </row>
    <row r="221" spans="1:3" s="114" customFormat="1">
      <c r="A221" s="145"/>
      <c r="B221" s="145"/>
      <c r="C221" s="145"/>
    </row>
    <row r="222" spans="1:3" s="114" customFormat="1">
      <c r="A222" s="145"/>
      <c r="B222" s="145"/>
      <c r="C222" s="145"/>
    </row>
    <row r="223" spans="1:3" s="114" customFormat="1">
      <c r="A223" s="145"/>
      <c r="B223" s="145"/>
      <c r="C223" s="145"/>
    </row>
    <row r="224" spans="1:3" s="114" customFormat="1">
      <c r="A224" s="145"/>
      <c r="B224" s="145"/>
      <c r="C224" s="145"/>
    </row>
    <row r="225" spans="1:3" s="114" customFormat="1">
      <c r="A225" s="145"/>
      <c r="B225" s="145"/>
      <c r="C225" s="145"/>
    </row>
    <row r="226" spans="1:3" s="114" customFormat="1">
      <c r="A226" s="145"/>
      <c r="B226" s="145"/>
      <c r="C226" s="145"/>
    </row>
    <row r="227" spans="1:3" s="114" customFormat="1">
      <c r="A227" s="145"/>
      <c r="B227" s="145"/>
      <c r="C227" s="145"/>
    </row>
    <row r="228" spans="1:3" s="114" customFormat="1">
      <c r="A228" s="145"/>
      <c r="B228" s="145"/>
      <c r="C228" s="145"/>
    </row>
    <row r="229" spans="1:3" s="114" customFormat="1">
      <c r="A229" s="145"/>
      <c r="B229" s="145"/>
      <c r="C229" s="145"/>
    </row>
    <row r="230" spans="1:3" s="114" customFormat="1">
      <c r="A230" s="145"/>
      <c r="B230" s="145"/>
      <c r="C230" s="145"/>
    </row>
    <row r="231" spans="1:3" s="114" customFormat="1">
      <c r="A231" s="145"/>
      <c r="B231" s="145"/>
      <c r="C231" s="145"/>
    </row>
    <row r="232" spans="1:3" s="114" customFormat="1">
      <c r="A232" s="145"/>
      <c r="B232" s="145"/>
      <c r="C232" s="145"/>
    </row>
    <row r="233" spans="1:3" s="114" customFormat="1">
      <c r="A233" s="145"/>
      <c r="B233" s="145"/>
      <c r="C233" s="145"/>
    </row>
    <row r="234" spans="1:3" s="114" customFormat="1">
      <c r="A234" s="145"/>
      <c r="B234" s="145"/>
      <c r="C234" s="145"/>
    </row>
    <row r="235" spans="1:3" s="114" customFormat="1">
      <c r="A235" s="145"/>
      <c r="B235" s="145"/>
      <c r="C235" s="145"/>
    </row>
    <row r="236" spans="1:3" s="114" customFormat="1">
      <c r="A236" s="145"/>
      <c r="B236" s="145"/>
      <c r="C236" s="145"/>
    </row>
    <row r="237" spans="1:3" s="114" customFormat="1">
      <c r="A237" s="145"/>
      <c r="B237" s="145"/>
      <c r="C237" s="145"/>
    </row>
    <row r="238" spans="1:3" s="114" customFormat="1">
      <c r="A238" s="145"/>
      <c r="B238" s="145"/>
      <c r="C238" s="145"/>
    </row>
    <row r="239" spans="1:3" s="114" customFormat="1">
      <c r="A239" s="145"/>
      <c r="B239" s="145"/>
      <c r="C239" s="145"/>
    </row>
    <row r="240" spans="1:3" s="114" customFormat="1">
      <c r="A240" s="145"/>
      <c r="B240" s="145"/>
      <c r="C240" s="145"/>
    </row>
    <row r="241" spans="1:3" s="114" customFormat="1">
      <c r="A241" s="145"/>
      <c r="B241" s="145"/>
      <c r="C241" s="145"/>
    </row>
    <row r="242" spans="1:3" s="114" customFormat="1">
      <c r="A242" s="145"/>
      <c r="B242" s="145"/>
      <c r="C242" s="145"/>
    </row>
    <row r="243" spans="1:3" s="114" customFormat="1">
      <c r="A243" s="145"/>
      <c r="B243" s="145"/>
      <c r="C243" s="145"/>
    </row>
    <row r="244" spans="1:3" s="114" customFormat="1">
      <c r="A244" s="145"/>
      <c r="B244" s="145"/>
      <c r="C244" s="145"/>
    </row>
    <row r="245" spans="1:3" s="114" customFormat="1">
      <c r="A245" s="145"/>
      <c r="B245" s="145"/>
      <c r="C245" s="145"/>
    </row>
    <row r="246" spans="1:3" s="114" customFormat="1">
      <c r="A246" s="145"/>
      <c r="B246" s="145"/>
      <c r="C246" s="145"/>
    </row>
    <row r="247" spans="1:3" s="114" customFormat="1">
      <c r="A247" s="145"/>
      <c r="B247" s="145"/>
      <c r="C247" s="145"/>
    </row>
    <row r="248" spans="1:3" s="114" customFormat="1">
      <c r="A248" s="145"/>
      <c r="B248" s="145"/>
      <c r="C248" s="145"/>
    </row>
    <row r="249" spans="1:3" s="114" customFormat="1">
      <c r="A249" s="145"/>
      <c r="B249" s="145"/>
      <c r="C249" s="145"/>
    </row>
    <row r="250" spans="1:3" s="114" customFormat="1">
      <c r="A250" s="145"/>
      <c r="B250" s="145"/>
      <c r="C250" s="145"/>
    </row>
    <row r="251" spans="1:3" s="114" customFormat="1">
      <c r="A251" s="145"/>
      <c r="B251" s="145"/>
      <c r="C251" s="145"/>
    </row>
    <row r="252" spans="1:3" s="114" customFormat="1">
      <c r="A252" s="145"/>
      <c r="B252" s="145"/>
      <c r="C252" s="145"/>
    </row>
    <row r="253" spans="1:3" s="114" customFormat="1">
      <c r="A253" s="145"/>
      <c r="B253" s="145"/>
      <c r="C253" s="145"/>
    </row>
    <row r="254" spans="1:3" s="114" customFormat="1">
      <c r="A254" s="145"/>
      <c r="B254" s="145"/>
      <c r="C254" s="145"/>
    </row>
    <row r="255" spans="1:3" s="114" customFormat="1">
      <c r="A255" s="145"/>
      <c r="B255" s="145"/>
      <c r="C255" s="145"/>
    </row>
    <row r="256" spans="1:3" s="114" customFormat="1">
      <c r="A256" s="145"/>
      <c r="B256" s="145"/>
      <c r="C256" s="145"/>
    </row>
    <row r="257" spans="1:3" s="114" customFormat="1">
      <c r="A257" s="145"/>
      <c r="B257" s="145"/>
      <c r="C257" s="145"/>
    </row>
    <row r="258" spans="1:3" s="114" customFormat="1">
      <c r="A258" s="145"/>
      <c r="B258" s="145"/>
      <c r="C258" s="145"/>
    </row>
    <row r="259" spans="1:3" s="114" customFormat="1">
      <c r="A259" s="145"/>
      <c r="B259" s="145"/>
      <c r="C259" s="145"/>
    </row>
    <row r="260" spans="1:3" s="114" customFormat="1">
      <c r="A260" s="145"/>
      <c r="B260" s="145"/>
      <c r="C260" s="145"/>
    </row>
    <row r="261" spans="1:3" s="114" customFormat="1">
      <c r="A261" s="145"/>
      <c r="B261" s="145"/>
      <c r="C261" s="145"/>
    </row>
    <row r="262" spans="1:3" s="114" customFormat="1">
      <c r="A262" s="145"/>
      <c r="B262" s="145"/>
      <c r="C262" s="145"/>
    </row>
    <row r="263" spans="1:3" s="114" customFormat="1">
      <c r="A263" s="145"/>
      <c r="B263" s="145"/>
      <c r="C263" s="145"/>
    </row>
    <row r="264" spans="1:3" s="114" customFormat="1">
      <c r="A264" s="145"/>
      <c r="B264" s="145"/>
      <c r="C264" s="145"/>
    </row>
    <row r="265" spans="1:3" s="114" customFormat="1">
      <c r="A265" s="145"/>
      <c r="B265" s="145"/>
      <c r="C265" s="145"/>
    </row>
    <row r="266" spans="1:3" s="114" customFormat="1">
      <c r="A266" s="145"/>
      <c r="B266" s="145"/>
      <c r="C266" s="145"/>
    </row>
    <row r="267" spans="1:3" s="114" customFormat="1">
      <c r="A267" s="145"/>
      <c r="B267" s="145"/>
      <c r="C267" s="145"/>
    </row>
    <row r="268" spans="1:3" s="114" customFormat="1">
      <c r="A268" s="145"/>
      <c r="B268" s="145"/>
      <c r="C268" s="145"/>
    </row>
    <row r="269" spans="1:3" s="114" customFormat="1">
      <c r="A269" s="145"/>
      <c r="B269" s="145"/>
      <c r="C269" s="145"/>
    </row>
    <row r="270" spans="1:3" s="114" customFormat="1">
      <c r="A270" s="145"/>
      <c r="B270" s="145"/>
      <c r="C270" s="145"/>
    </row>
    <row r="271" spans="1:3" s="114" customFormat="1">
      <c r="A271" s="145"/>
      <c r="B271" s="145"/>
      <c r="C271" s="145"/>
    </row>
    <row r="272" spans="1:3" s="114" customFormat="1">
      <c r="A272" s="145"/>
      <c r="B272" s="145"/>
      <c r="C272" s="145"/>
    </row>
    <row r="273" spans="1:3" s="114" customFormat="1">
      <c r="A273" s="145"/>
      <c r="B273" s="145"/>
      <c r="C273" s="145"/>
    </row>
    <row r="274" spans="1:3" s="114" customFormat="1">
      <c r="A274" s="145"/>
      <c r="B274" s="145"/>
      <c r="C274" s="145"/>
    </row>
    <row r="275" spans="1:3" s="114" customFormat="1">
      <c r="A275" s="145"/>
      <c r="B275" s="145"/>
      <c r="C275" s="145"/>
    </row>
    <row r="276" spans="1:3" s="114" customFormat="1">
      <c r="A276" s="145"/>
      <c r="B276" s="145"/>
      <c r="C276" s="145"/>
    </row>
    <row r="277" spans="1:3" s="114" customFormat="1">
      <c r="A277" s="145"/>
      <c r="B277" s="145"/>
      <c r="C277" s="145"/>
    </row>
    <row r="278" spans="1:3" s="114" customFormat="1">
      <c r="A278" s="145"/>
      <c r="B278" s="145"/>
      <c r="C278" s="145"/>
    </row>
    <row r="279" spans="1:3" s="114" customFormat="1">
      <c r="A279" s="145"/>
      <c r="B279" s="145"/>
      <c r="C279" s="145"/>
    </row>
    <row r="280" spans="1:3" s="114" customFormat="1">
      <c r="A280" s="145"/>
      <c r="B280" s="145"/>
      <c r="C280" s="145"/>
    </row>
    <row r="281" spans="1:3" s="114" customFormat="1">
      <c r="A281" s="145"/>
      <c r="B281" s="145"/>
      <c r="C281" s="145"/>
    </row>
    <row r="282" spans="1:3" s="114" customFormat="1">
      <c r="A282" s="145"/>
      <c r="B282" s="145"/>
      <c r="C282" s="145"/>
    </row>
    <row r="283" spans="1:3" s="114" customFormat="1">
      <c r="A283" s="145"/>
      <c r="B283" s="145"/>
      <c r="C283" s="145"/>
    </row>
    <row r="284" spans="1:3" s="114" customFormat="1">
      <c r="A284" s="145"/>
      <c r="B284" s="145"/>
      <c r="C284" s="145"/>
    </row>
    <row r="285" spans="1:3" s="114" customFormat="1">
      <c r="A285" s="145"/>
      <c r="B285" s="145"/>
      <c r="C285" s="145"/>
    </row>
    <row r="286" spans="1:3" s="114" customFormat="1">
      <c r="A286" s="145"/>
      <c r="B286" s="145"/>
      <c r="C286" s="145"/>
    </row>
    <row r="287" spans="1:3" s="114" customFormat="1">
      <c r="A287" s="145"/>
      <c r="B287" s="145"/>
      <c r="C287" s="145"/>
    </row>
    <row r="288" spans="1:3" s="114" customFormat="1">
      <c r="A288" s="145"/>
      <c r="B288" s="145"/>
      <c r="C288" s="145"/>
    </row>
    <row r="289" spans="1:3" s="114" customFormat="1">
      <c r="A289" s="145"/>
      <c r="B289" s="145"/>
      <c r="C289" s="145"/>
    </row>
    <row r="290" spans="1:3" s="114" customFormat="1">
      <c r="A290" s="145"/>
      <c r="B290" s="145"/>
      <c r="C290" s="145"/>
    </row>
    <row r="291" spans="1:3" s="114" customFormat="1">
      <c r="A291" s="145"/>
      <c r="B291" s="145"/>
      <c r="C291" s="145"/>
    </row>
    <row r="292" spans="1:3" s="114" customFormat="1">
      <c r="A292" s="145"/>
      <c r="B292" s="145"/>
      <c r="C292" s="145"/>
    </row>
    <row r="293" spans="1:3" s="114" customFormat="1">
      <c r="A293" s="145"/>
      <c r="B293" s="145"/>
      <c r="C293" s="145"/>
    </row>
    <row r="294" spans="1:3" s="114" customFormat="1">
      <c r="A294" s="145"/>
      <c r="B294" s="145"/>
      <c r="C294" s="145"/>
    </row>
    <row r="295" spans="1:3" s="114" customFormat="1">
      <c r="A295" s="145"/>
      <c r="B295" s="145"/>
      <c r="C295" s="145"/>
    </row>
    <row r="296" spans="1:3" s="114" customFormat="1">
      <c r="A296" s="145"/>
      <c r="B296" s="145"/>
      <c r="C296" s="145"/>
    </row>
    <row r="297" spans="1:3" s="114" customFormat="1">
      <c r="A297" s="145"/>
      <c r="B297" s="145"/>
      <c r="C297" s="145"/>
    </row>
    <row r="298" spans="1:3" s="114" customFormat="1">
      <c r="A298" s="145"/>
      <c r="B298" s="145"/>
      <c r="C298" s="145"/>
    </row>
    <row r="299" spans="1:3" s="114" customFormat="1">
      <c r="A299" s="145"/>
      <c r="B299" s="145"/>
      <c r="C299" s="145"/>
    </row>
    <row r="300" spans="1:3" s="114" customFormat="1">
      <c r="A300" s="145"/>
      <c r="B300" s="145"/>
      <c r="C300" s="145"/>
    </row>
    <row r="301" spans="1:3" s="114" customFormat="1">
      <c r="A301" s="145"/>
      <c r="B301" s="145"/>
      <c r="C301" s="145"/>
    </row>
    <row r="302" spans="1:3" s="114" customFormat="1">
      <c r="A302" s="145"/>
      <c r="B302" s="145"/>
      <c r="C302" s="145"/>
    </row>
    <row r="303" spans="1:3" s="114" customFormat="1">
      <c r="A303" s="145"/>
      <c r="B303" s="145"/>
      <c r="C303" s="145"/>
    </row>
    <row r="304" spans="1:3" s="114" customFormat="1">
      <c r="A304" s="145"/>
      <c r="B304" s="145"/>
      <c r="C304" s="145"/>
    </row>
    <row r="305" spans="1:3" s="114" customFormat="1">
      <c r="A305" s="145"/>
      <c r="B305" s="145"/>
      <c r="C305" s="145"/>
    </row>
    <row r="306" spans="1:3" s="114" customFormat="1">
      <c r="A306" s="145"/>
      <c r="B306" s="145"/>
      <c r="C306" s="145"/>
    </row>
    <row r="307" spans="1:3" s="114" customFormat="1">
      <c r="A307" s="145"/>
      <c r="B307" s="145"/>
      <c r="C307" s="145"/>
    </row>
    <row r="308" spans="1:3" s="114" customFormat="1">
      <c r="A308" s="145"/>
      <c r="B308" s="145"/>
      <c r="C308" s="145"/>
    </row>
    <row r="309" spans="1:3" s="114" customFormat="1">
      <c r="A309" s="145"/>
      <c r="B309" s="145"/>
      <c r="C309" s="145"/>
    </row>
    <row r="310" spans="1:3" s="114" customFormat="1">
      <c r="A310" s="145"/>
      <c r="B310" s="145"/>
      <c r="C310" s="145"/>
    </row>
    <row r="311" spans="1:3" s="114" customFormat="1">
      <c r="A311" s="145"/>
      <c r="B311" s="145"/>
      <c r="C311" s="145"/>
    </row>
    <row r="312" spans="1:3" s="114" customFormat="1">
      <c r="A312" s="145"/>
      <c r="B312" s="145"/>
      <c r="C312" s="145"/>
    </row>
    <row r="313" spans="1:3" s="114" customFormat="1">
      <c r="A313" s="145"/>
      <c r="B313" s="145"/>
      <c r="C313" s="145"/>
    </row>
    <row r="314" spans="1:3" s="114" customFormat="1">
      <c r="A314" s="145"/>
      <c r="B314" s="145"/>
      <c r="C314" s="145"/>
    </row>
    <row r="315" spans="1:3" s="114" customFormat="1">
      <c r="A315" s="145"/>
      <c r="B315" s="145"/>
      <c r="C315" s="145"/>
    </row>
    <row r="316" spans="1:3" s="114" customFormat="1">
      <c r="A316" s="145"/>
      <c r="B316" s="145"/>
      <c r="C316" s="145"/>
    </row>
    <row r="317" spans="1:3" s="114" customFormat="1">
      <c r="A317" s="145"/>
      <c r="B317" s="145"/>
      <c r="C317" s="145"/>
    </row>
    <row r="318" spans="1:3" s="114" customFormat="1">
      <c r="A318" s="145"/>
      <c r="B318" s="145"/>
      <c r="C318" s="145"/>
    </row>
    <row r="319" spans="1:3" s="114" customFormat="1">
      <c r="A319" s="145"/>
      <c r="B319" s="145"/>
      <c r="C319" s="145"/>
    </row>
    <row r="320" spans="1:3" s="114" customFormat="1">
      <c r="A320" s="145"/>
      <c r="B320" s="145"/>
      <c r="C320" s="145"/>
    </row>
    <row r="321" spans="1:3" s="114" customFormat="1">
      <c r="A321" s="145"/>
      <c r="B321" s="145"/>
      <c r="C321" s="145"/>
    </row>
    <row r="322" spans="1:3" s="114" customFormat="1">
      <c r="A322" s="145"/>
      <c r="B322" s="145"/>
      <c r="C322" s="145"/>
    </row>
    <row r="323" spans="1:3" s="114" customFormat="1">
      <c r="A323" s="145"/>
      <c r="B323" s="145"/>
      <c r="C323" s="145"/>
    </row>
    <row r="324" spans="1:3" s="114" customFormat="1">
      <c r="A324" s="145"/>
      <c r="B324" s="145"/>
      <c r="C324" s="145"/>
    </row>
    <row r="325" spans="1:3" s="114" customFormat="1">
      <c r="A325" s="145"/>
      <c r="B325" s="145"/>
      <c r="C325" s="145"/>
    </row>
    <row r="326" spans="1:3" s="114" customFormat="1">
      <c r="A326" s="145"/>
      <c r="B326" s="145"/>
      <c r="C326" s="145"/>
    </row>
    <row r="327" spans="1:3" s="114" customFormat="1">
      <c r="A327" s="145"/>
      <c r="B327" s="145"/>
      <c r="C327" s="145"/>
    </row>
    <row r="328" spans="1:3" s="114" customFormat="1">
      <c r="A328" s="145"/>
      <c r="B328" s="145"/>
      <c r="C328" s="145"/>
    </row>
    <row r="329" spans="1:3" s="114" customFormat="1">
      <c r="A329" s="145"/>
      <c r="B329" s="145"/>
      <c r="C329" s="145"/>
    </row>
    <row r="330" spans="1:3" s="114" customFormat="1">
      <c r="A330" s="145"/>
      <c r="B330" s="145"/>
      <c r="C330" s="145"/>
    </row>
    <row r="331" spans="1:3" s="114" customFormat="1">
      <c r="A331" s="145"/>
      <c r="B331" s="145"/>
      <c r="C331" s="145"/>
    </row>
    <row r="332" spans="1:3" s="114" customFormat="1">
      <c r="A332" s="145"/>
      <c r="B332" s="145"/>
      <c r="C332" s="145"/>
    </row>
    <row r="333" spans="1:3" s="114" customFormat="1">
      <c r="A333" s="145"/>
      <c r="B333" s="145"/>
      <c r="C333" s="145"/>
    </row>
    <row r="334" spans="1:3" s="114" customFormat="1">
      <c r="A334" s="145"/>
      <c r="B334" s="145"/>
      <c r="C334" s="145"/>
    </row>
    <row r="335" spans="1:3" s="114" customFormat="1">
      <c r="A335" s="145"/>
      <c r="B335" s="145"/>
      <c r="C335" s="145"/>
    </row>
    <row r="336" spans="1:3" s="114" customFormat="1">
      <c r="A336" s="145"/>
      <c r="B336" s="145"/>
      <c r="C336" s="145"/>
    </row>
    <row r="337" spans="1:3" s="114" customFormat="1">
      <c r="A337" s="145"/>
      <c r="B337" s="145"/>
      <c r="C337" s="145"/>
    </row>
    <row r="338" spans="1:3" s="114" customFormat="1">
      <c r="A338" s="145"/>
      <c r="B338" s="145"/>
      <c r="C338" s="145"/>
    </row>
    <row r="339" spans="1:3" s="114" customFormat="1">
      <c r="A339" s="145"/>
      <c r="B339" s="145"/>
      <c r="C339" s="145"/>
    </row>
    <row r="340" spans="1:3" s="114" customFormat="1">
      <c r="A340" s="145"/>
      <c r="B340" s="145"/>
      <c r="C340" s="145"/>
    </row>
    <row r="341" spans="1:3" s="114" customFormat="1">
      <c r="A341" s="145"/>
      <c r="B341" s="145"/>
      <c r="C341" s="145"/>
    </row>
    <row r="342" spans="1:3" s="114" customFormat="1">
      <c r="A342" s="145"/>
      <c r="B342" s="145"/>
      <c r="C342" s="145"/>
    </row>
    <row r="343" spans="1:3" s="114" customFormat="1">
      <c r="A343" s="145"/>
      <c r="B343" s="145"/>
      <c r="C343" s="145"/>
    </row>
    <row r="344" spans="1:3" s="114" customFormat="1">
      <c r="A344" s="145"/>
      <c r="B344" s="145"/>
      <c r="C344" s="145"/>
    </row>
    <row r="345" spans="1:3" s="114" customFormat="1">
      <c r="A345" s="145"/>
      <c r="B345" s="145"/>
      <c r="C345" s="145"/>
    </row>
    <row r="346" spans="1:3" s="114" customFormat="1">
      <c r="A346" s="145"/>
      <c r="B346" s="145"/>
      <c r="C346" s="145"/>
    </row>
    <row r="347" spans="1:3" s="114" customFormat="1">
      <c r="A347" s="145"/>
      <c r="B347" s="145"/>
      <c r="C347" s="145"/>
    </row>
    <row r="348" spans="1:3" s="114" customFormat="1">
      <c r="A348" s="145"/>
      <c r="B348" s="145"/>
      <c r="C348" s="145"/>
    </row>
    <row r="349" spans="1:3" s="114" customFormat="1">
      <c r="A349" s="145"/>
      <c r="B349" s="145"/>
      <c r="C349" s="145"/>
    </row>
    <row r="350" spans="1:3" s="114" customFormat="1">
      <c r="A350" s="145"/>
      <c r="B350" s="145"/>
      <c r="C350" s="145"/>
    </row>
    <row r="351" spans="1:3" s="114" customFormat="1">
      <c r="A351" s="145"/>
      <c r="B351" s="145"/>
      <c r="C351" s="145"/>
    </row>
    <row r="352" spans="1:3" s="114" customFormat="1">
      <c r="A352" s="145"/>
      <c r="B352" s="145"/>
      <c r="C352" s="145"/>
    </row>
    <row r="353" spans="1:3" s="114" customFormat="1">
      <c r="A353" s="145"/>
      <c r="B353" s="145"/>
      <c r="C353" s="145"/>
    </row>
    <row r="354" spans="1:3" s="114" customFormat="1">
      <c r="A354" s="145"/>
      <c r="B354" s="145"/>
      <c r="C354" s="145"/>
    </row>
    <row r="355" spans="1:3" s="114" customFormat="1">
      <c r="A355" s="145"/>
      <c r="B355" s="145"/>
      <c r="C355" s="145"/>
    </row>
    <row r="356" spans="1:3" s="114" customFormat="1">
      <c r="A356" s="145"/>
      <c r="B356" s="145"/>
      <c r="C356" s="145"/>
    </row>
    <row r="357" spans="1:3" s="114" customFormat="1">
      <c r="A357" s="145"/>
      <c r="B357" s="145"/>
      <c r="C357" s="145"/>
    </row>
    <row r="358" spans="1:3" s="114" customFormat="1">
      <c r="A358" s="145"/>
      <c r="B358" s="145"/>
      <c r="C358" s="145"/>
    </row>
    <row r="359" spans="1:3" s="114" customFormat="1">
      <c r="A359" s="145"/>
      <c r="B359" s="145"/>
      <c r="C359" s="145"/>
    </row>
    <row r="360" spans="1:3" s="114" customFormat="1">
      <c r="A360" s="145"/>
      <c r="B360" s="145"/>
      <c r="C360" s="145"/>
    </row>
    <row r="361" spans="1:3" s="114" customFormat="1">
      <c r="A361" s="145"/>
      <c r="B361" s="145"/>
      <c r="C361" s="145"/>
    </row>
    <row r="362" spans="1:3" s="114" customFormat="1">
      <c r="A362" s="145"/>
      <c r="B362" s="145"/>
      <c r="C362" s="145"/>
    </row>
    <row r="363" spans="1:3" s="114" customFormat="1">
      <c r="A363" s="145"/>
      <c r="B363" s="145"/>
      <c r="C363" s="145"/>
    </row>
    <row r="364" spans="1:3" s="114" customFormat="1">
      <c r="A364" s="145"/>
      <c r="B364" s="145"/>
      <c r="C364" s="145"/>
    </row>
    <row r="365" spans="1:3" s="114" customFormat="1">
      <c r="A365" s="145"/>
      <c r="B365" s="145"/>
      <c r="C365" s="145"/>
    </row>
    <row r="366" spans="1:3" s="114" customFormat="1">
      <c r="A366" s="145"/>
      <c r="B366" s="145"/>
      <c r="C366" s="145"/>
    </row>
    <row r="367" spans="1:3" s="114" customFormat="1">
      <c r="A367" s="145"/>
      <c r="B367" s="145"/>
      <c r="C367" s="145"/>
    </row>
    <row r="368" spans="1:3" s="114" customFormat="1">
      <c r="A368" s="145"/>
      <c r="B368" s="145"/>
      <c r="C368" s="145"/>
    </row>
    <row r="369" spans="1:3" s="114" customFormat="1">
      <c r="A369" s="145"/>
      <c r="B369" s="145"/>
      <c r="C369" s="145"/>
    </row>
    <row r="370" spans="1:3" s="114" customFormat="1">
      <c r="A370" s="145"/>
      <c r="B370" s="145"/>
      <c r="C370" s="145"/>
    </row>
    <row r="371" spans="1:3" s="114" customFormat="1">
      <c r="A371" s="145"/>
      <c r="B371" s="145"/>
      <c r="C371" s="145"/>
    </row>
    <row r="372" spans="1:3" s="114" customFormat="1">
      <c r="A372" s="145"/>
      <c r="B372" s="145"/>
      <c r="C372" s="145"/>
    </row>
    <row r="373" spans="1:3" s="114" customFormat="1">
      <c r="A373" s="145"/>
      <c r="B373" s="145"/>
      <c r="C373" s="145"/>
    </row>
    <row r="374" spans="1:3" s="114" customFormat="1">
      <c r="A374" s="145"/>
      <c r="B374" s="145"/>
      <c r="C374" s="145"/>
    </row>
    <row r="375" spans="1:3" s="114" customFormat="1">
      <c r="A375" s="145"/>
      <c r="B375" s="145"/>
      <c r="C375" s="145"/>
    </row>
    <row r="376" spans="1:3" s="114" customFormat="1">
      <c r="A376" s="145"/>
      <c r="B376" s="145"/>
      <c r="C376" s="145"/>
    </row>
    <row r="377" spans="1:3" s="114" customFormat="1">
      <c r="A377" s="145"/>
      <c r="B377" s="145"/>
      <c r="C377" s="145"/>
    </row>
    <row r="378" spans="1:3" s="114" customFormat="1">
      <c r="A378" s="145"/>
      <c r="B378" s="145"/>
      <c r="C378" s="145"/>
    </row>
    <row r="379" spans="1:3" s="114" customFormat="1">
      <c r="A379" s="145"/>
      <c r="B379" s="145"/>
      <c r="C379" s="145"/>
    </row>
    <row r="380" spans="1:3" s="114" customFormat="1">
      <c r="A380" s="145"/>
      <c r="B380" s="145"/>
      <c r="C380" s="145"/>
    </row>
    <row r="381" spans="1:3" s="114" customFormat="1">
      <c r="A381" s="145"/>
      <c r="B381" s="145"/>
      <c r="C381" s="145"/>
    </row>
    <row r="382" spans="1:3" s="114" customFormat="1">
      <c r="A382" s="145"/>
      <c r="B382" s="145"/>
      <c r="C382" s="145"/>
    </row>
    <row r="383" spans="1:3" s="114" customFormat="1">
      <c r="A383" s="145"/>
      <c r="B383" s="145"/>
      <c r="C383" s="145"/>
    </row>
    <row r="384" spans="1:3" s="114" customFormat="1">
      <c r="A384" s="145"/>
      <c r="B384" s="145"/>
      <c r="C384" s="145"/>
    </row>
    <row r="385" spans="1:3" s="114" customFormat="1">
      <c r="A385" s="145"/>
      <c r="B385" s="145"/>
      <c r="C385" s="145"/>
    </row>
    <row r="386" spans="1:3" s="114" customFormat="1">
      <c r="A386" s="145"/>
      <c r="B386" s="145"/>
      <c r="C386" s="145"/>
    </row>
    <row r="387" spans="1:3" s="114" customFormat="1">
      <c r="A387" s="145"/>
      <c r="B387" s="145"/>
      <c r="C387" s="145"/>
    </row>
    <row r="388" spans="1:3" s="114" customFormat="1">
      <c r="A388" s="145"/>
      <c r="B388" s="145"/>
      <c r="C388" s="145"/>
    </row>
    <row r="389" spans="1:3" s="114" customFormat="1">
      <c r="A389" s="145"/>
      <c r="B389" s="145"/>
      <c r="C389" s="145"/>
    </row>
    <row r="390" spans="1:3" s="114" customFormat="1">
      <c r="A390" s="145"/>
      <c r="B390" s="145"/>
      <c r="C390" s="145"/>
    </row>
    <row r="391" spans="1:3" s="114" customFormat="1">
      <c r="A391" s="145"/>
      <c r="B391" s="145"/>
      <c r="C391" s="145"/>
    </row>
    <row r="392" spans="1:3" s="114" customFormat="1">
      <c r="A392" s="145"/>
      <c r="B392" s="145"/>
      <c r="C392" s="145"/>
    </row>
    <row r="393" spans="1:3" s="114" customFormat="1">
      <c r="A393" s="145"/>
      <c r="B393" s="145"/>
      <c r="C393" s="145"/>
    </row>
    <row r="394" spans="1:3" s="114" customFormat="1">
      <c r="A394" s="145"/>
      <c r="B394" s="145"/>
      <c r="C394" s="145"/>
    </row>
    <row r="395" spans="1:3" s="114" customFormat="1">
      <c r="A395" s="145"/>
      <c r="B395" s="145"/>
      <c r="C395" s="145"/>
    </row>
    <row r="396" spans="1:3" s="114" customFormat="1">
      <c r="A396" s="145"/>
      <c r="B396" s="145"/>
      <c r="C396" s="145"/>
    </row>
    <row r="397" spans="1:3" s="114" customFormat="1">
      <c r="A397" s="145"/>
      <c r="B397" s="145"/>
      <c r="C397" s="145"/>
    </row>
    <row r="398" spans="1:3" s="114" customFormat="1">
      <c r="A398" s="145"/>
      <c r="B398" s="145"/>
      <c r="C398" s="145"/>
    </row>
    <row r="399" spans="1:3" s="114" customFormat="1">
      <c r="A399" s="145"/>
      <c r="B399" s="145"/>
      <c r="C399" s="145"/>
    </row>
    <row r="400" spans="1:3" s="114" customFormat="1">
      <c r="A400" s="145"/>
      <c r="B400" s="145"/>
      <c r="C400" s="145"/>
    </row>
    <row r="401" spans="1:3" s="114" customFormat="1">
      <c r="A401" s="145"/>
      <c r="B401" s="145"/>
      <c r="C401" s="145"/>
    </row>
    <row r="402" spans="1:3" s="114" customFormat="1">
      <c r="A402" s="145"/>
      <c r="B402" s="145"/>
      <c r="C402" s="145"/>
    </row>
    <row r="403" spans="1:3" s="114" customFormat="1">
      <c r="A403" s="145"/>
      <c r="B403" s="145"/>
      <c r="C403" s="145"/>
    </row>
    <row r="404" spans="1:3" s="114" customFormat="1">
      <c r="A404" s="145"/>
      <c r="B404" s="145"/>
      <c r="C404" s="145"/>
    </row>
    <row r="405" spans="1:3" s="114" customFormat="1">
      <c r="A405" s="145"/>
      <c r="B405" s="145"/>
      <c r="C405" s="145"/>
    </row>
    <row r="406" spans="1:3" s="114" customFormat="1">
      <c r="A406" s="145"/>
      <c r="B406" s="145"/>
      <c r="C406" s="145"/>
    </row>
    <row r="407" spans="1:3" s="114" customFormat="1">
      <c r="A407" s="145"/>
      <c r="B407" s="145"/>
      <c r="C407" s="145"/>
    </row>
    <row r="408" spans="1:3" s="114" customFormat="1">
      <c r="A408" s="145"/>
      <c r="B408" s="145"/>
      <c r="C408" s="145"/>
    </row>
    <row r="409" spans="1:3" s="114" customFormat="1">
      <c r="A409" s="145"/>
      <c r="B409" s="145"/>
      <c r="C409" s="145"/>
    </row>
    <row r="410" spans="1:3" s="114" customFormat="1">
      <c r="A410" s="145"/>
      <c r="B410" s="145"/>
      <c r="C410" s="145"/>
    </row>
    <row r="411" spans="1:3" s="114" customFormat="1">
      <c r="A411" s="145"/>
      <c r="B411" s="145"/>
      <c r="C411" s="145"/>
    </row>
    <row r="412" spans="1:3" s="114" customFormat="1">
      <c r="A412" s="145"/>
      <c r="B412" s="145"/>
      <c r="C412" s="145"/>
    </row>
    <row r="413" spans="1:3" s="114" customFormat="1">
      <c r="A413" s="145"/>
      <c r="B413" s="145"/>
      <c r="C413" s="145"/>
    </row>
    <row r="414" spans="1:3" s="114" customFormat="1">
      <c r="A414" s="145"/>
      <c r="B414" s="145"/>
      <c r="C414" s="145"/>
    </row>
    <row r="415" spans="1:3" s="114" customFormat="1">
      <c r="A415" s="145"/>
      <c r="B415" s="145"/>
      <c r="C415" s="145"/>
    </row>
    <row r="416" spans="1:3" s="114" customFormat="1">
      <c r="A416" s="145"/>
      <c r="B416" s="145"/>
      <c r="C416" s="145"/>
    </row>
    <row r="417" spans="1:3" s="114" customFormat="1">
      <c r="A417" s="145"/>
      <c r="B417" s="145"/>
      <c r="C417" s="145"/>
    </row>
    <row r="418" spans="1:3" s="114" customFormat="1">
      <c r="A418" s="145"/>
      <c r="B418" s="145"/>
      <c r="C418" s="145"/>
    </row>
    <row r="419" spans="1:3" s="114" customFormat="1">
      <c r="A419" s="145"/>
      <c r="B419" s="145"/>
      <c r="C419" s="145"/>
    </row>
    <row r="420" spans="1:3" s="114" customFormat="1">
      <c r="A420" s="145"/>
      <c r="B420" s="145"/>
      <c r="C420" s="145"/>
    </row>
    <row r="421" spans="1:3" s="114" customFormat="1">
      <c r="A421" s="145"/>
      <c r="B421" s="145"/>
      <c r="C421" s="145"/>
    </row>
    <row r="422" spans="1:3" s="114" customFormat="1">
      <c r="A422" s="145"/>
      <c r="B422" s="145"/>
      <c r="C422" s="145"/>
    </row>
    <row r="423" spans="1:3" s="114" customFormat="1">
      <c r="A423" s="145"/>
      <c r="B423" s="145"/>
      <c r="C423" s="145"/>
    </row>
    <row r="424" spans="1:3" s="114" customFormat="1">
      <c r="A424" s="145"/>
      <c r="B424" s="145"/>
      <c r="C424" s="145"/>
    </row>
    <row r="425" spans="1:3" s="114" customFormat="1">
      <c r="A425" s="145"/>
      <c r="B425" s="145"/>
      <c r="C425" s="145"/>
    </row>
    <row r="426" spans="1:3" s="114" customFormat="1">
      <c r="A426" s="145"/>
      <c r="B426" s="145"/>
      <c r="C426" s="145"/>
    </row>
    <row r="427" spans="1:3" s="114" customFormat="1">
      <c r="A427" s="145"/>
      <c r="B427" s="145"/>
      <c r="C427" s="145"/>
    </row>
    <row r="428" spans="1:3" s="114" customFormat="1">
      <c r="A428" s="145"/>
      <c r="B428" s="145"/>
      <c r="C428" s="145"/>
    </row>
    <row r="429" spans="1:3" s="114" customFormat="1">
      <c r="A429" s="145"/>
      <c r="B429" s="145"/>
      <c r="C429" s="145"/>
    </row>
    <row r="430" spans="1:3" s="114" customFormat="1">
      <c r="A430" s="145"/>
      <c r="B430" s="145"/>
      <c r="C430" s="145"/>
    </row>
    <row r="431" spans="1:3" s="114" customFormat="1">
      <c r="A431" s="145"/>
      <c r="B431" s="145"/>
      <c r="C431" s="145"/>
    </row>
    <row r="432" spans="1:3" s="114" customFormat="1">
      <c r="A432" s="145"/>
      <c r="B432" s="145"/>
      <c r="C432" s="145"/>
    </row>
    <row r="433" spans="1:3" s="114" customFormat="1">
      <c r="A433" s="145"/>
      <c r="B433" s="145"/>
      <c r="C433" s="145"/>
    </row>
    <row r="434" spans="1:3" s="114" customFormat="1">
      <c r="A434" s="145"/>
      <c r="B434" s="145"/>
      <c r="C434" s="145"/>
    </row>
    <row r="435" spans="1:3" s="114" customFormat="1">
      <c r="A435" s="145"/>
      <c r="B435" s="145"/>
      <c r="C435" s="145"/>
    </row>
    <row r="436" spans="1:3" s="114" customFormat="1">
      <c r="A436" s="145"/>
      <c r="B436" s="145"/>
      <c r="C436" s="145"/>
    </row>
    <row r="437" spans="1:3" s="114" customFormat="1">
      <c r="A437" s="145"/>
      <c r="B437" s="145"/>
      <c r="C437" s="145"/>
    </row>
    <row r="438" spans="1:3" s="114" customFormat="1">
      <c r="A438" s="145"/>
      <c r="B438" s="145"/>
      <c r="C438" s="145"/>
    </row>
    <row r="439" spans="1:3" s="114" customFormat="1">
      <c r="A439" s="145"/>
      <c r="B439" s="145"/>
      <c r="C439" s="145"/>
    </row>
    <row r="440" spans="1:3" s="114" customFormat="1">
      <c r="A440" s="145"/>
      <c r="B440" s="145"/>
      <c r="C440" s="145"/>
    </row>
    <row r="441" spans="1:3" s="114" customFormat="1">
      <c r="A441" s="145"/>
      <c r="B441" s="145"/>
      <c r="C441" s="145"/>
    </row>
    <row r="442" spans="1:3" s="114" customFormat="1">
      <c r="A442" s="145"/>
      <c r="B442" s="145"/>
      <c r="C442" s="145"/>
    </row>
    <row r="443" spans="1:3" s="114" customFormat="1">
      <c r="A443" s="145"/>
      <c r="B443" s="145"/>
      <c r="C443" s="145"/>
    </row>
    <row r="444" spans="1:3" s="114" customFormat="1">
      <c r="A444" s="145"/>
      <c r="B444" s="145"/>
      <c r="C444" s="145"/>
    </row>
    <row r="445" spans="1:3" s="114" customFormat="1">
      <c r="A445" s="145"/>
      <c r="B445" s="145"/>
      <c r="C445" s="145"/>
    </row>
    <row r="446" spans="1:3" s="114" customFormat="1">
      <c r="A446" s="145"/>
      <c r="B446" s="145"/>
      <c r="C446" s="145"/>
    </row>
    <row r="447" spans="1:3" s="114" customFormat="1">
      <c r="A447" s="145"/>
      <c r="B447" s="145"/>
      <c r="C447" s="145"/>
    </row>
    <row r="448" spans="1:3" s="114" customFormat="1">
      <c r="A448" s="145"/>
      <c r="B448" s="145"/>
      <c r="C448" s="145"/>
    </row>
    <row r="449" spans="1:3" s="114" customFormat="1">
      <c r="A449" s="145"/>
      <c r="B449" s="145"/>
      <c r="C449" s="145"/>
    </row>
    <row r="450" spans="1:3" s="114" customFormat="1">
      <c r="A450" s="145"/>
      <c r="B450" s="145"/>
      <c r="C450" s="145"/>
    </row>
    <row r="451" spans="1:3" s="114" customFormat="1">
      <c r="A451" s="145"/>
      <c r="B451" s="145"/>
      <c r="C451" s="145"/>
    </row>
    <row r="452" spans="1:3" s="114" customFormat="1">
      <c r="A452" s="145"/>
      <c r="B452" s="145"/>
      <c r="C452" s="145"/>
    </row>
    <row r="453" spans="1:3" s="114" customFormat="1">
      <c r="A453" s="145"/>
      <c r="B453" s="145"/>
      <c r="C453" s="145"/>
    </row>
    <row r="454" spans="1:3" s="114" customFormat="1">
      <c r="A454" s="145"/>
      <c r="B454" s="145"/>
      <c r="C454" s="145"/>
    </row>
    <row r="455" spans="1:3" s="114" customFormat="1">
      <c r="A455" s="145"/>
      <c r="B455" s="145"/>
      <c r="C455" s="145"/>
    </row>
    <row r="456" spans="1:3" s="114" customFormat="1">
      <c r="A456" s="145"/>
      <c r="B456" s="145"/>
      <c r="C456" s="145"/>
    </row>
    <row r="457" spans="1:3" s="114" customFormat="1">
      <c r="A457" s="145"/>
      <c r="B457" s="145"/>
      <c r="C457" s="145"/>
    </row>
    <row r="458" spans="1:3" s="114" customFormat="1">
      <c r="A458" s="145"/>
      <c r="B458" s="145"/>
      <c r="C458" s="145"/>
    </row>
    <row r="459" spans="1:3" s="114" customFormat="1">
      <c r="A459" s="145"/>
      <c r="B459" s="145"/>
      <c r="C459" s="145"/>
    </row>
    <row r="460" spans="1:3" s="114" customFormat="1">
      <c r="A460" s="145"/>
      <c r="B460" s="145"/>
      <c r="C460" s="145"/>
    </row>
    <row r="461" spans="1:3" s="114" customFormat="1">
      <c r="A461" s="145"/>
      <c r="B461" s="145"/>
      <c r="C461" s="145"/>
    </row>
    <row r="462" spans="1:3" s="114" customFormat="1">
      <c r="A462" s="145"/>
      <c r="B462" s="145"/>
      <c r="C462" s="145"/>
    </row>
    <row r="463" spans="1:3" s="114" customFormat="1">
      <c r="A463" s="145"/>
      <c r="B463" s="145"/>
      <c r="C463" s="145"/>
    </row>
    <row r="464" spans="1:3" s="114" customFormat="1">
      <c r="A464" s="145"/>
      <c r="B464" s="145"/>
      <c r="C464" s="145"/>
    </row>
    <row r="465" spans="1:3" s="114" customFormat="1">
      <c r="A465" s="145"/>
      <c r="B465" s="145"/>
      <c r="C465" s="145"/>
    </row>
    <row r="466" spans="1:3" s="114" customFormat="1">
      <c r="A466" s="145"/>
      <c r="B466" s="145"/>
      <c r="C466" s="145"/>
    </row>
    <row r="467" spans="1:3" s="114" customFormat="1">
      <c r="A467" s="145"/>
      <c r="B467" s="145"/>
      <c r="C467" s="145"/>
    </row>
    <row r="468" spans="1:3" s="114" customFormat="1">
      <c r="A468" s="145"/>
      <c r="B468" s="145"/>
      <c r="C468" s="145"/>
    </row>
    <row r="469" spans="1:3" s="114" customFormat="1">
      <c r="A469" s="145"/>
      <c r="B469" s="145"/>
      <c r="C469" s="145"/>
    </row>
    <row r="470" spans="1:3" s="114" customFormat="1">
      <c r="A470" s="145"/>
      <c r="B470" s="145"/>
      <c r="C470" s="145"/>
    </row>
    <row r="471" spans="1:3" s="114" customFormat="1">
      <c r="A471" s="145"/>
      <c r="B471" s="145"/>
      <c r="C471" s="145"/>
    </row>
    <row r="472" spans="1:3" s="114" customFormat="1">
      <c r="A472" s="145"/>
      <c r="B472" s="145"/>
      <c r="C472" s="145"/>
    </row>
    <row r="473" spans="1:3" s="114" customFormat="1">
      <c r="A473" s="145"/>
      <c r="B473" s="145"/>
      <c r="C473" s="145"/>
    </row>
    <row r="474" spans="1:3" s="114" customFormat="1">
      <c r="A474" s="145"/>
      <c r="B474" s="145"/>
      <c r="C474" s="145"/>
    </row>
    <row r="475" spans="1:3" s="114" customFormat="1">
      <c r="A475" s="145"/>
      <c r="B475" s="145"/>
      <c r="C475" s="145"/>
    </row>
    <row r="476" spans="1:3" s="114" customFormat="1">
      <c r="A476" s="145"/>
      <c r="B476" s="145"/>
      <c r="C476" s="145"/>
    </row>
    <row r="477" spans="1:3" s="114" customFormat="1">
      <c r="A477" s="145"/>
      <c r="B477" s="145"/>
      <c r="C477" s="145"/>
    </row>
    <row r="478" spans="1:3" s="114" customFormat="1">
      <c r="A478" s="145"/>
      <c r="B478" s="145"/>
      <c r="C478" s="145"/>
    </row>
    <row r="479" spans="1:3" s="114" customFormat="1">
      <c r="A479" s="145"/>
      <c r="B479" s="145"/>
      <c r="C479" s="145"/>
    </row>
    <row r="480" spans="1:3" s="114" customFormat="1">
      <c r="A480" s="145"/>
      <c r="B480" s="145"/>
      <c r="C480" s="145"/>
    </row>
    <row r="481" spans="1:3" s="114" customFormat="1">
      <c r="A481" s="145"/>
      <c r="B481" s="145"/>
      <c r="C481" s="145"/>
    </row>
    <row r="482" spans="1:3" s="114" customFormat="1">
      <c r="A482" s="145"/>
      <c r="B482" s="145"/>
      <c r="C482" s="145"/>
    </row>
    <row r="483" spans="1:3" s="114" customFormat="1">
      <c r="A483" s="145"/>
      <c r="B483" s="145"/>
      <c r="C483" s="145"/>
    </row>
    <row r="484" spans="1:3" s="114" customFormat="1">
      <c r="A484" s="145"/>
      <c r="B484" s="145"/>
      <c r="C484" s="145"/>
    </row>
    <row r="485" spans="1:3" s="114" customFormat="1">
      <c r="A485" s="145"/>
      <c r="B485" s="145"/>
      <c r="C485" s="145"/>
    </row>
    <row r="486" spans="1:3" s="114" customFormat="1">
      <c r="A486" s="145"/>
      <c r="B486" s="145"/>
      <c r="C486" s="145"/>
    </row>
    <row r="487" spans="1:3" s="114" customFormat="1">
      <c r="A487" s="145"/>
      <c r="B487" s="145"/>
      <c r="C487" s="145"/>
    </row>
    <row r="488" spans="1:3" s="114" customFormat="1">
      <c r="A488" s="145"/>
      <c r="B488" s="145"/>
      <c r="C488" s="145"/>
    </row>
    <row r="489" spans="1:3" s="114" customFormat="1">
      <c r="A489" s="145"/>
      <c r="B489" s="145"/>
      <c r="C489" s="145"/>
    </row>
    <row r="490" spans="1:3" s="114" customFormat="1">
      <c r="A490" s="145"/>
      <c r="B490" s="145"/>
      <c r="C490" s="145"/>
    </row>
    <row r="491" spans="1:3" s="114" customFormat="1">
      <c r="A491" s="145"/>
      <c r="B491" s="145"/>
      <c r="C491" s="145"/>
    </row>
    <row r="492" spans="1:3" s="114" customFormat="1">
      <c r="A492" s="145"/>
      <c r="B492" s="145"/>
      <c r="C492" s="145"/>
    </row>
    <row r="493" spans="1:3" s="114" customFormat="1">
      <c r="A493" s="145"/>
      <c r="B493" s="145"/>
      <c r="C493" s="145"/>
    </row>
    <row r="494" spans="1:3" s="114" customFormat="1">
      <c r="A494" s="145"/>
      <c r="B494" s="145"/>
      <c r="C494" s="145"/>
    </row>
    <row r="495" spans="1:3" s="114" customFormat="1">
      <c r="A495" s="145"/>
      <c r="B495" s="145"/>
      <c r="C495" s="145"/>
    </row>
    <row r="496" spans="1:3" s="114" customFormat="1">
      <c r="A496" s="145"/>
      <c r="B496" s="145"/>
      <c r="C496" s="145"/>
    </row>
    <row r="497" spans="1:3" s="114" customFormat="1">
      <c r="A497" s="145"/>
      <c r="B497" s="145"/>
      <c r="C497" s="145"/>
    </row>
    <row r="498" spans="1:3" s="114" customFormat="1">
      <c r="A498" s="145"/>
      <c r="B498" s="145"/>
      <c r="C498" s="145"/>
    </row>
    <row r="499" spans="1:3" s="114" customFormat="1">
      <c r="A499" s="145"/>
      <c r="B499" s="145"/>
      <c r="C499" s="145"/>
    </row>
    <row r="500" spans="1:3" s="114" customFormat="1">
      <c r="A500" s="145"/>
      <c r="B500" s="145"/>
      <c r="C500" s="145"/>
    </row>
    <row r="501" spans="1:3" s="114" customFormat="1">
      <c r="A501" s="145"/>
      <c r="B501" s="145"/>
      <c r="C501" s="145"/>
    </row>
    <row r="502" spans="1:3" s="114" customFormat="1">
      <c r="A502" s="145"/>
      <c r="B502" s="145"/>
      <c r="C502" s="145"/>
    </row>
    <row r="503" spans="1:3" s="114" customFormat="1">
      <c r="A503" s="145"/>
      <c r="B503" s="145"/>
      <c r="C503" s="145"/>
    </row>
    <row r="504" spans="1:3" s="114" customFormat="1">
      <c r="A504" s="145"/>
      <c r="B504" s="145"/>
      <c r="C504" s="145"/>
    </row>
    <row r="505" spans="1:3" s="114" customFormat="1">
      <c r="A505" s="145"/>
      <c r="B505" s="145"/>
      <c r="C505" s="145"/>
    </row>
    <row r="506" spans="1:3" s="114" customFormat="1">
      <c r="A506" s="145"/>
      <c r="B506" s="145"/>
      <c r="C506" s="145"/>
    </row>
    <row r="507" spans="1:3" s="114" customFormat="1">
      <c r="A507" s="145"/>
      <c r="B507" s="145"/>
      <c r="C507" s="145"/>
    </row>
    <row r="508" spans="1:3" s="114" customFormat="1">
      <c r="A508" s="145"/>
      <c r="B508" s="145"/>
      <c r="C508" s="145"/>
    </row>
    <row r="509" spans="1:3" s="114" customFormat="1">
      <c r="A509" s="145"/>
      <c r="B509" s="145"/>
      <c r="C509" s="145"/>
    </row>
    <row r="510" spans="1:3" s="114" customFormat="1">
      <c r="A510" s="145"/>
      <c r="B510" s="145"/>
      <c r="C510" s="145"/>
    </row>
    <row r="511" spans="1:3" s="114" customFormat="1">
      <c r="A511" s="145"/>
      <c r="B511" s="145"/>
      <c r="C511" s="145"/>
    </row>
    <row r="512" spans="1:3" s="114" customFormat="1">
      <c r="A512" s="145"/>
      <c r="B512" s="145"/>
      <c r="C512" s="145"/>
    </row>
    <row r="513" spans="1:3" s="114" customFormat="1">
      <c r="A513" s="145"/>
      <c r="B513" s="145"/>
      <c r="C513" s="145"/>
    </row>
    <row r="514" spans="1:3" s="114" customFormat="1">
      <c r="A514" s="145"/>
      <c r="B514" s="145"/>
      <c r="C514" s="145"/>
    </row>
    <row r="515" spans="1:3" s="114" customFormat="1">
      <c r="A515" s="145"/>
      <c r="B515" s="145"/>
      <c r="C515" s="145"/>
    </row>
    <row r="516" spans="1:3" s="114" customFormat="1">
      <c r="A516" s="145"/>
      <c r="B516" s="145"/>
      <c r="C516" s="145"/>
    </row>
    <row r="517" spans="1:3" s="114" customFormat="1">
      <c r="A517" s="145"/>
      <c r="B517" s="145"/>
      <c r="C517" s="145"/>
    </row>
    <row r="518" spans="1:3" s="114" customFormat="1">
      <c r="A518" s="145"/>
      <c r="B518" s="145"/>
      <c r="C518" s="145"/>
    </row>
    <row r="519" spans="1:3" s="114" customFormat="1">
      <c r="A519" s="145"/>
      <c r="B519" s="145"/>
      <c r="C519" s="145"/>
    </row>
    <row r="520" spans="1:3" s="114" customFormat="1">
      <c r="A520" s="145"/>
      <c r="B520" s="145"/>
      <c r="C520" s="145"/>
    </row>
    <row r="521" spans="1:3" s="114" customFormat="1">
      <c r="A521" s="145"/>
      <c r="B521" s="145"/>
      <c r="C521" s="145"/>
    </row>
    <row r="522" spans="1:3" s="114" customFormat="1">
      <c r="A522" s="145"/>
      <c r="B522" s="145"/>
      <c r="C522" s="145"/>
    </row>
    <row r="523" spans="1:3" s="114" customFormat="1">
      <c r="A523" s="145"/>
      <c r="B523" s="145"/>
      <c r="C523" s="145"/>
    </row>
    <row r="524" spans="1:3" s="114" customFormat="1">
      <c r="A524" s="145"/>
      <c r="B524" s="145"/>
      <c r="C524" s="145"/>
    </row>
    <row r="525" spans="1:3" s="114" customFormat="1">
      <c r="A525" s="145"/>
      <c r="B525" s="145"/>
      <c r="C525" s="145"/>
    </row>
    <row r="526" spans="1:3" s="114" customFormat="1">
      <c r="A526" s="145"/>
      <c r="B526" s="145"/>
      <c r="C526" s="145"/>
    </row>
    <row r="527" spans="1:3" s="114" customFormat="1">
      <c r="A527" s="145"/>
      <c r="B527" s="145"/>
      <c r="C527" s="145"/>
    </row>
    <row r="528" spans="1:3" s="114" customFormat="1">
      <c r="A528" s="145"/>
      <c r="B528" s="145"/>
      <c r="C528" s="145"/>
    </row>
    <row r="529" spans="1:3" s="114" customFormat="1">
      <c r="A529" s="145"/>
      <c r="B529" s="145"/>
      <c r="C529" s="145"/>
    </row>
    <row r="530" spans="1:3" s="114" customFormat="1">
      <c r="A530" s="145"/>
      <c r="B530" s="145"/>
      <c r="C530" s="145"/>
    </row>
    <row r="531" spans="1:3" s="114" customFormat="1">
      <c r="A531" s="145"/>
      <c r="B531" s="145"/>
      <c r="C531" s="145"/>
    </row>
    <row r="532" spans="1:3" s="114" customFormat="1">
      <c r="A532" s="145"/>
      <c r="B532" s="145"/>
      <c r="C532" s="145"/>
    </row>
    <row r="533" spans="1:3" s="114" customFormat="1">
      <c r="A533" s="145"/>
      <c r="B533" s="145"/>
      <c r="C533" s="145"/>
    </row>
    <row r="534" spans="1:3" s="114" customFormat="1">
      <c r="A534" s="145"/>
      <c r="B534" s="145"/>
      <c r="C534" s="145"/>
    </row>
    <row r="535" spans="1:3" s="114" customFormat="1">
      <c r="A535" s="145"/>
      <c r="B535" s="145"/>
      <c r="C535" s="145"/>
    </row>
    <row r="536" spans="1:3" s="114" customFormat="1">
      <c r="A536" s="145"/>
      <c r="B536" s="145"/>
      <c r="C536" s="145"/>
    </row>
    <row r="537" spans="1:3" s="114" customFormat="1">
      <c r="A537" s="145"/>
      <c r="B537" s="145"/>
      <c r="C537" s="145"/>
    </row>
    <row r="538" spans="1:3" s="114" customFormat="1">
      <c r="A538" s="145"/>
      <c r="B538" s="145"/>
      <c r="C538" s="145"/>
    </row>
    <row r="539" spans="1:3" s="114" customFormat="1">
      <c r="A539" s="145"/>
      <c r="B539" s="145"/>
      <c r="C539" s="145"/>
    </row>
    <row r="540" spans="1:3" s="114" customFormat="1">
      <c r="A540" s="145"/>
      <c r="B540" s="145"/>
      <c r="C540" s="145"/>
    </row>
    <row r="541" spans="1:3" s="114" customFormat="1">
      <c r="A541" s="145"/>
      <c r="B541" s="145"/>
      <c r="C541" s="145"/>
    </row>
    <row r="542" spans="1:3" s="114" customFormat="1">
      <c r="A542" s="145"/>
      <c r="B542" s="145"/>
      <c r="C542" s="145"/>
    </row>
    <row r="543" spans="1:3" s="114" customFormat="1">
      <c r="A543" s="145"/>
      <c r="B543" s="145"/>
      <c r="C543" s="145"/>
    </row>
    <row r="544" spans="1:3" s="114" customFormat="1">
      <c r="A544" s="145"/>
      <c r="B544" s="145"/>
      <c r="C544" s="145"/>
    </row>
    <row r="545" spans="1:3" s="114" customFormat="1">
      <c r="A545" s="145"/>
      <c r="B545" s="145"/>
      <c r="C545" s="145"/>
    </row>
    <row r="546" spans="1:3" s="114" customFormat="1">
      <c r="A546" s="145"/>
      <c r="B546" s="145"/>
      <c r="C546" s="145"/>
    </row>
    <row r="547" spans="1:3" s="114" customFormat="1">
      <c r="A547" s="145"/>
      <c r="B547" s="145"/>
      <c r="C547" s="145"/>
    </row>
    <row r="548" spans="1:3" s="114" customFormat="1">
      <c r="A548" s="145"/>
      <c r="B548" s="145"/>
      <c r="C548" s="145"/>
    </row>
    <row r="549" spans="1:3" s="114" customFormat="1">
      <c r="A549" s="145"/>
      <c r="B549" s="145"/>
      <c r="C549" s="145"/>
    </row>
    <row r="550" spans="1:3" s="114" customFormat="1">
      <c r="A550" s="145"/>
      <c r="B550" s="145"/>
      <c r="C550" s="145"/>
    </row>
    <row r="551" spans="1:3" s="114" customFormat="1">
      <c r="A551" s="145"/>
      <c r="B551" s="145"/>
      <c r="C551" s="145"/>
    </row>
    <row r="552" spans="1:3" s="114" customFormat="1">
      <c r="A552" s="145"/>
      <c r="B552" s="145"/>
      <c r="C552" s="145"/>
    </row>
    <row r="553" spans="1:3" s="114" customFormat="1">
      <c r="A553" s="145"/>
      <c r="B553" s="145"/>
      <c r="C553" s="145"/>
    </row>
    <row r="554" spans="1:3" s="114" customFormat="1">
      <c r="A554" s="145"/>
      <c r="B554" s="145"/>
      <c r="C554" s="145"/>
    </row>
    <row r="555" spans="1:3" s="114" customFormat="1">
      <c r="A555" s="145"/>
      <c r="B555" s="145"/>
      <c r="C555" s="145"/>
    </row>
    <row r="556" spans="1:3" s="114" customFormat="1">
      <c r="A556" s="145"/>
      <c r="B556" s="145"/>
      <c r="C556" s="145"/>
    </row>
    <row r="557" spans="1:3" s="114" customFormat="1">
      <c r="A557" s="145"/>
      <c r="B557" s="145"/>
      <c r="C557" s="145"/>
    </row>
    <row r="558" spans="1:3" s="114" customFormat="1">
      <c r="A558" s="145"/>
      <c r="B558" s="145"/>
      <c r="C558" s="145"/>
    </row>
    <row r="559" spans="1:3" s="114" customFormat="1">
      <c r="A559" s="145"/>
      <c r="B559" s="145"/>
      <c r="C559" s="145"/>
    </row>
    <row r="560" spans="1:3" s="114" customFormat="1">
      <c r="A560" s="145"/>
      <c r="B560" s="145"/>
      <c r="C560" s="145"/>
    </row>
    <row r="561" spans="1:3" s="114" customFormat="1">
      <c r="A561" s="145"/>
      <c r="B561" s="145"/>
      <c r="C561" s="145"/>
    </row>
    <row r="562" spans="1:3" s="114" customFormat="1">
      <c r="A562" s="145"/>
      <c r="B562" s="145"/>
      <c r="C562" s="145"/>
    </row>
    <row r="563" spans="1:3" s="114" customFormat="1">
      <c r="A563" s="145"/>
      <c r="B563" s="145"/>
      <c r="C563" s="145"/>
    </row>
    <row r="564" spans="1:3" s="114" customFormat="1">
      <c r="A564" s="145"/>
      <c r="B564" s="145"/>
      <c r="C564" s="145"/>
    </row>
    <row r="565" spans="1:3" s="114" customFormat="1">
      <c r="A565" s="145"/>
      <c r="B565" s="145"/>
      <c r="C565" s="145"/>
    </row>
    <row r="566" spans="1:3" s="114" customFormat="1">
      <c r="A566" s="145"/>
      <c r="B566" s="145"/>
      <c r="C566" s="145"/>
    </row>
    <row r="567" spans="1:3" s="114" customFormat="1">
      <c r="A567" s="145"/>
      <c r="B567" s="145"/>
      <c r="C567" s="145"/>
    </row>
    <row r="568" spans="1:3" s="114" customFormat="1">
      <c r="A568" s="145"/>
      <c r="B568" s="145"/>
      <c r="C568" s="145"/>
    </row>
    <row r="569" spans="1:3" s="114" customFormat="1">
      <c r="A569" s="145"/>
      <c r="B569" s="145"/>
      <c r="C569" s="145"/>
    </row>
    <row r="570" spans="1:3" s="114" customFormat="1">
      <c r="A570" s="145"/>
      <c r="B570" s="145"/>
      <c r="C570" s="145"/>
    </row>
    <row r="571" spans="1:3" s="114" customFormat="1">
      <c r="A571" s="145"/>
      <c r="B571" s="145"/>
      <c r="C571" s="145"/>
    </row>
    <row r="572" spans="1:3" s="114" customFormat="1">
      <c r="A572" s="145"/>
      <c r="B572" s="145"/>
      <c r="C572" s="145"/>
    </row>
    <row r="573" spans="1:3" s="114" customFormat="1">
      <c r="A573" s="145"/>
      <c r="B573" s="145"/>
      <c r="C573" s="145"/>
    </row>
    <row r="574" spans="1:3" s="114" customFormat="1">
      <c r="A574" s="145"/>
      <c r="B574" s="145"/>
      <c r="C574" s="145"/>
    </row>
    <row r="575" spans="1:3" s="114" customFormat="1">
      <c r="A575" s="145"/>
      <c r="B575" s="145"/>
      <c r="C575" s="145"/>
    </row>
    <row r="576" spans="1:3" s="114" customFormat="1">
      <c r="A576" s="145"/>
      <c r="B576" s="145"/>
      <c r="C576" s="145"/>
    </row>
    <row r="577" spans="1:3" s="114" customFormat="1">
      <c r="A577" s="145"/>
      <c r="B577" s="145"/>
      <c r="C577" s="145"/>
    </row>
    <row r="578" spans="1:3" s="114" customFormat="1">
      <c r="A578" s="145"/>
      <c r="B578" s="145"/>
      <c r="C578" s="145"/>
    </row>
    <row r="579" spans="1:3" s="114" customFormat="1">
      <c r="A579" s="145"/>
      <c r="B579" s="145"/>
      <c r="C579" s="145"/>
    </row>
    <row r="580" spans="1:3" s="114" customFormat="1">
      <c r="A580" s="145"/>
      <c r="B580" s="145"/>
      <c r="C580" s="145"/>
    </row>
    <row r="581" spans="1:3" s="114" customFormat="1">
      <c r="A581" s="145"/>
      <c r="B581" s="145"/>
      <c r="C581" s="145"/>
    </row>
    <row r="582" spans="1:3" s="114" customFormat="1">
      <c r="A582" s="145"/>
      <c r="B582" s="145"/>
      <c r="C582" s="145"/>
    </row>
    <row r="583" spans="1:3" s="114" customFormat="1">
      <c r="A583" s="145"/>
      <c r="B583" s="145"/>
      <c r="C583" s="145"/>
    </row>
    <row r="584" spans="1:3" s="114" customFormat="1">
      <c r="A584" s="145"/>
      <c r="B584" s="145"/>
      <c r="C584" s="145"/>
    </row>
    <row r="585" spans="1:3" s="114" customFormat="1">
      <c r="A585" s="145"/>
      <c r="B585" s="145"/>
      <c r="C585" s="145"/>
    </row>
    <row r="586" spans="1:3" s="114" customFormat="1">
      <c r="A586" s="145"/>
      <c r="B586" s="145"/>
      <c r="C586" s="145"/>
    </row>
    <row r="587" spans="1:3" s="114" customFormat="1">
      <c r="A587" s="145"/>
      <c r="B587" s="145"/>
      <c r="C587" s="145"/>
    </row>
    <row r="588" spans="1:3" s="114" customFormat="1">
      <c r="A588" s="145"/>
      <c r="B588" s="145"/>
      <c r="C588" s="145"/>
    </row>
    <row r="589" spans="1:3" s="114" customFormat="1">
      <c r="A589" s="145"/>
      <c r="B589" s="145"/>
      <c r="C589" s="145"/>
    </row>
    <row r="590" spans="1:3" s="114" customFormat="1">
      <c r="A590" s="145"/>
      <c r="B590" s="145"/>
      <c r="C590" s="145"/>
    </row>
    <row r="591" spans="1:3" s="114" customFormat="1">
      <c r="A591" s="145"/>
      <c r="B591" s="145"/>
      <c r="C591" s="145"/>
    </row>
    <row r="592" spans="1:3" s="114" customFormat="1">
      <c r="A592" s="145"/>
      <c r="B592" s="145"/>
      <c r="C592" s="145"/>
    </row>
    <row r="593" spans="1:3" s="114" customFormat="1">
      <c r="A593" s="145"/>
      <c r="B593" s="145"/>
      <c r="C593" s="145"/>
    </row>
    <row r="594" spans="1:3" s="114" customFormat="1">
      <c r="A594" s="145"/>
      <c r="B594" s="145"/>
      <c r="C594" s="145"/>
    </row>
    <row r="595" spans="1:3" s="114" customFormat="1">
      <c r="A595" s="145"/>
      <c r="B595" s="145"/>
      <c r="C595" s="145"/>
    </row>
    <row r="596" spans="1:3" s="114" customFormat="1">
      <c r="A596" s="145"/>
      <c r="B596" s="145"/>
      <c r="C596" s="145"/>
    </row>
    <row r="597" spans="1:3" s="114" customFormat="1">
      <c r="A597" s="145"/>
      <c r="B597" s="145"/>
      <c r="C597" s="145"/>
    </row>
    <row r="598" spans="1:3" s="114" customFormat="1">
      <c r="A598" s="145"/>
      <c r="B598" s="145"/>
      <c r="C598" s="145"/>
    </row>
    <row r="599" spans="1:3" s="114" customFormat="1">
      <c r="A599" s="145"/>
      <c r="B599" s="145"/>
      <c r="C599" s="145"/>
    </row>
    <row r="600" spans="1:3" s="114" customFormat="1">
      <c r="A600" s="145"/>
      <c r="B600" s="145"/>
      <c r="C600" s="145"/>
    </row>
    <row r="601" spans="1:3" s="114" customFormat="1">
      <c r="A601" s="145"/>
      <c r="B601" s="145"/>
      <c r="C601" s="145"/>
    </row>
    <row r="602" spans="1:3" s="114" customFormat="1">
      <c r="A602" s="145"/>
      <c r="B602" s="145"/>
      <c r="C602" s="145"/>
    </row>
    <row r="603" spans="1:3" s="114" customFormat="1">
      <c r="A603" s="145"/>
      <c r="B603" s="145"/>
      <c r="C603" s="145"/>
    </row>
    <row r="604" spans="1:3" s="114" customFormat="1">
      <c r="A604" s="145"/>
      <c r="B604" s="145"/>
      <c r="C604" s="145"/>
    </row>
    <row r="605" spans="1:3" s="114" customFormat="1">
      <c r="A605" s="145"/>
      <c r="B605" s="145"/>
      <c r="C605" s="145"/>
    </row>
    <row r="606" spans="1:3" s="114" customFormat="1">
      <c r="A606" s="145"/>
      <c r="B606" s="145"/>
      <c r="C606" s="145"/>
    </row>
    <row r="607" spans="1:3" s="114" customFormat="1">
      <c r="A607" s="145"/>
      <c r="B607" s="145"/>
      <c r="C607" s="145"/>
    </row>
    <row r="608" spans="1:3" s="114" customFormat="1">
      <c r="A608" s="145"/>
      <c r="B608" s="145"/>
      <c r="C608" s="145"/>
    </row>
    <row r="609" spans="1:3" s="114" customFormat="1">
      <c r="A609" s="145"/>
      <c r="B609" s="145"/>
      <c r="C609" s="145"/>
    </row>
    <row r="610" spans="1:3" s="114" customFormat="1">
      <c r="A610" s="145"/>
      <c r="B610" s="145"/>
      <c r="C610" s="145"/>
    </row>
    <row r="611" spans="1:3" s="114" customFormat="1">
      <c r="A611" s="145"/>
      <c r="B611" s="145"/>
      <c r="C611" s="145"/>
    </row>
    <row r="612" spans="1:3" s="114" customFormat="1">
      <c r="A612" s="145"/>
      <c r="B612" s="145"/>
      <c r="C612" s="145"/>
    </row>
    <row r="613" spans="1:3" s="114" customFormat="1">
      <c r="A613" s="145"/>
      <c r="B613" s="145"/>
      <c r="C613" s="145"/>
    </row>
    <row r="614" spans="1:3" s="114" customFormat="1">
      <c r="A614" s="145"/>
      <c r="B614" s="145"/>
      <c r="C614" s="145"/>
    </row>
    <row r="615" spans="1:3" s="114" customFormat="1">
      <c r="A615" s="145"/>
      <c r="B615" s="145"/>
      <c r="C615" s="145"/>
    </row>
    <row r="616" spans="1:3" s="114" customFormat="1">
      <c r="A616" s="145"/>
      <c r="B616" s="145"/>
      <c r="C616" s="145"/>
    </row>
    <row r="617" spans="1:3" s="114" customFormat="1">
      <c r="A617" s="145"/>
      <c r="B617" s="145"/>
      <c r="C617" s="145"/>
    </row>
    <row r="618" spans="1:3" s="114" customFormat="1">
      <c r="A618" s="145"/>
      <c r="B618" s="145"/>
      <c r="C618" s="145"/>
    </row>
    <row r="619" spans="1:3" s="114" customFormat="1">
      <c r="A619" s="145"/>
      <c r="B619" s="145"/>
      <c r="C619" s="145"/>
    </row>
    <row r="620" spans="1:3" s="114" customFormat="1">
      <c r="A620" s="145"/>
      <c r="B620" s="145"/>
      <c r="C620" s="145"/>
    </row>
    <row r="621" spans="1:3" s="114" customFormat="1">
      <c r="A621" s="145"/>
      <c r="B621" s="145"/>
      <c r="C621" s="145"/>
    </row>
    <row r="622" spans="1:3" s="114" customFormat="1">
      <c r="A622" s="145"/>
      <c r="B622" s="145"/>
      <c r="C622" s="145"/>
    </row>
    <row r="623" spans="1:3" s="114" customFormat="1">
      <c r="A623" s="145"/>
      <c r="B623" s="145"/>
      <c r="C623" s="145"/>
    </row>
    <row r="624" spans="1:3" s="114" customFormat="1">
      <c r="A624" s="145"/>
      <c r="B624" s="145"/>
      <c r="C624" s="145"/>
    </row>
    <row r="625" spans="1:3" s="114" customFormat="1">
      <c r="A625" s="145"/>
      <c r="B625" s="145"/>
      <c r="C625" s="145"/>
    </row>
    <row r="626" spans="1:3" s="114" customFormat="1">
      <c r="A626" s="145"/>
      <c r="B626" s="145"/>
      <c r="C626" s="145"/>
    </row>
    <row r="627" spans="1:3" s="114" customFormat="1">
      <c r="A627" s="145"/>
      <c r="B627" s="145"/>
      <c r="C627" s="145"/>
    </row>
    <row r="628" spans="1:3" s="114" customFormat="1">
      <c r="A628" s="145"/>
      <c r="B628" s="145"/>
      <c r="C628" s="145"/>
    </row>
    <row r="629" spans="1:3" s="114" customFormat="1">
      <c r="A629" s="145"/>
      <c r="B629" s="145"/>
      <c r="C629" s="145"/>
    </row>
    <row r="630" spans="1:3" s="114" customFormat="1">
      <c r="A630" s="145"/>
      <c r="B630" s="145"/>
      <c r="C630" s="145"/>
    </row>
    <row r="631" spans="1:3" s="114" customFormat="1">
      <c r="A631" s="145"/>
      <c r="B631" s="145"/>
      <c r="C631" s="145"/>
    </row>
    <row r="632" spans="1:3" s="114" customFormat="1">
      <c r="A632" s="145"/>
      <c r="B632" s="145"/>
      <c r="C632" s="145"/>
    </row>
    <row r="633" spans="1:3" s="114" customFormat="1">
      <c r="A633" s="145"/>
      <c r="B633" s="145"/>
      <c r="C633" s="145"/>
    </row>
    <row r="634" spans="1:3" s="114" customFormat="1">
      <c r="A634" s="145"/>
      <c r="B634" s="145"/>
      <c r="C634" s="145"/>
    </row>
    <row r="635" spans="1:3" s="114" customFormat="1">
      <c r="A635" s="145"/>
      <c r="B635" s="145"/>
      <c r="C635" s="145"/>
    </row>
    <row r="636" spans="1:3" s="114" customFormat="1">
      <c r="A636" s="145"/>
      <c r="B636" s="145"/>
      <c r="C636" s="145"/>
    </row>
    <row r="637" spans="1:3" s="114" customFormat="1">
      <c r="A637" s="145"/>
      <c r="B637" s="145"/>
      <c r="C637" s="145"/>
    </row>
    <row r="638" spans="1:3" s="114" customFormat="1">
      <c r="A638" s="145"/>
      <c r="B638" s="145"/>
      <c r="C638" s="145"/>
    </row>
    <row r="639" spans="1:3" s="114" customFormat="1">
      <c r="A639" s="145"/>
      <c r="B639" s="145"/>
      <c r="C639" s="145"/>
    </row>
    <row r="640" spans="1:3" s="114" customFormat="1">
      <c r="A640" s="145"/>
      <c r="B640" s="145"/>
      <c r="C640" s="145"/>
    </row>
    <row r="641" spans="1:3" s="114" customFormat="1">
      <c r="A641" s="145"/>
      <c r="B641" s="145"/>
      <c r="C641" s="145"/>
    </row>
    <row r="642" spans="1:3" s="114" customFormat="1">
      <c r="A642" s="145"/>
      <c r="B642" s="145"/>
      <c r="C642" s="145"/>
    </row>
    <row r="643" spans="1:3" s="114" customFormat="1">
      <c r="A643" s="145"/>
      <c r="B643" s="145"/>
      <c r="C643" s="145"/>
    </row>
    <row r="644" spans="1:3" s="114" customFormat="1">
      <c r="A644" s="145"/>
      <c r="B644" s="145"/>
      <c r="C644" s="145"/>
    </row>
    <row r="645" spans="1:3" s="114" customFormat="1">
      <c r="A645" s="145"/>
      <c r="B645" s="145"/>
      <c r="C645" s="145"/>
    </row>
    <row r="646" spans="1:3" s="114" customFormat="1">
      <c r="A646" s="145"/>
      <c r="B646" s="145"/>
      <c r="C646" s="145"/>
    </row>
    <row r="647" spans="1:3" s="114" customFormat="1">
      <c r="A647" s="145"/>
      <c r="B647" s="145"/>
      <c r="C647" s="145"/>
    </row>
    <row r="648" spans="1:3" s="114" customFormat="1">
      <c r="A648" s="145"/>
      <c r="B648" s="145"/>
      <c r="C648" s="145"/>
    </row>
    <row r="649" spans="1:3" s="114" customFormat="1">
      <c r="A649" s="145"/>
      <c r="B649" s="145"/>
      <c r="C649" s="145"/>
    </row>
    <row r="650" spans="1:3" s="114" customFormat="1">
      <c r="A650" s="145"/>
      <c r="B650" s="145"/>
      <c r="C650" s="145"/>
    </row>
    <row r="651" spans="1:3" s="114" customFormat="1">
      <c r="A651" s="145"/>
      <c r="B651" s="145"/>
      <c r="C651" s="145"/>
    </row>
    <row r="652" spans="1:3" s="114" customFormat="1">
      <c r="A652" s="145"/>
      <c r="B652" s="145"/>
      <c r="C652" s="145"/>
    </row>
    <row r="653" spans="1:3" s="114" customFormat="1">
      <c r="A653" s="145"/>
      <c r="B653" s="145"/>
      <c r="C653" s="145"/>
    </row>
    <row r="654" spans="1:3" s="114" customFormat="1">
      <c r="A654" s="145"/>
      <c r="B654" s="145"/>
      <c r="C654" s="145"/>
    </row>
    <row r="655" spans="1:3" s="114" customFormat="1">
      <c r="A655" s="145"/>
      <c r="B655" s="145"/>
      <c r="C655" s="145"/>
    </row>
    <row r="656" spans="1:3" s="114" customFormat="1">
      <c r="A656" s="145"/>
      <c r="B656" s="145"/>
      <c r="C656" s="145"/>
    </row>
    <row r="657" spans="1:3" s="114" customFormat="1">
      <c r="A657" s="145"/>
      <c r="B657" s="145"/>
      <c r="C657" s="145"/>
    </row>
    <row r="658" spans="1:3" s="114" customFormat="1">
      <c r="A658" s="145"/>
      <c r="B658" s="145"/>
      <c r="C658" s="145"/>
    </row>
    <row r="659" spans="1:3" s="114" customFormat="1">
      <c r="A659" s="145"/>
      <c r="B659" s="145"/>
      <c r="C659" s="145"/>
    </row>
    <row r="660" spans="1:3" s="114" customFormat="1">
      <c r="A660" s="145"/>
      <c r="B660" s="145"/>
      <c r="C660" s="145"/>
    </row>
    <row r="661" spans="1:3" s="114" customFormat="1">
      <c r="A661" s="145"/>
      <c r="B661" s="145"/>
      <c r="C661" s="145"/>
    </row>
    <row r="662" spans="1:3" s="114" customFormat="1">
      <c r="A662" s="145"/>
      <c r="B662" s="145"/>
      <c r="C662" s="145"/>
    </row>
    <row r="663" spans="1:3" s="114" customFormat="1">
      <c r="A663" s="145"/>
      <c r="B663" s="145"/>
      <c r="C663" s="145"/>
    </row>
    <row r="664" spans="1:3" s="114" customFormat="1">
      <c r="A664" s="145"/>
      <c r="B664" s="145"/>
      <c r="C664" s="145"/>
    </row>
    <row r="665" spans="1:3" s="114" customFormat="1">
      <c r="A665" s="145"/>
      <c r="B665" s="145"/>
      <c r="C665" s="145"/>
    </row>
    <row r="666" spans="1:3" s="114" customFormat="1">
      <c r="A666" s="145"/>
      <c r="B666" s="145"/>
      <c r="C666" s="145"/>
    </row>
    <row r="667" spans="1:3" s="114" customFormat="1">
      <c r="A667" s="145"/>
      <c r="B667" s="145"/>
      <c r="C667" s="145"/>
    </row>
    <row r="668" spans="1:3" s="114" customFormat="1">
      <c r="A668" s="145"/>
      <c r="B668" s="145"/>
      <c r="C668" s="145"/>
    </row>
    <row r="669" spans="1:3" s="114" customFormat="1">
      <c r="A669" s="145"/>
      <c r="B669" s="145"/>
      <c r="C669" s="145"/>
    </row>
    <row r="670" spans="1:3" s="114" customFormat="1">
      <c r="A670" s="145"/>
      <c r="B670" s="145"/>
      <c r="C670" s="145"/>
    </row>
    <row r="671" spans="1:3" s="114" customFormat="1">
      <c r="A671" s="145"/>
      <c r="B671" s="145"/>
      <c r="C671" s="145"/>
    </row>
    <row r="672" spans="1:3" s="114" customFormat="1">
      <c r="A672" s="145"/>
      <c r="B672" s="145"/>
      <c r="C672" s="145"/>
    </row>
    <row r="673" spans="1:3" s="114" customFormat="1">
      <c r="A673" s="145"/>
      <c r="B673" s="145"/>
      <c r="C673" s="145"/>
    </row>
    <row r="674" spans="1:3" s="114" customFormat="1">
      <c r="A674" s="145"/>
      <c r="B674" s="145"/>
      <c r="C674" s="145"/>
    </row>
    <row r="675" spans="1:3" s="114" customFormat="1">
      <c r="A675" s="145"/>
      <c r="B675" s="145"/>
      <c r="C675" s="145"/>
    </row>
    <row r="676" spans="1:3" s="114" customFormat="1">
      <c r="A676" s="145"/>
      <c r="B676" s="145"/>
      <c r="C676" s="145"/>
    </row>
    <row r="677" spans="1:3" s="114" customFormat="1">
      <c r="A677" s="145"/>
      <c r="B677" s="145"/>
      <c r="C677" s="145"/>
    </row>
    <row r="678" spans="1:3" s="114" customFormat="1">
      <c r="A678" s="145"/>
      <c r="B678" s="145"/>
      <c r="C678" s="145"/>
    </row>
    <row r="679" spans="1:3" s="114" customFormat="1">
      <c r="A679" s="145"/>
      <c r="B679" s="145"/>
      <c r="C679" s="145"/>
    </row>
    <row r="680" spans="1:3" s="114" customFormat="1">
      <c r="A680" s="145"/>
      <c r="B680" s="145"/>
      <c r="C680" s="145"/>
    </row>
    <row r="681" spans="1:3" s="114" customFormat="1">
      <c r="A681" s="145"/>
      <c r="B681" s="145"/>
      <c r="C681" s="145"/>
    </row>
    <row r="682" spans="1:3" s="114" customFormat="1">
      <c r="A682" s="145"/>
      <c r="B682" s="145"/>
      <c r="C682" s="145"/>
    </row>
    <row r="683" spans="1:3" s="114" customFormat="1">
      <c r="A683" s="145"/>
      <c r="B683" s="145"/>
      <c r="C683" s="145"/>
    </row>
    <row r="684" spans="1:3" s="114" customFormat="1">
      <c r="A684" s="145"/>
      <c r="B684" s="145"/>
      <c r="C684" s="145"/>
    </row>
    <row r="685" spans="1:3" s="114" customFormat="1">
      <c r="A685" s="145"/>
      <c r="B685" s="145"/>
      <c r="C685" s="145"/>
    </row>
    <row r="686" spans="1:3" s="114" customFormat="1">
      <c r="A686" s="145"/>
      <c r="B686" s="145"/>
      <c r="C686" s="145"/>
    </row>
    <row r="687" spans="1:3" s="114" customFormat="1">
      <c r="A687" s="145"/>
      <c r="B687" s="145"/>
      <c r="C687" s="145"/>
    </row>
    <row r="688" spans="1:3" s="114" customFormat="1">
      <c r="A688" s="145"/>
      <c r="B688" s="145"/>
      <c r="C688" s="145"/>
    </row>
    <row r="689" spans="1:3" s="114" customFormat="1">
      <c r="A689" s="145"/>
      <c r="B689" s="145"/>
      <c r="C689" s="145"/>
    </row>
    <row r="690" spans="1:3" s="114" customFormat="1">
      <c r="A690" s="145"/>
      <c r="B690" s="145"/>
      <c r="C690" s="145"/>
    </row>
    <row r="691" spans="1:3" s="114" customFormat="1">
      <c r="A691" s="145"/>
      <c r="B691" s="145"/>
      <c r="C691" s="145"/>
    </row>
    <row r="692" spans="1:3" s="114" customFormat="1">
      <c r="A692" s="145"/>
      <c r="B692" s="145"/>
      <c r="C692" s="145"/>
    </row>
    <row r="693" spans="1:3" s="114" customFormat="1">
      <c r="A693" s="145"/>
      <c r="B693" s="145"/>
      <c r="C693" s="145"/>
    </row>
    <row r="694" spans="1:3" s="114" customFormat="1">
      <c r="A694" s="145"/>
      <c r="B694" s="145"/>
      <c r="C694" s="145"/>
    </row>
    <row r="695" spans="1:3" s="114" customFormat="1">
      <c r="A695" s="145"/>
      <c r="B695" s="145"/>
      <c r="C695" s="145"/>
    </row>
    <row r="696" spans="1:3" s="114" customFormat="1">
      <c r="A696" s="145"/>
      <c r="B696" s="145"/>
      <c r="C696" s="145"/>
    </row>
    <row r="697" spans="1:3" s="114" customFormat="1">
      <c r="A697" s="145"/>
      <c r="B697" s="145"/>
      <c r="C697" s="145"/>
    </row>
    <row r="698" spans="1:3" s="114" customFormat="1">
      <c r="A698" s="145"/>
      <c r="B698" s="145"/>
      <c r="C698" s="145"/>
    </row>
    <row r="699" spans="1:3" s="114" customFormat="1">
      <c r="A699" s="145"/>
      <c r="B699" s="145"/>
      <c r="C699" s="145"/>
    </row>
    <row r="700" spans="1:3" s="114" customFormat="1">
      <c r="A700" s="145"/>
      <c r="B700" s="145"/>
      <c r="C700" s="145"/>
    </row>
    <row r="701" spans="1:3" s="114" customFormat="1">
      <c r="A701" s="145"/>
      <c r="B701" s="145"/>
      <c r="C701" s="145"/>
    </row>
    <row r="702" spans="1:3" s="114" customFormat="1">
      <c r="A702" s="145"/>
      <c r="B702" s="145"/>
      <c r="C702" s="145"/>
    </row>
    <row r="703" spans="1:3" s="114" customFormat="1">
      <c r="A703" s="145"/>
      <c r="B703" s="145"/>
      <c r="C703" s="145"/>
    </row>
    <row r="704" spans="1:3" s="114" customFormat="1">
      <c r="A704" s="145"/>
      <c r="B704" s="145"/>
      <c r="C704" s="145"/>
    </row>
    <row r="705" spans="1:3" s="114" customFormat="1">
      <c r="A705" s="145"/>
      <c r="B705" s="145"/>
      <c r="C705" s="145"/>
    </row>
    <row r="706" spans="1:3" s="114" customFormat="1">
      <c r="A706" s="145"/>
      <c r="B706" s="145"/>
      <c r="C706" s="145"/>
    </row>
    <row r="707" spans="1:3" s="114" customFormat="1">
      <c r="A707" s="145"/>
      <c r="B707" s="145"/>
      <c r="C707" s="145"/>
    </row>
    <row r="708" spans="1:3" s="114" customFormat="1">
      <c r="A708" s="145"/>
      <c r="B708" s="145"/>
      <c r="C708" s="145"/>
    </row>
    <row r="709" spans="1:3" s="114" customFormat="1">
      <c r="A709" s="145"/>
      <c r="B709" s="145"/>
      <c r="C709" s="145"/>
    </row>
    <row r="710" spans="1:3" s="114" customFormat="1">
      <c r="A710" s="145"/>
      <c r="B710" s="145"/>
      <c r="C710" s="145"/>
    </row>
    <row r="711" spans="1:3" s="114" customFormat="1">
      <c r="A711" s="145"/>
      <c r="B711" s="145"/>
      <c r="C711" s="145"/>
    </row>
    <row r="712" spans="1:3" s="114" customFormat="1">
      <c r="A712" s="145"/>
      <c r="B712" s="145"/>
      <c r="C712" s="145"/>
    </row>
    <row r="713" spans="1:3" s="114" customFormat="1">
      <c r="A713" s="145"/>
      <c r="B713" s="145"/>
      <c r="C713" s="145"/>
    </row>
    <row r="714" spans="1:3" s="114" customFormat="1">
      <c r="A714" s="145"/>
      <c r="B714" s="145"/>
      <c r="C714" s="145"/>
    </row>
    <row r="715" spans="1:3" s="114" customFormat="1">
      <c r="A715" s="145"/>
      <c r="B715" s="145"/>
      <c r="C715" s="145"/>
    </row>
    <row r="716" spans="1:3" s="114" customFormat="1">
      <c r="A716" s="145"/>
      <c r="B716" s="145"/>
      <c r="C716" s="145"/>
    </row>
    <row r="717" spans="1:3" s="114" customFormat="1">
      <c r="A717" s="145"/>
      <c r="B717" s="145"/>
      <c r="C717" s="145"/>
    </row>
    <row r="718" spans="1:3" s="114" customFormat="1">
      <c r="A718" s="145"/>
      <c r="B718" s="145"/>
      <c r="C718" s="145"/>
    </row>
    <row r="719" spans="1:3" s="114" customFormat="1">
      <c r="A719" s="145"/>
      <c r="B719" s="145"/>
      <c r="C719" s="145"/>
    </row>
    <row r="720" spans="1:3" s="114" customFormat="1">
      <c r="A720" s="145"/>
      <c r="B720" s="145"/>
      <c r="C720" s="145"/>
    </row>
    <row r="721" spans="1:3" s="114" customFormat="1">
      <c r="A721" s="145"/>
      <c r="B721" s="145"/>
      <c r="C721" s="145"/>
    </row>
    <row r="722" spans="1:3" s="114" customFormat="1">
      <c r="A722" s="145"/>
      <c r="B722" s="145"/>
      <c r="C722" s="145"/>
    </row>
    <row r="723" spans="1:3" s="114" customFormat="1">
      <c r="A723" s="145"/>
      <c r="B723" s="145"/>
      <c r="C723" s="145"/>
    </row>
    <row r="724" spans="1:3" s="114" customFormat="1">
      <c r="A724" s="145"/>
      <c r="B724" s="145"/>
      <c r="C724" s="145"/>
    </row>
    <row r="725" spans="1:3" s="114" customFormat="1">
      <c r="A725" s="145"/>
      <c r="B725" s="145"/>
      <c r="C725" s="145"/>
    </row>
    <row r="726" spans="1:3" s="114" customFormat="1">
      <c r="A726" s="145"/>
      <c r="B726" s="145"/>
      <c r="C726" s="145"/>
    </row>
    <row r="727" spans="1:3" s="114" customFormat="1">
      <c r="A727" s="145"/>
      <c r="B727" s="145"/>
      <c r="C727" s="145"/>
    </row>
    <row r="728" spans="1:3" s="114" customFormat="1">
      <c r="A728" s="145"/>
      <c r="B728" s="145"/>
      <c r="C728" s="145"/>
    </row>
    <row r="729" spans="1:3" s="114" customFormat="1">
      <c r="A729" s="145"/>
      <c r="B729" s="145"/>
      <c r="C729" s="145"/>
    </row>
    <row r="730" spans="1:3" s="114" customFormat="1">
      <c r="A730" s="145"/>
      <c r="B730" s="145"/>
      <c r="C730" s="145"/>
    </row>
    <row r="731" spans="1:3" s="114" customFormat="1">
      <c r="A731" s="145"/>
      <c r="B731" s="145"/>
      <c r="C731" s="145"/>
    </row>
    <row r="732" spans="1:3" s="114" customFormat="1">
      <c r="A732" s="145"/>
      <c r="B732" s="145"/>
      <c r="C732" s="145"/>
    </row>
    <row r="733" spans="1:3" s="114" customFormat="1">
      <c r="A733" s="145"/>
      <c r="B733" s="145"/>
      <c r="C733" s="145"/>
    </row>
    <row r="734" spans="1:3" s="114" customFormat="1">
      <c r="A734" s="145"/>
      <c r="B734" s="145"/>
      <c r="C734" s="145"/>
    </row>
    <row r="735" spans="1:3" s="114" customFormat="1">
      <c r="A735" s="145"/>
      <c r="B735" s="145"/>
      <c r="C735" s="145"/>
    </row>
    <row r="736" spans="1:3" s="114" customFormat="1">
      <c r="A736" s="145"/>
      <c r="B736" s="145"/>
      <c r="C736" s="145"/>
    </row>
    <row r="737" spans="1:3" s="114" customFormat="1">
      <c r="A737" s="145"/>
      <c r="B737" s="145"/>
      <c r="C737" s="145"/>
    </row>
    <row r="738" spans="1:3" s="114" customFormat="1">
      <c r="A738" s="145"/>
      <c r="B738" s="145"/>
      <c r="C738" s="145"/>
    </row>
    <row r="739" spans="1:3" s="114" customFormat="1">
      <c r="A739" s="145"/>
      <c r="B739" s="145"/>
      <c r="C739" s="145"/>
    </row>
    <row r="740" spans="1:3" s="114" customFormat="1">
      <c r="A740" s="145"/>
      <c r="B740" s="145"/>
      <c r="C740" s="145"/>
    </row>
    <row r="741" spans="1:3" s="114" customFormat="1">
      <c r="A741" s="145"/>
      <c r="B741" s="145"/>
      <c r="C741" s="145"/>
    </row>
    <row r="742" spans="1:3" s="114" customFormat="1">
      <c r="A742" s="145"/>
      <c r="B742" s="145"/>
      <c r="C742" s="145"/>
    </row>
    <row r="743" spans="1:3" s="114" customFormat="1">
      <c r="A743" s="145"/>
      <c r="B743" s="145"/>
      <c r="C743" s="145"/>
    </row>
    <row r="744" spans="1:3" s="114" customFormat="1">
      <c r="A744" s="145"/>
      <c r="B744" s="145"/>
      <c r="C744" s="145"/>
    </row>
    <row r="745" spans="1:3" s="114" customFormat="1">
      <c r="A745" s="145"/>
      <c r="B745" s="145"/>
      <c r="C745" s="145"/>
    </row>
    <row r="746" spans="1:3" s="114" customFormat="1">
      <c r="A746" s="145"/>
      <c r="B746" s="145"/>
      <c r="C746" s="145"/>
    </row>
    <row r="747" spans="1:3" s="114" customFormat="1">
      <c r="A747" s="145"/>
      <c r="B747" s="145"/>
      <c r="C747" s="145"/>
    </row>
    <row r="748" spans="1:3" s="114" customFormat="1">
      <c r="A748" s="145"/>
      <c r="B748" s="145"/>
      <c r="C748" s="145"/>
    </row>
    <row r="749" spans="1:3" s="114" customFormat="1">
      <c r="A749" s="145"/>
      <c r="B749" s="145"/>
      <c r="C749" s="145"/>
    </row>
    <row r="750" spans="1:3" s="114" customFormat="1">
      <c r="A750" s="145"/>
      <c r="B750" s="145"/>
      <c r="C750" s="145"/>
    </row>
    <row r="751" spans="1:3" s="114" customFormat="1">
      <c r="A751" s="145"/>
      <c r="B751" s="145"/>
      <c r="C751" s="145"/>
    </row>
    <row r="752" spans="1:3" s="114" customFormat="1">
      <c r="A752" s="145"/>
      <c r="B752" s="145"/>
      <c r="C752" s="145"/>
    </row>
    <row r="753" spans="1:3" s="114" customFormat="1">
      <c r="A753" s="145"/>
      <c r="B753" s="145"/>
      <c r="C753" s="145"/>
    </row>
    <row r="754" spans="1:3" s="114" customFormat="1">
      <c r="A754" s="145"/>
      <c r="B754" s="145"/>
      <c r="C754" s="145"/>
    </row>
    <row r="755" spans="1:3" s="114" customFormat="1">
      <c r="A755" s="145"/>
      <c r="B755" s="145"/>
      <c r="C755" s="145"/>
    </row>
    <row r="756" spans="1:3" s="114" customFormat="1">
      <c r="A756" s="145"/>
      <c r="B756" s="145"/>
      <c r="C756" s="145"/>
    </row>
    <row r="757" spans="1:3" s="114" customFormat="1">
      <c r="A757" s="145"/>
      <c r="B757" s="145"/>
      <c r="C757" s="145"/>
    </row>
    <row r="758" spans="1:3" s="114" customFormat="1">
      <c r="A758" s="145"/>
      <c r="B758" s="145"/>
      <c r="C758" s="145"/>
    </row>
    <row r="759" spans="1:3" s="114" customFormat="1">
      <c r="A759" s="145"/>
      <c r="B759" s="145"/>
      <c r="C759" s="145"/>
    </row>
    <row r="760" spans="1:3" s="114" customFormat="1">
      <c r="A760" s="145"/>
      <c r="B760" s="145"/>
      <c r="C760" s="145"/>
    </row>
    <row r="761" spans="1:3" s="114" customFormat="1">
      <c r="A761" s="145"/>
      <c r="B761" s="145"/>
      <c r="C761" s="145"/>
    </row>
    <row r="762" spans="1:3" s="114" customFormat="1">
      <c r="A762" s="145"/>
      <c r="B762" s="145"/>
      <c r="C762" s="145"/>
    </row>
    <row r="763" spans="1:3" s="114" customFormat="1">
      <c r="A763" s="145"/>
      <c r="B763" s="145"/>
      <c r="C763" s="145"/>
    </row>
    <row r="764" spans="1:3" s="114" customFormat="1">
      <c r="A764" s="145"/>
      <c r="B764" s="145"/>
      <c r="C764" s="145"/>
    </row>
    <row r="765" spans="1:3" s="114" customFormat="1">
      <c r="A765" s="145"/>
      <c r="B765" s="145"/>
      <c r="C765" s="145"/>
    </row>
    <row r="766" spans="1:3" s="114" customFormat="1">
      <c r="A766" s="145"/>
      <c r="B766" s="145"/>
      <c r="C766" s="145"/>
    </row>
    <row r="767" spans="1:3" s="114" customFormat="1">
      <c r="A767" s="145"/>
      <c r="B767" s="145"/>
      <c r="C767" s="145"/>
    </row>
    <row r="768" spans="1:3" s="114" customFormat="1">
      <c r="A768" s="145"/>
      <c r="B768" s="145"/>
      <c r="C768" s="145"/>
    </row>
    <row r="769" spans="1:3" s="114" customFormat="1">
      <c r="A769" s="145"/>
      <c r="B769" s="145"/>
      <c r="C769" s="145"/>
    </row>
    <row r="770" spans="1:3" s="114" customFormat="1">
      <c r="A770" s="145"/>
      <c r="B770" s="145"/>
      <c r="C770" s="145"/>
    </row>
    <row r="771" spans="1:3" s="114" customFormat="1">
      <c r="A771" s="145"/>
      <c r="B771" s="145"/>
      <c r="C771" s="145"/>
    </row>
    <row r="772" spans="1:3" s="114" customFormat="1">
      <c r="A772" s="145"/>
      <c r="B772" s="145"/>
      <c r="C772" s="145"/>
    </row>
    <row r="773" spans="1:3" s="114" customFormat="1">
      <c r="A773" s="145"/>
      <c r="B773" s="145"/>
      <c r="C773" s="145"/>
    </row>
    <row r="774" spans="1:3" s="114" customFormat="1">
      <c r="A774" s="145"/>
      <c r="B774" s="145"/>
      <c r="C774" s="145"/>
    </row>
    <row r="775" spans="1:3" s="114" customFormat="1">
      <c r="A775" s="145"/>
      <c r="B775" s="145"/>
      <c r="C775" s="145"/>
    </row>
    <row r="776" spans="1:3" s="114" customFormat="1">
      <c r="A776" s="145"/>
      <c r="B776" s="145"/>
      <c r="C776" s="145"/>
    </row>
    <row r="777" spans="1:3" s="114" customFormat="1">
      <c r="A777" s="145"/>
      <c r="B777" s="145"/>
      <c r="C777" s="145"/>
    </row>
    <row r="778" spans="1:3" s="114" customFormat="1">
      <c r="A778" s="145"/>
      <c r="B778" s="145"/>
      <c r="C778" s="145"/>
    </row>
    <row r="779" spans="1:3" s="114" customFormat="1">
      <c r="A779" s="145"/>
      <c r="B779" s="145"/>
      <c r="C779" s="145"/>
    </row>
    <row r="780" spans="1:3" s="114" customFormat="1">
      <c r="A780" s="145"/>
      <c r="B780" s="145"/>
      <c r="C780" s="145"/>
    </row>
    <row r="781" spans="1:3" s="114" customFormat="1">
      <c r="A781" s="145"/>
      <c r="B781" s="145"/>
      <c r="C781" s="145"/>
    </row>
    <row r="782" spans="1:3" s="114" customFormat="1">
      <c r="A782" s="145"/>
      <c r="B782" s="145"/>
      <c r="C782" s="145"/>
    </row>
    <row r="783" spans="1:3" s="114" customFormat="1">
      <c r="A783" s="145"/>
      <c r="B783" s="145"/>
      <c r="C783" s="145"/>
    </row>
    <row r="784" spans="1:3" s="114" customFormat="1">
      <c r="A784" s="145"/>
      <c r="B784" s="145"/>
      <c r="C784" s="145"/>
    </row>
    <row r="785" spans="1:3" s="114" customFormat="1">
      <c r="A785" s="145"/>
      <c r="B785" s="145"/>
      <c r="C785" s="145"/>
    </row>
    <row r="786" spans="1:3" s="114" customFormat="1">
      <c r="A786" s="145"/>
      <c r="B786" s="145"/>
      <c r="C786" s="145"/>
    </row>
    <row r="787" spans="1:3" s="114" customFormat="1">
      <c r="A787" s="145"/>
      <c r="B787" s="145"/>
      <c r="C787" s="145"/>
    </row>
    <row r="788" spans="1:3" s="114" customFormat="1">
      <c r="A788" s="145"/>
      <c r="B788" s="145"/>
      <c r="C788" s="145"/>
    </row>
    <row r="789" spans="1:3" s="114" customFormat="1">
      <c r="A789" s="145"/>
      <c r="B789" s="145"/>
      <c r="C789" s="145"/>
    </row>
    <row r="790" spans="1:3" s="114" customFormat="1">
      <c r="A790" s="145"/>
      <c r="B790" s="145"/>
      <c r="C790" s="145"/>
    </row>
    <row r="791" spans="1:3" s="114" customFormat="1">
      <c r="A791" s="145"/>
      <c r="B791" s="145"/>
      <c r="C791" s="145"/>
    </row>
    <row r="792" spans="1:3" s="114" customFormat="1">
      <c r="A792" s="145"/>
      <c r="B792" s="145"/>
      <c r="C792" s="145"/>
    </row>
    <row r="793" spans="1:3" s="114" customFormat="1">
      <c r="A793" s="145"/>
      <c r="B793" s="145"/>
      <c r="C793" s="145"/>
    </row>
    <row r="794" spans="1:3" s="114" customFormat="1">
      <c r="A794" s="145"/>
      <c r="B794" s="145"/>
      <c r="C794" s="145"/>
    </row>
    <row r="795" spans="1:3" s="114" customFormat="1">
      <c r="A795" s="145"/>
      <c r="B795" s="145"/>
      <c r="C795" s="145"/>
    </row>
    <row r="796" spans="1:3" s="114" customFormat="1">
      <c r="A796" s="145"/>
      <c r="B796" s="145"/>
      <c r="C796" s="145"/>
    </row>
    <row r="797" spans="1:3" s="114" customFormat="1">
      <c r="A797" s="145"/>
      <c r="B797" s="145"/>
      <c r="C797" s="145"/>
    </row>
    <row r="798" spans="1:3" s="114" customFormat="1">
      <c r="A798" s="145"/>
      <c r="B798" s="145"/>
      <c r="C798" s="145"/>
    </row>
    <row r="799" spans="1:3" s="114" customFormat="1">
      <c r="A799" s="145"/>
      <c r="B799" s="145"/>
      <c r="C799" s="145"/>
    </row>
    <row r="800" spans="1:3" s="114" customFormat="1">
      <c r="A800" s="145"/>
      <c r="B800" s="145"/>
      <c r="C800" s="145"/>
    </row>
    <row r="801" spans="1:21" s="114" customFormat="1">
      <c r="A801" s="145"/>
      <c r="B801" s="145"/>
      <c r="C801" s="145"/>
    </row>
    <row r="802" spans="1:21" s="114" customFormat="1">
      <c r="A802" s="145"/>
      <c r="B802" s="145"/>
      <c r="C802" s="145"/>
    </row>
    <row r="803" spans="1:21" s="114" customFormat="1">
      <c r="A803" s="145"/>
      <c r="B803" s="145"/>
      <c r="C803" s="145"/>
    </row>
    <row r="804" spans="1:21" s="114" customFormat="1">
      <c r="A804" s="145"/>
      <c r="B804" s="145"/>
      <c r="C804" s="145"/>
      <c r="S804" s="53"/>
      <c r="T804" s="53"/>
      <c r="U804" s="53"/>
    </row>
  </sheetData>
  <sortState xmlns:xlrd2="http://schemas.microsoft.com/office/spreadsheetml/2017/richdata2" ref="A11:U48">
    <sortCondition ref="F11:F48"/>
  </sortState>
  <mergeCells count="3">
    <mergeCell ref="A5:C5"/>
    <mergeCell ref="S7:U7"/>
    <mergeCell ref="B8:C8"/>
  </mergeCells>
  <hyperlinks>
    <hyperlink ref="N1" location="Index!A1" display="Return to Index" xr:uid="{00000000-0004-0000-0D00-000000000000}"/>
  </hyperlinks>
  <printOptions horizontalCentered="1"/>
  <pageMargins left="0.25" right="0.25" top="0.5" bottom="0.5" header="0.5" footer="0.5"/>
  <pageSetup scale="78" orientation="landscape" horizontalDpi="1200" verticalDpi="1200" r:id="rId1"/>
  <headerFooter alignWithMargins="0">
    <oddFooter>&amp;L&amp;8Planning &amp; Accountability&amp;R&amp;8&amp;D</oddFooter>
  </headerFooter>
  <rowBreaks count="1" manualBreakCount="1">
    <brk id="50" max="10" man="1"/>
  </rowBreaks>
  <legacyDrawing r:id="rId2"/>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sheetPr codeName="Sheet117">
    <tabColor indexed="11"/>
    <pageSetUpPr fitToPage="1"/>
  </sheetPr>
  <dimension ref="A1:AB122"/>
  <sheetViews>
    <sheetView showGridLines="0" zoomScale="75" zoomScaleNormal="75" zoomScaleSheetLayoutView="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4.85546875" style="164" customWidth="1"/>
    <col min="15" max="15" width="14.42578125" style="261" customWidth="1"/>
    <col min="16" max="16" width="25.7109375" style="264" customWidth="1"/>
    <col min="17" max="17" width="16.42578125" style="264" customWidth="1"/>
    <col min="18" max="18" width="19.42578125" style="264" customWidth="1"/>
    <col min="19" max="19" width="1.7109375" style="264" customWidth="1"/>
    <col min="20" max="20" width="17.140625" style="264" customWidth="1"/>
    <col min="21" max="21" width="16.85546875" style="264" customWidth="1"/>
    <col min="22" max="23" width="19.28515625" style="264" customWidth="1"/>
    <col min="24" max="24" width="19.570312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13" t="str">
        <f>'TTU Chrts'!$A$1</f>
        <v>Texas Tech University</v>
      </c>
      <c r="C2" s="1713"/>
      <c r="D2" s="1713"/>
      <c r="E2" s="1713"/>
      <c r="F2" s="1742"/>
      <c r="G2" s="160"/>
      <c r="H2" s="161"/>
      <c r="I2" s="320" t="str">
        <f>IF($B$2&lt;&gt;Input!$B$34,"Name Mismatch","")</f>
        <v/>
      </c>
      <c r="J2" s="168"/>
      <c r="K2" s="169"/>
      <c r="L2" s="169"/>
      <c r="M2" s="170"/>
      <c r="O2" s="835" t="s">
        <v>1200</v>
      </c>
      <c r="P2" s="36"/>
    </row>
    <row r="3" spans="1:28" ht="20.25">
      <c r="A3" s="184">
        <v>2</v>
      </c>
      <c r="B3" s="1713" t="str">
        <f>'Smmy Chrts'!$A$2</f>
        <v>For the Year Ended August 31, 2021</v>
      </c>
      <c r="C3" s="1713"/>
      <c r="D3" s="1713"/>
      <c r="E3" s="1713"/>
      <c r="F3" s="1742"/>
      <c r="G3" s="161"/>
      <c r="H3" s="161"/>
      <c r="I3" s="169"/>
      <c r="J3" s="168"/>
      <c r="K3" s="169"/>
      <c r="L3" s="169"/>
      <c r="M3" s="170"/>
      <c r="O3" s="74"/>
    </row>
    <row r="4" spans="1:28" ht="20.25">
      <c r="A4" s="184">
        <v>3</v>
      </c>
      <c r="B4" s="1713" t="str">
        <f>'Smmy Chrts'!$A$3</f>
        <v>Source: FY 2021 Annual Financial Report</v>
      </c>
      <c r="C4" s="1713"/>
      <c r="D4" s="1713"/>
      <c r="E4" s="1713"/>
      <c r="F4" s="1742"/>
      <c r="G4" s="161"/>
      <c r="H4" s="161"/>
      <c r="I4" s="169"/>
      <c r="J4" s="168"/>
      <c r="K4" s="169"/>
      <c r="L4" s="169"/>
      <c r="M4" s="170"/>
      <c r="O4" s="74"/>
      <c r="P4" s="1744" t="s">
        <v>93</v>
      </c>
      <c r="Q4" s="1745"/>
      <c r="T4" s="36" t="s">
        <v>250</v>
      </c>
    </row>
    <row r="5" spans="1:28">
      <c r="A5" s="184">
        <v>4</v>
      </c>
      <c r="B5" s="160"/>
      <c r="C5" s="160"/>
      <c r="D5" s="160"/>
      <c r="E5" s="160"/>
      <c r="F5" s="160"/>
      <c r="G5" s="160"/>
      <c r="H5" s="160"/>
      <c r="I5" s="160"/>
      <c r="J5" s="160"/>
      <c r="K5" s="160"/>
      <c r="L5" s="160"/>
      <c r="M5" s="166"/>
      <c r="O5" s="262"/>
    </row>
    <row r="6" spans="1:28">
      <c r="A6" s="184">
        <v>5</v>
      </c>
      <c r="B6" s="1715" t="str">
        <f>'Smmy Chrts'!$C$32</f>
        <v>Detail Worksheet FY 2021</v>
      </c>
      <c r="C6" s="1715"/>
      <c r="D6" s="1743"/>
      <c r="E6" s="1743"/>
      <c r="F6" s="1743"/>
      <c r="G6" s="1743"/>
      <c r="H6" s="1743"/>
      <c r="I6" s="1743"/>
      <c r="J6" s="1743"/>
      <c r="K6" s="1743"/>
      <c r="L6" s="1743"/>
      <c r="M6" s="1743"/>
      <c r="O6" s="265"/>
    </row>
    <row r="7" spans="1:28">
      <c r="A7" s="184">
        <v>6</v>
      </c>
      <c r="B7" s="172"/>
      <c r="C7" s="172"/>
      <c r="D7" s="160"/>
      <c r="E7" s="160"/>
      <c r="F7" s="160"/>
      <c r="G7" s="160"/>
      <c r="H7" s="160"/>
      <c r="I7" s="160"/>
      <c r="J7" s="160"/>
      <c r="K7" s="160"/>
      <c r="L7" s="160"/>
      <c r="M7" s="173" t="str">
        <f>'Smmy Chrts'!$C$33</f>
        <v>FY 2021</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Input!$M$34</f>
        <v>194264324</v>
      </c>
      <c r="E10" s="372">
        <f>Input!$N$34</f>
        <v>0</v>
      </c>
      <c r="F10" s="372">
        <f>Input!$O$34</f>
        <v>0</v>
      </c>
      <c r="G10" s="372">
        <f>Input!$P$34</f>
        <v>0</v>
      </c>
      <c r="H10" s="372">
        <f>Input!$Q$34</f>
        <v>0</v>
      </c>
      <c r="I10" s="372">
        <f>Input!$R$34</f>
        <v>0</v>
      </c>
      <c r="J10" s="372">
        <f>Input!$S$34</f>
        <v>0</v>
      </c>
      <c r="K10" s="372">
        <f>Input!$T$34</f>
        <v>0</v>
      </c>
      <c r="L10" s="372">
        <f>Input!$U$34</f>
        <v>0</v>
      </c>
      <c r="M10" s="373">
        <f t="shared" ref="M10:M15" si="0">D10+E10+F10+G10+H10+I10+J10+K10+L10</f>
        <v>194264324</v>
      </c>
      <c r="N10" s="160"/>
      <c r="O10" s="271"/>
      <c r="P10" s="1718" t="s">
        <v>575</v>
      </c>
      <c r="U10" s="268"/>
    </row>
    <row r="11" spans="1:28">
      <c r="A11" s="184">
        <v>10</v>
      </c>
      <c r="B11" s="160" t="s">
        <v>2</v>
      </c>
      <c r="C11" s="160"/>
      <c r="D11" s="372">
        <f>Input!$V$34</f>
        <v>884474</v>
      </c>
      <c r="E11" s="372">
        <f>Input!$W$34</f>
        <v>4646618</v>
      </c>
      <c r="F11" s="372">
        <f>Input!$X$34</f>
        <v>0</v>
      </c>
      <c r="G11" s="372">
        <f>Input!$Y$34</f>
        <v>13952224</v>
      </c>
      <c r="H11" s="372">
        <f>Input!$Z$34</f>
        <v>0</v>
      </c>
      <c r="I11" s="372">
        <f>Input!$AA$34</f>
        <v>0</v>
      </c>
      <c r="J11" s="372">
        <f>Input!$AB$34</f>
        <v>0</v>
      </c>
      <c r="K11" s="372">
        <f>Input!$AC$34</f>
        <v>0</v>
      </c>
      <c r="L11" s="372">
        <f>Input!$AD$34</f>
        <v>0</v>
      </c>
      <c r="M11" s="373">
        <f t="shared" si="0"/>
        <v>19483316</v>
      </c>
      <c r="N11" s="160"/>
      <c r="O11" s="482"/>
      <c r="P11" s="1719"/>
      <c r="U11" s="268"/>
    </row>
    <row r="12" spans="1:28" ht="12.75" hidden="1" customHeight="1">
      <c r="B12" s="160" t="s">
        <v>1410</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Input!$AN$34</f>
        <v>49874746</v>
      </c>
      <c r="E13" s="372">
        <f>Input!$AO$34</f>
        <v>0</v>
      </c>
      <c r="F13" s="372">
        <f>Input!$AP$34</f>
        <v>0</v>
      </c>
      <c r="G13" s="372">
        <f>Input!$AQ$34</f>
        <v>0</v>
      </c>
      <c r="H13" s="372">
        <f>Input!$AR$34</f>
        <v>0</v>
      </c>
      <c r="I13" s="372">
        <f>Input!$AS$34</f>
        <v>0</v>
      </c>
      <c r="J13" s="372">
        <f>Input!$AT$34</f>
        <v>0</v>
      </c>
      <c r="K13" s="372">
        <f>Input!$AU$34</f>
        <v>0</v>
      </c>
      <c r="L13" s="372">
        <f>Input!$AV$34</f>
        <v>0</v>
      </c>
      <c r="M13" s="373">
        <f t="shared" si="0"/>
        <v>49874746</v>
      </c>
      <c r="N13" s="160"/>
      <c r="O13" s="482" t="str">
        <f>IF(P13&lt;&gt;M13,"Out of Balance","Balanced")</f>
        <v>Balanced</v>
      </c>
      <c r="P13" s="484">
        <f>IFERROR(VLOOKUP($B$2,AMTLU,6,FALSE),0)</f>
        <v>49874746</v>
      </c>
      <c r="U13" s="268"/>
    </row>
    <row r="14" spans="1:28">
      <c r="A14" s="184">
        <v>13</v>
      </c>
      <c r="B14" s="160" t="s">
        <v>49</v>
      </c>
      <c r="C14" s="160"/>
      <c r="D14" s="372">
        <f>Input!$AW$34</f>
        <v>0</v>
      </c>
      <c r="E14" s="372">
        <f>Input!$AX$34</f>
        <v>0</v>
      </c>
      <c r="F14" s="372">
        <f>Input!$AY$34</f>
        <v>0</v>
      </c>
      <c r="G14" s="372">
        <f>Input!$AZ$34</f>
        <v>0</v>
      </c>
      <c r="H14" s="372">
        <f>Input!$BA$34</f>
        <v>0</v>
      </c>
      <c r="I14" s="372">
        <f>Input!$BB$34</f>
        <v>0</v>
      </c>
      <c r="J14" s="372">
        <f>Input!$BC$34</f>
        <v>0</v>
      </c>
      <c r="K14" s="372">
        <f>Input!$BD$34</f>
        <v>0</v>
      </c>
      <c r="L14" s="372">
        <f>Input!$BE$34</f>
        <v>0</v>
      </c>
      <c r="M14" s="373">
        <f t="shared" si="0"/>
        <v>0</v>
      </c>
      <c r="N14" s="160"/>
      <c r="O14" s="482"/>
      <c r="P14" s="485"/>
    </row>
    <row r="15" spans="1:28" ht="15">
      <c r="A15" s="184">
        <v>14</v>
      </c>
      <c r="B15" s="176" t="s">
        <v>3</v>
      </c>
      <c r="C15" s="176"/>
      <c r="D15" s="374">
        <f t="shared" ref="D15:L15" si="1">SUM(D10:D14)</f>
        <v>245023544</v>
      </c>
      <c r="E15" s="374">
        <f t="shared" si="1"/>
        <v>4646618</v>
      </c>
      <c r="F15" s="374">
        <f t="shared" si="1"/>
        <v>0</v>
      </c>
      <c r="G15" s="374">
        <f t="shared" si="1"/>
        <v>13952224</v>
      </c>
      <c r="H15" s="374">
        <f t="shared" si="1"/>
        <v>0</v>
      </c>
      <c r="I15" s="374">
        <f t="shared" si="1"/>
        <v>0</v>
      </c>
      <c r="J15" s="374">
        <f t="shared" si="1"/>
        <v>0</v>
      </c>
      <c r="K15" s="374">
        <f t="shared" si="1"/>
        <v>0</v>
      </c>
      <c r="L15" s="374">
        <f t="shared" si="1"/>
        <v>0</v>
      </c>
      <c r="M15" s="374">
        <f t="shared" si="0"/>
        <v>263622386</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58" t="s">
        <v>1042</v>
      </c>
      <c r="C18" s="558"/>
      <c r="D18" s="374">
        <f t="shared" ref="D18:L18" si="2">D23-SUM(D19:D22)</f>
        <v>107268518</v>
      </c>
      <c r="E18" s="374">
        <f t="shared" si="2"/>
        <v>259398922</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366667440</v>
      </c>
      <c r="V18" s="327"/>
      <c r="X18" s="330"/>
    </row>
    <row r="19" spans="1:26" s="264" customFormat="1" ht="12.75" customHeight="1" thickTop="1" thickBot="1">
      <c r="A19" s="263"/>
      <c r="B19" s="261" t="s">
        <v>722</v>
      </c>
      <c r="C19" s="261"/>
      <c r="D19" s="372">
        <f>Input!$BF$34</f>
        <v>-39328111</v>
      </c>
      <c r="E19" s="372">
        <f>Input!$BG$34</f>
        <v>0</v>
      </c>
      <c r="F19" s="372">
        <f>Input!$BH$34</f>
        <v>0</v>
      </c>
      <c r="G19" s="372">
        <f>Input!$BI$34</f>
        <v>0</v>
      </c>
      <c r="H19" s="372">
        <f>Input!$BJ$34</f>
        <v>0</v>
      </c>
      <c r="I19" s="372">
        <f>Input!$BK$34</f>
        <v>0</v>
      </c>
      <c r="J19" s="372">
        <f>Input!$BL$34</f>
        <v>0</v>
      </c>
      <c r="K19" s="372">
        <f>Input!$BM$34</f>
        <v>0</v>
      </c>
      <c r="L19" s="372">
        <f>Input!$BN$34</f>
        <v>0</v>
      </c>
      <c r="M19" s="373">
        <f t="shared" si="3"/>
        <v>-39328111</v>
      </c>
      <c r="O19" s="1732" t="s">
        <v>1294</v>
      </c>
      <c r="P19" s="1733"/>
      <c r="Q19" s="1733"/>
      <c r="R19" s="1734"/>
      <c r="T19" s="1735" t="s">
        <v>1043</v>
      </c>
      <c r="U19" s="1736"/>
      <c r="V19" s="1736"/>
      <c r="W19" s="1736"/>
      <c r="X19" s="1737"/>
    </row>
    <row r="20" spans="1:26" s="264" customFormat="1" ht="12.75" customHeight="1" thickTop="1">
      <c r="A20" s="263"/>
      <c r="B20" s="261" t="s">
        <v>723</v>
      </c>
      <c r="C20" s="261"/>
      <c r="D20" s="372">
        <f>Input!$BO$34</f>
        <v>0</v>
      </c>
      <c r="E20" s="372">
        <f>Input!$BP$34</f>
        <v>0</v>
      </c>
      <c r="F20" s="372">
        <f>Input!$BQ$34</f>
        <v>0</v>
      </c>
      <c r="G20" s="372">
        <f>Input!$BR$34</f>
        <v>0</v>
      </c>
      <c r="H20" s="372">
        <f>Input!$BS$34</f>
        <v>0</v>
      </c>
      <c r="I20" s="372">
        <f>Input!$BT$34</f>
        <v>0</v>
      </c>
      <c r="J20" s="372">
        <f>Input!$BU$34</f>
        <v>0</v>
      </c>
      <c r="K20" s="372">
        <f>Input!$BV$34</f>
        <v>0</v>
      </c>
      <c r="L20" s="372">
        <f>Input!$BW$34</f>
        <v>0</v>
      </c>
      <c r="M20" s="373">
        <f t="shared" si="3"/>
        <v>0</v>
      </c>
      <c r="O20" s="421" t="s">
        <v>288</v>
      </c>
      <c r="P20" s="422"/>
      <c r="Q20" s="414"/>
      <c r="R20" s="559"/>
      <c r="T20" s="560" t="s">
        <v>1044</v>
      </c>
      <c r="U20" s="266"/>
      <c r="V20" s="266"/>
      <c r="X20" s="425"/>
    </row>
    <row r="21" spans="1:26" s="264" customFormat="1">
      <c r="A21" s="263"/>
      <c r="B21" s="261" t="s">
        <v>724</v>
      </c>
      <c r="C21" s="261"/>
      <c r="D21" s="372">
        <f>Input!$BX$34</f>
        <v>0</v>
      </c>
      <c r="E21" s="372">
        <f>Input!$BY$34</f>
        <v>0</v>
      </c>
      <c r="F21" s="372">
        <f>Input!$BZ$34</f>
        <v>0</v>
      </c>
      <c r="G21" s="372">
        <f>Input!$CA$34</f>
        <v>0</v>
      </c>
      <c r="H21" s="372">
        <f>Input!$CB$34</f>
        <v>0</v>
      </c>
      <c r="I21" s="372">
        <f>Input!$CC$34</f>
        <v>0</v>
      </c>
      <c r="J21" s="372">
        <f>Input!$CD$34</f>
        <v>0</v>
      </c>
      <c r="K21" s="372">
        <f>Input!$CE$34</f>
        <v>0</v>
      </c>
      <c r="L21" s="372">
        <f>Input!$CF$34</f>
        <v>0</v>
      </c>
      <c r="M21" s="373">
        <f t="shared" si="3"/>
        <v>0</v>
      </c>
      <c r="O21" s="434"/>
      <c r="R21" s="561"/>
      <c r="T21" s="650" t="s">
        <v>1045</v>
      </c>
      <c r="U21" s="266"/>
      <c r="V21" s="266"/>
      <c r="W21" s="651">
        <f>M44</f>
        <v>357294838</v>
      </c>
      <c r="X21" s="425"/>
      <c r="Z21" s="330"/>
    </row>
    <row r="22" spans="1:26" s="264" customFormat="1">
      <c r="A22" s="263"/>
      <c r="B22" s="261" t="s">
        <v>725</v>
      </c>
      <c r="C22" s="261"/>
      <c r="D22" s="372">
        <f>Input!$CG$34</f>
        <v>0</v>
      </c>
      <c r="E22" s="372">
        <f>Input!$CH$34</f>
        <v>0</v>
      </c>
      <c r="F22" s="372">
        <f>Input!$CI$34</f>
        <v>0</v>
      </c>
      <c r="G22" s="372">
        <f>Input!$CJ$34</f>
        <v>0</v>
      </c>
      <c r="H22" s="372">
        <f>Input!$CK$34</f>
        <v>0</v>
      </c>
      <c r="I22" s="372">
        <f>Input!$CL$34</f>
        <v>0</v>
      </c>
      <c r="J22" s="372">
        <f>Input!$CM$34</f>
        <v>0</v>
      </c>
      <c r="K22" s="372">
        <f>Input!$CN$34</f>
        <v>0</v>
      </c>
      <c r="L22" s="372">
        <f>Input!$CO$34</f>
        <v>0</v>
      </c>
      <c r="M22" s="373">
        <f t="shared" si="3"/>
        <v>0</v>
      </c>
      <c r="N22" s="270"/>
      <c r="O22" s="434" t="s">
        <v>1046</v>
      </c>
      <c r="P22" s="276"/>
      <c r="Q22" s="424">
        <f>M23</f>
        <v>327339329</v>
      </c>
      <c r="R22" s="562"/>
      <c r="T22" s="650" t="s">
        <v>1047</v>
      </c>
      <c r="U22" s="266"/>
      <c r="V22" s="266"/>
      <c r="W22" s="652">
        <f>R30*-1</f>
        <v>121055562</v>
      </c>
      <c r="X22" s="425"/>
    </row>
    <row r="23" spans="1:26" s="264" customFormat="1" ht="12.75" customHeight="1">
      <c r="A23" s="263"/>
      <c r="B23" s="558" t="s">
        <v>726</v>
      </c>
      <c r="C23" s="563"/>
      <c r="D23" s="564">
        <f>Input!$CP$34</f>
        <v>67940407</v>
      </c>
      <c r="E23" s="564">
        <f>Input!$CQ$34</f>
        <v>259398922</v>
      </c>
      <c r="F23" s="564">
        <f>Input!$CR$34</f>
        <v>0</v>
      </c>
      <c r="G23" s="564">
        <f>Input!$CS$34</f>
        <v>0</v>
      </c>
      <c r="H23" s="564">
        <f>Input!$CT$34</f>
        <v>0</v>
      </c>
      <c r="I23" s="564">
        <f>Input!$CU$34</f>
        <v>0</v>
      </c>
      <c r="J23" s="564">
        <f>Input!$CV$34</f>
        <v>0</v>
      </c>
      <c r="K23" s="564">
        <f>Input!$CW$34</f>
        <v>0</v>
      </c>
      <c r="L23" s="564">
        <f>Input!$CX$34</f>
        <v>0</v>
      </c>
      <c r="M23" s="565">
        <f t="shared" si="3"/>
        <v>327339329</v>
      </c>
      <c r="O23" s="434"/>
      <c r="P23" s="276"/>
      <c r="Q23" s="424"/>
      <c r="R23" s="562"/>
      <c r="T23" s="560" t="s">
        <v>1230</v>
      </c>
      <c r="U23" s="266"/>
      <c r="V23" s="266"/>
      <c r="W23" s="276"/>
      <c r="X23" s="425">
        <f>SUM(W21:W22)</f>
        <v>478350400</v>
      </c>
      <c r="Z23" s="330"/>
    </row>
    <row r="24" spans="1:26" s="264" customFormat="1" ht="12.75" customHeight="1">
      <c r="A24" s="263"/>
      <c r="B24" s="261" t="s">
        <v>727</v>
      </c>
      <c r="C24" s="566"/>
      <c r="D24" s="372">
        <f>Input!$CY$34</f>
        <v>0</v>
      </c>
      <c r="E24" s="372">
        <f>Input!$CZ$34</f>
        <v>0</v>
      </c>
      <c r="F24" s="372">
        <f>Input!$DA$34</f>
        <v>0</v>
      </c>
      <c r="G24" s="372">
        <f>Input!$DB$34</f>
        <v>0</v>
      </c>
      <c r="H24" s="372">
        <f>Input!$DC$34</f>
        <v>0</v>
      </c>
      <c r="I24" s="372">
        <f>Input!$DD$34</f>
        <v>0</v>
      </c>
      <c r="J24" s="372">
        <f>Input!$DE$34</f>
        <v>0</v>
      </c>
      <c r="K24" s="372">
        <f>Input!$DF$34</f>
        <v>0</v>
      </c>
      <c r="L24" s="372">
        <f>Input!$DG$34</f>
        <v>0</v>
      </c>
      <c r="M24" s="567">
        <f t="shared" si="3"/>
        <v>0</v>
      </c>
      <c r="O24" s="417" t="s">
        <v>1048</v>
      </c>
      <c r="P24" s="276"/>
      <c r="Q24" s="327"/>
      <c r="R24" s="646">
        <f>SUM(M24:M28)</f>
        <v>-82774901</v>
      </c>
      <c r="T24" s="560"/>
      <c r="U24" s="266"/>
      <c r="V24" s="266"/>
      <c r="X24" s="425"/>
      <c r="Z24" s="330"/>
    </row>
    <row r="25" spans="1:26" s="264" customFormat="1" ht="12.75" customHeight="1">
      <c r="A25" s="263"/>
      <c r="B25" s="261" t="s">
        <v>728</v>
      </c>
      <c r="C25" s="566"/>
      <c r="D25" s="372">
        <f>Input!$DH$34</f>
        <v>0</v>
      </c>
      <c r="E25" s="372">
        <f>Input!$DI$34</f>
        <v>0</v>
      </c>
      <c r="F25" s="372">
        <f>Input!$DJ$34</f>
        <v>0</v>
      </c>
      <c r="G25" s="372">
        <f>Input!$DK$34</f>
        <v>0</v>
      </c>
      <c r="H25" s="372">
        <f>Input!$DL$34</f>
        <v>0</v>
      </c>
      <c r="I25" s="372">
        <f>Input!$DM$34</f>
        <v>0</v>
      </c>
      <c r="J25" s="372">
        <f>Input!$DN$34</f>
        <v>0</v>
      </c>
      <c r="K25" s="372">
        <f>Input!$DO$34</f>
        <v>0</v>
      </c>
      <c r="L25" s="372">
        <f>Input!$DP$34</f>
        <v>0</v>
      </c>
      <c r="M25" s="567">
        <f t="shared" si="3"/>
        <v>0</v>
      </c>
      <c r="O25" s="434"/>
      <c r="P25" s="276"/>
      <c r="Q25" s="327"/>
      <c r="R25" s="646"/>
      <c r="T25" s="568" t="s">
        <v>1103</v>
      </c>
      <c r="U25" s="569"/>
      <c r="V25" s="569"/>
      <c r="W25" s="653">
        <f>(M26+M39)*-1</f>
        <v>27030086</v>
      </c>
      <c r="X25" s="425"/>
      <c r="Z25" s="330"/>
    </row>
    <row r="26" spans="1:26" s="264" customFormat="1" ht="12.75" customHeight="1">
      <c r="A26" s="263"/>
      <c r="B26" s="261" t="s">
        <v>729</v>
      </c>
      <c r="C26" s="566"/>
      <c r="D26" s="372">
        <f>Input!$DQ$34</f>
        <v>-3498747</v>
      </c>
      <c r="E26" s="372">
        <f>Input!$DR$34</f>
        <v>-14937102</v>
      </c>
      <c r="F26" s="372">
        <f>Input!$DS$34</f>
        <v>0</v>
      </c>
      <c r="G26" s="372">
        <f>Input!$DT$34</f>
        <v>0</v>
      </c>
      <c r="H26" s="372">
        <f>Input!$DU$34</f>
        <v>0</v>
      </c>
      <c r="I26" s="372">
        <f>Input!$DV$34</f>
        <v>0</v>
      </c>
      <c r="J26" s="372">
        <f>Input!$DW$34</f>
        <v>0</v>
      </c>
      <c r="K26" s="372">
        <f>Input!$DX$34</f>
        <v>0</v>
      </c>
      <c r="L26" s="372">
        <f>Input!$DY$34</f>
        <v>0</v>
      </c>
      <c r="M26" s="567">
        <f t="shared" si="3"/>
        <v>-18435849</v>
      </c>
      <c r="O26" s="434" t="s">
        <v>1049</v>
      </c>
      <c r="P26" s="276"/>
      <c r="Q26" s="427">
        <f>M36</f>
        <v>151011071</v>
      </c>
      <c r="R26" s="570"/>
      <c r="T26" s="560" t="s">
        <v>1104</v>
      </c>
      <c r="U26" s="266"/>
      <c r="V26" s="266"/>
      <c r="W26" s="571">
        <f>(M21+M34)*-1</f>
        <v>0</v>
      </c>
      <c r="X26" s="425"/>
      <c r="Z26" s="330"/>
    </row>
    <row r="27" spans="1:26" s="264" customFormat="1">
      <c r="A27" s="263"/>
      <c r="B27" s="261" t="s">
        <v>730</v>
      </c>
      <c r="C27" s="566"/>
      <c r="D27" s="372">
        <f>Input!$DZ$34</f>
        <v>0</v>
      </c>
      <c r="E27" s="372">
        <f>Input!$EA$34</f>
        <v>0</v>
      </c>
      <c r="F27" s="372">
        <f>Input!$EB$34</f>
        <v>0</v>
      </c>
      <c r="G27" s="372">
        <f>Input!$EC$34</f>
        <v>0</v>
      </c>
      <c r="H27" s="372">
        <f>Input!$ED$34</f>
        <v>0</v>
      </c>
      <c r="I27" s="372">
        <f>Input!$EE$34</f>
        <v>0</v>
      </c>
      <c r="J27" s="372">
        <f>Input!$EF$34</f>
        <v>0</v>
      </c>
      <c r="K27" s="372">
        <f>Input!$EG$34</f>
        <v>0</v>
      </c>
      <c r="L27" s="372">
        <f>Input!EH6</f>
        <v>0</v>
      </c>
      <c r="M27" s="567">
        <f t="shared" si="3"/>
        <v>0</v>
      </c>
      <c r="O27" s="434"/>
      <c r="P27" s="276"/>
      <c r="Q27" s="427"/>
      <c r="R27" s="570"/>
      <c r="T27" s="650" t="s">
        <v>1105</v>
      </c>
      <c r="U27" s="584"/>
      <c r="V27" s="584"/>
      <c r="W27" s="654">
        <f>SUM(W25:W26)</f>
        <v>27030086</v>
      </c>
      <c r="X27" s="655"/>
    </row>
    <row r="28" spans="1:26" s="264" customFormat="1">
      <c r="A28" s="263"/>
      <c r="B28" s="261" t="s">
        <v>2133</v>
      </c>
      <c r="C28" s="566"/>
      <c r="D28" s="372">
        <f>Input!$EI$34</f>
        <v>-13351618</v>
      </c>
      <c r="E28" s="372">
        <f>Input!$EJ$34</f>
        <v>-50987434</v>
      </c>
      <c r="F28" s="372">
        <f>Input!$EK$34</f>
        <v>0</v>
      </c>
      <c r="G28" s="372">
        <f>Input!$EL$34</f>
        <v>0</v>
      </c>
      <c r="H28" s="372">
        <f>Input!$EM$34</f>
        <v>0</v>
      </c>
      <c r="I28" s="372">
        <f>Input!$EN$34</f>
        <v>0</v>
      </c>
      <c r="J28" s="372">
        <f>Input!$EO$34</f>
        <v>0</v>
      </c>
      <c r="K28" s="372">
        <f>Input!$EP$34</f>
        <v>0</v>
      </c>
      <c r="L28" s="372">
        <f>Input!$EQ$34</f>
        <v>0</v>
      </c>
      <c r="M28" s="567">
        <f t="shared" si="3"/>
        <v>-64339052</v>
      </c>
      <c r="O28" s="417" t="s">
        <v>1050</v>
      </c>
      <c r="Q28" s="429"/>
      <c r="R28" s="646">
        <f>SUM(M37:M41)</f>
        <v>-38280661</v>
      </c>
      <c r="T28" s="560" t="s">
        <v>1106</v>
      </c>
      <c r="U28" s="266"/>
      <c r="V28" s="266"/>
      <c r="W28" s="425">
        <f>(M27+M40)*-1</f>
        <v>0</v>
      </c>
      <c r="X28" s="655"/>
      <c r="Z28" s="330"/>
    </row>
    <row r="29" spans="1:26" s="264" customFormat="1" ht="12" customHeight="1">
      <c r="A29" s="263"/>
      <c r="B29" s="575" t="s">
        <v>39</v>
      </c>
      <c r="C29" s="563"/>
      <c r="D29" s="374">
        <f t="shared" ref="D29:L29" si="4">SUM(D23:D28)</f>
        <v>51090042</v>
      </c>
      <c r="E29" s="374">
        <f t="shared" si="4"/>
        <v>193474386</v>
      </c>
      <c r="F29" s="374">
        <f t="shared" si="4"/>
        <v>0</v>
      </c>
      <c r="G29" s="374">
        <f t="shared" si="4"/>
        <v>0</v>
      </c>
      <c r="H29" s="374">
        <f t="shared" si="4"/>
        <v>0</v>
      </c>
      <c r="I29" s="374">
        <f t="shared" si="4"/>
        <v>0</v>
      </c>
      <c r="J29" s="374">
        <f t="shared" si="4"/>
        <v>0</v>
      </c>
      <c r="K29" s="374">
        <f t="shared" si="4"/>
        <v>0</v>
      </c>
      <c r="L29" s="374">
        <f t="shared" si="4"/>
        <v>0</v>
      </c>
      <c r="M29" s="374">
        <f t="shared" si="3"/>
        <v>244564428</v>
      </c>
      <c r="O29" s="417"/>
      <c r="Q29" s="429"/>
      <c r="R29" s="576"/>
      <c r="T29" s="560" t="s">
        <v>1107</v>
      </c>
      <c r="U29" s="266"/>
      <c r="V29" s="266"/>
      <c r="W29" s="571">
        <f>(M22+M35)*-1</f>
        <v>0</v>
      </c>
      <c r="X29" s="655"/>
    </row>
    <row r="30" spans="1:26" s="264" customFormat="1" ht="16.5" customHeight="1">
      <c r="A30" s="263"/>
      <c r="B30" s="261"/>
      <c r="C30" s="566"/>
      <c r="D30" s="566"/>
      <c r="E30" s="566"/>
      <c r="F30" s="566"/>
      <c r="G30" s="566"/>
      <c r="H30" s="566"/>
      <c r="I30" s="566"/>
      <c r="J30" s="566"/>
      <c r="K30" s="566"/>
      <c r="L30" s="566"/>
      <c r="M30" s="567"/>
      <c r="O30" s="431" t="s">
        <v>289</v>
      </c>
      <c r="P30" s="432"/>
      <c r="Q30" s="433">
        <f>Q26+Q22</f>
        <v>478350400</v>
      </c>
      <c r="R30" s="647">
        <f>R28+R24</f>
        <v>-121055562</v>
      </c>
      <c r="T30" s="650" t="s">
        <v>1108</v>
      </c>
      <c r="U30" s="584"/>
      <c r="V30" s="584"/>
      <c r="W30" s="654">
        <f>SUM(W28:W29)</f>
        <v>0</v>
      </c>
      <c r="X30" s="655"/>
    </row>
    <row r="31" spans="1:26" s="264" customFormat="1" ht="12.75" customHeight="1">
      <c r="A31" s="263"/>
      <c r="B31" s="558" t="s">
        <v>1052</v>
      </c>
      <c r="C31" s="558"/>
      <c r="D31" s="374">
        <f t="shared" ref="D31:L31" si="5">D36-SUM(D32:D35)</f>
        <v>0</v>
      </c>
      <c r="E31" s="374">
        <f t="shared" si="5"/>
        <v>145193948</v>
      </c>
      <c r="F31" s="374">
        <f t="shared" si="5"/>
        <v>5817123</v>
      </c>
      <c r="G31" s="374">
        <f t="shared" si="5"/>
        <v>0</v>
      </c>
      <c r="H31" s="374">
        <f t="shared" si="5"/>
        <v>0</v>
      </c>
      <c r="I31" s="374">
        <f t="shared" si="5"/>
        <v>0</v>
      </c>
      <c r="J31" s="374">
        <f t="shared" si="5"/>
        <v>0</v>
      </c>
      <c r="K31" s="374">
        <f t="shared" si="5"/>
        <v>0</v>
      </c>
      <c r="L31" s="374">
        <f t="shared" si="5"/>
        <v>0</v>
      </c>
      <c r="M31" s="374">
        <f t="shared" ref="M31:M42" si="6">D31+E31+F31+G31+H31+I31+J31+K31+L31</f>
        <v>151011071</v>
      </c>
      <c r="O31" s="434" t="s">
        <v>290</v>
      </c>
      <c r="P31" s="276"/>
      <c r="Q31" s="335"/>
      <c r="R31" s="562"/>
      <c r="T31" s="572" t="s">
        <v>1109</v>
      </c>
      <c r="U31" s="573"/>
      <c r="V31" s="573"/>
      <c r="W31" s="574">
        <f>W27+W30</f>
        <v>27030086</v>
      </c>
      <c r="X31" s="425"/>
      <c r="Z31" s="330"/>
    </row>
    <row r="32" spans="1:26" s="264" customFormat="1" ht="12.75" customHeight="1">
      <c r="A32" s="263"/>
      <c r="B32" s="261" t="s">
        <v>722</v>
      </c>
      <c r="C32" s="261"/>
      <c r="D32" s="372">
        <f>Input!$ER$34</f>
        <v>0</v>
      </c>
      <c r="E32" s="372">
        <f>Input!$ES$34</f>
        <v>0</v>
      </c>
      <c r="F32" s="372">
        <f>Input!$ET$34</f>
        <v>0</v>
      </c>
      <c r="G32" s="372">
        <f>Input!$EU$34</f>
        <v>0</v>
      </c>
      <c r="H32" s="372">
        <f>Input!$EV$34</f>
        <v>0</v>
      </c>
      <c r="I32" s="372">
        <f>Input!$EW$34</f>
        <v>0</v>
      </c>
      <c r="J32" s="372">
        <f>Input!$EX$34</f>
        <v>0</v>
      </c>
      <c r="K32" s="372">
        <f>Input!$EY$34</f>
        <v>0</v>
      </c>
      <c r="L32" s="372">
        <f>Input!$EZ$34</f>
        <v>0</v>
      </c>
      <c r="M32" s="567">
        <f t="shared" si="6"/>
        <v>0</v>
      </c>
      <c r="O32" s="415" t="s">
        <v>1295</v>
      </c>
      <c r="P32" s="416"/>
      <c r="Q32" s="577">
        <f>Input!$SQ$34</f>
        <v>478350400</v>
      </c>
      <c r="R32" s="578"/>
      <c r="T32" s="560"/>
      <c r="U32" s="266"/>
      <c r="V32" s="266"/>
      <c r="X32" s="425"/>
      <c r="Z32" s="330"/>
    </row>
    <row r="33" spans="1:24" s="264" customFormat="1">
      <c r="A33" s="263"/>
      <c r="B33" s="261" t="s">
        <v>723</v>
      </c>
      <c r="C33" s="261"/>
      <c r="D33" s="372">
        <f>Input!$FA$34</f>
        <v>0</v>
      </c>
      <c r="E33" s="372">
        <f>Input!$FB$34</f>
        <v>0</v>
      </c>
      <c r="F33" s="372">
        <f>Input!$FC$34</f>
        <v>0</v>
      </c>
      <c r="G33" s="372">
        <f>Input!$FD$34</f>
        <v>0</v>
      </c>
      <c r="H33" s="372">
        <f>Input!$FE$34</f>
        <v>0</v>
      </c>
      <c r="I33" s="372">
        <f>Input!$FF$34</f>
        <v>0</v>
      </c>
      <c r="J33" s="372">
        <f>Input!$FG$34</f>
        <v>0</v>
      </c>
      <c r="K33" s="372">
        <f>Input!$FH$34</f>
        <v>0</v>
      </c>
      <c r="L33" s="372">
        <f>Input!$FI$34</f>
        <v>0</v>
      </c>
      <c r="M33" s="567">
        <f t="shared" si="6"/>
        <v>0</v>
      </c>
      <c r="O33" s="415"/>
      <c r="P33" s="416"/>
      <c r="Q33" s="327"/>
      <c r="R33" s="578"/>
      <c r="T33" s="560" t="s">
        <v>1051</v>
      </c>
      <c r="U33" s="266"/>
      <c r="V33" s="266"/>
      <c r="W33" s="334">
        <f>(M19+M32)*-1</f>
        <v>39328111</v>
      </c>
      <c r="X33" s="425"/>
    </row>
    <row r="34" spans="1:24" s="264" customFormat="1">
      <c r="A34" s="263"/>
      <c r="B34" s="261" t="s">
        <v>724</v>
      </c>
      <c r="C34" s="261"/>
      <c r="D34" s="372">
        <f>Input!$FJ$34</f>
        <v>0</v>
      </c>
      <c r="E34" s="372">
        <f>Input!$FK$34</f>
        <v>0</v>
      </c>
      <c r="F34" s="372">
        <f>Input!$FL$34</f>
        <v>0</v>
      </c>
      <c r="G34" s="372">
        <f>Input!$FM$34</f>
        <v>0</v>
      </c>
      <c r="H34" s="372">
        <f>Input!$FN$34</f>
        <v>0</v>
      </c>
      <c r="I34" s="372">
        <f>Input!$FO$34</f>
        <v>0</v>
      </c>
      <c r="J34" s="372">
        <f>Input!$FP$34</f>
        <v>0</v>
      </c>
      <c r="K34" s="372">
        <f>Input!$FQ$34</f>
        <v>0</v>
      </c>
      <c r="L34" s="372">
        <f>Input!$FR$34</f>
        <v>0</v>
      </c>
      <c r="M34" s="567">
        <f t="shared" si="6"/>
        <v>0</v>
      </c>
      <c r="O34" s="435" t="s">
        <v>1296</v>
      </c>
      <c r="P34" s="436"/>
      <c r="Q34" s="264" t="s">
        <v>291</v>
      </c>
      <c r="R34" s="648">
        <f>Input!$SR$34</f>
        <v>-121055562</v>
      </c>
      <c r="T34" s="560" t="s">
        <v>1110</v>
      </c>
      <c r="U34" s="266"/>
      <c r="V34" s="266"/>
      <c r="W34" s="430">
        <f>(M24+M37)*-1</f>
        <v>0</v>
      </c>
      <c r="X34" s="425"/>
    </row>
    <row r="35" spans="1:24" s="264" customFormat="1" ht="13.5" thickBot="1">
      <c r="A35" s="263"/>
      <c r="B35" s="261" t="s">
        <v>725</v>
      </c>
      <c r="C35" s="261"/>
      <c r="D35" s="372">
        <f>Input!$FS$34</f>
        <v>0</v>
      </c>
      <c r="E35" s="372">
        <f>Input!$FT$34</f>
        <v>0</v>
      </c>
      <c r="F35" s="372">
        <f>Input!$FU$34</f>
        <v>0</v>
      </c>
      <c r="G35" s="372">
        <f>Input!$FV$34</f>
        <v>0</v>
      </c>
      <c r="H35" s="372">
        <f>Input!$FW$34</f>
        <v>0</v>
      </c>
      <c r="I35" s="372">
        <f>Input!$FX$34</f>
        <v>0</v>
      </c>
      <c r="J35" s="372">
        <f>Input!$FY$34</f>
        <v>0</v>
      </c>
      <c r="K35" s="372">
        <f>Input!$FZ$34</f>
        <v>0</v>
      </c>
      <c r="L35" s="372">
        <f>Input!$GA$34</f>
        <v>0</v>
      </c>
      <c r="M35" s="567">
        <f t="shared" si="6"/>
        <v>0</v>
      </c>
      <c r="O35" s="418" t="s">
        <v>286</v>
      </c>
      <c r="P35" s="419"/>
      <c r="Q35" s="420">
        <f>Q30-Q32</f>
        <v>0</v>
      </c>
      <c r="R35" s="649">
        <f>R30-R34</f>
        <v>0</v>
      </c>
      <c r="T35" s="650" t="s">
        <v>1111</v>
      </c>
      <c r="U35" s="584"/>
      <c r="V35" s="584"/>
      <c r="W35" s="656">
        <f>SUM(W33:W34)</f>
        <v>39328111</v>
      </c>
      <c r="X35" s="655"/>
    </row>
    <row r="36" spans="1:24" s="264" customFormat="1" ht="13.5" thickTop="1">
      <c r="A36" s="263"/>
      <c r="B36" s="558" t="s">
        <v>732</v>
      </c>
      <c r="C36" s="563"/>
      <c r="D36" s="564">
        <f>Input!$GB$34</f>
        <v>0</v>
      </c>
      <c r="E36" s="564">
        <f>Input!$GC$34</f>
        <v>145193948</v>
      </c>
      <c r="F36" s="564">
        <f>Input!$GD$34</f>
        <v>5817123</v>
      </c>
      <c r="G36" s="564">
        <f>Input!$GE$34</f>
        <v>0</v>
      </c>
      <c r="H36" s="564">
        <f>Input!$GF$34</f>
        <v>0</v>
      </c>
      <c r="I36" s="564">
        <f>Input!$GG$34</f>
        <v>0</v>
      </c>
      <c r="J36" s="564">
        <f>Input!$GH$34</f>
        <v>0</v>
      </c>
      <c r="K36" s="564">
        <f>Input!$GI$34</f>
        <v>0</v>
      </c>
      <c r="L36" s="564">
        <f>Input!$GJ$34</f>
        <v>0</v>
      </c>
      <c r="M36" s="565">
        <f t="shared" si="6"/>
        <v>151011071</v>
      </c>
      <c r="O36" s="261"/>
      <c r="Q36" s="412" t="str">
        <f>IF(Q30&lt;&gt;Q32,"Out of Balance","Balanced")</f>
        <v>Balanced</v>
      </c>
      <c r="R36" s="412" t="str">
        <f>IF(R30&lt;&gt;R34,"Out of Balance","Balanced")</f>
        <v>Balanced</v>
      </c>
      <c r="T36" s="560" t="s">
        <v>1053</v>
      </c>
      <c r="U36" s="266"/>
      <c r="V36" s="266"/>
      <c r="W36" s="334">
        <f>(M20+M33)*-1</f>
        <v>0</v>
      </c>
      <c r="X36" s="425"/>
    </row>
    <row r="37" spans="1:24" s="264" customFormat="1">
      <c r="A37" s="263"/>
      <c r="B37" s="261" t="s">
        <v>727</v>
      </c>
      <c r="C37" s="566"/>
      <c r="D37" s="372">
        <f>Input!$GK$34</f>
        <v>0</v>
      </c>
      <c r="E37" s="372">
        <f>Input!$GL$34</f>
        <v>0</v>
      </c>
      <c r="F37" s="372">
        <f>Input!$GM$34</f>
        <v>0</v>
      </c>
      <c r="G37" s="372">
        <f>Input!$GN$34</f>
        <v>0</v>
      </c>
      <c r="H37" s="372">
        <f>Input!$GO$34</f>
        <v>0</v>
      </c>
      <c r="I37" s="372">
        <f>Input!$GP$34</f>
        <v>0</v>
      </c>
      <c r="J37" s="372">
        <f>Input!$GQ$34</f>
        <v>0</v>
      </c>
      <c r="K37" s="372">
        <f>Input!$GR$34</f>
        <v>0</v>
      </c>
      <c r="L37" s="372">
        <f>Input!$GS$34</f>
        <v>0</v>
      </c>
      <c r="M37" s="567">
        <f t="shared" si="6"/>
        <v>0</v>
      </c>
      <c r="O37" s="261"/>
      <c r="T37" s="560" t="s">
        <v>1112</v>
      </c>
      <c r="U37" s="266"/>
      <c r="V37" s="266"/>
      <c r="W37" s="430">
        <f>(M25+M38)*-1</f>
        <v>0</v>
      </c>
      <c r="X37" s="655"/>
    </row>
    <row r="38" spans="1:24" s="264" customFormat="1">
      <c r="A38" s="263"/>
      <c r="B38" s="261" t="s">
        <v>728</v>
      </c>
      <c r="C38" s="566"/>
      <c r="D38" s="372">
        <f>Input!$GT$34</f>
        <v>0</v>
      </c>
      <c r="E38" s="372">
        <f>Input!$GU$34</f>
        <v>0</v>
      </c>
      <c r="F38" s="372">
        <f>Input!$GV$34</f>
        <v>0</v>
      </c>
      <c r="G38" s="372">
        <f>Input!$GW$34</f>
        <v>0</v>
      </c>
      <c r="H38" s="372">
        <f>Input!$GX$34</f>
        <v>0</v>
      </c>
      <c r="I38" s="372">
        <f>Input!$GY$34</f>
        <v>0</v>
      </c>
      <c r="J38" s="372">
        <f>Input!$GZ$34</f>
        <v>0</v>
      </c>
      <c r="K38" s="372">
        <f>Input!$HA$34</f>
        <v>0</v>
      </c>
      <c r="L38" s="372">
        <f>Input!$HB$34</f>
        <v>0</v>
      </c>
      <c r="M38" s="567">
        <f t="shared" si="6"/>
        <v>0</v>
      </c>
      <c r="O38" s="261"/>
      <c r="T38" s="650" t="s">
        <v>1113</v>
      </c>
      <c r="U38" s="584"/>
      <c r="V38" s="584"/>
      <c r="W38" s="656">
        <f>SUM(W36:W37)</f>
        <v>0</v>
      </c>
      <c r="X38" s="425"/>
    </row>
    <row r="39" spans="1:24" s="264" customFormat="1">
      <c r="A39" s="263"/>
      <c r="B39" s="261" t="s">
        <v>729</v>
      </c>
      <c r="C39" s="566"/>
      <c r="D39" s="372">
        <f>Input!$HC$34</f>
        <v>0</v>
      </c>
      <c r="E39" s="372">
        <f>Input!$HD$34</f>
        <v>-8360778</v>
      </c>
      <c r="F39" s="372">
        <f>Input!$HE$34</f>
        <v>-233459</v>
      </c>
      <c r="G39" s="372">
        <f>Input!$HF$34</f>
        <v>0</v>
      </c>
      <c r="H39" s="372">
        <f>Input!$HG$34</f>
        <v>0</v>
      </c>
      <c r="I39" s="372">
        <f>Input!$HH$34</f>
        <v>0</v>
      </c>
      <c r="J39" s="372">
        <f>Input!$HI$34</f>
        <v>0</v>
      </c>
      <c r="K39" s="372">
        <f>Input!$HJ$34</f>
        <v>0</v>
      </c>
      <c r="L39" s="372">
        <f>Input!$HK$34</f>
        <v>0</v>
      </c>
      <c r="M39" s="567">
        <f t="shared" si="6"/>
        <v>-8594237</v>
      </c>
      <c r="O39" s="261"/>
      <c r="T39" s="560" t="s">
        <v>1054</v>
      </c>
      <c r="U39" s="266"/>
      <c r="V39" s="266"/>
      <c r="W39" s="334"/>
      <c r="X39" s="425">
        <f>W38+W35</f>
        <v>39328111</v>
      </c>
    </row>
    <row r="40" spans="1:24" s="264" customFormat="1">
      <c r="A40" s="263"/>
      <c r="B40" s="261" t="s">
        <v>730</v>
      </c>
      <c r="C40" s="566"/>
      <c r="D40" s="372">
        <f>Input!$HL$34</f>
        <v>0</v>
      </c>
      <c r="E40" s="372">
        <f>Input!$HM$34</f>
        <v>0</v>
      </c>
      <c r="F40" s="372">
        <f>Input!$HN$34</f>
        <v>0</v>
      </c>
      <c r="G40" s="372">
        <f>Input!$HO$34</f>
        <v>0</v>
      </c>
      <c r="H40" s="372">
        <f>Input!$HP$34</f>
        <v>0</v>
      </c>
      <c r="I40" s="372">
        <f>Input!$HQ$34</f>
        <v>0</v>
      </c>
      <c r="J40" s="372">
        <f>Input!$HR$34</f>
        <v>0</v>
      </c>
      <c r="K40" s="372">
        <f>Input!$HS$34</f>
        <v>0</v>
      </c>
      <c r="L40" s="372">
        <f>Input!$HT$34</f>
        <v>0</v>
      </c>
      <c r="M40" s="567">
        <f t="shared" si="6"/>
        <v>0</v>
      </c>
      <c r="O40" s="261"/>
      <c r="T40" s="560"/>
      <c r="U40" s="261"/>
      <c r="V40" s="261"/>
      <c r="W40" s="261"/>
      <c r="X40" s="655"/>
    </row>
    <row r="41" spans="1:24" s="264" customFormat="1">
      <c r="A41" s="263"/>
      <c r="B41" s="261" t="s">
        <v>2133</v>
      </c>
      <c r="C41" s="566"/>
      <c r="D41" s="372">
        <f>Input!$HU$34</f>
        <v>0</v>
      </c>
      <c r="E41" s="372">
        <f>Input!$HV$34</f>
        <v>-28539313</v>
      </c>
      <c r="F41" s="372">
        <f>Input!$HW$34</f>
        <v>-1147111</v>
      </c>
      <c r="G41" s="372">
        <f>Input!$HX$34</f>
        <v>0</v>
      </c>
      <c r="H41" s="372">
        <f>Input!$HY$34</f>
        <v>0</v>
      </c>
      <c r="I41" s="372">
        <f>Input!$HZ$34</f>
        <v>0</v>
      </c>
      <c r="J41" s="372">
        <f>Input!$IA$34</f>
        <v>0</v>
      </c>
      <c r="K41" s="372">
        <f>Input!$IB$34</f>
        <v>0</v>
      </c>
      <c r="L41" s="372">
        <f>Input!$IC$34</f>
        <v>0</v>
      </c>
      <c r="M41" s="567">
        <f t="shared" si="6"/>
        <v>-29686424</v>
      </c>
      <c r="O41"/>
      <c r="P41"/>
      <c r="Q41"/>
      <c r="R41"/>
      <c r="S41"/>
      <c r="T41" s="560" t="s">
        <v>1104</v>
      </c>
      <c r="U41" s="266"/>
      <c r="V41" s="266"/>
      <c r="W41" s="330">
        <f>(M21+M34)*-1</f>
        <v>0</v>
      </c>
      <c r="X41" s="425"/>
    </row>
    <row r="42" spans="1:24" s="264" customFormat="1">
      <c r="A42" s="263"/>
      <c r="B42" s="575" t="s">
        <v>40</v>
      </c>
      <c r="C42" s="563"/>
      <c r="D42" s="374">
        <f t="shared" ref="D42:L42" si="7">SUM(D36:D41)</f>
        <v>0</v>
      </c>
      <c r="E42" s="374">
        <f t="shared" si="7"/>
        <v>108293857</v>
      </c>
      <c r="F42" s="374">
        <f t="shared" si="7"/>
        <v>4436553</v>
      </c>
      <c r="G42" s="374">
        <f t="shared" si="7"/>
        <v>0</v>
      </c>
      <c r="H42" s="374">
        <f t="shared" si="7"/>
        <v>0</v>
      </c>
      <c r="I42" s="374">
        <f t="shared" si="7"/>
        <v>0</v>
      </c>
      <c r="J42" s="374">
        <f t="shared" si="7"/>
        <v>0</v>
      </c>
      <c r="K42" s="374">
        <f t="shared" si="7"/>
        <v>0</v>
      </c>
      <c r="L42" s="374">
        <f t="shared" si="7"/>
        <v>0</v>
      </c>
      <c r="M42" s="374">
        <f t="shared" si="6"/>
        <v>112730410</v>
      </c>
      <c r="O42"/>
      <c r="P42"/>
      <c r="Q42"/>
      <c r="R42"/>
      <c r="S42"/>
      <c r="T42" s="560" t="s">
        <v>1107</v>
      </c>
      <c r="U42" s="266"/>
      <c r="V42" s="266"/>
      <c r="W42" s="430">
        <f>(M22+M35)*-1</f>
        <v>0</v>
      </c>
      <c r="X42" s="425"/>
    </row>
    <row r="43" spans="1:24" s="264" customFormat="1">
      <c r="A43" s="263"/>
      <c r="B43" s="261"/>
      <c r="C43" s="566"/>
      <c r="D43" s="566"/>
      <c r="E43" s="566"/>
      <c r="F43" s="566"/>
      <c r="G43" s="566"/>
      <c r="H43" s="566"/>
      <c r="I43" s="566"/>
      <c r="J43" s="566"/>
      <c r="K43" s="566"/>
      <c r="L43" s="566"/>
      <c r="M43" s="567"/>
      <c r="O43"/>
      <c r="P43"/>
      <c r="Q43"/>
      <c r="R43"/>
      <c r="S43"/>
      <c r="T43" s="650" t="s">
        <v>1114</v>
      </c>
      <c r="U43" s="584"/>
      <c r="V43" s="584"/>
      <c r="W43" s="656">
        <f>SUM(W41:W42)</f>
        <v>0</v>
      </c>
      <c r="X43" s="655"/>
    </row>
    <row r="44" spans="1:24" s="264" customFormat="1" ht="13.5" customHeight="1">
      <c r="A44" s="263"/>
      <c r="B44" s="575" t="s">
        <v>1055</v>
      </c>
      <c r="C44" s="563"/>
      <c r="D44" s="374">
        <f t="shared" ref="D44:L44" si="8">D42+D29</f>
        <v>51090042</v>
      </c>
      <c r="E44" s="374">
        <f t="shared" si="8"/>
        <v>301768243</v>
      </c>
      <c r="F44" s="374">
        <f t="shared" si="8"/>
        <v>4436553</v>
      </c>
      <c r="G44" s="374">
        <f t="shared" si="8"/>
        <v>0</v>
      </c>
      <c r="H44" s="374">
        <f t="shared" si="8"/>
        <v>0</v>
      </c>
      <c r="I44" s="374">
        <f t="shared" si="8"/>
        <v>0</v>
      </c>
      <c r="J44" s="374">
        <f t="shared" si="8"/>
        <v>0</v>
      </c>
      <c r="K44" s="374">
        <f t="shared" si="8"/>
        <v>0</v>
      </c>
      <c r="L44" s="374">
        <f t="shared" si="8"/>
        <v>0</v>
      </c>
      <c r="M44" s="374">
        <f>D44+E44+F44+G44+H44+I44+J44+K44+L44</f>
        <v>357294838</v>
      </c>
      <c r="O44"/>
      <c r="P44"/>
      <c r="Q44"/>
      <c r="R44"/>
      <c r="S44"/>
      <c r="T44" s="560"/>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0"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0" t="s">
        <v>1112</v>
      </c>
      <c r="U46" s="266"/>
      <c r="V46" s="266"/>
      <c r="W46" s="430">
        <f>(M25+M38)*-1</f>
        <v>0</v>
      </c>
      <c r="X46" s="425"/>
    </row>
    <row r="47" spans="1:24">
      <c r="A47" s="184">
        <v>30</v>
      </c>
      <c r="B47" s="176" t="s">
        <v>7</v>
      </c>
      <c r="C47" s="176"/>
      <c r="D47" s="375">
        <f>Input!$ID$34</f>
        <v>3032192</v>
      </c>
      <c r="E47" s="375">
        <f>Input!$IE$34</f>
        <v>0</v>
      </c>
      <c r="F47" s="375">
        <f>Input!$IF$34</f>
        <v>0</v>
      </c>
      <c r="G47" s="375">
        <f>Input!$IG$34</f>
        <v>123815066</v>
      </c>
      <c r="H47" s="375">
        <f>Input!$IH$34</f>
        <v>0</v>
      </c>
      <c r="I47" s="375">
        <f>Input!$II$34</f>
        <v>0</v>
      </c>
      <c r="J47" s="375">
        <f>Input!$IJ$34</f>
        <v>0</v>
      </c>
      <c r="K47" s="375">
        <f>Input!$IK$34</f>
        <v>0</v>
      </c>
      <c r="L47" s="375">
        <f>Input!$IL$34</f>
        <v>0</v>
      </c>
      <c r="M47" s="374">
        <f>D47+E47+F47+G47+H47+I47+J47+K47+L47</f>
        <v>126847258</v>
      </c>
      <c r="N47" s="160"/>
      <c r="O47"/>
      <c r="P47"/>
      <c r="Q47"/>
      <c r="R47"/>
      <c r="S47"/>
      <c r="T47" s="657" t="s">
        <v>1115</v>
      </c>
      <c r="U47" s="27"/>
      <c r="V47" s="27"/>
      <c r="W47" s="656">
        <f>SUM(W45:W46)</f>
        <v>0</v>
      </c>
      <c r="X47" s="655"/>
    </row>
    <row r="48" spans="1:24">
      <c r="A48" s="184">
        <v>31</v>
      </c>
      <c r="B48" s="160"/>
      <c r="C48" s="160"/>
      <c r="D48" s="373"/>
      <c r="E48" s="373"/>
      <c r="F48" s="373"/>
      <c r="G48" s="373"/>
      <c r="H48" s="373"/>
      <c r="I48" s="373"/>
      <c r="J48" s="373"/>
      <c r="K48" s="373"/>
      <c r="L48" s="373"/>
      <c r="M48" s="373"/>
      <c r="N48" s="160"/>
      <c r="O48"/>
      <c r="P48"/>
      <c r="Q48"/>
      <c r="R48"/>
      <c r="S48"/>
      <c r="T48" s="560"/>
      <c r="U48" s="261"/>
      <c r="V48" s="261"/>
      <c r="W48" s="261"/>
      <c r="X48" s="658">
        <f>W43-W47</f>
        <v>0</v>
      </c>
    </row>
    <row r="49" spans="1:28">
      <c r="A49" s="184">
        <v>32</v>
      </c>
      <c r="B49" s="172" t="s">
        <v>8</v>
      </c>
      <c r="C49" s="172"/>
      <c r="D49" s="373"/>
      <c r="E49" s="373"/>
      <c r="F49" s="373"/>
      <c r="G49" s="373"/>
      <c r="H49" s="373"/>
      <c r="I49" s="373"/>
      <c r="J49" s="373"/>
      <c r="K49" s="373"/>
      <c r="L49" s="373"/>
      <c r="M49" s="373"/>
      <c r="N49" s="160"/>
      <c r="O49" s="273"/>
      <c r="T49" s="579" t="s">
        <v>287</v>
      </c>
      <c r="U49" s="511"/>
      <c r="V49" s="580"/>
      <c r="W49" s="580"/>
      <c r="X49" s="574">
        <f>SUM(X23:X48)</f>
        <v>517678511</v>
      </c>
    </row>
    <row r="50" spans="1:28">
      <c r="A50" s="184">
        <v>33</v>
      </c>
      <c r="B50" s="160" t="s">
        <v>42</v>
      </c>
      <c r="C50" s="160"/>
      <c r="D50" s="372">
        <f>Input!$IM$34</f>
        <v>240980</v>
      </c>
      <c r="E50" s="372">
        <f>Input!$IN$34</f>
        <v>16381526</v>
      </c>
      <c r="F50" s="372">
        <f>Input!$IO$34</f>
        <v>2077236</v>
      </c>
      <c r="G50" s="372">
        <f>Input!$IP$34</f>
        <v>9505119</v>
      </c>
      <c r="H50" s="372">
        <f>Input!$IQ$34</f>
        <v>98971</v>
      </c>
      <c r="I50" s="372">
        <f>Input!$IR$34</f>
        <v>-16963083</v>
      </c>
      <c r="J50" s="372">
        <f>Input!$IS$34</f>
        <v>346</v>
      </c>
      <c r="K50" s="372">
        <f>Input!$IT$34</f>
        <v>1009429</v>
      </c>
      <c r="L50" s="372">
        <f>Input!$IU$34</f>
        <v>0</v>
      </c>
      <c r="M50" s="373">
        <f t="shared" ref="M50:M57" si="9">D50+E50+F50+G50+H50+I50+J50+K50+L50</f>
        <v>12350524</v>
      </c>
      <c r="N50" s="160"/>
      <c r="O50" s="273"/>
      <c r="U50" s="275"/>
    </row>
    <row r="51" spans="1:28">
      <c r="A51" s="184">
        <v>34</v>
      </c>
      <c r="B51" s="160" t="s">
        <v>9</v>
      </c>
      <c r="C51" s="160"/>
      <c r="D51" s="372">
        <f>Input!$IV$34</f>
        <v>0</v>
      </c>
      <c r="E51" s="372">
        <f>Input!$IW$34</f>
        <v>0</v>
      </c>
      <c r="F51" s="372">
        <f>Input!$IX$34</f>
        <v>0</v>
      </c>
      <c r="G51" s="372">
        <f>Input!$IY$34</f>
        <v>897267</v>
      </c>
      <c r="H51" s="372">
        <f>Input!$IZ$34</f>
        <v>0</v>
      </c>
      <c r="I51" s="372">
        <f>Input!$JA$34</f>
        <v>0</v>
      </c>
      <c r="J51" s="372">
        <f>Input!$JB$34</f>
        <v>0</v>
      </c>
      <c r="K51" s="372">
        <f>Input!$JC$34</f>
        <v>0</v>
      </c>
      <c r="L51" s="372">
        <f>Input!$JD$34</f>
        <v>0</v>
      </c>
      <c r="M51" s="376">
        <f t="shared" si="9"/>
        <v>897267</v>
      </c>
      <c r="N51" s="160"/>
      <c r="Y51" s="277"/>
    </row>
    <row r="52" spans="1:28">
      <c r="A52" s="184">
        <v>35</v>
      </c>
      <c r="B52" s="160" t="s">
        <v>10</v>
      </c>
      <c r="C52" s="160"/>
      <c r="D52" s="372">
        <f>Input!$JE$34</f>
        <v>0</v>
      </c>
      <c r="E52" s="372">
        <f>Input!$JF$34</f>
        <v>660261</v>
      </c>
      <c r="F52" s="372">
        <f>Input!$JG$34</f>
        <v>1561684</v>
      </c>
      <c r="G52" s="372">
        <f>Input!$JH$34</f>
        <v>113067639</v>
      </c>
      <c r="H52" s="372">
        <f>Input!$JI$34</f>
        <v>0</v>
      </c>
      <c r="I52" s="372">
        <f>Input!$JJ$34</f>
        <v>2100</v>
      </c>
      <c r="J52" s="372">
        <f>Input!$JK$34</f>
        <v>83952</v>
      </c>
      <c r="K52" s="372">
        <f>Input!$JL$34</f>
        <v>0</v>
      </c>
      <c r="L52" s="372">
        <f>Input!$JM$34</f>
        <v>0</v>
      </c>
      <c r="M52" s="373">
        <f t="shared" si="9"/>
        <v>115375636</v>
      </c>
      <c r="N52" s="160"/>
      <c r="O52" s="273"/>
      <c r="P52" s="278"/>
    </row>
    <row r="53" spans="1:28">
      <c r="A53" s="184">
        <v>36</v>
      </c>
      <c r="B53" s="160" t="s">
        <v>11</v>
      </c>
      <c r="C53" s="160"/>
      <c r="D53" s="372">
        <f>Input!$JN$34</f>
        <v>0</v>
      </c>
      <c r="E53" s="372">
        <f>Input!$JO$34</f>
        <v>9996147</v>
      </c>
      <c r="F53" s="372">
        <f>Input!$JP$34</f>
        <v>0</v>
      </c>
      <c r="G53" s="372">
        <f>Input!$JQ$34</f>
        <v>5937883</v>
      </c>
      <c r="H53" s="372">
        <f>Input!$JR$34</f>
        <v>0</v>
      </c>
      <c r="I53" s="372">
        <f>Input!$JS$34</f>
        <v>0</v>
      </c>
      <c r="J53" s="372">
        <f>Input!$JT$34</f>
        <v>0</v>
      </c>
      <c r="K53" s="372">
        <f>Input!$JU$34</f>
        <v>0</v>
      </c>
      <c r="L53" s="372">
        <f>Input!$JV$34</f>
        <v>0</v>
      </c>
      <c r="M53" s="373">
        <f t="shared" si="9"/>
        <v>15934030</v>
      </c>
      <c r="N53" s="160"/>
      <c r="O53" s="273"/>
    </row>
    <row r="54" spans="1:28" ht="13.5" thickBot="1">
      <c r="A54" s="184">
        <v>37</v>
      </c>
      <c r="B54" s="177" t="s">
        <v>2134</v>
      </c>
      <c r="C54" s="177"/>
      <c r="D54" s="372">
        <f>Input!$JW$34</f>
        <v>0</v>
      </c>
      <c r="E54" s="372">
        <f>Input!$JX$34</f>
        <v>0</v>
      </c>
      <c r="F54" s="372">
        <f>Input!$JY$34</f>
        <v>134410311</v>
      </c>
      <c r="G54" s="372">
        <f>Input!$JZ$34</f>
        <v>0</v>
      </c>
      <c r="H54" s="372">
        <f>Input!$KA$34</f>
        <v>0</v>
      </c>
      <c r="I54" s="372">
        <f>Input!$KB$34</f>
        <v>0</v>
      </c>
      <c r="J54" s="372">
        <f>Input!$KC$34</f>
        <v>0</v>
      </c>
      <c r="K54" s="372">
        <f>Input!$KD$34</f>
        <v>0</v>
      </c>
      <c r="L54" s="372">
        <f>Input!$KE$34</f>
        <v>0</v>
      </c>
      <c r="M54" s="373">
        <f t="shared" si="9"/>
        <v>134410311</v>
      </c>
      <c r="N54" s="160"/>
      <c r="O54" s="273"/>
    </row>
    <row r="55" spans="1:28" ht="14.25" thickTop="1" thickBot="1">
      <c r="A55" s="184">
        <v>38</v>
      </c>
      <c r="B55" s="160" t="s">
        <v>43</v>
      </c>
      <c r="C55" s="160"/>
      <c r="D55" s="372">
        <f>Input!$KF$34</f>
        <v>41935</v>
      </c>
      <c r="E55" s="372">
        <f>Input!$KG$34</f>
        <v>1894161</v>
      </c>
      <c r="F55" s="372">
        <f>Input!$KH$34</f>
        <v>4754782</v>
      </c>
      <c r="G55" s="372">
        <f>Input!$KI$34</f>
        <v>539449</v>
      </c>
      <c r="H55" s="372">
        <f>Input!$KJ$34</f>
        <v>2221</v>
      </c>
      <c r="I55" s="372">
        <f>Input!$KK$34</f>
        <v>0</v>
      </c>
      <c r="J55" s="372">
        <f>Input!$KL$34</f>
        <v>0</v>
      </c>
      <c r="K55" s="372">
        <f>Input!$KM$34</f>
        <v>0</v>
      </c>
      <c r="L55" s="372">
        <f>Input!$KN$34</f>
        <v>1141643</v>
      </c>
      <c r="M55" s="373">
        <f t="shared" si="9"/>
        <v>8374191</v>
      </c>
      <c r="N55" s="160"/>
      <c r="O55" s="1616" t="s">
        <v>251</v>
      </c>
      <c r="P55" s="1617"/>
      <c r="Q55" s="1617"/>
      <c r="R55" s="1618"/>
      <c r="S55" s="437"/>
      <c r="T55" s="1619" t="s">
        <v>252</v>
      </c>
      <c r="U55" s="1620"/>
      <c r="V55" s="1620"/>
      <c r="W55" s="1620"/>
      <c r="X55" s="1621"/>
      <c r="Y55" s="320"/>
      <c r="Z55" s="1749" t="s">
        <v>1301</v>
      </c>
      <c r="AA55" s="1750"/>
      <c r="AB55" s="1751"/>
    </row>
    <row r="56" spans="1:28" ht="13.5" customHeight="1" thickTop="1">
      <c r="A56" s="184">
        <v>39</v>
      </c>
      <c r="B56" s="176" t="s">
        <v>3</v>
      </c>
      <c r="C56" s="176"/>
      <c r="D56" s="374">
        <f>SUM(D50:D55)</f>
        <v>282915</v>
      </c>
      <c r="E56" s="374">
        <f t="shared" ref="E56:L56" si="10">SUM(E50:E55)</f>
        <v>28932095</v>
      </c>
      <c r="F56" s="374">
        <f t="shared" si="10"/>
        <v>142804013</v>
      </c>
      <c r="G56" s="374">
        <f t="shared" si="10"/>
        <v>129947357</v>
      </c>
      <c r="H56" s="374">
        <f t="shared" si="10"/>
        <v>101192</v>
      </c>
      <c r="I56" s="374">
        <f t="shared" si="10"/>
        <v>-16960983</v>
      </c>
      <c r="J56" s="374">
        <f t="shared" si="10"/>
        <v>84298</v>
      </c>
      <c r="K56" s="374">
        <f t="shared" si="10"/>
        <v>1009429</v>
      </c>
      <c r="L56" s="374">
        <f t="shared" si="10"/>
        <v>1141643</v>
      </c>
      <c r="M56" s="374">
        <f t="shared" si="9"/>
        <v>287341959</v>
      </c>
      <c r="N56" s="160"/>
      <c r="O56" s="1622" t="s">
        <v>1135</v>
      </c>
      <c r="P56" s="1625" t="s">
        <v>254</v>
      </c>
      <c r="Q56" s="1625" t="s">
        <v>292</v>
      </c>
      <c r="R56" s="1628" t="s">
        <v>1063</v>
      </c>
      <c r="S56" s="280"/>
      <c r="T56" s="1739" t="s">
        <v>1136</v>
      </c>
      <c r="U56" s="1637" t="s">
        <v>254</v>
      </c>
      <c r="V56" s="1634" t="s">
        <v>256</v>
      </c>
      <c r="W56" s="1637" t="s">
        <v>257</v>
      </c>
      <c r="X56" s="1638" t="s">
        <v>1064</v>
      </c>
      <c r="Z56" s="1754" t="s">
        <v>1302</v>
      </c>
      <c r="AA56" s="1747" t="s">
        <v>1303</v>
      </c>
      <c r="AB56" s="1752" t="s">
        <v>238</v>
      </c>
    </row>
    <row r="57" spans="1:28">
      <c r="A57" s="184">
        <v>40</v>
      </c>
      <c r="B57" s="162" t="s">
        <v>68</v>
      </c>
      <c r="C57" s="162"/>
      <c r="D57" s="374">
        <f>D15+D44+D47+D56</f>
        <v>299428693</v>
      </c>
      <c r="E57" s="374">
        <f t="shared" ref="E57:L57" si="11">E15+E44+E47+E56</f>
        <v>335346956</v>
      </c>
      <c r="F57" s="374">
        <f t="shared" si="11"/>
        <v>147240566</v>
      </c>
      <c r="G57" s="374">
        <f t="shared" si="11"/>
        <v>267714647</v>
      </c>
      <c r="H57" s="374">
        <f t="shared" si="11"/>
        <v>101192</v>
      </c>
      <c r="I57" s="374">
        <f t="shared" si="11"/>
        <v>-16960983</v>
      </c>
      <c r="J57" s="374">
        <f t="shared" si="11"/>
        <v>84298</v>
      </c>
      <c r="K57" s="374">
        <f t="shared" si="11"/>
        <v>1009429</v>
      </c>
      <c r="L57" s="374">
        <f t="shared" si="11"/>
        <v>1141643</v>
      </c>
      <c r="M57" s="374">
        <f t="shared" si="9"/>
        <v>1035106441</v>
      </c>
      <c r="N57" s="160"/>
      <c r="O57" s="1623"/>
      <c r="P57" s="1626"/>
      <c r="Q57" s="1626"/>
      <c r="R57" s="1629"/>
      <c r="S57" s="280"/>
      <c r="T57" s="1740"/>
      <c r="U57" s="1626"/>
      <c r="V57" s="1635"/>
      <c r="W57" s="1626"/>
      <c r="X57" s="1639"/>
      <c r="Z57" s="1755"/>
      <c r="AA57" s="1747"/>
      <c r="AB57" s="1752"/>
    </row>
    <row r="58" spans="1:28">
      <c r="A58" s="184">
        <v>41</v>
      </c>
      <c r="B58" s="160"/>
      <c r="C58" s="160"/>
      <c r="D58" s="373"/>
      <c r="E58" s="373"/>
      <c r="F58" s="373"/>
      <c r="G58" s="373"/>
      <c r="H58" s="373"/>
      <c r="I58" s="373"/>
      <c r="J58" s="373"/>
      <c r="K58" s="373"/>
      <c r="L58" s="373"/>
      <c r="M58" s="373"/>
      <c r="N58" s="160"/>
      <c r="O58" s="1623"/>
      <c r="P58" s="1626"/>
      <c r="Q58" s="1626"/>
      <c r="R58" s="1629"/>
      <c r="S58" s="280"/>
      <c r="T58" s="1740"/>
      <c r="U58" s="1626"/>
      <c r="V58" s="1635"/>
      <c r="W58" s="1626"/>
      <c r="X58" s="1639"/>
      <c r="Z58" s="1755"/>
      <c r="AA58" s="1747"/>
      <c r="AB58" s="1752"/>
    </row>
    <row r="59" spans="1:28" ht="14.25" customHeight="1">
      <c r="A59" s="184">
        <v>42</v>
      </c>
      <c r="B59" s="174" t="s">
        <v>72</v>
      </c>
      <c r="C59" s="174"/>
      <c r="D59" s="377"/>
      <c r="E59" s="377"/>
      <c r="F59" s="377"/>
      <c r="G59" s="1746" t="str">
        <f>IF(OR(P105&gt;0,P106&lt;&gt;0,P107&lt;&gt;0),"Do not Enter Cents - Whole Dollars Only","")</f>
        <v/>
      </c>
      <c r="H59" s="1746"/>
      <c r="I59" s="1746"/>
      <c r="J59" s="1746"/>
      <c r="K59" s="1746"/>
      <c r="L59" s="377"/>
      <c r="M59" s="377"/>
      <c r="N59" s="160"/>
      <c r="O59" s="1624"/>
      <c r="P59" s="1627"/>
      <c r="Q59" s="1627"/>
      <c r="R59" s="1630"/>
      <c r="S59" s="280"/>
      <c r="T59" s="1741"/>
      <c r="U59" s="1627"/>
      <c r="V59" s="1636"/>
      <c r="W59" s="1627"/>
      <c r="X59" s="1640"/>
      <c r="Z59" s="1756"/>
      <c r="AA59" s="1748"/>
      <c r="AB59" s="1753"/>
    </row>
    <row r="60" spans="1:28" ht="13.5" thickBot="1">
      <c r="A60" s="184">
        <v>43</v>
      </c>
      <c r="B60" s="160" t="s">
        <v>14</v>
      </c>
      <c r="C60" s="160"/>
      <c r="D60" s="372">
        <f>Input!$KO$34</f>
        <v>108044781</v>
      </c>
      <c r="E60" s="372">
        <f>Input!$KP$34</f>
        <v>92969423</v>
      </c>
      <c r="F60" s="372">
        <f>Input!$KQ$34</f>
        <v>0</v>
      </c>
      <c r="G60" s="372">
        <f>Input!$KR$34</f>
        <v>4730660</v>
      </c>
      <c r="H60" s="372">
        <f>Input!$KS$34</f>
        <v>0</v>
      </c>
      <c r="I60" s="372">
        <f>Input!$KT$34</f>
        <v>0</v>
      </c>
      <c r="J60" s="372">
        <f>Input!$KU$34</f>
        <v>0</v>
      </c>
      <c r="K60" s="372">
        <f>Input!$KV$34</f>
        <v>0</v>
      </c>
      <c r="L60" s="372">
        <f>Input!$KW$34</f>
        <v>0</v>
      </c>
      <c r="M60" s="373">
        <f t="shared" ref="M60:M71" si="12">D60+E60+F60+G60+H60+I60+J60+K60+L60</f>
        <v>205744864</v>
      </c>
      <c r="N60" s="160"/>
      <c r="O60" s="282">
        <f>D60+E60+G60+J60</f>
        <v>205744864</v>
      </c>
      <c r="P60" s="518">
        <f>Input!$SS$34</f>
        <v>2252669</v>
      </c>
      <c r="Q60" s="438" t="s">
        <v>259</v>
      </c>
      <c r="R60" s="284">
        <f>SUM(O60:P60)</f>
        <v>207997533</v>
      </c>
      <c r="S60" s="439"/>
      <c r="T60" s="286">
        <f t="shared" ref="T60:T67" si="13">D60+E60+G60</f>
        <v>205744864</v>
      </c>
      <c r="U60" s="287">
        <f t="shared" ref="U60:U67" si="14">P60</f>
        <v>2252669</v>
      </c>
      <c r="V60" s="289">
        <f>Input!$TC$34</f>
        <v>91814</v>
      </c>
      <c r="W60" s="289">
        <f>Input!$TK$34</f>
        <v>0</v>
      </c>
      <c r="X60" s="290">
        <f t="shared" ref="X60:X66" si="15">T60+U60-V60-W60</f>
        <v>207905719</v>
      </c>
      <c r="Z60" s="292" t="s">
        <v>14</v>
      </c>
      <c r="AA60" s="520">
        <f>Input!$TS$34</f>
        <v>205744864</v>
      </c>
      <c r="AB60" s="293">
        <f t="shared" ref="AB60:AB68" si="16">AA60-M60</f>
        <v>0</v>
      </c>
    </row>
    <row r="61" spans="1:28" ht="14.25" thickTop="1" thickBot="1">
      <c r="A61" s="184">
        <v>44</v>
      </c>
      <c r="B61" s="160" t="s">
        <v>15</v>
      </c>
      <c r="C61" s="160"/>
      <c r="D61" s="372">
        <f>Input!$KX$34</f>
        <v>79893869</v>
      </c>
      <c r="E61" s="372">
        <f>Input!$KY$34</f>
        <v>30709971</v>
      </c>
      <c r="F61" s="372">
        <f>Input!$KZ$34</f>
        <v>0</v>
      </c>
      <c r="G61" s="372">
        <f>Input!$LA$34</f>
        <v>53646654</v>
      </c>
      <c r="H61" s="372">
        <f>Input!$LB$34</f>
        <v>0</v>
      </c>
      <c r="I61" s="372">
        <f>Input!$LC$34</f>
        <v>0</v>
      </c>
      <c r="J61" s="372">
        <f>Input!$LD$34</f>
        <v>0</v>
      </c>
      <c r="K61" s="372">
        <f>Input!$LE$34</f>
        <v>0</v>
      </c>
      <c r="L61" s="372">
        <f>Input!$LF$34</f>
        <v>0</v>
      </c>
      <c r="M61" s="373">
        <f t="shared" si="12"/>
        <v>164250494</v>
      </c>
      <c r="N61" s="160"/>
      <c r="O61" s="440">
        <f t="shared" ref="O61:O67" si="17">D61+E61+G61+J61</f>
        <v>164250494</v>
      </c>
      <c r="P61" s="518">
        <f>Input!$ST$34</f>
        <v>17512321</v>
      </c>
      <c r="Q61" s="441" t="s">
        <v>259</v>
      </c>
      <c r="R61" s="295">
        <f>SUM(O61:P61)</f>
        <v>181762815</v>
      </c>
      <c r="S61" s="442"/>
      <c r="T61" s="296">
        <f t="shared" si="13"/>
        <v>164250494</v>
      </c>
      <c r="U61" s="297">
        <f t="shared" si="14"/>
        <v>17512321</v>
      </c>
      <c r="V61" s="299">
        <f>Input!$TD$34</f>
        <v>103812</v>
      </c>
      <c r="W61" s="299">
        <f>Input!$TL$34</f>
        <v>24004</v>
      </c>
      <c r="X61" s="300">
        <f t="shared" si="15"/>
        <v>181634999</v>
      </c>
      <c r="Z61" s="292" t="s">
        <v>15</v>
      </c>
      <c r="AA61" s="518">
        <f>Input!$TT$34</f>
        <v>164250494</v>
      </c>
      <c r="AB61" s="301">
        <f t="shared" si="16"/>
        <v>0</v>
      </c>
    </row>
    <row r="62" spans="1:28" ht="13.5" thickTop="1">
      <c r="A62" s="184">
        <v>45</v>
      </c>
      <c r="B62" s="160" t="s">
        <v>16</v>
      </c>
      <c r="C62" s="160"/>
      <c r="D62" s="372">
        <f>Input!$LG$34</f>
        <v>2202406</v>
      </c>
      <c r="E62" s="372">
        <f>Input!$LH$34</f>
        <v>4690792</v>
      </c>
      <c r="F62" s="372">
        <f>Input!$LI$34</f>
        <v>8000</v>
      </c>
      <c r="G62" s="372">
        <f>Input!$LJ$34</f>
        <v>9782248</v>
      </c>
      <c r="H62" s="372">
        <f>Input!$LK$34</f>
        <v>0</v>
      </c>
      <c r="I62" s="372">
        <f>Input!$LL$34</f>
        <v>0</v>
      </c>
      <c r="J62" s="372">
        <f>Input!$LM$34</f>
        <v>0</v>
      </c>
      <c r="K62" s="372">
        <f>Input!$LN$34</f>
        <v>0</v>
      </c>
      <c r="L62" s="372">
        <f>Input!$LO$34</f>
        <v>0</v>
      </c>
      <c r="M62" s="373">
        <f t="shared" si="12"/>
        <v>16683446</v>
      </c>
      <c r="N62" s="160"/>
      <c r="O62" s="440">
        <f t="shared" si="17"/>
        <v>16675446</v>
      </c>
      <c r="P62" s="518">
        <f>Input!$SU$34</f>
        <v>594563</v>
      </c>
      <c r="Q62" s="441" t="s">
        <v>259</v>
      </c>
      <c r="R62" s="302" t="s">
        <v>259</v>
      </c>
      <c r="S62" s="442"/>
      <c r="T62" s="296">
        <f t="shared" si="13"/>
        <v>16675446</v>
      </c>
      <c r="U62" s="297">
        <f t="shared" si="14"/>
        <v>594563</v>
      </c>
      <c r="V62" s="299">
        <f>Input!$TE$34</f>
        <v>489176</v>
      </c>
      <c r="W62" s="299">
        <f>Input!$TM$34</f>
        <v>0</v>
      </c>
      <c r="X62" s="303">
        <f t="shared" si="15"/>
        <v>16780833</v>
      </c>
      <c r="Z62" s="292" t="s">
        <v>16</v>
      </c>
      <c r="AA62" s="518">
        <f>Input!$TU$34</f>
        <v>16683446</v>
      </c>
      <c r="AB62" s="301">
        <f t="shared" si="16"/>
        <v>0</v>
      </c>
    </row>
    <row r="63" spans="1:28">
      <c r="A63" s="184">
        <v>46</v>
      </c>
      <c r="B63" s="160" t="s">
        <v>17</v>
      </c>
      <c r="C63" s="160"/>
      <c r="D63" s="372">
        <f>Input!$LP$34</f>
        <v>24383711</v>
      </c>
      <c r="E63" s="372">
        <f>Input!$LQ$34</f>
        <v>55707981</v>
      </c>
      <c r="F63" s="372">
        <f>Input!$LR$34</f>
        <v>0</v>
      </c>
      <c r="G63" s="372">
        <f>Input!$LS$34</f>
        <v>6641790</v>
      </c>
      <c r="H63" s="372">
        <f>Input!$LT$34</f>
        <v>0</v>
      </c>
      <c r="I63" s="372">
        <f>Input!$LU$34</f>
        <v>0</v>
      </c>
      <c r="J63" s="372">
        <f>Input!$LV$34</f>
        <v>0</v>
      </c>
      <c r="K63" s="372">
        <f>Input!$LW$34</f>
        <v>0</v>
      </c>
      <c r="L63" s="372">
        <f>Input!$LX$34</f>
        <v>0</v>
      </c>
      <c r="M63" s="373">
        <f t="shared" si="12"/>
        <v>86733482</v>
      </c>
      <c r="N63" s="160"/>
      <c r="O63" s="440">
        <f t="shared" si="17"/>
        <v>86733482</v>
      </c>
      <c r="P63" s="518">
        <f>Input!$SV$34</f>
        <v>2590992</v>
      </c>
      <c r="Q63" s="441" t="s">
        <v>259</v>
      </c>
      <c r="R63" s="295">
        <f t="shared" ref="R63:R65" si="18">SUM(O63:P63)</f>
        <v>89324474</v>
      </c>
      <c r="S63" s="442"/>
      <c r="T63" s="296">
        <f t="shared" si="13"/>
        <v>86733482</v>
      </c>
      <c r="U63" s="297">
        <f t="shared" si="14"/>
        <v>2590992</v>
      </c>
      <c r="V63" s="299">
        <f>Input!$TF$34</f>
        <v>0</v>
      </c>
      <c r="W63" s="299">
        <f>Input!$TN$34</f>
        <v>0</v>
      </c>
      <c r="X63" s="303">
        <f t="shared" si="15"/>
        <v>89324474</v>
      </c>
      <c r="Z63" s="292" t="s">
        <v>17</v>
      </c>
      <c r="AA63" s="518">
        <f>Input!$TV$34</f>
        <v>86733482</v>
      </c>
      <c r="AB63" s="301">
        <f t="shared" si="16"/>
        <v>0</v>
      </c>
    </row>
    <row r="64" spans="1:28">
      <c r="A64" s="184">
        <v>47</v>
      </c>
      <c r="B64" s="160" t="s">
        <v>18</v>
      </c>
      <c r="C64" s="160"/>
      <c r="D64" s="372">
        <f>Input!$LY$34</f>
        <v>5351998</v>
      </c>
      <c r="E64" s="372">
        <f>Input!$LZ$34</f>
        <v>40368891</v>
      </c>
      <c r="F64" s="372">
        <f>Input!$MA$34</f>
        <v>0</v>
      </c>
      <c r="G64" s="372">
        <f>Input!$MB$34</f>
        <v>4646979</v>
      </c>
      <c r="H64" s="372">
        <f>Input!$MC$34</f>
        <v>0</v>
      </c>
      <c r="I64" s="372">
        <f>Input!$MD$34</f>
        <v>0</v>
      </c>
      <c r="J64" s="372">
        <f>Input!$ME$34</f>
        <v>0</v>
      </c>
      <c r="K64" s="372">
        <f>Input!$MF$34</f>
        <v>0</v>
      </c>
      <c r="L64" s="372">
        <f>Input!$MG$34</f>
        <v>0</v>
      </c>
      <c r="M64" s="373">
        <f t="shared" si="12"/>
        <v>50367868</v>
      </c>
      <c r="N64" s="160"/>
      <c r="O64" s="440">
        <f t="shared" si="17"/>
        <v>50367868</v>
      </c>
      <c r="P64" s="518">
        <f>Input!$SW$34</f>
        <v>473288</v>
      </c>
      <c r="Q64" s="518">
        <f>Input!$TB$34</f>
        <v>0</v>
      </c>
      <c r="R64" s="295">
        <f>SUM(O64:P64)-Q64</f>
        <v>50841156</v>
      </c>
      <c r="S64" s="442"/>
      <c r="T64" s="296">
        <f t="shared" si="13"/>
        <v>50367868</v>
      </c>
      <c r="U64" s="297">
        <f t="shared" si="14"/>
        <v>473288</v>
      </c>
      <c r="V64" s="299">
        <f>Input!$TG$34</f>
        <v>0</v>
      </c>
      <c r="W64" s="299">
        <f>Input!$TO$34</f>
        <v>0</v>
      </c>
      <c r="X64" s="303">
        <f t="shared" si="15"/>
        <v>50841156</v>
      </c>
      <c r="Z64" s="292" t="s">
        <v>18</v>
      </c>
      <c r="AA64" s="518">
        <f>Input!$TW$34</f>
        <v>50367868</v>
      </c>
      <c r="AB64" s="301">
        <f t="shared" si="16"/>
        <v>0</v>
      </c>
    </row>
    <row r="65" spans="1:28">
      <c r="A65" s="184">
        <v>48</v>
      </c>
      <c r="B65" s="160" t="s">
        <v>19</v>
      </c>
      <c r="C65" s="160"/>
      <c r="D65" s="372">
        <f>Input!$MH$34</f>
        <v>15079319</v>
      </c>
      <c r="E65" s="372">
        <f>Input!$MI$34</f>
        <v>31578224</v>
      </c>
      <c r="F65" s="372">
        <f>Input!$MJ$34</f>
        <v>0</v>
      </c>
      <c r="G65" s="372">
        <f>Input!$MK$34</f>
        <v>1251053</v>
      </c>
      <c r="H65" s="372">
        <f>Input!$ML$34</f>
        <v>0</v>
      </c>
      <c r="I65" s="372">
        <f>Input!$MM$34</f>
        <v>0</v>
      </c>
      <c r="J65" s="372">
        <f>Input!$MN$34</f>
        <v>0</v>
      </c>
      <c r="K65" s="372">
        <f>Input!$MO$34</f>
        <v>0</v>
      </c>
      <c r="L65" s="372">
        <f>Input!$MP$34</f>
        <v>0</v>
      </c>
      <c r="M65" s="373">
        <f t="shared" si="12"/>
        <v>47908596</v>
      </c>
      <c r="N65" s="160"/>
      <c r="O65" s="440">
        <f t="shared" si="17"/>
        <v>47908596</v>
      </c>
      <c r="P65" s="518">
        <f>Input!$SX$34</f>
        <v>814312</v>
      </c>
      <c r="Q65" s="441" t="s">
        <v>259</v>
      </c>
      <c r="R65" s="295">
        <f t="shared" si="18"/>
        <v>48722908</v>
      </c>
      <c r="S65" s="442"/>
      <c r="T65" s="296">
        <f t="shared" si="13"/>
        <v>47908596</v>
      </c>
      <c r="U65" s="297">
        <f t="shared" si="14"/>
        <v>814312</v>
      </c>
      <c r="V65" s="299">
        <f>Input!$TH$34</f>
        <v>0</v>
      </c>
      <c r="W65" s="299">
        <f>Input!$TP$34</f>
        <v>0</v>
      </c>
      <c r="X65" s="303">
        <f t="shared" si="15"/>
        <v>48722908</v>
      </c>
      <c r="Z65" s="292" t="s">
        <v>19</v>
      </c>
      <c r="AA65" s="518">
        <f>Input!$TX$34</f>
        <v>47908596</v>
      </c>
      <c r="AB65" s="301">
        <f t="shared" si="16"/>
        <v>0</v>
      </c>
    </row>
    <row r="66" spans="1:28">
      <c r="A66" s="184">
        <v>49</v>
      </c>
      <c r="B66" s="160" t="s">
        <v>20</v>
      </c>
      <c r="C66" s="160"/>
      <c r="D66" s="372">
        <f>Input!$MQ$34</f>
        <v>13419558</v>
      </c>
      <c r="E66" s="372">
        <f>Input!$MR$34</f>
        <v>33565714</v>
      </c>
      <c r="F66" s="372">
        <f>Input!$MS$34</f>
        <v>0</v>
      </c>
      <c r="G66" s="372">
        <f>Input!$MT$34</f>
        <v>490306</v>
      </c>
      <c r="H66" s="372">
        <f>Input!$MU$34</f>
        <v>0</v>
      </c>
      <c r="I66" s="372">
        <f>Input!$MV$34</f>
        <v>0</v>
      </c>
      <c r="J66" s="372">
        <f>Input!$MW$34</f>
        <v>5500029</v>
      </c>
      <c r="K66" s="372">
        <f>Input!$MX$34</f>
        <v>0</v>
      </c>
      <c r="L66" s="372">
        <f>Input!$MY$34</f>
        <v>0</v>
      </c>
      <c r="M66" s="373">
        <f t="shared" si="12"/>
        <v>52975607</v>
      </c>
      <c r="N66" s="160"/>
      <c r="O66" s="440">
        <f t="shared" si="17"/>
        <v>52975607</v>
      </c>
      <c r="P66" s="518">
        <f>Input!$SY$34</f>
        <v>742293</v>
      </c>
      <c r="Q66" s="441" t="s">
        <v>259</v>
      </c>
      <c r="R66" s="304" t="s">
        <v>259</v>
      </c>
      <c r="S66" s="442"/>
      <c r="T66" s="296">
        <f t="shared" si="13"/>
        <v>47475578</v>
      </c>
      <c r="U66" s="297">
        <f t="shared" si="14"/>
        <v>742293</v>
      </c>
      <c r="V66" s="299">
        <f>Input!$TI$34</f>
        <v>0</v>
      </c>
      <c r="W66" s="299">
        <f>Input!$TQ$34</f>
        <v>0</v>
      </c>
      <c r="X66" s="303">
        <f t="shared" si="15"/>
        <v>48217871</v>
      </c>
      <c r="Z66" s="292" t="s">
        <v>260</v>
      </c>
      <c r="AA66" s="518">
        <f>Input!$TY$34</f>
        <v>52975607</v>
      </c>
      <c r="AB66" s="301">
        <f t="shared" si="16"/>
        <v>0</v>
      </c>
    </row>
    <row r="67" spans="1:28" ht="13.5" thickBot="1">
      <c r="A67" s="184">
        <v>50</v>
      </c>
      <c r="B67" s="160" t="s">
        <v>21</v>
      </c>
      <c r="C67" s="160"/>
      <c r="D67" s="372">
        <f>Input!$MZ$34</f>
        <v>1218294</v>
      </c>
      <c r="E67" s="372">
        <f>Input!$NA$34</f>
        <v>24656706</v>
      </c>
      <c r="F67" s="372">
        <f>Input!$NB$34</f>
        <v>529176</v>
      </c>
      <c r="G67" s="372">
        <f>Input!$NC$34</f>
        <v>40519288</v>
      </c>
      <c r="H67" s="372">
        <f>Input!$ND$34</f>
        <v>0</v>
      </c>
      <c r="I67" s="372">
        <f>Input!$NE$34</f>
        <v>0</v>
      </c>
      <c r="J67" s="372">
        <f>Input!$NF$34</f>
        <v>0</v>
      </c>
      <c r="K67" s="372">
        <f>Input!$NG$34</f>
        <v>0</v>
      </c>
      <c r="L67" s="372">
        <f>Input!$NH$34</f>
        <v>0</v>
      </c>
      <c r="M67" s="373">
        <f t="shared" si="12"/>
        <v>66923464</v>
      </c>
      <c r="N67" s="160"/>
      <c r="O67" s="440">
        <f t="shared" si="17"/>
        <v>66394288</v>
      </c>
      <c r="P67" s="518">
        <f>Input!$SZ$34</f>
        <v>0</v>
      </c>
      <c r="Q67" s="441" t="s">
        <v>259</v>
      </c>
      <c r="R67" s="304" t="s">
        <v>259</v>
      </c>
      <c r="S67" s="442"/>
      <c r="T67" s="306">
        <f t="shared" si="13"/>
        <v>66394288</v>
      </c>
      <c r="U67" s="307">
        <f t="shared" si="14"/>
        <v>0</v>
      </c>
      <c r="V67" s="308">
        <f>Input!$TJ$34</f>
        <v>0</v>
      </c>
      <c r="W67" s="308">
        <f>Input!$TR$34</f>
        <v>0</v>
      </c>
      <c r="X67" s="303">
        <f>U67+T67-V67-W67</f>
        <v>66394288</v>
      </c>
      <c r="Z67" s="292" t="s">
        <v>21</v>
      </c>
      <c r="AA67" s="518">
        <f>Input!$TZ$34</f>
        <v>66923464</v>
      </c>
      <c r="AB67" s="301">
        <f t="shared" si="16"/>
        <v>0</v>
      </c>
    </row>
    <row r="68" spans="1:28" ht="14.25" thickTop="1" thickBot="1">
      <c r="A68" s="184">
        <v>51</v>
      </c>
      <c r="B68" s="160" t="s">
        <v>2135</v>
      </c>
      <c r="C68" s="160"/>
      <c r="D68" s="372">
        <f>Input!$NI$34</f>
        <v>0</v>
      </c>
      <c r="E68" s="372">
        <f>Input!$NJ$34</f>
        <v>0</v>
      </c>
      <c r="F68" s="372">
        <f>Input!$NK$34</f>
        <v>121679919</v>
      </c>
      <c r="G68" s="372">
        <f>Input!$NL$34</f>
        <v>2106500</v>
      </c>
      <c r="H68" s="372">
        <f>Input!$NM$34</f>
        <v>0</v>
      </c>
      <c r="I68" s="372">
        <f>Input!$NN$34</f>
        <v>0</v>
      </c>
      <c r="J68" s="372">
        <f>Input!$NO$34</f>
        <v>0</v>
      </c>
      <c r="K68" s="372">
        <f>Input!$NP$34</f>
        <v>0</v>
      </c>
      <c r="L68" s="372">
        <f>Input!$NQ$34</f>
        <v>0</v>
      </c>
      <c r="M68" s="373">
        <f t="shared" si="12"/>
        <v>123786419</v>
      </c>
      <c r="N68" s="160"/>
      <c r="O68" s="309" t="s">
        <v>259</v>
      </c>
      <c r="P68" s="519">
        <f>Input!$TA$34</f>
        <v>1334167</v>
      </c>
      <c r="Q68" s="444" t="s">
        <v>259</v>
      </c>
      <c r="R68" s="311" t="s">
        <v>259</v>
      </c>
      <c r="S68" s="442"/>
      <c r="T68" s="305"/>
      <c r="U68" s="305"/>
      <c r="V68" s="312" t="s">
        <v>261</v>
      </c>
      <c r="W68" s="313"/>
      <c r="X68" s="314">
        <f>SUM(X60:X67)</f>
        <v>709822248</v>
      </c>
      <c r="Z68" s="292" t="s">
        <v>22</v>
      </c>
      <c r="AA68" s="518">
        <f>Input!$UA$34</f>
        <v>123786419</v>
      </c>
      <c r="AB68" s="301">
        <f t="shared" si="16"/>
        <v>0</v>
      </c>
    </row>
    <row r="69" spans="1:28" ht="14.25" thickTop="1" thickBot="1">
      <c r="A69" s="184">
        <v>52</v>
      </c>
      <c r="B69" s="161" t="s">
        <v>59</v>
      </c>
      <c r="C69" s="161"/>
      <c r="D69" s="372">
        <f>Input!$NR$34</f>
        <v>11990225</v>
      </c>
      <c r="E69" s="372">
        <f>Input!$NS$34</f>
        <v>8371502</v>
      </c>
      <c r="F69" s="372">
        <f>Input!$NT$34</f>
        <v>1334167</v>
      </c>
      <c r="G69" s="372">
        <f>Input!$NU$34</f>
        <v>4618711</v>
      </c>
      <c r="H69" s="372">
        <f>Input!$NV$34</f>
        <v>0</v>
      </c>
      <c r="I69" s="372">
        <f>Input!$NW$34</f>
        <v>0</v>
      </c>
      <c r="J69" s="372">
        <f>Input!$NX$34</f>
        <v>0</v>
      </c>
      <c r="K69" s="372">
        <f>Input!$NY$34</f>
        <v>0</v>
      </c>
      <c r="L69" s="372">
        <f>Input!$NZ$34</f>
        <v>0</v>
      </c>
      <c r="M69" s="373">
        <f t="shared" si="12"/>
        <v>26314605</v>
      </c>
      <c r="N69" s="160"/>
      <c r="O69" s="315"/>
      <c r="P69" s="316">
        <f>SUM(P60:P68)</f>
        <v>26314605</v>
      </c>
      <c r="Q69" s="316">
        <f>SUM(Q64:Q68)</f>
        <v>0</v>
      </c>
      <c r="R69" s="317">
        <f>SUM(R60:R65)</f>
        <v>578648886</v>
      </c>
      <c r="S69" s="316"/>
      <c r="T69" s="305"/>
      <c r="U69" s="305"/>
      <c r="V69" s="305"/>
      <c r="W69" s="277"/>
      <c r="X69" s="277"/>
      <c r="Y69" s="277"/>
      <c r="Z69" s="292" t="s">
        <v>285</v>
      </c>
      <c r="AA69" s="445">
        <f>M88*-1</f>
        <v>92951310</v>
      </c>
      <c r="AB69" s="301">
        <f>AA69+M88</f>
        <v>0</v>
      </c>
    </row>
    <row r="70" spans="1:28" ht="14.25" thickTop="1" thickBot="1">
      <c r="A70" s="184">
        <v>53</v>
      </c>
      <c r="B70" s="178" t="s">
        <v>44</v>
      </c>
      <c r="C70" s="178"/>
      <c r="D70" s="378">
        <f>Input!$OA$34</f>
        <v>0</v>
      </c>
      <c r="E70" s="378">
        <f>Input!$OB$34</f>
        <v>0</v>
      </c>
      <c r="F70" s="378">
        <f>Input!$OC$34</f>
        <v>5406</v>
      </c>
      <c r="G70" s="378">
        <f>Input!$OD$34</f>
        <v>0</v>
      </c>
      <c r="H70" s="378">
        <f>Input!$OE$34</f>
        <v>0</v>
      </c>
      <c r="I70" s="378">
        <f>Input!$OF$34</f>
        <v>0</v>
      </c>
      <c r="J70" s="378">
        <f>Input!$OG$34</f>
        <v>0</v>
      </c>
      <c r="K70" s="378">
        <f>Input!$OH$34</f>
        <v>0</v>
      </c>
      <c r="L70" s="378">
        <f>Input!$OI$34</f>
        <v>592374</v>
      </c>
      <c r="M70" s="373">
        <f t="shared" si="12"/>
        <v>597780</v>
      </c>
      <c r="N70" s="160"/>
      <c r="O70" s="320"/>
      <c r="P70" s="516" t="str">
        <f>IF(P69&lt;&gt;M69,"Out of Balance","Balanced")</f>
        <v>Balanced</v>
      </c>
      <c r="Q70" s="318"/>
      <c r="R70" s="305"/>
      <c r="S70" s="305"/>
      <c r="T70" s="305"/>
      <c r="U70" s="277"/>
      <c r="V70" s="1738" t="str">
        <f>IF(X68-INT(X68)&lt;&gt;0,"Whole Dollars Only","")</f>
        <v/>
      </c>
      <c r="W70" s="1738"/>
      <c r="X70" s="537"/>
      <c r="Y70" s="319"/>
      <c r="Z70" s="410" t="s">
        <v>262</v>
      </c>
      <c r="AA70" s="446" t="s">
        <v>259</v>
      </c>
      <c r="AB70" s="411">
        <f>M90</f>
        <v>0</v>
      </c>
    </row>
    <row r="71" spans="1:28" ht="13.5" thickTop="1">
      <c r="A71" s="184">
        <v>54</v>
      </c>
      <c r="B71" s="162" t="s">
        <v>69</v>
      </c>
      <c r="C71" s="162"/>
      <c r="D71" s="374">
        <f>SUM(D60:D70)</f>
        <v>261584161</v>
      </c>
      <c r="E71" s="374">
        <f>SUM(E60:E70)</f>
        <v>322619204</v>
      </c>
      <c r="F71" s="374">
        <f t="shared" ref="F71:L71" si="19">SUM(F60:F70)</f>
        <v>123556668</v>
      </c>
      <c r="G71" s="374">
        <f t="shared" si="19"/>
        <v>128434189</v>
      </c>
      <c r="H71" s="374">
        <f t="shared" si="19"/>
        <v>0</v>
      </c>
      <c r="I71" s="374">
        <f t="shared" si="19"/>
        <v>0</v>
      </c>
      <c r="J71" s="374">
        <f t="shared" si="19"/>
        <v>5500029</v>
      </c>
      <c r="K71" s="374">
        <f t="shared" si="19"/>
        <v>0</v>
      </c>
      <c r="L71" s="374">
        <f t="shared" si="19"/>
        <v>592374</v>
      </c>
      <c r="M71" s="374">
        <f t="shared" si="12"/>
        <v>842286625</v>
      </c>
      <c r="N71" s="160"/>
      <c r="O71" s="322"/>
      <c r="P71" s="1738" t="str">
        <f>IF(P69-INT(P69)&lt;&gt;0,"Whole Dollars Only","")</f>
        <v/>
      </c>
      <c r="Q71" s="1738"/>
      <c r="R71" s="323"/>
      <c r="S71" s="323"/>
      <c r="T71" s="323"/>
      <c r="U71" s="291"/>
      <c r="V71" s="324"/>
      <c r="W71" s="321"/>
      <c r="X71" s="321"/>
      <c r="Y71" s="321"/>
      <c r="Z71" s="318"/>
      <c r="AA71" s="325">
        <f>SUM(AA60:AA70)</f>
        <v>908325550</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Input!$OJ$34</f>
        <v>0</v>
      </c>
      <c r="E74" s="372">
        <f>Input!$OK$34</f>
        <v>0</v>
      </c>
      <c r="F74" s="372">
        <f>Input!$OL$34</f>
        <v>0</v>
      </c>
      <c r="G74" s="372">
        <f>Input!$OM$34</f>
        <v>0</v>
      </c>
      <c r="H74" s="372">
        <f>Input!$ON$34</f>
        <v>0</v>
      </c>
      <c r="I74" s="372">
        <f>Input!$OO$34</f>
        <v>0</v>
      </c>
      <c r="J74" s="372">
        <f>Input!$OP$34</f>
        <v>-108431164</v>
      </c>
      <c r="K74" s="372">
        <f>Input!$OQ$34</f>
        <v>0</v>
      </c>
      <c r="L74" s="372">
        <f>Input!$OR$34</f>
        <v>0</v>
      </c>
      <c r="M74" s="373">
        <f>D74+E74+F74+G74+H74+I74+J74+K74+L74</f>
        <v>-108431164</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Input!$OS$34</f>
        <v>-26847326</v>
      </c>
      <c r="E75" s="372">
        <f>Input!$OT$34</f>
        <v>19940290</v>
      </c>
      <c r="F75" s="372">
        <f>Input!$OU$34</f>
        <v>1872191</v>
      </c>
      <c r="G75" s="372">
        <f>Input!$OV$34</f>
        <v>-94560633</v>
      </c>
      <c r="H75" s="372">
        <f>Input!$OW$34</f>
        <v>-151189</v>
      </c>
      <c r="I75" s="372">
        <f>Input!$OX$34</f>
        <v>6638997</v>
      </c>
      <c r="J75" s="372">
        <f>Input!$OY$34</f>
        <v>42826902</v>
      </c>
      <c r="K75" s="372">
        <f>Input!$OZ$34</f>
        <v>-1000000</v>
      </c>
      <c r="L75" s="372">
        <f>Input!$PA$34</f>
        <v>0</v>
      </c>
      <c r="M75" s="373">
        <f>D75+E75+F75+G75+H75+I75+J75+K75+L75</f>
        <v>-51280768</v>
      </c>
      <c r="N75" s="160"/>
      <c r="O75" s="1723" t="str">
        <f>IF(M85&lt;0,"Footnote 11 is N/A - No Data Entry Required","Footnote 11")</f>
        <v>Footnote 11</v>
      </c>
      <c r="P75" s="1724"/>
      <c r="Q75" s="1724"/>
      <c r="R75" s="1725"/>
      <c r="S75" s="330"/>
      <c r="T75" s="330"/>
      <c r="U75" s="327"/>
      <c r="V75" s="276"/>
      <c r="W75" s="331"/>
      <c r="X75" s="331"/>
      <c r="Y75" s="328"/>
      <c r="Z75" s="328"/>
      <c r="AA75" s="276"/>
      <c r="AB75" s="276" t="s">
        <v>293</v>
      </c>
    </row>
    <row r="76" spans="1:28" ht="13.5" thickTop="1">
      <c r="A76" s="184">
        <v>59</v>
      </c>
      <c r="B76" s="160" t="s">
        <v>45</v>
      </c>
      <c r="C76" s="160"/>
      <c r="D76" s="372">
        <f>Input!$PB$34</f>
        <v>0</v>
      </c>
      <c r="E76" s="372">
        <f>Input!$PC$34</f>
        <v>0</v>
      </c>
      <c r="F76" s="372">
        <f>Input!$PD$34</f>
        <v>0</v>
      </c>
      <c r="G76" s="372">
        <f>Input!$PE$34</f>
        <v>0</v>
      </c>
      <c r="H76" s="372">
        <f>Input!$PF$34</f>
        <v>0</v>
      </c>
      <c r="I76" s="372">
        <f>Input!$PG$34</f>
        <v>0</v>
      </c>
      <c r="J76" s="372">
        <f>Input!$PH$34</f>
        <v>89031003</v>
      </c>
      <c r="K76" s="372">
        <f>Input!$PI$34</f>
        <v>0</v>
      </c>
      <c r="L76" s="372">
        <f>Input!$PJ$34</f>
        <v>0</v>
      </c>
      <c r="M76" s="373">
        <f>D76+E76+F76+G76+H76+I76+J76+K76+L76</f>
        <v>89031003</v>
      </c>
      <c r="N76" s="160"/>
      <c r="O76" s="487" t="s">
        <v>583</v>
      </c>
      <c r="P76" s="488"/>
      <c r="Q76" s="489"/>
      <c r="R76" s="490">
        <f>IF($M$85&lt;0,"N/A",$M$85)</f>
        <v>200154362</v>
      </c>
      <c r="S76" s="330"/>
      <c r="T76" s="330"/>
      <c r="U76" s="327"/>
      <c r="V76" s="276"/>
      <c r="W76" s="331"/>
      <c r="X76" s="331"/>
      <c r="Y76" s="331"/>
      <c r="Z76" s="331"/>
      <c r="AA76" s="276"/>
      <c r="AB76" s="276"/>
    </row>
    <row r="77" spans="1:28">
      <c r="A77" s="184">
        <v>60</v>
      </c>
      <c r="B77" s="160" t="s">
        <v>46</v>
      </c>
      <c r="C77" s="160"/>
      <c r="D77" s="372">
        <f>Input!$PK$34</f>
        <v>-20649535</v>
      </c>
      <c r="E77" s="372">
        <f>Input!$PL$34</f>
        <v>-10654967</v>
      </c>
      <c r="F77" s="372">
        <f>Input!$PM$34</f>
        <v>-11597188</v>
      </c>
      <c r="G77" s="372">
        <f>Input!$PN$34</f>
        <v>0</v>
      </c>
      <c r="H77" s="372">
        <f>Input!$PO$34</f>
        <v>0</v>
      </c>
      <c r="I77" s="372">
        <f>Input!$PP$34</f>
        <v>0</v>
      </c>
      <c r="J77" s="372">
        <f>Input!$PQ$34</f>
        <v>0</v>
      </c>
      <c r="K77" s="372">
        <f>Input!$PR$34</f>
        <v>-9445924</v>
      </c>
      <c r="L77" s="372">
        <f>Input!$PS$34</f>
        <v>0</v>
      </c>
      <c r="M77" s="373">
        <f>D77+E77+F77+G77+H77+I77+J77+K77+L77</f>
        <v>-52347614</v>
      </c>
      <c r="N77" s="160"/>
      <c r="O77" s="491" t="s">
        <v>584</v>
      </c>
      <c r="P77" s="334"/>
      <c r="Q77" s="334"/>
      <c r="R77" s="521">
        <f>Input!$UB$34</f>
        <v>68010026</v>
      </c>
      <c r="S77" s="330"/>
      <c r="T77" s="330"/>
      <c r="U77" s="327"/>
      <c r="V77" s="276"/>
      <c r="W77" s="331"/>
      <c r="X77" s="331"/>
      <c r="Y77" s="331"/>
      <c r="Z77" s="331"/>
      <c r="AA77" s="276"/>
      <c r="AB77" s="276"/>
    </row>
    <row r="78" spans="1:28">
      <c r="A78" s="184">
        <v>61</v>
      </c>
      <c r="B78" s="162" t="s">
        <v>3</v>
      </c>
      <c r="C78" s="162"/>
      <c r="D78" s="374">
        <f t="shared" ref="D78:L78" si="20">SUM(D74:D77)</f>
        <v>-47496861</v>
      </c>
      <c r="E78" s="374">
        <f t="shared" si="20"/>
        <v>9285323</v>
      </c>
      <c r="F78" s="374">
        <f t="shared" si="20"/>
        <v>-9724997</v>
      </c>
      <c r="G78" s="374">
        <f t="shared" si="20"/>
        <v>-94560633</v>
      </c>
      <c r="H78" s="374">
        <f t="shared" si="20"/>
        <v>-151189</v>
      </c>
      <c r="I78" s="374">
        <f t="shared" si="20"/>
        <v>6638997</v>
      </c>
      <c r="J78" s="374">
        <f t="shared" si="20"/>
        <v>23426741</v>
      </c>
      <c r="K78" s="374">
        <f t="shared" si="20"/>
        <v>-10445924</v>
      </c>
      <c r="L78" s="374">
        <f t="shared" si="20"/>
        <v>0</v>
      </c>
      <c r="M78" s="374">
        <f>D78+E78+F78+G78+H78+I78+J78+K78+L78</f>
        <v>-123028543</v>
      </c>
      <c r="N78" s="160"/>
      <c r="O78" s="491" t="s">
        <v>585</v>
      </c>
      <c r="P78" s="276"/>
      <c r="Q78" s="334"/>
      <c r="R78" s="492">
        <f>IF($M$85&lt;0,"",$R$76-$R$77)</f>
        <v>132144336</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3"/>
      <c r="P79" s="276"/>
      <c r="Q79" s="334"/>
      <c r="R79" s="494"/>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5" t="s">
        <v>586</v>
      </c>
      <c r="P80" s="276"/>
      <c r="Q80" s="334"/>
      <c r="R80" s="521">
        <f>Input!$UC$34</f>
        <v>131603816</v>
      </c>
      <c r="S80" s="330"/>
      <c r="T80" s="330"/>
      <c r="U80" s="334"/>
      <c r="V80" s="276"/>
      <c r="W80" s="328"/>
      <c r="X80" s="328"/>
      <c r="Y80" s="331"/>
      <c r="Z80" s="331"/>
      <c r="AA80" s="276"/>
      <c r="AB80" s="276"/>
    </row>
    <row r="81" spans="1:28">
      <c r="A81" s="184">
        <v>64</v>
      </c>
      <c r="B81" s="160" t="s">
        <v>47</v>
      </c>
      <c r="C81" s="160"/>
      <c r="D81" s="372">
        <f>Input!$PT$34</f>
        <v>0</v>
      </c>
      <c r="E81" s="372">
        <f>Input!$PU$34</f>
        <v>40452108</v>
      </c>
      <c r="F81" s="372">
        <f>Input!$PV$34</f>
        <v>8454897</v>
      </c>
      <c r="G81" s="372">
        <f>Input!$PW$34</f>
        <v>6928610</v>
      </c>
      <c r="H81" s="372">
        <f>Input!$PX$34</f>
        <v>306694</v>
      </c>
      <c r="I81" s="372">
        <f>Input!$PY$34</f>
        <v>69182308</v>
      </c>
      <c r="J81" s="372">
        <f>Input!$PZ$34</f>
        <v>1298081</v>
      </c>
      <c r="K81" s="372">
        <f>Input!$QA$34</f>
        <v>3199871</v>
      </c>
      <c r="L81" s="372">
        <f>Input!$QB$34</f>
        <v>0</v>
      </c>
      <c r="M81" s="373">
        <f>D81+E81+F81+G81+H81+I81+J81+K81+L81</f>
        <v>129822569</v>
      </c>
      <c r="N81" s="160"/>
      <c r="O81" s="496" t="s">
        <v>587</v>
      </c>
      <c r="P81" s="276"/>
      <c r="Q81" s="276"/>
      <c r="R81" s="497"/>
      <c r="S81" s="330"/>
      <c r="T81" s="330"/>
      <c r="W81" s="276"/>
      <c r="X81" s="276"/>
      <c r="Y81" s="331"/>
      <c r="Z81" s="331"/>
      <c r="AA81" s="276"/>
      <c r="AB81" s="276"/>
    </row>
    <row r="82" spans="1:28">
      <c r="A82" s="184">
        <v>65</v>
      </c>
      <c r="B82" s="160" t="s">
        <v>48</v>
      </c>
      <c r="C82" s="160"/>
      <c r="D82" s="372">
        <f>Input!$QC$34</f>
        <v>0</v>
      </c>
      <c r="E82" s="372">
        <f>Input!$QD$34</f>
        <v>0</v>
      </c>
      <c r="F82" s="372">
        <f>Input!$QE$34</f>
        <v>0</v>
      </c>
      <c r="G82" s="372">
        <f>Input!$QF$34</f>
        <v>0</v>
      </c>
      <c r="H82" s="372">
        <f>Input!$QG$34</f>
        <v>0</v>
      </c>
      <c r="I82" s="372">
        <f>Input!$QH$34</f>
        <v>540520</v>
      </c>
      <c r="J82" s="372">
        <f>Input!$QI$34</f>
        <v>0</v>
      </c>
      <c r="K82" s="372">
        <f>Input!$QJ$34</f>
        <v>0</v>
      </c>
      <c r="L82" s="372">
        <f>Input!$QK$34</f>
        <v>0</v>
      </c>
      <c r="M82" s="373">
        <f>D82+E82+F82+G82+H82+I82+J82+K82+L82</f>
        <v>540520</v>
      </c>
      <c r="N82" s="160"/>
      <c r="O82" s="498" t="s">
        <v>588</v>
      </c>
      <c r="P82" s="276"/>
      <c r="Q82" s="276"/>
      <c r="R82" s="492">
        <f>IFERROR($R$78-$R$80,"")</f>
        <v>540520</v>
      </c>
      <c r="Y82" s="331"/>
      <c r="Z82" s="401"/>
      <c r="AA82" s="268"/>
      <c r="AB82" s="268"/>
    </row>
    <row r="83" spans="1:28">
      <c r="A83" s="184">
        <v>66</v>
      </c>
      <c r="B83" s="162" t="s">
        <v>3</v>
      </c>
      <c r="C83" s="162"/>
      <c r="D83" s="374">
        <f t="shared" ref="D83:L83" si="21">SUM(D81:D82)</f>
        <v>0</v>
      </c>
      <c r="E83" s="374">
        <f t="shared" si="21"/>
        <v>40452108</v>
      </c>
      <c r="F83" s="374">
        <f t="shared" si="21"/>
        <v>8454897</v>
      </c>
      <c r="G83" s="374">
        <f t="shared" si="21"/>
        <v>6928610</v>
      </c>
      <c r="H83" s="374">
        <f t="shared" si="21"/>
        <v>306694</v>
      </c>
      <c r="I83" s="374">
        <f t="shared" si="21"/>
        <v>69722828</v>
      </c>
      <c r="J83" s="374">
        <f t="shared" si="21"/>
        <v>1298081</v>
      </c>
      <c r="K83" s="374">
        <f t="shared" si="21"/>
        <v>3199871</v>
      </c>
      <c r="L83" s="374">
        <f t="shared" si="21"/>
        <v>0</v>
      </c>
      <c r="M83" s="374">
        <f>D83+E83+F83+G83+H83+I83+J83+K83+L83</f>
        <v>130363089</v>
      </c>
      <c r="N83" s="160"/>
      <c r="O83" s="493"/>
      <c r="P83" s="276"/>
      <c r="Q83" s="276"/>
      <c r="R83" s="497"/>
      <c r="Y83" s="163"/>
      <c r="Z83" s="447"/>
      <c r="AA83" s="439"/>
      <c r="AB83" s="448"/>
    </row>
    <row r="84" spans="1:28" ht="13.5" thickBot="1">
      <c r="A84" s="184">
        <v>67</v>
      </c>
      <c r="B84" s="160"/>
      <c r="C84" s="160"/>
      <c r="D84" s="373"/>
      <c r="E84" s="373"/>
      <c r="F84" s="373"/>
      <c r="G84" s="373"/>
      <c r="H84" s="373"/>
      <c r="I84" s="373"/>
      <c r="J84" s="373"/>
      <c r="K84" s="373"/>
      <c r="L84" s="373"/>
      <c r="M84" s="373"/>
      <c r="N84" s="160"/>
      <c r="O84" s="499" t="s">
        <v>589</v>
      </c>
      <c r="P84" s="500"/>
      <c r="Q84" s="500"/>
      <c r="R84" s="501">
        <f>IFERROR((R82+R80)-R78,"")</f>
        <v>0</v>
      </c>
      <c r="Y84" s="268"/>
      <c r="Z84" s="447"/>
      <c r="AA84" s="439"/>
      <c r="AB84" s="449"/>
    </row>
    <row r="85" spans="1:28" ht="13.5" thickTop="1">
      <c r="A85" s="184">
        <v>68</v>
      </c>
      <c r="B85" s="162" t="s">
        <v>574</v>
      </c>
      <c r="C85" s="162"/>
      <c r="D85" s="374">
        <f t="shared" ref="D85:L85" si="22">D57-D71+D78+D83</f>
        <v>-9652329</v>
      </c>
      <c r="E85" s="374">
        <f t="shared" si="22"/>
        <v>62465183</v>
      </c>
      <c r="F85" s="374">
        <f t="shared" si="22"/>
        <v>22413798</v>
      </c>
      <c r="G85" s="374">
        <f t="shared" si="22"/>
        <v>51648435</v>
      </c>
      <c r="H85" s="374">
        <f t="shared" si="22"/>
        <v>256697</v>
      </c>
      <c r="I85" s="374">
        <f t="shared" si="22"/>
        <v>59400842</v>
      </c>
      <c r="J85" s="374">
        <f t="shared" si="22"/>
        <v>19309091</v>
      </c>
      <c r="K85" s="374">
        <f t="shared" si="22"/>
        <v>-6236624</v>
      </c>
      <c r="L85" s="374">
        <f t="shared" si="22"/>
        <v>549269</v>
      </c>
      <c r="M85" s="374">
        <f>D85+E85+F85+G85+H85+I85+J85+K85+L85</f>
        <v>200154362</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Input!$QL$34</f>
        <v>0</v>
      </c>
      <c r="E87" s="372">
        <f>Input!$QM$34</f>
        <v>0</v>
      </c>
      <c r="F87" s="372">
        <f>Input!$QN$34</f>
        <v>0</v>
      </c>
      <c r="G87" s="372">
        <f>Input!$QO$34</f>
        <v>0</v>
      </c>
      <c r="H87" s="372">
        <f>Input!$QP$34</f>
        <v>0</v>
      </c>
      <c r="I87" s="372">
        <f>Input!$QQ$34</f>
        <v>0</v>
      </c>
      <c r="J87" s="372">
        <f>Input!$QR$34</f>
        <v>0</v>
      </c>
      <c r="K87" s="372">
        <f>Input!$QS$34</f>
        <v>0</v>
      </c>
      <c r="L87" s="372">
        <f>Input!$QT$34</f>
        <v>0</v>
      </c>
      <c r="M87" s="329">
        <f>D87+E87+F87+G87+H87+I87+J87+K87+L87</f>
        <v>0</v>
      </c>
      <c r="N87" s="160"/>
      <c r="Y87" s="268"/>
      <c r="Z87" s="447"/>
      <c r="AA87" s="439"/>
      <c r="AB87" s="449"/>
    </row>
    <row r="88" spans="1:28">
      <c r="A88" s="184">
        <v>72</v>
      </c>
      <c r="B88" s="160" t="s">
        <v>66</v>
      </c>
      <c r="C88" s="160"/>
      <c r="D88" s="372">
        <f>Input!$QU$34</f>
        <v>0</v>
      </c>
      <c r="E88" s="372">
        <f>Input!$QV$34</f>
        <v>0</v>
      </c>
      <c r="F88" s="372">
        <f>Input!$QW$34</f>
        <v>0</v>
      </c>
      <c r="G88" s="372">
        <f>Input!$QX$34</f>
        <v>0</v>
      </c>
      <c r="H88" s="372">
        <f>Input!$QY$34</f>
        <v>0</v>
      </c>
      <c r="I88" s="372">
        <f>Input!$QZ$34</f>
        <v>0</v>
      </c>
      <c r="J88" s="372">
        <f>Input!$RA$34</f>
        <v>0</v>
      </c>
      <c r="K88" s="372">
        <f>Input!$RB$34</f>
        <v>0</v>
      </c>
      <c r="L88" s="372">
        <f>Input!$RC$34</f>
        <v>-92951310</v>
      </c>
      <c r="M88" s="373">
        <f>D88+E88+F88+G88+H88+I88+J88+K88+L88</f>
        <v>-92951310</v>
      </c>
      <c r="N88" s="160"/>
      <c r="O88" s="270"/>
      <c r="P88" s="335"/>
      <c r="Y88" s="268"/>
      <c r="Z88" s="447"/>
      <c r="AA88" s="439"/>
      <c r="AB88" s="449"/>
    </row>
    <row r="89" spans="1:28" s="264" customFormat="1">
      <c r="A89" s="263"/>
      <c r="B89" s="171" t="s">
        <v>216</v>
      </c>
      <c r="C89" s="171"/>
      <c r="D89" s="372">
        <f>Input!$RD$34</f>
        <v>0</v>
      </c>
      <c r="E89" s="372">
        <f>Input!$RE$34</f>
        <v>0</v>
      </c>
      <c r="F89" s="372">
        <f>Input!$RF$34</f>
        <v>0</v>
      </c>
      <c r="G89" s="372">
        <f>Input!$RG$34</f>
        <v>0</v>
      </c>
      <c r="H89" s="372">
        <f>Input!$RH$34</f>
        <v>0</v>
      </c>
      <c r="I89" s="372">
        <f>Input!$RI$34</f>
        <v>0</v>
      </c>
      <c r="J89" s="372">
        <f>Input!$RJ$34</f>
        <v>0</v>
      </c>
      <c r="K89" s="372">
        <f>Input!$RK$34</f>
        <v>0</v>
      </c>
      <c r="L89" s="372">
        <f>Input!$RL$34</f>
        <v>-38779</v>
      </c>
      <c r="M89" s="373">
        <f t="shared" ref="M89:M91" si="23">D89+E89+F89+G89+H89+I89+J89+K89+L89</f>
        <v>-38779</v>
      </c>
      <c r="N89" s="160"/>
      <c r="O89" s="1726" t="s">
        <v>1355</v>
      </c>
      <c r="P89" s="1727"/>
      <c r="Q89" s="1727"/>
      <c r="R89" s="1727"/>
      <c r="S89" s="1727"/>
      <c r="T89" s="1727"/>
      <c r="U89" s="1728"/>
      <c r="Y89" s="268"/>
      <c r="Z89" s="447"/>
      <c r="AA89" s="439"/>
      <c r="AB89" s="449"/>
    </row>
    <row r="90" spans="1:28" s="264" customFormat="1">
      <c r="A90" s="263"/>
      <c r="B90" s="171" t="s">
        <v>105</v>
      </c>
      <c r="C90" s="171"/>
      <c r="D90" s="372">
        <f>Input!$RM$34</f>
        <v>0</v>
      </c>
      <c r="E90" s="372">
        <f>Input!$RN$34</f>
        <v>0</v>
      </c>
      <c r="F90" s="372">
        <f>Input!$RO$34</f>
        <v>0</v>
      </c>
      <c r="G90" s="372">
        <f>Input!$RP$34</f>
        <v>0</v>
      </c>
      <c r="H90" s="372">
        <f>Input!$RQ$34</f>
        <v>0</v>
      </c>
      <c r="I90" s="372">
        <f>Input!$RR$34</f>
        <v>0</v>
      </c>
      <c r="J90" s="372">
        <f>Input!$RS$34</f>
        <v>0</v>
      </c>
      <c r="K90" s="372">
        <f>Input!$RT$34</f>
        <v>0</v>
      </c>
      <c r="L90" s="372">
        <f>Input!$RU$34</f>
        <v>0</v>
      </c>
      <c r="M90" s="373">
        <f t="shared" si="23"/>
        <v>0</v>
      </c>
      <c r="N90" s="160"/>
      <c r="O90" s="502" t="s">
        <v>590</v>
      </c>
      <c r="P90" s="423"/>
      <c r="Q90" s="502" t="s">
        <v>591</v>
      </c>
      <c r="R90" s="423"/>
      <c r="S90" s="503"/>
      <c r="T90" s="502" t="s">
        <v>592</v>
      </c>
      <c r="U90" s="423"/>
      <c r="Y90" s="268"/>
      <c r="Z90" s="447"/>
      <c r="AA90" s="439"/>
      <c r="AB90" s="449"/>
    </row>
    <row r="91" spans="1:28" s="264" customFormat="1">
      <c r="A91" s="263"/>
      <c r="B91" s="171" t="s">
        <v>128</v>
      </c>
      <c r="C91" s="171"/>
      <c r="D91" s="372">
        <f>Input!$RV$34</f>
        <v>0</v>
      </c>
      <c r="E91" s="372">
        <f>Input!$RW$34</f>
        <v>0</v>
      </c>
      <c r="F91" s="372">
        <f>Input!$RX$34</f>
        <v>0</v>
      </c>
      <c r="G91" s="372">
        <f>Input!$RY$34</f>
        <v>0</v>
      </c>
      <c r="H91" s="372">
        <f>Input!$RZ$34</f>
        <v>0</v>
      </c>
      <c r="I91" s="372">
        <f>Input!$SA$34</f>
        <v>0</v>
      </c>
      <c r="J91" s="372">
        <f>Input!$SB$34</f>
        <v>0</v>
      </c>
      <c r="K91" s="372">
        <f>Input!$SC$34</f>
        <v>0</v>
      </c>
      <c r="L91" s="372">
        <f>Input!$SD$34</f>
        <v>5640709</v>
      </c>
      <c r="M91" s="373">
        <f t="shared" si="23"/>
        <v>5640709</v>
      </c>
      <c r="N91" s="160"/>
      <c r="O91" s="504"/>
      <c r="P91" s="505"/>
      <c r="Q91" s="504"/>
      <c r="R91" s="426"/>
      <c r="S91" s="276"/>
      <c r="T91" s="506"/>
      <c r="U91" s="426"/>
      <c r="Y91" s="268"/>
      <c r="Z91" s="447"/>
      <c r="AA91" s="439"/>
      <c r="AB91" s="449"/>
    </row>
    <row r="92" spans="1:28" s="264" customFormat="1">
      <c r="A92" s="263"/>
      <c r="B92" s="160" t="s">
        <v>67</v>
      </c>
      <c r="C92" s="160"/>
      <c r="D92" s="372">
        <f>Input!$SE$34</f>
        <v>11990225</v>
      </c>
      <c r="E92" s="372">
        <f>Input!$SF$34</f>
        <v>8371502</v>
      </c>
      <c r="F92" s="372">
        <f>Input!$SG$34</f>
        <v>1334167</v>
      </c>
      <c r="G92" s="372">
        <f>Input!$SH$34</f>
        <v>4618711</v>
      </c>
      <c r="H92" s="372">
        <f>Input!$SI$34</f>
        <v>0</v>
      </c>
      <c r="I92" s="372">
        <f>Input!$SJ$34</f>
        <v>0</v>
      </c>
      <c r="J92" s="372">
        <f>Input!$SK$34</f>
        <v>108431164</v>
      </c>
      <c r="K92" s="372">
        <f>Input!$SL$34</f>
        <v>0</v>
      </c>
      <c r="L92" s="372">
        <f>Input!$SM$34</f>
        <v>0</v>
      </c>
      <c r="M92" s="373">
        <f>D92+E92+F92+G92+H92+I92+J92+K92+L92</f>
        <v>134745769</v>
      </c>
      <c r="N92" s="160"/>
      <c r="O92" s="1729" t="str">
        <f>Input!UF$34</f>
        <v>Lori Eppler</v>
      </c>
      <c r="P92" s="1730"/>
      <c r="Q92" s="1729" t="str">
        <f>Input!$UG$34</f>
        <v>806-834-4640</v>
      </c>
      <c r="R92" s="1730"/>
      <c r="S92" s="276"/>
      <c r="T92" s="1731" t="str">
        <f>HYPERLINK("Mailto:"&amp;Input!$UH$34,Input!$UH$34)</f>
        <v>lori.eppler@ttu.edu</v>
      </c>
      <c r="U92" s="1730"/>
      <c r="Y92" s="268"/>
      <c r="Z92" s="447"/>
      <c r="AA92" s="442"/>
      <c r="AB92" s="449"/>
    </row>
    <row r="93" spans="1:28" ht="13.5" thickBot="1">
      <c r="B93" s="179" t="s">
        <v>58</v>
      </c>
      <c r="C93" s="179"/>
      <c r="D93" s="380">
        <f t="shared" ref="D93:K93" si="24">SUM(D85:D92)</f>
        <v>2337896</v>
      </c>
      <c r="E93" s="380">
        <f t="shared" si="24"/>
        <v>70836685</v>
      </c>
      <c r="F93" s="380">
        <f t="shared" si="24"/>
        <v>23747965</v>
      </c>
      <c r="G93" s="380">
        <f t="shared" si="24"/>
        <v>56267146</v>
      </c>
      <c r="H93" s="380">
        <f t="shared" si="24"/>
        <v>256697</v>
      </c>
      <c r="I93" s="380">
        <f t="shared" si="24"/>
        <v>59400842</v>
      </c>
      <c r="J93" s="380">
        <f t="shared" si="24"/>
        <v>127740255</v>
      </c>
      <c r="K93" s="380">
        <f t="shared" si="24"/>
        <v>-6236624</v>
      </c>
      <c r="L93" s="380">
        <f>SUM(L85:L92)</f>
        <v>-86800111</v>
      </c>
      <c r="M93" s="380">
        <f>D93+E93+F93+G93+H93+I93+J93+K93+L93</f>
        <v>247550751</v>
      </c>
      <c r="N93" s="160"/>
      <c r="O93" s="506"/>
      <c r="P93" s="507"/>
      <c r="Q93" s="276"/>
      <c r="R93" s="276"/>
      <c r="S93" s="276"/>
      <c r="T93" s="507"/>
      <c r="U93" s="508"/>
      <c r="Y93" s="268"/>
      <c r="Z93" s="447"/>
      <c r="AA93" s="442"/>
      <c r="AB93" s="449"/>
    </row>
    <row r="94" spans="1:28" ht="13.5" thickTop="1">
      <c r="C94" s="160"/>
      <c r="D94" s="165"/>
      <c r="E94" s="165"/>
      <c r="F94" s="165"/>
      <c r="G94" s="165"/>
      <c r="H94" s="165"/>
      <c r="I94" s="165"/>
      <c r="J94" s="165"/>
      <c r="K94" s="165"/>
      <c r="L94" s="165"/>
      <c r="M94" s="180"/>
      <c r="N94" s="160"/>
      <c r="O94" s="1720" t="s">
        <v>593</v>
      </c>
      <c r="P94" s="1721"/>
      <c r="Q94" s="1721"/>
      <c r="R94" s="1721"/>
      <c r="S94" s="1721"/>
      <c r="T94" s="1721"/>
      <c r="U94" s="1722"/>
      <c r="Y94" s="268"/>
      <c r="Z94" s="451"/>
      <c r="AA94" s="442"/>
      <c r="AB94" s="449"/>
    </row>
    <row r="95" spans="1:28">
      <c r="B95" s="171" t="s">
        <v>1369</v>
      </c>
      <c r="C95" s="169"/>
      <c r="D95" s="165"/>
      <c r="E95" s="165"/>
      <c r="F95" s="165"/>
      <c r="G95" s="165"/>
      <c r="H95" s="165"/>
      <c r="I95" s="165"/>
      <c r="J95" s="165"/>
      <c r="K95" s="165"/>
      <c r="L95" s="165"/>
      <c r="M95" s="180"/>
      <c r="N95" s="160"/>
      <c r="O95" s="1720"/>
      <c r="P95" s="1721"/>
      <c r="Q95" s="1721"/>
      <c r="R95" s="1721"/>
      <c r="S95" s="1721"/>
      <c r="T95" s="1721"/>
      <c r="U95" s="1722"/>
      <c r="Y95" s="268"/>
      <c r="Z95" s="452"/>
      <c r="AA95" s="453"/>
      <c r="AB95" s="454"/>
    </row>
    <row r="96" spans="1:28">
      <c r="B96" s="169" t="s">
        <v>80</v>
      </c>
      <c r="C96" s="160"/>
      <c r="D96" s="165"/>
      <c r="E96" s="165"/>
      <c r="F96" s="165"/>
      <c r="G96" s="165"/>
      <c r="H96" s="165"/>
      <c r="I96" s="165"/>
      <c r="J96" s="165"/>
      <c r="K96" s="165"/>
      <c r="L96" s="165"/>
      <c r="M96" s="180"/>
      <c r="N96" s="160"/>
      <c r="O96" s="509"/>
      <c r="P96" s="510"/>
      <c r="Q96" s="511"/>
      <c r="R96" s="511"/>
      <c r="S96" s="511"/>
      <c r="T96" s="510"/>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Input!$SN$34</f>
        <v>247550751</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3" t="str">
        <f>IF($L$118&lt;&gt;Input!$F$34,"Out of Balance","Balanced")</f>
        <v>Balanced</v>
      </c>
      <c r="M102" s="517"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486178107</v>
      </c>
      <c r="E105" s="373">
        <f>SUM($E$10:$E$14)+SUM($E$19:$E$28)+SUM($E$32:$E$41)+$E$47+SUM($E$50:$E$55)+SUM($E$60:$E$70)+SUM($E$74:$E$77)+SUM($E$81:$E$82)+SUM($E$87:$E$92)</f>
        <v>716075093</v>
      </c>
      <c r="F105" s="373">
        <f>SUM($F$10:$F$14)+SUM($F$19:$F$28)+SUM($F$32:$F$41)+$F$47+SUM($F$50:$F$55)+SUM($F$60:$F$70)+SUM($F$74:$F$77)+SUM($F$81:$F$82)+SUM($F$87:$F$92)</f>
        <v>270861301</v>
      </c>
      <c r="G105" s="373">
        <f>SUM($G$10:$G$14)+SUM($G$19:$G$28)+SUM($G$32:$G$41)+$G$47+SUM($G$50:$G$55)+SUM($G$60:$G$70)+SUM($G$74:$G$77)+SUM($G$81:$G$82)+SUM($G$87:$G$92)</f>
        <v>313135524</v>
      </c>
      <c r="H105" s="373">
        <f>SUM($H$10:$H$14)+SUM($H$19:$H$28)+SUM($H$32:$H$41)+$H$47+SUM($H$50:$H$55)+SUM($H$60:$H$70)+SUM($H$74:$H$77)+SUM($H$81:$H$82)+SUM($H$87:$H$92)</f>
        <v>256697</v>
      </c>
      <c r="I105" s="373">
        <f>SUM($I$10:$I$14)+SUM($I$19:$I$28)+SUM($I$32:$I$41)+$I$47+SUM($I$50:$I$55)+SUM($I$60:$I$70)+SUM($I$74:$I$77)+SUM($I$81:$I$82)+SUM($I$87:$I$92)</f>
        <v>59400842</v>
      </c>
      <c r="J105" s="373">
        <f>SUM($J$10:$J$14)+SUM($J$19:$J$28)+SUM($J$32:$J$41)+$J$47+SUM($J$50:$J$55)+SUM($J$60:$J$70)+SUM($J$74:$J$77)+SUM($J$81:$J$82)+SUM($J$87:$J$92)</f>
        <v>138740313</v>
      </c>
      <c r="K105" s="373">
        <f>SUM($K$10:$K$14)+SUM($K$19:$K$28)+SUM($K$32:$K$41)+$K$47+SUM($K$50:$K$55)+SUM($K$60:$K$70)+SUM($K$74:$K$77)+SUM($K$81:$K$82)+SUM($K$87:$K$92)</f>
        <v>-6236624</v>
      </c>
      <c r="L105" s="373">
        <f>SUM($L$10:$L$14)+SUM($L$19:$L$28)+SUM($L$32:$L$41)+$L$47+SUM($L$50:$L$55)+SUM($L$60:$L$70)+SUM($L$74:$L$77)+SUM($L$81:$L$82)+SUM($L$87:$L$92)</f>
        <v>-85615363</v>
      </c>
      <c r="M105" s="373"/>
      <c r="N105" s="264"/>
      <c r="O105" s="373"/>
      <c r="P105" s="450">
        <f>M18-INT(M18)</f>
        <v>0</v>
      </c>
    </row>
    <row r="106" spans="2:28">
      <c r="B106" s="261"/>
      <c r="C106" s="261"/>
      <c r="D106" s="261"/>
      <c r="E106" s="261"/>
      <c r="F106" s="261"/>
      <c r="G106" s="261"/>
      <c r="H106" s="261"/>
      <c r="I106" s="261"/>
      <c r="J106" s="261"/>
      <c r="K106" s="261"/>
      <c r="L106" s="373">
        <f>SUM($D$105:$L$105)</f>
        <v>1892795890</v>
      </c>
      <c r="M106" s="261"/>
      <c r="N106" s="264"/>
      <c r="O106" s="373"/>
      <c r="P106" s="450">
        <f>M31-INT(M31)</f>
        <v>0</v>
      </c>
    </row>
    <row r="107" spans="2:28">
      <c r="B107" s="261"/>
      <c r="C107" s="261"/>
      <c r="D107" s="261"/>
      <c r="E107" s="261"/>
      <c r="F107" s="261"/>
      <c r="G107" s="261"/>
      <c r="H107" s="261"/>
      <c r="I107" s="261"/>
      <c r="J107" s="261" t="s">
        <v>1299</v>
      </c>
      <c r="K107" s="261"/>
      <c r="L107" s="373">
        <f>$M$100</f>
        <v>247550751</v>
      </c>
      <c r="M107" s="261"/>
      <c r="N107" s="264"/>
      <c r="O107" s="373"/>
      <c r="P107" s="450">
        <f>M93-INT(M93)</f>
        <v>0</v>
      </c>
    </row>
    <row r="108" spans="2:28">
      <c r="B108" s="261"/>
      <c r="C108" s="261"/>
      <c r="D108" s="261"/>
      <c r="E108" s="261"/>
      <c r="F108" s="261"/>
      <c r="G108" s="261"/>
      <c r="H108" s="261"/>
      <c r="I108" s="261"/>
      <c r="J108" s="261" t="s">
        <v>1300</v>
      </c>
      <c r="K108" s="261"/>
      <c r="L108" s="512">
        <f>$Q$32</f>
        <v>478350400</v>
      </c>
      <c r="M108" s="261"/>
      <c r="N108" s="264"/>
      <c r="O108" s="373"/>
    </row>
    <row r="109" spans="2:28">
      <c r="B109" s="261"/>
      <c r="C109" s="261"/>
      <c r="D109" s="261"/>
      <c r="E109" s="261"/>
      <c r="F109" s="261"/>
      <c r="G109" s="261"/>
      <c r="H109" s="261"/>
      <c r="I109" s="261"/>
      <c r="J109" s="261" t="s">
        <v>1300</v>
      </c>
      <c r="K109" s="261"/>
      <c r="L109" s="512">
        <f>$R$34</f>
        <v>-121055562</v>
      </c>
      <c r="M109" s="261"/>
      <c r="N109" s="264"/>
      <c r="O109" s="373"/>
    </row>
    <row r="110" spans="2:28">
      <c r="B110" s="261"/>
      <c r="C110" s="261"/>
      <c r="D110" s="261"/>
      <c r="E110" s="261"/>
      <c r="F110" s="261"/>
      <c r="G110" s="261"/>
      <c r="H110" s="261"/>
      <c r="I110" s="261"/>
      <c r="J110" s="261" t="s">
        <v>29</v>
      </c>
      <c r="K110" s="261"/>
      <c r="L110" s="512">
        <f>SUM($P$60:$P$68)</f>
        <v>26314605</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2">
        <f>SUM($V$60:$V$67)</f>
        <v>684802</v>
      </c>
      <c r="M112" s="261"/>
      <c r="N112" s="264"/>
      <c r="O112" s="373"/>
    </row>
    <row r="113" spans="2:15">
      <c r="B113" s="261"/>
      <c r="C113" s="261"/>
      <c r="D113" s="261"/>
      <c r="E113" s="261"/>
      <c r="F113" s="261"/>
      <c r="G113" s="261"/>
      <c r="H113" s="261"/>
      <c r="I113" s="261"/>
      <c r="J113" s="261" t="s">
        <v>596</v>
      </c>
      <c r="K113" s="261"/>
      <c r="L113" s="512">
        <f>SUM($W$60:$W$67)</f>
        <v>24004</v>
      </c>
      <c r="M113" s="261"/>
      <c r="N113" s="264"/>
      <c r="O113" s="373"/>
    </row>
    <row r="114" spans="2:15">
      <c r="B114" s="261"/>
      <c r="C114" s="261"/>
      <c r="D114" s="261"/>
      <c r="E114" s="261"/>
      <c r="F114" s="261"/>
      <c r="G114" s="261"/>
      <c r="H114" s="261"/>
      <c r="I114" s="261"/>
      <c r="J114" s="261" t="s">
        <v>258</v>
      </c>
      <c r="K114" s="261"/>
      <c r="L114" s="512">
        <f>SUM($AA$60:$AA$68)</f>
        <v>815374240</v>
      </c>
      <c r="M114" s="261"/>
      <c r="N114" s="264"/>
      <c r="O114" s="373"/>
    </row>
    <row r="115" spans="2:15">
      <c r="B115" s="261"/>
      <c r="C115" s="261"/>
      <c r="D115" s="261"/>
      <c r="E115" s="261"/>
      <c r="F115" s="261"/>
      <c r="G115" s="261"/>
      <c r="H115" s="261"/>
      <c r="I115" s="261"/>
      <c r="J115" s="261" t="s">
        <v>597</v>
      </c>
      <c r="K115" s="261"/>
      <c r="L115" s="512">
        <f>$R$77</f>
        <v>68010026</v>
      </c>
      <c r="M115" s="261"/>
      <c r="N115" s="264"/>
      <c r="O115" s="373"/>
    </row>
    <row r="116" spans="2:15">
      <c r="B116" s="261"/>
      <c r="C116" s="261"/>
      <c r="D116" s="261"/>
      <c r="E116" s="261"/>
      <c r="F116" s="261"/>
      <c r="G116" s="261"/>
      <c r="H116" s="261"/>
      <c r="I116" s="261"/>
      <c r="J116" s="261" t="s">
        <v>597</v>
      </c>
      <c r="K116" s="261"/>
      <c r="L116" s="512">
        <f>$R$80</f>
        <v>131603816</v>
      </c>
      <c r="M116" s="261"/>
      <c r="N116" s="264"/>
      <c r="O116" s="373"/>
    </row>
    <row r="117" spans="2:15">
      <c r="B117" s="261"/>
      <c r="C117" s="261"/>
      <c r="D117" s="261"/>
      <c r="E117" s="261"/>
      <c r="F117" s="261"/>
      <c r="G117" s="261"/>
      <c r="H117" s="261"/>
      <c r="I117" s="261"/>
      <c r="J117" s="261" t="s">
        <v>1231</v>
      </c>
      <c r="K117" s="261"/>
      <c r="L117" s="1008">
        <f>VLOOKUP(B2,Names!B5:$C$87,2,FALSE)</f>
        <v>3644</v>
      </c>
      <c r="M117" s="261"/>
      <c r="N117" s="264"/>
      <c r="O117" s="373"/>
    </row>
    <row r="118" spans="2:15">
      <c r="B118" s="261"/>
      <c r="C118" s="261"/>
      <c r="D118" s="261"/>
      <c r="E118" s="261"/>
      <c r="F118" s="261"/>
      <c r="G118" s="261"/>
      <c r="H118" s="261"/>
      <c r="I118" s="261"/>
      <c r="J118" s="261"/>
      <c r="K118" s="261"/>
      <c r="L118" s="373">
        <f>SUM(L106:L117)</f>
        <v>3539656616</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V56:V59"/>
    <mergeCell ref="W56:W59"/>
    <mergeCell ref="G59:K59"/>
    <mergeCell ref="AA56:AA59"/>
    <mergeCell ref="Z55:AB55"/>
    <mergeCell ref="R56:R59"/>
    <mergeCell ref="O55:R55"/>
    <mergeCell ref="T55:X55"/>
    <mergeCell ref="X56:X59"/>
    <mergeCell ref="AB56:AB59"/>
    <mergeCell ref="Z56:Z59"/>
    <mergeCell ref="B2:F2"/>
    <mergeCell ref="B3:F3"/>
    <mergeCell ref="B4:F4"/>
    <mergeCell ref="B6:M6"/>
    <mergeCell ref="P4:Q4"/>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s>
  <conditionalFormatting sqref="U87:X88 O88:Q88">
    <cfRule type="cellIs" dxfId="415" priority="144" stopIfTrue="1" operator="notEqual">
      <formula>#REF!</formula>
    </cfRule>
  </conditionalFormatting>
  <conditionalFormatting sqref="P70">
    <cfRule type="expression" dxfId="414" priority="122">
      <formula>$P$69&lt;&gt;$M$69</formula>
    </cfRule>
  </conditionalFormatting>
  <conditionalFormatting sqref="AB72">
    <cfRule type="expression" dxfId="413" priority="121">
      <formula>$AB$71&lt;&gt;0</formula>
    </cfRule>
  </conditionalFormatting>
  <conditionalFormatting sqref="P71">
    <cfRule type="expression" dxfId="412" priority="120">
      <formula>P69-INT(P69)</formula>
    </cfRule>
  </conditionalFormatting>
  <conditionalFormatting sqref="V70">
    <cfRule type="expression" dxfId="411" priority="118">
      <formula>X68-INT(X68)</formula>
    </cfRule>
  </conditionalFormatting>
  <conditionalFormatting sqref="O11">
    <cfRule type="expression" dxfId="410" priority="111">
      <formula>#REF!&lt;&gt;$M$11</formula>
    </cfRule>
  </conditionalFormatting>
  <conditionalFormatting sqref="U87:U88 O88:Q88">
    <cfRule type="cellIs" dxfId="409" priority="102" stopIfTrue="1" operator="notEqual">
      <formula>#REF!</formula>
    </cfRule>
  </conditionalFormatting>
  <conditionalFormatting sqref="R84">
    <cfRule type="expression" priority="100" stopIfTrue="1">
      <formula>$M$85&lt;0</formula>
    </cfRule>
    <cfRule type="expression" dxfId="408" priority="101">
      <formula>$S$85&lt;&gt;0</formula>
    </cfRule>
  </conditionalFormatting>
  <conditionalFormatting sqref="R80 R77">
    <cfRule type="expression" dxfId="407" priority="98" stopIfTrue="1">
      <formula>$M$85&gt;=0</formula>
    </cfRule>
    <cfRule type="expression" priority="99">
      <formula>$M$85&lt;0</formula>
    </cfRule>
  </conditionalFormatting>
  <conditionalFormatting sqref="U87:U88 O88:Q88">
    <cfRule type="cellIs" dxfId="406" priority="97" stopIfTrue="1" operator="notEqual">
      <formula>#REF!</formula>
    </cfRule>
  </conditionalFormatting>
  <conditionalFormatting sqref="O12">
    <cfRule type="expression" dxfId="405" priority="81">
      <formula>$P$12&lt;&gt;$M$12</formula>
    </cfRule>
  </conditionalFormatting>
  <conditionalFormatting sqref="O13">
    <cfRule type="expression" dxfId="404" priority="80">
      <formula>$P$13&lt;&gt;$M$13</formula>
    </cfRule>
  </conditionalFormatting>
  <conditionalFormatting sqref="Q36">
    <cfRule type="expression" dxfId="403" priority="27">
      <formula>#REF!&lt;&gt;#REF!</formula>
    </cfRule>
  </conditionalFormatting>
  <conditionalFormatting sqref="R35">
    <cfRule type="expression" dxfId="402" priority="26">
      <formula>#REF!&lt;&gt;0</formula>
    </cfRule>
  </conditionalFormatting>
  <conditionalFormatting sqref="Q35">
    <cfRule type="expression" dxfId="401" priority="25">
      <formula>#REF!&lt;&gt;0</formula>
    </cfRule>
  </conditionalFormatting>
  <conditionalFormatting sqref="R36">
    <cfRule type="expression" dxfId="400" priority="24">
      <formula>#REF!&lt;&gt;#REF!</formula>
    </cfRule>
  </conditionalFormatting>
  <conditionalFormatting sqref="D93:M98 T94:T95 R90:S95 U87:X93 T90:T92 Y90:Y95 O88:O92 P88:Q93">
    <cfRule type="cellIs" dxfId="399" priority="23" stopIfTrue="1" operator="notEqual">
      <formula>#REF!</formula>
    </cfRule>
  </conditionalFormatting>
  <conditionalFormatting sqref="P70">
    <cfRule type="expression" dxfId="398" priority="22">
      <formula>$P$69&lt;&gt;$M$69</formula>
    </cfRule>
  </conditionalFormatting>
  <conditionalFormatting sqref="AB72">
    <cfRule type="expression" dxfId="397" priority="21">
      <formula>$AB$71&lt;&gt;0</formula>
    </cfRule>
  </conditionalFormatting>
  <conditionalFormatting sqref="P71">
    <cfRule type="expression" dxfId="396" priority="20">
      <formula>P69-INT(P69)</formula>
    </cfRule>
  </conditionalFormatting>
  <conditionalFormatting sqref="V70">
    <cfRule type="expression" dxfId="395" priority="19">
      <formula>X68-INT(X68)</formula>
    </cfRule>
  </conditionalFormatting>
  <conditionalFormatting sqref="O12">
    <cfRule type="expression" dxfId="394" priority="18">
      <formula>$P$12&lt;&gt;$M$12</formula>
    </cfRule>
  </conditionalFormatting>
  <conditionalFormatting sqref="T94:T95 R90:S95 U87:U93 T90:T92 O88:O92 P88:Q93">
    <cfRule type="cellIs" dxfId="393" priority="16" stopIfTrue="1" operator="notEqual">
      <formula>#REF!</formula>
    </cfRule>
  </conditionalFormatting>
  <conditionalFormatting sqref="R84">
    <cfRule type="expression" priority="14" stopIfTrue="1">
      <formula>$M$85&lt;0</formula>
    </cfRule>
    <cfRule type="expression" dxfId="392" priority="15">
      <formula>$S$85&lt;&gt;0</formula>
    </cfRule>
  </conditionalFormatting>
  <conditionalFormatting sqref="R80 R77">
    <cfRule type="expression" dxfId="391" priority="12" stopIfTrue="1">
      <formula>$M$85&gt;=0</formula>
    </cfRule>
    <cfRule type="expression" priority="13">
      <formula>$M$85&lt;0</formula>
    </cfRule>
  </conditionalFormatting>
  <conditionalFormatting sqref="U87:U88 R89:U92 O88:Q92">
    <cfRule type="cellIs" dxfId="390" priority="11" stopIfTrue="1" operator="notEqual">
      <formula>#REF!</formula>
    </cfRule>
  </conditionalFormatting>
  <conditionalFormatting sqref="M101">
    <cfRule type="expression" dxfId="389" priority="10">
      <formula>$M$101&lt;&gt;0</formula>
    </cfRule>
  </conditionalFormatting>
  <conditionalFormatting sqref="M102">
    <cfRule type="expression" dxfId="388" priority="9">
      <formula>$M$93&lt;&gt;$M$100</formula>
    </cfRule>
  </conditionalFormatting>
  <conditionalFormatting sqref="U87:U92 R90:T92 O88:Q92">
    <cfRule type="cellIs" dxfId="387" priority="8" stopIfTrue="1" operator="notEqual">
      <formula>#REF!</formula>
    </cfRule>
  </conditionalFormatting>
  <conditionalFormatting sqref="T89:U89 Q91 T90 O89:O90 P89:Q89 R89:S91">
    <cfRule type="cellIs" dxfId="386" priority="7" stopIfTrue="1" operator="notEqual">
      <formula>#REF!</formula>
    </cfRule>
  </conditionalFormatting>
  <conditionalFormatting sqref="Q36">
    <cfRule type="expression" dxfId="385" priority="6">
      <formula>#REF!&lt;&gt;#REF!</formula>
    </cfRule>
  </conditionalFormatting>
  <conditionalFormatting sqref="R35">
    <cfRule type="expression" dxfId="384" priority="5">
      <formula>#REF!&lt;&gt;0</formula>
    </cfRule>
  </conditionalFormatting>
  <conditionalFormatting sqref="Q35">
    <cfRule type="expression" dxfId="383" priority="4">
      <formula>#REF!&lt;&gt;0</formula>
    </cfRule>
  </conditionalFormatting>
  <conditionalFormatting sqref="R36">
    <cfRule type="expression" dxfId="382" priority="3">
      <formula>#REF!&lt;&gt;#REF!</formula>
    </cfRule>
  </conditionalFormatting>
  <conditionalFormatting sqref="G59:K59">
    <cfRule type="expression" dxfId="381" priority="1">
      <formula>OR($P$105&gt;0,$P$106&lt;&gt;0,$P$107&lt;&gt;0)</formula>
    </cfRule>
  </conditionalFormatting>
  <hyperlinks>
    <hyperlink ref="O2" location="Index!A1" display="Return to Index" xr:uid="{00000000-0004-0000-8B00-000000000000}"/>
  </hyperlinks>
  <printOptions horizontalCentered="1"/>
  <pageMargins left="0.5" right="0.5" top="0.25" bottom="0.25" header="0" footer="0.25"/>
  <pageSetup scale="10" orientation="landscape" r:id="rId1"/>
  <headerFooter alignWithMargins="0"/>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sheetPr codeName="Sheet118"/>
  <dimension ref="A1:G30"/>
  <sheetViews>
    <sheetView showGridLines="0" zoomScale="80" zoomScaleNormal="80" workbookViewId="0">
      <selection activeCell="E74" sqref="E74:F74"/>
    </sheetView>
  </sheetViews>
  <sheetFormatPr defaultColWidth="9.140625" defaultRowHeight="12.75"/>
  <cols>
    <col min="1" max="1" width="7" style="53" customWidth="1"/>
    <col min="2" max="2" width="93.140625" style="53" customWidth="1"/>
    <col min="3" max="3" width="21.140625" style="53" customWidth="1"/>
    <col min="4" max="9" width="9.140625" style="53"/>
    <col min="10" max="10" width="14.85546875" style="53" customWidth="1"/>
    <col min="11" max="16384" width="9.140625" style="53"/>
  </cols>
  <sheetData>
    <row r="1" spans="2:6" ht="18.75" thickBot="1">
      <c r="B1" s="466" t="str">
        <f>'TTU Chrts'!$A$1</f>
        <v>Texas Tech University</v>
      </c>
      <c r="C1" s="835" t="s">
        <v>1200</v>
      </c>
    </row>
    <row r="2" spans="2:6">
      <c r="B2" s="393" t="str">
        <f>'Smmy Chrts'!$A$2</f>
        <v>For the Year Ended August 31, 2021</v>
      </c>
    </row>
    <row r="3" spans="2:6">
      <c r="B3" s="393" t="str">
        <f>'Smmy Chrts'!$A$3</f>
        <v>Source: FY 2021 Annual Financial Report</v>
      </c>
    </row>
    <row r="5" spans="2:6" customFormat="1">
      <c r="B5" s="529" t="s">
        <v>705</v>
      </c>
    </row>
    <row r="6" spans="2:6" customFormat="1">
      <c r="B6" s="530"/>
    </row>
    <row r="7" spans="2:6" customFormat="1" ht="226.5" customHeight="1">
      <c r="B7" s="531" t="s">
        <v>706</v>
      </c>
      <c r="C7" s="532"/>
    </row>
    <row r="8" spans="2:6" customFormat="1" ht="263.25" customHeight="1">
      <c r="B8" s="531" t="s">
        <v>707</v>
      </c>
    </row>
    <row r="9" spans="2:6" ht="64.5" customHeight="1">
      <c r="B9" s="533" t="str">
        <f>IF('TTU FGD'!$R$76="N/A","FN11.  N/A",$B$20&amp;$B$21&amp;$B$22&amp;$B$23&amp;$B$24&amp;$B$25&amp;$B$26&amp;$B$27&amp;$B$28&amp;$B$29&amp;$B$30)</f>
        <v>FN11: Of the net increase of $200,154,362 approximately $68.0 million represents revenues received but not yet expended. This income is fully committed to program expenditures and capital disbursements. The remaining $132.1 million represents non-expendable funds from unrealized gains and additions to permanent endowments of approximately $131.6 million and $541 thousand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TEXT(IF('TTU FGD'!$M$85&lt;0,"N/A",'TTU FGD'!$M$85),"$* #,##0;$* (#,##0)")</f>
        <v>$200,154,362</v>
      </c>
      <c r="C21" s="480"/>
      <c r="D21" s="480"/>
      <c r="E21" s="480"/>
      <c r="G21" s="105"/>
    </row>
    <row r="22" spans="1:7">
      <c r="B22" s="105" t="s">
        <v>682</v>
      </c>
    </row>
    <row r="23" spans="1:7">
      <c r="A23" s="53">
        <v>61</v>
      </c>
      <c r="B23" s="515" t="str">
        <f>IF(ABS('TTU FGD'!$R$77)&gt;=1000000,TEXT('TTU FGD'!$R$77/1000000,"$* #,##0.0;$* (#,##0.0)")&amp;" million",IF(ABS('TTU FGD'!$R$77)&lt;1000,TEXT('TTU FGD'!$R$77,"$* #,##0;$* (#,##0)"),TEXT('TTU FGD'!$R$77/1000,"$* #,##0;$* (#,##0)")&amp;" thousand"))</f>
        <v>$68.0 million</v>
      </c>
      <c r="C23" s="515"/>
      <c r="E23" s="515"/>
    </row>
    <row r="24" spans="1:7">
      <c r="B24" s="105" t="s">
        <v>708</v>
      </c>
    </row>
    <row r="25" spans="1:7">
      <c r="A25" s="53">
        <v>62</v>
      </c>
      <c r="B25" s="515" t="str">
        <f>IF(ABS('TTU FGD'!$R$78)&gt;=1000000,TEXT('TTU FGD'!$R$78/1000000,"$* #,##0.0;$* (#,##0.0)")&amp;" million",IF(ABS('TTU FGD'!$R$78)&lt;1000,TEXT('TTU FGD'!$R$78,"$* #,##0;$* (#,##0)"),TEXT('TTU FGD'!$R$78/1000,"$* #,##0;$* (#,##0)")&amp;" thousand"))</f>
        <v>$132.1 million</v>
      </c>
      <c r="C25" s="515"/>
      <c r="E25" s="515"/>
    </row>
    <row r="26" spans="1:7">
      <c r="B26" s="105" t="s">
        <v>683</v>
      </c>
    </row>
    <row r="27" spans="1:7">
      <c r="A27" s="53">
        <v>64</v>
      </c>
      <c r="B27" s="515" t="str">
        <f>IF(ABS('TTU FGD'!$R$80)&gt;=1000000,TEXT('TTU FGD'!$R$80/1000000,"$* #,##0.0;$* (#,##0.0)")&amp;" million",IF(ABS('TTU FGD'!$R$80)&lt;1000,TEXT('TTU FGD'!$R$80,"$* #,##0;$* (#,##0)"),TEXT('TTU FGD'!$R$80/1000,"$* #,##0;$* (#,##0)")&amp;" thousand"))</f>
        <v>$131.6 million</v>
      </c>
      <c r="C27" s="515"/>
      <c r="E27" s="515"/>
    </row>
    <row r="28" spans="1:7">
      <c r="B28" s="105" t="s">
        <v>684</v>
      </c>
    </row>
    <row r="29" spans="1:7">
      <c r="A29" s="53">
        <v>66</v>
      </c>
      <c r="B29" s="515" t="str">
        <f>IF(ABS('TTU FGD'!$R$82)&gt;=1000000,TEXT('TTU FGD'!$R$82/1000000,"$* #,##0.0;$* (#,##0.0)")&amp;" million",IF(ABS('TTU FGD'!$R$82)&lt;1000,TEXT('TTU FGD'!$R$82,"$* #,##0;$* (#,##0)"),TEXT('TTU FGD'!$R$82/1000,"$* #,##0;$* (#,##0)")&amp;" thousand"))</f>
        <v>$541 thousand</v>
      </c>
      <c r="C29" s="515"/>
      <c r="E29" s="515"/>
    </row>
    <row r="30" spans="1:7">
      <c r="B30" s="105" t="s">
        <v>709</v>
      </c>
    </row>
  </sheetData>
  <hyperlinks>
    <hyperlink ref="C1" location="Index!A1" display="Return to Index" xr:uid="{00000000-0004-0000-8C00-000000000000}"/>
  </hyperlinks>
  <pageMargins left="0.25" right="0.25" top="0.25" bottom="0.25" header="0" footer="0.25"/>
  <pageSetup orientation="portrait" r:id="rId1"/>
  <headerFooter alignWithMargins="0"/>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sheetPr codeName="Sheet119">
    <tabColor indexed="47"/>
    <pageSetUpPr fitToPage="1"/>
  </sheetPr>
  <dimension ref="A1:E165"/>
  <sheetViews>
    <sheetView showGridLines="0" zoomScale="65" zoomScaleNormal="65" zoomScaleSheetLayoutView="65" workbookViewId="0">
      <selection activeCell="C34" sqref="C34"/>
    </sheetView>
  </sheetViews>
  <sheetFormatPr defaultColWidth="9.140625" defaultRowHeight="12.75" customHeight="1"/>
  <cols>
    <col min="1" max="1" width="158.7109375" style="53" customWidth="1"/>
    <col min="2" max="2" width="22.28515625" style="53" customWidth="1"/>
    <col min="3" max="3" width="47.7109375" style="53" customWidth="1"/>
    <col min="4" max="4" width="20.7109375" style="53" customWidth="1"/>
    <col min="5" max="5" width="9.140625" style="679"/>
    <col min="6" max="16384" width="9.140625" style="53"/>
  </cols>
  <sheetData>
    <row r="1" spans="1:5" ht="28.5" thickBot="1">
      <c r="A1" s="159" t="s">
        <v>122</v>
      </c>
      <c r="B1" s="835" t="s">
        <v>1200</v>
      </c>
      <c r="C1" s="53" t="s">
        <v>1329</v>
      </c>
    </row>
    <row r="2" spans="1:5" ht="27.75">
      <c r="A2" s="54" t="str">
        <f>'Smmy Chrts'!$A$2</f>
        <v>For the Year Ended August 31, 2021</v>
      </c>
      <c r="C2" s="55" t="s">
        <v>63</v>
      </c>
    </row>
    <row r="3" spans="1:5" ht="27.75">
      <c r="A3" s="54" t="str">
        <f>'Smmy Chrts'!$A$3</f>
        <v>Source: FY 2021 Annual Financial Report</v>
      </c>
      <c r="C3" s="53" t="s">
        <v>64</v>
      </c>
    </row>
    <row r="4" spans="1:5" ht="12.75" customHeight="1">
      <c r="C4" s="53" t="s">
        <v>267</v>
      </c>
    </row>
    <row r="5" spans="1:5" ht="12.75" customHeight="1">
      <c r="C5" s="53" t="s">
        <v>268</v>
      </c>
    </row>
    <row r="7" spans="1:5" ht="12.75" customHeight="1">
      <c r="C7" s="1687" t="s">
        <v>25</v>
      </c>
      <c r="D7" s="1687"/>
    </row>
    <row r="8" spans="1:5" ht="12.75" customHeight="1">
      <c r="C8" s="57"/>
      <c r="D8" s="58"/>
    </row>
    <row r="9" spans="1:5" ht="12.75" customHeight="1">
      <c r="C9" s="59" t="str">
        <f>'ASU Sum'!A9</f>
        <v>State of Texas</v>
      </c>
      <c r="D9" s="60">
        <f>'ASU Sum'!B15</f>
        <v>49314326</v>
      </c>
      <c r="E9" s="680">
        <f>ROUND(D9/$D$14,3)</f>
        <v>0.29599999999999999</v>
      </c>
    </row>
    <row r="10" spans="1:5" ht="12.75" customHeight="1">
      <c r="C10" s="59" t="str">
        <f>'ASU Sum'!A17</f>
        <v>Student &amp; Parent</v>
      </c>
      <c r="D10" s="60">
        <f>'ASU Sum'!B20</f>
        <v>44743500</v>
      </c>
      <c r="E10" s="680">
        <f t="shared" ref="E10:E12" si="0">ROUND(D10/$D$14,3)</f>
        <v>0.26900000000000002</v>
      </c>
    </row>
    <row r="11" spans="1:5" ht="12.75" customHeight="1">
      <c r="C11" s="59" t="str">
        <f>'ASU Sum'!A22</f>
        <v>Federal Government</v>
      </c>
      <c r="D11" s="60">
        <f>'ASU Sum'!B23</f>
        <v>32115992</v>
      </c>
      <c r="E11" s="680">
        <f t="shared" si="0"/>
        <v>0.193</v>
      </c>
    </row>
    <row r="12" spans="1:5" ht="12.75" customHeight="1">
      <c r="C12" s="59" t="str">
        <f>'ASU Sum'!A25</f>
        <v>Institutional Resources</v>
      </c>
      <c r="D12" s="60">
        <f>'ASU Sum'!B32</f>
        <v>40173822</v>
      </c>
      <c r="E12" s="680">
        <f t="shared" si="0"/>
        <v>0.24199999999999999</v>
      </c>
    </row>
    <row r="13" spans="1:5" ht="12.75" customHeight="1">
      <c r="C13" s="57"/>
      <c r="D13" s="58"/>
      <c r="E13" s="680"/>
    </row>
    <row r="14" spans="1:5" ht="12.75" customHeight="1">
      <c r="C14" s="61" t="s">
        <v>68</v>
      </c>
      <c r="D14" s="62">
        <f>SUM(D9:D13)</f>
        <v>166347640</v>
      </c>
      <c r="E14" s="680">
        <f>SUM(E9:E13)</f>
        <v>1</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86" t="str">
        <f>C14&amp;" "&amp;TEXT(D14,"$#,###")</f>
        <v>Total Operating Sources $166,347,640</v>
      </c>
    </row>
    <row r="48" spans="1:1" ht="12.75" customHeight="1">
      <c r="A48" s="1686"/>
    </row>
    <row r="49" spans="1:5" ht="12.75" customHeight="1">
      <c r="A49" s="56"/>
    </row>
    <row r="52" spans="1:5" ht="12.75" customHeight="1">
      <c r="C52" s="63" t="s">
        <v>25</v>
      </c>
      <c r="D52" s="58"/>
    </row>
    <row r="54" spans="1:5" ht="12.75" customHeight="1">
      <c r="C54" s="59" t="s">
        <v>1</v>
      </c>
      <c r="D54" s="60">
        <f>'ASU Sum'!B10</f>
        <v>35544538</v>
      </c>
      <c r="E54" s="680">
        <f>ROUND(D54/$D$67,3)</f>
        <v>0.214</v>
      </c>
    </row>
    <row r="55" spans="1:5" ht="12.75" customHeight="1">
      <c r="C55" s="59" t="s">
        <v>221</v>
      </c>
      <c r="D55" s="60">
        <f>'ASU Sum'!B11</f>
        <v>6976789</v>
      </c>
      <c r="E55" s="680">
        <f t="shared" ref="E55:E66" si="1">ROUND(D55/$D$67,3)</f>
        <v>4.2000000000000003E-2</v>
      </c>
    </row>
    <row r="56" spans="1:5" ht="12.75" customHeight="1">
      <c r="C56" s="59"/>
      <c r="D56" s="60"/>
      <c r="E56" s="680"/>
    </row>
    <row r="57" spans="1:5" ht="12.75" customHeight="1">
      <c r="C57" s="59" t="str">
        <f>'ASU Sum'!A13</f>
        <v>Higher Education Fund</v>
      </c>
      <c r="D57" s="60">
        <f>'ASU Sum'!B13</f>
        <v>6792999</v>
      </c>
      <c r="E57" s="680">
        <f t="shared" si="1"/>
        <v>4.1000000000000002E-2</v>
      </c>
    </row>
    <row r="58" spans="1:5" ht="12.75" customHeight="1">
      <c r="C58" s="1069" t="s">
        <v>41</v>
      </c>
      <c r="D58" s="60">
        <f>'ASU Sum'!B14</f>
        <v>0</v>
      </c>
      <c r="E58" s="680">
        <f t="shared" si="1"/>
        <v>0</v>
      </c>
    </row>
    <row r="59" spans="1:5" ht="12.75" customHeight="1">
      <c r="C59" s="59" t="s">
        <v>87</v>
      </c>
      <c r="D59" s="60">
        <f>'ASU Sum'!B20</f>
        <v>44743500</v>
      </c>
      <c r="E59" s="680">
        <f t="shared" si="1"/>
        <v>0.26900000000000002</v>
      </c>
    </row>
    <row r="60" spans="1:5" ht="12.75" customHeight="1">
      <c r="C60" s="64" t="s">
        <v>74</v>
      </c>
      <c r="D60" s="60">
        <f>'ASU Sum'!B23</f>
        <v>32115992</v>
      </c>
      <c r="E60" s="680">
        <f t="shared" si="1"/>
        <v>0.193</v>
      </c>
    </row>
    <row r="61" spans="1:5" ht="12.75" customHeight="1">
      <c r="C61" s="59" t="s">
        <v>75</v>
      </c>
      <c r="D61" s="60">
        <f>'ASU Sum'!B26</f>
        <v>11702283</v>
      </c>
      <c r="E61" s="680">
        <f t="shared" si="1"/>
        <v>7.0000000000000007E-2</v>
      </c>
    </row>
    <row r="62" spans="1:5" ht="12.75" customHeight="1">
      <c r="C62" s="1069" t="s">
        <v>27</v>
      </c>
      <c r="D62" s="60">
        <f>'ASU Sum'!B27</f>
        <v>0</v>
      </c>
      <c r="E62" s="680">
        <f t="shared" si="1"/>
        <v>0</v>
      </c>
    </row>
    <row r="63" spans="1:5" ht="12.75" customHeight="1">
      <c r="C63" s="59" t="s">
        <v>76</v>
      </c>
      <c r="D63" s="60">
        <f>'ASU Sum'!B28</f>
        <v>12212232</v>
      </c>
      <c r="E63" s="680">
        <f t="shared" si="1"/>
        <v>7.2999999999999995E-2</v>
      </c>
    </row>
    <row r="64" spans="1:5" ht="12.75" customHeight="1">
      <c r="C64" s="59" t="s">
        <v>77</v>
      </c>
      <c r="D64" s="60">
        <f>'ASU Sum'!B29</f>
        <v>882153</v>
      </c>
      <c r="E64" s="680">
        <f t="shared" si="1"/>
        <v>5.0000000000000001E-3</v>
      </c>
    </row>
    <row r="65" spans="1:5" ht="12.75" customHeight="1">
      <c r="C65" s="59" t="s">
        <v>220</v>
      </c>
      <c r="D65" s="60">
        <f>'ASU Sum'!B30</f>
        <v>10470932</v>
      </c>
      <c r="E65" s="680">
        <f t="shared" si="1"/>
        <v>6.3E-2</v>
      </c>
    </row>
    <row r="66" spans="1:5" ht="12.75" customHeight="1">
      <c r="C66" s="64" t="s">
        <v>52</v>
      </c>
      <c r="D66" s="60">
        <f>'ASU Sum'!B31</f>
        <v>4906222</v>
      </c>
      <c r="E66" s="680">
        <f t="shared" si="1"/>
        <v>2.9000000000000001E-2</v>
      </c>
    </row>
    <row r="67" spans="1:5" ht="12.75" customHeight="1">
      <c r="C67" s="61" t="s">
        <v>68</v>
      </c>
      <c r="D67" s="62">
        <f>SUM(D54:D66)</f>
        <v>166347640</v>
      </c>
      <c r="E67" s="681">
        <f>SUM(E54:E66)</f>
        <v>0.99900000000000022</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86" t="str">
        <f>C67&amp;" "&amp;TEXT(D67,"$#,###")</f>
        <v>Total Operating Sources $166,347,640</v>
      </c>
    </row>
    <row r="93" spans="1:5" ht="12.75" customHeight="1">
      <c r="A93" s="1686"/>
    </row>
    <row r="94" spans="1:5" ht="12.75" customHeight="1">
      <c r="A94" s="65"/>
    </row>
    <row r="95" spans="1:5" s="68" customFormat="1" ht="12.75" customHeight="1">
      <c r="A95" s="66"/>
      <c r="E95" s="682"/>
    </row>
    <row r="96" spans="1:5" ht="12.75" customHeight="1">
      <c r="A96" s="65"/>
    </row>
    <row r="97" spans="1:5" ht="12.75" customHeight="1">
      <c r="A97" s="65"/>
    </row>
    <row r="98" spans="1:5" ht="12.75" customHeight="1">
      <c r="A98" s="65"/>
    </row>
    <row r="100" spans="1:5" ht="12.75" customHeight="1">
      <c r="C100" s="1687" t="s">
        <v>13</v>
      </c>
      <c r="D100" s="1687"/>
    </row>
    <row r="101" spans="1:5" ht="12.75" customHeight="1">
      <c r="C101" s="1687"/>
      <c r="D101" s="1687"/>
    </row>
    <row r="102" spans="1:5" ht="12.75" customHeight="1">
      <c r="C102" s="69" t="s">
        <v>14</v>
      </c>
      <c r="D102" s="60">
        <f>'ASU Sum'!B36</f>
        <v>44416353</v>
      </c>
      <c r="E102" s="680">
        <f>ROUND(D102/$D$114,3)</f>
        <v>0.34399999999999997</v>
      </c>
    </row>
    <row r="103" spans="1:5" ht="12.75" customHeight="1">
      <c r="C103" s="69" t="s">
        <v>15</v>
      </c>
      <c r="D103" s="60">
        <f>'ASU Sum'!B37</f>
        <v>902658</v>
      </c>
      <c r="E103" s="680">
        <f t="shared" ref="E103:E112" si="2">ROUND(D103/$D$114,3)</f>
        <v>7.0000000000000001E-3</v>
      </c>
    </row>
    <row r="104" spans="1:5" ht="12.75" customHeight="1">
      <c r="C104" s="69" t="s">
        <v>16</v>
      </c>
      <c r="D104" s="60">
        <f>'ASU Sum'!B38</f>
        <v>1267934</v>
      </c>
      <c r="E104" s="680">
        <f t="shared" si="2"/>
        <v>0.01</v>
      </c>
    </row>
    <row r="105" spans="1:5" ht="12.75" customHeight="1">
      <c r="C105" s="69" t="s">
        <v>17</v>
      </c>
      <c r="D105" s="60">
        <f>'ASU Sum'!B39</f>
        <v>6954976</v>
      </c>
      <c r="E105" s="680">
        <f t="shared" si="2"/>
        <v>5.3999999999999999E-2</v>
      </c>
    </row>
    <row r="106" spans="1:5" ht="12.75" customHeight="1">
      <c r="C106" s="69" t="s">
        <v>18</v>
      </c>
      <c r="D106" s="60">
        <f>'ASU Sum'!B40</f>
        <v>9051053</v>
      </c>
      <c r="E106" s="680">
        <f t="shared" si="2"/>
        <v>7.0000000000000007E-2</v>
      </c>
    </row>
    <row r="107" spans="1:5" ht="12.75" customHeight="1">
      <c r="C107" s="69" t="s">
        <v>19</v>
      </c>
      <c r="D107" s="60">
        <f>'ASU Sum'!B41</f>
        <v>18062079</v>
      </c>
      <c r="E107" s="680">
        <f t="shared" si="2"/>
        <v>0.14000000000000001</v>
      </c>
    </row>
    <row r="108" spans="1:5" ht="12.75" customHeight="1">
      <c r="C108" s="69" t="s">
        <v>78</v>
      </c>
      <c r="D108" s="60">
        <f>'ASU Sum'!B42</f>
        <v>7507723</v>
      </c>
      <c r="E108" s="680">
        <f t="shared" si="2"/>
        <v>5.8000000000000003E-2</v>
      </c>
    </row>
    <row r="109" spans="1:5" ht="12.75" customHeight="1">
      <c r="C109" s="69" t="s">
        <v>79</v>
      </c>
      <c r="D109" s="60">
        <f>'ASU Sum'!B43</f>
        <v>20011386</v>
      </c>
      <c r="E109" s="680">
        <f t="shared" si="2"/>
        <v>0.155</v>
      </c>
    </row>
    <row r="110" spans="1:5" ht="12.75" customHeight="1">
      <c r="C110" s="69" t="s">
        <v>22</v>
      </c>
      <c r="D110" s="60">
        <f>'ASU Sum'!B44</f>
        <v>17609666</v>
      </c>
      <c r="E110" s="680">
        <f t="shared" si="2"/>
        <v>0.13600000000000001</v>
      </c>
    </row>
    <row r="111" spans="1:5" ht="12.75" customHeight="1">
      <c r="C111" s="64" t="s">
        <v>29</v>
      </c>
      <c r="D111" s="60">
        <f>'ASU Sum'!B45</f>
        <v>1101123</v>
      </c>
      <c r="E111" s="680">
        <f t="shared" si="2"/>
        <v>8.9999999999999993E-3</v>
      </c>
    </row>
    <row r="112" spans="1:5" ht="12.75" customHeight="1">
      <c r="C112" s="64" t="s">
        <v>53</v>
      </c>
      <c r="D112" s="60">
        <f>'ASU Sum'!B46</f>
        <v>2418380</v>
      </c>
      <c r="E112" s="680">
        <f t="shared" si="2"/>
        <v>1.9E-2</v>
      </c>
    </row>
    <row r="113" spans="3:5" ht="12.75" customHeight="1">
      <c r="C113" s="57"/>
      <c r="D113" s="57"/>
    </row>
    <row r="114" spans="3:5" ht="12.75" customHeight="1">
      <c r="C114" s="70" t="s">
        <v>69</v>
      </c>
      <c r="D114" s="62">
        <f>SUM(D102:D113)</f>
        <v>129303331</v>
      </c>
      <c r="E114" s="681">
        <f>SUM(E102:E113)</f>
        <v>1.002</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86" t="str">
        <f>C114&amp;" "&amp;TEXT(D114,"$#,###")</f>
        <v>Total Operating Uses $129,303,331</v>
      </c>
    </row>
    <row r="137" spans="1:1" ht="12.75" customHeight="1">
      <c r="A137" s="1686"/>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8D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1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sheetPr transitionEvaluation="1" transitionEntry="1" codeName="Sheet120">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'ASU Chrts'!$A$1</f>
        <v>Angelo State University</v>
      </c>
      <c r="B1" s="74"/>
      <c r="C1" s="1"/>
      <c r="D1" s="1704" t="s">
        <v>1200</v>
      </c>
      <c r="E1" s="1705"/>
      <c r="F1" s="1757" t="s">
        <v>1196</v>
      </c>
      <c r="G1" s="1706"/>
      <c r="H1" s="1706"/>
      <c r="I1" s="1706"/>
      <c r="J1" s="1707" t="s">
        <v>1197</v>
      </c>
      <c r="K1" s="1695"/>
      <c r="L1" s="1695"/>
      <c r="M1" s="1695"/>
      <c r="N1" s="1695"/>
      <c r="O1" s="1696"/>
    </row>
    <row r="2" spans="1:15" ht="15.75">
      <c r="A2" s="76" t="str">
        <f>'Smmy Chrts'!$A$2</f>
        <v>For the Year Ended August 31, 2021</v>
      </c>
      <c r="B2" s="74"/>
      <c r="C2" s="1"/>
      <c r="D2" s="37"/>
      <c r="E2" s="37"/>
      <c r="F2" s="37"/>
      <c r="J2" s="37"/>
      <c r="K2" s="37"/>
      <c r="L2" s="37"/>
      <c r="M2" s="37"/>
    </row>
    <row r="3" spans="1:15" ht="15.75">
      <c r="A3" s="76" t="str">
        <f>'Smmy Chrts'!$A$3</f>
        <v>Source: FY 2021 Annual Financial Report</v>
      </c>
      <c r="B3" s="74"/>
      <c r="C3" s="1"/>
    </row>
    <row r="4" spans="1:15" ht="13.5" customHeight="1">
      <c r="B4" s="77"/>
      <c r="C4" s="4"/>
      <c r="D4" s="1711" t="s">
        <v>1142</v>
      </c>
      <c r="E4" s="1711" t="s">
        <v>1143</v>
      </c>
      <c r="F4" s="266"/>
    </row>
    <row r="5" spans="1:15" ht="18">
      <c r="A5" s="39" t="str">
        <f>'Smmy Chrts'!$C$35</f>
        <v>Summary Worksheet FY 2021</v>
      </c>
      <c r="B5" s="40" t="s">
        <v>86</v>
      </c>
      <c r="C5" s="40" t="s">
        <v>129</v>
      </c>
      <c r="D5" s="1712"/>
      <c r="E5" s="1712"/>
      <c r="F5" s="266"/>
      <c r="G5" s="799" t="s">
        <v>1198</v>
      </c>
      <c r="I5" s="822" t="s">
        <v>2157</v>
      </c>
      <c r="J5" s="792" t="s">
        <v>1144</v>
      </c>
    </row>
    <row r="6" spans="1:15" ht="13.5" customHeight="1">
      <c r="A6" s="78" t="s">
        <v>266</v>
      </c>
      <c r="B6" s="41"/>
      <c r="C6" s="42">
        <f>VLOOKUP($A$1,FTSELU,12,FALSE)</f>
        <v>7617.63</v>
      </c>
      <c r="J6" s="712"/>
    </row>
    <row r="7" spans="1:15">
      <c r="I7" s="824" t="s">
        <v>1162</v>
      </c>
      <c r="J7" s="827"/>
    </row>
    <row r="8" spans="1:15">
      <c r="A8" s="81" t="s">
        <v>71</v>
      </c>
      <c r="B8" s="81"/>
      <c r="C8" s="24"/>
      <c r="I8" s="896">
        <f>VLOOKUP(A1,FTSELU,14,FALSE)</f>
        <v>633.51</v>
      </c>
      <c r="J8" s="712"/>
    </row>
    <row r="9" spans="1:15" ht="12.75" customHeight="1" thickBot="1">
      <c r="A9" s="78" t="s">
        <v>0</v>
      </c>
      <c r="B9" s="82"/>
      <c r="C9" s="7"/>
      <c r="J9" s="712"/>
    </row>
    <row r="10" spans="1:15" ht="12.75" customHeight="1" thickTop="1">
      <c r="A10" s="75" t="s">
        <v>1</v>
      </c>
      <c r="B10" s="83">
        <f>'ASU FGD'!M10</f>
        <v>35544538</v>
      </c>
      <c r="C10" s="83">
        <f>ROUND(B10/$C$6,0)</f>
        <v>4666</v>
      </c>
      <c r="D10" s="512">
        <f>'ASU FGD'!F10</f>
        <v>0</v>
      </c>
      <c r="E10" s="512"/>
      <c r="F10" s="84">
        <f>B10-(SUM(D10:E10))</f>
        <v>35544538</v>
      </c>
      <c r="G10" s="1143" t="s">
        <v>1</v>
      </c>
      <c r="H10" s="1144"/>
      <c r="I10" s="825" t="s">
        <v>1161</v>
      </c>
      <c r="J10" s="713">
        <f>ROUND(F10/$C$6,0)</f>
        <v>4666</v>
      </c>
    </row>
    <row r="11" spans="1:15" ht="12.75" customHeight="1" thickBot="1">
      <c r="A11" s="75" t="s">
        <v>2</v>
      </c>
      <c r="B11" s="86">
        <f>'ASU FGD'!M11</f>
        <v>6976789</v>
      </c>
      <c r="C11" s="87">
        <f t="shared" ref="C11:C14" si="0">ROUND(B11/$C$6,0)</f>
        <v>916</v>
      </c>
      <c r="D11" s="86">
        <f>'ASU FGD'!F11</f>
        <v>0</v>
      </c>
      <c r="E11" s="74"/>
      <c r="F11" s="606">
        <f t="shared" ref="F11:F14" si="1">B11-(SUM(D11:E11))</f>
        <v>6976789</v>
      </c>
      <c r="G11" s="1148">
        <f>SUM(F10:F11)</f>
        <v>42521327</v>
      </c>
      <c r="H11" s="715"/>
      <c r="I11" s="1373">
        <f>ROUND($G$11/$C$6,0)</f>
        <v>5582</v>
      </c>
      <c r="J11" s="716">
        <f t="shared" ref="J11:J14" si="2">ROUND(F11/$C$6,0)</f>
        <v>916</v>
      </c>
    </row>
    <row r="12" spans="1:15" ht="12.75" hidden="1" customHeight="1" thickTop="1" thickBot="1">
      <c r="A12" s="75" t="s">
        <v>1410</v>
      </c>
      <c r="B12" s="86"/>
      <c r="C12" s="87"/>
      <c r="D12" s="86"/>
      <c r="E12" s="74"/>
      <c r="F12" s="607"/>
      <c r="J12" s="716"/>
      <c r="O12" s="608"/>
    </row>
    <row r="13" spans="1:15" ht="12.75" customHeight="1" thickTop="1">
      <c r="A13" s="75" t="s">
        <v>1368</v>
      </c>
      <c r="B13" s="86">
        <f>'ASU FGD'!M13</f>
        <v>6792999</v>
      </c>
      <c r="C13" s="87">
        <f t="shared" si="0"/>
        <v>892</v>
      </c>
      <c r="D13" s="86">
        <f>'ASU FGD'!F13</f>
        <v>0</v>
      </c>
      <c r="E13" s="74"/>
      <c r="F13" s="893">
        <f t="shared" si="1"/>
        <v>6792999</v>
      </c>
      <c r="G13" s="882" t="s">
        <v>81</v>
      </c>
      <c r="H13" s="894"/>
      <c r="I13" s="826" t="s">
        <v>1163</v>
      </c>
      <c r="J13" s="716">
        <f t="shared" si="2"/>
        <v>892</v>
      </c>
    </row>
    <row r="14" spans="1:15" ht="12.75" customHeight="1" thickBot="1">
      <c r="A14" s="75" t="s">
        <v>49</v>
      </c>
      <c r="B14" s="86">
        <f>'ASU FGD'!M14</f>
        <v>0</v>
      </c>
      <c r="C14" s="87">
        <f t="shared" si="0"/>
        <v>0</v>
      </c>
      <c r="D14" s="86">
        <f>'ASU FGD'!F14</f>
        <v>0</v>
      </c>
      <c r="E14" s="74"/>
      <c r="F14" s="607">
        <f t="shared" si="1"/>
        <v>0</v>
      </c>
      <c r="G14" s="800">
        <f>SUM(F13:F14)</f>
        <v>6792999</v>
      </c>
      <c r="H14" s="895"/>
      <c r="I14" s="1377">
        <f>ROUND($G$11/$I$8,0)</f>
        <v>67120</v>
      </c>
      <c r="J14" s="828">
        <f t="shared" si="2"/>
        <v>0</v>
      </c>
    </row>
    <row r="15" spans="1:15" ht="12.75" customHeight="1" thickTop="1">
      <c r="A15" s="88" t="s">
        <v>3</v>
      </c>
      <c r="B15" s="89">
        <f>SUM(B10:B14)</f>
        <v>49314326</v>
      </c>
      <c r="C15" s="89">
        <f>SUM(C10:C14)</f>
        <v>6474</v>
      </c>
      <c r="D15" s="89">
        <f>SUM(D10:D14)</f>
        <v>0</v>
      </c>
      <c r="E15" s="89">
        <f>SUM(E10:E14)</f>
        <v>0</v>
      </c>
      <c r="F15" s="216">
        <f>SUM(F10:F14)</f>
        <v>49314326</v>
      </c>
      <c r="I15" s="1372"/>
      <c r="J15" s="757">
        <f>SUM(J10:J14)</f>
        <v>6474</v>
      </c>
    </row>
    <row r="16" spans="1:15">
      <c r="B16" s="48"/>
      <c r="C16" s="75"/>
      <c r="J16" s="712"/>
    </row>
    <row r="17" spans="1:31" ht="12.75" customHeight="1">
      <c r="A17" s="78" t="s">
        <v>4</v>
      </c>
      <c r="B17" s="86"/>
      <c r="C17" s="75"/>
      <c r="J17" s="712"/>
    </row>
    <row r="18" spans="1:31">
      <c r="A18" s="75" t="s">
        <v>39</v>
      </c>
      <c r="B18" s="83">
        <f>'ASU FGD'!M29</f>
        <v>26356701</v>
      </c>
      <c r="C18" s="83">
        <f t="shared" ref="C18:C19" si="3">ROUND(B18/$C$6,0)</f>
        <v>3460</v>
      </c>
      <c r="D18" s="512">
        <f>'ASU FGD'!$F$29</f>
        <v>0</v>
      </c>
      <c r="E18" s="512"/>
      <c r="F18" s="512">
        <f t="shared" ref="F18:F19" si="4">B18-(SUM(D18:E18))</f>
        <v>26356701</v>
      </c>
      <c r="G18" s="337"/>
      <c r="H18" s="337"/>
      <c r="I18" s="337"/>
      <c r="J18" s="713">
        <f>ROUND(F18/$C$6,0)</f>
        <v>3460</v>
      </c>
    </row>
    <row r="19" spans="1:31" ht="13.5" thickBot="1">
      <c r="A19" s="75" t="s">
        <v>40</v>
      </c>
      <c r="B19" s="86">
        <f>'ASU FGD'!M42</f>
        <v>18386799</v>
      </c>
      <c r="C19" s="87">
        <f t="shared" si="3"/>
        <v>2414</v>
      </c>
      <c r="D19" s="74">
        <f>'ASU FGD'!$F$42</f>
        <v>6651520</v>
      </c>
      <c r="E19" s="74"/>
      <c r="F19" s="74">
        <f t="shared" si="4"/>
        <v>11735279</v>
      </c>
      <c r="G19" s="337"/>
      <c r="H19" s="337"/>
      <c r="I19" s="337"/>
      <c r="J19" s="716">
        <f>ROUND(F19/$C$6,0)</f>
        <v>1541</v>
      </c>
    </row>
    <row r="20" spans="1:31" ht="14.25" thickTop="1" thickBot="1">
      <c r="A20" s="88" t="s">
        <v>5</v>
      </c>
      <c r="B20" s="89">
        <f>SUM(B18:B19)</f>
        <v>44743500</v>
      </c>
      <c r="C20" s="89">
        <f>SUM(C18:C19)</f>
        <v>5874</v>
      </c>
      <c r="D20" s="717">
        <f>SUM(D18:D19)</f>
        <v>6651520</v>
      </c>
      <c r="E20" s="718">
        <f>SUM(E18:E19)</f>
        <v>0</v>
      </c>
      <c r="F20" s="801">
        <f>SUM(F18:F19)</f>
        <v>38091980</v>
      </c>
      <c r="G20" s="720" t="s">
        <v>26</v>
      </c>
      <c r="H20" s="366"/>
      <c r="I20" s="367"/>
      <c r="J20" s="721">
        <f>SUM(J18:J19)</f>
        <v>5001</v>
      </c>
    </row>
    <row r="21" spans="1:31" ht="12.75" customHeight="1" thickTop="1">
      <c r="B21" s="91"/>
      <c r="C21" s="75"/>
      <c r="F21" s="804"/>
      <c r="J21" s="712"/>
    </row>
    <row r="22" spans="1:31" ht="14.25" customHeight="1" thickBot="1">
      <c r="A22" s="78" t="s">
        <v>6</v>
      </c>
      <c r="B22" s="91"/>
      <c r="C22" s="75"/>
      <c r="J22" s="712"/>
    </row>
    <row r="23" spans="1:31" ht="14.25" thickTop="1" thickBot="1">
      <c r="A23" s="88" t="s">
        <v>7</v>
      </c>
      <c r="B23" s="92">
        <f>'ASU FGD'!M47</f>
        <v>32115992</v>
      </c>
      <c r="C23" s="89">
        <f t="shared" ref="C23" si="5">ROUND(B23/$C$6,0)</f>
        <v>4216</v>
      </c>
      <c r="D23" s="717">
        <f>'ASU FGD'!F47</f>
        <v>0</v>
      </c>
      <c r="E23" s="718"/>
      <c r="F23" s="801">
        <f>B23-(SUM(D23:E23))</f>
        <v>32115992</v>
      </c>
      <c r="G23" s="722" t="s">
        <v>74</v>
      </c>
      <c r="H23" s="366"/>
      <c r="I23" s="367"/>
      <c r="J23" s="756">
        <f>ROUND(F23/$C$6,0)</f>
        <v>4216</v>
      </c>
    </row>
    <row r="24" spans="1:31" ht="13.5" thickTop="1">
      <c r="B24" s="91"/>
      <c r="C24" s="75"/>
      <c r="J24" s="712"/>
    </row>
    <row r="25" spans="1:31">
      <c r="A25" s="78" t="s">
        <v>8</v>
      </c>
      <c r="B25" s="91"/>
      <c r="C25" s="75"/>
      <c r="J25" s="712"/>
    </row>
    <row r="26" spans="1:31">
      <c r="A26" s="75" t="s">
        <v>42</v>
      </c>
      <c r="B26" s="83">
        <f>'ASU FGD'!M50</f>
        <v>11702283</v>
      </c>
      <c r="C26" s="83">
        <f t="shared" ref="C26:C31" si="6">ROUND(B26/$C$6,0)</f>
        <v>1536</v>
      </c>
      <c r="D26" s="512">
        <f>'ASU FGD'!F50</f>
        <v>0</v>
      </c>
      <c r="E26" s="512"/>
      <c r="F26" s="512">
        <f t="shared" ref="F26:F31" si="7">B26-(SUM(D26:E26))</f>
        <v>11702283</v>
      </c>
      <c r="G26" s="337"/>
      <c r="H26" s="337"/>
      <c r="I26" s="337"/>
      <c r="J26" s="713">
        <f>ROUND(F26/$C$6,0)</f>
        <v>1536</v>
      </c>
    </row>
    <row r="27" spans="1:31">
      <c r="A27" s="75" t="s">
        <v>9</v>
      </c>
      <c r="B27" s="86">
        <f>'ASU FGD'!M51</f>
        <v>0</v>
      </c>
      <c r="C27" s="87">
        <f t="shared" si="6"/>
        <v>0</v>
      </c>
      <c r="D27" s="86">
        <f>'ASU FGD'!F51</f>
        <v>0</v>
      </c>
      <c r="E27" s="74"/>
      <c r="F27" s="74">
        <f t="shared" si="7"/>
        <v>0</v>
      </c>
      <c r="G27" s="337"/>
      <c r="H27" s="337"/>
      <c r="I27" s="337"/>
      <c r="J27" s="716">
        <f t="shared" ref="J27:J31" si="8">ROUND(F27/$C$6,0)</f>
        <v>0</v>
      </c>
    </row>
    <row r="28" spans="1:31" ht="13.5" thickBot="1">
      <c r="A28" s="75" t="s">
        <v>10</v>
      </c>
      <c r="B28" s="86">
        <f>'ASU FGD'!M52</f>
        <v>12212232</v>
      </c>
      <c r="C28" s="87">
        <f t="shared" si="6"/>
        <v>1603</v>
      </c>
      <c r="D28" s="86">
        <f>'ASU FGD'!F52</f>
        <v>0</v>
      </c>
      <c r="E28" s="74"/>
      <c r="F28" s="74">
        <f t="shared" si="7"/>
        <v>12212232</v>
      </c>
      <c r="G28" s="337"/>
      <c r="H28" s="337"/>
      <c r="I28" s="337"/>
      <c r="J28" s="716">
        <f t="shared" si="8"/>
        <v>1603</v>
      </c>
    </row>
    <row r="29" spans="1:31" ht="13.5" thickBot="1">
      <c r="A29" s="75" t="s">
        <v>11</v>
      </c>
      <c r="B29" s="86">
        <f>'ASU FGD'!M53</f>
        <v>882153</v>
      </c>
      <c r="C29" s="87">
        <f t="shared" si="6"/>
        <v>116</v>
      </c>
      <c r="D29" s="86">
        <f>'ASU FGD'!F53</f>
        <v>0</v>
      </c>
      <c r="E29" s="74"/>
      <c r="F29" s="74">
        <f t="shared" si="7"/>
        <v>882153</v>
      </c>
      <c r="G29" s="337"/>
      <c r="H29" s="337"/>
      <c r="I29" s="337"/>
      <c r="J29" s="716">
        <f t="shared" si="8"/>
        <v>116</v>
      </c>
      <c r="K29" s="1694" t="s">
        <v>1065</v>
      </c>
      <c r="L29" s="1695"/>
      <c r="M29" s="1695"/>
      <c r="N29" s="1695"/>
      <c r="O29" s="1696"/>
    </row>
    <row r="30" spans="1:31" ht="13.5" thickBot="1">
      <c r="A30" s="93" t="s">
        <v>2134</v>
      </c>
      <c r="B30" s="94">
        <f>'ASU FGD'!M54</f>
        <v>10470932</v>
      </c>
      <c r="C30" s="87">
        <f t="shared" si="6"/>
        <v>1375</v>
      </c>
      <c r="D30" s="729">
        <f>B30</f>
        <v>10470932</v>
      </c>
      <c r="E30" s="74"/>
      <c r="F30" s="74">
        <f t="shared" si="7"/>
        <v>0</v>
      </c>
      <c r="G30" s="337"/>
      <c r="H30" s="337"/>
      <c r="I30" s="337"/>
      <c r="J30" s="716">
        <f t="shared" si="8"/>
        <v>0</v>
      </c>
      <c r="K30" s="1694" t="s">
        <v>1070</v>
      </c>
      <c r="L30" s="1695"/>
      <c r="M30" s="1695"/>
      <c r="N30" s="1695"/>
      <c r="O30" s="1696"/>
    </row>
    <row r="31" spans="1:31" ht="13.5" customHeight="1" thickBot="1">
      <c r="A31" s="95" t="s">
        <v>43</v>
      </c>
      <c r="B31" s="86">
        <f>'ASU FGD'!M55</f>
        <v>4906222</v>
      </c>
      <c r="C31" s="87">
        <f t="shared" si="6"/>
        <v>644</v>
      </c>
      <c r="D31" s="86">
        <f>'ASU FGD'!F55</f>
        <v>401844</v>
      </c>
      <c r="E31" s="74"/>
      <c r="F31" s="74">
        <f t="shared" si="7"/>
        <v>4504378</v>
      </c>
      <c r="G31" s="35"/>
      <c r="H31" s="35"/>
      <c r="I31" s="38"/>
      <c r="J31" s="716">
        <f t="shared" si="8"/>
        <v>591</v>
      </c>
      <c r="K31" s="1697" t="s">
        <v>1073</v>
      </c>
      <c r="L31" s="1697" t="s">
        <v>1071</v>
      </c>
      <c r="M31" s="1697" t="s">
        <v>1072</v>
      </c>
      <c r="N31" s="1697" t="s">
        <v>1240</v>
      </c>
      <c r="O31" s="1697"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40173822</v>
      </c>
      <c r="C32" s="89">
        <f>SUM(C26:C31)</f>
        <v>5274</v>
      </c>
      <c r="D32" s="723">
        <f>SUM(D26:D31)</f>
        <v>10872776</v>
      </c>
      <c r="E32" s="723">
        <f>SUM(E26:E31)</f>
        <v>0</v>
      </c>
      <c r="F32" s="802">
        <f>SUM(F26:F31)</f>
        <v>29301046</v>
      </c>
      <c r="G32" s="1708" t="s">
        <v>8</v>
      </c>
      <c r="H32" s="1709"/>
      <c r="I32" s="783" t="s">
        <v>1166</v>
      </c>
      <c r="J32" s="725">
        <f>SUM(J26:J31)</f>
        <v>3846</v>
      </c>
      <c r="K32" s="1698"/>
      <c r="L32" s="1698"/>
      <c r="M32" s="1698"/>
      <c r="N32" s="1698" t="s">
        <v>1074</v>
      </c>
      <c r="O32" s="1698" t="s">
        <v>1075</v>
      </c>
    </row>
    <row r="33" spans="1:31" ht="14.25" thickTop="1" thickBot="1">
      <c r="A33" s="97" t="s">
        <v>68</v>
      </c>
      <c r="B33" s="52">
        <f>B15+B20+B23+B32</f>
        <v>166347640</v>
      </c>
      <c r="C33" s="45">
        <f>C15+C20+C23+C32</f>
        <v>21838</v>
      </c>
      <c r="D33" s="52">
        <f>D15+D20+D23+D32</f>
        <v>17524296</v>
      </c>
      <c r="E33" s="52">
        <f>E15+E20+E23+E32</f>
        <v>0</v>
      </c>
      <c r="F33" s="724">
        <f>F15+F20+F23+F32</f>
        <v>148823344</v>
      </c>
      <c r="G33" s="1758" t="s">
        <v>84</v>
      </c>
      <c r="H33" s="1759"/>
      <c r="I33" s="1375">
        <f>ROUND($G$35/$C$6,0)</f>
        <v>18645</v>
      </c>
      <c r="J33" s="726">
        <f>J15+J20+J23+J32</f>
        <v>19537</v>
      </c>
      <c r="K33" s="1698"/>
      <c r="L33" s="1698"/>
      <c r="M33" s="1698"/>
      <c r="N33" s="1698"/>
      <c r="O33" s="1698"/>
    </row>
    <row r="34" spans="1:31" ht="14.25" thickTop="1" thickBot="1">
      <c r="B34" s="98"/>
      <c r="C34" s="75"/>
      <c r="D34" s="337"/>
      <c r="E34" s="337"/>
      <c r="F34" s="337" t="s">
        <v>1199</v>
      </c>
      <c r="G34" s="787">
        <f>G14*-1</f>
        <v>-6792999</v>
      </c>
      <c r="H34" s="337"/>
      <c r="I34" s="783" t="s">
        <v>1167</v>
      </c>
      <c r="J34" s="727"/>
      <c r="K34" s="1699"/>
      <c r="L34" s="1699"/>
      <c r="M34" s="1699"/>
      <c r="N34" s="1699"/>
      <c r="O34" s="1699"/>
    </row>
    <row r="35" spans="1:31" ht="14.25" thickTop="1" thickBot="1">
      <c r="A35" s="81" t="s">
        <v>72</v>
      </c>
      <c r="B35" s="81"/>
      <c r="C35" s="81"/>
      <c r="D35" s="728"/>
      <c r="E35" s="728"/>
      <c r="F35" s="788" t="s">
        <v>1165</v>
      </c>
      <c r="G35" s="803">
        <f>F33+G34</f>
        <v>142030345</v>
      </c>
      <c r="I35" s="1376">
        <f>ROUND($G$35/$I$8,0)</f>
        <v>224196</v>
      </c>
      <c r="K35" s="609"/>
      <c r="L35" s="609"/>
      <c r="M35" s="609"/>
      <c r="N35" s="609"/>
      <c r="O35" s="609"/>
    </row>
    <row r="36" spans="1:31" ht="13.5" thickTop="1">
      <c r="A36" s="99" t="s">
        <v>14</v>
      </c>
      <c r="B36" s="83">
        <f>'ASU FGD'!M60</f>
        <v>44416353</v>
      </c>
      <c r="C36" s="83">
        <f t="shared" ref="C36:C46" si="9">ROUND(B36/$C$6,0)</f>
        <v>5831</v>
      </c>
      <c r="D36" s="512">
        <f>'ASU FGD'!F60</f>
        <v>0</v>
      </c>
      <c r="E36" s="512"/>
      <c r="F36" s="512">
        <f t="shared" ref="F36:F46" si="10">B36-(SUM(D36:E36))</f>
        <v>44416353</v>
      </c>
      <c r="G36" s="337"/>
      <c r="H36" s="1378" t="s">
        <v>2158</v>
      </c>
      <c r="I36" s="1379">
        <f>ROUND(F36/$C$6,0)</f>
        <v>5831</v>
      </c>
      <c r="J36" s="337" t="s">
        <v>752</v>
      </c>
      <c r="K36" s="512">
        <f>F36</f>
        <v>44416353</v>
      </c>
      <c r="L36" s="512">
        <f>K36</f>
        <v>44416353</v>
      </c>
      <c r="M36" s="512"/>
      <c r="N36" s="512"/>
      <c r="O36" s="512"/>
    </row>
    <row r="37" spans="1:31">
      <c r="A37" s="99" t="s">
        <v>15</v>
      </c>
      <c r="B37" s="86">
        <f>'ASU FGD'!M61</f>
        <v>902658</v>
      </c>
      <c r="C37" s="87">
        <f t="shared" si="9"/>
        <v>118</v>
      </c>
      <c r="D37" s="86">
        <f>'ASU FGD'!F61</f>
        <v>0</v>
      </c>
      <c r="E37" s="74"/>
      <c r="F37" s="74">
        <f t="shared" si="10"/>
        <v>902658</v>
      </c>
      <c r="G37" s="337"/>
      <c r="H37" s="337"/>
      <c r="J37" s="337" t="s">
        <v>1076</v>
      </c>
      <c r="K37" s="373">
        <f>F37</f>
        <v>902658</v>
      </c>
      <c r="L37" s="373">
        <f>K37</f>
        <v>902658</v>
      </c>
      <c r="M37" s="373"/>
      <c r="N37" s="373"/>
      <c r="O37" s="373"/>
    </row>
    <row r="38" spans="1:31">
      <c r="A38" s="99" t="s">
        <v>16</v>
      </c>
      <c r="B38" s="86">
        <f>'ASU FGD'!M62</f>
        <v>1267934</v>
      </c>
      <c r="C38" s="87">
        <f t="shared" si="9"/>
        <v>166</v>
      </c>
      <c r="D38" s="86">
        <f>'ASU FGD'!F62</f>
        <v>0</v>
      </c>
      <c r="E38" s="86">
        <f>B38-D38</f>
        <v>1267934</v>
      </c>
      <c r="F38" s="74">
        <f t="shared" si="10"/>
        <v>0</v>
      </c>
      <c r="G38" s="337"/>
      <c r="H38" s="337"/>
      <c r="I38" s="337"/>
      <c r="J38" s="337" t="s">
        <v>1077</v>
      </c>
      <c r="K38" s="736"/>
      <c r="L38" s="737"/>
      <c r="M38" s="737" t="s">
        <v>1152</v>
      </c>
      <c r="N38" s="737"/>
      <c r="O38" s="738"/>
    </row>
    <row r="39" spans="1:31">
      <c r="A39" s="99" t="s">
        <v>17</v>
      </c>
      <c r="B39" s="86">
        <f>'ASU FGD'!M63</f>
        <v>6954976</v>
      </c>
      <c r="C39" s="87">
        <f t="shared" si="9"/>
        <v>913</v>
      </c>
      <c r="D39" s="86">
        <f>'ASU FGD'!F63</f>
        <v>0</v>
      </c>
      <c r="E39" s="74"/>
      <c r="F39" s="74">
        <f t="shared" si="10"/>
        <v>6954976</v>
      </c>
      <c r="G39" s="337"/>
      <c r="H39" s="1378" t="s">
        <v>2159</v>
      </c>
      <c r="I39" s="1379">
        <f>ROUND(F39/$C$6,0)</f>
        <v>913</v>
      </c>
      <c r="J39" s="337" t="s">
        <v>1078</v>
      </c>
      <c r="K39" s="373">
        <f t="shared" ref="K39:K43" si="11">F39</f>
        <v>6954976</v>
      </c>
      <c r="L39" s="373">
        <f>K39</f>
        <v>6954976</v>
      </c>
      <c r="M39" s="373"/>
      <c r="N39" s="373"/>
      <c r="O39" s="373"/>
    </row>
    <row r="40" spans="1:31">
      <c r="A40" s="99" t="s">
        <v>18</v>
      </c>
      <c r="B40" s="86">
        <f>'ASU FGD'!M64</f>
        <v>9051053</v>
      </c>
      <c r="C40" s="87">
        <f t="shared" si="9"/>
        <v>1188</v>
      </c>
      <c r="D40" s="86">
        <f>'ASU FGD'!F64</f>
        <v>0</v>
      </c>
      <c r="E40" s="74"/>
      <c r="F40" s="74">
        <f t="shared" si="10"/>
        <v>9051053</v>
      </c>
      <c r="G40" s="337"/>
      <c r="J40" s="337" t="s">
        <v>1079</v>
      </c>
      <c r="K40" s="373">
        <f t="shared" si="11"/>
        <v>9051053</v>
      </c>
      <c r="L40" s="373"/>
      <c r="M40" s="373">
        <f>K40</f>
        <v>9051053</v>
      </c>
      <c r="N40" s="373"/>
      <c r="O40" s="373"/>
    </row>
    <row r="41" spans="1:31">
      <c r="A41" s="99" t="s">
        <v>19</v>
      </c>
      <c r="B41" s="86">
        <f>'ASU FGD'!M65</f>
        <v>18062079</v>
      </c>
      <c r="C41" s="87">
        <f t="shared" si="9"/>
        <v>2371</v>
      </c>
      <c r="D41" s="86">
        <f>'ASU FGD'!F65</f>
        <v>0</v>
      </c>
      <c r="E41" s="74"/>
      <c r="F41" s="74">
        <f t="shared" si="10"/>
        <v>18062079</v>
      </c>
      <c r="G41" s="337"/>
      <c r="H41" s="1378" t="s">
        <v>2160</v>
      </c>
      <c r="I41" s="1379">
        <f>ROUND(F41/$C$6,0)</f>
        <v>2371</v>
      </c>
      <c r="J41" s="337" t="s">
        <v>757</v>
      </c>
      <c r="K41" s="373">
        <f t="shared" si="11"/>
        <v>18062079</v>
      </c>
      <c r="L41" s="373"/>
      <c r="M41" s="373"/>
      <c r="N41" s="373">
        <f>K41</f>
        <v>18062079</v>
      </c>
      <c r="O41" s="373"/>
    </row>
    <row r="42" spans="1:31">
      <c r="A42" s="99" t="s">
        <v>20</v>
      </c>
      <c r="B42" s="86">
        <f>'ASU FGD'!M66</f>
        <v>7507723</v>
      </c>
      <c r="C42" s="87">
        <f t="shared" si="9"/>
        <v>986</v>
      </c>
      <c r="D42" s="86">
        <f>'ASU FGD'!F66</f>
        <v>0</v>
      </c>
      <c r="E42" s="74"/>
      <c r="F42" s="74">
        <f t="shared" si="10"/>
        <v>7507723</v>
      </c>
      <c r="G42" s="337"/>
      <c r="J42" s="337" t="s">
        <v>758</v>
      </c>
      <c r="K42" s="373">
        <f t="shared" si="11"/>
        <v>7507723</v>
      </c>
      <c r="L42" s="373"/>
      <c r="M42" s="373"/>
      <c r="N42" s="373">
        <f>K42</f>
        <v>7507723</v>
      </c>
      <c r="O42" s="373"/>
    </row>
    <row r="43" spans="1:31">
      <c r="A43" s="99" t="s">
        <v>21</v>
      </c>
      <c r="B43" s="86">
        <f>'ASU FGD'!M67</f>
        <v>20011386</v>
      </c>
      <c r="C43" s="87">
        <f t="shared" si="9"/>
        <v>2627</v>
      </c>
      <c r="D43" s="86">
        <f>'ASU FGD'!F67</f>
        <v>3144158</v>
      </c>
      <c r="E43" s="74"/>
      <c r="F43" s="74">
        <f t="shared" si="10"/>
        <v>16867228</v>
      </c>
      <c r="G43" s="337"/>
      <c r="H43" s="337"/>
      <c r="I43" s="337"/>
      <c r="J43" s="337" t="s">
        <v>1145</v>
      </c>
      <c r="K43" s="373">
        <f t="shared" si="11"/>
        <v>16867228</v>
      </c>
      <c r="L43" s="373"/>
      <c r="M43" s="373">
        <f>K43</f>
        <v>16867228</v>
      </c>
      <c r="N43" s="373"/>
      <c r="O43" s="373"/>
    </row>
    <row r="44" spans="1:31">
      <c r="A44" s="99" t="s">
        <v>2135</v>
      </c>
      <c r="B44" s="86">
        <f>'ASU FGD'!M68</f>
        <v>17609666</v>
      </c>
      <c r="C44" s="87">
        <f t="shared" si="9"/>
        <v>2312</v>
      </c>
      <c r="D44" s="729">
        <f>B44</f>
        <v>17609666</v>
      </c>
      <c r="E44" s="74"/>
      <c r="F44" s="74">
        <f t="shared" si="10"/>
        <v>0</v>
      </c>
      <c r="G44" s="337"/>
      <c r="H44" s="337"/>
      <c r="I44" s="337"/>
      <c r="J44" s="337" t="s">
        <v>743</v>
      </c>
      <c r="K44" s="736"/>
      <c r="L44" s="737"/>
      <c r="M44" s="737" t="s">
        <v>1152</v>
      </c>
      <c r="N44" s="737"/>
      <c r="O44" s="738"/>
    </row>
    <row r="45" spans="1:31">
      <c r="A45" s="99" t="s">
        <v>61</v>
      </c>
      <c r="B45" s="86">
        <f>'ASU FGD'!M69</f>
        <v>1101123</v>
      </c>
      <c r="C45" s="87">
        <f t="shared" si="9"/>
        <v>145</v>
      </c>
      <c r="D45" s="86">
        <f>'ASU FGD'!F69</f>
        <v>62644</v>
      </c>
      <c r="E45" s="74"/>
      <c r="F45" s="74">
        <f t="shared" si="10"/>
        <v>1038479</v>
      </c>
      <c r="G45" s="337"/>
      <c r="H45" s="337"/>
      <c r="I45" s="337"/>
      <c r="J45" s="337" t="s">
        <v>1080</v>
      </c>
      <c r="K45" s="373">
        <f t="shared" ref="K45:K46" si="12">F45</f>
        <v>1038479</v>
      </c>
      <c r="L45" s="373"/>
      <c r="M45" s="373"/>
      <c r="N45" s="373"/>
      <c r="O45" s="373">
        <f>K45</f>
        <v>1038479</v>
      </c>
    </row>
    <row r="46" spans="1:31" ht="13.5" thickBot="1">
      <c r="A46" s="75" t="s">
        <v>50</v>
      </c>
      <c r="B46" s="86">
        <f>'ASU FGD'!M70</f>
        <v>2418380</v>
      </c>
      <c r="C46" s="87">
        <f t="shared" si="9"/>
        <v>317</v>
      </c>
      <c r="D46" s="86">
        <f>'ASU FGD'!F70</f>
        <v>0</v>
      </c>
      <c r="E46" s="74"/>
      <c r="F46" s="74">
        <f t="shared" si="10"/>
        <v>2418380</v>
      </c>
      <c r="G46" s="35"/>
      <c r="H46" s="1378" t="s">
        <v>2161</v>
      </c>
      <c r="I46" s="1379">
        <f>ROUND(SUM(F37+F40+F42+F43+F45+F46)/$C$6,0)</f>
        <v>4960</v>
      </c>
      <c r="J46" s="610" t="s">
        <v>1075</v>
      </c>
      <c r="K46" s="373">
        <f t="shared" si="12"/>
        <v>2418380</v>
      </c>
      <c r="L46" s="611"/>
      <c r="M46" s="611"/>
      <c r="N46" s="611"/>
      <c r="O46" s="373">
        <f>K46</f>
        <v>2418380</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129303331</v>
      </c>
      <c r="C47" s="45">
        <f>SUM(C36:C46)</f>
        <v>16974</v>
      </c>
      <c r="D47" s="730">
        <f>SUM(D36:D46)</f>
        <v>20816468</v>
      </c>
      <c r="E47" s="731">
        <f>SUM(E36:E46)</f>
        <v>1267934</v>
      </c>
      <c r="F47" s="719">
        <f>SUM(F36:F46)</f>
        <v>107218929</v>
      </c>
      <c r="G47" s="1688" t="s">
        <v>1176</v>
      </c>
      <c r="H47" s="1689"/>
      <c r="I47" s="785" t="s">
        <v>1164</v>
      </c>
      <c r="J47" s="610" t="s">
        <v>1081</v>
      </c>
      <c r="K47" s="612">
        <f>SUM(K36:K46)</f>
        <v>107218929</v>
      </c>
      <c r="L47" s="612">
        <f>SUM(L36:L46)</f>
        <v>52273987</v>
      </c>
      <c r="M47" s="612">
        <f>SUM(M36:M46)</f>
        <v>25918281</v>
      </c>
      <c r="N47" s="612">
        <f>SUM(N36:N46)</f>
        <v>25569802</v>
      </c>
      <c r="O47" s="612">
        <f>SUM(O36:O46)</f>
        <v>3456859</v>
      </c>
    </row>
    <row r="48" spans="1:31" ht="14.25" thickTop="1" thickBot="1">
      <c r="A48" s="93"/>
      <c r="B48" s="98"/>
      <c r="C48" s="75"/>
      <c r="F48" s="613"/>
      <c r="G48" s="1690"/>
      <c r="H48" s="1691"/>
      <c r="I48" s="823">
        <f>ROUND(F47/C6,0)</f>
        <v>14075</v>
      </c>
      <c r="J48" s="1700" t="s">
        <v>1082</v>
      </c>
      <c r="K48" s="611"/>
      <c r="L48" s="611"/>
      <c r="M48" s="611"/>
      <c r="N48" s="611"/>
      <c r="O48" s="611"/>
    </row>
    <row r="49" spans="1:31" ht="13.5" thickBot="1">
      <c r="A49" s="78" t="s">
        <v>23</v>
      </c>
      <c r="B49" s="82"/>
      <c r="C49" s="75"/>
      <c r="F49" s="614"/>
      <c r="G49" s="1690"/>
      <c r="H49" s="1691"/>
      <c r="I49" s="811"/>
      <c r="J49" s="1700"/>
      <c r="K49" s="615">
        <f>ROUND(K47/$C$6,2)</f>
        <v>14075.1</v>
      </c>
      <c r="L49" s="615">
        <f t="shared" ref="L49:O49" si="13">ROUND(L47/$C$6,2)</f>
        <v>6862.24</v>
      </c>
      <c r="M49" s="615">
        <f t="shared" si="13"/>
        <v>3402.41</v>
      </c>
      <c r="N49" s="615">
        <f t="shared" si="13"/>
        <v>3356.66</v>
      </c>
      <c r="O49" s="615">
        <f t="shared" si="13"/>
        <v>453.8</v>
      </c>
      <c r="P49" s="35"/>
      <c r="Q49" s="96"/>
      <c r="R49" s="96"/>
      <c r="S49" s="96"/>
      <c r="T49" s="96"/>
      <c r="U49" s="96"/>
      <c r="V49" s="96"/>
      <c r="W49" s="96"/>
      <c r="X49" s="96"/>
      <c r="Y49" s="96"/>
      <c r="Z49" s="96"/>
      <c r="AA49" s="96"/>
      <c r="AB49" s="96"/>
      <c r="AC49" s="96"/>
      <c r="AD49" s="96"/>
      <c r="AE49" s="96"/>
    </row>
    <row r="50" spans="1:31" ht="13.5" thickBot="1">
      <c r="A50" s="75" t="s">
        <v>62</v>
      </c>
      <c r="B50" s="86">
        <f>'ASU FGD'!M74</f>
        <v>-2476769</v>
      </c>
      <c r="C50" s="83">
        <f t="shared" ref="C50:C53" si="14">ROUND(B50/$C$6,0)</f>
        <v>-325</v>
      </c>
      <c r="D50" s="512">
        <f>'ASU FGD'!F74</f>
        <v>0</v>
      </c>
      <c r="E50" s="512"/>
      <c r="F50" s="732">
        <f t="shared" ref="F50:F53" si="15">B50-(SUM(D50:E50))</f>
        <v>-2476769</v>
      </c>
      <c r="G50" s="1692"/>
      <c r="H50" s="1693"/>
      <c r="I50" s="808"/>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'ASU FGD'!M75</f>
        <v>-9759086</v>
      </c>
      <c r="C51" s="87">
        <f t="shared" si="14"/>
        <v>-1281</v>
      </c>
      <c r="D51" s="91">
        <f>'ASU FGD'!F75</f>
        <v>4129498</v>
      </c>
      <c r="E51" s="82"/>
      <c r="F51" s="74">
        <f t="shared" si="15"/>
        <v>-13888584</v>
      </c>
      <c r="G51" s="337"/>
      <c r="J51" s="337"/>
      <c r="K51" s="616"/>
      <c r="L51" s="616"/>
      <c r="M51" s="616"/>
      <c r="N51" s="616"/>
      <c r="O51" s="616"/>
    </row>
    <row r="52" spans="1:31">
      <c r="A52" s="75" t="s">
        <v>51</v>
      </c>
      <c r="B52" s="86">
        <f>'ASU FGD'!M76</f>
        <v>0</v>
      </c>
      <c r="C52" s="87">
        <f t="shared" si="14"/>
        <v>0</v>
      </c>
      <c r="D52" s="91">
        <f>'ASU FGD'!F76</f>
        <v>0</v>
      </c>
      <c r="E52" s="82"/>
      <c r="F52" s="74">
        <f t="shared" si="15"/>
        <v>0</v>
      </c>
      <c r="G52" s="337"/>
      <c r="J52" s="733"/>
      <c r="K52" s="733"/>
      <c r="L52" s="733"/>
      <c r="M52" s="733"/>
      <c r="N52" s="733"/>
      <c r="O52" s="733"/>
    </row>
    <row r="53" spans="1:31" ht="12" customHeight="1">
      <c r="A53" s="75" t="s">
        <v>46</v>
      </c>
      <c r="B53" s="86">
        <f>'ASU FGD'!M77</f>
        <v>-12983540</v>
      </c>
      <c r="C53" s="87">
        <f t="shared" si="14"/>
        <v>-1704</v>
      </c>
      <c r="D53" s="91">
        <f>'ASU FGD'!F77</f>
        <v>-5744302</v>
      </c>
      <c r="E53" s="82"/>
      <c r="F53" s="74">
        <f t="shared" si="15"/>
        <v>-7239238</v>
      </c>
      <c r="G53" s="35"/>
      <c r="J53" s="733"/>
      <c r="K53" s="733"/>
      <c r="L53" s="733"/>
      <c r="M53" s="733"/>
      <c r="N53" s="733"/>
      <c r="O53" s="733"/>
      <c r="P53" s="35"/>
      <c r="Q53" s="96"/>
      <c r="R53" s="96"/>
      <c r="S53" s="96"/>
      <c r="T53" s="96"/>
      <c r="U53" s="96"/>
      <c r="V53" s="96"/>
      <c r="W53" s="96"/>
      <c r="X53" s="96"/>
      <c r="Y53" s="96"/>
      <c r="Z53" s="96"/>
      <c r="AA53" s="96"/>
      <c r="AB53" s="96"/>
      <c r="AC53" s="96"/>
      <c r="AD53" s="96"/>
      <c r="AE53" s="96"/>
    </row>
    <row r="54" spans="1:31">
      <c r="A54" s="88" t="s">
        <v>3</v>
      </c>
      <c r="B54" s="89">
        <f>SUM(B50:B53)</f>
        <v>-25219395</v>
      </c>
      <c r="C54" s="89">
        <f>SUM(C50:C53)</f>
        <v>-3310</v>
      </c>
      <c r="D54" s="89">
        <f>SUM(D50:D53)</f>
        <v>-1614804</v>
      </c>
      <c r="E54" s="89">
        <f>SUM(E50:E53)</f>
        <v>0</v>
      </c>
      <c r="F54" s="102">
        <f>SUM(F50:F53)</f>
        <v>-23604591</v>
      </c>
      <c r="G54" s="337"/>
      <c r="H54" s="337"/>
      <c r="I54" s="337"/>
      <c r="J54" s="733"/>
      <c r="K54" s="733"/>
      <c r="L54" s="733"/>
      <c r="M54" s="733"/>
      <c r="N54" s="733"/>
      <c r="O54" s="733"/>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'ASU FGD'!M81</f>
        <v>13016793</v>
      </c>
      <c r="C57" s="83">
        <f>ROUND(B57/$C$6,0)</f>
        <v>1709</v>
      </c>
      <c r="D57" s="512">
        <f>'ASU FGD'!F81</f>
        <v>1650680</v>
      </c>
      <c r="E57" s="512"/>
      <c r="F57" s="512">
        <f t="shared" ref="F57:F58" si="16">B57-(SUM(D57:E57))</f>
        <v>11366113</v>
      </c>
      <c r="G57" s="337"/>
      <c r="H57" s="337"/>
      <c r="I57" s="337"/>
      <c r="J57" s="337"/>
    </row>
    <row r="58" spans="1:31">
      <c r="A58" s="75" t="s">
        <v>48</v>
      </c>
      <c r="B58" s="86">
        <f>'ASU FGD'!M82</f>
        <v>0</v>
      </c>
      <c r="C58" s="87">
        <f>ROUND(B58/$C$6,0)</f>
        <v>0</v>
      </c>
      <c r="D58" s="91">
        <f>'ASU FGD'!F82</f>
        <v>0</v>
      </c>
      <c r="E58" s="82"/>
      <c r="F58" s="74">
        <f t="shared" si="16"/>
        <v>0</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13016793</v>
      </c>
      <c r="C59" s="89">
        <f>SUM(C57:C58)</f>
        <v>1709</v>
      </c>
      <c r="D59" s="89">
        <f>SUM(D57:D58)</f>
        <v>1650680</v>
      </c>
      <c r="E59" s="89">
        <f>SUM(E57:E58)</f>
        <v>0</v>
      </c>
      <c r="F59" s="89">
        <f>SUM(F57:F58)</f>
        <v>11366113</v>
      </c>
      <c r="G59" s="367"/>
      <c r="H59" s="367"/>
      <c r="I59" s="367"/>
      <c r="J59" s="367"/>
      <c r="K59" s="266"/>
      <c r="L59" s="266"/>
      <c r="M59" s="266"/>
      <c r="N59" s="266"/>
      <c r="O59" s="266"/>
      <c r="P59" s="266"/>
    </row>
    <row r="60" spans="1:31">
      <c r="B60" s="82"/>
      <c r="C60" s="75"/>
    </row>
    <row r="61" spans="1:31" ht="13.5" thickBot="1">
      <c r="A61" s="103" t="s">
        <v>573</v>
      </c>
      <c r="B61" s="46">
        <f>B33-B47+B54+B59</f>
        <v>24841707</v>
      </c>
      <c r="C61" s="46">
        <f>C33-C47+C54+C59</f>
        <v>3263</v>
      </c>
      <c r="D61" s="46">
        <f>D33-D47+D54+D59</f>
        <v>-3256296</v>
      </c>
      <c r="E61" s="46">
        <f>E33-E47+E54+E59</f>
        <v>-1267934</v>
      </c>
      <c r="F61" s="46">
        <f>F33-F47+F54+F59</f>
        <v>29365937</v>
      </c>
    </row>
    <row r="62" spans="1:31" ht="13.5" thickTop="1"/>
    <row r="63" spans="1:31">
      <c r="D63" s="512"/>
    </row>
    <row r="65" spans="2:16">
      <c r="B65" s="734">
        <f>'ASU FGD'!$M$85</f>
        <v>24841707</v>
      </c>
      <c r="C65" s="75"/>
      <c r="D65" s="734">
        <f>'ASU FGD'!$F$85</f>
        <v>-3256296</v>
      </c>
      <c r="E65" s="734">
        <f>'ASU FGD'!$M$62*-1</f>
        <v>-1267934</v>
      </c>
      <c r="F65" s="75"/>
    </row>
    <row r="66" spans="2:16">
      <c r="B66" s="734"/>
      <c r="C66" s="75"/>
      <c r="D66" s="734">
        <f>'ASU FGD'!$F$68</f>
        <v>17609666</v>
      </c>
      <c r="E66" s="734">
        <f>+$D$38</f>
        <v>0</v>
      </c>
      <c r="F66" s="734"/>
    </row>
    <row r="67" spans="2:16">
      <c r="B67" s="759"/>
      <c r="C67" s="75"/>
      <c r="D67" s="759">
        <f>-'ASU FGD'!$M$68</f>
        <v>-17609666</v>
      </c>
      <c r="E67" s="759"/>
      <c r="F67" s="734"/>
    </row>
    <row r="68" spans="2:16">
      <c r="B68" s="734">
        <f>SUM(B65:B67)</f>
        <v>24841707</v>
      </c>
      <c r="C68" s="75"/>
      <c r="D68" s="734">
        <f>SUM(D65:D67)</f>
        <v>-3256296</v>
      </c>
      <c r="E68" s="734">
        <f>SUM(E65:E67)</f>
        <v>-1267934</v>
      </c>
      <c r="F68" s="734">
        <f>B68-D68-E68</f>
        <v>29365937</v>
      </c>
    </row>
    <row r="69" spans="2:16">
      <c r="B69" s="734"/>
      <c r="C69" s="75"/>
      <c r="D69" s="734">
        <f>'ASU FGD'!F54*-1</f>
        <v>-10470932</v>
      </c>
      <c r="E69" s="734"/>
      <c r="F69" s="734"/>
    </row>
    <row r="70" spans="2:16" ht="12.75" customHeight="1">
      <c r="B70" s="759"/>
      <c r="C70" s="95"/>
      <c r="D70" s="759">
        <f>'ASU FGD'!M54</f>
        <v>10470932</v>
      </c>
      <c r="E70" s="759"/>
      <c r="F70" s="759">
        <f>-D70-D69</f>
        <v>0</v>
      </c>
    </row>
    <row r="71" spans="2:16" ht="12.75" customHeight="1">
      <c r="B71" s="734">
        <f>SUM(B68:B70)</f>
        <v>24841707</v>
      </c>
      <c r="C71" s="75"/>
      <c r="D71" s="734">
        <f>SUM(D68:D70)</f>
        <v>-3256296</v>
      </c>
      <c r="E71" s="734">
        <f>SUM(E68:E70)</f>
        <v>-1267934</v>
      </c>
      <c r="F71" s="734">
        <f>SUM(F68:F70)</f>
        <v>29365937</v>
      </c>
    </row>
    <row r="72" spans="2:16" ht="12.75" customHeight="1">
      <c r="B72" s="734"/>
      <c r="C72" s="75"/>
      <c r="D72" s="734"/>
      <c r="E72" s="734"/>
      <c r="F72" s="734"/>
    </row>
    <row r="73" spans="2:16" ht="12.75" customHeight="1">
      <c r="B73" s="512">
        <f>B61-B71</f>
        <v>0</v>
      </c>
      <c r="C73" s="75"/>
      <c r="D73" s="512">
        <f>D61-D71</f>
        <v>0</v>
      </c>
      <c r="E73" s="512">
        <f>E61-E71</f>
        <v>0</v>
      </c>
      <c r="F73" s="512">
        <f>F61-F71</f>
        <v>0</v>
      </c>
    </row>
    <row r="74" spans="2:16" ht="12.75" customHeight="1">
      <c r="C74" s="75"/>
      <c r="F74" s="617"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G47:H50"/>
    <mergeCell ref="K30:O30"/>
    <mergeCell ref="M31:M34"/>
    <mergeCell ref="G32:H32"/>
    <mergeCell ref="G33:H33"/>
    <mergeCell ref="L31:L34"/>
    <mergeCell ref="K31:K34"/>
    <mergeCell ref="N31:N34"/>
    <mergeCell ref="O31:O34"/>
    <mergeCell ref="J48:J49"/>
    <mergeCell ref="F1:I1"/>
    <mergeCell ref="J1:O1"/>
    <mergeCell ref="D1:E1"/>
    <mergeCell ref="K29:O29"/>
    <mergeCell ref="D4:D5"/>
    <mergeCell ref="E4:E5"/>
  </mergeCells>
  <hyperlinks>
    <hyperlink ref="D1:E1" location="Index!A1" display="Return to Index" xr:uid="{00000000-0004-0000-8E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sheetPr codeName="Sheet121">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6.28515625" style="164" customWidth="1"/>
    <col min="15" max="15" width="14.42578125" style="261" customWidth="1"/>
    <col min="16" max="16" width="25.7109375" style="264" customWidth="1"/>
    <col min="17" max="17" width="16.42578125" style="264" customWidth="1"/>
    <col min="18" max="18" width="16.85546875" style="264" customWidth="1"/>
    <col min="19" max="19" width="1.7109375" style="264" customWidth="1"/>
    <col min="20" max="20" width="17.140625" style="264" customWidth="1"/>
    <col min="21" max="21" width="16.85546875" style="264" customWidth="1"/>
    <col min="22" max="23" width="19.28515625" style="264" customWidth="1"/>
    <col min="24" max="24" width="16.855468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13" t="str">
        <f>'ASU Chrts'!$A$1</f>
        <v>Angelo State University</v>
      </c>
      <c r="C2" s="1713"/>
      <c r="D2" s="1713"/>
      <c r="E2" s="1713"/>
      <c r="F2" s="1742"/>
      <c r="G2" s="160"/>
      <c r="H2" s="161"/>
      <c r="I2" s="320" t="str">
        <f>IF($B$2&lt;&gt;Input!$B$35,"Name Mismatch","")</f>
        <v/>
      </c>
      <c r="J2" s="168"/>
      <c r="K2" s="169"/>
      <c r="L2" s="169"/>
      <c r="M2" s="170"/>
      <c r="O2" s="835" t="s">
        <v>1200</v>
      </c>
      <c r="P2" s="36"/>
    </row>
    <row r="3" spans="1:28" ht="20.25">
      <c r="A3" s="184">
        <v>2</v>
      </c>
      <c r="B3" s="1713" t="str">
        <f>'Smmy Chrts'!$A$2</f>
        <v>For the Year Ended August 31, 2021</v>
      </c>
      <c r="C3" s="1713"/>
      <c r="D3" s="1713"/>
      <c r="E3" s="1713"/>
      <c r="F3" s="1742"/>
      <c r="G3" s="161"/>
      <c r="H3" s="161"/>
      <c r="I3" s="169"/>
      <c r="J3" s="168"/>
      <c r="K3" s="169"/>
      <c r="L3" s="169"/>
      <c r="M3" s="170"/>
      <c r="O3" s="74"/>
    </row>
    <row r="4" spans="1:28" ht="20.25">
      <c r="A4" s="184">
        <v>3</v>
      </c>
      <c r="B4" s="1713" t="str">
        <f>'Smmy Chrts'!$A$3</f>
        <v>Source: FY 2021 Annual Financial Report</v>
      </c>
      <c r="C4" s="1713"/>
      <c r="D4" s="1713"/>
      <c r="E4" s="1713"/>
      <c r="F4" s="1742"/>
      <c r="G4" s="161"/>
      <c r="H4" s="161"/>
      <c r="I4" s="169"/>
      <c r="J4" s="168"/>
      <c r="K4" s="169"/>
      <c r="L4" s="169"/>
      <c r="M4" s="170"/>
      <c r="O4" s="74"/>
      <c r="P4" s="1744" t="s">
        <v>93</v>
      </c>
      <c r="Q4" s="1745"/>
      <c r="T4" s="36" t="s">
        <v>250</v>
      </c>
    </row>
    <row r="5" spans="1:28">
      <c r="A5" s="184">
        <v>4</v>
      </c>
      <c r="B5" s="160"/>
      <c r="C5" s="160"/>
      <c r="D5" s="160"/>
      <c r="E5" s="160"/>
      <c r="F5" s="160"/>
      <c r="G5" s="160"/>
      <c r="H5" s="160"/>
      <c r="I5" s="160"/>
      <c r="J5" s="160"/>
      <c r="K5" s="160"/>
      <c r="L5" s="160"/>
      <c r="M5" s="166"/>
      <c r="O5" s="262"/>
    </row>
    <row r="6" spans="1:28">
      <c r="A6" s="184">
        <v>5</v>
      </c>
      <c r="B6" s="1715" t="str">
        <f>'Smmy Chrts'!$C$32</f>
        <v>Detail Worksheet FY 2021</v>
      </c>
      <c r="C6" s="1715"/>
      <c r="D6" s="1743"/>
      <c r="E6" s="1743"/>
      <c r="F6" s="1743"/>
      <c r="G6" s="1743"/>
      <c r="H6" s="1743"/>
      <c r="I6" s="1743"/>
      <c r="J6" s="1743"/>
      <c r="K6" s="1743"/>
      <c r="L6" s="1743"/>
      <c r="M6" s="1743"/>
      <c r="O6" s="265"/>
    </row>
    <row r="7" spans="1:28">
      <c r="A7" s="184">
        <v>6</v>
      </c>
      <c r="B7" s="172"/>
      <c r="C7" s="172"/>
      <c r="D7" s="160"/>
      <c r="E7" s="160"/>
      <c r="F7" s="160"/>
      <c r="G7" s="160"/>
      <c r="H7" s="160"/>
      <c r="I7" s="160"/>
      <c r="J7" s="160"/>
      <c r="K7" s="160"/>
      <c r="L7" s="160"/>
      <c r="M7" s="173" t="str">
        <f>'Smmy Chrts'!$C$33</f>
        <v>FY 2021</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Input!$M$35</f>
        <v>35544538</v>
      </c>
      <c r="E10" s="372">
        <f>Input!$N$35</f>
        <v>0</v>
      </c>
      <c r="F10" s="372">
        <f>Input!$O$35</f>
        <v>0</v>
      </c>
      <c r="G10" s="372">
        <f>Input!$P$35</f>
        <v>0</v>
      </c>
      <c r="H10" s="372">
        <f>Input!$Q$35</f>
        <v>0</v>
      </c>
      <c r="I10" s="372">
        <f>Input!$R$35</f>
        <v>0</v>
      </c>
      <c r="J10" s="372">
        <f>Input!$S$35</f>
        <v>0</v>
      </c>
      <c r="K10" s="372">
        <f>Input!$T$35</f>
        <v>0</v>
      </c>
      <c r="L10" s="372">
        <f>Input!$U$35</f>
        <v>0</v>
      </c>
      <c r="M10" s="373">
        <f t="shared" ref="M10:M15" si="0">D10+E10+F10+G10+H10+I10+J10+K10+L10</f>
        <v>35544538</v>
      </c>
      <c r="N10" s="160"/>
      <c r="O10" s="271"/>
      <c r="P10" s="1718" t="s">
        <v>575</v>
      </c>
      <c r="U10" s="268"/>
    </row>
    <row r="11" spans="1:28">
      <c r="A11" s="184">
        <v>10</v>
      </c>
      <c r="B11" s="160" t="s">
        <v>2</v>
      </c>
      <c r="C11" s="160"/>
      <c r="D11" s="372">
        <f>Input!$V$35</f>
        <v>6964718</v>
      </c>
      <c r="E11" s="372">
        <f>Input!$W$35</f>
        <v>0</v>
      </c>
      <c r="F11" s="372">
        <f>Input!$X$35</f>
        <v>0</v>
      </c>
      <c r="G11" s="372">
        <f>Input!$Y$35</f>
        <v>12071</v>
      </c>
      <c r="H11" s="372">
        <f>Input!$Z$35</f>
        <v>0</v>
      </c>
      <c r="I11" s="372">
        <f>Input!$AA$35</f>
        <v>0</v>
      </c>
      <c r="J11" s="372">
        <f>Input!$AB$35</f>
        <v>0</v>
      </c>
      <c r="K11" s="372">
        <f>Input!$AC$35</f>
        <v>0</v>
      </c>
      <c r="L11" s="372">
        <f>Input!$AD$35</f>
        <v>0</v>
      </c>
      <c r="M11" s="373">
        <f t="shared" si="0"/>
        <v>6976789</v>
      </c>
      <c r="N11" s="160"/>
      <c r="O11" s="482"/>
      <c r="P11" s="1719"/>
      <c r="U11" s="268"/>
    </row>
    <row r="12" spans="1:28" ht="12.75" hidden="1" customHeight="1">
      <c r="B12" s="160" t="s">
        <v>1410</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Input!$AN$35</f>
        <v>6792999</v>
      </c>
      <c r="E13" s="372">
        <f>Input!$AO$35</f>
        <v>0</v>
      </c>
      <c r="F13" s="372">
        <f>Input!$AP$35</f>
        <v>0</v>
      </c>
      <c r="G13" s="372">
        <f>Input!$AQ$35</f>
        <v>0</v>
      </c>
      <c r="H13" s="372">
        <f>Input!$AR$35</f>
        <v>0</v>
      </c>
      <c r="I13" s="372">
        <f>Input!$AS$35</f>
        <v>0</v>
      </c>
      <c r="J13" s="372">
        <f>Input!$AT$35</f>
        <v>0</v>
      </c>
      <c r="K13" s="372">
        <f>Input!$AU$35</f>
        <v>0</v>
      </c>
      <c r="L13" s="372">
        <f>Input!$AV$35</f>
        <v>0</v>
      </c>
      <c r="M13" s="373">
        <f t="shared" si="0"/>
        <v>6792999</v>
      </c>
      <c r="N13" s="160"/>
      <c r="O13" s="482" t="str">
        <f>IF(P13&lt;&gt;M13,"Out of Balance","Balanced")</f>
        <v>Balanced</v>
      </c>
      <c r="P13" s="484">
        <f>IFERROR(VLOOKUP($B$2,AMTLU,6,FALSE),0)</f>
        <v>6792999</v>
      </c>
      <c r="U13" s="268"/>
    </row>
    <row r="14" spans="1:28">
      <c r="A14" s="184">
        <v>13</v>
      </c>
      <c r="B14" s="160" t="s">
        <v>49</v>
      </c>
      <c r="C14" s="160"/>
      <c r="D14" s="372">
        <f>Input!$AW$35</f>
        <v>0</v>
      </c>
      <c r="E14" s="372">
        <f>Input!$AX$35</f>
        <v>0</v>
      </c>
      <c r="F14" s="372">
        <f>Input!$AY$35</f>
        <v>0</v>
      </c>
      <c r="G14" s="372">
        <f>Input!$AZ$35</f>
        <v>0</v>
      </c>
      <c r="H14" s="372">
        <f>Input!$BA$35</f>
        <v>0</v>
      </c>
      <c r="I14" s="372">
        <f>Input!$BB$35</f>
        <v>0</v>
      </c>
      <c r="J14" s="372">
        <f>Input!$BC$35</f>
        <v>0</v>
      </c>
      <c r="K14" s="372">
        <f>Input!$BD$35</f>
        <v>0</v>
      </c>
      <c r="L14" s="372">
        <f>Input!$BE$35</f>
        <v>0</v>
      </c>
      <c r="M14" s="373">
        <f t="shared" si="0"/>
        <v>0</v>
      </c>
      <c r="N14" s="160"/>
      <c r="O14" s="482"/>
      <c r="P14" s="485"/>
    </row>
    <row r="15" spans="1:28" ht="15">
      <c r="A15" s="184">
        <v>14</v>
      </c>
      <c r="B15" s="176" t="s">
        <v>3</v>
      </c>
      <c r="C15" s="176"/>
      <c r="D15" s="374">
        <f t="shared" ref="D15:L15" si="1">SUM(D10:D14)</f>
        <v>49302255</v>
      </c>
      <c r="E15" s="374">
        <f t="shared" si="1"/>
        <v>0</v>
      </c>
      <c r="F15" s="374">
        <f t="shared" si="1"/>
        <v>0</v>
      </c>
      <c r="G15" s="374">
        <f t="shared" si="1"/>
        <v>12071</v>
      </c>
      <c r="H15" s="374">
        <f t="shared" si="1"/>
        <v>0</v>
      </c>
      <c r="I15" s="374">
        <f t="shared" si="1"/>
        <v>0</v>
      </c>
      <c r="J15" s="374">
        <f t="shared" si="1"/>
        <v>0</v>
      </c>
      <c r="K15" s="374">
        <f t="shared" si="1"/>
        <v>0</v>
      </c>
      <c r="L15" s="374">
        <f t="shared" si="1"/>
        <v>0</v>
      </c>
      <c r="M15" s="374">
        <f t="shared" si="0"/>
        <v>49314326</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58" t="s">
        <v>1042</v>
      </c>
      <c r="C18" s="558"/>
      <c r="D18" s="374">
        <f t="shared" ref="D18:L18" si="2">D23-SUM(D19:D22)</f>
        <v>19218748</v>
      </c>
      <c r="E18" s="374">
        <f t="shared" si="2"/>
        <v>26883268</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46102016</v>
      </c>
      <c r="V18" s="327"/>
      <c r="X18" s="330"/>
    </row>
    <row r="19" spans="1:26" s="264" customFormat="1" ht="12.75" customHeight="1" thickTop="1" thickBot="1">
      <c r="A19" s="263"/>
      <c r="B19" s="261" t="s">
        <v>722</v>
      </c>
      <c r="C19" s="261"/>
      <c r="D19" s="372">
        <f>Input!$BF$35</f>
        <v>-3874804</v>
      </c>
      <c r="E19" s="372">
        <f>Input!$BG$35</f>
        <v>0</v>
      </c>
      <c r="F19" s="372">
        <f>Input!$BH$35</f>
        <v>0</v>
      </c>
      <c r="G19" s="372">
        <f>Input!$BI$35</f>
        <v>0</v>
      </c>
      <c r="H19" s="372">
        <f>Input!$BJ$35</f>
        <v>0</v>
      </c>
      <c r="I19" s="372">
        <f>Input!$BK$35</f>
        <v>0</v>
      </c>
      <c r="J19" s="372">
        <f>Input!$BL$35</f>
        <v>0</v>
      </c>
      <c r="K19" s="372">
        <f>Input!$BM$35</f>
        <v>0</v>
      </c>
      <c r="L19" s="372">
        <f>Input!$BN$35</f>
        <v>0</v>
      </c>
      <c r="M19" s="373">
        <f t="shared" si="3"/>
        <v>-3874804</v>
      </c>
      <c r="O19" s="1732" t="s">
        <v>1294</v>
      </c>
      <c r="P19" s="1733"/>
      <c r="Q19" s="1733"/>
      <c r="R19" s="1734"/>
      <c r="T19" s="1735" t="s">
        <v>1043</v>
      </c>
      <c r="U19" s="1736"/>
      <c r="V19" s="1736"/>
      <c r="W19" s="1736"/>
      <c r="X19" s="1737"/>
    </row>
    <row r="20" spans="1:26" s="264" customFormat="1" ht="12.75" customHeight="1" thickTop="1">
      <c r="A20" s="263"/>
      <c r="B20" s="261" t="s">
        <v>723</v>
      </c>
      <c r="C20" s="261"/>
      <c r="D20" s="372">
        <f>Input!$BO$35</f>
        <v>-1522154</v>
      </c>
      <c r="E20" s="372">
        <f>Input!$BP$35</f>
        <v>0</v>
      </c>
      <c r="F20" s="372">
        <f>Input!$BQ$35</f>
        <v>0</v>
      </c>
      <c r="G20" s="372">
        <f>Input!$BR$35</f>
        <v>0</v>
      </c>
      <c r="H20" s="372">
        <f>Input!$BS$35</f>
        <v>0</v>
      </c>
      <c r="I20" s="372">
        <f>Input!$BT$35</f>
        <v>0</v>
      </c>
      <c r="J20" s="372">
        <f>Input!$BU$35</f>
        <v>0</v>
      </c>
      <c r="K20" s="372">
        <f>Input!$BV$35</f>
        <v>0</v>
      </c>
      <c r="L20" s="372">
        <f>Input!$BW$35</f>
        <v>0</v>
      </c>
      <c r="M20" s="373">
        <f t="shared" si="3"/>
        <v>-1522154</v>
      </c>
      <c r="O20" s="421" t="s">
        <v>288</v>
      </c>
      <c r="P20" s="422"/>
      <c r="Q20" s="414"/>
      <c r="R20" s="559"/>
      <c r="T20" s="560" t="s">
        <v>1044</v>
      </c>
      <c r="U20" s="266"/>
      <c r="V20" s="266"/>
      <c r="X20" s="425"/>
    </row>
    <row r="21" spans="1:26" s="264" customFormat="1">
      <c r="A21" s="263"/>
      <c r="B21" s="261" t="s">
        <v>724</v>
      </c>
      <c r="C21" s="261"/>
      <c r="D21" s="372">
        <f>Input!$BX$35</f>
        <v>0</v>
      </c>
      <c r="E21" s="372">
        <f>Input!$BY$35</f>
        <v>0</v>
      </c>
      <c r="F21" s="372">
        <f>Input!$BZ$35</f>
        <v>0</v>
      </c>
      <c r="G21" s="372">
        <f>Input!$CA$35</f>
        <v>0</v>
      </c>
      <c r="H21" s="372">
        <f>Input!$CB$35</f>
        <v>0</v>
      </c>
      <c r="I21" s="372">
        <f>Input!$CC$35</f>
        <v>0</v>
      </c>
      <c r="J21" s="372">
        <f>Input!$CD$35</f>
        <v>0</v>
      </c>
      <c r="K21" s="372">
        <f>Input!$CE$35</f>
        <v>0</v>
      </c>
      <c r="L21" s="372">
        <f>Input!$CF$35</f>
        <v>0</v>
      </c>
      <c r="M21" s="373">
        <f t="shared" si="3"/>
        <v>0</v>
      </c>
      <c r="O21" s="434"/>
      <c r="R21" s="561"/>
      <c r="T21" s="650" t="s">
        <v>1045</v>
      </c>
      <c r="U21" s="266"/>
      <c r="V21" s="266"/>
      <c r="W21" s="651">
        <f>M44</f>
        <v>44743500</v>
      </c>
      <c r="X21" s="425"/>
      <c r="Z21" s="330"/>
    </row>
    <row r="22" spans="1:26" s="264" customFormat="1">
      <c r="A22" s="263"/>
      <c r="B22" s="261" t="s">
        <v>725</v>
      </c>
      <c r="C22" s="261"/>
      <c r="D22" s="372">
        <f>Input!$CG$35</f>
        <v>0</v>
      </c>
      <c r="E22" s="372">
        <f>Input!$CH$35</f>
        <v>0</v>
      </c>
      <c r="F22" s="372">
        <f>Input!$CI$35</f>
        <v>0</v>
      </c>
      <c r="G22" s="372">
        <f>Input!$CJ$35</f>
        <v>0</v>
      </c>
      <c r="H22" s="372">
        <f>Input!$CK$35</f>
        <v>0</v>
      </c>
      <c r="I22" s="372">
        <f>Input!$CL$35</f>
        <v>0</v>
      </c>
      <c r="J22" s="372">
        <f>Input!$CM$35</f>
        <v>0</v>
      </c>
      <c r="K22" s="372">
        <f>Input!$CN$35</f>
        <v>0</v>
      </c>
      <c r="L22" s="372">
        <f>Input!$CO$35</f>
        <v>0</v>
      </c>
      <c r="M22" s="373">
        <f t="shared" si="3"/>
        <v>0</v>
      </c>
      <c r="N22" s="270"/>
      <c r="O22" s="434" t="s">
        <v>1046</v>
      </c>
      <c r="P22" s="276"/>
      <c r="Q22" s="424">
        <f>M23</f>
        <v>40705058</v>
      </c>
      <c r="R22" s="562"/>
      <c r="T22" s="650" t="s">
        <v>1047</v>
      </c>
      <c r="U22" s="266"/>
      <c r="V22" s="266"/>
      <c r="W22" s="652">
        <f>R30*-1</f>
        <v>23936911</v>
      </c>
      <c r="X22" s="425"/>
    </row>
    <row r="23" spans="1:26" s="264" customFormat="1" ht="12.75" customHeight="1">
      <c r="A23" s="263"/>
      <c r="B23" s="558" t="s">
        <v>726</v>
      </c>
      <c r="C23" s="563"/>
      <c r="D23" s="564">
        <f>Input!$CP$35</f>
        <v>13821790</v>
      </c>
      <c r="E23" s="564">
        <f>Input!$CQ$35</f>
        <v>26883268</v>
      </c>
      <c r="F23" s="564">
        <f>Input!$CR$35</f>
        <v>0</v>
      </c>
      <c r="G23" s="564">
        <f>Input!$CS$35</f>
        <v>0</v>
      </c>
      <c r="H23" s="564">
        <f>Input!$CT$35</f>
        <v>0</v>
      </c>
      <c r="I23" s="564">
        <f>Input!$CU$35</f>
        <v>0</v>
      </c>
      <c r="J23" s="564">
        <f>Input!$CV$35</f>
        <v>0</v>
      </c>
      <c r="K23" s="564">
        <f>Input!$CW$35</f>
        <v>0</v>
      </c>
      <c r="L23" s="564">
        <f>Input!$CX$35</f>
        <v>0</v>
      </c>
      <c r="M23" s="565">
        <f t="shared" si="3"/>
        <v>40705058</v>
      </c>
      <c r="O23" s="434"/>
      <c r="P23" s="276"/>
      <c r="Q23" s="424"/>
      <c r="R23" s="562"/>
      <c r="T23" s="560" t="s">
        <v>1230</v>
      </c>
      <c r="U23" s="266"/>
      <c r="V23" s="266"/>
      <c r="W23" s="276"/>
      <c r="X23" s="425">
        <f>SUM(W21:W22)</f>
        <v>68680411</v>
      </c>
      <c r="Z23" s="330"/>
    </row>
    <row r="24" spans="1:26" s="264" customFormat="1" ht="12.75" customHeight="1">
      <c r="A24" s="263"/>
      <c r="B24" s="261" t="s">
        <v>727</v>
      </c>
      <c r="C24" s="566"/>
      <c r="D24" s="372">
        <f>Input!$CY$35</f>
        <v>0</v>
      </c>
      <c r="E24" s="372">
        <f>Input!$CZ$35</f>
        <v>0</v>
      </c>
      <c r="F24" s="372">
        <f>Input!$DA$35</f>
        <v>0</v>
      </c>
      <c r="G24" s="372">
        <f>Input!$DB$35</f>
        <v>0</v>
      </c>
      <c r="H24" s="372">
        <f>Input!$DC$35</f>
        <v>0</v>
      </c>
      <c r="I24" s="372">
        <f>Input!$DD$35</f>
        <v>0</v>
      </c>
      <c r="J24" s="372">
        <f>Input!$DE$35</f>
        <v>0</v>
      </c>
      <c r="K24" s="372">
        <f>Input!$DF$35</f>
        <v>0</v>
      </c>
      <c r="L24" s="372">
        <f>Input!$DG$35</f>
        <v>0</v>
      </c>
      <c r="M24" s="567">
        <f t="shared" si="3"/>
        <v>0</v>
      </c>
      <c r="O24" s="417" t="s">
        <v>1048</v>
      </c>
      <c r="P24" s="276"/>
      <c r="Q24" s="327"/>
      <c r="R24" s="646">
        <f>SUM(M24:M28)</f>
        <v>-14348357</v>
      </c>
      <c r="T24" s="560"/>
      <c r="U24" s="266"/>
      <c r="V24" s="266"/>
      <c r="X24" s="425"/>
      <c r="Z24" s="330"/>
    </row>
    <row r="25" spans="1:26" s="264" customFormat="1" ht="12.75" customHeight="1">
      <c r="A25" s="263"/>
      <c r="B25" s="261" t="s">
        <v>728</v>
      </c>
      <c r="C25" s="566"/>
      <c r="D25" s="372">
        <f>Input!DH6</f>
        <v>0</v>
      </c>
      <c r="E25" s="372">
        <f>Input!$DI$35</f>
        <v>0</v>
      </c>
      <c r="F25" s="372">
        <f>Input!$DJ$35</f>
        <v>0</v>
      </c>
      <c r="G25" s="372">
        <f>Input!$DK$35</f>
        <v>0</v>
      </c>
      <c r="H25" s="372">
        <f>Input!$DL$35</f>
        <v>0</v>
      </c>
      <c r="I25" s="372">
        <f>Input!$DM$35</f>
        <v>0</v>
      </c>
      <c r="J25" s="372">
        <f>Input!$DN$35</f>
        <v>0</v>
      </c>
      <c r="K25" s="372">
        <f>Input!$DO$35</f>
        <v>0</v>
      </c>
      <c r="L25" s="372">
        <f>Input!$DP$35</f>
        <v>0</v>
      </c>
      <c r="M25" s="567">
        <f t="shared" si="3"/>
        <v>0</v>
      </c>
      <c r="O25" s="434"/>
      <c r="P25" s="276"/>
      <c r="Q25" s="327"/>
      <c r="R25" s="646"/>
      <c r="T25" s="568" t="s">
        <v>1103</v>
      </c>
      <c r="U25" s="569"/>
      <c r="V25" s="569"/>
      <c r="W25" s="653">
        <f>(M26+M39)*-1</f>
        <v>4372243</v>
      </c>
      <c r="X25" s="425"/>
      <c r="Z25" s="330"/>
    </row>
    <row r="26" spans="1:26" s="264" customFormat="1" ht="12.75" customHeight="1">
      <c r="A26" s="263"/>
      <c r="B26" s="261" t="s">
        <v>729</v>
      </c>
      <c r="C26" s="566"/>
      <c r="D26" s="372">
        <f>Input!$DQ$35</f>
        <v>-905678</v>
      </c>
      <c r="E26" s="372">
        <f>Input!$DR$35</f>
        <v>-1903913</v>
      </c>
      <c r="F26" s="372">
        <f>Input!$DS$35</f>
        <v>0</v>
      </c>
      <c r="G26" s="372">
        <f>Input!$DT$35</f>
        <v>0</v>
      </c>
      <c r="H26" s="372">
        <f>Input!$DU$35</f>
        <v>0</v>
      </c>
      <c r="I26" s="372">
        <f>Input!$DV$35</f>
        <v>0</v>
      </c>
      <c r="J26" s="372">
        <f>Input!$DW$35</f>
        <v>0</v>
      </c>
      <c r="K26" s="372">
        <f>Input!$DX$35</f>
        <v>0</v>
      </c>
      <c r="L26" s="372">
        <f>Input!$DY$35</f>
        <v>0</v>
      </c>
      <c r="M26" s="567">
        <f t="shared" si="3"/>
        <v>-2809591</v>
      </c>
      <c r="O26" s="434" t="s">
        <v>1049</v>
      </c>
      <c r="P26" s="276"/>
      <c r="Q26" s="427">
        <f>M36</f>
        <v>27975353</v>
      </c>
      <c r="R26" s="570"/>
      <c r="T26" s="560" t="s">
        <v>1104</v>
      </c>
      <c r="U26" s="266"/>
      <c r="V26" s="266"/>
      <c r="W26" s="571">
        <f>(M21+M34)*-1</f>
        <v>0</v>
      </c>
      <c r="X26" s="425"/>
      <c r="Z26" s="330"/>
    </row>
    <row r="27" spans="1:26" s="264" customFormat="1">
      <c r="A27" s="263"/>
      <c r="B27" s="261" t="s">
        <v>730</v>
      </c>
      <c r="C27" s="566"/>
      <c r="D27" s="372">
        <f>Input!$DZ$35</f>
        <v>-41769</v>
      </c>
      <c r="E27" s="372">
        <f>Input!$EA$35</f>
        <v>-12180</v>
      </c>
      <c r="F27" s="372">
        <f>Input!$EB$35</f>
        <v>0</v>
      </c>
      <c r="G27" s="372">
        <f>Input!$EC$35</f>
        <v>0</v>
      </c>
      <c r="H27" s="372">
        <f>Input!$ED$35</f>
        <v>0</v>
      </c>
      <c r="I27" s="372">
        <f>Input!$EE$35</f>
        <v>0</v>
      </c>
      <c r="J27" s="372">
        <f>Input!$EF$35</f>
        <v>0</v>
      </c>
      <c r="K27" s="372">
        <f>Input!$EG$35</f>
        <v>0</v>
      </c>
      <c r="L27" s="372">
        <f>Input!EH6</f>
        <v>0</v>
      </c>
      <c r="M27" s="567">
        <f t="shared" si="3"/>
        <v>-53949</v>
      </c>
      <c r="O27" s="434"/>
      <c r="P27" s="276"/>
      <c r="Q27" s="427"/>
      <c r="R27" s="570"/>
      <c r="T27" s="650" t="s">
        <v>1105</v>
      </c>
      <c r="U27" s="584"/>
      <c r="V27" s="584"/>
      <c r="W27" s="654">
        <f>SUM(W25:W26)</f>
        <v>4372243</v>
      </c>
      <c r="X27" s="655"/>
    </row>
    <row r="28" spans="1:26" s="264" customFormat="1">
      <c r="A28" s="263"/>
      <c r="B28" s="261" t="s">
        <v>2133</v>
      </c>
      <c r="C28" s="566"/>
      <c r="D28" s="372">
        <f>Input!$EI$35</f>
        <v>-3907335</v>
      </c>
      <c r="E28" s="372">
        <f>Input!$EJ$35</f>
        <v>-7577482</v>
      </c>
      <c r="F28" s="372">
        <f>Input!$EK$35</f>
        <v>0</v>
      </c>
      <c r="G28" s="372">
        <f>Input!$EL$35</f>
        <v>0</v>
      </c>
      <c r="H28" s="372">
        <f>Input!$EM$35</f>
        <v>0</v>
      </c>
      <c r="I28" s="372">
        <f>Input!$EN$35</f>
        <v>0</v>
      </c>
      <c r="J28" s="372">
        <f>Input!$EO$35</f>
        <v>0</v>
      </c>
      <c r="K28" s="372">
        <f>Input!$EP$35</f>
        <v>0</v>
      </c>
      <c r="L28" s="372">
        <f>Input!$EQ$35</f>
        <v>0</v>
      </c>
      <c r="M28" s="567">
        <f t="shared" si="3"/>
        <v>-11484817</v>
      </c>
      <c r="O28" s="417" t="s">
        <v>1050</v>
      </c>
      <c r="Q28" s="429"/>
      <c r="R28" s="646">
        <f>SUM(M37:M41)</f>
        <v>-9588554</v>
      </c>
      <c r="T28" s="560" t="s">
        <v>1106</v>
      </c>
      <c r="U28" s="266"/>
      <c r="V28" s="266"/>
      <c r="W28" s="425">
        <f>(M27+M40)*-1</f>
        <v>67883</v>
      </c>
      <c r="X28" s="655"/>
      <c r="Z28" s="330"/>
    </row>
    <row r="29" spans="1:26" s="264" customFormat="1" ht="12" customHeight="1">
      <c r="A29" s="263"/>
      <c r="B29" s="575" t="s">
        <v>39</v>
      </c>
      <c r="C29" s="563"/>
      <c r="D29" s="374">
        <f t="shared" ref="D29:L29" si="4">SUM(D23:D28)</f>
        <v>8967008</v>
      </c>
      <c r="E29" s="374">
        <f t="shared" si="4"/>
        <v>17389693</v>
      </c>
      <c r="F29" s="374">
        <f t="shared" si="4"/>
        <v>0</v>
      </c>
      <c r="G29" s="374">
        <f t="shared" si="4"/>
        <v>0</v>
      </c>
      <c r="H29" s="374">
        <f t="shared" si="4"/>
        <v>0</v>
      </c>
      <c r="I29" s="374">
        <f t="shared" si="4"/>
        <v>0</v>
      </c>
      <c r="J29" s="374">
        <f t="shared" si="4"/>
        <v>0</v>
      </c>
      <c r="K29" s="374">
        <f t="shared" si="4"/>
        <v>0</v>
      </c>
      <c r="L29" s="374">
        <f t="shared" si="4"/>
        <v>0</v>
      </c>
      <c r="M29" s="374">
        <f t="shared" si="3"/>
        <v>26356701</v>
      </c>
      <c r="O29" s="417"/>
      <c r="Q29" s="429"/>
      <c r="R29" s="576"/>
      <c r="T29" s="560" t="s">
        <v>1107</v>
      </c>
      <c r="U29" s="266"/>
      <c r="V29" s="266"/>
      <c r="W29" s="571">
        <f>(M22+M35)*-1</f>
        <v>0</v>
      </c>
      <c r="X29" s="655"/>
    </row>
    <row r="30" spans="1:26" s="264" customFormat="1" ht="16.5" customHeight="1">
      <c r="A30" s="263"/>
      <c r="B30" s="261"/>
      <c r="C30" s="566"/>
      <c r="D30" s="566"/>
      <c r="E30" s="566"/>
      <c r="F30" s="566"/>
      <c r="G30" s="566"/>
      <c r="H30" s="566"/>
      <c r="I30" s="566"/>
      <c r="J30" s="566"/>
      <c r="K30" s="566"/>
      <c r="L30" s="566"/>
      <c r="M30" s="567"/>
      <c r="O30" s="431" t="s">
        <v>289</v>
      </c>
      <c r="P30" s="432"/>
      <c r="Q30" s="433">
        <f>Q26+Q22</f>
        <v>68680411</v>
      </c>
      <c r="R30" s="647">
        <f>R28+R24</f>
        <v>-23936911</v>
      </c>
      <c r="T30" s="650" t="s">
        <v>1108</v>
      </c>
      <c r="U30" s="584"/>
      <c r="V30" s="584"/>
      <c r="W30" s="654">
        <f>SUM(W28:W29)</f>
        <v>67883</v>
      </c>
      <c r="X30" s="655"/>
    </row>
    <row r="31" spans="1:26" s="264" customFormat="1" ht="12.75" customHeight="1">
      <c r="A31" s="263"/>
      <c r="B31" s="558" t="s">
        <v>1052</v>
      </c>
      <c r="C31" s="558"/>
      <c r="D31" s="374">
        <f t="shared" ref="D31:L31" si="5">D36-SUM(D32:D35)</f>
        <v>0</v>
      </c>
      <c r="E31" s="374">
        <f t="shared" si="5"/>
        <v>17973884</v>
      </c>
      <c r="F31" s="374">
        <f t="shared" si="5"/>
        <v>10001469</v>
      </c>
      <c r="G31" s="374">
        <f t="shared" si="5"/>
        <v>0</v>
      </c>
      <c r="H31" s="374">
        <f t="shared" si="5"/>
        <v>0</v>
      </c>
      <c r="I31" s="374">
        <f t="shared" si="5"/>
        <v>0</v>
      </c>
      <c r="J31" s="374">
        <f t="shared" si="5"/>
        <v>0</v>
      </c>
      <c r="K31" s="374">
        <f t="shared" si="5"/>
        <v>0</v>
      </c>
      <c r="L31" s="374">
        <f t="shared" si="5"/>
        <v>0</v>
      </c>
      <c r="M31" s="374">
        <f t="shared" ref="M31:M42" si="6">D31+E31+F31+G31+H31+I31+J31+K31+L31</f>
        <v>27975353</v>
      </c>
      <c r="O31" s="434" t="s">
        <v>290</v>
      </c>
      <c r="P31" s="276"/>
      <c r="Q31" s="335"/>
      <c r="R31" s="562"/>
      <c r="T31" s="572" t="s">
        <v>1109</v>
      </c>
      <c r="U31" s="573"/>
      <c r="V31" s="573"/>
      <c r="W31" s="574">
        <f>W27+W30</f>
        <v>4440126</v>
      </c>
      <c r="X31" s="425"/>
      <c r="Z31" s="330"/>
    </row>
    <row r="32" spans="1:26" s="264" customFormat="1" ht="12.75" customHeight="1">
      <c r="A32" s="263"/>
      <c r="B32" s="261" t="s">
        <v>722</v>
      </c>
      <c r="C32" s="261"/>
      <c r="D32" s="372">
        <f>Input!$ER$35</f>
        <v>0</v>
      </c>
      <c r="E32" s="372">
        <f>Input!$ES$35</f>
        <v>0</v>
      </c>
      <c r="F32" s="372">
        <f>Input!$ET$35</f>
        <v>0</v>
      </c>
      <c r="G32" s="372">
        <f>Input!$EU$35</f>
        <v>0</v>
      </c>
      <c r="H32" s="372">
        <f>Input!$EV$35</f>
        <v>0</v>
      </c>
      <c r="I32" s="372">
        <f>Input!$EW$35</f>
        <v>0</v>
      </c>
      <c r="J32" s="372">
        <f>Input!$EX$35</f>
        <v>0</v>
      </c>
      <c r="K32" s="372">
        <f>Input!$EY$35</f>
        <v>0</v>
      </c>
      <c r="L32" s="372">
        <f>Input!$EZ$35</f>
        <v>0</v>
      </c>
      <c r="M32" s="567">
        <f t="shared" si="6"/>
        <v>0</v>
      </c>
      <c r="O32" s="415" t="s">
        <v>1295</v>
      </c>
      <c r="P32" s="416"/>
      <c r="Q32" s="577">
        <f>Input!$SQ$35</f>
        <v>68680411</v>
      </c>
      <c r="R32" s="578"/>
      <c r="T32" s="560"/>
      <c r="U32" s="266"/>
      <c r="V32" s="266"/>
      <c r="X32" s="425"/>
      <c r="Z32" s="330"/>
    </row>
    <row r="33" spans="1:24" s="264" customFormat="1">
      <c r="A33" s="263"/>
      <c r="B33" s="261" t="s">
        <v>723</v>
      </c>
      <c r="C33" s="261"/>
      <c r="D33" s="372">
        <f>Input!$FA$35</f>
        <v>0</v>
      </c>
      <c r="E33" s="372">
        <f>Input!$FB$35</f>
        <v>0</v>
      </c>
      <c r="F33" s="372">
        <f>Input!$FC$35</f>
        <v>0</v>
      </c>
      <c r="G33" s="372">
        <f>Input!$FD$35</f>
        <v>0</v>
      </c>
      <c r="H33" s="372">
        <f>Input!$FE$35</f>
        <v>0</v>
      </c>
      <c r="I33" s="372">
        <f>Input!$FF$35</f>
        <v>0</v>
      </c>
      <c r="J33" s="372">
        <f>Input!$FG$35</f>
        <v>0</v>
      </c>
      <c r="K33" s="372">
        <f>Input!$FH$35</f>
        <v>0</v>
      </c>
      <c r="L33" s="372">
        <f>Input!$FI$35</f>
        <v>0</v>
      </c>
      <c r="M33" s="567">
        <f t="shared" si="6"/>
        <v>0</v>
      </c>
      <c r="O33" s="415"/>
      <c r="P33" s="416"/>
      <c r="Q33" s="327"/>
      <c r="R33" s="578"/>
      <c r="T33" s="560" t="s">
        <v>1051</v>
      </c>
      <c r="U33" s="266"/>
      <c r="V33" s="266"/>
      <c r="W33" s="334">
        <f>(M19+M32)*-1</f>
        <v>3874804</v>
      </c>
      <c r="X33" s="425"/>
    </row>
    <row r="34" spans="1:24" s="264" customFormat="1">
      <c r="A34" s="263"/>
      <c r="B34" s="261" t="s">
        <v>724</v>
      </c>
      <c r="C34" s="261"/>
      <c r="D34" s="372">
        <f>Input!$FJ$35</f>
        <v>0</v>
      </c>
      <c r="E34" s="372">
        <f>Input!$FK$35</f>
        <v>0</v>
      </c>
      <c r="F34" s="372">
        <f>Input!$FL$35</f>
        <v>0</v>
      </c>
      <c r="G34" s="372">
        <f>Input!$FM$35</f>
        <v>0</v>
      </c>
      <c r="H34" s="372">
        <f>Input!$FN$35</f>
        <v>0</v>
      </c>
      <c r="I34" s="372">
        <f>Input!$FO$35</f>
        <v>0</v>
      </c>
      <c r="J34" s="372">
        <f>Input!$FP$35</f>
        <v>0</v>
      </c>
      <c r="K34" s="372">
        <f>Input!$FQ$35</f>
        <v>0</v>
      </c>
      <c r="L34" s="372">
        <f>Input!$FR$35</f>
        <v>0</v>
      </c>
      <c r="M34" s="567">
        <f t="shared" si="6"/>
        <v>0</v>
      </c>
      <c r="O34" s="435" t="s">
        <v>1296</v>
      </c>
      <c r="P34" s="436"/>
      <c r="Q34" s="264" t="s">
        <v>291</v>
      </c>
      <c r="R34" s="648">
        <f>Input!$SR$35</f>
        <v>-23936911</v>
      </c>
      <c r="T34" s="560" t="s">
        <v>1110</v>
      </c>
      <c r="U34" s="266"/>
      <c r="V34" s="266"/>
      <c r="W34" s="430">
        <f>(M24+M37)*-1</f>
        <v>0</v>
      </c>
      <c r="X34" s="425"/>
    </row>
    <row r="35" spans="1:24" s="264" customFormat="1" ht="13.5" thickBot="1">
      <c r="A35" s="263"/>
      <c r="B35" s="261" t="s">
        <v>725</v>
      </c>
      <c r="C35" s="261"/>
      <c r="D35" s="372">
        <f>Input!$FS$35</f>
        <v>0</v>
      </c>
      <c r="E35" s="372">
        <f>Input!$FT$35</f>
        <v>0</v>
      </c>
      <c r="F35" s="372">
        <f>Input!$FU$35</f>
        <v>0</v>
      </c>
      <c r="G35" s="372">
        <f>Input!$FV$35</f>
        <v>0</v>
      </c>
      <c r="H35" s="372">
        <f>Input!$FW$35</f>
        <v>0</v>
      </c>
      <c r="I35" s="372">
        <f>Input!$FX$35</f>
        <v>0</v>
      </c>
      <c r="J35" s="372">
        <f>Input!$FY$35</f>
        <v>0</v>
      </c>
      <c r="K35" s="372">
        <f>Input!$FZ$35</f>
        <v>0</v>
      </c>
      <c r="L35" s="372">
        <f>Input!$GA$35</f>
        <v>0</v>
      </c>
      <c r="M35" s="567">
        <f t="shared" si="6"/>
        <v>0</v>
      </c>
      <c r="O35" s="418" t="s">
        <v>286</v>
      </c>
      <c r="P35" s="419"/>
      <c r="Q35" s="420">
        <f>Q30-Q32</f>
        <v>0</v>
      </c>
      <c r="R35" s="649">
        <f>R30-R34</f>
        <v>0</v>
      </c>
      <c r="T35" s="650" t="s">
        <v>1111</v>
      </c>
      <c r="U35" s="584"/>
      <c r="V35" s="584"/>
      <c r="W35" s="656">
        <f>SUM(W33:W34)</f>
        <v>3874804</v>
      </c>
      <c r="X35" s="655"/>
    </row>
    <row r="36" spans="1:24" s="264" customFormat="1" ht="13.5" thickTop="1">
      <c r="A36" s="263"/>
      <c r="B36" s="558" t="s">
        <v>732</v>
      </c>
      <c r="C36" s="563"/>
      <c r="D36" s="564">
        <f>Input!$GB$35</f>
        <v>0</v>
      </c>
      <c r="E36" s="564">
        <f>Input!$GC$35</f>
        <v>17973884</v>
      </c>
      <c r="F36" s="564">
        <f>Input!$GD$35</f>
        <v>10001469</v>
      </c>
      <c r="G36" s="564">
        <f>Input!$GE$35</f>
        <v>0</v>
      </c>
      <c r="H36" s="564">
        <f>Input!$GF$35</f>
        <v>0</v>
      </c>
      <c r="I36" s="564">
        <f>Input!$GG$35</f>
        <v>0</v>
      </c>
      <c r="J36" s="564">
        <f>Input!$GH$35</f>
        <v>0</v>
      </c>
      <c r="K36" s="564">
        <f>Input!$GI$35</f>
        <v>0</v>
      </c>
      <c r="L36" s="564">
        <f>Input!$GJ$35</f>
        <v>0</v>
      </c>
      <c r="M36" s="565">
        <f t="shared" si="6"/>
        <v>27975353</v>
      </c>
      <c r="O36" s="261"/>
      <c r="Q36" s="412" t="str">
        <f>IF(Q30&lt;&gt;Q32,"Out of Balance","Balanced")</f>
        <v>Balanced</v>
      </c>
      <c r="R36" s="412" t="str">
        <f>IF(R30&lt;&gt;R34,"Out of Balance","Balanced")</f>
        <v>Balanced</v>
      </c>
      <c r="T36" s="560" t="s">
        <v>1053</v>
      </c>
      <c r="U36" s="266"/>
      <c r="V36" s="266"/>
      <c r="W36" s="334">
        <f>(M20+M33)*-1</f>
        <v>1522154</v>
      </c>
      <c r="X36" s="425"/>
    </row>
    <row r="37" spans="1:24" s="264" customFormat="1">
      <c r="A37" s="263"/>
      <c r="B37" s="261" t="s">
        <v>727</v>
      </c>
      <c r="C37" s="566"/>
      <c r="D37" s="372">
        <f>Input!$GK$35</f>
        <v>0</v>
      </c>
      <c r="E37" s="372">
        <f>Input!$GL$35</f>
        <v>0</v>
      </c>
      <c r="F37" s="372">
        <f>Input!$GM$35</f>
        <v>0</v>
      </c>
      <c r="G37" s="372">
        <f>Input!$GN$35</f>
        <v>0</v>
      </c>
      <c r="H37" s="372">
        <f>Input!$GO$35</f>
        <v>0</v>
      </c>
      <c r="I37" s="372">
        <f>Input!$GP$35</f>
        <v>0</v>
      </c>
      <c r="J37" s="372">
        <f>Input!$GQ$35</f>
        <v>0</v>
      </c>
      <c r="K37" s="372">
        <f>Input!$GR$35</f>
        <v>0</v>
      </c>
      <c r="L37" s="372">
        <f>Input!$GS$35</f>
        <v>0</v>
      </c>
      <c r="M37" s="567">
        <f t="shared" si="6"/>
        <v>0</v>
      </c>
      <c r="O37" s="261"/>
      <c r="T37" s="560" t="s">
        <v>1112</v>
      </c>
      <c r="U37" s="266"/>
      <c r="V37" s="266"/>
      <c r="W37" s="430">
        <f>(M25+M38)*-1</f>
        <v>0</v>
      </c>
      <c r="X37" s="655"/>
    </row>
    <row r="38" spans="1:24" s="264" customFormat="1">
      <c r="A38" s="263"/>
      <c r="B38" s="261" t="s">
        <v>728</v>
      </c>
      <c r="C38" s="566"/>
      <c r="D38" s="372">
        <f>Input!$GT$35</f>
        <v>0</v>
      </c>
      <c r="E38" s="372">
        <f>Input!$GU$35</f>
        <v>0</v>
      </c>
      <c r="F38" s="372">
        <f>Input!$GV$35</f>
        <v>0</v>
      </c>
      <c r="G38" s="372">
        <f>Input!$GW$35</f>
        <v>0</v>
      </c>
      <c r="H38" s="372">
        <f>Input!$GX$35</f>
        <v>0</v>
      </c>
      <c r="I38" s="372">
        <f>Input!$GY$35</f>
        <v>0</v>
      </c>
      <c r="J38" s="372">
        <f>Input!$GZ$35</f>
        <v>0</v>
      </c>
      <c r="K38" s="372">
        <f>Input!$HA$35</f>
        <v>0</v>
      </c>
      <c r="L38" s="372">
        <f>Input!$HB$35</f>
        <v>0</v>
      </c>
      <c r="M38" s="567">
        <f t="shared" si="6"/>
        <v>0</v>
      </c>
      <c r="O38" s="261"/>
      <c r="T38" s="650" t="s">
        <v>1113</v>
      </c>
      <c r="U38" s="584"/>
      <c r="V38" s="584"/>
      <c r="W38" s="656">
        <f>SUM(W36:W37)</f>
        <v>1522154</v>
      </c>
      <c r="X38" s="425"/>
    </row>
    <row r="39" spans="1:24" s="264" customFormat="1">
      <c r="A39" s="263"/>
      <c r="B39" s="261" t="s">
        <v>729</v>
      </c>
      <c r="C39" s="566"/>
      <c r="D39" s="372">
        <f>Input!$HC$35</f>
        <v>0</v>
      </c>
      <c r="E39" s="372">
        <f>Input!$HD$35</f>
        <v>-1117190</v>
      </c>
      <c r="F39" s="372">
        <f>Input!$HE$35</f>
        <v>-445462</v>
      </c>
      <c r="G39" s="372">
        <f>Input!$HF$35</f>
        <v>0</v>
      </c>
      <c r="H39" s="372">
        <f>Input!$HG$35</f>
        <v>0</v>
      </c>
      <c r="I39" s="372">
        <f>Input!$HH$35</f>
        <v>0</v>
      </c>
      <c r="J39" s="372">
        <f>Input!$HI$35</f>
        <v>0</v>
      </c>
      <c r="K39" s="372">
        <f>Input!$HJ$35</f>
        <v>0</v>
      </c>
      <c r="L39" s="372">
        <f>Input!$HK$35</f>
        <v>0</v>
      </c>
      <c r="M39" s="567">
        <f t="shared" si="6"/>
        <v>-1562652</v>
      </c>
      <c r="O39" s="261"/>
      <c r="T39" s="560" t="s">
        <v>1054</v>
      </c>
      <c r="U39" s="266"/>
      <c r="V39" s="266"/>
      <c r="W39" s="334"/>
      <c r="X39" s="425">
        <f>W38+W35</f>
        <v>5396958</v>
      </c>
    </row>
    <row r="40" spans="1:24" s="264" customFormat="1">
      <c r="A40" s="263"/>
      <c r="B40" s="261" t="s">
        <v>730</v>
      </c>
      <c r="C40" s="566"/>
      <c r="D40" s="372">
        <f>Input!$HL$35</f>
        <v>0</v>
      </c>
      <c r="E40" s="372">
        <f>Input!$HM$35</f>
        <v>-7818</v>
      </c>
      <c r="F40" s="372">
        <f>Input!$HN$35</f>
        <v>-6116</v>
      </c>
      <c r="G40" s="372">
        <f>Input!$HO$35</f>
        <v>0</v>
      </c>
      <c r="H40" s="372">
        <f>Input!$HP$35</f>
        <v>0</v>
      </c>
      <c r="I40" s="372">
        <f>Input!$HQ$35</f>
        <v>0</v>
      </c>
      <c r="J40" s="372">
        <f>Input!$HR$35</f>
        <v>0</v>
      </c>
      <c r="K40" s="372">
        <f>Input!$HS$35</f>
        <v>0</v>
      </c>
      <c r="L40" s="372">
        <f>Input!$HT$35</f>
        <v>0</v>
      </c>
      <c r="M40" s="567">
        <f t="shared" si="6"/>
        <v>-13934</v>
      </c>
      <c r="O40" s="261"/>
      <c r="T40" s="560"/>
      <c r="U40" s="261"/>
      <c r="V40" s="261"/>
      <c r="W40" s="261"/>
      <c r="X40" s="655"/>
    </row>
    <row r="41" spans="1:24" s="264" customFormat="1">
      <c r="A41" s="263"/>
      <c r="B41" s="261" t="s">
        <v>2133</v>
      </c>
      <c r="C41" s="566"/>
      <c r="D41" s="372">
        <f>Input!$HU$35</f>
        <v>0</v>
      </c>
      <c r="E41" s="372">
        <f>Input!$HV$35</f>
        <v>-5113597</v>
      </c>
      <c r="F41" s="372">
        <f>Input!$HW$35</f>
        <v>-2898371</v>
      </c>
      <c r="G41" s="372">
        <f>Input!$HX$35</f>
        <v>0</v>
      </c>
      <c r="H41" s="372">
        <f>Input!$HY$35</f>
        <v>0</v>
      </c>
      <c r="I41" s="372">
        <f>Input!$HZ$35</f>
        <v>0</v>
      </c>
      <c r="J41" s="372">
        <f>Input!$IA$35</f>
        <v>0</v>
      </c>
      <c r="K41" s="372">
        <f>Input!$IB$35</f>
        <v>0</v>
      </c>
      <c r="L41" s="372">
        <f>Input!$IC$35</f>
        <v>0</v>
      </c>
      <c r="M41" s="567">
        <f t="shared" si="6"/>
        <v>-8011968</v>
      </c>
      <c r="O41"/>
      <c r="P41"/>
      <c r="Q41"/>
      <c r="R41"/>
      <c r="S41"/>
      <c r="T41" s="560" t="s">
        <v>1104</v>
      </c>
      <c r="U41" s="266"/>
      <c r="V41" s="266"/>
      <c r="W41" s="330">
        <f>(M21+M34)*-1</f>
        <v>0</v>
      </c>
      <c r="X41" s="425"/>
    </row>
    <row r="42" spans="1:24" s="264" customFormat="1">
      <c r="A42" s="263"/>
      <c r="B42" s="575" t="s">
        <v>40</v>
      </c>
      <c r="C42" s="563"/>
      <c r="D42" s="374">
        <f t="shared" ref="D42:L42" si="7">SUM(D36:D41)</f>
        <v>0</v>
      </c>
      <c r="E42" s="374">
        <f t="shared" si="7"/>
        <v>11735279</v>
      </c>
      <c r="F42" s="374">
        <f t="shared" si="7"/>
        <v>6651520</v>
      </c>
      <c r="G42" s="374">
        <f t="shared" si="7"/>
        <v>0</v>
      </c>
      <c r="H42" s="374">
        <f t="shared" si="7"/>
        <v>0</v>
      </c>
      <c r="I42" s="374">
        <f t="shared" si="7"/>
        <v>0</v>
      </c>
      <c r="J42" s="374">
        <f t="shared" si="7"/>
        <v>0</v>
      </c>
      <c r="K42" s="374">
        <f t="shared" si="7"/>
        <v>0</v>
      </c>
      <c r="L42" s="374">
        <f t="shared" si="7"/>
        <v>0</v>
      </c>
      <c r="M42" s="374">
        <f t="shared" si="6"/>
        <v>18386799</v>
      </c>
      <c r="O42"/>
      <c r="P42"/>
      <c r="Q42"/>
      <c r="R42"/>
      <c r="S42"/>
      <c r="T42" s="560" t="s">
        <v>1107</v>
      </c>
      <c r="U42" s="266"/>
      <c r="V42" s="266"/>
      <c r="W42" s="430">
        <f>(M22+M35)*-1</f>
        <v>0</v>
      </c>
      <c r="X42" s="425"/>
    </row>
    <row r="43" spans="1:24" s="264" customFormat="1">
      <c r="A43" s="263"/>
      <c r="B43" s="261"/>
      <c r="C43" s="566"/>
      <c r="D43" s="566"/>
      <c r="E43" s="566"/>
      <c r="F43" s="566"/>
      <c r="G43" s="566"/>
      <c r="H43" s="566"/>
      <c r="I43" s="566"/>
      <c r="J43" s="566"/>
      <c r="K43" s="566"/>
      <c r="L43" s="566"/>
      <c r="M43" s="567"/>
      <c r="O43"/>
      <c r="P43"/>
      <c r="Q43"/>
      <c r="R43"/>
      <c r="S43"/>
      <c r="T43" s="650" t="s">
        <v>1114</v>
      </c>
      <c r="U43" s="584"/>
      <c r="V43" s="584"/>
      <c r="W43" s="656">
        <f>SUM(W41:W42)</f>
        <v>0</v>
      </c>
      <c r="X43" s="655"/>
    </row>
    <row r="44" spans="1:24" s="264" customFormat="1" ht="13.5" customHeight="1">
      <c r="A44" s="263"/>
      <c r="B44" s="575" t="s">
        <v>1055</v>
      </c>
      <c r="C44" s="563"/>
      <c r="D44" s="374">
        <f t="shared" ref="D44:L44" si="8">D42+D29</f>
        <v>8967008</v>
      </c>
      <c r="E44" s="374">
        <f t="shared" si="8"/>
        <v>29124972</v>
      </c>
      <c r="F44" s="374">
        <f t="shared" si="8"/>
        <v>6651520</v>
      </c>
      <c r="G44" s="374">
        <f t="shared" si="8"/>
        <v>0</v>
      </c>
      <c r="H44" s="374">
        <f t="shared" si="8"/>
        <v>0</v>
      </c>
      <c r="I44" s="374">
        <f t="shared" si="8"/>
        <v>0</v>
      </c>
      <c r="J44" s="374">
        <f t="shared" si="8"/>
        <v>0</v>
      </c>
      <c r="K44" s="374">
        <f t="shared" si="8"/>
        <v>0</v>
      </c>
      <c r="L44" s="374">
        <f t="shared" si="8"/>
        <v>0</v>
      </c>
      <c r="M44" s="374">
        <f>D44+E44+F44+G44+H44+I44+J44+K44+L44</f>
        <v>44743500</v>
      </c>
      <c r="O44"/>
      <c r="P44"/>
      <c r="Q44"/>
      <c r="R44"/>
      <c r="S44"/>
      <c r="T44" s="560"/>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0"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0" t="s">
        <v>1112</v>
      </c>
      <c r="U46" s="266"/>
      <c r="V46" s="266"/>
      <c r="W46" s="430">
        <f>(M25+M38)*-1</f>
        <v>0</v>
      </c>
      <c r="X46" s="425"/>
    </row>
    <row r="47" spans="1:24">
      <c r="A47" s="184">
        <v>30</v>
      </c>
      <c r="B47" s="176" t="s">
        <v>7</v>
      </c>
      <c r="C47" s="176"/>
      <c r="D47" s="375">
        <f>Input!$ID$35</f>
        <v>0</v>
      </c>
      <c r="E47" s="375">
        <f>Input!$IE$35</f>
        <v>0</v>
      </c>
      <c r="F47" s="375">
        <f>Input!$IF$35</f>
        <v>0</v>
      </c>
      <c r="G47" s="375">
        <f>Input!$IG$35</f>
        <v>32115992</v>
      </c>
      <c r="H47" s="375">
        <f>Input!$IH$35</f>
        <v>0</v>
      </c>
      <c r="I47" s="375">
        <f>Input!$II$35</f>
        <v>0</v>
      </c>
      <c r="J47" s="375">
        <f>Input!$IJ$35</f>
        <v>0</v>
      </c>
      <c r="K47" s="375">
        <f>Input!$IK$35</f>
        <v>0</v>
      </c>
      <c r="L47" s="375">
        <f>Input!$IL$35</f>
        <v>0</v>
      </c>
      <c r="M47" s="374">
        <f>D47+E47+F47+G47+H47+I47+J47+K47+L47</f>
        <v>32115992</v>
      </c>
      <c r="N47" s="160"/>
      <c r="O47"/>
      <c r="P47"/>
      <c r="Q47"/>
      <c r="R47"/>
      <c r="S47"/>
      <c r="T47" s="657" t="s">
        <v>1115</v>
      </c>
      <c r="U47" s="27"/>
      <c r="V47" s="27"/>
      <c r="W47" s="656">
        <f>SUM(W45:W46)</f>
        <v>0</v>
      </c>
      <c r="X47" s="655"/>
    </row>
    <row r="48" spans="1:24">
      <c r="A48" s="184">
        <v>31</v>
      </c>
      <c r="B48" s="160"/>
      <c r="C48" s="160"/>
      <c r="D48" s="373"/>
      <c r="E48" s="373"/>
      <c r="F48" s="373"/>
      <c r="G48" s="373"/>
      <c r="H48" s="373"/>
      <c r="I48" s="373"/>
      <c r="J48" s="373"/>
      <c r="K48" s="373"/>
      <c r="L48" s="373"/>
      <c r="M48" s="373"/>
      <c r="N48" s="160"/>
      <c r="O48"/>
      <c r="P48"/>
      <c r="Q48"/>
      <c r="R48"/>
      <c r="S48"/>
      <c r="T48" s="560"/>
      <c r="U48" s="261"/>
      <c r="V48" s="261"/>
      <c r="W48" s="261"/>
      <c r="X48" s="658">
        <f>W43-W47</f>
        <v>0</v>
      </c>
    </row>
    <row r="49" spans="1:28">
      <c r="A49" s="184">
        <v>32</v>
      </c>
      <c r="B49" s="172" t="s">
        <v>8</v>
      </c>
      <c r="C49" s="172"/>
      <c r="D49" s="373"/>
      <c r="E49" s="373"/>
      <c r="F49" s="373"/>
      <c r="G49" s="373"/>
      <c r="H49" s="373"/>
      <c r="I49" s="373"/>
      <c r="J49" s="373"/>
      <c r="K49" s="373"/>
      <c r="L49" s="373"/>
      <c r="M49" s="373"/>
      <c r="N49" s="160"/>
      <c r="O49" s="273"/>
      <c r="T49" s="579" t="s">
        <v>287</v>
      </c>
      <c r="U49" s="511"/>
      <c r="V49" s="580"/>
      <c r="W49" s="580"/>
      <c r="X49" s="574">
        <f>SUM(X23:X48)</f>
        <v>74077369</v>
      </c>
    </row>
    <row r="50" spans="1:28">
      <c r="A50" s="184">
        <v>33</v>
      </c>
      <c r="B50" s="160" t="s">
        <v>42</v>
      </c>
      <c r="C50" s="160"/>
      <c r="D50" s="372">
        <f>Input!$IM$35</f>
        <v>28296</v>
      </c>
      <c r="E50" s="372">
        <f>Input!$IN$35</f>
        <v>724236</v>
      </c>
      <c r="F50" s="372">
        <f>Input!$IO$35</f>
        <v>0</v>
      </c>
      <c r="G50" s="372">
        <f>Input!$IP$35</f>
        <v>10921136</v>
      </c>
      <c r="H50" s="372">
        <f>Input!$IQ$35</f>
        <v>12121</v>
      </c>
      <c r="I50" s="372">
        <f>Input!$IR$35</f>
        <v>16494</v>
      </c>
      <c r="J50" s="372">
        <f>Input!$IS$35</f>
        <v>0</v>
      </c>
      <c r="K50" s="372">
        <f>Input!$IT$35</f>
        <v>0</v>
      </c>
      <c r="L50" s="372">
        <f>Input!$IU$35</f>
        <v>0</v>
      </c>
      <c r="M50" s="373">
        <f t="shared" ref="M50:M57" si="9">D50+E50+F50+G50+H50+I50+J50+K50+L50</f>
        <v>11702283</v>
      </c>
      <c r="N50" s="160"/>
      <c r="O50" s="273"/>
      <c r="U50" s="275"/>
    </row>
    <row r="51" spans="1:28">
      <c r="A51" s="184">
        <v>34</v>
      </c>
      <c r="B51" s="160" t="s">
        <v>9</v>
      </c>
      <c r="C51" s="160"/>
      <c r="D51" s="372">
        <f>Input!$IV$35</f>
        <v>0</v>
      </c>
      <c r="E51" s="372">
        <f>Input!$IW$35</f>
        <v>0</v>
      </c>
      <c r="F51" s="372">
        <f>Input!$IX$35</f>
        <v>0</v>
      </c>
      <c r="G51" s="372">
        <f>Input!$IY$35</f>
        <v>0</v>
      </c>
      <c r="H51" s="372">
        <f>Input!$IZ$35</f>
        <v>0</v>
      </c>
      <c r="I51" s="372">
        <f>Input!$JA$35</f>
        <v>0</v>
      </c>
      <c r="J51" s="372">
        <f>Input!$JB$35</f>
        <v>0</v>
      </c>
      <c r="K51" s="372">
        <f>Input!$JC$35</f>
        <v>0</v>
      </c>
      <c r="L51" s="372">
        <f>Input!$JD$35</f>
        <v>0</v>
      </c>
      <c r="M51" s="376">
        <f t="shared" si="9"/>
        <v>0</v>
      </c>
      <c r="N51" s="160"/>
      <c r="Y51" s="277"/>
    </row>
    <row r="52" spans="1:28">
      <c r="A52" s="184">
        <v>35</v>
      </c>
      <c r="B52" s="160" t="s">
        <v>10</v>
      </c>
      <c r="C52" s="160"/>
      <c r="D52" s="372">
        <f>Input!$JE$35</f>
        <v>0</v>
      </c>
      <c r="E52" s="372">
        <f>Input!$JF$35</f>
        <v>21564.999999999996</v>
      </c>
      <c r="F52" s="372">
        <f>Input!$JG$35</f>
        <v>0</v>
      </c>
      <c r="G52" s="372">
        <f>Input!$JH$35</f>
        <v>5033965</v>
      </c>
      <c r="H52" s="372">
        <f>Input!$JI$35</f>
        <v>0</v>
      </c>
      <c r="I52" s="372">
        <f>Input!$JJ$35</f>
        <v>7156702</v>
      </c>
      <c r="J52" s="372">
        <f>Input!$JK$35</f>
        <v>0</v>
      </c>
      <c r="K52" s="372">
        <f>Input!$JL$35</f>
        <v>0</v>
      </c>
      <c r="L52" s="372">
        <f>Input!$JM$35</f>
        <v>0</v>
      </c>
      <c r="M52" s="373">
        <f t="shared" si="9"/>
        <v>12212232</v>
      </c>
      <c r="N52" s="160"/>
      <c r="O52" s="273"/>
      <c r="P52" s="278"/>
    </row>
    <row r="53" spans="1:28">
      <c r="A53" s="184">
        <v>36</v>
      </c>
      <c r="B53" s="160" t="s">
        <v>11</v>
      </c>
      <c r="C53" s="160"/>
      <c r="D53" s="372">
        <f>Input!$JN$35</f>
        <v>170681</v>
      </c>
      <c r="E53" s="372">
        <f>Input!$JO$35</f>
        <v>711472</v>
      </c>
      <c r="F53" s="372">
        <f>Input!$JP$35</f>
        <v>0</v>
      </c>
      <c r="G53" s="372">
        <f>Input!$JQ$35</f>
        <v>0</v>
      </c>
      <c r="H53" s="372">
        <f>Input!$JR$35</f>
        <v>0</v>
      </c>
      <c r="I53" s="372">
        <f>Input!$JS$35</f>
        <v>0</v>
      </c>
      <c r="J53" s="372">
        <f>Input!$JT$35</f>
        <v>0</v>
      </c>
      <c r="K53" s="372">
        <f>Input!$JU$35</f>
        <v>0</v>
      </c>
      <c r="L53" s="372">
        <f>Input!$JV$35</f>
        <v>0</v>
      </c>
      <c r="M53" s="373">
        <f t="shared" si="9"/>
        <v>882153</v>
      </c>
      <c r="N53" s="160"/>
      <c r="O53" s="273"/>
    </row>
    <row r="54" spans="1:28" ht="13.5" thickBot="1">
      <c r="A54" s="184">
        <v>37</v>
      </c>
      <c r="B54" s="177" t="s">
        <v>2134</v>
      </c>
      <c r="C54" s="177"/>
      <c r="D54" s="372">
        <f>Input!$JW$35</f>
        <v>0</v>
      </c>
      <c r="E54" s="372">
        <f>Input!$JX$35</f>
        <v>0</v>
      </c>
      <c r="F54" s="372">
        <f>Input!$JY$35</f>
        <v>10470932</v>
      </c>
      <c r="G54" s="372">
        <f>Input!$JZ$35</f>
        <v>0</v>
      </c>
      <c r="H54" s="372">
        <f>Input!$KA$35</f>
        <v>0</v>
      </c>
      <c r="I54" s="372">
        <f>Input!$KB$35</f>
        <v>0</v>
      </c>
      <c r="J54" s="372">
        <f>Input!$KC$35</f>
        <v>0</v>
      </c>
      <c r="K54" s="372">
        <f>Input!$KD$35</f>
        <v>0</v>
      </c>
      <c r="L54" s="372">
        <f>Input!$KE$35</f>
        <v>0</v>
      </c>
      <c r="M54" s="373">
        <f t="shared" si="9"/>
        <v>10470932</v>
      </c>
      <c r="N54" s="160"/>
      <c r="O54" s="273"/>
    </row>
    <row r="55" spans="1:28" ht="14.25" thickTop="1" thickBot="1">
      <c r="A55" s="184">
        <v>38</v>
      </c>
      <c r="B55" s="160" t="s">
        <v>43</v>
      </c>
      <c r="C55" s="160"/>
      <c r="D55" s="372">
        <f>Input!$KF$35</f>
        <v>39005</v>
      </c>
      <c r="E55" s="372">
        <f>Input!$KG$35</f>
        <v>1044110</v>
      </c>
      <c r="F55" s="372">
        <f>Input!$KH$35</f>
        <v>401844</v>
      </c>
      <c r="G55" s="372">
        <f>Input!$KI$35</f>
        <v>1079117</v>
      </c>
      <c r="H55" s="372">
        <f>Input!$KJ$35</f>
        <v>1521</v>
      </c>
      <c r="I55" s="372">
        <f>Input!$KK$35</f>
        <v>1000000</v>
      </c>
      <c r="J55" s="372">
        <f>Input!$KL$35</f>
        <v>1294932</v>
      </c>
      <c r="K55" s="372">
        <f>Input!$KM$35</f>
        <v>0</v>
      </c>
      <c r="L55" s="372">
        <f>Input!$KN$35</f>
        <v>45693</v>
      </c>
      <c r="M55" s="373">
        <f t="shared" si="9"/>
        <v>4906222</v>
      </c>
      <c r="N55" s="160"/>
      <c r="O55" s="1616" t="s">
        <v>251</v>
      </c>
      <c r="P55" s="1617"/>
      <c r="Q55" s="1617"/>
      <c r="R55" s="1618"/>
      <c r="S55" s="437"/>
      <c r="T55" s="1619" t="s">
        <v>252</v>
      </c>
      <c r="U55" s="1620"/>
      <c r="V55" s="1620"/>
      <c r="W55" s="1620"/>
      <c r="X55" s="1621"/>
      <c r="Y55" s="320"/>
      <c r="Z55" s="1749" t="s">
        <v>1301</v>
      </c>
      <c r="AA55" s="1750"/>
      <c r="AB55" s="1751"/>
    </row>
    <row r="56" spans="1:28" ht="13.5" customHeight="1" thickTop="1">
      <c r="A56" s="184">
        <v>39</v>
      </c>
      <c r="B56" s="176" t="s">
        <v>3</v>
      </c>
      <c r="C56" s="176"/>
      <c r="D56" s="374">
        <f>SUM(D50:D55)</f>
        <v>237982</v>
      </c>
      <c r="E56" s="374">
        <f t="shared" ref="E56:L56" si="10">SUM(E50:E55)</f>
        <v>2501383</v>
      </c>
      <c r="F56" s="374">
        <f t="shared" si="10"/>
        <v>10872776</v>
      </c>
      <c r="G56" s="374">
        <f t="shared" si="10"/>
        <v>17034218</v>
      </c>
      <c r="H56" s="374">
        <f t="shared" si="10"/>
        <v>13642</v>
      </c>
      <c r="I56" s="374">
        <f t="shared" si="10"/>
        <v>8173196</v>
      </c>
      <c r="J56" s="374">
        <f t="shared" si="10"/>
        <v>1294932</v>
      </c>
      <c r="K56" s="374">
        <f t="shared" si="10"/>
        <v>0</v>
      </c>
      <c r="L56" s="374">
        <f t="shared" si="10"/>
        <v>45693</v>
      </c>
      <c r="M56" s="374">
        <f t="shared" si="9"/>
        <v>40173822</v>
      </c>
      <c r="N56" s="160"/>
      <c r="O56" s="1622" t="s">
        <v>1135</v>
      </c>
      <c r="P56" s="1625" t="s">
        <v>254</v>
      </c>
      <c r="Q56" s="1625" t="s">
        <v>292</v>
      </c>
      <c r="R56" s="1628" t="s">
        <v>1063</v>
      </c>
      <c r="S56" s="280"/>
      <c r="T56" s="1739" t="s">
        <v>1136</v>
      </c>
      <c r="U56" s="1637" t="s">
        <v>254</v>
      </c>
      <c r="V56" s="1634" t="s">
        <v>256</v>
      </c>
      <c r="W56" s="1637" t="s">
        <v>257</v>
      </c>
      <c r="X56" s="1638" t="s">
        <v>1064</v>
      </c>
      <c r="Z56" s="1754" t="s">
        <v>1302</v>
      </c>
      <c r="AA56" s="1747" t="s">
        <v>1303</v>
      </c>
      <c r="AB56" s="1752" t="s">
        <v>238</v>
      </c>
    </row>
    <row r="57" spans="1:28">
      <c r="A57" s="184">
        <v>40</v>
      </c>
      <c r="B57" s="162" t="s">
        <v>68</v>
      </c>
      <c r="C57" s="162"/>
      <c r="D57" s="374">
        <f>D15+D44+D47+D56</f>
        <v>58507245</v>
      </c>
      <c r="E57" s="374">
        <f t="shared" ref="E57:L57" si="11">E15+E44+E47+E56</f>
        <v>31626355</v>
      </c>
      <c r="F57" s="374">
        <f t="shared" si="11"/>
        <v>17524296</v>
      </c>
      <c r="G57" s="374">
        <f t="shared" si="11"/>
        <v>49162281</v>
      </c>
      <c r="H57" s="374">
        <f t="shared" si="11"/>
        <v>13642</v>
      </c>
      <c r="I57" s="374">
        <f t="shared" si="11"/>
        <v>8173196</v>
      </c>
      <c r="J57" s="374">
        <f t="shared" si="11"/>
        <v>1294932</v>
      </c>
      <c r="K57" s="374">
        <f t="shared" si="11"/>
        <v>0</v>
      </c>
      <c r="L57" s="374">
        <f t="shared" si="11"/>
        <v>45693</v>
      </c>
      <c r="M57" s="374">
        <f t="shared" si="9"/>
        <v>166347640</v>
      </c>
      <c r="N57" s="160"/>
      <c r="O57" s="1623"/>
      <c r="P57" s="1626"/>
      <c r="Q57" s="1626"/>
      <c r="R57" s="1629"/>
      <c r="S57" s="280"/>
      <c r="T57" s="1740"/>
      <c r="U57" s="1626"/>
      <c r="V57" s="1635"/>
      <c r="W57" s="1626"/>
      <c r="X57" s="1639"/>
      <c r="Z57" s="1755"/>
      <c r="AA57" s="1747"/>
      <c r="AB57" s="1752"/>
    </row>
    <row r="58" spans="1:28">
      <c r="A58" s="184">
        <v>41</v>
      </c>
      <c r="B58" s="160"/>
      <c r="C58" s="160"/>
      <c r="D58" s="373"/>
      <c r="E58" s="373"/>
      <c r="F58" s="373"/>
      <c r="G58" s="373"/>
      <c r="H58" s="373"/>
      <c r="I58" s="373"/>
      <c r="J58" s="373"/>
      <c r="K58" s="373"/>
      <c r="L58" s="373"/>
      <c r="M58" s="373"/>
      <c r="N58" s="160"/>
      <c r="O58" s="1623"/>
      <c r="P58" s="1626"/>
      <c r="Q58" s="1626"/>
      <c r="R58" s="1629"/>
      <c r="S58" s="280"/>
      <c r="T58" s="1740"/>
      <c r="U58" s="1626"/>
      <c r="V58" s="1635"/>
      <c r="W58" s="1626"/>
      <c r="X58" s="1639"/>
      <c r="Z58" s="1755"/>
      <c r="AA58" s="1747"/>
      <c r="AB58" s="1752"/>
    </row>
    <row r="59" spans="1:28" ht="14.25" customHeight="1">
      <c r="A59" s="184">
        <v>42</v>
      </c>
      <c r="B59" s="174" t="s">
        <v>72</v>
      </c>
      <c r="C59" s="174"/>
      <c r="D59" s="377"/>
      <c r="E59" s="377"/>
      <c r="F59" s="377"/>
      <c r="G59" s="1746" t="str">
        <f>IF(OR(P105&gt;0,P106&lt;&gt;0,P107&lt;&gt;0),"Do not Enter Cents - Whole Dollars Only","")</f>
        <v/>
      </c>
      <c r="H59" s="1746"/>
      <c r="I59" s="1746"/>
      <c r="J59" s="1746"/>
      <c r="K59" s="1746"/>
      <c r="L59" s="377"/>
      <c r="M59" s="377"/>
      <c r="N59" s="160"/>
      <c r="O59" s="1624"/>
      <c r="P59" s="1627"/>
      <c r="Q59" s="1627"/>
      <c r="R59" s="1630"/>
      <c r="S59" s="280"/>
      <c r="T59" s="1741"/>
      <c r="U59" s="1627"/>
      <c r="V59" s="1636"/>
      <c r="W59" s="1627"/>
      <c r="X59" s="1640"/>
      <c r="Z59" s="1756"/>
      <c r="AA59" s="1748"/>
      <c r="AB59" s="1753"/>
    </row>
    <row r="60" spans="1:28" ht="13.5" thickBot="1">
      <c r="A60" s="184">
        <v>43</v>
      </c>
      <c r="B60" s="160" t="s">
        <v>14</v>
      </c>
      <c r="C60" s="160"/>
      <c r="D60" s="372">
        <f>Input!$KO$35</f>
        <v>31807288</v>
      </c>
      <c r="E60" s="372">
        <f>Input!$KP$35</f>
        <v>10730336</v>
      </c>
      <c r="F60" s="372">
        <f>Input!$KQ$35</f>
        <v>0</v>
      </c>
      <c r="G60" s="372">
        <f>Input!$KR$35</f>
        <v>1878729</v>
      </c>
      <c r="H60" s="372">
        <f>Input!$KS$35</f>
        <v>0</v>
      </c>
      <c r="I60" s="372">
        <f>Input!$KT$35</f>
        <v>0</v>
      </c>
      <c r="J60" s="372">
        <f>Input!$KU$35</f>
        <v>0</v>
      </c>
      <c r="K60" s="372">
        <f>Input!$KV$35</f>
        <v>0</v>
      </c>
      <c r="L60" s="372">
        <f>Input!$KW$35</f>
        <v>0</v>
      </c>
      <c r="M60" s="373">
        <f t="shared" ref="M60:M71" si="12">D60+E60+F60+G60+H60+I60+J60+K60+L60</f>
        <v>44416353</v>
      </c>
      <c r="N60" s="160"/>
      <c r="O60" s="282">
        <f>D60+E60+G60+J60</f>
        <v>44416353</v>
      </c>
      <c r="P60" s="518">
        <f>Input!$SS$35</f>
        <v>872279</v>
      </c>
      <c r="Q60" s="438" t="s">
        <v>259</v>
      </c>
      <c r="R60" s="284">
        <f>SUM(O60:P60)</f>
        <v>45288632</v>
      </c>
      <c r="S60" s="439"/>
      <c r="T60" s="286">
        <f t="shared" ref="T60:T67" si="13">D60+E60+G60</f>
        <v>44416353</v>
      </c>
      <c r="U60" s="287">
        <f t="shared" ref="U60:U67" si="14">P60</f>
        <v>872279</v>
      </c>
      <c r="V60" s="289">
        <f>Input!$TC$35</f>
        <v>0</v>
      </c>
      <c r="W60" s="289">
        <f>Input!$TK$35</f>
        <v>0</v>
      </c>
      <c r="X60" s="290">
        <f t="shared" ref="X60:X66" si="15">T60+U60-V60-W60</f>
        <v>45288632</v>
      </c>
      <c r="Z60" s="292" t="s">
        <v>14</v>
      </c>
      <c r="AA60" s="520">
        <f>Input!$TS$35</f>
        <v>44416353</v>
      </c>
      <c r="AB60" s="293">
        <f t="shared" ref="AB60:AB68" si="16">AA60-M60</f>
        <v>0</v>
      </c>
    </row>
    <row r="61" spans="1:28" ht="14.25" thickTop="1" thickBot="1">
      <c r="A61" s="184">
        <v>44</v>
      </c>
      <c r="B61" s="160" t="s">
        <v>15</v>
      </c>
      <c r="C61" s="160"/>
      <c r="D61" s="372">
        <f>Input!$KX$35</f>
        <v>437327</v>
      </c>
      <c r="E61" s="372">
        <f>Input!$KY$35</f>
        <v>68077</v>
      </c>
      <c r="F61" s="372">
        <f>Input!$KZ$35</f>
        <v>0</v>
      </c>
      <c r="G61" s="372">
        <f>Input!$LA$35</f>
        <v>397254</v>
      </c>
      <c r="H61" s="372">
        <f>Input!$LB$35</f>
        <v>0</v>
      </c>
      <c r="I61" s="372">
        <f>Input!$LC$35</f>
        <v>0</v>
      </c>
      <c r="J61" s="372">
        <f>Input!$LD$35</f>
        <v>0</v>
      </c>
      <c r="K61" s="372">
        <f>Input!$LE$35</f>
        <v>0</v>
      </c>
      <c r="L61" s="372">
        <f>Input!$LF$35</f>
        <v>0</v>
      </c>
      <c r="M61" s="373">
        <f t="shared" si="12"/>
        <v>902658</v>
      </c>
      <c r="N61" s="160"/>
      <c r="O61" s="440">
        <f t="shared" ref="O61:O67" si="17">D61+E61+G61+J61</f>
        <v>902658</v>
      </c>
      <c r="P61" s="518">
        <f>Input!$ST$35</f>
        <v>0</v>
      </c>
      <c r="Q61" s="441" t="s">
        <v>259</v>
      </c>
      <c r="R61" s="295">
        <f>SUM(O61:P61)</f>
        <v>902658</v>
      </c>
      <c r="S61" s="442"/>
      <c r="T61" s="296">
        <f t="shared" si="13"/>
        <v>902658</v>
      </c>
      <c r="U61" s="297">
        <f t="shared" si="14"/>
        <v>0</v>
      </c>
      <c r="V61" s="299">
        <f>Input!$TD$35</f>
        <v>0</v>
      </c>
      <c r="W61" s="299">
        <f>Input!$TL$35</f>
        <v>0</v>
      </c>
      <c r="X61" s="300">
        <f t="shared" si="15"/>
        <v>902658</v>
      </c>
      <c r="Z61" s="292" t="s">
        <v>15</v>
      </c>
      <c r="AA61" s="518">
        <f>Input!$TT$35</f>
        <v>902658</v>
      </c>
      <c r="AB61" s="301">
        <f t="shared" si="16"/>
        <v>0</v>
      </c>
    </row>
    <row r="62" spans="1:28" ht="13.5" thickTop="1">
      <c r="A62" s="184">
        <v>45</v>
      </c>
      <c r="B62" s="160" t="s">
        <v>16</v>
      </c>
      <c r="C62" s="160"/>
      <c r="D62" s="372">
        <f>Input!$LG$35</f>
        <v>168416</v>
      </c>
      <c r="E62" s="372">
        <f>Input!$LH$35</f>
        <v>458020</v>
      </c>
      <c r="F62" s="372">
        <f>Input!$LI$35</f>
        <v>0</v>
      </c>
      <c r="G62" s="372">
        <f>Input!$LJ$35</f>
        <v>641498</v>
      </c>
      <c r="H62" s="372">
        <f>Input!$LK$35</f>
        <v>0</v>
      </c>
      <c r="I62" s="372">
        <f>Input!$LL$35</f>
        <v>0</v>
      </c>
      <c r="J62" s="372">
        <f>Input!$LM$35</f>
        <v>0</v>
      </c>
      <c r="K62" s="372">
        <f>Input!$LN$35</f>
        <v>0</v>
      </c>
      <c r="L62" s="372">
        <f>Input!$LO$35</f>
        <v>0</v>
      </c>
      <c r="M62" s="373">
        <f t="shared" si="12"/>
        <v>1267934</v>
      </c>
      <c r="N62" s="160"/>
      <c r="O62" s="440">
        <f t="shared" si="17"/>
        <v>1267934</v>
      </c>
      <c r="P62" s="518">
        <f>Input!$SU$35</f>
        <v>0</v>
      </c>
      <c r="Q62" s="441" t="s">
        <v>259</v>
      </c>
      <c r="R62" s="302" t="s">
        <v>259</v>
      </c>
      <c r="S62" s="442"/>
      <c r="T62" s="296">
        <f t="shared" si="13"/>
        <v>1267934</v>
      </c>
      <c r="U62" s="297">
        <f t="shared" si="14"/>
        <v>0</v>
      </c>
      <c r="V62" s="299">
        <f>Input!$TE$35</f>
        <v>0</v>
      </c>
      <c r="W62" s="299">
        <f>Input!$TM$35</f>
        <v>0</v>
      </c>
      <c r="X62" s="303">
        <f t="shared" si="15"/>
        <v>1267934</v>
      </c>
      <c r="Z62" s="292" t="s">
        <v>16</v>
      </c>
      <c r="AA62" s="518">
        <f>Input!$TU$35</f>
        <v>1267934</v>
      </c>
      <c r="AB62" s="301">
        <f t="shared" si="16"/>
        <v>0</v>
      </c>
    </row>
    <row r="63" spans="1:28">
      <c r="A63" s="184">
        <v>46</v>
      </c>
      <c r="B63" s="160" t="s">
        <v>17</v>
      </c>
      <c r="C63" s="160"/>
      <c r="D63" s="372">
        <f>Input!$LP$35</f>
        <v>4038143</v>
      </c>
      <c r="E63" s="372">
        <f>Input!$LQ$35</f>
        <v>2884656</v>
      </c>
      <c r="F63" s="372">
        <f>Input!$LR$35</f>
        <v>0</v>
      </c>
      <c r="G63" s="372">
        <f>Input!$LS$35</f>
        <v>32177</v>
      </c>
      <c r="H63" s="372">
        <f>Input!$LT$35</f>
        <v>0</v>
      </c>
      <c r="I63" s="372">
        <f>Input!$LU$35</f>
        <v>0</v>
      </c>
      <c r="J63" s="372">
        <f>Input!$LV$35</f>
        <v>0</v>
      </c>
      <c r="K63" s="372">
        <f>Input!$LW$35</f>
        <v>0</v>
      </c>
      <c r="L63" s="372">
        <f>Input!$LX$35</f>
        <v>0</v>
      </c>
      <c r="M63" s="373">
        <f t="shared" si="12"/>
        <v>6954976</v>
      </c>
      <c r="N63" s="160"/>
      <c r="O63" s="440">
        <f t="shared" si="17"/>
        <v>6954976</v>
      </c>
      <c r="P63" s="518">
        <f>Input!$SV$35</f>
        <v>102115</v>
      </c>
      <c r="Q63" s="441" t="s">
        <v>259</v>
      </c>
      <c r="R63" s="295">
        <f t="shared" ref="R63:R65" si="18">SUM(O63:P63)</f>
        <v>7057091</v>
      </c>
      <c r="S63" s="442"/>
      <c r="T63" s="296">
        <f t="shared" si="13"/>
        <v>6954976</v>
      </c>
      <c r="U63" s="297">
        <f t="shared" si="14"/>
        <v>102115</v>
      </c>
      <c r="V63" s="299">
        <f>Input!$TF$35</f>
        <v>0</v>
      </c>
      <c r="W63" s="299">
        <f>Input!$TN$35</f>
        <v>0</v>
      </c>
      <c r="X63" s="303">
        <f t="shared" si="15"/>
        <v>7057091</v>
      </c>
      <c r="Z63" s="292" t="s">
        <v>17</v>
      </c>
      <c r="AA63" s="518">
        <f>Input!$TV$35</f>
        <v>6954976</v>
      </c>
      <c r="AB63" s="301">
        <f t="shared" si="16"/>
        <v>0</v>
      </c>
    </row>
    <row r="64" spans="1:28">
      <c r="A64" s="184">
        <v>47</v>
      </c>
      <c r="B64" s="160" t="s">
        <v>18</v>
      </c>
      <c r="C64" s="160"/>
      <c r="D64" s="372">
        <f>Input!$LY$35</f>
        <v>1897140</v>
      </c>
      <c r="E64" s="372">
        <f>Input!$LZ$35</f>
        <v>7135272</v>
      </c>
      <c r="F64" s="372">
        <f>Input!$MA$35</f>
        <v>0</v>
      </c>
      <c r="G64" s="372">
        <f>Input!$MB$35</f>
        <v>18641</v>
      </c>
      <c r="H64" s="372">
        <f>Input!$MC$35</f>
        <v>0</v>
      </c>
      <c r="I64" s="372">
        <f>Input!$MD$35</f>
        <v>0</v>
      </c>
      <c r="J64" s="372">
        <f>Input!$ME$35</f>
        <v>0</v>
      </c>
      <c r="K64" s="372">
        <f>Input!$MF$35</f>
        <v>0</v>
      </c>
      <c r="L64" s="372">
        <f>Input!$MG$35</f>
        <v>0</v>
      </c>
      <c r="M64" s="373">
        <f t="shared" si="12"/>
        <v>9051053</v>
      </c>
      <c r="N64" s="160"/>
      <c r="O64" s="440">
        <f t="shared" si="17"/>
        <v>9051053</v>
      </c>
      <c r="P64" s="518">
        <f>Input!$SW$35</f>
        <v>0</v>
      </c>
      <c r="Q64" s="518">
        <f>Input!$TB$35</f>
        <v>0</v>
      </c>
      <c r="R64" s="295">
        <f>SUM(O64:P64)-Q64</f>
        <v>9051053</v>
      </c>
      <c r="S64" s="442"/>
      <c r="T64" s="296">
        <f t="shared" si="13"/>
        <v>9051053</v>
      </c>
      <c r="U64" s="297">
        <f t="shared" si="14"/>
        <v>0</v>
      </c>
      <c r="V64" s="299">
        <f>Input!$TG$35</f>
        <v>0</v>
      </c>
      <c r="W64" s="299">
        <f>Input!$TO$35</f>
        <v>0</v>
      </c>
      <c r="X64" s="303">
        <f t="shared" si="15"/>
        <v>9051053</v>
      </c>
      <c r="Z64" s="292" t="s">
        <v>18</v>
      </c>
      <c r="AA64" s="518">
        <f>Input!$TW$35</f>
        <v>9051053</v>
      </c>
      <c r="AB64" s="301">
        <f t="shared" si="16"/>
        <v>0</v>
      </c>
    </row>
    <row r="65" spans="1:28">
      <c r="A65" s="184">
        <v>48</v>
      </c>
      <c r="B65" s="160" t="s">
        <v>19</v>
      </c>
      <c r="C65" s="160"/>
      <c r="D65" s="372">
        <f>Input!$MH$35</f>
        <v>4365806</v>
      </c>
      <c r="E65" s="372">
        <f>Input!$MI$35</f>
        <v>11439189</v>
      </c>
      <c r="F65" s="372">
        <f>Input!$MJ$35</f>
        <v>0</v>
      </c>
      <c r="G65" s="372">
        <f>Input!$MK$35</f>
        <v>2257084</v>
      </c>
      <c r="H65" s="372">
        <f>Input!$ML$35</f>
        <v>0</v>
      </c>
      <c r="I65" s="372">
        <f>Input!$MM$35</f>
        <v>0</v>
      </c>
      <c r="J65" s="372">
        <f>Input!$MN$35</f>
        <v>0</v>
      </c>
      <c r="K65" s="372">
        <f>Input!$MO$35</f>
        <v>0</v>
      </c>
      <c r="L65" s="372">
        <f>Input!$MP$35</f>
        <v>0</v>
      </c>
      <c r="M65" s="373">
        <f t="shared" si="12"/>
        <v>18062079</v>
      </c>
      <c r="N65" s="160"/>
      <c r="O65" s="440">
        <f t="shared" si="17"/>
        <v>18062079</v>
      </c>
      <c r="P65" s="518">
        <f>Input!$SX$35</f>
        <v>23305</v>
      </c>
      <c r="Q65" s="441" t="s">
        <v>259</v>
      </c>
      <c r="R65" s="295">
        <f t="shared" si="18"/>
        <v>18085384</v>
      </c>
      <c r="S65" s="442"/>
      <c r="T65" s="296">
        <f t="shared" si="13"/>
        <v>18062079</v>
      </c>
      <c r="U65" s="297">
        <f t="shared" si="14"/>
        <v>23305</v>
      </c>
      <c r="V65" s="299">
        <f>Input!$TH$35</f>
        <v>0</v>
      </c>
      <c r="W65" s="299">
        <f>Input!$TP$35</f>
        <v>0</v>
      </c>
      <c r="X65" s="303">
        <f t="shared" si="15"/>
        <v>18085384</v>
      </c>
      <c r="Z65" s="292" t="s">
        <v>19</v>
      </c>
      <c r="AA65" s="518">
        <f>Input!$TX$35</f>
        <v>18062079</v>
      </c>
      <c r="AB65" s="301">
        <f t="shared" si="16"/>
        <v>0</v>
      </c>
    </row>
    <row r="66" spans="1:28">
      <c r="A66" s="184">
        <v>49</v>
      </c>
      <c r="B66" s="160" t="s">
        <v>20</v>
      </c>
      <c r="C66" s="160"/>
      <c r="D66" s="372">
        <f>Input!$MQ$35</f>
        <v>2513395</v>
      </c>
      <c r="E66" s="372">
        <f>Input!$MR$35</f>
        <v>4943642</v>
      </c>
      <c r="F66" s="372">
        <f>Input!$MS$35</f>
        <v>0</v>
      </c>
      <c r="G66" s="372">
        <f>Input!$MT$35</f>
        <v>50686</v>
      </c>
      <c r="H66" s="372">
        <f>Input!$MU$35</f>
        <v>0</v>
      </c>
      <c r="I66" s="372">
        <f>Input!$MV$35</f>
        <v>0</v>
      </c>
      <c r="J66" s="372">
        <f>Input!$MW$35</f>
        <v>0</v>
      </c>
      <c r="K66" s="372">
        <f>Input!$MX$35</f>
        <v>0</v>
      </c>
      <c r="L66" s="372">
        <f>Input!$MY$35</f>
        <v>0</v>
      </c>
      <c r="M66" s="373">
        <f t="shared" si="12"/>
        <v>7507723</v>
      </c>
      <c r="N66" s="160"/>
      <c r="O66" s="440">
        <f t="shared" si="17"/>
        <v>7507723</v>
      </c>
      <c r="P66" s="518">
        <f>Input!$SY$35</f>
        <v>40780</v>
      </c>
      <c r="Q66" s="441" t="s">
        <v>259</v>
      </c>
      <c r="R66" s="304" t="s">
        <v>259</v>
      </c>
      <c r="S66" s="442"/>
      <c r="T66" s="296">
        <f t="shared" si="13"/>
        <v>7507723</v>
      </c>
      <c r="U66" s="297">
        <f t="shared" si="14"/>
        <v>40780</v>
      </c>
      <c r="V66" s="299">
        <f>Input!$TI$35</f>
        <v>0</v>
      </c>
      <c r="W66" s="299">
        <f>Input!$TQ$35</f>
        <v>0</v>
      </c>
      <c r="X66" s="303">
        <f t="shared" si="15"/>
        <v>7548503</v>
      </c>
      <c r="Z66" s="292" t="s">
        <v>260</v>
      </c>
      <c r="AA66" s="518">
        <f>Input!$TY$35</f>
        <v>7507723</v>
      </c>
      <c r="AB66" s="301">
        <f t="shared" si="16"/>
        <v>0</v>
      </c>
    </row>
    <row r="67" spans="1:28" ht="13.5" thickBot="1">
      <c r="A67" s="184">
        <v>50</v>
      </c>
      <c r="B67" s="160" t="s">
        <v>21</v>
      </c>
      <c r="C67" s="160"/>
      <c r="D67" s="372">
        <f>Input!$MZ$35</f>
        <v>7000279</v>
      </c>
      <c r="E67" s="372">
        <f>Input!$NA$35</f>
        <v>4153488</v>
      </c>
      <c r="F67" s="372">
        <f>Input!$NB$35</f>
        <v>3144158</v>
      </c>
      <c r="G67" s="372">
        <f>Input!$NC$35</f>
        <v>5713461</v>
      </c>
      <c r="H67" s="372">
        <f>Input!$ND$35</f>
        <v>0</v>
      </c>
      <c r="I67" s="372">
        <f>Input!$NE$35</f>
        <v>0</v>
      </c>
      <c r="J67" s="372">
        <f>Input!$NF$35</f>
        <v>0</v>
      </c>
      <c r="K67" s="372">
        <f>Input!$NG$35</f>
        <v>0</v>
      </c>
      <c r="L67" s="372">
        <f>Input!$NH$35</f>
        <v>0</v>
      </c>
      <c r="M67" s="373">
        <f t="shared" si="12"/>
        <v>20011386</v>
      </c>
      <c r="N67" s="160"/>
      <c r="O67" s="440">
        <f t="shared" si="17"/>
        <v>16867228</v>
      </c>
      <c r="P67" s="518">
        <f>Input!$SZ$35</f>
        <v>0</v>
      </c>
      <c r="Q67" s="441" t="s">
        <v>259</v>
      </c>
      <c r="R67" s="304" t="s">
        <v>259</v>
      </c>
      <c r="S67" s="442"/>
      <c r="T67" s="306">
        <f t="shared" si="13"/>
        <v>16867228</v>
      </c>
      <c r="U67" s="307">
        <f t="shared" si="14"/>
        <v>0</v>
      </c>
      <c r="V67" s="308">
        <f>Input!$TJ$35</f>
        <v>0</v>
      </c>
      <c r="W67" s="308">
        <f>Input!$TR$35</f>
        <v>0</v>
      </c>
      <c r="X67" s="303">
        <f>U67+T67-V67-W67</f>
        <v>16867228</v>
      </c>
      <c r="Z67" s="292" t="s">
        <v>21</v>
      </c>
      <c r="AA67" s="518">
        <f>Input!$TZ$35</f>
        <v>20011386</v>
      </c>
      <c r="AB67" s="301">
        <f t="shared" si="16"/>
        <v>0</v>
      </c>
    </row>
    <row r="68" spans="1:28" ht="14.25" thickTop="1" thickBot="1">
      <c r="A68" s="184">
        <v>51</v>
      </c>
      <c r="B68" s="160" t="s">
        <v>2135</v>
      </c>
      <c r="C68" s="160"/>
      <c r="D68" s="372">
        <f>Input!$NI$35</f>
        <v>0</v>
      </c>
      <c r="E68" s="372">
        <f>Input!$NJ$35</f>
        <v>0</v>
      </c>
      <c r="F68" s="372">
        <f>Input!$NK$35</f>
        <v>17609666</v>
      </c>
      <c r="G68" s="372">
        <f>Input!$NL$35</f>
        <v>0</v>
      </c>
      <c r="H68" s="372">
        <f>Input!$NM$35</f>
        <v>0</v>
      </c>
      <c r="I68" s="372">
        <f>Input!$NN$35</f>
        <v>0</v>
      </c>
      <c r="J68" s="372">
        <f>Input!$NO$35</f>
        <v>0</v>
      </c>
      <c r="K68" s="372">
        <f>Input!$NP$35</f>
        <v>0</v>
      </c>
      <c r="L68" s="372">
        <f>Input!$NQ$35</f>
        <v>0</v>
      </c>
      <c r="M68" s="373">
        <f t="shared" si="12"/>
        <v>17609666</v>
      </c>
      <c r="N68" s="160"/>
      <c r="O68" s="309" t="s">
        <v>259</v>
      </c>
      <c r="P68" s="519">
        <f>Input!$TA$35</f>
        <v>62644</v>
      </c>
      <c r="Q68" s="444" t="s">
        <v>259</v>
      </c>
      <c r="R68" s="311" t="s">
        <v>259</v>
      </c>
      <c r="S68" s="442"/>
      <c r="T68" s="305"/>
      <c r="U68" s="305"/>
      <c r="V68" s="312" t="s">
        <v>261</v>
      </c>
      <c r="W68" s="313"/>
      <c r="X68" s="314">
        <f>SUM(X60:X67)</f>
        <v>106068483</v>
      </c>
      <c r="Z68" s="292" t="s">
        <v>22</v>
      </c>
      <c r="AA68" s="518">
        <f>Input!$UA$35</f>
        <v>17609666</v>
      </c>
      <c r="AB68" s="301">
        <f t="shared" si="16"/>
        <v>0</v>
      </c>
    </row>
    <row r="69" spans="1:28" ht="14.25" thickTop="1" thickBot="1">
      <c r="A69" s="184">
        <v>52</v>
      </c>
      <c r="B69" s="161" t="s">
        <v>59</v>
      </c>
      <c r="C69" s="161"/>
      <c r="D69" s="372">
        <f>Input!$NR$35</f>
        <v>443167</v>
      </c>
      <c r="E69" s="372">
        <f>Input!$NS$35</f>
        <v>260578</v>
      </c>
      <c r="F69" s="372">
        <f>Input!$NT$35</f>
        <v>62644</v>
      </c>
      <c r="G69" s="372">
        <f>Input!$NU$35</f>
        <v>334734</v>
      </c>
      <c r="H69" s="372">
        <f>Input!$NV$35</f>
        <v>0</v>
      </c>
      <c r="I69" s="372">
        <f>Input!$NW$35</f>
        <v>0</v>
      </c>
      <c r="J69" s="372">
        <f>Input!$NX$35</f>
        <v>0</v>
      </c>
      <c r="K69" s="372">
        <f>Input!$NY$35</f>
        <v>0</v>
      </c>
      <c r="L69" s="372">
        <f>Input!$NZ$35</f>
        <v>0</v>
      </c>
      <c r="M69" s="373">
        <f t="shared" si="12"/>
        <v>1101123</v>
      </c>
      <c r="N69" s="160"/>
      <c r="O69" s="315"/>
      <c r="P69" s="316">
        <f>SUM(P60:P68)</f>
        <v>1101123</v>
      </c>
      <c r="Q69" s="316">
        <f>SUM(Q64:Q68)</f>
        <v>0</v>
      </c>
      <c r="R69" s="317">
        <f>SUM(R60:R65)</f>
        <v>80384818</v>
      </c>
      <c r="S69" s="316"/>
      <c r="T69" s="305"/>
      <c r="U69" s="305"/>
      <c r="V69" s="305"/>
      <c r="W69" s="277"/>
      <c r="X69" s="277"/>
      <c r="Y69" s="277"/>
      <c r="Z69" s="292" t="s">
        <v>285</v>
      </c>
      <c r="AA69" s="445">
        <f>M88*-1</f>
        <v>11074042</v>
      </c>
      <c r="AB69" s="301">
        <f>AA69+M88</f>
        <v>0</v>
      </c>
    </row>
    <row r="70" spans="1:28" ht="14.25" thickTop="1" thickBot="1">
      <c r="A70" s="184">
        <v>53</v>
      </c>
      <c r="B70" s="178" t="s">
        <v>44</v>
      </c>
      <c r="C70" s="178"/>
      <c r="D70" s="378">
        <f>Input!$OA$35</f>
        <v>102114</v>
      </c>
      <c r="E70" s="378">
        <f>Input!$OB$35</f>
        <v>2174</v>
      </c>
      <c r="F70" s="378">
        <f>Input!$OC$35</f>
        <v>0</v>
      </c>
      <c r="G70" s="378">
        <f>Input!$OD$35</f>
        <v>80874</v>
      </c>
      <c r="H70" s="378">
        <f>Input!$OE$35</f>
        <v>-3901</v>
      </c>
      <c r="I70" s="378">
        <f>Input!$OF$35</f>
        <v>0</v>
      </c>
      <c r="J70" s="378">
        <f>Input!$OG$35</f>
        <v>2237119</v>
      </c>
      <c r="K70" s="378">
        <f>Input!$OH$35</f>
        <v>0</v>
      </c>
      <c r="L70" s="378">
        <f>Input!$OI$35</f>
        <v>0</v>
      </c>
      <c r="M70" s="373">
        <f t="shared" si="12"/>
        <v>2418380</v>
      </c>
      <c r="N70" s="160"/>
      <c r="O70" s="320"/>
      <c r="P70" s="516" t="str">
        <f>IF(P69&lt;&gt;M69,"Out of Balance","Balanced")</f>
        <v>Balanced</v>
      </c>
      <c r="Q70" s="318"/>
      <c r="R70" s="305"/>
      <c r="S70" s="305"/>
      <c r="T70" s="305"/>
      <c r="U70" s="277"/>
      <c r="V70" s="1738" t="str">
        <f>IF(X68-INT(X68)&lt;&gt;0,"Whole Dollars Only","")</f>
        <v/>
      </c>
      <c r="W70" s="1738"/>
      <c r="X70" s="537"/>
      <c r="Y70" s="319"/>
      <c r="Z70" s="410" t="s">
        <v>262</v>
      </c>
      <c r="AA70" s="446" t="s">
        <v>259</v>
      </c>
      <c r="AB70" s="411">
        <f>M90</f>
        <v>0</v>
      </c>
    </row>
    <row r="71" spans="1:28" ht="13.5" thickTop="1">
      <c r="A71" s="184">
        <v>54</v>
      </c>
      <c r="B71" s="162" t="s">
        <v>69</v>
      </c>
      <c r="C71" s="162"/>
      <c r="D71" s="374">
        <f>SUM(D60:D70)</f>
        <v>52773075</v>
      </c>
      <c r="E71" s="374">
        <f>SUM(E60:E70)</f>
        <v>42075432</v>
      </c>
      <c r="F71" s="374">
        <f t="shared" ref="F71:L71" si="19">SUM(F60:F70)</f>
        <v>20816468</v>
      </c>
      <c r="G71" s="374">
        <f t="shared" si="19"/>
        <v>11405138</v>
      </c>
      <c r="H71" s="374">
        <f t="shared" si="19"/>
        <v>-3901</v>
      </c>
      <c r="I71" s="374">
        <f t="shared" si="19"/>
        <v>0</v>
      </c>
      <c r="J71" s="374">
        <f t="shared" si="19"/>
        <v>2237119</v>
      </c>
      <c r="K71" s="374">
        <f t="shared" si="19"/>
        <v>0</v>
      </c>
      <c r="L71" s="374">
        <f t="shared" si="19"/>
        <v>0</v>
      </c>
      <c r="M71" s="374">
        <f t="shared" si="12"/>
        <v>129303331</v>
      </c>
      <c r="N71" s="160"/>
      <c r="O71" s="322"/>
      <c r="P71" s="1738" t="str">
        <f>IF(P69-INT(P69)&lt;&gt;0,"Whole Dollars Only","")</f>
        <v/>
      </c>
      <c r="Q71" s="1738"/>
      <c r="R71" s="323"/>
      <c r="S71" s="323"/>
      <c r="T71" s="323"/>
      <c r="U71" s="291"/>
      <c r="V71" s="324"/>
      <c r="W71" s="321"/>
      <c r="X71" s="321"/>
      <c r="Y71" s="321"/>
      <c r="Z71" s="318"/>
      <c r="AA71" s="325">
        <f>SUM(AA60:AA70)</f>
        <v>136857870</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Input!$OJ$35</f>
        <v>0</v>
      </c>
      <c r="E74" s="372">
        <f>Input!$OK$35</f>
        <v>0</v>
      </c>
      <c r="F74" s="372">
        <f>Input!$OL$35</f>
        <v>0</v>
      </c>
      <c r="G74" s="372">
        <f>Input!$OM$35</f>
        <v>0</v>
      </c>
      <c r="H74" s="372">
        <f>Input!$ON$35</f>
        <v>0</v>
      </c>
      <c r="I74" s="372">
        <f>Input!$OO$35</f>
        <v>0</v>
      </c>
      <c r="J74" s="372">
        <f>Input!$OP$35</f>
        <v>-2476769</v>
      </c>
      <c r="K74" s="372">
        <f>Input!$OQ$35</f>
        <v>0</v>
      </c>
      <c r="L74" s="372">
        <f>Input!$OR$35</f>
        <v>0</v>
      </c>
      <c r="M74" s="373">
        <f>D74+E74+F74+G74+H74+I74+J74+K74+L74</f>
        <v>-2476769</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Input!$OS$35</f>
        <v>-4350893</v>
      </c>
      <c r="E75" s="372">
        <f>Input!$OT$35</f>
        <v>3604308</v>
      </c>
      <c r="F75" s="372">
        <f>Input!$OU$35</f>
        <v>4129498</v>
      </c>
      <c r="G75" s="372">
        <f>Input!$OV$35</f>
        <v>-22437800</v>
      </c>
      <c r="H75" s="372">
        <f>Input!$OW$35</f>
        <v>52025</v>
      </c>
      <c r="I75" s="372">
        <f>Input!$OX$35</f>
        <v>-866688</v>
      </c>
      <c r="J75" s="372">
        <f>Input!$OY$35</f>
        <v>10110464</v>
      </c>
      <c r="K75" s="372">
        <f>Input!$OZ$35</f>
        <v>0</v>
      </c>
      <c r="L75" s="372">
        <f>Input!$PA$35</f>
        <v>0</v>
      </c>
      <c r="M75" s="373">
        <f>D75+E75+F75+G75+H75+I75+J75+K75+L75</f>
        <v>-9759086</v>
      </c>
      <c r="N75" s="160"/>
      <c r="O75" s="1723" t="str">
        <f>IF(M85&lt;0,"Footnote 11 is N/A - No Data Entry Required","Footnote 11")</f>
        <v>Footnote 11</v>
      </c>
      <c r="P75" s="1724"/>
      <c r="Q75" s="1724"/>
      <c r="R75" s="1725"/>
      <c r="S75" s="330"/>
      <c r="T75" s="330"/>
      <c r="U75" s="327"/>
      <c r="V75" s="276"/>
      <c r="W75" s="331"/>
      <c r="X75" s="331"/>
      <c r="Y75" s="328"/>
      <c r="Z75" s="328"/>
      <c r="AA75" s="276"/>
      <c r="AB75" s="276" t="s">
        <v>293</v>
      </c>
    </row>
    <row r="76" spans="1:28" ht="13.5" thickTop="1">
      <c r="A76" s="184">
        <v>59</v>
      </c>
      <c r="B76" s="160" t="s">
        <v>45</v>
      </c>
      <c r="C76" s="160"/>
      <c r="D76" s="372">
        <f>Input!$PB$35</f>
        <v>0</v>
      </c>
      <c r="E76" s="372">
        <f>Input!$PC$35</f>
        <v>0</v>
      </c>
      <c r="F76" s="372">
        <f>Input!$PD$35</f>
        <v>0</v>
      </c>
      <c r="G76" s="372">
        <f>Input!$PE$35</f>
        <v>0</v>
      </c>
      <c r="H76" s="372">
        <f>Input!$PF$35</f>
        <v>0</v>
      </c>
      <c r="I76" s="372">
        <f>Input!$PG$35</f>
        <v>0</v>
      </c>
      <c r="J76" s="372">
        <f>Input!$PH$35</f>
        <v>0</v>
      </c>
      <c r="K76" s="372">
        <f>Input!$PI$35</f>
        <v>0</v>
      </c>
      <c r="L76" s="372">
        <f>Input!$PJ$35</f>
        <v>0</v>
      </c>
      <c r="M76" s="373">
        <f>D76+E76+F76+G76+H76+I76+J76+K76+L76</f>
        <v>0</v>
      </c>
      <c r="N76" s="160"/>
      <c r="O76" s="487" t="s">
        <v>583</v>
      </c>
      <c r="P76" s="488"/>
      <c r="Q76" s="489"/>
      <c r="R76" s="490">
        <f>IF($M$85&lt;0,"N/A",$M$85)</f>
        <v>24841707</v>
      </c>
      <c r="S76" s="330"/>
      <c r="T76" s="330"/>
      <c r="U76" s="327"/>
      <c r="V76" s="276"/>
      <c r="W76" s="331"/>
      <c r="X76" s="331"/>
      <c r="Y76" s="331"/>
      <c r="Z76" s="331"/>
      <c r="AA76" s="276"/>
      <c r="AB76" s="276"/>
    </row>
    <row r="77" spans="1:28">
      <c r="A77" s="184">
        <v>60</v>
      </c>
      <c r="B77" s="160" t="s">
        <v>46</v>
      </c>
      <c r="C77" s="160"/>
      <c r="D77" s="372">
        <f>Input!$PK$35</f>
        <v>-4124773</v>
      </c>
      <c r="E77" s="372">
        <f>Input!$PL$35</f>
        <v>-905575</v>
      </c>
      <c r="F77" s="372">
        <f>Input!$PM$35</f>
        <v>-5744302</v>
      </c>
      <c r="G77" s="372">
        <f>Input!$PN$35</f>
        <v>-2208890</v>
      </c>
      <c r="H77" s="372">
        <f>Input!$PO$35</f>
        <v>0</v>
      </c>
      <c r="I77" s="372">
        <f>Input!$PP$35</f>
        <v>0</v>
      </c>
      <c r="J77" s="372">
        <f>Input!$PQ$35</f>
        <v>0</v>
      </c>
      <c r="K77" s="372">
        <f>Input!$PR$35</f>
        <v>0</v>
      </c>
      <c r="L77" s="372">
        <f>Input!$PS$35</f>
        <v>0</v>
      </c>
      <c r="M77" s="373">
        <f>D77+E77+F77+G77+H77+I77+J77+K77+L77</f>
        <v>-12983540</v>
      </c>
      <c r="N77" s="160"/>
      <c r="O77" s="491" t="s">
        <v>584</v>
      </c>
      <c r="P77" s="334"/>
      <c r="Q77" s="334"/>
      <c r="R77" s="521">
        <f>Input!$UB$35</f>
        <v>11824914</v>
      </c>
      <c r="S77" s="330"/>
      <c r="T77" s="330"/>
      <c r="U77" s="327"/>
      <c r="V77" s="276"/>
      <c r="W77" s="331"/>
      <c r="X77" s="331"/>
      <c r="Y77" s="331"/>
      <c r="Z77" s="331"/>
      <c r="AA77" s="276"/>
      <c r="AB77" s="276"/>
    </row>
    <row r="78" spans="1:28">
      <c r="A78" s="184">
        <v>61</v>
      </c>
      <c r="B78" s="162" t="s">
        <v>3</v>
      </c>
      <c r="C78" s="162"/>
      <c r="D78" s="374">
        <f t="shared" ref="D78:L78" si="20">SUM(D74:D77)</f>
        <v>-8475666</v>
      </c>
      <c r="E78" s="374">
        <f t="shared" si="20"/>
        <v>2698733</v>
      </c>
      <c r="F78" s="374">
        <f t="shared" si="20"/>
        <v>-1614804</v>
      </c>
      <c r="G78" s="374">
        <f t="shared" si="20"/>
        <v>-24646690</v>
      </c>
      <c r="H78" s="374">
        <f t="shared" si="20"/>
        <v>52025</v>
      </c>
      <c r="I78" s="374">
        <f t="shared" si="20"/>
        <v>-866688</v>
      </c>
      <c r="J78" s="374">
        <f t="shared" si="20"/>
        <v>7633695</v>
      </c>
      <c r="K78" s="374">
        <f t="shared" si="20"/>
        <v>0</v>
      </c>
      <c r="L78" s="374">
        <f t="shared" si="20"/>
        <v>0</v>
      </c>
      <c r="M78" s="374">
        <f>D78+E78+F78+G78+H78+I78+J78+K78+L78</f>
        <v>-25219395</v>
      </c>
      <c r="N78" s="160"/>
      <c r="O78" s="491" t="s">
        <v>585</v>
      </c>
      <c r="P78" s="276"/>
      <c r="Q78" s="334"/>
      <c r="R78" s="492">
        <f>IF($M$85&lt;0,"",$R$76-$R$77)</f>
        <v>13016793</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3"/>
      <c r="P79" s="276"/>
      <c r="Q79" s="334"/>
      <c r="R79" s="494"/>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5" t="s">
        <v>586</v>
      </c>
      <c r="P80" s="276"/>
      <c r="Q80" s="334"/>
      <c r="R80" s="521">
        <f>Input!$UC$35</f>
        <v>13016793</v>
      </c>
      <c r="S80" s="330"/>
      <c r="T80" s="330"/>
      <c r="U80" s="334"/>
      <c r="V80" s="276"/>
      <c r="W80" s="328"/>
      <c r="X80" s="328"/>
      <c r="Y80" s="331"/>
      <c r="Z80" s="331"/>
      <c r="AA80" s="276"/>
      <c r="AB80" s="276"/>
    </row>
    <row r="81" spans="1:28">
      <c r="A81" s="184">
        <v>64</v>
      </c>
      <c r="B81" s="160" t="s">
        <v>47</v>
      </c>
      <c r="C81" s="160"/>
      <c r="D81" s="372">
        <f>Input!PT6</f>
        <v>0</v>
      </c>
      <c r="E81" s="372">
        <f>Input!$PU$35</f>
        <v>2082271</v>
      </c>
      <c r="F81" s="372">
        <f>Input!$PV$35</f>
        <v>1650680</v>
      </c>
      <c r="G81" s="372">
        <f>Input!$PW$35</f>
        <v>506452</v>
      </c>
      <c r="H81" s="372">
        <f>Input!$PX$35</f>
        <v>0</v>
      </c>
      <c r="I81" s="372">
        <f>Input!$PY$35</f>
        <v>8777390</v>
      </c>
      <c r="J81" s="372">
        <f>Input!$PZ$35</f>
        <v>0</v>
      </c>
      <c r="K81" s="372">
        <f>Input!$QA$35</f>
        <v>0</v>
      </c>
      <c r="L81" s="372">
        <f>Input!$QB$35</f>
        <v>0</v>
      </c>
      <c r="M81" s="373">
        <f>D81+E81+F81+G81+H81+I81+J81+K81+L81</f>
        <v>13016793</v>
      </c>
      <c r="N81" s="160"/>
      <c r="O81" s="496" t="s">
        <v>587</v>
      </c>
      <c r="P81" s="276"/>
      <c r="Q81" s="276"/>
      <c r="R81" s="497"/>
      <c r="S81" s="330"/>
      <c r="T81" s="330"/>
      <c r="W81" s="276"/>
      <c r="X81" s="276"/>
      <c r="Y81" s="331"/>
      <c r="Z81" s="331"/>
      <c r="AA81" s="276"/>
      <c r="AB81" s="276"/>
    </row>
    <row r="82" spans="1:28">
      <c r="A82" s="184">
        <v>65</v>
      </c>
      <c r="B82" s="160" t="s">
        <v>48</v>
      </c>
      <c r="C82" s="160"/>
      <c r="D82" s="372">
        <f>Input!$QC$35</f>
        <v>0</v>
      </c>
      <c r="E82" s="372">
        <f>Input!$QD$35</f>
        <v>0</v>
      </c>
      <c r="F82" s="372">
        <f>Input!$QE$35</f>
        <v>0</v>
      </c>
      <c r="G82" s="372">
        <f>Input!$QF$35</f>
        <v>0</v>
      </c>
      <c r="H82" s="372">
        <f>Input!$QG$35</f>
        <v>0</v>
      </c>
      <c r="I82" s="372">
        <f>Input!$QH$35</f>
        <v>0</v>
      </c>
      <c r="J82" s="372">
        <f>Input!$QI$35</f>
        <v>0</v>
      </c>
      <c r="K82" s="372">
        <f>Input!$QJ$35</f>
        <v>0</v>
      </c>
      <c r="L82" s="372">
        <f>Input!$QK$35</f>
        <v>0</v>
      </c>
      <c r="M82" s="373">
        <f>D82+E82+F82+G82+H82+I82+J82+K82+L82</f>
        <v>0</v>
      </c>
      <c r="N82" s="160"/>
      <c r="O82" s="498" t="s">
        <v>588</v>
      </c>
      <c r="P82" s="276"/>
      <c r="Q82" s="276"/>
      <c r="R82" s="492">
        <f>IFERROR($R$78-$R$80,"")</f>
        <v>0</v>
      </c>
      <c r="Y82" s="331"/>
      <c r="Z82" s="401"/>
      <c r="AA82" s="268"/>
      <c r="AB82" s="268"/>
    </row>
    <row r="83" spans="1:28">
      <c r="A83" s="184">
        <v>66</v>
      </c>
      <c r="B83" s="162" t="s">
        <v>3</v>
      </c>
      <c r="C83" s="162"/>
      <c r="D83" s="374">
        <f t="shared" ref="D83:L83" si="21">SUM(D81:D82)</f>
        <v>0</v>
      </c>
      <c r="E83" s="374">
        <f t="shared" si="21"/>
        <v>2082271</v>
      </c>
      <c r="F83" s="374">
        <f t="shared" si="21"/>
        <v>1650680</v>
      </c>
      <c r="G83" s="374">
        <f t="shared" si="21"/>
        <v>506452</v>
      </c>
      <c r="H83" s="374">
        <f t="shared" si="21"/>
        <v>0</v>
      </c>
      <c r="I83" s="374">
        <f t="shared" si="21"/>
        <v>8777390</v>
      </c>
      <c r="J83" s="374">
        <f t="shared" si="21"/>
        <v>0</v>
      </c>
      <c r="K83" s="374">
        <f t="shared" si="21"/>
        <v>0</v>
      </c>
      <c r="L83" s="374">
        <f t="shared" si="21"/>
        <v>0</v>
      </c>
      <c r="M83" s="374">
        <f>D83+E83+F83+G83+H83+I83+J83+K83+L83</f>
        <v>13016793</v>
      </c>
      <c r="N83" s="160"/>
      <c r="O83" s="493"/>
      <c r="P83" s="276"/>
      <c r="Q83" s="276"/>
      <c r="R83" s="497"/>
      <c r="Y83" s="163"/>
      <c r="Z83" s="447"/>
      <c r="AA83" s="439"/>
      <c r="AB83" s="448"/>
    </row>
    <row r="84" spans="1:28" ht="13.5" thickBot="1">
      <c r="A84" s="184">
        <v>67</v>
      </c>
      <c r="B84" s="160"/>
      <c r="C84" s="160"/>
      <c r="D84" s="373"/>
      <c r="E84" s="373"/>
      <c r="F84" s="373"/>
      <c r="G84" s="373"/>
      <c r="H84" s="373"/>
      <c r="I84" s="373"/>
      <c r="J84" s="373"/>
      <c r="K84" s="373"/>
      <c r="L84" s="373"/>
      <c r="M84" s="373"/>
      <c r="N84" s="160"/>
      <c r="O84" s="499" t="s">
        <v>589</v>
      </c>
      <c r="P84" s="500"/>
      <c r="Q84" s="500"/>
      <c r="R84" s="501">
        <f>IFERROR((R82+R80)-R78,"")</f>
        <v>0</v>
      </c>
      <c r="Y84" s="268"/>
      <c r="Z84" s="447"/>
      <c r="AA84" s="439"/>
      <c r="AB84" s="449"/>
    </row>
    <row r="85" spans="1:28" ht="13.5" thickTop="1">
      <c r="A85" s="184">
        <v>68</v>
      </c>
      <c r="B85" s="162" t="s">
        <v>574</v>
      </c>
      <c r="C85" s="162"/>
      <c r="D85" s="374">
        <f t="shared" ref="D85:L85" si="22">D57-D71+D78+D83</f>
        <v>-2741496</v>
      </c>
      <c r="E85" s="374">
        <f t="shared" si="22"/>
        <v>-5668073</v>
      </c>
      <c r="F85" s="374">
        <f t="shared" si="22"/>
        <v>-3256296</v>
      </c>
      <c r="G85" s="374">
        <f t="shared" si="22"/>
        <v>13616905</v>
      </c>
      <c r="H85" s="374">
        <f t="shared" si="22"/>
        <v>69568</v>
      </c>
      <c r="I85" s="374">
        <f t="shared" si="22"/>
        <v>16083898</v>
      </c>
      <c r="J85" s="374">
        <f t="shared" si="22"/>
        <v>6691508</v>
      </c>
      <c r="K85" s="374">
        <f t="shared" si="22"/>
        <v>0</v>
      </c>
      <c r="L85" s="374">
        <f t="shared" si="22"/>
        <v>45693</v>
      </c>
      <c r="M85" s="374">
        <f>D85+E85+F85+G85+H85+I85+J85+K85+L85</f>
        <v>24841707</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Input!$QL$35</f>
        <v>0</v>
      </c>
      <c r="E87" s="372">
        <f>Input!$QM$35</f>
        <v>0</v>
      </c>
      <c r="F87" s="372">
        <f>Input!$QN$35</f>
        <v>0</v>
      </c>
      <c r="G87" s="372">
        <f>Input!$QO$35</f>
        <v>0</v>
      </c>
      <c r="H87" s="372">
        <f>Input!$QP$35</f>
        <v>0</v>
      </c>
      <c r="I87" s="372">
        <f>Input!$QQ$35</f>
        <v>0</v>
      </c>
      <c r="J87" s="372">
        <f>Input!$QR$35</f>
        <v>0</v>
      </c>
      <c r="K87" s="372">
        <f>Input!$QS$35</f>
        <v>0</v>
      </c>
      <c r="L87" s="372">
        <f>Input!$QT$35</f>
        <v>0</v>
      </c>
      <c r="M87" s="329">
        <f>D87+E87+F87+G87+H87+I87+J87+K87+L87</f>
        <v>0</v>
      </c>
      <c r="N87" s="160"/>
      <c r="Y87" s="268"/>
      <c r="Z87" s="447"/>
      <c r="AA87" s="439"/>
      <c r="AB87" s="449"/>
    </row>
    <row r="88" spans="1:28">
      <c r="A88" s="184">
        <v>72</v>
      </c>
      <c r="B88" s="160" t="s">
        <v>66</v>
      </c>
      <c r="C88" s="160"/>
      <c r="D88" s="372">
        <f>Input!$QU$35</f>
        <v>0</v>
      </c>
      <c r="E88" s="372">
        <f>Input!$QV$35</f>
        <v>0</v>
      </c>
      <c r="F88" s="372">
        <f>Input!$QW$35</f>
        <v>0</v>
      </c>
      <c r="G88" s="372">
        <f>Input!$QX$35</f>
        <v>0</v>
      </c>
      <c r="H88" s="372">
        <f>Input!$QY$35</f>
        <v>0</v>
      </c>
      <c r="I88" s="372">
        <f>Input!$QZ$35</f>
        <v>0</v>
      </c>
      <c r="J88" s="372">
        <f>Input!$RA$35</f>
        <v>0</v>
      </c>
      <c r="K88" s="372">
        <f>Input!$RB$35</f>
        <v>0</v>
      </c>
      <c r="L88" s="372">
        <f>Input!$RC$35</f>
        <v>-11074042</v>
      </c>
      <c r="M88" s="373">
        <f>D88+E88+F88+G88+H88+I88+J88+K88+L88</f>
        <v>-11074042</v>
      </c>
      <c r="N88" s="160"/>
      <c r="O88" s="270"/>
      <c r="P88" s="335"/>
      <c r="Y88" s="268"/>
      <c r="Z88" s="447"/>
      <c r="AA88" s="439"/>
      <c r="AB88" s="449"/>
    </row>
    <row r="89" spans="1:28" s="264" customFormat="1">
      <c r="A89" s="263"/>
      <c r="B89" s="171" t="s">
        <v>216</v>
      </c>
      <c r="C89" s="171"/>
      <c r="D89" s="372">
        <f>Input!$RD$35</f>
        <v>0</v>
      </c>
      <c r="E89" s="372">
        <f>Input!$RE$35</f>
        <v>0</v>
      </c>
      <c r="F89" s="372">
        <f>Input!$RF$35</f>
        <v>0</v>
      </c>
      <c r="G89" s="372">
        <f>Input!$RG$35</f>
        <v>0</v>
      </c>
      <c r="H89" s="372">
        <f>Input!$RH$35</f>
        <v>0</v>
      </c>
      <c r="I89" s="372">
        <f>Input!$RI$35</f>
        <v>0</v>
      </c>
      <c r="J89" s="372">
        <f>Input!$RJ$35</f>
        <v>0</v>
      </c>
      <c r="K89" s="372">
        <f>Input!$RK$35</f>
        <v>0</v>
      </c>
      <c r="L89" s="372">
        <f>Input!$RL$35</f>
        <v>0</v>
      </c>
      <c r="M89" s="373">
        <f t="shared" ref="M89:M91" si="23">D89+E89+F89+G89+H89+I89+J89+K89+L89</f>
        <v>0</v>
      </c>
      <c r="N89" s="160"/>
      <c r="O89" s="1726" t="s">
        <v>1355</v>
      </c>
      <c r="P89" s="1727"/>
      <c r="Q89" s="1727"/>
      <c r="R89" s="1727"/>
      <c r="S89" s="1727"/>
      <c r="T89" s="1727"/>
      <c r="U89" s="1728"/>
      <c r="Y89" s="268"/>
      <c r="Z89" s="447"/>
      <c r="AA89" s="439"/>
      <c r="AB89" s="449"/>
    </row>
    <row r="90" spans="1:28" s="264" customFormat="1">
      <c r="A90" s="263"/>
      <c r="B90" s="171" t="s">
        <v>105</v>
      </c>
      <c r="C90" s="171"/>
      <c r="D90" s="372">
        <f>Input!$RM$35</f>
        <v>0</v>
      </c>
      <c r="E90" s="372">
        <f>Input!$RN$35</f>
        <v>0</v>
      </c>
      <c r="F90" s="372">
        <f>Input!$RO$35</f>
        <v>0</v>
      </c>
      <c r="G90" s="372">
        <f>Input!$RP$35</f>
        <v>0</v>
      </c>
      <c r="H90" s="372">
        <f>Input!$RQ$35</f>
        <v>0</v>
      </c>
      <c r="I90" s="372">
        <f>Input!$RR$35</f>
        <v>0</v>
      </c>
      <c r="J90" s="372">
        <f>Input!$RS$35</f>
        <v>0</v>
      </c>
      <c r="K90" s="372">
        <f>Input!$RT$35</f>
        <v>0</v>
      </c>
      <c r="L90" s="372">
        <f>Input!$RU$35</f>
        <v>0</v>
      </c>
      <c r="M90" s="373">
        <f t="shared" si="23"/>
        <v>0</v>
      </c>
      <c r="N90" s="160"/>
      <c r="O90" s="502" t="s">
        <v>590</v>
      </c>
      <c r="P90" s="423"/>
      <c r="Q90" s="502" t="s">
        <v>591</v>
      </c>
      <c r="R90" s="423"/>
      <c r="S90" s="503"/>
      <c r="T90" s="502" t="s">
        <v>592</v>
      </c>
      <c r="U90" s="423"/>
      <c r="Y90" s="268"/>
      <c r="Z90" s="447"/>
      <c r="AA90" s="439"/>
      <c r="AB90" s="449"/>
    </row>
    <row r="91" spans="1:28" s="264" customFormat="1">
      <c r="A91" s="263"/>
      <c r="B91" s="171" t="s">
        <v>128</v>
      </c>
      <c r="C91" s="171"/>
      <c r="D91" s="372">
        <f>Input!$RV$35</f>
        <v>0</v>
      </c>
      <c r="E91" s="372">
        <f>Input!$RW$35</f>
        <v>0</v>
      </c>
      <c r="F91" s="372">
        <f>Input!$RX$35</f>
        <v>0</v>
      </c>
      <c r="G91" s="372">
        <f>Input!$RY$35</f>
        <v>0</v>
      </c>
      <c r="H91" s="372">
        <f>Input!$RZ$35</f>
        <v>0</v>
      </c>
      <c r="I91" s="372">
        <f>Input!$SA$35</f>
        <v>0</v>
      </c>
      <c r="J91" s="372">
        <f>Input!$SB$35</f>
        <v>0</v>
      </c>
      <c r="K91" s="372">
        <f>Input!$SC$35</f>
        <v>0</v>
      </c>
      <c r="L91" s="372">
        <f>Input!$SD$35</f>
        <v>0</v>
      </c>
      <c r="M91" s="373">
        <f t="shared" si="23"/>
        <v>0</v>
      </c>
      <c r="N91" s="160"/>
      <c r="O91" s="504"/>
      <c r="P91" s="505"/>
      <c r="Q91" s="504"/>
      <c r="R91" s="426"/>
      <c r="S91" s="276"/>
      <c r="T91" s="506"/>
      <c r="U91" s="426"/>
      <c r="Y91" s="268"/>
      <c r="Z91" s="447"/>
      <c r="AA91" s="439"/>
      <c r="AB91" s="449"/>
    </row>
    <row r="92" spans="1:28" s="264" customFormat="1">
      <c r="A92" s="263"/>
      <c r="B92" s="160" t="s">
        <v>67</v>
      </c>
      <c r="C92" s="160"/>
      <c r="D92" s="372">
        <f>Input!$SE$35</f>
        <v>443167</v>
      </c>
      <c r="E92" s="372">
        <f>Input!$SF$35</f>
        <v>260578</v>
      </c>
      <c r="F92" s="372">
        <f>Input!$SG$35</f>
        <v>62644</v>
      </c>
      <c r="G92" s="372">
        <f>Input!$SH$35</f>
        <v>334734</v>
      </c>
      <c r="H92" s="372">
        <f>Input!$SI$35</f>
        <v>0</v>
      </c>
      <c r="I92" s="372">
        <f>Input!$SJ$35</f>
        <v>0</v>
      </c>
      <c r="J92" s="372">
        <f>Input!$SK$35</f>
        <v>2476769</v>
      </c>
      <c r="K92" s="372">
        <f>Input!$SL$35</f>
        <v>0</v>
      </c>
      <c r="L92" s="372">
        <f>Input!$SM$35</f>
        <v>0</v>
      </c>
      <c r="M92" s="373">
        <f>D92+E92+F92+G92+H92+I92+J92+K92+L92</f>
        <v>3577892</v>
      </c>
      <c r="N92" s="160"/>
      <c r="O92" s="1729" t="str">
        <f>Input!UF$35</f>
        <v>Janet Coleman</v>
      </c>
      <c r="P92" s="1730"/>
      <c r="Q92" s="1729" t="str">
        <f>Input!$UG$35</f>
        <v>325-942-2014</v>
      </c>
      <c r="R92" s="1730"/>
      <c r="S92" s="276"/>
      <c r="T92" s="1731" t="str">
        <f>HYPERLINK("Mailto:"&amp;Input!$UH$35,Input!$UH$35)</f>
        <v>janet.coleman@angelo.edu</v>
      </c>
      <c r="U92" s="1730"/>
      <c r="Y92" s="268"/>
      <c r="Z92" s="447"/>
      <c r="AA92" s="442"/>
      <c r="AB92" s="449"/>
    </row>
    <row r="93" spans="1:28" ht="13.5" thickBot="1">
      <c r="B93" s="179" t="s">
        <v>58</v>
      </c>
      <c r="C93" s="179"/>
      <c r="D93" s="380">
        <f t="shared" ref="D93:K93" si="24">SUM(D85:D92)</f>
        <v>-2298329</v>
      </c>
      <c r="E93" s="380">
        <f t="shared" si="24"/>
        <v>-5407495</v>
      </c>
      <c r="F93" s="380">
        <f t="shared" si="24"/>
        <v>-3193652</v>
      </c>
      <c r="G93" s="380">
        <f t="shared" si="24"/>
        <v>13951639</v>
      </c>
      <c r="H93" s="380">
        <f t="shared" si="24"/>
        <v>69568</v>
      </c>
      <c r="I93" s="380">
        <f t="shared" si="24"/>
        <v>16083898</v>
      </c>
      <c r="J93" s="380">
        <f t="shared" si="24"/>
        <v>9168277</v>
      </c>
      <c r="K93" s="380">
        <f t="shared" si="24"/>
        <v>0</v>
      </c>
      <c r="L93" s="380">
        <f>SUM(L85:L92)</f>
        <v>-11028349</v>
      </c>
      <c r="M93" s="380">
        <f>D93+E93+F93+G93+H93+I93+J93+K93+L93</f>
        <v>17345557</v>
      </c>
      <c r="N93" s="160"/>
      <c r="O93" s="506"/>
      <c r="P93" s="507"/>
      <c r="Q93" s="276"/>
      <c r="R93" s="276"/>
      <c r="S93" s="276"/>
      <c r="T93" s="507"/>
      <c r="U93" s="508"/>
      <c r="Y93" s="268"/>
      <c r="Z93" s="447"/>
      <c r="AA93" s="442"/>
      <c r="AB93" s="449"/>
    </row>
    <row r="94" spans="1:28" ht="13.5" thickTop="1">
      <c r="C94" s="160"/>
      <c r="D94" s="165"/>
      <c r="E94" s="165"/>
      <c r="F94" s="165"/>
      <c r="G94" s="165"/>
      <c r="H94" s="165"/>
      <c r="I94" s="165"/>
      <c r="J94" s="165"/>
      <c r="K94" s="165"/>
      <c r="L94" s="165"/>
      <c r="M94" s="180"/>
      <c r="N94" s="160"/>
      <c r="O94" s="1720" t="s">
        <v>593</v>
      </c>
      <c r="P94" s="1721"/>
      <c r="Q94" s="1721"/>
      <c r="R94" s="1721"/>
      <c r="S94" s="1721"/>
      <c r="T94" s="1721"/>
      <c r="U94" s="1722"/>
      <c r="Y94" s="268"/>
      <c r="Z94" s="451"/>
      <c r="AA94" s="442"/>
      <c r="AB94" s="449"/>
    </row>
    <row r="95" spans="1:28">
      <c r="B95" s="171" t="s">
        <v>1369</v>
      </c>
      <c r="C95" s="169"/>
      <c r="D95" s="165"/>
      <c r="E95" s="165"/>
      <c r="F95" s="165"/>
      <c r="G95" s="165"/>
      <c r="H95" s="165"/>
      <c r="I95" s="165"/>
      <c r="J95" s="165"/>
      <c r="K95" s="165"/>
      <c r="L95" s="165"/>
      <c r="M95" s="180"/>
      <c r="N95" s="160"/>
      <c r="O95" s="1720"/>
      <c r="P95" s="1721"/>
      <c r="Q95" s="1721"/>
      <c r="R95" s="1721"/>
      <c r="S95" s="1721"/>
      <c r="T95" s="1721"/>
      <c r="U95" s="1722"/>
      <c r="Y95" s="268"/>
      <c r="Z95" s="452"/>
      <c r="AA95" s="453"/>
      <c r="AB95" s="454"/>
    </row>
    <row r="96" spans="1:28">
      <c r="B96" s="169" t="s">
        <v>80</v>
      </c>
      <c r="C96" s="160"/>
      <c r="D96" s="165"/>
      <c r="E96" s="165"/>
      <c r="F96" s="165"/>
      <c r="G96" s="165"/>
      <c r="H96" s="165"/>
      <c r="I96" s="165"/>
      <c r="J96" s="165"/>
      <c r="K96" s="165"/>
      <c r="L96" s="165"/>
      <c r="M96" s="180"/>
      <c r="N96" s="160"/>
      <c r="O96" s="509"/>
      <c r="P96" s="510"/>
      <c r="Q96" s="511"/>
      <c r="R96" s="511"/>
      <c r="S96" s="511"/>
      <c r="T96" s="510"/>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Input!$SN$35</f>
        <v>17345557</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3" t="str">
        <f>IF($L$118&lt;&gt;Input!$F$35,"Out of Balance","Balanced")</f>
        <v>Balanced</v>
      </c>
      <c r="M102" s="517"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97850863</v>
      </c>
      <c r="E105" s="373">
        <f>SUM($E$10:$E$14)+SUM($E$19:$E$28)+SUM($E$32:$E$41)+$E$47+SUM($E$50:$E$55)+SUM($E$60:$E$70)+SUM($E$74:$E$77)+SUM($E$81:$E$82)+SUM($E$87:$E$92)</f>
        <v>78743369</v>
      </c>
      <c r="F105" s="373">
        <f>SUM($F$10:$F$14)+SUM($F$19:$F$28)+SUM($F$32:$F$41)+$F$47+SUM($F$50:$F$55)+SUM($F$60:$F$70)+SUM($F$74:$F$77)+SUM($F$81:$F$82)+SUM($F$87:$F$92)</f>
        <v>38439284</v>
      </c>
      <c r="G105" s="373">
        <f>SUM($G$10:$G$14)+SUM($G$19:$G$28)+SUM($G$32:$G$41)+$G$47+SUM($G$50:$G$55)+SUM($G$60:$G$70)+SUM($G$74:$G$77)+SUM($G$81:$G$82)+SUM($G$87:$G$92)</f>
        <v>36761915</v>
      </c>
      <c r="H105" s="373">
        <f>SUM($H$10:$H$14)+SUM($H$19:$H$28)+SUM($H$32:$H$41)+$H$47+SUM($H$50:$H$55)+SUM($H$60:$H$70)+SUM($H$74:$H$77)+SUM($H$81:$H$82)+SUM($H$87:$H$92)</f>
        <v>61766</v>
      </c>
      <c r="I105" s="373">
        <f>SUM($I$10:$I$14)+SUM($I$19:$I$28)+SUM($I$32:$I$41)+$I$47+SUM($I$50:$I$55)+SUM($I$60:$I$70)+SUM($I$74:$I$77)+SUM($I$81:$I$82)+SUM($I$87:$I$92)</f>
        <v>16083898</v>
      </c>
      <c r="J105" s="373">
        <f>SUM($J$10:$J$14)+SUM($J$19:$J$28)+SUM($J$32:$J$41)+$J$47+SUM($J$50:$J$55)+SUM($J$60:$J$70)+SUM($J$74:$J$77)+SUM($J$81:$J$82)+SUM($J$87:$J$92)</f>
        <v>13642515</v>
      </c>
      <c r="K105" s="373">
        <f>SUM($K$10:$K$14)+SUM($K$19:$K$28)+SUM($K$32:$K$41)+$K$47+SUM($K$50:$K$55)+SUM($K$60:$K$70)+SUM($K$74:$K$77)+SUM($K$81:$K$82)+SUM($K$87:$K$92)</f>
        <v>0</v>
      </c>
      <c r="L105" s="373">
        <f>SUM($L$10:$L$14)+SUM($L$19:$L$28)+SUM($L$32:$L$41)+$L$47+SUM($L$50:$L$55)+SUM($L$60:$L$70)+SUM($L$74:$L$77)+SUM($L$81:$L$82)+SUM($L$87:$L$92)</f>
        <v>-11028349</v>
      </c>
      <c r="M105" s="373"/>
      <c r="N105" s="264"/>
      <c r="O105" s="373"/>
      <c r="P105" s="450">
        <f>M18-INT(M18)</f>
        <v>0</v>
      </c>
    </row>
    <row r="106" spans="2:28">
      <c r="B106" s="261"/>
      <c r="C106" s="261"/>
      <c r="D106" s="261"/>
      <c r="E106" s="261"/>
      <c r="F106" s="261"/>
      <c r="G106" s="261"/>
      <c r="H106" s="261"/>
      <c r="I106" s="261"/>
      <c r="J106" s="261"/>
      <c r="K106" s="261"/>
      <c r="L106" s="373">
        <f>SUM($D$105:$L$105)</f>
        <v>270555261</v>
      </c>
      <c r="M106" s="261"/>
      <c r="N106" s="264"/>
      <c r="O106" s="373"/>
      <c r="P106" s="450">
        <f>M31-INT(M31)</f>
        <v>0</v>
      </c>
    </row>
    <row r="107" spans="2:28">
      <c r="B107" s="261"/>
      <c r="C107" s="261"/>
      <c r="D107" s="261"/>
      <c r="E107" s="261"/>
      <c r="F107" s="261"/>
      <c r="G107" s="261"/>
      <c r="H107" s="261"/>
      <c r="I107" s="261"/>
      <c r="J107" s="261" t="s">
        <v>1299</v>
      </c>
      <c r="K107" s="261"/>
      <c r="L107" s="373">
        <f>$M$100</f>
        <v>17345557</v>
      </c>
      <c r="M107" s="261"/>
      <c r="N107" s="264"/>
      <c r="O107" s="373"/>
      <c r="P107" s="450">
        <f>M93-INT(M93)</f>
        <v>0</v>
      </c>
    </row>
    <row r="108" spans="2:28">
      <c r="B108" s="261"/>
      <c r="C108" s="261"/>
      <c r="D108" s="261"/>
      <c r="E108" s="261"/>
      <c r="F108" s="261"/>
      <c r="G108" s="261"/>
      <c r="H108" s="261"/>
      <c r="I108" s="261"/>
      <c r="J108" s="261" t="s">
        <v>1300</v>
      </c>
      <c r="K108" s="261"/>
      <c r="L108" s="512">
        <f>$Q$32</f>
        <v>68680411</v>
      </c>
      <c r="M108" s="261"/>
      <c r="N108" s="264"/>
      <c r="O108" s="373"/>
    </row>
    <row r="109" spans="2:28">
      <c r="B109" s="261"/>
      <c r="C109" s="261"/>
      <c r="D109" s="261"/>
      <c r="E109" s="261"/>
      <c r="F109" s="261"/>
      <c r="G109" s="261"/>
      <c r="H109" s="261"/>
      <c r="I109" s="261"/>
      <c r="J109" s="261" t="s">
        <v>1300</v>
      </c>
      <c r="K109" s="261"/>
      <c r="L109" s="512">
        <f>$R$34</f>
        <v>-23936911</v>
      </c>
      <c r="M109" s="261"/>
      <c r="N109" s="264"/>
      <c r="O109" s="373"/>
    </row>
    <row r="110" spans="2:28">
      <c r="B110" s="261"/>
      <c r="C110" s="261"/>
      <c r="D110" s="261"/>
      <c r="E110" s="261"/>
      <c r="F110" s="261"/>
      <c r="G110" s="261"/>
      <c r="H110" s="261"/>
      <c r="I110" s="261"/>
      <c r="J110" s="261" t="s">
        <v>29</v>
      </c>
      <c r="K110" s="261"/>
      <c r="L110" s="512">
        <f>SUM($P$60:$P$68)</f>
        <v>1101123</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2">
        <f>SUM($V$60:$V$67)</f>
        <v>0</v>
      </c>
      <c r="M112" s="261"/>
      <c r="N112" s="264"/>
      <c r="O112" s="373"/>
    </row>
    <row r="113" spans="2:15">
      <c r="B113" s="261"/>
      <c r="C113" s="261"/>
      <c r="D113" s="261"/>
      <c r="E113" s="261"/>
      <c r="F113" s="261"/>
      <c r="G113" s="261"/>
      <c r="H113" s="261"/>
      <c r="I113" s="261"/>
      <c r="J113" s="261" t="s">
        <v>596</v>
      </c>
      <c r="K113" s="261"/>
      <c r="L113" s="512">
        <f>SUM($W$60:$W$67)</f>
        <v>0</v>
      </c>
      <c r="M113" s="261"/>
      <c r="N113" s="264"/>
      <c r="O113" s="373"/>
    </row>
    <row r="114" spans="2:15">
      <c r="B114" s="261"/>
      <c r="C114" s="261"/>
      <c r="D114" s="261"/>
      <c r="E114" s="261"/>
      <c r="F114" s="261"/>
      <c r="G114" s="261"/>
      <c r="H114" s="261"/>
      <c r="I114" s="261"/>
      <c r="J114" s="261" t="s">
        <v>258</v>
      </c>
      <c r="K114" s="261"/>
      <c r="L114" s="512">
        <f>SUM($AA$60:$AA$68)</f>
        <v>125783828</v>
      </c>
      <c r="M114" s="261"/>
      <c r="N114" s="264"/>
      <c r="O114" s="373"/>
    </row>
    <row r="115" spans="2:15">
      <c r="B115" s="261"/>
      <c r="C115" s="261"/>
      <c r="D115" s="261"/>
      <c r="E115" s="261"/>
      <c r="F115" s="261"/>
      <c r="G115" s="261"/>
      <c r="H115" s="261"/>
      <c r="I115" s="261"/>
      <c r="J115" s="261" t="s">
        <v>597</v>
      </c>
      <c r="K115" s="261"/>
      <c r="L115" s="512">
        <f>$R$77</f>
        <v>11824914</v>
      </c>
      <c r="M115" s="261"/>
      <c r="N115" s="264"/>
      <c r="O115" s="373"/>
    </row>
    <row r="116" spans="2:15">
      <c r="B116" s="261"/>
      <c r="C116" s="261"/>
      <c r="D116" s="261"/>
      <c r="E116" s="261"/>
      <c r="F116" s="261"/>
      <c r="G116" s="261"/>
      <c r="H116" s="261"/>
      <c r="I116" s="261"/>
      <c r="J116" s="261" t="s">
        <v>597</v>
      </c>
      <c r="K116" s="261"/>
      <c r="L116" s="512">
        <f>$R$80</f>
        <v>13016793</v>
      </c>
      <c r="M116" s="261"/>
      <c r="N116" s="264"/>
      <c r="O116" s="373"/>
    </row>
    <row r="117" spans="2:15">
      <c r="B117" s="261"/>
      <c r="C117" s="261"/>
      <c r="D117" s="261"/>
      <c r="E117" s="261"/>
      <c r="F117" s="261"/>
      <c r="G117" s="261"/>
      <c r="H117" s="261"/>
      <c r="I117" s="261"/>
      <c r="J117" s="261" t="s">
        <v>1231</v>
      </c>
      <c r="K117" s="261"/>
      <c r="L117" s="1008">
        <f>VLOOKUP(B2,Names!B5:$C$87,2,FALSE)</f>
        <v>3541</v>
      </c>
      <c r="M117" s="261"/>
      <c r="N117" s="264"/>
      <c r="O117" s="373"/>
    </row>
    <row r="118" spans="2:15">
      <c r="B118" s="261"/>
      <c r="C118" s="261"/>
      <c r="D118" s="261"/>
      <c r="E118" s="261"/>
      <c r="F118" s="261"/>
      <c r="G118" s="261"/>
      <c r="H118" s="261"/>
      <c r="I118" s="261"/>
      <c r="J118" s="261"/>
      <c r="K118" s="261"/>
      <c r="L118" s="373">
        <f>SUM(L106:L117)</f>
        <v>484374517</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V56:V59"/>
    <mergeCell ref="W56:W59"/>
    <mergeCell ref="G59:K59"/>
    <mergeCell ref="AA56:AA59"/>
    <mergeCell ref="Z55:AB55"/>
    <mergeCell ref="R56:R59"/>
    <mergeCell ref="O55:R55"/>
    <mergeCell ref="T55:X55"/>
    <mergeCell ref="X56:X59"/>
    <mergeCell ref="AB56:AB59"/>
    <mergeCell ref="Z56:Z59"/>
    <mergeCell ref="B2:F2"/>
    <mergeCell ref="B3:F3"/>
    <mergeCell ref="B4:F4"/>
    <mergeCell ref="B6:M6"/>
    <mergeCell ref="P4:Q4"/>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s>
  <conditionalFormatting sqref="U87:X88 O88:Q88">
    <cfRule type="cellIs" dxfId="380" priority="137" stopIfTrue="1" operator="notEqual">
      <formula>#REF!</formula>
    </cfRule>
  </conditionalFormatting>
  <conditionalFormatting sqref="P70">
    <cfRule type="expression" dxfId="379" priority="115">
      <formula>$P$69&lt;&gt;$M$69</formula>
    </cfRule>
  </conditionalFormatting>
  <conditionalFormatting sqref="AB72">
    <cfRule type="expression" dxfId="378" priority="114">
      <formula>$AB$71&lt;&gt;0</formula>
    </cfRule>
  </conditionalFormatting>
  <conditionalFormatting sqref="P71">
    <cfRule type="expression" dxfId="377" priority="113">
      <formula>P69-INT(P69)</formula>
    </cfRule>
  </conditionalFormatting>
  <conditionalFormatting sqref="V70">
    <cfRule type="expression" dxfId="376" priority="111">
      <formula>X68-INT(X68)</formula>
    </cfRule>
  </conditionalFormatting>
  <conditionalFormatting sqref="O11">
    <cfRule type="expression" dxfId="375" priority="104">
      <formula>#REF!&lt;&gt;$M$11</formula>
    </cfRule>
  </conditionalFormatting>
  <conditionalFormatting sqref="U87:U88 O88:Q88">
    <cfRule type="cellIs" dxfId="374" priority="95" stopIfTrue="1" operator="notEqual">
      <formula>#REF!</formula>
    </cfRule>
  </conditionalFormatting>
  <conditionalFormatting sqref="R84">
    <cfRule type="expression" priority="93" stopIfTrue="1">
      <formula>$M$85&lt;0</formula>
    </cfRule>
    <cfRule type="expression" dxfId="373" priority="94">
      <formula>$S$85&lt;&gt;0</formula>
    </cfRule>
  </conditionalFormatting>
  <conditionalFormatting sqref="U87:U88 O88:Q88">
    <cfRule type="cellIs" dxfId="372" priority="90" stopIfTrue="1" operator="notEqual">
      <formula>#REF!</formula>
    </cfRule>
  </conditionalFormatting>
  <conditionalFormatting sqref="O12">
    <cfRule type="expression" dxfId="371" priority="74">
      <formula>$P$12&lt;&gt;$M$12</formula>
    </cfRule>
  </conditionalFormatting>
  <conditionalFormatting sqref="O13">
    <cfRule type="expression" dxfId="370" priority="73">
      <formula>$P$13&lt;&gt;$M$13</formula>
    </cfRule>
  </conditionalFormatting>
  <conditionalFormatting sqref="Q36">
    <cfRule type="expression" dxfId="369" priority="27">
      <formula>#REF!&lt;&gt;#REF!</formula>
    </cfRule>
  </conditionalFormatting>
  <conditionalFormatting sqref="R35">
    <cfRule type="expression" dxfId="368" priority="26">
      <formula>#REF!&lt;&gt;0</formula>
    </cfRule>
  </conditionalFormatting>
  <conditionalFormatting sqref="Q35">
    <cfRule type="expression" dxfId="367" priority="25">
      <formula>#REF!&lt;&gt;0</formula>
    </cfRule>
  </conditionalFormatting>
  <conditionalFormatting sqref="R36">
    <cfRule type="expression" dxfId="366" priority="24">
      <formula>#REF!&lt;&gt;#REF!</formula>
    </cfRule>
  </conditionalFormatting>
  <conditionalFormatting sqref="D93:M98 T94:T95 R90:S95 U87:X93 T90:T92 Y90:Y95 O88:O92 P88:Q93">
    <cfRule type="cellIs" dxfId="365" priority="23" stopIfTrue="1" operator="notEqual">
      <formula>#REF!</formula>
    </cfRule>
  </conditionalFormatting>
  <conditionalFormatting sqref="P70">
    <cfRule type="expression" dxfId="364" priority="22">
      <formula>$P$69&lt;&gt;$M$69</formula>
    </cfRule>
  </conditionalFormatting>
  <conditionalFormatting sqref="AB72">
    <cfRule type="expression" dxfId="363" priority="21">
      <formula>$AB$71&lt;&gt;0</formula>
    </cfRule>
  </conditionalFormatting>
  <conditionalFormatting sqref="P71">
    <cfRule type="expression" dxfId="362" priority="20">
      <formula>P69-INT(P69)</formula>
    </cfRule>
  </conditionalFormatting>
  <conditionalFormatting sqref="V70">
    <cfRule type="expression" dxfId="361" priority="19">
      <formula>X68-INT(X68)</formula>
    </cfRule>
  </conditionalFormatting>
  <conditionalFormatting sqref="O12">
    <cfRule type="expression" dxfId="360" priority="18">
      <formula>$P$12&lt;&gt;$M$12</formula>
    </cfRule>
  </conditionalFormatting>
  <conditionalFormatting sqref="T94:T95 R90:S95 U87:U93 T90:T92 O88:O92 P88:Q93">
    <cfRule type="cellIs" dxfId="359" priority="16" stopIfTrue="1" operator="notEqual">
      <formula>#REF!</formula>
    </cfRule>
  </conditionalFormatting>
  <conditionalFormatting sqref="R84">
    <cfRule type="expression" priority="14" stopIfTrue="1">
      <formula>$M$85&lt;0</formula>
    </cfRule>
    <cfRule type="expression" dxfId="358" priority="15">
      <formula>$S$85&lt;&gt;0</formula>
    </cfRule>
  </conditionalFormatting>
  <conditionalFormatting sqref="R80 R77">
    <cfRule type="expression" dxfId="357" priority="12" stopIfTrue="1">
      <formula>$M$85&gt;=0</formula>
    </cfRule>
    <cfRule type="expression" priority="13">
      <formula>$M$85&lt;0</formula>
    </cfRule>
  </conditionalFormatting>
  <conditionalFormatting sqref="U87:U88 R89:U92 O88:Q92">
    <cfRule type="cellIs" dxfId="356" priority="11" stopIfTrue="1" operator="notEqual">
      <formula>#REF!</formula>
    </cfRule>
  </conditionalFormatting>
  <conditionalFormatting sqref="M101">
    <cfRule type="expression" dxfId="355" priority="10">
      <formula>$M$101&lt;&gt;0</formula>
    </cfRule>
  </conditionalFormatting>
  <conditionalFormatting sqref="M102">
    <cfRule type="expression" dxfId="354" priority="9">
      <formula>$M$93&lt;&gt;$M$100</formula>
    </cfRule>
  </conditionalFormatting>
  <conditionalFormatting sqref="U87:U92 R90:T92 O88:Q92">
    <cfRule type="cellIs" dxfId="353" priority="8" stopIfTrue="1" operator="notEqual">
      <formula>#REF!</formula>
    </cfRule>
  </conditionalFormatting>
  <conditionalFormatting sqref="T89:U89 Q91 T90 O89:O90 P89:Q89 R89:S91">
    <cfRule type="cellIs" dxfId="352" priority="7" stopIfTrue="1" operator="notEqual">
      <formula>#REF!</formula>
    </cfRule>
  </conditionalFormatting>
  <conditionalFormatting sqref="Q36">
    <cfRule type="expression" dxfId="351" priority="6">
      <formula>#REF!&lt;&gt;#REF!</formula>
    </cfRule>
  </conditionalFormatting>
  <conditionalFormatting sqref="R35">
    <cfRule type="expression" dxfId="350" priority="5">
      <formula>#REF!&lt;&gt;0</formula>
    </cfRule>
  </conditionalFormatting>
  <conditionalFormatting sqref="Q35">
    <cfRule type="expression" dxfId="349" priority="4">
      <formula>#REF!&lt;&gt;0</formula>
    </cfRule>
  </conditionalFormatting>
  <conditionalFormatting sqref="R36">
    <cfRule type="expression" dxfId="348" priority="3">
      <formula>#REF!&lt;&gt;#REF!</formula>
    </cfRule>
  </conditionalFormatting>
  <conditionalFormatting sqref="G59:K59">
    <cfRule type="expression" dxfId="347" priority="1">
      <formula>OR($P$105&gt;0,$P$106&lt;&gt;0,$P$107&lt;&gt;0)</formula>
    </cfRule>
  </conditionalFormatting>
  <hyperlinks>
    <hyperlink ref="O2" location="Index!A1" display="Return to Index" xr:uid="{00000000-0004-0000-8F00-000000000000}"/>
  </hyperlinks>
  <printOptions horizontalCentered="1"/>
  <pageMargins left="0.5" right="0.5" top="0.25" bottom="0.25" header="0" footer="0.25"/>
  <pageSetup scale="10" orientation="landscape" r:id="rId1"/>
  <headerFooter alignWithMargins="0"/>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sheetPr codeName="Sheet122"/>
  <dimension ref="A1:G30"/>
  <sheetViews>
    <sheetView showGridLines="0" zoomScale="80" zoomScaleNormal="80" workbookViewId="0">
      <selection activeCell="E74" sqref="E74:F74"/>
    </sheetView>
  </sheetViews>
  <sheetFormatPr defaultColWidth="9.140625" defaultRowHeight="12.75"/>
  <cols>
    <col min="1" max="1" width="7" style="53" customWidth="1"/>
    <col min="2" max="2" width="93.140625" style="53" customWidth="1"/>
    <col min="3" max="3" width="18.5703125" style="53" customWidth="1"/>
    <col min="4" max="9" width="9.140625" style="53"/>
    <col min="10" max="10" width="15.28515625" style="53" customWidth="1"/>
    <col min="11" max="16384" width="9.140625" style="53"/>
  </cols>
  <sheetData>
    <row r="1" spans="2:6" ht="18.75" thickBot="1">
      <c r="B1" s="466" t="str">
        <f>'ASU Chrts'!$A$1</f>
        <v>Angelo State University</v>
      </c>
      <c r="C1" s="835" t="s">
        <v>1200</v>
      </c>
    </row>
    <row r="2" spans="2:6">
      <c r="B2" s="393" t="str">
        <f>'Smmy Chrts'!$A$2</f>
        <v>For the Year Ended August 31, 2021</v>
      </c>
    </row>
    <row r="3" spans="2:6">
      <c r="B3" s="393" t="str">
        <f>'Smmy Chrts'!$A$3</f>
        <v>Source: FY 2021 Annual Financial Report</v>
      </c>
    </row>
    <row r="5" spans="2:6" customFormat="1">
      <c r="B5" s="529" t="s">
        <v>705</v>
      </c>
    </row>
    <row r="6" spans="2:6" customFormat="1">
      <c r="B6" s="530"/>
    </row>
    <row r="7" spans="2:6" customFormat="1" ht="226.5" customHeight="1">
      <c r="B7" s="531" t="s">
        <v>706</v>
      </c>
      <c r="C7" s="532"/>
    </row>
    <row r="8" spans="2:6" customFormat="1" ht="263.25" customHeight="1">
      <c r="B8" s="531" t="s">
        <v>707</v>
      </c>
    </row>
    <row r="9" spans="2:6" ht="64.5" customHeight="1">
      <c r="B9" s="533" t="str">
        <f>IF('ASU FGD'!$R$76="N/A","FN11.  N/A",$B$20&amp;$B$21&amp;$B$22&amp;$B$23&amp;$B$24&amp;$B$25&amp;$B$26&amp;$B$27&amp;$B$28&amp;$B$29&amp;$B$30)</f>
        <v>FN11: Of the net increase of $24,841,707 approximately $11.8 million represents revenues received but not yet expended. This income is fully committed to program expenditures and capital disbursements. The remaining $13.0 million represents non-expendable funds from unrealized gains and additions to permanent endowments of approximately $13.0 million and $0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TEXT(IF('ASU FGD'!$M$85&lt;0,"N/A",'ASU FGD'!$M$85),"$* #,##0;$* (#,##0)")</f>
        <v>$24,841,707</v>
      </c>
      <c r="C21" s="480"/>
      <c r="D21" s="480"/>
      <c r="E21" s="480"/>
      <c r="G21" s="105"/>
    </row>
    <row r="22" spans="1:7">
      <c r="B22" s="105" t="s">
        <v>682</v>
      </c>
    </row>
    <row r="23" spans="1:7">
      <c r="A23" s="53">
        <v>61</v>
      </c>
      <c r="B23" s="515" t="str">
        <f>IF(ABS('ASU FGD'!$R$77)&gt;=1000000,TEXT('ASU FGD'!$R$77/1000000,"$* #,##0.0;$* (#,##0.0)")&amp;" million",IF(ABS('ASU FGD'!$R$77)&lt;1000,TEXT('ASU FGD'!$R$77,"$* #,##0;$* (#,##0)"),TEXT('ASU FGD'!$R$77/1000,"$* #,##0;$* (#,##0)")&amp;" thousand"))</f>
        <v>$11.8 million</v>
      </c>
      <c r="C23" s="515"/>
      <c r="E23" s="515"/>
    </row>
    <row r="24" spans="1:7">
      <c r="B24" s="105" t="s">
        <v>708</v>
      </c>
    </row>
    <row r="25" spans="1:7">
      <c r="A25" s="53">
        <v>62</v>
      </c>
      <c r="B25" s="515" t="str">
        <f>IF(ABS('ASU FGD'!$R$78)&gt;=1000000,TEXT('ASU FGD'!$R$78/1000000,"$* #,##0.0;$* (#,##0.0)")&amp;" million",IF(ABS('ASU FGD'!$R$78)&lt;1000,TEXT('ASU FGD'!$R$78,"$* #,##0;$* (#,##0)"),TEXT('ASU FGD'!$R$78/1000,"$* #,##0;$* (#,##0)")&amp;" thousand"))</f>
        <v>$13.0 million</v>
      </c>
      <c r="C25" s="515"/>
      <c r="E25" s="515"/>
    </row>
    <row r="26" spans="1:7">
      <c r="B26" s="105" t="s">
        <v>683</v>
      </c>
    </row>
    <row r="27" spans="1:7">
      <c r="A27" s="53">
        <v>64</v>
      </c>
      <c r="B27" s="515" t="str">
        <f>IF(ABS('ASU FGD'!$R$80)&gt;=1000000,TEXT('ASU FGD'!$R$80/1000000,"$* #,##0.0;$* (#,##0.0)")&amp;" million",IF(ABS('ASU FGD'!$R$80)&lt;1000,TEXT('ASU FGD'!$R$80,"$* #,##0;$* (#,##0)"),TEXT('ASU FGD'!$R$80/1000,"$* #,##0;$* (#,##0)")&amp;" thousand"))</f>
        <v>$13.0 million</v>
      </c>
      <c r="C27" s="515"/>
      <c r="E27" s="515"/>
    </row>
    <row r="28" spans="1:7">
      <c r="B28" s="105" t="s">
        <v>684</v>
      </c>
    </row>
    <row r="29" spans="1:7">
      <c r="A29" s="53">
        <v>66</v>
      </c>
      <c r="B29" s="515" t="str">
        <f>IF(ABS('ASU FGD'!$R$82)&gt;=1000000,TEXT('ASU FGD'!$R$82/1000000,"$* #,##0.0;$* (#,##0.0)")&amp;" million",IF(ABS('ASU FGD'!$R$82)&lt;1000,TEXT('ASU FGD'!$R$82,"$* #,##0;$* (#,##0)"),TEXT('ASU FGD'!$R$82/1000,"$* #,##0;$* (#,##0)")&amp;" thousand"))</f>
        <v>$0</v>
      </c>
      <c r="C29" s="515"/>
      <c r="E29" s="515"/>
    </row>
    <row r="30" spans="1:7">
      <c r="B30" s="105" t="s">
        <v>709</v>
      </c>
    </row>
  </sheetData>
  <hyperlinks>
    <hyperlink ref="C1" location="Index!A1" display="Return to Index" xr:uid="{00000000-0004-0000-9000-000000000000}"/>
  </hyperlinks>
  <pageMargins left="0.25" right="0.25" top="0.25" bottom="0.25" header="0" footer="0.25"/>
  <pageSetup orientation="portrait" r:id="rId1"/>
  <headerFooter alignWithMargins="0"/>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sheetPr codeName="Sheet123">
    <tabColor indexed="47"/>
    <pageSetUpPr fitToPage="1"/>
  </sheetPr>
  <dimension ref="A1:E165"/>
  <sheetViews>
    <sheetView showGridLines="0" zoomScale="65" zoomScaleNormal="65" zoomScaleSheetLayoutView="65" workbookViewId="0">
      <selection activeCell="C91" sqref="C91"/>
    </sheetView>
  </sheetViews>
  <sheetFormatPr defaultColWidth="9.140625" defaultRowHeight="12.75" customHeight="1"/>
  <cols>
    <col min="1" max="1" width="158.7109375" style="53" customWidth="1"/>
    <col min="2" max="2" width="22.5703125" style="53" customWidth="1"/>
    <col min="3" max="3" width="50.28515625" style="53" customWidth="1"/>
    <col min="4" max="4" width="20.7109375" style="53" customWidth="1"/>
    <col min="5" max="5" width="9.140625" style="679"/>
    <col min="6" max="16384" width="9.140625" style="53"/>
  </cols>
  <sheetData>
    <row r="1" spans="1:5" ht="28.5" thickBot="1">
      <c r="A1" s="159" t="s">
        <v>123</v>
      </c>
      <c r="B1" s="835" t="s">
        <v>1200</v>
      </c>
      <c r="C1" s="53" t="s">
        <v>1329</v>
      </c>
    </row>
    <row r="2" spans="1:5" ht="27.75">
      <c r="A2" s="54" t="str">
        <f>'Smmy Chrts'!$A$2</f>
        <v>For the Year Ended August 31, 2021</v>
      </c>
      <c r="C2" s="55" t="s">
        <v>63</v>
      </c>
    </row>
    <row r="3" spans="1:5" ht="27.75">
      <c r="A3" s="54" t="str">
        <f>'Smmy Chrts'!$A$3</f>
        <v>Source: FY 2021 Annual Financial Report</v>
      </c>
      <c r="C3" s="53" t="s">
        <v>64</v>
      </c>
    </row>
    <row r="4" spans="1:5" ht="12.75" customHeight="1">
      <c r="C4" s="53" t="s">
        <v>267</v>
      </c>
    </row>
    <row r="5" spans="1:5" ht="12.75" customHeight="1">
      <c r="C5" s="53" t="s">
        <v>268</v>
      </c>
    </row>
    <row r="7" spans="1:5" ht="12.75" customHeight="1">
      <c r="C7" s="1687" t="s">
        <v>25</v>
      </c>
      <c r="D7" s="1687"/>
    </row>
    <row r="8" spans="1:5" ht="12.75" customHeight="1">
      <c r="C8" s="57"/>
      <c r="D8" s="58"/>
    </row>
    <row r="9" spans="1:5" ht="12.75" customHeight="1">
      <c r="C9" s="59" t="str">
        <f>'UNT Sum'!A9</f>
        <v>State of Texas</v>
      </c>
      <c r="D9" s="60">
        <f>'UNT Sum'!B15</f>
        <v>203993076</v>
      </c>
      <c r="E9" s="680">
        <f>ROUND(D9/$D$14,3)</f>
        <v>0.24199999999999999</v>
      </c>
    </row>
    <row r="10" spans="1:5" ht="12.75" customHeight="1">
      <c r="C10" s="59" t="str">
        <f>'UNT Sum'!A17</f>
        <v>Student &amp; Parent</v>
      </c>
      <c r="D10" s="60">
        <f>'UNT Sum'!B20</f>
        <v>363524651</v>
      </c>
      <c r="E10" s="680">
        <f t="shared" ref="E10:E12" si="0">ROUND(D10/$D$14,3)</f>
        <v>0.43099999999999999</v>
      </c>
    </row>
    <row r="11" spans="1:5" ht="12.75" customHeight="1">
      <c r="C11" s="59" t="str">
        <f>'UNT Sum'!A22</f>
        <v>Federal Government</v>
      </c>
      <c r="D11" s="60">
        <f>'UNT Sum'!B23</f>
        <v>165506817</v>
      </c>
      <c r="E11" s="680">
        <f t="shared" si="0"/>
        <v>0.19600000000000001</v>
      </c>
    </row>
    <row r="12" spans="1:5" ht="12.75" customHeight="1">
      <c r="C12" s="59" t="str">
        <f>'UNT Sum'!A25</f>
        <v>Institutional Resources</v>
      </c>
      <c r="D12" s="60">
        <f>'UNT Sum'!B32</f>
        <v>111282230</v>
      </c>
      <c r="E12" s="680">
        <f t="shared" si="0"/>
        <v>0.13200000000000001</v>
      </c>
    </row>
    <row r="13" spans="1:5" ht="12.75" customHeight="1">
      <c r="C13" s="57"/>
      <c r="D13" s="58"/>
      <c r="E13" s="680"/>
    </row>
    <row r="14" spans="1:5" ht="12.75" customHeight="1">
      <c r="C14" s="61" t="s">
        <v>68</v>
      </c>
      <c r="D14" s="62">
        <f>SUM(D9:D13)</f>
        <v>844306774</v>
      </c>
      <c r="E14" s="680">
        <f>SUM(E9:E13)</f>
        <v>1.0009999999999999</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86" t="str">
        <f>C14&amp;" "&amp;TEXT(D14,"$#,###")</f>
        <v>Total Operating Sources $844,306,774</v>
      </c>
    </row>
    <row r="48" spans="1:1" ht="12.75" customHeight="1">
      <c r="A48" s="1686"/>
    </row>
    <row r="49" spans="1:5" ht="12.75" customHeight="1">
      <c r="A49" s="56"/>
    </row>
    <row r="52" spans="1:5" ht="12.75" customHeight="1">
      <c r="C52" s="63" t="s">
        <v>25</v>
      </c>
      <c r="D52" s="58"/>
    </row>
    <row r="54" spans="1:5" ht="12.75" customHeight="1">
      <c r="C54" s="59" t="s">
        <v>1</v>
      </c>
      <c r="D54" s="60">
        <f>'UNT Sum'!B10</f>
        <v>134981091</v>
      </c>
      <c r="E54" s="680">
        <f>ROUND(D54/$D$67,3)</f>
        <v>0.16</v>
      </c>
    </row>
    <row r="55" spans="1:5" ht="12.75" customHeight="1">
      <c r="C55" s="59" t="s">
        <v>221</v>
      </c>
      <c r="D55" s="60">
        <f>'UNT Sum'!B11</f>
        <v>31665422</v>
      </c>
      <c r="E55" s="680">
        <f t="shared" ref="E55:E66" si="1">ROUND(D55/$D$67,3)</f>
        <v>3.7999999999999999E-2</v>
      </c>
    </row>
    <row r="56" spans="1:5" ht="12.75" customHeight="1">
      <c r="C56" s="59"/>
      <c r="D56" s="60"/>
      <c r="E56" s="680"/>
    </row>
    <row r="57" spans="1:5" ht="12.75" customHeight="1">
      <c r="C57" s="59" t="str">
        <f>'UNT Sum'!A13</f>
        <v>Higher Education Fund</v>
      </c>
      <c r="D57" s="60">
        <f>'UNT Sum'!B13</f>
        <v>37346563</v>
      </c>
      <c r="E57" s="680">
        <f t="shared" si="1"/>
        <v>4.3999999999999997E-2</v>
      </c>
    </row>
    <row r="58" spans="1:5" ht="12.75" customHeight="1">
      <c r="C58" s="1069" t="s">
        <v>41</v>
      </c>
      <c r="D58" s="60">
        <f>'UNT Sum'!B14</f>
        <v>0</v>
      </c>
      <c r="E58" s="680">
        <f t="shared" si="1"/>
        <v>0</v>
      </c>
    </row>
    <row r="59" spans="1:5" ht="12.75" customHeight="1">
      <c r="C59" s="59" t="s">
        <v>87</v>
      </c>
      <c r="D59" s="60">
        <f>'UNT Sum'!B20</f>
        <v>363524651</v>
      </c>
      <c r="E59" s="680">
        <f t="shared" si="1"/>
        <v>0.43099999999999999</v>
      </c>
    </row>
    <row r="60" spans="1:5" ht="12.75" customHeight="1">
      <c r="C60" s="64" t="s">
        <v>74</v>
      </c>
      <c r="D60" s="60">
        <f>'UNT Sum'!B23</f>
        <v>165506817</v>
      </c>
      <c r="E60" s="680">
        <f t="shared" si="1"/>
        <v>0.19600000000000001</v>
      </c>
    </row>
    <row r="61" spans="1:5" ht="12.75" customHeight="1">
      <c r="C61" s="59" t="s">
        <v>75</v>
      </c>
      <c r="D61" s="60">
        <f>'UNT Sum'!B26</f>
        <v>30128512</v>
      </c>
      <c r="E61" s="680">
        <f t="shared" si="1"/>
        <v>3.5999999999999997E-2</v>
      </c>
    </row>
    <row r="62" spans="1:5" ht="12.75" customHeight="1">
      <c r="C62" s="59" t="s">
        <v>27</v>
      </c>
      <c r="D62" s="60">
        <f>'UNT Sum'!B27</f>
        <v>587381</v>
      </c>
      <c r="E62" s="680">
        <f t="shared" si="1"/>
        <v>1E-3</v>
      </c>
    </row>
    <row r="63" spans="1:5" ht="12.75" customHeight="1">
      <c r="C63" s="59" t="s">
        <v>76</v>
      </c>
      <c r="D63" s="60">
        <f>'UNT Sum'!B28</f>
        <v>3948553</v>
      </c>
      <c r="E63" s="680">
        <f t="shared" si="1"/>
        <v>5.0000000000000001E-3</v>
      </c>
    </row>
    <row r="64" spans="1:5" ht="12.75" customHeight="1">
      <c r="C64" s="59" t="s">
        <v>77</v>
      </c>
      <c r="D64" s="60">
        <f>'UNT Sum'!B29</f>
        <v>16640371</v>
      </c>
      <c r="E64" s="680">
        <f t="shared" si="1"/>
        <v>0.02</v>
      </c>
    </row>
    <row r="65" spans="1:5" ht="12.75" customHeight="1">
      <c r="C65" s="59" t="s">
        <v>220</v>
      </c>
      <c r="D65" s="60">
        <f>'UNT Sum'!B30</f>
        <v>58331292</v>
      </c>
      <c r="E65" s="680">
        <f t="shared" si="1"/>
        <v>6.9000000000000006E-2</v>
      </c>
    </row>
    <row r="66" spans="1:5" ht="12.75" customHeight="1">
      <c r="C66" s="64" t="s">
        <v>52</v>
      </c>
      <c r="D66" s="60">
        <f>'UNT Sum'!B31</f>
        <v>1646121</v>
      </c>
      <c r="E66" s="680">
        <f t="shared" si="1"/>
        <v>2E-3</v>
      </c>
    </row>
    <row r="67" spans="1:5" ht="12.75" customHeight="1">
      <c r="C67" s="61" t="s">
        <v>68</v>
      </c>
      <c r="D67" s="62">
        <f>SUM(D54:D66)</f>
        <v>844306774</v>
      </c>
      <c r="E67" s="681">
        <f>SUM(E54:E66)</f>
        <v>1.002</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86" t="str">
        <f>C67&amp;" "&amp;TEXT(D67,"$#,###")</f>
        <v>Total Operating Sources $844,306,774</v>
      </c>
    </row>
    <row r="93" spans="1:5" ht="12.75" customHeight="1">
      <c r="A93" s="1686"/>
    </row>
    <row r="94" spans="1:5" ht="12.75" customHeight="1">
      <c r="A94" s="65"/>
    </row>
    <row r="95" spans="1:5" s="68" customFormat="1" ht="12.75" customHeight="1">
      <c r="A95" s="66"/>
      <c r="E95" s="682"/>
    </row>
    <row r="96" spans="1:5" ht="12.75" customHeight="1">
      <c r="A96" s="65"/>
    </row>
    <row r="97" spans="1:5" ht="12.75" customHeight="1">
      <c r="A97" s="65"/>
    </row>
    <row r="98" spans="1:5" ht="12.75" customHeight="1">
      <c r="A98" s="65"/>
    </row>
    <row r="100" spans="1:5" ht="12.75" customHeight="1">
      <c r="C100" s="1687" t="s">
        <v>13</v>
      </c>
      <c r="D100" s="1687"/>
    </row>
    <row r="101" spans="1:5" ht="12.75" customHeight="1">
      <c r="C101" s="1687"/>
      <c r="D101" s="1687"/>
    </row>
    <row r="102" spans="1:5" ht="12.75" customHeight="1">
      <c r="C102" s="69" t="s">
        <v>14</v>
      </c>
      <c r="D102" s="60">
        <f>'UNT Sum'!B36</f>
        <v>174635353</v>
      </c>
      <c r="E102" s="680">
        <f>ROUND(D102/$D$114,3)</f>
        <v>0.248</v>
      </c>
    </row>
    <row r="103" spans="1:5" ht="12.75" customHeight="1">
      <c r="C103" s="69" t="s">
        <v>15</v>
      </c>
      <c r="D103" s="60">
        <f>'UNT Sum'!B37</f>
        <v>70216070</v>
      </c>
      <c r="E103" s="680">
        <f t="shared" ref="E103:E112" si="2">ROUND(D103/$D$114,3)</f>
        <v>0.1</v>
      </c>
    </row>
    <row r="104" spans="1:5" ht="12.75" customHeight="1">
      <c r="C104" s="69" t="s">
        <v>16</v>
      </c>
      <c r="D104" s="60">
        <f>'UNT Sum'!B38</f>
        <v>7491324</v>
      </c>
      <c r="E104" s="680">
        <f t="shared" si="2"/>
        <v>1.0999999999999999E-2</v>
      </c>
    </row>
    <row r="105" spans="1:5" ht="12.75" customHeight="1">
      <c r="C105" s="69" t="s">
        <v>17</v>
      </c>
      <c r="D105" s="60">
        <f>'UNT Sum'!B39</f>
        <v>56259145</v>
      </c>
      <c r="E105" s="680">
        <f t="shared" si="2"/>
        <v>0.08</v>
      </c>
    </row>
    <row r="106" spans="1:5" ht="12.75" customHeight="1">
      <c r="C106" s="69" t="s">
        <v>18</v>
      </c>
      <c r="D106" s="60">
        <f>'UNT Sum'!B40</f>
        <v>77644576</v>
      </c>
      <c r="E106" s="680">
        <f t="shared" si="2"/>
        <v>0.11</v>
      </c>
    </row>
    <row r="107" spans="1:5" ht="12.75" customHeight="1">
      <c r="C107" s="69" t="s">
        <v>19</v>
      </c>
      <c r="D107" s="60">
        <f>'UNT Sum'!B41</f>
        <v>50738106</v>
      </c>
      <c r="E107" s="680">
        <f t="shared" si="2"/>
        <v>7.1999999999999995E-2</v>
      </c>
    </row>
    <row r="108" spans="1:5" ht="12.75" customHeight="1">
      <c r="C108" s="69" t="s">
        <v>78</v>
      </c>
      <c r="D108" s="60">
        <f>'UNT Sum'!B42</f>
        <v>41696365</v>
      </c>
      <c r="E108" s="680">
        <f t="shared" si="2"/>
        <v>5.8999999999999997E-2</v>
      </c>
    </row>
    <row r="109" spans="1:5" ht="12.75" customHeight="1">
      <c r="C109" s="69" t="s">
        <v>79</v>
      </c>
      <c r="D109" s="60">
        <f>'UNT Sum'!B43</f>
        <v>131956284</v>
      </c>
      <c r="E109" s="680">
        <f t="shared" si="2"/>
        <v>0.187</v>
      </c>
    </row>
    <row r="110" spans="1:5" ht="12.75" customHeight="1">
      <c r="C110" s="69" t="s">
        <v>22</v>
      </c>
      <c r="D110" s="60">
        <f>'UNT Sum'!B44</f>
        <v>43345945</v>
      </c>
      <c r="E110" s="680">
        <f t="shared" si="2"/>
        <v>6.2E-2</v>
      </c>
    </row>
    <row r="111" spans="1:5" ht="12.75" customHeight="1">
      <c r="C111" s="64" t="s">
        <v>29</v>
      </c>
      <c r="D111" s="60">
        <f>'UNT Sum'!B45</f>
        <v>40988890</v>
      </c>
      <c r="E111" s="680">
        <f t="shared" si="2"/>
        <v>5.8000000000000003E-2</v>
      </c>
    </row>
    <row r="112" spans="1:5" ht="12.75" customHeight="1">
      <c r="C112" s="64" t="s">
        <v>53</v>
      </c>
      <c r="D112" s="60">
        <f>'UNT Sum'!B46</f>
        <v>9253748</v>
      </c>
      <c r="E112" s="680">
        <f t="shared" si="2"/>
        <v>1.2999999999999999E-2</v>
      </c>
    </row>
    <row r="113" spans="3:5" ht="12.75" customHeight="1">
      <c r="C113" s="57"/>
      <c r="D113" s="57"/>
    </row>
    <row r="114" spans="3:5" ht="12.75" customHeight="1">
      <c r="C114" s="70" t="s">
        <v>69</v>
      </c>
      <c r="D114" s="62">
        <f>SUM(D102:D113)</f>
        <v>704225806</v>
      </c>
      <c r="E114" s="681">
        <f>SUM(E102:E113)</f>
        <v>1</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86" t="str">
        <f>C114&amp;" "&amp;TEXT(D114,"$#,###")</f>
        <v>Total Operating Uses $704,225,806</v>
      </c>
    </row>
    <row r="137" spans="1:1" ht="12.75" customHeight="1">
      <c r="A137" s="1686"/>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91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1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sheetPr transitionEvaluation="1" transitionEntry="1" codeName="Sheet124">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'UNT Chrts'!$A$1</f>
        <v>University of North Texas</v>
      </c>
      <c r="B1" s="74"/>
      <c r="C1" s="1"/>
      <c r="D1" s="1704" t="s">
        <v>1200</v>
      </c>
      <c r="E1" s="1705"/>
      <c r="F1" s="1757" t="s">
        <v>1196</v>
      </c>
      <c r="G1" s="1706"/>
      <c r="H1" s="1706"/>
      <c r="I1" s="1706"/>
      <c r="J1" s="1707" t="s">
        <v>1197</v>
      </c>
      <c r="K1" s="1695"/>
      <c r="L1" s="1695"/>
      <c r="M1" s="1695"/>
      <c r="N1" s="1695"/>
      <c r="O1" s="1696"/>
    </row>
    <row r="2" spans="1:15" ht="15.75">
      <c r="A2" s="76" t="str">
        <f>'Smmy Chrts'!$A$2</f>
        <v>For the Year Ended August 31, 2021</v>
      </c>
      <c r="B2" s="74"/>
      <c r="C2" s="1"/>
      <c r="D2" s="37"/>
      <c r="E2" s="37"/>
      <c r="F2" s="37"/>
      <c r="J2" s="37"/>
      <c r="K2" s="37"/>
      <c r="L2" s="37"/>
      <c r="M2" s="37"/>
    </row>
    <row r="3" spans="1:15" ht="15.75">
      <c r="A3" s="76" t="str">
        <f>'Smmy Chrts'!$A$3</f>
        <v>Source: FY 2021 Annual Financial Report</v>
      </c>
      <c r="B3" s="74"/>
      <c r="C3" s="1"/>
    </row>
    <row r="4" spans="1:15" ht="13.5" customHeight="1">
      <c r="B4" s="77"/>
      <c r="C4" s="4"/>
      <c r="D4" s="1711" t="s">
        <v>1142</v>
      </c>
      <c r="E4" s="1711" t="s">
        <v>1143</v>
      </c>
      <c r="F4" s="266"/>
    </row>
    <row r="5" spans="1:15" ht="18">
      <c r="A5" s="39" t="str">
        <f>'Smmy Chrts'!$C$35</f>
        <v>Summary Worksheet FY 2021</v>
      </c>
      <c r="B5" s="40" t="s">
        <v>86</v>
      </c>
      <c r="C5" s="40" t="s">
        <v>129</v>
      </c>
      <c r="D5" s="1712"/>
      <c r="E5" s="1712"/>
      <c r="F5" s="266"/>
      <c r="G5" s="799" t="s">
        <v>1198</v>
      </c>
      <c r="I5" s="822" t="s">
        <v>2157</v>
      </c>
      <c r="J5" s="792" t="s">
        <v>1144</v>
      </c>
    </row>
    <row r="6" spans="1:15" ht="13.5" customHeight="1">
      <c r="A6" s="78" t="s">
        <v>266</v>
      </c>
      <c r="B6" s="41"/>
      <c r="C6" s="42">
        <f>VLOOKUP($A$1,FTSELU,12,FALSE)</f>
        <v>34726.76</v>
      </c>
      <c r="J6" s="712"/>
    </row>
    <row r="7" spans="1:15">
      <c r="I7" s="824" t="s">
        <v>1162</v>
      </c>
      <c r="J7" s="827"/>
    </row>
    <row r="8" spans="1:15">
      <c r="A8" s="81" t="s">
        <v>71</v>
      </c>
      <c r="B8" s="81"/>
      <c r="C8" s="24"/>
      <c r="I8" s="896">
        <f>VLOOKUP(A1,FTSELU,14,FALSE)</f>
        <v>2595.37</v>
      </c>
      <c r="J8" s="712"/>
    </row>
    <row r="9" spans="1:15" ht="12.75" customHeight="1" thickBot="1">
      <c r="A9" s="78" t="s">
        <v>0</v>
      </c>
      <c r="B9" s="82"/>
      <c r="C9" s="7"/>
      <c r="J9" s="712"/>
    </row>
    <row r="10" spans="1:15" ht="12.75" customHeight="1" thickTop="1">
      <c r="A10" s="75" t="s">
        <v>1</v>
      </c>
      <c r="B10" s="83">
        <f>'UNT FGD'!M10</f>
        <v>134981091</v>
      </c>
      <c r="C10" s="83">
        <f>ROUND(B10/$C$6,0)</f>
        <v>3887</v>
      </c>
      <c r="D10" s="512">
        <f>'UNT FGD'!F10</f>
        <v>0</v>
      </c>
      <c r="E10" s="512"/>
      <c r="F10" s="84">
        <f>B10-(SUM(D10:E10))</f>
        <v>134981091</v>
      </c>
      <c r="G10" s="1143" t="s">
        <v>1</v>
      </c>
      <c r="H10" s="1144"/>
      <c r="I10" s="825" t="s">
        <v>1161</v>
      </c>
      <c r="J10" s="713">
        <f>ROUND(F10/$C$6,0)</f>
        <v>3887</v>
      </c>
    </row>
    <row r="11" spans="1:15" ht="12.75" customHeight="1" thickBot="1">
      <c r="A11" s="75" t="s">
        <v>2</v>
      </c>
      <c r="B11" s="86">
        <f>'UNT FGD'!M11</f>
        <v>31665422</v>
      </c>
      <c r="C11" s="87">
        <f t="shared" ref="C11:C14" si="0">ROUND(B11/$C$6,0)</f>
        <v>912</v>
      </c>
      <c r="D11" s="86">
        <f>'UNT FGD'!F11</f>
        <v>0</v>
      </c>
      <c r="E11" s="74"/>
      <c r="F11" s="606">
        <f t="shared" ref="F11:F14" si="1">B11-(SUM(D11:E11))</f>
        <v>31665422</v>
      </c>
      <c r="G11" s="1148">
        <f>SUM(F10:F11)</f>
        <v>166646513</v>
      </c>
      <c r="H11" s="715"/>
      <c r="I11" s="1373">
        <f>ROUND($G$11/$C$6,0)</f>
        <v>4799</v>
      </c>
      <c r="J11" s="716">
        <f t="shared" ref="J11:J14" si="2">ROUND(F11/$C$6,0)</f>
        <v>912</v>
      </c>
    </row>
    <row r="12" spans="1:15" ht="12.75" hidden="1" customHeight="1" thickTop="1" thickBot="1">
      <c r="A12" s="75" t="s">
        <v>1410</v>
      </c>
      <c r="B12" s="86"/>
      <c r="C12" s="87"/>
      <c r="D12" s="86"/>
      <c r="E12" s="74"/>
      <c r="F12" s="607"/>
      <c r="J12" s="716"/>
      <c r="O12" s="608"/>
    </row>
    <row r="13" spans="1:15" ht="12.75" customHeight="1" thickTop="1">
      <c r="A13" s="75" t="s">
        <v>1368</v>
      </c>
      <c r="B13" s="86">
        <f>'UNT FGD'!M13</f>
        <v>37346563</v>
      </c>
      <c r="C13" s="87">
        <f t="shared" si="0"/>
        <v>1075</v>
      </c>
      <c r="D13" s="86">
        <f>'UNT FGD'!F13</f>
        <v>0</v>
      </c>
      <c r="E13" s="74"/>
      <c r="F13" s="893">
        <f t="shared" si="1"/>
        <v>37346563</v>
      </c>
      <c r="G13" s="882" t="s">
        <v>81</v>
      </c>
      <c r="H13" s="894"/>
      <c r="I13" s="826" t="s">
        <v>1163</v>
      </c>
      <c r="J13" s="716">
        <f t="shared" si="2"/>
        <v>1075</v>
      </c>
    </row>
    <row r="14" spans="1:15" ht="12.75" customHeight="1" thickBot="1">
      <c r="A14" s="75" t="s">
        <v>49</v>
      </c>
      <c r="B14" s="86">
        <f>'UNT FGD'!M14</f>
        <v>0</v>
      </c>
      <c r="C14" s="87">
        <f t="shared" si="0"/>
        <v>0</v>
      </c>
      <c r="D14" s="86">
        <f>'UNT FGD'!F14</f>
        <v>0</v>
      </c>
      <c r="E14" s="74"/>
      <c r="F14" s="607">
        <f t="shared" si="1"/>
        <v>0</v>
      </c>
      <c r="G14" s="800">
        <f>SUM(F13:F14)</f>
        <v>37346563</v>
      </c>
      <c r="H14" s="895"/>
      <c r="I14" s="1377">
        <f>ROUND($G$11/$I$8,0)</f>
        <v>64209</v>
      </c>
      <c r="J14" s="828">
        <f t="shared" si="2"/>
        <v>0</v>
      </c>
    </row>
    <row r="15" spans="1:15" ht="12.75" customHeight="1" thickTop="1">
      <c r="A15" s="88" t="s">
        <v>3</v>
      </c>
      <c r="B15" s="89">
        <f>SUM(B10:B14)</f>
        <v>203993076</v>
      </c>
      <c r="C15" s="89">
        <f>SUM(C10:C14)</f>
        <v>5874</v>
      </c>
      <c r="D15" s="89">
        <f>SUM(D10:D14)</f>
        <v>0</v>
      </c>
      <c r="E15" s="89">
        <f>SUM(E10:E14)</f>
        <v>0</v>
      </c>
      <c r="F15" s="216">
        <f>SUM(F10:F14)</f>
        <v>203993076</v>
      </c>
      <c r="I15" s="1372"/>
      <c r="J15" s="757">
        <f>SUM(J10:J14)</f>
        <v>5874</v>
      </c>
    </row>
    <row r="16" spans="1:15">
      <c r="B16" s="48"/>
      <c r="C16" s="75"/>
      <c r="J16" s="712"/>
    </row>
    <row r="17" spans="1:31" ht="12.75" customHeight="1">
      <c r="A17" s="78" t="s">
        <v>4</v>
      </c>
      <c r="B17" s="86"/>
      <c r="C17" s="75"/>
      <c r="J17" s="712"/>
    </row>
    <row r="18" spans="1:31">
      <c r="A18" s="75" t="s">
        <v>39</v>
      </c>
      <c r="B18" s="83">
        <f>'UNT FGD'!M29</f>
        <v>312067956</v>
      </c>
      <c r="C18" s="83">
        <f t="shared" ref="C18:C19" si="3">ROUND(B18/$C$6,0)</f>
        <v>8986</v>
      </c>
      <c r="D18" s="512">
        <f>'UNT FGD'!$F$29</f>
        <v>0</v>
      </c>
      <c r="E18" s="512"/>
      <c r="F18" s="512">
        <f t="shared" ref="F18:F19" si="4">B18-(SUM(D18:E18))</f>
        <v>312067956</v>
      </c>
      <c r="G18" s="337"/>
      <c r="H18" s="337"/>
      <c r="I18" s="337"/>
      <c r="J18" s="713">
        <f>ROUND(F18/$C$6,0)</f>
        <v>8986</v>
      </c>
    </row>
    <row r="19" spans="1:31" ht="13.5" thickBot="1">
      <c r="A19" s="75" t="s">
        <v>40</v>
      </c>
      <c r="B19" s="86">
        <f>'UNT FGD'!M42</f>
        <v>51456695</v>
      </c>
      <c r="C19" s="87">
        <f t="shared" si="3"/>
        <v>1482</v>
      </c>
      <c r="D19" s="74">
        <f>'UNT FGD'!$F$42</f>
        <v>17174036</v>
      </c>
      <c r="E19" s="74"/>
      <c r="F19" s="74">
        <f t="shared" si="4"/>
        <v>34282659</v>
      </c>
      <c r="G19" s="337"/>
      <c r="H19" s="337"/>
      <c r="I19" s="337"/>
      <c r="J19" s="716">
        <f>ROUND(F19/$C$6,0)</f>
        <v>987</v>
      </c>
    </row>
    <row r="20" spans="1:31" ht="14.25" thickTop="1" thickBot="1">
      <c r="A20" s="88" t="s">
        <v>5</v>
      </c>
      <c r="B20" s="89">
        <f>SUM(B18:B19)</f>
        <v>363524651</v>
      </c>
      <c r="C20" s="89">
        <f>SUM(C18:C19)</f>
        <v>10468</v>
      </c>
      <c r="D20" s="717">
        <f>SUM(D18:D19)</f>
        <v>17174036</v>
      </c>
      <c r="E20" s="718">
        <f>SUM(E18:E19)</f>
        <v>0</v>
      </c>
      <c r="F20" s="801">
        <f>SUM(F18:F19)</f>
        <v>346350615</v>
      </c>
      <c r="G20" s="720" t="s">
        <v>26</v>
      </c>
      <c r="H20" s="366"/>
      <c r="I20" s="367"/>
      <c r="J20" s="721">
        <f>SUM(J18:J19)</f>
        <v>9973</v>
      </c>
    </row>
    <row r="21" spans="1:31" ht="12.75" customHeight="1" thickTop="1">
      <c r="B21" s="91"/>
      <c r="C21" s="75"/>
      <c r="F21" s="804"/>
      <c r="J21" s="712"/>
    </row>
    <row r="22" spans="1:31" ht="14.25" customHeight="1" thickBot="1">
      <c r="A22" s="78" t="s">
        <v>6</v>
      </c>
      <c r="B22" s="91"/>
      <c r="C22" s="75"/>
      <c r="J22" s="712"/>
    </row>
    <row r="23" spans="1:31" ht="14.25" thickTop="1" thickBot="1">
      <c r="A23" s="88" t="s">
        <v>7</v>
      </c>
      <c r="B23" s="92">
        <f>'UNT FGD'!M47</f>
        <v>165506817</v>
      </c>
      <c r="C23" s="89">
        <f t="shared" ref="C23" si="5">ROUND(B23/$C$6,0)</f>
        <v>4766</v>
      </c>
      <c r="D23" s="717">
        <f>'UNT FGD'!F47</f>
        <v>0</v>
      </c>
      <c r="E23" s="718"/>
      <c r="F23" s="801">
        <f>B23-(SUM(D23:E23))</f>
        <v>165506817</v>
      </c>
      <c r="G23" s="722" t="s">
        <v>74</v>
      </c>
      <c r="H23" s="366"/>
      <c r="I23" s="367"/>
      <c r="J23" s="756">
        <f>ROUND(F23/$C$6,0)</f>
        <v>4766</v>
      </c>
    </row>
    <row r="24" spans="1:31" ht="13.5" thickTop="1">
      <c r="B24" s="91"/>
      <c r="C24" s="75"/>
      <c r="J24" s="712"/>
    </row>
    <row r="25" spans="1:31">
      <c r="A25" s="78" t="s">
        <v>8</v>
      </c>
      <c r="B25" s="91"/>
      <c r="C25" s="75"/>
      <c r="J25" s="712"/>
    </row>
    <row r="26" spans="1:31">
      <c r="A26" s="75" t="s">
        <v>42</v>
      </c>
      <c r="B26" s="83">
        <f>'UNT FGD'!M50</f>
        <v>30128512</v>
      </c>
      <c r="C26" s="83">
        <f t="shared" ref="C26:C31" si="6">ROUND(B26/$C$6,0)</f>
        <v>868</v>
      </c>
      <c r="D26" s="512">
        <f>'UNT FGD'!F50</f>
        <v>5435</v>
      </c>
      <c r="E26" s="512"/>
      <c r="F26" s="512">
        <f t="shared" ref="F26:F31" si="7">B26-(SUM(D26:E26))</f>
        <v>30123077</v>
      </c>
      <c r="G26" s="337"/>
      <c r="H26" s="337"/>
      <c r="I26" s="337"/>
      <c r="J26" s="713">
        <f>ROUND(F26/$C$6,0)</f>
        <v>867</v>
      </c>
    </row>
    <row r="27" spans="1:31">
      <c r="A27" s="75" t="s">
        <v>9</v>
      </c>
      <c r="B27" s="86">
        <f>'UNT FGD'!M51</f>
        <v>587381</v>
      </c>
      <c r="C27" s="87">
        <f t="shared" si="6"/>
        <v>17</v>
      </c>
      <c r="D27" s="86">
        <f>'UNT FGD'!F51</f>
        <v>0</v>
      </c>
      <c r="E27" s="74"/>
      <c r="F27" s="74">
        <f t="shared" si="7"/>
        <v>587381</v>
      </c>
      <c r="G27" s="337"/>
      <c r="H27" s="337"/>
      <c r="I27" s="337"/>
      <c r="J27" s="716">
        <f t="shared" ref="J27:J31" si="8">ROUND(F27/$C$6,0)</f>
        <v>17</v>
      </c>
    </row>
    <row r="28" spans="1:31" ht="13.5" thickBot="1">
      <c r="A28" s="75" t="s">
        <v>10</v>
      </c>
      <c r="B28" s="86">
        <f>'UNT FGD'!M52</f>
        <v>3948553</v>
      </c>
      <c r="C28" s="87">
        <f t="shared" si="6"/>
        <v>114</v>
      </c>
      <c r="D28" s="86">
        <f>'UNT FGD'!F52</f>
        <v>0</v>
      </c>
      <c r="E28" s="74"/>
      <c r="F28" s="74">
        <f t="shared" si="7"/>
        <v>3948553</v>
      </c>
      <c r="G28" s="337"/>
      <c r="H28" s="337"/>
      <c r="I28" s="337"/>
      <c r="J28" s="716">
        <f t="shared" si="8"/>
        <v>114</v>
      </c>
    </row>
    <row r="29" spans="1:31" ht="13.5" thickBot="1">
      <c r="A29" s="75" t="s">
        <v>11</v>
      </c>
      <c r="B29" s="86">
        <f>'UNT FGD'!M53</f>
        <v>16640371</v>
      </c>
      <c r="C29" s="87">
        <f t="shared" si="6"/>
        <v>479</v>
      </c>
      <c r="D29" s="86">
        <f>'UNT FGD'!F53</f>
        <v>0</v>
      </c>
      <c r="E29" s="74"/>
      <c r="F29" s="74">
        <f t="shared" si="7"/>
        <v>16640371</v>
      </c>
      <c r="G29" s="337"/>
      <c r="H29" s="337"/>
      <c r="I29" s="337"/>
      <c r="J29" s="716">
        <f t="shared" si="8"/>
        <v>479</v>
      </c>
      <c r="K29" s="1694" t="s">
        <v>1065</v>
      </c>
      <c r="L29" s="1695"/>
      <c r="M29" s="1695"/>
      <c r="N29" s="1695"/>
      <c r="O29" s="1696"/>
    </row>
    <row r="30" spans="1:31" ht="13.5" thickBot="1">
      <c r="A30" s="93" t="s">
        <v>2134</v>
      </c>
      <c r="B30" s="94">
        <f>'UNT FGD'!M54</f>
        <v>58331292</v>
      </c>
      <c r="C30" s="87">
        <f t="shared" si="6"/>
        <v>1680</v>
      </c>
      <c r="D30" s="729">
        <f>B30</f>
        <v>58331292</v>
      </c>
      <c r="E30" s="74"/>
      <c r="F30" s="74">
        <f t="shared" si="7"/>
        <v>0</v>
      </c>
      <c r="G30" s="337"/>
      <c r="H30" s="337"/>
      <c r="I30" s="337"/>
      <c r="J30" s="716">
        <f t="shared" si="8"/>
        <v>0</v>
      </c>
      <c r="K30" s="1694" t="s">
        <v>1070</v>
      </c>
      <c r="L30" s="1695"/>
      <c r="M30" s="1695"/>
      <c r="N30" s="1695"/>
      <c r="O30" s="1696"/>
    </row>
    <row r="31" spans="1:31" ht="13.5" customHeight="1" thickBot="1">
      <c r="A31" s="95" t="s">
        <v>43</v>
      </c>
      <c r="B31" s="86">
        <f>'UNT FGD'!M55</f>
        <v>1646121</v>
      </c>
      <c r="C31" s="87">
        <f t="shared" si="6"/>
        <v>47</v>
      </c>
      <c r="D31" s="86">
        <f>'UNT FGD'!F55</f>
        <v>4781</v>
      </c>
      <c r="E31" s="74"/>
      <c r="F31" s="74">
        <f t="shared" si="7"/>
        <v>1641340</v>
      </c>
      <c r="G31" s="35"/>
      <c r="H31" s="35"/>
      <c r="I31" s="38"/>
      <c r="J31" s="716">
        <f t="shared" si="8"/>
        <v>47</v>
      </c>
      <c r="K31" s="1697" t="s">
        <v>1073</v>
      </c>
      <c r="L31" s="1697" t="s">
        <v>1071</v>
      </c>
      <c r="M31" s="1697" t="s">
        <v>1072</v>
      </c>
      <c r="N31" s="1697" t="s">
        <v>1240</v>
      </c>
      <c r="O31" s="1697"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111282230</v>
      </c>
      <c r="C32" s="89">
        <f>SUM(C26:C31)</f>
        <v>3205</v>
      </c>
      <c r="D32" s="723">
        <f>SUM(D26:D31)</f>
        <v>58341508</v>
      </c>
      <c r="E32" s="723">
        <f>SUM(E26:E31)</f>
        <v>0</v>
      </c>
      <c r="F32" s="802">
        <f>SUM(F26:F31)</f>
        <v>52940722</v>
      </c>
      <c r="G32" s="1708" t="s">
        <v>8</v>
      </c>
      <c r="H32" s="1709"/>
      <c r="I32" s="783" t="s">
        <v>1166</v>
      </c>
      <c r="J32" s="725">
        <f>SUM(J26:J31)</f>
        <v>1524</v>
      </c>
      <c r="K32" s="1698"/>
      <c r="L32" s="1698"/>
      <c r="M32" s="1698"/>
      <c r="N32" s="1698" t="s">
        <v>1074</v>
      </c>
      <c r="O32" s="1698" t="s">
        <v>1075</v>
      </c>
    </row>
    <row r="33" spans="1:31" ht="14.25" thickTop="1" thickBot="1">
      <c r="A33" s="97" t="s">
        <v>68</v>
      </c>
      <c r="B33" s="52">
        <f>B15+B20+B23+B32</f>
        <v>844306774</v>
      </c>
      <c r="C33" s="45">
        <f>C15+C20+C23+C32</f>
        <v>24313</v>
      </c>
      <c r="D33" s="52">
        <f>D15+D20+D23+D32</f>
        <v>75515544</v>
      </c>
      <c r="E33" s="52">
        <f>E15+E20+E23+E32</f>
        <v>0</v>
      </c>
      <c r="F33" s="724">
        <f>F15+F20+F23+F32</f>
        <v>768791230</v>
      </c>
      <c r="G33" s="1758" t="s">
        <v>84</v>
      </c>
      <c r="H33" s="1759"/>
      <c r="I33" s="1375">
        <f>ROUND($G$35/$C$6,0)</f>
        <v>21063</v>
      </c>
      <c r="J33" s="726">
        <f>J15+J20+J23+J32</f>
        <v>22137</v>
      </c>
      <c r="K33" s="1698"/>
      <c r="L33" s="1698"/>
      <c r="M33" s="1698"/>
      <c r="N33" s="1698"/>
      <c r="O33" s="1698"/>
    </row>
    <row r="34" spans="1:31" ht="14.25" thickTop="1" thickBot="1">
      <c r="B34" s="98"/>
      <c r="C34" s="75"/>
      <c r="D34" s="337"/>
      <c r="E34" s="337"/>
      <c r="F34" s="337" t="s">
        <v>1199</v>
      </c>
      <c r="G34" s="787">
        <f>G14*-1</f>
        <v>-37346563</v>
      </c>
      <c r="H34" s="337"/>
      <c r="I34" s="783" t="s">
        <v>1167</v>
      </c>
      <c r="J34" s="727"/>
      <c r="K34" s="1699"/>
      <c r="L34" s="1699"/>
      <c r="M34" s="1699"/>
      <c r="N34" s="1699"/>
      <c r="O34" s="1699"/>
    </row>
    <row r="35" spans="1:31" ht="14.25" thickTop="1" thickBot="1">
      <c r="A35" s="81" t="s">
        <v>72</v>
      </c>
      <c r="B35" s="81"/>
      <c r="C35" s="81"/>
      <c r="D35" s="728"/>
      <c r="E35" s="728"/>
      <c r="F35" s="788" t="s">
        <v>1165</v>
      </c>
      <c r="G35" s="803">
        <f>F33+G34</f>
        <v>731444667</v>
      </c>
      <c r="I35" s="1376">
        <f>ROUND($G$35/$I$8,0)</f>
        <v>281827</v>
      </c>
      <c r="K35" s="609"/>
      <c r="L35" s="609"/>
      <c r="M35" s="609"/>
      <c r="N35" s="609"/>
      <c r="O35" s="609"/>
    </row>
    <row r="36" spans="1:31" ht="13.5" thickTop="1">
      <c r="A36" s="99" t="s">
        <v>14</v>
      </c>
      <c r="B36" s="83">
        <f>'UNT FGD'!M60</f>
        <v>174635353</v>
      </c>
      <c r="C36" s="83">
        <f t="shared" ref="C36:C46" si="9">ROUND(B36/$C$6,0)</f>
        <v>5029</v>
      </c>
      <c r="D36" s="512">
        <f>'UNT FGD'!F60</f>
        <v>0</v>
      </c>
      <c r="E36" s="512"/>
      <c r="F36" s="512">
        <f t="shared" ref="F36:F46" si="10">B36-(SUM(D36:E36))</f>
        <v>174635353</v>
      </c>
      <c r="G36" s="337"/>
      <c r="H36" s="1378" t="s">
        <v>2158</v>
      </c>
      <c r="I36" s="1379">
        <f>ROUND(F36/$C$6,0)</f>
        <v>5029</v>
      </c>
      <c r="J36" s="337" t="s">
        <v>752</v>
      </c>
      <c r="K36" s="512">
        <f>F36</f>
        <v>174635353</v>
      </c>
      <c r="L36" s="512">
        <f>K36</f>
        <v>174635353</v>
      </c>
      <c r="M36" s="512"/>
      <c r="N36" s="512"/>
      <c r="O36" s="512"/>
    </row>
    <row r="37" spans="1:31">
      <c r="A37" s="99" t="s">
        <v>15</v>
      </c>
      <c r="B37" s="86">
        <f>'UNT FGD'!M61</f>
        <v>70216070</v>
      </c>
      <c r="C37" s="87">
        <f t="shared" si="9"/>
        <v>2022</v>
      </c>
      <c r="D37" s="86">
        <f>'UNT FGD'!F61</f>
        <v>0</v>
      </c>
      <c r="E37" s="74"/>
      <c r="F37" s="74">
        <f t="shared" si="10"/>
        <v>70216070</v>
      </c>
      <c r="G37" s="337"/>
      <c r="H37" s="337"/>
      <c r="J37" s="337" t="s">
        <v>1076</v>
      </c>
      <c r="K37" s="373">
        <f>F37</f>
        <v>70216070</v>
      </c>
      <c r="L37" s="373">
        <f>K37</f>
        <v>70216070</v>
      </c>
      <c r="M37" s="373"/>
      <c r="N37" s="373"/>
      <c r="O37" s="373"/>
    </row>
    <row r="38" spans="1:31">
      <c r="A38" s="99" t="s">
        <v>16</v>
      </c>
      <c r="B38" s="86">
        <f>'UNT FGD'!M62</f>
        <v>7491324</v>
      </c>
      <c r="C38" s="87">
        <f t="shared" si="9"/>
        <v>216</v>
      </c>
      <c r="D38" s="86">
        <f>'UNT FGD'!F62</f>
        <v>0</v>
      </c>
      <c r="E38" s="86">
        <f>B38-D38</f>
        <v>7491324</v>
      </c>
      <c r="F38" s="74">
        <f t="shared" si="10"/>
        <v>0</v>
      </c>
      <c r="G38" s="337"/>
      <c r="H38" s="337"/>
      <c r="I38" s="337"/>
      <c r="J38" s="337" t="s">
        <v>1077</v>
      </c>
      <c r="K38" s="736"/>
      <c r="L38" s="737"/>
      <c r="M38" s="737" t="s">
        <v>1152</v>
      </c>
      <c r="N38" s="737"/>
      <c r="O38" s="738"/>
    </row>
    <row r="39" spans="1:31">
      <c r="A39" s="99" t="s">
        <v>17</v>
      </c>
      <c r="B39" s="86">
        <f>'UNT FGD'!M63</f>
        <v>56259145</v>
      </c>
      <c r="C39" s="87">
        <f t="shared" si="9"/>
        <v>1620</v>
      </c>
      <c r="D39" s="86">
        <f>'UNT FGD'!F63</f>
        <v>0</v>
      </c>
      <c r="E39" s="74"/>
      <c r="F39" s="74">
        <f t="shared" si="10"/>
        <v>56259145</v>
      </c>
      <c r="G39" s="337"/>
      <c r="H39" s="1378" t="s">
        <v>2159</v>
      </c>
      <c r="I39" s="1379">
        <f>ROUND(F39/$C$6,0)</f>
        <v>1620</v>
      </c>
      <c r="J39" s="337" t="s">
        <v>1078</v>
      </c>
      <c r="K39" s="373">
        <f t="shared" ref="K39:K43" si="11">F39</f>
        <v>56259145</v>
      </c>
      <c r="L39" s="373">
        <f>K39</f>
        <v>56259145</v>
      </c>
      <c r="M39" s="373"/>
      <c r="N39" s="373"/>
      <c r="O39" s="373"/>
    </row>
    <row r="40" spans="1:31">
      <c r="A40" s="99" t="s">
        <v>18</v>
      </c>
      <c r="B40" s="86">
        <f>'UNT FGD'!M64</f>
        <v>77644576</v>
      </c>
      <c r="C40" s="87">
        <f t="shared" si="9"/>
        <v>2236</v>
      </c>
      <c r="D40" s="86">
        <f>'UNT FGD'!F64</f>
        <v>0</v>
      </c>
      <c r="E40" s="74"/>
      <c r="F40" s="74">
        <f t="shared" si="10"/>
        <v>77644576</v>
      </c>
      <c r="G40" s="337"/>
      <c r="J40" s="337" t="s">
        <v>1079</v>
      </c>
      <c r="K40" s="373">
        <f t="shared" si="11"/>
        <v>77644576</v>
      </c>
      <c r="L40" s="373"/>
      <c r="M40" s="373">
        <f>K40</f>
        <v>77644576</v>
      </c>
      <c r="N40" s="373"/>
      <c r="O40" s="373"/>
    </row>
    <row r="41" spans="1:31">
      <c r="A41" s="99" t="s">
        <v>19</v>
      </c>
      <c r="B41" s="86">
        <f>'UNT FGD'!M65</f>
        <v>50738106</v>
      </c>
      <c r="C41" s="87">
        <f t="shared" si="9"/>
        <v>1461</v>
      </c>
      <c r="D41" s="86">
        <f>'UNT FGD'!F65</f>
        <v>0</v>
      </c>
      <c r="E41" s="74"/>
      <c r="F41" s="74">
        <f t="shared" si="10"/>
        <v>50738106</v>
      </c>
      <c r="G41" s="337"/>
      <c r="H41" s="1378" t="s">
        <v>2160</v>
      </c>
      <c r="I41" s="1379">
        <f>ROUND(F41/$C$6,0)</f>
        <v>1461</v>
      </c>
      <c r="J41" s="337" t="s">
        <v>757</v>
      </c>
      <c r="K41" s="373">
        <f t="shared" si="11"/>
        <v>50738106</v>
      </c>
      <c r="L41" s="373"/>
      <c r="M41" s="373"/>
      <c r="N41" s="373">
        <f>K41</f>
        <v>50738106</v>
      </c>
      <c r="O41" s="373"/>
    </row>
    <row r="42" spans="1:31">
      <c r="A42" s="99" t="s">
        <v>20</v>
      </c>
      <c r="B42" s="86">
        <f>'UNT FGD'!M66</f>
        <v>41696365</v>
      </c>
      <c r="C42" s="87">
        <f t="shared" si="9"/>
        <v>1201</v>
      </c>
      <c r="D42" s="86">
        <f>'UNT FGD'!F66</f>
        <v>0</v>
      </c>
      <c r="E42" s="74"/>
      <c r="F42" s="74">
        <f t="shared" si="10"/>
        <v>41696365</v>
      </c>
      <c r="G42" s="337"/>
      <c r="J42" s="337" t="s">
        <v>758</v>
      </c>
      <c r="K42" s="373">
        <f t="shared" si="11"/>
        <v>41696365</v>
      </c>
      <c r="L42" s="373"/>
      <c r="M42" s="373"/>
      <c r="N42" s="373">
        <f>K42</f>
        <v>41696365</v>
      </c>
      <c r="O42" s="373"/>
    </row>
    <row r="43" spans="1:31">
      <c r="A43" s="99" t="s">
        <v>21</v>
      </c>
      <c r="B43" s="86">
        <f>'UNT FGD'!M67</f>
        <v>131956284</v>
      </c>
      <c r="C43" s="87">
        <f t="shared" si="9"/>
        <v>3800</v>
      </c>
      <c r="D43" s="86">
        <f>'UNT FGD'!F67</f>
        <v>740613</v>
      </c>
      <c r="E43" s="74"/>
      <c r="F43" s="74">
        <f t="shared" si="10"/>
        <v>131215671</v>
      </c>
      <c r="G43" s="337"/>
      <c r="H43" s="337"/>
      <c r="I43" s="337"/>
      <c r="J43" s="337" t="s">
        <v>1145</v>
      </c>
      <c r="K43" s="373">
        <f t="shared" si="11"/>
        <v>131215671</v>
      </c>
      <c r="L43" s="373"/>
      <c r="M43" s="373">
        <f>K43</f>
        <v>131215671</v>
      </c>
      <c r="N43" s="373"/>
      <c r="O43" s="373"/>
    </row>
    <row r="44" spans="1:31">
      <c r="A44" s="99" t="s">
        <v>2135</v>
      </c>
      <c r="B44" s="86">
        <f>'UNT FGD'!M68</f>
        <v>43345945</v>
      </c>
      <c r="C44" s="87">
        <f t="shared" si="9"/>
        <v>1248</v>
      </c>
      <c r="D44" s="729">
        <f>B44</f>
        <v>43345945</v>
      </c>
      <c r="E44" s="74"/>
      <c r="F44" s="74">
        <f t="shared" si="10"/>
        <v>0</v>
      </c>
      <c r="G44" s="337"/>
      <c r="H44" s="337"/>
      <c r="I44" s="337"/>
      <c r="J44" s="337" t="s">
        <v>743</v>
      </c>
      <c r="K44" s="736"/>
      <c r="L44" s="737"/>
      <c r="M44" s="737" t="s">
        <v>1152</v>
      </c>
      <c r="N44" s="737"/>
      <c r="O44" s="738"/>
    </row>
    <row r="45" spans="1:31">
      <c r="A45" s="99" t="s">
        <v>61</v>
      </c>
      <c r="B45" s="86">
        <f>'UNT FGD'!M69</f>
        <v>40988890</v>
      </c>
      <c r="C45" s="87">
        <f t="shared" si="9"/>
        <v>1180</v>
      </c>
      <c r="D45" s="86">
        <f>'UNT FGD'!F69</f>
        <v>235048</v>
      </c>
      <c r="E45" s="74"/>
      <c r="F45" s="74">
        <f t="shared" si="10"/>
        <v>40753842</v>
      </c>
      <c r="G45" s="337"/>
      <c r="H45" s="337"/>
      <c r="I45" s="337"/>
      <c r="J45" s="337" t="s">
        <v>1080</v>
      </c>
      <c r="K45" s="373">
        <f t="shared" ref="K45:K46" si="12">F45</f>
        <v>40753842</v>
      </c>
      <c r="L45" s="373"/>
      <c r="M45" s="373"/>
      <c r="N45" s="373"/>
      <c r="O45" s="373">
        <f>K45</f>
        <v>40753842</v>
      </c>
    </row>
    <row r="46" spans="1:31" ht="13.5" thickBot="1">
      <c r="A46" s="75" t="s">
        <v>50</v>
      </c>
      <c r="B46" s="86">
        <f>'UNT FGD'!M70</f>
        <v>9253748</v>
      </c>
      <c r="C46" s="87">
        <f t="shared" si="9"/>
        <v>266</v>
      </c>
      <c r="D46" s="86">
        <f>'UNT FGD'!F70</f>
        <v>0</v>
      </c>
      <c r="E46" s="74"/>
      <c r="F46" s="74">
        <f t="shared" si="10"/>
        <v>9253748</v>
      </c>
      <c r="G46" s="35"/>
      <c r="H46" s="1378" t="s">
        <v>2161</v>
      </c>
      <c r="I46" s="1379">
        <f>ROUND(SUM(F37+F40+F42+F43+F45+F46)/$C$6,0)</f>
        <v>10677</v>
      </c>
      <c r="J46" s="610" t="s">
        <v>1075</v>
      </c>
      <c r="K46" s="373">
        <f t="shared" si="12"/>
        <v>9253748</v>
      </c>
      <c r="L46" s="611"/>
      <c r="M46" s="611"/>
      <c r="N46" s="611"/>
      <c r="O46" s="373">
        <f>K46</f>
        <v>9253748</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704225806</v>
      </c>
      <c r="C47" s="45">
        <f>SUM(C36:C46)</f>
        <v>20279</v>
      </c>
      <c r="D47" s="730">
        <f>SUM(D36:D46)</f>
        <v>44321606</v>
      </c>
      <c r="E47" s="731">
        <f>SUM(E36:E46)</f>
        <v>7491324</v>
      </c>
      <c r="F47" s="719">
        <f>SUM(F36:F46)</f>
        <v>652412876</v>
      </c>
      <c r="G47" s="1688" t="s">
        <v>1176</v>
      </c>
      <c r="H47" s="1689"/>
      <c r="I47" s="785" t="s">
        <v>1164</v>
      </c>
      <c r="J47" s="610" t="s">
        <v>1081</v>
      </c>
      <c r="K47" s="612">
        <f>SUM(K36:K46)</f>
        <v>652412876</v>
      </c>
      <c r="L47" s="612">
        <f>SUM(L36:L46)</f>
        <v>301110568</v>
      </c>
      <c r="M47" s="612">
        <f>SUM(M36:M46)</f>
        <v>208860247</v>
      </c>
      <c r="N47" s="612">
        <f>SUM(N36:N46)</f>
        <v>92434471</v>
      </c>
      <c r="O47" s="612">
        <f>SUM(O36:O46)</f>
        <v>50007590</v>
      </c>
    </row>
    <row r="48" spans="1:31" ht="14.25" thickTop="1" thickBot="1">
      <c r="A48" s="93"/>
      <c r="B48" s="98"/>
      <c r="C48" s="75"/>
      <c r="F48" s="613"/>
      <c r="G48" s="1690"/>
      <c r="H48" s="1691"/>
      <c r="I48" s="823">
        <f>ROUND(F47/C6,0)</f>
        <v>18787</v>
      </c>
      <c r="J48" s="1700" t="s">
        <v>1082</v>
      </c>
      <c r="K48" s="611"/>
      <c r="L48" s="611"/>
      <c r="M48" s="611"/>
      <c r="N48" s="611"/>
      <c r="O48" s="611"/>
    </row>
    <row r="49" spans="1:31" ht="13.5" thickBot="1">
      <c r="A49" s="78" t="s">
        <v>23</v>
      </c>
      <c r="B49" s="82"/>
      <c r="C49" s="75"/>
      <c r="F49" s="614"/>
      <c r="G49" s="1690"/>
      <c r="H49" s="1691"/>
      <c r="I49" s="811"/>
      <c r="J49" s="1700"/>
      <c r="K49" s="615">
        <f>ROUND(K47/$C$6,2)</f>
        <v>18787.04</v>
      </c>
      <c r="L49" s="615">
        <f t="shared" ref="L49:O49" si="13">ROUND(L47/$C$6,2)</f>
        <v>8670.85</v>
      </c>
      <c r="M49" s="615">
        <f t="shared" si="13"/>
        <v>6014.39</v>
      </c>
      <c r="N49" s="615">
        <f t="shared" si="13"/>
        <v>2661.76</v>
      </c>
      <c r="O49" s="615">
        <f t="shared" si="13"/>
        <v>1440.03</v>
      </c>
      <c r="P49" s="35"/>
      <c r="Q49" s="96"/>
      <c r="R49" s="96"/>
      <c r="S49" s="96"/>
      <c r="T49" s="96"/>
      <c r="U49" s="96"/>
      <c r="V49" s="96"/>
      <c r="W49" s="96"/>
      <c r="X49" s="96"/>
      <c r="Y49" s="96"/>
      <c r="Z49" s="96"/>
      <c r="AA49" s="96"/>
      <c r="AB49" s="96"/>
      <c r="AC49" s="96"/>
      <c r="AD49" s="96"/>
      <c r="AE49" s="96"/>
    </row>
    <row r="50" spans="1:31" ht="13.5" thickBot="1">
      <c r="A50" s="75" t="s">
        <v>62</v>
      </c>
      <c r="B50" s="86">
        <f>'UNT FGD'!M74</f>
        <v>4471404</v>
      </c>
      <c r="C50" s="83">
        <f t="shared" ref="C50:C53" si="14">ROUND(B50/$C$6,0)</f>
        <v>129</v>
      </c>
      <c r="D50" s="512">
        <f>'UNT FGD'!F74</f>
        <v>0</v>
      </c>
      <c r="E50" s="512"/>
      <c r="F50" s="732">
        <f t="shared" ref="F50:F53" si="15">B50-(SUM(D50:E50))</f>
        <v>4471404</v>
      </c>
      <c r="G50" s="1692"/>
      <c r="H50" s="1693"/>
      <c r="I50" s="808"/>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'UNT FGD'!M75</f>
        <v>-84139574</v>
      </c>
      <c r="C51" s="87">
        <f t="shared" si="14"/>
        <v>-2423</v>
      </c>
      <c r="D51" s="91">
        <f>'UNT FGD'!F75</f>
        <v>-18401414</v>
      </c>
      <c r="E51" s="82"/>
      <c r="F51" s="74">
        <f t="shared" si="15"/>
        <v>-65738160</v>
      </c>
      <c r="G51" s="337"/>
      <c r="J51" s="337"/>
      <c r="K51" s="616"/>
      <c r="L51" s="616"/>
      <c r="M51" s="616"/>
      <c r="N51" s="616"/>
      <c r="O51" s="616"/>
    </row>
    <row r="52" spans="1:31">
      <c r="A52" s="75" t="s">
        <v>51</v>
      </c>
      <c r="B52" s="86">
        <f>'UNT FGD'!M76</f>
        <v>0</v>
      </c>
      <c r="C52" s="87">
        <f t="shared" si="14"/>
        <v>0</v>
      </c>
      <c r="D52" s="91">
        <f>'UNT FGD'!F76</f>
        <v>0</v>
      </c>
      <c r="E52" s="82"/>
      <c r="F52" s="74">
        <f t="shared" si="15"/>
        <v>0</v>
      </c>
      <c r="G52" s="337"/>
      <c r="J52" s="733"/>
      <c r="K52" s="733"/>
      <c r="L52" s="733"/>
      <c r="M52" s="733"/>
      <c r="N52" s="733"/>
      <c r="O52" s="733"/>
    </row>
    <row r="53" spans="1:31" ht="12" customHeight="1">
      <c r="A53" s="75" t="s">
        <v>46</v>
      </c>
      <c r="B53" s="86">
        <f>'UNT FGD'!M77</f>
        <v>-17505</v>
      </c>
      <c r="C53" s="87">
        <f t="shared" si="14"/>
        <v>-1</v>
      </c>
      <c r="D53" s="91">
        <f>'UNT FGD'!F77</f>
        <v>0</v>
      </c>
      <c r="E53" s="82"/>
      <c r="F53" s="74">
        <f t="shared" si="15"/>
        <v>-17505</v>
      </c>
      <c r="G53" s="35"/>
      <c r="J53" s="733"/>
      <c r="K53" s="733"/>
      <c r="L53" s="733"/>
      <c r="M53" s="733"/>
      <c r="N53" s="733"/>
      <c r="O53" s="733"/>
      <c r="P53" s="35"/>
      <c r="Q53" s="96"/>
      <c r="R53" s="96"/>
      <c r="S53" s="96"/>
      <c r="T53" s="96"/>
      <c r="U53" s="96"/>
      <c r="V53" s="96"/>
      <c r="W53" s="96"/>
      <c r="X53" s="96"/>
      <c r="Y53" s="96"/>
      <c r="Z53" s="96"/>
      <c r="AA53" s="96"/>
      <c r="AB53" s="96"/>
      <c r="AC53" s="96"/>
      <c r="AD53" s="96"/>
      <c r="AE53" s="96"/>
    </row>
    <row r="54" spans="1:31">
      <c r="A54" s="88" t="s">
        <v>3</v>
      </c>
      <c r="B54" s="89">
        <f>SUM(B50:B53)</f>
        <v>-79685675</v>
      </c>
      <c r="C54" s="89">
        <f>SUM(C50:C53)</f>
        <v>-2295</v>
      </c>
      <c r="D54" s="89">
        <f>SUM(D50:D53)</f>
        <v>-18401414</v>
      </c>
      <c r="E54" s="89">
        <f>SUM(E50:E53)</f>
        <v>0</v>
      </c>
      <c r="F54" s="102">
        <f>SUM(F50:F53)</f>
        <v>-61284261</v>
      </c>
      <c r="G54" s="337"/>
      <c r="H54" s="337"/>
      <c r="I54" s="337"/>
      <c r="J54" s="733"/>
      <c r="K54" s="733"/>
      <c r="L54" s="733"/>
      <c r="M54" s="733"/>
      <c r="N54" s="733"/>
      <c r="O54" s="733"/>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'UNT FGD'!M81</f>
        <v>29286184</v>
      </c>
      <c r="C57" s="83">
        <f>ROUND(B57/$C$6,0)</f>
        <v>843</v>
      </c>
      <c r="D57" s="512">
        <f>'UNT FGD'!F81</f>
        <v>0</v>
      </c>
      <c r="E57" s="512"/>
      <c r="F57" s="512">
        <f t="shared" ref="F57:F58" si="16">B57-(SUM(D57:E57))</f>
        <v>29286184</v>
      </c>
      <c r="G57" s="337"/>
      <c r="H57" s="337"/>
      <c r="I57" s="337"/>
      <c r="J57" s="337"/>
    </row>
    <row r="58" spans="1:31">
      <c r="A58" s="75" t="s">
        <v>48</v>
      </c>
      <c r="B58" s="86">
        <f>'UNT FGD'!M82</f>
        <v>167208</v>
      </c>
      <c r="C58" s="87">
        <f>ROUND(B58/$C$6,0)</f>
        <v>5</v>
      </c>
      <c r="D58" s="91">
        <f>'UNT FGD'!F82</f>
        <v>0</v>
      </c>
      <c r="E58" s="82"/>
      <c r="F58" s="74">
        <f t="shared" si="16"/>
        <v>167208</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29453392</v>
      </c>
      <c r="C59" s="89">
        <f>SUM(C57:C58)</f>
        <v>848</v>
      </c>
      <c r="D59" s="89">
        <f>SUM(D57:D58)</f>
        <v>0</v>
      </c>
      <c r="E59" s="89">
        <f>SUM(E57:E58)</f>
        <v>0</v>
      </c>
      <c r="F59" s="89">
        <f>SUM(F57:F58)</f>
        <v>29453392</v>
      </c>
      <c r="G59" s="367"/>
      <c r="H59" s="367"/>
      <c r="I59" s="367"/>
      <c r="J59" s="367"/>
      <c r="K59" s="266"/>
      <c r="L59" s="266"/>
      <c r="M59" s="266"/>
      <c r="N59" s="266"/>
      <c r="O59" s="266"/>
      <c r="P59" s="266"/>
    </row>
    <row r="60" spans="1:31">
      <c r="B60" s="82"/>
      <c r="C60" s="75"/>
    </row>
    <row r="61" spans="1:31" ht="13.5" thickBot="1">
      <c r="A61" s="103" t="s">
        <v>573</v>
      </c>
      <c r="B61" s="46">
        <f>B33-B47+B54+B59</f>
        <v>89848685</v>
      </c>
      <c r="C61" s="46">
        <f>C33-C47+C54+C59</f>
        <v>2587</v>
      </c>
      <c r="D61" s="46">
        <f>D33-D47+D54+D59</f>
        <v>12792524</v>
      </c>
      <c r="E61" s="46">
        <f>E33-E47+E54+E59</f>
        <v>-7491324</v>
      </c>
      <c r="F61" s="46">
        <f>F33-F47+F54+F59</f>
        <v>84547485</v>
      </c>
    </row>
    <row r="62" spans="1:31" ht="13.5" thickTop="1"/>
    <row r="63" spans="1:31">
      <c r="D63" s="512"/>
    </row>
    <row r="65" spans="2:16">
      <c r="B65" s="734">
        <f>'UNT FGD'!$M$85</f>
        <v>89848685</v>
      </c>
      <c r="C65" s="75"/>
      <c r="D65" s="734">
        <f>'UNT FGD'!$F$85</f>
        <v>12792599</v>
      </c>
      <c r="E65" s="734">
        <f>'UNT FGD'!$M$62*-1</f>
        <v>-7491324</v>
      </c>
      <c r="F65" s="75"/>
    </row>
    <row r="66" spans="2:16">
      <c r="B66" s="734"/>
      <c r="C66" s="75"/>
      <c r="D66" s="734">
        <f>'UNT FGD'!$F$68</f>
        <v>43345870</v>
      </c>
      <c r="E66" s="734">
        <f>+$D$38</f>
        <v>0</v>
      </c>
      <c r="F66" s="734"/>
    </row>
    <row r="67" spans="2:16">
      <c r="B67" s="759"/>
      <c r="C67" s="75"/>
      <c r="D67" s="759">
        <f>-'UNT FGD'!$M$68</f>
        <v>-43345945</v>
      </c>
      <c r="E67" s="759"/>
      <c r="F67" s="734"/>
    </row>
    <row r="68" spans="2:16">
      <c r="B68" s="734">
        <f>SUM(B65:B67)</f>
        <v>89848685</v>
      </c>
      <c r="C68" s="75"/>
      <c r="D68" s="734">
        <f>SUM(D65:D67)</f>
        <v>12792524</v>
      </c>
      <c r="E68" s="734">
        <f>SUM(E65:E67)</f>
        <v>-7491324</v>
      </c>
      <c r="F68" s="734">
        <f>B68-D68-E68</f>
        <v>84547485</v>
      </c>
    </row>
    <row r="69" spans="2:16">
      <c r="B69" s="734"/>
      <c r="C69" s="75"/>
      <c r="D69" s="734">
        <f>'UNT FGD'!F54*-1</f>
        <v>-58331292</v>
      </c>
      <c r="E69" s="734"/>
      <c r="F69" s="734"/>
    </row>
    <row r="70" spans="2:16" ht="12.75" customHeight="1">
      <c r="B70" s="759"/>
      <c r="C70" s="95"/>
      <c r="D70" s="759">
        <f>'UNT FGD'!M54</f>
        <v>58331292</v>
      </c>
      <c r="E70" s="759"/>
      <c r="F70" s="759">
        <f>-D70-D69</f>
        <v>0</v>
      </c>
    </row>
    <row r="71" spans="2:16" ht="12.75" customHeight="1">
      <c r="B71" s="734">
        <f>SUM(B68:B70)</f>
        <v>89848685</v>
      </c>
      <c r="C71" s="75"/>
      <c r="D71" s="734">
        <f>SUM(D68:D70)</f>
        <v>12792524</v>
      </c>
      <c r="E71" s="734">
        <f>SUM(E68:E70)</f>
        <v>-7491324</v>
      </c>
      <c r="F71" s="734">
        <f>SUM(F68:F70)</f>
        <v>84547485</v>
      </c>
    </row>
    <row r="72" spans="2:16" ht="12.75" customHeight="1">
      <c r="B72" s="734"/>
      <c r="C72" s="75"/>
      <c r="D72" s="734"/>
      <c r="E72" s="734"/>
      <c r="F72" s="734"/>
    </row>
    <row r="73" spans="2:16" ht="12.75" customHeight="1">
      <c r="B73" s="512">
        <f>B61-B71</f>
        <v>0</v>
      </c>
      <c r="C73" s="75"/>
      <c r="D73" s="512">
        <f>D61-D71</f>
        <v>0</v>
      </c>
      <c r="E73" s="512">
        <f>E61-E71</f>
        <v>0</v>
      </c>
      <c r="F73" s="512">
        <f>F61-F71</f>
        <v>0</v>
      </c>
    </row>
    <row r="74" spans="2:16" ht="12.75" customHeight="1">
      <c r="C74" s="75"/>
      <c r="F74" s="617"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G47:H50"/>
    <mergeCell ref="K30:O30"/>
    <mergeCell ref="M31:M34"/>
    <mergeCell ref="G32:H32"/>
    <mergeCell ref="G33:H33"/>
    <mergeCell ref="L31:L34"/>
    <mergeCell ref="K31:K34"/>
    <mergeCell ref="N31:N34"/>
    <mergeCell ref="O31:O34"/>
    <mergeCell ref="J48:J49"/>
    <mergeCell ref="F1:I1"/>
    <mergeCell ref="J1:O1"/>
    <mergeCell ref="D1:E1"/>
    <mergeCell ref="K29:O29"/>
    <mergeCell ref="D4:D5"/>
    <mergeCell ref="E4:E5"/>
  </mergeCells>
  <hyperlinks>
    <hyperlink ref="D1:E1" location="Index!A1" display="Return to Index" xr:uid="{00000000-0004-0000-92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sheetPr codeName="Sheet125">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5.42578125" style="164" customWidth="1"/>
    <col min="15" max="15" width="16.5703125" style="261" customWidth="1"/>
    <col min="16" max="16" width="25.7109375" style="264" customWidth="1"/>
    <col min="17" max="17" width="16.42578125" style="264" customWidth="1"/>
    <col min="18" max="18" width="18.28515625" style="264" customWidth="1"/>
    <col min="19" max="19" width="1.7109375" style="264" customWidth="1"/>
    <col min="20" max="20" width="17.140625" style="264" customWidth="1"/>
    <col min="21" max="21" width="16.85546875" style="264" customWidth="1"/>
    <col min="22" max="23" width="19.28515625" style="264" customWidth="1"/>
    <col min="24" max="24" width="19.71093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13" t="str">
        <f>'UNT Chrts'!$A$1</f>
        <v>University of North Texas</v>
      </c>
      <c r="C2" s="1713"/>
      <c r="D2" s="1713"/>
      <c r="E2" s="1713"/>
      <c r="F2" s="1742"/>
      <c r="G2" s="160"/>
      <c r="H2" s="161"/>
      <c r="I2" s="320" t="str">
        <f>IF($B$2&lt;&gt;Input!$B$36,"Name Mismatch","")</f>
        <v/>
      </c>
      <c r="J2" s="168"/>
      <c r="K2" s="169"/>
      <c r="L2" s="169"/>
      <c r="M2" s="170"/>
      <c r="O2" s="835" t="s">
        <v>1200</v>
      </c>
      <c r="P2" s="36"/>
    </row>
    <row r="3" spans="1:28" ht="20.25">
      <c r="A3" s="184">
        <v>2</v>
      </c>
      <c r="B3" s="1713" t="str">
        <f>'Smmy Chrts'!$A$2</f>
        <v>For the Year Ended August 31, 2021</v>
      </c>
      <c r="C3" s="1713"/>
      <c r="D3" s="1713"/>
      <c r="E3" s="1713"/>
      <c r="F3" s="1742"/>
      <c r="G3" s="161"/>
      <c r="H3" s="161"/>
      <c r="I3" s="169"/>
      <c r="J3" s="168"/>
      <c r="K3" s="169"/>
      <c r="L3" s="169"/>
      <c r="M3" s="170"/>
      <c r="O3" s="74"/>
    </row>
    <row r="4" spans="1:28" ht="20.25">
      <c r="A4" s="184">
        <v>3</v>
      </c>
      <c r="B4" s="1713" t="str">
        <f>'Smmy Chrts'!$A$3</f>
        <v>Source: FY 2021 Annual Financial Report</v>
      </c>
      <c r="C4" s="1713"/>
      <c r="D4" s="1713"/>
      <c r="E4" s="1713"/>
      <c r="F4" s="1742"/>
      <c r="G4" s="161"/>
      <c r="H4" s="161"/>
      <c r="I4" s="169"/>
      <c r="J4" s="168"/>
      <c r="K4" s="169"/>
      <c r="L4" s="169"/>
      <c r="M4" s="170"/>
      <c r="O4" s="74"/>
      <c r="P4" s="1744" t="s">
        <v>93</v>
      </c>
      <c r="Q4" s="1745"/>
      <c r="T4" s="36" t="s">
        <v>250</v>
      </c>
    </row>
    <row r="5" spans="1:28">
      <c r="A5" s="184">
        <v>4</v>
      </c>
      <c r="B5" s="160"/>
      <c r="C5" s="160"/>
      <c r="D5" s="160"/>
      <c r="E5" s="160"/>
      <c r="F5" s="160"/>
      <c r="G5" s="160"/>
      <c r="H5" s="160"/>
      <c r="I5" s="160"/>
      <c r="J5" s="160"/>
      <c r="K5" s="160"/>
      <c r="L5" s="160"/>
      <c r="M5" s="166"/>
      <c r="O5" s="262"/>
    </row>
    <row r="6" spans="1:28">
      <c r="A6" s="184">
        <v>5</v>
      </c>
      <c r="B6" s="1715" t="str">
        <f>'Smmy Chrts'!$C$32</f>
        <v>Detail Worksheet FY 2021</v>
      </c>
      <c r="C6" s="1715"/>
      <c r="D6" s="1743"/>
      <c r="E6" s="1743"/>
      <c r="F6" s="1743"/>
      <c r="G6" s="1743"/>
      <c r="H6" s="1743"/>
      <c r="I6" s="1743"/>
      <c r="J6" s="1743"/>
      <c r="K6" s="1743"/>
      <c r="L6" s="1743"/>
      <c r="M6" s="1743"/>
      <c r="O6" s="265"/>
    </row>
    <row r="7" spans="1:28">
      <c r="A7" s="184">
        <v>6</v>
      </c>
      <c r="B7" s="172"/>
      <c r="C7" s="172"/>
      <c r="D7" s="160"/>
      <c r="E7" s="160"/>
      <c r="F7" s="160"/>
      <c r="G7" s="160"/>
      <c r="H7" s="160"/>
      <c r="I7" s="160"/>
      <c r="J7" s="160"/>
      <c r="K7" s="160"/>
      <c r="L7" s="160"/>
      <c r="M7" s="173" t="str">
        <f>'Smmy Chrts'!$C$33</f>
        <v>FY 2021</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Input!$M$36</f>
        <v>134981091</v>
      </c>
      <c r="E10" s="372">
        <f>Input!$N$36</f>
        <v>0</v>
      </c>
      <c r="F10" s="372">
        <f>Input!$O$36</f>
        <v>0</v>
      </c>
      <c r="G10" s="372">
        <f>Input!$P$36</f>
        <v>0</v>
      </c>
      <c r="H10" s="372">
        <f>Input!$Q$36</f>
        <v>0</v>
      </c>
      <c r="I10" s="372">
        <f>Input!$R$36</f>
        <v>0</v>
      </c>
      <c r="J10" s="372">
        <f>Input!$S$36</f>
        <v>0</v>
      </c>
      <c r="K10" s="372">
        <f>Input!$T$36</f>
        <v>0</v>
      </c>
      <c r="L10" s="372">
        <f>Input!$U$36</f>
        <v>0</v>
      </c>
      <c r="M10" s="373">
        <f t="shared" ref="M10:M15" si="0">D10+E10+F10+G10+H10+I10+J10+K10+L10</f>
        <v>134981091</v>
      </c>
      <c r="N10" s="160"/>
      <c r="O10" s="271"/>
      <c r="P10" s="1718" t="s">
        <v>575</v>
      </c>
      <c r="U10" s="268"/>
    </row>
    <row r="11" spans="1:28">
      <c r="A11" s="184">
        <v>10</v>
      </c>
      <c r="B11" s="160" t="s">
        <v>2</v>
      </c>
      <c r="C11" s="160"/>
      <c r="D11" s="372">
        <f>Input!$V$36</f>
        <v>24615056</v>
      </c>
      <c r="E11" s="372">
        <f>Input!$W$36</f>
        <v>3346810</v>
      </c>
      <c r="F11" s="372">
        <f>Input!$X$36</f>
        <v>0</v>
      </c>
      <c r="G11" s="372">
        <f>Input!$Y$36</f>
        <v>3703556</v>
      </c>
      <c r="H11" s="372">
        <f>Input!$Z$36</f>
        <v>0</v>
      </c>
      <c r="I11" s="372">
        <f>Input!$AA$36</f>
        <v>0</v>
      </c>
      <c r="J11" s="372">
        <f>Input!$AB$36</f>
        <v>0</v>
      </c>
      <c r="K11" s="372">
        <f>Input!$AC$36</f>
        <v>0</v>
      </c>
      <c r="L11" s="372">
        <f>Input!$AD$36</f>
        <v>0</v>
      </c>
      <c r="M11" s="373">
        <f t="shared" si="0"/>
        <v>31665422</v>
      </c>
      <c r="N11" s="160"/>
      <c r="O11" s="482"/>
      <c r="P11" s="1719"/>
      <c r="U11" s="268"/>
    </row>
    <row r="12" spans="1:28" ht="12.75" hidden="1" customHeight="1">
      <c r="B12" s="160" t="s">
        <v>1410</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Input!$AN$36</f>
        <v>37346563</v>
      </c>
      <c r="E13" s="372">
        <f>Input!$AO$36</f>
        <v>0</v>
      </c>
      <c r="F13" s="372">
        <f>Input!$AP$36</f>
        <v>0</v>
      </c>
      <c r="G13" s="372">
        <f>Input!$AQ$36</f>
        <v>0</v>
      </c>
      <c r="H13" s="372">
        <f>Input!$AR$36</f>
        <v>0</v>
      </c>
      <c r="I13" s="372">
        <f>Input!$AS$36</f>
        <v>0</v>
      </c>
      <c r="J13" s="372">
        <f>Input!$AT$36</f>
        <v>0</v>
      </c>
      <c r="K13" s="372">
        <f>Input!$AU$36</f>
        <v>0</v>
      </c>
      <c r="L13" s="372">
        <f>Input!$AV$36</f>
        <v>0</v>
      </c>
      <c r="M13" s="373">
        <f t="shared" si="0"/>
        <v>37346563</v>
      </c>
      <c r="N13" s="160"/>
      <c r="O13" s="482" t="str">
        <f>IF(P13&lt;&gt;M13,"Out of Balance","Balanced")</f>
        <v>Balanced</v>
      </c>
      <c r="P13" s="484">
        <f>IFERROR(VLOOKUP($B$2,AMTLU,6,FALSE),0)</f>
        <v>37346563</v>
      </c>
      <c r="U13" s="268"/>
    </row>
    <row r="14" spans="1:28">
      <c r="A14" s="184">
        <v>13</v>
      </c>
      <c r="B14" s="160" t="s">
        <v>49</v>
      </c>
      <c r="C14" s="160"/>
      <c r="D14" s="372">
        <f>Input!$AW$36</f>
        <v>0</v>
      </c>
      <c r="E14" s="372">
        <f>Input!$AX$36</f>
        <v>0</v>
      </c>
      <c r="F14" s="372">
        <f>Input!$AY$36</f>
        <v>0</v>
      </c>
      <c r="G14" s="372">
        <f>Input!$AZ$36</f>
        <v>0</v>
      </c>
      <c r="H14" s="372">
        <f>Input!$BA$36</f>
        <v>0</v>
      </c>
      <c r="I14" s="372">
        <f>Input!$BB$36</f>
        <v>0</v>
      </c>
      <c r="J14" s="372">
        <f>Input!$BC$36</f>
        <v>0</v>
      </c>
      <c r="K14" s="372">
        <f>Input!$BD$36</f>
        <v>0</v>
      </c>
      <c r="L14" s="372">
        <f>Input!$BE$36</f>
        <v>0</v>
      </c>
      <c r="M14" s="373">
        <f t="shared" si="0"/>
        <v>0</v>
      </c>
      <c r="N14" s="160"/>
      <c r="O14" s="482"/>
      <c r="P14" s="485"/>
    </row>
    <row r="15" spans="1:28" ht="15">
      <c r="A15" s="184">
        <v>14</v>
      </c>
      <c r="B15" s="176" t="s">
        <v>3</v>
      </c>
      <c r="C15" s="176"/>
      <c r="D15" s="374">
        <f t="shared" ref="D15:L15" si="1">SUM(D10:D14)</f>
        <v>196942710</v>
      </c>
      <c r="E15" s="374">
        <f t="shared" si="1"/>
        <v>3346810</v>
      </c>
      <c r="F15" s="374">
        <f t="shared" si="1"/>
        <v>0</v>
      </c>
      <c r="G15" s="374">
        <f t="shared" si="1"/>
        <v>3703556</v>
      </c>
      <c r="H15" s="374">
        <f t="shared" si="1"/>
        <v>0</v>
      </c>
      <c r="I15" s="374">
        <f t="shared" si="1"/>
        <v>0</v>
      </c>
      <c r="J15" s="374">
        <f t="shared" si="1"/>
        <v>0</v>
      </c>
      <c r="K15" s="374">
        <f t="shared" si="1"/>
        <v>0</v>
      </c>
      <c r="L15" s="374">
        <f t="shared" si="1"/>
        <v>0</v>
      </c>
      <c r="M15" s="374">
        <f t="shared" si="0"/>
        <v>203993076</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58" t="s">
        <v>1042</v>
      </c>
      <c r="C18" s="558"/>
      <c r="D18" s="374">
        <f t="shared" ref="D18:L18" si="2">D23-SUM(D19:D22)</f>
        <v>107054119</v>
      </c>
      <c r="E18" s="374">
        <f t="shared" si="2"/>
        <v>291040051</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398094170</v>
      </c>
      <c r="V18" s="327"/>
      <c r="X18" s="330"/>
    </row>
    <row r="19" spans="1:26" s="264" customFormat="1" ht="12.75" customHeight="1" thickTop="1" thickBot="1">
      <c r="A19" s="263"/>
      <c r="B19" s="261" t="s">
        <v>722</v>
      </c>
      <c r="C19" s="261"/>
      <c r="D19" s="372">
        <f>Input!$BF$36</f>
        <v>-25532559</v>
      </c>
      <c r="E19" s="372">
        <f>Input!$BG$36</f>
        <v>-111572</v>
      </c>
      <c r="F19" s="372">
        <f>Input!$BH$36</f>
        <v>0</v>
      </c>
      <c r="G19" s="372">
        <f>Input!$BI$36</f>
        <v>0</v>
      </c>
      <c r="H19" s="372">
        <f>Input!$BJ$36</f>
        <v>0</v>
      </c>
      <c r="I19" s="372">
        <f>Input!$BK$36</f>
        <v>0</v>
      </c>
      <c r="J19" s="372">
        <f>Input!$BL$36</f>
        <v>0</v>
      </c>
      <c r="K19" s="372">
        <f>Input!$BM$36</f>
        <v>0</v>
      </c>
      <c r="L19" s="372">
        <f>Input!$BN$36</f>
        <v>0</v>
      </c>
      <c r="M19" s="373">
        <f t="shared" si="3"/>
        <v>-25644131</v>
      </c>
      <c r="O19" s="1732" t="s">
        <v>1294</v>
      </c>
      <c r="P19" s="1733"/>
      <c r="Q19" s="1733"/>
      <c r="R19" s="1734"/>
      <c r="T19" s="1735" t="s">
        <v>1043</v>
      </c>
      <c r="U19" s="1736"/>
      <c r="V19" s="1736"/>
      <c r="W19" s="1736"/>
      <c r="X19" s="1737"/>
    </row>
    <row r="20" spans="1:26" s="264" customFormat="1" ht="12.75" customHeight="1" thickTop="1">
      <c r="A20" s="263"/>
      <c r="B20" s="261" t="s">
        <v>723</v>
      </c>
      <c r="C20" s="261"/>
      <c r="D20" s="372">
        <f>Input!$BO$36</f>
        <v>-219026</v>
      </c>
      <c r="E20" s="372">
        <f>Input!$BP$36</f>
        <v>-1291663</v>
      </c>
      <c r="F20" s="372">
        <f>Input!$BQ$36</f>
        <v>0</v>
      </c>
      <c r="G20" s="372">
        <f>Input!$BR$36</f>
        <v>0</v>
      </c>
      <c r="H20" s="372">
        <f>Input!$BS$36</f>
        <v>0</v>
      </c>
      <c r="I20" s="372">
        <f>Input!$BT$36</f>
        <v>0</v>
      </c>
      <c r="J20" s="372">
        <f>Input!$BU$36</f>
        <v>0</v>
      </c>
      <c r="K20" s="372">
        <f>Input!$BV$36</f>
        <v>0</v>
      </c>
      <c r="L20" s="372">
        <f>Input!$BW$36</f>
        <v>0</v>
      </c>
      <c r="M20" s="373">
        <f t="shared" si="3"/>
        <v>-1510689</v>
      </c>
      <c r="O20" s="421" t="s">
        <v>288</v>
      </c>
      <c r="P20" s="422"/>
      <c r="Q20" s="414"/>
      <c r="R20" s="559"/>
      <c r="T20" s="560" t="s">
        <v>1044</v>
      </c>
      <c r="U20" s="266"/>
      <c r="V20" s="266"/>
      <c r="X20" s="425"/>
    </row>
    <row r="21" spans="1:26" s="264" customFormat="1">
      <c r="A21" s="263"/>
      <c r="B21" s="261" t="s">
        <v>724</v>
      </c>
      <c r="C21" s="261"/>
      <c r="D21" s="372">
        <f>Input!$BX$36</f>
        <v>-2867096</v>
      </c>
      <c r="E21" s="372">
        <f>Input!$BY$36</f>
        <v>-18297157</v>
      </c>
      <c r="F21" s="372">
        <f>Input!$BZ$36</f>
        <v>0</v>
      </c>
      <c r="G21" s="372">
        <f>Input!$CA$36</f>
        <v>0</v>
      </c>
      <c r="H21" s="372">
        <f>Input!$CB$36</f>
        <v>0</v>
      </c>
      <c r="I21" s="372">
        <f>Input!$CC$36</f>
        <v>0</v>
      </c>
      <c r="J21" s="372">
        <f>Input!$CD$36</f>
        <v>0</v>
      </c>
      <c r="K21" s="372">
        <f>Input!$CE$36</f>
        <v>0</v>
      </c>
      <c r="L21" s="372">
        <f>Input!$CF$36</f>
        <v>0</v>
      </c>
      <c r="M21" s="373">
        <f t="shared" si="3"/>
        <v>-21164253</v>
      </c>
      <c r="O21" s="434"/>
      <c r="R21" s="561"/>
      <c r="T21" s="650" t="s">
        <v>1045</v>
      </c>
      <c r="U21" s="266"/>
      <c r="V21" s="266"/>
      <c r="W21" s="651">
        <f>M44</f>
        <v>363524651</v>
      </c>
      <c r="X21" s="425"/>
      <c r="Z21" s="330"/>
    </row>
    <row r="22" spans="1:26" s="264" customFormat="1">
      <c r="A22" s="263"/>
      <c r="B22" s="261" t="s">
        <v>725</v>
      </c>
      <c r="C22" s="261"/>
      <c r="D22" s="372">
        <f>Input!$CG$36</f>
        <v>-424908</v>
      </c>
      <c r="E22" s="372">
        <f>Input!$CH$36</f>
        <v>-3472529</v>
      </c>
      <c r="F22" s="372">
        <f>Input!$CI$36</f>
        <v>0</v>
      </c>
      <c r="G22" s="372">
        <f>Input!$CJ$36</f>
        <v>0</v>
      </c>
      <c r="H22" s="372">
        <f>Input!$CK$36</f>
        <v>0</v>
      </c>
      <c r="I22" s="372">
        <f>Input!$CL$36</f>
        <v>0</v>
      </c>
      <c r="J22" s="372">
        <f>Input!$CM$36</f>
        <v>0</v>
      </c>
      <c r="K22" s="372">
        <f>Input!$CN$36</f>
        <v>0</v>
      </c>
      <c r="L22" s="372">
        <f>Input!$CO$36</f>
        <v>0</v>
      </c>
      <c r="M22" s="373">
        <f t="shared" si="3"/>
        <v>-3897437</v>
      </c>
      <c r="N22" s="270"/>
      <c r="O22" s="434" t="s">
        <v>1046</v>
      </c>
      <c r="P22" s="276"/>
      <c r="Q22" s="424">
        <f>M23</f>
        <v>345877660</v>
      </c>
      <c r="R22" s="562"/>
      <c r="T22" s="650" t="s">
        <v>1047</v>
      </c>
      <c r="U22" s="266"/>
      <c r="V22" s="266"/>
      <c r="W22" s="652">
        <f>R30*-1</f>
        <v>128260331</v>
      </c>
      <c r="X22" s="425"/>
    </row>
    <row r="23" spans="1:26" s="264" customFormat="1" ht="12.75" customHeight="1">
      <c r="A23" s="263"/>
      <c r="B23" s="558" t="s">
        <v>726</v>
      </c>
      <c r="C23" s="563"/>
      <c r="D23" s="564">
        <f>Input!$CP$36</f>
        <v>78010530</v>
      </c>
      <c r="E23" s="564">
        <f>Input!$CQ$36</f>
        <v>267867130</v>
      </c>
      <c r="F23" s="564">
        <f>Input!$CR$36</f>
        <v>0</v>
      </c>
      <c r="G23" s="564">
        <f>Input!$CS$36</f>
        <v>0</v>
      </c>
      <c r="H23" s="564">
        <f>Input!$CT$36</f>
        <v>0</v>
      </c>
      <c r="I23" s="564">
        <f>Input!$CU$36</f>
        <v>0</v>
      </c>
      <c r="J23" s="564">
        <f>Input!$CV$36</f>
        <v>0</v>
      </c>
      <c r="K23" s="564">
        <f>Input!$CW$36</f>
        <v>0</v>
      </c>
      <c r="L23" s="564">
        <f>Input!$CX$36</f>
        <v>0</v>
      </c>
      <c r="M23" s="565">
        <f t="shared" si="3"/>
        <v>345877660</v>
      </c>
      <c r="O23" s="434"/>
      <c r="P23" s="276"/>
      <c r="Q23" s="424"/>
      <c r="R23" s="562"/>
      <c r="T23" s="560" t="s">
        <v>1230</v>
      </c>
      <c r="U23" s="266"/>
      <c r="V23" s="266"/>
      <c r="W23" s="276"/>
      <c r="X23" s="425">
        <f>SUM(W21:W22)</f>
        <v>491784982</v>
      </c>
      <c r="Z23" s="330"/>
    </row>
    <row r="24" spans="1:26" s="264" customFormat="1" ht="12.75" customHeight="1">
      <c r="A24" s="263"/>
      <c r="B24" s="261" t="s">
        <v>727</v>
      </c>
      <c r="C24" s="566"/>
      <c r="D24" s="372">
        <f>Input!$CY$36</f>
        <v>0</v>
      </c>
      <c r="E24" s="372">
        <f>Input!$CZ$36</f>
        <v>0</v>
      </c>
      <c r="F24" s="372">
        <f>Input!$DA$36</f>
        <v>0</v>
      </c>
      <c r="G24" s="372">
        <f>Input!$DB$36</f>
        <v>0</v>
      </c>
      <c r="H24" s="372">
        <f>Input!$DC$36</f>
        <v>0</v>
      </c>
      <c r="I24" s="372">
        <f>Input!$DD$36</f>
        <v>0</v>
      </c>
      <c r="J24" s="372">
        <f>Input!$DE$36</f>
        <v>0</v>
      </c>
      <c r="K24" s="372">
        <f>Input!$DF$36</f>
        <v>0</v>
      </c>
      <c r="L24" s="372">
        <f>Input!$DG$36</f>
        <v>0</v>
      </c>
      <c r="M24" s="567">
        <f t="shared" si="3"/>
        <v>0</v>
      </c>
      <c r="O24" s="417" t="s">
        <v>1048</v>
      </c>
      <c r="P24" s="276"/>
      <c r="Q24" s="327"/>
      <c r="R24" s="646">
        <f>SUM(M24:M28)</f>
        <v>-33809704</v>
      </c>
      <c r="T24" s="560"/>
      <c r="U24" s="266"/>
      <c r="V24" s="266"/>
      <c r="X24" s="425"/>
      <c r="Z24" s="330"/>
    </row>
    <row r="25" spans="1:26" s="264" customFormat="1" ht="12.75" customHeight="1">
      <c r="A25" s="263"/>
      <c r="B25" s="261" t="s">
        <v>728</v>
      </c>
      <c r="C25" s="566"/>
      <c r="D25" s="372">
        <f>Input!$DH$36</f>
        <v>0</v>
      </c>
      <c r="E25" s="372">
        <f>Input!$DI$36</f>
        <v>0</v>
      </c>
      <c r="F25" s="372">
        <f>Input!$DJ$36</f>
        <v>0</v>
      </c>
      <c r="G25" s="372">
        <f>Input!$DK$36</f>
        <v>0</v>
      </c>
      <c r="H25" s="372">
        <f>Input!$DL$36</f>
        <v>0</v>
      </c>
      <c r="I25" s="372">
        <f>Input!$DM$36</f>
        <v>0</v>
      </c>
      <c r="J25" s="372">
        <f>Input!$DN$36</f>
        <v>0</v>
      </c>
      <c r="K25" s="372">
        <f>Input!$DO$36</f>
        <v>0</v>
      </c>
      <c r="L25" s="372">
        <f>Input!$DP$36</f>
        <v>0</v>
      </c>
      <c r="M25" s="567">
        <f t="shared" si="3"/>
        <v>0</v>
      </c>
      <c r="O25" s="434"/>
      <c r="P25" s="276"/>
      <c r="Q25" s="327"/>
      <c r="R25" s="646"/>
      <c r="T25" s="568" t="s">
        <v>1103</v>
      </c>
      <c r="U25" s="569"/>
      <c r="V25" s="569"/>
      <c r="W25" s="653">
        <f>(M26+M39)*-1</f>
        <v>0</v>
      </c>
      <c r="X25" s="425"/>
      <c r="Z25" s="330"/>
    </row>
    <row r="26" spans="1:26" s="264" customFormat="1" ht="12.75" customHeight="1">
      <c r="A26" s="263"/>
      <c r="B26" s="261" t="s">
        <v>729</v>
      </c>
      <c r="C26" s="566"/>
      <c r="D26" s="372">
        <f>Input!$DQ$36</f>
        <v>0</v>
      </c>
      <c r="E26" s="372">
        <f>Input!$DR$36</f>
        <v>0</v>
      </c>
      <c r="F26" s="372">
        <f>Input!$DS$36</f>
        <v>0</v>
      </c>
      <c r="G26" s="372">
        <f>Input!$DT$36</f>
        <v>0</v>
      </c>
      <c r="H26" s="372">
        <f>Input!$DU$36</f>
        <v>0</v>
      </c>
      <c r="I26" s="372">
        <f>Input!$DV$36</f>
        <v>0</v>
      </c>
      <c r="J26" s="372">
        <f>Input!$DW$36</f>
        <v>0</v>
      </c>
      <c r="K26" s="372">
        <f>Input!$DX$36</f>
        <v>0</v>
      </c>
      <c r="L26" s="372">
        <f>Input!$DY$36</f>
        <v>0</v>
      </c>
      <c r="M26" s="567">
        <f t="shared" si="3"/>
        <v>0</v>
      </c>
      <c r="O26" s="434" t="s">
        <v>1049</v>
      </c>
      <c r="P26" s="276"/>
      <c r="Q26" s="427">
        <f>M36</f>
        <v>145907322</v>
      </c>
      <c r="R26" s="570"/>
      <c r="T26" s="560" t="s">
        <v>1104</v>
      </c>
      <c r="U26" s="266"/>
      <c r="V26" s="266"/>
      <c r="W26" s="571">
        <f>(M21+M34)*-1</f>
        <v>21164253</v>
      </c>
      <c r="X26" s="425"/>
      <c r="Z26" s="330"/>
    </row>
    <row r="27" spans="1:26" s="264" customFormat="1">
      <c r="A27" s="263"/>
      <c r="B27" s="261" t="s">
        <v>730</v>
      </c>
      <c r="C27" s="566"/>
      <c r="D27" s="372">
        <f>Input!$DZ$36</f>
        <v>0</v>
      </c>
      <c r="E27" s="372">
        <f>Input!$EA$36</f>
        <v>0</v>
      </c>
      <c r="F27" s="372">
        <f>Input!$EB$36</f>
        <v>0</v>
      </c>
      <c r="G27" s="372">
        <f>Input!$EC$36</f>
        <v>0</v>
      </c>
      <c r="H27" s="372">
        <f>Input!$ED$36</f>
        <v>0</v>
      </c>
      <c r="I27" s="372">
        <f>Input!$EE$36</f>
        <v>0</v>
      </c>
      <c r="J27" s="372">
        <f>Input!$EF$36</f>
        <v>0</v>
      </c>
      <c r="K27" s="372">
        <f>Input!$EG$36</f>
        <v>0</v>
      </c>
      <c r="L27" s="372">
        <f>Input!EH6</f>
        <v>0</v>
      </c>
      <c r="M27" s="567">
        <f t="shared" si="3"/>
        <v>0</v>
      </c>
      <c r="O27" s="434"/>
      <c r="P27" s="276"/>
      <c r="Q27" s="427"/>
      <c r="R27" s="570"/>
      <c r="T27" s="650" t="s">
        <v>1105</v>
      </c>
      <c r="U27" s="584"/>
      <c r="V27" s="584"/>
      <c r="W27" s="654">
        <f>SUM(W25:W26)</f>
        <v>21164253</v>
      </c>
      <c r="X27" s="655"/>
    </row>
    <row r="28" spans="1:26" s="264" customFormat="1">
      <c r="A28" s="263"/>
      <c r="B28" s="261" t="s">
        <v>2133</v>
      </c>
      <c r="C28" s="566"/>
      <c r="D28" s="372">
        <f>Input!$EI$36</f>
        <v>-17223659</v>
      </c>
      <c r="E28" s="372">
        <f>Input!$EJ$36</f>
        <v>-16586045</v>
      </c>
      <c r="F28" s="372">
        <f>Input!$EK$36</f>
        <v>0</v>
      </c>
      <c r="G28" s="372">
        <f>Input!$EL$36</f>
        <v>0</v>
      </c>
      <c r="H28" s="372">
        <f>Input!$EM$36</f>
        <v>0</v>
      </c>
      <c r="I28" s="372">
        <f>Input!$EN$36</f>
        <v>0</v>
      </c>
      <c r="J28" s="372">
        <f>Input!$EO$36</f>
        <v>0</v>
      </c>
      <c r="K28" s="372">
        <f>Input!$EP$36</f>
        <v>0</v>
      </c>
      <c r="L28" s="372">
        <f>Input!$EQ$36</f>
        <v>0</v>
      </c>
      <c r="M28" s="567">
        <f t="shared" si="3"/>
        <v>-33809704</v>
      </c>
      <c r="O28" s="417" t="s">
        <v>1050</v>
      </c>
      <c r="Q28" s="429"/>
      <c r="R28" s="646">
        <f>SUM(M37:M41)</f>
        <v>-94450627</v>
      </c>
      <c r="T28" s="560" t="s">
        <v>1106</v>
      </c>
      <c r="U28" s="266"/>
      <c r="V28" s="266"/>
      <c r="W28" s="425">
        <f>(M27+M40)*-1</f>
        <v>0</v>
      </c>
      <c r="X28" s="655"/>
      <c r="Z28" s="330"/>
    </row>
    <row r="29" spans="1:26" s="264" customFormat="1" ht="12" customHeight="1">
      <c r="A29" s="263"/>
      <c r="B29" s="575" t="s">
        <v>39</v>
      </c>
      <c r="C29" s="563"/>
      <c r="D29" s="374">
        <f t="shared" ref="D29:L29" si="4">SUM(D23:D28)</f>
        <v>60786871</v>
      </c>
      <c r="E29" s="374">
        <f t="shared" si="4"/>
        <v>251281085</v>
      </c>
      <c r="F29" s="374">
        <f t="shared" si="4"/>
        <v>0</v>
      </c>
      <c r="G29" s="374">
        <f t="shared" si="4"/>
        <v>0</v>
      </c>
      <c r="H29" s="374">
        <f t="shared" si="4"/>
        <v>0</v>
      </c>
      <c r="I29" s="374">
        <f t="shared" si="4"/>
        <v>0</v>
      </c>
      <c r="J29" s="374">
        <f t="shared" si="4"/>
        <v>0</v>
      </c>
      <c r="K29" s="374">
        <f t="shared" si="4"/>
        <v>0</v>
      </c>
      <c r="L29" s="374">
        <f t="shared" si="4"/>
        <v>0</v>
      </c>
      <c r="M29" s="374">
        <f t="shared" si="3"/>
        <v>312067956</v>
      </c>
      <c r="O29" s="417"/>
      <c r="Q29" s="429"/>
      <c r="R29" s="576"/>
      <c r="T29" s="560" t="s">
        <v>1107</v>
      </c>
      <c r="U29" s="266"/>
      <c r="V29" s="266"/>
      <c r="W29" s="571">
        <f>(M22+M35)*-1</f>
        <v>3897437</v>
      </c>
      <c r="X29" s="655"/>
    </row>
    <row r="30" spans="1:26" s="264" customFormat="1" ht="16.5" customHeight="1">
      <c r="A30" s="263"/>
      <c r="B30" s="261"/>
      <c r="C30" s="566"/>
      <c r="D30" s="566"/>
      <c r="E30" s="566"/>
      <c r="F30" s="566"/>
      <c r="G30" s="566"/>
      <c r="H30" s="566"/>
      <c r="I30" s="566"/>
      <c r="J30" s="566"/>
      <c r="K30" s="566"/>
      <c r="L30" s="566"/>
      <c r="M30" s="567"/>
      <c r="O30" s="431" t="s">
        <v>289</v>
      </c>
      <c r="P30" s="432"/>
      <c r="Q30" s="433">
        <f>Q26+Q22</f>
        <v>491784982</v>
      </c>
      <c r="R30" s="647">
        <f>R28+R24</f>
        <v>-128260331</v>
      </c>
      <c r="T30" s="650" t="s">
        <v>1108</v>
      </c>
      <c r="U30" s="584"/>
      <c r="V30" s="584"/>
      <c r="W30" s="654">
        <f>SUM(W28:W29)</f>
        <v>3897437</v>
      </c>
      <c r="X30" s="655"/>
    </row>
    <row r="31" spans="1:26" s="264" customFormat="1" ht="12.75" customHeight="1">
      <c r="A31" s="263"/>
      <c r="B31" s="558" t="s">
        <v>1052</v>
      </c>
      <c r="C31" s="558"/>
      <c r="D31" s="374">
        <f t="shared" ref="D31:L31" si="5">D36-SUM(D32:D35)</f>
        <v>391881</v>
      </c>
      <c r="E31" s="374">
        <f t="shared" si="5"/>
        <v>127878370</v>
      </c>
      <c r="F31" s="374">
        <f t="shared" si="5"/>
        <v>17637071</v>
      </c>
      <c r="G31" s="374">
        <f t="shared" si="5"/>
        <v>0</v>
      </c>
      <c r="H31" s="374">
        <f t="shared" si="5"/>
        <v>0</v>
      </c>
      <c r="I31" s="374">
        <f t="shared" si="5"/>
        <v>0</v>
      </c>
      <c r="J31" s="374">
        <f t="shared" si="5"/>
        <v>0</v>
      </c>
      <c r="K31" s="374">
        <f t="shared" si="5"/>
        <v>0</v>
      </c>
      <c r="L31" s="374">
        <f t="shared" si="5"/>
        <v>0</v>
      </c>
      <c r="M31" s="374">
        <f t="shared" ref="M31:M42" si="6">D31+E31+F31+G31+H31+I31+J31+K31+L31</f>
        <v>145907322</v>
      </c>
      <c r="O31" s="434" t="s">
        <v>290</v>
      </c>
      <c r="P31" s="276"/>
      <c r="Q31" s="335"/>
      <c r="R31" s="562"/>
      <c r="T31" s="572" t="s">
        <v>1109</v>
      </c>
      <c r="U31" s="573"/>
      <c r="V31" s="573"/>
      <c r="W31" s="574">
        <f>W27+W30</f>
        <v>25061690</v>
      </c>
      <c r="X31" s="425"/>
      <c r="Z31" s="330"/>
    </row>
    <row r="32" spans="1:26" s="264" customFormat="1" ht="12.75" customHeight="1">
      <c r="A32" s="263"/>
      <c r="B32" s="261" t="s">
        <v>722</v>
      </c>
      <c r="C32" s="261"/>
      <c r="D32" s="372">
        <f>Input!$ER$36</f>
        <v>0</v>
      </c>
      <c r="E32" s="372">
        <f>Input!$ES$36</f>
        <v>0</v>
      </c>
      <c r="F32" s="372">
        <f>Input!$ET$36</f>
        <v>0</v>
      </c>
      <c r="G32" s="372">
        <f>Input!$EU$36</f>
        <v>0</v>
      </c>
      <c r="H32" s="372">
        <f>Input!$EV$36</f>
        <v>0</v>
      </c>
      <c r="I32" s="372">
        <f>Input!$EW$36</f>
        <v>0</v>
      </c>
      <c r="J32" s="372">
        <f>Input!$EX$36</f>
        <v>0</v>
      </c>
      <c r="K32" s="372">
        <f>Input!$EY$36</f>
        <v>0</v>
      </c>
      <c r="L32" s="372">
        <f>Input!$EZ$36</f>
        <v>0</v>
      </c>
      <c r="M32" s="567">
        <f t="shared" si="6"/>
        <v>0</v>
      </c>
      <c r="O32" s="415" t="s">
        <v>1295</v>
      </c>
      <c r="P32" s="416"/>
      <c r="Q32" s="577">
        <f>Input!$SQ$36</f>
        <v>491784982</v>
      </c>
      <c r="R32" s="578"/>
      <c r="T32" s="560"/>
      <c r="U32" s="266"/>
      <c r="V32" s="266"/>
      <c r="X32" s="425"/>
      <c r="Z32" s="330"/>
    </row>
    <row r="33" spans="1:24" s="264" customFormat="1">
      <c r="A33" s="263"/>
      <c r="B33" s="261" t="s">
        <v>723</v>
      </c>
      <c r="C33" s="261"/>
      <c r="D33" s="372">
        <f>Input!$FA$36</f>
        <v>0</v>
      </c>
      <c r="E33" s="372">
        <f>Input!$FB$36</f>
        <v>0</v>
      </c>
      <c r="F33" s="372">
        <f>Input!$FC$36</f>
        <v>0</v>
      </c>
      <c r="G33" s="372">
        <f>Input!$FD$36</f>
        <v>0</v>
      </c>
      <c r="H33" s="372">
        <f>Input!$FE$36</f>
        <v>0</v>
      </c>
      <c r="I33" s="372">
        <f>Input!$FF$36</f>
        <v>0</v>
      </c>
      <c r="J33" s="372">
        <f>Input!$FG$36</f>
        <v>0</v>
      </c>
      <c r="K33" s="372">
        <f>Input!$FH$36</f>
        <v>0</v>
      </c>
      <c r="L33" s="372">
        <f>Input!$FI$36</f>
        <v>0</v>
      </c>
      <c r="M33" s="567">
        <f t="shared" si="6"/>
        <v>0</v>
      </c>
      <c r="O33" s="415"/>
      <c r="P33" s="416"/>
      <c r="Q33" s="327"/>
      <c r="R33" s="578"/>
      <c r="T33" s="560" t="s">
        <v>1051</v>
      </c>
      <c r="U33" s="266"/>
      <c r="V33" s="266"/>
      <c r="W33" s="334">
        <f>(M19+M32)*-1</f>
        <v>25644131</v>
      </c>
      <c r="X33" s="425"/>
    </row>
    <row r="34" spans="1:24" s="264" customFormat="1">
      <c r="A34" s="263"/>
      <c r="B34" s="261" t="s">
        <v>724</v>
      </c>
      <c r="C34" s="261"/>
      <c r="D34" s="372">
        <f>Input!$FJ$36</f>
        <v>0</v>
      </c>
      <c r="E34" s="372">
        <f>Input!$FK$36</f>
        <v>0</v>
      </c>
      <c r="F34" s="372">
        <f>Input!$FL$36</f>
        <v>0</v>
      </c>
      <c r="G34" s="372">
        <f>Input!$FM$36</f>
        <v>0</v>
      </c>
      <c r="H34" s="372">
        <f>Input!$FN$36</f>
        <v>0</v>
      </c>
      <c r="I34" s="372">
        <f>Input!$FO$36</f>
        <v>0</v>
      </c>
      <c r="J34" s="372">
        <f>Input!$FP$36</f>
        <v>0</v>
      </c>
      <c r="K34" s="372">
        <f>Input!$FQ$36</f>
        <v>0</v>
      </c>
      <c r="L34" s="372">
        <f>Input!$FR$36</f>
        <v>0</v>
      </c>
      <c r="M34" s="567">
        <f t="shared" si="6"/>
        <v>0</v>
      </c>
      <c r="O34" s="435" t="s">
        <v>1296</v>
      </c>
      <c r="P34" s="436"/>
      <c r="Q34" s="264" t="s">
        <v>291</v>
      </c>
      <c r="R34" s="648">
        <f>Input!$SR$36</f>
        <v>-128260331</v>
      </c>
      <c r="T34" s="560" t="s">
        <v>1110</v>
      </c>
      <c r="U34" s="266"/>
      <c r="V34" s="266"/>
      <c r="W34" s="430">
        <f>(M24+M37)*-1</f>
        <v>0</v>
      </c>
      <c r="X34" s="425"/>
    </row>
    <row r="35" spans="1:24" s="264" customFormat="1" ht="13.5" thickBot="1">
      <c r="A35" s="263"/>
      <c r="B35" s="261" t="s">
        <v>725</v>
      </c>
      <c r="C35" s="261"/>
      <c r="D35" s="372">
        <f>Input!$FS$36</f>
        <v>0</v>
      </c>
      <c r="E35" s="372">
        <f>Input!$FT$36</f>
        <v>0</v>
      </c>
      <c r="F35" s="372">
        <f>Input!$FU$36</f>
        <v>0</v>
      </c>
      <c r="G35" s="372">
        <f>Input!$FV$36</f>
        <v>0</v>
      </c>
      <c r="H35" s="372">
        <f>Input!$FW$36</f>
        <v>0</v>
      </c>
      <c r="I35" s="372">
        <f>Input!$FX$36</f>
        <v>0</v>
      </c>
      <c r="J35" s="372">
        <f>Input!$FY$36</f>
        <v>0</v>
      </c>
      <c r="K35" s="372">
        <f>Input!$FZ$36</f>
        <v>0</v>
      </c>
      <c r="L35" s="372">
        <f>Input!$GA$36</f>
        <v>0</v>
      </c>
      <c r="M35" s="567">
        <f t="shared" si="6"/>
        <v>0</v>
      </c>
      <c r="O35" s="418" t="s">
        <v>286</v>
      </c>
      <c r="P35" s="419"/>
      <c r="Q35" s="420">
        <f>Q30-Q32</f>
        <v>0</v>
      </c>
      <c r="R35" s="649">
        <f>R30-R34</f>
        <v>0</v>
      </c>
      <c r="T35" s="650" t="s">
        <v>1111</v>
      </c>
      <c r="U35" s="584"/>
      <c r="V35" s="584"/>
      <c r="W35" s="656">
        <f>SUM(W33:W34)</f>
        <v>25644131</v>
      </c>
      <c r="X35" s="655"/>
    </row>
    <row r="36" spans="1:24" s="264" customFormat="1" ht="13.5" thickTop="1">
      <c r="A36" s="263"/>
      <c r="B36" s="558" t="s">
        <v>732</v>
      </c>
      <c r="C36" s="563"/>
      <c r="D36" s="564">
        <f>Input!$GB$36</f>
        <v>391881</v>
      </c>
      <c r="E36" s="564">
        <f>Input!$GC$36</f>
        <v>127878370</v>
      </c>
      <c r="F36" s="564">
        <f>Input!$GD$36</f>
        <v>17637071</v>
      </c>
      <c r="G36" s="564">
        <f>Input!$GE$36</f>
        <v>0</v>
      </c>
      <c r="H36" s="564">
        <f>Input!$GF$36</f>
        <v>0</v>
      </c>
      <c r="I36" s="564">
        <f>Input!$GG$36</f>
        <v>0</v>
      </c>
      <c r="J36" s="564">
        <f>Input!$GH$36</f>
        <v>0</v>
      </c>
      <c r="K36" s="564">
        <f>Input!$GI$36</f>
        <v>0</v>
      </c>
      <c r="L36" s="564">
        <f>Input!$GJ$36</f>
        <v>0</v>
      </c>
      <c r="M36" s="565">
        <f t="shared" si="6"/>
        <v>145907322</v>
      </c>
      <c r="O36" s="261"/>
      <c r="Q36" s="412" t="str">
        <f>IF(Q30&lt;&gt;Q32,"Out of Balance","Balanced")</f>
        <v>Balanced</v>
      </c>
      <c r="R36" s="412" t="str">
        <f>IF(R30&lt;&gt;R34,"Out of Balance","Balanced")</f>
        <v>Balanced</v>
      </c>
      <c r="T36" s="560" t="s">
        <v>1053</v>
      </c>
      <c r="U36" s="266"/>
      <c r="V36" s="266"/>
      <c r="W36" s="334">
        <f>(M20+M33)*-1</f>
        <v>1510689</v>
      </c>
      <c r="X36" s="425"/>
    </row>
    <row r="37" spans="1:24" s="264" customFormat="1">
      <c r="A37" s="263"/>
      <c r="B37" s="261" t="s">
        <v>727</v>
      </c>
      <c r="C37" s="566"/>
      <c r="D37" s="372">
        <f>Input!$GK$36</f>
        <v>0</v>
      </c>
      <c r="E37" s="372">
        <f>Input!$GL$36</f>
        <v>0</v>
      </c>
      <c r="F37" s="372">
        <f>Input!$GM$36</f>
        <v>0</v>
      </c>
      <c r="G37" s="372">
        <f>Input!$GN$36</f>
        <v>0</v>
      </c>
      <c r="H37" s="372">
        <f>Input!$GO$36</f>
        <v>0</v>
      </c>
      <c r="I37" s="372">
        <f>Input!$GP$36</f>
        <v>0</v>
      </c>
      <c r="J37" s="372">
        <f>Input!$GQ$36</f>
        <v>0</v>
      </c>
      <c r="K37" s="372">
        <f>Input!$GR$36</f>
        <v>0</v>
      </c>
      <c r="L37" s="372">
        <f>Input!$GS$36</f>
        <v>0</v>
      </c>
      <c r="M37" s="567">
        <f t="shared" si="6"/>
        <v>0</v>
      </c>
      <c r="O37" s="261"/>
      <c r="T37" s="560" t="s">
        <v>1112</v>
      </c>
      <c r="U37" s="266"/>
      <c r="V37" s="266"/>
      <c r="W37" s="430">
        <f>(M25+M38)*-1</f>
        <v>0</v>
      </c>
      <c r="X37" s="655"/>
    </row>
    <row r="38" spans="1:24" s="264" customFormat="1">
      <c r="A38" s="263"/>
      <c r="B38" s="261" t="s">
        <v>728</v>
      </c>
      <c r="C38" s="566"/>
      <c r="D38" s="372">
        <f>Input!$GT$36</f>
        <v>0</v>
      </c>
      <c r="E38" s="372">
        <f>Input!$GU$36</f>
        <v>0</v>
      </c>
      <c r="F38" s="372">
        <f>Input!$GV$36</f>
        <v>0</v>
      </c>
      <c r="G38" s="372">
        <f>Input!$GW$36</f>
        <v>0</v>
      </c>
      <c r="H38" s="372">
        <f>Input!$GX$36</f>
        <v>0</v>
      </c>
      <c r="I38" s="372">
        <f>Input!$GY$36</f>
        <v>0</v>
      </c>
      <c r="J38" s="372">
        <f>Input!$GZ$36</f>
        <v>0</v>
      </c>
      <c r="K38" s="372">
        <f>Input!$HA$36</f>
        <v>0</v>
      </c>
      <c r="L38" s="372">
        <f>Input!$HB$36</f>
        <v>0</v>
      </c>
      <c r="M38" s="567">
        <f t="shared" si="6"/>
        <v>0</v>
      </c>
      <c r="O38" s="261"/>
      <c r="T38" s="650" t="s">
        <v>1113</v>
      </c>
      <c r="U38" s="584"/>
      <c r="V38" s="584"/>
      <c r="W38" s="656">
        <f>SUM(W36:W37)</f>
        <v>1510689</v>
      </c>
      <c r="X38" s="425"/>
    </row>
    <row r="39" spans="1:24" s="264" customFormat="1">
      <c r="A39" s="263"/>
      <c r="B39" s="261" t="s">
        <v>729</v>
      </c>
      <c r="C39" s="566"/>
      <c r="D39" s="372">
        <f>Input!$HC$36</f>
        <v>0</v>
      </c>
      <c r="E39" s="372">
        <f>Input!$HD$36</f>
        <v>0</v>
      </c>
      <c r="F39" s="372">
        <f>Input!$HE$36</f>
        <v>0</v>
      </c>
      <c r="G39" s="372">
        <f>Input!$HF$36</f>
        <v>0</v>
      </c>
      <c r="H39" s="372">
        <f>Input!$HG$36</f>
        <v>0</v>
      </c>
      <c r="I39" s="372">
        <f>Input!$HH$36</f>
        <v>0</v>
      </c>
      <c r="J39" s="372">
        <f>Input!$HI$36</f>
        <v>0</v>
      </c>
      <c r="K39" s="372">
        <f>Input!$HJ$36</f>
        <v>0</v>
      </c>
      <c r="L39" s="372">
        <f>Input!$HK$36</f>
        <v>0</v>
      </c>
      <c r="M39" s="567">
        <f t="shared" si="6"/>
        <v>0</v>
      </c>
      <c r="O39" s="261"/>
      <c r="T39" s="560" t="s">
        <v>1054</v>
      </c>
      <c r="U39" s="266"/>
      <c r="V39" s="266"/>
      <c r="W39" s="334"/>
      <c r="X39" s="425">
        <f>W38+W35</f>
        <v>27154820</v>
      </c>
    </row>
    <row r="40" spans="1:24" s="264" customFormat="1">
      <c r="A40" s="263"/>
      <c r="B40" s="261" t="s">
        <v>730</v>
      </c>
      <c r="C40" s="566"/>
      <c r="D40" s="372">
        <f>Input!$HL$36</f>
        <v>0</v>
      </c>
      <c r="E40" s="372">
        <f>Input!$HM$36</f>
        <v>0</v>
      </c>
      <c r="F40" s="372">
        <f>Input!$HN$36</f>
        <v>0</v>
      </c>
      <c r="G40" s="372">
        <f>Input!$HO$36</f>
        <v>0</v>
      </c>
      <c r="H40" s="372">
        <f>Input!$HP$36</f>
        <v>0</v>
      </c>
      <c r="I40" s="372">
        <f>Input!$HQ$36</f>
        <v>0</v>
      </c>
      <c r="J40" s="372">
        <f>Input!$HR$36</f>
        <v>0</v>
      </c>
      <c r="K40" s="372">
        <f>Input!$HS$36</f>
        <v>0</v>
      </c>
      <c r="L40" s="372">
        <f>Input!$HT$36</f>
        <v>0</v>
      </c>
      <c r="M40" s="567">
        <f t="shared" si="6"/>
        <v>0</v>
      </c>
      <c r="O40" s="261"/>
      <c r="T40" s="560"/>
      <c r="U40" s="261"/>
      <c r="V40" s="261"/>
      <c r="W40" s="261"/>
      <c r="X40" s="655"/>
    </row>
    <row r="41" spans="1:24" s="264" customFormat="1">
      <c r="A41" s="263"/>
      <c r="B41" s="261" t="s">
        <v>2133</v>
      </c>
      <c r="C41" s="566"/>
      <c r="D41" s="372">
        <f>Input!$HU$36</f>
        <v>0</v>
      </c>
      <c r="E41" s="372">
        <f>Input!$HV$36</f>
        <v>-93987592</v>
      </c>
      <c r="F41" s="372">
        <f>Input!$HW$36</f>
        <v>-463035</v>
      </c>
      <c r="G41" s="372">
        <f>Input!$HX$36</f>
        <v>0</v>
      </c>
      <c r="H41" s="372">
        <f>Input!$HY$36</f>
        <v>0</v>
      </c>
      <c r="I41" s="372">
        <f>Input!$HZ$36</f>
        <v>0</v>
      </c>
      <c r="J41" s="372">
        <f>Input!$IA$36</f>
        <v>0</v>
      </c>
      <c r="K41" s="372">
        <f>Input!$IB$36</f>
        <v>0</v>
      </c>
      <c r="L41" s="372">
        <f>Input!$IC$36</f>
        <v>0</v>
      </c>
      <c r="M41" s="567">
        <f t="shared" si="6"/>
        <v>-94450627</v>
      </c>
      <c r="O41"/>
      <c r="P41"/>
      <c r="Q41"/>
      <c r="R41"/>
      <c r="S41"/>
      <c r="T41" s="560" t="s">
        <v>1104</v>
      </c>
      <c r="U41" s="266"/>
      <c r="V41" s="266"/>
      <c r="W41" s="330">
        <f>(M21+M34)*-1</f>
        <v>21164253</v>
      </c>
      <c r="X41" s="425"/>
    </row>
    <row r="42" spans="1:24" s="264" customFormat="1">
      <c r="A42" s="263"/>
      <c r="B42" s="575" t="s">
        <v>40</v>
      </c>
      <c r="C42" s="563"/>
      <c r="D42" s="374">
        <f t="shared" ref="D42:L42" si="7">SUM(D36:D41)</f>
        <v>391881</v>
      </c>
      <c r="E42" s="374">
        <f t="shared" si="7"/>
        <v>33890778</v>
      </c>
      <c r="F42" s="374">
        <f t="shared" si="7"/>
        <v>17174036</v>
      </c>
      <c r="G42" s="374">
        <f t="shared" si="7"/>
        <v>0</v>
      </c>
      <c r="H42" s="374">
        <f t="shared" si="7"/>
        <v>0</v>
      </c>
      <c r="I42" s="374">
        <f t="shared" si="7"/>
        <v>0</v>
      </c>
      <c r="J42" s="374">
        <f t="shared" si="7"/>
        <v>0</v>
      </c>
      <c r="K42" s="374">
        <f t="shared" si="7"/>
        <v>0</v>
      </c>
      <c r="L42" s="374">
        <f t="shared" si="7"/>
        <v>0</v>
      </c>
      <c r="M42" s="374">
        <f t="shared" si="6"/>
        <v>51456695</v>
      </c>
      <c r="O42"/>
      <c r="P42"/>
      <c r="Q42"/>
      <c r="R42"/>
      <c r="S42"/>
      <c r="T42" s="560" t="s">
        <v>1107</v>
      </c>
      <c r="U42" s="266"/>
      <c r="V42" s="266"/>
      <c r="W42" s="430">
        <f>(M22+M35)*-1</f>
        <v>3897437</v>
      </c>
      <c r="X42" s="425"/>
    </row>
    <row r="43" spans="1:24" s="264" customFormat="1">
      <c r="A43" s="263"/>
      <c r="B43" s="261"/>
      <c r="C43" s="566"/>
      <c r="D43" s="566"/>
      <c r="E43" s="566"/>
      <c r="F43" s="566"/>
      <c r="G43" s="566"/>
      <c r="H43" s="566"/>
      <c r="I43" s="566"/>
      <c r="J43" s="566"/>
      <c r="K43" s="566"/>
      <c r="L43" s="566"/>
      <c r="M43" s="567"/>
      <c r="O43"/>
      <c r="P43"/>
      <c r="Q43"/>
      <c r="R43"/>
      <c r="S43"/>
      <c r="T43" s="650" t="s">
        <v>1114</v>
      </c>
      <c r="U43" s="584"/>
      <c r="V43" s="584"/>
      <c r="W43" s="656">
        <f>SUM(W41:W42)</f>
        <v>25061690</v>
      </c>
      <c r="X43" s="655"/>
    </row>
    <row r="44" spans="1:24" s="264" customFormat="1" ht="13.5" customHeight="1">
      <c r="A44" s="263"/>
      <c r="B44" s="575" t="s">
        <v>1055</v>
      </c>
      <c r="C44" s="563"/>
      <c r="D44" s="374">
        <f t="shared" ref="D44:L44" si="8">D42+D29</f>
        <v>61178752</v>
      </c>
      <c r="E44" s="374">
        <f t="shared" si="8"/>
        <v>285171863</v>
      </c>
      <c r="F44" s="374">
        <f t="shared" si="8"/>
        <v>17174036</v>
      </c>
      <c r="G44" s="374">
        <f t="shared" si="8"/>
        <v>0</v>
      </c>
      <c r="H44" s="374">
        <f t="shared" si="8"/>
        <v>0</v>
      </c>
      <c r="I44" s="374">
        <f t="shared" si="8"/>
        <v>0</v>
      </c>
      <c r="J44" s="374">
        <f t="shared" si="8"/>
        <v>0</v>
      </c>
      <c r="K44" s="374">
        <f t="shared" si="8"/>
        <v>0</v>
      </c>
      <c r="L44" s="374">
        <f t="shared" si="8"/>
        <v>0</v>
      </c>
      <c r="M44" s="374">
        <f>D44+E44+F44+G44+H44+I44+J44+K44+L44</f>
        <v>363524651</v>
      </c>
      <c r="O44"/>
      <c r="P44"/>
      <c r="Q44"/>
      <c r="R44"/>
      <c r="S44"/>
      <c r="T44" s="560"/>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0"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0" t="s">
        <v>1112</v>
      </c>
      <c r="U46" s="266"/>
      <c r="V46" s="266"/>
      <c r="W46" s="430">
        <f>(M25+M38)*-1</f>
        <v>0</v>
      </c>
      <c r="X46" s="425"/>
    </row>
    <row r="47" spans="1:24">
      <c r="A47" s="184">
        <v>30</v>
      </c>
      <c r="B47" s="176" t="s">
        <v>7</v>
      </c>
      <c r="C47" s="176"/>
      <c r="D47" s="375">
        <f>Input!$ID$36</f>
        <v>4751188</v>
      </c>
      <c r="E47" s="375">
        <f>Input!$IE$36</f>
        <v>62620</v>
      </c>
      <c r="F47" s="375">
        <f>Input!$IF$36</f>
        <v>0</v>
      </c>
      <c r="G47" s="375">
        <f>Input!$IG$36</f>
        <v>160693009</v>
      </c>
      <c r="H47" s="375">
        <f>Input!$IH$36</f>
        <v>0</v>
      </c>
      <c r="I47" s="375">
        <f>Input!$II$36</f>
        <v>0</v>
      </c>
      <c r="J47" s="375">
        <f>Input!$IJ$36</f>
        <v>0</v>
      </c>
      <c r="K47" s="375">
        <f>Input!$IK$36</f>
        <v>0</v>
      </c>
      <c r="L47" s="375">
        <f>Input!$IL$36</f>
        <v>0</v>
      </c>
      <c r="M47" s="374">
        <f>D47+E47+F47+G47+H47+I47+J47+K47+L47</f>
        <v>165506817</v>
      </c>
      <c r="N47" s="160"/>
      <c r="O47"/>
      <c r="P47"/>
      <c r="Q47"/>
      <c r="R47"/>
      <c r="S47"/>
      <c r="T47" s="657" t="s">
        <v>1115</v>
      </c>
      <c r="U47" s="27"/>
      <c r="V47" s="27"/>
      <c r="W47" s="656">
        <f>SUM(W45:W46)</f>
        <v>0</v>
      </c>
      <c r="X47" s="655"/>
    </row>
    <row r="48" spans="1:24">
      <c r="A48" s="184">
        <v>31</v>
      </c>
      <c r="B48" s="160"/>
      <c r="C48" s="160"/>
      <c r="D48" s="373"/>
      <c r="E48" s="373"/>
      <c r="F48" s="373"/>
      <c r="G48" s="373"/>
      <c r="H48" s="373"/>
      <c r="I48" s="373"/>
      <c r="J48" s="373"/>
      <c r="K48" s="373"/>
      <c r="L48" s="373"/>
      <c r="M48" s="373"/>
      <c r="N48" s="160"/>
      <c r="O48"/>
      <c r="P48"/>
      <c r="Q48"/>
      <c r="R48"/>
      <c r="S48"/>
      <c r="T48" s="560"/>
      <c r="U48" s="261"/>
      <c r="V48" s="261"/>
      <c r="W48" s="261"/>
      <c r="X48" s="658">
        <f>W43-W47</f>
        <v>25061690</v>
      </c>
    </row>
    <row r="49" spans="1:28">
      <c r="A49" s="184">
        <v>32</v>
      </c>
      <c r="B49" s="172" t="s">
        <v>8</v>
      </c>
      <c r="C49" s="172"/>
      <c r="D49" s="373"/>
      <c r="E49" s="373"/>
      <c r="F49" s="373"/>
      <c r="G49" s="373"/>
      <c r="H49" s="373"/>
      <c r="I49" s="373"/>
      <c r="J49" s="373"/>
      <c r="K49" s="373"/>
      <c r="L49" s="373"/>
      <c r="M49" s="373"/>
      <c r="N49" s="160"/>
      <c r="O49" s="273"/>
      <c r="T49" s="579" t="s">
        <v>287</v>
      </c>
      <c r="U49" s="511"/>
      <c r="V49" s="580"/>
      <c r="W49" s="580"/>
      <c r="X49" s="574">
        <f>SUM(X23:X48)</f>
        <v>544001492</v>
      </c>
    </row>
    <row r="50" spans="1:28">
      <c r="A50" s="184">
        <v>33</v>
      </c>
      <c r="B50" s="160" t="s">
        <v>42</v>
      </c>
      <c r="C50" s="160"/>
      <c r="D50" s="372">
        <f>Input!$IM$36</f>
        <v>132081</v>
      </c>
      <c r="E50" s="372">
        <f>Input!$IN$36</f>
        <v>9414541</v>
      </c>
      <c r="F50" s="372">
        <f>Input!$IO$36</f>
        <v>5435</v>
      </c>
      <c r="G50" s="372">
        <f>Input!$IP$36</f>
        <v>15912288</v>
      </c>
      <c r="H50" s="372">
        <f>Input!$IQ$36</f>
        <v>1323897</v>
      </c>
      <c r="I50" s="372">
        <f>Input!$IR$36</f>
        <v>3340270</v>
      </c>
      <c r="J50" s="372">
        <f>Input!$IS$36</f>
        <v>0</v>
      </c>
      <c r="K50" s="372">
        <f>Input!$IT$36</f>
        <v>0</v>
      </c>
      <c r="L50" s="372">
        <f>Input!$IU$36</f>
        <v>0</v>
      </c>
      <c r="M50" s="373">
        <f t="shared" ref="M50:M57" si="9">D50+E50+F50+G50+H50+I50+J50+K50+L50</f>
        <v>30128512</v>
      </c>
      <c r="N50" s="160"/>
      <c r="O50" s="273"/>
      <c r="U50" s="275"/>
    </row>
    <row r="51" spans="1:28">
      <c r="A51" s="184">
        <v>34</v>
      </c>
      <c r="B51" s="160" t="s">
        <v>9</v>
      </c>
      <c r="C51" s="160"/>
      <c r="D51" s="372">
        <f>Input!$IV$36</f>
        <v>0</v>
      </c>
      <c r="E51" s="372">
        <f>Input!$IW$36</f>
        <v>20000</v>
      </c>
      <c r="F51" s="372">
        <f>Input!$IX$36</f>
        <v>0</v>
      </c>
      <c r="G51" s="372">
        <f>Input!$IY$36</f>
        <v>567381</v>
      </c>
      <c r="H51" s="372">
        <f>Input!$IZ$36</f>
        <v>0</v>
      </c>
      <c r="I51" s="372">
        <f>Input!$JA$36</f>
        <v>0</v>
      </c>
      <c r="J51" s="372">
        <f>Input!$JB$36</f>
        <v>0</v>
      </c>
      <c r="K51" s="372">
        <f>Input!$JC$36</f>
        <v>0</v>
      </c>
      <c r="L51" s="372">
        <f>Input!$JD$36</f>
        <v>0</v>
      </c>
      <c r="M51" s="376">
        <f t="shared" si="9"/>
        <v>587381</v>
      </c>
      <c r="N51" s="160"/>
      <c r="Y51" s="277"/>
    </row>
    <row r="52" spans="1:28">
      <c r="A52" s="184">
        <v>35</v>
      </c>
      <c r="B52" s="160" t="s">
        <v>10</v>
      </c>
      <c r="C52" s="160"/>
      <c r="D52" s="372">
        <f>Input!$JE$36</f>
        <v>0</v>
      </c>
      <c r="E52" s="372">
        <f>Input!$JF$36</f>
        <v>0</v>
      </c>
      <c r="F52" s="372">
        <f>Input!$JG$36</f>
        <v>0</v>
      </c>
      <c r="G52" s="372">
        <f>Input!$JH$36</f>
        <v>3948553</v>
      </c>
      <c r="H52" s="372">
        <f>Input!$JI$36</f>
        <v>0</v>
      </c>
      <c r="I52" s="372">
        <f>Input!$JJ$36</f>
        <v>0</v>
      </c>
      <c r="J52" s="372">
        <f>Input!$JK$36</f>
        <v>0</v>
      </c>
      <c r="K52" s="372">
        <f>Input!$JL$36</f>
        <v>0</v>
      </c>
      <c r="L52" s="372">
        <f>Input!$JM$36</f>
        <v>0</v>
      </c>
      <c r="M52" s="373">
        <f t="shared" si="9"/>
        <v>3948553</v>
      </c>
      <c r="N52" s="160"/>
      <c r="O52" s="273"/>
      <c r="P52" s="278"/>
    </row>
    <row r="53" spans="1:28">
      <c r="A53" s="184">
        <v>36</v>
      </c>
      <c r="B53" s="160" t="s">
        <v>11</v>
      </c>
      <c r="C53" s="160"/>
      <c r="D53" s="372">
        <f>Input!$JN$36</f>
        <v>101181</v>
      </c>
      <c r="E53" s="372">
        <f>Input!$JO$36</f>
        <v>14870538</v>
      </c>
      <c r="F53" s="372">
        <f>Input!$JP$36</f>
        <v>0</v>
      </c>
      <c r="G53" s="372">
        <f>Input!$JQ$36</f>
        <v>1815931</v>
      </c>
      <c r="H53" s="372">
        <f>Input!$JR$36</f>
        <v>-147279</v>
      </c>
      <c r="I53" s="372">
        <f>Input!$JS$36</f>
        <v>0</v>
      </c>
      <c r="J53" s="372">
        <f>Input!$JT$36</f>
        <v>0</v>
      </c>
      <c r="K53" s="372">
        <f>Input!$JU$36</f>
        <v>0</v>
      </c>
      <c r="L53" s="372">
        <f>Input!$JV$36</f>
        <v>0</v>
      </c>
      <c r="M53" s="373">
        <f t="shared" si="9"/>
        <v>16640371</v>
      </c>
      <c r="N53" s="160"/>
      <c r="O53" s="273"/>
    </row>
    <row r="54" spans="1:28" ht="13.5" thickBot="1">
      <c r="A54" s="184">
        <v>37</v>
      </c>
      <c r="B54" s="177" t="s">
        <v>2134</v>
      </c>
      <c r="C54" s="177"/>
      <c r="D54" s="372">
        <f>Input!$JW$36</f>
        <v>0</v>
      </c>
      <c r="E54" s="372">
        <f>Input!$JX$36</f>
        <v>0</v>
      </c>
      <c r="F54" s="372">
        <f>Input!$JY$36</f>
        <v>58331292</v>
      </c>
      <c r="G54" s="372">
        <f>Input!$JZ$36</f>
        <v>0</v>
      </c>
      <c r="H54" s="372">
        <f>Input!$KA$36</f>
        <v>0</v>
      </c>
      <c r="I54" s="372">
        <f>Input!$KB$36</f>
        <v>0</v>
      </c>
      <c r="J54" s="372">
        <f>Input!$KC$36</f>
        <v>0</v>
      </c>
      <c r="K54" s="372">
        <f>Input!$KD$36</f>
        <v>0</v>
      </c>
      <c r="L54" s="372">
        <f>Input!$KE$36</f>
        <v>0</v>
      </c>
      <c r="M54" s="373">
        <f t="shared" si="9"/>
        <v>58331292</v>
      </c>
      <c r="N54" s="160"/>
      <c r="O54" s="273"/>
    </row>
    <row r="55" spans="1:28" ht="14.25" thickTop="1" thickBot="1">
      <c r="A55" s="184">
        <v>38</v>
      </c>
      <c r="B55" s="160" t="s">
        <v>43</v>
      </c>
      <c r="C55" s="160"/>
      <c r="D55" s="372">
        <f>Input!$KF$36</f>
        <v>67663</v>
      </c>
      <c r="E55" s="372">
        <f>Input!$KG$36</f>
        <v>1647131</v>
      </c>
      <c r="F55" s="372">
        <f>Input!$KH$36</f>
        <v>4781</v>
      </c>
      <c r="G55" s="372">
        <f>Input!$KI$36</f>
        <v>60934</v>
      </c>
      <c r="H55" s="372">
        <f>Input!$KJ$36</f>
        <v>46484</v>
      </c>
      <c r="I55" s="372">
        <f>Input!$KK$36</f>
        <v>0</v>
      </c>
      <c r="J55" s="372">
        <f>Input!$KL$36</f>
        <v>0</v>
      </c>
      <c r="K55" s="372">
        <f>Input!$KM$36</f>
        <v>0</v>
      </c>
      <c r="L55" s="372">
        <f>Input!$KN$36</f>
        <v>-180872</v>
      </c>
      <c r="M55" s="373">
        <f t="shared" si="9"/>
        <v>1646121</v>
      </c>
      <c r="N55" s="160"/>
      <c r="O55" s="1616" t="s">
        <v>251</v>
      </c>
      <c r="P55" s="1617"/>
      <c r="Q55" s="1617"/>
      <c r="R55" s="1618"/>
      <c r="S55" s="437"/>
      <c r="T55" s="1619" t="s">
        <v>252</v>
      </c>
      <c r="U55" s="1620"/>
      <c r="V55" s="1620"/>
      <c r="W55" s="1620"/>
      <c r="X55" s="1621"/>
      <c r="Y55" s="320"/>
      <c r="Z55" s="1749" t="s">
        <v>1301</v>
      </c>
      <c r="AA55" s="1750"/>
      <c r="AB55" s="1751"/>
    </row>
    <row r="56" spans="1:28" ht="13.5" customHeight="1" thickTop="1">
      <c r="A56" s="184">
        <v>39</v>
      </c>
      <c r="B56" s="176" t="s">
        <v>3</v>
      </c>
      <c r="C56" s="176"/>
      <c r="D56" s="374">
        <f>SUM(D50:D55)</f>
        <v>300925</v>
      </c>
      <c r="E56" s="374">
        <f t="shared" ref="E56:L56" si="10">SUM(E50:E55)</f>
        <v>25952210</v>
      </c>
      <c r="F56" s="374">
        <f t="shared" si="10"/>
        <v>58341508</v>
      </c>
      <c r="G56" s="374">
        <f t="shared" si="10"/>
        <v>22305087</v>
      </c>
      <c r="H56" s="374">
        <f t="shared" si="10"/>
        <v>1223102</v>
      </c>
      <c r="I56" s="374">
        <f t="shared" si="10"/>
        <v>3340270</v>
      </c>
      <c r="J56" s="374">
        <f t="shared" si="10"/>
        <v>0</v>
      </c>
      <c r="K56" s="374">
        <f t="shared" si="10"/>
        <v>0</v>
      </c>
      <c r="L56" s="374">
        <f t="shared" si="10"/>
        <v>-180872</v>
      </c>
      <c r="M56" s="374">
        <f t="shared" si="9"/>
        <v>111282230</v>
      </c>
      <c r="N56" s="160"/>
      <c r="O56" s="1622" t="s">
        <v>1135</v>
      </c>
      <c r="P56" s="1625" t="s">
        <v>254</v>
      </c>
      <c r="Q56" s="1625" t="s">
        <v>292</v>
      </c>
      <c r="R56" s="1628" t="s">
        <v>1063</v>
      </c>
      <c r="S56" s="280"/>
      <c r="T56" s="1739" t="s">
        <v>1136</v>
      </c>
      <c r="U56" s="1637" t="s">
        <v>254</v>
      </c>
      <c r="V56" s="1634" t="s">
        <v>256</v>
      </c>
      <c r="W56" s="1637" t="s">
        <v>257</v>
      </c>
      <c r="X56" s="1638" t="s">
        <v>1064</v>
      </c>
      <c r="Z56" s="1754" t="s">
        <v>1302</v>
      </c>
      <c r="AA56" s="1747" t="s">
        <v>1303</v>
      </c>
      <c r="AB56" s="1752" t="s">
        <v>238</v>
      </c>
    </row>
    <row r="57" spans="1:28">
      <c r="A57" s="184">
        <v>40</v>
      </c>
      <c r="B57" s="162" t="s">
        <v>68</v>
      </c>
      <c r="C57" s="162"/>
      <c r="D57" s="374">
        <f>D15+D44+D47+D56</f>
        <v>263173575</v>
      </c>
      <c r="E57" s="374">
        <f t="shared" ref="E57:L57" si="11">E15+E44+E47+E56</f>
        <v>314533503</v>
      </c>
      <c r="F57" s="374">
        <f t="shared" si="11"/>
        <v>75515544</v>
      </c>
      <c r="G57" s="374">
        <f t="shared" si="11"/>
        <v>186701652</v>
      </c>
      <c r="H57" s="374">
        <f t="shared" si="11"/>
        <v>1223102</v>
      </c>
      <c r="I57" s="374">
        <f t="shared" si="11"/>
        <v>3340270</v>
      </c>
      <c r="J57" s="374">
        <f t="shared" si="11"/>
        <v>0</v>
      </c>
      <c r="K57" s="374">
        <f t="shared" si="11"/>
        <v>0</v>
      </c>
      <c r="L57" s="374">
        <f t="shared" si="11"/>
        <v>-180872</v>
      </c>
      <c r="M57" s="374">
        <f t="shared" si="9"/>
        <v>844306774</v>
      </c>
      <c r="N57" s="160"/>
      <c r="O57" s="1623"/>
      <c r="P57" s="1626"/>
      <c r="Q57" s="1626"/>
      <c r="R57" s="1629"/>
      <c r="S57" s="280"/>
      <c r="T57" s="1740"/>
      <c r="U57" s="1626"/>
      <c r="V57" s="1635"/>
      <c r="W57" s="1626"/>
      <c r="X57" s="1639"/>
      <c r="Z57" s="1755"/>
      <c r="AA57" s="1747"/>
      <c r="AB57" s="1752"/>
    </row>
    <row r="58" spans="1:28">
      <c r="A58" s="184">
        <v>41</v>
      </c>
      <c r="B58" s="160"/>
      <c r="C58" s="160"/>
      <c r="D58" s="373"/>
      <c r="E58" s="373"/>
      <c r="F58" s="373"/>
      <c r="G58" s="373"/>
      <c r="H58" s="373"/>
      <c r="I58" s="373"/>
      <c r="J58" s="373"/>
      <c r="K58" s="373"/>
      <c r="L58" s="373"/>
      <c r="M58" s="373"/>
      <c r="N58" s="160"/>
      <c r="O58" s="1623"/>
      <c r="P58" s="1626"/>
      <c r="Q58" s="1626"/>
      <c r="R58" s="1629"/>
      <c r="S58" s="280"/>
      <c r="T58" s="1740"/>
      <c r="U58" s="1626"/>
      <c r="V58" s="1635"/>
      <c r="W58" s="1626"/>
      <c r="X58" s="1639"/>
      <c r="Z58" s="1755"/>
      <c r="AA58" s="1747"/>
      <c r="AB58" s="1752"/>
    </row>
    <row r="59" spans="1:28" ht="14.25" customHeight="1">
      <c r="A59" s="184">
        <v>42</v>
      </c>
      <c r="B59" s="174" t="s">
        <v>72</v>
      </c>
      <c r="C59" s="174"/>
      <c r="D59" s="377"/>
      <c r="E59" s="377"/>
      <c r="F59" s="377"/>
      <c r="G59" s="1746" t="str">
        <f>IF(OR(P105&gt;0,P106&lt;&gt;0,P107&lt;&gt;0),"Do not Enter Cents - Whole Dollars Only","")</f>
        <v/>
      </c>
      <c r="H59" s="1746"/>
      <c r="I59" s="1746"/>
      <c r="J59" s="1746"/>
      <c r="K59" s="1746"/>
      <c r="L59" s="377"/>
      <c r="M59" s="377"/>
      <c r="N59" s="160"/>
      <c r="O59" s="1624"/>
      <c r="P59" s="1627"/>
      <c r="Q59" s="1627"/>
      <c r="R59" s="1630"/>
      <c r="S59" s="280"/>
      <c r="T59" s="1741"/>
      <c r="U59" s="1627"/>
      <c r="V59" s="1636"/>
      <c r="W59" s="1627"/>
      <c r="X59" s="1640"/>
      <c r="Z59" s="1756"/>
      <c r="AA59" s="1748"/>
      <c r="AB59" s="1753"/>
    </row>
    <row r="60" spans="1:28" ht="13.5" thickBot="1">
      <c r="A60" s="184">
        <v>43</v>
      </c>
      <c r="B60" s="160" t="s">
        <v>14</v>
      </c>
      <c r="C60" s="160"/>
      <c r="D60" s="372">
        <f>Input!$KO$36</f>
        <v>81117782</v>
      </c>
      <c r="E60" s="372">
        <f>Input!$KP$36</f>
        <v>85461000</v>
      </c>
      <c r="F60" s="372">
        <f>Input!$KQ$36</f>
        <v>0</v>
      </c>
      <c r="G60" s="372">
        <f>Input!$KR$36</f>
        <v>8056571</v>
      </c>
      <c r="H60" s="372">
        <f>Input!$KS$36</f>
        <v>0</v>
      </c>
      <c r="I60" s="372">
        <f>Input!$KT$36</f>
        <v>0</v>
      </c>
      <c r="J60" s="372">
        <f>Input!$KU$36</f>
        <v>0</v>
      </c>
      <c r="K60" s="372">
        <f>Input!$KV$36</f>
        <v>0</v>
      </c>
      <c r="L60" s="372">
        <f>Input!$KW$36</f>
        <v>0</v>
      </c>
      <c r="M60" s="373">
        <f t="shared" ref="M60:M71" si="12">D60+E60+F60+G60+H60+I60+J60+K60+L60</f>
        <v>174635353</v>
      </c>
      <c r="N60" s="160"/>
      <c r="O60" s="282">
        <f>D60+E60+G60+J60</f>
        <v>174635353</v>
      </c>
      <c r="P60" s="518">
        <f>Input!$SS$36</f>
        <v>6370849</v>
      </c>
      <c r="Q60" s="438" t="s">
        <v>259</v>
      </c>
      <c r="R60" s="284">
        <f>SUM(O60:P60)</f>
        <v>181006202</v>
      </c>
      <c r="S60" s="439"/>
      <c r="T60" s="286">
        <f t="shared" ref="T60:T67" si="13">D60+E60+G60</f>
        <v>174635353</v>
      </c>
      <c r="U60" s="287">
        <f t="shared" ref="U60:U67" si="14">P60</f>
        <v>6370849</v>
      </c>
      <c r="V60" s="289">
        <f>Input!$TC$36</f>
        <v>0</v>
      </c>
      <c r="W60" s="289">
        <f>Input!$TK$36</f>
        <v>0</v>
      </c>
      <c r="X60" s="290">
        <f t="shared" ref="X60:X66" si="15">T60+U60-V60-W60</f>
        <v>181006202</v>
      </c>
      <c r="Z60" s="292" t="s">
        <v>14</v>
      </c>
      <c r="AA60" s="520">
        <f>Input!$TS$36</f>
        <v>174635353</v>
      </c>
      <c r="AB60" s="293">
        <f t="shared" ref="AB60:AB68" si="16">AA60-M60</f>
        <v>0</v>
      </c>
    </row>
    <row r="61" spans="1:28" ht="14.25" thickTop="1" thickBot="1">
      <c r="A61" s="184">
        <v>44</v>
      </c>
      <c r="B61" s="160" t="s">
        <v>15</v>
      </c>
      <c r="C61" s="160"/>
      <c r="D61" s="372">
        <f>Input!$KX$36</f>
        <v>25366674</v>
      </c>
      <c r="E61" s="372">
        <f>Input!$KY$36</f>
        <v>25480239</v>
      </c>
      <c r="F61" s="372">
        <f>Input!$KZ$36</f>
        <v>0</v>
      </c>
      <c r="G61" s="372">
        <f>Input!$LA$36</f>
        <v>19369157</v>
      </c>
      <c r="H61" s="372">
        <f>Input!$LB$36</f>
        <v>0</v>
      </c>
      <c r="I61" s="372">
        <f>Input!$LC$36</f>
        <v>0</v>
      </c>
      <c r="J61" s="372">
        <f>Input!$LD$36</f>
        <v>0</v>
      </c>
      <c r="K61" s="372">
        <f>Input!$LE$36</f>
        <v>0</v>
      </c>
      <c r="L61" s="372">
        <f>Input!$LF$36</f>
        <v>0</v>
      </c>
      <c r="M61" s="373">
        <f t="shared" si="12"/>
        <v>70216070</v>
      </c>
      <c r="N61" s="160"/>
      <c r="O61" s="440">
        <f t="shared" ref="O61:O67" si="17">D61+E61+G61+J61</f>
        <v>70216070</v>
      </c>
      <c r="P61" s="518">
        <f>Input!$ST$36</f>
        <v>4882630</v>
      </c>
      <c r="Q61" s="441" t="s">
        <v>259</v>
      </c>
      <c r="R61" s="295">
        <f>SUM(O61:P61)</f>
        <v>75098700</v>
      </c>
      <c r="S61" s="442"/>
      <c r="T61" s="296">
        <f t="shared" si="13"/>
        <v>70216070</v>
      </c>
      <c r="U61" s="297">
        <f t="shared" si="14"/>
        <v>4882630</v>
      </c>
      <c r="V61" s="299">
        <f>Input!$TD$36</f>
        <v>23478</v>
      </c>
      <c r="W61" s="299">
        <f>Input!$TL$36</f>
        <v>0</v>
      </c>
      <c r="X61" s="300">
        <f t="shared" si="15"/>
        <v>75075222</v>
      </c>
      <c r="Z61" s="292" t="s">
        <v>15</v>
      </c>
      <c r="AA61" s="518">
        <f>Input!$TT$36</f>
        <v>70216070</v>
      </c>
      <c r="AB61" s="301">
        <f t="shared" si="16"/>
        <v>0</v>
      </c>
    </row>
    <row r="62" spans="1:28" ht="13.5" thickTop="1">
      <c r="A62" s="184">
        <v>45</v>
      </c>
      <c r="B62" s="160" t="s">
        <v>16</v>
      </c>
      <c r="C62" s="160"/>
      <c r="D62" s="372">
        <f>Input!$LG$36</f>
        <v>224095</v>
      </c>
      <c r="E62" s="372">
        <f>Input!$LH$36</f>
        <v>3425353</v>
      </c>
      <c r="F62" s="372">
        <f>Input!$LI$36</f>
        <v>0</v>
      </c>
      <c r="G62" s="372">
        <f>Input!$LJ$36</f>
        <v>3841876</v>
      </c>
      <c r="H62" s="372">
        <f>Input!$LK$36</f>
        <v>0</v>
      </c>
      <c r="I62" s="372">
        <f>Input!$LL$36</f>
        <v>0</v>
      </c>
      <c r="J62" s="372">
        <f>Input!$LM$36</f>
        <v>0</v>
      </c>
      <c r="K62" s="372">
        <f>Input!$LN$36</f>
        <v>0</v>
      </c>
      <c r="L62" s="372">
        <f>Input!$LO$36</f>
        <v>0</v>
      </c>
      <c r="M62" s="373">
        <f t="shared" si="12"/>
        <v>7491324</v>
      </c>
      <c r="N62" s="160"/>
      <c r="O62" s="440">
        <f t="shared" si="17"/>
        <v>7491324</v>
      </c>
      <c r="P62" s="518">
        <f>Input!$SU$36</f>
        <v>0</v>
      </c>
      <c r="Q62" s="441" t="s">
        <v>259</v>
      </c>
      <c r="R62" s="302" t="s">
        <v>259</v>
      </c>
      <c r="S62" s="442"/>
      <c r="T62" s="296">
        <f t="shared" si="13"/>
        <v>7491324</v>
      </c>
      <c r="U62" s="297">
        <f t="shared" si="14"/>
        <v>0</v>
      </c>
      <c r="V62" s="299">
        <f>Input!$TE$36</f>
        <v>0</v>
      </c>
      <c r="W62" s="299">
        <f>Input!$TM$36</f>
        <v>0</v>
      </c>
      <c r="X62" s="303">
        <f t="shared" si="15"/>
        <v>7491324</v>
      </c>
      <c r="Z62" s="292" t="s">
        <v>16</v>
      </c>
      <c r="AA62" s="518">
        <f>Input!$TU$36</f>
        <v>7491324</v>
      </c>
      <c r="AB62" s="301">
        <f t="shared" si="16"/>
        <v>0</v>
      </c>
    </row>
    <row r="63" spans="1:28">
      <c r="A63" s="184">
        <v>46</v>
      </c>
      <c r="B63" s="160" t="s">
        <v>17</v>
      </c>
      <c r="C63" s="160"/>
      <c r="D63" s="372">
        <f>Input!$LP$36</f>
        <v>20719464</v>
      </c>
      <c r="E63" s="372">
        <f>Input!$LQ$36</f>
        <v>34783994</v>
      </c>
      <c r="F63" s="372">
        <f>Input!$LR$36</f>
        <v>0</v>
      </c>
      <c r="G63" s="372">
        <f>Input!$LS$36</f>
        <v>755687</v>
      </c>
      <c r="H63" s="372">
        <f>Input!$LT$36</f>
        <v>0</v>
      </c>
      <c r="I63" s="372">
        <f>Input!$LU$36</f>
        <v>0</v>
      </c>
      <c r="J63" s="372">
        <f>Input!$LV$36</f>
        <v>0</v>
      </c>
      <c r="K63" s="372">
        <f>Input!$LW$36</f>
        <v>0</v>
      </c>
      <c r="L63" s="372">
        <f>Input!$LX$36</f>
        <v>0</v>
      </c>
      <c r="M63" s="373">
        <f t="shared" si="12"/>
        <v>56259145</v>
      </c>
      <c r="N63" s="160"/>
      <c r="O63" s="440">
        <f t="shared" si="17"/>
        <v>56259145</v>
      </c>
      <c r="P63" s="518">
        <f>Input!$SV$36</f>
        <v>5587217</v>
      </c>
      <c r="Q63" s="441" t="s">
        <v>259</v>
      </c>
      <c r="R63" s="295">
        <f t="shared" ref="R63:R65" si="18">SUM(O63:P63)</f>
        <v>61846362</v>
      </c>
      <c r="S63" s="442"/>
      <c r="T63" s="296">
        <f t="shared" si="13"/>
        <v>56259145</v>
      </c>
      <c r="U63" s="297">
        <f t="shared" si="14"/>
        <v>5587217</v>
      </c>
      <c r="V63" s="299">
        <f>Input!$TF$36</f>
        <v>0</v>
      </c>
      <c r="W63" s="299">
        <f>Input!$TN$36</f>
        <v>0</v>
      </c>
      <c r="X63" s="303">
        <f t="shared" si="15"/>
        <v>61846362</v>
      </c>
      <c r="Z63" s="292" t="s">
        <v>17</v>
      </c>
      <c r="AA63" s="518">
        <f>Input!$TV$36</f>
        <v>56259145</v>
      </c>
      <c r="AB63" s="301">
        <f t="shared" si="16"/>
        <v>0</v>
      </c>
    </row>
    <row r="64" spans="1:28">
      <c r="A64" s="184">
        <v>47</v>
      </c>
      <c r="B64" s="160" t="s">
        <v>18</v>
      </c>
      <c r="C64" s="160"/>
      <c r="D64" s="372">
        <f>Input!$LY$36</f>
        <v>11081545</v>
      </c>
      <c r="E64" s="372">
        <f>Input!$LZ$36</f>
        <v>63242070</v>
      </c>
      <c r="F64" s="372">
        <f>Input!$MA$36</f>
        <v>0</v>
      </c>
      <c r="G64" s="372">
        <f>Input!$MB$36</f>
        <v>3316869</v>
      </c>
      <c r="H64" s="372">
        <f>Input!$MC$36</f>
        <v>4092</v>
      </c>
      <c r="I64" s="372">
        <f>Input!$MD$36</f>
        <v>0</v>
      </c>
      <c r="J64" s="372">
        <f>Input!$ME$36</f>
        <v>0</v>
      </c>
      <c r="K64" s="372">
        <f>Input!$MF$36</f>
        <v>0</v>
      </c>
      <c r="L64" s="372">
        <f>Input!$MG$36</f>
        <v>0</v>
      </c>
      <c r="M64" s="373">
        <f t="shared" si="12"/>
        <v>77644576</v>
      </c>
      <c r="N64" s="160"/>
      <c r="O64" s="440">
        <f t="shared" si="17"/>
        <v>77640484</v>
      </c>
      <c r="P64" s="518">
        <f>Input!$SW$36</f>
        <v>469745</v>
      </c>
      <c r="Q64" s="518">
        <f>Input!$TB$36</f>
        <v>24273287</v>
      </c>
      <c r="R64" s="295">
        <f>SUM(O64:P64)-Q64</f>
        <v>53836942</v>
      </c>
      <c r="S64" s="442"/>
      <c r="T64" s="296">
        <f t="shared" si="13"/>
        <v>77640484</v>
      </c>
      <c r="U64" s="297">
        <f t="shared" si="14"/>
        <v>469745</v>
      </c>
      <c r="V64" s="299">
        <f>Input!$TG$36</f>
        <v>0</v>
      </c>
      <c r="W64" s="299">
        <f>Input!$TO$36</f>
        <v>0</v>
      </c>
      <c r="X64" s="303">
        <f t="shared" si="15"/>
        <v>78110229</v>
      </c>
      <c r="Z64" s="292" t="s">
        <v>18</v>
      </c>
      <c r="AA64" s="518">
        <f>Input!$TW$36</f>
        <v>77644576</v>
      </c>
      <c r="AB64" s="301">
        <f t="shared" si="16"/>
        <v>0</v>
      </c>
    </row>
    <row r="65" spans="1:28">
      <c r="A65" s="184">
        <v>48</v>
      </c>
      <c r="B65" s="160" t="s">
        <v>19</v>
      </c>
      <c r="C65" s="160"/>
      <c r="D65" s="372">
        <f>Input!$MH$36</f>
        <v>14703446</v>
      </c>
      <c r="E65" s="372">
        <f>Input!$MI$36</f>
        <v>32465935</v>
      </c>
      <c r="F65" s="372">
        <f>Input!$MJ$36</f>
        <v>0</v>
      </c>
      <c r="G65" s="372">
        <f>Input!$MK$36</f>
        <v>3270797</v>
      </c>
      <c r="H65" s="372">
        <f>Input!$ML$36</f>
        <v>0</v>
      </c>
      <c r="I65" s="372">
        <f>Input!$MM$36</f>
        <v>297928</v>
      </c>
      <c r="J65" s="372">
        <f>Input!$MN$36</f>
        <v>0</v>
      </c>
      <c r="K65" s="372">
        <f>Input!$MO$36</f>
        <v>0</v>
      </c>
      <c r="L65" s="372">
        <f>Input!$MP$36</f>
        <v>0</v>
      </c>
      <c r="M65" s="373">
        <f t="shared" si="12"/>
        <v>50738106</v>
      </c>
      <c r="N65" s="160"/>
      <c r="O65" s="440">
        <f t="shared" si="17"/>
        <v>50440178</v>
      </c>
      <c r="P65" s="518">
        <f>Input!$SX$36</f>
        <v>2177181</v>
      </c>
      <c r="Q65" s="441" t="s">
        <v>259</v>
      </c>
      <c r="R65" s="295">
        <f t="shared" si="18"/>
        <v>52617359</v>
      </c>
      <c r="S65" s="442"/>
      <c r="T65" s="296">
        <f t="shared" si="13"/>
        <v>50440178</v>
      </c>
      <c r="U65" s="297">
        <f t="shared" si="14"/>
        <v>2177181</v>
      </c>
      <c r="V65" s="299">
        <f>Input!$TH$36</f>
        <v>0</v>
      </c>
      <c r="W65" s="299">
        <f>Input!$TP$36</f>
        <v>0</v>
      </c>
      <c r="X65" s="303">
        <f t="shared" si="15"/>
        <v>52617359</v>
      </c>
      <c r="Z65" s="292" t="s">
        <v>19</v>
      </c>
      <c r="AA65" s="518">
        <f>Input!$TX$36</f>
        <v>50738106</v>
      </c>
      <c r="AB65" s="301">
        <f t="shared" si="16"/>
        <v>0</v>
      </c>
    </row>
    <row r="66" spans="1:28">
      <c r="A66" s="184">
        <v>49</v>
      </c>
      <c r="B66" s="160" t="s">
        <v>20</v>
      </c>
      <c r="C66" s="160"/>
      <c r="D66" s="372">
        <f>Input!$MQ$36</f>
        <v>25723859</v>
      </c>
      <c r="E66" s="372">
        <f>Input!$MR$36</f>
        <v>9285509</v>
      </c>
      <c r="F66" s="372">
        <f>Input!$MS$36</f>
        <v>0</v>
      </c>
      <c r="G66" s="372">
        <f>Input!$MT$36</f>
        <v>-96455</v>
      </c>
      <c r="H66" s="372">
        <f>Input!$MU$36</f>
        <v>0</v>
      </c>
      <c r="I66" s="372">
        <f>Input!$MV$36</f>
        <v>0</v>
      </c>
      <c r="J66" s="372">
        <f>Input!$MW$36</f>
        <v>0</v>
      </c>
      <c r="K66" s="372">
        <f>Input!$MX$36</f>
        <v>0</v>
      </c>
      <c r="L66" s="372">
        <f>Input!$MY$36</f>
        <v>6783452</v>
      </c>
      <c r="M66" s="373">
        <f t="shared" si="12"/>
        <v>41696365</v>
      </c>
      <c r="N66" s="160"/>
      <c r="O66" s="440">
        <f t="shared" si="17"/>
        <v>34912913</v>
      </c>
      <c r="P66" s="518">
        <f>Input!$SY$36</f>
        <v>21263903</v>
      </c>
      <c r="Q66" s="441" t="s">
        <v>259</v>
      </c>
      <c r="R66" s="304" t="s">
        <v>259</v>
      </c>
      <c r="S66" s="442"/>
      <c r="T66" s="296">
        <f t="shared" si="13"/>
        <v>34912913</v>
      </c>
      <c r="U66" s="297">
        <f t="shared" si="14"/>
        <v>21263903</v>
      </c>
      <c r="V66" s="299">
        <f>Input!$TI$36</f>
        <v>0</v>
      </c>
      <c r="W66" s="299">
        <f>Input!$TQ$36</f>
        <v>0</v>
      </c>
      <c r="X66" s="303">
        <f t="shared" si="15"/>
        <v>56176816</v>
      </c>
      <c r="Z66" s="292" t="s">
        <v>260</v>
      </c>
      <c r="AA66" s="518">
        <f>Input!$TY$36</f>
        <v>41696365</v>
      </c>
      <c r="AB66" s="301">
        <f t="shared" si="16"/>
        <v>0</v>
      </c>
    </row>
    <row r="67" spans="1:28" ht="13.5" thickBot="1">
      <c r="A67" s="184">
        <v>50</v>
      </c>
      <c r="B67" s="160" t="s">
        <v>21</v>
      </c>
      <c r="C67" s="160"/>
      <c r="D67" s="372">
        <f>Input!$MZ$36</f>
        <v>23407072</v>
      </c>
      <c r="E67" s="372">
        <f>Input!$NA$36</f>
        <v>208189</v>
      </c>
      <c r="F67" s="372">
        <f>Input!$NB$36</f>
        <v>740613</v>
      </c>
      <c r="G67" s="372">
        <f>Input!$NC$36</f>
        <v>106632382</v>
      </c>
      <c r="H67" s="372">
        <f>Input!$ND$36</f>
        <v>968028</v>
      </c>
      <c r="I67" s="372">
        <f>Input!$NE$36</f>
        <v>0</v>
      </c>
      <c r="J67" s="372">
        <f>Input!$NF$36</f>
        <v>0</v>
      </c>
      <c r="K67" s="372">
        <f>Input!$NG$36</f>
        <v>0</v>
      </c>
      <c r="L67" s="372">
        <f>Input!$NH$36</f>
        <v>0</v>
      </c>
      <c r="M67" s="373">
        <f t="shared" si="12"/>
        <v>131956284</v>
      </c>
      <c r="N67" s="160"/>
      <c r="O67" s="440">
        <f t="shared" si="17"/>
        <v>130247643</v>
      </c>
      <c r="P67" s="518">
        <f>Input!$SZ$36</f>
        <v>2317</v>
      </c>
      <c r="Q67" s="441" t="s">
        <v>259</v>
      </c>
      <c r="R67" s="304" t="s">
        <v>259</v>
      </c>
      <c r="S67" s="442"/>
      <c r="T67" s="306">
        <f t="shared" si="13"/>
        <v>130247643</v>
      </c>
      <c r="U67" s="307">
        <f t="shared" si="14"/>
        <v>2317</v>
      </c>
      <c r="V67" s="308">
        <f>Input!$TJ$36</f>
        <v>0</v>
      </c>
      <c r="W67" s="308">
        <f>Input!$TR$36</f>
        <v>0</v>
      </c>
      <c r="X67" s="303">
        <f>U67+T67-V67-W67</f>
        <v>130249960</v>
      </c>
      <c r="Z67" s="292" t="s">
        <v>21</v>
      </c>
      <c r="AA67" s="518">
        <f>Input!$TZ$36</f>
        <v>131956284</v>
      </c>
      <c r="AB67" s="301">
        <f t="shared" si="16"/>
        <v>0</v>
      </c>
    </row>
    <row r="68" spans="1:28" ht="14.25" thickTop="1" thickBot="1">
      <c r="A68" s="184">
        <v>51</v>
      </c>
      <c r="B68" s="160" t="s">
        <v>2135</v>
      </c>
      <c r="C68" s="160"/>
      <c r="D68" s="372">
        <f>Input!$NI$36</f>
        <v>0</v>
      </c>
      <c r="E68" s="372">
        <f>Input!$NJ$36</f>
        <v>75</v>
      </c>
      <c r="F68" s="372">
        <f>Input!$NK$36</f>
        <v>43345870</v>
      </c>
      <c r="G68" s="372">
        <f>Input!$NL$36</f>
        <v>0</v>
      </c>
      <c r="H68" s="372">
        <f>Input!$NM$36</f>
        <v>0</v>
      </c>
      <c r="I68" s="372">
        <f>Input!$NN$36</f>
        <v>0</v>
      </c>
      <c r="J68" s="372">
        <f>Input!$NO$36</f>
        <v>0</v>
      </c>
      <c r="K68" s="372">
        <f>Input!$NP$36</f>
        <v>0</v>
      </c>
      <c r="L68" s="372">
        <f>Input!$NQ$36</f>
        <v>0</v>
      </c>
      <c r="M68" s="373">
        <f t="shared" si="12"/>
        <v>43345945</v>
      </c>
      <c r="N68" s="160"/>
      <c r="O68" s="309" t="s">
        <v>259</v>
      </c>
      <c r="P68" s="519">
        <f>Input!$TA$36</f>
        <v>235048</v>
      </c>
      <c r="Q68" s="444" t="s">
        <v>259</v>
      </c>
      <c r="R68" s="311" t="s">
        <v>259</v>
      </c>
      <c r="S68" s="442"/>
      <c r="T68" s="305"/>
      <c r="U68" s="305"/>
      <c r="V68" s="312" t="s">
        <v>261</v>
      </c>
      <c r="W68" s="313"/>
      <c r="X68" s="314">
        <f>SUM(X60:X67)</f>
        <v>642573474</v>
      </c>
      <c r="Z68" s="292" t="s">
        <v>22</v>
      </c>
      <c r="AA68" s="518">
        <f>Input!$UA$36</f>
        <v>43345945</v>
      </c>
      <c r="AB68" s="301">
        <f t="shared" si="16"/>
        <v>0</v>
      </c>
    </row>
    <row r="69" spans="1:28" ht="14.25" thickTop="1" thickBot="1">
      <c r="A69" s="184">
        <v>52</v>
      </c>
      <c r="B69" s="161" t="s">
        <v>59</v>
      </c>
      <c r="C69" s="161"/>
      <c r="D69" s="372">
        <f>Input!$NR$36</f>
        <v>29647015</v>
      </c>
      <c r="E69" s="372">
        <f>Input!$NS$36</f>
        <v>9489868</v>
      </c>
      <c r="F69" s="372">
        <f>Input!$NT$36</f>
        <v>235048</v>
      </c>
      <c r="G69" s="372">
        <f>Input!$NU$36</f>
        <v>1616959</v>
      </c>
      <c r="H69" s="372">
        <f>Input!$NV$36</f>
        <v>0</v>
      </c>
      <c r="I69" s="372">
        <f>Input!$NW$36</f>
        <v>0</v>
      </c>
      <c r="J69" s="372">
        <f>Input!$NX$36</f>
        <v>0</v>
      </c>
      <c r="K69" s="372">
        <f>Input!$NY$36</f>
        <v>0</v>
      </c>
      <c r="L69" s="372">
        <f>Input!$NZ$36</f>
        <v>0</v>
      </c>
      <c r="M69" s="373">
        <f t="shared" si="12"/>
        <v>40988890</v>
      </c>
      <c r="N69" s="160"/>
      <c r="O69" s="315"/>
      <c r="P69" s="316">
        <f>SUM(P60:P68)</f>
        <v>40988890</v>
      </c>
      <c r="Q69" s="316">
        <f>SUM(Q64:Q68)</f>
        <v>24273287</v>
      </c>
      <c r="R69" s="317">
        <f>SUM(R60:R65)</f>
        <v>424405565</v>
      </c>
      <c r="S69" s="316"/>
      <c r="T69" s="305"/>
      <c r="U69" s="305"/>
      <c r="V69" s="305"/>
      <c r="W69" s="277"/>
      <c r="X69" s="277"/>
      <c r="Y69" s="277"/>
      <c r="Z69" s="292" t="s">
        <v>285</v>
      </c>
      <c r="AA69" s="445">
        <f>M88*-1</f>
        <v>65164000</v>
      </c>
      <c r="AB69" s="301">
        <f>AA69+M88</f>
        <v>0</v>
      </c>
    </row>
    <row r="70" spans="1:28" ht="14.25" thickTop="1" thickBot="1">
      <c r="A70" s="184">
        <v>53</v>
      </c>
      <c r="B70" s="178" t="s">
        <v>44</v>
      </c>
      <c r="C70" s="178"/>
      <c r="D70" s="378">
        <f>Input!$OA$36</f>
        <v>0</v>
      </c>
      <c r="E70" s="378">
        <f>Input!$OB$36</f>
        <v>1661628</v>
      </c>
      <c r="F70" s="378">
        <f>Input!$OC$36</f>
        <v>0</v>
      </c>
      <c r="G70" s="378">
        <f>Input!$OD$36</f>
        <v>8237302</v>
      </c>
      <c r="H70" s="378">
        <f>Input!$OE$36</f>
        <v>-645182</v>
      </c>
      <c r="I70" s="378">
        <f>Input!$OF$36</f>
        <v>0</v>
      </c>
      <c r="J70" s="378">
        <f>Input!$OG$36</f>
        <v>0</v>
      </c>
      <c r="K70" s="378">
        <f>Input!$OH$36</f>
        <v>0</v>
      </c>
      <c r="L70" s="378">
        <f>Input!$OI$36</f>
        <v>0</v>
      </c>
      <c r="M70" s="373">
        <f t="shared" si="12"/>
        <v>9253748</v>
      </c>
      <c r="N70" s="160"/>
      <c r="O70" s="320"/>
      <c r="P70" s="516" t="str">
        <f>IF(P69&lt;&gt;M69,"Out of Balance","Balanced")</f>
        <v>Balanced</v>
      </c>
      <c r="Q70" s="318"/>
      <c r="R70" s="305"/>
      <c r="S70" s="305"/>
      <c r="T70" s="305"/>
      <c r="U70" s="277"/>
      <c r="V70" s="1738" t="str">
        <f>IF(X68-INT(X68)&lt;&gt;0,"Whole Dollars Only","")</f>
        <v/>
      </c>
      <c r="W70" s="1738"/>
      <c r="X70" s="537"/>
      <c r="Y70" s="319"/>
      <c r="Z70" s="410" t="s">
        <v>262</v>
      </c>
      <c r="AA70" s="446" t="s">
        <v>259</v>
      </c>
      <c r="AB70" s="411">
        <f>M90</f>
        <v>0</v>
      </c>
    </row>
    <row r="71" spans="1:28" ht="13.5" thickTop="1">
      <c r="A71" s="184">
        <v>54</v>
      </c>
      <c r="B71" s="162" t="s">
        <v>69</v>
      </c>
      <c r="C71" s="162"/>
      <c r="D71" s="374">
        <f>SUM(D60:D70)</f>
        <v>231990952</v>
      </c>
      <c r="E71" s="374">
        <f>SUM(E60:E70)</f>
        <v>265503860</v>
      </c>
      <c r="F71" s="374">
        <f t="shared" ref="F71:L71" si="19">SUM(F60:F70)</f>
        <v>44321531</v>
      </c>
      <c r="G71" s="374">
        <f t="shared" si="19"/>
        <v>155001145</v>
      </c>
      <c r="H71" s="374">
        <f t="shared" si="19"/>
        <v>326938</v>
      </c>
      <c r="I71" s="374">
        <f t="shared" si="19"/>
        <v>297928</v>
      </c>
      <c r="J71" s="374">
        <f t="shared" si="19"/>
        <v>0</v>
      </c>
      <c r="K71" s="374">
        <f t="shared" si="19"/>
        <v>0</v>
      </c>
      <c r="L71" s="374">
        <f t="shared" si="19"/>
        <v>6783452</v>
      </c>
      <c r="M71" s="374">
        <f t="shared" si="12"/>
        <v>704225806</v>
      </c>
      <c r="N71" s="160"/>
      <c r="O71" s="322"/>
      <c r="P71" s="1738" t="str">
        <f>IF(P69-INT(P69)&lt;&gt;0,"Whole Dollars Only","")</f>
        <v/>
      </c>
      <c r="Q71" s="1738"/>
      <c r="R71" s="323"/>
      <c r="S71" s="323"/>
      <c r="T71" s="323"/>
      <c r="U71" s="291"/>
      <c r="V71" s="324"/>
      <c r="W71" s="321"/>
      <c r="X71" s="321"/>
      <c r="Y71" s="321"/>
      <c r="Z71" s="318"/>
      <c r="AA71" s="325">
        <f>SUM(AA60:AA70)</f>
        <v>719147168</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Input!$OJ$36</f>
        <v>0</v>
      </c>
      <c r="E74" s="372">
        <f>Input!$OK$36</f>
        <v>0</v>
      </c>
      <c r="F74" s="372">
        <f>Input!$OL$36</f>
        <v>0</v>
      </c>
      <c r="G74" s="372">
        <f>Input!$OM$36</f>
        <v>0</v>
      </c>
      <c r="H74" s="372">
        <f>Input!$ON$36</f>
        <v>0</v>
      </c>
      <c r="I74" s="372">
        <f>Input!$OO$36</f>
        <v>0</v>
      </c>
      <c r="J74" s="372">
        <f>Input!$OP$36</f>
        <v>0</v>
      </c>
      <c r="K74" s="372">
        <f>Input!$OQ$36</f>
        <v>0</v>
      </c>
      <c r="L74" s="372">
        <f>Input!$OR$36</f>
        <v>4471404</v>
      </c>
      <c r="M74" s="373">
        <f>D74+E74+F74+G74+H74+I74+J74+K74+L74</f>
        <v>4471404</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Input!$OS$36</f>
        <v>-11548042</v>
      </c>
      <c r="E75" s="372">
        <f>Input!$OT$36</f>
        <v>-28684509</v>
      </c>
      <c r="F75" s="372">
        <f>Input!$OU$36</f>
        <v>-18401414</v>
      </c>
      <c r="G75" s="372">
        <f>Input!$OV$36</f>
        <v>-26332558</v>
      </c>
      <c r="H75" s="372">
        <f>Input!$OW$36</f>
        <v>-31415</v>
      </c>
      <c r="I75" s="372">
        <f>Input!$OX$36</f>
        <v>-3733219</v>
      </c>
      <c r="J75" s="372">
        <f>Input!$OY$36</f>
        <v>0</v>
      </c>
      <c r="K75" s="372">
        <f>Input!$OZ$36</f>
        <v>10467281</v>
      </c>
      <c r="L75" s="372">
        <f>Input!$PA$36</f>
        <v>-5875698</v>
      </c>
      <c r="M75" s="373">
        <f>D75+E75+F75+G75+H75+I75+J75+K75+L75</f>
        <v>-84139574</v>
      </c>
      <c r="N75" s="160"/>
      <c r="O75" s="1723" t="str">
        <f>IF(M85&lt;0,"Footnote 11 is N/A - No Data Entry Required","Footnote 11")</f>
        <v>Footnote 11</v>
      </c>
      <c r="P75" s="1724"/>
      <c r="Q75" s="1724"/>
      <c r="R75" s="1725"/>
      <c r="S75" s="330"/>
      <c r="T75" s="330"/>
      <c r="U75" s="327"/>
      <c r="V75" s="276"/>
      <c r="W75" s="331"/>
      <c r="X75" s="331"/>
      <c r="Y75" s="328"/>
      <c r="Z75" s="328"/>
      <c r="AA75" s="276"/>
      <c r="AB75" s="276" t="s">
        <v>293</v>
      </c>
    </row>
    <row r="76" spans="1:28" ht="13.5" thickTop="1">
      <c r="A76" s="184">
        <v>59</v>
      </c>
      <c r="B76" s="160" t="s">
        <v>45</v>
      </c>
      <c r="C76" s="160"/>
      <c r="D76" s="372">
        <f>Input!$PB$36</f>
        <v>0</v>
      </c>
      <c r="E76" s="372">
        <f>Input!$PC$36</f>
        <v>0</v>
      </c>
      <c r="F76" s="372">
        <f>Input!$PD$36</f>
        <v>0</v>
      </c>
      <c r="G76" s="372">
        <f>Input!$PE$36</f>
        <v>0</v>
      </c>
      <c r="H76" s="372">
        <f>Input!$PF$36</f>
        <v>0</v>
      </c>
      <c r="I76" s="372">
        <f>Input!$PG$36</f>
        <v>0</v>
      </c>
      <c r="J76" s="372">
        <f>Input!$PH$36</f>
        <v>0</v>
      </c>
      <c r="K76" s="372">
        <f>Input!$PI$36</f>
        <v>0</v>
      </c>
      <c r="L76" s="372">
        <f>Input!$PJ$36</f>
        <v>0</v>
      </c>
      <c r="M76" s="373">
        <f>D76+E76+F76+G76+H76+I76+J76+K76+L76</f>
        <v>0</v>
      </c>
      <c r="N76" s="160"/>
      <c r="O76" s="487" t="s">
        <v>583</v>
      </c>
      <c r="P76" s="488"/>
      <c r="Q76" s="489"/>
      <c r="R76" s="490">
        <f>IF($M$85&lt;0,"N/A",$M$85)</f>
        <v>89848685</v>
      </c>
      <c r="S76" s="330"/>
      <c r="T76" s="330"/>
      <c r="U76" s="327"/>
      <c r="V76" s="276"/>
      <c r="W76" s="331"/>
      <c r="X76" s="331"/>
      <c r="Y76" s="331"/>
      <c r="Z76" s="331"/>
      <c r="AA76" s="276"/>
      <c r="AB76" s="276"/>
    </row>
    <row r="77" spans="1:28">
      <c r="A77" s="184">
        <v>60</v>
      </c>
      <c r="B77" s="160" t="s">
        <v>46</v>
      </c>
      <c r="C77" s="160"/>
      <c r="D77" s="372">
        <f>Input!$PK$36</f>
        <v>0</v>
      </c>
      <c r="E77" s="372">
        <f>Input!$PL$36</f>
        <v>-1662</v>
      </c>
      <c r="F77" s="372">
        <f>Input!$PM$36</f>
        <v>0</v>
      </c>
      <c r="G77" s="372">
        <f>Input!$PN$36</f>
        <v>0</v>
      </c>
      <c r="H77" s="372">
        <f>Input!$PO$36</f>
        <v>0</v>
      </c>
      <c r="I77" s="372">
        <f>Input!$PP$36</f>
        <v>0</v>
      </c>
      <c r="J77" s="372">
        <f>Input!$PQ$36</f>
        <v>0</v>
      </c>
      <c r="K77" s="372">
        <f>Input!$PR$36</f>
        <v>-15843</v>
      </c>
      <c r="L77" s="372">
        <f>Input!$PS$36</f>
        <v>0</v>
      </c>
      <c r="M77" s="373">
        <f>D77+E77+F77+G77+H77+I77+J77+K77+L77</f>
        <v>-17505</v>
      </c>
      <c r="N77" s="160"/>
      <c r="O77" s="491" t="s">
        <v>584</v>
      </c>
      <c r="P77" s="334"/>
      <c r="Q77" s="334"/>
      <c r="R77" s="521">
        <f>Input!$UB$36</f>
        <v>167208</v>
      </c>
      <c r="S77" s="330"/>
      <c r="T77" s="330"/>
      <c r="U77" s="327"/>
      <c r="V77" s="276"/>
      <c r="W77" s="331"/>
      <c r="X77" s="331"/>
      <c r="Y77" s="331"/>
      <c r="Z77" s="331"/>
      <c r="AA77" s="276"/>
      <c r="AB77" s="276"/>
    </row>
    <row r="78" spans="1:28">
      <c r="A78" s="184">
        <v>61</v>
      </c>
      <c r="B78" s="162" t="s">
        <v>3</v>
      </c>
      <c r="C78" s="162"/>
      <c r="D78" s="374">
        <f t="shared" ref="D78:L78" si="20">SUM(D74:D77)</f>
        <v>-11548042</v>
      </c>
      <c r="E78" s="374">
        <f t="shared" si="20"/>
        <v>-28686171</v>
      </c>
      <c r="F78" s="374">
        <f t="shared" si="20"/>
        <v>-18401414</v>
      </c>
      <c r="G78" s="374">
        <f t="shared" si="20"/>
        <v>-26332558</v>
      </c>
      <c r="H78" s="374">
        <f t="shared" si="20"/>
        <v>-31415</v>
      </c>
      <c r="I78" s="374">
        <f t="shared" si="20"/>
        <v>-3733219</v>
      </c>
      <c r="J78" s="374">
        <f t="shared" si="20"/>
        <v>0</v>
      </c>
      <c r="K78" s="374">
        <f t="shared" si="20"/>
        <v>10451438</v>
      </c>
      <c r="L78" s="374">
        <f t="shared" si="20"/>
        <v>-1404294</v>
      </c>
      <c r="M78" s="374">
        <f>D78+E78+F78+G78+H78+I78+J78+K78+L78</f>
        <v>-79685675</v>
      </c>
      <c r="N78" s="160"/>
      <c r="O78" s="491" t="s">
        <v>585</v>
      </c>
      <c r="P78" s="276"/>
      <c r="Q78" s="334"/>
      <c r="R78" s="492">
        <f>IF($M$85&lt;0,"",$R$76-$R$77)</f>
        <v>89681477</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3"/>
      <c r="P79" s="276"/>
      <c r="Q79" s="334"/>
      <c r="R79" s="494"/>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5" t="s">
        <v>586</v>
      </c>
      <c r="P80" s="276"/>
      <c r="Q80" s="334"/>
      <c r="R80" s="521">
        <f>Input!$UC$36</f>
        <v>29286184</v>
      </c>
      <c r="S80" s="330"/>
      <c r="T80" s="330"/>
      <c r="U80" s="334"/>
      <c r="V80" s="276"/>
      <c r="W80" s="328"/>
      <c r="X80" s="328"/>
      <c r="Y80" s="331"/>
      <c r="Z80" s="331"/>
      <c r="AA80" s="276"/>
      <c r="AB80" s="276"/>
    </row>
    <row r="81" spans="1:28">
      <c r="A81" s="184">
        <v>64</v>
      </c>
      <c r="B81" s="160" t="s">
        <v>47</v>
      </c>
      <c r="C81" s="160"/>
      <c r="D81" s="372">
        <f>Input!$PT$36</f>
        <v>0</v>
      </c>
      <c r="E81" s="372">
        <f>Input!$PU$36</f>
        <v>22722470</v>
      </c>
      <c r="F81" s="372">
        <f>Input!$PV$36</f>
        <v>0</v>
      </c>
      <c r="G81" s="372">
        <f>Input!$PW$36</f>
        <v>0</v>
      </c>
      <c r="H81" s="372">
        <f>Input!$PX$36</f>
        <v>0</v>
      </c>
      <c r="I81" s="372">
        <f>Input!$PY$36</f>
        <v>6563714</v>
      </c>
      <c r="J81" s="372">
        <f>Input!$PZ$36</f>
        <v>0</v>
      </c>
      <c r="K81" s="372">
        <f>Input!$QA$36</f>
        <v>0</v>
      </c>
      <c r="L81" s="372">
        <f>Input!$QB$36</f>
        <v>0</v>
      </c>
      <c r="M81" s="373">
        <f>D81+E81+F81+G81+H81+I81+J81+K81+L81</f>
        <v>29286184</v>
      </c>
      <c r="N81" s="160"/>
      <c r="O81" s="496" t="s">
        <v>587</v>
      </c>
      <c r="P81" s="276"/>
      <c r="Q81" s="276"/>
      <c r="R81" s="497"/>
      <c r="S81" s="330"/>
      <c r="T81" s="330"/>
      <c r="W81" s="276"/>
      <c r="X81" s="276"/>
      <c r="Y81" s="331"/>
      <c r="Z81" s="331"/>
      <c r="AA81" s="276"/>
      <c r="AB81" s="276"/>
    </row>
    <row r="82" spans="1:28">
      <c r="A82" s="184">
        <v>65</v>
      </c>
      <c r="B82" s="160" t="s">
        <v>48</v>
      </c>
      <c r="C82" s="160"/>
      <c r="D82" s="372">
        <f>Input!$QC$36</f>
        <v>0</v>
      </c>
      <c r="E82" s="372">
        <f>Input!$QD$36</f>
        <v>0</v>
      </c>
      <c r="F82" s="372">
        <f>Input!$QE$36</f>
        <v>0</v>
      </c>
      <c r="G82" s="372">
        <f>Input!$QF$36</f>
        <v>0</v>
      </c>
      <c r="H82" s="372">
        <f>Input!$QG$36</f>
        <v>0</v>
      </c>
      <c r="I82" s="372">
        <f>Input!$QH$36</f>
        <v>167208</v>
      </c>
      <c r="J82" s="372">
        <f>Input!$QI$36</f>
        <v>0</v>
      </c>
      <c r="K82" s="372">
        <f>Input!$QJ$36</f>
        <v>0</v>
      </c>
      <c r="L82" s="372">
        <f>Input!$QK$36</f>
        <v>0</v>
      </c>
      <c r="M82" s="373">
        <f>D82+E82+F82+G82+H82+I82+J82+K82+L82</f>
        <v>167208</v>
      </c>
      <c r="N82" s="160"/>
      <c r="O82" s="498" t="s">
        <v>588</v>
      </c>
      <c r="P82" s="276"/>
      <c r="Q82" s="276"/>
      <c r="R82" s="492">
        <f>IFERROR($R$78-$R$80,"")</f>
        <v>60395293</v>
      </c>
      <c r="Y82" s="331"/>
      <c r="Z82" s="401"/>
      <c r="AA82" s="268"/>
      <c r="AB82" s="268"/>
    </row>
    <row r="83" spans="1:28">
      <c r="A83" s="184">
        <v>66</v>
      </c>
      <c r="B83" s="162" t="s">
        <v>3</v>
      </c>
      <c r="C83" s="162"/>
      <c r="D83" s="374">
        <f t="shared" ref="D83:L83" si="21">SUM(D81:D82)</f>
        <v>0</v>
      </c>
      <c r="E83" s="374">
        <f t="shared" si="21"/>
        <v>22722470</v>
      </c>
      <c r="F83" s="374">
        <f t="shared" si="21"/>
        <v>0</v>
      </c>
      <c r="G83" s="374">
        <f t="shared" si="21"/>
        <v>0</v>
      </c>
      <c r="H83" s="374">
        <f t="shared" si="21"/>
        <v>0</v>
      </c>
      <c r="I83" s="374">
        <f t="shared" si="21"/>
        <v>6730922</v>
      </c>
      <c r="J83" s="374">
        <f t="shared" si="21"/>
        <v>0</v>
      </c>
      <c r="K83" s="374">
        <f t="shared" si="21"/>
        <v>0</v>
      </c>
      <c r="L83" s="374">
        <f t="shared" si="21"/>
        <v>0</v>
      </c>
      <c r="M83" s="374">
        <f>D83+E83+F83+G83+H83+I83+J83+K83+L83</f>
        <v>29453392</v>
      </c>
      <c r="N83" s="160"/>
      <c r="O83" s="493"/>
      <c r="P83" s="276"/>
      <c r="Q83" s="276"/>
      <c r="R83" s="497"/>
      <c r="Y83" s="163"/>
      <c r="Z83" s="447"/>
      <c r="AA83" s="439"/>
      <c r="AB83" s="448"/>
    </row>
    <row r="84" spans="1:28" ht="13.5" thickBot="1">
      <c r="A84" s="184">
        <v>67</v>
      </c>
      <c r="B84" s="160"/>
      <c r="C84" s="160"/>
      <c r="D84" s="373"/>
      <c r="E84" s="373"/>
      <c r="F84" s="373"/>
      <c r="G84" s="373"/>
      <c r="H84" s="373"/>
      <c r="I84" s="373"/>
      <c r="J84" s="373"/>
      <c r="K84" s="373"/>
      <c r="L84" s="373"/>
      <c r="M84" s="373"/>
      <c r="N84" s="160"/>
      <c r="O84" s="499" t="s">
        <v>589</v>
      </c>
      <c r="P84" s="500"/>
      <c r="Q84" s="500"/>
      <c r="R84" s="501">
        <f>IFERROR((R82+R80)-R78,"")</f>
        <v>0</v>
      </c>
      <c r="Y84" s="268"/>
      <c r="Z84" s="447"/>
      <c r="AA84" s="439"/>
      <c r="AB84" s="449"/>
    </row>
    <row r="85" spans="1:28" ht="13.5" thickTop="1">
      <c r="A85" s="184">
        <v>68</v>
      </c>
      <c r="B85" s="162" t="s">
        <v>574</v>
      </c>
      <c r="C85" s="162"/>
      <c r="D85" s="374">
        <f t="shared" ref="D85:L85" si="22">D57-D71+D78+D83</f>
        <v>19634581</v>
      </c>
      <c r="E85" s="374">
        <f t="shared" si="22"/>
        <v>43065942</v>
      </c>
      <c r="F85" s="374">
        <f t="shared" si="22"/>
        <v>12792599</v>
      </c>
      <c r="G85" s="374">
        <f t="shared" si="22"/>
        <v>5367949</v>
      </c>
      <c r="H85" s="374">
        <f t="shared" si="22"/>
        <v>864749</v>
      </c>
      <c r="I85" s="374">
        <f t="shared" si="22"/>
        <v>6040045</v>
      </c>
      <c r="J85" s="374">
        <f t="shared" si="22"/>
        <v>0</v>
      </c>
      <c r="K85" s="374">
        <f t="shared" si="22"/>
        <v>10451438</v>
      </c>
      <c r="L85" s="374">
        <f t="shared" si="22"/>
        <v>-8368618</v>
      </c>
      <c r="M85" s="374">
        <f>D85+E85+F85+G85+H85+I85+J85+K85+L85</f>
        <v>89848685</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Input!$QL$36</f>
        <v>0</v>
      </c>
      <c r="E87" s="372">
        <f>Input!$QM$36</f>
        <v>0</v>
      </c>
      <c r="F87" s="372">
        <f>Input!$QN$36</f>
        <v>0</v>
      </c>
      <c r="G87" s="372">
        <f>Input!$QO$36</f>
        <v>0</v>
      </c>
      <c r="H87" s="372">
        <f>Input!$QP$36</f>
        <v>0</v>
      </c>
      <c r="I87" s="372">
        <f>Input!$QQ$36</f>
        <v>0</v>
      </c>
      <c r="J87" s="372">
        <f>Input!$QR$36</f>
        <v>0</v>
      </c>
      <c r="K87" s="372">
        <f>Input!$QS$36</f>
        <v>0</v>
      </c>
      <c r="L87" s="372">
        <f>Input!$QT$36</f>
        <v>0</v>
      </c>
      <c r="M87" s="329">
        <f>D87+E87+F87+G87+H87+I87+J87+K87+L87</f>
        <v>0</v>
      </c>
      <c r="N87" s="160"/>
      <c r="Y87" s="268"/>
      <c r="Z87" s="447"/>
      <c r="AA87" s="439"/>
      <c r="AB87" s="449"/>
    </row>
    <row r="88" spans="1:28">
      <c r="A88" s="184">
        <v>72</v>
      </c>
      <c r="B88" s="160" t="s">
        <v>66</v>
      </c>
      <c r="C88" s="160"/>
      <c r="D88" s="372">
        <f>Input!$QU$36</f>
        <v>0</v>
      </c>
      <c r="E88" s="372">
        <f>Input!$QV$36</f>
        <v>0</v>
      </c>
      <c r="F88" s="372">
        <f>Input!$QW$36</f>
        <v>0</v>
      </c>
      <c r="G88" s="372">
        <f>Input!$QX$36</f>
        <v>0</v>
      </c>
      <c r="H88" s="372">
        <f>Input!$QY$36</f>
        <v>0</v>
      </c>
      <c r="I88" s="372">
        <f>Input!$QZ$36</f>
        <v>0</v>
      </c>
      <c r="J88" s="372">
        <f>Input!$RA$36</f>
        <v>0</v>
      </c>
      <c r="K88" s="372">
        <f>Input!$RB$36</f>
        <v>0</v>
      </c>
      <c r="L88" s="372">
        <f>Input!$RC$36</f>
        <v>-65164000</v>
      </c>
      <c r="M88" s="373">
        <f>D88+E88+F88+G88+H88+I88+J88+K88+L88</f>
        <v>-65164000</v>
      </c>
      <c r="N88" s="160"/>
      <c r="O88" s="270"/>
      <c r="P88" s="335"/>
      <c r="Y88" s="268"/>
      <c r="Z88" s="447"/>
      <c r="AA88" s="439"/>
      <c r="AB88" s="449"/>
    </row>
    <row r="89" spans="1:28" s="264" customFormat="1">
      <c r="A89" s="263"/>
      <c r="B89" s="171" t="s">
        <v>216</v>
      </c>
      <c r="C89" s="171"/>
      <c r="D89" s="372">
        <f>Input!$RD$36</f>
        <v>0</v>
      </c>
      <c r="E89" s="372">
        <f>Input!$RE$36</f>
        <v>0</v>
      </c>
      <c r="F89" s="372">
        <f>Input!$RF$36</f>
        <v>0</v>
      </c>
      <c r="G89" s="372">
        <f>Input!$RG$36</f>
        <v>0</v>
      </c>
      <c r="H89" s="372">
        <f>Input!$RH$36</f>
        <v>0</v>
      </c>
      <c r="I89" s="372">
        <f>Input!$RI$36</f>
        <v>0</v>
      </c>
      <c r="J89" s="372">
        <f>Input!$RJ$36</f>
        <v>0</v>
      </c>
      <c r="K89" s="372">
        <f>Input!$RK$36</f>
        <v>0</v>
      </c>
      <c r="L89" s="372">
        <f>Input!$RL$36</f>
        <v>0</v>
      </c>
      <c r="M89" s="373">
        <f t="shared" ref="M89:M91" si="23">D89+E89+F89+G89+H89+I89+J89+K89+L89</f>
        <v>0</v>
      </c>
      <c r="N89" s="160"/>
      <c r="O89" s="1726" t="s">
        <v>1355</v>
      </c>
      <c r="P89" s="1727"/>
      <c r="Q89" s="1727"/>
      <c r="R89" s="1727"/>
      <c r="S89" s="1727"/>
      <c r="T89" s="1727"/>
      <c r="U89" s="1728"/>
      <c r="Y89" s="268"/>
      <c r="Z89" s="447"/>
      <c r="AA89" s="439"/>
      <c r="AB89" s="449"/>
    </row>
    <row r="90" spans="1:28" s="264" customFormat="1">
      <c r="A90" s="263"/>
      <c r="B90" s="171" t="s">
        <v>105</v>
      </c>
      <c r="C90" s="171"/>
      <c r="D90" s="372">
        <f>Input!$RM$36</f>
        <v>0</v>
      </c>
      <c r="E90" s="372">
        <f>Input!$RN$36</f>
        <v>0</v>
      </c>
      <c r="F90" s="372">
        <f>Input!$RO$36</f>
        <v>0</v>
      </c>
      <c r="G90" s="372">
        <f>Input!$RP$36</f>
        <v>0</v>
      </c>
      <c r="H90" s="372">
        <f>Input!$RQ$36</f>
        <v>0</v>
      </c>
      <c r="I90" s="372">
        <f>Input!$RR$36</f>
        <v>0</v>
      </c>
      <c r="J90" s="372">
        <f>Input!$RS$36</f>
        <v>0</v>
      </c>
      <c r="K90" s="372">
        <f>Input!$RT$36</f>
        <v>0</v>
      </c>
      <c r="L90" s="372">
        <f>Input!$RU$36</f>
        <v>0</v>
      </c>
      <c r="M90" s="373">
        <f t="shared" si="23"/>
        <v>0</v>
      </c>
      <c r="N90" s="160"/>
      <c r="O90" s="502" t="s">
        <v>590</v>
      </c>
      <c r="P90" s="423"/>
      <c r="Q90" s="502" t="s">
        <v>591</v>
      </c>
      <c r="R90" s="423"/>
      <c r="S90" s="503"/>
      <c r="T90" s="502" t="s">
        <v>592</v>
      </c>
      <c r="U90" s="423"/>
      <c r="Y90" s="268"/>
      <c r="Z90" s="447"/>
      <c r="AA90" s="439"/>
      <c r="AB90" s="449"/>
    </row>
    <row r="91" spans="1:28" s="264" customFormat="1">
      <c r="A91" s="263"/>
      <c r="B91" s="171" t="s">
        <v>128</v>
      </c>
      <c r="C91" s="171"/>
      <c r="D91" s="372">
        <f>Input!$RV$36</f>
        <v>0</v>
      </c>
      <c r="E91" s="372">
        <f>Input!$RW$36</f>
        <v>-4969885</v>
      </c>
      <c r="F91" s="372">
        <f>Input!$RX$36</f>
        <v>0</v>
      </c>
      <c r="G91" s="372">
        <f>Input!$RY$36</f>
        <v>70000</v>
      </c>
      <c r="H91" s="372">
        <f>Input!$RZ$36</f>
        <v>0</v>
      </c>
      <c r="I91" s="372">
        <f>Input!$SA$36</f>
        <v>0</v>
      </c>
      <c r="J91" s="372">
        <f>Input!$SB$36</f>
        <v>0</v>
      </c>
      <c r="K91" s="372">
        <f>Input!$SC$36</f>
        <v>0</v>
      </c>
      <c r="L91" s="372">
        <f>Input!$SD$36</f>
        <v>7546791</v>
      </c>
      <c r="M91" s="373">
        <f t="shared" si="23"/>
        <v>2646906</v>
      </c>
      <c r="N91" s="160"/>
      <c r="O91" s="504"/>
      <c r="P91" s="505"/>
      <c r="Q91" s="504"/>
      <c r="R91" s="426"/>
      <c r="S91" s="276"/>
      <c r="T91" s="506"/>
      <c r="U91" s="426"/>
      <c r="Y91" s="268"/>
      <c r="Z91" s="447"/>
      <c r="AA91" s="439"/>
      <c r="AB91" s="449"/>
    </row>
    <row r="92" spans="1:28" s="264" customFormat="1">
      <c r="A92" s="263"/>
      <c r="B92" s="160" t="s">
        <v>67</v>
      </c>
      <c r="C92" s="160"/>
      <c r="D92" s="372">
        <f>Input!$SE$36</f>
        <v>0</v>
      </c>
      <c r="E92" s="372">
        <f>Input!$SF$36</f>
        <v>4979870</v>
      </c>
      <c r="F92" s="372">
        <f>Input!$SG$36</f>
        <v>0</v>
      </c>
      <c r="G92" s="372">
        <f>Input!$SH$36</f>
        <v>0</v>
      </c>
      <c r="H92" s="372">
        <f>Input!$SI$36</f>
        <v>0</v>
      </c>
      <c r="I92" s="372">
        <f>Input!$SJ$36</f>
        <v>0</v>
      </c>
      <c r="J92" s="372">
        <f>Input!$SK$36</f>
        <v>0</v>
      </c>
      <c r="K92" s="372">
        <f>Input!$SL$36</f>
        <v>0</v>
      </c>
      <c r="L92" s="372">
        <f>Input!$SM$36</f>
        <v>31537615</v>
      </c>
      <c r="M92" s="373">
        <f>D92+E92+F92+G92+H92+I92+J92+K92+L92</f>
        <v>36517485</v>
      </c>
      <c r="N92" s="160"/>
      <c r="O92" s="1729" t="str">
        <f>Input!UF$36</f>
        <v>Leydi Carter</v>
      </c>
      <c r="P92" s="1730"/>
      <c r="Q92" s="1729" t="str">
        <f>Input!$UG$36</f>
        <v>(940) 369-5089</v>
      </c>
      <c r="R92" s="1730"/>
      <c r="S92" s="276"/>
      <c r="T92" s="1731" t="str">
        <f>HYPERLINK("Mailto:"&amp;Input!$UH$36,Input!$UH$36)</f>
        <v>Leydi.Carter@untsystem.edu</v>
      </c>
      <c r="U92" s="1730"/>
      <c r="Y92" s="268"/>
      <c r="Z92" s="447"/>
      <c r="AA92" s="442"/>
      <c r="AB92" s="449"/>
    </row>
    <row r="93" spans="1:28" ht="13.5" thickBot="1">
      <c r="B93" s="179" t="s">
        <v>58</v>
      </c>
      <c r="C93" s="179"/>
      <c r="D93" s="380">
        <f t="shared" ref="D93:K93" si="24">SUM(D85:D92)</f>
        <v>19634581</v>
      </c>
      <c r="E93" s="380">
        <f t="shared" si="24"/>
        <v>43075927</v>
      </c>
      <c r="F93" s="380">
        <f t="shared" si="24"/>
        <v>12792599</v>
      </c>
      <c r="G93" s="380">
        <f t="shared" si="24"/>
        <v>5437949</v>
      </c>
      <c r="H93" s="380">
        <f t="shared" si="24"/>
        <v>864749</v>
      </c>
      <c r="I93" s="380">
        <f t="shared" si="24"/>
        <v>6040045</v>
      </c>
      <c r="J93" s="380">
        <f t="shared" si="24"/>
        <v>0</v>
      </c>
      <c r="K93" s="380">
        <f t="shared" si="24"/>
        <v>10451438</v>
      </c>
      <c r="L93" s="380">
        <f>SUM(L85:L92)</f>
        <v>-34448212</v>
      </c>
      <c r="M93" s="380">
        <f>D93+E93+F93+G93+H93+I93+J93+K93+L93</f>
        <v>63849076</v>
      </c>
      <c r="N93" s="160"/>
      <c r="O93" s="506"/>
      <c r="P93" s="507"/>
      <c r="Q93" s="276"/>
      <c r="R93" s="276"/>
      <c r="S93" s="276"/>
      <c r="T93" s="507"/>
      <c r="U93" s="508"/>
      <c r="Y93" s="268"/>
      <c r="Z93" s="447"/>
      <c r="AA93" s="442"/>
      <c r="AB93" s="449"/>
    </row>
    <row r="94" spans="1:28" ht="13.5" thickTop="1">
      <c r="C94" s="160"/>
      <c r="D94" s="165"/>
      <c r="E94" s="165"/>
      <c r="F94" s="165"/>
      <c r="G94" s="165"/>
      <c r="H94" s="165"/>
      <c r="I94" s="165"/>
      <c r="J94" s="165"/>
      <c r="K94" s="165"/>
      <c r="L94" s="165"/>
      <c r="M94" s="180"/>
      <c r="N94" s="160"/>
      <c r="O94" s="1720" t="s">
        <v>593</v>
      </c>
      <c r="P94" s="1721"/>
      <c r="Q94" s="1721"/>
      <c r="R94" s="1721"/>
      <c r="S94" s="1721"/>
      <c r="T94" s="1721"/>
      <c r="U94" s="1722"/>
      <c r="Y94" s="268"/>
      <c r="Z94" s="451"/>
      <c r="AA94" s="442"/>
      <c r="AB94" s="449"/>
    </row>
    <row r="95" spans="1:28">
      <c r="B95" s="171" t="s">
        <v>1369</v>
      </c>
      <c r="C95" s="169"/>
      <c r="D95" s="165"/>
      <c r="E95" s="165"/>
      <c r="F95" s="165"/>
      <c r="G95" s="165"/>
      <c r="H95" s="165"/>
      <c r="I95" s="165"/>
      <c r="J95" s="165"/>
      <c r="K95" s="165"/>
      <c r="L95" s="165"/>
      <c r="M95" s="180"/>
      <c r="N95" s="160"/>
      <c r="O95" s="1720"/>
      <c r="P95" s="1721"/>
      <c r="Q95" s="1721"/>
      <c r="R95" s="1721"/>
      <c r="S95" s="1721"/>
      <c r="T95" s="1721"/>
      <c r="U95" s="1722"/>
      <c r="Y95" s="268"/>
      <c r="Z95" s="452"/>
      <c r="AA95" s="453"/>
      <c r="AB95" s="454"/>
    </row>
    <row r="96" spans="1:28">
      <c r="B96" s="169" t="s">
        <v>80</v>
      </c>
      <c r="C96" s="160"/>
      <c r="D96" s="165"/>
      <c r="E96" s="165"/>
      <c r="F96" s="165"/>
      <c r="G96" s="165"/>
      <c r="H96" s="165"/>
      <c r="I96" s="165"/>
      <c r="J96" s="165"/>
      <c r="K96" s="165"/>
      <c r="L96" s="165"/>
      <c r="M96" s="180"/>
      <c r="N96" s="160"/>
      <c r="O96" s="509"/>
      <c r="P96" s="510"/>
      <c r="Q96" s="511"/>
      <c r="R96" s="511"/>
      <c r="S96" s="511"/>
      <c r="T96" s="510"/>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Input!$SN$36</f>
        <v>63849076</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3" t="str">
        <f>IF($L$118&lt;&gt;Input!$F$36,"Out of Balance","Balanced")</f>
        <v>Balanced</v>
      </c>
      <c r="M102" s="517"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454572896</v>
      </c>
      <c r="E105" s="373">
        <f>SUM($E$10:$E$14)+SUM($E$19:$E$28)+SUM($E$32:$E$41)+$E$47+SUM($E$50:$E$55)+SUM($E$60:$E$70)+SUM($E$74:$E$77)+SUM($E$81:$E$82)+SUM($E$87:$E$92)</f>
        <v>550910726</v>
      </c>
      <c r="F105" s="373">
        <f>SUM($F$10:$F$14)+SUM($F$19:$F$28)+SUM($F$32:$F$41)+$F$47+SUM($F$50:$F$55)+SUM($F$60:$F$70)+SUM($F$74:$F$77)+SUM($F$81:$F$82)+SUM($F$87:$F$92)</f>
        <v>101435661</v>
      </c>
      <c r="G105" s="373">
        <f>SUM($G$10:$G$14)+SUM($G$19:$G$28)+SUM($G$32:$G$41)+$G$47+SUM($G$50:$G$55)+SUM($G$60:$G$70)+SUM($G$74:$G$77)+SUM($G$81:$G$82)+SUM($G$87:$G$92)</f>
        <v>315440239</v>
      </c>
      <c r="H105" s="373">
        <f>SUM($H$10:$H$14)+SUM($H$19:$H$28)+SUM($H$32:$H$41)+$H$47+SUM($H$50:$H$55)+SUM($H$60:$H$70)+SUM($H$74:$H$77)+SUM($H$81:$H$82)+SUM($H$87:$H$92)</f>
        <v>1518625</v>
      </c>
      <c r="I105" s="373">
        <f>SUM($I$10:$I$14)+SUM($I$19:$I$28)+SUM($I$32:$I$41)+$I$47+SUM($I$50:$I$55)+SUM($I$60:$I$70)+SUM($I$74:$I$77)+SUM($I$81:$I$82)+SUM($I$87:$I$92)</f>
        <v>6635901</v>
      </c>
      <c r="J105" s="373">
        <f>SUM($J$10:$J$14)+SUM($J$19:$J$28)+SUM($J$32:$J$41)+$J$47+SUM($J$50:$J$55)+SUM($J$60:$J$70)+SUM($J$74:$J$77)+SUM($J$81:$J$82)+SUM($J$87:$J$92)</f>
        <v>0</v>
      </c>
      <c r="K105" s="373">
        <f>SUM($K$10:$K$14)+SUM($K$19:$K$28)+SUM($K$32:$K$41)+$K$47+SUM($K$50:$K$55)+SUM($K$60:$K$70)+SUM($K$74:$K$77)+SUM($K$81:$K$82)+SUM($K$87:$K$92)</f>
        <v>10451438</v>
      </c>
      <c r="L105" s="373">
        <f>SUM($L$10:$L$14)+SUM($L$19:$L$28)+SUM($L$32:$L$41)+$L$47+SUM($L$50:$L$55)+SUM($L$60:$L$70)+SUM($L$74:$L$77)+SUM($L$81:$L$82)+SUM($L$87:$L$92)</f>
        <v>-20881308</v>
      </c>
      <c r="M105" s="373"/>
      <c r="N105" s="264"/>
      <c r="O105" s="373"/>
      <c r="P105" s="450">
        <f>M18-INT(M18)</f>
        <v>0</v>
      </c>
    </row>
    <row r="106" spans="2:28">
      <c r="B106" s="261"/>
      <c r="C106" s="261"/>
      <c r="D106" s="261"/>
      <c r="E106" s="261"/>
      <c r="F106" s="261"/>
      <c r="G106" s="261"/>
      <c r="H106" s="261"/>
      <c r="I106" s="261"/>
      <c r="J106" s="261"/>
      <c r="K106" s="261"/>
      <c r="L106" s="373">
        <f>SUM($D$105:$L$105)</f>
        <v>1420084178</v>
      </c>
      <c r="M106" s="261"/>
      <c r="N106" s="264"/>
      <c r="O106" s="373"/>
      <c r="P106" s="450">
        <f>M31-INT(M31)</f>
        <v>0</v>
      </c>
    </row>
    <row r="107" spans="2:28">
      <c r="B107" s="261"/>
      <c r="C107" s="261"/>
      <c r="D107" s="261"/>
      <c r="E107" s="261"/>
      <c r="F107" s="261"/>
      <c r="G107" s="261"/>
      <c r="H107" s="261"/>
      <c r="I107" s="261"/>
      <c r="J107" s="261" t="s">
        <v>1299</v>
      </c>
      <c r="K107" s="261"/>
      <c r="L107" s="373">
        <f>$M$100</f>
        <v>63849076</v>
      </c>
      <c r="M107" s="261"/>
      <c r="N107" s="264"/>
      <c r="O107" s="373"/>
      <c r="P107" s="450">
        <f>M93-INT(M93)</f>
        <v>0</v>
      </c>
    </row>
    <row r="108" spans="2:28">
      <c r="B108" s="261"/>
      <c r="C108" s="261"/>
      <c r="D108" s="261"/>
      <c r="E108" s="261"/>
      <c r="F108" s="261"/>
      <c r="G108" s="261"/>
      <c r="H108" s="261"/>
      <c r="I108" s="261"/>
      <c r="J108" s="261" t="s">
        <v>1300</v>
      </c>
      <c r="K108" s="261"/>
      <c r="L108" s="512">
        <f>$Q$32</f>
        <v>491784982</v>
      </c>
      <c r="M108" s="261"/>
      <c r="N108" s="264"/>
      <c r="O108" s="373"/>
    </row>
    <row r="109" spans="2:28">
      <c r="B109" s="261"/>
      <c r="C109" s="261"/>
      <c r="D109" s="261"/>
      <c r="E109" s="261"/>
      <c r="F109" s="261"/>
      <c r="G109" s="261"/>
      <c r="H109" s="261"/>
      <c r="I109" s="261"/>
      <c r="J109" s="261" t="s">
        <v>1300</v>
      </c>
      <c r="K109" s="261"/>
      <c r="L109" s="512">
        <f>$R$34</f>
        <v>-128260331</v>
      </c>
      <c r="M109" s="261"/>
      <c r="N109" s="264"/>
      <c r="O109" s="373"/>
    </row>
    <row r="110" spans="2:28">
      <c r="B110" s="261"/>
      <c r="C110" s="261"/>
      <c r="D110" s="261"/>
      <c r="E110" s="261"/>
      <c r="F110" s="261"/>
      <c r="G110" s="261"/>
      <c r="H110" s="261"/>
      <c r="I110" s="261"/>
      <c r="J110" s="261" t="s">
        <v>29</v>
      </c>
      <c r="K110" s="261"/>
      <c r="L110" s="512">
        <f>SUM($P$60:$P$68)</f>
        <v>40988890</v>
      </c>
      <c r="M110" s="261"/>
      <c r="N110" s="264"/>
      <c r="O110" s="373"/>
    </row>
    <row r="111" spans="2:28">
      <c r="B111" s="261"/>
      <c r="C111" s="261"/>
      <c r="D111" s="261"/>
      <c r="E111" s="261"/>
      <c r="F111" s="261"/>
      <c r="G111" s="261"/>
      <c r="H111" s="261"/>
      <c r="I111" s="261"/>
      <c r="J111" s="261" t="s">
        <v>594</v>
      </c>
      <c r="K111" s="261"/>
      <c r="L111" s="373">
        <f>$Q$64</f>
        <v>24273287</v>
      </c>
      <c r="M111" s="261"/>
      <c r="N111" s="264"/>
      <c r="O111" s="373"/>
    </row>
    <row r="112" spans="2:28">
      <c r="B112" s="261"/>
      <c r="C112" s="261"/>
      <c r="D112" s="261"/>
      <c r="E112" s="261"/>
      <c r="F112" s="261"/>
      <c r="G112" s="261"/>
      <c r="H112" s="261"/>
      <c r="I112" s="261"/>
      <c r="J112" s="261" t="s">
        <v>595</v>
      </c>
      <c r="K112" s="261"/>
      <c r="L112" s="512">
        <f>SUM($V$60:$V$67)</f>
        <v>23478</v>
      </c>
      <c r="M112" s="261"/>
      <c r="N112" s="264"/>
      <c r="O112" s="373"/>
    </row>
    <row r="113" spans="2:15">
      <c r="B113" s="261"/>
      <c r="C113" s="261"/>
      <c r="D113" s="261"/>
      <c r="E113" s="261"/>
      <c r="F113" s="261"/>
      <c r="G113" s="261"/>
      <c r="H113" s="261"/>
      <c r="I113" s="261"/>
      <c r="J113" s="261" t="s">
        <v>596</v>
      </c>
      <c r="K113" s="261"/>
      <c r="L113" s="512">
        <f>SUM($W$60:$W$67)</f>
        <v>0</v>
      </c>
      <c r="M113" s="261"/>
      <c r="N113" s="264"/>
      <c r="O113" s="373"/>
    </row>
    <row r="114" spans="2:15">
      <c r="B114" s="261"/>
      <c r="C114" s="261"/>
      <c r="D114" s="261"/>
      <c r="E114" s="261"/>
      <c r="F114" s="261"/>
      <c r="G114" s="261"/>
      <c r="H114" s="261"/>
      <c r="I114" s="261"/>
      <c r="J114" s="261" t="s">
        <v>258</v>
      </c>
      <c r="K114" s="261"/>
      <c r="L114" s="512">
        <f>SUM($AA$60:$AA$68)</f>
        <v>653983168</v>
      </c>
      <c r="M114" s="261"/>
      <c r="N114" s="264"/>
      <c r="O114" s="373"/>
    </row>
    <row r="115" spans="2:15">
      <c r="B115" s="261"/>
      <c r="C115" s="261"/>
      <c r="D115" s="261"/>
      <c r="E115" s="261"/>
      <c r="F115" s="261"/>
      <c r="G115" s="261"/>
      <c r="H115" s="261"/>
      <c r="I115" s="261"/>
      <c r="J115" s="261" t="s">
        <v>597</v>
      </c>
      <c r="K115" s="261"/>
      <c r="L115" s="512">
        <f>$R$77</f>
        <v>167208</v>
      </c>
      <c r="M115" s="261"/>
      <c r="N115" s="264"/>
      <c r="O115" s="373"/>
    </row>
    <row r="116" spans="2:15">
      <c r="B116" s="261"/>
      <c r="C116" s="261"/>
      <c r="D116" s="261"/>
      <c r="E116" s="261"/>
      <c r="F116" s="261"/>
      <c r="G116" s="261"/>
      <c r="H116" s="261"/>
      <c r="I116" s="261"/>
      <c r="J116" s="261" t="s">
        <v>597</v>
      </c>
      <c r="K116" s="261"/>
      <c r="L116" s="512">
        <f>$R$80</f>
        <v>29286184</v>
      </c>
      <c r="M116" s="261"/>
      <c r="N116" s="264"/>
      <c r="O116" s="373"/>
    </row>
    <row r="117" spans="2:15">
      <c r="B117" s="261"/>
      <c r="C117" s="261"/>
      <c r="D117" s="261"/>
      <c r="E117" s="261"/>
      <c r="F117" s="261"/>
      <c r="G117" s="261"/>
      <c r="H117" s="261"/>
      <c r="I117" s="261"/>
      <c r="J117" s="261" t="s">
        <v>1231</v>
      </c>
      <c r="K117" s="261"/>
      <c r="L117" s="1008">
        <f>VLOOKUP(B2,Names!B5:$C$87,2,FALSE)</f>
        <v>3594</v>
      </c>
      <c r="M117" s="261"/>
      <c r="N117" s="264"/>
      <c r="O117" s="373"/>
    </row>
    <row r="118" spans="2:15">
      <c r="B118" s="261"/>
      <c r="C118" s="261"/>
      <c r="D118" s="261"/>
      <c r="E118" s="261"/>
      <c r="F118" s="261"/>
      <c r="G118" s="261"/>
      <c r="H118" s="261"/>
      <c r="I118" s="261"/>
      <c r="J118" s="261"/>
      <c r="K118" s="261"/>
      <c r="L118" s="373">
        <f>SUM(L106:L117)</f>
        <v>2596183714</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V56:V59"/>
    <mergeCell ref="W56:W59"/>
    <mergeCell ref="G59:K59"/>
    <mergeCell ref="AA56:AA59"/>
    <mergeCell ref="Z55:AB55"/>
    <mergeCell ref="R56:R59"/>
    <mergeCell ref="O55:R55"/>
    <mergeCell ref="T55:X55"/>
    <mergeCell ref="X56:X59"/>
    <mergeCell ref="AB56:AB59"/>
    <mergeCell ref="Z56:Z59"/>
    <mergeCell ref="B2:F2"/>
    <mergeCell ref="B3:F3"/>
    <mergeCell ref="B4:F4"/>
    <mergeCell ref="B6:M6"/>
    <mergeCell ref="P4:Q4"/>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s>
  <conditionalFormatting sqref="U87:X88 O88:Q88">
    <cfRule type="cellIs" dxfId="346" priority="129" stopIfTrue="1" operator="notEqual">
      <formula>#REF!</formula>
    </cfRule>
  </conditionalFormatting>
  <conditionalFormatting sqref="P70">
    <cfRule type="expression" dxfId="345" priority="108">
      <formula>$P$69&lt;&gt;$M$69</formula>
    </cfRule>
  </conditionalFormatting>
  <conditionalFormatting sqref="AB72">
    <cfRule type="expression" dxfId="344" priority="107">
      <formula>$AB$71&lt;&gt;0</formula>
    </cfRule>
  </conditionalFormatting>
  <conditionalFormatting sqref="P71">
    <cfRule type="expression" dxfId="343" priority="106">
      <formula>P69-INT(P69)</formula>
    </cfRule>
  </conditionalFormatting>
  <conditionalFormatting sqref="V70">
    <cfRule type="expression" dxfId="342" priority="104">
      <formula>X68-INT(X68)</formula>
    </cfRule>
  </conditionalFormatting>
  <conditionalFormatting sqref="O11">
    <cfRule type="expression" dxfId="341" priority="97">
      <formula>#REF!&lt;&gt;$M$11</formula>
    </cfRule>
  </conditionalFormatting>
  <conditionalFormatting sqref="U87:U88 O88:Q88">
    <cfRule type="cellIs" dxfId="340" priority="88" stopIfTrue="1" operator="notEqual">
      <formula>#REF!</formula>
    </cfRule>
  </conditionalFormatting>
  <conditionalFormatting sqref="R84">
    <cfRule type="expression" priority="86" stopIfTrue="1">
      <formula>$M$85&lt;0</formula>
    </cfRule>
    <cfRule type="expression" dxfId="339" priority="87">
      <formula>$S$85&lt;&gt;0</formula>
    </cfRule>
  </conditionalFormatting>
  <conditionalFormatting sqref="R80 R77">
    <cfRule type="expression" dxfId="338" priority="84" stopIfTrue="1">
      <formula>$M$85&gt;=0</formula>
    </cfRule>
    <cfRule type="expression" priority="85">
      <formula>$M$85&lt;0</formula>
    </cfRule>
  </conditionalFormatting>
  <conditionalFormatting sqref="U87:U88 O88:Q88">
    <cfRule type="cellIs" dxfId="337" priority="83" stopIfTrue="1" operator="notEqual">
      <formula>#REF!</formula>
    </cfRule>
  </conditionalFormatting>
  <conditionalFormatting sqref="O12">
    <cfRule type="expression" dxfId="336" priority="67">
      <formula>$P$12&lt;&gt;$M$12</formula>
    </cfRule>
  </conditionalFormatting>
  <conditionalFormatting sqref="O13">
    <cfRule type="expression" dxfId="335" priority="66">
      <formula>$P$13&lt;&gt;$M$13</formula>
    </cfRule>
  </conditionalFormatting>
  <conditionalFormatting sqref="Q36">
    <cfRule type="expression" dxfId="334" priority="27">
      <formula>#REF!&lt;&gt;#REF!</formula>
    </cfRule>
  </conditionalFormatting>
  <conditionalFormatting sqref="R35">
    <cfRule type="expression" dxfId="333" priority="26">
      <formula>#REF!&lt;&gt;0</formula>
    </cfRule>
  </conditionalFormatting>
  <conditionalFormatting sqref="Q35">
    <cfRule type="expression" dxfId="332" priority="25">
      <formula>#REF!&lt;&gt;0</formula>
    </cfRule>
  </conditionalFormatting>
  <conditionalFormatting sqref="R36">
    <cfRule type="expression" dxfId="331" priority="24">
      <formula>#REF!&lt;&gt;#REF!</formula>
    </cfRule>
  </conditionalFormatting>
  <conditionalFormatting sqref="D93:M98 T94:T95 R90:S95 U87:X93 T90:T92 Y90:Y95 O88:O92 P88:Q93">
    <cfRule type="cellIs" dxfId="330" priority="23" stopIfTrue="1" operator="notEqual">
      <formula>#REF!</formula>
    </cfRule>
  </conditionalFormatting>
  <conditionalFormatting sqref="P70">
    <cfRule type="expression" dxfId="329" priority="22">
      <formula>$P$69&lt;&gt;$M$69</formula>
    </cfRule>
  </conditionalFormatting>
  <conditionalFormatting sqref="AB72">
    <cfRule type="expression" dxfId="328" priority="21">
      <formula>$AB$71&lt;&gt;0</formula>
    </cfRule>
  </conditionalFormatting>
  <conditionalFormatting sqref="P71">
    <cfRule type="expression" dxfId="327" priority="20">
      <formula>P69-INT(P69)</formula>
    </cfRule>
  </conditionalFormatting>
  <conditionalFormatting sqref="V70">
    <cfRule type="expression" dxfId="326" priority="19">
      <formula>X68-INT(X68)</formula>
    </cfRule>
  </conditionalFormatting>
  <conditionalFormatting sqref="O12">
    <cfRule type="expression" dxfId="325" priority="18">
      <formula>$P$12&lt;&gt;$M$12</formula>
    </cfRule>
  </conditionalFormatting>
  <conditionalFormatting sqref="T94:T95 R90:S95 U87:U93 T90:T92 O88:O92 P88:Q93">
    <cfRule type="cellIs" dxfId="324" priority="16" stopIfTrue="1" operator="notEqual">
      <formula>#REF!</formula>
    </cfRule>
  </conditionalFormatting>
  <conditionalFormatting sqref="R84">
    <cfRule type="expression" priority="14" stopIfTrue="1">
      <formula>$M$85&lt;0</formula>
    </cfRule>
    <cfRule type="expression" dxfId="323" priority="15">
      <formula>$S$85&lt;&gt;0</formula>
    </cfRule>
  </conditionalFormatting>
  <conditionalFormatting sqref="R80 R77">
    <cfRule type="expression" dxfId="322" priority="12" stopIfTrue="1">
      <formula>$M$85&gt;=0</formula>
    </cfRule>
    <cfRule type="expression" priority="13">
      <formula>$M$85&lt;0</formula>
    </cfRule>
  </conditionalFormatting>
  <conditionalFormatting sqref="U87:U88 R89:U92 O88:Q92">
    <cfRule type="cellIs" dxfId="321" priority="11" stopIfTrue="1" operator="notEqual">
      <formula>#REF!</formula>
    </cfRule>
  </conditionalFormatting>
  <conditionalFormatting sqref="M101">
    <cfRule type="expression" dxfId="320" priority="10">
      <formula>$M$101&lt;&gt;0</formula>
    </cfRule>
  </conditionalFormatting>
  <conditionalFormatting sqref="M102">
    <cfRule type="expression" dxfId="319" priority="9">
      <formula>$M$93&lt;&gt;$M$100</formula>
    </cfRule>
  </conditionalFormatting>
  <conditionalFormatting sqref="U87:U92 R90:T92 O88:Q92">
    <cfRule type="cellIs" dxfId="318" priority="8" stopIfTrue="1" operator="notEqual">
      <formula>#REF!</formula>
    </cfRule>
  </conditionalFormatting>
  <conditionalFormatting sqref="T89:U89 Q91 T90 O89:O90 P89:Q89 R89:S91">
    <cfRule type="cellIs" dxfId="317" priority="7" stopIfTrue="1" operator="notEqual">
      <formula>#REF!</formula>
    </cfRule>
  </conditionalFormatting>
  <conditionalFormatting sqref="Q36">
    <cfRule type="expression" dxfId="316" priority="6">
      <formula>#REF!&lt;&gt;#REF!</formula>
    </cfRule>
  </conditionalFormatting>
  <conditionalFormatting sqref="R35">
    <cfRule type="expression" dxfId="315" priority="5">
      <formula>#REF!&lt;&gt;0</formula>
    </cfRule>
  </conditionalFormatting>
  <conditionalFormatting sqref="Q35">
    <cfRule type="expression" dxfId="314" priority="4">
      <formula>#REF!&lt;&gt;0</formula>
    </cfRule>
  </conditionalFormatting>
  <conditionalFormatting sqref="R36">
    <cfRule type="expression" dxfId="313" priority="3">
      <formula>#REF!&lt;&gt;#REF!</formula>
    </cfRule>
  </conditionalFormatting>
  <conditionalFormatting sqref="G59:K59">
    <cfRule type="expression" dxfId="312" priority="1">
      <formula>OR($P$105&gt;0,$P$106&lt;&gt;0,$P$107&lt;&gt;0)</formula>
    </cfRule>
  </conditionalFormatting>
  <hyperlinks>
    <hyperlink ref="O2" location="Index!A1" display="Return to Index" xr:uid="{00000000-0004-0000-9300-000000000000}"/>
  </hyperlinks>
  <printOptions horizontalCentered="1"/>
  <pageMargins left="0.5" right="0.5" top="0.25" bottom="0.25" header="0" footer="0.25"/>
  <pageSetup scale="10" orientation="landscape" r:id="rId1"/>
  <headerFooter alignWithMargins="0"/>
  <colBreaks count="1" manualBreakCount="1">
    <brk id="13" max="1048575" man="1"/>
  </colBreaks>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sheetPr codeName="Sheet126"/>
  <dimension ref="A1:G30"/>
  <sheetViews>
    <sheetView showGridLines="0" zoomScale="80" zoomScaleNormal="80" workbookViewId="0">
      <selection activeCell="E74" sqref="E74:F74"/>
    </sheetView>
  </sheetViews>
  <sheetFormatPr defaultColWidth="9.140625" defaultRowHeight="12.75"/>
  <cols>
    <col min="1" max="1" width="7" style="53" customWidth="1"/>
    <col min="2" max="2" width="93.140625" style="53" customWidth="1"/>
    <col min="3" max="3" width="19.42578125" style="53" customWidth="1"/>
    <col min="4" max="9" width="9.140625" style="53"/>
    <col min="10" max="10" width="15.140625" style="53" customWidth="1"/>
    <col min="11" max="16384" width="9.140625" style="53"/>
  </cols>
  <sheetData>
    <row r="1" spans="2:6" ht="18.75" thickBot="1">
      <c r="B1" s="466" t="str">
        <f>'UNT Chrts'!$A$1</f>
        <v>University of North Texas</v>
      </c>
      <c r="C1" s="835" t="s">
        <v>1200</v>
      </c>
    </row>
    <row r="2" spans="2:6">
      <c r="B2" s="393" t="str">
        <f>'Smmy Chrts'!$A$2</f>
        <v>For the Year Ended August 31, 2021</v>
      </c>
    </row>
    <row r="3" spans="2:6">
      <c r="B3" s="393" t="str">
        <f>'Smmy Chrts'!$A$3</f>
        <v>Source: FY 2021 Annual Financial Report</v>
      </c>
    </row>
    <row r="5" spans="2:6" customFormat="1">
      <c r="B5" s="529" t="s">
        <v>705</v>
      </c>
    </row>
    <row r="6" spans="2:6" customFormat="1">
      <c r="B6" s="530"/>
    </row>
    <row r="7" spans="2:6" customFormat="1" ht="226.5" customHeight="1">
      <c r="B7" s="531" t="s">
        <v>706</v>
      </c>
      <c r="C7" s="532"/>
    </row>
    <row r="8" spans="2:6" customFormat="1" ht="263.25" customHeight="1">
      <c r="B8" s="531" t="s">
        <v>707</v>
      </c>
    </row>
    <row r="9" spans="2:6" ht="64.5" customHeight="1">
      <c r="B9" s="533" t="str">
        <f>IF('UNT FGD'!$R$76="N/A","FN11.  N/A",$B$20&amp;$B$21&amp;$B$22&amp;$B$23&amp;$B$24&amp;$B$25&amp;$B$26&amp;$B$27&amp;$B$28&amp;$B$29&amp;$B$30)</f>
        <v>FN11: Of the net increase of $89,848,685 approximately $167 thousand represents revenues received but not yet expended. This income is fully committed to program expenditures and capital disbursements. The remaining $89.7 million represents non-expendable funds from unrealized gains and additions to permanent endowments of approximately $29.3 million and $60.4 million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TEXT(IF('UNT FGD'!$M$85&lt;0,"N/A",'UNT FGD'!$M$85),"$* #,##0;$* (#,##0)")</f>
        <v>$89,848,685</v>
      </c>
      <c r="C21" s="480"/>
      <c r="D21" s="480"/>
      <c r="E21" s="480"/>
      <c r="G21" s="105"/>
    </row>
    <row r="22" spans="1:7">
      <c r="B22" s="105" t="s">
        <v>682</v>
      </c>
    </row>
    <row r="23" spans="1:7">
      <c r="A23" s="53">
        <v>61</v>
      </c>
      <c r="B23" s="515" t="str">
        <f>IF(ABS('UNT FGD'!$R$77)&gt;=1000000,TEXT('UNT FGD'!$R$77/1000000,"$* #,##0.0;$* (#,##0.0)")&amp;" million",IF(ABS('UNT FGD'!$R$77)&lt;1000,TEXT('UNT FGD'!$R$77,"$* #,##0;$* (#,##0)"),TEXT('UNT FGD'!$R$77/1000,"$* #,##0;$* (#,##0)")&amp;" thousand"))</f>
        <v>$167 thousand</v>
      </c>
      <c r="C23" s="515"/>
      <c r="E23" s="515"/>
    </row>
    <row r="24" spans="1:7">
      <c r="B24" s="105" t="s">
        <v>708</v>
      </c>
    </row>
    <row r="25" spans="1:7">
      <c r="A25" s="53">
        <v>62</v>
      </c>
      <c r="B25" s="515" t="str">
        <f>IF(ABS('UNT FGD'!$R$78)&gt;=1000000,TEXT('UNT FGD'!$R$78/1000000,"$* #,##0.0;$* (#,##0.0)")&amp;" million",IF(ABS('UNT FGD'!$R$78)&lt;1000,TEXT('UNT FGD'!$R$78,"$* #,##0;$* (#,##0)"),TEXT('UNT FGD'!$R$78/1000,"$* #,##0;$* (#,##0)")&amp;" thousand"))</f>
        <v>$89.7 million</v>
      </c>
      <c r="C25" s="515"/>
      <c r="E25" s="515"/>
    </row>
    <row r="26" spans="1:7">
      <c r="B26" s="105" t="s">
        <v>683</v>
      </c>
    </row>
    <row r="27" spans="1:7">
      <c r="A27" s="53">
        <v>64</v>
      </c>
      <c r="B27" s="515" t="str">
        <f>IF(ABS('UNT FGD'!$R$80)&gt;=1000000,TEXT('UNT FGD'!$R$80/1000000,"$* #,##0.0;$* (#,##0.0)")&amp;" million",IF(ABS('UNT FGD'!$R$80)&lt;1000,TEXT('UNT FGD'!$R$80,"$* #,##0;$* (#,##0)"),TEXT('UNT FGD'!$R$80/1000,"$* #,##0;$* (#,##0)")&amp;" thousand"))</f>
        <v>$29.3 million</v>
      </c>
      <c r="C27" s="515"/>
      <c r="E27" s="515"/>
    </row>
    <row r="28" spans="1:7">
      <c r="B28" s="105" t="s">
        <v>684</v>
      </c>
    </row>
    <row r="29" spans="1:7">
      <c r="A29" s="53">
        <v>66</v>
      </c>
      <c r="B29" s="515" t="str">
        <f>IF(ABS('UNT FGD'!$R$82)&gt;=1000000,TEXT('UNT FGD'!$R$82/1000000,"$* #,##0.0;$* (#,##0.0)")&amp;" million",IF(ABS('UNT FGD'!$R$82)&lt;1000,TEXT('UNT FGD'!$R$82,"$* #,##0;$* (#,##0)"),TEXT('UNT FGD'!$R$82/1000,"$* #,##0;$* (#,##0)")&amp;" thousand"))</f>
        <v>$60.4 million</v>
      </c>
      <c r="C29" s="515"/>
      <c r="E29" s="515"/>
    </row>
    <row r="30" spans="1:7">
      <c r="B30" s="105" t="s">
        <v>709</v>
      </c>
    </row>
  </sheetData>
  <hyperlinks>
    <hyperlink ref="C1" location="Index!A1" display="Return to Index" xr:uid="{00000000-0004-0000-9400-000000000000}"/>
  </hyperlinks>
  <pageMargins left="0.25" right="0.25" top="0.25" bottom="0.25" header="0" footer="0.25"/>
  <pageSetup orientation="portrait" r:id="rId1"/>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59999389629810485"/>
    <pageSetUpPr fitToPage="1"/>
  </sheetPr>
  <dimension ref="A1:AH820"/>
  <sheetViews>
    <sheetView showGridLines="0" zoomScale="90" zoomScaleNormal="90" workbookViewId="0">
      <pane xSplit="6" ySplit="10" topLeftCell="G11" activePane="bottomRight" state="frozen"/>
      <selection activeCell="F74" sqref="E74:F74"/>
      <selection pane="topRight" activeCell="F74" sqref="E74:F74"/>
      <selection pane="bottomLeft" activeCell="F74" sqref="E74:F74"/>
      <selection pane="bottomRight" activeCell="N15" sqref="N15"/>
    </sheetView>
  </sheetViews>
  <sheetFormatPr defaultColWidth="9.140625" defaultRowHeight="12.75" outlineLevelRow="1"/>
  <cols>
    <col min="1" max="1" width="7.28515625" style="480" customWidth="1"/>
    <col min="2" max="2" width="5" style="480" customWidth="1"/>
    <col min="3" max="3" width="13" style="480" customWidth="1"/>
    <col min="4" max="4" width="25.140625" style="53" customWidth="1"/>
    <col min="5" max="5" width="10.28515625" style="53" customWidth="1"/>
    <col min="6" max="6" width="10.5703125" style="53" bestFit="1" customWidth="1"/>
    <col min="7" max="7" width="15.5703125" style="154" customWidth="1"/>
    <col min="8" max="8" width="17.28515625" style="154" customWidth="1"/>
    <col min="9" max="9" width="17.85546875" style="154" customWidth="1"/>
    <col min="10" max="10" width="9.7109375" style="154" customWidth="1"/>
    <col min="11" max="12" width="18.5703125" style="154" customWidth="1"/>
    <col min="13" max="15" width="13.5703125" style="53" customWidth="1"/>
    <col min="16" max="16" width="4.140625" style="68" customWidth="1"/>
    <col min="17" max="17" width="13.42578125" style="53" customWidth="1"/>
    <col min="18" max="18" width="19" style="53" customWidth="1"/>
    <col min="19" max="19" width="4.140625" style="68" customWidth="1"/>
    <col min="20" max="20" width="13.42578125" style="53" customWidth="1"/>
    <col min="21" max="21" width="19" style="53" customWidth="1"/>
    <col min="22" max="22" width="4" style="53" customWidth="1"/>
    <col min="23" max="23" width="19.42578125" style="53" customWidth="1"/>
    <col min="24" max="24" width="16.5703125" style="53" customWidth="1"/>
    <col min="25" max="25" width="26.85546875" style="53" customWidth="1"/>
    <col min="26" max="27" width="9.140625" style="53"/>
    <col min="28" max="28" width="10.85546875" style="53" customWidth="1"/>
    <col min="29" max="29" width="11" style="53" customWidth="1"/>
    <col min="30" max="31" width="11.85546875" style="53" customWidth="1"/>
    <col min="32" max="16384" width="9.140625" style="53"/>
  </cols>
  <sheetData>
    <row r="1" spans="1:33" ht="13.5" thickBot="1">
      <c r="G1" s="814" t="s">
        <v>131</v>
      </c>
      <c r="H1" s="114"/>
      <c r="I1" s="114"/>
      <c r="J1" s="114"/>
      <c r="K1" s="855" t="s">
        <v>1200</v>
      </c>
      <c r="L1" s="114"/>
    </row>
    <row r="2" spans="1:33">
      <c r="G2" s="814" t="s">
        <v>2388</v>
      </c>
      <c r="H2" s="114"/>
      <c r="I2" s="114"/>
      <c r="J2" s="114"/>
      <c r="K2" s="114"/>
      <c r="L2" s="114"/>
    </row>
    <row r="3" spans="1:33">
      <c r="A3" s="215" t="s">
        <v>2156</v>
      </c>
      <c r="G3" s="68" t="s">
        <v>2484</v>
      </c>
      <c r="H3" s="114"/>
      <c r="I3" s="114"/>
      <c r="J3" s="114"/>
      <c r="K3" s="114"/>
      <c r="L3" s="114"/>
      <c r="AA3" s="53" t="s">
        <v>2205</v>
      </c>
    </row>
    <row r="4" spans="1:33">
      <c r="G4" s="114"/>
      <c r="H4" s="114"/>
      <c r="I4" s="114"/>
      <c r="J4" s="114"/>
      <c r="K4" s="114"/>
      <c r="L4" s="114"/>
    </row>
    <row r="5" spans="1:33">
      <c r="A5" s="1661" t="s">
        <v>1214</v>
      </c>
      <c r="B5" s="1662"/>
      <c r="C5" s="1663"/>
      <c r="F5" s="480" t="s">
        <v>1127</v>
      </c>
      <c r="G5" s="114"/>
      <c r="H5" s="114"/>
      <c r="I5" s="114"/>
      <c r="J5" s="114"/>
      <c r="K5" s="114"/>
      <c r="L5" s="114"/>
    </row>
    <row r="6" spans="1:33">
      <c r="E6" s="480">
        <v>2021</v>
      </c>
      <c r="F6" s="480" t="s">
        <v>1128</v>
      </c>
      <c r="G6" s="114"/>
      <c r="H6" s="114"/>
      <c r="I6" s="114"/>
      <c r="J6" s="114"/>
      <c r="K6" s="114"/>
      <c r="L6" s="114"/>
      <c r="Q6" s="1667" t="s">
        <v>2280</v>
      </c>
      <c r="R6" s="1668"/>
      <c r="T6" s="1667" t="s">
        <v>2279</v>
      </c>
      <c r="U6" s="1668"/>
    </row>
    <row r="7" spans="1:33">
      <c r="F7" s="480" t="s">
        <v>1129</v>
      </c>
      <c r="G7" s="114"/>
      <c r="H7" s="114"/>
      <c r="I7" s="114"/>
      <c r="J7" s="114"/>
      <c r="K7" s="114"/>
      <c r="L7" s="114"/>
      <c r="N7" s="1652" t="s">
        <v>1332</v>
      </c>
      <c r="O7" s="1653"/>
      <c r="Q7" s="1667" t="s">
        <v>2275</v>
      </c>
      <c r="R7" s="1668"/>
      <c r="T7" s="1667" t="s">
        <v>2277</v>
      </c>
      <c r="U7" s="1668"/>
      <c r="W7" s="1649" t="s">
        <v>1084</v>
      </c>
      <c r="X7" s="1650"/>
      <c r="Y7" s="1651"/>
      <c r="AA7" s="1024" t="s">
        <v>2274</v>
      </c>
      <c r="AB7" s="1024"/>
      <c r="AC7" s="1024"/>
      <c r="AD7" s="1024" t="s">
        <v>2273</v>
      </c>
      <c r="AE7" s="1024"/>
    </row>
    <row r="8" spans="1:33" s="123" customFormat="1" ht="40.5" customHeight="1" thickBot="1">
      <c r="A8" s="1351" t="s">
        <v>1123</v>
      </c>
      <c r="B8" s="1664" t="s">
        <v>1134</v>
      </c>
      <c r="C8" s="1664"/>
      <c r="D8" s="118" t="s">
        <v>298</v>
      </c>
      <c r="E8" s="118" t="s">
        <v>1168</v>
      </c>
      <c r="F8" s="118" t="s">
        <v>132</v>
      </c>
      <c r="G8" s="858" t="s">
        <v>1160</v>
      </c>
      <c r="H8" s="858" t="s">
        <v>1174</v>
      </c>
      <c r="I8" s="858" t="s">
        <v>1194</v>
      </c>
      <c r="J8" s="858" t="s">
        <v>2147</v>
      </c>
      <c r="K8" s="858" t="s">
        <v>1334</v>
      </c>
      <c r="L8" s="858" t="s">
        <v>1335</v>
      </c>
      <c r="M8" s="796" t="s">
        <v>264</v>
      </c>
      <c r="N8" s="796" t="s">
        <v>1322</v>
      </c>
      <c r="O8" s="858" t="s">
        <v>1323</v>
      </c>
      <c r="P8" s="752"/>
      <c r="Q8" s="1669" t="s">
        <v>1242</v>
      </c>
      <c r="R8" s="1670"/>
      <c r="S8" s="752"/>
      <c r="T8" s="1669" t="s">
        <v>1242</v>
      </c>
      <c r="U8" s="1670"/>
      <c r="V8" s="621"/>
      <c r="W8" s="814" t="s">
        <v>299</v>
      </c>
      <c r="X8" s="158" t="s">
        <v>703</v>
      </c>
      <c r="Y8" s="814" t="s">
        <v>704</v>
      </c>
      <c r="AA8" s="1025" t="s">
        <v>1326</v>
      </c>
      <c r="AB8" s="1024"/>
      <c r="AC8" s="1024"/>
      <c r="AD8" s="1024"/>
      <c r="AE8" s="1024"/>
    </row>
    <row r="9" spans="1:33" s="55" customFormat="1" ht="30.75" customHeight="1">
      <c r="A9" s="1361" t="s">
        <v>2148</v>
      </c>
      <c r="B9" s="694"/>
      <c r="C9" s="694"/>
      <c r="D9" s="862"/>
      <c r="E9" s="694" t="s">
        <v>2141</v>
      </c>
      <c r="F9" s="694" t="s">
        <v>2142</v>
      </c>
      <c r="G9" s="863" t="s">
        <v>1172</v>
      </c>
      <c r="H9" s="864" t="s">
        <v>1175</v>
      </c>
      <c r="I9" s="864" t="s">
        <v>2144</v>
      </c>
      <c r="J9" s="864" t="s">
        <v>1177</v>
      </c>
      <c r="K9" s="864" t="s">
        <v>2145</v>
      </c>
      <c r="L9" s="864" t="s">
        <v>2146</v>
      </c>
      <c r="M9" s="1362" t="s">
        <v>2149</v>
      </c>
      <c r="N9" s="1362" t="s">
        <v>2150</v>
      </c>
      <c r="O9" s="865" t="s">
        <v>2151</v>
      </c>
      <c r="P9" s="1363"/>
      <c r="Q9" s="926" t="s">
        <v>1244</v>
      </c>
      <c r="R9" s="927" t="s">
        <v>1243</v>
      </c>
      <c r="S9" s="1363"/>
      <c r="T9" s="926" t="s">
        <v>1244</v>
      </c>
      <c r="U9" s="927" t="s">
        <v>1243</v>
      </c>
      <c r="W9" s="1352"/>
      <c r="X9" s="1352"/>
      <c r="Y9" s="1352"/>
      <c r="AA9" s="1364" t="s">
        <v>1231</v>
      </c>
      <c r="AB9" s="1364" t="s">
        <v>1322</v>
      </c>
      <c r="AC9" s="1364" t="s">
        <v>1323</v>
      </c>
      <c r="AD9" s="1364" t="s">
        <v>2152</v>
      </c>
      <c r="AE9" s="1364" t="s">
        <v>2153</v>
      </c>
    </row>
    <row r="10" spans="1:33" ht="18" customHeight="1" thickBot="1">
      <c r="A10" s="468" t="s">
        <v>1169</v>
      </c>
      <c r="D10" s="776"/>
      <c r="E10" s="793" t="s">
        <v>1171</v>
      </c>
      <c r="F10" s="480" t="s">
        <v>1170</v>
      </c>
      <c r="G10" s="859" t="s">
        <v>1161</v>
      </c>
      <c r="H10" s="860" t="s">
        <v>1163</v>
      </c>
      <c r="I10" s="860" t="s">
        <v>1164</v>
      </c>
      <c r="J10" s="860" t="s">
        <v>2154</v>
      </c>
      <c r="K10" s="860" t="s">
        <v>1166</v>
      </c>
      <c r="L10" s="860" t="s">
        <v>1167</v>
      </c>
      <c r="M10" s="1016" t="s">
        <v>1173</v>
      </c>
      <c r="N10" s="1016" t="s">
        <v>1324</v>
      </c>
      <c r="O10" s="1017" t="s">
        <v>1325</v>
      </c>
      <c r="P10" s="917"/>
      <c r="Q10" s="928" t="s">
        <v>1245</v>
      </c>
      <c r="R10" s="898" t="s">
        <v>1245</v>
      </c>
      <c r="S10" s="917"/>
      <c r="T10" s="928" t="s">
        <v>1245</v>
      </c>
      <c r="U10" s="898" t="s">
        <v>1245</v>
      </c>
      <c r="W10" s="763"/>
      <c r="X10" s="763"/>
      <c r="Y10" s="763"/>
      <c r="AA10" s="480">
        <v>1</v>
      </c>
      <c r="AB10" s="480">
        <v>2</v>
      </c>
      <c r="AC10" s="480">
        <v>3</v>
      </c>
      <c r="AD10" s="480">
        <v>4</v>
      </c>
      <c r="AE10" s="480">
        <v>5</v>
      </c>
    </row>
    <row r="11" spans="1:33" ht="14.25" customHeight="1">
      <c r="A11" s="468"/>
      <c r="D11" s="53" t="s">
        <v>1182</v>
      </c>
      <c r="E11" s="124">
        <f t="shared" ref="E11:E47" si="0">$E$6</f>
        <v>2021</v>
      </c>
      <c r="F11" s="910">
        <v>20</v>
      </c>
      <c r="G11" s="884" t="s">
        <v>1183</v>
      </c>
      <c r="H11" s="885" t="s">
        <v>1183</v>
      </c>
      <c r="I11" s="885" t="s">
        <v>1183</v>
      </c>
      <c r="J11" s="886"/>
      <c r="K11" s="885" t="s">
        <v>1183</v>
      </c>
      <c r="L11" s="885" t="s">
        <v>1183</v>
      </c>
      <c r="M11" s="1018" t="s">
        <v>1183</v>
      </c>
      <c r="N11" s="1020">
        <f t="shared" ref="N11:N47" si="1">VLOOKUP($F11,$AA$13:$AE$59,2,FALSE)</f>
        <v>25</v>
      </c>
      <c r="O11" s="1021">
        <f t="shared" ref="O11:O47" si="2">VLOOKUP($F11,$AA$13:$AE$59,3,FALSE)</f>
        <v>25</v>
      </c>
      <c r="P11" s="918"/>
      <c r="Q11" s="929" t="s">
        <v>1183</v>
      </c>
      <c r="R11" s="923" t="s">
        <v>1183</v>
      </c>
      <c r="S11" s="918"/>
      <c r="T11" s="929" t="s">
        <v>1183</v>
      </c>
      <c r="U11" s="923" t="s">
        <v>1183</v>
      </c>
      <c r="W11" s="763"/>
      <c r="X11" s="763"/>
      <c r="Y11" s="763"/>
    </row>
    <row r="12" spans="1:33" ht="12.75" customHeight="1">
      <c r="A12" s="480">
        <v>320</v>
      </c>
      <c r="B12" s="678"/>
      <c r="C12" s="68"/>
      <c r="D12" s="53" t="s">
        <v>140</v>
      </c>
      <c r="E12" s="124">
        <f t="shared" si="0"/>
        <v>2021</v>
      </c>
      <c r="F12" s="1000">
        <v>3541</v>
      </c>
      <c r="G12" s="887">
        <f>'ASU Sum'!$I$11</f>
        <v>5582</v>
      </c>
      <c r="H12" s="888">
        <f>'ASU Sum'!$I$14</f>
        <v>67120</v>
      </c>
      <c r="I12" s="888">
        <f>'ASU Sum'!$I$48</f>
        <v>14075</v>
      </c>
      <c r="J12" s="886"/>
      <c r="K12" s="888">
        <f>'ASU Sum'!$I$33</f>
        <v>18645</v>
      </c>
      <c r="L12" s="888">
        <f>'ASU Sum'!$I$35</f>
        <v>224196</v>
      </c>
      <c r="M12" s="1019">
        <f>'ASU Sum'!$C$6</f>
        <v>7617.63</v>
      </c>
      <c r="N12" s="1020">
        <f t="shared" si="1"/>
        <v>66</v>
      </c>
      <c r="O12" s="1021">
        <f t="shared" si="2"/>
        <v>92</v>
      </c>
      <c r="P12" s="886"/>
      <c r="Q12" s="930">
        <f>'ASU Sum'!$C$15</f>
        <v>6474</v>
      </c>
      <c r="R12" s="924">
        <f>'ASU Sum'!$C$20</f>
        <v>5874</v>
      </c>
      <c r="S12" s="886"/>
      <c r="T12" s="930">
        <f>'ASU Sum'!$C$10</f>
        <v>4666</v>
      </c>
      <c r="U12" s="924">
        <f>'ASU Sum'!$C$20</f>
        <v>5874</v>
      </c>
      <c r="W12" s="528" t="str">
        <f>'ASU FGD'!$O$92</f>
        <v>Janet Coleman</v>
      </c>
      <c r="X12" s="528" t="str">
        <f>'ASU FGD'!$Q$92</f>
        <v>325-942-2014</v>
      </c>
      <c r="Y12" s="528" t="str">
        <f>'ASU FGD'!$T$92</f>
        <v>janet.coleman@angelo.edu</v>
      </c>
    </row>
    <row r="13" spans="1:33" ht="15">
      <c r="A13" s="480">
        <v>210</v>
      </c>
      <c r="B13" s="678"/>
      <c r="C13" s="68"/>
      <c r="D13" s="53" t="s">
        <v>142</v>
      </c>
      <c r="E13" s="124">
        <f t="shared" si="0"/>
        <v>2021</v>
      </c>
      <c r="F13" s="1000">
        <v>3565</v>
      </c>
      <c r="G13" s="887">
        <f>'TAMUC Sum'!$I$11</f>
        <v>6346</v>
      </c>
      <c r="H13" s="888">
        <f>'TAMUC Sum'!$I$14</f>
        <v>89657</v>
      </c>
      <c r="I13" s="888">
        <f>'TAMUC Sum'!$I$48</f>
        <v>15871</v>
      </c>
      <c r="J13" s="886"/>
      <c r="K13" s="888">
        <f>'TAMUC Sum'!$I$33</f>
        <v>20598</v>
      </c>
      <c r="L13" s="888">
        <f>'TAMUC Sum'!$I$35</f>
        <v>291022</v>
      </c>
      <c r="M13" s="1019">
        <f>'TAMUC Sum'!$C$6</f>
        <v>9311.4500000000007</v>
      </c>
      <c r="N13" s="1020">
        <f t="shared" si="1"/>
        <v>67</v>
      </c>
      <c r="O13" s="1021">
        <f t="shared" si="2"/>
        <v>83</v>
      </c>
      <c r="P13" s="886"/>
      <c r="Q13" s="930">
        <f>'TAMUC Sum'!$C$15</f>
        <v>7541</v>
      </c>
      <c r="R13" s="924">
        <f>'TAMUC Sum'!$C$20</f>
        <v>8602</v>
      </c>
      <c r="S13" s="886"/>
      <c r="T13" s="930">
        <f>'TAMUC Sum'!$C$10</f>
        <v>5577</v>
      </c>
      <c r="U13" s="924">
        <f>'TAMUC Sum'!$C$20</f>
        <v>8602</v>
      </c>
      <c r="W13" s="528" t="str">
        <f>'TAMUC FGD'!$O$92</f>
        <v>Chris Arrington</v>
      </c>
      <c r="X13" s="528" t="str">
        <f>'TAMUC FGD'!$Q$92</f>
        <v>979-458-9151</v>
      </c>
      <c r="Y13" s="528" t="str">
        <f>'TAMUC FGD'!$T$92</f>
        <v>carrington@tamus.edu</v>
      </c>
      <c r="AA13" s="1462">
        <v>20</v>
      </c>
      <c r="AB13" s="1460">
        <v>25</v>
      </c>
      <c r="AC13" s="1460">
        <v>25</v>
      </c>
      <c r="AD13" s="1461">
        <v>27530</v>
      </c>
      <c r="AE13" s="1461">
        <v>4816</v>
      </c>
      <c r="AF13" s="1035">
        <f>FTSE!N35</f>
        <v>546.67999999999995</v>
      </c>
      <c r="AG13" s="114" t="s">
        <v>265</v>
      </c>
    </row>
    <row r="14" spans="1:33" ht="15">
      <c r="A14" s="480">
        <v>270</v>
      </c>
      <c r="B14" s="678"/>
      <c r="C14" s="68"/>
      <c r="D14" s="53" t="s">
        <v>144</v>
      </c>
      <c r="E14" s="124">
        <f t="shared" si="0"/>
        <v>2021</v>
      </c>
      <c r="F14" s="1000">
        <v>3581</v>
      </c>
      <c r="G14" s="887">
        <f>'LU Sum'!$I$11</f>
        <v>4878</v>
      </c>
      <c r="H14" s="888">
        <f>'LU Sum'!$I$14</f>
        <v>71895</v>
      </c>
      <c r="I14" s="888">
        <f>'LU Sum'!$I$48</f>
        <v>15718</v>
      </c>
      <c r="J14" s="886"/>
      <c r="K14" s="888">
        <f>'LU Sum'!$I$33</f>
        <v>17335</v>
      </c>
      <c r="L14" s="888">
        <f>'LU Sum'!$I$35</f>
        <v>255512</v>
      </c>
      <c r="M14" s="1019">
        <f>'LU Sum'!$C$6</f>
        <v>13516.8</v>
      </c>
      <c r="N14" s="1020">
        <f t="shared" si="1"/>
        <v>68</v>
      </c>
      <c r="O14" s="1021">
        <f t="shared" si="2"/>
        <v>75</v>
      </c>
      <c r="P14" s="886"/>
      <c r="Q14" s="930">
        <f>'LU Sum'!$C$15</f>
        <v>5849</v>
      </c>
      <c r="R14" s="924">
        <f>'LU Sum'!$C$20</f>
        <v>8301</v>
      </c>
      <c r="S14" s="886"/>
      <c r="T14" s="930">
        <f>'LU Sum'!$C$10</f>
        <v>4358</v>
      </c>
      <c r="U14" s="924">
        <f>'LU Sum'!$C$20</f>
        <v>8301</v>
      </c>
      <c r="W14" s="528" t="str">
        <f>'LU FGD'!$O$92</f>
        <v>Cynthia Brown</v>
      </c>
      <c r="X14" s="528" t="str">
        <f>'LU FGD'!$Q$92</f>
        <v>409-880-7925</v>
      </c>
      <c r="Y14" s="528" t="str">
        <f>'LU FGD'!$T$92</f>
        <v>clbrown@lamar.edu</v>
      </c>
      <c r="AA14" s="1462">
        <v>3541</v>
      </c>
      <c r="AB14" s="1460">
        <v>66</v>
      </c>
      <c r="AC14" s="1460">
        <v>92</v>
      </c>
      <c r="AD14" s="1461">
        <v>73914</v>
      </c>
      <c r="AE14" s="1461">
        <v>25588</v>
      </c>
    </row>
    <row r="15" spans="1:33" ht="15">
      <c r="A15" s="480">
        <v>340</v>
      </c>
      <c r="B15" s="678"/>
      <c r="C15" s="68"/>
      <c r="D15" s="53" t="s">
        <v>146</v>
      </c>
      <c r="E15" s="124">
        <f t="shared" si="0"/>
        <v>2021</v>
      </c>
      <c r="F15" s="1000">
        <v>3592</v>
      </c>
      <c r="G15" s="887">
        <f>'MidWST Sum'!$I$11</f>
        <v>7106</v>
      </c>
      <c r="H15" s="888">
        <f>'MidWST Sum'!$I$14</f>
        <v>56892</v>
      </c>
      <c r="I15" s="888">
        <f>'MidWST Sum'!$I$48</f>
        <v>23622</v>
      </c>
      <c r="J15" s="886"/>
      <c r="K15" s="888">
        <f>'MidWST Sum'!$I$33</f>
        <v>23048</v>
      </c>
      <c r="L15" s="888">
        <f>'MidWST Sum'!$I$35</f>
        <v>184520</v>
      </c>
      <c r="M15" s="1019">
        <f>'MidWST Sum'!$C$6</f>
        <v>4322.33</v>
      </c>
      <c r="N15" s="1020">
        <f t="shared" si="1"/>
        <v>50</v>
      </c>
      <c r="O15" s="1021">
        <f t="shared" si="2"/>
        <v>75</v>
      </c>
      <c r="P15" s="886"/>
      <c r="Q15" s="930">
        <f>'MidWST Sum'!$C$15</f>
        <v>8248</v>
      </c>
      <c r="R15" s="924">
        <f>'MidWST Sum'!$C$20</f>
        <v>7828</v>
      </c>
      <c r="S15" s="886"/>
      <c r="T15" s="930">
        <f>'MidWST Sum'!$C$10</f>
        <v>6108</v>
      </c>
      <c r="U15" s="924">
        <f>'MidWST Sum'!$C$20</f>
        <v>7828</v>
      </c>
      <c r="W15" s="528" t="str">
        <f>'MidWST FGD'!$O$92</f>
        <v>Chris Stovall</v>
      </c>
      <c r="X15" s="528" t="str">
        <f>'MidWST FGD'!$Q$92</f>
        <v>(940) 397-4273</v>
      </c>
      <c r="Y15" s="528" t="str">
        <f>'MidWST FGD'!$T$92</f>
        <v>chris.stovall@msutexas.edu</v>
      </c>
      <c r="AA15" s="1462">
        <v>3565</v>
      </c>
      <c r="AB15" s="1460">
        <v>67</v>
      </c>
      <c r="AC15" s="1460">
        <v>83</v>
      </c>
      <c r="AD15" s="1461">
        <v>51440</v>
      </c>
      <c r="AE15" s="1461">
        <v>37709</v>
      </c>
    </row>
    <row r="16" spans="1:33" ht="15">
      <c r="A16" s="480">
        <v>330</v>
      </c>
      <c r="B16" s="678"/>
      <c r="C16" s="68"/>
      <c r="D16" s="53" t="s">
        <v>148</v>
      </c>
      <c r="E16" s="124">
        <f t="shared" si="0"/>
        <v>2021</v>
      </c>
      <c r="F16" s="1000">
        <v>3594</v>
      </c>
      <c r="G16" s="887">
        <f>'UNT Sum'!$I$11</f>
        <v>4799</v>
      </c>
      <c r="H16" s="888">
        <f>'UNT Sum'!$I$14</f>
        <v>64209</v>
      </c>
      <c r="I16" s="888">
        <f>'UNT Sum'!$I$48</f>
        <v>18787</v>
      </c>
      <c r="J16" s="886"/>
      <c r="K16" s="888">
        <f>'UNT Sum'!$I$33</f>
        <v>21063</v>
      </c>
      <c r="L16" s="888">
        <f>'UNT Sum'!$I$35</f>
        <v>281827</v>
      </c>
      <c r="M16" s="1019">
        <f>'UNT Sum'!$C$6</f>
        <v>34726.76</v>
      </c>
      <c r="N16" s="1020">
        <f t="shared" si="1"/>
        <v>92</v>
      </c>
      <c r="O16" s="1021">
        <f t="shared" si="2"/>
        <v>92</v>
      </c>
      <c r="P16" s="886"/>
      <c r="Q16" s="930">
        <f>'UNT Sum'!$C$15</f>
        <v>5874</v>
      </c>
      <c r="R16" s="924">
        <f>'UNT Sum'!$C$20</f>
        <v>10468</v>
      </c>
      <c r="S16" s="886"/>
      <c r="T16" s="930">
        <f>'UNT Sum'!$C$10</f>
        <v>3887</v>
      </c>
      <c r="U16" s="924">
        <f>'UNT Sum'!$C$20</f>
        <v>10468</v>
      </c>
      <c r="W16" s="528" t="str">
        <f>'UNT FGD'!$O$92</f>
        <v>Leydi Carter</v>
      </c>
      <c r="X16" s="528" t="str">
        <f>'UNT FGD'!$Q$92</f>
        <v>(940) 369-5089</v>
      </c>
      <c r="Y16" s="528" t="str">
        <f>'UNT FGD'!$T$92</f>
        <v>Leydi.Carter@untsystem.edu</v>
      </c>
      <c r="AA16" s="1462">
        <v>3581</v>
      </c>
      <c r="AB16" s="1460">
        <v>68</v>
      </c>
      <c r="AC16" s="1460">
        <v>75</v>
      </c>
      <c r="AD16" s="1461">
        <v>81717</v>
      </c>
      <c r="AE16" s="1461">
        <v>40139</v>
      </c>
    </row>
    <row r="17" spans="1:31" ht="15">
      <c r="A17" s="1123">
        <v>91</v>
      </c>
      <c r="B17" s="678"/>
      <c r="C17" s="68"/>
      <c r="D17" s="116" t="s">
        <v>1399</v>
      </c>
      <c r="E17" s="124">
        <f t="shared" si="0"/>
        <v>2021</v>
      </c>
      <c r="F17" s="1000">
        <v>3599</v>
      </c>
      <c r="G17" s="887">
        <f>'RGV1 Sum'!$I$11</f>
        <v>5385</v>
      </c>
      <c r="H17" s="888">
        <f>'RGV1 Sum'!$I$14</f>
        <v>83156</v>
      </c>
      <c r="I17" s="888">
        <f>'RGV1 Sum'!$I$48</f>
        <v>16038</v>
      </c>
      <c r="J17" s="886"/>
      <c r="K17" s="888">
        <f>'RGV1 Sum'!$I$33</f>
        <v>21161</v>
      </c>
      <c r="L17" s="888">
        <f>'RGV1 Sum'!$I$35</f>
        <v>326785</v>
      </c>
      <c r="M17" s="1019">
        <f>'RGV1 Sum'!$C$6</f>
        <v>28382.37</v>
      </c>
      <c r="N17" s="1020">
        <f t="shared" si="1"/>
        <v>66</v>
      </c>
      <c r="O17" s="1021">
        <f t="shared" si="2"/>
        <v>83</v>
      </c>
      <c r="P17" s="886"/>
      <c r="Q17" s="930">
        <f>'RGV1 Sum'!$C$15</f>
        <v>5385</v>
      </c>
      <c r="R17" s="924">
        <f>'RGV1 Sum'!$C$20</f>
        <v>4930</v>
      </c>
      <c r="S17" s="886"/>
      <c r="T17" s="930">
        <f>'RGV1 Sum'!$C$10</f>
        <v>3945</v>
      </c>
      <c r="U17" s="924">
        <f>'RGV1 Sum'!$C$20</f>
        <v>4930</v>
      </c>
      <c r="W17" s="528" t="str">
        <f>'RGV1 FGD'!$O$92</f>
        <v>Lilia M. St. Clair</v>
      </c>
      <c r="X17" s="528" t="str">
        <f>'RGV1 FGD'!$Q$92</f>
        <v>956-665-7906</v>
      </c>
      <c r="Y17" s="528" t="str">
        <f>'RGV1 FGD'!$T$92</f>
        <v>lilia.stclair@utrgv.edu</v>
      </c>
      <c r="AA17" s="1462">
        <v>3592</v>
      </c>
      <c r="AB17" s="1460">
        <v>50</v>
      </c>
      <c r="AC17" s="1460">
        <v>75</v>
      </c>
      <c r="AD17" s="1461">
        <v>62362</v>
      </c>
      <c r="AE17" s="1461">
        <v>54767</v>
      </c>
    </row>
    <row r="18" spans="1:31" ht="15">
      <c r="A18" s="1123">
        <v>281</v>
      </c>
      <c r="B18" s="678"/>
      <c r="C18" s="68"/>
      <c r="D18" s="116" t="s">
        <v>2262</v>
      </c>
      <c r="E18" s="124">
        <f t="shared" si="0"/>
        <v>2021</v>
      </c>
      <c r="F18" s="1000">
        <v>3606</v>
      </c>
      <c r="G18" s="887">
        <f>'shsu1 Sum'!$I$11</f>
        <v>5064</v>
      </c>
      <c r="H18" s="888">
        <f>'shsu1 Sum'!$I$14</f>
        <v>60487</v>
      </c>
      <c r="I18" s="888">
        <f>'shsu1 Sum'!$I$48</f>
        <v>16512</v>
      </c>
      <c r="J18" s="886"/>
      <c r="K18" s="888">
        <f>'shsu1 Sum'!$I$33</f>
        <v>21001</v>
      </c>
      <c r="L18" s="888">
        <f>'shsu1 Sum'!$I$35</f>
        <v>250827</v>
      </c>
      <c r="M18" s="1019">
        <f>'shsu1 Sum'!$C$6</f>
        <v>17594.09</v>
      </c>
      <c r="N18" s="1020">
        <f t="shared" si="1"/>
        <v>66</v>
      </c>
      <c r="O18" s="1021">
        <f t="shared" si="2"/>
        <v>92</v>
      </c>
      <c r="P18" s="886"/>
      <c r="Q18" s="930">
        <f>'shsu1 Sum'!$C$15</f>
        <v>6101</v>
      </c>
      <c r="R18" s="924">
        <f>'shsu1 Sum'!$C$20</f>
        <v>10053</v>
      </c>
      <c r="S18" s="886"/>
      <c r="T18" s="930">
        <f>'shsu1 Sum'!$C$10</f>
        <v>3970</v>
      </c>
      <c r="U18" s="924">
        <f>'shsu1 Sum'!$C$20</f>
        <v>10053</v>
      </c>
      <c r="W18" s="528" t="str">
        <f>'shsu1 FGD'!$O$92</f>
        <v>Amanda Withers</v>
      </c>
      <c r="X18" s="528" t="str">
        <f>'shsu1 FGD'!$Q$92</f>
        <v>936-294-2289</v>
      </c>
      <c r="Y18" s="528" t="str">
        <f>'shsu1 FGD'!$T$92</f>
        <v>withers@shsu.edu</v>
      </c>
      <c r="AA18" s="1462">
        <v>3594</v>
      </c>
      <c r="AB18" s="1460">
        <v>92</v>
      </c>
      <c r="AC18" s="1460">
        <v>92</v>
      </c>
      <c r="AD18" s="1461">
        <v>184506</v>
      </c>
      <c r="AE18" s="1461">
        <v>182816</v>
      </c>
    </row>
    <row r="19" spans="1:31" ht="15">
      <c r="A19" s="480">
        <v>290</v>
      </c>
      <c r="B19" s="678"/>
      <c r="C19" s="68"/>
      <c r="D19" s="53" t="s">
        <v>2155</v>
      </c>
      <c r="E19" s="124">
        <f t="shared" si="0"/>
        <v>2021</v>
      </c>
      <c r="F19" s="1000">
        <v>3615</v>
      </c>
      <c r="G19" s="887">
        <f>'TXST Sum'!$I$11</f>
        <v>5408</v>
      </c>
      <c r="H19" s="888">
        <f>'TXST Sum'!$I$14</f>
        <v>70757</v>
      </c>
      <c r="I19" s="888">
        <f>'TXST Sum'!$I$48</f>
        <v>16140</v>
      </c>
      <c r="J19" s="886"/>
      <c r="K19" s="888">
        <f>'TXST Sum'!$I$33</f>
        <v>19243</v>
      </c>
      <c r="L19" s="888">
        <f>'TXST Sum'!$I$35</f>
        <v>251786</v>
      </c>
      <c r="M19" s="1019">
        <f>'TXST Sum'!$C$6</f>
        <v>31295.23</v>
      </c>
      <c r="N19" s="1020">
        <f t="shared" si="1"/>
        <v>92</v>
      </c>
      <c r="O19" s="1021">
        <f t="shared" si="2"/>
        <v>100</v>
      </c>
      <c r="P19" s="886"/>
      <c r="Q19" s="930">
        <f>'TXST Sum'!$C$15</f>
        <v>6610</v>
      </c>
      <c r="R19" s="924">
        <f>'TXST Sum'!$C$20</f>
        <v>9128</v>
      </c>
      <c r="S19" s="886"/>
      <c r="T19" s="930">
        <f>'TXST Sum'!$C$10</f>
        <v>4410</v>
      </c>
      <c r="U19" s="924">
        <f>'TXST Sum'!$C$20</f>
        <v>9128</v>
      </c>
      <c r="W19" s="528" t="str">
        <f>'TXST FGD'!$O$92</f>
        <v>Cindy Haley</v>
      </c>
      <c r="X19" s="528" t="str">
        <f>'TXST FGD'!$Q$92</f>
        <v>512-245-2087</v>
      </c>
      <c r="Y19" s="528" t="str">
        <f>'TXST FGD'!$T$92</f>
        <v>cindy.haley@txstate.edu</v>
      </c>
      <c r="AA19" s="1462">
        <v>3599</v>
      </c>
      <c r="AB19" s="1460">
        <v>66</v>
      </c>
      <c r="AC19" s="1460">
        <v>83</v>
      </c>
      <c r="AD19" s="1461">
        <v>230993</v>
      </c>
      <c r="AE19" s="1461">
        <v>154631</v>
      </c>
    </row>
    <row r="20" spans="1:31" ht="15">
      <c r="A20" s="480">
        <v>350</v>
      </c>
      <c r="B20" s="678"/>
      <c r="C20" s="68"/>
      <c r="D20" s="53" t="s">
        <v>156</v>
      </c>
      <c r="E20" s="124">
        <f t="shared" si="0"/>
        <v>2021</v>
      </c>
      <c r="F20" s="1000">
        <v>3624</v>
      </c>
      <c r="G20" s="887">
        <f>'SFA Sum'!$I$11</f>
        <v>5680</v>
      </c>
      <c r="H20" s="888">
        <f>'SFA Sum'!$I$14</f>
        <v>47778</v>
      </c>
      <c r="I20" s="888">
        <f>'SFA Sum'!$I$48</f>
        <v>20262</v>
      </c>
      <c r="J20" s="886"/>
      <c r="K20" s="888">
        <f>'SFA Sum'!$I$33</f>
        <v>22474</v>
      </c>
      <c r="L20" s="888">
        <f>'SFA Sum'!$I$35</f>
        <v>189037</v>
      </c>
      <c r="M20" s="1019">
        <f>'SFA Sum'!$C$6</f>
        <v>10368.98</v>
      </c>
      <c r="N20" s="1020">
        <f t="shared" si="1"/>
        <v>50</v>
      </c>
      <c r="O20" s="1021">
        <f t="shared" si="2"/>
        <v>67</v>
      </c>
      <c r="P20" s="886"/>
      <c r="Q20" s="930">
        <f>'SFA Sum'!$C$15</f>
        <v>6768</v>
      </c>
      <c r="R20" s="924">
        <f>'SFA Sum'!$C$20</f>
        <v>7766</v>
      </c>
      <c r="S20" s="886"/>
      <c r="T20" s="930">
        <f>'SFA Sum'!$C$10</f>
        <v>4547</v>
      </c>
      <c r="U20" s="924">
        <f>'SFA Sum'!$C$20</f>
        <v>7766</v>
      </c>
      <c r="W20" s="528" t="str">
        <f>'SFA FGD'!$O$92</f>
        <v>Dannette Sales</v>
      </c>
      <c r="X20" s="528" t="str">
        <f>'SFA FGD'!$Q$92</f>
        <v>(936) 468-2354</v>
      </c>
      <c r="Y20" s="528" t="str">
        <f>'SFA FGD'!$T$92</f>
        <v>salesdl@sfasu.edu</v>
      </c>
      <c r="AA20" s="1462">
        <v>3606</v>
      </c>
      <c r="AB20" s="1460">
        <v>66</v>
      </c>
      <c r="AC20" s="1460">
        <v>92</v>
      </c>
      <c r="AD20" s="1461">
        <v>143793</v>
      </c>
      <c r="AE20" s="1461">
        <v>88110</v>
      </c>
    </row>
    <row r="21" spans="1:31" ht="15">
      <c r="A21" s="480">
        <v>300</v>
      </c>
      <c r="B21" s="678"/>
      <c r="C21" s="68"/>
      <c r="D21" s="53" t="s">
        <v>158</v>
      </c>
      <c r="E21" s="124">
        <f t="shared" si="0"/>
        <v>2021</v>
      </c>
      <c r="F21" s="1000">
        <v>3625</v>
      </c>
      <c r="G21" s="887">
        <f>'SRSU Sum'!$I$11</f>
        <v>12299</v>
      </c>
      <c r="H21" s="888">
        <f>'SRSU Sum'!$I$14</f>
        <v>84833</v>
      </c>
      <c r="I21" s="888">
        <f>'SRSU Sum'!$I$48</f>
        <v>26183</v>
      </c>
      <c r="J21" s="886"/>
      <c r="K21" s="888">
        <f>'SRSU Sum'!$I$33</f>
        <v>32014</v>
      </c>
      <c r="L21" s="888">
        <f>'SRSU Sum'!$I$35</f>
        <v>220823</v>
      </c>
      <c r="M21" s="1019">
        <f>'SRSU Sum'!$C$6</f>
        <v>1712.5099999999998</v>
      </c>
      <c r="N21" s="1020">
        <f t="shared" si="1"/>
        <v>25</v>
      </c>
      <c r="O21" s="1021">
        <f t="shared" si="2"/>
        <v>25</v>
      </c>
      <c r="P21" s="886"/>
      <c r="Q21" s="930">
        <f>'SRSU Sum'!$C$15</f>
        <v>13832</v>
      </c>
      <c r="R21" s="924">
        <f>'SRSU Sum'!$C$20</f>
        <v>5652</v>
      </c>
      <c r="S21" s="886"/>
      <c r="T21" s="930">
        <f>'SRSU Sum'!$C$10</f>
        <v>11236</v>
      </c>
      <c r="U21" s="924">
        <f>'SRSU Sum'!$C$20</f>
        <v>5652</v>
      </c>
      <c r="W21" s="528" t="str">
        <f>'SRSU FGD'!$O$92</f>
        <v>Bonnie Albright</v>
      </c>
      <c r="X21" s="528" t="str">
        <f>'SRSU FGD'!$Q$92</f>
        <v>432-837-8078</v>
      </c>
      <c r="Y21" s="528" t="str">
        <f>'SRSU FGD'!$T$92</f>
        <v>bonnie.albright@sulross.edu</v>
      </c>
      <c r="AA21" s="1462">
        <v>3615</v>
      </c>
      <c r="AB21" s="1460">
        <v>92</v>
      </c>
      <c r="AC21" s="1460">
        <v>100</v>
      </c>
      <c r="AD21" s="1461">
        <v>244816</v>
      </c>
      <c r="AE21" s="1461">
        <v>140726</v>
      </c>
    </row>
    <row r="22" spans="1:31" ht="15">
      <c r="A22" s="480">
        <v>150</v>
      </c>
      <c r="B22" s="678"/>
      <c r="C22" s="68"/>
      <c r="D22" s="53" t="s">
        <v>160</v>
      </c>
      <c r="E22" s="124">
        <f t="shared" si="0"/>
        <v>2021</v>
      </c>
      <c r="F22" s="1000">
        <v>3630</v>
      </c>
      <c r="G22" s="887">
        <f>'PVAMU Sum'!$I$11</f>
        <v>8522</v>
      </c>
      <c r="H22" s="888">
        <f>'PVAMU Sum'!$I$14</f>
        <v>80076</v>
      </c>
      <c r="I22" s="888">
        <f>'PVAMU Sum'!$I$48</f>
        <v>28823</v>
      </c>
      <c r="J22" s="886"/>
      <c r="K22" s="888">
        <f>'PVAMU Sum'!$I$33</f>
        <v>33803</v>
      </c>
      <c r="L22" s="888">
        <f>'PVAMU Sum'!$I$35</f>
        <v>317612</v>
      </c>
      <c r="M22" s="1019">
        <f>'PVAMU Sum'!$C$6</f>
        <v>8069.33</v>
      </c>
      <c r="N22" s="1020">
        <f t="shared" si="1"/>
        <v>58</v>
      </c>
      <c r="O22" s="1021">
        <f t="shared" si="2"/>
        <v>66</v>
      </c>
      <c r="P22" s="886"/>
      <c r="Q22" s="930">
        <f>'PVAMU Sum'!$C$15</f>
        <v>11819</v>
      </c>
      <c r="R22" s="924">
        <f>'PVAMU Sum'!$C$20</f>
        <v>7263</v>
      </c>
      <c r="S22" s="886"/>
      <c r="T22" s="930">
        <f>'PVAMU Sum'!$C$10</f>
        <v>6904</v>
      </c>
      <c r="U22" s="924">
        <f>'PVAMU Sum'!$C$20</f>
        <v>7263</v>
      </c>
      <c r="W22" s="528" t="str">
        <f>'PVAMU FGD'!$O$92</f>
        <v>Chris Arrington</v>
      </c>
      <c r="X22" s="528" t="str">
        <f>'PVAMU FGD'!$Q$92</f>
        <v>979-458-9151</v>
      </c>
      <c r="Y22" s="528" t="str">
        <f>'PVAMU FGD'!$T$92</f>
        <v>carrington@tamus.edu</v>
      </c>
      <c r="AA22" s="1462">
        <v>3624</v>
      </c>
      <c r="AB22" s="1460">
        <v>50</v>
      </c>
      <c r="AC22" s="1460">
        <v>67</v>
      </c>
      <c r="AD22" s="1461">
        <v>115915</v>
      </c>
      <c r="AE22" s="1461">
        <v>100849</v>
      </c>
    </row>
    <row r="23" spans="1:31" ht="15">
      <c r="A23" s="480">
        <v>160</v>
      </c>
      <c r="B23" s="678"/>
      <c r="C23" s="68"/>
      <c r="D23" s="53" t="s">
        <v>162</v>
      </c>
      <c r="E23" s="124">
        <f t="shared" si="0"/>
        <v>2021</v>
      </c>
      <c r="F23" s="1000">
        <v>3631</v>
      </c>
      <c r="G23" s="887">
        <f>'TARLST Sum'!$I$11</f>
        <v>5447</v>
      </c>
      <c r="H23" s="888">
        <f>'TARLST Sum'!$I$14</f>
        <v>72206</v>
      </c>
      <c r="I23" s="888">
        <f>'TARLST Sum'!$I$48</f>
        <v>14708</v>
      </c>
      <c r="J23" s="886"/>
      <c r="K23" s="888">
        <f>'TARLST Sum'!$I$33</f>
        <v>19733</v>
      </c>
      <c r="L23" s="888">
        <f>'TARLST Sum'!$I$35</f>
        <v>261575</v>
      </c>
      <c r="M23" s="1019">
        <f>'TARLST Sum'!$C$6</f>
        <v>11555.57</v>
      </c>
      <c r="N23" s="1020">
        <f t="shared" si="1"/>
        <v>58</v>
      </c>
      <c r="O23" s="1021">
        <f t="shared" si="2"/>
        <v>84</v>
      </c>
      <c r="P23" s="886"/>
      <c r="Q23" s="930">
        <f>'TARLST Sum'!$C$15</f>
        <v>5447</v>
      </c>
      <c r="R23" s="924">
        <f>'TARLST Sum'!$C$20</f>
        <v>8229</v>
      </c>
      <c r="S23" s="886"/>
      <c r="T23" s="930">
        <f>'TARLST Sum'!$C$10</f>
        <v>4638</v>
      </c>
      <c r="U23" s="924">
        <f>'TARLST Sum'!$C$20</f>
        <v>8229</v>
      </c>
      <c r="W23" s="528" t="str">
        <f>'TARLST FGD'!$O$92</f>
        <v>Chris Arrington</v>
      </c>
      <c r="X23" s="528" t="str">
        <f>'TARLST FGD'!$Q$92</f>
        <v>254-968-1643</v>
      </c>
      <c r="Y23" s="528" t="str">
        <f>'TARLST FGD'!$T$92</f>
        <v>fincher@tarleton.edu</v>
      </c>
      <c r="AA23" s="1465">
        <v>3625</v>
      </c>
      <c r="AB23" s="1460">
        <v>25</v>
      </c>
      <c r="AC23" s="1460">
        <v>25</v>
      </c>
      <c r="AD23" s="1461">
        <v>39207</v>
      </c>
      <c r="AE23" s="1461">
        <v>39130</v>
      </c>
    </row>
    <row r="24" spans="1:31" ht="15">
      <c r="A24" s="480">
        <v>130</v>
      </c>
      <c r="B24" s="678"/>
      <c r="C24" s="68"/>
      <c r="D24" s="53" t="s">
        <v>164</v>
      </c>
      <c r="E24" s="124">
        <f t="shared" si="0"/>
        <v>2021</v>
      </c>
      <c r="F24" s="1000">
        <v>3632</v>
      </c>
      <c r="G24" s="887">
        <f>'TAMU Sum'!$I$11</f>
        <v>7724</v>
      </c>
      <c r="H24" s="888">
        <f>'TAMU Sum'!$I$14</f>
        <v>94646</v>
      </c>
      <c r="I24" s="888">
        <f>'TAMU Sum'!$I$48</f>
        <v>28535</v>
      </c>
      <c r="J24" s="886"/>
      <c r="K24" s="888">
        <f>'TAMU Sum'!$I$33</f>
        <v>32199</v>
      </c>
      <c r="L24" s="888">
        <f>'TAMU Sum'!$I$35</f>
        <v>394578</v>
      </c>
      <c r="M24" s="1019">
        <f>'TAMU Sum'!$C$6</f>
        <v>58149.98</v>
      </c>
      <c r="N24" s="1020">
        <f t="shared" si="1"/>
        <v>84</v>
      </c>
      <c r="O24" s="1021">
        <f t="shared" si="2"/>
        <v>74</v>
      </c>
      <c r="P24" s="886"/>
      <c r="Q24" s="930">
        <f>'TAMU Sum'!$C$15</f>
        <v>11191</v>
      </c>
      <c r="R24" s="924">
        <f>'TAMU Sum'!$C$20</f>
        <v>11687</v>
      </c>
      <c r="S24" s="886"/>
      <c r="T24" s="930">
        <f>'TAMU Sum'!$C$10</f>
        <v>6321</v>
      </c>
      <c r="U24" s="924">
        <f>'TAMU Sum'!$C$20</f>
        <v>11687</v>
      </c>
      <c r="W24" s="528" t="str">
        <f>'TAMU FGD'!$O$92</f>
        <v>Chris Arrington</v>
      </c>
      <c r="X24" s="528" t="str">
        <f>'TAMU FGD'!$Q$92</f>
        <v>979-458-9151</v>
      </c>
      <c r="Y24" s="528" t="str">
        <f>'TAMU FGD'!$T$92</f>
        <v>carrington@tamus.edu</v>
      </c>
      <c r="AA24" s="1462">
        <v>3630</v>
      </c>
      <c r="AB24" s="1460">
        <v>58</v>
      </c>
      <c r="AC24" s="1460">
        <v>66</v>
      </c>
      <c r="AD24" s="1461">
        <v>91934</v>
      </c>
      <c r="AE24" s="1461">
        <v>84905</v>
      </c>
    </row>
    <row r="25" spans="1:31" ht="15">
      <c r="A25" s="480">
        <v>180</v>
      </c>
      <c r="B25" s="678"/>
      <c r="C25" s="68"/>
      <c r="D25" s="53" t="s">
        <v>166</v>
      </c>
      <c r="E25" s="124">
        <f t="shared" si="0"/>
        <v>2021</v>
      </c>
      <c r="F25" s="1000">
        <v>3639</v>
      </c>
      <c r="G25" s="887">
        <f>'TAMUK Sum'!$I$11</f>
        <v>9548</v>
      </c>
      <c r="H25" s="888">
        <f>'TAMUK Sum'!$I$14</f>
        <v>79916</v>
      </c>
      <c r="I25" s="888">
        <f>'TAMUK Sum'!$I$48</f>
        <v>23448</v>
      </c>
      <c r="J25" s="886"/>
      <c r="K25" s="888">
        <f>'TAMUK Sum'!$I$33</f>
        <v>27884</v>
      </c>
      <c r="L25" s="888">
        <f>'TAMUK Sum'!$I$35</f>
        <v>233378</v>
      </c>
      <c r="M25" s="1019">
        <f>'TAMUK Sum'!$C$6</f>
        <v>5616.08</v>
      </c>
      <c r="N25" s="1020">
        <f t="shared" si="1"/>
        <v>67</v>
      </c>
      <c r="O25" s="1021">
        <f t="shared" si="2"/>
        <v>33</v>
      </c>
      <c r="P25" s="886"/>
      <c r="Q25" s="930">
        <f>'TAMUK Sum'!$C$15</f>
        <v>11125</v>
      </c>
      <c r="R25" s="924">
        <f>'TAMUK Sum'!$C$20</f>
        <v>7049</v>
      </c>
      <c r="S25" s="886"/>
      <c r="T25" s="930">
        <f>'TAMUK Sum'!$C$10</f>
        <v>7922</v>
      </c>
      <c r="U25" s="924">
        <f>'TAMUK Sum'!$C$20</f>
        <v>7049</v>
      </c>
      <c r="W25" s="528" t="str">
        <f>'TAMUK FGD'!$O$92</f>
        <v>Chris Arrington</v>
      </c>
      <c r="X25" s="528" t="str">
        <f>'TAMUK FGD'!$Q$92</f>
        <v>979-458-9151</v>
      </c>
      <c r="Y25" s="528" t="str">
        <f>'TAMUK FGD'!$T$92</f>
        <v>carrington@tamus.edu</v>
      </c>
      <c r="AA25" s="1462">
        <v>3631</v>
      </c>
      <c r="AB25" s="1460">
        <v>58</v>
      </c>
      <c r="AC25" s="1460">
        <v>84</v>
      </c>
      <c r="AD25" s="1461">
        <v>89315</v>
      </c>
      <c r="AE25" s="1461">
        <v>62144</v>
      </c>
    </row>
    <row r="26" spans="1:31" ht="15">
      <c r="A26" s="480">
        <v>360</v>
      </c>
      <c r="B26" s="678"/>
      <c r="C26" s="68"/>
      <c r="D26" s="53" t="s">
        <v>168</v>
      </c>
      <c r="E26" s="124">
        <f t="shared" si="0"/>
        <v>2021</v>
      </c>
      <c r="F26" s="1000">
        <v>3642</v>
      </c>
      <c r="G26" s="887">
        <f>'TSU Sum'!$I$11</f>
        <v>10526</v>
      </c>
      <c r="H26" s="888">
        <f>'TSU Sum'!$I$14</f>
        <v>74813</v>
      </c>
      <c r="I26" s="888">
        <f>'TSU Sum'!$I$48</f>
        <v>32731</v>
      </c>
      <c r="J26" s="886"/>
      <c r="K26" s="888">
        <f>'TSU Sum'!$I$33</f>
        <v>35749</v>
      </c>
      <c r="L26" s="888">
        <f>'TSU Sum'!$I$35</f>
        <v>254081</v>
      </c>
      <c r="M26" s="1019">
        <f>'TSU Sum'!$C$6</f>
        <v>6445.64</v>
      </c>
      <c r="N26" s="1020">
        <f t="shared" si="1"/>
        <v>41</v>
      </c>
      <c r="O26" s="1021">
        <f t="shared" si="2"/>
        <v>41</v>
      </c>
      <c r="P26" s="886"/>
      <c r="Q26" s="930">
        <f>'TSU Sum'!$C$15</f>
        <v>12344</v>
      </c>
      <c r="R26" s="924">
        <f>'TSU Sum'!$C$20</f>
        <v>8323</v>
      </c>
      <c r="S26" s="886"/>
      <c r="T26" s="930">
        <f>'TSU Sum'!$C$10</f>
        <v>9626</v>
      </c>
      <c r="U26" s="924">
        <f>'TSU Sum'!$C$20</f>
        <v>8323</v>
      </c>
      <c r="W26" s="528" t="str">
        <f>'TSU FGD'!$O$92</f>
        <v>Bobbie Phelps</v>
      </c>
      <c r="X26" s="528" t="str">
        <f>'TSU FGD'!$Q$92</f>
        <v>713-313-6890</v>
      </c>
      <c r="Y26" s="528" t="str">
        <f>'TSU FGD'!$T$92</f>
        <v>bobbie.phelps@tsu.edu</v>
      </c>
      <c r="AA26" s="1462">
        <v>3632</v>
      </c>
      <c r="AB26" s="1460">
        <v>84</v>
      </c>
      <c r="AC26" s="1460">
        <v>74</v>
      </c>
      <c r="AD26" s="1461">
        <v>399135</v>
      </c>
      <c r="AE26" s="1461">
        <v>253139</v>
      </c>
    </row>
    <row r="27" spans="1:31" ht="15">
      <c r="A27" s="480">
        <v>310</v>
      </c>
      <c r="B27" s="678"/>
      <c r="C27" s="68"/>
      <c r="D27" s="53" t="s">
        <v>170</v>
      </c>
      <c r="E27" s="124">
        <f t="shared" si="0"/>
        <v>2021</v>
      </c>
      <c r="F27" s="1000">
        <v>3644</v>
      </c>
      <c r="G27" s="887">
        <f>'TTU Sum'!$I$11</f>
        <v>5932</v>
      </c>
      <c r="H27" s="888">
        <f>'TTU Sum'!$I$14</f>
        <v>58650</v>
      </c>
      <c r="I27" s="888">
        <f>'TTU Sum'!$I$48</f>
        <v>19424</v>
      </c>
      <c r="J27" s="886"/>
      <c r="K27" s="888">
        <f>'TTU Sum'!$I$33</f>
        <v>23255</v>
      </c>
      <c r="L27" s="888">
        <f>'TTU Sum'!$I$35</f>
        <v>229934</v>
      </c>
      <c r="M27" s="1019">
        <f>'TTU Sum'!$C$6</f>
        <v>36035.31</v>
      </c>
      <c r="N27" s="1020">
        <f t="shared" si="1"/>
        <v>83</v>
      </c>
      <c r="O27" s="1021">
        <f t="shared" si="2"/>
        <v>92</v>
      </c>
      <c r="P27" s="886"/>
      <c r="Q27" s="930">
        <f>'TTU Sum'!$C$15</f>
        <v>7316</v>
      </c>
      <c r="R27" s="924">
        <f>'TTU Sum'!$C$20</f>
        <v>9915</v>
      </c>
      <c r="S27" s="886"/>
      <c r="T27" s="930">
        <f>'TTU Sum'!$C$10</f>
        <v>5391</v>
      </c>
      <c r="U27" s="924">
        <f>'TTU Sum'!$C$20</f>
        <v>9915</v>
      </c>
      <c r="W27" s="528" t="str">
        <f>'TTU FGD'!$O$92</f>
        <v>Lori Eppler</v>
      </c>
      <c r="X27" s="528" t="str">
        <f>'TTU FGD'!$Q$92</f>
        <v>806-834-4640</v>
      </c>
      <c r="Y27" s="528" t="str">
        <f>'TTU FGD'!$T$92</f>
        <v>lori.eppler@ttu.edu</v>
      </c>
      <c r="AA27" s="1462">
        <v>3634</v>
      </c>
      <c r="AB27" s="1460">
        <v>41</v>
      </c>
      <c r="AC27" s="1460">
        <v>49</v>
      </c>
      <c r="AD27" s="1461">
        <v>74148</v>
      </c>
      <c r="AE27" s="1461">
        <v>284396</v>
      </c>
    </row>
    <row r="28" spans="1:31" ht="15">
      <c r="A28" s="480">
        <v>370</v>
      </c>
      <c r="B28" s="678"/>
      <c r="C28" s="68"/>
      <c r="D28" s="53" t="s">
        <v>172</v>
      </c>
      <c r="E28" s="124">
        <f t="shared" si="0"/>
        <v>2021</v>
      </c>
      <c r="F28" s="1000">
        <v>3646</v>
      </c>
      <c r="G28" s="887">
        <f>'TWU Sum'!$I$11</f>
        <v>6240</v>
      </c>
      <c r="H28" s="888">
        <f>'TWU Sum'!$I$14</f>
        <v>60240</v>
      </c>
      <c r="I28" s="888">
        <f>'TWU Sum'!$I$48</f>
        <v>14741</v>
      </c>
      <c r="J28" s="886"/>
      <c r="K28" s="888">
        <f>'TWU Sum'!$I$33</f>
        <v>17679</v>
      </c>
      <c r="L28" s="888">
        <f>'TWU Sum'!$I$35</f>
        <v>170664</v>
      </c>
      <c r="M28" s="1019">
        <f>'TWU Sum'!$C$6</f>
        <v>13026.58</v>
      </c>
      <c r="N28" s="1020">
        <f t="shared" si="1"/>
        <v>76</v>
      </c>
      <c r="O28" s="1021">
        <f t="shared" si="2"/>
        <v>100</v>
      </c>
      <c r="P28" s="886"/>
      <c r="Q28" s="930">
        <f>'TWU Sum'!$C$15</f>
        <v>7357</v>
      </c>
      <c r="R28" s="924">
        <f>'TWU Sum'!$C$20</f>
        <v>6845</v>
      </c>
      <c r="S28" s="886"/>
      <c r="T28" s="930">
        <f>'TWU Sum'!$C$10</f>
        <v>5765</v>
      </c>
      <c r="U28" s="924">
        <f>'TWU Sum'!$C$20</f>
        <v>6845</v>
      </c>
      <c r="W28" s="528" t="str">
        <f>'TWU FGD'!$O$92</f>
        <v>June Orth</v>
      </c>
      <c r="X28" s="528" t="str">
        <f>'TWU FGD'!$Q$92</f>
        <v>940-898-3522</v>
      </c>
      <c r="Y28" s="528" t="str">
        <f>'TWU FGD'!$T$92</f>
        <v>borth@twu.edu</v>
      </c>
      <c r="AA28" s="1462">
        <v>3639</v>
      </c>
      <c r="AB28" s="1460">
        <v>67</v>
      </c>
      <c r="AC28" s="1460">
        <v>33</v>
      </c>
      <c r="AD28" s="1461">
        <v>74277</v>
      </c>
      <c r="AE28" s="1461">
        <v>60095</v>
      </c>
    </row>
    <row r="29" spans="1:31" ht="15">
      <c r="A29" s="1123">
        <v>231</v>
      </c>
      <c r="B29" s="678"/>
      <c r="C29" s="68"/>
      <c r="D29" s="116" t="s">
        <v>2261</v>
      </c>
      <c r="E29" s="124">
        <f t="shared" si="0"/>
        <v>2021</v>
      </c>
      <c r="F29" s="1001">
        <v>3652</v>
      </c>
      <c r="G29" s="887">
        <f>'UH1 Sum'!$I$11</f>
        <v>6179</v>
      </c>
      <c r="H29" s="888">
        <f>'UH1 Sum'!$I$14</f>
        <v>70488</v>
      </c>
      <c r="I29" s="888">
        <f>'UH1 Sum'!$I$48</f>
        <v>25352</v>
      </c>
      <c r="J29" s="886"/>
      <c r="K29" s="888">
        <f>'UH1 Sum'!$I$33</f>
        <v>30617</v>
      </c>
      <c r="L29" s="888">
        <f>'UH1 Sum'!$I$35</f>
        <v>349289</v>
      </c>
      <c r="M29" s="1019">
        <f>'UH1 Sum'!$C$6</f>
        <v>40310.42</v>
      </c>
      <c r="N29" s="1020">
        <f t="shared" si="1"/>
        <v>75</v>
      </c>
      <c r="O29" s="1021">
        <f t="shared" si="2"/>
        <v>83</v>
      </c>
      <c r="P29" s="886"/>
      <c r="Q29" s="930">
        <f>'UH1 Sum'!$C$15</f>
        <v>7531</v>
      </c>
      <c r="R29" s="924">
        <f>'UH1 Sum'!$C$20</f>
        <v>9937</v>
      </c>
      <c r="S29" s="886"/>
      <c r="T29" s="930">
        <f>'UH1 Sum'!$C$10</f>
        <v>5070</v>
      </c>
      <c r="U29" s="924">
        <f>'UH1 Sum'!$C$20</f>
        <v>9937</v>
      </c>
      <c r="W29" s="528" t="str">
        <f>'UH1 FGD'!$O$92</f>
        <v>CHARLOTTE HOTZ</v>
      </c>
      <c r="X29" s="528" t="str">
        <f>'UH1 FGD'!$Q$92</f>
        <v>713.743.5296</v>
      </c>
      <c r="Y29" s="528" t="str">
        <f>'UH1 FGD'!$T$92</f>
        <v>cahotz@uh.edu</v>
      </c>
      <c r="AA29" s="1462">
        <v>3642</v>
      </c>
      <c r="AB29" s="1460">
        <v>41</v>
      </c>
      <c r="AC29" s="1460">
        <v>41</v>
      </c>
      <c r="AD29" s="1461">
        <v>106883</v>
      </c>
      <c r="AE29" s="1461">
        <v>76837</v>
      </c>
    </row>
    <row r="30" spans="1:31" ht="15">
      <c r="A30" s="480">
        <v>40</v>
      </c>
      <c r="B30" s="678"/>
      <c r="C30" s="68"/>
      <c r="D30" s="53" t="s">
        <v>176</v>
      </c>
      <c r="E30" s="124">
        <f t="shared" si="0"/>
        <v>2021</v>
      </c>
      <c r="F30" s="1000">
        <v>3656</v>
      </c>
      <c r="G30" s="887">
        <f>'ARL Sum'!$I$11</f>
        <v>4679</v>
      </c>
      <c r="H30" s="888">
        <f>'ARL Sum'!$I$14</f>
        <v>65453</v>
      </c>
      <c r="I30" s="888">
        <f>'ARL Sum'!$I$48</f>
        <v>18402</v>
      </c>
      <c r="J30" s="886"/>
      <c r="K30" s="888">
        <f>'ARL Sum'!$I$33</f>
        <v>22071</v>
      </c>
      <c r="L30" s="888">
        <f>'ARL Sum'!$I$35</f>
        <v>308754</v>
      </c>
      <c r="M30" s="1019">
        <f>'ARL Sum'!$C$6</f>
        <v>34362.15</v>
      </c>
      <c r="N30" s="1020">
        <f t="shared" si="1"/>
        <v>100</v>
      </c>
      <c r="O30" s="1021">
        <f t="shared" si="2"/>
        <v>100</v>
      </c>
      <c r="P30" s="886"/>
      <c r="Q30" s="930">
        <f>'ARL Sum'!$C$15</f>
        <v>4679</v>
      </c>
      <c r="R30" s="924">
        <f>'ARL Sum'!$C$20</f>
        <v>10142</v>
      </c>
      <c r="S30" s="886"/>
      <c r="T30" s="930">
        <f>'ARL Sum'!$C$10</f>
        <v>4209</v>
      </c>
      <c r="U30" s="924">
        <f>'ARL Sum'!$C$20</f>
        <v>10142</v>
      </c>
      <c r="W30" s="528" t="str">
        <f>'ARL FGD'!$O$92</f>
        <v>Ting Chen</v>
      </c>
      <c r="X30" s="528" t="str">
        <f>'ARL FGD'!$Q$92</f>
        <v>817-272-7489</v>
      </c>
      <c r="Y30" s="528" t="str">
        <f>'ARL FGD'!$T$92</f>
        <v>ting.chen@uta.edu</v>
      </c>
      <c r="AA30" s="1462">
        <v>3644</v>
      </c>
      <c r="AB30" s="1460">
        <v>83</v>
      </c>
      <c r="AC30" s="1460">
        <v>92</v>
      </c>
      <c r="AD30" s="1461">
        <v>247093</v>
      </c>
      <c r="AE30" s="1461">
        <v>136768</v>
      </c>
    </row>
    <row r="31" spans="1:31" ht="15">
      <c r="A31" s="1123">
        <v>51</v>
      </c>
      <c r="B31" s="678"/>
      <c r="C31" s="68"/>
      <c r="D31" s="116" t="s">
        <v>1398</v>
      </c>
      <c r="E31" s="124">
        <f t="shared" si="0"/>
        <v>2021</v>
      </c>
      <c r="F31" s="1000">
        <v>3658</v>
      </c>
      <c r="G31" s="887">
        <f>'AUS1 Sum'!$I$11</f>
        <v>8149</v>
      </c>
      <c r="H31" s="888">
        <f>'AUS1 Sum'!$I$14</f>
        <v>72400</v>
      </c>
      <c r="I31" s="888">
        <f>'AUS1 Sum'!$I$48</f>
        <v>46662</v>
      </c>
      <c r="J31" s="886"/>
      <c r="K31" s="888">
        <f>'AUS1 Sum'!$I$33</f>
        <v>55036</v>
      </c>
      <c r="L31" s="888">
        <f>'AUS1 Sum'!$I$35</f>
        <v>488939</v>
      </c>
      <c r="M31" s="1019">
        <f>'AUS1 Sum'!$C$6</f>
        <v>47534.87</v>
      </c>
      <c r="N31" s="1020">
        <f t="shared" si="1"/>
        <v>84</v>
      </c>
      <c r="O31" s="1021">
        <f t="shared" si="2"/>
        <v>92</v>
      </c>
      <c r="P31" s="886"/>
      <c r="Q31" s="930">
        <f>'AUS1 Sum'!$C$15</f>
        <v>16405</v>
      </c>
      <c r="R31" s="924">
        <f>'AUS1 Sum'!$C$20</f>
        <v>10968</v>
      </c>
      <c r="S31" s="886"/>
      <c r="T31" s="930">
        <f>'AUS1 Sum'!$C$10</f>
        <v>6895</v>
      </c>
      <c r="U31" s="924">
        <f>'AUS1 Sum'!$C$20</f>
        <v>10968</v>
      </c>
      <c r="W31" s="528" t="str">
        <f>'AUS1 FGD'!$O$92</f>
        <v>Marcy Lowther</v>
      </c>
      <c r="X31" s="528" t="str">
        <f>'AUS1 FGD'!$Q$92</f>
        <v>512-471-2808</v>
      </c>
      <c r="Y31" s="528" t="str">
        <f>'AUS1 FGD'!$T$92</f>
        <v>mlowther@austin.utexas.edu</v>
      </c>
      <c r="AA31" s="1462">
        <v>3646</v>
      </c>
      <c r="AB31" s="1460">
        <v>76</v>
      </c>
      <c r="AC31" s="1460">
        <v>100</v>
      </c>
      <c r="AD31" s="1461">
        <v>101747</v>
      </c>
      <c r="AE31" s="1461">
        <v>62903</v>
      </c>
    </row>
    <row r="32" spans="1:31" ht="15">
      <c r="A32" s="480">
        <v>70</v>
      </c>
      <c r="B32" s="678"/>
      <c r="C32" s="68"/>
      <c r="D32" s="53" t="s">
        <v>180</v>
      </c>
      <c r="E32" s="124">
        <f t="shared" si="0"/>
        <v>2021</v>
      </c>
      <c r="F32" s="1000">
        <v>3661</v>
      </c>
      <c r="G32" s="887">
        <f>'E-P Sum'!$I$11</f>
        <v>6842</v>
      </c>
      <c r="H32" s="888">
        <f>'E-P Sum'!$I$14</f>
        <v>93523</v>
      </c>
      <c r="I32" s="888">
        <f>'E-P Sum'!$I$48</f>
        <v>22296</v>
      </c>
      <c r="J32" s="886"/>
      <c r="K32" s="888">
        <f>'E-P Sum'!$I$33</f>
        <v>26670</v>
      </c>
      <c r="L32" s="888">
        <f>'E-P Sum'!$I$35</f>
        <v>364568</v>
      </c>
      <c r="M32" s="1019">
        <f>'E-P Sum'!$C$6</f>
        <v>19488.8</v>
      </c>
      <c r="N32" s="1020">
        <f t="shared" si="1"/>
        <v>83</v>
      </c>
      <c r="O32" s="1021">
        <f t="shared" si="2"/>
        <v>100</v>
      </c>
      <c r="P32" s="886"/>
      <c r="Q32" s="930">
        <f>'E-P Sum'!$C$15</f>
        <v>6842</v>
      </c>
      <c r="R32" s="924">
        <f>'E-P Sum'!$C$20</f>
        <v>7645</v>
      </c>
      <c r="S32" s="886"/>
      <c r="T32" s="930">
        <f>'E-P Sum'!$C$10</f>
        <v>5637</v>
      </c>
      <c r="U32" s="924">
        <f>'E-P Sum'!$C$20</f>
        <v>7645</v>
      </c>
      <c r="W32" s="528" t="str">
        <f>'E-P FGD'!$O$92</f>
        <v>Daniel Dominguez</v>
      </c>
      <c r="X32" s="528" t="str">
        <f>'E-P FGD'!$Q$92</f>
        <v>(915)747-5083</v>
      </c>
      <c r="Y32" s="528" t="str">
        <f>'E-P FGD'!$T$92</f>
        <v>drdominguez@utep.edu</v>
      </c>
      <c r="AA32" s="1462">
        <v>3652</v>
      </c>
      <c r="AB32" s="1460">
        <v>75</v>
      </c>
      <c r="AC32" s="1460">
        <v>83</v>
      </c>
      <c r="AD32" s="1461">
        <v>338837</v>
      </c>
      <c r="AE32" s="1461">
        <v>209617</v>
      </c>
    </row>
    <row r="33" spans="1:33" ht="15">
      <c r="A33" s="480">
        <v>200</v>
      </c>
      <c r="B33" s="678"/>
      <c r="C33" s="68"/>
      <c r="D33" s="53" t="s">
        <v>182</v>
      </c>
      <c r="E33" s="124">
        <f t="shared" si="0"/>
        <v>2021</v>
      </c>
      <c r="F33" s="1000">
        <v>3665</v>
      </c>
      <c r="G33" s="887">
        <f>'WTAMU Sum'!$I$11</f>
        <v>6091</v>
      </c>
      <c r="H33" s="888">
        <f>'WTAMU Sum'!$I$14</f>
        <v>61132</v>
      </c>
      <c r="I33" s="888">
        <f>'WTAMU Sum'!$I$48</f>
        <v>16987</v>
      </c>
      <c r="J33" s="886"/>
      <c r="K33" s="888">
        <f>'WTAMU Sum'!$I$33</f>
        <v>20816</v>
      </c>
      <c r="L33" s="888">
        <f>'WTAMU Sum'!$I$35</f>
        <v>208928</v>
      </c>
      <c r="M33" s="1019">
        <f>'WTAMU Sum'!$C$6</f>
        <v>7724.93</v>
      </c>
      <c r="N33" s="1020">
        <f t="shared" si="1"/>
        <v>41</v>
      </c>
      <c r="O33" s="1021">
        <f t="shared" si="2"/>
        <v>58</v>
      </c>
      <c r="P33" s="886"/>
      <c r="Q33" s="930">
        <f>'WTAMU Sum'!$C$15</f>
        <v>7054</v>
      </c>
      <c r="R33" s="924">
        <f>'WTAMU Sum'!$C$20</f>
        <v>7920</v>
      </c>
      <c r="S33" s="886"/>
      <c r="T33" s="930">
        <f>'WTAMU Sum'!$C$10</f>
        <v>5339</v>
      </c>
      <c r="U33" s="924">
        <f>'WTAMU Sum'!$C$20</f>
        <v>7920</v>
      </c>
      <c r="W33" s="528" t="str">
        <f>'WTAMU FGD'!$O$92</f>
        <v>Chris Arrington</v>
      </c>
      <c r="X33" s="528" t="str">
        <f>'WTAMU FGD'!$Q$92</f>
        <v>979-458-9151</v>
      </c>
      <c r="Y33" s="528" t="str">
        <f>'WTAMU FGD'!$T$92</f>
        <v>carrington@tamus.edu</v>
      </c>
      <c r="AA33" s="1462">
        <v>3656</v>
      </c>
      <c r="AB33" s="1460">
        <v>100</v>
      </c>
      <c r="AC33" s="1460">
        <v>100</v>
      </c>
      <c r="AD33" s="1461">
        <v>189959</v>
      </c>
      <c r="AE33" s="1461">
        <v>123227</v>
      </c>
    </row>
    <row r="34" spans="1:33" ht="15">
      <c r="A34" s="480">
        <v>190</v>
      </c>
      <c r="B34" s="678"/>
      <c r="C34" s="68"/>
      <c r="D34" s="53" t="s">
        <v>184</v>
      </c>
      <c r="E34" s="124">
        <f t="shared" si="0"/>
        <v>2021</v>
      </c>
      <c r="F34" s="1001">
        <v>9651</v>
      </c>
      <c r="G34" s="887">
        <f>'TAMIU Sum'!$I$11</f>
        <v>7057</v>
      </c>
      <c r="H34" s="888">
        <f>'TAMIU Sum'!$I$14</f>
        <v>108614</v>
      </c>
      <c r="I34" s="888">
        <f>'TAMIU Sum'!$I$48</f>
        <v>16991</v>
      </c>
      <c r="J34" s="886"/>
      <c r="K34" s="888">
        <f>'TAMIU Sum'!$I$33</f>
        <v>20902</v>
      </c>
      <c r="L34" s="888">
        <f>'TAMIU Sum'!$I$35</f>
        <v>321699</v>
      </c>
      <c r="M34" s="1019">
        <f>'TAMIU Sum'!$C$6</f>
        <v>6962.28</v>
      </c>
      <c r="N34" s="1020">
        <f t="shared" si="1"/>
        <v>66</v>
      </c>
      <c r="O34" s="1021">
        <f t="shared" si="2"/>
        <v>49</v>
      </c>
      <c r="P34" s="886"/>
      <c r="Q34" s="930">
        <f>'TAMIU Sum'!$C$15</f>
        <v>8129</v>
      </c>
      <c r="R34" s="924">
        <f>'TAMIU Sum'!$C$20</f>
        <v>5137</v>
      </c>
      <c r="S34" s="886"/>
      <c r="T34" s="930">
        <f>'TAMIU Sum'!$C$10</f>
        <v>5268</v>
      </c>
      <c r="U34" s="924">
        <f>'TAMIU Sum'!$C$20</f>
        <v>5137</v>
      </c>
      <c r="W34" s="528" t="str">
        <f>'TAMIU FGD'!$O$92</f>
        <v>Chris Arrington</v>
      </c>
      <c r="X34" s="528" t="str">
        <f>'TAMIU FGD'!$Q$92</f>
        <v>979-458-9151</v>
      </c>
      <c r="Y34" s="528" t="str">
        <f>'TAMIU FGD'!$T$92</f>
        <v>carrington@tamus.edu</v>
      </c>
      <c r="AA34" s="1462">
        <v>3658</v>
      </c>
      <c r="AB34" s="1460">
        <v>84</v>
      </c>
      <c r="AC34" s="1460">
        <v>92</v>
      </c>
      <c r="AD34" s="1461">
        <v>558577</v>
      </c>
      <c r="AE34" s="1461">
        <v>184682</v>
      </c>
    </row>
    <row r="35" spans="1:33" ht="15">
      <c r="A35" s="480">
        <v>60</v>
      </c>
      <c r="B35" s="678"/>
      <c r="C35" s="68"/>
      <c r="D35" s="53" t="s">
        <v>186</v>
      </c>
      <c r="E35" s="124">
        <f t="shared" si="0"/>
        <v>2021</v>
      </c>
      <c r="F35" s="1000">
        <v>9741</v>
      </c>
      <c r="G35" s="887">
        <f>'DAL Sum'!$I$11</f>
        <v>5356</v>
      </c>
      <c r="H35" s="888">
        <f>'DAL Sum'!$I$14</f>
        <v>58178</v>
      </c>
      <c r="I35" s="888">
        <f>'DAL Sum'!$I$48</f>
        <v>22355</v>
      </c>
      <c r="J35" s="886"/>
      <c r="K35" s="888">
        <f>'DAL Sum'!$I$33</f>
        <v>27183</v>
      </c>
      <c r="L35" s="888">
        <f>'DAL Sum'!$I$35</f>
        <v>295294</v>
      </c>
      <c r="M35" s="1019">
        <f>'DAL Sum'!$C$6</f>
        <v>24167.85</v>
      </c>
      <c r="N35" s="1020">
        <f t="shared" si="1"/>
        <v>100</v>
      </c>
      <c r="O35" s="1021">
        <f t="shared" si="2"/>
        <v>100</v>
      </c>
      <c r="P35" s="886"/>
      <c r="Q35" s="930">
        <f>'DAL Sum'!$C$15</f>
        <v>5356</v>
      </c>
      <c r="R35" s="924">
        <f>'DAL Sum'!$C$20</f>
        <v>12410</v>
      </c>
      <c r="S35" s="886"/>
      <c r="T35" s="930">
        <f>'DAL Sum'!$C$10</f>
        <v>4544</v>
      </c>
      <c r="U35" s="924">
        <f>'DAL Sum'!$C$20</f>
        <v>12410</v>
      </c>
      <c r="W35" s="528" t="str">
        <f>'DAL FGD'!$O$92</f>
        <v>Cindy Milligan</v>
      </c>
      <c r="X35" s="528" t="str">
        <f>'DAL FGD'!$Q$92</f>
        <v>(972) 883-2632</v>
      </c>
      <c r="Y35" s="528" t="str">
        <f>'DAL FGD'!$T$92</f>
        <v>cxm133830@utdallas.edu</v>
      </c>
      <c r="AA35" s="1462">
        <v>3661</v>
      </c>
      <c r="AB35" s="1460">
        <v>83</v>
      </c>
      <c r="AC35" s="1460">
        <v>100</v>
      </c>
      <c r="AD35" s="1461">
        <v>147042</v>
      </c>
      <c r="AE35" s="1461">
        <v>73634</v>
      </c>
    </row>
    <row r="36" spans="1:33" ht="15">
      <c r="A36" s="480">
        <v>100</v>
      </c>
      <c r="B36" s="678"/>
      <c r="C36" s="68"/>
      <c r="D36" s="53" t="s">
        <v>188</v>
      </c>
      <c r="E36" s="124">
        <f t="shared" si="0"/>
        <v>2021</v>
      </c>
      <c r="F36" s="1000">
        <v>9930</v>
      </c>
      <c r="G36" s="887">
        <f>'P-B Sum'!$I$11</f>
        <v>10108</v>
      </c>
      <c r="H36" s="888">
        <f>'P-B Sum'!$I$14</f>
        <v>108054</v>
      </c>
      <c r="I36" s="888">
        <f>'P-B Sum'!$I$48</f>
        <v>20217</v>
      </c>
      <c r="J36" s="886"/>
      <c r="K36" s="888">
        <f>'P-B Sum'!$I$33</f>
        <v>24866</v>
      </c>
      <c r="L36" s="888">
        <f>'P-B Sum'!$I$35</f>
        <v>265814</v>
      </c>
      <c r="M36" s="1019">
        <f>'P-B Sum'!$C$6</f>
        <v>4255.68</v>
      </c>
      <c r="N36" s="1020">
        <f t="shared" si="1"/>
        <v>92</v>
      </c>
      <c r="O36" s="1021">
        <f t="shared" si="2"/>
        <v>84</v>
      </c>
      <c r="P36" s="886"/>
      <c r="Q36" s="930">
        <f>'P-B Sum'!$C$15</f>
        <v>10108</v>
      </c>
      <c r="R36" s="924">
        <f>'P-B Sum'!$C$20</f>
        <v>7640</v>
      </c>
      <c r="S36" s="886"/>
      <c r="T36" s="930">
        <f>'P-B Sum'!$C$10</f>
        <v>7853</v>
      </c>
      <c r="U36" s="924">
        <f>'P-B Sum'!$C$20</f>
        <v>7640</v>
      </c>
      <c r="W36" s="528" t="str">
        <f>'P-B FGD'!$O$92</f>
        <v>Jana Juarez</v>
      </c>
      <c r="X36" s="528" t="str">
        <f>'P-B FGD'!$Q$92</f>
        <v>432-552-2717</v>
      </c>
      <c r="Y36" s="528" t="str">
        <f>'P-B FGD'!$T$92</f>
        <v>juarez_j@utpb.edu</v>
      </c>
      <c r="AA36" s="1462">
        <v>3665</v>
      </c>
      <c r="AB36" s="1460">
        <v>41</v>
      </c>
      <c r="AC36" s="1460">
        <v>58</v>
      </c>
      <c r="AD36" s="1461">
        <v>117027</v>
      </c>
      <c r="AE36" s="1461">
        <v>55486</v>
      </c>
    </row>
    <row r="37" spans="1:33" ht="15">
      <c r="A37" s="480">
        <v>110</v>
      </c>
      <c r="B37" s="678"/>
      <c r="C37" s="68"/>
      <c r="D37" s="53" t="s">
        <v>190</v>
      </c>
      <c r="E37" s="124">
        <f t="shared" si="0"/>
        <v>2021</v>
      </c>
      <c r="F37" s="1000">
        <v>10115</v>
      </c>
      <c r="G37" s="887">
        <f>'S-A Sum'!$I$11</f>
        <v>5711</v>
      </c>
      <c r="H37" s="888">
        <f>'S-A Sum'!$I$14</f>
        <v>72713</v>
      </c>
      <c r="I37" s="888">
        <f>'S-A Sum'!$I$48</f>
        <v>18804</v>
      </c>
      <c r="J37" s="886"/>
      <c r="K37" s="888">
        <f>'S-A Sum'!$I$33</f>
        <v>25558</v>
      </c>
      <c r="L37" s="888">
        <f>'S-A Sum'!$I$35</f>
        <v>325407</v>
      </c>
      <c r="M37" s="1019">
        <f>'S-A Sum'!$C$6</f>
        <v>28396.57</v>
      </c>
      <c r="N37" s="1020">
        <f t="shared" si="1"/>
        <v>92</v>
      </c>
      <c r="O37" s="1021">
        <f t="shared" si="2"/>
        <v>100</v>
      </c>
      <c r="P37" s="886"/>
      <c r="Q37" s="930">
        <f>'S-A Sum'!$C$15</f>
        <v>5711</v>
      </c>
      <c r="R37" s="924">
        <f>'S-A Sum'!$C$20</f>
        <v>8864</v>
      </c>
      <c r="S37" s="886"/>
      <c r="T37" s="930">
        <f>'S-A Sum'!$C$10</f>
        <v>4796</v>
      </c>
      <c r="U37" s="924">
        <f>'S-A Sum'!$C$20</f>
        <v>8864</v>
      </c>
      <c r="W37" s="528" t="str">
        <f>'S-A FGD'!$O$92</f>
        <v>Sheri Hardison</v>
      </c>
      <c r="X37" s="528" t="str">
        <f>'S-A FGD'!$Q$92</f>
        <v>210-458-6774</v>
      </c>
      <c r="Y37" s="528" t="str">
        <f>'S-A FGD'!$T$92</f>
        <v>sheri.hardison@utsa.edu</v>
      </c>
      <c r="AA37" s="1462">
        <v>9225</v>
      </c>
      <c r="AB37" s="1460">
        <v>49</v>
      </c>
      <c r="AC37" s="1460">
        <v>49</v>
      </c>
      <c r="AD37" s="1461">
        <v>28490</v>
      </c>
      <c r="AE37" s="1461">
        <v>176903</v>
      </c>
    </row>
    <row r="38" spans="1:33" ht="15">
      <c r="A38" s="480">
        <v>140</v>
      </c>
      <c r="B38" s="678"/>
      <c r="C38" s="68"/>
      <c r="D38" s="53" t="s">
        <v>192</v>
      </c>
      <c r="E38" s="124">
        <f t="shared" si="0"/>
        <v>2021</v>
      </c>
      <c r="F38" s="1000">
        <v>10298</v>
      </c>
      <c r="G38" s="887">
        <f>'TAMUG Sum'!$I$11</f>
        <v>40976</v>
      </c>
      <c r="H38" s="888">
        <f>'TAMUG Sum'!$I$14</f>
        <v>316216</v>
      </c>
      <c r="I38" s="888">
        <f>'TAMUG Sum'!$I$48</f>
        <v>31246</v>
      </c>
      <c r="J38" s="886"/>
      <c r="K38" s="888">
        <f>'TAMUG Sum'!$I$33</f>
        <v>65486</v>
      </c>
      <c r="L38" s="888">
        <f>'TAMUG Sum'!$I$35</f>
        <v>505359</v>
      </c>
      <c r="M38" s="1019">
        <f>'TAMUG Sum'!$C$6</f>
        <v>1732.87</v>
      </c>
      <c r="N38" s="1020">
        <f t="shared" si="1"/>
        <v>60</v>
      </c>
      <c r="O38" s="1021">
        <f t="shared" si="2"/>
        <v>58</v>
      </c>
      <c r="P38" s="886"/>
      <c r="Q38" s="930">
        <f>'TAMUG Sum'!$C$15</f>
        <v>40976</v>
      </c>
      <c r="R38" s="924">
        <f>'TAMUG Sum'!$C$20</f>
        <v>12322</v>
      </c>
      <c r="S38" s="886"/>
      <c r="T38" s="930">
        <f>'TAMUG Sum'!$C$10</f>
        <v>40528</v>
      </c>
      <c r="U38" s="924">
        <f>'TAMUG Sum'!$C$20</f>
        <v>12322</v>
      </c>
      <c r="W38" s="528" t="str">
        <f>'TAMUG FGD'!$O$92</f>
        <v>Chris Arrington</v>
      </c>
      <c r="X38" s="528" t="str">
        <f>'TAMUG FGD'!$Q$92</f>
        <v>979-458-9151</v>
      </c>
      <c r="Y38" s="528" t="str">
        <f>'TAMUG FGD'!$T$92</f>
        <v>carrington@tamus.edu</v>
      </c>
      <c r="AA38" s="1462">
        <v>9651</v>
      </c>
      <c r="AB38" s="1460">
        <v>66</v>
      </c>
      <c r="AC38" s="1460">
        <v>49</v>
      </c>
      <c r="AD38" s="1461">
        <v>76998</v>
      </c>
      <c r="AE38" s="1461">
        <v>41959</v>
      </c>
    </row>
    <row r="39" spans="1:33" ht="15">
      <c r="A39" s="480">
        <v>170</v>
      </c>
      <c r="B39" s="678"/>
      <c r="C39" s="68"/>
      <c r="D39" s="53" t="s">
        <v>194</v>
      </c>
      <c r="E39" s="124">
        <f t="shared" si="0"/>
        <v>2021</v>
      </c>
      <c r="F39" s="1000">
        <v>11161</v>
      </c>
      <c r="G39" s="887">
        <f>'TAMUCC Sum'!$I$11</f>
        <v>7417</v>
      </c>
      <c r="H39" s="888">
        <f>'TAMUCC Sum'!$I$14</f>
        <v>83571</v>
      </c>
      <c r="I39" s="888">
        <f>'TAMUCC Sum'!$I$48</f>
        <v>22554</v>
      </c>
      <c r="J39" s="886"/>
      <c r="K39" s="888">
        <f>'TAMUCC Sum'!$I$33</f>
        <v>24208</v>
      </c>
      <c r="L39" s="888">
        <f>'TAMUCC Sum'!$I$35</f>
        <v>272769</v>
      </c>
      <c r="M39" s="1019">
        <f>'TAMUCC Sum'!$C$6</f>
        <v>9336.2800000000007</v>
      </c>
      <c r="N39" s="1020">
        <f t="shared" si="1"/>
        <v>92</v>
      </c>
      <c r="O39" s="1021">
        <f t="shared" si="2"/>
        <v>92</v>
      </c>
      <c r="P39" s="886"/>
      <c r="Q39" s="930">
        <f>'TAMUCC Sum'!$C$15</f>
        <v>8646</v>
      </c>
      <c r="R39" s="924">
        <f>'TAMUCC Sum'!$C$20</f>
        <v>8798</v>
      </c>
      <c r="S39" s="886"/>
      <c r="T39" s="930">
        <f>'TAMUCC Sum'!$C$10</f>
        <v>6417</v>
      </c>
      <c r="U39" s="924">
        <f>'TAMUCC Sum'!$C$20</f>
        <v>8798</v>
      </c>
      <c r="W39" s="528" t="str">
        <f>'TAMUCC FGD'!$O$92</f>
        <v>Chris Arrington</v>
      </c>
      <c r="X39" s="528" t="str">
        <f>'TAMUCC FGD'!$Q$92</f>
        <v>979-458-9151</v>
      </c>
      <c r="Y39" s="528" t="str">
        <f>'TAMUCC FGD'!$T$92</f>
        <v>carrington@tamus.edu</v>
      </c>
      <c r="AA39" s="1462">
        <v>9741</v>
      </c>
      <c r="AB39" s="1460">
        <v>100</v>
      </c>
      <c r="AC39" s="1460">
        <v>100</v>
      </c>
      <c r="AD39" s="1461">
        <v>179262</v>
      </c>
      <c r="AE39" s="1461">
        <v>63545</v>
      </c>
    </row>
    <row r="40" spans="1:33" ht="15">
      <c r="A40" s="480">
        <v>120</v>
      </c>
      <c r="B40" s="678"/>
      <c r="C40" s="68"/>
      <c r="D40" s="53" t="s">
        <v>196</v>
      </c>
      <c r="E40" s="124">
        <f t="shared" si="0"/>
        <v>2021</v>
      </c>
      <c r="F40" s="1000">
        <v>11163</v>
      </c>
      <c r="G40" s="887">
        <f>'TYL Sum'!$I$11</f>
        <v>6948</v>
      </c>
      <c r="H40" s="888">
        <f>'TYL Sum'!$I$14</f>
        <v>71692</v>
      </c>
      <c r="I40" s="888">
        <f>'TYL Sum'!$I$48</f>
        <v>17600</v>
      </c>
      <c r="J40" s="886"/>
      <c r="K40" s="888">
        <f>'TYL Sum'!$I$33</f>
        <v>19854</v>
      </c>
      <c r="L40" s="888">
        <f>'TYL Sum'!$I$35</f>
        <v>204853</v>
      </c>
      <c r="M40" s="1019">
        <f>'TYL Sum'!$C$6</f>
        <v>7607.2</v>
      </c>
      <c r="N40" s="1020">
        <f t="shared" si="1"/>
        <v>50</v>
      </c>
      <c r="O40" s="1021">
        <f t="shared" si="2"/>
        <v>92</v>
      </c>
      <c r="P40" s="886"/>
      <c r="Q40" s="930">
        <f>'TYL Sum'!$C$15</f>
        <v>6948</v>
      </c>
      <c r="R40" s="924">
        <f>'TYL Sum'!$C$20</f>
        <v>7538</v>
      </c>
      <c r="S40" s="886"/>
      <c r="T40" s="930">
        <f>'TYL Sum'!$C$10</f>
        <v>5269</v>
      </c>
      <c r="U40" s="924">
        <f>'TYL Sum'!$C$20</f>
        <v>7538</v>
      </c>
      <c r="W40" s="528" t="str">
        <f>'TYL FGD'!$O$92</f>
        <v>Brenda Golemon</v>
      </c>
      <c r="X40" s="528" t="str">
        <f>'TYL FGD'!$Q$92</f>
        <v>903-566-7319</v>
      </c>
      <c r="Y40" s="528" t="str">
        <f>'TYL FGD'!$T$92</f>
        <v>bgolemon@gmail.com</v>
      </c>
      <c r="AA40" s="1462">
        <v>9930</v>
      </c>
      <c r="AB40" s="1460">
        <v>92</v>
      </c>
      <c r="AC40" s="1460">
        <v>84</v>
      </c>
      <c r="AD40" s="1461">
        <v>14808</v>
      </c>
      <c r="AE40" s="1461">
        <v>9937</v>
      </c>
    </row>
    <row r="41" spans="1:33" ht="15">
      <c r="A41" s="480">
        <v>240</v>
      </c>
      <c r="B41" s="678"/>
      <c r="C41" s="68"/>
      <c r="D41" s="53" t="s">
        <v>198</v>
      </c>
      <c r="E41" s="124">
        <f t="shared" si="0"/>
        <v>2021</v>
      </c>
      <c r="F41" s="1000">
        <v>11711</v>
      </c>
      <c r="G41" s="887">
        <f>'UHCL Sum'!$I$11</f>
        <v>5815</v>
      </c>
      <c r="H41" s="888">
        <f>'UHCL Sum'!$I$14</f>
        <v>58983</v>
      </c>
      <c r="I41" s="888">
        <f>'UHCL Sum'!$I$48</f>
        <v>21354</v>
      </c>
      <c r="J41" s="886"/>
      <c r="K41" s="888">
        <f>'UHCL Sum'!$I$33</f>
        <v>20510</v>
      </c>
      <c r="L41" s="888">
        <f>'UHCL Sum'!$I$35</f>
        <v>208036</v>
      </c>
      <c r="M41" s="1019">
        <f>'UHCL Sum'!$C$6</f>
        <v>6762.63</v>
      </c>
      <c r="N41" s="1020">
        <f t="shared" si="1"/>
        <v>41</v>
      </c>
      <c r="O41" s="1021">
        <f t="shared" si="2"/>
        <v>49</v>
      </c>
      <c r="P41" s="886"/>
      <c r="Q41" s="930">
        <f>'UHCL Sum'!$C$15</f>
        <v>6957</v>
      </c>
      <c r="R41" s="924">
        <f>'UHCL Sum'!$C$20</f>
        <v>8479</v>
      </c>
      <c r="S41" s="886"/>
      <c r="T41" s="930">
        <f>'UHCL Sum'!$C$10</f>
        <v>5170</v>
      </c>
      <c r="U41" s="924">
        <f>'UHCL Sum'!$C$20</f>
        <v>8479</v>
      </c>
      <c r="W41" s="528" t="str">
        <f>'UHCL FGD'!$O$92</f>
        <v>Mila Bautista</v>
      </c>
      <c r="X41" s="528" t="str">
        <f>'UHCL FGD'!$Q$92</f>
        <v>281-283-2129</v>
      </c>
      <c r="Y41" s="528" t="str">
        <f>'UHCL FGD'!$T$92</f>
        <v>BautistaM@uhcl.edu</v>
      </c>
      <c r="AA41" s="1462">
        <v>9932</v>
      </c>
      <c r="AB41" s="1460">
        <v>49</v>
      </c>
      <c r="AC41" s="1460">
        <v>49</v>
      </c>
      <c r="AD41" s="1461">
        <v>28490</v>
      </c>
      <c r="AE41" s="1461">
        <v>176903</v>
      </c>
    </row>
    <row r="42" spans="1:33" ht="15">
      <c r="A42" s="480">
        <v>250</v>
      </c>
      <c r="B42" s="678"/>
      <c r="C42" s="68"/>
      <c r="D42" s="53" t="s">
        <v>200</v>
      </c>
      <c r="E42" s="124">
        <f t="shared" si="0"/>
        <v>2021</v>
      </c>
      <c r="F42" s="1000">
        <v>12826</v>
      </c>
      <c r="G42" s="887">
        <f>'UHD Sum'!$I$11</f>
        <v>3474</v>
      </c>
      <c r="H42" s="888">
        <f>'UHD Sum'!$I$14</f>
        <v>40683</v>
      </c>
      <c r="I42" s="888">
        <f>'UHD Sum'!$I$48</f>
        <v>14933</v>
      </c>
      <c r="J42" s="886"/>
      <c r="K42" s="888">
        <f>'UHD Sum'!$I$33</f>
        <v>16418</v>
      </c>
      <c r="L42" s="888">
        <f>'UHD Sum'!$I$35</f>
        <v>192244</v>
      </c>
      <c r="M42" s="1019">
        <f>'UHD Sum'!$C$6</f>
        <v>11193.03</v>
      </c>
      <c r="N42" s="1020">
        <f t="shared" si="1"/>
        <v>49</v>
      </c>
      <c r="O42" s="1021">
        <f t="shared" si="2"/>
        <v>57</v>
      </c>
      <c r="P42" s="886"/>
      <c r="Q42" s="930">
        <f>'UHD Sum'!$C$15</f>
        <v>4442</v>
      </c>
      <c r="R42" s="924">
        <f>'UHD Sum'!$C$20</f>
        <v>6441</v>
      </c>
      <c r="S42" s="886"/>
      <c r="T42" s="930">
        <f>'UHD Sum'!$C$10</f>
        <v>2675</v>
      </c>
      <c r="U42" s="924">
        <f>'UHD Sum'!$C$20</f>
        <v>6441</v>
      </c>
      <c r="W42" s="528" t="str">
        <f>'UHD FGD'!$O$92</f>
        <v>Alice Tsai</v>
      </c>
      <c r="X42" s="528" t="str">
        <f>'UHD FGD'!$Q$92</f>
        <v>713-221-8098</v>
      </c>
      <c r="Y42" s="528" t="str">
        <f>'UHD FGD'!$T$92</f>
        <v>Tsaia@uhd.edu</v>
      </c>
      <c r="AA42" s="1462">
        <v>10115</v>
      </c>
      <c r="AB42" s="1460">
        <v>92</v>
      </c>
      <c r="AC42" s="1460">
        <v>100</v>
      </c>
      <c r="AD42" s="1461">
        <v>200485</v>
      </c>
      <c r="AE42" s="1461">
        <v>112846</v>
      </c>
    </row>
    <row r="43" spans="1:33" ht="15">
      <c r="A43" s="480">
        <v>260</v>
      </c>
      <c r="B43" s="678"/>
      <c r="C43" s="68"/>
      <c r="D43" s="53" t="s">
        <v>202</v>
      </c>
      <c r="E43" s="124">
        <f t="shared" si="0"/>
        <v>2021</v>
      </c>
      <c r="F43" s="1000">
        <v>13231</v>
      </c>
      <c r="G43" s="887">
        <f>'UHV Sum'!$I$11</f>
        <v>5512</v>
      </c>
      <c r="H43" s="888">
        <f>'UHV Sum'!$I$14</f>
        <v>68453</v>
      </c>
      <c r="I43" s="888">
        <f>'UHV Sum'!$I$48</f>
        <v>16917</v>
      </c>
      <c r="J43" s="886"/>
      <c r="K43" s="888">
        <f>'UHV Sum'!$I$33</f>
        <v>17680</v>
      </c>
      <c r="L43" s="888">
        <f>'UHV Sum'!$I$35</f>
        <v>219572</v>
      </c>
      <c r="M43" s="1019">
        <f>'UHV Sum'!$C$6</f>
        <v>3604.5</v>
      </c>
      <c r="N43" s="1020">
        <f t="shared" si="1"/>
        <v>68</v>
      </c>
      <c r="O43" s="1021">
        <f t="shared" si="2"/>
        <v>92</v>
      </c>
      <c r="P43" s="886"/>
      <c r="Q43" s="930">
        <f>'UHV Sum'!$C$15</f>
        <v>6495</v>
      </c>
      <c r="R43" s="924">
        <f>'UHV Sum'!$C$20</f>
        <v>7437</v>
      </c>
      <c r="S43" s="886"/>
      <c r="T43" s="930">
        <f>'UHV Sum'!$C$10</f>
        <v>4890</v>
      </c>
      <c r="U43" s="924">
        <f>'UHV Sum'!$C$20</f>
        <v>7437</v>
      </c>
      <c r="W43" s="528" t="str">
        <f>'UHV FGD'!$O$92</f>
        <v>June Nelson</v>
      </c>
      <c r="X43" s="528" t="str">
        <f>'UHV FGD'!$Q$92</f>
        <v>361-570-4873</v>
      </c>
      <c r="Y43" s="528" t="str">
        <f>'UHV FGD'!$T$92</f>
        <v>nelsonj@uhv.edu</v>
      </c>
      <c r="AA43" s="1462">
        <v>10298</v>
      </c>
      <c r="AB43" s="1460">
        <v>60</v>
      </c>
      <c r="AC43" s="1460">
        <v>58</v>
      </c>
      <c r="AD43" s="1461">
        <v>30336</v>
      </c>
      <c r="AE43" s="1461">
        <v>30290</v>
      </c>
    </row>
    <row r="44" spans="1:33" ht="15">
      <c r="A44" s="480">
        <v>220</v>
      </c>
      <c r="B44" s="678"/>
      <c r="C44" s="68"/>
      <c r="D44" s="53" t="s">
        <v>204</v>
      </c>
      <c r="E44" s="124">
        <f t="shared" si="0"/>
        <v>2021</v>
      </c>
      <c r="F44" s="1000">
        <v>29269</v>
      </c>
      <c r="G44" s="887">
        <f>'TAMUT Sum'!$I$11</f>
        <v>16062</v>
      </c>
      <c r="H44" s="888">
        <f>'TAMUT Sum'!$I$14</f>
        <v>121011</v>
      </c>
      <c r="I44" s="888">
        <f>'TAMUT Sum'!$I$48</f>
        <v>23642</v>
      </c>
      <c r="J44" s="886"/>
      <c r="K44" s="888">
        <f>'TAMUT Sum'!$I$33</f>
        <v>31040</v>
      </c>
      <c r="L44" s="888">
        <f>'TAMUT Sum'!$I$35</f>
        <v>233861</v>
      </c>
      <c r="M44" s="1019">
        <f>'TAMUT Sum'!$C$6</f>
        <v>1651.54</v>
      </c>
      <c r="N44" s="1020">
        <f t="shared" si="1"/>
        <v>33</v>
      </c>
      <c r="O44" s="1021">
        <f t="shared" si="2"/>
        <v>33</v>
      </c>
      <c r="P44" s="886"/>
      <c r="Q44" s="930">
        <f>'TAMUT Sum'!$C$15</f>
        <v>17303</v>
      </c>
      <c r="R44" s="924">
        <f>'TAMUT Sum'!$C$20</f>
        <v>6879</v>
      </c>
      <c r="S44" s="886"/>
      <c r="T44" s="930">
        <f>'TAMUT Sum'!$C$10</f>
        <v>15449</v>
      </c>
      <c r="U44" s="924">
        <f>'TAMUT Sum'!$C$20</f>
        <v>6879</v>
      </c>
      <c r="W44" s="528" t="str">
        <f>'TAMUT FGD'!$O$92</f>
        <v>Chris Arrington</v>
      </c>
      <c r="X44" s="528" t="str">
        <f>'TAMUT FGD'!$Q$92</f>
        <v>979-458-9151</v>
      </c>
      <c r="Y44" s="528" t="str">
        <f>'TAMUT FGD'!$T$92</f>
        <v>carrington@tamus.edu</v>
      </c>
      <c r="AA44" s="1462">
        <v>11161</v>
      </c>
      <c r="AB44" s="1460">
        <v>92</v>
      </c>
      <c r="AC44" s="1460">
        <v>92</v>
      </c>
      <c r="AD44" s="1461">
        <v>70906</v>
      </c>
      <c r="AE44" s="1461">
        <v>59858</v>
      </c>
    </row>
    <row r="45" spans="1:33" ht="15">
      <c r="A45" s="480">
        <v>223</v>
      </c>
      <c r="B45" s="678"/>
      <c r="C45" s="68"/>
      <c r="D45" s="53" t="s">
        <v>278</v>
      </c>
      <c r="E45" s="124">
        <f t="shared" si="0"/>
        <v>2021</v>
      </c>
      <c r="F45" s="1000">
        <v>42295</v>
      </c>
      <c r="G45" s="887">
        <f>'TAMUCT Sum'!$I$11</f>
        <v>11696</v>
      </c>
      <c r="H45" s="888">
        <f>'TAMUCT Sum'!$I$14</f>
        <v>95529</v>
      </c>
      <c r="I45" s="888">
        <f>'TAMUCT Sum'!$I$48</f>
        <v>21920</v>
      </c>
      <c r="J45" s="886"/>
      <c r="K45" s="888">
        <f>'TAMUCT Sum'!$I$33</f>
        <v>25920</v>
      </c>
      <c r="L45" s="888">
        <f>'TAMUCT Sum'!$I$35</f>
        <v>211717</v>
      </c>
      <c r="M45" s="1019">
        <f>'TAMUCT Sum'!$C$6</f>
        <v>1606.96</v>
      </c>
      <c r="N45" s="1020">
        <f t="shared" si="1"/>
        <v>41</v>
      </c>
      <c r="O45" s="1021">
        <f t="shared" si="2"/>
        <v>33</v>
      </c>
      <c r="P45" s="886"/>
      <c r="Q45" s="930">
        <f>'TAMUCT Sum'!$C$15</f>
        <v>11696</v>
      </c>
      <c r="R45" s="924">
        <f>'TAMUCT Sum'!$C$20</f>
        <v>7879</v>
      </c>
      <c r="S45" s="886"/>
      <c r="T45" s="930">
        <f>'TAMUCT Sum'!$C$10</f>
        <v>11399</v>
      </c>
      <c r="U45" s="924">
        <f>'TAMUCT Sum'!$C$20</f>
        <v>7879</v>
      </c>
      <c r="V45" s="56"/>
      <c r="W45" s="528" t="str">
        <f>'TAMUCT FGD'!$O$92</f>
        <v>Chris Arrington</v>
      </c>
      <c r="X45" s="528" t="str">
        <f>'TAMUCT FGD'!$Q$92</f>
        <v>979-458-9151</v>
      </c>
      <c r="Y45" s="528" t="str">
        <f>'TAMUCT FGD'!$T$92</f>
        <v>fincher@tarleton.edu</v>
      </c>
      <c r="AA45" s="1462">
        <v>11163</v>
      </c>
      <c r="AB45" s="1460">
        <v>50</v>
      </c>
      <c r="AC45" s="1460">
        <v>92</v>
      </c>
      <c r="AD45" s="1461">
        <v>70291</v>
      </c>
      <c r="AE45" s="1461">
        <v>28365</v>
      </c>
    </row>
    <row r="46" spans="1:33" ht="15">
      <c r="A46" s="480">
        <v>333</v>
      </c>
      <c r="B46" s="678"/>
      <c r="C46" s="68"/>
      <c r="D46" s="56" t="s">
        <v>276</v>
      </c>
      <c r="E46" s="124">
        <f t="shared" si="0"/>
        <v>2021</v>
      </c>
      <c r="F46" s="1000">
        <v>42421</v>
      </c>
      <c r="G46" s="887">
        <f>'UNTD Sum'!$I$11</f>
        <v>8681</v>
      </c>
      <c r="H46" s="888">
        <f>'UNTD Sum'!$I$14</f>
        <v>114544</v>
      </c>
      <c r="I46" s="888">
        <f>'UNTD Sum'!$I$48</f>
        <v>18889</v>
      </c>
      <c r="J46" s="886"/>
      <c r="K46" s="888">
        <f>'UNTD Sum'!$I$33</f>
        <v>24983</v>
      </c>
      <c r="L46" s="888">
        <f>'UNTD Sum'!$I$35</f>
        <v>329625</v>
      </c>
      <c r="M46" s="1019">
        <f>'UNTD Sum'!$C$6</f>
        <v>3464.14</v>
      </c>
      <c r="N46" s="1020">
        <f t="shared" si="1"/>
        <v>58</v>
      </c>
      <c r="O46" s="1021">
        <f t="shared" si="2"/>
        <v>83</v>
      </c>
      <c r="P46" s="886"/>
      <c r="Q46" s="930">
        <f>'UNTD Sum'!$C$15</f>
        <v>9649</v>
      </c>
      <c r="R46" s="924">
        <f>'UNTD Sum'!$C$20</f>
        <v>8765</v>
      </c>
      <c r="S46" s="886"/>
      <c r="T46" s="930">
        <f>'UNTD Sum'!$C$10</f>
        <v>7671</v>
      </c>
      <c r="U46" s="924">
        <f>'UNTD Sum'!$C$20</f>
        <v>8765</v>
      </c>
      <c r="W46" s="528" t="str">
        <f>'UNTD FGD'!$O$92</f>
        <v>Gia Doss</v>
      </c>
      <c r="X46" s="528">
        <f>'UNTD FGD'!$Q$92</f>
        <v>0</v>
      </c>
      <c r="Y46" s="528" t="str">
        <f>'UNTD FGD'!$T$92</f>
        <v>Gia.Doss@untsystem.edu</v>
      </c>
      <c r="AA46" s="1462">
        <v>11711</v>
      </c>
      <c r="AB46" s="1460">
        <v>41</v>
      </c>
      <c r="AC46" s="1460">
        <v>49</v>
      </c>
      <c r="AD46" s="1461">
        <v>67502</v>
      </c>
      <c r="AE46" s="1461">
        <v>60496</v>
      </c>
      <c r="AF46" s="114"/>
      <c r="AG46" s="114"/>
    </row>
    <row r="47" spans="1:33" ht="15">
      <c r="A47" s="480">
        <v>226</v>
      </c>
      <c r="B47" s="678"/>
      <c r="C47" s="68"/>
      <c r="D47" s="53" t="s">
        <v>279</v>
      </c>
      <c r="E47" s="124">
        <f t="shared" si="0"/>
        <v>2021</v>
      </c>
      <c r="F47" s="1001">
        <v>42485</v>
      </c>
      <c r="G47" s="887">
        <f>'TAMUSA Sum'!$I$11</f>
        <v>7996</v>
      </c>
      <c r="H47" s="888">
        <f>'TAMUSA Sum'!$I$14</f>
        <v>77839</v>
      </c>
      <c r="I47" s="888">
        <f>'TAMUSA Sum'!$I$48</f>
        <v>20622</v>
      </c>
      <c r="J47" s="886"/>
      <c r="K47" s="888">
        <f>'TAMUSA Sum'!$I$33</f>
        <v>23058</v>
      </c>
      <c r="L47" s="888">
        <f>'TAMUSA Sum'!$I$35</f>
        <v>224474</v>
      </c>
      <c r="M47" s="1019">
        <f>'TAMUSA Sum'!$C$6</f>
        <v>4763.3599999999997</v>
      </c>
      <c r="N47" s="1020">
        <f t="shared" si="1"/>
        <v>66</v>
      </c>
      <c r="O47" s="1021">
        <f t="shared" si="2"/>
        <v>57</v>
      </c>
      <c r="P47" s="886"/>
      <c r="Q47" s="930">
        <f>'TAMUSA Sum'!$C$15</f>
        <v>7996</v>
      </c>
      <c r="R47" s="924">
        <f>'TAMUSA Sum'!$C$20</f>
        <v>6193</v>
      </c>
      <c r="S47" s="886"/>
      <c r="T47" s="930">
        <f>'TAMUSA Sum'!$C$10</f>
        <v>7394</v>
      </c>
      <c r="U47" s="924">
        <f>'TAMUSA Sum'!$C$20</f>
        <v>6193</v>
      </c>
      <c r="W47" s="528" t="str">
        <f>'TAMUSA FGD'!$O$92</f>
        <v>Chris Arrington</v>
      </c>
      <c r="X47" s="528" t="str">
        <f>'TAMUSA FGD'!$Q$92</f>
        <v>979-458-9151</v>
      </c>
      <c r="Y47" s="528" t="str">
        <f>'TAMUSA FGD'!$T$92</f>
        <v>carrington@tamus.edu</v>
      </c>
      <c r="AA47" s="1462">
        <v>12826</v>
      </c>
      <c r="AB47" s="1460">
        <v>49</v>
      </c>
      <c r="AC47" s="1460">
        <v>57</v>
      </c>
      <c r="AD47" s="1461">
        <v>105385</v>
      </c>
      <c r="AE47" s="1461">
        <v>23447</v>
      </c>
    </row>
    <row r="48" spans="1:33" ht="15.75" thickBot="1">
      <c r="A48" s="139"/>
      <c r="B48" s="139"/>
      <c r="C48" s="139"/>
      <c r="D48" s="140" t="s">
        <v>207</v>
      </c>
      <c r="E48" s="795">
        <f t="shared" ref="E48" si="3">$E$6</f>
        <v>2021</v>
      </c>
      <c r="F48" s="911">
        <v>445566</v>
      </c>
      <c r="G48" s="890">
        <f>'Smmy Sum'!$I$47</f>
        <v>6433</v>
      </c>
      <c r="H48" s="890">
        <f>'Smmy Sum'!$I$50</f>
        <v>73433</v>
      </c>
      <c r="I48" s="890">
        <f>'Smmy Sum'!$I$84</f>
        <v>22660</v>
      </c>
      <c r="J48" s="1365"/>
      <c r="K48" s="890">
        <f>'Smmy Sum'!$I$69</f>
        <v>26973</v>
      </c>
      <c r="L48" s="890">
        <f>'Smmy Sum'!$I$71</f>
        <v>307926</v>
      </c>
      <c r="M48" s="1022">
        <f>'Smmy Sum'!$C$42</f>
        <v>562672.70000000007</v>
      </c>
      <c r="N48" s="1015"/>
      <c r="O48" s="1023"/>
      <c r="P48" s="919"/>
      <c r="Q48" s="931">
        <f>'Smmy Sum'!$C$51</f>
        <v>8134</v>
      </c>
      <c r="R48" s="925">
        <f>'Smmy Sum'!$C$56</f>
        <v>9244</v>
      </c>
      <c r="S48" s="919"/>
      <c r="T48" s="931">
        <f>'Smmy Sum'!$C$46</f>
        <v>5419</v>
      </c>
      <c r="U48" s="925">
        <f>'Smmy Sum'!$C$46</f>
        <v>5419</v>
      </c>
      <c r="W48" s="114"/>
      <c r="X48" s="114"/>
      <c r="Y48" s="114"/>
      <c r="AA48" s="1462">
        <v>13231</v>
      </c>
      <c r="AB48" s="1460">
        <v>68</v>
      </c>
      <c r="AC48" s="1460">
        <v>92</v>
      </c>
      <c r="AD48" s="1461">
        <v>16669</v>
      </c>
      <c r="AE48" s="1461">
        <v>2004</v>
      </c>
    </row>
    <row r="49" spans="1:34" ht="16.5" thickTop="1" thickBot="1">
      <c r="A49" s="145"/>
      <c r="B49" s="145"/>
      <c r="C49" s="145"/>
      <c r="D49" s="114"/>
      <c r="E49" s="139">
        <f>COUNTA(E12:E47)</f>
        <v>36</v>
      </c>
      <c r="F49" s="114"/>
      <c r="G49" s="114"/>
      <c r="H49" s="114"/>
      <c r="I49" s="114"/>
      <c r="J49" s="114"/>
      <c r="K49" s="114"/>
      <c r="L49" s="114"/>
      <c r="M49" s="354"/>
      <c r="N49" s="354"/>
      <c r="O49" s="354"/>
      <c r="P49" s="920"/>
      <c r="Q49" s="1667" t="s">
        <v>2275</v>
      </c>
      <c r="R49" s="1668"/>
      <c r="S49" s="920"/>
      <c r="T49" s="1667" t="s">
        <v>2277</v>
      </c>
      <c r="U49" s="1668"/>
      <c r="V49" s="114"/>
      <c r="W49" s="114"/>
      <c r="X49" s="114"/>
      <c r="Y49" s="114"/>
      <c r="Z49" s="114"/>
      <c r="AA49" s="1462">
        <v>23485</v>
      </c>
      <c r="AB49" s="1460">
        <v>49</v>
      </c>
      <c r="AC49" s="1460">
        <v>49</v>
      </c>
      <c r="AD49" s="1461">
        <v>30108</v>
      </c>
      <c r="AE49" s="1461">
        <v>22579</v>
      </c>
    </row>
    <row r="50" spans="1:34" ht="15.75" thickTop="1">
      <c r="A50" s="145"/>
      <c r="B50" s="145"/>
      <c r="C50" s="145"/>
      <c r="D50" s="114" t="s">
        <v>1138</v>
      </c>
      <c r="E50" s="114"/>
      <c r="F50" s="114"/>
      <c r="G50" s="114"/>
      <c r="H50" s="114"/>
      <c r="I50" s="114"/>
      <c r="J50" s="114"/>
      <c r="K50" s="114"/>
      <c r="L50" s="114"/>
      <c r="M50" s="354"/>
      <c r="N50" s="354"/>
      <c r="O50" s="354"/>
      <c r="P50" s="920"/>
      <c r="Q50" s="354" t="s">
        <v>2276</v>
      </c>
      <c r="R50" s="354"/>
      <c r="S50" s="920"/>
      <c r="T50" s="354" t="s">
        <v>2278</v>
      </c>
      <c r="U50" s="354"/>
      <c r="V50" s="114"/>
      <c r="W50" s="114"/>
      <c r="X50" s="114"/>
      <c r="Y50" s="114"/>
      <c r="Z50" s="114"/>
      <c r="AA50" s="1462">
        <v>23582</v>
      </c>
      <c r="AB50" s="1460">
        <v>59</v>
      </c>
      <c r="AC50" s="1460">
        <v>49</v>
      </c>
      <c r="AD50" s="1461">
        <v>27356</v>
      </c>
      <c r="AE50" s="1461">
        <v>25676</v>
      </c>
      <c r="AH50" s="114"/>
    </row>
    <row r="51" spans="1:34" s="114" customFormat="1" ht="15">
      <c r="A51" s="145"/>
      <c r="B51" s="145"/>
      <c r="C51" s="145"/>
      <c r="D51" s="114" t="s">
        <v>1137</v>
      </c>
      <c r="M51" s="354"/>
      <c r="N51" s="354"/>
      <c r="O51" s="354"/>
      <c r="P51" s="920"/>
      <c r="Q51" s="354"/>
      <c r="R51" s="354"/>
      <c r="S51" s="920"/>
      <c r="T51" s="354"/>
      <c r="U51" s="354"/>
      <c r="AA51" s="1462">
        <v>29269</v>
      </c>
      <c r="AB51" s="1460">
        <v>33</v>
      </c>
      <c r="AC51" s="1460">
        <v>33</v>
      </c>
      <c r="AD51" s="1461">
        <v>24659</v>
      </c>
      <c r="AE51" s="1461">
        <v>15944</v>
      </c>
      <c r="AF51" s="53"/>
    </row>
    <row r="52" spans="1:34" s="114" customFormat="1" ht="15">
      <c r="A52" s="145"/>
      <c r="B52" s="145"/>
      <c r="C52" s="145"/>
      <c r="E52" s="114" t="s">
        <v>2119</v>
      </c>
      <c r="G52" s="77" t="s">
        <v>1181</v>
      </c>
      <c r="H52" s="77" t="s">
        <v>1181</v>
      </c>
      <c r="I52" s="77" t="s">
        <v>1181</v>
      </c>
      <c r="J52" s="77"/>
      <c r="K52" s="77" t="s">
        <v>1181</v>
      </c>
      <c r="L52" s="77" t="s">
        <v>1181</v>
      </c>
      <c r="P52" s="68"/>
      <c r="S52" s="68"/>
      <c r="AA52" s="1462">
        <v>33965</v>
      </c>
      <c r="AB52" s="1460">
        <v>49</v>
      </c>
      <c r="AC52" s="1460">
        <v>33</v>
      </c>
      <c r="AD52" s="1461">
        <v>11062</v>
      </c>
      <c r="AE52" s="1461">
        <v>42030</v>
      </c>
      <c r="AF52" s="53"/>
    </row>
    <row r="53" spans="1:34" s="114" customFormat="1" ht="26.25">
      <c r="A53" s="145"/>
      <c r="B53" s="145"/>
      <c r="C53" s="145"/>
      <c r="D53" s="146" t="s">
        <v>209</v>
      </c>
      <c r="G53" s="147" t="s">
        <v>1</v>
      </c>
      <c r="H53" s="147" t="s">
        <v>1</v>
      </c>
      <c r="I53" s="753" t="s">
        <v>1149</v>
      </c>
      <c r="J53" s="753"/>
      <c r="K53" s="753" t="s">
        <v>84</v>
      </c>
      <c r="L53" s="753" t="s">
        <v>84</v>
      </c>
      <c r="M53" s="146"/>
      <c r="N53" s="146"/>
      <c r="O53" s="146"/>
      <c r="P53" s="75"/>
      <c r="Q53" s="146"/>
      <c r="R53" s="146"/>
      <c r="S53" s="75"/>
      <c r="T53" s="146"/>
      <c r="U53" s="146"/>
      <c r="AA53" s="1462">
        <v>36273</v>
      </c>
      <c r="AB53" s="1460">
        <v>76</v>
      </c>
      <c r="AC53" s="1460">
        <v>74</v>
      </c>
      <c r="AD53" s="1461">
        <v>24503</v>
      </c>
      <c r="AE53" s="1461">
        <v>53530</v>
      </c>
      <c r="AF53" s="53"/>
    </row>
    <row r="54" spans="1:34" s="114" customFormat="1" ht="26.25">
      <c r="A54" s="145"/>
      <c r="B54" s="145"/>
      <c r="C54" s="145"/>
      <c r="G54" s="754" t="s">
        <v>1179</v>
      </c>
      <c r="H54" s="754" t="s">
        <v>1180</v>
      </c>
      <c r="I54" s="754" t="s">
        <v>1150</v>
      </c>
      <c r="J54" s="754"/>
      <c r="K54" s="754" t="s">
        <v>1178</v>
      </c>
      <c r="L54" s="754" t="s">
        <v>1178</v>
      </c>
      <c r="P54" s="68"/>
      <c r="S54" s="68"/>
      <c r="AA54" s="1462">
        <v>42295</v>
      </c>
      <c r="AB54" s="1460">
        <v>41</v>
      </c>
      <c r="AC54" s="1460">
        <v>33</v>
      </c>
      <c r="AD54" s="1461">
        <v>26473</v>
      </c>
      <c r="AE54" s="1461">
        <v>6935</v>
      </c>
      <c r="AF54" s="53"/>
    </row>
    <row r="55" spans="1:34" s="114" customFormat="1" ht="12.75" customHeight="1" outlineLevel="1">
      <c r="A55" s="145"/>
      <c r="B55" s="145"/>
      <c r="C55" s="145"/>
      <c r="I55" s="754" t="s">
        <v>1179</v>
      </c>
      <c r="K55" s="754" t="s">
        <v>1179</v>
      </c>
      <c r="L55" s="754" t="s">
        <v>1180</v>
      </c>
      <c r="P55" s="68"/>
      <c r="S55" s="68"/>
      <c r="AA55" s="1462">
        <v>42421</v>
      </c>
      <c r="AB55" s="1460">
        <v>58</v>
      </c>
      <c r="AC55" s="1460">
        <v>83</v>
      </c>
      <c r="AD55" s="1461">
        <v>41092</v>
      </c>
      <c r="AE55" s="1461">
        <v>4165</v>
      </c>
      <c r="AF55" s="53"/>
    </row>
    <row r="56" spans="1:34" s="114" customFormat="1" ht="15" outlineLevel="1">
      <c r="A56" s="145"/>
      <c r="B56" s="145"/>
      <c r="C56" s="145"/>
      <c r="P56" s="68"/>
      <c r="S56" s="68"/>
      <c r="AA56" s="1462">
        <v>42485</v>
      </c>
      <c r="AB56" s="1460">
        <v>66</v>
      </c>
      <c r="AC56" s="1460">
        <v>57</v>
      </c>
      <c r="AD56" s="1461">
        <v>61495</v>
      </c>
      <c r="AE56" s="1461">
        <v>20894</v>
      </c>
      <c r="AF56" s="53"/>
    </row>
    <row r="57" spans="1:34" s="114" customFormat="1" ht="15" outlineLevel="1">
      <c r="A57" s="145"/>
      <c r="B57" s="145"/>
      <c r="C57" s="145"/>
      <c r="P57" s="68"/>
      <c r="S57" s="68"/>
      <c r="AA57" s="1462">
        <v>133965</v>
      </c>
      <c r="AB57" s="1460">
        <v>25</v>
      </c>
      <c r="AC57" s="1460">
        <v>41</v>
      </c>
      <c r="AD57" s="1461">
        <v>5147</v>
      </c>
      <c r="AE57" s="1461">
        <v>62471</v>
      </c>
      <c r="AF57" s="53"/>
    </row>
    <row r="58" spans="1:34" s="114" customFormat="1" ht="15" outlineLevel="1">
      <c r="A58" s="145"/>
      <c r="B58" s="145"/>
      <c r="C58" s="145"/>
      <c r="G58" s="814" t="s">
        <v>210</v>
      </c>
      <c r="H58" s="814"/>
      <c r="I58" s="814"/>
      <c r="J58" s="814"/>
      <c r="K58" s="814"/>
      <c r="L58" s="814"/>
      <c r="P58" s="68"/>
      <c r="S58" s="68"/>
      <c r="AA58" s="1462">
        <v>203634</v>
      </c>
      <c r="AB58" s="1460">
        <v>33</v>
      </c>
      <c r="AC58" s="1460">
        <v>33</v>
      </c>
      <c r="AD58" s="1461">
        <v>3062</v>
      </c>
      <c r="AE58" s="1461">
        <v>86237</v>
      </c>
      <c r="AF58" s="53"/>
    </row>
    <row r="59" spans="1:34" s="114" customFormat="1" outlineLevel="1">
      <c r="A59" s="145"/>
      <c r="B59" s="145"/>
      <c r="C59" s="145"/>
      <c r="G59" s="151" t="s">
        <v>211</v>
      </c>
      <c r="H59" s="151"/>
      <c r="I59" s="151"/>
      <c r="J59" s="151"/>
      <c r="K59" s="151"/>
      <c r="L59" s="151"/>
      <c r="P59" s="68"/>
      <c r="S59" s="68"/>
      <c r="AA59" s="1026"/>
      <c r="AB59" s="1027"/>
      <c r="AC59" s="1027"/>
      <c r="AD59" s="1028"/>
      <c r="AE59" s="1028"/>
      <c r="AF59" s="53"/>
    </row>
    <row r="60" spans="1:34" s="114" customFormat="1" outlineLevel="1">
      <c r="A60" s="145"/>
      <c r="B60" s="145"/>
      <c r="C60" s="145"/>
      <c r="F60" s="153">
        <f>F72-F48-F11</f>
        <v>345995</v>
      </c>
      <c r="G60" s="151" t="s">
        <v>1153</v>
      </c>
      <c r="H60" s="151"/>
      <c r="I60" s="151"/>
      <c r="J60" s="151"/>
      <c r="K60" s="151"/>
      <c r="L60" s="151"/>
      <c r="P60" s="68"/>
      <c r="S60" s="68"/>
      <c r="AA60" s="1036">
        <f>COUNT(AA13:AA59)</f>
        <v>46</v>
      </c>
      <c r="AB60" s="1029">
        <f>SUM(AB13:AB59)</f>
        <v>2855</v>
      </c>
      <c r="AC60" s="1029">
        <f>SUM(AC13:AC59)</f>
        <v>3137</v>
      </c>
      <c r="AD60" s="1030">
        <f>SUM(AD13:AD59)</f>
        <v>4936746</v>
      </c>
      <c r="AE60" s="1030">
        <f>SUM(AE13:AE59)</f>
        <v>3664128</v>
      </c>
      <c r="AF60" s="53"/>
    </row>
    <row r="61" spans="1:34" s="114" customFormat="1" outlineLevel="1">
      <c r="A61" s="145"/>
      <c r="B61" s="145"/>
      <c r="C61" s="145"/>
      <c r="F61" s="114">
        <f>Names!$I$74</f>
        <v>0</v>
      </c>
      <c r="G61" s="151" t="s">
        <v>213</v>
      </c>
      <c r="H61" s="151"/>
      <c r="I61" s="151"/>
      <c r="J61" s="151"/>
      <c r="K61" s="151"/>
      <c r="L61" s="151"/>
      <c r="P61" s="68"/>
      <c r="S61" s="68"/>
      <c r="AA61" s="1024"/>
      <c r="AB61" s="1024"/>
      <c r="AC61" s="1024">
        <f>AC60+AB60</f>
        <v>5992</v>
      </c>
      <c r="AD61" s="1024"/>
      <c r="AE61" s="1024"/>
      <c r="AF61" s="53"/>
    </row>
    <row r="62" spans="1:34" s="114" customFormat="1" outlineLevel="1">
      <c r="A62" s="145"/>
      <c r="B62" s="145"/>
      <c r="C62" s="145"/>
      <c r="F62" s="153">
        <f>F60-F61</f>
        <v>345995</v>
      </c>
      <c r="G62" s="151" t="s">
        <v>214</v>
      </c>
      <c r="H62" s="151"/>
      <c r="I62" s="151"/>
      <c r="J62" s="151"/>
      <c r="K62" s="151"/>
      <c r="L62" s="151"/>
      <c r="P62" s="68"/>
      <c r="S62" s="68"/>
      <c r="AA62" s="1037"/>
      <c r="AF62" s="53"/>
    </row>
    <row r="63" spans="1:34" s="114" customFormat="1" outlineLevel="1">
      <c r="A63" s="145"/>
      <c r="B63" s="145"/>
      <c r="C63" s="145"/>
      <c r="P63" s="68"/>
      <c r="S63" s="68"/>
      <c r="W63" s="144"/>
      <c r="AA63" s="1037"/>
      <c r="AD63" s="711">
        <f>AD13/AF13</f>
        <v>50.358527840784376</v>
      </c>
      <c r="AE63" s="711">
        <f>AE13/AF13</f>
        <v>8.8095412307016918</v>
      </c>
      <c r="AF63" s="53"/>
    </row>
    <row r="64" spans="1:34" s="114" customFormat="1" outlineLevel="1">
      <c r="A64" s="145"/>
      <c r="B64" s="145"/>
      <c r="C64" s="145"/>
      <c r="P64" s="68"/>
      <c r="S64" s="68"/>
      <c r="AD64" s="1665" t="s">
        <v>1366</v>
      </c>
      <c r="AE64" s="1666"/>
      <c r="AF64" s="53"/>
    </row>
    <row r="65" spans="1:32" s="114" customFormat="1">
      <c r="A65" s="145"/>
      <c r="B65" s="145"/>
      <c r="C65" s="145"/>
      <c r="M65" s="665" t="str">
        <f>IF(SUM(M12:M47)&lt;&gt;'Smmy Sum'!$C$42,"Error","Balanced")</f>
        <v>Balanced</v>
      </c>
      <c r="N65" s="665"/>
      <c r="O65" s="665"/>
      <c r="P65" s="678"/>
      <c r="Q65" s="665"/>
      <c r="R65" s="665"/>
      <c r="S65" s="678"/>
      <c r="T65" s="665"/>
      <c r="U65" s="665"/>
      <c r="AF65" s="53"/>
    </row>
    <row r="66" spans="1:32" s="114" customFormat="1">
      <c r="A66" s="145"/>
      <c r="B66" s="145"/>
      <c r="C66" s="145"/>
      <c r="P66" s="68"/>
      <c r="S66" s="68"/>
    </row>
    <row r="67" spans="1:32" s="114" customFormat="1">
      <c r="A67" s="145"/>
      <c r="B67" s="145"/>
      <c r="C67" s="145"/>
      <c r="G67" s="145" t="s">
        <v>458</v>
      </c>
      <c r="H67" s="145" t="s">
        <v>460</v>
      </c>
      <c r="I67" s="145" t="s">
        <v>647</v>
      </c>
      <c r="J67" s="145"/>
      <c r="K67" s="145" t="s">
        <v>643</v>
      </c>
      <c r="L67" s="145" t="s">
        <v>468</v>
      </c>
      <c r="M67" s="145" t="s">
        <v>1151</v>
      </c>
      <c r="N67" s="145"/>
      <c r="O67" s="145"/>
      <c r="P67" s="678"/>
      <c r="Q67" s="145"/>
      <c r="R67" s="145"/>
      <c r="S67" s="678"/>
      <c r="T67" s="145"/>
      <c r="U67" s="145"/>
    </row>
    <row r="68" spans="1:32" s="114" customFormat="1">
      <c r="A68" s="145"/>
      <c r="B68" s="145"/>
      <c r="C68" s="145"/>
      <c r="P68" s="68"/>
      <c r="S68" s="68"/>
    </row>
    <row r="69" spans="1:32" s="114" customFormat="1">
      <c r="A69" s="145"/>
      <c r="B69" s="145"/>
      <c r="C69" s="145"/>
      <c r="M69" s="711"/>
      <c r="N69" s="711"/>
      <c r="O69" s="711"/>
      <c r="P69" s="921"/>
      <c r="Q69" s="711"/>
      <c r="R69" s="711"/>
      <c r="S69" s="921"/>
      <c r="T69" s="711"/>
      <c r="U69" s="711"/>
    </row>
    <row r="70" spans="1:32" s="114" customFormat="1">
      <c r="A70" s="145"/>
      <c r="B70" s="145"/>
      <c r="C70" s="145"/>
      <c r="P70" s="68"/>
      <c r="S70" s="68"/>
    </row>
    <row r="71" spans="1:32" s="114" customFormat="1">
      <c r="A71" s="145"/>
      <c r="B71" s="145"/>
      <c r="C71" s="145"/>
      <c r="P71" s="68"/>
      <c r="S71" s="68"/>
    </row>
    <row r="72" spans="1:32" s="114" customFormat="1">
      <c r="A72" s="145"/>
      <c r="B72" s="145"/>
      <c r="C72" s="145"/>
      <c r="D72" s="856" t="s">
        <v>1338</v>
      </c>
      <c r="F72" s="857">
        <f>SUM(F11:F48)</f>
        <v>791581</v>
      </c>
      <c r="G72" s="857">
        <f>SUM(G11:G48)</f>
        <v>297668</v>
      </c>
      <c r="H72" s="857">
        <f>SUM(H11:H48)</f>
        <v>3049840</v>
      </c>
      <c r="I72" s="857">
        <f>SUM(I11:I48)</f>
        <v>786021</v>
      </c>
      <c r="J72" s="857"/>
      <c r="K72" s="857">
        <f>SUM(K11:K48)</f>
        <v>956733</v>
      </c>
      <c r="L72" s="857">
        <f>SUM(L11:L48)</f>
        <v>10177285</v>
      </c>
      <c r="M72" s="912">
        <f>SUM(M11:M48)</f>
        <v>1125345.4000000001</v>
      </c>
      <c r="N72" s="857">
        <f>SUM(N11:N48)</f>
        <v>2425</v>
      </c>
      <c r="O72" s="857">
        <f>SUM(O11:O48)</f>
        <v>2711</v>
      </c>
      <c r="P72" s="922"/>
      <c r="Q72" s="913"/>
      <c r="R72" s="912">
        <f>SUM(F72:Q72)</f>
        <v>17189609.399999999</v>
      </c>
      <c r="S72" s="922"/>
      <c r="T72" s="913"/>
      <c r="U72" s="912">
        <f>SUM(C72:T72)</f>
        <v>34379218.799999997</v>
      </c>
    </row>
    <row r="73" spans="1:32" s="114" customFormat="1">
      <c r="A73" s="145"/>
      <c r="B73" s="145"/>
      <c r="C73" s="145"/>
      <c r="P73" s="68"/>
      <c r="R73" s="913"/>
      <c r="S73" s="68"/>
      <c r="U73" s="913"/>
    </row>
    <row r="74" spans="1:32" s="114" customFormat="1">
      <c r="A74" s="145"/>
      <c r="B74" s="145"/>
      <c r="C74" s="145"/>
      <c r="P74" s="68"/>
      <c r="R74" s="913"/>
      <c r="S74" s="68"/>
      <c r="U74" s="913"/>
    </row>
    <row r="75" spans="1:32" s="114" customFormat="1">
      <c r="A75" s="145"/>
      <c r="B75" s="145"/>
      <c r="C75" s="145"/>
      <c r="D75" s="1500" t="s">
        <v>2232</v>
      </c>
      <c r="F75" s="1466">
        <v>791581</v>
      </c>
      <c r="G75" s="857">
        <v>297668</v>
      </c>
      <c r="H75" s="857">
        <v>3047777</v>
      </c>
      <c r="I75" s="857">
        <v>786021</v>
      </c>
      <c r="J75" s="857"/>
      <c r="K75" s="857">
        <v>956733</v>
      </c>
      <c r="L75" s="857">
        <v>10173286</v>
      </c>
      <c r="M75" s="912">
        <v>1125345.4000000001</v>
      </c>
      <c r="N75" s="857">
        <v>2425</v>
      </c>
      <c r="O75" s="857">
        <v>2711</v>
      </c>
      <c r="P75" s="922"/>
      <c r="Q75" s="913"/>
      <c r="R75" s="912">
        <v>17183547.399999999</v>
      </c>
      <c r="S75" s="922"/>
      <c r="T75" s="913"/>
      <c r="U75" s="912">
        <v>31211250.120000001</v>
      </c>
    </row>
    <row r="76" spans="1:32" s="114" customFormat="1">
      <c r="A76" s="145"/>
      <c r="B76" s="145"/>
      <c r="C76" s="145"/>
      <c r="D76" s="1499">
        <v>44553</v>
      </c>
      <c r="P76" s="68"/>
      <c r="R76" s="913"/>
      <c r="S76" s="68"/>
      <c r="U76" s="913"/>
    </row>
    <row r="77" spans="1:32" s="114" customFormat="1">
      <c r="A77" s="145"/>
      <c r="B77" s="145"/>
      <c r="C77" s="145"/>
      <c r="F77" s="153">
        <f>F75-F72</f>
        <v>0</v>
      </c>
      <c r="G77" s="153">
        <f t="shared" ref="G77:O77" si="4">G75-G72</f>
        <v>0</v>
      </c>
      <c r="H77" s="153">
        <f t="shared" si="4"/>
        <v>-2063</v>
      </c>
      <c r="I77" s="153">
        <f t="shared" si="4"/>
        <v>0</v>
      </c>
      <c r="J77" s="153">
        <f t="shared" si="4"/>
        <v>0</v>
      </c>
      <c r="K77" s="153">
        <f t="shared" si="4"/>
        <v>0</v>
      </c>
      <c r="L77" s="153">
        <f t="shared" si="4"/>
        <v>-3999</v>
      </c>
      <c r="M77" s="153">
        <f t="shared" si="4"/>
        <v>0</v>
      </c>
      <c r="N77" s="153">
        <f t="shared" si="4"/>
        <v>0</v>
      </c>
      <c r="O77" s="153">
        <f t="shared" si="4"/>
        <v>0</v>
      </c>
      <c r="P77" s="153">
        <f>P75-P72</f>
        <v>0</v>
      </c>
      <c r="Q77" s="153">
        <f>Q75-Q72</f>
        <v>0</v>
      </c>
      <c r="R77" s="913">
        <f>R75-R72</f>
        <v>-6062</v>
      </c>
      <c r="S77" s="153">
        <f t="shared" ref="S77:U77" si="5">S75-S72</f>
        <v>0</v>
      </c>
      <c r="T77" s="153">
        <f t="shared" si="5"/>
        <v>0</v>
      </c>
      <c r="U77" s="913">
        <f t="shared" si="5"/>
        <v>-3167968.679999996</v>
      </c>
    </row>
    <row r="78" spans="1:32" s="114" customFormat="1">
      <c r="A78" s="145"/>
      <c r="B78" s="145"/>
      <c r="C78" s="145"/>
      <c r="P78" s="68"/>
      <c r="S78" s="68"/>
    </row>
    <row r="79" spans="1:32" s="114" customFormat="1">
      <c r="A79" s="145"/>
      <c r="B79" s="145"/>
      <c r="C79" s="145"/>
      <c r="M79" s="891"/>
      <c r="N79" s="891"/>
      <c r="O79" s="891"/>
      <c r="P79" s="891"/>
      <c r="S79" s="891"/>
    </row>
    <row r="80" spans="1:32" s="114" customFormat="1">
      <c r="A80" s="145"/>
      <c r="B80" s="145"/>
      <c r="C80" s="145"/>
      <c r="D80" s="114" t="s">
        <v>2233</v>
      </c>
      <c r="P80" s="68"/>
      <c r="S80" s="68"/>
    </row>
    <row r="81" spans="1:19" s="114" customFormat="1">
      <c r="A81" s="145"/>
      <c r="B81" s="145"/>
      <c r="C81" s="145"/>
      <c r="D81" s="1499" t="s">
        <v>2488</v>
      </c>
      <c r="P81" s="68"/>
      <c r="S81" s="68"/>
    </row>
    <row r="82" spans="1:19" s="114" customFormat="1">
      <c r="A82" s="145"/>
      <c r="B82" s="145"/>
      <c r="C82" s="145"/>
      <c r="P82" s="68"/>
      <c r="S82" s="68"/>
    </row>
    <row r="83" spans="1:19" s="114" customFormat="1">
      <c r="A83" s="145"/>
      <c r="B83" s="145"/>
      <c r="C83" s="145"/>
      <c r="P83" s="68"/>
      <c r="S83" s="68"/>
    </row>
    <row r="84" spans="1:19" s="114" customFormat="1">
      <c r="A84" s="145"/>
      <c r="B84" s="145"/>
      <c r="C84" s="145"/>
      <c r="P84" s="68"/>
      <c r="S84" s="68"/>
    </row>
    <row r="85" spans="1:19" s="114" customFormat="1">
      <c r="A85" s="145"/>
      <c r="B85" s="145"/>
      <c r="C85" s="145"/>
      <c r="P85" s="68"/>
      <c r="S85" s="68"/>
    </row>
    <row r="86" spans="1:19" s="114" customFormat="1">
      <c r="A86" s="145"/>
      <c r="B86" s="145"/>
      <c r="C86" s="145"/>
      <c r="P86" s="68"/>
      <c r="S86" s="68"/>
    </row>
    <row r="87" spans="1:19" s="114" customFormat="1">
      <c r="A87" s="145"/>
      <c r="B87" s="145"/>
      <c r="C87" s="145"/>
      <c r="P87" s="68"/>
      <c r="S87" s="68"/>
    </row>
    <row r="88" spans="1:19" s="114" customFormat="1">
      <c r="A88" s="145"/>
      <c r="B88" s="145"/>
      <c r="C88" s="145"/>
      <c r="P88" s="68"/>
      <c r="S88" s="68"/>
    </row>
    <row r="89" spans="1:19" s="114" customFormat="1">
      <c r="A89" s="145"/>
      <c r="B89" s="145"/>
      <c r="C89" s="145"/>
      <c r="P89" s="68"/>
      <c r="S89" s="68"/>
    </row>
    <row r="90" spans="1:19" s="114" customFormat="1">
      <c r="A90" s="145"/>
      <c r="B90" s="145"/>
      <c r="C90" s="145"/>
      <c r="P90" s="68"/>
      <c r="S90" s="68"/>
    </row>
    <row r="91" spans="1:19" s="114" customFormat="1">
      <c r="A91" s="145"/>
      <c r="B91" s="145"/>
      <c r="C91" s="145"/>
      <c r="P91" s="68"/>
      <c r="S91" s="68"/>
    </row>
    <row r="92" spans="1:19" s="114" customFormat="1">
      <c r="A92" s="145"/>
      <c r="B92" s="145"/>
      <c r="C92" s="145"/>
      <c r="P92" s="68"/>
      <c r="S92" s="68"/>
    </row>
    <row r="93" spans="1:19" s="114" customFormat="1">
      <c r="A93" s="145"/>
      <c r="B93" s="145"/>
      <c r="C93" s="145"/>
      <c r="P93" s="68"/>
      <c r="S93" s="68"/>
    </row>
    <row r="94" spans="1:19" s="114" customFormat="1">
      <c r="A94" s="145"/>
      <c r="B94" s="145"/>
      <c r="C94" s="145"/>
      <c r="P94" s="68"/>
      <c r="S94" s="68"/>
    </row>
    <row r="95" spans="1:19" s="114" customFormat="1">
      <c r="A95" s="145"/>
      <c r="B95" s="145"/>
      <c r="C95" s="145"/>
      <c r="P95" s="68"/>
      <c r="S95" s="68"/>
    </row>
    <row r="96" spans="1:19" s="114" customFormat="1">
      <c r="A96" s="145"/>
      <c r="B96" s="145"/>
      <c r="C96" s="145"/>
      <c r="P96" s="68"/>
      <c r="S96" s="68"/>
    </row>
    <row r="97" spans="1:19" s="114" customFormat="1">
      <c r="A97" s="145"/>
      <c r="B97" s="145"/>
      <c r="C97" s="145"/>
      <c r="P97" s="68"/>
      <c r="S97" s="68"/>
    </row>
    <row r="98" spans="1:19" s="114" customFormat="1">
      <c r="A98" s="145"/>
      <c r="B98" s="145"/>
      <c r="C98" s="145"/>
      <c r="P98" s="68"/>
      <c r="S98" s="68"/>
    </row>
    <row r="99" spans="1:19" s="114" customFormat="1">
      <c r="A99" s="145"/>
      <c r="B99" s="145"/>
      <c r="C99" s="145"/>
      <c r="P99" s="68"/>
      <c r="S99" s="68"/>
    </row>
    <row r="100" spans="1:19" s="114" customFormat="1">
      <c r="A100" s="145"/>
      <c r="B100" s="145"/>
      <c r="C100" s="145"/>
      <c r="P100" s="68"/>
      <c r="S100" s="68"/>
    </row>
    <row r="101" spans="1:19" s="114" customFormat="1">
      <c r="A101" s="145"/>
      <c r="B101" s="145"/>
      <c r="C101" s="145"/>
      <c r="P101" s="68"/>
      <c r="S101" s="68"/>
    </row>
    <row r="102" spans="1:19" s="114" customFormat="1">
      <c r="A102" s="145"/>
      <c r="B102" s="145"/>
      <c r="C102" s="145"/>
      <c r="P102" s="68"/>
      <c r="S102" s="68"/>
    </row>
    <row r="103" spans="1:19" s="114" customFormat="1">
      <c r="A103" s="145"/>
      <c r="B103" s="145"/>
      <c r="C103" s="145"/>
      <c r="P103" s="68"/>
      <c r="S103" s="68"/>
    </row>
    <row r="104" spans="1:19" s="114" customFormat="1">
      <c r="A104" s="145"/>
      <c r="B104" s="145"/>
      <c r="C104" s="145"/>
      <c r="P104" s="68"/>
      <c r="S104" s="68"/>
    </row>
    <row r="105" spans="1:19" s="114" customFormat="1">
      <c r="A105" s="145"/>
      <c r="B105" s="145"/>
      <c r="C105" s="145"/>
      <c r="P105" s="68"/>
      <c r="S105" s="68"/>
    </row>
    <row r="106" spans="1:19" s="114" customFormat="1">
      <c r="A106" s="145"/>
      <c r="B106" s="145"/>
      <c r="C106" s="145"/>
      <c r="P106" s="68"/>
      <c r="S106" s="68"/>
    </row>
    <row r="107" spans="1:19" s="114" customFormat="1">
      <c r="A107" s="145"/>
      <c r="B107" s="145"/>
      <c r="C107" s="145"/>
      <c r="P107" s="68"/>
      <c r="S107" s="68"/>
    </row>
    <row r="108" spans="1:19" s="114" customFormat="1">
      <c r="A108" s="145"/>
      <c r="B108" s="145"/>
      <c r="C108" s="145"/>
      <c r="P108" s="68"/>
      <c r="S108" s="68"/>
    </row>
    <row r="109" spans="1:19" s="114" customFormat="1">
      <c r="A109" s="145"/>
      <c r="B109" s="145"/>
      <c r="C109" s="145"/>
      <c r="P109" s="68"/>
      <c r="S109" s="68"/>
    </row>
    <row r="110" spans="1:19" s="114" customFormat="1">
      <c r="A110" s="145"/>
      <c r="B110" s="145"/>
      <c r="C110" s="145"/>
      <c r="P110" s="68"/>
      <c r="S110" s="68"/>
    </row>
    <row r="111" spans="1:19" s="114" customFormat="1">
      <c r="A111" s="145"/>
      <c r="B111" s="145"/>
      <c r="C111" s="145"/>
      <c r="P111" s="68"/>
      <c r="S111" s="68"/>
    </row>
    <row r="112" spans="1:19" s="114" customFormat="1">
      <c r="A112" s="145"/>
      <c r="B112" s="145"/>
      <c r="C112" s="145"/>
      <c r="P112" s="68"/>
      <c r="S112" s="68"/>
    </row>
    <row r="113" spans="1:19" s="114" customFormat="1">
      <c r="A113" s="145"/>
      <c r="B113" s="145"/>
      <c r="C113" s="145"/>
      <c r="P113" s="68"/>
      <c r="S113" s="68"/>
    </row>
    <row r="114" spans="1:19" s="114" customFormat="1">
      <c r="A114" s="145"/>
      <c r="B114" s="145"/>
      <c r="C114" s="145"/>
      <c r="P114" s="68"/>
      <c r="S114" s="68"/>
    </row>
    <row r="115" spans="1:19" s="114" customFormat="1">
      <c r="A115" s="145"/>
      <c r="B115" s="145"/>
      <c r="C115" s="145"/>
      <c r="P115" s="68"/>
      <c r="S115" s="68"/>
    </row>
    <row r="116" spans="1:19" s="114" customFormat="1">
      <c r="A116" s="145"/>
      <c r="B116" s="145"/>
      <c r="C116" s="145"/>
      <c r="P116" s="68"/>
      <c r="S116" s="68"/>
    </row>
    <row r="117" spans="1:19" s="114" customFormat="1">
      <c r="A117" s="145"/>
      <c r="B117" s="145"/>
      <c r="C117" s="145"/>
      <c r="P117" s="68"/>
      <c r="S117" s="68"/>
    </row>
    <row r="118" spans="1:19" s="114" customFormat="1">
      <c r="A118" s="145"/>
      <c r="B118" s="145"/>
      <c r="C118" s="145"/>
      <c r="P118" s="68"/>
      <c r="S118" s="68"/>
    </row>
    <row r="119" spans="1:19" s="114" customFormat="1">
      <c r="A119" s="145"/>
      <c r="B119" s="145"/>
      <c r="C119" s="145"/>
      <c r="P119" s="68"/>
      <c r="S119" s="68"/>
    </row>
    <row r="120" spans="1:19" s="114" customFormat="1">
      <c r="A120" s="145"/>
      <c r="B120" s="145"/>
      <c r="C120" s="145"/>
      <c r="P120" s="68"/>
      <c r="S120" s="68"/>
    </row>
    <row r="121" spans="1:19" s="114" customFormat="1">
      <c r="A121" s="145"/>
      <c r="B121" s="145"/>
      <c r="C121" s="145"/>
      <c r="P121" s="68"/>
      <c r="S121" s="68"/>
    </row>
    <row r="122" spans="1:19" s="114" customFormat="1">
      <c r="A122" s="145"/>
      <c r="B122" s="145"/>
      <c r="C122" s="145"/>
      <c r="P122" s="68"/>
      <c r="S122" s="68"/>
    </row>
    <row r="123" spans="1:19" s="114" customFormat="1">
      <c r="A123" s="145"/>
      <c r="B123" s="145"/>
      <c r="C123" s="145"/>
      <c r="P123" s="68"/>
      <c r="S123" s="68"/>
    </row>
    <row r="124" spans="1:19" s="114" customFormat="1">
      <c r="A124" s="145"/>
      <c r="B124" s="145"/>
      <c r="C124" s="145"/>
      <c r="P124" s="68"/>
      <c r="S124" s="68"/>
    </row>
    <row r="125" spans="1:19" s="114" customFormat="1">
      <c r="A125" s="145"/>
      <c r="B125" s="145"/>
      <c r="C125" s="145"/>
      <c r="P125" s="68"/>
      <c r="S125" s="68"/>
    </row>
    <row r="126" spans="1:19" s="114" customFormat="1">
      <c r="A126" s="145"/>
      <c r="B126" s="145"/>
      <c r="C126" s="145"/>
      <c r="P126" s="68"/>
      <c r="S126" s="68"/>
    </row>
    <row r="127" spans="1:19" s="114" customFormat="1">
      <c r="A127" s="145"/>
      <c r="B127" s="145"/>
      <c r="C127" s="145"/>
      <c r="P127" s="68"/>
      <c r="S127" s="68"/>
    </row>
    <row r="128" spans="1:19" s="114" customFormat="1">
      <c r="A128" s="145"/>
      <c r="B128" s="145"/>
      <c r="C128" s="145"/>
      <c r="P128" s="68"/>
      <c r="S128" s="68"/>
    </row>
    <row r="129" spans="1:19" s="114" customFormat="1">
      <c r="A129" s="145"/>
      <c r="B129" s="145"/>
      <c r="C129" s="145"/>
      <c r="P129" s="68"/>
      <c r="S129" s="68"/>
    </row>
    <row r="130" spans="1:19" s="114" customFormat="1">
      <c r="A130" s="145"/>
      <c r="B130" s="145"/>
      <c r="C130" s="145"/>
      <c r="P130" s="68"/>
      <c r="S130" s="68"/>
    </row>
    <row r="131" spans="1:19" s="114" customFormat="1">
      <c r="A131" s="145"/>
      <c r="B131" s="145"/>
      <c r="C131" s="145"/>
      <c r="P131" s="68"/>
      <c r="S131" s="68"/>
    </row>
    <row r="132" spans="1:19" s="114" customFormat="1">
      <c r="A132" s="145"/>
      <c r="B132" s="145"/>
      <c r="C132" s="145"/>
      <c r="P132" s="68"/>
      <c r="S132" s="68"/>
    </row>
    <row r="133" spans="1:19" s="114" customFormat="1">
      <c r="A133" s="145"/>
      <c r="B133" s="145"/>
      <c r="C133" s="145"/>
      <c r="P133" s="68"/>
      <c r="S133" s="68"/>
    </row>
    <row r="134" spans="1:19" s="114" customFormat="1">
      <c r="A134" s="145"/>
      <c r="B134" s="145"/>
      <c r="C134" s="145"/>
      <c r="P134" s="68"/>
      <c r="S134" s="68"/>
    </row>
    <row r="135" spans="1:19" s="114" customFormat="1">
      <c r="A135" s="145"/>
      <c r="B135" s="145"/>
      <c r="C135" s="145"/>
      <c r="P135" s="68"/>
      <c r="S135" s="68"/>
    </row>
    <row r="136" spans="1:19" s="114" customFormat="1">
      <c r="A136" s="145"/>
      <c r="B136" s="145"/>
      <c r="C136" s="145"/>
      <c r="P136" s="68"/>
      <c r="S136" s="68"/>
    </row>
    <row r="137" spans="1:19" s="114" customFormat="1">
      <c r="A137" s="145"/>
      <c r="B137" s="145"/>
      <c r="C137" s="145"/>
      <c r="P137" s="68"/>
      <c r="S137" s="68"/>
    </row>
    <row r="138" spans="1:19" s="114" customFormat="1">
      <c r="A138" s="145"/>
      <c r="B138" s="145"/>
      <c r="C138" s="145"/>
      <c r="P138" s="68"/>
      <c r="S138" s="68"/>
    </row>
    <row r="139" spans="1:19" s="114" customFormat="1">
      <c r="A139" s="145"/>
      <c r="B139" s="145"/>
      <c r="C139" s="145"/>
      <c r="P139" s="68"/>
      <c r="S139" s="68"/>
    </row>
    <row r="140" spans="1:19" s="114" customFormat="1">
      <c r="A140" s="145"/>
      <c r="B140" s="145"/>
      <c r="C140" s="145"/>
      <c r="P140" s="68"/>
      <c r="S140" s="68"/>
    </row>
    <row r="141" spans="1:19" s="114" customFormat="1">
      <c r="A141" s="145"/>
      <c r="B141" s="145"/>
      <c r="C141" s="145"/>
      <c r="P141" s="68"/>
      <c r="S141" s="68"/>
    </row>
    <row r="142" spans="1:19" s="114" customFormat="1">
      <c r="A142" s="145"/>
      <c r="B142" s="145"/>
      <c r="C142" s="145"/>
      <c r="P142" s="68"/>
      <c r="S142" s="68"/>
    </row>
    <row r="143" spans="1:19" s="114" customFormat="1">
      <c r="A143" s="145"/>
      <c r="B143" s="145"/>
      <c r="C143" s="145"/>
      <c r="P143" s="68"/>
      <c r="S143" s="68"/>
    </row>
    <row r="144" spans="1:19" s="114" customFormat="1">
      <c r="A144" s="145"/>
      <c r="B144" s="145"/>
      <c r="C144" s="145"/>
      <c r="P144" s="68"/>
      <c r="S144" s="68"/>
    </row>
    <row r="145" spans="1:19" s="114" customFormat="1">
      <c r="A145" s="145"/>
      <c r="B145" s="145"/>
      <c r="C145" s="145"/>
      <c r="P145" s="68"/>
      <c r="S145" s="68"/>
    </row>
    <row r="146" spans="1:19" s="114" customFormat="1">
      <c r="A146" s="145"/>
      <c r="B146" s="145"/>
      <c r="C146" s="145"/>
      <c r="P146" s="68"/>
      <c r="S146" s="68"/>
    </row>
    <row r="147" spans="1:19" s="114" customFormat="1">
      <c r="A147" s="145"/>
      <c r="B147" s="145"/>
      <c r="C147" s="145"/>
      <c r="P147" s="68"/>
      <c r="S147" s="68"/>
    </row>
    <row r="148" spans="1:19" s="114" customFormat="1">
      <c r="A148" s="145"/>
      <c r="B148" s="145"/>
      <c r="C148" s="145"/>
      <c r="P148" s="68"/>
      <c r="S148" s="68"/>
    </row>
    <row r="149" spans="1:19" s="114" customFormat="1">
      <c r="A149" s="145"/>
      <c r="B149" s="145"/>
      <c r="C149" s="145"/>
      <c r="P149" s="68"/>
      <c r="S149" s="68"/>
    </row>
    <row r="150" spans="1:19" s="114" customFormat="1">
      <c r="A150" s="145"/>
      <c r="B150" s="145"/>
      <c r="C150" s="145"/>
      <c r="P150" s="68"/>
      <c r="S150" s="68"/>
    </row>
    <row r="151" spans="1:19" s="114" customFormat="1">
      <c r="A151" s="145"/>
      <c r="B151" s="145"/>
      <c r="C151" s="145"/>
      <c r="P151" s="68"/>
      <c r="S151" s="68"/>
    </row>
    <row r="152" spans="1:19" s="114" customFormat="1">
      <c r="A152" s="145"/>
      <c r="B152" s="145"/>
      <c r="C152" s="145"/>
      <c r="P152" s="68"/>
      <c r="S152" s="68"/>
    </row>
    <row r="153" spans="1:19" s="114" customFormat="1">
      <c r="A153" s="145"/>
      <c r="B153" s="145"/>
      <c r="C153" s="145"/>
      <c r="P153" s="68"/>
      <c r="S153" s="68"/>
    </row>
    <row r="154" spans="1:19" s="114" customFormat="1">
      <c r="A154" s="145"/>
      <c r="B154" s="145"/>
      <c r="C154" s="145"/>
      <c r="P154" s="68"/>
      <c r="S154" s="68"/>
    </row>
    <row r="155" spans="1:19" s="114" customFormat="1">
      <c r="A155" s="145"/>
      <c r="B155" s="145"/>
      <c r="C155" s="145"/>
      <c r="P155" s="68"/>
      <c r="S155" s="68"/>
    </row>
    <row r="156" spans="1:19" s="114" customFormat="1">
      <c r="A156" s="145"/>
      <c r="B156" s="145"/>
      <c r="C156" s="145"/>
      <c r="P156" s="68"/>
      <c r="S156" s="68"/>
    </row>
    <row r="157" spans="1:19" s="114" customFormat="1">
      <c r="A157" s="145"/>
      <c r="B157" s="145"/>
      <c r="C157" s="145"/>
      <c r="P157" s="68"/>
      <c r="S157" s="68"/>
    </row>
    <row r="158" spans="1:19" s="114" customFormat="1">
      <c r="A158" s="145"/>
      <c r="B158" s="145"/>
      <c r="C158" s="145"/>
      <c r="P158" s="68"/>
      <c r="S158" s="68"/>
    </row>
    <row r="159" spans="1:19" s="114" customFormat="1">
      <c r="A159" s="145"/>
      <c r="B159" s="145"/>
      <c r="C159" s="145"/>
      <c r="P159" s="68"/>
      <c r="S159" s="68"/>
    </row>
    <row r="160" spans="1:19" s="114" customFormat="1">
      <c r="A160" s="145"/>
      <c r="B160" s="145"/>
      <c r="C160" s="145"/>
      <c r="P160" s="68"/>
      <c r="S160" s="68"/>
    </row>
    <row r="161" spans="1:19" s="114" customFormat="1">
      <c r="A161" s="145"/>
      <c r="B161" s="145"/>
      <c r="C161" s="145"/>
      <c r="P161" s="68"/>
      <c r="S161" s="68"/>
    </row>
    <row r="162" spans="1:19" s="114" customFormat="1">
      <c r="A162" s="145"/>
      <c r="B162" s="145"/>
      <c r="C162" s="145"/>
      <c r="P162" s="68"/>
      <c r="S162" s="68"/>
    </row>
    <row r="163" spans="1:19" s="114" customFormat="1">
      <c r="A163" s="145"/>
      <c r="B163" s="145"/>
      <c r="C163" s="145"/>
      <c r="P163" s="68"/>
      <c r="S163" s="68"/>
    </row>
    <row r="164" spans="1:19" s="114" customFormat="1">
      <c r="A164" s="145"/>
      <c r="B164" s="145"/>
      <c r="C164" s="145"/>
      <c r="P164" s="68"/>
      <c r="S164" s="68"/>
    </row>
    <row r="165" spans="1:19" s="114" customFormat="1">
      <c r="A165" s="145"/>
      <c r="B165" s="145"/>
      <c r="C165" s="145"/>
      <c r="P165" s="68"/>
      <c r="S165" s="68"/>
    </row>
    <row r="166" spans="1:19" s="114" customFormat="1">
      <c r="A166" s="145"/>
      <c r="B166" s="145"/>
      <c r="C166" s="145"/>
      <c r="P166" s="68"/>
      <c r="S166" s="68"/>
    </row>
    <row r="167" spans="1:19" s="114" customFormat="1">
      <c r="A167" s="145"/>
      <c r="B167" s="145"/>
      <c r="C167" s="145"/>
      <c r="P167" s="68"/>
      <c r="S167" s="68"/>
    </row>
    <row r="168" spans="1:19" s="114" customFormat="1">
      <c r="A168" s="145"/>
      <c r="B168" s="145"/>
      <c r="C168" s="145"/>
      <c r="P168" s="68"/>
      <c r="S168" s="68"/>
    </row>
    <row r="169" spans="1:19" s="114" customFormat="1">
      <c r="A169" s="145"/>
      <c r="B169" s="145"/>
      <c r="C169" s="145"/>
      <c r="P169" s="68"/>
      <c r="S169" s="68"/>
    </row>
    <row r="170" spans="1:19" s="114" customFormat="1">
      <c r="A170" s="145"/>
      <c r="B170" s="145"/>
      <c r="C170" s="145"/>
      <c r="P170" s="68"/>
      <c r="S170" s="68"/>
    </row>
    <row r="171" spans="1:19" s="114" customFormat="1">
      <c r="A171" s="145"/>
      <c r="B171" s="145"/>
      <c r="C171" s="145"/>
      <c r="P171" s="68"/>
      <c r="S171" s="68"/>
    </row>
    <row r="172" spans="1:19" s="114" customFormat="1">
      <c r="A172" s="145"/>
      <c r="B172" s="145"/>
      <c r="C172" s="145"/>
      <c r="P172" s="68"/>
      <c r="S172" s="68"/>
    </row>
    <row r="173" spans="1:19" s="114" customFormat="1">
      <c r="A173" s="145"/>
      <c r="B173" s="145"/>
      <c r="C173" s="145"/>
      <c r="P173" s="68"/>
      <c r="S173" s="68"/>
    </row>
    <row r="174" spans="1:19" s="114" customFormat="1">
      <c r="A174" s="145"/>
      <c r="B174" s="145"/>
      <c r="C174" s="145"/>
      <c r="P174" s="68"/>
      <c r="S174" s="68"/>
    </row>
    <row r="175" spans="1:19" s="114" customFormat="1">
      <c r="A175" s="145"/>
      <c r="B175" s="145"/>
      <c r="C175" s="145"/>
      <c r="P175" s="68"/>
      <c r="S175" s="68"/>
    </row>
    <row r="176" spans="1:19" s="114" customFormat="1">
      <c r="A176" s="145"/>
      <c r="B176" s="145"/>
      <c r="C176" s="145"/>
      <c r="P176" s="68"/>
      <c r="S176" s="68"/>
    </row>
    <row r="177" spans="1:19" s="114" customFormat="1">
      <c r="A177" s="145"/>
      <c r="B177" s="145"/>
      <c r="C177" s="145"/>
      <c r="P177" s="68"/>
      <c r="S177" s="68"/>
    </row>
    <row r="178" spans="1:19" s="114" customFormat="1">
      <c r="A178" s="145"/>
      <c r="B178" s="145"/>
      <c r="C178" s="145"/>
      <c r="P178" s="68"/>
      <c r="S178" s="68"/>
    </row>
    <row r="179" spans="1:19" s="114" customFormat="1">
      <c r="A179" s="145"/>
      <c r="B179" s="145"/>
      <c r="C179" s="145"/>
      <c r="P179" s="68"/>
      <c r="S179" s="68"/>
    </row>
    <row r="180" spans="1:19" s="114" customFormat="1">
      <c r="A180" s="145"/>
      <c r="B180" s="145"/>
      <c r="C180" s="145"/>
      <c r="P180" s="68"/>
      <c r="S180" s="68"/>
    </row>
    <row r="181" spans="1:19" s="114" customFormat="1">
      <c r="A181" s="145"/>
      <c r="B181" s="145"/>
      <c r="C181" s="145"/>
      <c r="P181" s="68"/>
      <c r="S181" s="68"/>
    </row>
    <row r="182" spans="1:19" s="114" customFormat="1">
      <c r="A182" s="145"/>
      <c r="B182" s="145"/>
      <c r="C182" s="145"/>
      <c r="P182" s="68"/>
      <c r="S182" s="68"/>
    </row>
    <row r="183" spans="1:19" s="114" customFormat="1">
      <c r="A183" s="145"/>
      <c r="B183" s="145"/>
      <c r="C183" s="145"/>
      <c r="P183" s="68"/>
      <c r="S183" s="68"/>
    </row>
    <row r="184" spans="1:19" s="114" customFormat="1">
      <c r="A184" s="145"/>
      <c r="B184" s="145"/>
      <c r="C184" s="145"/>
      <c r="P184" s="68"/>
      <c r="S184" s="68"/>
    </row>
    <row r="185" spans="1:19" s="114" customFormat="1">
      <c r="A185" s="145"/>
      <c r="B185" s="145"/>
      <c r="C185" s="145"/>
      <c r="P185" s="68"/>
      <c r="S185" s="68"/>
    </row>
    <row r="186" spans="1:19" s="114" customFormat="1">
      <c r="A186" s="145"/>
      <c r="B186" s="145"/>
      <c r="C186" s="145"/>
      <c r="P186" s="68"/>
      <c r="S186" s="68"/>
    </row>
    <row r="187" spans="1:19" s="114" customFormat="1">
      <c r="A187" s="145"/>
      <c r="B187" s="145"/>
      <c r="C187" s="145"/>
      <c r="P187" s="68"/>
      <c r="S187" s="68"/>
    </row>
    <row r="188" spans="1:19" s="114" customFormat="1">
      <c r="A188" s="145"/>
      <c r="B188" s="145"/>
      <c r="C188" s="145"/>
      <c r="P188" s="68"/>
      <c r="S188" s="68"/>
    </row>
    <row r="189" spans="1:19" s="114" customFormat="1">
      <c r="A189" s="145"/>
      <c r="B189" s="145"/>
      <c r="C189" s="145"/>
      <c r="P189" s="68"/>
      <c r="S189" s="68"/>
    </row>
    <row r="190" spans="1:19" s="114" customFormat="1">
      <c r="A190" s="145"/>
      <c r="B190" s="145"/>
      <c r="C190" s="145"/>
      <c r="P190" s="68"/>
      <c r="S190" s="68"/>
    </row>
    <row r="191" spans="1:19" s="114" customFormat="1">
      <c r="A191" s="145"/>
      <c r="B191" s="145"/>
      <c r="C191" s="145"/>
      <c r="P191" s="68"/>
      <c r="S191" s="68"/>
    </row>
    <row r="192" spans="1:19" s="114" customFormat="1">
      <c r="A192" s="145"/>
      <c r="B192" s="145"/>
      <c r="C192" s="145"/>
      <c r="P192" s="68"/>
      <c r="S192" s="68"/>
    </row>
    <row r="193" spans="1:19" s="114" customFormat="1">
      <c r="A193" s="145"/>
      <c r="B193" s="145"/>
      <c r="C193" s="145"/>
      <c r="P193" s="68"/>
      <c r="S193" s="68"/>
    </row>
    <row r="194" spans="1:19" s="114" customFormat="1">
      <c r="A194" s="145"/>
      <c r="B194" s="145"/>
      <c r="C194" s="145"/>
      <c r="P194" s="68"/>
      <c r="S194" s="68"/>
    </row>
    <row r="195" spans="1:19" s="114" customFormat="1">
      <c r="A195" s="145"/>
      <c r="B195" s="145"/>
      <c r="C195" s="145"/>
      <c r="P195" s="68"/>
      <c r="S195" s="68"/>
    </row>
    <row r="196" spans="1:19" s="114" customFormat="1">
      <c r="A196" s="145"/>
      <c r="B196" s="145"/>
      <c r="C196" s="145"/>
      <c r="P196" s="68"/>
      <c r="S196" s="68"/>
    </row>
    <row r="197" spans="1:19" s="114" customFormat="1">
      <c r="A197" s="145"/>
      <c r="B197" s="145"/>
      <c r="C197" s="145"/>
      <c r="P197" s="68"/>
      <c r="S197" s="68"/>
    </row>
    <row r="198" spans="1:19" s="114" customFormat="1">
      <c r="A198" s="145"/>
      <c r="B198" s="145"/>
      <c r="C198" s="145"/>
      <c r="P198" s="68"/>
      <c r="S198" s="68"/>
    </row>
    <row r="199" spans="1:19" s="114" customFormat="1">
      <c r="A199" s="145"/>
      <c r="B199" s="145"/>
      <c r="C199" s="145"/>
      <c r="P199" s="68"/>
      <c r="S199" s="68"/>
    </row>
    <row r="200" spans="1:19" s="114" customFormat="1">
      <c r="A200" s="145"/>
      <c r="B200" s="145"/>
      <c r="C200" s="145"/>
      <c r="P200" s="68"/>
      <c r="S200" s="68"/>
    </row>
    <row r="201" spans="1:19" s="114" customFormat="1">
      <c r="A201" s="145"/>
      <c r="B201" s="145"/>
      <c r="C201" s="145"/>
      <c r="P201" s="68"/>
      <c r="S201" s="68"/>
    </row>
    <row r="202" spans="1:19" s="114" customFormat="1">
      <c r="A202" s="145"/>
      <c r="B202" s="145"/>
      <c r="C202" s="145"/>
      <c r="P202" s="68"/>
      <c r="S202" s="68"/>
    </row>
    <row r="203" spans="1:19" s="114" customFormat="1">
      <c r="A203" s="145"/>
      <c r="B203" s="145"/>
      <c r="C203" s="145"/>
      <c r="P203" s="68"/>
      <c r="S203" s="68"/>
    </row>
    <row r="204" spans="1:19" s="114" customFormat="1">
      <c r="A204" s="145"/>
      <c r="B204" s="145"/>
      <c r="C204" s="145"/>
      <c r="P204" s="68"/>
      <c r="S204" s="68"/>
    </row>
    <row r="205" spans="1:19" s="114" customFormat="1">
      <c r="A205" s="145"/>
      <c r="B205" s="145"/>
      <c r="C205" s="145"/>
      <c r="P205" s="68"/>
      <c r="S205" s="68"/>
    </row>
    <row r="206" spans="1:19" s="114" customFormat="1">
      <c r="A206" s="145"/>
      <c r="B206" s="145"/>
      <c r="C206" s="145"/>
      <c r="P206" s="68"/>
      <c r="S206" s="68"/>
    </row>
    <row r="207" spans="1:19" s="114" customFormat="1">
      <c r="A207" s="145"/>
      <c r="B207" s="145"/>
      <c r="C207" s="145"/>
      <c r="P207" s="68"/>
      <c r="S207" s="68"/>
    </row>
    <row r="208" spans="1:19" s="114" customFormat="1">
      <c r="A208" s="145"/>
      <c r="B208" s="145"/>
      <c r="C208" s="145"/>
      <c r="P208" s="68"/>
      <c r="S208" s="68"/>
    </row>
    <row r="209" spans="1:19" s="114" customFormat="1">
      <c r="A209" s="145"/>
      <c r="B209" s="145"/>
      <c r="C209" s="145"/>
      <c r="P209" s="68"/>
      <c r="S209" s="68"/>
    </row>
    <row r="210" spans="1:19" s="114" customFormat="1">
      <c r="A210" s="145"/>
      <c r="B210" s="145"/>
      <c r="C210" s="145"/>
      <c r="P210" s="68"/>
      <c r="S210" s="68"/>
    </row>
    <row r="211" spans="1:19" s="114" customFormat="1">
      <c r="A211" s="145"/>
      <c r="B211" s="145"/>
      <c r="C211" s="145"/>
      <c r="P211" s="68"/>
      <c r="S211" s="68"/>
    </row>
    <row r="212" spans="1:19" s="114" customFormat="1">
      <c r="A212" s="145"/>
      <c r="B212" s="145"/>
      <c r="C212" s="145"/>
      <c r="P212" s="68"/>
      <c r="S212" s="68"/>
    </row>
    <row r="213" spans="1:19" s="114" customFormat="1">
      <c r="A213" s="145"/>
      <c r="B213" s="145"/>
      <c r="C213" s="145"/>
      <c r="P213" s="68"/>
      <c r="S213" s="68"/>
    </row>
    <row r="214" spans="1:19" s="114" customFormat="1">
      <c r="A214" s="145"/>
      <c r="B214" s="145"/>
      <c r="C214" s="145"/>
      <c r="P214" s="68"/>
      <c r="S214" s="68"/>
    </row>
    <row r="215" spans="1:19" s="114" customFormat="1">
      <c r="A215" s="145"/>
      <c r="B215" s="145"/>
      <c r="C215" s="145"/>
      <c r="P215" s="68"/>
      <c r="S215" s="68"/>
    </row>
    <row r="216" spans="1:19" s="114" customFormat="1">
      <c r="A216" s="145"/>
      <c r="B216" s="145"/>
      <c r="C216" s="145"/>
      <c r="P216" s="68"/>
      <c r="S216" s="68"/>
    </row>
    <row r="217" spans="1:19" s="114" customFormat="1">
      <c r="A217" s="145"/>
      <c r="B217" s="145"/>
      <c r="C217" s="145"/>
      <c r="P217" s="68"/>
      <c r="S217" s="68"/>
    </row>
    <row r="218" spans="1:19" s="114" customFormat="1">
      <c r="A218" s="145"/>
      <c r="B218" s="145"/>
      <c r="C218" s="145"/>
      <c r="P218" s="68"/>
      <c r="S218" s="68"/>
    </row>
    <row r="219" spans="1:19" s="114" customFormat="1">
      <c r="A219" s="145"/>
      <c r="B219" s="145"/>
      <c r="C219" s="145"/>
      <c r="P219" s="68"/>
      <c r="S219" s="68"/>
    </row>
    <row r="220" spans="1:19" s="114" customFormat="1">
      <c r="A220" s="145"/>
      <c r="B220" s="145"/>
      <c r="C220" s="145"/>
      <c r="P220" s="68"/>
      <c r="S220" s="68"/>
    </row>
    <row r="221" spans="1:19" s="114" customFormat="1">
      <c r="A221" s="145"/>
      <c r="B221" s="145"/>
      <c r="C221" s="145"/>
      <c r="P221" s="68"/>
      <c r="S221" s="68"/>
    </row>
    <row r="222" spans="1:19" s="114" customFormat="1">
      <c r="A222" s="145"/>
      <c r="B222" s="145"/>
      <c r="C222" s="145"/>
      <c r="P222" s="68"/>
      <c r="S222" s="68"/>
    </row>
    <row r="223" spans="1:19" s="114" customFormat="1">
      <c r="A223" s="145"/>
      <c r="B223" s="145"/>
      <c r="C223" s="145"/>
      <c r="P223" s="68"/>
      <c r="S223" s="68"/>
    </row>
    <row r="224" spans="1:19" s="114" customFormat="1">
      <c r="A224" s="145"/>
      <c r="B224" s="145"/>
      <c r="C224" s="145"/>
      <c r="P224" s="68"/>
      <c r="S224" s="68"/>
    </row>
    <row r="225" spans="1:19" s="114" customFormat="1">
      <c r="A225" s="145"/>
      <c r="B225" s="145"/>
      <c r="C225" s="145"/>
      <c r="P225" s="68"/>
      <c r="S225" s="68"/>
    </row>
    <row r="226" spans="1:19" s="114" customFormat="1">
      <c r="A226" s="145"/>
      <c r="B226" s="145"/>
      <c r="C226" s="145"/>
      <c r="P226" s="68"/>
      <c r="S226" s="68"/>
    </row>
    <row r="227" spans="1:19" s="114" customFormat="1">
      <c r="A227" s="145"/>
      <c r="B227" s="145"/>
      <c r="C227" s="145"/>
      <c r="P227" s="68"/>
      <c r="S227" s="68"/>
    </row>
    <row r="228" spans="1:19" s="114" customFormat="1">
      <c r="A228" s="145"/>
      <c r="B228" s="145"/>
      <c r="C228" s="145"/>
      <c r="P228" s="68"/>
      <c r="S228" s="68"/>
    </row>
    <row r="229" spans="1:19" s="114" customFormat="1">
      <c r="A229" s="145"/>
      <c r="B229" s="145"/>
      <c r="C229" s="145"/>
      <c r="P229" s="68"/>
      <c r="S229" s="68"/>
    </row>
    <row r="230" spans="1:19" s="114" customFormat="1">
      <c r="A230" s="145"/>
      <c r="B230" s="145"/>
      <c r="C230" s="145"/>
      <c r="P230" s="68"/>
      <c r="S230" s="68"/>
    </row>
    <row r="231" spans="1:19" s="114" customFormat="1">
      <c r="A231" s="145"/>
      <c r="B231" s="145"/>
      <c r="C231" s="145"/>
      <c r="P231" s="68"/>
      <c r="S231" s="68"/>
    </row>
    <row r="232" spans="1:19" s="114" customFormat="1">
      <c r="A232" s="145"/>
      <c r="B232" s="145"/>
      <c r="C232" s="145"/>
      <c r="P232" s="68"/>
      <c r="S232" s="68"/>
    </row>
    <row r="233" spans="1:19" s="114" customFormat="1">
      <c r="A233" s="145"/>
      <c r="B233" s="145"/>
      <c r="C233" s="145"/>
      <c r="P233" s="68"/>
      <c r="S233" s="68"/>
    </row>
    <row r="234" spans="1:19" s="114" customFormat="1">
      <c r="A234" s="145"/>
      <c r="B234" s="145"/>
      <c r="C234" s="145"/>
      <c r="P234" s="68"/>
      <c r="S234" s="68"/>
    </row>
    <row r="235" spans="1:19" s="114" customFormat="1">
      <c r="A235" s="145"/>
      <c r="B235" s="145"/>
      <c r="C235" s="145"/>
      <c r="P235" s="68"/>
      <c r="S235" s="68"/>
    </row>
    <row r="236" spans="1:19" s="114" customFormat="1">
      <c r="A236" s="145"/>
      <c r="B236" s="145"/>
      <c r="C236" s="145"/>
      <c r="P236" s="68"/>
      <c r="S236" s="68"/>
    </row>
    <row r="237" spans="1:19" s="114" customFormat="1">
      <c r="A237" s="145"/>
      <c r="B237" s="145"/>
      <c r="C237" s="145"/>
      <c r="P237" s="68"/>
      <c r="S237" s="68"/>
    </row>
    <row r="238" spans="1:19" s="114" customFormat="1">
      <c r="A238" s="145"/>
      <c r="B238" s="145"/>
      <c r="C238" s="145"/>
      <c r="P238" s="68"/>
      <c r="S238" s="68"/>
    </row>
    <row r="239" spans="1:19" s="114" customFormat="1">
      <c r="A239" s="145"/>
      <c r="B239" s="145"/>
      <c r="C239" s="145"/>
      <c r="P239" s="68"/>
      <c r="S239" s="68"/>
    </row>
    <row r="240" spans="1:19" s="114" customFormat="1">
      <c r="A240" s="145"/>
      <c r="B240" s="145"/>
      <c r="C240" s="145"/>
      <c r="P240" s="68"/>
      <c r="S240" s="68"/>
    </row>
    <row r="241" spans="1:19" s="114" customFormat="1">
      <c r="A241" s="145"/>
      <c r="B241" s="145"/>
      <c r="C241" s="145"/>
      <c r="P241" s="68"/>
      <c r="S241" s="68"/>
    </row>
    <row r="242" spans="1:19" s="114" customFormat="1">
      <c r="A242" s="145"/>
      <c r="B242" s="145"/>
      <c r="C242" s="145"/>
      <c r="P242" s="68"/>
      <c r="S242" s="68"/>
    </row>
    <row r="243" spans="1:19" s="114" customFormat="1">
      <c r="A243" s="145"/>
      <c r="B243" s="145"/>
      <c r="C243" s="145"/>
      <c r="P243" s="68"/>
      <c r="S243" s="68"/>
    </row>
    <row r="244" spans="1:19" s="114" customFormat="1">
      <c r="A244" s="145"/>
      <c r="B244" s="145"/>
      <c r="C244" s="145"/>
      <c r="P244" s="68"/>
      <c r="S244" s="68"/>
    </row>
    <row r="245" spans="1:19" s="114" customFormat="1">
      <c r="A245" s="145"/>
      <c r="B245" s="145"/>
      <c r="C245" s="145"/>
      <c r="P245" s="68"/>
      <c r="S245" s="68"/>
    </row>
    <row r="246" spans="1:19" s="114" customFormat="1">
      <c r="A246" s="145"/>
      <c r="B246" s="145"/>
      <c r="C246" s="145"/>
      <c r="P246" s="68"/>
      <c r="S246" s="68"/>
    </row>
    <row r="247" spans="1:19" s="114" customFormat="1">
      <c r="A247" s="145"/>
      <c r="B247" s="145"/>
      <c r="C247" s="145"/>
      <c r="P247" s="68"/>
      <c r="S247" s="68"/>
    </row>
    <row r="248" spans="1:19" s="114" customFormat="1">
      <c r="A248" s="145"/>
      <c r="B248" s="145"/>
      <c r="C248" s="145"/>
      <c r="P248" s="68"/>
      <c r="S248" s="68"/>
    </row>
    <row r="249" spans="1:19" s="114" customFormat="1">
      <c r="A249" s="145"/>
      <c r="B249" s="145"/>
      <c r="C249" s="145"/>
      <c r="P249" s="68"/>
      <c r="S249" s="68"/>
    </row>
    <row r="250" spans="1:19" s="114" customFormat="1">
      <c r="A250" s="145"/>
      <c r="B250" s="145"/>
      <c r="C250" s="145"/>
      <c r="P250" s="68"/>
      <c r="S250" s="68"/>
    </row>
    <row r="251" spans="1:19" s="114" customFormat="1">
      <c r="A251" s="145"/>
      <c r="B251" s="145"/>
      <c r="C251" s="145"/>
      <c r="P251" s="68"/>
      <c r="S251" s="68"/>
    </row>
    <row r="252" spans="1:19" s="114" customFormat="1">
      <c r="A252" s="145"/>
      <c r="B252" s="145"/>
      <c r="C252" s="145"/>
      <c r="P252" s="68"/>
      <c r="S252" s="68"/>
    </row>
    <row r="253" spans="1:19" s="114" customFormat="1">
      <c r="A253" s="145"/>
      <c r="B253" s="145"/>
      <c r="C253" s="145"/>
      <c r="P253" s="68"/>
      <c r="S253" s="68"/>
    </row>
    <row r="254" spans="1:19" s="114" customFormat="1">
      <c r="A254" s="145"/>
      <c r="B254" s="145"/>
      <c r="C254" s="145"/>
      <c r="P254" s="68"/>
      <c r="S254" s="68"/>
    </row>
    <row r="255" spans="1:19" s="114" customFormat="1">
      <c r="A255" s="145"/>
      <c r="B255" s="145"/>
      <c r="C255" s="145"/>
      <c r="P255" s="68"/>
      <c r="S255" s="68"/>
    </row>
    <row r="256" spans="1:19" s="114" customFormat="1">
      <c r="A256" s="145"/>
      <c r="B256" s="145"/>
      <c r="C256" s="145"/>
      <c r="P256" s="68"/>
      <c r="S256" s="68"/>
    </row>
    <row r="257" spans="1:19" s="114" customFormat="1">
      <c r="A257" s="145"/>
      <c r="B257" s="145"/>
      <c r="C257" s="145"/>
      <c r="P257" s="68"/>
      <c r="S257" s="68"/>
    </row>
    <row r="258" spans="1:19" s="114" customFormat="1">
      <c r="A258" s="145"/>
      <c r="B258" s="145"/>
      <c r="C258" s="145"/>
      <c r="P258" s="68"/>
      <c r="S258" s="68"/>
    </row>
    <row r="259" spans="1:19" s="114" customFormat="1">
      <c r="A259" s="145"/>
      <c r="B259" s="145"/>
      <c r="C259" s="145"/>
      <c r="P259" s="68"/>
      <c r="S259" s="68"/>
    </row>
    <row r="260" spans="1:19" s="114" customFormat="1">
      <c r="A260" s="145"/>
      <c r="B260" s="145"/>
      <c r="C260" s="145"/>
      <c r="P260" s="68"/>
      <c r="S260" s="68"/>
    </row>
    <row r="261" spans="1:19" s="114" customFormat="1">
      <c r="A261" s="145"/>
      <c r="B261" s="145"/>
      <c r="C261" s="145"/>
      <c r="P261" s="68"/>
      <c r="S261" s="68"/>
    </row>
    <row r="262" spans="1:19" s="114" customFormat="1">
      <c r="A262" s="145"/>
      <c r="B262" s="145"/>
      <c r="C262" s="145"/>
      <c r="P262" s="68"/>
      <c r="S262" s="68"/>
    </row>
    <row r="263" spans="1:19" s="114" customFormat="1">
      <c r="A263" s="145"/>
      <c r="B263" s="145"/>
      <c r="C263" s="145"/>
      <c r="P263" s="68"/>
      <c r="S263" s="68"/>
    </row>
    <row r="264" spans="1:19" s="114" customFormat="1">
      <c r="A264" s="145"/>
      <c r="B264" s="145"/>
      <c r="C264" s="145"/>
      <c r="P264" s="68"/>
      <c r="S264" s="68"/>
    </row>
    <row r="265" spans="1:19" s="114" customFormat="1">
      <c r="A265" s="145"/>
      <c r="B265" s="145"/>
      <c r="C265" s="145"/>
      <c r="P265" s="68"/>
      <c r="S265" s="68"/>
    </row>
    <row r="266" spans="1:19" s="114" customFormat="1">
      <c r="A266" s="145"/>
      <c r="B266" s="145"/>
      <c r="C266" s="145"/>
      <c r="P266" s="68"/>
      <c r="S266" s="68"/>
    </row>
    <row r="267" spans="1:19" s="114" customFormat="1">
      <c r="A267" s="145"/>
      <c r="B267" s="145"/>
      <c r="C267" s="145"/>
      <c r="P267" s="68"/>
      <c r="S267" s="68"/>
    </row>
    <row r="268" spans="1:19" s="114" customFormat="1">
      <c r="A268" s="145"/>
      <c r="B268" s="145"/>
      <c r="C268" s="145"/>
      <c r="P268" s="68"/>
      <c r="S268" s="68"/>
    </row>
    <row r="269" spans="1:19" s="114" customFormat="1">
      <c r="A269" s="145"/>
      <c r="B269" s="145"/>
      <c r="C269" s="145"/>
      <c r="P269" s="68"/>
      <c r="S269" s="68"/>
    </row>
    <row r="270" spans="1:19" s="114" customFormat="1">
      <c r="A270" s="145"/>
      <c r="B270" s="145"/>
      <c r="C270" s="145"/>
      <c r="P270" s="68"/>
      <c r="S270" s="68"/>
    </row>
    <row r="271" spans="1:19" s="114" customFormat="1">
      <c r="A271" s="145"/>
      <c r="B271" s="145"/>
      <c r="C271" s="145"/>
      <c r="P271" s="68"/>
      <c r="S271" s="68"/>
    </row>
    <row r="272" spans="1:19" s="114" customFormat="1">
      <c r="A272" s="145"/>
      <c r="B272" s="145"/>
      <c r="C272" s="145"/>
      <c r="P272" s="68"/>
      <c r="S272" s="68"/>
    </row>
    <row r="273" spans="1:19" s="114" customFormat="1">
      <c r="A273" s="145"/>
      <c r="B273" s="145"/>
      <c r="C273" s="145"/>
      <c r="P273" s="68"/>
      <c r="S273" s="68"/>
    </row>
    <row r="274" spans="1:19" s="114" customFormat="1">
      <c r="A274" s="145"/>
      <c r="B274" s="145"/>
      <c r="C274" s="145"/>
      <c r="P274" s="68"/>
      <c r="S274" s="68"/>
    </row>
    <row r="275" spans="1:19" s="114" customFormat="1">
      <c r="A275" s="145"/>
      <c r="B275" s="145"/>
      <c r="C275" s="145"/>
      <c r="P275" s="68"/>
      <c r="S275" s="68"/>
    </row>
    <row r="276" spans="1:19" s="114" customFormat="1">
      <c r="A276" s="145"/>
      <c r="B276" s="145"/>
      <c r="C276" s="145"/>
      <c r="P276" s="68"/>
      <c r="S276" s="68"/>
    </row>
    <row r="277" spans="1:19" s="114" customFormat="1">
      <c r="A277" s="145"/>
      <c r="B277" s="145"/>
      <c r="C277" s="145"/>
      <c r="P277" s="68"/>
      <c r="S277" s="68"/>
    </row>
    <row r="278" spans="1:19" s="114" customFormat="1">
      <c r="A278" s="145"/>
      <c r="B278" s="145"/>
      <c r="C278" s="145"/>
      <c r="P278" s="68"/>
      <c r="S278" s="68"/>
    </row>
    <row r="279" spans="1:19" s="114" customFormat="1">
      <c r="A279" s="145"/>
      <c r="B279" s="145"/>
      <c r="C279" s="145"/>
      <c r="P279" s="68"/>
      <c r="S279" s="68"/>
    </row>
    <row r="280" spans="1:19" s="114" customFormat="1">
      <c r="A280" s="145"/>
      <c r="B280" s="145"/>
      <c r="C280" s="145"/>
      <c r="P280" s="68"/>
      <c r="S280" s="68"/>
    </row>
    <row r="281" spans="1:19" s="114" customFormat="1">
      <c r="A281" s="145"/>
      <c r="B281" s="145"/>
      <c r="C281" s="145"/>
      <c r="P281" s="68"/>
      <c r="S281" s="68"/>
    </row>
    <row r="282" spans="1:19" s="114" customFormat="1">
      <c r="A282" s="145"/>
      <c r="B282" s="145"/>
      <c r="C282" s="145"/>
      <c r="P282" s="68"/>
      <c r="S282" s="68"/>
    </row>
    <row r="283" spans="1:19" s="114" customFormat="1">
      <c r="A283" s="145"/>
      <c r="B283" s="145"/>
      <c r="C283" s="145"/>
      <c r="P283" s="68"/>
      <c r="S283" s="68"/>
    </row>
    <row r="284" spans="1:19" s="114" customFormat="1">
      <c r="A284" s="145"/>
      <c r="B284" s="145"/>
      <c r="C284" s="145"/>
      <c r="P284" s="68"/>
      <c r="S284" s="68"/>
    </row>
    <row r="285" spans="1:19" s="114" customFormat="1">
      <c r="A285" s="145"/>
      <c r="B285" s="145"/>
      <c r="C285" s="145"/>
      <c r="P285" s="68"/>
      <c r="S285" s="68"/>
    </row>
    <row r="286" spans="1:19" s="114" customFormat="1">
      <c r="A286" s="145"/>
      <c r="B286" s="145"/>
      <c r="C286" s="145"/>
      <c r="P286" s="68"/>
      <c r="S286" s="68"/>
    </row>
    <row r="287" spans="1:19" s="114" customFormat="1">
      <c r="A287" s="145"/>
      <c r="B287" s="145"/>
      <c r="C287" s="145"/>
      <c r="P287" s="68"/>
      <c r="S287" s="68"/>
    </row>
    <row r="288" spans="1:19" s="114" customFormat="1">
      <c r="A288" s="145"/>
      <c r="B288" s="145"/>
      <c r="C288" s="145"/>
      <c r="P288" s="68"/>
      <c r="S288" s="68"/>
    </row>
    <row r="289" spans="1:19" s="114" customFormat="1">
      <c r="A289" s="145"/>
      <c r="B289" s="145"/>
      <c r="C289" s="145"/>
      <c r="P289" s="68"/>
      <c r="S289" s="68"/>
    </row>
    <row r="290" spans="1:19" s="114" customFormat="1">
      <c r="A290" s="145"/>
      <c r="B290" s="145"/>
      <c r="C290" s="145"/>
      <c r="P290" s="68"/>
      <c r="S290" s="68"/>
    </row>
    <row r="291" spans="1:19" s="114" customFormat="1">
      <c r="A291" s="145"/>
      <c r="B291" s="145"/>
      <c r="C291" s="145"/>
      <c r="P291" s="68"/>
      <c r="S291" s="68"/>
    </row>
    <row r="292" spans="1:19" s="114" customFormat="1">
      <c r="A292" s="145"/>
      <c r="B292" s="145"/>
      <c r="C292" s="145"/>
      <c r="P292" s="68"/>
      <c r="S292" s="68"/>
    </row>
    <row r="293" spans="1:19" s="114" customFormat="1">
      <c r="A293" s="145"/>
      <c r="B293" s="145"/>
      <c r="C293" s="145"/>
      <c r="P293" s="68"/>
      <c r="S293" s="68"/>
    </row>
    <row r="294" spans="1:19" s="114" customFormat="1">
      <c r="A294" s="145"/>
      <c r="B294" s="145"/>
      <c r="C294" s="145"/>
      <c r="P294" s="68"/>
      <c r="S294" s="68"/>
    </row>
    <row r="295" spans="1:19" s="114" customFormat="1">
      <c r="A295" s="145"/>
      <c r="B295" s="145"/>
      <c r="C295" s="145"/>
      <c r="P295" s="68"/>
      <c r="S295" s="68"/>
    </row>
    <row r="296" spans="1:19" s="114" customFormat="1">
      <c r="A296" s="145"/>
      <c r="B296" s="145"/>
      <c r="C296" s="145"/>
      <c r="P296" s="68"/>
      <c r="S296" s="68"/>
    </row>
    <row r="297" spans="1:19" s="114" customFormat="1">
      <c r="A297" s="145"/>
      <c r="B297" s="145"/>
      <c r="C297" s="145"/>
      <c r="P297" s="68"/>
      <c r="S297" s="68"/>
    </row>
    <row r="298" spans="1:19" s="114" customFormat="1">
      <c r="A298" s="145"/>
      <c r="B298" s="145"/>
      <c r="C298" s="145"/>
      <c r="P298" s="68"/>
      <c r="S298" s="68"/>
    </row>
    <row r="299" spans="1:19" s="114" customFormat="1">
      <c r="A299" s="145"/>
      <c r="B299" s="145"/>
      <c r="C299" s="145"/>
      <c r="P299" s="68"/>
      <c r="S299" s="68"/>
    </row>
    <row r="300" spans="1:19" s="114" customFormat="1">
      <c r="A300" s="145"/>
      <c r="B300" s="145"/>
      <c r="C300" s="145"/>
      <c r="P300" s="68"/>
      <c r="S300" s="68"/>
    </row>
    <row r="301" spans="1:19" s="114" customFormat="1">
      <c r="A301" s="145"/>
      <c r="B301" s="145"/>
      <c r="C301" s="145"/>
      <c r="P301" s="68"/>
      <c r="S301" s="68"/>
    </row>
    <row r="302" spans="1:19" s="114" customFormat="1">
      <c r="A302" s="145"/>
      <c r="B302" s="145"/>
      <c r="C302" s="145"/>
      <c r="P302" s="68"/>
      <c r="S302" s="68"/>
    </row>
    <row r="303" spans="1:19" s="114" customFormat="1">
      <c r="A303" s="145"/>
      <c r="B303" s="145"/>
      <c r="C303" s="145"/>
      <c r="P303" s="68"/>
      <c r="S303" s="68"/>
    </row>
    <row r="304" spans="1:19" s="114" customFormat="1">
      <c r="A304" s="145"/>
      <c r="B304" s="145"/>
      <c r="C304" s="145"/>
      <c r="P304" s="68"/>
      <c r="S304" s="68"/>
    </row>
    <row r="305" spans="1:19" s="114" customFormat="1">
      <c r="A305" s="145"/>
      <c r="B305" s="145"/>
      <c r="C305" s="145"/>
      <c r="P305" s="68"/>
      <c r="S305" s="68"/>
    </row>
    <row r="306" spans="1:19" s="114" customFormat="1">
      <c r="A306" s="145"/>
      <c r="B306" s="145"/>
      <c r="C306" s="145"/>
      <c r="P306" s="68"/>
      <c r="S306" s="68"/>
    </row>
    <row r="307" spans="1:19" s="114" customFormat="1">
      <c r="A307" s="145"/>
      <c r="B307" s="145"/>
      <c r="C307" s="145"/>
      <c r="P307" s="68"/>
      <c r="S307" s="68"/>
    </row>
    <row r="308" spans="1:19" s="114" customFormat="1">
      <c r="A308" s="145"/>
      <c r="B308" s="145"/>
      <c r="C308" s="145"/>
      <c r="P308" s="68"/>
      <c r="S308" s="68"/>
    </row>
    <row r="309" spans="1:19" s="114" customFormat="1">
      <c r="A309" s="145"/>
      <c r="B309" s="145"/>
      <c r="C309" s="145"/>
      <c r="P309" s="68"/>
      <c r="S309" s="68"/>
    </row>
    <row r="310" spans="1:19" s="114" customFormat="1">
      <c r="A310" s="145"/>
      <c r="B310" s="145"/>
      <c r="C310" s="145"/>
      <c r="P310" s="68"/>
      <c r="S310" s="68"/>
    </row>
    <row r="311" spans="1:19" s="114" customFormat="1">
      <c r="A311" s="145"/>
      <c r="B311" s="145"/>
      <c r="C311" s="145"/>
      <c r="P311" s="68"/>
      <c r="S311" s="68"/>
    </row>
    <row r="312" spans="1:19" s="114" customFormat="1">
      <c r="A312" s="145"/>
      <c r="B312" s="145"/>
      <c r="C312" s="145"/>
      <c r="P312" s="68"/>
      <c r="S312" s="68"/>
    </row>
    <row r="313" spans="1:19" s="114" customFormat="1">
      <c r="A313" s="145"/>
      <c r="B313" s="145"/>
      <c r="C313" s="145"/>
      <c r="P313" s="68"/>
      <c r="S313" s="68"/>
    </row>
    <row r="314" spans="1:19" s="114" customFormat="1">
      <c r="A314" s="145"/>
      <c r="B314" s="145"/>
      <c r="C314" s="145"/>
      <c r="P314" s="68"/>
      <c r="S314" s="68"/>
    </row>
    <row r="315" spans="1:19" s="114" customFormat="1">
      <c r="A315" s="145"/>
      <c r="B315" s="145"/>
      <c r="C315" s="145"/>
      <c r="P315" s="68"/>
      <c r="S315" s="68"/>
    </row>
    <row r="316" spans="1:19" s="114" customFormat="1">
      <c r="A316" s="145"/>
      <c r="B316" s="145"/>
      <c r="C316" s="145"/>
      <c r="P316" s="68"/>
      <c r="S316" s="68"/>
    </row>
    <row r="317" spans="1:19" s="114" customFormat="1">
      <c r="A317" s="145"/>
      <c r="B317" s="145"/>
      <c r="C317" s="145"/>
      <c r="P317" s="68"/>
      <c r="S317" s="68"/>
    </row>
    <row r="318" spans="1:19" s="114" customFormat="1">
      <c r="A318" s="145"/>
      <c r="B318" s="145"/>
      <c r="C318" s="145"/>
      <c r="P318" s="68"/>
      <c r="S318" s="68"/>
    </row>
    <row r="319" spans="1:19" s="114" customFormat="1">
      <c r="A319" s="145"/>
      <c r="B319" s="145"/>
      <c r="C319" s="145"/>
      <c r="P319" s="68"/>
      <c r="S319" s="68"/>
    </row>
    <row r="320" spans="1:19" s="114" customFormat="1">
      <c r="A320" s="145"/>
      <c r="B320" s="145"/>
      <c r="C320" s="145"/>
      <c r="P320" s="68"/>
      <c r="S320" s="68"/>
    </row>
    <row r="321" spans="1:19" s="114" customFormat="1">
      <c r="A321" s="145"/>
      <c r="B321" s="145"/>
      <c r="C321" s="145"/>
      <c r="P321" s="68"/>
      <c r="S321" s="68"/>
    </row>
    <row r="322" spans="1:19" s="114" customFormat="1">
      <c r="A322" s="145"/>
      <c r="B322" s="145"/>
      <c r="C322" s="145"/>
      <c r="P322" s="68"/>
      <c r="S322" s="68"/>
    </row>
    <row r="323" spans="1:19" s="114" customFormat="1">
      <c r="A323" s="145"/>
      <c r="B323" s="145"/>
      <c r="C323" s="145"/>
      <c r="P323" s="68"/>
      <c r="S323" s="68"/>
    </row>
    <row r="324" spans="1:19" s="114" customFormat="1">
      <c r="A324" s="145"/>
      <c r="B324" s="145"/>
      <c r="C324" s="145"/>
      <c r="P324" s="68"/>
      <c r="S324" s="68"/>
    </row>
    <row r="325" spans="1:19" s="114" customFormat="1">
      <c r="A325" s="145"/>
      <c r="B325" s="145"/>
      <c r="C325" s="145"/>
      <c r="P325" s="68"/>
      <c r="S325" s="68"/>
    </row>
    <row r="326" spans="1:19" s="114" customFormat="1">
      <c r="A326" s="145"/>
      <c r="B326" s="145"/>
      <c r="C326" s="145"/>
      <c r="P326" s="68"/>
      <c r="S326" s="68"/>
    </row>
    <row r="327" spans="1:19" s="114" customFormat="1">
      <c r="A327" s="145"/>
      <c r="B327" s="145"/>
      <c r="C327" s="145"/>
      <c r="P327" s="68"/>
      <c r="S327" s="68"/>
    </row>
    <row r="328" spans="1:19" s="114" customFormat="1">
      <c r="A328" s="145"/>
      <c r="B328" s="145"/>
      <c r="C328" s="145"/>
      <c r="P328" s="68"/>
      <c r="S328" s="68"/>
    </row>
    <row r="329" spans="1:19" s="114" customFormat="1">
      <c r="A329" s="145"/>
      <c r="B329" s="145"/>
      <c r="C329" s="145"/>
      <c r="P329" s="68"/>
      <c r="S329" s="68"/>
    </row>
    <row r="330" spans="1:19" s="114" customFormat="1">
      <c r="A330" s="145"/>
      <c r="B330" s="145"/>
      <c r="C330" s="145"/>
      <c r="P330" s="68"/>
      <c r="S330" s="68"/>
    </row>
    <row r="331" spans="1:19" s="114" customFormat="1">
      <c r="A331" s="145"/>
      <c r="B331" s="145"/>
      <c r="C331" s="145"/>
      <c r="P331" s="68"/>
      <c r="S331" s="68"/>
    </row>
    <row r="332" spans="1:19" s="114" customFormat="1">
      <c r="A332" s="145"/>
      <c r="B332" s="145"/>
      <c r="C332" s="145"/>
      <c r="P332" s="68"/>
      <c r="S332" s="68"/>
    </row>
    <row r="333" spans="1:19" s="114" customFormat="1">
      <c r="A333" s="145"/>
      <c r="B333" s="145"/>
      <c r="C333" s="145"/>
      <c r="P333" s="68"/>
      <c r="S333" s="68"/>
    </row>
    <row r="334" spans="1:19" s="114" customFormat="1">
      <c r="A334" s="145"/>
      <c r="B334" s="145"/>
      <c r="C334" s="145"/>
      <c r="P334" s="68"/>
      <c r="S334" s="68"/>
    </row>
    <row r="335" spans="1:19" s="114" customFormat="1">
      <c r="A335" s="145"/>
      <c r="B335" s="145"/>
      <c r="C335" s="145"/>
      <c r="P335" s="68"/>
      <c r="S335" s="68"/>
    </row>
    <row r="336" spans="1:19" s="114" customFormat="1">
      <c r="A336" s="145"/>
      <c r="B336" s="145"/>
      <c r="C336" s="145"/>
      <c r="P336" s="68"/>
      <c r="S336" s="68"/>
    </row>
    <row r="337" spans="1:19" s="114" customFormat="1">
      <c r="A337" s="145"/>
      <c r="B337" s="145"/>
      <c r="C337" s="145"/>
      <c r="P337" s="68"/>
      <c r="S337" s="68"/>
    </row>
    <row r="338" spans="1:19" s="114" customFormat="1">
      <c r="A338" s="145"/>
      <c r="B338" s="145"/>
      <c r="C338" s="145"/>
      <c r="P338" s="68"/>
      <c r="S338" s="68"/>
    </row>
    <row r="339" spans="1:19" s="114" customFormat="1">
      <c r="A339" s="145"/>
      <c r="B339" s="145"/>
      <c r="C339" s="145"/>
      <c r="P339" s="68"/>
      <c r="S339" s="68"/>
    </row>
    <row r="340" spans="1:19" s="114" customFormat="1">
      <c r="A340" s="145"/>
      <c r="B340" s="145"/>
      <c r="C340" s="145"/>
      <c r="P340" s="68"/>
      <c r="S340" s="68"/>
    </row>
    <row r="341" spans="1:19" s="114" customFormat="1">
      <c r="A341" s="145"/>
      <c r="B341" s="145"/>
      <c r="C341" s="145"/>
      <c r="P341" s="68"/>
      <c r="S341" s="68"/>
    </row>
    <row r="342" spans="1:19" s="114" customFormat="1">
      <c r="A342" s="145"/>
      <c r="B342" s="145"/>
      <c r="C342" s="145"/>
      <c r="P342" s="68"/>
      <c r="S342" s="68"/>
    </row>
    <row r="343" spans="1:19" s="114" customFormat="1">
      <c r="A343" s="145"/>
      <c r="B343" s="145"/>
      <c r="C343" s="145"/>
      <c r="P343" s="68"/>
      <c r="S343" s="68"/>
    </row>
    <row r="344" spans="1:19" s="114" customFormat="1">
      <c r="A344" s="145"/>
      <c r="B344" s="145"/>
      <c r="C344" s="145"/>
      <c r="P344" s="68"/>
      <c r="S344" s="68"/>
    </row>
    <row r="345" spans="1:19" s="114" customFormat="1">
      <c r="A345" s="145"/>
      <c r="B345" s="145"/>
      <c r="C345" s="145"/>
      <c r="P345" s="68"/>
      <c r="S345" s="68"/>
    </row>
    <row r="346" spans="1:19" s="114" customFormat="1">
      <c r="A346" s="145"/>
      <c r="B346" s="145"/>
      <c r="C346" s="145"/>
      <c r="P346" s="68"/>
      <c r="S346" s="68"/>
    </row>
    <row r="347" spans="1:19" s="114" customFormat="1">
      <c r="A347" s="145"/>
      <c r="B347" s="145"/>
      <c r="C347" s="145"/>
      <c r="P347" s="68"/>
      <c r="S347" s="68"/>
    </row>
    <row r="348" spans="1:19" s="114" customFormat="1">
      <c r="A348" s="145"/>
      <c r="B348" s="145"/>
      <c r="C348" s="145"/>
      <c r="P348" s="68"/>
      <c r="S348" s="68"/>
    </row>
    <row r="349" spans="1:19" s="114" customFormat="1">
      <c r="A349" s="145"/>
      <c r="B349" s="145"/>
      <c r="C349" s="145"/>
      <c r="P349" s="68"/>
      <c r="S349" s="68"/>
    </row>
    <row r="350" spans="1:19" s="114" customFormat="1">
      <c r="A350" s="145"/>
      <c r="B350" s="145"/>
      <c r="C350" s="145"/>
      <c r="P350" s="68"/>
      <c r="S350" s="68"/>
    </row>
    <row r="351" spans="1:19" s="114" customFormat="1">
      <c r="A351" s="145"/>
      <c r="B351" s="145"/>
      <c r="C351" s="145"/>
      <c r="P351" s="68"/>
      <c r="S351" s="68"/>
    </row>
    <row r="352" spans="1:19" s="114" customFormat="1">
      <c r="A352" s="145"/>
      <c r="B352" s="145"/>
      <c r="C352" s="145"/>
      <c r="P352" s="68"/>
      <c r="S352" s="68"/>
    </row>
    <row r="353" spans="1:19" s="114" customFormat="1">
      <c r="A353" s="145"/>
      <c r="B353" s="145"/>
      <c r="C353" s="145"/>
      <c r="P353" s="68"/>
      <c r="S353" s="68"/>
    </row>
    <row r="354" spans="1:19" s="114" customFormat="1">
      <c r="A354" s="145"/>
      <c r="B354" s="145"/>
      <c r="C354" s="145"/>
      <c r="P354" s="68"/>
      <c r="S354" s="68"/>
    </row>
    <row r="355" spans="1:19" s="114" customFormat="1">
      <c r="A355" s="145"/>
      <c r="B355" s="145"/>
      <c r="C355" s="145"/>
      <c r="P355" s="68"/>
      <c r="S355" s="68"/>
    </row>
    <row r="356" spans="1:19" s="114" customFormat="1">
      <c r="A356" s="145"/>
      <c r="B356" s="145"/>
      <c r="C356" s="145"/>
      <c r="P356" s="68"/>
      <c r="S356" s="68"/>
    </row>
    <row r="357" spans="1:19" s="114" customFormat="1">
      <c r="A357" s="145"/>
      <c r="B357" s="145"/>
      <c r="C357" s="145"/>
      <c r="P357" s="68"/>
      <c r="S357" s="68"/>
    </row>
    <row r="358" spans="1:19" s="114" customFormat="1">
      <c r="A358" s="145"/>
      <c r="B358" s="145"/>
      <c r="C358" s="145"/>
      <c r="P358" s="68"/>
      <c r="S358" s="68"/>
    </row>
    <row r="359" spans="1:19" s="114" customFormat="1">
      <c r="A359" s="145"/>
      <c r="B359" s="145"/>
      <c r="C359" s="145"/>
      <c r="P359" s="68"/>
      <c r="S359" s="68"/>
    </row>
    <row r="360" spans="1:19" s="114" customFormat="1">
      <c r="A360" s="145"/>
      <c r="B360" s="145"/>
      <c r="C360" s="145"/>
      <c r="P360" s="68"/>
      <c r="S360" s="68"/>
    </row>
    <row r="361" spans="1:19" s="114" customFormat="1">
      <c r="A361" s="145"/>
      <c r="B361" s="145"/>
      <c r="C361" s="145"/>
      <c r="P361" s="68"/>
      <c r="S361" s="68"/>
    </row>
    <row r="362" spans="1:19" s="114" customFormat="1">
      <c r="A362" s="145"/>
      <c r="B362" s="145"/>
      <c r="C362" s="145"/>
      <c r="P362" s="68"/>
      <c r="S362" s="68"/>
    </row>
    <row r="363" spans="1:19" s="114" customFormat="1">
      <c r="A363" s="145"/>
      <c r="B363" s="145"/>
      <c r="C363" s="145"/>
      <c r="P363" s="68"/>
      <c r="S363" s="68"/>
    </row>
    <row r="364" spans="1:19" s="114" customFormat="1">
      <c r="A364" s="145"/>
      <c r="B364" s="145"/>
      <c r="C364" s="145"/>
      <c r="P364" s="68"/>
      <c r="S364" s="68"/>
    </row>
    <row r="365" spans="1:19" s="114" customFormat="1">
      <c r="A365" s="145"/>
      <c r="B365" s="145"/>
      <c r="C365" s="145"/>
      <c r="P365" s="68"/>
      <c r="S365" s="68"/>
    </row>
    <row r="366" spans="1:19" s="114" customFormat="1">
      <c r="A366" s="145"/>
      <c r="B366" s="145"/>
      <c r="C366" s="145"/>
      <c r="P366" s="68"/>
      <c r="S366" s="68"/>
    </row>
    <row r="367" spans="1:19" s="114" customFormat="1">
      <c r="A367" s="145"/>
      <c r="B367" s="145"/>
      <c r="C367" s="145"/>
      <c r="P367" s="68"/>
      <c r="S367" s="68"/>
    </row>
    <row r="368" spans="1:19" s="114" customFormat="1">
      <c r="A368" s="145"/>
      <c r="B368" s="145"/>
      <c r="C368" s="145"/>
      <c r="P368" s="68"/>
      <c r="S368" s="68"/>
    </row>
    <row r="369" spans="1:19" s="114" customFormat="1">
      <c r="A369" s="145"/>
      <c r="B369" s="145"/>
      <c r="C369" s="145"/>
      <c r="P369" s="68"/>
      <c r="S369" s="68"/>
    </row>
    <row r="370" spans="1:19" s="114" customFormat="1">
      <c r="A370" s="145"/>
      <c r="B370" s="145"/>
      <c r="C370" s="145"/>
      <c r="P370" s="68"/>
      <c r="S370" s="68"/>
    </row>
    <row r="371" spans="1:19" s="114" customFormat="1">
      <c r="A371" s="145"/>
      <c r="B371" s="145"/>
      <c r="C371" s="145"/>
      <c r="P371" s="68"/>
      <c r="S371" s="68"/>
    </row>
    <row r="372" spans="1:19" s="114" customFormat="1">
      <c r="A372" s="145"/>
      <c r="B372" s="145"/>
      <c r="C372" s="145"/>
      <c r="P372" s="68"/>
      <c r="S372" s="68"/>
    </row>
    <row r="373" spans="1:19" s="114" customFormat="1">
      <c r="A373" s="145"/>
      <c r="B373" s="145"/>
      <c r="C373" s="145"/>
      <c r="P373" s="68"/>
      <c r="S373" s="68"/>
    </row>
    <row r="374" spans="1:19" s="114" customFormat="1">
      <c r="A374" s="145"/>
      <c r="B374" s="145"/>
      <c r="C374" s="145"/>
      <c r="P374" s="68"/>
      <c r="S374" s="68"/>
    </row>
    <row r="375" spans="1:19" s="114" customFormat="1">
      <c r="A375" s="145"/>
      <c r="B375" s="145"/>
      <c r="C375" s="145"/>
      <c r="P375" s="68"/>
      <c r="S375" s="68"/>
    </row>
    <row r="376" spans="1:19" s="114" customFormat="1">
      <c r="A376" s="145"/>
      <c r="B376" s="145"/>
      <c r="C376" s="145"/>
      <c r="P376" s="68"/>
      <c r="S376" s="68"/>
    </row>
    <row r="377" spans="1:19" s="114" customFormat="1">
      <c r="A377" s="145"/>
      <c r="B377" s="145"/>
      <c r="C377" s="145"/>
      <c r="P377" s="68"/>
      <c r="S377" s="68"/>
    </row>
    <row r="378" spans="1:19" s="114" customFormat="1">
      <c r="A378" s="145"/>
      <c r="B378" s="145"/>
      <c r="C378" s="145"/>
      <c r="P378" s="68"/>
      <c r="S378" s="68"/>
    </row>
    <row r="379" spans="1:19" s="114" customFormat="1">
      <c r="A379" s="145"/>
      <c r="B379" s="145"/>
      <c r="C379" s="145"/>
      <c r="P379" s="68"/>
      <c r="S379" s="68"/>
    </row>
    <row r="380" spans="1:19" s="114" customFormat="1">
      <c r="A380" s="145"/>
      <c r="B380" s="145"/>
      <c r="C380" s="145"/>
      <c r="P380" s="68"/>
      <c r="S380" s="68"/>
    </row>
    <row r="381" spans="1:19" s="114" customFormat="1">
      <c r="A381" s="145"/>
      <c r="B381" s="145"/>
      <c r="C381" s="145"/>
      <c r="P381" s="68"/>
      <c r="S381" s="68"/>
    </row>
    <row r="382" spans="1:19" s="114" customFormat="1">
      <c r="A382" s="145"/>
      <c r="B382" s="145"/>
      <c r="C382" s="145"/>
      <c r="P382" s="68"/>
      <c r="S382" s="68"/>
    </row>
    <row r="383" spans="1:19" s="114" customFormat="1">
      <c r="A383" s="145"/>
      <c r="B383" s="145"/>
      <c r="C383" s="145"/>
      <c r="P383" s="68"/>
      <c r="S383" s="68"/>
    </row>
    <row r="384" spans="1:19" s="114" customFormat="1">
      <c r="A384" s="145"/>
      <c r="B384" s="145"/>
      <c r="C384" s="145"/>
      <c r="P384" s="68"/>
      <c r="S384" s="68"/>
    </row>
    <row r="385" spans="1:19" s="114" customFormat="1">
      <c r="A385" s="145"/>
      <c r="B385" s="145"/>
      <c r="C385" s="145"/>
      <c r="P385" s="68"/>
      <c r="S385" s="68"/>
    </row>
    <row r="386" spans="1:19" s="114" customFormat="1">
      <c r="A386" s="145"/>
      <c r="B386" s="145"/>
      <c r="C386" s="145"/>
      <c r="P386" s="68"/>
      <c r="S386" s="68"/>
    </row>
    <row r="387" spans="1:19" s="114" customFormat="1">
      <c r="A387" s="145"/>
      <c r="B387" s="145"/>
      <c r="C387" s="145"/>
      <c r="P387" s="68"/>
      <c r="S387" s="68"/>
    </row>
    <row r="388" spans="1:19" s="114" customFormat="1">
      <c r="A388" s="145"/>
      <c r="B388" s="145"/>
      <c r="C388" s="145"/>
      <c r="P388" s="68"/>
      <c r="S388" s="68"/>
    </row>
    <row r="389" spans="1:19" s="114" customFormat="1">
      <c r="A389" s="145"/>
      <c r="B389" s="145"/>
      <c r="C389" s="145"/>
      <c r="P389" s="68"/>
      <c r="S389" s="68"/>
    </row>
    <row r="390" spans="1:19" s="114" customFormat="1">
      <c r="A390" s="145"/>
      <c r="B390" s="145"/>
      <c r="C390" s="145"/>
      <c r="P390" s="68"/>
      <c r="S390" s="68"/>
    </row>
    <row r="391" spans="1:19" s="114" customFormat="1">
      <c r="A391" s="145"/>
      <c r="B391" s="145"/>
      <c r="C391" s="145"/>
      <c r="P391" s="68"/>
      <c r="S391" s="68"/>
    </row>
    <row r="392" spans="1:19" s="114" customFormat="1">
      <c r="A392" s="145"/>
      <c r="B392" s="145"/>
      <c r="C392" s="145"/>
      <c r="P392" s="68"/>
      <c r="S392" s="68"/>
    </row>
    <row r="393" spans="1:19" s="114" customFormat="1">
      <c r="A393" s="145"/>
      <c r="B393" s="145"/>
      <c r="C393" s="145"/>
      <c r="P393" s="68"/>
      <c r="S393" s="68"/>
    </row>
    <row r="394" spans="1:19" s="114" customFormat="1">
      <c r="A394" s="145"/>
      <c r="B394" s="145"/>
      <c r="C394" s="145"/>
      <c r="P394" s="68"/>
      <c r="S394" s="68"/>
    </row>
    <row r="395" spans="1:19" s="114" customFormat="1">
      <c r="A395" s="145"/>
      <c r="B395" s="145"/>
      <c r="C395" s="145"/>
      <c r="P395" s="68"/>
      <c r="S395" s="68"/>
    </row>
    <row r="396" spans="1:19" s="114" customFormat="1">
      <c r="A396" s="145"/>
      <c r="B396" s="145"/>
      <c r="C396" s="145"/>
      <c r="P396" s="68"/>
      <c r="S396" s="68"/>
    </row>
    <row r="397" spans="1:19" s="114" customFormat="1">
      <c r="A397" s="145"/>
      <c r="B397" s="145"/>
      <c r="C397" s="145"/>
      <c r="P397" s="68"/>
      <c r="S397" s="68"/>
    </row>
    <row r="398" spans="1:19" s="114" customFormat="1">
      <c r="A398" s="145"/>
      <c r="B398" s="145"/>
      <c r="C398" s="145"/>
      <c r="P398" s="68"/>
      <c r="S398" s="68"/>
    </row>
    <row r="399" spans="1:19" s="114" customFormat="1">
      <c r="A399" s="145"/>
      <c r="B399" s="145"/>
      <c r="C399" s="145"/>
      <c r="P399" s="68"/>
      <c r="S399" s="68"/>
    </row>
    <row r="400" spans="1:19" s="114" customFormat="1">
      <c r="A400" s="145"/>
      <c r="B400" s="145"/>
      <c r="C400" s="145"/>
      <c r="P400" s="68"/>
      <c r="S400" s="68"/>
    </row>
    <row r="401" spans="1:19" s="114" customFormat="1">
      <c r="A401" s="145"/>
      <c r="B401" s="145"/>
      <c r="C401" s="145"/>
      <c r="P401" s="68"/>
      <c r="S401" s="68"/>
    </row>
    <row r="402" spans="1:19" s="114" customFormat="1">
      <c r="A402" s="145"/>
      <c r="B402" s="145"/>
      <c r="C402" s="145"/>
      <c r="P402" s="68"/>
      <c r="S402" s="68"/>
    </row>
    <row r="403" spans="1:19" s="114" customFormat="1">
      <c r="A403" s="145"/>
      <c r="B403" s="145"/>
      <c r="C403" s="145"/>
      <c r="P403" s="68"/>
      <c r="S403" s="68"/>
    </row>
    <row r="404" spans="1:19" s="114" customFormat="1">
      <c r="A404" s="145"/>
      <c r="B404" s="145"/>
      <c r="C404" s="145"/>
      <c r="P404" s="68"/>
      <c r="S404" s="68"/>
    </row>
    <row r="405" spans="1:19" s="114" customFormat="1">
      <c r="A405" s="145"/>
      <c r="B405" s="145"/>
      <c r="C405" s="145"/>
      <c r="P405" s="68"/>
      <c r="S405" s="68"/>
    </row>
    <row r="406" spans="1:19" s="114" customFormat="1">
      <c r="A406" s="145"/>
      <c r="B406" s="145"/>
      <c r="C406" s="145"/>
      <c r="P406" s="68"/>
      <c r="S406" s="68"/>
    </row>
    <row r="407" spans="1:19" s="114" customFormat="1">
      <c r="A407" s="145"/>
      <c r="B407" s="145"/>
      <c r="C407" s="145"/>
      <c r="P407" s="68"/>
      <c r="S407" s="68"/>
    </row>
    <row r="408" spans="1:19" s="114" customFormat="1">
      <c r="A408" s="145"/>
      <c r="B408" s="145"/>
      <c r="C408" s="145"/>
      <c r="P408" s="68"/>
      <c r="S408" s="68"/>
    </row>
    <row r="409" spans="1:19" s="114" customFormat="1">
      <c r="A409" s="145"/>
      <c r="B409" s="145"/>
      <c r="C409" s="145"/>
      <c r="P409" s="68"/>
      <c r="S409" s="68"/>
    </row>
    <row r="410" spans="1:19" s="114" customFormat="1">
      <c r="A410" s="145"/>
      <c r="B410" s="145"/>
      <c r="C410" s="145"/>
      <c r="P410" s="68"/>
      <c r="S410" s="68"/>
    </row>
    <row r="411" spans="1:19" s="114" customFormat="1">
      <c r="A411" s="145"/>
      <c r="B411" s="145"/>
      <c r="C411" s="145"/>
      <c r="P411" s="68"/>
      <c r="S411" s="68"/>
    </row>
    <row r="412" spans="1:19" s="114" customFormat="1">
      <c r="A412" s="145"/>
      <c r="B412" s="145"/>
      <c r="C412" s="145"/>
      <c r="P412" s="68"/>
      <c r="S412" s="68"/>
    </row>
    <row r="413" spans="1:19" s="114" customFormat="1">
      <c r="A413" s="145"/>
      <c r="B413" s="145"/>
      <c r="C413" s="145"/>
      <c r="P413" s="68"/>
      <c r="S413" s="68"/>
    </row>
    <row r="414" spans="1:19" s="114" customFormat="1">
      <c r="A414" s="145"/>
      <c r="B414" s="145"/>
      <c r="C414" s="145"/>
      <c r="P414" s="68"/>
      <c r="S414" s="68"/>
    </row>
    <row r="415" spans="1:19" s="114" customFormat="1">
      <c r="A415" s="145"/>
      <c r="B415" s="145"/>
      <c r="C415" s="145"/>
      <c r="P415" s="68"/>
      <c r="S415" s="68"/>
    </row>
    <row r="416" spans="1:19" s="114" customFormat="1">
      <c r="A416" s="145"/>
      <c r="B416" s="145"/>
      <c r="C416" s="145"/>
      <c r="P416" s="68"/>
      <c r="S416" s="68"/>
    </row>
    <row r="417" spans="1:19" s="114" customFormat="1">
      <c r="A417" s="145"/>
      <c r="B417" s="145"/>
      <c r="C417" s="145"/>
      <c r="P417" s="68"/>
      <c r="S417" s="68"/>
    </row>
    <row r="418" spans="1:19" s="114" customFormat="1">
      <c r="A418" s="145"/>
      <c r="B418" s="145"/>
      <c r="C418" s="145"/>
      <c r="P418" s="68"/>
      <c r="S418" s="68"/>
    </row>
    <row r="419" spans="1:19" s="114" customFormat="1">
      <c r="A419" s="145"/>
      <c r="B419" s="145"/>
      <c r="C419" s="145"/>
      <c r="P419" s="68"/>
      <c r="S419" s="68"/>
    </row>
    <row r="420" spans="1:19" s="114" customFormat="1">
      <c r="A420" s="145"/>
      <c r="B420" s="145"/>
      <c r="C420" s="145"/>
      <c r="P420" s="68"/>
      <c r="S420" s="68"/>
    </row>
    <row r="421" spans="1:19" s="114" customFormat="1">
      <c r="A421" s="145"/>
      <c r="B421" s="145"/>
      <c r="C421" s="145"/>
      <c r="P421" s="68"/>
      <c r="S421" s="68"/>
    </row>
    <row r="422" spans="1:19" s="114" customFormat="1">
      <c r="A422" s="145"/>
      <c r="B422" s="145"/>
      <c r="C422" s="145"/>
      <c r="P422" s="68"/>
      <c r="S422" s="68"/>
    </row>
    <row r="423" spans="1:19" s="114" customFormat="1">
      <c r="A423" s="145"/>
      <c r="B423" s="145"/>
      <c r="C423" s="145"/>
      <c r="P423" s="68"/>
      <c r="S423" s="68"/>
    </row>
    <row r="424" spans="1:19" s="114" customFormat="1">
      <c r="A424" s="145"/>
      <c r="B424" s="145"/>
      <c r="C424" s="145"/>
      <c r="P424" s="68"/>
      <c r="S424" s="68"/>
    </row>
    <row r="425" spans="1:19" s="114" customFormat="1">
      <c r="A425" s="145"/>
      <c r="B425" s="145"/>
      <c r="C425" s="145"/>
      <c r="P425" s="68"/>
      <c r="S425" s="68"/>
    </row>
    <row r="426" spans="1:19" s="114" customFormat="1">
      <c r="A426" s="145"/>
      <c r="B426" s="145"/>
      <c r="C426" s="145"/>
      <c r="P426" s="68"/>
      <c r="S426" s="68"/>
    </row>
    <row r="427" spans="1:19" s="114" customFormat="1">
      <c r="A427" s="145"/>
      <c r="B427" s="145"/>
      <c r="C427" s="145"/>
      <c r="P427" s="68"/>
      <c r="S427" s="68"/>
    </row>
    <row r="428" spans="1:19" s="114" customFormat="1">
      <c r="A428" s="145"/>
      <c r="B428" s="145"/>
      <c r="C428" s="145"/>
      <c r="P428" s="68"/>
      <c r="S428" s="68"/>
    </row>
    <row r="429" spans="1:19" s="114" customFormat="1">
      <c r="A429" s="145"/>
      <c r="B429" s="145"/>
      <c r="C429" s="145"/>
      <c r="P429" s="68"/>
      <c r="S429" s="68"/>
    </row>
    <row r="430" spans="1:19" s="114" customFormat="1">
      <c r="A430" s="145"/>
      <c r="B430" s="145"/>
      <c r="C430" s="145"/>
      <c r="P430" s="68"/>
      <c r="S430" s="68"/>
    </row>
    <row r="431" spans="1:19" s="114" customFormat="1">
      <c r="A431" s="145"/>
      <c r="B431" s="145"/>
      <c r="C431" s="145"/>
      <c r="P431" s="68"/>
      <c r="S431" s="68"/>
    </row>
    <row r="432" spans="1:19" s="114" customFormat="1">
      <c r="A432" s="145"/>
      <c r="B432" s="145"/>
      <c r="C432" s="145"/>
      <c r="P432" s="68"/>
      <c r="S432" s="68"/>
    </row>
    <row r="433" spans="1:19" s="114" customFormat="1">
      <c r="A433" s="145"/>
      <c r="B433" s="145"/>
      <c r="C433" s="145"/>
      <c r="P433" s="68"/>
      <c r="S433" s="68"/>
    </row>
    <row r="434" spans="1:19" s="114" customFormat="1">
      <c r="A434" s="145"/>
      <c r="B434" s="145"/>
      <c r="C434" s="145"/>
      <c r="P434" s="68"/>
      <c r="S434" s="68"/>
    </row>
    <row r="435" spans="1:19" s="114" customFormat="1">
      <c r="A435" s="145"/>
      <c r="B435" s="145"/>
      <c r="C435" s="145"/>
      <c r="P435" s="68"/>
      <c r="S435" s="68"/>
    </row>
    <row r="436" spans="1:19" s="114" customFormat="1">
      <c r="A436" s="145"/>
      <c r="B436" s="145"/>
      <c r="C436" s="145"/>
      <c r="P436" s="68"/>
      <c r="S436" s="68"/>
    </row>
    <row r="437" spans="1:19" s="114" customFormat="1">
      <c r="A437" s="145"/>
      <c r="B437" s="145"/>
      <c r="C437" s="145"/>
      <c r="P437" s="68"/>
      <c r="S437" s="68"/>
    </row>
    <row r="438" spans="1:19" s="114" customFormat="1">
      <c r="A438" s="145"/>
      <c r="B438" s="145"/>
      <c r="C438" s="145"/>
      <c r="P438" s="68"/>
      <c r="S438" s="68"/>
    </row>
    <row r="439" spans="1:19" s="114" customFormat="1">
      <c r="A439" s="145"/>
      <c r="B439" s="145"/>
      <c r="C439" s="145"/>
      <c r="P439" s="68"/>
      <c r="S439" s="68"/>
    </row>
    <row r="440" spans="1:19" s="114" customFormat="1">
      <c r="A440" s="145"/>
      <c r="B440" s="145"/>
      <c r="C440" s="145"/>
      <c r="P440" s="68"/>
      <c r="S440" s="68"/>
    </row>
    <row r="441" spans="1:19" s="114" customFormat="1">
      <c r="A441" s="145"/>
      <c r="B441" s="145"/>
      <c r="C441" s="145"/>
      <c r="P441" s="68"/>
      <c r="S441" s="68"/>
    </row>
    <row r="442" spans="1:19" s="114" customFormat="1">
      <c r="A442" s="145"/>
      <c r="B442" s="145"/>
      <c r="C442" s="145"/>
      <c r="P442" s="68"/>
      <c r="S442" s="68"/>
    </row>
    <row r="443" spans="1:19" s="114" customFormat="1">
      <c r="A443" s="145"/>
      <c r="B443" s="145"/>
      <c r="C443" s="145"/>
      <c r="P443" s="68"/>
      <c r="S443" s="68"/>
    </row>
    <row r="444" spans="1:19" s="114" customFormat="1">
      <c r="A444" s="145"/>
      <c r="B444" s="145"/>
      <c r="C444" s="145"/>
      <c r="P444" s="68"/>
      <c r="S444" s="68"/>
    </row>
    <row r="445" spans="1:19" s="114" customFormat="1">
      <c r="A445" s="145"/>
      <c r="B445" s="145"/>
      <c r="C445" s="145"/>
      <c r="P445" s="68"/>
      <c r="S445" s="68"/>
    </row>
    <row r="446" spans="1:19" s="114" customFormat="1">
      <c r="A446" s="145"/>
      <c r="B446" s="145"/>
      <c r="C446" s="145"/>
      <c r="P446" s="68"/>
      <c r="S446" s="68"/>
    </row>
    <row r="447" spans="1:19" s="114" customFormat="1">
      <c r="A447" s="145"/>
      <c r="B447" s="145"/>
      <c r="C447" s="145"/>
      <c r="P447" s="68"/>
      <c r="S447" s="68"/>
    </row>
    <row r="448" spans="1:19" s="114" customFormat="1">
      <c r="A448" s="145"/>
      <c r="B448" s="145"/>
      <c r="C448" s="145"/>
      <c r="P448" s="68"/>
      <c r="S448" s="68"/>
    </row>
    <row r="449" spans="1:19" s="114" customFormat="1">
      <c r="A449" s="145"/>
      <c r="B449" s="145"/>
      <c r="C449" s="145"/>
      <c r="P449" s="68"/>
      <c r="S449" s="68"/>
    </row>
    <row r="450" spans="1:19" s="114" customFormat="1">
      <c r="A450" s="145"/>
      <c r="B450" s="145"/>
      <c r="C450" s="145"/>
      <c r="P450" s="68"/>
      <c r="S450" s="68"/>
    </row>
    <row r="451" spans="1:19" s="114" customFormat="1">
      <c r="A451" s="145"/>
      <c r="B451" s="145"/>
      <c r="C451" s="145"/>
      <c r="P451" s="68"/>
      <c r="S451" s="68"/>
    </row>
    <row r="452" spans="1:19" s="114" customFormat="1">
      <c r="A452" s="145"/>
      <c r="B452" s="145"/>
      <c r="C452" s="145"/>
      <c r="P452" s="68"/>
      <c r="S452" s="68"/>
    </row>
    <row r="453" spans="1:19" s="114" customFormat="1">
      <c r="A453" s="145"/>
      <c r="B453" s="145"/>
      <c r="C453" s="145"/>
      <c r="P453" s="68"/>
      <c r="S453" s="68"/>
    </row>
    <row r="454" spans="1:19" s="114" customFormat="1">
      <c r="A454" s="145"/>
      <c r="B454" s="145"/>
      <c r="C454" s="145"/>
      <c r="P454" s="68"/>
      <c r="S454" s="68"/>
    </row>
    <row r="455" spans="1:19" s="114" customFormat="1">
      <c r="A455" s="145"/>
      <c r="B455" s="145"/>
      <c r="C455" s="145"/>
      <c r="P455" s="68"/>
      <c r="S455" s="68"/>
    </row>
    <row r="456" spans="1:19" s="114" customFormat="1">
      <c r="A456" s="145"/>
      <c r="B456" s="145"/>
      <c r="C456" s="145"/>
      <c r="P456" s="68"/>
      <c r="S456" s="68"/>
    </row>
    <row r="457" spans="1:19" s="114" customFormat="1">
      <c r="A457" s="145"/>
      <c r="B457" s="145"/>
      <c r="C457" s="145"/>
      <c r="P457" s="68"/>
      <c r="S457" s="68"/>
    </row>
    <row r="458" spans="1:19" s="114" customFormat="1">
      <c r="A458" s="145"/>
      <c r="B458" s="145"/>
      <c r="C458" s="145"/>
      <c r="P458" s="68"/>
      <c r="S458" s="68"/>
    </row>
    <row r="459" spans="1:19" s="114" customFormat="1">
      <c r="A459" s="145"/>
      <c r="B459" s="145"/>
      <c r="C459" s="145"/>
      <c r="P459" s="68"/>
      <c r="S459" s="68"/>
    </row>
    <row r="460" spans="1:19" s="114" customFormat="1">
      <c r="A460" s="145"/>
      <c r="B460" s="145"/>
      <c r="C460" s="145"/>
      <c r="P460" s="68"/>
      <c r="S460" s="68"/>
    </row>
    <row r="461" spans="1:19" s="114" customFormat="1">
      <c r="A461" s="145"/>
      <c r="B461" s="145"/>
      <c r="C461" s="145"/>
      <c r="P461" s="68"/>
      <c r="S461" s="68"/>
    </row>
    <row r="462" spans="1:19" s="114" customFormat="1">
      <c r="A462" s="145"/>
      <c r="B462" s="145"/>
      <c r="C462" s="145"/>
      <c r="P462" s="68"/>
      <c r="S462" s="68"/>
    </row>
    <row r="463" spans="1:19" s="114" customFormat="1">
      <c r="A463" s="145"/>
      <c r="B463" s="145"/>
      <c r="C463" s="145"/>
      <c r="P463" s="68"/>
      <c r="S463" s="68"/>
    </row>
    <row r="464" spans="1:19" s="114" customFormat="1">
      <c r="A464" s="145"/>
      <c r="B464" s="145"/>
      <c r="C464" s="145"/>
      <c r="P464" s="68"/>
      <c r="S464" s="68"/>
    </row>
    <row r="465" spans="1:19" s="114" customFormat="1">
      <c r="A465" s="145"/>
      <c r="B465" s="145"/>
      <c r="C465" s="145"/>
      <c r="P465" s="68"/>
      <c r="S465" s="68"/>
    </row>
    <row r="466" spans="1:19" s="114" customFormat="1">
      <c r="A466" s="145"/>
      <c r="B466" s="145"/>
      <c r="C466" s="145"/>
      <c r="P466" s="68"/>
      <c r="S466" s="68"/>
    </row>
    <row r="467" spans="1:19" s="114" customFormat="1">
      <c r="A467" s="145"/>
      <c r="B467" s="145"/>
      <c r="C467" s="145"/>
      <c r="P467" s="68"/>
      <c r="S467" s="68"/>
    </row>
    <row r="468" spans="1:19" s="114" customFormat="1">
      <c r="A468" s="145"/>
      <c r="B468" s="145"/>
      <c r="C468" s="145"/>
      <c r="P468" s="68"/>
      <c r="S468" s="68"/>
    </row>
    <row r="469" spans="1:19" s="114" customFormat="1">
      <c r="A469" s="145"/>
      <c r="B469" s="145"/>
      <c r="C469" s="145"/>
      <c r="P469" s="68"/>
      <c r="S469" s="68"/>
    </row>
    <row r="470" spans="1:19" s="114" customFormat="1">
      <c r="A470" s="145"/>
      <c r="B470" s="145"/>
      <c r="C470" s="145"/>
      <c r="P470" s="68"/>
      <c r="S470" s="68"/>
    </row>
    <row r="471" spans="1:19" s="114" customFormat="1">
      <c r="A471" s="145"/>
      <c r="B471" s="145"/>
      <c r="C471" s="145"/>
      <c r="P471" s="68"/>
      <c r="S471" s="68"/>
    </row>
    <row r="472" spans="1:19" s="114" customFormat="1">
      <c r="A472" s="145"/>
      <c r="B472" s="145"/>
      <c r="C472" s="145"/>
      <c r="P472" s="68"/>
      <c r="S472" s="68"/>
    </row>
    <row r="473" spans="1:19" s="114" customFormat="1">
      <c r="A473" s="145"/>
      <c r="B473" s="145"/>
      <c r="C473" s="145"/>
      <c r="P473" s="68"/>
      <c r="S473" s="68"/>
    </row>
    <row r="474" spans="1:19" s="114" customFormat="1">
      <c r="A474" s="145"/>
      <c r="B474" s="145"/>
      <c r="C474" s="145"/>
      <c r="P474" s="68"/>
      <c r="S474" s="68"/>
    </row>
    <row r="475" spans="1:19" s="114" customFormat="1">
      <c r="A475" s="145"/>
      <c r="B475" s="145"/>
      <c r="C475" s="145"/>
      <c r="P475" s="68"/>
      <c r="S475" s="68"/>
    </row>
    <row r="476" spans="1:19" s="114" customFormat="1">
      <c r="A476" s="145"/>
      <c r="B476" s="145"/>
      <c r="C476" s="145"/>
      <c r="P476" s="68"/>
      <c r="S476" s="68"/>
    </row>
    <row r="477" spans="1:19" s="114" customFormat="1">
      <c r="A477" s="145"/>
      <c r="B477" s="145"/>
      <c r="C477" s="145"/>
      <c r="P477" s="68"/>
      <c r="S477" s="68"/>
    </row>
    <row r="478" spans="1:19" s="114" customFormat="1">
      <c r="A478" s="145"/>
      <c r="B478" s="145"/>
      <c r="C478" s="145"/>
      <c r="P478" s="68"/>
      <c r="S478" s="68"/>
    </row>
    <row r="479" spans="1:19" s="114" customFormat="1">
      <c r="A479" s="145"/>
      <c r="B479" s="145"/>
      <c r="C479" s="145"/>
      <c r="P479" s="68"/>
      <c r="S479" s="68"/>
    </row>
    <row r="480" spans="1:19" s="114" customFormat="1">
      <c r="A480" s="145"/>
      <c r="B480" s="145"/>
      <c r="C480" s="145"/>
      <c r="P480" s="68"/>
      <c r="S480" s="68"/>
    </row>
    <row r="481" spans="1:19" s="114" customFormat="1">
      <c r="A481" s="145"/>
      <c r="B481" s="145"/>
      <c r="C481" s="145"/>
      <c r="P481" s="68"/>
      <c r="S481" s="68"/>
    </row>
    <row r="482" spans="1:19" s="114" customFormat="1">
      <c r="A482" s="145"/>
      <c r="B482" s="145"/>
      <c r="C482" s="145"/>
      <c r="P482" s="68"/>
      <c r="S482" s="68"/>
    </row>
    <row r="483" spans="1:19" s="114" customFormat="1">
      <c r="A483" s="145"/>
      <c r="B483" s="145"/>
      <c r="C483" s="145"/>
      <c r="P483" s="68"/>
      <c r="S483" s="68"/>
    </row>
    <row r="484" spans="1:19" s="114" customFormat="1">
      <c r="A484" s="145"/>
      <c r="B484" s="145"/>
      <c r="C484" s="145"/>
      <c r="P484" s="68"/>
      <c r="S484" s="68"/>
    </row>
    <row r="485" spans="1:19" s="114" customFormat="1">
      <c r="A485" s="145"/>
      <c r="B485" s="145"/>
      <c r="C485" s="145"/>
      <c r="P485" s="68"/>
      <c r="S485" s="68"/>
    </row>
    <row r="486" spans="1:19" s="114" customFormat="1">
      <c r="A486" s="145"/>
      <c r="B486" s="145"/>
      <c r="C486" s="145"/>
      <c r="P486" s="68"/>
      <c r="S486" s="68"/>
    </row>
    <row r="487" spans="1:19" s="114" customFormat="1">
      <c r="A487" s="145"/>
      <c r="B487" s="145"/>
      <c r="C487" s="145"/>
      <c r="P487" s="68"/>
      <c r="S487" s="68"/>
    </row>
    <row r="488" spans="1:19" s="114" customFormat="1">
      <c r="A488" s="145"/>
      <c r="B488" s="145"/>
      <c r="C488" s="145"/>
      <c r="P488" s="68"/>
      <c r="S488" s="68"/>
    </row>
    <row r="489" spans="1:19" s="114" customFormat="1">
      <c r="A489" s="145"/>
      <c r="B489" s="145"/>
      <c r="C489" s="145"/>
      <c r="P489" s="68"/>
      <c r="S489" s="68"/>
    </row>
    <row r="490" spans="1:19" s="114" customFormat="1">
      <c r="A490" s="145"/>
      <c r="B490" s="145"/>
      <c r="C490" s="145"/>
      <c r="P490" s="68"/>
      <c r="S490" s="68"/>
    </row>
    <row r="491" spans="1:19" s="114" customFormat="1">
      <c r="A491" s="145"/>
      <c r="B491" s="145"/>
      <c r="C491" s="145"/>
      <c r="P491" s="68"/>
      <c r="S491" s="68"/>
    </row>
    <row r="492" spans="1:19" s="114" customFormat="1">
      <c r="A492" s="145"/>
      <c r="B492" s="145"/>
      <c r="C492" s="145"/>
      <c r="P492" s="68"/>
      <c r="S492" s="68"/>
    </row>
    <row r="493" spans="1:19" s="114" customFormat="1">
      <c r="A493" s="145"/>
      <c r="B493" s="145"/>
      <c r="C493" s="145"/>
      <c r="P493" s="68"/>
      <c r="S493" s="68"/>
    </row>
    <row r="494" spans="1:19" s="114" customFormat="1">
      <c r="A494" s="145"/>
      <c r="B494" s="145"/>
      <c r="C494" s="145"/>
      <c r="P494" s="68"/>
      <c r="S494" s="68"/>
    </row>
    <row r="495" spans="1:19" s="114" customFormat="1">
      <c r="A495" s="145"/>
      <c r="B495" s="145"/>
      <c r="C495" s="145"/>
      <c r="P495" s="68"/>
      <c r="S495" s="68"/>
    </row>
    <row r="496" spans="1:19" s="114" customFormat="1">
      <c r="A496" s="145"/>
      <c r="B496" s="145"/>
      <c r="C496" s="145"/>
      <c r="P496" s="68"/>
      <c r="S496" s="68"/>
    </row>
    <row r="497" spans="1:19" s="114" customFormat="1">
      <c r="A497" s="145"/>
      <c r="B497" s="145"/>
      <c r="C497" s="145"/>
      <c r="P497" s="68"/>
      <c r="S497" s="68"/>
    </row>
    <row r="498" spans="1:19" s="114" customFormat="1">
      <c r="A498" s="145"/>
      <c r="B498" s="145"/>
      <c r="C498" s="145"/>
      <c r="P498" s="68"/>
      <c r="S498" s="68"/>
    </row>
    <row r="499" spans="1:19" s="114" customFormat="1">
      <c r="A499" s="145"/>
      <c r="B499" s="145"/>
      <c r="C499" s="145"/>
      <c r="P499" s="68"/>
      <c r="S499" s="68"/>
    </row>
    <row r="500" spans="1:19" s="114" customFormat="1">
      <c r="A500" s="145"/>
      <c r="B500" s="145"/>
      <c r="C500" s="145"/>
      <c r="P500" s="68"/>
      <c r="S500" s="68"/>
    </row>
    <row r="501" spans="1:19" s="114" customFormat="1">
      <c r="A501" s="145"/>
      <c r="B501" s="145"/>
      <c r="C501" s="145"/>
      <c r="P501" s="68"/>
      <c r="S501" s="68"/>
    </row>
    <row r="502" spans="1:19" s="114" customFormat="1">
      <c r="A502" s="145"/>
      <c r="B502" s="145"/>
      <c r="C502" s="145"/>
      <c r="P502" s="68"/>
      <c r="S502" s="68"/>
    </row>
    <row r="503" spans="1:19" s="114" customFormat="1">
      <c r="A503" s="145"/>
      <c r="B503" s="145"/>
      <c r="C503" s="145"/>
      <c r="P503" s="68"/>
      <c r="S503" s="68"/>
    </row>
    <row r="504" spans="1:19" s="114" customFormat="1">
      <c r="A504" s="145"/>
      <c r="B504" s="145"/>
      <c r="C504" s="145"/>
      <c r="P504" s="68"/>
      <c r="S504" s="68"/>
    </row>
    <row r="505" spans="1:19" s="114" customFormat="1">
      <c r="A505" s="145"/>
      <c r="B505" s="145"/>
      <c r="C505" s="145"/>
      <c r="P505" s="68"/>
      <c r="S505" s="68"/>
    </row>
    <row r="506" spans="1:19" s="114" customFormat="1">
      <c r="A506" s="145"/>
      <c r="B506" s="145"/>
      <c r="C506" s="145"/>
      <c r="P506" s="68"/>
      <c r="S506" s="68"/>
    </row>
    <row r="507" spans="1:19" s="114" customFormat="1">
      <c r="A507" s="145"/>
      <c r="B507" s="145"/>
      <c r="C507" s="145"/>
      <c r="P507" s="68"/>
      <c r="S507" s="68"/>
    </row>
    <row r="508" spans="1:19" s="114" customFormat="1">
      <c r="A508" s="145"/>
      <c r="B508" s="145"/>
      <c r="C508" s="145"/>
      <c r="P508" s="68"/>
      <c r="S508" s="68"/>
    </row>
    <row r="509" spans="1:19" s="114" customFormat="1">
      <c r="A509" s="145"/>
      <c r="B509" s="145"/>
      <c r="C509" s="145"/>
      <c r="P509" s="68"/>
      <c r="S509" s="68"/>
    </row>
    <row r="510" spans="1:19" s="114" customFormat="1">
      <c r="A510" s="145"/>
      <c r="B510" s="145"/>
      <c r="C510" s="145"/>
      <c r="P510" s="68"/>
      <c r="S510" s="68"/>
    </row>
    <row r="511" spans="1:19" s="114" customFormat="1">
      <c r="A511" s="145"/>
      <c r="B511" s="145"/>
      <c r="C511" s="145"/>
      <c r="P511" s="68"/>
      <c r="S511" s="68"/>
    </row>
    <row r="512" spans="1:19" s="114" customFormat="1">
      <c r="A512" s="145"/>
      <c r="B512" s="145"/>
      <c r="C512" s="145"/>
      <c r="P512" s="68"/>
      <c r="S512" s="68"/>
    </row>
    <row r="513" spans="1:19" s="114" customFormat="1">
      <c r="A513" s="145"/>
      <c r="B513" s="145"/>
      <c r="C513" s="145"/>
      <c r="P513" s="68"/>
      <c r="S513" s="68"/>
    </row>
    <row r="514" spans="1:19" s="114" customFormat="1">
      <c r="A514" s="145"/>
      <c r="B514" s="145"/>
      <c r="C514" s="145"/>
      <c r="P514" s="68"/>
      <c r="S514" s="68"/>
    </row>
    <row r="515" spans="1:19" s="114" customFormat="1">
      <c r="A515" s="145"/>
      <c r="B515" s="145"/>
      <c r="C515" s="145"/>
      <c r="P515" s="68"/>
      <c r="S515" s="68"/>
    </row>
    <row r="516" spans="1:19" s="114" customFormat="1">
      <c r="A516" s="145"/>
      <c r="B516" s="145"/>
      <c r="C516" s="145"/>
      <c r="P516" s="68"/>
      <c r="S516" s="68"/>
    </row>
    <row r="517" spans="1:19" s="114" customFormat="1">
      <c r="A517" s="145"/>
      <c r="B517" s="145"/>
      <c r="C517" s="145"/>
      <c r="P517" s="68"/>
      <c r="S517" s="68"/>
    </row>
    <row r="518" spans="1:19" s="114" customFormat="1">
      <c r="A518" s="145"/>
      <c r="B518" s="145"/>
      <c r="C518" s="145"/>
      <c r="P518" s="68"/>
      <c r="S518" s="68"/>
    </row>
    <row r="519" spans="1:19" s="114" customFormat="1">
      <c r="A519" s="145"/>
      <c r="B519" s="145"/>
      <c r="C519" s="145"/>
      <c r="P519" s="68"/>
      <c r="S519" s="68"/>
    </row>
    <row r="520" spans="1:19" s="114" customFormat="1">
      <c r="A520" s="145"/>
      <c r="B520" s="145"/>
      <c r="C520" s="145"/>
      <c r="P520" s="68"/>
      <c r="S520" s="68"/>
    </row>
    <row r="521" spans="1:19" s="114" customFormat="1">
      <c r="A521" s="145"/>
      <c r="B521" s="145"/>
      <c r="C521" s="145"/>
      <c r="P521" s="68"/>
      <c r="S521" s="68"/>
    </row>
    <row r="522" spans="1:19" s="114" customFormat="1">
      <c r="A522" s="145"/>
      <c r="B522" s="145"/>
      <c r="C522" s="145"/>
      <c r="P522" s="68"/>
      <c r="S522" s="68"/>
    </row>
    <row r="523" spans="1:19" s="114" customFormat="1">
      <c r="A523" s="145"/>
      <c r="B523" s="145"/>
      <c r="C523" s="145"/>
      <c r="P523" s="68"/>
      <c r="S523" s="68"/>
    </row>
    <row r="524" spans="1:19" s="114" customFormat="1">
      <c r="A524" s="145"/>
      <c r="B524" s="145"/>
      <c r="C524" s="145"/>
      <c r="P524" s="68"/>
      <c r="S524" s="68"/>
    </row>
    <row r="525" spans="1:19" s="114" customFormat="1">
      <c r="A525" s="145"/>
      <c r="B525" s="145"/>
      <c r="C525" s="145"/>
      <c r="P525" s="68"/>
      <c r="S525" s="68"/>
    </row>
    <row r="526" spans="1:19" s="114" customFormat="1">
      <c r="A526" s="145"/>
      <c r="B526" s="145"/>
      <c r="C526" s="145"/>
      <c r="P526" s="68"/>
      <c r="S526" s="68"/>
    </row>
    <row r="527" spans="1:19" s="114" customFormat="1">
      <c r="A527" s="145"/>
      <c r="B527" s="145"/>
      <c r="C527" s="145"/>
      <c r="P527" s="68"/>
      <c r="S527" s="68"/>
    </row>
    <row r="528" spans="1:19" s="114" customFormat="1">
      <c r="A528" s="145"/>
      <c r="B528" s="145"/>
      <c r="C528" s="145"/>
      <c r="P528" s="68"/>
      <c r="S528" s="68"/>
    </row>
    <row r="529" spans="1:19" s="114" customFormat="1">
      <c r="A529" s="145"/>
      <c r="B529" s="145"/>
      <c r="C529" s="145"/>
      <c r="P529" s="68"/>
      <c r="S529" s="68"/>
    </row>
    <row r="530" spans="1:19" s="114" customFormat="1">
      <c r="A530" s="145"/>
      <c r="B530" s="145"/>
      <c r="C530" s="145"/>
      <c r="P530" s="68"/>
      <c r="S530" s="68"/>
    </row>
    <row r="531" spans="1:19" s="114" customFormat="1">
      <c r="A531" s="145"/>
      <c r="B531" s="145"/>
      <c r="C531" s="145"/>
      <c r="P531" s="68"/>
      <c r="S531" s="68"/>
    </row>
    <row r="532" spans="1:19" s="114" customFormat="1">
      <c r="A532" s="145"/>
      <c r="B532" s="145"/>
      <c r="C532" s="145"/>
      <c r="P532" s="68"/>
      <c r="S532" s="68"/>
    </row>
    <row r="533" spans="1:19" s="114" customFormat="1">
      <c r="A533" s="145"/>
      <c r="B533" s="145"/>
      <c r="C533" s="145"/>
      <c r="P533" s="68"/>
      <c r="S533" s="68"/>
    </row>
    <row r="534" spans="1:19" s="114" customFormat="1">
      <c r="A534" s="145"/>
      <c r="B534" s="145"/>
      <c r="C534" s="145"/>
      <c r="P534" s="68"/>
      <c r="S534" s="68"/>
    </row>
    <row r="535" spans="1:19" s="114" customFormat="1">
      <c r="A535" s="145"/>
      <c r="B535" s="145"/>
      <c r="C535" s="145"/>
      <c r="P535" s="68"/>
      <c r="S535" s="68"/>
    </row>
    <row r="536" spans="1:19" s="114" customFormat="1">
      <c r="A536" s="145"/>
      <c r="B536" s="145"/>
      <c r="C536" s="145"/>
      <c r="P536" s="68"/>
      <c r="S536" s="68"/>
    </row>
    <row r="537" spans="1:19" s="114" customFormat="1">
      <c r="A537" s="145"/>
      <c r="B537" s="145"/>
      <c r="C537" s="145"/>
      <c r="P537" s="68"/>
      <c r="S537" s="68"/>
    </row>
    <row r="538" spans="1:19" s="114" customFormat="1">
      <c r="A538" s="145"/>
      <c r="B538" s="145"/>
      <c r="C538" s="145"/>
      <c r="P538" s="68"/>
      <c r="S538" s="68"/>
    </row>
    <row r="539" spans="1:19" s="114" customFormat="1">
      <c r="A539" s="145"/>
      <c r="B539" s="145"/>
      <c r="C539" s="145"/>
      <c r="P539" s="68"/>
      <c r="S539" s="68"/>
    </row>
    <row r="540" spans="1:19" s="114" customFormat="1">
      <c r="A540" s="145"/>
      <c r="B540" s="145"/>
      <c r="C540" s="145"/>
      <c r="P540" s="68"/>
      <c r="S540" s="68"/>
    </row>
    <row r="541" spans="1:19" s="114" customFormat="1">
      <c r="A541" s="145"/>
      <c r="B541" s="145"/>
      <c r="C541" s="145"/>
      <c r="P541" s="68"/>
      <c r="S541" s="68"/>
    </row>
    <row r="542" spans="1:19" s="114" customFormat="1">
      <c r="A542" s="145"/>
      <c r="B542" s="145"/>
      <c r="C542" s="145"/>
      <c r="P542" s="68"/>
      <c r="S542" s="68"/>
    </row>
    <row r="543" spans="1:19" s="114" customFormat="1">
      <c r="A543" s="145"/>
      <c r="B543" s="145"/>
      <c r="C543" s="145"/>
      <c r="P543" s="68"/>
      <c r="S543" s="68"/>
    </row>
    <row r="544" spans="1:19" s="114" customFormat="1">
      <c r="A544" s="145"/>
      <c r="B544" s="145"/>
      <c r="C544" s="145"/>
      <c r="P544" s="68"/>
      <c r="S544" s="68"/>
    </row>
    <row r="545" spans="1:19" s="114" customFormat="1">
      <c r="A545" s="145"/>
      <c r="B545" s="145"/>
      <c r="C545" s="145"/>
      <c r="P545" s="68"/>
      <c r="S545" s="68"/>
    </row>
    <row r="546" spans="1:19" s="114" customFormat="1">
      <c r="A546" s="145"/>
      <c r="B546" s="145"/>
      <c r="C546" s="145"/>
      <c r="P546" s="68"/>
      <c r="S546" s="68"/>
    </row>
    <row r="547" spans="1:19" s="114" customFormat="1">
      <c r="A547" s="145"/>
      <c r="B547" s="145"/>
      <c r="C547" s="145"/>
      <c r="P547" s="68"/>
      <c r="S547" s="68"/>
    </row>
    <row r="548" spans="1:19" s="114" customFormat="1">
      <c r="A548" s="145"/>
      <c r="B548" s="145"/>
      <c r="C548" s="145"/>
      <c r="P548" s="68"/>
      <c r="S548" s="68"/>
    </row>
    <row r="549" spans="1:19" s="114" customFormat="1">
      <c r="A549" s="145"/>
      <c r="B549" s="145"/>
      <c r="C549" s="145"/>
      <c r="P549" s="68"/>
      <c r="S549" s="68"/>
    </row>
    <row r="550" spans="1:19" s="114" customFormat="1">
      <c r="A550" s="145"/>
      <c r="B550" s="145"/>
      <c r="C550" s="145"/>
      <c r="P550" s="68"/>
      <c r="S550" s="68"/>
    </row>
    <row r="551" spans="1:19" s="114" customFormat="1">
      <c r="A551" s="145"/>
      <c r="B551" s="145"/>
      <c r="C551" s="145"/>
      <c r="P551" s="68"/>
      <c r="S551" s="68"/>
    </row>
    <row r="552" spans="1:19" s="114" customFormat="1">
      <c r="A552" s="145"/>
      <c r="B552" s="145"/>
      <c r="C552" s="145"/>
      <c r="P552" s="68"/>
      <c r="S552" s="68"/>
    </row>
    <row r="553" spans="1:19" s="114" customFormat="1">
      <c r="A553" s="145"/>
      <c r="B553" s="145"/>
      <c r="C553" s="145"/>
      <c r="P553" s="68"/>
      <c r="S553" s="68"/>
    </row>
    <row r="554" spans="1:19" s="114" customFormat="1">
      <c r="A554" s="145"/>
      <c r="B554" s="145"/>
      <c r="C554" s="145"/>
      <c r="P554" s="68"/>
      <c r="S554" s="68"/>
    </row>
    <row r="555" spans="1:19" s="114" customFormat="1">
      <c r="A555" s="145"/>
      <c r="B555" s="145"/>
      <c r="C555" s="145"/>
      <c r="P555" s="68"/>
      <c r="S555" s="68"/>
    </row>
    <row r="556" spans="1:19" s="114" customFormat="1">
      <c r="A556" s="145"/>
      <c r="B556" s="145"/>
      <c r="C556" s="145"/>
      <c r="P556" s="68"/>
      <c r="S556" s="68"/>
    </row>
    <row r="557" spans="1:19" s="114" customFormat="1">
      <c r="A557" s="145"/>
      <c r="B557" s="145"/>
      <c r="C557" s="145"/>
      <c r="P557" s="68"/>
      <c r="S557" s="68"/>
    </row>
    <row r="558" spans="1:19" s="114" customFormat="1">
      <c r="A558" s="145"/>
      <c r="B558" s="145"/>
      <c r="C558" s="145"/>
      <c r="P558" s="68"/>
      <c r="S558" s="68"/>
    </row>
    <row r="559" spans="1:19" s="114" customFormat="1">
      <c r="A559" s="145"/>
      <c r="B559" s="145"/>
      <c r="C559" s="145"/>
      <c r="P559" s="68"/>
      <c r="S559" s="68"/>
    </row>
    <row r="560" spans="1:19" s="114" customFormat="1">
      <c r="A560" s="145"/>
      <c r="B560" s="145"/>
      <c r="C560" s="145"/>
      <c r="P560" s="68"/>
      <c r="S560" s="68"/>
    </row>
    <row r="561" spans="1:19" s="114" customFormat="1">
      <c r="A561" s="145"/>
      <c r="B561" s="145"/>
      <c r="C561" s="145"/>
      <c r="P561" s="68"/>
      <c r="S561" s="68"/>
    </row>
    <row r="562" spans="1:19" s="114" customFormat="1">
      <c r="A562" s="145"/>
      <c r="B562" s="145"/>
      <c r="C562" s="145"/>
      <c r="P562" s="68"/>
      <c r="S562" s="68"/>
    </row>
    <row r="563" spans="1:19" s="114" customFormat="1">
      <c r="A563" s="145"/>
      <c r="B563" s="145"/>
      <c r="C563" s="145"/>
      <c r="P563" s="68"/>
      <c r="S563" s="68"/>
    </row>
    <row r="564" spans="1:19" s="114" customFormat="1">
      <c r="A564" s="145"/>
      <c r="B564" s="145"/>
      <c r="C564" s="145"/>
      <c r="P564" s="68"/>
      <c r="S564" s="68"/>
    </row>
    <row r="565" spans="1:19" s="114" customFormat="1">
      <c r="A565" s="145"/>
      <c r="B565" s="145"/>
      <c r="C565" s="145"/>
      <c r="P565" s="68"/>
      <c r="S565" s="68"/>
    </row>
    <row r="566" spans="1:19" s="114" customFormat="1">
      <c r="A566" s="145"/>
      <c r="B566" s="145"/>
      <c r="C566" s="145"/>
      <c r="P566" s="68"/>
      <c r="S566" s="68"/>
    </row>
    <row r="567" spans="1:19" s="114" customFormat="1">
      <c r="A567" s="145"/>
      <c r="B567" s="145"/>
      <c r="C567" s="145"/>
      <c r="P567" s="68"/>
      <c r="S567" s="68"/>
    </row>
    <row r="568" spans="1:19" s="114" customFormat="1">
      <c r="A568" s="145"/>
      <c r="B568" s="145"/>
      <c r="C568" s="145"/>
      <c r="P568" s="68"/>
      <c r="S568" s="68"/>
    </row>
    <row r="569" spans="1:19" s="114" customFormat="1">
      <c r="A569" s="145"/>
      <c r="B569" s="145"/>
      <c r="C569" s="145"/>
      <c r="P569" s="68"/>
      <c r="S569" s="68"/>
    </row>
    <row r="570" spans="1:19" s="114" customFormat="1">
      <c r="A570" s="145"/>
      <c r="B570" s="145"/>
      <c r="C570" s="145"/>
      <c r="P570" s="68"/>
      <c r="S570" s="68"/>
    </row>
    <row r="571" spans="1:19" s="114" customFormat="1">
      <c r="A571" s="145"/>
      <c r="B571" s="145"/>
      <c r="C571" s="145"/>
      <c r="P571" s="68"/>
      <c r="S571" s="68"/>
    </row>
    <row r="572" spans="1:19" s="114" customFormat="1">
      <c r="A572" s="145"/>
      <c r="B572" s="145"/>
      <c r="C572" s="145"/>
      <c r="P572" s="68"/>
      <c r="S572" s="68"/>
    </row>
    <row r="573" spans="1:19" s="114" customFormat="1">
      <c r="A573" s="145"/>
      <c r="B573" s="145"/>
      <c r="C573" s="145"/>
      <c r="P573" s="68"/>
      <c r="S573" s="68"/>
    </row>
    <row r="574" spans="1:19" s="114" customFormat="1">
      <c r="A574" s="145"/>
      <c r="B574" s="145"/>
      <c r="C574" s="145"/>
      <c r="P574" s="68"/>
      <c r="S574" s="68"/>
    </row>
    <row r="575" spans="1:19" s="114" customFormat="1">
      <c r="A575" s="145"/>
      <c r="B575" s="145"/>
      <c r="C575" s="145"/>
      <c r="P575" s="68"/>
      <c r="S575" s="68"/>
    </row>
    <row r="576" spans="1:19" s="114" customFormat="1">
      <c r="A576" s="145"/>
      <c r="B576" s="145"/>
      <c r="C576" s="145"/>
      <c r="P576" s="68"/>
      <c r="S576" s="68"/>
    </row>
    <row r="577" spans="1:19" s="114" customFormat="1">
      <c r="A577" s="145"/>
      <c r="B577" s="145"/>
      <c r="C577" s="145"/>
      <c r="P577" s="68"/>
      <c r="S577" s="68"/>
    </row>
    <row r="578" spans="1:19" s="114" customFormat="1">
      <c r="A578" s="145"/>
      <c r="B578" s="145"/>
      <c r="C578" s="145"/>
      <c r="P578" s="68"/>
      <c r="S578" s="68"/>
    </row>
    <row r="579" spans="1:19" s="114" customFormat="1">
      <c r="A579" s="145"/>
      <c r="B579" s="145"/>
      <c r="C579" s="145"/>
      <c r="P579" s="68"/>
      <c r="S579" s="68"/>
    </row>
    <row r="580" spans="1:19" s="114" customFormat="1">
      <c r="A580" s="145"/>
      <c r="B580" s="145"/>
      <c r="C580" s="145"/>
      <c r="P580" s="68"/>
      <c r="S580" s="68"/>
    </row>
    <row r="581" spans="1:19" s="114" customFormat="1">
      <c r="A581" s="145"/>
      <c r="B581" s="145"/>
      <c r="C581" s="145"/>
      <c r="P581" s="68"/>
      <c r="S581" s="68"/>
    </row>
    <row r="582" spans="1:19" s="114" customFormat="1">
      <c r="A582" s="145"/>
      <c r="B582" s="145"/>
      <c r="C582" s="145"/>
      <c r="P582" s="68"/>
      <c r="S582" s="68"/>
    </row>
    <row r="583" spans="1:19" s="114" customFormat="1">
      <c r="A583" s="145"/>
      <c r="B583" s="145"/>
      <c r="C583" s="145"/>
      <c r="P583" s="68"/>
      <c r="S583" s="68"/>
    </row>
    <row r="584" spans="1:19" s="114" customFormat="1">
      <c r="A584" s="145"/>
      <c r="B584" s="145"/>
      <c r="C584" s="145"/>
      <c r="P584" s="68"/>
      <c r="S584" s="68"/>
    </row>
    <row r="585" spans="1:19" s="114" customFormat="1">
      <c r="A585" s="145"/>
      <c r="B585" s="145"/>
      <c r="C585" s="145"/>
      <c r="P585" s="68"/>
      <c r="S585" s="68"/>
    </row>
    <row r="586" spans="1:19" s="114" customFormat="1">
      <c r="A586" s="145"/>
      <c r="B586" s="145"/>
      <c r="C586" s="145"/>
      <c r="P586" s="68"/>
      <c r="S586" s="68"/>
    </row>
    <row r="587" spans="1:19" s="114" customFormat="1">
      <c r="A587" s="145"/>
      <c r="B587" s="145"/>
      <c r="C587" s="145"/>
      <c r="P587" s="68"/>
      <c r="S587" s="68"/>
    </row>
    <row r="588" spans="1:19" s="114" customFormat="1">
      <c r="A588" s="145"/>
      <c r="B588" s="145"/>
      <c r="C588" s="145"/>
      <c r="P588" s="68"/>
      <c r="S588" s="68"/>
    </row>
    <row r="589" spans="1:19" s="114" customFormat="1">
      <c r="A589" s="145"/>
      <c r="B589" s="145"/>
      <c r="C589" s="145"/>
      <c r="P589" s="68"/>
      <c r="S589" s="68"/>
    </row>
    <row r="590" spans="1:19" s="114" customFormat="1">
      <c r="A590" s="145"/>
      <c r="B590" s="145"/>
      <c r="C590" s="145"/>
      <c r="P590" s="68"/>
      <c r="S590" s="68"/>
    </row>
    <row r="591" spans="1:19" s="114" customFormat="1">
      <c r="A591" s="145"/>
      <c r="B591" s="145"/>
      <c r="C591" s="145"/>
      <c r="P591" s="68"/>
      <c r="S591" s="68"/>
    </row>
    <row r="592" spans="1:19" s="114" customFormat="1">
      <c r="A592" s="145"/>
      <c r="B592" s="145"/>
      <c r="C592" s="145"/>
      <c r="P592" s="68"/>
      <c r="S592" s="68"/>
    </row>
    <row r="593" spans="1:19" s="114" customFormat="1">
      <c r="A593" s="145"/>
      <c r="B593" s="145"/>
      <c r="C593" s="145"/>
      <c r="P593" s="68"/>
      <c r="S593" s="68"/>
    </row>
    <row r="594" spans="1:19" s="114" customFormat="1">
      <c r="A594" s="145"/>
      <c r="B594" s="145"/>
      <c r="C594" s="145"/>
      <c r="P594" s="68"/>
      <c r="S594" s="68"/>
    </row>
    <row r="595" spans="1:19" s="114" customFormat="1">
      <c r="A595" s="145"/>
      <c r="B595" s="145"/>
      <c r="C595" s="145"/>
      <c r="P595" s="68"/>
      <c r="S595" s="68"/>
    </row>
    <row r="596" spans="1:19" s="114" customFormat="1">
      <c r="A596" s="145"/>
      <c r="B596" s="145"/>
      <c r="C596" s="145"/>
      <c r="P596" s="68"/>
      <c r="S596" s="68"/>
    </row>
    <row r="597" spans="1:19" s="114" customFormat="1">
      <c r="A597" s="145"/>
      <c r="B597" s="145"/>
      <c r="C597" s="145"/>
      <c r="P597" s="68"/>
      <c r="S597" s="68"/>
    </row>
    <row r="598" spans="1:19" s="114" customFormat="1">
      <c r="A598" s="145"/>
      <c r="B598" s="145"/>
      <c r="C598" s="145"/>
      <c r="P598" s="68"/>
      <c r="S598" s="68"/>
    </row>
    <row r="599" spans="1:19" s="114" customFormat="1">
      <c r="A599" s="145"/>
      <c r="B599" s="145"/>
      <c r="C599" s="145"/>
      <c r="P599" s="68"/>
      <c r="S599" s="68"/>
    </row>
    <row r="600" spans="1:19" s="114" customFormat="1">
      <c r="A600" s="145"/>
      <c r="B600" s="145"/>
      <c r="C600" s="145"/>
      <c r="P600" s="68"/>
      <c r="S600" s="68"/>
    </row>
    <row r="601" spans="1:19" s="114" customFormat="1">
      <c r="A601" s="145"/>
      <c r="B601" s="145"/>
      <c r="C601" s="145"/>
      <c r="P601" s="68"/>
      <c r="S601" s="68"/>
    </row>
    <row r="602" spans="1:19" s="114" customFormat="1">
      <c r="A602" s="145"/>
      <c r="B602" s="145"/>
      <c r="C602" s="145"/>
      <c r="P602" s="68"/>
      <c r="S602" s="68"/>
    </row>
    <row r="603" spans="1:19" s="114" customFormat="1">
      <c r="A603" s="145"/>
      <c r="B603" s="145"/>
      <c r="C603" s="145"/>
      <c r="P603" s="68"/>
      <c r="S603" s="68"/>
    </row>
    <row r="604" spans="1:19" s="114" customFormat="1">
      <c r="A604" s="145"/>
      <c r="B604" s="145"/>
      <c r="C604" s="145"/>
      <c r="P604" s="68"/>
      <c r="S604" s="68"/>
    </row>
    <row r="605" spans="1:19" s="114" customFormat="1">
      <c r="A605" s="145"/>
      <c r="B605" s="145"/>
      <c r="C605" s="145"/>
      <c r="P605" s="68"/>
      <c r="S605" s="68"/>
    </row>
    <row r="606" spans="1:19" s="114" customFormat="1">
      <c r="A606" s="145"/>
      <c r="B606" s="145"/>
      <c r="C606" s="145"/>
      <c r="P606" s="68"/>
      <c r="S606" s="68"/>
    </row>
    <row r="607" spans="1:19" s="114" customFormat="1">
      <c r="A607" s="145"/>
      <c r="B607" s="145"/>
      <c r="C607" s="145"/>
      <c r="P607" s="68"/>
      <c r="S607" s="68"/>
    </row>
    <row r="608" spans="1:19" s="114" customFormat="1">
      <c r="A608" s="145"/>
      <c r="B608" s="145"/>
      <c r="C608" s="145"/>
      <c r="P608" s="68"/>
      <c r="S608" s="68"/>
    </row>
    <row r="609" spans="1:19" s="114" customFormat="1">
      <c r="A609" s="145"/>
      <c r="B609" s="145"/>
      <c r="C609" s="145"/>
      <c r="P609" s="68"/>
      <c r="S609" s="68"/>
    </row>
    <row r="610" spans="1:19" s="114" customFormat="1">
      <c r="A610" s="145"/>
      <c r="B610" s="145"/>
      <c r="C610" s="145"/>
      <c r="P610" s="68"/>
      <c r="S610" s="68"/>
    </row>
    <row r="611" spans="1:19" s="114" customFormat="1">
      <c r="A611" s="145"/>
      <c r="B611" s="145"/>
      <c r="C611" s="145"/>
      <c r="P611" s="68"/>
      <c r="S611" s="68"/>
    </row>
    <row r="612" spans="1:19" s="114" customFormat="1">
      <c r="A612" s="145"/>
      <c r="B612" s="145"/>
      <c r="C612" s="145"/>
      <c r="P612" s="68"/>
      <c r="S612" s="68"/>
    </row>
    <row r="613" spans="1:19" s="114" customFormat="1">
      <c r="A613" s="145"/>
      <c r="B613" s="145"/>
      <c r="C613" s="145"/>
      <c r="P613" s="68"/>
      <c r="S613" s="68"/>
    </row>
    <row r="614" spans="1:19" s="114" customFormat="1">
      <c r="A614" s="145"/>
      <c r="B614" s="145"/>
      <c r="C614" s="145"/>
      <c r="P614" s="68"/>
      <c r="S614" s="68"/>
    </row>
    <row r="615" spans="1:19" s="114" customFormat="1">
      <c r="A615" s="145"/>
      <c r="B615" s="145"/>
      <c r="C615" s="145"/>
      <c r="P615" s="68"/>
      <c r="S615" s="68"/>
    </row>
    <row r="616" spans="1:19" s="114" customFormat="1">
      <c r="A616" s="145"/>
      <c r="B616" s="145"/>
      <c r="C616" s="145"/>
      <c r="P616" s="68"/>
      <c r="S616" s="68"/>
    </row>
    <row r="617" spans="1:19" s="114" customFormat="1">
      <c r="A617" s="145"/>
      <c r="B617" s="145"/>
      <c r="C617" s="145"/>
      <c r="P617" s="68"/>
      <c r="S617" s="68"/>
    </row>
    <row r="618" spans="1:19" s="114" customFormat="1">
      <c r="A618" s="145"/>
      <c r="B618" s="145"/>
      <c r="C618" s="145"/>
      <c r="P618" s="68"/>
      <c r="S618" s="68"/>
    </row>
    <row r="619" spans="1:19" s="114" customFormat="1">
      <c r="A619" s="145"/>
      <c r="B619" s="145"/>
      <c r="C619" s="145"/>
      <c r="P619" s="68"/>
      <c r="S619" s="68"/>
    </row>
    <row r="620" spans="1:19" s="114" customFormat="1">
      <c r="A620" s="145"/>
      <c r="B620" s="145"/>
      <c r="C620" s="145"/>
      <c r="P620" s="68"/>
      <c r="S620" s="68"/>
    </row>
    <row r="621" spans="1:19" s="114" customFormat="1">
      <c r="A621" s="145"/>
      <c r="B621" s="145"/>
      <c r="C621" s="145"/>
      <c r="P621" s="68"/>
      <c r="S621" s="68"/>
    </row>
    <row r="622" spans="1:19" s="114" customFormat="1">
      <c r="A622" s="145"/>
      <c r="B622" s="145"/>
      <c r="C622" s="145"/>
      <c r="P622" s="68"/>
      <c r="S622" s="68"/>
    </row>
    <row r="623" spans="1:19" s="114" customFormat="1">
      <c r="A623" s="145"/>
      <c r="B623" s="145"/>
      <c r="C623" s="145"/>
      <c r="P623" s="68"/>
      <c r="S623" s="68"/>
    </row>
    <row r="624" spans="1:19" s="114" customFormat="1">
      <c r="A624" s="145"/>
      <c r="B624" s="145"/>
      <c r="C624" s="145"/>
      <c r="P624" s="68"/>
      <c r="S624" s="68"/>
    </row>
    <row r="625" spans="1:19" s="114" customFormat="1">
      <c r="A625" s="145"/>
      <c r="B625" s="145"/>
      <c r="C625" s="145"/>
      <c r="P625" s="68"/>
      <c r="S625" s="68"/>
    </row>
    <row r="626" spans="1:19" s="114" customFormat="1">
      <c r="A626" s="145"/>
      <c r="B626" s="145"/>
      <c r="C626" s="145"/>
      <c r="P626" s="68"/>
      <c r="S626" s="68"/>
    </row>
    <row r="627" spans="1:19" s="114" customFormat="1">
      <c r="A627" s="145"/>
      <c r="B627" s="145"/>
      <c r="C627" s="145"/>
      <c r="P627" s="68"/>
      <c r="S627" s="68"/>
    </row>
    <row r="628" spans="1:19" s="114" customFormat="1">
      <c r="A628" s="145"/>
      <c r="B628" s="145"/>
      <c r="C628" s="145"/>
      <c r="P628" s="68"/>
      <c r="S628" s="68"/>
    </row>
    <row r="629" spans="1:19" s="114" customFormat="1">
      <c r="A629" s="145"/>
      <c r="B629" s="145"/>
      <c r="C629" s="145"/>
      <c r="P629" s="68"/>
      <c r="S629" s="68"/>
    </row>
    <row r="630" spans="1:19" s="114" customFormat="1">
      <c r="A630" s="145"/>
      <c r="B630" s="145"/>
      <c r="C630" s="145"/>
      <c r="P630" s="68"/>
      <c r="S630" s="68"/>
    </row>
    <row r="631" spans="1:19" s="114" customFormat="1">
      <c r="A631" s="145"/>
      <c r="B631" s="145"/>
      <c r="C631" s="145"/>
      <c r="P631" s="68"/>
      <c r="S631" s="68"/>
    </row>
    <row r="632" spans="1:19" s="114" customFormat="1">
      <c r="A632" s="145"/>
      <c r="B632" s="145"/>
      <c r="C632" s="145"/>
      <c r="P632" s="68"/>
      <c r="S632" s="68"/>
    </row>
    <row r="633" spans="1:19" s="114" customFormat="1">
      <c r="A633" s="145"/>
      <c r="B633" s="145"/>
      <c r="C633" s="145"/>
      <c r="P633" s="68"/>
      <c r="S633" s="68"/>
    </row>
    <row r="634" spans="1:19" s="114" customFormat="1">
      <c r="A634" s="145"/>
      <c r="B634" s="145"/>
      <c r="C634" s="145"/>
      <c r="P634" s="68"/>
      <c r="S634" s="68"/>
    </row>
    <row r="635" spans="1:19" s="114" customFormat="1">
      <c r="A635" s="145"/>
      <c r="B635" s="145"/>
      <c r="C635" s="145"/>
      <c r="P635" s="68"/>
      <c r="S635" s="68"/>
    </row>
    <row r="636" spans="1:19" s="114" customFormat="1">
      <c r="A636" s="145"/>
      <c r="B636" s="145"/>
      <c r="C636" s="145"/>
      <c r="P636" s="68"/>
      <c r="S636" s="68"/>
    </row>
    <row r="637" spans="1:19" s="114" customFormat="1">
      <c r="A637" s="145"/>
      <c r="B637" s="145"/>
      <c r="C637" s="145"/>
      <c r="P637" s="68"/>
      <c r="S637" s="68"/>
    </row>
    <row r="638" spans="1:19" s="114" customFormat="1">
      <c r="A638" s="145"/>
      <c r="B638" s="145"/>
      <c r="C638" s="145"/>
      <c r="P638" s="68"/>
      <c r="S638" s="68"/>
    </row>
    <row r="639" spans="1:19" s="114" customFormat="1">
      <c r="A639" s="145"/>
      <c r="B639" s="145"/>
      <c r="C639" s="145"/>
      <c r="P639" s="68"/>
      <c r="S639" s="68"/>
    </row>
    <row r="640" spans="1:19" s="114" customFormat="1">
      <c r="A640" s="145"/>
      <c r="B640" s="145"/>
      <c r="C640" s="145"/>
      <c r="P640" s="68"/>
      <c r="S640" s="68"/>
    </row>
    <row r="641" spans="1:19" s="114" customFormat="1">
      <c r="A641" s="145"/>
      <c r="B641" s="145"/>
      <c r="C641" s="145"/>
      <c r="P641" s="68"/>
      <c r="S641" s="68"/>
    </row>
    <row r="642" spans="1:19" s="114" customFormat="1">
      <c r="A642" s="145"/>
      <c r="B642" s="145"/>
      <c r="C642" s="145"/>
      <c r="P642" s="68"/>
      <c r="S642" s="68"/>
    </row>
    <row r="643" spans="1:19" s="114" customFormat="1">
      <c r="A643" s="145"/>
      <c r="B643" s="145"/>
      <c r="C643" s="145"/>
      <c r="P643" s="68"/>
      <c r="S643" s="68"/>
    </row>
    <row r="644" spans="1:19" s="114" customFormat="1">
      <c r="A644" s="145"/>
      <c r="B644" s="145"/>
      <c r="C644" s="145"/>
      <c r="P644" s="68"/>
      <c r="S644" s="68"/>
    </row>
    <row r="645" spans="1:19" s="114" customFormat="1">
      <c r="A645" s="145"/>
      <c r="B645" s="145"/>
      <c r="C645" s="145"/>
      <c r="P645" s="68"/>
      <c r="S645" s="68"/>
    </row>
    <row r="646" spans="1:19" s="114" customFormat="1">
      <c r="A646" s="145"/>
      <c r="B646" s="145"/>
      <c r="C646" s="145"/>
      <c r="P646" s="68"/>
      <c r="S646" s="68"/>
    </row>
    <row r="647" spans="1:19" s="114" customFormat="1">
      <c r="A647" s="145"/>
      <c r="B647" s="145"/>
      <c r="C647" s="145"/>
      <c r="P647" s="68"/>
      <c r="S647" s="68"/>
    </row>
    <row r="648" spans="1:19" s="114" customFormat="1">
      <c r="A648" s="145"/>
      <c r="B648" s="145"/>
      <c r="C648" s="145"/>
      <c r="P648" s="68"/>
      <c r="S648" s="68"/>
    </row>
    <row r="649" spans="1:19" s="114" customFormat="1">
      <c r="A649" s="145"/>
      <c r="B649" s="145"/>
      <c r="C649" s="145"/>
      <c r="P649" s="68"/>
      <c r="S649" s="68"/>
    </row>
    <row r="650" spans="1:19" s="114" customFormat="1">
      <c r="A650" s="145"/>
      <c r="B650" s="145"/>
      <c r="C650" s="145"/>
      <c r="P650" s="68"/>
      <c r="S650" s="68"/>
    </row>
    <row r="651" spans="1:19" s="114" customFormat="1">
      <c r="A651" s="145"/>
      <c r="B651" s="145"/>
      <c r="C651" s="145"/>
      <c r="P651" s="68"/>
      <c r="S651" s="68"/>
    </row>
    <row r="652" spans="1:19" s="114" customFormat="1">
      <c r="A652" s="145"/>
      <c r="B652" s="145"/>
      <c r="C652" s="145"/>
      <c r="P652" s="68"/>
      <c r="S652" s="68"/>
    </row>
    <row r="653" spans="1:19" s="114" customFormat="1">
      <c r="A653" s="145"/>
      <c r="B653" s="145"/>
      <c r="C653" s="145"/>
      <c r="P653" s="68"/>
      <c r="S653" s="68"/>
    </row>
    <row r="654" spans="1:19" s="114" customFormat="1">
      <c r="A654" s="145"/>
      <c r="B654" s="145"/>
      <c r="C654" s="145"/>
      <c r="P654" s="68"/>
      <c r="S654" s="68"/>
    </row>
    <row r="655" spans="1:19" s="114" customFormat="1">
      <c r="A655" s="145"/>
      <c r="B655" s="145"/>
      <c r="C655" s="145"/>
      <c r="P655" s="68"/>
      <c r="S655" s="68"/>
    </row>
    <row r="656" spans="1:19" s="114" customFormat="1">
      <c r="A656" s="145"/>
      <c r="B656" s="145"/>
      <c r="C656" s="145"/>
      <c r="P656" s="68"/>
      <c r="S656" s="68"/>
    </row>
    <row r="657" spans="1:19" s="114" customFormat="1">
      <c r="A657" s="145"/>
      <c r="B657" s="145"/>
      <c r="C657" s="145"/>
      <c r="P657" s="68"/>
      <c r="S657" s="68"/>
    </row>
    <row r="658" spans="1:19" s="114" customFormat="1">
      <c r="A658" s="145"/>
      <c r="B658" s="145"/>
      <c r="C658" s="145"/>
      <c r="P658" s="68"/>
      <c r="S658" s="68"/>
    </row>
    <row r="659" spans="1:19" s="114" customFormat="1">
      <c r="A659" s="145"/>
      <c r="B659" s="145"/>
      <c r="C659" s="145"/>
      <c r="P659" s="68"/>
      <c r="S659" s="68"/>
    </row>
    <row r="660" spans="1:19" s="114" customFormat="1">
      <c r="A660" s="145"/>
      <c r="B660" s="145"/>
      <c r="C660" s="145"/>
      <c r="P660" s="68"/>
      <c r="S660" s="68"/>
    </row>
    <row r="661" spans="1:19" s="114" customFormat="1">
      <c r="A661" s="145"/>
      <c r="B661" s="145"/>
      <c r="C661" s="145"/>
      <c r="P661" s="68"/>
      <c r="S661" s="68"/>
    </row>
    <row r="662" spans="1:19" s="114" customFormat="1">
      <c r="A662" s="145"/>
      <c r="B662" s="145"/>
      <c r="C662" s="145"/>
      <c r="P662" s="68"/>
      <c r="S662" s="68"/>
    </row>
    <row r="663" spans="1:19" s="114" customFormat="1">
      <c r="A663" s="145"/>
      <c r="B663" s="145"/>
      <c r="C663" s="145"/>
      <c r="P663" s="68"/>
      <c r="S663" s="68"/>
    </row>
    <row r="664" spans="1:19" s="114" customFormat="1">
      <c r="A664" s="145"/>
      <c r="B664" s="145"/>
      <c r="C664" s="145"/>
      <c r="P664" s="68"/>
      <c r="S664" s="68"/>
    </row>
    <row r="665" spans="1:19" s="114" customFormat="1">
      <c r="A665" s="145"/>
      <c r="B665" s="145"/>
      <c r="C665" s="145"/>
      <c r="P665" s="68"/>
      <c r="S665" s="68"/>
    </row>
    <row r="666" spans="1:19" s="114" customFormat="1">
      <c r="A666" s="145"/>
      <c r="B666" s="145"/>
      <c r="C666" s="145"/>
      <c r="P666" s="68"/>
      <c r="S666" s="68"/>
    </row>
    <row r="667" spans="1:19" s="114" customFormat="1">
      <c r="A667" s="145"/>
      <c r="B667" s="145"/>
      <c r="C667" s="145"/>
      <c r="P667" s="68"/>
      <c r="S667" s="68"/>
    </row>
    <row r="668" spans="1:19" s="114" customFormat="1">
      <c r="A668" s="145"/>
      <c r="B668" s="145"/>
      <c r="C668" s="145"/>
      <c r="P668" s="68"/>
      <c r="S668" s="68"/>
    </row>
    <row r="669" spans="1:19" s="114" customFormat="1">
      <c r="A669" s="145"/>
      <c r="B669" s="145"/>
      <c r="C669" s="145"/>
      <c r="P669" s="68"/>
      <c r="S669" s="68"/>
    </row>
    <row r="670" spans="1:19" s="114" customFormat="1">
      <c r="A670" s="145"/>
      <c r="B670" s="145"/>
      <c r="C670" s="145"/>
      <c r="P670" s="68"/>
      <c r="S670" s="68"/>
    </row>
    <row r="671" spans="1:19" s="114" customFormat="1">
      <c r="A671" s="145"/>
      <c r="B671" s="145"/>
      <c r="C671" s="145"/>
      <c r="P671" s="68"/>
      <c r="S671" s="68"/>
    </row>
    <row r="672" spans="1:19" s="114" customFormat="1">
      <c r="A672" s="145"/>
      <c r="B672" s="145"/>
      <c r="C672" s="145"/>
      <c r="P672" s="68"/>
      <c r="S672" s="68"/>
    </row>
    <row r="673" spans="1:19" s="114" customFormat="1">
      <c r="A673" s="145"/>
      <c r="B673" s="145"/>
      <c r="C673" s="145"/>
      <c r="P673" s="68"/>
      <c r="S673" s="68"/>
    </row>
    <row r="674" spans="1:19" s="114" customFormat="1">
      <c r="A674" s="145"/>
      <c r="B674" s="145"/>
      <c r="C674" s="145"/>
      <c r="P674" s="68"/>
      <c r="S674" s="68"/>
    </row>
    <row r="675" spans="1:19" s="114" customFormat="1">
      <c r="A675" s="145"/>
      <c r="B675" s="145"/>
      <c r="C675" s="145"/>
      <c r="P675" s="68"/>
      <c r="S675" s="68"/>
    </row>
    <row r="676" spans="1:19" s="114" customFormat="1">
      <c r="A676" s="145"/>
      <c r="B676" s="145"/>
      <c r="C676" s="145"/>
      <c r="P676" s="68"/>
      <c r="S676" s="68"/>
    </row>
    <row r="677" spans="1:19" s="114" customFormat="1">
      <c r="A677" s="145"/>
      <c r="B677" s="145"/>
      <c r="C677" s="145"/>
      <c r="P677" s="68"/>
      <c r="S677" s="68"/>
    </row>
    <row r="678" spans="1:19" s="114" customFormat="1">
      <c r="A678" s="145"/>
      <c r="B678" s="145"/>
      <c r="C678" s="145"/>
      <c r="P678" s="68"/>
      <c r="S678" s="68"/>
    </row>
    <row r="679" spans="1:19" s="114" customFormat="1">
      <c r="A679" s="145"/>
      <c r="B679" s="145"/>
      <c r="C679" s="145"/>
      <c r="P679" s="68"/>
      <c r="S679" s="68"/>
    </row>
    <row r="680" spans="1:19" s="114" customFormat="1">
      <c r="A680" s="145"/>
      <c r="B680" s="145"/>
      <c r="C680" s="145"/>
      <c r="P680" s="68"/>
      <c r="S680" s="68"/>
    </row>
    <row r="681" spans="1:19" s="114" customFormat="1">
      <c r="A681" s="145"/>
      <c r="B681" s="145"/>
      <c r="C681" s="145"/>
      <c r="P681" s="68"/>
      <c r="S681" s="68"/>
    </row>
    <row r="682" spans="1:19" s="114" customFormat="1">
      <c r="A682" s="145"/>
      <c r="B682" s="145"/>
      <c r="C682" s="145"/>
      <c r="P682" s="68"/>
      <c r="S682" s="68"/>
    </row>
    <row r="683" spans="1:19" s="114" customFormat="1">
      <c r="A683" s="145"/>
      <c r="B683" s="145"/>
      <c r="C683" s="145"/>
      <c r="P683" s="68"/>
      <c r="S683" s="68"/>
    </row>
    <row r="684" spans="1:19" s="114" customFormat="1">
      <c r="A684" s="145"/>
      <c r="B684" s="145"/>
      <c r="C684" s="145"/>
      <c r="P684" s="68"/>
      <c r="S684" s="68"/>
    </row>
    <row r="685" spans="1:19" s="114" customFormat="1">
      <c r="A685" s="145"/>
      <c r="B685" s="145"/>
      <c r="C685" s="145"/>
      <c r="P685" s="68"/>
      <c r="S685" s="68"/>
    </row>
    <row r="686" spans="1:19" s="114" customFormat="1">
      <c r="A686" s="145"/>
      <c r="B686" s="145"/>
      <c r="C686" s="145"/>
      <c r="P686" s="68"/>
      <c r="S686" s="68"/>
    </row>
    <row r="687" spans="1:19" s="114" customFormat="1">
      <c r="A687" s="145"/>
      <c r="B687" s="145"/>
      <c r="C687" s="145"/>
      <c r="P687" s="68"/>
      <c r="S687" s="68"/>
    </row>
    <row r="688" spans="1:19" s="114" customFormat="1">
      <c r="A688" s="145"/>
      <c r="B688" s="145"/>
      <c r="C688" s="145"/>
      <c r="P688" s="68"/>
      <c r="S688" s="68"/>
    </row>
    <row r="689" spans="1:19" s="114" customFormat="1">
      <c r="A689" s="145"/>
      <c r="B689" s="145"/>
      <c r="C689" s="145"/>
      <c r="P689" s="68"/>
      <c r="S689" s="68"/>
    </row>
    <row r="690" spans="1:19" s="114" customFormat="1">
      <c r="A690" s="145"/>
      <c r="B690" s="145"/>
      <c r="C690" s="145"/>
      <c r="P690" s="68"/>
      <c r="S690" s="68"/>
    </row>
    <row r="691" spans="1:19" s="114" customFormat="1">
      <c r="A691" s="145"/>
      <c r="B691" s="145"/>
      <c r="C691" s="145"/>
      <c r="P691" s="68"/>
      <c r="S691" s="68"/>
    </row>
    <row r="692" spans="1:19" s="114" customFormat="1">
      <c r="A692" s="145"/>
      <c r="B692" s="145"/>
      <c r="C692" s="145"/>
      <c r="P692" s="68"/>
      <c r="S692" s="68"/>
    </row>
    <row r="693" spans="1:19" s="114" customFormat="1">
      <c r="A693" s="145"/>
      <c r="B693" s="145"/>
      <c r="C693" s="145"/>
      <c r="P693" s="68"/>
      <c r="S693" s="68"/>
    </row>
    <row r="694" spans="1:19" s="114" customFormat="1">
      <c r="A694" s="145"/>
      <c r="B694" s="145"/>
      <c r="C694" s="145"/>
      <c r="P694" s="68"/>
      <c r="S694" s="68"/>
    </row>
    <row r="695" spans="1:19" s="114" customFormat="1">
      <c r="A695" s="145"/>
      <c r="B695" s="145"/>
      <c r="C695" s="145"/>
      <c r="P695" s="68"/>
      <c r="S695" s="68"/>
    </row>
    <row r="696" spans="1:19" s="114" customFormat="1">
      <c r="A696" s="145"/>
      <c r="B696" s="145"/>
      <c r="C696" s="145"/>
      <c r="P696" s="68"/>
      <c r="S696" s="68"/>
    </row>
    <row r="697" spans="1:19" s="114" customFormat="1">
      <c r="A697" s="145"/>
      <c r="B697" s="145"/>
      <c r="C697" s="145"/>
      <c r="P697" s="68"/>
      <c r="S697" s="68"/>
    </row>
    <row r="698" spans="1:19" s="114" customFormat="1">
      <c r="A698" s="145"/>
      <c r="B698" s="145"/>
      <c r="C698" s="145"/>
      <c r="P698" s="68"/>
      <c r="S698" s="68"/>
    </row>
    <row r="699" spans="1:19" s="114" customFormat="1">
      <c r="A699" s="145"/>
      <c r="B699" s="145"/>
      <c r="C699" s="145"/>
      <c r="P699" s="68"/>
      <c r="S699" s="68"/>
    </row>
    <row r="700" spans="1:19" s="114" customFormat="1">
      <c r="A700" s="145"/>
      <c r="B700" s="145"/>
      <c r="C700" s="145"/>
      <c r="P700" s="68"/>
      <c r="S700" s="68"/>
    </row>
    <row r="701" spans="1:19" s="114" customFormat="1">
      <c r="A701" s="145"/>
      <c r="B701" s="145"/>
      <c r="C701" s="145"/>
      <c r="P701" s="68"/>
      <c r="S701" s="68"/>
    </row>
    <row r="702" spans="1:19" s="114" customFormat="1">
      <c r="A702" s="145"/>
      <c r="B702" s="145"/>
      <c r="C702" s="145"/>
      <c r="P702" s="68"/>
      <c r="S702" s="68"/>
    </row>
    <row r="703" spans="1:19" s="114" customFormat="1">
      <c r="A703" s="145"/>
      <c r="B703" s="145"/>
      <c r="C703" s="145"/>
      <c r="P703" s="68"/>
      <c r="S703" s="68"/>
    </row>
    <row r="704" spans="1:19" s="114" customFormat="1">
      <c r="A704" s="145"/>
      <c r="B704" s="145"/>
      <c r="C704" s="145"/>
      <c r="P704" s="68"/>
      <c r="S704" s="68"/>
    </row>
    <row r="705" spans="1:19" s="114" customFormat="1">
      <c r="A705" s="145"/>
      <c r="B705" s="145"/>
      <c r="C705" s="145"/>
      <c r="P705" s="68"/>
      <c r="S705" s="68"/>
    </row>
    <row r="706" spans="1:19" s="114" customFormat="1">
      <c r="A706" s="145"/>
      <c r="B706" s="145"/>
      <c r="C706" s="145"/>
      <c r="P706" s="68"/>
      <c r="S706" s="68"/>
    </row>
    <row r="707" spans="1:19" s="114" customFormat="1">
      <c r="A707" s="145"/>
      <c r="B707" s="145"/>
      <c r="C707" s="145"/>
      <c r="P707" s="68"/>
      <c r="S707" s="68"/>
    </row>
    <row r="708" spans="1:19" s="114" customFormat="1">
      <c r="A708" s="145"/>
      <c r="B708" s="145"/>
      <c r="C708" s="145"/>
      <c r="P708" s="68"/>
      <c r="S708" s="68"/>
    </row>
    <row r="709" spans="1:19" s="114" customFormat="1">
      <c r="A709" s="145"/>
      <c r="B709" s="145"/>
      <c r="C709" s="145"/>
      <c r="P709" s="68"/>
      <c r="S709" s="68"/>
    </row>
    <row r="710" spans="1:19" s="114" customFormat="1">
      <c r="A710" s="145"/>
      <c r="B710" s="145"/>
      <c r="C710" s="145"/>
      <c r="P710" s="68"/>
      <c r="S710" s="68"/>
    </row>
    <row r="711" spans="1:19" s="114" customFormat="1">
      <c r="A711" s="145"/>
      <c r="B711" s="145"/>
      <c r="C711" s="145"/>
      <c r="P711" s="68"/>
      <c r="S711" s="68"/>
    </row>
    <row r="712" spans="1:19" s="114" customFormat="1">
      <c r="A712" s="145"/>
      <c r="B712" s="145"/>
      <c r="C712" s="145"/>
      <c r="P712" s="68"/>
      <c r="S712" s="68"/>
    </row>
    <row r="713" spans="1:19" s="114" customFormat="1">
      <c r="A713" s="145"/>
      <c r="B713" s="145"/>
      <c r="C713" s="145"/>
      <c r="P713" s="68"/>
      <c r="S713" s="68"/>
    </row>
    <row r="714" spans="1:19" s="114" customFormat="1">
      <c r="A714" s="145"/>
      <c r="B714" s="145"/>
      <c r="C714" s="145"/>
      <c r="P714" s="68"/>
      <c r="S714" s="68"/>
    </row>
    <row r="715" spans="1:19" s="114" customFormat="1">
      <c r="A715" s="145"/>
      <c r="B715" s="145"/>
      <c r="C715" s="145"/>
      <c r="P715" s="68"/>
      <c r="S715" s="68"/>
    </row>
    <row r="716" spans="1:19" s="114" customFormat="1">
      <c r="A716" s="145"/>
      <c r="B716" s="145"/>
      <c r="C716" s="145"/>
      <c r="P716" s="68"/>
      <c r="S716" s="68"/>
    </row>
    <row r="717" spans="1:19" s="114" customFormat="1">
      <c r="A717" s="145"/>
      <c r="B717" s="145"/>
      <c r="C717" s="145"/>
      <c r="P717" s="68"/>
      <c r="S717" s="68"/>
    </row>
    <row r="718" spans="1:19" s="114" customFormat="1">
      <c r="A718" s="145"/>
      <c r="B718" s="145"/>
      <c r="C718" s="145"/>
      <c r="P718" s="68"/>
      <c r="S718" s="68"/>
    </row>
    <row r="719" spans="1:19" s="114" customFormat="1">
      <c r="A719" s="145"/>
      <c r="B719" s="145"/>
      <c r="C719" s="145"/>
      <c r="P719" s="68"/>
      <c r="S719" s="68"/>
    </row>
    <row r="720" spans="1:19" s="114" customFormat="1">
      <c r="A720" s="145"/>
      <c r="B720" s="145"/>
      <c r="C720" s="145"/>
      <c r="P720" s="68"/>
      <c r="S720" s="68"/>
    </row>
    <row r="721" spans="1:19" s="114" customFormat="1">
      <c r="A721" s="145"/>
      <c r="B721" s="145"/>
      <c r="C721" s="145"/>
      <c r="P721" s="68"/>
      <c r="S721" s="68"/>
    </row>
    <row r="722" spans="1:19" s="114" customFormat="1">
      <c r="A722" s="145"/>
      <c r="B722" s="145"/>
      <c r="C722" s="145"/>
      <c r="P722" s="68"/>
      <c r="S722" s="68"/>
    </row>
    <row r="723" spans="1:19" s="114" customFormat="1">
      <c r="A723" s="145"/>
      <c r="B723" s="145"/>
      <c r="C723" s="145"/>
      <c r="P723" s="68"/>
      <c r="S723" s="68"/>
    </row>
    <row r="724" spans="1:19" s="114" customFormat="1">
      <c r="A724" s="145"/>
      <c r="B724" s="145"/>
      <c r="C724" s="145"/>
      <c r="P724" s="68"/>
      <c r="S724" s="68"/>
    </row>
    <row r="725" spans="1:19" s="114" customFormat="1">
      <c r="A725" s="145"/>
      <c r="B725" s="145"/>
      <c r="C725" s="145"/>
      <c r="P725" s="68"/>
      <c r="S725" s="68"/>
    </row>
    <row r="726" spans="1:19" s="114" customFormat="1">
      <c r="A726" s="145"/>
      <c r="B726" s="145"/>
      <c r="C726" s="145"/>
      <c r="P726" s="68"/>
      <c r="S726" s="68"/>
    </row>
    <row r="727" spans="1:19" s="114" customFormat="1">
      <c r="A727" s="145"/>
      <c r="B727" s="145"/>
      <c r="C727" s="145"/>
      <c r="P727" s="68"/>
      <c r="S727" s="68"/>
    </row>
    <row r="728" spans="1:19" s="114" customFormat="1">
      <c r="A728" s="145"/>
      <c r="B728" s="145"/>
      <c r="C728" s="145"/>
      <c r="P728" s="68"/>
      <c r="S728" s="68"/>
    </row>
    <row r="729" spans="1:19" s="114" customFormat="1">
      <c r="A729" s="145"/>
      <c r="B729" s="145"/>
      <c r="C729" s="145"/>
      <c r="P729" s="68"/>
      <c r="S729" s="68"/>
    </row>
    <row r="730" spans="1:19" s="114" customFormat="1">
      <c r="A730" s="145"/>
      <c r="B730" s="145"/>
      <c r="C730" s="145"/>
      <c r="P730" s="68"/>
      <c r="S730" s="68"/>
    </row>
    <row r="731" spans="1:19" s="114" customFormat="1">
      <c r="A731" s="145"/>
      <c r="B731" s="145"/>
      <c r="C731" s="145"/>
      <c r="P731" s="68"/>
      <c r="S731" s="68"/>
    </row>
    <row r="732" spans="1:19" s="114" customFormat="1">
      <c r="A732" s="145"/>
      <c r="B732" s="145"/>
      <c r="C732" s="145"/>
      <c r="P732" s="68"/>
      <c r="S732" s="68"/>
    </row>
    <row r="733" spans="1:19" s="114" customFormat="1">
      <c r="A733" s="145"/>
      <c r="B733" s="145"/>
      <c r="C733" s="145"/>
      <c r="P733" s="68"/>
      <c r="S733" s="68"/>
    </row>
    <row r="734" spans="1:19" s="114" customFormat="1">
      <c r="A734" s="145"/>
      <c r="B734" s="145"/>
      <c r="C734" s="145"/>
      <c r="P734" s="68"/>
      <c r="S734" s="68"/>
    </row>
    <row r="735" spans="1:19" s="114" customFormat="1">
      <c r="A735" s="145"/>
      <c r="B735" s="145"/>
      <c r="C735" s="145"/>
      <c r="P735" s="68"/>
      <c r="S735" s="68"/>
    </row>
    <row r="736" spans="1:19" s="114" customFormat="1">
      <c r="A736" s="145"/>
      <c r="B736" s="145"/>
      <c r="C736" s="145"/>
      <c r="P736" s="68"/>
      <c r="S736" s="68"/>
    </row>
    <row r="737" spans="1:19" s="114" customFormat="1">
      <c r="A737" s="145"/>
      <c r="B737" s="145"/>
      <c r="C737" s="145"/>
      <c r="P737" s="68"/>
      <c r="S737" s="68"/>
    </row>
    <row r="738" spans="1:19" s="114" customFormat="1">
      <c r="A738" s="145"/>
      <c r="B738" s="145"/>
      <c r="C738" s="145"/>
      <c r="P738" s="68"/>
      <c r="S738" s="68"/>
    </row>
    <row r="739" spans="1:19" s="114" customFormat="1">
      <c r="A739" s="145"/>
      <c r="B739" s="145"/>
      <c r="C739" s="145"/>
      <c r="P739" s="68"/>
      <c r="S739" s="68"/>
    </row>
    <row r="740" spans="1:19" s="114" customFormat="1">
      <c r="A740" s="145"/>
      <c r="B740" s="145"/>
      <c r="C740" s="145"/>
      <c r="P740" s="68"/>
      <c r="S740" s="68"/>
    </row>
    <row r="741" spans="1:19" s="114" customFormat="1">
      <c r="A741" s="145"/>
      <c r="B741" s="145"/>
      <c r="C741" s="145"/>
      <c r="P741" s="68"/>
      <c r="S741" s="68"/>
    </row>
    <row r="742" spans="1:19" s="114" customFormat="1">
      <c r="A742" s="145"/>
      <c r="B742" s="145"/>
      <c r="C742" s="145"/>
      <c r="P742" s="68"/>
      <c r="S742" s="68"/>
    </row>
    <row r="743" spans="1:19" s="114" customFormat="1">
      <c r="A743" s="145"/>
      <c r="B743" s="145"/>
      <c r="C743" s="145"/>
      <c r="P743" s="68"/>
      <c r="S743" s="68"/>
    </row>
    <row r="744" spans="1:19" s="114" customFormat="1">
      <c r="A744" s="145"/>
      <c r="B744" s="145"/>
      <c r="C744" s="145"/>
      <c r="P744" s="68"/>
      <c r="S744" s="68"/>
    </row>
    <row r="745" spans="1:19" s="114" customFormat="1">
      <c r="A745" s="145"/>
      <c r="B745" s="145"/>
      <c r="C745" s="145"/>
      <c r="P745" s="68"/>
      <c r="S745" s="68"/>
    </row>
    <row r="746" spans="1:19" s="114" customFormat="1">
      <c r="A746" s="145"/>
      <c r="B746" s="145"/>
      <c r="C746" s="145"/>
      <c r="P746" s="68"/>
      <c r="S746" s="68"/>
    </row>
    <row r="747" spans="1:19" s="114" customFormat="1">
      <c r="A747" s="145"/>
      <c r="B747" s="145"/>
      <c r="C747" s="145"/>
      <c r="P747" s="68"/>
      <c r="S747" s="68"/>
    </row>
    <row r="748" spans="1:19" s="114" customFormat="1">
      <c r="A748" s="145"/>
      <c r="B748" s="145"/>
      <c r="C748" s="145"/>
      <c r="P748" s="68"/>
      <c r="S748" s="68"/>
    </row>
    <row r="749" spans="1:19" s="114" customFormat="1">
      <c r="A749" s="145"/>
      <c r="B749" s="145"/>
      <c r="C749" s="145"/>
      <c r="P749" s="68"/>
      <c r="S749" s="68"/>
    </row>
    <row r="750" spans="1:19" s="114" customFormat="1">
      <c r="A750" s="145"/>
      <c r="B750" s="145"/>
      <c r="C750" s="145"/>
      <c r="P750" s="68"/>
      <c r="S750" s="68"/>
    </row>
    <row r="751" spans="1:19" s="114" customFormat="1">
      <c r="A751" s="145"/>
      <c r="B751" s="145"/>
      <c r="C751" s="145"/>
      <c r="P751" s="68"/>
      <c r="S751" s="68"/>
    </row>
    <row r="752" spans="1:19" s="114" customFormat="1">
      <c r="A752" s="145"/>
      <c r="B752" s="145"/>
      <c r="C752" s="145"/>
      <c r="P752" s="68"/>
      <c r="S752" s="68"/>
    </row>
    <row r="753" spans="1:19" s="114" customFormat="1">
      <c r="A753" s="145"/>
      <c r="B753" s="145"/>
      <c r="C753" s="145"/>
      <c r="P753" s="68"/>
      <c r="S753" s="68"/>
    </row>
    <row r="754" spans="1:19" s="114" customFormat="1">
      <c r="A754" s="145"/>
      <c r="B754" s="145"/>
      <c r="C754" s="145"/>
      <c r="P754" s="68"/>
      <c r="S754" s="68"/>
    </row>
    <row r="755" spans="1:19" s="114" customFormat="1">
      <c r="A755" s="145"/>
      <c r="B755" s="145"/>
      <c r="C755" s="145"/>
      <c r="P755" s="68"/>
      <c r="S755" s="68"/>
    </row>
    <row r="756" spans="1:19" s="114" customFormat="1">
      <c r="A756" s="145"/>
      <c r="B756" s="145"/>
      <c r="C756" s="145"/>
      <c r="P756" s="68"/>
      <c r="S756" s="68"/>
    </row>
    <row r="757" spans="1:19" s="114" customFormat="1">
      <c r="A757" s="145"/>
      <c r="B757" s="145"/>
      <c r="C757" s="145"/>
      <c r="P757" s="68"/>
      <c r="S757" s="68"/>
    </row>
    <row r="758" spans="1:19" s="114" customFormat="1">
      <c r="A758" s="145"/>
      <c r="B758" s="145"/>
      <c r="C758" s="145"/>
      <c r="P758" s="68"/>
      <c r="S758" s="68"/>
    </row>
    <row r="759" spans="1:19" s="114" customFormat="1">
      <c r="A759" s="145"/>
      <c r="B759" s="145"/>
      <c r="C759" s="145"/>
      <c r="P759" s="68"/>
      <c r="S759" s="68"/>
    </row>
    <row r="760" spans="1:19" s="114" customFormat="1">
      <c r="A760" s="145"/>
      <c r="B760" s="145"/>
      <c r="C760" s="145"/>
      <c r="P760" s="68"/>
      <c r="S760" s="68"/>
    </row>
    <row r="761" spans="1:19" s="114" customFormat="1">
      <c r="A761" s="145"/>
      <c r="B761" s="145"/>
      <c r="C761" s="145"/>
      <c r="P761" s="68"/>
      <c r="S761" s="68"/>
    </row>
    <row r="762" spans="1:19" s="114" customFormat="1">
      <c r="A762" s="145"/>
      <c r="B762" s="145"/>
      <c r="C762" s="145"/>
      <c r="P762" s="68"/>
      <c r="S762" s="68"/>
    </row>
    <row r="763" spans="1:19" s="114" customFormat="1">
      <c r="A763" s="145"/>
      <c r="B763" s="145"/>
      <c r="C763" s="145"/>
      <c r="P763" s="68"/>
      <c r="S763" s="68"/>
    </row>
    <row r="764" spans="1:19" s="114" customFormat="1">
      <c r="A764" s="145"/>
      <c r="B764" s="145"/>
      <c r="C764" s="145"/>
      <c r="P764" s="68"/>
      <c r="S764" s="68"/>
    </row>
    <row r="765" spans="1:19" s="114" customFormat="1">
      <c r="A765" s="145"/>
      <c r="B765" s="145"/>
      <c r="C765" s="145"/>
      <c r="P765" s="68"/>
      <c r="S765" s="68"/>
    </row>
    <row r="766" spans="1:19" s="114" customFormat="1">
      <c r="A766" s="145"/>
      <c r="B766" s="145"/>
      <c r="C766" s="145"/>
      <c r="P766" s="68"/>
      <c r="S766" s="68"/>
    </row>
    <row r="767" spans="1:19" s="114" customFormat="1">
      <c r="A767" s="145"/>
      <c r="B767" s="145"/>
      <c r="C767" s="145"/>
      <c r="P767" s="68"/>
      <c r="S767" s="68"/>
    </row>
    <row r="768" spans="1:19" s="114" customFormat="1">
      <c r="A768" s="145"/>
      <c r="B768" s="145"/>
      <c r="C768" s="145"/>
      <c r="P768" s="68"/>
      <c r="S768" s="68"/>
    </row>
    <row r="769" spans="1:19" s="114" customFormat="1">
      <c r="A769" s="145"/>
      <c r="B769" s="145"/>
      <c r="C769" s="145"/>
      <c r="P769" s="68"/>
      <c r="S769" s="68"/>
    </row>
    <row r="770" spans="1:19" s="114" customFormat="1">
      <c r="A770" s="145"/>
      <c r="B770" s="145"/>
      <c r="C770" s="145"/>
      <c r="P770" s="68"/>
      <c r="S770" s="68"/>
    </row>
    <row r="771" spans="1:19" s="114" customFormat="1">
      <c r="A771" s="145"/>
      <c r="B771" s="145"/>
      <c r="C771" s="145"/>
      <c r="P771" s="68"/>
      <c r="S771" s="68"/>
    </row>
    <row r="772" spans="1:19" s="114" customFormat="1">
      <c r="A772" s="145"/>
      <c r="B772" s="145"/>
      <c r="C772" s="145"/>
      <c r="P772" s="68"/>
      <c r="S772" s="68"/>
    </row>
    <row r="773" spans="1:19" s="114" customFormat="1">
      <c r="A773" s="145"/>
      <c r="B773" s="145"/>
      <c r="C773" s="145"/>
      <c r="P773" s="68"/>
      <c r="S773" s="68"/>
    </row>
    <row r="774" spans="1:19" s="114" customFormat="1">
      <c r="A774" s="145"/>
      <c r="B774" s="145"/>
      <c r="C774" s="145"/>
      <c r="P774" s="68"/>
      <c r="S774" s="68"/>
    </row>
    <row r="775" spans="1:19" s="114" customFormat="1">
      <c r="A775" s="145"/>
      <c r="B775" s="145"/>
      <c r="C775" s="145"/>
      <c r="P775" s="68"/>
      <c r="S775" s="68"/>
    </row>
    <row r="776" spans="1:19" s="114" customFormat="1">
      <c r="A776" s="145"/>
      <c r="B776" s="145"/>
      <c r="C776" s="145"/>
      <c r="P776" s="68"/>
      <c r="S776" s="68"/>
    </row>
    <row r="777" spans="1:19" s="114" customFormat="1">
      <c r="A777" s="145"/>
      <c r="B777" s="145"/>
      <c r="C777" s="145"/>
      <c r="P777" s="68"/>
      <c r="S777" s="68"/>
    </row>
    <row r="778" spans="1:19" s="114" customFormat="1">
      <c r="A778" s="145"/>
      <c r="B778" s="145"/>
      <c r="C778" s="145"/>
      <c r="P778" s="68"/>
      <c r="S778" s="68"/>
    </row>
    <row r="779" spans="1:19" s="114" customFormat="1">
      <c r="A779" s="145"/>
      <c r="B779" s="145"/>
      <c r="C779" s="145"/>
      <c r="P779" s="68"/>
      <c r="S779" s="68"/>
    </row>
    <row r="780" spans="1:19" s="114" customFormat="1">
      <c r="A780" s="145"/>
      <c r="B780" s="145"/>
      <c r="C780" s="145"/>
      <c r="P780" s="68"/>
      <c r="S780" s="68"/>
    </row>
    <row r="781" spans="1:19" s="114" customFormat="1">
      <c r="A781" s="145"/>
      <c r="B781" s="145"/>
      <c r="C781" s="145"/>
      <c r="P781" s="68"/>
      <c r="S781" s="68"/>
    </row>
    <row r="782" spans="1:19" s="114" customFormat="1">
      <c r="A782" s="145"/>
      <c r="B782" s="145"/>
      <c r="C782" s="145"/>
      <c r="P782" s="68"/>
      <c r="S782" s="68"/>
    </row>
    <row r="783" spans="1:19" s="114" customFormat="1">
      <c r="A783" s="145"/>
      <c r="B783" s="145"/>
      <c r="C783" s="145"/>
      <c r="P783" s="68"/>
      <c r="S783" s="68"/>
    </row>
    <row r="784" spans="1:19" s="114" customFormat="1">
      <c r="A784" s="145"/>
      <c r="B784" s="145"/>
      <c r="C784" s="145"/>
      <c r="P784" s="68"/>
      <c r="S784" s="68"/>
    </row>
    <row r="785" spans="1:19" s="114" customFormat="1">
      <c r="A785" s="145"/>
      <c r="B785" s="145"/>
      <c r="C785" s="145"/>
      <c r="P785" s="68"/>
      <c r="S785" s="68"/>
    </row>
    <row r="786" spans="1:19" s="114" customFormat="1">
      <c r="A786" s="145"/>
      <c r="B786" s="145"/>
      <c r="C786" s="145"/>
      <c r="P786" s="68"/>
      <c r="S786" s="68"/>
    </row>
    <row r="787" spans="1:19" s="114" customFormat="1">
      <c r="A787" s="145"/>
      <c r="B787" s="145"/>
      <c r="C787" s="145"/>
      <c r="P787" s="68"/>
      <c r="S787" s="68"/>
    </row>
    <row r="788" spans="1:19" s="114" customFormat="1">
      <c r="A788" s="145"/>
      <c r="B788" s="145"/>
      <c r="C788" s="145"/>
      <c r="P788" s="68"/>
      <c r="S788" s="68"/>
    </row>
    <row r="789" spans="1:19" s="114" customFormat="1">
      <c r="A789" s="145"/>
      <c r="B789" s="145"/>
      <c r="C789" s="145"/>
      <c r="P789" s="68"/>
      <c r="S789" s="68"/>
    </row>
    <row r="790" spans="1:19" s="114" customFormat="1">
      <c r="A790" s="145"/>
      <c r="B790" s="145"/>
      <c r="C790" s="145"/>
      <c r="P790" s="68"/>
      <c r="S790" s="68"/>
    </row>
    <row r="791" spans="1:19" s="114" customFormat="1">
      <c r="A791" s="145"/>
      <c r="B791" s="145"/>
      <c r="C791" s="145"/>
      <c r="P791" s="68"/>
      <c r="S791" s="68"/>
    </row>
    <row r="792" spans="1:19" s="114" customFormat="1">
      <c r="A792" s="145"/>
      <c r="B792" s="145"/>
      <c r="C792" s="145"/>
      <c r="P792" s="68"/>
      <c r="S792" s="68"/>
    </row>
    <row r="793" spans="1:19" s="114" customFormat="1">
      <c r="A793" s="145"/>
      <c r="B793" s="145"/>
      <c r="C793" s="145"/>
      <c r="P793" s="68"/>
      <c r="S793" s="68"/>
    </row>
    <row r="794" spans="1:19" s="114" customFormat="1">
      <c r="A794" s="145"/>
      <c r="B794" s="145"/>
      <c r="C794" s="145"/>
      <c r="P794" s="68"/>
      <c r="S794" s="68"/>
    </row>
    <row r="795" spans="1:19" s="114" customFormat="1">
      <c r="A795" s="145"/>
      <c r="B795" s="145"/>
      <c r="C795" s="145"/>
      <c r="P795" s="68"/>
      <c r="S795" s="68"/>
    </row>
    <row r="796" spans="1:19" s="114" customFormat="1">
      <c r="A796" s="145"/>
      <c r="B796" s="145"/>
      <c r="C796" s="145"/>
      <c r="P796" s="68"/>
      <c r="S796" s="68"/>
    </row>
    <row r="797" spans="1:19" s="114" customFormat="1">
      <c r="A797" s="145"/>
      <c r="B797" s="145"/>
      <c r="C797" s="145"/>
      <c r="P797" s="68"/>
      <c r="S797" s="68"/>
    </row>
    <row r="798" spans="1:19" s="114" customFormat="1">
      <c r="A798" s="145"/>
      <c r="B798" s="145"/>
      <c r="C798" s="145"/>
      <c r="P798" s="68"/>
      <c r="S798" s="68"/>
    </row>
    <row r="799" spans="1:19" s="114" customFormat="1">
      <c r="A799" s="145"/>
      <c r="B799" s="145"/>
      <c r="C799" s="145"/>
      <c r="P799" s="68"/>
      <c r="S799" s="68"/>
    </row>
    <row r="800" spans="1:19" s="114" customFormat="1">
      <c r="A800" s="145"/>
      <c r="B800" s="145"/>
      <c r="C800" s="145"/>
      <c r="P800" s="68"/>
      <c r="S800" s="68"/>
    </row>
    <row r="801" spans="1:34" s="114" customFormat="1">
      <c r="A801" s="145"/>
      <c r="B801" s="145"/>
      <c r="C801" s="145"/>
      <c r="P801" s="68"/>
      <c r="S801" s="68"/>
    </row>
    <row r="802" spans="1:34" s="114" customFormat="1">
      <c r="A802" s="145"/>
      <c r="B802" s="145"/>
      <c r="C802" s="145"/>
      <c r="P802" s="68"/>
      <c r="S802" s="68"/>
    </row>
    <row r="803" spans="1:34" s="114" customFormat="1">
      <c r="A803" s="145"/>
      <c r="B803" s="145"/>
      <c r="C803" s="145"/>
      <c r="P803" s="68"/>
      <c r="S803" s="68"/>
    </row>
    <row r="804" spans="1:34" s="114" customFormat="1">
      <c r="A804" s="145"/>
      <c r="B804" s="145"/>
      <c r="C804" s="145"/>
      <c r="P804" s="68"/>
      <c r="S804" s="68"/>
      <c r="W804" s="53"/>
      <c r="X804" s="53"/>
      <c r="Y804" s="53"/>
    </row>
    <row r="805" spans="1:34" s="114" customFormat="1">
      <c r="A805" s="480"/>
      <c r="B805" s="480"/>
      <c r="C805" s="480"/>
      <c r="D805" s="53"/>
      <c r="E805" s="53"/>
      <c r="F805" s="53"/>
      <c r="G805" s="154"/>
      <c r="H805" s="154"/>
      <c r="I805" s="154"/>
      <c r="J805" s="154"/>
      <c r="K805" s="154"/>
      <c r="L805" s="154"/>
      <c r="M805" s="53"/>
      <c r="N805" s="53"/>
      <c r="O805" s="53"/>
      <c r="P805" s="68"/>
      <c r="Q805" s="53"/>
      <c r="R805" s="53"/>
      <c r="S805" s="68"/>
      <c r="T805" s="53"/>
      <c r="U805" s="53"/>
      <c r="V805" s="53"/>
      <c r="W805" s="53"/>
      <c r="X805" s="53"/>
      <c r="Y805" s="53"/>
      <c r="Z805" s="53"/>
    </row>
    <row r="806" spans="1:34" s="114" customFormat="1">
      <c r="A806" s="480"/>
      <c r="B806" s="480"/>
      <c r="C806" s="480"/>
      <c r="D806" s="53"/>
      <c r="E806" s="53"/>
      <c r="F806" s="53"/>
      <c r="G806" s="154"/>
      <c r="H806" s="154"/>
      <c r="I806" s="154"/>
      <c r="J806" s="154"/>
      <c r="K806" s="154"/>
      <c r="L806" s="154"/>
      <c r="M806" s="53"/>
      <c r="N806" s="53"/>
      <c r="O806" s="53"/>
      <c r="P806" s="68"/>
      <c r="Q806" s="53"/>
      <c r="R806" s="53"/>
      <c r="S806" s="68"/>
      <c r="T806" s="53"/>
      <c r="U806" s="53"/>
      <c r="V806" s="53"/>
      <c r="W806" s="53"/>
      <c r="X806" s="53"/>
      <c r="Y806" s="53"/>
      <c r="Z806" s="53"/>
      <c r="AG806" s="53"/>
      <c r="AH806" s="53"/>
    </row>
    <row r="807" spans="1:34">
      <c r="AA807" s="114"/>
      <c r="AB807" s="114"/>
      <c r="AC807" s="114"/>
      <c r="AD807" s="114"/>
      <c r="AE807" s="114"/>
      <c r="AF807" s="114"/>
    </row>
    <row r="808" spans="1:34">
      <c r="AA808" s="114"/>
      <c r="AB808" s="114"/>
      <c r="AC808" s="114"/>
      <c r="AD808" s="114"/>
      <c r="AE808" s="114"/>
      <c r="AF808" s="114"/>
    </row>
    <row r="809" spans="1:34">
      <c r="AA809" s="114"/>
      <c r="AB809" s="114"/>
      <c r="AC809" s="114"/>
      <c r="AD809" s="114"/>
      <c r="AE809" s="114"/>
      <c r="AF809" s="114"/>
    </row>
    <row r="810" spans="1:34">
      <c r="AA810" s="114"/>
      <c r="AB810" s="114"/>
      <c r="AC810" s="114"/>
      <c r="AD810" s="114"/>
      <c r="AE810" s="114"/>
      <c r="AF810" s="114"/>
    </row>
    <row r="811" spans="1:34">
      <c r="AA811" s="114"/>
      <c r="AB811" s="114"/>
      <c r="AC811" s="114"/>
      <c r="AD811" s="114"/>
      <c r="AE811" s="114"/>
      <c r="AF811" s="114"/>
    </row>
    <row r="812" spans="1:34">
      <c r="AA812" s="114"/>
      <c r="AB812" s="114"/>
      <c r="AC812" s="114"/>
      <c r="AD812" s="114"/>
      <c r="AE812" s="114"/>
      <c r="AF812" s="114"/>
    </row>
    <row r="813" spans="1:34">
      <c r="AA813" s="114"/>
      <c r="AB813" s="114"/>
      <c r="AC813" s="114"/>
      <c r="AD813" s="114"/>
      <c r="AE813" s="114"/>
      <c r="AF813" s="114"/>
    </row>
    <row r="814" spans="1:34">
      <c r="AF814" s="114"/>
    </row>
    <row r="815" spans="1:34">
      <c r="AF815" s="114"/>
    </row>
    <row r="816" spans="1:34">
      <c r="AF816" s="114"/>
    </row>
    <row r="817" spans="32:32">
      <c r="AF817" s="114"/>
    </row>
    <row r="818" spans="32:32">
      <c r="AF818" s="114"/>
    </row>
    <row r="819" spans="32:32">
      <c r="AF819" s="114"/>
    </row>
    <row r="820" spans="32:32">
      <c r="AF820" s="114"/>
    </row>
  </sheetData>
  <sortState xmlns:xlrd2="http://schemas.microsoft.com/office/spreadsheetml/2017/richdata2" ref="A11:V47">
    <sortCondition ref="F11:F47"/>
  </sortState>
  <mergeCells count="13">
    <mergeCell ref="AD64:AE64"/>
    <mergeCell ref="A5:C5"/>
    <mergeCell ref="N7:O7"/>
    <mergeCell ref="Q7:R7"/>
    <mergeCell ref="W7:Y7"/>
    <mergeCell ref="B8:C8"/>
    <mergeCell ref="Q8:R8"/>
    <mergeCell ref="Q49:R49"/>
    <mergeCell ref="T7:U7"/>
    <mergeCell ref="T8:U8"/>
    <mergeCell ref="T49:U49"/>
    <mergeCell ref="T6:U6"/>
    <mergeCell ref="Q6:R6"/>
  </mergeCells>
  <hyperlinks>
    <hyperlink ref="K1" location="Index!A1" display="Return to Index" xr:uid="{00000000-0004-0000-0E00-000000000000}"/>
  </hyperlinks>
  <printOptions horizontalCentered="1"/>
  <pageMargins left="0.25" right="0.25" top="0.5" bottom="0.5" header="0.5" footer="0.5"/>
  <pageSetup scale="74" fitToHeight="0" orientation="landscape" horizontalDpi="1200" verticalDpi="1200" r:id="rId1"/>
  <headerFooter alignWithMargins="0">
    <oddFooter>&amp;L&amp;8Planning &amp; Accountability&amp;R&amp;8&amp;D</oddFooter>
  </headerFooter>
  <rowBreaks count="1" manualBreakCount="1">
    <brk id="51" max="12" man="1"/>
  </rowBreaks>
  <legacyDrawing r:id="rId2"/>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tabColor indexed="47"/>
    <pageSetUpPr fitToPage="1"/>
  </sheetPr>
  <dimension ref="A1:E165"/>
  <sheetViews>
    <sheetView showGridLines="0" zoomScale="65" zoomScaleNormal="65" zoomScaleSheetLayoutView="65" workbookViewId="0">
      <selection activeCell="C33" sqref="C33"/>
    </sheetView>
  </sheetViews>
  <sheetFormatPr defaultColWidth="9.140625" defaultRowHeight="12.75" customHeight="1"/>
  <cols>
    <col min="1" max="1" width="158.7109375" style="53" customWidth="1"/>
    <col min="2" max="2" width="22.7109375" style="53" customWidth="1"/>
    <col min="3" max="3" width="56.28515625" style="53" customWidth="1"/>
    <col min="4" max="4" width="20.7109375" style="53" customWidth="1"/>
    <col min="5" max="5" width="9.140625" style="679"/>
    <col min="6" max="16384" width="9.140625" style="53"/>
  </cols>
  <sheetData>
    <row r="1" spans="1:5" ht="28.5" thickBot="1">
      <c r="A1" s="159" t="s">
        <v>270</v>
      </c>
      <c r="B1" s="835" t="s">
        <v>1200</v>
      </c>
      <c r="C1" s="53" t="s">
        <v>1329</v>
      </c>
    </row>
    <row r="2" spans="1:5" ht="27.75">
      <c r="A2" s="54" t="str">
        <f>'Smmy Chrts'!$A$2</f>
        <v>For the Year Ended August 31, 2021</v>
      </c>
      <c r="C2" s="55" t="s">
        <v>63</v>
      </c>
    </row>
    <row r="3" spans="1:5" ht="27.75">
      <c r="A3" s="54" t="str">
        <f>'Smmy Chrts'!$A$3</f>
        <v>Source: FY 2021 Annual Financial Report</v>
      </c>
      <c r="C3" s="53" t="s">
        <v>64</v>
      </c>
    </row>
    <row r="4" spans="1:5" ht="12.75" customHeight="1">
      <c r="C4" s="53" t="s">
        <v>267</v>
      </c>
    </row>
    <row r="5" spans="1:5" ht="12.75" customHeight="1">
      <c r="C5" s="53" t="s">
        <v>268</v>
      </c>
    </row>
    <row r="7" spans="1:5" ht="12.75" customHeight="1">
      <c r="C7" s="1687" t="s">
        <v>25</v>
      </c>
      <c r="D7" s="1687"/>
    </row>
    <row r="8" spans="1:5" ht="12.75" customHeight="1">
      <c r="C8" s="57"/>
      <c r="D8" s="58"/>
    </row>
    <row r="9" spans="1:5" ht="12.75" customHeight="1">
      <c r="C9" s="59" t="str">
        <f>'UNTD Sum'!A9</f>
        <v>State of Texas</v>
      </c>
      <c r="D9" s="60">
        <f>'UNTD Sum'!B15</f>
        <v>33427985</v>
      </c>
      <c r="E9" s="680">
        <f>ROUND(D9/$D$14,3)</f>
        <v>0.37</v>
      </c>
    </row>
    <row r="10" spans="1:5" ht="12.75" customHeight="1">
      <c r="C10" s="59" t="str">
        <f>'UNTD Sum'!A17</f>
        <v>Student &amp; Parent</v>
      </c>
      <c r="D10" s="60">
        <f>'UNTD Sum'!B20</f>
        <v>30361512</v>
      </c>
      <c r="E10" s="680">
        <f t="shared" ref="E10:E12" si="0">ROUND(D10/$D$14,3)</f>
        <v>0.33600000000000002</v>
      </c>
    </row>
    <row r="11" spans="1:5" ht="12.75" customHeight="1">
      <c r="C11" s="59" t="str">
        <f>'UNTD Sum'!A22</f>
        <v>Federal Government</v>
      </c>
      <c r="D11" s="60">
        <f>'UNTD Sum'!B23</f>
        <v>22473380</v>
      </c>
      <c r="E11" s="680">
        <f t="shared" si="0"/>
        <v>0.249</v>
      </c>
    </row>
    <row r="12" spans="1:5" ht="12.75" customHeight="1">
      <c r="C12" s="59" t="str">
        <f>'UNTD Sum'!A25</f>
        <v>Institutional Resources</v>
      </c>
      <c r="D12" s="60">
        <f>'UNTD Sum'!B32</f>
        <v>4102300</v>
      </c>
      <c r="E12" s="680">
        <f t="shared" si="0"/>
        <v>4.4999999999999998E-2</v>
      </c>
    </row>
    <row r="13" spans="1:5" ht="12.75" customHeight="1">
      <c r="C13" s="57"/>
      <c r="D13" s="58"/>
      <c r="E13" s="680"/>
    </row>
    <row r="14" spans="1:5" ht="12.75" customHeight="1">
      <c r="C14" s="61" t="s">
        <v>68</v>
      </c>
      <c r="D14" s="62">
        <f>SUM(D9:D13)</f>
        <v>90365177</v>
      </c>
      <c r="E14" s="680">
        <f>SUM(E9:E13)</f>
        <v>1</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86" t="str">
        <f>C14&amp;" "&amp;TEXT(D14,"$#,###")</f>
        <v>Total Operating Sources $90,365,177</v>
      </c>
    </row>
    <row r="48" spans="1:1" ht="12.75" customHeight="1">
      <c r="A48" s="1686"/>
    </row>
    <row r="49" spans="1:5" ht="12.75" customHeight="1">
      <c r="A49" s="56"/>
    </row>
    <row r="52" spans="1:5" ht="12.75" customHeight="1">
      <c r="C52" s="394" t="s">
        <v>25</v>
      </c>
      <c r="D52" s="58"/>
    </row>
    <row r="54" spans="1:5" ht="12.75" customHeight="1">
      <c r="C54" s="59" t="s">
        <v>1</v>
      </c>
      <c r="D54" s="60">
        <f>'UNTD Sum'!B10</f>
        <v>26574019</v>
      </c>
      <c r="E54" s="680">
        <f>ROUND(D54/$D$67,3)</f>
        <v>0.29399999999999998</v>
      </c>
    </row>
    <row r="55" spans="1:5" ht="12.75" customHeight="1">
      <c r="C55" s="59" t="s">
        <v>221</v>
      </c>
      <c r="D55" s="60">
        <f>'UNTD Sum'!B11</f>
        <v>3499525</v>
      </c>
      <c r="E55" s="680">
        <f t="shared" ref="E55:E66" si="1">ROUND(D55/$D$67,3)</f>
        <v>3.9E-2</v>
      </c>
    </row>
    <row r="56" spans="1:5" ht="12.75" customHeight="1">
      <c r="C56" s="59"/>
      <c r="D56" s="60"/>
      <c r="E56" s="680"/>
    </row>
    <row r="57" spans="1:5" ht="12.75" customHeight="1">
      <c r="C57" s="1069" t="str">
        <f>'UNTD Sum'!A13</f>
        <v>Higher Education Fund</v>
      </c>
      <c r="D57" s="60">
        <f>'UNTD Sum'!B13</f>
        <v>3354441</v>
      </c>
      <c r="E57" s="680">
        <f t="shared" si="1"/>
        <v>3.6999999999999998E-2</v>
      </c>
    </row>
    <row r="58" spans="1:5" ht="12.75" customHeight="1">
      <c r="C58" s="1069" t="s">
        <v>41</v>
      </c>
      <c r="D58" s="60">
        <f>'UNTD Sum'!B14</f>
        <v>0</v>
      </c>
      <c r="E58" s="680">
        <f t="shared" si="1"/>
        <v>0</v>
      </c>
    </row>
    <row r="59" spans="1:5" ht="12.75" customHeight="1">
      <c r="C59" s="59" t="s">
        <v>87</v>
      </c>
      <c r="D59" s="60">
        <f>'UNTD Sum'!B20</f>
        <v>30361512</v>
      </c>
      <c r="E59" s="680">
        <f t="shared" si="1"/>
        <v>0.33600000000000002</v>
      </c>
    </row>
    <row r="60" spans="1:5" ht="12.75" customHeight="1">
      <c r="C60" s="64" t="s">
        <v>74</v>
      </c>
      <c r="D60" s="60">
        <f>'UNTD Sum'!B23</f>
        <v>22473380</v>
      </c>
      <c r="E60" s="680">
        <f t="shared" si="1"/>
        <v>0.249</v>
      </c>
    </row>
    <row r="61" spans="1:5" ht="12.75" customHeight="1">
      <c r="C61" s="59" t="s">
        <v>75</v>
      </c>
      <c r="D61" s="60">
        <f>'UNTD Sum'!B26</f>
        <v>2074603</v>
      </c>
      <c r="E61" s="680">
        <f t="shared" si="1"/>
        <v>2.3E-2</v>
      </c>
    </row>
    <row r="62" spans="1:5" ht="12.75" customHeight="1">
      <c r="C62" s="1069" t="s">
        <v>27</v>
      </c>
      <c r="D62" s="60">
        <f>'UNTD Sum'!B27</f>
        <v>2368</v>
      </c>
      <c r="E62" s="680">
        <f t="shared" si="1"/>
        <v>0</v>
      </c>
    </row>
    <row r="63" spans="1:5" ht="12.75" customHeight="1">
      <c r="C63" s="59" t="s">
        <v>76</v>
      </c>
      <c r="D63" s="60">
        <f>'UNTD Sum'!B28</f>
        <v>496242</v>
      </c>
      <c r="E63" s="680">
        <f t="shared" si="1"/>
        <v>5.0000000000000001E-3</v>
      </c>
    </row>
    <row r="64" spans="1:5" ht="12.75" customHeight="1">
      <c r="C64" s="59" t="s">
        <v>77</v>
      </c>
      <c r="D64" s="60">
        <f>'UNTD Sum'!B29</f>
        <v>669477</v>
      </c>
      <c r="E64" s="680">
        <f t="shared" si="1"/>
        <v>7.0000000000000001E-3</v>
      </c>
    </row>
    <row r="65" spans="1:5" ht="12.75" customHeight="1">
      <c r="C65" s="59" t="s">
        <v>220</v>
      </c>
      <c r="D65" s="60">
        <f>'UNTD Sum'!B30</f>
        <v>467591</v>
      </c>
      <c r="E65" s="680">
        <f t="shared" si="1"/>
        <v>5.0000000000000001E-3</v>
      </c>
    </row>
    <row r="66" spans="1:5" ht="12.75" customHeight="1">
      <c r="C66" s="64" t="s">
        <v>52</v>
      </c>
      <c r="D66" s="60">
        <f>'UNTD Sum'!B31</f>
        <v>392019</v>
      </c>
      <c r="E66" s="680">
        <f t="shared" si="1"/>
        <v>4.0000000000000001E-3</v>
      </c>
    </row>
    <row r="67" spans="1:5" ht="12.75" customHeight="1">
      <c r="C67" s="61" t="s">
        <v>68</v>
      </c>
      <c r="D67" s="62">
        <f>SUM(D54:D66)</f>
        <v>90365177</v>
      </c>
      <c r="E67" s="681">
        <f>SUM(E54:E66)</f>
        <v>0.999</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86" t="str">
        <f>C67&amp;" "&amp;TEXT(D67,"$#,###")</f>
        <v>Total Operating Sources $90,365,177</v>
      </c>
    </row>
    <row r="93" spans="1:5" ht="12.75" customHeight="1">
      <c r="A93" s="1686"/>
    </row>
    <row r="94" spans="1:5" ht="12.75" customHeight="1">
      <c r="A94" s="65"/>
    </row>
    <row r="95" spans="1:5" s="68" customFormat="1" ht="12.75" customHeight="1">
      <c r="A95" s="66"/>
      <c r="E95" s="682"/>
    </row>
    <row r="96" spans="1:5" ht="12.75" customHeight="1">
      <c r="A96" s="65"/>
    </row>
    <row r="97" spans="1:5" ht="12.75" customHeight="1">
      <c r="A97" s="65"/>
    </row>
    <row r="98" spans="1:5" ht="12.75" customHeight="1">
      <c r="A98" s="65"/>
    </row>
    <row r="100" spans="1:5" ht="12.75" customHeight="1">
      <c r="C100" s="1687" t="s">
        <v>13</v>
      </c>
      <c r="D100" s="1687"/>
    </row>
    <row r="101" spans="1:5" ht="12.75" customHeight="1">
      <c r="C101" s="1687"/>
      <c r="D101" s="1687"/>
    </row>
    <row r="102" spans="1:5" ht="12.75" customHeight="1">
      <c r="C102" s="69" t="s">
        <v>14</v>
      </c>
      <c r="D102" s="60">
        <f>'UNTD Sum'!B36</f>
        <v>18068894</v>
      </c>
      <c r="E102" s="680">
        <f>ROUND(D102/$D$114,3)</f>
        <v>0.26100000000000001</v>
      </c>
    </row>
    <row r="103" spans="1:5" ht="12.75" customHeight="1">
      <c r="C103" s="69" t="s">
        <v>15</v>
      </c>
      <c r="D103" s="60">
        <f>'UNTD Sum'!B37</f>
        <v>113533</v>
      </c>
      <c r="E103" s="680">
        <f t="shared" ref="E103:E112" si="2">ROUND(D103/$D$114,3)</f>
        <v>2E-3</v>
      </c>
    </row>
    <row r="104" spans="1:5" ht="12.75" customHeight="1">
      <c r="C104" s="69" t="s">
        <v>16</v>
      </c>
      <c r="D104" s="60">
        <f>'UNTD Sum'!B38</f>
        <v>2931830</v>
      </c>
      <c r="E104" s="680">
        <f t="shared" si="2"/>
        <v>4.2000000000000003E-2</v>
      </c>
    </row>
    <row r="105" spans="1:5" ht="12.75" customHeight="1">
      <c r="C105" s="69" t="s">
        <v>17</v>
      </c>
      <c r="D105" s="60">
        <f>'UNTD Sum'!B39</f>
        <v>4538691</v>
      </c>
      <c r="E105" s="680">
        <f t="shared" si="2"/>
        <v>6.5000000000000002E-2</v>
      </c>
    </row>
    <row r="106" spans="1:5" ht="12.75" customHeight="1">
      <c r="C106" s="69" t="s">
        <v>18</v>
      </c>
      <c r="D106" s="60">
        <f>'UNTD Sum'!B40</f>
        <v>8869650</v>
      </c>
      <c r="E106" s="680">
        <f t="shared" si="2"/>
        <v>0.128</v>
      </c>
    </row>
    <row r="107" spans="1:5" ht="12.75" customHeight="1">
      <c r="C107" s="69" t="s">
        <v>19</v>
      </c>
      <c r="D107" s="60">
        <f>'UNTD Sum'!B41</f>
        <v>7524014</v>
      </c>
      <c r="E107" s="680">
        <f t="shared" si="2"/>
        <v>0.109</v>
      </c>
    </row>
    <row r="108" spans="1:5" ht="12.75" customHeight="1">
      <c r="C108" s="69" t="s">
        <v>78</v>
      </c>
      <c r="D108" s="60">
        <f>'UNTD Sum'!B42</f>
        <v>6142514</v>
      </c>
      <c r="E108" s="680">
        <f t="shared" si="2"/>
        <v>8.8999999999999996E-2</v>
      </c>
    </row>
    <row r="109" spans="1:5" ht="12.75" customHeight="1">
      <c r="C109" s="69" t="s">
        <v>79</v>
      </c>
      <c r="D109" s="60">
        <f>'UNTD Sum'!B43</f>
        <v>16479268</v>
      </c>
      <c r="E109" s="680">
        <f t="shared" si="2"/>
        <v>0.23799999999999999</v>
      </c>
    </row>
    <row r="110" spans="1:5" ht="12.75" customHeight="1">
      <c r="C110" s="69" t="s">
        <v>22</v>
      </c>
      <c r="D110" s="60">
        <f>'UNTD Sum'!B44</f>
        <v>730452</v>
      </c>
      <c r="E110" s="680">
        <f t="shared" si="2"/>
        <v>1.0999999999999999E-2</v>
      </c>
    </row>
    <row r="111" spans="1:5" ht="12.75" customHeight="1">
      <c r="C111" s="64" t="s">
        <v>29</v>
      </c>
      <c r="D111" s="60">
        <f>'UNTD Sum'!B45</f>
        <v>1963261</v>
      </c>
      <c r="E111" s="680">
        <f t="shared" si="2"/>
        <v>2.8000000000000001E-2</v>
      </c>
    </row>
    <row r="112" spans="1:5" ht="12.75" customHeight="1">
      <c r="C112" s="1069" t="s">
        <v>53</v>
      </c>
      <c r="D112" s="60">
        <f>'UNTD Sum'!B46</f>
        <v>1972025</v>
      </c>
      <c r="E112" s="680">
        <f t="shared" si="2"/>
        <v>2.8000000000000001E-2</v>
      </c>
    </row>
    <row r="113" spans="3:5" ht="12.75" customHeight="1">
      <c r="C113" s="57"/>
      <c r="D113" s="57"/>
    </row>
    <row r="114" spans="3:5" ht="12.75" customHeight="1">
      <c r="C114" s="70" t="s">
        <v>69</v>
      </c>
      <c r="D114" s="62">
        <f>SUM(D102:D113)</f>
        <v>69334132</v>
      </c>
      <c r="E114" s="681">
        <f>SUM(E102:E113)</f>
        <v>1.0009999999999999</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86" t="str">
        <f>C114&amp;" "&amp;TEXT(D114,"$#,###")</f>
        <v>Total Operating Uses $69,334,132</v>
      </c>
    </row>
    <row r="137" spans="1:1" ht="12.75" customHeight="1">
      <c r="A137" s="1686"/>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136:A137"/>
    <mergeCell ref="C7:D7"/>
    <mergeCell ref="A47:A48"/>
    <mergeCell ref="A92:A93"/>
    <mergeCell ref="C100:D100"/>
    <mergeCell ref="C101:D101"/>
  </mergeCells>
  <hyperlinks>
    <hyperlink ref="B1" location="Index!A1" display="Return to Index" xr:uid="{00000000-0004-0000-95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1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sheetPr transitionEvaluation="1" transitionEntry="1">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'UNTD Chrts'!$A$1</f>
        <v>University of North Texas at Dallas</v>
      </c>
      <c r="B1" s="74"/>
      <c r="C1" s="1"/>
      <c r="D1" s="1704" t="s">
        <v>1200</v>
      </c>
      <c r="E1" s="1705"/>
      <c r="F1" s="1757" t="s">
        <v>1196</v>
      </c>
      <c r="G1" s="1706"/>
      <c r="H1" s="1706"/>
      <c r="I1" s="1706"/>
      <c r="J1" s="1707" t="s">
        <v>1197</v>
      </c>
      <c r="K1" s="1695"/>
      <c r="L1" s="1695"/>
      <c r="M1" s="1695"/>
      <c r="N1" s="1695"/>
      <c r="O1" s="1696"/>
    </row>
    <row r="2" spans="1:15" ht="15.75">
      <c r="A2" s="76" t="str">
        <f>'Smmy Chrts'!$A$2</f>
        <v>For the Year Ended August 31, 2021</v>
      </c>
      <c r="B2" s="74"/>
      <c r="C2" s="1"/>
      <c r="D2" s="37"/>
      <c r="E2" s="37"/>
      <c r="F2" s="37"/>
      <c r="J2" s="37"/>
      <c r="K2" s="37"/>
      <c r="L2" s="37"/>
      <c r="M2" s="37"/>
    </row>
    <row r="3" spans="1:15" ht="15.75">
      <c r="A3" s="76" t="str">
        <f>'Smmy Chrts'!$A$3</f>
        <v>Source: FY 2021 Annual Financial Report</v>
      </c>
      <c r="B3" s="74"/>
      <c r="C3" s="1"/>
    </row>
    <row r="4" spans="1:15" ht="13.5" customHeight="1">
      <c r="B4" s="77"/>
      <c r="C4" s="4"/>
      <c r="D4" s="1711" t="s">
        <v>1142</v>
      </c>
      <c r="E4" s="1711" t="s">
        <v>1143</v>
      </c>
      <c r="F4" s="266"/>
    </row>
    <row r="5" spans="1:15" ht="18">
      <c r="A5" s="39" t="str">
        <f>'Smmy Chrts'!$C$35</f>
        <v>Summary Worksheet FY 2021</v>
      </c>
      <c r="B5" s="40" t="s">
        <v>86</v>
      </c>
      <c r="C5" s="40" t="s">
        <v>129</v>
      </c>
      <c r="D5" s="1712"/>
      <c r="E5" s="1712"/>
      <c r="F5" s="266"/>
      <c r="G5" s="799" t="s">
        <v>1198</v>
      </c>
      <c r="I5" s="822" t="s">
        <v>2157</v>
      </c>
      <c r="J5" s="792" t="s">
        <v>1144</v>
      </c>
    </row>
    <row r="6" spans="1:15" ht="13.5" customHeight="1">
      <c r="A6" s="78" t="s">
        <v>266</v>
      </c>
      <c r="B6" s="41"/>
      <c r="C6" s="42">
        <f>VLOOKUP($A$1,FTSELU,12,FALSE)</f>
        <v>3464.14</v>
      </c>
      <c r="J6" s="712"/>
    </row>
    <row r="7" spans="1:15">
      <c r="I7" s="824" t="s">
        <v>1162</v>
      </c>
      <c r="J7" s="827"/>
    </row>
    <row r="8" spans="1:15">
      <c r="A8" s="81" t="s">
        <v>71</v>
      </c>
      <c r="B8" s="81"/>
      <c r="C8" s="24"/>
      <c r="I8" s="896">
        <f>VLOOKUP(A1,FTSELU,14,FALSE)</f>
        <v>262.55</v>
      </c>
      <c r="J8" s="712"/>
    </row>
    <row r="9" spans="1:15" ht="12.75" customHeight="1" thickBot="1">
      <c r="A9" s="78" t="s">
        <v>0</v>
      </c>
      <c r="B9" s="82"/>
      <c r="C9" s="7"/>
      <c r="J9" s="712"/>
    </row>
    <row r="10" spans="1:15" ht="12.75" customHeight="1" thickTop="1">
      <c r="A10" s="75" t="s">
        <v>1</v>
      </c>
      <c r="B10" s="83">
        <f>'UNTD FGD'!M10</f>
        <v>26574019</v>
      </c>
      <c r="C10" s="83">
        <f>ROUND(B10/$C$6,0)</f>
        <v>7671</v>
      </c>
      <c r="D10" s="512">
        <f>'UNTD FGD'!F10</f>
        <v>0</v>
      </c>
      <c r="E10" s="512"/>
      <c r="F10" s="84">
        <f>B10-(SUM(D10:E10))</f>
        <v>26574019</v>
      </c>
      <c r="G10" s="1143" t="s">
        <v>1</v>
      </c>
      <c r="H10" s="1144"/>
      <c r="I10" s="825" t="s">
        <v>1161</v>
      </c>
      <c r="J10" s="713">
        <f>ROUND(F10/$C$6,0)</f>
        <v>7671</v>
      </c>
    </row>
    <row r="11" spans="1:15" ht="12.75" customHeight="1" thickBot="1">
      <c r="A11" s="75" t="s">
        <v>2</v>
      </c>
      <c r="B11" s="86">
        <f>'UNTD FGD'!M11</f>
        <v>3499525</v>
      </c>
      <c r="C11" s="87">
        <f t="shared" ref="C11:C14" si="0">ROUND(B11/$C$6,0)</f>
        <v>1010</v>
      </c>
      <c r="D11" s="86">
        <f>'UNTD FGD'!F11</f>
        <v>0</v>
      </c>
      <c r="E11" s="74"/>
      <c r="F11" s="606">
        <f t="shared" ref="F11:F14" si="1">B11-(SUM(D11:E11))</f>
        <v>3499525</v>
      </c>
      <c r="G11" s="1148">
        <f>SUM(F10:F11)</f>
        <v>30073544</v>
      </c>
      <c r="H11" s="715"/>
      <c r="I11" s="1373">
        <f>ROUND($G$11/$C$6,0)</f>
        <v>8681</v>
      </c>
      <c r="J11" s="716">
        <f t="shared" ref="J11:J14" si="2">ROUND(F11/$C$6,0)</f>
        <v>1010</v>
      </c>
    </row>
    <row r="12" spans="1:15" ht="12.75" hidden="1" customHeight="1" thickTop="1" thickBot="1">
      <c r="A12" s="75" t="s">
        <v>1410</v>
      </c>
      <c r="B12" s="86"/>
      <c r="C12" s="87"/>
      <c r="D12" s="86"/>
      <c r="E12" s="74"/>
      <c r="F12" s="607"/>
      <c r="J12" s="716"/>
      <c r="O12" s="608"/>
    </row>
    <row r="13" spans="1:15" ht="12.75" customHeight="1" thickTop="1">
      <c r="A13" s="75" t="s">
        <v>1368</v>
      </c>
      <c r="B13" s="86">
        <f>'UNTD FGD'!M13</f>
        <v>3354441</v>
      </c>
      <c r="C13" s="87">
        <f t="shared" si="0"/>
        <v>968</v>
      </c>
      <c r="D13" s="86">
        <f>'UNTD FGD'!F13</f>
        <v>0</v>
      </c>
      <c r="E13" s="74"/>
      <c r="F13" s="893">
        <f t="shared" si="1"/>
        <v>3354441</v>
      </c>
      <c r="G13" s="882" t="s">
        <v>81</v>
      </c>
      <c r="H13" s="894"/>
      <c r="I13" s="826" t="s">
        <v>1163</v>
      </c>
      <c r="J13" s="716">
        <f t="shared" si="2"/>
        <v>968</v>
      </c>
    </row>
    <row r="14" spans="1:15" ht="12.75" customHeight="1" thickBot="1">
      <c r="A14" s="75" t="s">
        <v>49</v>
      </c>
      <c r="B14" s="86">
        <f>'UNTD FGD'!M14</f>
        <v>0</v>
      </c>
      <c r="C14" s="87">
        <f t="shared" si="0"/>
        <v>0</v>
      </c>
      <c r="D14" s="86">
        <f>'UNTD FGD'!F14</f>
        <v>0</v>
      </c>
      <c r="E14" s="74"/>
      <c r="F14" s="607">
        <f t="shared" si="1"/>
        <v>0</v>
      </c>
      <c r="G14" s="800">
        <f>SUM(F13:F14)</f>
        <v>3354441</v>
      </c>
      <c r="H14" s="895"/>
      <c r="I14" s="1377">
        <f>ROUND($G$11/$I$8,0)</f>
        <v>114544</v>
      </c>
      <c r="J14" s="828">
        <f t="shared" si="2"/>
        <v>0</v>
      </c>
    </row>
    <row r="15" spans="1:15" ht="12.75" customHeight="1" thickTop="1">
      <c r="A15" s="88" t="s">
        <v>3</v>
      </c>
      <c r="B15" s="89">
        <f>SUM(B10:B14)</f>
        <v>33427985</v>
      </c>
      <c r="C15" s="89">
        <f>SUM(C10:C14)</f>
        <v>9649</v>
      </c>
      <c r="D15" s="89">
        <f>SUM(D10:D14)</f>
        <v>0</v>
      </c>
      <c r="E15" s="89">
        <f>SUM(E10:E14)</f>
        <v>0</v>
      </c>
      <c r="F15" s="216">
        <f>SUM(F10:F14)</f>
        <v>33427985</v>
      </c>
      <c r="I15" s="1372"/>
      <c r="J15" s="757">
        <f>SUM(J10:J14)</f>
        <v>9649</v>
      </c>
    </row>
    <row r="16" spans="1:15">
      <c r="B16" s="48"/>
      <c r="C16" s="75"/>
      <c r="J16" s="712"/>
    </row>
    <row r="17" spans="1:31" ht="12.75" customHeight="1">
      <c r="A17" s="78" t="s">
        <v>4</v>
      </c>
      <c r="B17" s="86"/>
      <c r="C17" s="75"/>
      <c r="J17" s="712"/>
    </row>
    <row r="18" spans="1:31">
      <c r="A18" s="75" t="s">
        <v>39</v>
      </c>
      <c r="B18" s="83">
        <f>'UNTD FGD'!M29</f>
        <v>23894598</v>
      </c>
      <c r="C18" s="83">
        <f t="shared" ref="C18:C19" si="3">ROUND(B18/$C$6,0)</f>
        <v>6898</v>
      </c>
      <c r="D18" s="512">
        <f>'UNTD FGD'!$F$29</f>
        <v>0</v>
      </c>
      <c r="E18" s="512"/>
      <c r="F18" s="512">
        <f t="shared" ref="F18:F19" si="4">B18-(SUM(D18:E18))</f>
        <v>23894598</v>
      </c>
      <c r="G18" s="337"/>
      <c r="H18" s="337"/>
      <c r="I18" s="337"/>
      <c r="J18" s="713">
        <f>ROUND(F18/$C$6,0)</f>
        <v>6898</v>
      </c>
    </row>
    <row r="19" spans="1:31" ht="13.5" thickBot="1">
      <c r="A19" s="75" t="s">
        <v>40</v>
      </c>
      <c r="B19" s="86">
        <f>'UNTD FGD'!M42</f>
        <v>6466914</v>
      </c>
      <c r="C19" s="87">
        <f t="shared" si="3"/>
        <v>1867</v>
      </c>
      <c r="D19" s="74">
        <f>'UNTD FGD'!$F$42</f>
        <v>0</v>
      </c>
      <c r="E19" s="74"/>
      <c r="F19" s="74">
        <f t="shared" si="4"/>
        <v>6466914</v>
      </c>
      <c r="G19" s="337"/>
      <c r="H19" s="337"/>
      <c r="I19" s="337"/>
      <c r="J19" s="716">
        <f>ROUND(F19/$C$6,0)</f>
        <v>1867</v>
      </c>
    </row>
    <row r="20" spans="1:31" ht="14.25" thickTop="1" thickBot="1">
      <c r="A20" s="88" t="s">
        <v>5</v>
      </c>
      <c r="B20" s="89">
        <f>SUM(B18:B19)</f>
        <v>30361512</v>
      </c>
      <c r="C20" s="89">
        <f>SUM(C18:C19)</f>
        <v>8765</v>
      </c>
      <c r="D20" s="717">
        <f>SUM(D18:D19)</f>
        <v>0</v>
      </c>
      <c r="E20" s="718">
        <f>SUM(E18:E19)</f>
        <v>0</v>
      </c>
      <c r="F20" s="801">
        <f>SUM(F18:F19)</f>
        <v>30361512</v>
      </c>
      <c r="G20" s="720" t="s">
        <v>26</v>
      </c>
      <c r="H20" s="366"/>
      <c r="I20" s="367"/>
      <c r="J20" s="721">
        <f>SUM(J18:J19)</f>
        <v>8765</v>
      </c>
    </row>
    <row r="21" spans="1:31" ht="12.75" customHeight="1" thickTop="1">
      <c r="B21" s="91"/>
      <c r="C21" s="75"/>
      <c r="F21" s="804"/>
      <c r="J21" s="712"/>
    </row>
    <row r="22" spans="1:31" ht="14.25" customHeight="1" thickBot="1">
      <c r="A22" s="78" t="s">
        <v>6</v>
      </c>
      <c r="B22" s="91"/>
      <c r="C22" s="75"/>
      <c r="J22" s="712"/>
    </row>
    <row r="23" spans="1:31" ht="14.25" thickTop="1" thickBot="1">
      <c r="A23" s="88" t="s">
        <v>7</v>
      </c>
      <c r="B23" s="92">
        <f>'UNTD FGD'!M47</f>
        <v>22473380</v>
      </c>
      <c r="C23" s="89">
        <f t="shared" ref="C23" si="5">ROUND(B23/$C$6,0)</f>
        <v>6487</v>
      </c>
      <c r="D23" s="717">
        <f>'UNTD FGD'!F47</f>
        <v>0</v>
      </c>
      <c r="E23" s="718"/>
      <c r="F23" s="801">
        <f>B23-(SUM(D23:E23))</f>
        <v>22473380</v>
      </c>
      <c r="G23" s="722" t="s">
        <v>74</v>
      </c>
      <c r="H23" s="366"/>
      <c r="I23" s="367"/>
      <c r="J23" s="756">
        <f>ROUND(F23/$C$6,0)</f>
        <v>6487</v>
      </c>
    </row>
    <row r="24" spans="1:31" ht="13.5" thickTop="1">
      <c r="B24" s="91"/>
      <c r="C24" s="75"/>
      <c r="J24" s="712"/>
    </row>
    <row r="25" spans="1:31">
      <c r="A25" s="78" t="s">
        <v>8</v>
      </c>
      <c r="B25" s="91"/>
      <c r="C25" s="75"/>
      <c r="J25" s="712"/>
    </row>
    <row r="26" spans="1:31">
      <c r="A26" s="75" t="s">
        <v>42</v>
      </c>
      <c r="B26" s="83">
        <f>'UNTD FGD'!M50</f>
        <v>2074603</v>
      </c>
      <c r="C26" s="83">
        <f t="shared" ref="C26:C31" si="6">ROUND(B26/$C$6,0)</f>
        <v>599</v>
      </c>
      <c r="D26" s="512">
        <f>'UNTD FGD'!F50</f>
        <v>0</v>
      </c>
      <c r="E26" s="512"/>
      <c r="F26" s="512">
        <f t="shared" ref="F26:F31" si="7">B26-(SUM(D26:E26))</f>
        <v>2074603</v>
      </c>
      <c r="G26" s="337"/>
      <c r="H26" s="337"/>
      <c r="I26" s="337"/>
      <c r="J26" s="713">
        <f>ROUND(F26/$C$6,0)</f>
        <v>599</v>
      </c>
    </row>
    <row r="27" spans="1:31">
      <c r="A27" s="75" t="s">
        <v>9</v>
      </c>
      <c r="B27" s="86">
        <f>'UNTD FGD'!M51</f>
        <v>2368</v>
      </c>
      <c r="C27" s="87">
        <f t="shared" si="6"/>
        <v>1</v>
      </c>
      <c r="D27" s="86">
        <f>'UNTD FGD'!F51</f>
        <v>0</v>
      </c>
      <c r="E27" s="74"/>
      <c r="F27" s="74">
        <f t="shared" si="7"/>
        <v>2368</v>
      </c>
      <c r="G27" s="337"/>
      <c r="H27" s="337"/>
      <c r="I27" s="337"/>
      <c r="J27" s="716">
        <f t="shared" ref="J27:J31" si="8">ROUND(F27/$C$6,0)</f>
        <v>1</v>
      </c>
    </row>
    <row r="28" spans="1:31" ht="13.5" thickBot="1">
      <c r="A28" s="75" t="s">
        <v>10</v>
      </c>
      <c r="B28" s="86">
        <f>'UNTD FGD'!M52</f>
        <v>496242</v>
      </c>
      <c r="C28" s="87">
        <f t="shared" si="6"/>
        <v>143</v>
      </c>
      <c r="D28" s="86">
        <f>'UNTD FGD'!F52</f>
        <v>0</v>
      </c>
      <c r="E28" s="74"/>
      <c r="F28" s="74">
        <f t="shared" si="7"/>
        <v>496242</v>
      </c>
      <c r="G28" s="337"/>
      <c r="H28" s="337"/>
      <c r="I28" s="337"/>
      <c r="J28" s="716">
        <f t="shared" si="8"/>
        <v>143</v>
      </c>
    </row>
    <row r="29" spans="1:31" ht="13.5" thickBot="1">
      <c r="A29" s="75" t="s">
        <v>11</v>
      </c>
      <c r="B29" s="86">
        <f>'UNTD FGD'!M53</f>
        <v>669477</v>
      </c>
      <c r="C29" s="87">
        <f t="shared" si="6"/>
        <v>193</v>
      </c>
      <c r="D29" s="86">
        <f>'UNTD FGD'!F53</f>
        <v>0</v>
      </c>
      <c r="E29" s="74"/>
      <c r="F29" s="74">
        <f t="shared" si="7"/>
        <v>669477</v>
      </c>
      <c r="G29" s="337"/>
      <c r="H29" s="337"/>
      <c r="I29" s="337"/>
      <c r="J29" s="716">
        <f t="shared" si="8"/>
        <v>193</v>
      </c>
      <c r="K29" s="1694" t="s">
        <v>1065</v>
      </c>
      <c r="L29" s="1695"/>
      <c r="M29" s="1695"/>
      <c r="N29" s="1695"/>
      <c r="O29" s="1696"/>
    </row>
    <row r="30" spans="1:31" ht="13.5" thickBot="1">
      <c r="A30" s="93" t="s">
        <v>2134</v>
      </c>
      <c r="B30" s="94">
        <f>'UNTD FGD'!M54</f>
        <v>467591</v>
      </c>
      <c r="C30" s="87">
        <f t="shared" si="6"/>
        <v>135</v>
      </c>
      <c r="D30" s="729">
        <f>B30</f>
        <v>467591</v>
      </c>
      <c r="E30" s="74"/>
      <c r="F30" s="74">
        <f t="shared" si="7"/>
        <v>0</v>
      </c>
      <c r="G30" s="337"/>
      <c r="H30" s="337"/>
      <c r="I30" s="337"/>
      <c r="J30" s="716">
        <f t="shared" si="8"/>
        <v>0</v>
      </c>
      <c r="K30" s="1694" t="s">
        <v>1070</v>
      </c>
      <c r="L30" s="1695"/>
      <c r="M30" s="1695"/>
      <c r="N30" s="1695"/>
      <c r="O30" s="1696"/>
    </row>
    <row r="31" spans="1:31" ht="13.5" customHeight="1" thickBot="1">
      <c r="A31" s="95" t="s">
        <v>43</v>
      </c>
      <c r="B31" s="86">
        <f>'UNTD FGD'!M55</f>
        <v>392019</v>
      </c>
      <c r="C31" s="87">
        <f t="shared" si="6"/>
        <v>113</v>
      </c>
      <c r="D31" s="86">
        <f>'UNTD FGD'!F55</f>
        <v>0</v>
      </c>
      <c r="E31" s="74"/>
      <c r="F31" s="74">
        <f t="shared" si="7"/>
        <v>392019</v>
      </c>
      <c r="G31" s="35"/>
      <c r="H31" s="35"/>
      <c r="I31" s="38"/>
      <c r="J31" s="716">
        <f t="shared" si="8"/>
        <v>113</v>
      </c>
      <c r="K31" s="1697" t="s">
        <v>1073</v>
      </c>
      <c r="L31" s="1697" t="s">
        <v>1071</v>
      </c>
      <c r="M31" s="1697" t="s">
        <v>1072</v>
      </c>
      <c r="N31" s="1697" t="s">
        <v>1240</v>
      </c>
      <c r="O31" s="1697"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4102300</v>
      </c>
      <c r="C32" s="89">
        <f>SUM(C26:C31)</f>
        <v>1184</v>
      </c>
      <c r="D32" s="723">
        <f>SUM(D26:D31)</f>
        <v>467591</v>
      </c>
      <c r="E32" s="723">
        <f>SUM(E26:E31)</f>
        <v>0</v>
      </c>
      <c r="F32" s="802">
        <f>SUM(F26:F31)</f>
        <v>3634709</v>
      </c>
      <c r="G32" s="1708" t="s">
        <v>8</v>
      </c>
      <c r="H32" s="1709"/>
      <c r="I32" s="783" t="s">
        <v>1166</v>
      </c>
      <c r="J32" s="725">
        <f>SUM(J26:J31)</f>
        <v>1049</v>
      </c>
      <c r="K32" s="1698"/>
      <c r="L32" s="1698"/>
      <c r="M32" s="1698"/>
      <c r="N32" s="1698" t="s">
        <v>1074</v>
      </c>
      <c r="O32" s="1698" t="s">
        <v>1075</v>
      </c>
    </row>
    <row r="33" spans="1:31" ht="14.25" thickTop="1" thickBot="1">
      <c r="A33" s="97" t="s">
        <v>68</v>
      </c>
      <c r="B33" s="52">
        <f>B15+B20+B23+B32</f>
        <v>90365177</v>
      </c>
      <c r="C33" s="45">
        <f>C15+C20+C23+C32</f>
        <v>26085</v>
      </c>
      <c r="D33" s="52">
        <f>D15+D20+D23+D32</f>
        <v>467591</v>
      </c>
      <c r="E33" s="52">
        <f>E15+E20+E23+E32</f>
        <v>0</v>
      </c>
      <c r="F33" s="724">
        <f>F15+F20+F23+F32</f>
        <v>89897586</v>
      </c>
      <c r="G33" s="1758" t="s">
        <v>84</v>
      </c>
      <c r="H33" s="1759"/>
      <c r="I33" s="1375">
        <f>ROUND($G$35/$C$6,0)</f>
        <v>24983</v>
      </c>
      <c r="J33" s="726">
        <f>J15+J20+J23+J32</f>
        <v>25950</v>
      </c>
      <c r="K33" s="1698"/>
      <c r="L33" s="1698"/>
      <c r="M33" s="1698"/>
      <c r="N33" s="1698"/>
      <c r="O33" s="1698"/>
    </row>
    <row r="34" spans="1:31" ht="14.25" thickTop="1" thickBot="1">
      <c r="B34" s="98"/>
      <c r="C34" s="75"/>
      <c r="D34" s="337"/>
      <c r="E34" s="337"/>
      <c r="F34" s="337" t="s">
        <v>1199</v>
      </c>
      <c r="G34" s="787">
        <f>G14*-1</f>
        <v>-3354441</v>
      </c>
      <c r="H34" s="337"/>
      <c r="I34" s="783" t="s">
        <v>1167</v>
      </c>
      <c r="J34" s="727"/>
      <c r="K34" s="1699"/>
      <c r="L34" s="1699"/>
      <c r="M34" s="1699"/>
      <c r="N34" s="1699"/>
      <c r="O34" s="1699"/>
    </row>
    <row r="35" spans="1:31" ht="14.25" thickTop="1" thickBot="1">
      <c r="A35" s="81" t="s">
        <v>72</v>
      </c>
      <c r="B35" s="81"/>
      <c r="C35" s="81"/>
      <c r="D35" s="728"/>
      <c r="E35" s="728"/>
      <c r="F35" s="788" t="s">
        <v>1165</v>
      </c>
      <c r="G35" s="803">
        <f>F33+G34</f>
        <v>86543145</v>
      </c>
      <c r="I35" s="1376">
        <f>ROUND($G$35/$I$8,0)</f>
        <v>329625</v>
      </c>
      <c r="K35" s="609"/>
      <c r="L35" s="609"/>
      <c r="M35" s="609"/>
      <c r="N35" s="609"/>
      <c r="O35" s="609"/>
    </row>
    <row r="36" spans="1:31" ht="13.5" thickTop="1">
      <c r="A36" s="99" t="s">
        <v>14</v>
      </c>
      <c r="B36" s="83">
        <f>'UNTD FGD'!M60</f>
        <v>18068894</v>
      </c>
      <c r="C36" s="83">
        <f t="shared" ref="C36:C46" si="9">ROUND(B36/$C$6,0)</f>
        <v>5216</v>
      </c>
      <c r="D36" s="512">
        <f>'UNTD FGD'!F60</f>
        <v>0</v>
      </c>
      <c r="E36" s="512"/>
      <c r="F36" s="512">
        <f t="shared" ref="F36:F46" si="10">B36-(SUM(D36:E36))</f>
        <v>18068894</v>
      </c>
      <c r="G36" s="337"/>
      <c r="H36" s="1378" t="s">
        <v>2158</v>
      </c>
      <c r="I36" s="1379">
        <f>ROUND(F36/$C$6,0)</f>
        <v>5216</v>
      </c>
      <c r="J36" s="337" t="s">
        <v>752</v>
      </c>
      <c r="K36" s="512">
        <f>F36</f>
        <v>18068894</v>
      </c>
      <c r="L36" s="512">
        <f>K36</f>
        <v>18068894</v>
      </c>
      <c r="M36" s="512"/>
      <c r="N36" s="512"/>
      <c r="O36" s="512"/>
    </row>
    <row r="37" spans="1:31">
      <c r="A37" s="99" t="s">
        <v>15</v>
      </c>
      <c r="B37" s="86">
        <f>'UNTD FGD'!M61</f>
        <v>113533</v>
      </c>
      <c r="C37" s="87">
        <f t="shared" si="9"/>
        <v>33</v>
      </c>
      <c r="D37" s="86">
        <f>'UNTD FGD'!F61</f>
        <v>0</v>
      </c>
      <c r="E37" s="74"/>
      <c r="F37" s="74">
        <f t="shared" si="10"/>
        <v>113533</v>
      </c>
      <c r="G37" s="337"/>
      <c r="H37" s="337"/>
      <c r="J37" s="337" t="s">
        <v>1076</v>
      </c>
      <c r="K37" s="373">
        <f>F37</f>
        <v>113533</v>
      </c>
      <c r="L37" s="373">
        <f>K37</f>
        <v>113533</v>
      </c>
      <c r="M37" s="373"/>
      <c r="N37" s="373"/>
      <c r="O37" s="373"/>
    </row>
    <row r="38" spans="1:31">
      <c r="A38" s="99" t="s">
        <v>16</v>
      </c>
      <c r="B38" s="86">
        <f>'UNTD FGD'!M62</f>
        <v>2931830</v>
      </c>
      <c r="C38" s="87">
        <f t="shared" si="9"/>
        <v>846</v>
      </c>
      <c r="D38" s="86">
        <f>'UNTD FGD'!F62</f>
        <v>0</v>
      </c>
      <c r="E38" s="86">
        <f>B38-D38</f>
        <v>2931830</v>
      </c>
      <c r="F38" s="74">
        <f t="shared" si="10"/>
        <v>0</v>
      </c>
      <c r="G38" s="337"/>
      <c r="H38" s="337"/>
      <c r="I38" s="337"/>
      <c r="J38" s="337" t="s">
        <v>1077</v>
      </c>
      <c r="K38" s="736"/>
      <c r="L38" s="737"/>
      <c r="M38" s="737" t="s">
        <v>1152</v>
      </c>
      <c r="N38" s="737"/>
      <c r="O38" s="738"/>
    </row>
    <row r="39" spans="1:31">
      <c r="A39" s="99" t="s">
        <v>17</v>
      </c>
      <c r="B39" s="86">
        <f>'UNTD FGD'!M63</f>
        <v>4538691</v>
      </c>
      <c r="C39" s="87">
        <f t="shared" si="9"/>
        <v>1310</v>
      </c>
      <c r="D39" s="86">
        <f>'UNTD FGD'!F63</f>
        <v>0</v>
      </c>
      <c r="E39" s="74"/>
      <c r="F39" s="74">
        <f t="shared" si="10"/>
        <v>4538691</v>
      </c>
      <c r="G39" s="337"/>
      <c r="H39" s="1378" t="s">
        <v>2159</v>
      </c>
      <c r="I39" s="1379">
        <f>ROUND(F39/$C$6,0)</f>
        <v>1310</v>
      </c>
      <c r="J39" s="337" t="s">
        <v>1078</v>
      </c>
      <c r="K39" s="373">
        <f t="shared" ref="K39:K43" si="11">F39</f>
        <v>4538691</v>
      </c>
      <c r="L39" s="373">
        <f>K39</f>
        <v>4538691</v>
      </c>
      <c r="M39" s="373"/>
      <c r="N39" s="373"/>
      <c r="O39" s="373"/>
    </row>
    <row r="40" spans="1:31">
      <c r="A40" s="99" t="s">
        <v>18</v>
      </c>
      <c r="B40" s="86">
        <f>'UNTD FGD'!M64</f>
        <v>8869650</v>
      </c>
      <c r="C40" s="87">
        <f t="shared" si="9"/>
        <v>2560</v>
      </c>
      <c r="D40" s="86">
        <f>'UNTD FGD'!F64</f>
        <v>0</v>
      </c>
      <c r="E40" s="74"/>
      <c r="F40" s="74">
        <f t="shared" si="10"/>
        <v>8869650</v>
      </c>
      <c r="G40" s="337"/>
      <c r="J40" s="337" t="s">
        <v>1079</v>
      </c>
      <c r="K40" s="373">
        <f t="shared" si="11"/>
        <v>8869650</v>
      </c>
      <c r="L40" s="373"/>
      <c r="M40" s="373">
        <f>K40</f>
        <v>8869650</v>
      </c>
      <c r="N40" s="373"/>
      <c r="O40" s="373"/>
    </row>
    <row r="41" spans="1:31">
      <c r="A41" s="99" t="s">
        <v>19</v>
      </c>
      <c r="B41" s="86">
        <f>'UNTD FGD'!M65</f>
        <v>7524014</v>
      </c>
      <c r="C41" s="87">
        <f t="shared" si="9"/>
        <v>2172</v>
      </c>
      <c r="D41" s="86">
        <f>'UNTD FGD'!F65</f>
        <v>0</v>
      </c>
      <c r="E41" s="74"/>
      <c r="F41" s="74">
        <f t="shared" si="10"/>
        <v>7524014</v>
      </c>
      <c r="G41" s="337"/>
      <c r="H41" s="1378" t="s">
        <v>2160</v>
      </c>
      <c r="I41" s="1379">
        <f>ROUND(F41/$C$6,0)</f>
        <v>2172</v>
      </c>
      <c r="J41" s="337" t="s">
        <v>757</v>
      </c>
      <c r="K41" s="373">
        <f t="shared" si="11"/>
        <v>7524014</v>
      </c>
      <c r="L41" s="373"/>
      <c r="M41" s="373"/>
      <c r="N41" s="373">
        <f>K41</f>
        <v>7524014</v>
      </c>
      <c r="O41" s="373"/>
    </row>
    <row r="42" spans="1:31">
      <c r="A42" s="99" t="s">
        <v>20</v>
      </c>
      <c r="B42" s="86">
        <f>'UNTD FGD'!M66</f>
        <v>6142514</v>
      </c>
      <c r="C42" s="87">
        <f t="shared" si="9"/>
        <v>1773</v>
      </c>
      <c r="D42" s="86">
        <f>'UNTD FGD'!F66</f>
        <v>0</v>
      </c>
      <c r="E42" s="74"/>
      <c r="F42" s="74">
        <f t="shared" si="10"/>
        <v>6142514</v>
      </c>
      <c r="G42" s="337"/>
      <c r="J42" s="337" t="s">
        <v>758</v>
      </c>
      <c r="K42" s="373">
        <f t="shared" si="11"/>
        <v>6142514</v>
      </c>
      <c r="L42" s="373"/>
      <c r="M42" s="373"/>
      <c r="N42" s="373">
        <f>K42</f>
        <v>6142514</v>
      </c>
      <c r="O42" s="373"/>
    </row>
    <row r="43" spans="1:31">
      <c r="A43" s="99" t="s">
        <v>21</v>
      </c>
      <c r="B43" s="86">
        <f>'UNTD FGD'!M67</f>
        <v>16479268</v>
      </c>
      <c r="C43" s="87">
        <f t="shared" si="9"/>
        <v>4757</v>
      </c>
      <c r="D43" s="86">
        <f>'UNTD FGD'!F67</f>
        <v>0</v>
      </c>
      <c r="E43" s="74"/>
      <c r="F43" s="74">
        <f t="shared" si="10"/>
        <v>16479268</v>
      </c>
      <c r="G43" s="337"/>
      <c r="H43" s="337"/>
      <c r="I43" s="337"/>
      <c r="J43" s="337" t="s">
        <v>1145</v>
      </c>
      <c r="K43" s="373">
        <f t="shared" si="11"/>
        <v>16479268</v>
      </c>
      <c r="L43" s="373"/>
      <c r="M43" s="373">
        <f>K43</f>
        <v>16479268</v>
      </c>
      <c r="N43" s="373"/>
      <c r="O43" s="373"/>
    </row>
    <row r="44" spans="1:31">
      <c r="A44" s="99" t="s">
        <v>2135</v>
      </c>
      <c r="B44" s="86">
        <f>'UNTD FGD'!M68</f>
        <v>730452</v>
      </c>
      <c r="C44" s="87">
        <f t="shared" si="9"/>
        <v>211</v>
      </c>
      <c r="D44" s="729">
        <f>B44</f>
        <v>730452</v>
      </c>
      <c r="E44" s="74"/>
      <c r="F44" s="74">
        <f t="shared" si="10"/>
        <v>0</v>
      </c>
      <c r="G44" s="337"/>
      <c r="H44" s="337"/>
      <c r="I44" s="337"/>
      <c r="J44" s="337" t="s">
        <v>743</v>
      </c>
      <c r="K44" s="736"/>
      <c r="L44" s="737"/>
      <c r="M44" s="737" t="s">
        <v>1152</v>
      </c>
      <c r="N44" s="737"/>
      <c r="O44" s="738"/>
    </row>
    <row r="45" spans="1:31">
      <c r="A45" s="99" t="s">
        <v>61</v>
      </c>
      <c r="B45" s="86">
        <f>'UNTD FGD'!M69</f>
        <v>1963261</v>
      </c>
      <c r="C45" s="87">
        <f t="shared" si="9"/>
        <v>567</v>
      </c>
      <c r="D45" s="86">
        <f>'UNTD FGD'!F69</f>
        <v>238473</v>
      </c>
      <c r="E45" s="74"/>
      <c r="F45" s="74">
        <f t="shared" si="10"/>
        <v>1724788</v>
      </c>
      <c r="G45" s="337"/>
      <c r="H45" s="337"/>
      <c r="I45" s="337"/>
      <c r="J45" s="337" t="s">
        <v>1080</v>
      </c>
      <c r="K45" s="373">
        <f t="shared" ref="K45:K46" si="12">F45</f>
        <v>1724788</v>
      </c>
      <c r="L45" s="373"/>
      <c r="M45" s="373"/>
      <c r="N45" s="373"/>
      <c r="O45" s="373">
        <f>K45</f>
        <v>1724788</v>
      </c>
    </row>
    <row r="46" spans="1:31" ht="13.5" thickBot="1">
      <c r="A46" s="75" t="s">
        <v>50</v>
      </c>
      <c r="B46" s="86">
        <f>'UNTD FGD'!M70</f>
        <v>1972025</v>
      </c>
      <c r="C46" s="87">
        <f t="shared" si="9"/>
        <v>569</v>
      </c>
      <c r="D46" s="86">
        <f>'UNTD FGD'!F70</f>
        <v>0</v>
      </c>
      <c r="E46" s="74"/>
      <c r="F46" s="74">
        <f t="shared" si="10"/>
        <v>1972025</v>
      </c>
      <c r="G46" s="35"/>
      <c r="H46" s="1378" t="s">
        <v>2161</v>
      </c>
      <c r="I46" s="1379">
        <f>ROUND(SUM(F37+F40+F42+F43+F45+F46)/$C$6,0)</f>
        <v>10191</v>
      </c>
      <c r="J46" s="610" t="s">
        <v>1075</v>
      </c>
      <c r="K46" s="373">
        <f t="shared" si="12"/>
        <v>1972025</v>
      </c>
      <c r="L46" s="611"/>
      <c r="M46" s="611"/>
      <c r="N46" s="611"/>
      <c r="O46" s="373">
        <f>K46</f>
        <v>1972025</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69334132</v>
      </c>
      <c r="C47" s="45">
        <f>SUM(C36:C46)</f>
        <v>20014</v>
      </c>
      <c r="D47" s="730">
        <f>SUM(D36:D46)</f>
        <v>968925</v>
      </c>
      <c r="E47" s="731">
        <f>SUM(E36:E46)</f>
        <v>2931830</v>
      </c>
      <c r="F47" s="719">
        <f>SUM(F36:F46)</f>
        <v>65433377</v>
      </c>
      <c r="G47" s="1688" t="s">
        <v>1176</v>
      </c>
      <c r="H47" s="1689"/>
      <c r="I47" s="785" t="s">
        <v>1164</v>
      </c>
      <c r="J47" s="610" t="s">
        <v>1081</v>
      </c>
      <c r="K47" s="612">
        <f>SUM(K36:K46)</f>
        <v>65433377</v>
      </c>
      <c r="L47" s="612">
        <f>SUM(L36:L46)</f>
        <v>22721118</v>
      </c>
      <c r="M47" s="612">
        <f>SUM(M36:M46)</f>
        <v>25348918</v>
      </c>
      <c r="N47" s="612">
        <f>SUM(N36:N46)</f>
        <v>13666528</v>
      </c>
      <c r="O47" s="612">
        <f>SUM(O36:O46)</f>
        <v>3696813</v>
      </c>
    </row>
    <row r="48" spans="1:31" ht="14.25" thickTop="1" thickBot="1">
      <c r="A48" s="93"/>
      <c r="B48" s="98"/>
      <c r="C48" s="75"/>
      <c r="F48" s="613"/>
      <c r="G48" s="1690"/>
      <c r="H48" s="1691"/>
      <c r="I48" s="823">
        <f>ROUND(F47/C6,0)</f>
        <v>18889</v>
      </c>
      <c r="J48" s="1700" t="s">
        <v>1082</v>
      </c>
      <c r="K48" s="611"/>
      <c r="L48" s="611"/>
      <c r="M48" s="611"/>
      <c r="N48" s="611"/>
      <c r="O48" s="611"/>
    </row>
    <row r="49" spans="1:31" ht="13.5" thickBot="1">
      <c r="A49" s="78" t="s">
        <v>23</v>
      </c>
      <c r="B49" s="82"/>
      <c r="C49" s="75"/>
      <c r="F49" s="614"/>
      <c r="G49" s="1690"/>
      <c r="H49" s="1691"/>
      <c r="I49" s="811"/>
      <c r="J49" s="1700"/>
      <c r="K49" s="615">
        <f>ROUND(K47/$C$6,2)</f>
        <v>18888.78</v>
      </c>
      <c r="L49" s="615">
        <f t="shared" ref="L49:O49" si="13">ROUND(L47/$C$6,2)</f>
        <v>6558.95</v>
      </c>
      <c r="M49" s="615">
        <f t="shared" si="13"/>
        <v>7317.52</v>
      </c>
      <c r="N49" s="615">
        <f t="shared" si="13"/>
        <v>3945.14</v>
      </c>
      <c r="O49" s="615">
        <f t="shared" si="13"/>
        <v>1067.17</v>
      </c>
      <c r="P49" s="35"/>
      <c r="Q49" s="96"/>
      <c r="R49" s="96"/>
      <c r="S49" s="96"/>
      <c r="T49" s="96"/>
      <c r="U49" s="96"/>
      <c r="V49" s="96"/>
      <c r="W49" s="96"/>
      <c r="X49" s="96"/>
      <c r="Y49" s="96"/>
      <c r="Z49" s="96"/>
      <c r="AA49" s="96"/>
      <c r="AB49" s="96"/>
      <c r="AC49" s="96"/>
      <c r="AD49" s="96"/>
      <c r="AE49" s="96"/>
    </row>
    <row r="50" spans="1:31" ht="13.5" thickBot="1">
      <c r="A50" s="75" t="s">
        <v>62</v>
      </c>
      <c r="B50" s="86">
        <f>'UNTD FGD'!M74</f>
        <v>-1122444</v>
      </c>
      <c r="C50" s="83">
        <f t="shared" ref="C50:C53" si="14">ROUND(B50/$C$6,0)</f>
        <v>-324</v>
      </c>
      <c r="D50" s="512">
        <f>'UNTD FGD'!F74</f>
        <v>0</v>
      </c>
      <c r="E50" s="512"/>
      <c r="F50" s="732">
        <f t="shared" ref="F50:F53" si="15">B50-(SUM(D50:E50))</f>
        <v>-1122444</v>
      </c>
      <c r="G50" s="1692"/>
      <c r="H50" s="1693"/>
      <c r="I50" s="808"/>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'UNTD FGD'!M75</f>
        <v>-10608967</v>
      </c>
      <c r="C51" s="87">
        <f t="shared" si="14"/>
        <v>-3063</v>
      </c>
      <c r="D51" s="91">
        <f>'UNTD FGD'!F75</f>
        <v>622662</v>
      </c>
      <c r="E51" s="82"/>
      <c r="F51" s="74">
        <f t="shared" si="15"/>
        <v>-11231629</v>
      </c>
      <c r="G51" s="337"/>
      <c r="J51" s="337"/>
      <c r="K51" s="616"/>
      <c r="L51" s="616"/>
      <c r="M51" s="616"/>
      <c r="N51" s="616"/>
      <c r="O51" s="616"/>
    </row>
    <row r="52" spans="1:31">
      <c r="A52" s="75" t="s">
        <v>51</v>
      </c>
      <c r="B52" s="86">
        <f>'UNTD FGD'!M76</f>
        <v>0</v>
      </c>
      <c r="C52" s="87">
        <f t="shared" si="14"/>
        <v>0</v>
      </c>
      <c r="D52" s="91">
        <f>'UNTD FGD'!F76</f>
        <v>0</v>
      </c>
      <c r="E52" s="82"/>
      <c r="F52" s="74">
        <f t="shared" si="15"/>
        <v>0</v>
      </c>
      <c r="G52" s="337"/>
      <c r="J52" s="733"/>
      <c r="K52" s="733"/>
      <c r="L52" s="733"/>
      <c r="M52" s="733"/>
      <c r="N52" s="733"/>
      <c r="O52" s="733"/>
    </row>
    <row r="53" spans="1:31" ht="12" customHeight="1">
      <c r="A53" s="75" t="s">
        <v>46</v>
      </c>
      <c r="B53" s="86">
        <f>'UNTD FGD'!M77</f>
        <v>0</v>
      </c>
      <c r="C53" s="87">
        <f t="shared" si="14"/>
        <v>0</v>
      </c>
      <c r="D53" s="91">
        <f>'UNTD FGD'!F77</f>
        <v>0</v>
      </c>
      <c r="E53" s="82"/>
      <c r="F53" s="74">
        <f t="shared" si="15"/>
        <v>0</v>
      </c>
      <c r="G53" s="35"/>
      <c r="J53" s="733"/>
      <c r="K53" s="733"/>
      <c r="L53" s="733"/>
      <c r="M53" s="733"/>
      <c r="N53" s="733"/>
      <c r="O53" s="733"/>
      <c r="P53" s="35"/>
      <c r="Q53" s="96"/>
      <c r="R53" s="96"/>
      <c r="S53" s="96"/>
      <c r="T53" s="96"/>
      <c r="U53" s="96"/>
      <c r="V53" s="96"/>
      <c r="W53" s="96"/>
      <c r="X53" s="96"/>
      <c r="Y53" s="96"/>
      <c r="Z53" s="96"/>
      <c r="AA53" s="96"/>
      <c r="AB53" s="96"/>
      <c r="AC53" s="96"/>
      <c r="AD53" s="96"/>
      <c r="AE53" s="96"/>
    </row>
    <row r="54" spans="1:31">
      <c r="A54" s="88" t="s">
        <v>3</v>
      </c>
      <c r="B54" s="89">
        <f>SUM(B50:B53)</f>
        <v>-11731411</v>
      </c>
      <c r="C54" s="89">
        <f>SUM(C50:C53)</f>
        <v>-3387</v>
      </c>
      <c r="D54" s="89">
        <f>SUM(D50:D53)</f>
        <v>622662</v>
      </c>
      <c r="E54" s="89">
        <f>SUM(E50:E53)</f>
        <v>0</v>
      </c>
      <c r="F54" s="102">
        <f>SUM(F50:F53)</f>
        <v>-12354073</v>
      </c>
      <c r="G54" s="337"/>
      <c r="H54" s="337"/>
      <c r="I54" s="337"/>
      <c r="J54" s="733"/>
      <c r="K54" s="733"/>
      <c r="L54" s="733"/>
      <c r="M54" s="733"/>
      <c r="N54" s="733"/>
      <c r="O54" s="733"/>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'UNTD FGD'!M81</f>
        <v>1930527</v>
      </c>
      <c r="C57" s="83">
        <f>ROUND(B57/$C$6,0)</f>
        <v>557</v>
      </c>
      <c r="D57" s="512">
        <f>'UNTD FGD'!F81</f>
        <v>0</v>
      </c>
      <c r="E57" s="512"/>
      <c r="F57" s="512">
        <f t="shared" ref="F57:F58" si="16">B57-(SUM(D57:E57))</f>
        <v>1930527</v>
      </c>
      <c r="G57" s="337"/>
      <c r="H57" s="337"/>
      <c r="I57" s="337"/>
      <c r="J57" s="337"/>
    </row>
    <row r="58" spans="1:31">
      <c r="A58" s="75" t="s">
        <v>48</v>
      </c>
      <c r="B58" s="86">
        <f>'UNTD FGD'!M82</f>
        <v>840</v>
      </c>
      <c r="C58" s="87">
        <f>ROUND(B58/$C$6,0)</f>
        <v>0</v>
      </c>
      <c r="D58" s="91">
        <f>'UNTD FGD'!F82</f>
        <v>0</v>
      </c>
      <c r="E58" s="82"/>
      <c r="F58" s="74">
        <f t="shared" si="16"/>
        <v>840</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1931367</v>
      </c>
      <c r="C59" s="89">
        <f>SUM(C57:C58)</f>
        <v>557</v>
      </c>
      <c r="D59" s="89">
        <f>SUM(D57:D58)</f>
        <v>0</v>
      </c>
      <c r="E59" s="89">
        <f>SUM(E57:E58)</f>
        <v>0</v>
      </c>
      <c r="F59" s="89">
        <f>SUM(F57:F58)</f>
        <v>1931367</v>
      </c>
      <c r="G59" s="367"/>
      <c r="H59" s="367"/>
      <c r="I59" s="367"/>
      <c r="J59" s="367"/>
      <c r="K59" s="266"/>
      <c r="L59" s="266"/>
      <c r="M59" s="266"/>
      <c r="N59" s="266"/>
      <c r="O59" s="266"/>
      <c r="P59" s="266"/>
    </row>
    <row r="60" spans="1:31">
      <c r="B60" s="82"/>
      <c r="C60" s="75"/>
    </row>
    <row r="61" spans="1:31" ht="13.5" thickBot="1">
      <c r="A61" s="103" t="s">
        <v>573</v>
      </c>
      <c r="B61" s="46">
        <f>B33-B47+B54+B59</f>
        <v>11231001</v>
      </c>
      <c r="C61" s="46">
        <f>C33-C47+C54+C59</f>
        <v>3241</v>
      </c>
      <c r="D61" s="46">
        <f>D33-D47+D54+D59</f>
        <v>121328</v>
      </c>
      <c r="E61" s="46">
        <f>E33-E47+E54+E59</f>
        <v>-2931830</v>
      </c>
      <c r="F61" s="46">
        <f>F33-F47+F54+F59</f>
        <v>14041503</v>
      </c>
    </row>
    <row r="62" spans="1:31" ht="13.5" thickTop="1"/>
    <row r="63" spans="1:31">
      <c r="D63" s="512"/>
    </row>
    <row r="65" spans="2:16">
      <c r="B65" s="734">
        <f>'UNTD FGD'!$M$85</f>
        <v>11231001</v>
      </c>
      <c r="C65" s="75"/>
      <c r="D65" s="734">
        <f>'UNTD FGD'!$F$85</f>
        <v>121328</v>
      </c>
      <c r="E65" s="734">
        <f>'UNTD FGD'!$M$62*-1</f>
        <v>-2931830</v>
      </c>
      <c r="F65" s="75"/>
    </row>
    <row r="66" spans="2:16">
      <c r="B66" s="734"/>
      <c r="C66" s="75"/>
      <c r="D66" s="734">
        <f>'UNTD FGD'!$F$68</f>
        <v>730452</v>
      </c>
      <c r="E66" s="734">
        <f>+$D$38</f>
        <v>0</v>
      </c>
      <c r="F66" s="734"/>
    </row>
    <row r="67" spans="2:16">
      <c r="B67" s="759"/>
      <c r="C67" s="75"/>
      <c r="D67" s="759">
        <f>-'UNTD FGD'!$M$68</f>
        <v>-730452</v>
      </c>
      <c r="E67" s="759"/>
      <c r="F67" s="734"/>
    </row>
    <row r="68" spans="2:16">
      <c r="B68" s="734">
        <f>SUM(B65:B67)</f>
        <v>11231001</v>
      </c>
      <c r="C68" s="75"/>
      <c r="D68" s="734">
        <f>SUM(D65:D67)</f>
        <v>121328</v>
      </c>
      <c r="E68" s="734">
        <f>SUM(E65:E67)</f>
        <v>-2931830</v>
      </c>
      <c r="F68" s="734">
        <f>B68-D68-E68</f>
        <v>14041503</v>
      </c>
    </row>
    <row r="69" spans="2:16">
      <c r="B69" s="734"/>
      <c r="C69" s="75"/>
      <c r="D69" s="734">
        <f>'UNTD FGD'!F54*-1</f>
        <v>-467591</v>
      </c>
      <c r="E69" s="734"/>
      <c r="F69" s="734"/>
    </row>
    <row r="70" spans="2:16" ht="12.75" customHeight="1">
      <c r="B70" s="759"/>
      <c r="C70" s="95"/>
      <c r="D70" s="759">
        <f>'UNTD FGD'!M54</f>
        <v>467591</v>
      </c>
      <c r="E70" s="759"/>
      <c r="F70" s="759">
        <f>-D70-D69</f>
        <v>0</v>
      </c>
    </row>
    <row r="71" spans="2:16" ht="12.75" customHeight="1">
      <c r="B71" s="734">
        <f>SUM(B68:B70)</f>
        <v>11231001</v>
      </c>
      <c r="C71" s="75"/>
      <c r="D71" s="734">
        <f>SUM(D68:D70)</f>
        <v>121328</v>
      </c>
      <c r="E71" s="734">
        <f>SUM(E68:E70)</f>
        <v>-2931830</v>
      </c>
      <c r="F71" s="734">
        <f>SUM(F68:F70)</f>
        <v>14041503</v>
      </c>
    </row>
    <row r="72" spans="2:16" ht="12.75" customHeight="1">
      <c r="B72" s="734"/>
      <c r="C72" s="75"/>
      <c r="D72" s="734"/>
      <c r="E72" s="734"/>
      <c r="F72" s="734"/>
    </row>
    <row r="73" spans="2:16" ht="12.75" customHeight="1">
      <c r="B73" s="512">
        <f>B61-B71</f>
        <v>0</v>
      </c>
      <c r="C73" s="75"/>
      <c r="D73" s="512">
        <f>D61-D71</f>
        <v>0</v>
      </c>
      <c r="E73" s="512">
        <f>E61-E71</f>
        <v>0</v>
      </c>
      <c r="F73" s="512">
        <f>F61-F71</f>
        <v>0</v>
      </c>
    </row>
    <row r="74" spans="2:16" ht="12.75" customHeight="1">
      <c r="C74" s="75"/>
      <c r="F74" s="617"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G47:H50"/>
    <mergeCell ref="K30:O30"/>
    <mergeCell ref="M31:M34"/>
    <mergeCell ref="G32:H32"/>
    <mergeCell ref="G33:H33"/>
    <mergeCell ref="L31:L34"/>
    <mergeCell ref="K31:K34"/>
    <mergeCell ref="N31:N34"/>
    <mergeCell ref="O31:O34"/>
    <mergeCell ref="J48:J49"/>
    <mergeCell ref="F1:I1"/>
    <mergeCell ref="J1:O1"/>
    <mergeCell ref="D1:E1"/>
    <mergeCell ref="K29:O29"/>
    <mergeCell ref="D4:D5"/>
    <mergeCell ref="E4:E5"/>
  </mergeCells>
  <hyperlinks>
    <hyperlink ref="D1:E1" location="Index!A1" display="Return to Index" xr:uid="{00000000-0004-0000-96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sheetPr>
    <tabColor indexed="11"/>
    <pageSetUpPr fitToPage="1"/>
  </sheetPr>
  <dimension ref="A1:AB122"/>
  <sheetViews>
    <sheetView showGridLines="0" zoomScale="75" zoomScaleNormal="75" workbookViewId="0">
      <pane xSplit="2" ySplit="8" topLeftCell="C9"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5.42578125" style="164" customWidth="1"/>
    <col min="15" max="15" width="14.42578125" style="261" customWidth="1"/>
    <col min="16" max="16" width="25.7109375" style="264" customWidth="1"/>
    <col min="17" max="17" width="16.42578125" style="264" customWidth="1"/>
    <col min="18" max="18" width="16.7109375" style="264" customWidth="1"/>
    <col min="19" max="19" width="1.7109375" style="264" customWidth="1"/>
    <col min="20" max="20" width="17.140625" style="264" customWidth="1"/>
    <col min="21" max="21" width="16.85546875" style="264" customWidth="1"/>
    <col min="22" max="23" width="19.28515625" style="264" customWidth="1"/>
    <col min="24" max="24" width="16.855468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13" t="str">
        <f>'UNTD Chrts'!$A$1</f>
        <v>University of North Texas at Dallas</v>
      </c>
      <c r="C2" s="1713"/>
      <c r="D2" s="1713"/>
      <c r="E2" s="1713"/>
      <c r="F2" s="1742"/>
      <c r="G2" s="160"/>
      <c r="H2" s="161"/>
      <c r="I2" s="320" t="str">
        <f>IF($B$2&lt;&gt;Input!$B$37,"Name Mismatch","")</f>
        <v/>
      </c>
      <c r="J2" s="168"/>
      <c r="K2" s="169"/>
      <c r="L2" s="169"/>
      <c r="M2" s="170"/>
      <c r="O2" s="835" t="s">
        <v>1200</v>
      </c>
      <c r="P2" s="36"/>
    </row>
    <row r="3" spans="1:28" ht="20.25">
      <c r="A3" s="184">
        <v>2</v>
      </c>
      <c r="B3" s="1713" t="str">
        <f>'Smmy Chrts'!$A$2</f>
        <v>For the Year Ended August 31, 2021</v>
      </c>
      <c r="C3" s="1713"/>
      <c r="D3" s="1713"/>
      <c r="E3" s="1713"/>
      <c r="F3" s="1742"/>
      <c r="G3" s="161"/>
      <c r="H3" s="161"/>
      <c r="I3" s="169"/>
      <c r="J3" s="168"/>
      <c r="K3" s="169"/>
      <c r="L3" s="169"/>
      <c r="M3" s="170"/>
      <c r="O3" s="74"/>
    </row>
    <row r="4" spans="1:28" ht="20.25">
      <c r="A4" s="184">
        <v>3</v>
      </c>
      <c r="B4" s="1713" t="str">
        <f>'Smmy Chrts'!$A$3</f>
        <v>Source: FY 2021 Annual Financial Report</v>
      </c>
      <c r="C4" s="1713"/>
      <c r="D4" s="1713"/>
      <c r="E4" s="1713"/>
      <c r="F4" s="1742"/>
      <c r="G4" s="161"/>
      <c r="H4" s="161"/>
      <c r="I4" s="169"/>
      <c r="J4" s="168"/>
      <c r="K4" s="169"/>
      <c r="L4" s="169"/>
      <c r="M4" s="170"/>
      <c r="O4" s="74"/>
      <c r="P4" s="1744" t="s">
        <v>93</v>
      </c>
      <c r="Q4" s="1745"/>
      <c r="T4" s="36" t="s">
        <v>250</v>
      </c>
    </row>
    <row r="5" spans="1:28">
      <c r="A5" s="184">
        <v>4</v>
      </c>
      <c r="B5" s="160"/>
      <c r="C5" s="160"/>
      <c r="D5" s="160"/>
      <c r="E5" s="160"/>
      <c r="F5" s="160"/>
      <c r="G5" s="160"/>
      <c r="H5" s="160"/>
      <c r="I5" s="160"/>
      <c r="J5" s="160"/>
      <c r="K5" s="160"/>
      <c r="L5" s="160"/>
      <c r="M5" s="166"/>
      <c r="O5" s="262"/>
    </row>
    <row r="6" spans="1:28">
      <c r="A6" s="184">
        <v>5</v>
      </c>
      <c r="B6" s="1715" t="str">
        <f>'Smmy Chrts'!$C$32</f>
        <v>Detail Worksheet FY 2021</v>
      </c>
      <c r="C6" s="1715"/>
      <c r="D6" s="1743"/>
      <c r="E6" s="1743"/>
      <c r="F6" s="1743"/>
      <c r="G6" s="1743"/>
      <c r="H6" s="1743"/>
      <c r="I6" s="1743"/>
      <c r="J6" s="1743"/>
      <c r="K6" s="1743"/>
      <c r="L6" s="1743"/>
      <c r="M6" s="1743"/>
      <c r="O6" s="265"/>
    </row>
    <row r="7" spans="1:28">
      <c r="A7" s="184">
        <v>6</v>
      </c>
      <c r="B7" s="172"/>
      <c r="C7" s="172"/>
      <c r="D7" s="160"/>
      <c r="E7" s="160"/>
      <c r="F7" s="160"/>
      <c r="G7" s="160"/>
      <c r="H7" s="160"/>
      <c r="I7" s="160"/>
      <c r="J7" s="160"/>
      <c r="K7" s="160"/>
      <c r="L7" s="160"/>
      <c r="M7" s="173" t="str">
        <f>'Smmy Chrts'!$C$33</f>
        <v>FY 2021</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Input!$M$37</f>
        <v>26574019</v>
      </c>
      <c r="E10" s="372">
        <f>Input!$N$37</f>
        <v>0</v>
      </c>
      <c r="F10" s="372">
        <f>Input!$O$37</f>
        <v>0</v>
      </c>
      <c r="G10" s="372">
        <f>Input!$P$37</f>
        <v>0</v>
      </c>
      <c r="H10" s="372">
        <f>Input!$Q$37</f>
        <v>0</v>
      </c>
      <c r="I10" s="372">
        <f>Input!$R$37</f>
        <v>0</v>
      </c>
      <c r="J10" s="372">
        <f>Input!$S$37</f>
        <v>0</v>
      </c>
      <c r="K10" s="372">
        <f>Input!$T$37</f>
        <v>0</v>
      </c>
      <c r="L10" s="372">
        <f>Input!$U$37</f>
        <v>0</v>
      </c>
      <c r="M10" s="373">
        <f t="shared" ref="M10:M15" si="0">D10+E10+F10+G10+H10+I10+J10+K10+L10</f>
        <v>26574019</v>
      </c>
      <c r="N10" s="160"/>
      <c r="O10" s="271"/>
      <c r="P10" s="1718" t="s">
        <v>575</v>
      </c>
      <c r="U10" s="268"/>
    </row>
    <row r="11" spans="1:28">
      <c r="A11" s="184">
        <v>10</v>
      </c>
      <c r="B11" s="160" t="s">
        <v>2</v>
      </c>
      <c r="C11" s="160"/>
      <c r="D11" s="372">
        <f>Input!$V$37</f>
        <v>3122912</v>
      </c>
      <c r="E11" s="372">
        <f>Input!$W$37</f>
        <v>0</v>
      </c>
      <c r="F11" s="372">
        <f>Input!$X$37</f>
        <v>0</v>
      </c>
      <c r="G11" s="372">
        <f>Input!$Y$37</f>
        <v>376613</v>
      </c>
      <c r="H11" s="372">
        <f>Input!$Z$37</f>
        <v>0</v>
      </c>
      <c r="I11" s="372">
        <f>Input!$AA$37</f>
        <v>0</v>
      </c>
      <c r="J11" s="372">
        <f>Input!$AB$37</f>
        <v>0</v>
      </c>
      <c r="K11" s="372">
        <f>Input!$AC$37</f>
        <v>0</v>
      </c>
      <c r="L11" s="372">
        <f>Input!$AD$37</f>
        <v>0</v>
      </c>
      <c r="M11" s="373">
        <f t="shared" si="0"/>
        <v>3499525</v>
      </c>
      <c r="N11" s="160"/>
      <c r="O11" s="482"/>
      <c r="P11" s="1719"/>
      <c r="U11" s="268"/>
    </row>
    <row r="12" spans="1:28" ht="12.75" hidden="1" customHeight="1">
      <c r="B12" s="160" t="s">
        <v>1410</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Input!$AN$37</f>
        <v>3354441</v>
      </c>
      <c r="E13" s="372">
        <f>Input!$AO$37</f>
        <v>0</v>
      </c>
      <c r="F13" s="372">
        <f>Input!$AP$37</f>
        <v>0</v>
      </c>
      <c r="G13" s="372">
        <f>Input!$AQ$37</f>
        <v>0</v>
      </c>
      <c r="H13" s="372">
        <f>Input!$AR$37</f>
        <v>0</v>
      </c>
      <c r="I13" s="372">
        <f>Input!$AS$37</f>
        <v>0</v>
      </c>
      <c r="J13" s="372">
        <f>Input!$AT$37</f>
        <v>0</v>
      </c>
      <c r="K13" s="372">
        <f>Input!$AU$37</f>
        <v>0</v>
      </c>
      <c r="L13" s="372">
        <f>Input!$AV$37</f>
        <v>0</v>
      </c>
      <c r="M13" s="373">
        <f t="shared" si="0"/>
        <v>3354441</v>
      </c>
      <c r="N13" s="160"/>
      <c r="O13" s="482" t="str">
        <f>IF(P13&lt;&gt;M13,"Out of Balance","Balanced")</f>
        <v>Balanced</v>
      </c>
      <c r="P13" s="484">
        <f>IFERROR(VLOOKUP($B$2,AMTLU,6,FALSE),0)</f>
        <v>3354441</v>
      </c>
      <c r="U13" s="268"/>
    </row>
    <row r="14" spans="1:28">
      <c r="A14" s="184">
        <v>13</v>
      </c>
      <c r="B14" s="160" t="s">
        <v>49</v>
      </c>
      <c r="C14" s="160"/>
      <c r="D14" s="372">
        <f>Input!$AW$37</f>
        <v>0</v>
      </c>
      <c r="E14" s="372">
        <f>Input!$AX$37</f>
        <v>0</v>
      </c>
      <c r="F14" s="372">
        <f>Input!$AY$37</f>
        <v>0</v>
      </c>
      <c r="G14" s="372">
        <f>Input!$AZ$37</f>
        <v>0</v>
      </c>
      <c r="H14" s="372">
        <f>Input!$BA$37</f>
        <v>0</v>
      </c>
      <c r="I14" s="372">
        <f>Input!$BB$37</f>
        <v>0</v>
      </c>
      <c r="J14" s="372">
        <f>Input!$BC$37</f>
        <v>0</v>
      </c>
      <c r="K14" s="372">
        <f>Input!$BD$37</f>
        <v>0</v>
      </c>
      <c r="L14" s="372">
        <f>Input!$BE$37</f>
        <v>0</v>
      </c>
      <c r="M14" s="373">
        <f t="shared" si="0"/>
        <v>0</v>
      </c>
      <c r="N14" s="160"/>
      <c r="O14" s="482"/>
      <c r="P14" s="485"/>
    </row>
    <row r="15" spans="1:28" ht="15">
      <c r="A15" s="184">
        <v>14</v>
      </c>
      <c r="B15" s="176" t="s">
        <v>3</v>
      </c>
      <c r="C15" s="176"/>
      <c r="D15" s="374">
        <f t="shared" ref="D15:L15" si="1">SUM(D10:D14)</f>
        <v>33051372</v>
      </c>
      <c r="E15" s="374">
        <f t="shared" si="1"/>
        <v>0</v>
      </c>
      <c r="F15" s="374">
        <f t="shared" si="1"/>
        <v>0</v>
      </c>
      <c r="G15" s="374">
        <f t="shared" si="1"/>
        <v>376613</v>
      </c>
      <c r="H15" s="374">
        <f t="shared" si="1"/>
        <v>0</v>
      </c>
      <c r="I15" s="374">
        <f t="shared" si="1"/>
        <v>0</v>
      </c>
      <c r="J15" s="374">
        <f t="shared" si="1"/>
        <v>0</v>
      </c>
      <c r="K15" s="374">
        <f t="shared" si="1"/>
        <v>0</v>
      </c>
      <c r="L15" s="374">
        <f t="shared" si="1"/>
        <v>0</v>
      </c>
      <c r="M15" s="374">
        <f t="shared" si="0"/>
        <v>33427985</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58" t="s">
        <v>1042</v>
      </c>
      <c r="C18" s="558"/>
      <c r="D18" s="374">
        <f t="shared" ref="D18:L18" si="2">D23-SUM(D19:D22)</f>
        <v>9210927</v>
      </c>
      <c r="E18" s="374">
        <f t="shared" si="2"/>
        <v>23733463</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32944390</v>
      </c>
      <c r="V18" s="327"/>
      <c r="X18" s="330"/>
    </row>
    <row r="19" spans="1:26" s="264" customFormat="1" ht="12.75" customHeight="1" thickTop="1" thickBot="1">
      <c r="A19" s="263"/>
      <c r="B19" s="261" t="s">
        <v>722</v>
      </c>
      <c r="C19" s="261"/>
      <c r="D19" s="372">
        <f>Input!$BF$37</f>
        <v>-145362</v>
      </c>
      <c r="E19" s="372">
        <f>Input!$BG$37</f>
        <v>0</v>
      </c>
      <c r="F19" s="372">
        <f>Input!$BH$37</f>
        <v>0</v>
      </c>
      <c r="G19" s="372">
        <f>Input!$BI$37</f>
        <v>0</v>
      </c>
      <c r="H19" s="372">
        <f>Input!$BJ$37</f>
        <v>0</v>
      </c>
      <c r="I19" s="372">
        <f>Input!$BK$37</f>
        <v>0</v>
      </c>
      <c r="J19" s="372">
        <f>Input!$BL$37</f>
        <v>0</v>
      </c>
      <c r="K19" s="372">
        <f>Input!$BM$37</f>
        <v>0</v>
      </c>
      <c r="L19" s="372">
        <f>Input!$BN$37</f>
        <v>0</v>
      </c>
      <c r="M19" s="373">
        <f t="shared" si="3"/>
        <v>-145362</v>
      </c>
      <c r="O19" s="1732" t="s">
        <v>1294</v>
      </c>
      <c r="P19" s="1733"/>
      <c r="Q19" s="1733"/>
      <c r="R19" s="1734"/>
      <c r="T19" s="1735" t="s">
        <v>1043</v>
      </c>
      <c r="U19" s="1736"/>
      <c r="V19" s="1736"/>
      <c r="W19" s="1736"/>
      <c r="X19" s="1737"/>
    </row>
    <row r="20" spans="1:26" s="264" customFormat="1" ht="12.75" customHeight="1" thickTop="1">
      <c r="A20" s="263"/>
      <c r="B20" s="261" t="s">
        <v>723</v>
      </c>
      <c r="C20" s="261"/>
      <c r="D20" s="372">
        <f>Input!$BO$37</f>
        <v>0</v>
      </c>
      <c r="E20" s="372">
        <f>Input!$BP$37</f>
        <v>0</v>
      </c>
      <c r="F20" s="372">
        <f>Input!$BQ$37</f>
        <v>0</v>
      </c>
      <c r="G20" s="372">
        <f>Input!$BR$37</f>
        <v>0</v>
      </c>
      <c r="H20" s="372">
        <f>Input!$BS$37</f>
        <v>0</v>
      </c>
      <c r="I20" s="372">
        <f>Input!$BT$37</f>
        <v>0</v>
      </c>
      <c r="J20" s="372">
        <f>Input!$BU$37</f>
        <v>0</v>
      </c>
      <c r="K20" s="372">
        <f>Input!$BV$37</f>
        <v>0</v>
      </c>
      <c r="L20" s="372">
        <f>Input!$BW$37</f>
        <v>0</v>
      </c>
      <c r="M20" s="373">
        <f t="shared" si="3"/>
        <v>0</v>
      </c>
      <c r="O20" s="421" t="s">
        <v>288</v>
      </c>
      <c r="P20" s="422"/>
      <c r="Q20" s="414"/>
      <c r="R20" s="559"/>
      <c r="T20" s="560" t="s">
        <v>1044</v>
      </c>
      <c r="U20" s="266"/>
      <c r="V20" s="266"/>
      <c r="X20" s="425"/>
    </row>
    <row r="21" spans="1:26" s="264" customFormat="1">
      <c r="A21" s="263"/>
      <c r="B21" s="261" t="s">
        <v>724</v>
      </c>
      <c r="C21" s="261"/>
      <c r="D21" s="372">
        <f>Input!$BX$37</f>
        <v>-417459</v>
      </c>
      <c r="E21" s="372">
        <f>Input!$BY$37</f>
        <v>-1101672</v>
      </c>
      <c r="F21" s="372">
        <f>Input!$BZ$37</f>
        <v>0</v>
      </c>
      <c r="G21" s="372">
        <f>Input!$CA$37</f>
        <v>0</v>
      </c>
      <c r="H21" s="372">
        <f>Input!$CB$37</f>
        <v>0</v>
      </c>
      <c r="I21" s="372">
        <f>Input!$CC$37</f>
        <v>0</v>
      </c>
      <c r="J21" s="372">
        <f>Input!$CD$37</f>
        <v>0</v>
      </c>
      <c r="K21" s="372">
        <f>Input!$CE$37</f>
        <v>0</v>
      </c>
      <c r="L21" s="372">
        <f>Input!$CF$37</f>
        <v>0</v>
      </c>
      <c r="M21" s="373">
        <f t="shared" si="3"/>
        <v>-1519131</v>
      </c>
      <c r="O21" s="434"/>
      <c r="R21" s="561"/>
      <c r="T21" s="650" t="s">
        <v>1045</v>
      </c>
      <c r="U21" s="266"/>
      <c r="V21" s="266"/>
      <c r="W21" s="651">
        <f>M44</f>
        <v>30361512</v>
      </c>
      <c r="X21" s="425"/>
      <c r="Z21" s="330"/>
    </row>
    <row r="22" spans="1:26" s="264" customFormat="1">
      <c r="A22" s="263"/>
      <c r="B22" s="261" t="s">
        <v>725</v>
      </c>
      <c r="C22" s="261"/>
      <c r="D22" s="372">
        <f>Input!$CG$37</f>
        <v>0</v>
      </c>
      <c r="E22" s="372">
        <f>Input!$CH$37</f>
        <v>0</v>
      </c>
      <c r="F22" s="372">
        <f>Input!$CI$37</f>
        <v>0</v>
      </c>
      <c r="G22" s="372">
        <f>Input!$CJ$37</f>
        <v>0</v>
      </c>
      <c r="H22" s="372">
        <f>Input!$CK$37</f>
        <v>0</v>
      </c>
      <c r="I22" s="372">
        <f>Input!$CL$37</f>
        <v>0</v>
      </c>
      <c r="J22" s="372">
        <f>Input!$CM$37</f>
        <v>0</v>
      </c>
      <c r="K22" s="372">
        <f>Input!$CN$37</f>
        <v>0</v>
      </c>
      <c r="L22" s="372">
        <f>Input!$CO$37</f>
        <v>0</v>
      </c>
      <c r="M22" s="373">
        <f t="shared" si="3"/>
        <v>0</v>
      </c>
      <c r="N22" s="270"/>
      <c r="O22" s="434" t="s">
        <v>1046</v>
      </c>
      <c r="P22" s="276"/>
      <c r="Q22" s="424">
        <f>M23</f>
        <v>31279897</v>
      </c>
      <c r="R22" s="562"/>
      <c r="T22" s="650" t="s">
        <v>1047</v>
      </c>
      <c r="U22" s="266"/>
      <c r="V22" s="266"/>
      <c r="W22" s="652">
        <f>R30*-1</f>
        <v>7385299</v>
      </c>
      <c r="X22" s="425"/>
    </row>
    <row r="23" spans="1:26" s="264" customFormat="1" ht="12.75" customHeight="1">
      <c r="A23" s="263"/>
      <c r="B23" s="558" t="s">
        <v>726</v>
      </c>
      <c r="C23" s="563"/>
      <c r="D23" s="564">
        <f>Input!$CP$37</f>
        <v>8648106</v>
      </c>
      <c r="E23" s="564">
        <f>Input!$CQ$37</f>
        <v>22631791</v>
      </c>
      <c r="F23" s="564">
        <f>Input!$CR$37</f>
        <v>0</v>
      </c>
      <c r="G23" s="564">
        <f>Input!$CS$37</f>
        <v>0</v>
      </c>
      <c r="H23" s="564">
        <f>Input!$CT$37</f>
        <v>0</v>
      </c>
      <c r="I23" s="564">
        <f>Input!$CU$37</f>
        <v>0</v>
      </c>
      <c r="J23" s="564">
        <f>Input!$CV$37</f>
        <v>0</v>
      </c>
      <c r="K23" s="564">
        <f>Input!$CW$37</f>
        <v>0</v>
      </c>
      <c r="L23" s="564">
        <f>Input!$CX$37</f>
        <v>0</v>
      </c>
      <c r="M23" s="565">
        <f t="shared" si="3"/>
        <v>31279897</v>
      </c>
      <c r="O23" s="434"/>
      <c r="P23" s="276"/>
      <c r="Q23" s="424"/>
      <c r="R23" s="562"/>
      <c r="T23" s="560" t="s">
        <v>1230</v>
      </c>
      <c r="U23" s="266"/>
      <c r="V23" s="266"/>
      <c r="W23" s="276"/>
      <c r="X23" s="425">
        <f>SUM(W21:W22)</f>
        <v>37746811</v>
      </c>
      <c r="Z23" s="330"/>
    </row>
    <row r="24" spans="1:26" s="264" customFormat="1" ht="12.75" customHeight="1">
      <c r="A24" s="263"/>
      <c r="B24" s="261" t="s">
        <v>727</v>
      </c>
      <c r="C24" s="566"/>
      <c r="D24" s="372">
        <f>Input!$CY$37</f>
        <v>0</v>
      </c>
      <c r="E24" s="372">
        <f>Input!$CZ$37</f>
        <v>0</v>
      </c>
      <c r="F24" s="372">
        <f>Input!$DA$37</f>
        <v>0</v>
      </c>
      <c r="G24" s="372">
        <f>Input!$DB$37</f>
        <v>0</v>
      </c>
      <c r="H24" s="372">
        <f>Input!$DC$37</f>
        <v>0</v>
      </c>
      <c r="I24" s="372">
        <f>Input!$DD$37</f>
        <v>0</v>
      </c>
      <c r="J24" s="372">
        <f>Input!$DE$37</f>
        <v>0</v>
      </c>
      <c r="K24" s="372">
        <f>Input!$DF$37</f>
        <v>0</v>
      </c>
      <c r="L24" s="372">
        <f>Input!$DG$37</f>
        <v>0</v>
      </c>
      <c r="M24" s="567">
        <f t="shared" si="3"/>
        <v>0</v>
      </c>
      <c r="O24" s="417" t="s">
        <v>1048</v>
      </c>
      <c r="P24" s="276"/>
      <c r="Q24" s="327"/>
      <c r="R24" s="646">
        <f>SUM(M24:M28)</f>
        <v>-7385299</v>
      </c>
      <c r="T24" s="560"/>
      <c r="U24" s="266"/>
      <c r="V24" s="266"/>
      <c r="X24" s="425"/>
      <c r="Z24" s="330"/>
    </row>
    <row r="25" spans="1:26" s="264" customFormat="1" ht="12.75" customHeight="1">
      <c r="A25" s="263"/>
      <c r="B25" s="261" t="s">
        <v>728</v>
      </c>
      <c r="C25" s="566"/>
      <c r="D25" s="372">
        <f>Input!$DH$37</f>
        <v>0</v>
      </c>
      <c r="E25" s="372">
        <f>Input!$DI$37</f>
        <v>0</v>
      </c>
      <c r="F25" s="372">
        <f>Input!$DJ$37</f>
        <v>0</v>
      </c>
      <c r="G25" s="372">
        <f>Input!$DK$37</f>
        <v>0</v>
      </c>
      <c r="H25" s="372">
        <f>Input!$DL$37</f>
        <v>0</v>
      </c>
      <c r="I25" s="372">
        <f>Input!$DM$37</f>
        <v>0</v>
      </c>
      <c r="J25" s="372">
        <f>Input!$DN$37</f>
        <v>0</v>
      </c>
      <c r="K25" s="372">
        <f>Input!$DO$37</f>
        <v>0</v>
      </c>
      <c r="L25" s="372">
        <f>Input!$DP$37</f>
        <v>0</v>
      </c>
      <c r="M25" s="567">
        <f t="shared" si="3"/>
        <v>0</v>
      </c>
      <c r="O25" s="434"/>
      <c r="P25" s="276"/>
      <c r="Q25" s="327"/>
      <c r="R25" s="646"/>
      <c r="T25" s="568" t="s">
        <v>1103</v>
      </c>
      <c r="U25" s="569"/>
      <c r="V25" s="569"/>
      <c r="W25" s="653">
        <f>(M26+M39)*-1</f>
        <v>0</v>
      </c>
      <c r="X25" s="425"/>
      <c r="Z25" s="330"/>
    </row>
    <row r="26" spans="1:26" s="264" customFormat="1" ht="12.75" customHeight="1">
      <c r="A26" s="263"/>
      <c r="B26" s="261" t="s">
        <v>729</v>
      </c>
      <c r="C26" s="566"/>
      <c r="D26" s="372">
        <f>Input!$DQ$37</f>
        <v>0</v>
      </c>
      <c r="E26" s="372">
        <f>Input!$DR$37</f>
        <v>0</v>
      </c>
      <c r="F26" s="372">
        <f>Input!$DS$37</f>
        <v>0</v>
      </c>
      <c r="G26" s="372">
        <f>Input!$DT$37</f>
        <v>0</v>
      </c>
      <c r="H26" s="372">
        <f>Input!$DU$37</f>
        <v>0</v>
      </c>
      <c r="I26" s="372">
        <f>Input!$DV$37</f>
        <v>0</v>
      </c>
      <c r="J26" s="372">
        <f>Input!$DW$37</f>
        <v>0</v>
      </c>
      <c r="K26" s="372">
        <f>Input!$DX$37</f>
        <v>0</v>
      </c>
      <c r="L26" s="372">
        <f>Input!$DY$37</f>
        <v>0</v>
      </c>
      <c r="M26" s="567">
        <f t="shared" si="3"/>
        <v>0</v>
      </c>
      <c r="O26" s="434" t="s">
        <v>1049</v>
      </c>
      <c r="P26" s="276"/>
      <c r="Q26" s="427">
        <f>M36</f>
        <v>6466914</v>
      </c>
      <c r="R26" s="570"/>
      <c r="T26" s="560" t="s">
        <v>1104</v>
      </c>
      <c r="U26" s="266"/>
      <c r="V26" s="266"/>
      <c r="W26" s="571">
        <f>(M21+M34)*-1</f>
        <v>1519131</v>
      </c>
      <c r="X26" s="425"/>
      <c r="Z26" s="330"/>
    </row>
    <row r="27" spans="1:26" s="264" customFormat="1">
      <c r="A27" s="263"/>
      <c r="B27" s="261" t="s">
        <v>730</v>
      </c>
      <c r="C27" s="566"/>
      <c r="D27" s="372">
        <f>Input!$DZ$37</f>
        <v>0</v>
      </c>
      <c r="E27" s="372">
        <f>Input!$EA$37</f>
        <v>0</v>
      </c>
      <c r="F27" s="372">
        <f>Input!$EB$37</f>
        <v>0</v>
      </c>
      <c r="G27" s="372">
        <f>Input!$EC$37</f>
        <v>0</v>
      </c>
      <c r="H27" s="372">
        <f>Input!$ED$37</f>
        <v>0</v>
      </c>
      <c r="I27" s="372">
        <f>Input!$EE$37</f>
        <v>0</v>
      </c>
      <c r="J27" s="372">
        <f>Input!$EF$37</f>
        <v>0</v>
      </c>
      <c r="K27" s="372">
        <f>Input!$EG$37</f>
        <v>0</v>
      </c>
      <c r="L27" s="372">
        <f>Input!EH6</f>
        <v>0</v>
      </c>
      <c r="M27" s="567">
        <f t="shared" si="3"/>
        <v>0</v>
      </c>
      <c r="O27" s="434"/>
      <c r="P27" s="276"/>
      <c r="Q27" s="427"/>
      <c r="R27" s="570"/>
      <c r="T27" s="650" t="s">
        <v>1105</v>
      </c>
      <c r="U27" s="584"/>
      <c r="V27" s="584"/>
      <c r="W27" s="654">
        <f>SUM(W25:W26)</f>
        <v>1519131</v>
      </c>
      <c r="X27" s="655"/>
    </row>
    <row r="28" spans="1:26" s="264" customFormat="1">
      <c r="A28" s="263"/>
      <c r="B28" s="261" t="s">
        <v>2133</v>
      </c>
      <c r="C28" s="566"/>
      <c r="D28" s="372">
        <f>Input!$EI$37</f>
        <v>-926451</v>
      </c>
      <c r="E28" s="372">
        <f>Input!$EJ$37</f>
        <v>-6458848</v>
      </c>
      <c r="F28" s="372">
        <f>Input!$EK$37</f>
        <v>0</v>
      </c>
      <c r="G28" s="372">
        <f>Input!$EL$37</f>
        <v>0</v>
      </c>
      <c r="H28" s="372">
        <f>Input!$EM$37</f>
        <v>0</v>
      </c>
      <c r="I28" s="372">
        <f>Input!$EN$37</f>
        <v>0</v>
      </c>
      <c r="J28" s="372">
        <f>Input!$EO$37</f>
        <v>0</v>
      </c>
      <c r="K28" s="372">
        <f>Input!$EP$37</f>
        <v>0</v>
      </c>
      <c r="L28" s="372">
        <f>Input!$EQ$37</f>
        <v>0</v>
      </c>
      <c r="M28" s="567">
        <f t="shared" si="3"/>
        <v>-7385299</v>
      </c>
      <c r="O28" s="417" t="s">
        <v>1050</v>
      </c>
      <c r="Q28" s="429"/>
      <c r="R28" s="646">
        <f>SUM(M37:M41)</f>
        <v>0</v>
      </c>
      <c r="T28" s="560" t="s">
        <v>1106</v>
      </c>
      <c r="U28" s="266"/>
      <c r="V28" s="266"/>
      <c r="W28" s="425">
        <f>(M27+M40)*-1</f>
        <v>0</v>
      </c>
      <c r="X28" s="655"/>
      <c r="Z28" s="330"/>
    </row>
    <row r="29" spans="1:26" s="264" customFormat="1" ht="12" customHeight="1">
      <c r="A29" s="263"/>
      <c r="B29" s="575" t="s">
        <v>39</v>
      </c>
      <c r="C29" s="563"/>
      <c r="D29" s="374">
        <f t="shared" ref="D29:L29" si="4">SUM(D23:D28)</f>
        <v>7721655</v>
      </c>
      <c r="E29" s="374">
        <f t="shared" si="4"/>
        <v>16172943</v>
      </c>
      <c r="F29" s="374">
        <f t="shared" si="4"/>
        <v>0</v>
      </c>
      <c r="G29" s="374">
        <f t="shared" si="4"/>
        <v>0</v>
      </c>
      <c r="H29" s="374">
        <f t="shared" si="4"/>
        <v>0</v>
      </c>
      <c r="I29" s="374">
        <f t="shared" si="4"/>
        <v>0</v>
      </c>
      <c r="J29" s="374">
        <f t="shared" si="4"/>
        <v>0</v>
      </c>
      <c r="K29" s="374">
        <f t="shared" si="4"/>
        <v>0</v>
      </c>
      <c r="L29" s="374">
        <f t="shared" si="4"/>
        <v>0</v>
      </c>
      <c r="M29" s="374">
        <f t="shared" si="3"/>
        <v>23894598</v>
      </c>
      <c r="O29" s="417"/>
      <c r="Q29" s="429"/>
      <c r="R29" s="576"/>
      <c r="T29" s="560" t="s">
        <v>1107</v>
      </c>
      <c r="U29" s="266"/>
      <c r="V29" s="266"/>
      <c r="W29" s="571">
        <f>(M22+M35)*-1</f>
        <v>0</v>
      </c>
      <c r="X29" s="655"/>
    </row>
    <row r="30" spans="1:26" s="264" customFormat="1" ht="16.5" customHeight="1">
      <c r="A30" s="263"/>
      <c r="B30" s="261"/>
      <c r="C30" s="566"/>
      <c r="D30" s="566"/>
      <c r="E30" s="566"/>
      <c r="F30" s="566"/>
      <c r="G30" s="566"/>
      <c r="H30" s="566"/>
      <c r="I30" s="566"/>
      <c r="J30" s="566"/>
      <c r="K30" s="566"/>
      <c r="L30" s="566"/>
      <c r="M30" s="567"/>
      <c r="O30" s="431" t="s">
        <v>289</v>
      </c>
      <c r="P30" s="432"/>
      <c r="Q30" s="433">
        <f>Q26+Q22</f>
        <v>37746811</v>
      </c>
      <c r="R30" s="647">
        <f>R28+R24</f>
        <v>-7385299</v>
      </c>
      <c r="T30" s="650" t="s">
        <v>1108</v>
      </c>
      <c r="U30" s="584"/>
      <c r="V30" s="584"/>
      <c r="W30" s="654">
        <f>SUM(W28:W29)</f>
        <v>0</v>
      </c>
      <c r="X30" s="655"/>
    </row>
    <row r="31" spans="1:26" s="264" customFormat="1" ht="12.75" customHeight="1">
      <c r="A31" s="263"/>
      <c r="B31" s="558" t="s">
        <v>1052</v>
      </c>
      <c r="C31" s="558"/>
      <c r="D31" s="374">
        <f t="shared" ref="D31:L31" si="5">D36-SUM(D32:D35)</f>
        <v>0</v>
      </c>
      <c r="E31" s="374">
        <f t="shared" si="5"/>
        <v>6466914</v>
      </c>
      <c r="F31" s="374">
        <f t="shared" si="5"/>
        <v>0</v>
      </c>
      <c r="G31" s="374">
        <f t="shared" si="5"/>
        <v>0</v>
      </c>
      <c r="H31" s="374">
        <f t="shared" si="5"/>
        <v>0</v>
      </c>
      <c r="I31" s="374">
        <f t="shared" si="5"/>
        <v>0</v>
      </c>
      <c r="J31" s="374">
        <f t="shared" si="5"/>
        <v>0</v>
      </c>
      <c r="K31" s="374">
        <f t="shared" si="5"/>
        <v>0</v>
      </c>
      <c r="L31" s="374">
        <f t="shared" si="5"/>
        <v>0</v>
      </c>
      <c r="M31" s="374">
        <f t="shared" ref="M31:M42" si="6">D31+E31+F31+G31+H31+I31+J31+K31+L31</f>
        <v>6466914</v>
      </c>
      <c r="O31" s="434" t="s">
        <v>290</v>
      </c>
      <c r="P31" s="276"/>
      <c r="Q31" s="335"/>
      <c r="R31" s="562"/>
      <c r="T31" s="572" t="s">
        <v>1109</v>
      </c>
      <c r="U31" s="573"/>
      <c r="V31" s="573"/>
      <c r="W31" s="574">
        <f>W27+W30</f>
        <v>1519131</v>
      </c>
      <c r="X31" s="425"/>
      <c r="Z31" s="330"/>
    </row>
    <row r="32" spans="1:26" s="264" customFormat="1" ht="12.75" customHeight="1">
      <c r="A32" s="263"/>
      <c r="B32" s="261" t="s">
        <v>722</v>
      </c>
      <c r="C32" s="261"/>
      <c r="D32" s="372">
        <f>Input!$ER$37</f>
        <v>0</v>
      </c>
      <c r="E32" s="372">
        <f>Input!$ES$37</f>
        <v>0</v>
      </c>
      <c r="F32" s="372">
        <f>Input!$ET$37</f>
        <v>0</v>
      </c>
      <c r="G32" s="372">
        <f>Input!$EU$37</f>
        <v>0</v>
      </c>
      <c r="H32" s="372">
        <f>Input!$EV$37</f>
        <v>0</v>
      </c>
      <c r="I32" s="372">
        <f>Input!$EW$37</f>
        <v>0</v>
      </c>
      <c r="J32" s="372">
        <f>Input!$EX$37</f>
        <v>0</v>
      </c>
      <c r="K32" s="372">
        <f>Input!$EY$37</f>
        <v>0</v>
      </c>
      <c r="L32" s="372">
        <f>Input!$EZ$37</f>
        <v>0</v>
      </c>
      <c r="M32" s="567">
        <f t="shared" si="6"/>
        <v>0</v>
      </c>
      <c r="O32" s="415" t="s">
        <v>1295</v>
      </c>
      <c r="P32" s="416"/>
      <c r="Q32" s="577">
        <f>Input!$SQ$37</f>
        <v>37746811</v>
      </c>
      <c r="R32" s="578"/>
      <c r="T32" s="560"/>
      <c r="U32" s="266"/>
      <c r="V32" s="266"/>
      <c r="X32" s="425"/>
      <c r="Z32" s="330"/>
    </row>
    <row r="33" spans="1:24" s="264" customFormat="1">
      <c r="A33" s="263"/>
      <c r="B33" s="261" t="s">
        <v>723</v>
      </c>
      <c r="C33" s="261"/>
      <c r="D33" s="372">
        <f>Input!$FA$37</f>
        <v>0</v>
      </c>
      <c r="E33" s="372">
        <f>Input!$FB$37</f>
        <v>0</v>
      </c>
      <c r="F33" s="372">
        <f>Input!$FC$37</f>
        <v>0</v>
      </c>
      <c r="G33" s="372">
        <f>Input!$FD$37</f>
        <v>0</v>
      </c>
      <c r="H33" s="372">
        <f>Input!$FE$37</f>
        <v>0</v>
      </c>
      <c r="I33" s="372">
        <f>Input!$FF$37</f>
        <v>0</v>
      </c>
      <c r="J33" s="372">
        <f>Input!$FG$37</f>
        <v>0</v>
      </c>
      <c r="K33" s="372">
        <f>Input!$FH$37</f>
        <v>0</v>
      </c>
      <c r="L33" s="372">
        <f>Input!$FI$37</f>
        <v>0</v>
      </c>
      <c r="M33" s="567">
        <f t="shared" si="6"/>
        <v>0</v>
      </c>
      <c r="O33" s="415"/>
      <c r="P33" s="416"/>
      <c r="Q33" s="327"/>
      <c r="R33" s="578"/>
      <c r="T33" s="560" t="s">
        <v>1051</v>
      </c>
      <c r="U33" s="266"/>
      <c r="V33" s="266"/>
      <c r="W33" s="334">
        <f>(M19+M32)*-1</f>
        <v>145362</v>
      </c>
      <c r="X33" s="425"/>
    </row>
    <row r="34" spans="1:24" s="264" customFormat="1">
      <c r="A34" s="263"/>
      <c r="B34" s="261" t="s">
        <v>724</v>
      </c>
      <c r="C34" s="261"/>
      <c r="D34" s="372">
        <f>Input!$FJ$37</f>
        <v>0</v>
      </c>
      <c r="E34" s="372">
        <f>Input!$FK$37</f>
        <v>0</v>
      </c>
      <c r="F34" s="372">
        <f>Input!$FL$37</f>
        <v>0</v>
      </c>
      <c r="G34" s="372">
        <f>Input!$FM$37</f>
        <v>0</v>
      </c>
      <c r="H34" s="372">
        <f>Input!$FN$37</f>
        <v>0</v>
      </c>
      <c r="I34" s="372">
        <f>Input!$FO$37</f>
        <v>0</v>
      </c>
      <c r="J34" s="372">
        <f>Input!$FP$37</f>
        <v>0</v>
      </c>
      <c r="K34" s="372">
        <f>Input!$FQ$37</f>
        <v>0</v>
      </c>
      <c r="L34" s="372">
        <f>Input!$FR$37</f>
        <v>0</v>
      </c>
      <c r="M34" s="567">
        <f t="shared" si="6"/>
        <v>0</v>
      </c>
      <c r="O34" s="435" t="s">
        <v>1296</v>
      </c>
      <c r="P34" s="436"/>
      <c r="Q34" s="264" t="s">
        <v>291</v>
      </c>
      <c r="R34" s="648">
        <f>Input!$SR$37</f>
        <v>-7385299</v>
      </c>
      <c r="T34" s="560" t="s">
        <v>1110</v>
      </c>
      <c r="U34" s="266"/>
      <c r="V34" s="266"/>
      <c r="W34" s="430">
        <f>(M24+M37)*-1</f>
        <v>0</v>
      </c>
      <c r="X34" s="425"/>
    </row>
    <row r="35" spans="1:24" s="264" customFormat="1" ht="13.5" thickBot="1">
      <c r="A35" s="263"/>
      <c r="B35" s="261" t="s">
        <v>725</v>
      </c>
      <c r="C35" s="261"/>
      <c r="D35" s="372">
        <f>Input!$FS$37</f>
        <v>0</v>
      </c>
      <c r="E35" s="372">
        <f>Input!$FT$37</f>
        <v>0</v>
      </c>
      <c r="F35" s="372">
        <f>Input!$FU$37</f>
        <v>0</v>
      </c>
      <c r="G35" s="372">
        <f>Input!$FV$37</f>
        <v>0</v>
      </c>
      <c r="H35" s="372">
        <f>Input!$FW$37</f>
        <v>0</v>
      </c>
      <c r="I35" s="372">
        <f>Input!$FX$37</f>
        <v>0</v>
      </c>
      <c r="J35" s="372">
        <f>Input!$FY$37</f>
        <v>0</v>
      </c>
      <c r="K35" s="372">
        <f>Input!$FZ$37</f>
        <v>0</v>
      </c>
      <c r="L35" s="372">
        <f>Input!$GA$37</f>
        <v>0</v>
      </c>
      <c r="M35" s="567">
        <f t="shared" si="6"/>
        <v>0</v>
      </c>
      <c r="O35" s="418" t="s">
        <v>286</v>
      </c>
      <c r="P35" s="419"/>
      <c r="Q35" s="420">
        <f>Q30-Q32</f>
        <v>0</v>
      </c>
      <c r="R35" s="649">
        <f>R30-R34</f>
        <v>0</v>
      </c>
      <c r="T35" s="650" t="s">
        <v>1111</v>
      </c>
      <c r="U35" s="584"/>
      <c r="V35" s="584"/>
      <c r="W35" s="656">
        <f>SUM(W33:W34)</f>
        <v>145362</v>
      </c>
      <c r="X35" s="655"/>
    </row>
    <row r="36" spans="1:24" s="264" customFormat="1" ht="13.5" thickTop="1">
      <c r="A36" s="263"/>
      <c r="B36" s="558" t="s">
        <v>732</v>
      </c>
      <c r="C36" s="563"/>
      <c r="D36" s="564">
        <f>Input!$GB$37</f>
        <v>0</v>
      </c>
      <c r="E36" s="564">
        <f>Input!$GC$37</f>
        <v>6466914</v>
      </c>
      <c r="F36" s="564">
        <f>Input!$GD$37</f>
        <v>0</v>
      </c>
      <c r="G36" s="564">
        <f>Input!$GE$37</f>
        <v>0</v>
      </c>
      <c r="H36" s="564">
        <f>Input!$GF$37</f>
        <v>0</v>
      </c>
      <c r="I36" s="564">
        <f>Input!$GG$37</f>
        <v>0</v>
      </c>
      <c r="J36" s="564">
        <f>Input!$GH$37</f>
        <v>0</v>
      </c>
      <c r="K36" s="564">
        <f>Input!$GI$37</f>
        <v>0</v>
      </c>
      <c r="L36" s="564">
        <f>Input!$GJ$37</f>
        <v>0</v>
      </c>
      <c r="M36" s="565">
        <f t="shared" si="6"/>
        <v>6466914</v>
      </c>
      <c r="O36" s="261"/>
      <c r="Q36" s="412" t="str">
        <f>IF(Q30&lt;&gt;Q32,"Out of Balance","Balanced")</f>
        <v>Balanced</v>
      </c>
      <c r="R36" s="412" t="str">
        <f>IF(R30&lt;&gt;R34,"Out of Balance","Balanced")</f>
        <v>Balanced</v>
      </c>
      <c r="T36" s="560" t="s">
        <v>1053</v>
      </c>
      <c r="U36" s="266"/>
      <c r="V36" s="266"/>
      <c r="W36" s="334">
        <f>(M20+M33)*-1</f>
        <v>0</v>
      </c>
      <c r="X36" s="425"/>
    </row>
    <row r="37" spans="1:24" s="264" customFormat="1">
      <c r="A37" s="263"/>
      <c r="B37" s="261" t="s">
        <v>727</v>
      </c>
      <c r="C37" s="566"/>
      <c r="D37" s="372">
        <f>Input!$GK$37</f>
        <v>0</v>
      </c>
      <c r="E37" s="372">
        <f>Input!$GL$37</f>
        <v>0</v>
      </c>
      <c r="F37" s="372">
        <f>Input!$GM$37</f>
        <v>0</v>
      </c>
      <c r="G37" s="372">
        <f>Input!$GN$37</f>
        <v>0</v>
      </c>
      <c r="H37" s="372">
        <f>Input!$GO$37</f>
        <v>0</v>
      </c>
      <c r="I37" s="372">
        <f>Input!$GP$37</f>
        <v>0</v>
      </c>
      <c r="J37" s="372">
        <f>Input!$GQ$37</f>
        <v>0</v>
      </c>
      <c r="K37" s="372">
        <f>Input!$GR$37</f>
        <v>0</v>
      </c>
      <c r="L37" s="372">
        <f>Input!$GS$37</f>
        <v>0</v>
      </c>
      <c r="M37" s="567">
        <f t="shared" si="6"/>
        <v>0</v>
      </c>
      <c r="O37" s="261"/>
      <c r="T37" s="560" t="s">
        <v>1112</v>
      </c>
      <c r="U37" s="266"/>
      <c r="V37" s="266"/>
      <c r="W37" s="430">
        <f>(M25+M38)*-1</f>
        <v>0</v>
      </c>
      <c r="X37" s="655"/>
    </row>
    <row r="38" spans="1:24" s="264" customFormat="1">
      <c r="A38" s="263"/>
      <c r="B38" s="261" t="s">
        <v>728</v>
      </c>
      <c r="C38" s="566"/>
      <c r="D38" s="372">
        <f>Input!$GT$37</f>
        <v>0</v>
      </c>
      <c r="E38" s="372">
        <f>Input!$GU$37</f>
        <v>0</v>
      </c>
      <c r="F38" s="372">
        <f>Input!$GV$37</f>
        <v>0</v>
      </c>
      <c r="G38" s="372">
        <f>Input!$GW$37</f>
        <v>0</v>
      </c>
      <c r="H38" s="372">
        <f>Input!$GX$37</f>
        <v>0</v>
      </c>
      <c r="I38" s="372">
        <f>Input!$GY$37</f>
        <v>0</v>
      </c>
      <c r="J38" s="372">
        <f>Input!$GZ$37</f>
        <v>0</v>
      </c>
      <c r="K38" s="372">
        <f>Input!$HA$37</f>
        <v>0</v>
      </c>
      <c r="L38" s="372">
        <f>Input!$HB$37</f>
        <v>0</v>
      </c>
      <c r="M38" s="567">
        <f t="shared" si="6"/>
        <v>0</v>
      </c>
      <c r="O38" s="261"/>
      <c r="T38" s="650" t="s">
        <v>1113</v>
      </c>
      <c r="U38" s="584"/>
      <c r="V38" s="584"/>
      <c r="W38" s="656">
        <f>SUM(W36:W37)</f>
        <v>0</v>
      </c>
      <c r="X38" s="425"/>
    </row>
    <row r="39" spans="1:24" s="264" customFormat="1">
      <c r="A39" s="263"/>
      <c r="B39" s="261" t="s">
        <v>729</v>
      </c>
      <c r="C39" s="566"/>
      <c r="D39" s="372">
        <f>Input!$HC$37</f>
        <v>0</v>
      </c>
      <c r="E39" s="372">
        <f>Input!$HD$37</f>
        <v>0</v>
      </c>
      <c r="F39" s="372">
        <f>Input!$HE$37</f>
        <v>0</v>
      </c>
      <c r="G39" s="372">
        <f>Input!$HF$37</f>
        <v>0</v>
      </c>
      <c r="H39" s="372">
        <f>Input!$HG$37</f>
        <v>0</v>
      </c>
      <c r="I39" s="372">
        <f>Input!$HH$37</f>
        <v>0</v>
      </c>
      <c r="J39" s="372">
        <f>Input!$HI$37</f>
        <v>0</v>
      </c>
      <c r="K39" s="372">
        <f>Input!$HJ$37</f>
        <v>0</v>
      </c>
      <c r="L39" s="372">
        <f>Input!$HK$37</f>
        <v>0</v>
      </c>
      <c r="M39" s="567">
        <f t="shared" si="6"/>
        <v>0</v>
      </c>
      <c r="O39" s="261"/>
      <c r="T39" s="560" t="s">
        <v>1054</v>
      </c>
      <c r="U39" s="266"/>
      <c r="V39" s="266"/>
      <c r="W39" s="334"/>
      <c r="X39" s="425">
        <f>W38+W35</f>
        <v>145362</v>
      </c>
    </row>
    <row r="40" spans="1:24" s="264" customFormat="1">
      <c r="A40" s="263"/>
      <c r="B40" s="261" t="s">
        <v>730</v>
      </c>
      <c r="C40" s="566"/>
      <c r="D40" s="372">
        <f>Input!$HL$37</f>
        <v>0</v>
      </c>
      <c r="E40" s="372">
        <f>Input!$HM$37</f>
        <v>0</v>
      </c>
      <c r="F40" s="372">
        <f>Input!$HN$37</f>
        <v>0</v>
      </c>
      <c r="G40" s="372">
        <f>Input!$HO$37</f>
        <v>0</v>
      </c>
      <c r="H40" s="372">
        <f>Input!$HP$37</f>
        <v>0</v>
      </c>
      <c r="I40" s="372">
        <f>Input!$HQ$37</f>
        <v>0</v>
      </c>
      <c r="J40" s="372">
        <f>Input!$HR$37</f>
        <v>0</v>
      </c>
      <c r="K40" s="372">
        <f>Input!$HS$37</f>
        <v>0</v>
      </c>
      <c r="L40" s="372">
        <f>Input!$HT$37</f>
        <v>0</v>
      </c>
      <c r="M40" s="567">
        <f t="shared" si="6"/>
        <v>0</v>
      </c>
      <c r="O40" s="261"/>
      <c r="T40" s="560"/>
      <c r="U40" s="261"/>
      <c r="V40" s="261"/>
      <c r="W40" s="261"/>
      <c r="X40" s="655"/>
    </row>
    <row r="41" spans="1:24" s="264" customFormat="1">
      <c r="A41" s="263"/>
      <c r="B41" s="261" t="s">
        <v>2133</v>
      </c>
      <c r="C41" s="566"/>
      <c r="D41" s="372">
        <f>Input!$HU$37</f>
        <v>0</v>
      </c>
      <c r="E41" s="372">
        <f>Input!$HV$37</f>
        <v>0</v>
      </c>
      <c r="F41" s="372">
        <f>Input!$HW$37</f>
        <v>0</v>
      </c>
      <c r="G41" s="372">
        <f>Input!$HX$37</f>
        <v>0</v>
      </c>
      <c r="H41" s="372">
        <f>Input!$HY$37</f>
        <v>0</v>
      </c>
      <c r="I41" s="372">
        <f>Input!$HZ$37</f>
        <v>0</v>
      </c>
      <c r="J41" s="372">
        <f>Input!$IA$37</f>
        <v>0</v>
      </c>
      <c r="K41" s="372">
        <f>Input!$IB$37</f>
        <v>0</v>
      </c>
      <c r="L41" s="372">
        <f>Input!$IC$37</f>
        <v>0</v>
      </c>
      <c r="M41" s="567">
        <f t="shared" si="6"/>
        <v>0</v>
      </c>
      <c r="O41"/>
      <c r="P41"/>
      <c r="Q41"/>
      <c r="R41"/>
      <c r="S41"/>
      <c r="T41" s="560" t="s">
        <v>1104</v>
      </c>
      <c r="U41" s="266"/>
      <c r="V41" s="266"/>
      <c r="W41" s="330">
        <f>(M21+M34)*-1</f>
        <v>1519131</v>
      </c>
      <c r="X41" s="425"/>
    </row>
    <row r="42" spans="1:24" s="264" customFormat="1">
      <c r="A42" s="263"/>
      <c r="B42" s="575" t="s">
        <v>40</v>
      </c>
      <c r="C42" s="563"/>
      <c r="D42" s="374">
        <f t="shared" ref="D42:L42" si="7">SUM(D36:D41)</f>
        <v>0</v>
      </c>
      <c r="E42" s="374">
        <f t="shared" si="7"/>
        <v>6466914</v>
      </c>
      <c r="F42" s="374">
        <f t="shared" si="7"/>
        <v>0</v>
      </c>
      <c r="G42" s="374">
        <f t="shared" si="7"/>
        <v>0</v>
      </c>
      <c r="H42" s="374">
        <f t="shared" si="7"/>
        <v>0</v>
      </c>
      <c r="I42" s="374">
        <f t="shared" si="7"/>
        <v>0</v>
      </c>
      <c r="J42" s="374">
        <f t="shared" si="7"/>
        <v>0</v>
      </c>
      <c r="K42" s="374">
        <f t="shared" si="7"/>
        <v>0</v>
      </c>
      <c r="L42" s="374">
        <f t="shared" si="7"/>
        <v>0</v>
      </c>
      <c r="M42" s="374">
        <f t="shared" si="6"/>
        <v>6466914</v>
      </c>
      <c r="O42"/>
      <c r="P42"/>
      <c r="Q42"/>
      <c r="R42"/>
      <c r="S42"/>
      <c r="T42" s="560" t="s">
        <v>1107</v>
      </c>
      <c r="U42" s="266"/>
      <c r="V42" s="266"/>
      <c r="W42" s="430">
        <f>(M22+M35)*-1</f>
        <v>0</v>
      </c>
      <c r="X42" s="425"/>
    </row>
    <row r="43" spans="1:24" s="264" customFormat="1">
      <c r="A43" s="263"/>
      <c r="B43" s="261"/>
      <c r="C43" s="566"/>
      <c r="D43" s="566"/>
      <c r="E43" s="566"/>
      <c r="F43" s="566"/>
      <c r="G43" s="566"/>
      <c r="H43" s="566"/>
      <c r="I43" s="566"/>
      <c r="J43" s="566"/>
      <c r="K43" s="566"/>
      <c r="L43" s="566"/>
      <c r="M43" s="567"/>
      <c r="O43"/>
      <c r="P43"/>
      <c r="Q43"/>
      <c r="R43"/>
      <c r="S43"/>
      <c r="T43" s="650" t="s">
        <v>1114</v>
      </c>
      <c r="U43" s="584"/>
      <c r="V43" s="584"/>
      <c r="W43" s="656">
        <f>SUM(W41:W42)</f>
        <v>1519131</v>
      </c>
      <c r="X43" s="655"/>
    </row>
    <row r="44" spans="1:24" s="264" customFormat="1" ht="13.5" customHeight="1">
      <c r="A44" s="263"/>
      <c r="B44" s="575" t="s">
        <v>1055</v>
      </c>
      <c r="C44" s="563"/>
      <c r="D44" s="374">
        <f t="shared" ref="D44:L44" si="8">D42+D29</f>
        <v>7721655</v>
      </c>
      <c r="E44" s="374">
        <f t="shared" si="8"/>
        <v>22639857</v>
      </c>
      <c r="F44" s="374">
        <f t="shared" si="8"/>
        <v>0</v>
      </c>
      <c r="G44" s="374">
        <f t="shared" si="8"/>
        <v>0</v>
      </c>
      <c r="H44" s="374">
        <f t="shared" si="8"/>
        <v>0</v>
      </c>
      <c r="I44" s="374">
        <f t="shared" si="8"/>
        <v>0</v>
      </c>
      <c r="J44" s="374">
        <f t="shared" si="8"/>
        <v>0</v>
      </c>
      <c r="K44" s="374">
        <f t="shared" si="8"/>
        <v>0</v>
      </c>
      <c r="L44" s="374">
        <f t="shared" si="8"/>
        <v>0</v>
      </c>
      <c r="M44" s="374">
        <f>D44+E44+F44+G44+H44+I44+J44+K44+L44</f>
        <v>30361512</v>
      </c>
      <c r="O44"/>
      <c r="P44"/>
      <c r="Q44"/>
      <c r="R44"/>
      <c r="S44"/>
      <c r="T44" s="560"/>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0"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0" t="s">
        <v>1112</v>
      </c>
      <c r="U46" s="266"/>
      <c r="V46" s="266"/>
      <c r="W46" s="430">
        <f>(M25+M38)*-1</f>
        <v>0</v>
      </c>
      <c r="X46" s="425"/>
    </row>
    <row r="47" spans="1:24">
      <c r="A47" s="184">
        <v>30</v>
      </c>
      <c r="B47" s="176" t="s">
        <v>7</v>
      </c>
      <c r="C47" s="176"/>
      <c r="D47" s="375">
        <f>Input!$ID$37</f>
        <v>886773</v>
      </c>
      <c r="E47" s="375">
        <f>Input!$IE$37</f>
        <v>25959</v>
      </c>
      <c r="F47" s="375">
        <f>Input!$IF$37</f>
        <v>0</v>
      </c>
      <c r="G47" s="375">
        <f>Input!$IG$37</f>
        <v>21560648</v>
      </c>
      <c r="H47" s="375">
        <f>Input!$IH$37</f>
        <v>0</v>
      </c>
      <c r="I47" s="375">
        <f>Input!$II$37</f>
        <v>0</v>
      </c>
      <c r="J47" s="375">
        <f>Input!$IJ$37</f>
        <v>0</v>
      </c>
      <c r="K47" s="375">
        <f>Input!$IK$37</f>
        <v>0</v>
      </c>
      <c r="L47" s="375">
        <f>Input!$IL$37</f>
        <v>0</v>
      </c>
      <c r="M47" s="374">
        <f>D47+E47+F47+G47+H47+I47+J47+K47+L47</f>
        <v>22473380</v>
      </c>
      <c r="N47" s="160"/>
      <c r="O47"/>
      <c r="P47"/>
      <c r="Q47"/>
      <c r="R47"/>
      <c r="S47"/>
      <c r="T47" s="657" t="s">
        <v>1115</v>
      </c>
      <c r="U47" s="27"/>
      <c r="V47" s="27"/>
      <c r="W47" s="656">
        <f>SUM(W45:W46)</f>
        <v>0</v>
      </c>
      <c r="X47" s="655"/>
    </row>
    <row r="48" spans="1:24">
      <c r="A48" s="184">
        <v>31</v>
      </c>
      <c r="B48" s="160"/>
      <c r="C48" s="160"/>
      <c r="D48" s="373"/>
      <c r="E48" s="373"/>
      <c r="F48" s="373"/>
      <c r="G48" s="373"/>
      <c r="H48" s="373"/>
      <c r="I48" s="373"/>
      <c r="J48" s="373"/>
      <c r="K48" s="373"/>
      <c r="L48" s="373"/>
      <c r="M48" s="373"/>
      <c r="N48" s="160"/>
      <c r="O48"/>
      <c r="P48"/>
      <c r="Q48"/>
      <c r="R48"/>
      <c r="S48"/>
      <c r="T48" s="560"/>
      <c r="U48" s="261"/>
      <c r="V48" s="261"/>
      <c r="W48" s="261"/>
      <c r="X48" s="658">
        <f>W43-W47</f>
        <v>1519131</v>
      </c>
    </row>
    <row r="49" spans="1:28">
      <c r="A49" s="184">
        <v>32</v>
      </c>
      <c r="B49" s="172" t="s">
        <v>8</v>
      </c>
      <c r="C49" s="172"/>
      <c r="D49" s="373"/>
      <c r="E49" s="373"/>
      <c r="F49" s="373"/>
      <c r="G49" s="373"/>
      <c r="H49" s="373"/>
      <c r="I49" s="373"/>
      <c r="J49" s="373"/>
      <c r="K49" s="373"/>
      <c r="L49" s="373"/>
      <c r="M49" s="373"/>
      <c r="N49" s="160"/>
      <c r="O49" s="273"/>
      <c r="T49" s="579" t="s">
        <v>287</v>
      </c>
      <c r="U49" s="511"/>
      <c r="V49" s="580"/>
      <c r="W49" s="580"/>
      <c r="X49" s="574">
        <f>SUM(X23:X48)</f>
        <v>39411304</v>
      </c>
    </row>
    <row r="50" spans="1:28">
      <c r="A50" s="184">
        <v>33</v>
      </c>
      <c r="B50" s="160" t="s">
        <v>42</v>
      </c>
      <c r="C50" s="160"/>
      <c r="D50" s="372">
        <f>Input!$IM$37</f>
        <v>11144</v>
      </c>
      <c r="E50" s="372">
        <f>Input!$IN$37</f>
        <v>722718</v>
      </c>
      <c r="F50" s="372">
        <f>Input!$IO$37</f>
        <v>0</v>
      </c>
      <c r="G50" s="372">
        <f>Input!$IP$37</f>
        <v>1276974</v>
      </c>
      <c r="H50" s="372">
        <f>Input!$IQ$37</f>
        <v>0</v>
      </c>
      <c r="I50" s="372">
        <f>Input!$IR$37</f>
        <v>62231</v>
      </c>
      <c r="J50" s="372">
        <f>Input!$IS$37</f>
        <v>0</v>
      </c>
      <c r="K50" s="372">
        <f>Input!$IT$37</f>
        <v>103</v>
      </c>
      <c r="L50" s="372">
        <f>Input!$IU$37</f>
        <v>1433</v>
      </c>
      <c r="M50" s="373">
        <f t="shared" ref="M50:M57" si="9">D50+E50+F50+G50+H50+I50+J50+K50+L50</f>
        <v>2074603</v>
      </c>
      <c r="N50" s="160"/>
      <c r="O50" s="273"/>
      <c r="U50" s="275"/>
    </row>
    <row r="51" spans="1:28">
      <c r="A51" s="184">
        <v>34</v>
      </c>
      <c r="B51" s="160" t="s">
        <v>9</v>
      </c>
      <c r="C51" s="160"/>
      <c r="D51" s="372">
        <f>Input!$IV$37</f>
        <v>0</v>
      </c>
      <c r="E51" s="372">
        <f>Input!$IW$37</f>
        <v>0</v>
      </c>
      <c r="F51" s="372">
        <f>Input!$IX$37</f>
        <v>0</v>
      </c>
      <c r="G51" s="372">
        <f>Input!$IY$37</f>
        <v>2368</v>
      </c>
      <c r="H51" s="372">
        <f>Input!$IZ$37</f>
        <v>0</v>
      </c>
      <c r="I51" s="372">
        <f>Input!$JA$37</f>
        <v>0</v>
      </c>
      <c r="J51" s="372">
        <f>Input!$JB$37</f>
        <v>0</v>
      </c>
      <c r="K51" s="372">
        <f>Input!$JC$37</f>
        <v>0</v>
      </c>
      <c r="L51" s="372">
        <f>Input!$JD$37</f>
        <v>0</v>
      </c>
      <c r="M51" s="376">
        <f t="shared" si="9"/>
        <v>2368</v>
      </c>
      <c r="N51" s="160"/>
      <c r="Y51" s="277"/>
    </row>
    <row r="52" spans="1:28">
      <c r="A52" s="184">
        <v>35</v>
      </c>
      <c r="B52" s="160" t="s">
        <v>10</v>
      </c>
      <c r="C52" s="160"/>
      <c r="D52" s="372">
        <f>Input!$JE$37</f>
        <v>0</v>
      </c>
      <c r="E52" s="372">
        <f>Input!$JF$37</f>
        <v>0</v>
      </c>
      <c r="F52" s="372">
        <f>Input!$JG$37</f>
        <v>0</v>
      </c>
      <c r="G52" s="372">
        <f>Input!$JH$37</f>
        <v>496242</v>
      </c>
      <c r="H52" s="372">
        <f>Input!$JI$37</f>
        <v>0</v>
      </c>
      <c r="I52" s="372">
        <f>Input!$JJ$37</f>
        <v>0</v>
      </c>
      <c r="J52" s="372">
        <f>Input!$JK$37</f>
        <v>0</v>
      </c>
      <c r="K52" s="372">
        <f>Input!$JL$37</f>
        <v>0</v>
      </c>
      <c r="L52" s="372">
        <f>Input!$JM$37</f>
        <v>0</v>
      </c>
      <c r="M52" s="373">
        <f t="shared" si="9"/>
        <v>496242</v>
      </c>
      <c r="N52" s="160"/>
      <c r="O52" s="273"/>
      <c r="P52" s="278"/>
    </row>
    <row r="53" spans="1:28">
      <c r="A53" s="184">
        <v>36</v>
      </c>
      <c r="B53" s="160" t="s">
        <v>11</v>
      </c>
      <c r="C53" s="160"/>
      <c r="D53" s="372">
        <f>Input!$JN$37</f>
        <v>0</v>
      </c>
      <c r="E53" s="372">
        <f>Input!$JO$37</f>
        <v>402312</v>
      </c>
      <c r="F53" s="372">
        <f>Input!$JP$37</f>
        <v>0</v>
      </c>
      <c r="G53" s="372">
        <f>Input!$JQ$37</f>
        <v>267165</v>
      </c>
      <c r="H53" s="372">
        <f>Input!$JR$37</f>
        <v>0</v>
      </c>
      <c r="I53" s="372">
        <f>Input!$JS$37</f>
        <v>0</v>
      </c>
      <c r="J53" s="372">
        <f>Input!$JT$37</f>
        <v>0</v>
      </c>
      <c r="K53" s="372">
        <f>Input!$JU$37</f>
        <v>0</v>
      </c>
      <c r="L53" s="372">
        <f>Input!$JV$37</f>
        <v>0</v>
      </c>
      <c r="M53" s="373">
        <f t="shared" si="9"/>
        <v>669477</v>
      </c>
      <c r="N53" s="160"/>
      <c r="O53" s="273"/>
    </row>
    <row r="54" spans="1:28" ht="13.5" thickBot="1">
      <c r="A54" s="184">
        <v>37</v>
      </c>
      <c r="B54" s="177" t="s">
        <v>2134</v>
      </c>
      <c r="C54" s="177"/>
      <c r="D54" s="372">
        <f>Input!$JW$37</f>
        <v>0</v>
      </c>
      <c r="E54" s="372">
        <f>Input!$JX$37</f>
        <v>0</v>
      </c>
      <c r="F54" s="372">
        <f>Input!$JY$37</f>
        <v>467591</v>
      </c>
      <c r="G54" s="372">
        <f>Input!$JZ$37</f>
        <v>0</v>
      </c>
      <c r="H54" s="372">
        <f>Input!$KA$37</f>
        <v>0</v>
      </c>
      <c r="I54" s="372">
        <f>Input!$KB$37</f>
        <v>0</v>
      </c>
      <c r="J54" s="372">
        <f>Input!$KC$37</f>
        <v>0</v>
      </c>
      <c r="K54" s="372">
        <f>Input!$KD$37</f>
        <v>0</v>
      </c>
      <c r="L54" s="372">
        <f>Input!$KE$37</f>
        <v>0</v>
      </c>
      <c r="M54" s="373">
        <f t="shared" si="9"/>
        <v>467591</v>
      </c>
      <c r="N54" s="160"/>
      <c r="O54" s="273"/>
    </row>
    <row r="55" spans="1:28" ht="14.25" thickTop="1" thickBot="1">
      <c r="A55" s="184">
        <v>38</v>
      </c>
      <c r="B55" s="160" t="s">
        <v>43</v>
      </c>
      <c r="C55" s="160"/>
      <c r="D55" s="372">
        <f>Input!$KF$37</f>
        <v>0</v>
      </c>
      <c r="E55" s="372">
        <f>Input!$KG$37</f>
        <v>924253</v>
      </c>
      <c r="F55" s="372">
        <f>Input!$KH$37</f>
        <v>0</v>
      </c>
      <c r="G55" s="372">
        <f>Input!$KI$37</f>
        <v>-826468</v>
      </c>
      <c r="H55" s="372">
        <f>Input!$KJ$37</f>
        <v>0</v>
      </c>
      <c r="I55" s="372">
        <f>Input!$KK$37</f>
        <v>0</v>
      </c>
      <c r="J55" s="372">
        <f>Input!$KL$37</f>
        <v>0</v>
      </c>
      <c r="K55" s="372">
        <f>Input!$KM$37</f>
        <v>0</v>
      </c>
      <c r="L55" s="372">
        <f>Input!$KN$37</f>
        <v>294234</v>
      </c>
      <c r="M55" s="373">
        <f t="shared" si="9"/>
        <v>392019</v>
      </c>
      <c r="N55" s="160"/>
      <c r="O55" s="1616" t="s">
        <v>251</v>
      </c>
      <c r="P55" s="1617"/>
      <c r="Q55" s="1617"/>
      <c r="R55" s="1618"/>
      <c r="S55" s="437"/>
      <c r="T55" s="1619" t="s">
        <v>252</v>
      </c>
      <c r="U55" s="1620"/>
      <c r="V55" s="1620"/>
      <c r="W55" s="1620"/>
      <c r="X55" s="1621"/>
      <c r="Y55" s="320"/>
      <c r="Z55" s="1749" t="s">
        <v>1301</v>
      </c>
      <c r="AA55" s="1750"/>
      <c r="AB55" s="1751"/>
    </row>
    <row r="56" spans="1:28" ht="13.5" customHeight="1" thickTop="1">
      <c r="A56" s="184">
        <v>39</v>
      </c>
      <c r="B56" s="176" t="s">
        <v>3</v>
      </c>
      <c r="C56" s="176"/>
      <c r="D56" s="374">
        <f>SUM(D50:D55)</f>
        <v>11144</v>
      </c>
      <c r="E56" s="374">
        <f t="shared" ref="E56:L56" si="10">SUM(E50:E55)</f>
        <v>2049283</v>
      </c>
      <c r="F56" s="374">
        <f t="shared" si="10"/>
        <v>467591</v>
      </c>
      <c r="G56" s="374">
        <f t="shared" si="10"/>
        <v>1216281</v>
      </c>
      <c r="H56" s="374">
        <f t="shared" si="10"/>
        <v>0</v>
      </c>
      <c r="I56" s="374">
        <f t="shared" si="10"/>
        <v>62231</v>
      </c>
      <c r="J56" s="374">
        <f t="shared" si="10"/>
        <v>0</v>
      </c>
      <c r="K56" s="374">
        <f t="shared" si="10"/>
        <v>103</v>
      </c>
      <c r="L56" s="374">
        <f t="shared" si="10"/>
        <v>295667</v>
      </c>
      <c r="M56" s="374">
        <f t="shared" si="9"/>
        <v>4102300</v>
      </c>
      <c r="N56" s="160"/>
      <c r="O56" s="1622" t="s">
        <v>1135</v>
      </c>
      <c r="P56" s="1625" t="s">
        <v>254</v>
      </c>
      <c r="Q56" s="1625" t="s">
        <v>292</v>
      </c>
      <c r="R56" s="1628" t="s">
        <v>1063</v>
      </c>
      <c r="S56" s="280"/>
      <c r="T56" s="1739" t="s">
        <v>1136</v>
      </c>
      <c r="U56" s="1637" t="s">
        <v>254</v>
      </c>
      <c r="V56" s="1634" t="s">
        <v>256</v>
      </c>
      <c r="W56" s="1637" t="s">
        <v>257</v>
      </c>
      <c r="X56" s="1638" t="s">
        <v>1064</v>
      </c>
      <c r="Z56" s="1754" t="s">
        <v>1302</v>
      </c>
      <c r="AA56" s="1747" t="s">
        <v>1303</v>
      </c>
      <c r="AB56" s="1752" t="s">
        <v>238</v>
      </c>
    </row>
    <row r="57" spans="1:28">
      <c r="A57" s="184">
        <v>40</v>
      </c>
      <c r="B57" s="162" t="s">
        <v>68</v>
      </c>
      <c r="C57" s="162"/>
      <c r="D57" s="374">
        <f>D15+D44+D47+D56</f>
        <v>41670944</v>
      </c>
      <c r="E57" s="374">
        <f t="shared" ref="E57:L57" si="11">E15+E44+E47+E56</f>
        <v>24715099</v>
      </c>
      <c r="F57" s="374">
        <f t="shared" si="11"/>
        <v>467591</v>
      </c>
      <c r="G57" s="374">
        <f t="shared" si="11"/>
        <v>23153542</v>
      </c>
      <c r="H57" s="374">
        <f t="shared" si="11"/>
        <v>0</v>
      </c>
      <c r="I57" s="374">
        <f t="shared" si="11"/>
        <v>62231</v>
      </c>
      <c r="J57" s="374">
        <f t="shared" si="11"/>
        <v>0</v>
      </c>
      <c r="K57" s="374">
        <f t="shared" si="11"/>
        <v>103</v>
      </c>
      <c r="L57" s="374">
        <f t="shared" si="11"/>
        <v>295667</v>
      </c>
      <c r="M57" s="374">
        <f t="shared" si="9"/>
        <v>90365177</v>
      </c>
      <c r="N57" s="160"/>
      <c r="O57" s="1623"/>
      <c r="P57" s="1626"/>
      <c r="Q57" s="1626"/>
      <c r="R57" s="1629"/>
      <c r="S57" s="280"/>
      <c r="T57" s="1740"/>
      <c r="U57" s="1626"/>
      <c r="V57" s="1635"/>
      <c r="W57" s="1626"/>
      <c r="X57" s="1639"/>
      <c r="Z57" s="1755"/>
      <c r="AA57" s="1747"/>
      <c r="AB57" s="1752"/>
    </row>
    <row r="58" spans="1:28">
      <c r="A58" s="184">
        <v>41</v>
      </c>
      <c r="B58" s="160"/>
      <c r="C58" s="160"/>
      <c r="D58" s="373"/>
      <c r="E58" s="373"/>
      <c r="F58" s="373"/>
      <c r="G58" s="373"/>
      <c r="H58" s="373"/>
      <c r="I58" s="373"/>
      <c r="J58" s="373"/>
      <c r="K58" s="373"/>
      <c r="L58" s="373"/>
      <c r="M58" s="373"/>
      <c r="N58" s="160"/>
      <c r="O58" s="1623"/>
      <c r="P58" s="1626"/>
      <c r="Q58" s="1626"/>
      <c r="R58" s="1629"/>
      <c r="S58" s="280"/>
      <c r="T58" s="1740"/>
      <c r="U58" s="1626"/>
      <c r="V58" s="1635"/>
      <c r="W58" s="1626"/>
      <c r="X58" s="1639"/>
      <c r="Z58" s="1755"/>
      <c r="AA58" s="1747"/>
      <c r="AB58" s="1752"/>
    </row>
    <row r="59" spans="1:28" ht="14.25" customHeight="1">
      <c r="A59" s="184">
        <v>42</v>
      </c>
      <c r="B59" s="174" t="s">
        <v>72</v>
      </c>
      <c r="C59" s="174"/>
      <c r="D59" s="377"/>
      <c r="E59" s="377"/>
      <c r="F59" s="377"/>
      <c r="G59" s="1746" t="str">
        <f>IF(OR(P105&gt;0,P106&lt;&gt;0,P107&lt;&gt;0),"Do not Enter Cents - Whole Dollars Only","")</f>
        <v/>
      </c>
      <c r="H59" s="1746"/>
      <c r="I59" s="1746"/>
      <c r="J59" s="1746"/>
      <c r="K59" s="1746"/>
      <c r="L59" s="377"/>
      <c r="M59" s="377"/>
      <c r="N59" s="160"/>
      <c r="O59" s="1624"/>
      <c r="P59" s="1627"/>
      <c r="Q59" s="1627"/>
      <c r="R59" s="1630"/>
      <c r="S59" s="280"/>
      <c r="T59" s="1741"/>
      <c r="U59" s="1627"/>
      <c r="V59" s="1636"/>
      <c r="W59" s="1627"/>
      <c r="X59" s="1640"/>
      <c r="Z59" s="1756"/>
      <c r="AA59" s="1748"/>
      <c r="AB59" s="1753"/>
    </row>
    <row r="60" spans="1:28" ht="13.5" thickBot="1">
      <c r="A60" s="184">
        <v>43</v>
      </c>
      <c r="B60" s="160" t="s">
        <v>14</v>
      </c>
      <c r="C60" s="160"/>
      <c r="D60" s="372">
        <f>Input!$KO$37</f>
        <v>12400530</v>
      </c>
      <c r="E60" s="372">
        <f>Input!$KP$37</f>
        <v>4514884</v>
      </c>
      <c r="F60" s="372">
        <f>Input!$KQ$37</f>
        <v>0</v>
      </c>
      <c r="G60" s="372">
        <f>Input!$KR$37</f>
        <v>1153480</v>
      </c>
      <c r="H60" s="372">
        <f>Input!$KS$37</f>
        <v>0</v>
      </c>
      <c r="I60" s="372">
        <f>Input!$KT$37</f>
        <v>0</v>
      </c>
      <c r="J60" s="372">
        <f>Input!$KU$37</f>
        <v>0</v>
      </c>
      <c r="K60" s="372">
        <f>Input!$KV$37</f>
        <v>0</v>
      </c>
      <c r="L60" s="372">
        <f>Input!$KW$37</f>
        <v>0</v>
      </c>
      <c r="M60" s="373">
        <f t="shared" ref="M60:M71" si="12">D60+E60+F60+G60+H60+I60+J60+K60+L60</f>
        <v>18068894</v>
      </c>
      <c r="N60" s="160"/>
      <c r="O60" s="282">
        <f>D60+E60+G60+J60</f>
        <v>18068894</v>
      </c>
      <c r="P60" s="518">
        <f>Input!$SS$37</f>
        <v>0</v>
      </c>
      <c r="Q60" s="438" t="s">
        <v>259</v>
      </c>
      <c r="R60" s="284">
        <f>SUM(O60:P60)</f>
        <v>18068894</v>
      </c>
      <c r="S60" s="439"/>
      <c r="T60" s="286">
        <f t="shared" ref="T60:T67" si="13">D60+E60+G60</f>
        <v>18068894</v>
      </c>
      <c r="U60" s="287">
        <f t="shared" ref="U60:U67" si="14">P60</f>
        <v>0</v>
      </c>
      <c r="V60" s="289">
        <f>Input!$TC$37</f>
        <v>0</v>
      </c>
      <c r="W60" s="289">
        <f>Input!$TK$37</f>
        <v>0</v>
      </c>
      <c r="X60" s="290">
        <f t="shared" ref="X60:X66" si="15">T60+U60-V60-W60</f>
        <v>18068894</v>
      </c>
      <c r="Z60" s="292" t="s">
        <v>14</v>
      </c>
      <c r="AA60" s="520">
        <f>Input!$TS$37</f>
        <v>18068894</v>
      </c>
      <c r="AB60" s="293">
        <f t="shared" ref="AB60:AB68" si="16">AA60-M60</f>
        <v>0</v>
      </c>
    </row>
    <row r="61" spans="1:28" ht="14.25" thickTop="1" thickBot="1">
      <c r="A61" s="184">
        <v>44</v>
      </c>
      <c r="B61" s="160" t="s">
        <v>15</v>
      </c>
      <c r="C61" s="160"/>
      <c r="D61" s="372">
        <f>Input!$KX$37</f>
        <v>0</v>
      </c>
      <c r="E61" s="372">
        <f>Input!$KY$37</f>
        <v>60604</v>
      </c>
      <c r="F61" s="372">
        <f>Input!$KZ$37</f>
        <v>0</v>
      </c>
      <c r="G61" s="372">
        <f>Input!$LA$37</f>
        <v>52929</v>
      </c>
      <c r="H61" s="372">
        <f>Input!$LB$37</f>
        <v>0</v>
      </c>
      <c r="I61" s="372">
        <f>Input!$LC$37</f>
        <v>0</v>
      </c>
      <c r="J61" s="372">
        <f>Input!$LD$37</f>
        <v>0</v>
      </c>
      <c r="K61" s="372">
        <f>Input!$LE$37</f>
        <v>0</v>
      </c>
      <c r="L61" s="372">
        <f>Input!$LF$37</f>
        <v>0</v>
      </c>
      <c r="M61" s="373">
        <f t="shared" si="12"/>
        <v>113533</v>
      </c>
      <c r="N61" s="160"/>
      <c r="O61" s="440">
        <f t="shared" ref="O61:O67" si="17">D61+E61+G61+J61</f>
        <v>113533</v>
      </c>
      <c r="P61" s="518">
        <f>Input!$ST$37</f>
        <v>0</v>
      </c>
      <c r="Q61" s="441" t="s">
        <v>259</v>
      </c>
      <c r="R61" s="295">
        <f>SUM(O61:P61)</f>
        <v>113533</v>
      </c>
      <c r="S61" s="442"/>
      <c r="T61" s="296">
        <f t="shared" si="13"/>
        <v>113533</v>
      </c>
      <c r="U61" s="297">
        <f t="shared" si="14"/>
        <v>0</v>
      </c>
      <c r="V61" s="299">
        <f>Input!$TD$37</f>
        <v>0</v>
      </c>
      <c r="W61" s="299">
        <f>Input!$TL$37</f>
        <v>0</v>
      </c>
      <c r="X61" s="300">
        <f t="shared" si="15"/>
        <v>113533</v>
      </c>
      <c r="Z61" s="292" t="s">
        <v>15</v>
      </c>
      <c r="AA61" s="518">
        <f>Input!$TT$37</f>
        <v>113533</v>
      </c>
      <c r="AB61" s="301">
        <f t="shared" si="16"/>
        <v>0</v>
      </c>
    </row>
    <row r="62" spans="1:28" ht="13.5" thickTop="1">
      <c r="A62" s="184">
        <v>45</v>
      </c>
      <c r="B62" s="160" t="s">
        <v>16</v>
      </c>
      <c r="C62" s="160"/>
      <c r="D62" s="372">
        <f>Input!$LG$37</f>
        <v>72441</v>
      </c>
      <c r="E62" s="372">
        <f>Input!$LH$37</f>
        <v>536982</v>
      </c>
      <c r="F62" s="372">
        <f>Input!$LI$37</f>
        <v>0</v>
      </c>
      <c r="G62" s="372">
        <f>Input!$LJ$37</f>
        <v>2322407</v>
      </c>
      <c r="H62" s="372">
        <f>Input!$LK$37</f>
        <v>0</v>
      </c>
      <c r="I62" s="372">
        <f>Input!$LL$37</f>
        <v>0</v>
      </c>
      <c r="J62" s="372">
        <f>Input!$LM$37</f>
        <v>0</v>
      </c>
      <c r="K62" s="372">
        <f>Input!$LN$37</f>
        <v>0</v>
      </c>
      <c r="L62" s="372">
        <f>Input!$LO$37</f>
        <v>0</v>
      </c>
      <c r="M62" s="373">
        <f t="shared" si="12"/>
        <v>2931830</v>
      </c>
      <c r="N62" s="160"/>
      <c r="O62" s="440">
        <f t="shared" si="17"/>
        <v>2931830</v>
      </c>
      <c r="P62" s="518">
        <f>Input!$SU$37</f>
        <v>0</v>
      </c>
      <c r="Q62" s="441" t="s">
        <v>259</v>
      </c>
      <c r="R62" s="302" t="s">
        <v>259</v>
      </c>
      <c r="S62" s="442"/>
      <c r="T62" s="296">
        <f t="shared" si="13"/>
        <v>2931830</v>
      </c>
      <c r="U62" s="297">
        <f t="shared" si="14"/>
        <v>0</v>
      </c>
      <c r="V62" s="299">
        <f>Input!$TE$37</f>
        <v>0</v>
      </c>
      <c r="W62" s="299">
        <f>Input!$TM$37</f>
        <v>0</v>
      </c>
      <c r="X62" s="303">
        <f t="shared" si="15"/>
        <v>2931830</v>
      </c>
      <c r="Z62" s="292" t="s">
        <v>16</v>
      </c>
      <c r="AA62" s="518">
        <f>Input!$TU$37</f>
        <v>2931830</v>
      </c>
      <c r="AB62" s="301">
        <f t="shared" si="16"/>
        <v>0</v>
      </c>
    </row>
    <row r="63" spans="1:28">
      <c r="A63" s="184">
        <v>46</v>
      </c>
      <c r="B63" s="160" t="s">
        <v>17</v>
      </c>
      <c r="C63" s="160"/>
      <c r="D63" s="372">
        <f>Input!$LP$37</f>
        <v>2394684</v>
      </c>
      <c r="E63" s="372">
        <f>Input!$LQ$37</f>
        <v>2142458</v>
      </c>
      <c r="F63" s="372">
        <f>Input!$LR$37</f>
        <v>0</v>
      </c>
      <c r="G63" s="372">
        <f>Input!$LS$37</f>
        <v>1549</v>
      </c>
      <c r="H63" s="372">
        <f>Input!$LT$37</f>
        <v>0</v>
      </c>
      <c r="I63" s="372">
        <f>Input!$LU$37</f>
        <v>0</v>
      </c>
      <c r="J63" s="372">
        <f>Input!$LV$37</f>
        <v>0</v>
      </c>
      <c r="K63" s="372">
        <f>Input!$LW$37</f>
        <v>0</v>
      </c>
      <c r="L63" s="372">
        <f>Input!$LX$37</f>
        <v>0</v>
      </c>
      <c r="M63" s="373">
        <f t="shared" si="12"/>
        <v>4538691</v>
      </c>
      <c r="N63" s="160"/>
      <c r="O63" s="440">
        <f t="shared" si="17"/>
        <v>4538691</v>
      </c>
      <c r="P63" s="518">
        <f>Input!$SV$37</f>
        <v>44393</v>
      </c>
      <c r="Q63" s="441" t="s">
        <v>259</v>
      </c>
      <c r="R63" s="295">
        <f t="shared" ref="R63:R65" si="18">SUM(O63:P63)</f>
        <v>4583084</v>
      </c>
      <c r="S63" s="442"/>
      <c r="T63" s="296">
        <f t="shared" si="13"/>
        <v>4538691</v>
      </c>
      <c r="U63" s="297">
        <f t="shared" si="14"/>
        <v>44393</v>
      </c>
      <c r="V63" s="299">
        <f>Input!$TF$37</f>
        <v>0</v>
      </c>
      <c r="W63" s="299">
        <f>Input!$TN$37</f>
        <v>0</v>
      </c>
      <c r="X63" s="303">
        <f t="shared" si="15"/>
        <v>4583084</v>
      </c>
      <c r="Z63" s="292" t="s">
        <v>17</v>
      </c>
      <c r="AA63" s="518">
        <f>Input!$TV$37</f>
        <v>4538691</v>
      </c>
      <c r="AB63" s="301">
        <f t="shared" si="16"/>
        <v>0</v>
      </c>
    </row>
    <row r="64" spans="1:28">
      <c r="A64" s="184">
        <v>47</v>
      </c>
      <c r="B64" s="160" t="s">
        <v>18</v>
      </c>
      <c r="C64" s="160"/>
      <c r="D64" s="372">
        <f>Input!$LY$37</f>
        <v>3873520</v>
      </c>
      <c r="E64" s="372">
        <f>Input!$LZ$37</f>
        <v>4810719</v>
      </c>
      <c r="F64" s="372">
        <f>Input!$MA$37</f>
        <v>0</v>
      </c>
      <c r="G64" s="372">
        <f>Input!$MB$37</f>
        <v>185411</v>
      </c>
      <c r="H64" s="372">
        <f>Input!$MC$37</f>
        <v>0</v>
      </c>
      <c r="I64" s="372">
        <f>Input!$MD$37</f>
        <v>0</v>
      </c>
      <c r="J64" s="372">
        <f>Input!$ME$37</f>
        <v>0</v>
      </c>
      <c r="K64" s="372">
        <f>Input!$MF$37</f>
        <v>0</v>
      </c>
      <c r="L64" s="372">
        <f>Input!$MG$37</f>
        <v>0</v>
      </c>
      <c r="M64" s="373">
        <f t="shared" si="12"/>
        <v>8869650</v>
      </c>
      <c r="N64" s="160"/>
      <c r="O64" s="440">
        <f t="shared" si="17"/>
        <v>8869650</v>
      </c>
      <c r="P64" s="518">
        <f>Input!$SW$37</f>
        <v>0</v>
      </c>
      <c r="Q64" s="518">
        <f>Input!$TB$37</f>
        <v>0</v>
      </c>
      <c r="R64" s="295">
        <f>SUM(O64:P64)-Q64</f>
        <v>8869650</v>
      </c>
      <c r="S64" s="442"/>
      <c r="T64" s="296">
        <f t="shared" si="13"/>
        <v>8869650</v>
      </c>
      <c r="U64" s="297">
        <f t="shared" si="14"/>
        <v>0</v>
      </c>
      <c r="V64" s="299">
        <f>Input!$TG$37</f>
        <v>0</v>
      </c>
      <c r="W64" s="299">
        <f>Input!$TO$37</f>
        <v>0</v>
      </c>
      <c r="X64" s="303">
        <f t="shared" si="15"/>
        <v>8869650</v>
      </c>
      <c r="Z64" s="292" t="s">
        <v>18</v>
      </c>
      <c r="AA64" s="518">
        <f>Input!$TW$37</f>
        <v>8869650</v>
      </c>
      <c r="AB64" s="301">
        <f t="shared" si="16"/>
        <v>0</v>
      </c>
    </row>
    <row r="65" spans="1:28">
      <c r="A65" s="184">
        <v>48</v>
      </c>
      <c r="B65" s="160" t="s">
        <v>19</v>
      </c>
      <c r="C65" s="160"/>
      <c r="D65" s="372">
        <f>Input!$MH$37</f>
        <v>5263288</v>
      </c>
      <c r="E65" s="372">
        <f>Input!$MI$37</f>
        <v>1792855</v>
      </c>
      <c r="F65" s="372">
        <f>Input!$MJ$37</f>
        <v>0</v>
      </c>
      <c r="G65" s="372">
        <f>Input!$MK$37</f>
        <v>454952</v>
      </c>
      <c r="H65" s="372">
        <f>Input!$ML$37</f>
        <v>0</v>
      </c>
      <c r="I65" s="372">
        <f>Input!$MM$37</f>
        <v>12919</v>
      </c>
      <c r="J65" s="372">
        <f>Input!$MN$37</f>
        <v>0</v>
      </c>
      <c r="K65" s="372">
        <f>Input!$MO$37</f>
        <v>0</v>
      </c>
      <c r="L65" s="372">
        <f>Input!$MP$37</f>
        <v>0</v>
      </c>
      <c r="M65" s="373">
        <f t="shared" si="12"/>
        <v>7524014</v>
      </c>
      <c r="N65" s="160"/>
      <c r="O65" s="440">
        <f t="shared" si="17"/>
        <v>7511095</v>
      </c>
      <c r="P65" s="518">
        <f>Input!$SX$37</f>
        <v>263851</v>
      </c>
      <c r="Q65" s="441" t="s">
        <v>259</v>
      </c>
      <c r="R65" s="295">
        <f t="shared" si="18"/>
        <v>7774946</v>
      </c>
      <c r="S65" s="442"/>
      <c r="T65" s="296">
        <f t="shared" si="13"/>
        <v>7511095</v>
      </c>
      <c r="U65" s="297">
        <f t="shared" si="14"/>
        <v>263851</v>
      </c>
      <c r="V65" s="299">
        <f>Input!$TH$37</f>
        <v>0</v>
      </c>
      <c r="W65" s="299">
        <f>Input!$TP$37</f>
        <v>0</v>
      </c>
      <c r="X65" s="303">
        <f t="shared" si="15"/>
        <v>7774946</v>
      </c>
      <c r="Z65" s="292" t="s">
        <v>19</v>
      </c>
      <c r="AA65" s="518">
        <f>Input!$TX$37</f>
        <v>7524014</v>
      </c>
      <c r="AB65" s="301">
        <f t="shared" si="16"/>
        <v>0</v>
      </c>
    </row>
    <row r="66" spans="1:28">
      <c r="A66" s="184">
        <v>49</v>
      </c>
      <c r="B66" s="160" t="s">
        <v>20</v>
      </c>
      <c r="C66" s="160"/>
      <c r="D66" s="372">
        <f>Input!$MQ$37</f>
        <v>3256294</v>
      </c>
      <c r="E66" s="372">
        <f>Input!$MR$37</f>
        <v>1934422</v>
      </c>
      <c r="F66" s="372">
        <f>Input!$MS$37</f>
        <v>0</v>
      </c>
      <c r="G66" s="372">
        <f>Input!$MT$37</f>
        <v>647065</v>
      </c>
      <c r="H66" s="372">
        <f>Input!$MU$37</f>
        <v>0</v>
      </c>
      <c r="I66" s="372">
        <f>Input!$MV$37</f>
        <v>0</v>
      </c>
      <c r="J66" s="372">
        <f>Input!$MW$37</f>
        <v>0</v>
      </c>
      <c r="K66" s="372">
        <f>Input!$MX$37</f>
        <v>0</v>
      </c>
      <c r="L66" s="372">
        <f>Input!$MY$37</f>
        <v>304733</v>
      </c>
      <c r="M66" s="373">
        <f t="shared" si="12"/>
        <v>6142514</v>
      </c>
      <c r="N66" s="160"/>
      <c r="O66" s="440">
        <f t="shared" si="17"/>
        <v>5837781</v>
      </c>
      <c r="P66" s="518">
        <f>Input!$SY$37</f>
        <v>1416544</v>
      </c>
      <c r="Q66" s="441" t="s">
        <v>259</v>
      </c>
      <c r="R66" s="304" t="s">
        <v>259</v>
      </c>
      <c r="S66" s="442"/>
      <c r="T66" s="296">
        <f t="shared" si="13"/>
        <v>5837781</v>
      </c>
      <c r="U66" s="297">
        <f t="shared" si="14"/>
        <v>1416544</v>
      </c>
      <c r="V66" s="299">
        <f>Input!$TI$37</f>
        <v>0</v>
      </c>
      <c r="W66" s="299">
        <f>Input!$TQ$37</f>
        <v>0</v>
      </c>
      <c r="X66" s="303">
        <f t="shared" si="15"/>
        <v>7254325</v>
      </c>
      <c r="Z66" s="292" t="s">
        <v>260</v>
      </c>
      <c r="AA66" s="518">
        <f>Input!$TY$37</f>
        <v>6142514</v>
      </c>
      <c r="AB66" s="301">
        <f t="shared" si="16"/>
        <v>0</v>
      </c>
    </row>
    <row r="67" spans="1:28" ht="13.5" thickBot="1">
      <c r="A67" s="184">
        <v>50</v>
      </c>
      <c r="B67" s="160" t="s">
        <v>21</v>
      </c>
      <c r="C67" s="160"/>
      <c r="D67" s="372">
        <f>Input!$MZ$37</f>
        <v>4463273</v>
      </c>
      <c r="E67" s="372">
        <f>Input!$NA$37</f>
        <v>1111119</v>
      </c>
      <c r="F67" s="372">
        <f>Input!$NB$37</f>
        <v>0</v>
      </c>
      <c r="G67" s="372">
        <f>Input!$NC$37</f>
        <v>10904876</v>
      </c>
      <c r="H67" s="372">
        <f>Input!$ND$37</f>
        <v>0</v>
      </c>
      <c r="I67" s="372">
        <f>Input!$NE$37</f>
        <v>0</v>
      </c>
      <c r="J67" s="372">
        <f>Input!$NF$37</f>
        <v>0</v>
      </c>
      <c r="K67" s="372">
        <f>Input!$NG$37</f>
        <v>0</v>
      </c>
      <c r="L67" s="372">
        <f>Input!$NH$37</f>
        <v>0</v>
      </c>
      <c r="M67" s="373">
        <f t="shared" si="12"/>
        <v>16479268</v>
      </c>
      <c r="N67" s="160"/>
      <c r="O67" s="440">
        <f t="shared" si="17"/>
        <v>16479268</v>
      </c>
      <c r="P67" s="518">
        <f>Input!$SZ$37</f>
        <v>0</v>
      </c>
      <c r="Q67" s="441" t="s">
        <v>259</v>
      </c>
      <c r="R67" s="304" t="s">
        <v>259</v>
      </c>
      <c r="S67" s="442"/>
      <c r="T67" s="306">
        <f t="shared" si="13"/>
        <v>16479268</v>
      </c>
      <c r="U67" s="307">
        <f t="shared" si="14"/>
        <v>0</v>
      </c>
      <c r="V67" s="308">
        <f>Input!$TJ$37</f>
        <v>0</v>
      </c>
      <c r="W67" s="308">
        <f>Input!$TR$37</f>
        <v>0</v>
      </c>
      <c r="X67" s="303">
        <f>U67+T67-V67-W67</f>
        <v>16479268</v>
      </c>
      <c r="Z67" s="292" t="s">
        <v>21</v>
      </c>
      <c r="AA67" s="518">
        <f>Input!$TZ$37</f>
        <v>16479268</v>
      </c>
      <c r="AB67" s="301">
        <f t="shared" si="16"/>
        <v>0</v>
      </c>
    </row>
    <row r="68" spans="1:28" ht="14.25" thickTop="1" thickBot="1">
      <c r="A68" s="184">
        <v>51</v>
      </c>
      <c r="B68" s="160" t="s">
        <v>2135</v>
      </c>
      <c r="C68" s="160"/>
      <c r="D68" s="372">
        <f>Input!$NI$37</f>
        <v>0</v>
      </c>
      <c r="E68" s="372">
        <f>Input!$NJ$37</f>
        <v>0</v>
      </c>
      <c r="F68" s="372">
        <f>Input!$NK$37</f>
        <v>730452</v>
      </c>
      <c r="G68" s="372">
        <f>Input!$NL$37</f>
        <v>0</v>
      </c>
      <c r="H68" s="372">
        <f>Input!$NM$37</f>
        <v>0</v>
      </c>
      <c r="I68" s="372">
        <f>Input!$NN$37</f>
        <v>0</v>
      </c>
      <c r="J68" s="372">
        <f>Input!$NO$37</f>
        <v>0</v>
      </c>
      <c r="K68" s="372">
        <f>Input!$NP$37</f>
        <v>0</v>
      </c>
      <c r="L68" s="372">
        <f>Input!$NQ$37</f>
        <v>0</v>
      </c>
      <c r="M68" s="373">
        <f t="shared" si="12"/>
        <v>730452</v>
      </c>
      <c r="N68" s="160"/>
      <c r="O68" s="309" t="s">
        <v>259</v>
      </c>
      <c r="P68" s="519">
        <f>Input!$TA$37</f>
        <v>238473</v>
      </c>
      <c r="Q68" s="444" t="s">
        <v>259</v>
      </c>
      <c r="R68" s="311" t="s">
        <v>259</v>
      </c>
      <c r="S68" s="442"/>
      <c r="T68" s="305"/>
      <c r="U68" s="305"/>
      <c r="V68" s="312" t="s">
        <v>261</v>
      </c>
      <c r="W68" s="313"/>
      <c r="X68" s="314">
        <f>SUM(X60:X67)</f>
        <v>66075530</v>
      </c>
      <c r="Z68" s="292" t="s">
        <v>22</v>
      </c>
      <c r="AA68" s="518">
        <f>Input!$UA$37</f>
        <v>730452</v>
      </c>
      <c r="AB68" s="301">
        <f t="shared" si="16"/>
        <v>0</v>
      </c>
    </row>
    <row r="69" spans="1:28" ht="14.25" thickTop="1" thickBot="1">
      <c r="A69" s="184">
        <v>52</v>
      </c>
      <c r="B69" s="161" t="s">
        <v>59</v>
      </c>
      <c r="C69" s="161"/>
      <c r="D69" s="372">
        <f>Input!$NR$37</f>
        <v>840576</v>
      </c>
      <c r="E69" s="372">
        <f>Input!$NS$37</f>
        <v>604090</v>
      </c>
      <c r="F69" s="372">
        <f>Input!$NT$37</f>
        <v>238473</v>
      </c>
      <c r="G69" s="372">
        <f>Input!$NU$37</f>
        <v>280122</v>
      </c>
      <c r="H69" s="372">
        <f>Input!$NV$37</f>
        <v>0</v>
      </c>
      <c r="I69" s="372">
        <f>Input!$NW$37</f>
        <v>0</v>
      </c>
      <c r="J69" s="372">
        <f>Input!$NX$37</f>
        <v>0</v>
      </c>
      <c r="K69" s="372">
        <f>Input!$NY$37</f>
        <v>0</v>
      </c>
      <c r="L69" s="372">
        <f>Input!$NZ$37</f>
        <v>0</v>
      </c>
      <c r="M69" s="373">
        <f t="shared" si="12"/>
        <v>1963261</v>
      </c>
      <c r="N69" s="160"/>
      <c r="O69" s="315"/>
      <c r="P69" s="316">
        <f>SUM(P60:P68)</f>
        <v>1963261</v>
      </c>
      <c r="Q69" s="316">
        <f>SUM(Q64:Q68)</f>
        <v>0</v>
      </c>
      <c r="R69" s="317">
        <f>SUM(R60:R65)</f>
        <v>39410107</v>
      </c>
      <c r="S69" s="316"/>
      <c r="T69" s="305"/>
      <c r="U69" s="305"/>
      <c r="V69" s="305"/>
      <c r="W69" s="277"/>
      <c r="X69" s="277"/>
      <c r="Y69" s="277"/>
      <c r="Z69" s="292" t="s">
        <v>285</v>
      </c>
      <c r="AA69" s="445">
        <f>M88*-1</f>
        <v>12070890</v>
      </c>
      <c r="AB69" s="301">
        <f>AA69+M88</f>
        <v>0</v>
      </c>
    </row>
    <row r="70" spans="1:28" ht="14.25" thickTop="1" thickBot="1">
      <c r="A70" s="184">
        <v>53</v>
      </c>
      <c r="B70" s="178" t="s">
        <v>44</v>
      </c>
      <c r="C70" s="178"/>
      <c r="D70" s="378">
        <f>Input!$OA$37</f>
        <v>0</v>
      </c>
      <c r="E70" s="378">
        <f>Input!$OB$37</f>
        <v>-12471</v>
      </c>
      <c r="F70" s="378">
        <f>Input!$OC$37</f>
        <v>0</v>
      </c>
      <c r="G70" s="378">
        <f>Input!$OD$37</f>
        <v>1984496</v>
      </c>
      <c r="H70" s="378">
        <f>Input!$OE$37</f>
        <v>0</v>
      </c>
      <c r="I70" s="378">
        <f>Input!$OF$37</f>
        <v>0</v>
      </c>
      <c r="J70" s="378">
        <f>Input!$OG$37</f>
        <v>0</v>
      </c>
      <c r="K70" s="378">
        <f>Input!$OH$37</f>
        <v>0</v>
      </c>
      <c r="L70" s="378">
        <f>Input!$OI$37</f>
        <v>0</v>
      </c>
      <c r="M70" s="373">
        <f t="shared" si="12"/>
        <v>1972025</v>
      </c>
      <c r="N70" s="160"/>
      <c r="O70" s="320"/>
      <c r="P70" s="516" t="str">
        <f>IF(P69&lt;&gt;M69,"Out of Balance","Balanced")</f>
        <v>Balanced</v>
      </c>
      <c r="Q70" s="318"/>
      <c r="R70" s="305"/>
      <c r="S70" s="305"/>
      <c r="T70" s="305"/>
      <c r="U70" s="277"/>
      <c r="V70" s="1738" t="str">
        <f>IF(X68-INT(X68)&lt;&gt;0,"Whole Dollars Only","")</f>
        <v/>
      </c>
      <c r="W70" s="1738"/>
      <c r="X70" s="537"/>
      <c r="Y70" s="319"/>
      <c r="Z70" s="410" t="s">
        <v>262</v>
      </c>
      <c r="AA70" s="446" t="s">
        <v>259</v>
      </c>
      <c r="AB70" s="411">
        <f>M90</f>
        <v>0</v>
      </c>
    </row>
    <row r="71" spans="1:28" ht="13.5" thickTop="1">
      <c r="A71" s="184">
        <v>54</v>
      </c>
      <c r="B71" s="162" t="s">
        <v>69</v>
      </c>
      <c r="C71" s="162"/>
      <c r="D71" s="374">
        <f>SUM(D60:D70)</f>
        <v>32564606</v>
      </c>
      <c r="E71" s="374">
        <f>SUM(E60:E70)</f>
        <v>17495662</v>
      </c>
      <c r="F71" s="374">
        <f t="shared" ref="F71:L71" si="19">SUM(F60:F70)</f>
        <v>968925</v>
      </c>
      <c r="G71" s="374">
        <f t="shared" si="19"/>
        <v>17987287</v>
      </c>
      <c r="H71" s="374">
        <f t="shared" si="19"/>
        <v>0</v>
      </c>
      <c r="I71" s="374">
        <f t="shared" si="19"/>
        <v>12919</v>
      </c>
      <c r="J71" s="374">
        <f t="shared" si="19"/>
        <v>0</v>
      </c>
      <c r="K71" s="374">
        <f t="shared" si="19"/>
        <v>0</v>
      </c>
      <c r="L71" s="374">
        <f t="shared" si="19"/>
        <v>304733</v>
      </c>
      <c r="M71" s="374">
        <f t="shared" si="12"/>
        <v>69334132</v>
      </c>
      <c r="N71" s="160"/>
      <c r="O71" s="322"/>
      <c r="P71" s="1738" t="str">
        <f>IF(P69-INT(P69)&lt;&gt;0,"Whole Dollars Only","")</f>
        <v/>
      </c>
      <c r="Q71" s="1738"/>
      <c r="R71" s="323"/>
      <c r="S71" s="323"/>
      <c r="T71" s="323"/>
      <c r="U71" s="291"/>
      <c r="V71" s="324"/>
      <c r="W71" s="321"/>
      <c r="X71" s="321"/>
      <c r="Y71" s="321"/>
      <c r="Z71" s="318"/>
      <c r="AA71" s="325">
        <f>SUM(AA60:AA70)</f>
        <v>77469736</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Input!$OJ$37</f>
        <v>0</v>
      </c>
      <c r="E74" s="372">
        <f>Input!$OK$37</f>
        <v>0</v>
      </c>
      <c r="F74" s="372">
        <f>Input!$OL$37</f>
        <v>0</v>
      </c>
      <c r="G74" s="372">
        <f>Input!$OM$37</f>
        <v>0</v>
      </c>
      <c r="H74" s="372">
        <f>Input!$ON$37</f>
        <v>0</v>
      </c>
      <c r="I74" s="372">
        <f>Input!$OO$37</f>
        <v>0</v>
      </c>
      <c r="J74" s="372">
        <f>Input!$OP$37</f>
        <v>0</v>
      </c>
      <c r="K74" s="372">
        <f>Input!$OQ$37</f>
        <v>0</v>
      </c>
      <c r="L74" s="372">
        <f>Input!$OR$37</f>
        <v>-1122444</v>
      </c>
      <c r="M74" s="373">
        <f>D74+E74+F74+G74+H74+I74+J74+K74+L74</f>
        <v>-1122444</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Input!$OS$37</f>
        <v>-8161519</v>
      </c>
      <c r="E75" s="372">
        <f>Input!$OT$37</f>
        <v>9419388</v>
      </c>
      <c r="F75" s="372">
        <f>Input!$OU$37</f>
        <v>622662</v>
      </c>
      <c r="G75" s="372">
        <f>Input!$OV$37</f>
        <v>-4904769</v>
      </c>
      <c r="H75" s="372">
        <f>Input!$OW$37</f>
        <v>0</v>
      </c>
      <c r="I75" s="372">
        <f>Input!$OX$37</f>
        <v>-11019897</v>
      </c>
      <c r="J75" s="372">
        <f>Input!$OY$37</f>
        <v>0</v>
      </c>
      <c r="K75" s="372">
        <f>Input!$OZ$37</f>
        <v>-2267274</v>
      </c>
      <c r="L75" s="372">
        <f>Input!$PA$37</f>
        <v>5702442</v>
      </c>
      <c r="M75" s="373">
        <f>D75+E75+F75+G75+H75+I75+J75+K75+L75</f>
        <v>-10608967</v>
      </c>
      <c r="N75" s="160"/>
      <c r="O75" s="1723" t="str">
        <f>IF(M85&lt;0,"Footnote 11 is N/A - No Data Entry Required","Footnote 11")</f>
        <v>Footnote 11</v>
      </c>
      <c r="P75" s="1724"/>
      <c r="Q75" s="1724"/>
      <c r="R75" s="1725"/>
      <c r="S75" s="330"/>
      <c r="T75" s="330"/>
      <c r="U75" s="327"/>
      <c r="V75" s="276"/>
      <c r="W75" s="331"/>
      <c r="X75" s="331"/>
      <c r="Y75" s="328"/>
      <c r="Z75" s="328"/>
      <c r="AA75" s="276"/>
      <c r="AB75" s="276" t="s">
        <v>293</v>
      </c>
    </row>
    <row r="76" spans="1:28" ht="13.5" thickTop="1">
      <c r="A76" s="184">
        <v>59</v>
      </c>
      <c r="B76" s="160" t="s">
        <v>45</v>
      </c>
      <c r="C76" s="160"/>
      <c r="D76" s="372">
        <f>Input!$PB$37</f>
        <v>0</v>
      </c>
      <c r="E76" s="372">
        <f>Input!$PC$37</f>
        <v>0</v>
      </c>
      <c r="F76" s="372">
        <f>Input!$PD$37</f>
        <v>0</v>
      </c>
      <c r="G76" s="372">
        <f>Input!$PE$37</f>
        <v>0</v>
      </c>
      <c r="H76" s="372">
        <f>Input!$PF$37</f>
        <v>0</v>
      </c>
      <c r="I76" s="372">
        <f>Input!$PG$37</f>
        <v>0</v>
      </c>
      <c r="J76" s="372">
        <f>Input!$PH$37</f>
        <v>0</v>
      </c>
      <c r="K76" s="372">
        <f>Input!$PI$37</f>
        <v>0</v>
      </c>
      <c r="L76" s="372">
        <f>Input!$PJ$37</f>
        <v>0</v>
      </c>
      <c r="M76" s="373">
        <f>D76+E76+F76+G76+H76+I76+J76+K76+L76</f>
        <v>0</v>
      </c>
      <c r="N76" s="160"/>
      <c r="O76" s="487" t="s">
        <v>583</v>
      </c>
      <c r="P76" s="488"/>
      <c r="Q76" s="489"/>
      <c r="R76" s="490">
        <f>IF($M$85&lt;0,"N/A",$M$85)</f>
        <v>11231001</v>
      </c>
      <c r="S76" s="330"/>
      <c r="T76" s="330"/>
      <c r="U76" s="327"/>
      <c r="V76" s="276"/>
      <c r="W76" s="331"/>
      <c r="X76" s="331"/>
      <c r="Y76" s="331"/>
      <c r="Z76" s="331"/>
      <c r="AA76" s="276"/>
      <c r="AB76" s="276"/>
    </row>
    <row r="77" spans="1:28">
      <c r="A77" s="184">
        <v>60</v>
      </c>
      <c r="B77" s="160" t="s">
        <v>46</v>
      </c>
      <c r="C77" s="160"/>
      <c r="D77" s="372">
        <f>Input!$PK$37</f>
        <v>0</v>
      </c>
      <c r="E77" s="372">
        <f>Input!$PL$37</f>
        <v>0</v>
      </c>
      <c r="F77" s="372">
        <f>Input!$PM$37</f>
        <v>0</v>
      </c>
      <c r="G77" s="372">
        <f>Input!$PN$37</f>
        <v>0</v>
      </c>
      <c r="H77" s="372">
        <f>Input!$PO$37</f>
        <v>0</v>
      </c>
      <c r="I77" s="372">
        <f>Input!$PP$37</f>
        <v>0</v>
      </c>
      <c r="J77" s="372">
        <f>Input!$PQ$37</f>
        <v>0</v>
      </c>
      <c r="K77" s="372">
        <f>Input!$PR$37</f>
        <v>0</v>
      </c>
      <c r="L77" s="372">
        <f>Input!$PS$37</f>
        <v>0</v>
      </c>
      <c r="M77" s="373">
        <f>D77+E77+F77+G77+H77+I77+J77+K77+L77</f>
        <v>0</v>
      </c>
      <c r="N77" s="160"/>
      <c r="O77" s="491" t="s">
        <v>584</v>
      </c>
      <c r="P77" s="334"/>
      <c r="Q77" s="334"/>
      <c r="R77" s="521">
        <f>Input!$UB$37</f>
        <v>840</v>
      </c>
      <c r="S77" s="330"/>
      <c r="T77" s="330"/>
      <c r="U77" s="327"/>
      <c r="V77" s="276"/>
      <c r="W77" s="331"/>
      <c r="X77" s="331"/>
      <c r="Y77" s="331"/>
      <c r="Z77" s="331"/>
      <c r="AA77" s="276"/>
      <c r="AB77" s="276"/>
    </row>
    <row r="78" spans="1:28">
      <c r="A78" s="184">
        <v>61</v>
      </c>
      <c r="B78" s="162" t="s">
        <v>3</v>
      </c>
      <c r="C78" s="162"/>
      <c r="D78" s="374">
        <f t="shared" ref="D78:L78" si="20">SUM(D74:D77)</f>
        <v>-8161519</v>
      </c>
      <c r="E78" s="374">
        <f t="shared" si="20"/>
        <v>9419388</v>
      </c>
      <c r="F78" s="374">
        <f t="shared" si="20"/>
        <v>622662</v>
      </c>
      <c r="G78" s="374">
        <f t="shared" si="20"/>
        <v>-4904769</v>
      </c>
      <c r="H78" s="374">
        <f t="shared" si="20"/>
        <v>0</v>
      </c>
      <c r="I78" s="374">
        <f t="shared" si="20"/>
        <v>-11019897</v>
      </c>
      <c r="J78" s="374">
        <f t="shared" si="20"/>
        <v>0</v>
      </c>
      <c r="K78" s="374">
        <f t="shared" si="20"/>
        <v>-2267274</v>
      </c>
      <c r="L78" s="374">
        <f t="shared" si="20"/>
        <v>4579998</v>
      </c>
      <c r="M78" s="374">
        <f>D78+E78+F78+G78+H78+I78+J78+K78+L78</f>
        <v>-11731411</v>
      </c>
      <c r="N78" s="160"/>
      <c r="O78" s="491" t="s">
        <v>585</v>
      </c>
      <c r="P78" s="276"/>
      <c r="Q78" s="334"/>
      <c r="R78" s="492">
        <f>IF($M$85&lt;0,"",$R$76-$R$77)</f>
        <v>11230161</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3"/>
      <c r="P79" s="276"/>
      <c r="Q79" s="334"/>
      <c r="R79" s="494"/>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5" t="s">
        <v>586</v>
      </c>
      <c r="P80" s="276"/>
      <c r="Q80" s="334"/>
      <c r="R80" s="521">
        <f>Input!$UC$37</f>
        <v>1930527</v>
      </c>
      <c r="S80" s="330"/>
      <c r="T80" s="330"/>
      <c r="U80" s="334"/>
      <c r="V80" s="276"/>
      <c r="W80" s="328"/>
      <c r="X80" s="328"/>
      <c r="Y80" s="331"/>
      <c r="Z80" s="331"/>
      <c r="AA80" s="276"/>
      <c r="AB80" s="276"/>
    </row>
    <row r="81" spans="1:28">
      <c r="A81" s="184">
        <v>64</v>
      </c>
      <c r="B81" s="160" t="s">
        <v>47</v>
      </c>
      <c r="C81" s="160"/>
      <c r="D81" s="372">
        <f>Input!$PT$37</f>
        <v>0</v>
      </c>
      <c r="E81" s="372">
        <f>Input!$PU$37</f>
        <v>1793758</v>
      </c>
      <c r="F81" s="372">
        <f>Input!$PV$37</f>
        <v>0</v>
      </c>
      <c r="G81" s="372">
        <f>Input!$PW$37</f>
        <v>0</v>
      </c>
      <c r="H81" s="372">
        <f>Input!$PX$37</f>
        <v>0</v>
      </c>
      <c r="I81" s="372">
        <f>Input!$PY$37</f>
        <v>136769</v>
      </c>
      <c r="J81" s="372">
        <f>Input!$PZ$37</f>
        <v>0</v>
      </c>
      <c r="K81" s="372">
        <f>Input!$QA$37</f>
        <v>0</v>
      </c>
      <c r="L81" s="372">
        <f>Input!$QB$37</f>
        <v>0</v>
      </c>
      <c r="M81" s="373">
        <f>D81+E81+F81+G81+H81+I81+J81+K81+L81</f>
        <v>1930527</v>
      </c>
      <c r="N81" s="160"/>
      <c r="O81" s="496" t="s">
        <v>587</v>
      </c>
      <c r="P81" s="276"/>
      <c r="Q81" s="276"/>
      <c r="R81" s="497"/>
      <c r="S81" s="330"/>
      <c r="T81" s="330"/>
      <c r="W81" s="276"/>
      <c r="X81" s="276"/>
      <c r="Y81" s="331"/>
      <c r="Z81" s="331"/>
      <c r="AA81" s="276"/>
      <c r="AB81" s="276"/>
    </row>
    <row r="82" spans="1:28">
      <c r="A82" s="184">
        <v>65</v>
      </c>
      <c r="B82" s="160" t="s">
        <v>48</v>
      </c>
      <c r="C82" s="160"/>
      <c r="D82" s="372">
        <f>Input!$QC$37</f>
        <v>0</v>
      </c>
      <c r="E82" s="372">
        <f>Input!$QD$37</f>
        <v>0</v>
      </c>
      <c r="F82" s="372">
        <f>Input!$QE$37</f>
        <v>0</v>
      </c>
      <c r="G82" s="372">
        <f>Input!$QF$37</f>
        <v>0</v>
      </c>
      <c r="H82" s="372">
        <f>Input!$QG$37</f>
        <v>0</v>
      </c>
      <c r="I82" s="372">
        <f>Input!$QH$37</f>
        <v>840</v>
      </c>
      <c r="J82" s="372">
        <f>Input!$QI$37</f>
        <v>0</v>
      </c>
      <c r="K82" s="372">
        <f>Input!$QJ$37</f>
        <v>0</v>
      </c>
      <c r="L82" s="372">
        <f>Input!$QK$37</f>
        <v>0</v>
      </c>
      <c r="M82" s="373">
        <f>D82+E82+F82+G82+H82+I82+J82+K82+L82</f>
        <v>840</v>
      </c>
      <c r="N82" s="160"/>
      <c r="O82" s="498" t="s">
        <v>588</v>
      </c>
      <c r="P82" s="276"/>
      <c r="Q82" s="276"/>
      <c r="R82" s="492">
        <f>IFERROR($R$78-$R$80,"")</f>
        <v>9299634</v>
      </c>
      <c r="Y82" s="331"/>
      <c r="Z82" s="401"/>
      <c r="AA82" s="268"/>
      <c r="AB82" s="268"/>
    </row>
    <row r="83" spans="1:28">
      <c r="A83" s="184">
        <v>66</v>
      </c>
      <c r="B83" s="162" t="s">
        <v>3</v>
      </c>
      <c r="C83" s="162"/>
      <c r="D83" s="374">
        <f t="shared" ref="D83:L83" si="21">SUM(D81:D82)</f>
        <v>0</v>
      </c>
      <c r="E83" s="374">
        <f t="shared" si="21"/>
        <v>1793758</v>
      </c>
      <c r="F83" s="374">
        <f t="shared" si="21"/>
        <v>0</v>
      </c>
      <c r="G83" s="374">
        <f t="shared" si="21"/>
        <v>0</v>
      </c>
      <c r="H83" s="374">
        <f t="shared" si="21"/>
        <v>0</v>
      </c>
      <c r="I83" s="374">
        <f t="shared" si="21"/>
        <v>137609</v>
      </c>
      <c r="J83" s="374">
        <f t="shared" si="21"/>
        <v>0</v>
      </c>
      <c r="K83" s="374">
        <f t="shared" si="21"/>
        <v>0</v>
      </c>
      <c r="L83" s="374">
        <f t="shared" si="21"/>
        <v>0</v>
      </c>
      <c r="M83" s="374">
        <f>D83+E83+F83+G83+H83+I83+J83+K83+L83</f>
        <v>1931367</v>
      </c>
      <c r="N83" s="160"/>
      <c r="O83" s="493"/>
      <c r="P83" s="276"/>
      <c r="Q83" s="276"/>
      <c r="R83" s="497"/>
      <c r="Y83" s="163"/>
      <c r="Z83" s="447"/>
      <c r="AA83" s="439"/>
      <c r="AB83" s="448"/>
    </row>
    <row r="84" spans="1:28" ht="13.5" thickBot="1">
      <c r="A84" s="184">
        <v>67</v>
      </c>
      <c r="B84" s="160"/>
      <c r="C84" s="160"/>
      <c r="D84" s="373"/>
      <c r="E84" s="373"/>
      <c r="F84" s="373"/>
      <c r="G84" s="373"/>
      <c r="H84" s="373"/>
      <c r="I84" s="373"/>
      <c r="J84" s="373"/>
      <c r="K84" s="373"/>
      <c r="L84" s="373"/>
      <c r="M84" s="373"/>
      <c r="N84" s="160"/>
      <c r="O84" s="499" t="s">
        <v>589</v>
      </c>
      <c r="P84" s="500"/>
      <c r="Q84" s="500"/>
      <c r="R84" s="501">
        <f>IFERROR((R82+R80)-R78,"")</f>
        <v>0</v>
      </c>
      <c r="Y84" s="268"/>
      <c r="Z84" s="447"/>
      <c r="AA84" s="439"/>
      <c r="AB84" s="449"/>
    </row>
    <row r="85" spans="1:28" ht="13.5" thickTop="1">
      <c r="A85" s="184">
        <v>68</v>
      </c>
      <c r="B85" s="162" t="s">
        <v>574</v>
      </c>
      <c r="C85" s="162"/>
      <c r="D85" s="374">
        <f t="shared" ref="D85:L85" si="22">D57-D71+D78+D83</f>
        <v>944819</v>
      </c>
      <c r="E85" s="374">
        <f t="shared" si="22"/>
        <v>18432583</v>
      </c>
      <c r="F85" s="374">
        <f t="shared" si="22"/>
        <v>121328</v>
      </c>
      <c r="G85" s="374">
        <f t="shared" si="22"/>
        <v>261486</v>
      </c>
      <c r="H85" s="374">
        <f t="shared" si="22"/>
        <v>0</v>
      </c>
      <c r="I85" s="374">
        <f t="shared" si="22"/>
        <v>-10832976</v>
      </c>
      <c r="J85" s="374">
        <f t="shared" si="22"/>
        <v>0</v>
      </c>
      <c r="K85" s="374">
        <f t="shared" si="22"/>
        <v>-2267171</v>
      </c>
      <c r="L85" s="374">
        <f t="shared" si="22"/>
        <v>4570932</v>
      </c>
      <c r="M85" s="374">
        <f>D85+E85+F85+G85+H85+I85+J85+K85+L85</f>
        <v>11231001</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Input!$QL$37</f>
        <v>0</v>
      </c>
      <c r="E87" s="372">
        <f>Input!$QM$37</f>
        <v>0</v>
      </c>
      <c r="F87" s="372">
        <f>Input!$QN$37</f>
        <v>0</v>
      </c>
      <c r="G87" s="372">
        <f>Input!$QO$37</f>
        <v>0</v>
      </c>
      <c r="H87" s="372">
        <f>Input!$QP$37</f>
        <v>0</v>
      </c>
      <c r="I87" s="372">
        <f>Input!$QQ$37</f>
        <v>0</v>
      </c>
      <c r="J87" s="372">
        <f>Input!$QR$37</f>
        <v>0</v>
      </c>
      <c r="K87" s="372">
        <f>Input!$QS$37</f>
        <v>0</v>
      </c>
      <c r="L87" s="372">
        <f>Input!$QT$37</f>
        <v>0</v>
      </c>
      <c r="M87" s="329">
        <f>D87+E87+F87+G87+H87+I87+J87+K87+L87</f>
        <v>0</v>
      </c>
      <c r="N87" s="160"/>
      <c r="Y87" s="268"/>
      <c r="Z87" s="447"/>
      <c r="AA87" s="439"/>
      <c r="AB87" s="449"/>
    </row>
    <row r="88" spans="1:28">
      <c r="A88" s="184">
        <v>72</v>
      </c>
      <c r="B88" s="160" t="s">
        <v>66</v>
      </c>
      <c r="C88" s="160"/>
      <c r="D88" s="372">
        <f>Input!$QU$37</f>
        <v>0</v>
      </c>
      <c r="E88" s="372">
        <f>Input!$QV$37</f>
        <v>0</v>
      </c>
      <c r="F88" s="372">
        <f>Input!$QW$37</f>
        <v>0</v>
      </c>
      <c r="G88" s="372">
        <f>Input!$QX$37</f>
        <v>0</v>
      </c>
      <c r="H88" s="372">
        <f>Input!$QY$37</f>
        <v>0</v>
      </c>
      <c r="I88" s="372">
        <f>Input!$QZ$37</f>
        <v>0</v>
      </c>
      <c r="J88" s="372">
        <f>Input!$RA$37</f>
        <v>0</v>
      </c>
      <c r="K88" s="372">
        <f>Input!$RB$37</f>
        <v>0</v>
      </c>
      <c r="L88" s="372">
        <f>Input!$RC$37</f>
        <v>-12070890</v>
      </c>
      <c r="M88" s="373">
        <f>D88+E88+F88+G88+H88+I88+J88+K88+L88</f>
        <v>-12070890</v>
      </c>
      <c r="N88" s="160"/>
      <c r="O88" s="270"/>
      <c r="P88" s="335"/>
      <c r="Y88" s="268"/>
      <c r="Z88" s="447"/>
      <c r="AA88" s="439"/>
      <c r="AB88" s="449"/>
    </row>
    <row r="89" spans="1:28" s="264" customFormat="1">
      <c r="A89" s="263"/>
      <c r="B89" s="171" t="s">
        <v>216</v>
      </c>
      <c r="C89" s="171"/>
      <c r="D89" s="372">
        <f>Input!$RD$37</f>
        <v>0</v>
      </c>
      <c r="E89" s="372">
        <f>Input!$RE$37</f>
        <v>0</v>
      </c>
      <c r="F89" s="372">
        <f>Input!$RF$37</f>
        <v>0</v>
      </c>
      <c r="G89" s="372">
        <f>Input!$RG$37</f>
        <v>0</v>
      </c>
      <c r="H89" s="372">
        <f>Input!$RH$37</f>
        <v>0</v>
      </c>
      <c r="I89" s="372">
        <f>Input!$RI$37</f>
        <v>0</v>
      </c>
      <c r="J89" s="372">
        <f>Input!$RJ$37</f>
        <v>0</v>
      </c>
      <c r="K89" s="372">
        <f>Input!$RK$37</f>
        <v>0</v>
      </c>
      <c r="L89" s="372">
        <f>Input!$RL$37</f>
        <v>0</v>
      </c>
      <c r="M89" s="373">
        <f t="shared" ref="M89:M91" si="23">D89+E89+F89+G89+H89+I89+J89+K89+L89</f>
        <v>0</v>
      </c>
      <c r="N89" s="160"/>
      <c r="O89" s="1726" t="s">
        <v>1355</v>
      </c>
      <c r="P89" s="1727"/>
      <c r="Q89" s="1727"/>
      <c r="R89" s="1727"/>
      <c r="S89" s="1727"/>
      <c r="T89" s="1727"/>
      <c r="U89" s="1728"/>
      <c r="Y89" s="268"/>
      <c r="Z89" s="447"/>
      <c r="AA89" s="439"/>
      <c r="AB89" s="449"/>
    </row>
    <row r="90" spans="1:28" s="264" customFormat="1">
      <c r="A90" s="263"/>
      <c r="B90" s="171" t="s">
        <v>105</v>
      </c>
      <c r="C90" s="171"/>
      <c r="D90" s="372">
        <f>Input!$RM$37</f>
        <v>0</v>
      </c>
      <c r="E90" s="372">
        <f>Input!$RN$37</f>
        <v>0</v>
      </c>
      <c r="F90" s="372">
        <f>Input!$RO$37</f>
        <v>0</v>
      </c>
      <c r="G90" s="372">
        <f>Input!$RP$37</f>
        <v>0</v>
      </c>
      <c r="H90" s="372">
        <f>Input!$RQ$37</f>
        <v>0</v>
      </c>
      <c r="I90" s="372">
        <f>Input!$RR$37</f>
        <v>0</v>
      </c>
      <c r="J90" s="372">
        <f>Input!$RS$37</f>
        <v>0</v>
      </c>
      <c r="K90" s="372">
        <f>Input!$RT$37</f>
        <v>0</v>
      </c>
      <c r="L90" s="372">
        <f>Input!$RU$37</f>
        <v>0</v>
      </c>
      <c r="M90" s="373">
        <f t="shared" si="23"/>
        <v>0</v>
      </c>
      <c r="N90" s="160"/>
      <c r="O90" s="502" t="s">
        <v>590</v>
      </c>
      <c r="P90" s="423"/>
      <c r="Q90" s="502" t="s">
        <v>591</v>
      </c>
      <c r="R90" s="423"/>
      <c r="S90" s="503"/>
      <c r="T90" s="502" t="s">
        <v>592</v>
      </c>
      <c r="U90" s="423"/>
      <c r="Y90" s="268"/>
      <c r="Z90" s="447"/>
      <c r="AA90" s="439"/>
      <c r="AB90" s="449"/>
    </row>
    <row r="91" spans="1:28" s="264" customFormat="1">
      <c r="A91" s="263"/>
      <c r="B91" s="171" t="s">
        <v>128</v>
      </c>
      <c r="C91" s="171"/>
      <c r="D91" s="372">
        <f>Input!$RV$37</f>
        <v>0</v>
      </c>
      <c r="E91" s="372">
        <f>Input!$RW$37</f>
        <v>0</v>
      </c>
      <c r="F91" s="372">
        <f>Input!$RX$37</f>
        <v>0</v>
      </c>
      <c r="G91" s="372">
        <f>Input!$RY$37</f>
        <v>0</v>
      </c>
      <c r="H91" s="372">
        <f>Input!$RZ$37</f>
        <v>0</v>
      </c>
      <c r="I91" s="372">
        <f>Input!$SA$37</f>
        <v>0</v>
      </c>
      <c r="J91" s="372">
        <f>Input!$SB$37</f>
        <v>0</v>
      </c>
      <c r="K91" s="372">
        <f>Input!$SC$37</f>
        <v>0</v>
      </c>
      <c r="L91" s="372">
        <f>Input!$SD$37</f>
        <v>415142</v>
      </c>
      <c r="M91" s="373">
        <f t="shared" si="23"/>
        <v>415142</v>
      </c>
      <c r="N91" s="160"/>
      <c r="O91" s="504"/>
      <c r="P91" s="505"/>
      <c r="Q91" s="504"/>
      <c r="R91" s="426"/>
      <c r="S91" s="276"/>
      <c r="T91" s="506"/>
      <c r="U91" s="426"/>
      <c r="Y91" s="268"/>
      <c r="Z91" s="447"/>
      <c r="AA91" s="439"/>
      <c r="AB91" s="449"/>
    </row>
    <row r="92" spans="1:28" s="264" customFormat="1">
      <c r="A92" s="263"/>
      <c r="B92" s="160" t="s">
        <v>67</v>
      </c>
      <c r="C92" s="160"/>
      <c r="D92" s="372">
        <f>Input!$SE$37</f>
        <v>0</v>
      </c>
      <c r="E92" s="372">
        <f>Input!$SF$37</f>
        <v>0</v>
      </c>
      <c r="F92" s="372">
        <f>Input!$SG$37</f>
        <v>0</v>
      </c>
      <c r="G92" s="372">
        <f>Input!$SH$37</f>
        <v>0</v>
      </c>
      <c r="H92" s="372">
        <f>Input!$SI$37</f>
        <v>0</v>
      </c>
      <c r="I92" s="372">
        <f>Input!$SJ$37</f>
        <v>0</v>
      </c>
      <c r="J92" s="372">
        <f>Input!$SK$37</f>
        <v>0</v>
      </c>
      <c r="K92" s="372">
        <f>Input!$SL$37</f>
        <v>0</v>
      </c>
      <c r="L92" s="372">
        <f>Input!$SM$37</f>
        <v>3085705</v>
      </c>
      <c r="M92" s="373">
        <f>D92+E92+F92+G92+H92+I92+J92+K92+L92</f>
        <v>3085705</v>
      </c>
      <c r="N92" s="160"/>
      <c r="O92" s="1729" t="str">
        <f>Input!UF$37</f>
        <v>Gia Doss</v>
      </c>
      <c r="P92" s="1730"/>
      <c r="Q92" s="1729">
        <f>Input!$UG$37</f>
        <v>0</v>
      </c>
      <c r="R92" s="1730"/>
      <c r="S92" s="276"/>
      <c r="T92" s="1731" t="str">
        <f>HYPERLINK("Mailto:"&amp;Input!$UH$37,Input!$UH$37)</f>
        <v>Gia.Doss@untsystem.edu</v>
      </c>
      <c r="U92" s="1730"/>
      <c r="Y92" s="268"/>
      <c r="Z92" s="447"/>
      <c r="AA92" s="442"/>
      <c r="AB92" s="449"/>
    </row>
    <row r="93" spans="1:28" ht="13.5" thickBot="1">
      <c r="B93" s="179" t="s">
        <v>58</v>
      </c>
      <c r="C93" s="179"/>
      <c r="D93" s="380">
        <f t="shared" ref="D93:K93" si="24">SUM(D85:D92)</f>
        <v>944819</v>
      </c>
      <c r="E93" s="380">
        <f t="shared" si="24"/>
        <v>18432583</v>
      </c>
      <c r="F93" s="380">
        <f t="shared" si="24"/>
        <v>121328</v>
      </c>
      <c r="G93" s="380">
        <f t="shared" si="24"/>
        <v>261486</v>
      </c>
      <c r="H93" s="380">
        <f t="shared" si="24"/>
        <v>0</v>
      </c>
      <c r="I93" s="380">
        <f t="shared" si="24"/>
        <v>-10832976</v>
      </c>
      <c r="J93" s="380">
        <f t="shared" si="24"/>
        <v>0</v>
      </c>
      <c r="K93" s="380">
        <f t="shared" si="24"/>
        <v>-2267171</v>
      </c>
      <c r="L93" s="380">
        <f>SUM(L85:L92)</f>
        <v>-3999111</v>
      </c>
      <c r="M93" s="380">
        <f>D93+E93+F93+G93+H93+I93+J93+K93+L93</f>
        <v>2660958</v>
      </c>
      <c r="N93" s="160"/>
      <c r="O93" s="506"/>
      <c r="P93" s="507"/>
      <c r="Q93" s="276"/>
      <c r="R93" s="276"/>
      <c r="S93" s="276"/>
      <c r="T93" s="507"/>
      <c r="U93" s="508"/>
      <c r="Y93" s="268"/>
      <c r="Z93" s="447"/>
      <c r="AA93" s="442"/>
      <c r="AB93" s="449"/>
    </row>
    <row r="94" spans="1:28" ht="13.5" thickTop="1">
      <c r="C94" s="160"/>
      <c r="D94" s="165"/>
      <c r="E94" s="165"/>
      <c r="F94" s="165"/>
      <c r="G94" s="165"/>
      <c r="H94" s="165"/>
      <c r="I94" s="165"/>
      <c r="J94" s="165"/>
      <c r="K94" s="165"/>
      <c r="L94" s="165"/>
      <c r="M94" s="180"/>
      <c r="N94" s="160"/>
      <c r="O94" s="1720" t="s">
        <v>593</v>
      </c>
      <c r="P94" s="1721"/>
      <c r="Q94" s="1721"/>
      <c r="R94" s="1721"/>
      <c r="S94" s="1721"/>
      <c r="T94" s="1721"/>
      <c r="U94" s="1722"/>
      <c r="Y94" s="268"/>
      <c r="Z94" s="451"/>
      <c r="AA94" s="442"/>
      <c r="AB94" s="449"/>
    </row>
    <row r="95" spans="1:28">
      <c r="B95" s="171" t="s">
        <v>1369</v>
      </c>
      <c r="C95" s="169"/>
      <c r="D95" s="165"/>
      <c r="E95" s="165"/>
      <c r="F95" s="165"/>
      <c r="G95" s="165"/>
      <c r="H95" s="165"/>
      <c r="I95" s="165"/>
      <c r="J95" s="165"/>
      <c r="K95" s="165"/>
      <c r="L95" s="165"/>
      <c r="M95" s="180"/>
      <c r="N95" s="160"/>
      <c r="O95" s="1720"/>
      <c r="P95" s="1721"/>
      <c r="Q95" s="1721"/>
      <c r="R95" s="1721"/>
      <c r="S95" s="1721"/>
      <c r="T95" s="1721"/>
      <c r="U95" s="1722"/>
      <c r="Y95" s="268"/>
      <c r="Z95" s="452"/>
      <c r="AA95" s="453"/>
      <c r="AB95" s="454"/>
    </row>
    <row r="96" spans="1:28">
      <c r="B96" s="169" t="s">
        <v>80</v>
      </c>
      <c r="C96" s="160"/>
      <c r="D96" s="165"/>
      <c r="E96" s="165"/>
      <c r="F96" s="165"/>
      <c r="G96" s="165"/>
      <c r="H96" s="165"/>
      <c r="I96" s="165"/>
      <c r="J96" s="165"/>
      <c r="K96" s="165"/>
      <c r="L96" s="165"/>
      <c r="M96" s="180"/>
      <c r="N96" s="160"/>
      <c r="O96" s="509"/>
      <c r="P96" s="510"/>
      <c r="Q96" s="511"/>
      <c r="R96" s="511"/>
      <c r="S96" s="511"/>
      <c r="T96" s="510"/>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Input!$SN$37</f>
        <v>2660958</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3" t="str">
        <f>IF($L$118&lt;&gt;Input!$F$37,"Out of Balance","Balanced")</f>
        <v>Balanced</v>
      </c>
      <c r="M102" s="517"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65511210</v>
      </c>
      <c r="E105" s="373">
        <f>SUM($E$10:$E$14)+SUM($E$19:$E$28)+SUM($E$32:$E$41)+$E$47+SUM($E$50:$E$55)+SUM($E$60:$E$70)+SUM($E$74:$E$77)+SUM($E$81:$E$82)+SUM($E$87:$E$92)</f>
        <v>52322235</v>
      </c>
      <c r="F105" s="373">
        <f>SUM($F$10:$F$14)+SUM($F$19:$F$28)+SUM($F$32:$F$41)+$F$47+SUM($F$50:$F$55)+SUM($F$60:$F$70)+SUM($F$74:$F$77)+SUM($F$81:$F$82)+SUM($F$87:$F$92)</f>
        <v>2059178</v>
      </c>
      <c r="G105" s="373">
        <f>SUM($G$10:$G$14)+SUM($G$19:$G$28)+SUM($G$32:$G$41)+$G$47+SUM($G$50:$G$55)+SUM($G$60:$G$70)+SUM($G$74:$G$77)+SUM($G$81:$G$82)+SUM($G$87:$G$92)</f>
        <v>36236060</v>
      </c>
      <c r="H105" s="373">
        <f>SUM($H$10:$H$14)+SUM($H$19:$H$28)+SUM($H$32:$H$41)+$H$47+SUM($H$50:$H$55)+SUM($H$60:$H$70)+SUM($H$74:$H$77)+SUM($H$81:$H$82)+SUM($H$87:$H$92)</f>
        <v>0</v>
      </c>
      <c r="I105" s="373">
        <f>SUM($I$10:$I$14)+SUM($I$19:$I$28)+SUM($I$32:$I$41)+$I$47+SUM($I$50:$I$55)+SUM($I$60:$I$70)+SUM($I$74:$I$77)+SUM($I$81:$I$82)+SUM($I$87:$I$92)</f>
        <v>-10807138</v>
      </c>
      <c r="J105" s="373">
        <f>SUM($J$10:$J$14)+SUM($J$19:$J$28)+SUM($J$32:$J$41)+$J$47+SUM($J$50:$J$55)+SUM($J$60:$J$70)+SUM($J$74:$J$77)+SUM($J$81:$J$82)+SUM($J$87:$J$92)</f>
        <v>0</v>
      </c>
      <c r="K105" s="373">
        <f>SUM($K$10:$K$14)+SUM($K$19:$K$28)+SUM($K$32:$K$41)+$K$47+SUM($K$50:$K$55)+SUM($K$60:$K$70)+SUM($K$74:$K$77)+SUM($K$81:$K$82)+SUM($K$87:$K$92)</f>
        <v>-2267171</v>
      </c>
      <c r="L105" s="373">
        <f>SUM($L$10:$L$14)+SUM($L$19:$L$28)+SUM($L$32:$L$41)+$L$47+SUM($L$50:$L$55)+SUM($L$60:$L$70)+SUM($L$74:$L$77)+SUM($L$81:$L$82)+SUM($L$87:$L$92)</f>
        <v>-3389645</v>
      </c>
      <c r="M105" s="373"/>
      <c r="N105" s="264"/>
      <c r="O105" s="373"/>
      <c r="P105" s="450">
        <f>M18-INT(M18)</f>
        <v>0</v>
      </c>
    </row>
    <row r="106" spans="2:28">
      <c r="B106" s="261"/>
      <c r="C106" s="261"/>
      <c r="D106" s="261"/>
      <c r="E106" s="261"/>
      <c r="F106" s="261"/>
      <c r="G106" s="261"/>
      <c r="H106" s="261"/>
      <c r="I106" s="261"/>
      <c r="J106" s="261"/>
      <c r="K106" s="261"/>
      <c r="L106" s="373">
        <f>SUM($D$105:$L$105)</f>
        <v>139664729</v>
      </c>
      <c r="M106" s="261"/>
      <c r="N106" s="264"/>
      <c r="O106" s="373"/>
      <c r="P106" s="450">
        <f>M31-INT(M31)</f>
        <v>0</v>
      </c>
    </row>
    <row r="107" spans="2:28">
      <c r="B107" s="261"/>
      <c r="C107" s="261"/>
      <c r="D107" s="261"/>
      <c r="E107" s="261"/>
      <c r="F107" s="261"/>
      <c r="G107" s="261"/>
      <c r="H107" s="261"/>
      <c r="I107" s="261"/>
      <c r="J107" s="261" t="s">
        <v>1299</v>
      </c>
      <c r="K107" s="261"/>
      <c r="L107" s="373">
        <f>$M$100</f>
        <v>2660958</v>
      </c>
      <c r="M107" s="261"/>
      <c r="N107" s="264"/>
      <c r="O107" s="373"/>
      <c r="P107" s="450">
        <f>M93-INT(M93)</f>
        <v>0</v>
      </c>
    </row>
    <row r="108" spans="2:28">
      <c r="B108" s="261"/>
      <c r="C108" s="261"/>
      <c r="D108" s="261"/>
      <c r="E108" s="261"/>
      <c r="F108" s="261"/>
      <c r="G108" s="261"/>
      <c r="H108" s="261"/>
      <c r="I108" s="261"/>
      <c r="J108" s="261" t="s">
        <v>1300</v>
      </c>
      <c r="K108" s="261"/>
      <c r="L108" s="512">
        <f>$Q$32</f>
        <v>37746811</v>
      </c>
      <c r="M108" s="261"/>
      <c r="N108" s="264"/>
      <c r="O108" s="373"/>
    </row>
    <row r="109" spans="2:28">
      <c r="B109" s="261"/>
      <c r="C109" s="261"/>
      <c r="D109" s="261"/>
      <c r="E109" s="261"/>
      <c r="F109" s="261"/>
      <c r="G109" s="261"/>
      <c r="H109" s="261"/>
      <c r="I109" s="261"/>
      <c r="J109" s="261" t="s">
        <v>1300</v>
      </c>
      <c r="K109" s="261"/>
      <c r="L109" s="512">
        <f>$R$34</f>
        <v>-7385299</v>
      </c>
      <c r="M109" s="261"/>
      <c r="N109" s="264"/>
      <c r="O109" s="373"/>
    </row>
    <row r="110" spans="2:28">
      <c r="B110" s="261"/>
      <c r="C110" s="261"/>
      <c r="D110" s="261"/>
      <c r="E110" s="261"/>
      <c r="F110" s="261"/>
      <c r="G110" s="261"/>
      <c r="H110" s="261"/>
      <c r="I110" s="261"/>
      <c r="J110" s="261" t="s">
        <v>29</v>
      </c>
      <c r="K110" s="261"/>
      <c r="L110" s="512">
        <f>SUM($P$60:$P$68)</f>
        <v>1963261</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2">
        <f>SUM($V$60:$V$67)</f>
        <v>0</v>
      </c>
      <c r="M112" s="261"/>
      <c r="N112" s="264"/>
      <c r="O112" s="373"/>
    </row>
    <row r="113" spans="2:15">
      <c r="B113" s="261"/>
      <c r="C113" s="261"/>
      <c r="D113" s="261"/>
      <c r="E113" s="261"/>
      <c r="F113" s="261"/>
      <c r="G113" s="261"/>
      <c r="H113" s="261"/>
      <c r="I113" s="261"/>
      <c r="J113" s="261" t="s">
        <v>596</v>
      </c>
      <c r="K113" s="261"/>
      <c r="L113" s="512">
        <f>SUM($W$60:$W$67)</f>
        <v>0</v>
      </c>
      <c r="M113" s="261"/>
      <c r="N113" s="264"/>
      <c r="O113" s="373"/>
    </row>
    <row r="114" spans="2:15">
      <c r="B114" s="261"/>
      <c r="C114" s="261"/>
      <c r="D114" s="261"/>
      <c r="E114" s="261"/>
      <c r="F114" s="261"/>
      <c r="G114" s="261"/>
      <c r="H114" s="261"/>
      <c r="I114" s="261"/>
      <c r="J114" s="261" t="s">
        <v>258</v>
      </c>
      <c r="K114" s="261"/>
      <c r="L114" s="512">
        <f>SUM($AA$60:$AA$68)</f>
        <v>65398846</v>
      </c>
      <c r="M114" s="261"/>
      <c r="N114" s="264"/>
      <c r="O114" s="373"/>
    </row>
    <row r="115" spans="2:15">
      <c r="B115" s="261"/>
      <c r="C115" s="261"/>
      <c r="D115" s="261"/>
      <c r="E115" s="261"/>
      <c r="F115" s="261"/>
      <c r="G115" s="261"/>
      <c r="H115" s="261"/>
      <c r="I115" s="261"/>
      <c r="J115" s="261" t="s">
        <v>597</v>
      </c>
      <c r="K115" s="261"/>
      <c r="L115" s="512">
        <f>$R$77</f>
        <v>840</v>
      </c>
      <c r="M115" s="261"/>
      <c r="N115" s="264"/>
      <c r="O115" s="373"/>
    </row>
    <row r="116" spans="2:15">
      <c r="B116" s="261"/>
      <c r="C116" s="261"/>
      <c r="D116" s="261"/>
      <c r="E116" s="261"/>
      <c r="F116" s="261"/>
      <c r="G116" s="261"/>
      <c r="H116" s="261"/>
      <c r="I116" s="261"/>
      <c r="J116" s="261" t="s">
        <v>597</v>
      </c>
      <c r="K116" s="261"/>
      <c r="L116" s="512">
        <f>$R$80</f>
        <v>1930527</v>
      </c>
      <c r="M116" s="261"/>
      <c r="N116" s="264"/>
      <c r="O116" s="373"/>
    </row>
    <row r="117" spans="2:15">
      <c r="B117" s="261"/>
      <c r="C117" s="261"/>
      <c r="D117" s="261"/>
      <c r="E117" s="261"/>
      <c r="F117" s="261"/>
      <c r="G117" s="261"/>
      <c r="H117" s="261"/>
      <c r="I117" s="261"/>
      <c r="J117" s="261" t="s">
        <v>1231</v>
      </c>
      <c r="K117" s="261"/>
      <c r="L117" s="1008">
        <f>VLOOKUP(B2,Names!B5:$C$87,2,FALSE)</f>
        <v>42421</v>
      </c>
      <c r="M117" s="261"/>
      <c r="N117" s="264"/>
      <c r="O117" s="373"/>
    </row>
    <row r="118" spans="2:15">
      <c r="B118" s="261"/>
      <c r="C118" s="261"/>
      <c r="D118" s="261"/>
      <c r="E118" s="261"/>
      <c r="F118" s="261"/>
      <c r="G118" s="261"/>
      <c r="H118" s="261"/>
      <c r="I118" s="261"/>
      <c r="J118" s="261"/>
      <c r="K118" s="261"/>
      <c r="L118" s="373">
        <f>SUM(L106:L117)</f>
        <v>242023094</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V70:W70"/>
    <mergeCell ref="O56:O59"/>
    <mergeCell ref="P56:P59"/>
    <mergeCell ref="Q56:Q59"/>
    <mergeCell ref="T56:T59"/>
    <mergeCell ref="U56:U59"/>
    <mergeCell ref="V56:V59"/>
    <mergeCell ref="W56:W59"/>
    <mergeCell ref="R56:R59"/>
    <mergeCell ref="AA56:AA59"/>
    <mergeCell ref="X56:X59"/>
    <mergeCell ref="AB56:AB59"/>
    <mergeCell ref="T55:X55"/>
    <mergeCell ref="Z55:AB55"/>
    <mergeCell ref="T19:X19"/>
    <mergeCell ref="Z56:Z59"/>
    <mergeCell ref="B2:F2"/>
    <mergeCell ref="B3:F3"/>
    <mergeCell ref="B4:F4"/>
    <mergeCell ref="O75:R75"/>
    <mergeCell ref="P4:Q4"/>
    <mergeCell ref="B6:M6"/>
    <mergeCell ref="P10:P11"/>
    <mergeCell ref="G59:K59"/>
    <mergeCell ref="P71:Q71"/>
    <mergeCell ref="O55:R55"/>
    <mergeCell ref="O19:R19"/>
    <mergeCell ref="O89:U89"/>
    <mergeCell ref="O92:P92"/>
    <mergeCell ref="Q92:R92"/>
    <mergeCell ref="T92:U92"/>
    <mergeCell ref="O94:U95"/>
  </mergeCells>
  <conditionalFormatting sqref="U87:X88 O88:Q88">
    <cfRule type="cellIs" dxfId="311" priority="119" stopIfTrue="1" operator="notEqual">
      <formula>#REF!</formula>
    </cfRule>
  </conditionalFormatting>
  <conditionalFormatting sqref="P70">
    <cfRule type="expression" dxfId="310" priority="100">
      <formula>$P$69&lt;&gt;$M$69</formula>
    </cfRule>
  </conditionalFormatting>
  <conditionalFormatting sqref="AB72">
    <cfRule type="expression" dxfId="309" priority="99">
      <formula>$AB$71&lt;&gt;0</formula>
    </cfRule>
  </conditionalFormatting>
  <conditionalFormatting sqref="P71">
    <cfRule type="expression" dxfId="308" priority="98">
      <formula>P69-INT(P69)</formula>
    </cfRule>
  </conditionalFormatting>
  <conditionalFormatting sqref="V70">
    <cfRule type="expression" dxfId="307" priority="96">
      <formula>X68-INT(X68)</formula>
    </cfRule>
  </conditionalFormatting>
  <conditionalFormatting sqref="O11">
    <cfRule type="expression" dxfId="306" priority="89">
      <formula>#REF!&lt;&gt;$M$11</formula>
    </cfRule>
  </conditionalFormatting>
  <conditionalFormatting sqref="U87:U88 O88:Q88">
    <cfRule type="cellIs" dxfId="305" priority="80" stopIfTrue="1" operator="notEqual">
      <formula>#REF!</formula>
    </cfRule>
  </conditionalFormatting>
  <conditionalFormatting sqref="R84">
    <cfRule type="expression" priority="78" stopIfTrue="1">
      <formula>$M$85&lt;0</formula>
    </cfRule>
    <cfRule type="expression" dxfId="304" priority="79">
      <formula>$S$85&lt;&gt;0</formula>
    </cfRule>
  </conditionalFormatting>
  <conditionalFormatting sqref="U87:U88 O88:Q88">
    <cfRule type="cellIs" dxfId="303" priority="75" stopIfTrue="1" operator="notEqual">
      <formula>#REF!</formula>
    </cfRule>
  </conditionalFormatting>
  <conditionalFormatting sqref="O12">
    <cfRule type="expression" dxfId="302" priority="59">
      <formula>$P$12&lt;&gt;$M$12</formula>
    </cfRule>
  </conditionalFormatting>
  <conditionalFormatting sqref="O13">
    <cfRule type="expression" dxfId="301" priority="58">
      <formula>$P$13&lt;&gt;$M$13</formula>
    </cfRule>
  </conditionalFormatting>
  <conditionalFormatting sqref="R77 R80">
    <cfRule type="expression" dxfId="300" priority="36" stopIfTrue="1">
      <formula>$M$85&gt;=0</formula>
    </cfRule>
    <cfRule type="expression" priority="37">
      <formula>$M$85&lt;0</formula>
    </cfRule>
  </conditionalFormatting>
  <conditionalFormatting sqref="U87:U88 O88:Q88">
    <cfRule type="cellIs" dxfId="299" priority="35" stopIfTrue="1" operator="notEqual">
      <formula>#REF!</formula>
    </cfRule>
  </conditionalFormatting>
  <conditionalFormatting sqref="Q36">
    <cfRule type="expression" dxfId="298" priority="27">
      <formula>#REF!&lt;&gt;#REF!</formula>
    </cfRule>
  </conditionalFormatting>
  <conditionalFormatting sqref="R35">
    <cfRule type="expression" dxfId="297" priority="26">
      <formula>#REF!&lt;&gt;0</formula>
    </cfRule>
  </conditionalFormatting>
  <conditionalFormatting sqref="Q35">
    <cfRule type="expression" dxfId="296" priority="25">
      <formula>#REF!&lt;&gt;0</formula>
    </cfRule>
  </conditionalFormatting>
  <conditionalFormatting sqref="R36">
    <cfRule type="expression" dxfId="295" priority="24">
      <formula>#REF!&lt;&gt;#REF!</formula>
    </cfRule>
  </conditionalFormatting>
  <conditionalFormatting sqref="D93:M98 T94:T95 R90:S95 U87:X93 T90:T92 Y90:Y95 O88:O92 P88:Q93">
    <cfRule type="cellIs" dxfId="294" priority="23" stopIfTrue="1" operator="notEqual">
      <formula>#REF!</formula>
    </cfRule>
  </conditionalFormatting>
  <conditionalFormatting sqref="P70">
    <cfRule type="expression" dxfId="293" priority="22">
      <formula>$P$69&lt;&gt;$M$69</formula>
    </cfRule>
  </conditionalFormatting>
  <conditionalFormatting sqref="AB72">
    <cfRule type="expression" dxfId="292" priority="21">
      <formula>$AB$71&lt;&gt;0</formula>
    </cfRule>
  </conditionalFormatting>
  <conditionalFormatting sqref="P71">
    <cfRule type="expression" dxfId="291" priority="20">
      <formula>P69-INT(P69)</formula>
    </cfRule>
  </conditionalFormatting>
  <conditionalFormatting sqref="V70">
    <cfRule type="expression" dxfId="290" priority="19">
      <formula>X68-INT(X68)</formula>
    </cfRule>
  </conditionalFormatting>
  <conditionalFormatting sqref="O12">
    <cfRule type="expression" dxfId="289" priority="18">
      <formula>$P$12&lt;&gt;$M$12</formula>
    </cfRule>
  </conditionalFormatting>
  <conditionalFormatting sqref="T94:T95 R90:S95 U87:U93 T90:T92 O88:O92 P88:Q93">
    <cfRule type="cellIs" dxfId="288" priority="16" stopIfTrue="1" operator="notEqual">
      <formula>#REF!</formula>
    </cfRule>
  </conditionalFormatting>
  <conditionalFormatting sqref="R84">
    <cfRule type="expression" priority="14" stopIfTrue="1">
      <formula>$M$85&lt;0</formula>
    </cfRule>
    <cfRule type="expression" dxfId="287" priority="15">
      <formula>$S$85&lt;&gt;0</formula>
    </cfRule>
  </conditionalFormatting>
  <conditionalFormatting sqref="R80 R77">
    <cfRule type="expression" dxfId="286" priority="12" stopIfTrue="1">
      <formula>$M$85&gt;=0</formula>
    </cfRule>
    <cfRule type="expression" priority="13">
      <formula>$M$85&lt;0</formula>
    </cfRule>
  </conditionalFormatting>
  <conditionalFormatting sqref="U87:U88 R89:U92 O88:Q92">
    <cfRule type="cellIs" dxfId="285" priority="11" stopIfTrue="1" operator="notEqual">
      <formula>#REF!</formula>
    </cfRule>
  </conditionalFormatting>
  <conditionalFormatting sqref="M101">
    <cfRule type="expression" dxfId="284" priority="10">
      <formula>$M$101&lt;&gt;0</formula>
    </cfRule>
  </conditionalFormatting>
  <conditionalFormatting sqref="M102">
    <cfRule type="expression" dxfId="283" priority="9">
      <formula>$M$93&lt;&gt;$M$100</formula>
    </cfRule>
  </conditionalFormatting>
  <conditionalFormatting sqref="U87:U92 R90:T92 O88:Q92">
    <cfRule type="cellIs" dxfId="282" priority="8" stopIfTrue="1" operator="notEqual">
      <formula>#REF!</formula>
    </cfRule>
  </conditionalFormatting>
  <conditionalFormatting sqref="T89:U89 Q91 T90 O89:O90 P89:Q89 R89:S91">
    <cfRule type="cellIs" dxfId="281" priority="7" stopIfTrue="1" operator="notEqual">
      <formula>#REF!</formula>
    </cfRule>
  </conditionalFormatting>
  <conditionalFormatting sqref="Q36">
    <cfRule type="expression" dxfId="280" priority="6">
      <formula>#REF!&lt;&gt;#REF!</formula>
    </cfRule>
  </conditionalFormatting>
  <conditionalFormatting sqref="R35">
    <cfRule type="expression" dxfId="279" priority="5">
      <formula>#REF!&lt;&gt;0</formula>
    </cfRule>
  </conditionalFormatting>
  <conditionalFormatting sqref="Q35">
    <cfRule type="expression" dxfId="278" priority="4">
      <formula>#REF!&lt;&gt;0</formula>
    </cfRule>
  </conditionalFormatting>
  <conditionalFormatting sqref="R36">
    <cfRule type="expression" dxfId="277" priority="3">
      <formula>#REF!&lt;&gt;#REF!</formula>
    </cfRule>
  </conditionalFormatting>
  <conditionalFormatting sqref="G59:K59">
    <cfRule type="expression" dxfId="276" priority="1">
      <formula>OR($P$105&gt;0,$P$106&lt;&gt;0,$P$107&lt;&gt;0)</formula>
    </cfRule>
  </conditionalFormatting>
  <hyperlinks>
    <hyperlink ref="O2" location="Index!A1" display="Return to Index" xr:uid="{00000000-0004-0000-9700-000000000000}"/>
  </hyperlinks>
  <printOptions horizontalCentered="1"/>
  <pageMargins left="0.5" right="0.5" top="0.25" bottom="0.25" header="0" footer="0.25"/>
  <pageSetup scale="10" orientation="landscape" r:id="rId1"/>
  <headerFooter alignWithMargins="0"/>
  <colBreaks count="1" manualBreakCount="1">
    <brk id="13" max="1048575" man="1"/>
  </colBreak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dimension ref="A1:G30"/>
  <sheetViews>
    <sheetView showGridLines="0" zoomScale="80" zoomScaleNormal="80" workbookViewId="0">
      <selection activeCell="E74" sqref="E74:F74"/>
    </sheetView>
  </sheetViews>
  <sheetFormatPr defaultColWidth="9.140625" defaultRowHeight="12.75"/>
  <cols>
    <col min="1" max="1" width="7" style="53" customWidth="1"/>
    <col min="2" max="2" width="93.140625" style="53" customWidth="1"/>
    <col min="3" max="3" width="19.85546875" style="53" customWidth="1"/>
    <col min="4" max="9" width="9.140625" style="53"/>
    <col min="10" max="10" width="15.140625" style="53" customWidth="1"/>
    <col min="11" max="16384" width="9.140625" style="53"/>
  </cols>
  <sheetData>
    <row r="1" spans="2:6" ht="18.75" thickBot="1">
      <c r="B1" s="466" t="str">
        <f>'UNTD Chrts'!$A$1</f>
        <v>University of North Texas at Dallas</v>
      </c>
      <c r="C1" s="835" t="s">
        <v>1200</v>
      </c>
    </row>
    <row r="2" spans="2:6">
      <c r="B2" s="393" t="str">
        <f>'Smmy Chrts'!$A$2</f>
        <v>For the Year Ended August 31, 2021</v>
      </c>
    </row>
    <row r="3" spans="2:6">
      <c r="B3" s="393" t="str">
        <f>'Smmy Chrts'!$A$3</f>
        <v>Source: FY 2021 Annual Financial Report</v>
      </c>
    </row>
    <row r="5" spans="2:6" customFormat="1">
      <c r="B5" s="529" t="s">
        <v>705</v>
      </c>
    </row>
    <row r="6" spans="2:6" customFormat="1">
      <c r="B6" s="530"/>
    </row>
    <row r="7" spans="2:6" customFormat="1" ht="226.5" customHeight="1">
      <c r="B7" s="531" t="s">
        <v>706</v>
      </c>
      <c r="C7" s="532"/>
    </row>
    <row r="8" spans="2:6" customFormat="1" ht="263.25" customHeight="1">
      <c r="B8" s="531" t="s">
        <v>707</v>
      </c>
    </row>
    <row r="9" spans="2:6" ht="64.5" customHeight="1">
      <c r="B9" s="533" t="str">
        <f>IF('UNTD FGD'!$R$76="N/A","FN11.  N/A",$B$20&amp;$B$21&amp;$B$22&amp;$B$23&amp;$B$24&amp;$B$25&amp;$B$26&amp;$B$27&amp;$B$28&amp;$B$29&amp;$B$30)</f>
        <v>FN11: Of the net increase of $11,231,001 approximately $840 represents revenues received but not yet expended. This income is fully committed to program expenditures and capital disbursements. The remaining $11.2 million represents non-expendable funds from unrealized gains and additions to permanent endowments of approximately $1.9 million and $9.3 million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TEXT(IF('UNTD FGD'!$M$85&lt;0,"N/A",'UNTD FGD'!$M$85),"$* #,##0;$* (#,##0)")</f>
        <v>$11,231,001</v>
      </c>
      <c r="C21" s="480"/>
      <c r="D21" s="480"/>
      <c r="E21" s="480"/>
      <c r="G21" s="105"/>
    </row>
    <row r="22" spans="1:7">
      <c r="B22" s="105" t="s">
        <v>682</v>
      </c>
    </row>
    <row r="23" spans="1:7">
      <c r="A23" s="53">
        <v>61</v>
      </c>
      <c r="B23" s="515" t="str">
        <f>IF(ABS('UNTD FGD'!$R$77)&gt;=1000000,TEXT('UNTD FGD'!$R$77/1000000,"$* #,##0.0;$* (#,##0.0)")&amp;" million",IF(ABS('UNTD FGD'!$R$77)&lt;1000,TEXT('UNTD FGD'!$R$77,"$* #,##0;$* (#,##0)"),TEXT('UNTD FGD'!$R$77/1000,"$* #,##0;$* (#,##0)")&amp;" thousand"))</f>
        <v>$840</v>
      </c>
      <c r="C23" s="515"/>
      <c r="E23" s="515"/>
    </row>
    <row r="24" spans="1:7">
      <c r="B24" s="105" t="s">
        <v>708</v>
      </c>
    </row>
    <row r="25" spans="1:7">
      <c r="A25" s="53">
        <v>62</v>
      </c>
      <c r="B25" s="515" t="str">
        <f>IF(ABS('UNTD FGD'!$R$78)&gt;=1000000,TEXT('UNTD FGD'!$R$78/1000000,"$* #,##0.0;$* (#,##0.0)")&amp;" million",IF(ABS('UNTD FGD'!$R$78)&lt;1000,TEXT('UNTD FGD'!$R$78,"$* #,##0;$* (#,##0)"),TEXT('UNTD FGD'!$R$78/1000,"$* #,##0;$* (#,##0)")&amp;" thousand"))</f>
        <v>$11.2 million</v>
      </c>
      <c r="C25" s="515"/>
      <c r="E25" s="515"/>
    </row>
    <row r="26" spans="1:7">
      <c r="B26" s="105" t="s">
        <v>683</v>
      </c>
    </row>
    <row r="27" spans="1:7">
      <c r="A27" s="53">
        <v>64</v>
      </c>
      <c r="B27" s="515" t="str">
        <f>IF(ABS('UNTD FGD'!$R$80)&gt;=1000000,TEXT('UNTD FGD'!$R$80/1000000,"$* #,##0.0;$* (#,##0.0)")&amp;" million",IF(ABS('UNTD FGD'!$R$80)&lt;1000,TEXT('UNTD FGD'!$R$80,"$* #,##0;$* (#,##0)"),TEXT('UNTD FGD'!$R$80/1000,"$* #,##0;$* (#,##0)")&amp;" thousand"))</f>
        <v>$1.9 million</v>
      </c>
      <c r="C27" s="515"/>
      <c r="E27" s="515"/>
    </row>
    <row r="28" spans="1:7">
      <c r="B28" s="105" t="s">
        <v>684</v>
      </c>
    </row>
    <row r="29" spans="1:7">
      <c r="A29" s="53">
        <v>66</v>
      </c>
      <c r="B29" s="515" t="str">
        <f>IF(ABS('UNTD FGD'!$R$82)&gt;=1000000,TEXT('UNTD FGD'!$R$82/1000000,"$* #,##0.0;$* (#,##0.0)")&amp;" million",IF(ABS('UNTD FGD'!$R$82)&lt;1000,TEXT('UNTD FGD'!$R$82,"$* #,##0;$* (#,##0)"),TEXT('UNTD FGD'!$R$82/1000,"$* #,##0;$* (#,##0)")&amp;" thousand"))</f>
        <v>$9.3 million</v>
      </c>
      <c r="C29" s="515"/>
      <c r="E29" s="515"/>
    </row>
    <row r="30" spans="1:7">
      <c r="B30" s="105" t="s">
        <v>709</v>
      </c>
    </row>
  </sheetData>
  <hyperlinks>
    <hyperlink ref="C1" location="Index!A1" display="Return to Index" xr:uid="{00000000-0004-0000-9800-000000000000}"/>
  </hyperlinks>
  <pageMargins left="0.25" right="0.25" top="0.25" bottom="0.25" header="0" footer="0.25"/>
  <pageSetup orientation="portrait" r:id="rId1"/>
  <headerFooter alignWithMargins="0"/>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sheetPr codeName="Sheet127">
    <tabColor indexed="47"/>
    <pageSetUpPr fitToPage="1"/>
  </sheetPr>
  <dimension ref="A1:E165"/>
  <sheetViews>
    <sheetView showGridLines="0" zoomScale="65" zoomScaleNormal="65" zoomScaleSheetLayoutView="65" workbookViewId="0">
      <selection activeCell="C33" sqref="C33"/>
    </sheetView>
  </sheetViews>
  <sheetFormatPr defaultColWidth="9.140625" defaultRowHeight="12.75" customHeight="1"/>
  <cols>
    <col min="1" max="1" width="158.7109375" style="53" customWidth="1"/>
    <col min="2" max="2" width="23" style="53" customWidth="1"/>
    <col min="3" max="3" width="48.7109375" style="53" customWidth="1"/>
    <col min="4" max="4" width="20.7109375" style="53" customWidth="1"/>
    <col min="5" max="5" width="9.140625" style="679"/>
    <col min="6" max="16384" width="9.140625" style="53"/>
  </cols>
  <sheetData>
    <row r="1" spans="1:5" ht="28.5" thickBot="1">
      <c r="A1" s="159" t="s">
        <v>124</v>
      </c>
      <c r="B1" s="835" t="s">
        <v>1200</v>
      </c>
      <c r="C1" s="53" t="s">
        <v>1329</v>
      </c>
    </row>
    <row r="2" spans="1:5" ht="27.75">
      <c r="A2" s="54" t="str">
        <f>'Smmy Chrts'!$A$2</f>
        <v>For the Year Ended August 31, 2021</v>
      </c>
      <c r="C2" s="55" t="s">
        <v>63</v>
      </c>
    </row>
    <row r="3" spans="1:5" ht="27.75">
      <c r="A3" s="54" t="str">
        <f>'Smmy Chrts'!$A$3</f>
        <v>Source: FY 2021 Annual Financial Report</v>
      </c>
      <c r="C3" s="53" t="s">
        <v>64</v>
      </c>
    </row>
    <row r="4" spans="1:5" ht="12.75" customHeight="1">
      <c r="C4" s="53" t="s">
        <v>267</v>
      </c>
    </row>
    <row r="5" spans="1:5" ht="12.75" customHeight="1">
      <c r="C5" s="53" t="s">
        <v>268</v>
      </c>
    </row>
    <row r="7" spans="1:5" ht="12.75" customHeight="1">
      <c r="C7" s="1687" t="s">
        <v>25</v>
      </c>
      <c r="D7" s="1687"/>
    </row>
    <row r="8" spans="1:5" ht="12.75" customHeight="1">
      <c r="C8" s="57"/>
      <c r="D8" s="58"/>
    </row>
    <row r="9" spans="1:5" ht="12.75" customHeight="1">
      <c r="C9" s="59" t="str">
        <f>'MidWST Sum'!A9</f>
        <v>State of Texas</v>
      </c>
      <c r="D9" s="60">
        <f>'MidWST Sum'!B15</f>
        <v>35648597</v>
      </c>
      <c r="E9" s="680">
        <f>ROUND(D9/$D$14,3)</f>
        <v>0.30199999999999999</v>
      </c>
    </row>
    <row r="10" spans="1:5" ht="12.75" customHeight="1">
      <c r="C10" s="59" t="str">
        <f>'MidWST Sum'!A17</f>
        <v>Student &amp; Parent</v>
      </c>
      <c r="D10" s="60">
        <f>'MidWST Sum'!B20</f>
        <v>33832780</v>
      </c>
      <c r="E10" s="680">
        <f t="shared" ref="E10:E12" si="0">ROUND(D10/$D$14,3)</f>
        <v>0.28699999999999998</v>
      </c>
    </row>
    <row r="11" spans="1:5" ht="12.75" customHeight="1">
      <c r="C11" s="59" t="str">
        <f>'MidWST Sum'!A22</f>
        <v>Federal Government</v>
      </c>
      <c r="D11" s="60">
        <f>'MidWST Sum'!B23</f>
        <v>23356845</v>
      </c>
      <c r="E11" s="680">
        <f t="shared" si="0"/>
        <v>0.19800000000000001</v>
      </c>
    </row>
    <row r="12" spans="1:5" ht="12.75" customHeight="1">
      <c r="C12" s="59" t="str">
        <f>'MidWST Sum'!A25</f>
        <v>Institutional Resources</v>
      </c>
      <c r="D12" s="60">
        <f>'MidWST Sum'!B32</f>
        <v>25168550</v>
      </c>
      <c r="E12" s="680">
        <f t="shared" si="0"/>
        <v>0.21299999999999999</v>
      </c>
    </row>
    <row r="13" spans="1:5" ht="12.75" customHeight="1">
      <c r="C13" s="57"/>
      <c r="D13" s="58"/>
      <c r="E13" s="680"/>
    </row>
    <row r="14" spans="1:5" ht="12.75" customHeight="1">
      <c r="C14" s="61" t="s">
        <v>68</v>
      </c>
      <c r="D14" s="62">
        <f>SUM(D9:D13)</f>
        <v>118006772</v>
      </c>
      <c r="E14" s="680">
        <f>SUM(E9:E13)</f>
        <v>0.99999999999999989</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86" t="str">
        <f>C14&amp;" "&amp;TEXT(D14,"$#,###")</f>
        <v>Total Operating Sources $118,006,772</v>
      </c>
    </row>
    <row r="48" spans="1:1" ht="12.75" customHeight="1">
      <c r="A48" s="1686"/>
    </row>
    <row r="49" spans="1:5" ht="12.75" customHeight="1">
      <c r="A49" s="56"/>
    </row>
    <row r="52" spans="1:5" ht="12.75" customHeight="1">
      <c r="C52" s="63" t="s">
        <v>25</v>
      </c>
      <c r="D52" s="58"/>
    </row>
    <row r="54" spans="1:5" ht="12.75" customHeight="1">
      <c r="C54" s="59" t="s">
        <v>1</v>
      </c>
      <c r="D54" s="60">
        <f>'MidWST Sum'!B10</f>
        <v>26399431</v>
      </c>
      <c r="E54" s="680">
        <f>ROUND(D54/$D$67,3)</f>
        <v>0.224</v>
      </c>
    </row>
    <row r="55" spans="1:5" ht="12.75" customHeight="1">
      <c r="C55" s="59" t="s">
        <v>221</v>
      </c>
      <c r="D55" s="60">
        <f>'MidWST Sum'!B11</f>
        <v>4315966</v>
      </c>
      <c r="E55" s="680">
        <f t="shared" ref="E55:E66" si="1">ROUND(D55/$D$67,3)</f>
        <v>3.6999999999999998E-2</v>
      </c>
    </row>
    <row r="56" spans="1:5" ht="12.75" customHeight="1">
      <c r="C56" s="59"/>
      <c r="D56" s="60"/>
      <c r="E56" s="680"/>
    </row>
    <row r="57" spans="1:5" ht="12.75" customHeight="1">
      <c r="C57" s="59" t="str">
        <f>'MidWST Sum'!A13</f>
        <v>Higher Education Fund</v>
      </c>
      <c r="D57" s="60">
        <f>'MidWST Sum'!B13</f>
        <v>4933200</v>
      </c>
      <c r="E57" s="680">
        <f t="shared" si="1"/>
        <v>4.2000000000000003E-2</v>
      </c>
    </row>
    <row r="58" spans="1:5" ht="12.75" customHeight="1">
      <c r="C58" s="1069" t="s">
        <v>41</v>
      </c>
      <c r="D58" s="60">
        <f>'MidWST Sum'!B14</f>
        <v>0</v>
      </c>
      <c r="E58" s="680">
        <f t="shared" si="1"/>
        <v>0</v>
      </c>
    </row>
    <row r="59" spans="1:5" ht="12.75" customHeight="1">
      <c r="C59" s="59" t="s">
        <v>87</v>
      </c>
      <c r="D59" s="60">
        <f>'MidWST Sum'!B20</f>
        <v>33832780</v>
      </c>
      <c r="E59" s="680">
        <f t="shared" si="1"/>
        <v>0.28699999999999998</v>
      </c>
    </row>
    <row r="60" spans="1:5" ht="12.75" customHeight="1">
      <c r="C60" s="64" t="s">
        <v>74</v>
      </c>
      <c r="D60" s="60">
        <f>'MidWST Sum'!B23</f>
        <v>23356845</v>
      </c>
      <c r="E60" s="680">
        <f t="shared" si="1"/>
        <v>0.19800000000000001</v>
      </c>
    </row>
    <row r="61" spans="1:5" ht="12.75" customHeight="1">
      <c r="C61" s="59" t="s">
        <v>75</v>
      </c>
      <c r="D61" s="60">
        <f>'MidWST Sum'!B26</f>
        <v>2428742</v>
      </c>
      <c r="E61" s="680">
        <f t="shared" si="1"/>
        <v>2.1000000000000001E-2</v>
      </c>
    </row>
    <row r="62" spans="1:5" ht="12.75" customHeight="1">
      <c r="C62" s="1069" t="s">
        <v>27</v>
      </c>
      <c r="D62" s="60">
        <f>'MidWST Sum'!B27</f>
        <v>0</v>
      </c>
      <c r="E62" s="680">
        <f t="shared" si="1"/>
        <v>0</v>
      </c>
    </row>
    <row r="63" spans="1:5" ht="12.75" customHeight="1">
      <c r="C63" s="59" t="s">
        <v>76</v>
      </c>
      <c r="D63" s="60">
        <f>'MidWST Sum'!B28</f>
        <v>6965760</v>
      </c>
      <c r="E63" s="680">
        <f t="shared" si="1"/>
        <v>5.8999999999999997E-2</v>
      </c>
    </row>
    <row r="64" spans="1:5" ht="12.75" customHeight="1">
      <c r="C64" s="59" t="s">
        <v>77</v>
      </c>
      <c r="D64" s="60">
        <f>'MidWST Sum'!B29</f>
        <v>805594</v>
      </c>
      <c r="E64" s="680">
        <f t="shared" si="1"/>
        <v>7.0000000000000001E-3</v>
      </c>
    </row>
    <row r="65" spans="1:5" ht="12.75" customHeight="1">
      <c r="C65" s="59" t="s">
        <v>220</v>
      </c>
      <c r="D65" s="60">
        <f>'MidWST Sum'!B30</f>
        <v>13143360</v>
      </c>
      <c r="E65" s="680">
        <f t="shared" si="1"/>
        <v>0.111</v>
      </c>
    </row>
    <row r="66" spans="1:5" ht="12.75" customHeight="1">
      <c r="C66" s="64" t="s">
        <v>52</v>
      </c>
      <c r="D66" s="60">
        <f>'MidWST Sum'!B31</f>
        <v>1825094</v>
      </c>
      <c r="E66" s="680">
        <f t="shared" si="1"/>
        <v>1.4999999999999999E-2</v>
      </c>
    </row>
    <row r="67" spans="1:5" ht="12.75" customHeight="1">
      <c r="C67" s="61" t="s">
        <v>68</v>
      </c>
      <c r="D67" s="62">
        <f>SUM(D54:D66)</f>
        <v>118006772</v>
      </c>
      <c r="E67" s="681">
        <f>SUM(E54:E66)</f>
        <v>1.0010000000000001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86" t="str">
        <f>C67&amp;" "&amp;TEXT(D67,"$#,###")</f>
        <v>Total Operating Sources $118,006,772</v>
      </c>
    </row>
    <row r="93" spans="1:5" ht="12.75" customHeight="1">
      <c r="A93" s="1686"/>
    </row>
    <row r="94" spans="1:5" ht="12.75" customHeight="1">
      <c r="A94" s="65"/>
    </row>
    <row r="95" spans="1:5" s="68" customFormat="1" ht="12.75" customHeight="1">
      <c r="A95" s="66"/>
      <c r="E95" s="682"/>
    </row>
    <row r="96" spans="1:5" ht="12.75" customHeight="1">
      <c r="A96" s="65"/>
    </row>
    <row r="97" spans="1:5" ht="12.75" customHeight="1">
      <c r="A97" s="65"/>
    </row>
    <row r="98" spans="1:5" ht="12.75" customHeight="1">
      <c r="A98" s="65"/>
    </row>
    <row r="100" spans="1:5" ht="12.75" customHeight="1">
      <c r="C100" s="1687" t="s">
        <v>13</v>
      </c>
      <c r="D100" s="1687"/>
    </row>
    <row r="101" spans="1:5" ht="12.75" customHeight="1">
      <c r="C101" s="1687"/>
      <c r="D101" s="1687"/>
    </row>
    <row r="102" spans="1:5" ht="12.75" customHeight="1">
      <c r="C102" s="69" t="s">
        <v>14</v>
      </c>
      <c r="D102" s="60">
        <f>'MidWST Sum'!B36</f>
        <v>37934310</v>
      </c>
      <c r="E102" s="680">
        <f>ROUND(D102/$D$114,3)</f>
        <v>0.33900000000000002</v>
      </c>
    </row>
    <row r="103" spans="1:5" ht="12.75" customHeight="1">
      <c r="C103" s="69" t="s">
        <v>15</v>
      </c>
      <c r="D103" s="60">
        <f>'MidWST Sum'!B37</f>
        <v>882163</v>
      </c>
      <c r="E103" s="680">
        <f t="shared" ref="E103:E112" si="2">ROUND(D103/$D$114,3)</f>
        <v>8.0000000000000002E-3</v>
      </c>
    </row>
    <row r="104" spans="1:5" ht="12.75" customHeight="1">
      <c r="C104" s="69" t="s">
        <v>16</v>
      </c>
      <c r="D104" s="60">
        <f>'MidWST Sum'!B38</f>
        <v>1081302</v>
      </c>
      <c r="E104" s="680">
        <f t="shared" si="2"/>
        <v>0.01</v>
      </c>
    </row>
    <row r="105" spans="1:5" ht="12.75" customHeight="1">
      <c r="C105" s="69" t="s">
        <v>17</v>
      </c>
      <c r="D105" s="60">
        <f>'MidWST Sum'!B39</f>
        <v>10430436</v>
      </c>
      <c r="E105" s="680">
        <f t="shared" si="2"/>
        <v>9.2999999999999999E-2</v>
      </c>
    </row>
    <row r="106" spans="1:5" ht="12.75" customHeight="1">
      <c r="C106" s="69" t="s">
        <v>18</v>
      </c>
      <c r="D106" s="60">
        <f>'MidWST Sum'!B40</f>
        <v>13652149</v>
      </c>
      <c r="E106" s="680">
        <f t="shared" si="2"/>
        <v>0.122</v>
      </c>
    </row>
    <row r="107" spans="1:5" ht="12.75" customHeight="1">
      <c r="C107" s="69" t="s">
        <v>19</v>
      </c>
      <c r="D107" s="60">
        <f>'MidWST Sum'!B41</f>
        <v>8691710</v>
      </c>
      <c r="E107" s="680">
        <f t="shared" si="2"/>
        <v>7.8E-2</v>
      </c>
    </row>
    <row r="108" spans="1:5" ht="12.75" customHeight="1">
      <c r="C108" s="69" t="s">
        <v>78</v>
      </c>
      <c r="D108" s="60">
        <f>'MidWST Sum'!B42</f>
        <v>7303151</v>
      </c>
      <c r="E108" s="680">
        <f t="shared" si="2"/>
        <v>6.5000000000000002E-2</v>
      </c>
    </row>
    <row r="109" spans="1:5" ht="12.75" customHeight="1">
      <c r="C109" s="69" t="s">
        <v>79</v>
      </c>
      <c r="D109" s="60">
        <f>'MidWST Sum'!B43</f>
        <v>17262753</v>
      </c>
      <c r="E109" s="680">
        <f t="shared" si="2"/>
        <v>0.154</v>
      </c>
    </row>
    <row r="110" spans="1:5" ht="12.75" customHeight="1">
      <c r="C110" s="69" t="s">
        <v>22</v>
      </c>
      <c r="D110" s="60">
        <f>'MidWST Sum'!B44</f>
        <v>8568034</v>
      </c>
      <c r="E110" s="680">
        <f t="shared" si="2"/>
        <v>7.6999999999999999E-2</v>
      </c>
    </row>
    <row r="111" spans="1:5" ht="12.75" customHeight="1">
      <c r="C111" s="64" t="s">
        <v>29</v>
      </c>
      <c r="D111" s="60">
        <f>'MidWST Sum'!B45</f>
        <v>5587278</v>
      </c>
      <c r="E111" s="680">
        <f t="shared" si="2"/>
        <v>0.05</v>
      </c>
    </row>
    <row r="112" spans="1:5" ht="12.75" customHeight="1">
      <c r="C112" s="64" t="s">
        <v>53</v>
      </c>
      <c r="D112" s="60">
        <f>'MidWST Sum'!B46</f>
        <v>358259</v>
      </c>
      <c r="E112" s="680">
        <f t="shared" si="2"/>
        <v>3.0000000000000001E-3</v>
      </c>
    </row>
    <row r="113" spans="3:5" ht="12.75" customHeight="1">
      <c r="C113" s="57"/>
      <c r="D113" s="57"/>
    </row>
    <row r="114" spans="3:5" ht="12.75" customHeight="1">
      <c r="C114" s="70" t="s">
        <v>69</v>
      </c>
      <c r="D114" s="62">
        <f>SUM(D102:D113)</f>
        <v>111751545</v>
      </c>
      <c r="E114" s="681">
        <f>SUM(E102:E113)</f>
        <v>0.99900000000000011</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86" t="str">
        <f>C114&amp;" "&amp;TEXT(D114,"$#,###")</f>
        <v>Total Operating Uses $111,751,545</v>
      </c>
    </row>
    <row r="137" spans="1:1" ht="12.75" customHeight="1">
      <c r="A137" s="1686"/>
    </row>
    <row r="138" spans="1:1" ht="12.75" customHeight="1">
      <c r="A138" s="56"/>
    </row>
    <row r="139" spans="1:1" ht="16.5" customHeight="1">
      <c r="A139" s="72" t="s">
        <v>70</v>
      </c>
    </row>
    <row r="140" spans="1:1" ht="19.5" customHeight="1">
      <c r="A140" s="59" t="s">
        <v>56</v>
      </c>
    </row>
    <row r="141" spans="1:1" ht="13.7" customHeight="1">
      <c r="A141" s="56"/>
    </row>
    <row r="142" spans="1:1" ht="13.7" customHeight="1">
      <c r="A142" s="56"/>
    </row>
    <row r="143" spans="1:1" ht="13.7" customHeight="1">
      <c r="A143" s="56"/>
    </row>
    <row r="144" spans="1:1" ht="13.7" customHeight="1">
      <c r="A144" s="56"/>
    </row>
    <row r="145" spans="1:1" ht="13.7"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99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1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sheetPr transitionEvaluation="1" transitionEntry="1" codeName="Sheet128">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'MidWST Chrts'!$A$1</f>
        <v>Midwestern State University</v>
      </c>
      <c r="B1" s="74"/>
      <c r="C1" s="1"/>
      <c r="D1" s="1704" t="s">
        <v>1200</v>
      </c>
      <c r="E1" s="1705"/>
      <c r="F1" s="1757" t="s">
        <v>1196</v>
      </c>
      <c r="G1" s="1706"/>
      <c r="H1" s="1706"/>
      <c r="I1" s="1706"/>
      <c r="J1" s="1707" t="s">
        <v>1197</v>
      </c>
      <c r="K1" s="1695"/>
      <c r="L1" s="1695"/>
      <c r="M1" s="1695"/>
      <c r="N1" s="1695"/>
      <c r="O1" s="1696"/>
    </row>
    <row r="2" spans="1:15" ht="15.75">
      <c r="A2" s="76" t="str">
        <f>'Smmy Chrts'!$A$2</f>
        <v>For the Year Ended August 31, 2021</v>
      </c>
      <c r="B2" s="74"/>
      <c r="C2" s="1"/>
      <c r="D2" s="37"/>
      <c r="E2" s="37"/>
      <c r="F2" s="37"/>
      <c r="J2" s="37"/>
      <c r="K2" s="37"/>
      <c r="L2" s="37"/>
      <c r="M2" s="37"/>
    </row>
    <row r="3" spans="1:15" ht="15.75">
      <c r="A3" s="76" t="str">
        <f>'Smmy Chrts'!$A$3</f>
        <v>Source: FY 2021 Annual Financial Report</v>
      </c>
      <c r="B3" s="74"/>
      <c r="C3" s="1"/>
    </row>
    <row r="4" spans="1:15" ht="13.5" customHeight="1">
      <c r="B4" s="77"/>
      <c r="C4" s="4"/>
      <c r="D4" s="1711" t="s">
        <v>1142</v>
      </c>
      <c r="E4" s="1711" t="s">
        <v>1143</v>
      </c>
      <c r="F4" s="266"/>
    </row>
    <row r="5" spans="1:15" ht="18">
      <c r="A5" s="39" t="str">
        <f>'Smmy Chrts'!$C$35</f>
        <v>Summary Worksheet FY 2021</v>
      </c>
      <c r="B5" s="40" t="s">
        <v>86</v>
      </c>
      <c r="C5" s="40" t="s">
        <v>129</v>
      </c>
      <c r="D5" s="1712"/>
      <c r="E5" s="1712"/>
      <c r="F5" s="266"/>
      <c r="G5" s="799" t="s">
        <v>1198</v>
      </c>
      <c r="I5" s="822" t="s">
        <v>2157</v>
      </c>
      <c r="J5" s="792" t="s">
        <v>1144</v>
      </c>
    </row>
    <row r="6" spans="1:15" ht="13.5" customHeight="1">
      <c r="A6" s="78" t="s">
        <v>266</v>
      </c>
      <c r="B6" s="41"/>
      <c r="C6" s="42">
        <f>VLOOKUP($A$1,FTSELU,12,FALSE)</f>
        <v>4322.33</v>
      </c>
      <c r="J6" s="712"/>
    </row>
    <row r="7" spans="1:15">
      <c r="I7" s="824" t="s">
        <v>1162</v>
      </c>
      <c r="J7" s="827"/>
    </row>
    <row r="8" spans="1:15">
      <c r="A8" s="81" t="s">
        <v>71</v>
      </c>
      <c r="B8" s="81"/>
      <c r="C8" s="24"/>
      <c r="I8" s="896">
        <f>VLOOKUP(A1,FTSELU,14,FALSE)</f>
        <v>539.89</v>
      </c>
      <c r="J8" s="712"/>
    </row>
    <row r="9" spans="1:15" ht="12.75" customHeight="1" thickBot="1">
      <c r="A9" s="78" t="s">
        <v>0</v>
      </c>
      <c r="B9" s="82"/>
      <c r="C9" s="7"/>
      <c r="J9" s="712"/>
    </row>
    <row r="10" spans="1:15" ht="12.75" customHeight="1" thickTop="1">
      <c r="A10" s="75" t="s">
        <v>1</v>
      </c>
      <c r="B10" s="83">
        <f>'MidWST FGD'!M10</f>
        <v>26399431</v>
      </c>
      <c r="C10" s="83">
        <f>ROUND(B10/$C$6,0)</f>
        <v>6108</v>
      </c>
      <c r="D10" s="512">
        <f>'MidWST FGD'!F10</f>
        <v>0</v>
      </c>
      <c r="E10" s="512"/>
      <c r="F10" s="84">
        <f>B10-(SUM(D10:E10))</f>
        <v>26399431</v>
      </c>
      <c r="G10" s="1143" t="s">
        <v>1</v>
      </c>
      <c r="H10" s="1144"/>
      <c r="I10" s="825" t="s">
        <v>1161</v>
      </c>
      <c r="J10" s="713">
        <f>ROUND(F10/$C$6,0)</f>
        <v>6108</v>
      </c>
    </row>
    <row r="11" spans="1:15" ht="12.75" customHeight="1" thickBot="1">
      <c r="A11" s="75" t="s">
        <v>2</v>
      </c>
      <c r="B11" s="86">
        <f>'MidWST FGD'!M11</f>
        <v>4315966</v>
      </c>
      <c r="C11" s="87">
        <f t="shared" ref="C11:C14" si="0">ROUND(B11/$C$6,0)</f>
        <v>999</v>
      </c>
      <c r="D11" s="86">
        <f>'MidWST FGD'!F11</f>
        <v>0</v>
      </c>
      <c r="E11" s="74"/>
      <c r="F11" s="606">
        <f t="shared" ref="F11:F14" si="1">B11-(SUM(D11:E11))</f>
        <v>4315966</v>
      </c>
      <c r="G11" s="1148">
        <f>SUM(F10:F11)</f>
        <v>30715397</v>
      </c>
      <c r="H11" s="715"/>
      <c r="I11" s="1373">
        <f>ROUND($G$11/$C$6,0)</f>
        <v>7106</v>
      </c>
      <c r="J11" s="716">
        <f t="shared" ref="J11:J14" si="2">ROUND(F11/$C$6,0)</f>
        <v>999</v>
      </c>
    </row>
    <row r="12" spans="1:15" ht="12.75" hidden="1" customHeight="1" thickTop="1" thickBot="1">
      <c r="A12" s="75" t="s">
        <v>1410</v>
      </c>
      <c r="B12" s="86"/>
      <c r="C12" s="87"/>
      <c r="D12" s="86"/>
      <c r="E12" s="74"/>
      <c r="F12" s="607"/>
      <c r="J12" s="716"/>
      <c r="O12" s="608"/>
    </row>
    <row r="13" spans="1:15" ht="12.75" customHeight="1" thickTop="1">
      <c r="A13" s="75" t="s">
        <v>1368</v>
      </c>
      <c r="B13" s="86">
        <f>'MidWST FGD'!M13</f>
        <v>4933200</v>
      </c>
      <c r="C13" s="87">
        <f t="shared" si="0"/>
        <v>1141</v>
      </c>
      <c r="D13" s="86">
        <f>'MidWST FGD'!F13</f>
        <v>0</v>
      </c>
      <c r="E13" s="74"/>
      <c r="F13" s="893">
        <f t="shared" si="1"/>
        <v>4933200</v>
      </c>
      <c r="G13" s="882" t="s">
        <v>81</v>
      </c>
      <c r="H13" s="894"/>
      <c r="I13" s="826" t="s">
        <v>1163</v>
      </c>
      <c r="J13" s="716">
        <f t="shared" si="2"/>
        <v>1141</v>
      </c>
    </row>
    <row r="14" spans="1:15" ht="12.75" customHeight="1" thickBot="1">
      <c r="A14" s="75" t="s">
        <v>49</v>
      </c>
      <c r="B14" s="86">
        <f>'MidWST FGD'!M14</f>
        <v>0</v>
      </c>
      <c r="C14" s="87">
        <f t="shared" si="0"/>
        <v>0</v>
      </c>
      <c r="D14" s="86">
        <f>'MidWST FGD'!F14</f>
        <v>0</v>
      </c>
      <c r="E14" s="74"/>
      <c r="F14" s="607">
        <f t="shared" si="1"/>
        <v>0</v>
      </c>
      <c r="G14" s="800">
        <f>SUM(F13:F14)</f>
        <v>4933200</v>
      </c>
      <c r="H14" s="895"/>
      <c r="I14" s="1377">
        <f>ROUND($G$11/$I$8,0)</f>
        <v>56892</v>
      </c>
      <c r="J14" s="828">
        <f t="shared" si="2"/>
        <v>0</v>
      </c>
    </row>
    <row r="15" spans="1:15" ht="12.75" customHeight="1" thickTop="1">
      <c r="A15" s="88" t="s">
        <v>3</v>
      </c>
      <c r="B15" s="89">
        <f>SUM(B10:B14)</f>
        <v>35648597</v>
      </c>
      <c r="C15" s="89">
        <f>SUM(C10:C14)</f>
        <v>8248</v>
      </c>
      <c r="D15" s="89">
        <f>SUM(D10:D14)</f>
        <v>0</v>
      </c>
      <c r="E15" s="89">
        <f>SUM(E10:E14)</f>
        <v>0</v>
      </c>
      <c r="F15" s="216">
        <f>SUM(F10:F14)</f>
        <v>35648597</v>
      </c>
      <c r="I15" s="1372"/>
      <c r="J15" s="757">
        <f>SUM(J10:J14)</f>
        <v>8248</v>
      </c>
    </row>
    <row r="16" spans="1:15">
      <c r="B16" s="48"/>
      <c r="C16" s="75"/>
      <c r="J16" s="712"/>
    </row>
    <row r="17" spans="1:31" ht="12.75" customHeight="1">
      <c r="A17" s="78" t="s">
        <v>4</v>
      </c>
      <c r="B17" s="86"/>
      <c r="C17" s="75"/>
      <c r="J17" s="712"/>
    </row>
    <row r="18" spans="1:31">
      <c r="A18" s="75" t="s">
        <v>39</v>
      </c>
      <c r="B18" s="83">
        <f>'MidWST FGD'!M29</f>
        <v>17392305</v>
      </c>
      <c r="C18" s="83">
        <f t="shared" ref="C18:C19" si="3">ROUND(B18/$C$6,0)</f>
        <v>4024</v>
      </c>
      <c r="D18" s="512">
        <f>'MidWST FGD'!$F$29</f>
        <v>0</v>
      </c>
      <c r="E18" s="512"/>
      <c r="F18" s="512">
        <f t="shared" ref="F18:F19" si="4">B18-(SUM(D18:E18))</f>
        <v>17392305</v>
      </c>
      <c r="G18" s="337"/>
      <c r="H18" s="337"/>
      <c r="I18" s="337"/>
      <c r="J18" s="713">
        <f>ROUND(F18/$C$6,0)</f>
        <v>4024</v>
      </c>
    </row>
    <row r="19" spans="1:31" ht="13.5" thickBot="1">
      <c r="A19" s="75" t="s">
        <v>40</v>
      </c>
      <c r="B19" s="86">
        <f>'MidWST FGD'!M42</f>
        <v>16440475</v>
      </c>
      <c r="C19" s="87">
        <f t="shared" si="3"/>
        <v>3804</v>
      </c>
      <c r="D19" s="74">
        <f>'MidWST FGD'!$F$42</f>
        <v>297005</v>
      </c>
      <c r="E19" s="74"/>
      <c r="F19" s="74">
        <f t="shared" si="4"/>
        <v>16143470</v>
      </c>
      <c r="G19" s="337"/>
      <c r="H19" s="337"/>
      <c r="I19" s="337"/>
      <c r="J19" s="716">
        <f>ROUND(F19/$C$6,0)</f>
        <v>3735</v>
      </c>
    </row>
    <row r="20" spans="1:31" ht="14.25" thickTop="1" thickBot="1">
      <c r="A20" s="88" t="s">
        <v>5</v>
      </c>
      <c r="B20" s="89">
        <f>SUM(B18:B19)</f>
        <v>33832780</v>
      </c>
      <c r="C20" s="89">
        <f>SUM(C18:C19)</f>
        <v>7828</v>
      </c>
      <c r="D20" s="717">
        <f>SUM(D18:D19)</f>
        <v>297005</v>
      </c>
      <c r="E20" s="718">
        <f>SUM(E18:E19)</f>
        <v>0</v>
      </c>
      <c r="F20" s="801">
        <f>SUM(F18:F19)</f>
        <v>33535775</v>
      </c>
      <c r="G20" s="720" t="s">
        <v>26</v>
      </c>
      <c r="H20" s="366"/>
      <c r="I20" s="367"/>
      <c r="J20" s="721">
        <f>SUM(J18:J19)</f>
        <v>7759</v>
      </c>
    </row>
    <row r="21" spans="1:31" ht="12.75" customHeight="1" thickTop="1">
      <c r="B21" s="91"/>
      <c r="C21" s="75"/>
      <c r="F21" s="804"/>
      <c r="J21" s="712"/>
    </row>
    <row r="22" spans="1:31" ht="14.25" customHeight="1" thickBot="1">
      <c r="A22" s="78" t="s">
        <v>6</v>
      </c>
      <c r="B22" s="91"/>
      <c r="C22" s="75"/>
      <c r="J22" s="712"/>
    </row>
    <row r="23" spans="1:31" ht="14.25" thickTop="1" thickBot="1">
      <c r="A23" s="88" t="s">
        <v>7</v>
      </c>
      <c r="B23" s="92">
        <f>'MidWST FGD'!M47</f>
        <v>23356845</v>
      </c>
      <c r="C23" s="89">
        <f t="shared" ref="C23" si="5">ROUND(B23/$C$6,0)</f>
        <v>5404</v>
      </c>
      <c r="D23" s="717">
        <f>'MidWST FGD'!F47</f>
        <v>0</v>
      </c>
      <c r="E23" s="718"/>
      <c r="F23" s="801">
        <f>B23-(SUM(D23:E23))</f>
        <v>23356845</v>
      </c>
      <c r="G23" s="722" t="s">
        <v>74</v>
      </c>
      <c r="H23" s="366"/>
      <c r="I23" s="367"/>
      <c r="J23" s="756">
        <f>ROUND(F23/$C$6,0)</f>
        <v>5404</v>
      </c>
    </row>
    <row r="24" spans="1:31" ht="13.5" thickTop="1">
      <c r="B24" s="91"/>
      <c r="C24" s="75"/>
      <c r="J24" s="712"/>
    </row>
    <row r="25" spans="1:31">
      <c r="A25" s="78" t="s">
        <v>8</v>
      </c>
      <c r="B25" s="91"/>
      <c r="C25" s="75"/>
      <c r="J25" s="712"/>
    </row>
    <row r="26" spans="1:31">
      <c r="A26" s="75" t="s">
        <v>42</v>
      </c>
      <c r="B26" s="83">
        <f>'MidWST FGD'!M50</f>
        <v>2428742</v>
      </c>
      <c r="C26" s="83">
        <f t="shared" ref="C26:C31" si="6">ROUND(B26/$C$6,0)</f>
        <v>562</v>
      </c>
      <c r="D26" s="512">
        <f>'MidWST FGD'!F50</f>
        <v>0</v>
      </c>
      <c r="E26" s="512"/>
      <c r="F26" s="512">
        <f t="shared" ref="F26:F31" si="7">B26-(SUM(D26:E26))</f>
        <v>2428742</v>
      </c>
      <c r="G26" s="337"/>
      <c r="H26" s="337"/>
      <c r="I26" s="337"/>
      <c r="J26" s="713">
        <f>ROUND(F26/$C$6,0)</f>
        <v>562</v>
      </c>
    </row>
    <row r="27" spans="1:31">
      <c r="A27" s="75" t="s">
        <v>9</v>
      </c>
      <c r="B27" s="86">
        <f>'MidWST FGD'!M51</f>
        <v>0</v>
      </c>
      <c r="C27" s="87">
        <f t="shared" si="6"/>
        <v>0</v>
      </c>
      <c r="D27" s="86">
        <f>'MidWST FGD'!F51</f>
        <v>0</v>
      </c>
      <c r="E27" s="74"/>
      <c r="F27" s="74">
        <f t="shared" si="7"/>
        <v>0</v>
      </c>
      <c r="G27" s="337"/>
      <c r="H27" s="337"/>
      <c r="I27" s="337"/>
      <c r="J27" s="716">
        <f t="shared" ref="J27:J31" si="8">ROUND(F27/$C$6,0)</f>
        <v>0</v>
      </c>
    </row>
    <row r="28" spans="1:31" ht="13.5" thickBot="1">
      <c r="A28" s="75" t="s">
        <v>10</v>
      </c>
      <c r="B28" s="86">
        <f>'MidWST FGD'!M52</f>
        <v>6965760</v>
      </c>
      <c r="C28" s="87">
        <f t="shared" si="6"/>
        <v>1612</v>
      </c>
      <c r="D28" s="86">
        <f>'MidWST FGD'!F52</f>
        <v>1865</v>
      </c>
      <c r="E28" s="74"/>
      <c r="F28" s="74">
        <f t="shared" si="7"/>
        <v>6963895</v>
      </c>
      <c r="G28" s="337"/>
      <c r="H28" s="337"/>
      <c r="I28" s="337"/>
      <c r="J28" s="716">
        <f t="shared" si="8"/>
        <v>1611</v>
      </c>
    </row>
    <row r="29" spans="1:31" ht="13.5" thickBot="1">
      <c r="A29" s="75" t="s">
        <v>11</v>
      </c>
      <c r="B29" s="86">
        <f>'MidWST FGD'!M53</f>
        <v>805594</v>
      </c>
      <c r="C29" s="87">
        <f t="shared" si="6"/>
        <v>186</v>
      </c>
      <c r="D29" s="86">
        <f>'MidWST FGD'!F53</f>
        <v>0</v>
      </c>
      <c r="E29" s="74"/>
      <c r="F29" s="74">
        <f t="shared" si="7"/>
        <v>805594</v>
      </c>
      <c r="G29" s="337"/>
      <c r="H29" s="337"/>
      <c r="I29" s="337"/>
      <c r="J29" s="716">
        <f t="shared" si="8"/>
        <v>186</v>
      </c>
      <c r="K29" s="1694" t="s">
        <v>1065</v>
      </c>
      <c r="L29" s="1695"/>
      <c r="M29" s="1695"/>
      <c r="N29" s="1695"/>
      <c r="O29" s="1696"/>
    </row>
    <row r="30" spans="1:31" ht="13.5" thickBot="1">
      <c r="A30" s="93" t="s">
        <v>2134</v>
      </c>
      <c r="B30" s="94">
        <f>'MidWST FGD'!M54</f>
        <v>13143360</v>
      </c>
      <c r="C30" s="87">
        <f t="shared" si="6"/>
        <v>3041</v>
      </c>
      <c r="D30" s="729">
        <f>B30</f>
        <v>13143360</v>
      </c>
      <c r="E30" s="74"/>
      <c r="F30" s="74">
        <f t="shared" si="7"/>
        <v>0</v>
      </c>
      <c r="G30" s="337"/>
      <c r="H30" s="337"/>
      <c r="I30" s="337"/>
      <c r="J30" s="716">
        <f t="shared" si="8"/>
        <v>0</v>
      </c>
      <c r="K30" s="1694" t="s">
        <v>1070</v>
      </c>
      <c r="L30" s="1695"/>
      <c r="M30" s="1695"/>
      <c r="N30" s="1695"/>
      <c r="O30" s="1696"/>
    </row>
    <row r="31" spans="1:31" ht="13.5" customHeight="1" thickBot="1">
      <c r="A31" s="95" t="s">
        <v>43</v>
      </c>
      <c r="B31" s="86">
        <f>'MidWST FGD'!M55</f>
        <v>1825094</v>
      </c>
      <c r="C31" s="87">
        <f t="shared" si="6"/>
        <v>422</v>
      </c>
      <c r="D31" s="86">
        <f>'MidWST FGD'!F55</f>
        <v>10695</v>
      </c>
      <c r="E31" s="74"/>
      <c r="F31" s="74">
        <f t="shared" si="7"/>
        <v>1814399</v>
      </c>
      <c r="G31" s="35"/>
      <c r="H31" s="35"/>
      <c r="I31" s="38"/>
      <c r="J31" s="716">
        <f t="shared" si="8"/>
        <v>420</v>
      </c>
      <c r="K31" s="1697" t="s">
        <v>1073</v>
      </c>
      <c r="L31" s="1697" t="s">
        <v>1071</v>
      </c>
      <c r="M31" s="1697" t="s">
        <v>1072</v>
      </c>
      <c r="N31" s="1697" t="s">
        <v>1240</v>
      </c>
      <c r="O31" s="1697"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25168550</v>
      </c>
      <c r="C32" s="89">
        <f>SUM(C26:C31)</f>
        <v>5823</v>
      </c>
      <c r="D32" s="723">
        <f>SUM(D26:D31)</f>
        <v>13155920</v>
      </c>
      <c r="E32" s="723">
        <f>SUM(E26:E31)</f>
        <v>0</v>
      </c>
      <c r="F32" s="802">
        <f>SUM(F26:F31)</f>
        <v>12012630</v>
      </c>
      <c r="G32" s="1708" t="s">
        <v>8</v>
      </c>
      <c r="H32" s="1709"/>
      <c r="I32" s="783" t="s">
        <v>1166</v>
      </c>
      <c r="J32" s="725">
        <f>SUM(J26:J31)</f>
        <v>2779</v>
      </c>
      <c r="K32" s="1698"/>
      <c r="L32" s="1698"/>
      <c r="M32" s="1698"/>
      <c r="N32" s="1698" t="s">
        <v>1074</v>
      </c>
      <c r="O32" s="1698" t="s">
        <v>1075</v>
      </c>
    </row>
    <row r="33" spans="1:31" ht="14.25" thickTop="1" thickBot="1">
      <c r="A33" s="97" t="s">
        <v>68</v>
      </c>
      <c r="B33" s="52">
        <f>B15+B20+B23+B32</f>
        <v>118006772</v>
      </c>
      <c r="C33" s="45">
        <f>C15+C20+C23+C32</f>
        <v>27303</v>
      </c>
      <c r="D33" s="52">
        <f>D15+D20+D23+D32</f>
        <v>13452925</v>
      </c>
      <c r="E33" s="52">
        <f>E15+E20+E23+E32</f>
        <v>0</v>
      </c>
      <c r="F33" s="724">
        <f>F15+F20+F23+F32</f>
        <v>104553847</v>
      </c>
      <c r="G33" s="1758" t="s">
        <v>84</v>
      </c>
      <c r="H33" s="1759"/>
      <c r="I33" s="1375">
        <f>ROUND($G$35/$C$6,0)</f>
        <v>23048</v>
      </c>
      <c r="J33" s="726">
        <f>J15+J20+J23+J32</f>
        <v>24190</v>
      </c>
      <c r="K33" s="1698"/>
      <c r="L33" s="1698"/>
      <c r="M33" s="1698"/>
      <c r="N33" s="1698"/>
      <c r="O33" s="1698"/>
    </row>
    <row r="34" spans="1:31" ht="14.25" thickTop="1" thickBot="1">
      <c r="B34" s="98"/>
      <c r="C34" s="75"/>
      <c r="D34" s="337"/>
      <c r="E34" s="337"/>
      <c r="F34" s="337" t="s">
        <v>1199</v>
      </c>
      <c r="G34" s="787">
        <f>G14*-1</f>
        <v>-4933200</v>
      </c>
      <c r="H34" s="337"/>
      <c r="I34" s="783" t="s">
        <v>1167</v>
      </c>
      <c r="J34" s="727"/>
      <c r="K34" s="1699"/>
      <c r="L34" s="1699"/>
      <c r="M34" s="1699"/>
      <c r="N34" s="1699"/>
      <c r="O34" s="1699"/>
    </row>
    <row r="35" spans="1:31" ht="14.25" thickTop="1" thickBot="1">
      <c r="A35" s="81" t="s">
        <v>72</v>
      </c>
      <c r="B35" s="81"/>
      <c r="C35" s="81"/>
      <c r="D35" s="728"/>
      <c r="E35" s="728"/>
      <c r="F35" s="788" t="s">
        <v>1165</v>
      </c>
      <c r="G35" s="803">
        <f>F33+G34</f>
        <v>99620647</v>
      </c>
      <c r="I35" s="1376">
        <f>ROUND($G$35/$I$8,0)</f>
        <v>184520</v>
      </c>
      <c r="K35" s="609"/>
      <c r="L35" s="609"/>
      <c r="M35" s="609"/>
      <c r="N35" s="609"/>
      <c r="O35" s="609"/>
    </row>
    <row r="36" spans="1:31" ht="13.5" thickTop="1">
      <c r="A36" s="99" t="s">
        <v>14</v>
      </c>
      <c r="B36" s="83">
        <f>'MidWST FGD'!M60</f>
        <v>37934310</v>
      </c>
      <c r="C36" s="83">
        <f t="shared" ref="C36:C46" si="9">ROUND(B36/$C$6,0)</f>
        <v>8776</v>
      </c>
      <c r="D36" s="512">
        <f>'MidWST FGD'!F60</f>
        <v>0</v>
      </c>
      <c r="E36" s="512"/>
      <c r="F36" s="512">
        <f t="shared" ref="F36:F46" si="10">B36-(SUM(D36:E36))</f>
        <v>37934310</v>
      </c>
      <c r="G36" s="337"/>
      <c r="H36" s="1378" t="s">
        <v>2158</v>
      </c>
      <c r="I36" s="1379">
        <f>ROUND(F36/$C$6,0)</f>
        <v>8776</v>
      </c>
      <c r="J36" s="337" t="s">
        <v>752</v>
      </c>
      <c r="K36" s="512">
        <f>F36</f>
        <v>37934310</v>
      </c>
      <c r="L36" s="512">
        <f>K36</f>
        <v>37934310</v>
      </c>
      <c r="M36" s="512"/>
      <c r="N36" s="512"/>
      <c r="O36" s="512"/>
    </row>
    <row r="37" spans="1:31">
      <c r="A37" s="99" t="s">
        <v>15</v>
      </c>
      <c r="B37" s="86">
        <f>'MidWST FGD'!M61</f>
        <v>882163</v>
      </c>
      <c r="C37" s="87">
        <f t="shared" si="9"/>
        <v>204</v>
      </c>
      <c r="D37" s="86">
        <f>'MidWST FGD'!F61</f>
        <v>0</v>
      </c>
      <c r="E37" s="74"/>
      <c r="F37" s="74">
        <f t="shared" si="10"/>
        <v>882163</v>
      </c>
      <c r="G37" s="337"/>
      <c r="H37" s="337"/>
      <c r="J37" s="337" t="s">
        <v>1076</v>
      </c>
      <c r="K37" s="373">
        <f>F37</f>
        <v>882163</v>
      </c>
      <c r="L37" s="373">
        <f>K37</f>
        <v>882163</v>
      </c>
      <c r="M37" s="373"/>
      <c r="N37" s="373"/>
      <c r="O37" s="373"/>
    </row>
    <row r="38" spans="1:31">
      <c r="A38" s="99" t="s">
        <v>16</v>
      </c>
      <c r="B38" s="86">
        <f>'MidWST FGD'!M62</f>
        <v>1081302</v>
      </c>
      <c r="C38" s="87">
        <f t="shared" si="9"/>
        <v>250</v>
      </c>
      <c r="D38" s="86">
        <f>'MidWST FGD'!F62</f>
        <v>0</v>
      </c>
      <c r="E38" s="86">
        <f>B38-D38</f>
        <v>1081302</v>
      </c>
      <c r="F38" s="74">
        <f t="shared" si="10"/>
        <v>0</v>
      </c>
      <c r="G38" s="337"/>
      <c r="H38" s="337"/>
      <c r="I38" s="337"/>
      <c r="J38" s="337" t="s">
        <v>1077</v>
      </c>
      <c r="K38" s="736"/>
      <c r="L38" s="737"/>
      <c r="M38" s="737" t="s">
        <v>1152</v>
      </c>
      <c r="N38" s="737"/>
      <c r="O38" s="738"/>
    </row>
    <row r="39" spans="1:31">
      <c r="A39" s="99" t="s">
        <v>17</v>
      </c>
      <c r="B39" s="86">
        <f>'MidWST FGD'!M63</f>
        <v>10430436</v>
      </c>
      <c r="C39" s="87">
        <f t="shared" si="9"/>
        <v>2413</v>
      </c>
      <c r="D39" s="86">
        <f>'MidWST FGD'!F63</f>
        <v>0</v>
      </c>
      <c r="E39" s="74"/>
      <c r="F39" s="74">
        <f t="shared" si="10"/>
        <v>10430436</v>
      </c>
      <c r="G39" s="337"/>
      <c r="H39" s="1378" t="s">
        <v>2159</v>
      </c>
      <c r="I39" s="1379">
        <f>ROUND(F39/$C$6,0)</f>
        <v>2413</v>
      </c>
      <c r="J39" s="337" t="s">
        <v>1078</v>
      </c>
      <c r="K39" s="373">
        <f t="shared" ref="K39:K43" si="11">F39</f>
        <v>10430436</v>
      </c>
      <c r="L39" s="373">
        <f>K39</f>
        <v>10430436</v>
      </c>
      <c r="M39" s="373"/>
      <c r="N39" s="373"/>
      <c r="O39" s="373"/>
    </row>
    <row r="40" spans="1:31">
      <c r="A40" s="99" t="s">
        <v>18</v>
      </c>
      <c r="B40" s="86">
        <f>'MidWST FGD'!M64</f>
        <v>13652149</v>
      </c>
      <c r="C40" s="87">
        <f t="shared" si="9"/>
        <v>3159</v>
      </c>
      <c r="D40" s="86">
        <f>'MidWST FGD'!F64</f>
        <v>0</v>
      </c>
      <c r="E40" s="74"/>
      <c r="F40" s="74">
        <f t="shared" si="10"/>
        <v>13652149</v>
      </c>
      <c r="G40" s="337"/>
      <c r="J40" s="337" t="s">
        <v>1079</v>
      </c>
      <c r="K40" s="373">
        <f t="shared" si="11"/>
        <v>13652149</v>
      </c>
      <c r="L40" s="373"/>
      <c r="M40" s="373">
        <f>K40</f>
        <v>13652149</v>
      </c>
      <c r="N40" s="373"/>
      <c r="O40" s="373"/>
    </row>
    <row r="41" spans="1:31">
      <c r="A41" s="99" t="s">
        <v>19</v>
      </c>
      <c r="B41" s="86">
        <f>'MidWST FGD'!M65</f>
        <v>8691710</v>
      </c>
      <c r="C41" s="87">
        <f t="shared" si="9"/>
        <v>2011</v>
      </c>
      <c r="D41" s="86">
        <f>'MidWST FGD'!F65</f>
        <v>0</v>
      </c>
      <c r="E41" s="74"/>
      <c r="F41" s="74">
        <f t="shared" si="10"/>
        <v>8691710</v>
      </c>
      <c r="G41" s="337"/>
      <c r="H41" s="1378" t="s">
        <v>2160</v>
      </c>
      <c r="I41" s="1379">
        <f>ROUND(F41/$C$6,0)</f>
        <v>2011</v>
      </c>
      <c r="J41" s="337" t="s">
        <v>757</v>
      </c>
      <c r="K41" s="373">
        <f t="shared" si="11"/>
        <v>8691710</v>
      </c>
      <c r="L41" s="373"/>
      <c r="M41" s="373"/>
      <c r="N41" s="373">
        <f>K41</f>
        <v>8691710</v>
      </c>
      <c r="O41" s="373"/>
    </row>
    <row r="42" spans="1:31">
      <c r="A42" s="99" t="s">
        <v>20</v>
      </c>
      <c r="B42" s="86">
        <f>'MidWST FGD'!M66</f>
        <v>7303151</v>
      </c>
      <c r="C42" s="87">
        <f t="shared" si="9"/>
        <v>1690</v>
      </c>
      <c r="D42" s="86">
        <f>'MidWST FGD'!F66</f>
        <v>0</v>
      </c>
      <c r="E42" s="74"/>
      <c r="F42" s="74">
        <f t="shared" si="10"/>
        <v>7303151</v>
      </c>
      <c r="G42" s="337"/>
      <c r="J42" s="337" t="s">
        <v>758</v>
      </c>
      <c r="K42" s="373">
        <f t="shared" si="11"/>
        <v>7303151</v>
      </c>
      <c r="L42" s="373"/>
      <c r="M42" s="373"/>
      <c r="N42" s="373">
        <f>K42</f>
        <v>7303151</v>
      </c>
      <c r="O42" s="373"/>
    </row>
    <row r="43" spans="1:31">
      <c r="A43" s="99" t="s">
        <v>21</v>
      </c>
      <c r="B43" s="86">
        <f>'MidWST FGD'!M67</f>
        <v>17262753</v>
      </c>
      <c r="C43" s="87">
        <f t="shared" si="9"/>
        <v>3994</v>
      </c>
      <c r="D43" s="86">
        <f>'MidWST FGD'!F67</f>
        <v>0</v>
      </c>
      <c r="E43" s="74"/>
      <c r="F43" s="74">
        <f t="shared" si="10"/>
        <v>17262753</v>
      </c>
      <c r="G43" s="337"/>
      <c r="H43" s="337"/>
      <c r="I43" s="337"/>
      <c r="J43" s="337" t="s">
        <v>1145</v>
      </c>
      <c r="K43" s="373">
        <f t="shared" si="11"/>
        <v>17262753</v>
      </c>
      <c r="L43" s="373"/>
      <c r="M43" s="373">
        <f>K43</f>
        <v>17262753</v>
      </c>
      <c r="N43" s="373"/>
      <c r="O43" s="373"/>
    </row>
    <row r="44" spans="1:31">
      <c r="A44" s="99" t="s">
        <v>2135</v>
      </c>
      <c r="B44" s="86">
        <f>'MidWST FGD'!M68</f>
        <v>8568034</v>
      </c>
      <c r="C44" s="87">
        <f t="shared" si="9"/>
        <v>1982</v>
      </c>
      <c r="D44" s="729">
        <f>B44</f>
        <v>8568034</v>
      </c>
      <c r="E44" s="74"/>
      <c r="F44" s="74">
        <f t="shared" si="10"/>
        <v>0</v>
      </c>
      <c r="G44" s="337"/>
      <c r="H44" s="337"/>
      <c r="I44" s="337"/>
      <c r="J44" s="337" t="s">
        <v>743</v>
      </c>
      <c r="K44" s="736"/>
      <c r="L44" s="737"/>
      <c r="M44" s="737" t="s">
        <v>1152</v>
      </c>
      <c r="N44" s="737"/>
      <c r="O44" s="738"/>
    </row>
    <row r="45" spans="1:31">
      <c r="A45" s="99" t="s">
        <v>61</v>
      </c>
      <c r="B45" s="86">
        <f>'MidWST FGD'!M69</f>
        <v>5587278</v>
      </c>
      <c r="C45" s="87">
        <f t="shared" si="9"/>
        <v>1293</v>
      </c>
      <c r="D45" s="86">
        <f>'MidWST FGD'!F69</f>
        <v>0</v>
      </c>
      <c r="E45" s="74"/>
      <c r="F45" s="74">
        <f t="shared" si="10"/>
        <v>5587278</v>
      </c>
      <c r="G45" s="337"/>
      <c r="H45" s="337"/>
      <c r="I45" s="337"/>
      <c r="J45" s="337" t="s">
        <v>1080</v>
      </c>
      <c r="K45" s="373">
        <f t="shared" ref="K45:K46" si="12">F45</f>
        <v>5587278</v>
      </c>
      <c r="L45" s="373"/>
      <c r="M45" s="373"/>
      <c r="N45" s="373"/>
      <c r="O45" s="373">
        <f>K45</f>
        <v>5587278</v>
      </c>
    </row>
    <row r="46" spans="1:31" ht="13.5" thickBot="1">
      <c r="A46" s="75" t="s">
        <v>50</v>
      </c>
      <c r="B46" s="86">
        <f>'MidWST FGD'!M70</f>
        <v>358259</v>
      </c>
      <c r="C46" s="87">
        <f t="shared" si="9"/>
        <v>83</v>
      </c>
      <c r="D46" s="86">
        <f>'MidWST FGD'!F70</f>
        <v>0</v>
      </c>
      <c r="E46" s="74"/>
      <c r="F46" s="74">
        <f t="shared" si="10"/>
        <v>358259</v>
      </c>
      <c r="G46" s="35"/>
      <c r="H46" s="1378" t="s">
        <v>2161</v>
      </c>
      <c r="I46" s="1379">
        <f>ROUND(SUM(F37+F40+F42+F43+F45+F46)/$C$6,0)</f>
        <v>10422</v>
      </c>
      <c r="J46" s="610" t="s">
        <v>1075</v>
      </c>
      <c r="K46" s="373">
        <f t="shared" si="12"/>
        <v>358259</v>
      </c>
      <c r="L46" s="611"/>
      <c r="M46" s="611"/>
      <c r="N46" s="611"/>
      <c r="O46" s="373">
        <f>K46</f>
        <v>358259</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111751545</v>
      </c>
      <c r="C47" s="45">
        <f>SUM(C36:C46)</f>
        <v>25855</v>
      </c>
      <c r="D47" s="730">
        <f>SUM(D36:D46)</f>
        <v>8568034</v>
      </c>
      <c r="E47" s="731">
        <f>SUM(E36:E46)</f>
        <v>1081302</v>
      </c>
      <c r="F47" s="719">
        <f>SUM(F36:F46)</f>
        <v>102102209</v>
      </c>
      <c r="G47" s="1688" t="s">
        <v>1176</v>
      </c>
      <c r="H47" s="1689"/>
      <c r="I47" s="785" t="s">
        <v>1164</v>
      </c>
      <c r="J47" s="610" t="s">
        <v>1081</v>
      </c>
      <c r="K47" s="612">
        <f>SUM(K36:K46)</f>
        <v>102102209</v>
      </c>
      <c r="L47" s="612">
        <f>SUM(L36:L46)</f>
        <v>49246909</v>
      </c>
      <c r="M47" s="612">
        <f>SUM(M36:M46)</f>
        <v>30914902</v>
      </c>
      <c r="N47" s="612">
        <f>SUM(N36:N46)</f>
        <v>15994861</v>
      </c>
      <c r="O47" s="612">
        <f>SUM(O36:O46)</f>
        <v>5945537</v>
      </c>
    </row>
    <row r="48" spans="1:31" ht="14.25" thickTop="1" thickBot="1">
      <c r="A48" s="93"/>
      <c r="B48" s="98"/>
      <c r="C48" s="75"/>
      <c r="F48" s="613"/>
      <c r="G48" s="1690"/>
      <c r="H48" s="1691"/>
      <c r="I48" s="823">
        <f>ROUND(F47/C6,0)</f>
        <v>23622</v>
      </c>
      <c r="J48" s="1700" t="s">
        <v>1082</v>
      </c>
      <c r="K48" s="611"/>
      <c r="L48" s="611"/>
      <c r="M48" s="611"/>
      <c r="N48" s="611"/>
      <c r="O48" s="611"/>
    </row>
    <row r="49" spans="1:31" ht="13.5" thickBot="1">
      <c r="A49" s="78" t="s">
        <v>23</v>
      </c>
      <c r="B49" s="82"/>
      <c r="C49" s="75"/>
      <c r="F49" s="614"/>
      <c r="G49" s="1690"/>
      <c r="H49" s="1691"/>
      <c r="I49" s="811"/>
      <c r="J49" s="1700"/>
      <c r="K49" s="615">
        <f>ROUND(K47/$C$6,2)</f>
        <v>23622.03</v>
      </c>
      <c r="L49" s="615">
        <f t="shared" ref="L49:O49" si="13">ROUND(L47/$C$6,2)</f>
        <v>11393.6</v>
      </c>
      <c r="M49" s="615">
        <f t="shared" si="13"/>
        <v>7152.37</v>
      </c>
      <c r="N49" s="615">
        <f t="shared" si="13"/>
        <v>3700.52</v>
      </c>
      <c r="O49" s="615">
        <f t="shared" si="13"/>
        <v>1375.54</v>
      </c>
      <c r="P49" s="35"/>
      <c r="Q49" s="96"/>
      <c r="R49" s="96"/>
      <c r="S49" s="96"/>
      <c r="T49" s="96"/>
      <c r="U49" s="96"/>
      <c r="V49" s="96"/>
      <c r="W49" s="96"/>
      <c r="X49" s="96"/>
      <c r="Y49" s="96"/>
      <c r="Z49" s="96"/>
      <c r="AA49" s="96"/>
      <c r="AB49" s="96"/>
      <c r="AC49" s="96"/>
      <c r="AD49" s="96"/>
      <c r="AE49" s="96"/>
    </row>
    <row r="50" spans="1:31" ht="13.5" thickBot="1">
      <c r="A50" s="75" t="s">
        <v>62</v>
      </c>
      <c r="B50" s="86">
        <f>'MidWST FGD'!M74</f>
        <v>-1763329</v>
      </c>
      <c r="C50" s="83">
        <f t="shared" ref="C50:C53" si="14">ROUND(B50/$C$6,0)</f>
        <v>-408</v>
      </c>
      <c r="D50" s="512">
        <f>'MidWST FGD'!F74</f>
        <v>0</v>
      </c>
      <c r="E50" s="512"/>
      <c r="F50" s="732">
        <f t="shared" ref="F50:F53" si="15">B50-(SUM(D50:E50))</f>
        <v>-1763329</v>
      </c>
      <c r="G50" s="1692"/>
      <c r="H50" s="1693"/>
      <c r="I50" s="808"/>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'MidWST FGD'!M75</f>
        <v>-2704173</v>
      </c>
      <c r="C51" s="87">
        <f t="shared" si="14"/>
        <v>-626</v>
      </c>
      <c r="D51" s="91">
        <f>'MidWST FGD'!F75</f>
        <v>-4283502</v>
      </c>
      <c r="E51" s="82"/>
      <c r="F51" s="74">
        <f t="shared" si="15"/>
        <v>1579329</v>
      </c>
      <c r="G51" s="337"/>
      <c r="J51" s="337"/>
      <c r="K51" s="616"/>
      <c r="L51" s="616"/>
      <c r="M51" s="616"/>
      <c r="N51" s="616"/>
      <c r="O51" s="616"/>
    </row>
    <row r="52" spans="1:31">
      <c r="A52" s="75" t="s">
        <v>51</v>
      </c>
      <c r="B52" s="86">
        <f>'MidWST FGD'!M76</f>
        <v>-76777</v>
      </c>
      <c r="C52" s="87">
        <f t="shared" si="14"/>
        <v>-18</v>
      </c>
      <c r="D52" s="91">
        <f>'MidWST FGD'!F76</f>
        <v>0</v>
      </c>
      <c r="E52" s="82"/>
      <c r="F52" s="74">
        <f t="shared" si="15"/>
        <v>-76777</v>
      </c>
      <c r="G52" s="337"/>
      <c r="J52" s="733"/>
      <c r="K52" s="733"/>
      <c r="L52" s="733"/>
      <c r="M52" s="733"/>
      <c r="N52" s="733"/>
      <c r="O52" s="733"/>
    </row>
    <row r="53" spans="1:31" ht="12.2" customHeight="1">
      <c r="A53" s="75" t="s">
        <v>46</v>
      </c>
      <c r="B53" s="86">
        <f>'MidWST FGD'!M77</f>
        <v>-11178053</v>
      </c>
      <c r="C53" s="87">
        <f t="shared" si="14"/>
        <v>-2586</v>
      </c>
      <c r="D53" s="91">
        <f>'MidWST FGD'!F77</f>
        <v>0</v>
      </c>
      <c r="E53" s="82"/>
      <c r="F53" s="74">
        <f t="shared" si="15"/>
        <v>-11178053</v>
      </c>
      <c r="G53" s="35"/>
      <c r="J53" s="733"/>
      <c r="K53" s="733"/>
      <c r="L53" s="733"/>
      <c r="M53" s="733"/>
      <c r="N53" s="733"/>
      <c r="O53" s="733"/>
      <c r="P53" s="35"/>
      <c r="Q53" s="96"/>
      <c r="R53" s="96"/>
      <c r="S53" s="96"/>
      <c r="T53" s="96"/>
      <c r="U53" s="96"/>
      <c r="V53" s="96"/>
      <c r="W53" s="96"/>
      <c r="X53" s="96"/>
      <c r="Y53" s="96"/>
      <c r="Z53" s="96"/>
      <c r="AA53" s="96"/>
      <c r="AB53" s="96"/>
      <c r="AC53" s="96"/>
      <c r="AD53" s="96"/>
      <c r="AE53" s="96"/>
    </row>
    <row r="54" spans="1:31">
      <c r="A54" s="88" t="s">
        <v>3</v>
      </c>
      <c r="B54" s="89">
        <f>SUM(B50:B53)</f>
        <v>-15722332</v>
      </c>
      <c r="C54" s="89">
        <f>SUM(C50:C53)</f>
        <v>-3638</v>
      </c>
      <c r="D54" s="89">
        <f>SUM(D50:D53)</f>
        <v>-4283502</v>
      </c>
      <c r="E54" s="89">
        <f>SUM(E50:E53)</f>
        <v>0</v>
      </c>
      <c r="F54" s="102">
        <f>SUM(F50:F53)</f>
        <v>-11438830</v>
      </c>
      <c r="G54" s="337"/>
      <c r="H54" s="337"/>
      <c r="I54" s="337"/>
      <c r="J54" s="733"/>
      <c r="K54" s="733"/>
      <c r="L54" s="733"/>
      <c r="M54" s="733"/>
      <c r="N54" s="733"/>
      <c r="O54" s="733"/>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'MidWST FGD'!M81</f>
        <v>7705338</v>
      </c>
      <c r="C57" s="83">
        <f>ROUND(B57/$C$6,0)</f>
        <v>1783</v>
      </c>
      <c r="D57" s="512">
        <f>'MidWST FGD'!F81</f>
        <v>295990</v>
      </c>
      <c r="E57" s="512"/>
      <c r="F57" s="512">
        <f t="shared" ref="F57:F58" si="16">B57-(SUM(D57:E57))</f>
        <v>7409348</v>
      </c>
      <c r="G57" s="337"/>
      <c r="H57" s="337"/>
      <c r="I57" s="337"/>
      <c r="J57" s="337"/>
    </row>
    <row r="58" spans="1:31">
      <c r="A58" s="75" t="s">
        <v>48</v>
      </c>
      <c r="B58" s="86">
        <f>'MidWST FGD'!M82</f>
        <v>63270</v>
      </c>
      <c r="C58" s="87">
        <f>ROUND(B58/$C$6,0)</f>
        <v>15</v>
      </c>
      <c r="D58" s="91">
        <f>'MidWST FGD'!F82</f>
        <v>0</v>
      </c>
      <c r="E58" s="82"/>
      <c r="F58" s="74">
        <f t="shared" si="16"/>
        <v>63270</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7768608</v>
      </c>
      <c r="C59" s="89">
        <f>SUM(C57:C58)</f>
        <v>1798</v>
      </c>
      <c r="D59" s="89">
        <f>SUM(D57:D58)</f>
        <v>295990</v>
      </c>
      <c r="E59" s="89">
        <f>SUM(E57:E58)</f>
        <v>0</v>
      </c>
      <c r="F59" s="89">
        <f>SUM(F57:F58)</f>
        <v>7472618</v>
      </c>
      <c r="G59" s="367"/>
      <c r="H59" s="367"/>
      <c r="I59" s="367"/>
      <c r="J59" s="367"/>
      <c r="K59" s="266"/>
      <c r="L59" s="266"/>
      <c r="M59" s="266"/>
      <c r="N59" s="266"/>
      <c r="O59" s="266"/>
      <c r="P59" s="266"/>
    </row>
    <row r="60" spans="1:31">
      <c r="B60" s="82"/>
      <c r="C60" s="75"/>
    </row>
    <row r="61" spans="1:31" ht="13.5" thickBot="1">
      <c r="A61" s="103" t="s">
        <v>573</v>
      </c>
      <c r="B61" s="46">
        <f>B33-B47+B54+B59</f>
        <v>-1698497</v>
      </c>
      <c r="C61" s="46">
        <f>C33-C47+C54+C59</f>
        <v>-392</v>
      </c>
      <c r="D61" s="46">
        <f>D33-D47+D54+D59</f>
        <v>897379</v>
      </c>
      <c r="E61" s="46">
        <f>E33-E47+E54+E59</f>
        <v>-1081302</v>
      </c>
      <c r="F61" s="46">
        <f>F33-F47+F54+F59</f>
        <v>-1514574</v>
      </c>
    </row>
    <row r="62" spans="1:31" ht="13.5" thickTop="1"/>
    <row r="63" spans="1:31">
      <c r="D63" s="512"/>
    </row>
    <row r="65" spans="2:16">
      <c r="B65" s="734">
        <f>'MidWST FGD'!$M$85</f>
        <v>-1698497</v>
      </c>
      <c r="C65" s="75"/>
      <c r="D65" s="734">
        <f>'MidWST FGD'!$F$85</f>
        <v>897379</v>
      </c>
      <c r="E65" s="734">
        <f>'MidWST FGD'!$M$62*-1</f>
        <v>-1081302</v>
      </c>
      <c r="F65" s="75"/>
    </row>
    <row r="66" spans="2:16">
      <c r="B66" s="734"/>
      <c r="C66" s="75"/>
      <c r="D66" s="734">
        <f>'MidWST FGD'!$F$68</f>
        <v>8568034</v>
      </c>
      <c r="E66" s="734">
        <f>+$D$38</f>
        <v>0</v>
      </c>
      <c r="F66" s="734"/>
    </row>
    <row r="67" spans="2:16">
      <c r="B67" s="759"/>
      <c r="C67" s="75"/>
      <c r="D67" s="759">
        <f>-'MidWST FGD'!$M$68</f>
        <v>-8568034</v>
      </c>
      <c r="E67" s="759"/>
      <c r="F67" s="734"/>
    </row>
    <row r="68" spans="2:16">
      <c r="B68" s="734">
        <f>SUM(B65:B67)</f>
        <v>-1698497</v>
      </c>
      <c r="C68" s="75"/>
      <c r="D68" s="734">
        <f>SUM(D65:D67)</f>
        <v>897379</v>
      </c>
      <c r="E68" s="734">
        <f>SUM(E65:E67)</f>
        <v>-1081302</v>
      </c>
      <c r="F68" s="734">
        <f>B68-D68-E68</f>
        <v>-1514574</v>
      </c>
    </row>
    <row r="69" spans="2:16">
      <c r="B69" s="734"/>
      <c r="C69" s="75"/>
      <c r="D69" s="734">
        <f>'MidWST FGD'!F54*-1</f>
        <v>-13143360</v>
      </c>
      <c r="E69" s="734"/>
      <c r="F69" s="734"/>
    </row>
    <row r="70" spans="2:16" ht="12.75" customHeight="1">
      <c r="B70" s="759"/>
      <c r="C70" s="95"/>
      <c r="D70" s="759">
        <f>'MidWST FGD'!M54</f>
        <v>13143360</v>
      </c>
      <c r="E70" s="759"/>
      <c r="F70" s="759">
        <f>-D70-D69</f>
        <v>0</v>
      </c>
    </row>
    <row r="71" spans="2:16" ht="12.75" customHeight="1">
      <c r="B71" s="734">
        <f>SUM(B68:B70)</f>
        <v>-1698497</v>
      </c>
      <c r="C71" s="75"/>
      <c r="D71" s="734">
        <f>SUM(D68:D70)</f>
        <v>897379</v>
      </c>
      <c r="E71" s="734">
        <f>SUM(E68:E70)</f>
        <v>-1081302</v>
      </c>
      <c r="F71" s="734">
        <f>SUM(F68:F70)</f>
        <v>-1514574</v>
      </c>
    </row>
    <row r="72" spans="2:16" ht="12.75" customHeight="1">
      <c r="B72" s="734"/>
      <c r="C72" s="75"/>
      <c r="D72" s="734"/>
      <c r="E72" s="734"/>
      <c r="F72" s="734"/>
    </row>
    <row r="73" spans="2:16" ht="12.75" customHeight="1">
      <c r="B73" s="512">
        <f>B61-B71</f>
        <v>0</v>
      </c>
      <c r="C73" s="75"/>
      <c r="D73" s="512">
        <f>D61-D71</f>
        <v>0</v>
      </c>
      <c r="E73" s="512">
        <f>E61-E71</f>
        <v>0</v>
      </c>
      <c r="F73" s="512">
        <f>F61-F71</f>
        <v>0</v>
      </c>
    </row>
    <row r="74" spans="2:16" ht="12.75" customHeight="1">
      <c r="C74" s="75"/>
      <c r="F74" s="617"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G47:H50"/>
    <mergeCell ref="K30:O30"/>
    <mergeCell ref="M31:M34"/>
    <mergeCell ref="G32:H32"/>
    <mergeCell ref="G33:H33"/>
    <mergeCell ref="L31:L34"/>
    <mergeCell ref="K31:K34"/>
    <mergeCell ref="N31:N34"/>
    <mergeCell ref="O31:O34"/>
    <mergeCell ref="J48:J49"/>
    <mergeCell ref="F1:I1"/>
    <mergeCell ref="J1:O1"/>
    <mergeCell ref="D1:E1"/>
    <mergeCell ref="K29:O29"/>
    <mergeCell ref="D4:D5"/>
    <mergeCell ref="E4:E5"/>
  </mergeCells>
  <hyperlinks>
    <hyperlink ref="D1:E1" location="Index!A1" display="Return to Index" xr:uid="{00000000-0004-0000-9A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sheetPr codeName="Sheet129">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4.5703125" style="164" customWidth="1"/>
    <col min="15" max="15" width="14.42578125" style="261" customWidth="1"/>
    <col min="16" max="16" width="25.7109375" style="264" customWidth="1"/>
    <col min="17" max="17" width="16.42578125" style="264" customWidth="1"/>
    <col min="18" max="18" width="17.140625" style="264" customWidth="1"/>
    <col min="19" max="19" width="1.7109375" style="264" customWidth="1"/>
    <col min="20" max="20" width="17.140625" style="264" customWidth="1"/>
    <col min="21" max="21" width="16.85546875" style="264" customWidth="1"/>
    <col min="22" max="23" width="19.28515625" style="264" customWidth="1"/>
    <col min="24" max="24" width="16.855468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13" t="str">
        <f>'MidWST Chrts'!$A$1</f>
        <v>Midwestern State University</v>
      </c>
      <c r="C2" s="1713"/>
      <c r="D2" s="1713"/>
      <c r="E2" s="1713"/>
      <c r="F2" s="1742"/>
      <c r="G2" s="160"/>
      <c r="H2" s="161"/>
      <c r="I2" s="320" t="str">
        <f>IF($B$2&lt;&gt;Input!$B$38,"Name Mismatch","")</f>
        <v/>
      </c>
      <c r="J2" s="168"/>
      <c r="K2" s="169"/>
      <c r="L2" s="169"/>
      <c r="M2" s="170"/>
      <c r="O2" s="835" t="s">
        <v>1200</v>
      </c>
      <c r="P2" s="36"/>
    </row>
    <row r="3" spans="1:28" ht="20.25">
      <c r="A3" s="184">
        <v>2</v>
      </c>
      <c r="B3" s="1713" t="str">
        <f>'Smmy Chrts'!$A$2</f>
        <v>For the Year Ended August 31, 2021</v>
      </c>
      <c r="C3" s="1713"/>
      <c r="D3" s="1713"/>
      <c r="E3" s="1713"/>
      <c r="F3" s="1742"/>
      <c r="G3" s="161"/>
      <c r="H3" s="161"/>
      <c r="I3" s="169"/>
      <c r="J3" s="168"/>
      <c r="K3" s="169"/>
      <c r="L3" s="169"/>
      <c r="M3" s="170"/>
      <c r="O3" s="74"/>
    </row>
    <row r="4" spans="1:28" ht="20.25">
      <c r="A4" s="184">
        <v>3</v>
      </c>
      <c r="B4" s="1713" t="str">
        <f>'Smmy Chrts'!$A$3</f>
        <v>Source: FY 2021 Annual Financial Report</v>
      </c>
      <c r="C4" s="1713"/>
      <c r="D4" s="1713"/>
      <c r="E4" s="1713"/>
      <c r="F4" s="1742"/>
      <c r="G4" s="161"/>
      <c r="H4" s="161"/>
      <c r="I4" s="169"/>
      <c r="J4" s="168"/>
      <c r="K4" s="169"/>
      <c r="L4" s="169"/>
      <c r="M4" s="170"/>
      <c r="O4" s="74"/>
      <c r="P4" s="1744" t="s">
        <v>93</v>
      </c>
      <c r="Q4" s="1745"/>
      <c r="T4" s="36" t="s">
        <v>250</v>
      </c>
    </row>
    <row r="5" spans="1:28">
      <c r="A5" s="184">
        <v>4</v>
      </c>
      <c r="B5" s="160"/>
      <c r="C5" s="160"/>
      <c r="D5" s="160"/>
      <c r="E5" s="160"/>
      <c r="F5" s="160"/>
      <c r="G5" s="160"/>
      <c r="H5" s="160"/>
      <c r="I5" s="160"/>
      <c r="J5" s="160"/>
      <c r="K5" s="160"/>
      <c r="L5" s="160"/>
      <c r="M5" s="166"/>
      <c r="O5" s="262"/>
    </row>
    <row r="6" spans="1:28">
      <c r="A6" s="184">
        <v>5</v>
      </c>
      <c r="B6" s="1715" t="str">
        <f>'Smmy Chrts'!$C$32</f>
        <v>Detail Worksheet FY 2021</v>
      </c>
      <c r="C6" s="1715"/>
      <c r="D6" s="1743"/>
      <c r="E6" s="1743"/>
      <c r="F6" s="1743"/>
      <c r="G6" s="1743"/>
      <c r="H6" s="1743"/>
      <c r="I6" s="1743"/>
      <c r="J6" s="1743"/>
      <c r="K6" s="1743"/>
      <c r="L6" s="1743"/>
      <c r="M6" s="1743"/>
      <c r="O6" s="265"/>
    </row>
    <row r="7" spans="1:28">
      <c r="A7" s="184">
        <v>6</v>
      </c>
      <c r="B7" s="172"/>
      <c r="C7" s="172"/>
      <c r="D7" s="160"/>
      <c r="E7" s="160"/>
      <c r="F7" s="160"/>
      <c r="G7" s="160"/>
      <c r="H7" s="160"/>
      <c r="I7" s="160"/>
      <c r="J7" s="160"/>
      <c r="K7" s="160"/>
      <c r="L7" s="160"/>
      <c r="M7" s="173" t="str">
        <f>'Smmy Chrts'!$C$33</f>
        <v>FY 2021</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Input!$M$38</f>
        <v>26399431</v>
      </c>
      <c r="E10" s="372">
        <f>Input!$N$38</f>
        <v>0</v>
      </c>
      <c r="F10" s="372">
        <f>Input!$O$38</f>
        <v>0</v>
      </c>
      <c r="G10" s="372">
        <f>Input!$P$38</f>
        <v>0</v>
      </c>
      <c r="H10" s="372">
        <f>Input!$Q$38</f>
        <v>0</v>
      </c>
      <c r="I10" s="372">
        <f>Input!$R$38</f>
        <v>0</v>
      </c>
      <c r="J10" s="372">
        <f>Input!$S$38</f>
        <v>0</v>
      </c>
      <c r="K10" s="372">
        <f>Input!$T$38</f>
        <v>0</v>
      </c>
      <c r="L10" s="372">
        <f>Input!$U$38</f>
        <v>0</v>
      </c>
      <c r="M10" s="373">
        <f t="shared" ref="M10:M15" si="0">D10+E10+F10+G10+H10+I10+J10+K10+L10</f>
        <v>26399431</v>
      </c>
      <c r="N10" s="160"/>
      <c r="O10" s="271"/>
      <c r="P10" s="1718" t="s">
        <v>575</v>
      </c>
      <c r="U10" s="268"/>
    </row>
    <row r="11" spans="1:28">
      <c r="A11" s="184">
        <v>10</v>
      </c>
      <c r="B11" s="160" t="s">
        <v>2</v>
      </c>
      <c r="C11" s="160"/>
      <c r="D11" s="372">
        <f>Input!$V$38</f>
        <v>28179</v>
      </c>
      <c r="E11" s="372">
        <f>Input!$W$38</f>
        <v>0</v>
      </c>
      <c r="F11" s="372">
        <f>Input!$X$38</f>
        <v>0</v>
      </c>
      <c r="G11" s="372">
        <f>Input!$Y$38</f>
        <v>4287787</v>
      </c>
      <c r="H11" s="372">
        <f>Input!$Z$38</f>
        <v>0</v>
      </c>
      <c r="I11" s="372">
        <f>Input!$AA$38</f>
        <v>0</v>
      </c>
      <c r="J11" s="372">
        <f>Input!$AB$38</f>
        <v>0</v>
      </c>
      <c r="K11" s="372">
        <f>Input!$AC$38</f>
        <v>0</v>
      </c>
      <c r="L11" s="372">
        <f>Input!$AD$38</f>
        <v>0</v>
      </c>
      <c r="M11" s="373">
        <f t="shared" si="0"/>
        <v>4315966</v>
      </c>
      <c r="N11" s="160"/>
      <c r="O11" s="482"/>
      <c r="P11" s="1719"/>
      <c r="U11" s="268"/>
    </row>
    <row r="12" spans="1:28" ht="12.75" hidden="1" customHeight="1">
      <c r="B12" s="160" t="s">
        <v>1410</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Input!$AN$38</f>
        <v>4933200</v>
      </c>
      <c r="E13" s="372">
        <f>Input!$AO$38</f>
        <v>0</v>
      </c>
      <c r="F13" s="372">
        <f>Input!$AP$38</f>
        <v>0</v>
      </c>
      <c r="G13" s="372">
        <f>Input!$AQ$38</f>
        <v>0</v>
      </c>
      <c r="H13" s="372">
        <f>Input!$AR$38</f>
        <v>0</v>
      </c>
      <c r="I13" s="372">
        <f>Input!$AS$38</f>
        <v>0</v>
      </c>
      <c r="J13" s="372">
        <f>Input!$AT$38</f>
        <v>0</v>
      </c>
      <c r="K13" s="372">
        <f>Input!$AU$38</f>
        <v>0</v>
      </c>
      <c r="L13" s="372">
        <f>Input!$AV$38</f>
        <v>0</v>
      </c>
      <c r="M13" s="373">
        <f t="shared" si="0"/>
        <v>4933200</v>
      </c>
      <c r="N13" s="160"/>
      <c r="O13" s="482" t="str">
        <f>IF(P13&lt;&gt;M13,"Out of Balance","Balanced")</f>
        <v>Balanced</v>
      </c>
      <c r="P13" s="484">
        <f>IFERROR(VLOOKUP($B$2,AMTLU,6,FALSE),0)</f>
        <v>4933200</v>
      </c>
      <c r="U13" s="268"/>
    </row>
    <row r="14" spans="1:28">
      <c r="A14" s="184">
        <v>13</v>
      </c>
      <c r="B14" s="160" t="s">
        <v>49</v>
      </c>
      <c r="C14" s="160"/>
      <c r="D14" s="372">
        <f>Input!$AW$38</f>
        <v>0</v>
      </c>
      <c r="E14" s="372">
        <f>Input!$AX$38</f>
        <v>0</v>
      </c>
      <c r="F14" s="372">
        <f>Input!$AY$38</f>
        <v>0</v>
      </c>
      <c r="G14" s="372">
        <f>Input!$AZ$38</f>
        <v>0</v>
      </c>
      <c r="H14" s="372">
        <f>Input!$BA$38</f>
        <v>0</v>
      </c>
      <c r="I14" s="372">
        <f>Input!$BB$38</f>
        <v>0</v>
      </c>
      <c r="J14" s="372">
        <f>Input!$BC$38</f>
        <v>0</v>
      </c>
      <c r="K14" s="372">
        <f>Input!$BD$38</f>
        <v>0</v>
      </c>
      <c r="L14" s="372">
        <f>Input!$BE$38</f>
        <v>0</v>
      </c>
      <c r="M14" s="373">
        <f t="shared" si="0"/>
        <v>0</v>
      </c>
      <c r="N14" s="160"/>
      <c r="O14" s="482"/>
      <c r="P14" s="485"/>
    </row>
    <row r="15" spans="1:28" ht="15">
      <c r="A15" s="184">
        <v>14</v>
      </c>
      <c r="B15" s="176" t="s">
        <v>3</v>
      </c>
      <c r="C15" s="176"/>
      <c r="D15" s="374">
        <f t="shared" ref="D15:L15" si="1">SUM(D10:D14)</f>
        <v>31360810</v>
      </c>
      <c r="E15" s="374">
        <f t="shared" si="1"/>
        <v>0</v>
      </c>
      <c r="F15" s="374">
        <f t="shared" si="1"/>
        <v>0</v>
      </c>
      <c r="G15" s="374">
        <f t="shared" si="1"/>
        <v>4287787</v>
      </c>
      <c r="H15" s="374">
        <f t="shared" si="1"/>
        <v>0</v>
      </c>
      <c r="I15" s="374">
        <f t="shared" si="1"/>
        <v>0</v>
      </c>
      <c r="J15" s="374">
        <f t="shared" si="1"/>
        <v>0</v>
      </c>
      <c r="K15" s="374">
        <f t="shared" si="1"/>
        <v>0</v>
      </c>
      <c r="L15" s="374">
        <f t="shared" si="1"/>
        <v>0</v>
      </c>
      <c r="M15" s="374">
        <f t="shared" si="0"/>
        <v>35648597</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58" t="s">
        <v>1042</v>
      </c>
      <c r="C18" s="558"/>
      <c r="D18" s="374">
        <f t="shared" ref="D18:L18" si="2">D23-SUM(D19:D22)</f>
        <v>10607421</v>
      </c>
      <c r="E18" s="374">
        <f t="shared" si="2"/>
        <v>19823872</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30431293</v>
      </c>
      <c r="V18" s="327"/>
      <c r="X18" s="330"/>
    </row>
    <row r="19" spans="1:26" s="264" customFormat="1" ht="12.75" customHeight="1" thickTop="1" thickBot="1">
      <c r="A19" s="263"/>
      <c r="B19" s="261" t="s">
        <v>722</v>
      </c>
      <c r="C19" s="261"/>
      <c r="D19" s="372">
        <f>Input!$BF$38</f>
        <v>-3442502</v>
      </c>
      <c r="E19" s="372">
        <f>Input!$BG$38</f>
        <v>0</v>
      </c>
      <c r="F19" s="372">
        <f>Input!$BH$38</f>
        <v>0</v>
      </c>
      <c r="G19" s="372">
        <f>Input!$BI$38</f>
        <v>0</v>
      </c>
      <c r="H19" s="372">
        <f>Input!$BJ$38</f>
        <v>0</v>
      </c>
      <c r="I19" s="372">
        <f>Input!$BK$38</f>
        <v>0</v>
      </c>
      <c r="J19" s="372">
        <f>Input!$BL$38</f>
        <v>0</v>
      </c>
      <c r="K19" s="372">
        <f>Input!$BM$38</f>
        <v>0</v>
      </c>
      <c r="L19" s="372">
        <f>Input!$BN$38</f>
        <v>0</v>
      </c>
      <c r="M19" s="373">
        <f t="shared" si="3"/>
        <v>-3442502</v>
      </c>
      <c r="O19" s="1732" t="s">
        <v>1294</v>
      </c>
      <c r="P19" s="1733"/>
      <c r="Q19" s="1733"/>
      <c r="R19" s="1734"/>
      <c r="T19" s="1735" t="s">
        <v>1043</v>
      </c>
      <c r="U19" s="1736"/>
      <c r="V19" s="1736"/>
      <c r="W19" s="1736"/>
      <c r="X19" s="1737"/>
    </row>
    <row r="20" spans="1:26" s="264" customFormat="1" ht="12.75" customHeight="1" thickTop="1">
      <c r="A20" s="263"/>
      <c r="B20" s="261" t="s">
        <v>723</v>
      </c>
      <c r="C20" s="261"/>
      <c r="D20" s="372">
        <f>Input!$BO$38</f>
        <v>0</v>
      </c>
      <c r="E20" s="372">
        <f>Input!$BP$38</f>
        <v>0</v>
      </c>
      <c r="F20" s="372">
        <f>Input!$BQ$38</f>
        <v>0</v>
      </c>
      <c r="G20" s="372">
        <f>Input!$BR$38</f>
        <v>0</v>
      </c>
      <c r="H20" s="372">
        <f>Input!$BS$38</f>
        <v>0</v>
      </c>
      <c r="I20" s="372">
        <f>Input!$BT$38</f>
        <v>0</v>
      </c>
      <c r="J20" s="372">
        <f>Input!$BU$38</f>
        <v>0</v>
      </c>
      <c r="K20" s="372">
        <f>Input!$BV$38</f>
        <v>0</v>
      </c>
      <c r="L20" s="372">
        <f>Input!$BW$38</f>
        <v>0</v>
      </c>
      <c r="M20" s="373">
        <f t="shared" si="3"/>
        <v>0</v>
      </c>
      <c r="O20" s="421" t="s">
        <v>288</v>
      </c>
      <c r="P20" s="422"/>
      <c r="Q20" s="414"/>
      <c r="R20" s="559"/>
      <c r="T20" s="560" t="s">
        <v>1044</v>
      </c>
      <c r="U20" s="266"/>
      <c r="V20" s="266"/>
      <c r="X20" s="425"/>
    </row>
    <row r="21" spans="1:26" s="264" customFormat="1">
      <c r="A21" s="263"/>
      <c r="B21" s="261" t="s">
        <v>724</v>
      </c>
      <c r="C21" s="261"/>
      <c r="D21" s="372">
        <f>Input!$BX$38</f>
        <v>0</v>
      </c>
      <c r="E21" s="372">
        <f>Input!$BY$38</f>
        <v>0</v>
      </c>
      <c r="F21" s="372">
        <f>Input!$BZ$38</f>
        <v>0</v>
      </c>
      <c r="G21" s="372">
        <f>Input!$CA$38</f>
        <v>0</v>
      </c>
      <c r="H21" s="372">
        <f>Input!$CB$38</f>
        <v>0</v>
      </c>
      <c r="I21" s="372">
        <f>Input!$CC$38</f>
        <v>0</v>
      </c>
      <c r="J21" s="372">
        <f>Input!$CD$38</f>
        <v>0</v>
      </c>
      <c r="K21" s="372">
        <f>Input!$CE$38</f>
        <v>0</v>
      </c>
      <c r="L21" s="372">
        <f>Input!$CF$38</f>
        <v>0</v>
      </c>
      <c r="M21" s="373">
        <f t="shared" si="3"/>
        <v>0</v>
      </c>
      <c r="O21" s="434"/>
      <c r="R21" s="561"/>
      <c r="T21" s="650" t="s">
        <v>1045</v>
      </c>
      <c r="U21" s="266"/>
      <c r="V21" s="266"/>
      <c r="W21" s="651">
        <f>M44</f>
        <v>33832780</v>
      </c>
      <c r="X21" s="425"/>
      <c r="Z21" s="330"/>
    </row>
    <row r="22" spans="1:26" s="264" customFormat="1">
      <c r="A22" s="263"/>
      <c r="B22" s="261" t="s">
        <v>725</v>
      </c>
      <c r="C22" s="261"/>
      <c r="D22" s="372">
        <f>Input!$CG$38</f>
        <v>0</v>
      </c>
      <c r="E22" s="372">
        <f>Input!$CH$38</f>
        <v>0</v>
      </c>
      <c r="F22" s="372">
        <f>Input!$CI$38</f>
        <v>0</v>
      </c>
      <c r="G22" s="372">
        <f>Input!$CJ$38</f>
        <v>0</v>
      </c>
      <c r="H22" s="372">
        <f>Input!$CK$38</f>
        <v>0</v>
      </c>
      <c r="I22" s="372">
        <f>Input!$CL$38</f>
        <v>0</v>
      </c>
      <c r="J22" s="372">
        <f>Input!$CM$38</f>
        <v>0</v>
      </c>
      <c r="K22" s="372">
        <f>Input!$CN$38</f>
        <v>0</v>
      </c>
      <c r="L22" s="372">
        <f>Input!$CO$38</f>
        <v>0</v>
      </c>
      <c r="M22" s="373">
        <f t="shared" si="3"/>
        <v>0</v>
      </c>
      <c r="N22" s="270"/>
      <c r="O22" s="434" t="s">
        <v>1046</v>
      </c>
      <c r="P22" s="276"/>
      <c r="Q22" s="424">
        <f>M23</f>
        <v>26988791</v>
      </c>
      <c r="R22" s="562"/>
      <c r="T22" s="650" t="s">
        <v>1047</v>
      </c>
      <c r="U22" s="266"/>
      <c r="V22" s="266"/>
      <c r="W22" s="652">
        <f>R30*-1</f>
        <v>18667785</v>
      </c>
      <c r="X22" s="425"/>
    </row>
    <row r="23" spans="1:26" s="264" customFormat="1" ht="12.75" customHeight="1">
      <c r="A23" s="263"/>
      <c r="B23" s="558" t="s">
        <v>726</v>
      </c>
      <c r="C23" s="563"/>
      <c r="D23" s="564">
        <f>Input!$CP$38</f>
        <v>7164919</v>
      </c>
      <c r="E23" s="564">
        <f>Input!$CQ$38</f>
        <v>19823872</v>
      </c>
      <c r="F23" s="564">
        <f>Input!$CR$38</f>
        <v>0</v>
      </c>
      <c r="G23" s="564">
        <f>Input!$CS$38</f>
        <v>0</v>
      </c>
      <c r="H23" s="564">
        <f>Input!$CT$38</f>
        <v>0</v>
      </c>
      <c r="I23" s="564">
        <f>Input!$CU$38</f>
        <v>0</v>
      </c>
      <c r="J23" s="564">
        <f>Input!$CV$38</f>
        <v>0</v>
      </c>
      <c r="K23" s="564">
        <f>Input!$CW$38</f>
        <v>0</v>
      </c>
      <c r="L23" s="564">
        <f>Input!$CX$38</f>
        <v>0</v>
      </c>
      <c r="M23" s="565">
        <f t="shared" si="3"/>
        <v>26988791</v>
      </c>
      <c r="O23" s="434"/>
      <c r="P23" s="276"/>
      <c r="Q23" s="424"/>
      <c r="R23" s="562"/>
      <c r="T23" s="560" t="s">
        <v>1230</v>
      </c>
      <c r="U23" s="266"/>
      <c r="V23" s="266"/>
      <c r="W23" s="276"/>
      <c r="X23" s="425">
        <f>SUM(W21:W22)</f>
        <v>52500565</v>
      </c>
      <c r="Z23" s="330"/>
    </row>
    <row r="24" spans="1:26" s="264" customFormat="1" ht="12.75" customHeight="1">
      <c r="A24" s="263"/>
      <c r="B24" s="261" t="s">
        <v>727</v>
      </c>
      <c r="C24" s="566"/>
      <c r="D24" s="372">
        <f>Input!$CY$38</f>
        <v>0</v>
      </c>
      <c r="E24" s="372">
        <f>Input!$CZ$38</f>
        <v>0</v>
      </c>
      <c r="F24" s="372">
        <f>Input!$DA$38</f>
        <v>0</v>
      </c>
      <c r="G24" s="372">
        <f>Input!$DB$38</f>
        <v>0</v>
      </c>
      <c r="H24" s="372">
        <f>Input!$DC$38</f>
        <v>0</v>
      </c>
      <c r="I24" s="372">
        <f>Input!$DD$38</f>
        <v>0</v>
      </c>
      <c r="J24" s="372">
        <f>Input!$DE$38</f>
        <v>0</v>
      </c>
      <c r="K24" s="372">
        <f>Input!$DF$38</f>
        <v>0</v>
      </c>
      <c r="L24" s="372">
        <f>Input!$DG$38</f>
        <v>0</v>
      </c>
      <c r="M24" s="567">
        <f t="shared" si="3"/>
        <v>0</v>
      </c>
      <c r="O24" s="417" t="s">
        <v>1048</v>
      </c>
      <c r="P24" s="276"/>
      <c r="Q24" s="327"/>
      <c r="R24" s="646">
        <f>SUM(M24:M28)</f>
        <v>-9596486</v>
      </c>
      <c r="T24" s="560"/>
      <c r="U24" s="266"/>
      <c r="V24" s="266"/>
      <c r="X24" s="425"/>
      <c r="Z24" s="330"/>
    </row>
    <row r="25" spans="1:26" s="264" customFormat="1" ht="12.75" customHeight="1">
      <c r="A25" s="263"/>
      <c r="B25" s="261" t="s">
        <v>728</v>
      </c>
      <c r="C25" s="566"/>
      <c r="D25" s="372">
        <f>Input!DH6</f>
        <v>0</v>
      </c>
      <c r="E25" s="372">
        <f>Input!$DI$38</f>
        <v>0</v>
      </c>
      <c r="F25" s="372">
        <f>Input!$DJ$38</f>
        <v>0</v>
      </c>
      <c r="G25" s="372">
        <f>Input!$DK$38</f>
        <v>0</v>
      </c>
      <c r="H25" s="372">
        <f>Input!$DL$38</f>
        <v>0</v>
      </c>
      <c r="I25" s="372">
        <f>Input!$DM$38</f>
        <v>0</v>
      </c>
      <c r="J25" s="372">
        <f>Input!$DN$38</f>
        <v>0</v>
      </c>
      <c r="K25" s="372">
        <f>Input!$DO$38</f>
        <v>0</v>
      </c>
      <c r="L25" s="372">
        <f>Input!$DP$38</f>
        <v>0</v>
      </c>
      <c r="M25" s="567">
        <f t="shared" si="3"/>
        <v>0</v>
      </c>
      <c r="O25" s="434"/>
      <c r="P25" s="276"/>
      <c r="Q25" s="327"/>
      <c r="R25" s="646"/>
      <c r="T25" s="568" t="s">
        <v>1103</v>
      </c>
      <c r="U25" s="569"/>
      <c r="V25" s="569"/>
      <c r="W25" s="653">
        <f>(M26+M39)*-1</f>
        <v>2676420</v>
      </c>
      <c r="X25" s="425"/>
      <c r="Z25" s="330"/>
    </row>
    <row r="26" spans="1:26" s="264" customFormat="1" ht="12.75" customHeight="1">
      <c r="A26" s="263"/>
      <c r="B26" s="261" t="s">
        <v>729</v>
      </c>
      <c r="C26" s="566"/>
      <c r="D26" s="372">
        <f>Input!$DQ$38</f>
        <v>-487495</v>
      </c>
      <c r="E26" s="372">
        <f>Input!$DR$38</f>
        <v>-1046245</v>
      </c>
      <c r="F26" s="372">
        <f>Input!$DS$38</f>
        <v>0</v>
      </c>
      <c r="G26" s="372">
        <f>Input!$DT$38</f>
        <v>0</v>
      </c>
      <c r="H26" s="372">
        <f>Input!$DU$38</f>
        <v>0</v>
      </c>
      <c r="I26" s="372">
        <f>Input!$DV$38</f>
        <v>0</v>
      </c>
      <c r="J26" s="372">
        <f>Input!$DW$38</f>
        <v>0</v>
      </c>
      <c r="K26" s="372">
        <f>Input!$DX$38</f>
        <v>0</v>
      </c>
      <c r="L26" s="372">
        <f>Input!$DY$38</f>
        <v>0</v>
      </c>
      <c r="M26" s="567">
        <f t="shared" si="3"/>
        <v>-1533740</v>
      </c>
      <c r="O26" s="434" t="s">
        <v>1049</v>
      </c>
      <c r="P26" s="276"/>
      <c r="Q26" s="427">
        <f>M36</f>
        <v>25511774</v>
      </c>
      <c r="R26" s="570"/>
      <c r="T26" s="560" t="s">
        <v>1104</v>
      </c>
      <c r="U26" s="266"/>
      <c r="V26" s="266"/>
      <c r="W26" s="571">
        <f>(M21+M34)*-1</f>
        <v>0</v>
      </c>
      <c r="X26" s="425"/>
      <c r="Z26" s="330"/>
    </row>
    <row r="27" spans="1:26" s="264" customFormat="1">
      <c r="A27" s="263"/>
      <c r="B27" s="261" t="s">
        <v>730</v>
      </c>
      <c r="C27" s="566"/>
      <c r="D27" s="372">
        <f>Input!$DZ$38</f>
        <v>0</v>
      </c>
      <c r="E27" s="372">
        <f>Input!$EA$38</f>
        <v>-132158</v>
      </c>
      <c r="F27" s="372">
        <f>Input!$EB$38</f>
        <v>0</v>
      </c>
      <c r="G27" s="372">
        <f>Input!$EC$38</f>
        <v>0</v>
      </c>
      <c r="H27" s="372">
        <f>Input!$ED$38</f>
        <v>0</v>
      </c>
      <c r="I27" s="372">
        <f>Input!$EE$38</f>
        <v>0</v>
      </c>
      <c r="J27" s="372">
        <f>Input!$EF$38</f>
        <v>0</v>
      </c>
      <c r="K27" s="372">
        <f>Input!$EG$38</f>
        <v>0</v>
      </c>
      <c r="L27" s="372">
        <f>Input!EH6</f>
        <v>0</v>
      </c>
      <c r="M27" s="567">
        <f t="shared" si="3"/>
        <v>-132158</v>
      </c>
      <c r="O27" s="434"/>
      <c r="P27" s="276"/>
      <c r="Q27" s="427"/>
      <c r="R27" s="570"/>
      <c r="T27" s="650" t="s">
        <v>1105</v>
      </c>
      <c r="U27" s="584"/>
      <c r="V27" s="584"/>
      <c r="W27" s="654">
        <f>SUM(W25:W26)</f>
        <v>2676420</v>
      </c>
      <c r="X27" s="655"/>
    </row>
    <row r="28" spans="1:26" s="264" customFormat="1">
      <c r="A28" s="263"/>
      <c r="B28" s="261" t="s">
        <v>2133</v>
      </c>
      <c r="C28" s="566"/>
      <c r="D28" s="372">
        <f>Input!$EI$38</f>
        <v>-2060157</v>
      </c>
      <c r="E28" s="372">
        <f>Input!$EJ$38</f>
        <v>-5870431</v>
      </c>
      <c r="F28" s="372">
        <f>Input!$EK$38</f>
        <v>0</v>
      </c>
      <c r="G28" s="372">
        <f>Input!$EL$38</f>
        <v>0</v>
      </c>
      <c r="H28" s="372">
        <f>Input!$EM$38</f>
        <v>0</v>
      </c>
      <c r="I28" s="372">
        <f>Input!$EN$38</f>
        <v>0</v>
      </c>
      <c r="J28" s="372">
        <f>Input!$EO$38</f>
        <v>0</v>
      </c>
      <c r="K28" s="372">
        <f>Input!$EP$38</f>
        <v>0</v>
      </c>
      <c r="L28" s="372">
        <f>Input!$EQ$38</f>
        <v>0</v>
      </c>
      <c r="M28" s="567">
        <f t="shared" si="3"/>
        <v>-7930588</v>
      </c>
      <c r="O28" s="417" t="s">
        <v>1050</v>
      </c>
      <c r="Q28" s="429"/>
      <c r="R28" s="646">
        <f>SUM(M37:M41)</f>
        <v>-9071299</v>
      </c>
      <c r="T28" s="560" t="s">
        <v>1106</v>
      </c>
      <c r="U28" s="266"/>
      <c r="V28" s="266"/>
      <c r="W28" s="425">
        <f>(M27+M40)*-1</f>
        <v>1264227</v>
      </c>
      <c r="X28" s="655"/>
      <c r="Z28" s="330"/>
    </row>
    <row r="29" spans="1:26" s="264" customFormat="1" ht="12" customHeight="1">
      <c r="A29" s="263"/>
      <c r="B29" s="575" t="s">
        <v>39</v>
      </c>
      <c r="C29" s="563"/>
      <c r="D29" s="374">
        <f t="shared" ref="D29:L29" si="4">SUM(D23:D28)</f>
        <v>4617267</v>
      </c>
      <c r="E29" s="374">
        <f t="shared" si="4"/>
        <v>12775038</v>
      </c>
      <c r="F29" s="374">
        <f t="shared" si="4"/>
        <v>0</v>
      </c>
      <c r="G29" s="374">
        <f t="shared" si="4"/>
        <v>0</v>
      </c>
      <c r="H29" s="374">
        <f t="shared" si="4"/>
        <v>0</v>
      </c>
      <c r="I29" s="374">
        <f t="shared" si="4"/>
        <v>0</v>
      </c>
      <c r="J29" s="374">
        <f t="shared" si="4"/>
        <v>0</v>
      </c>
      <c r="K29" s="374">
        <f t="shared" si="4"/>
        <v>0</v>
      </c>
      <c r="L29" s="374">
        <f t="shared" si="4"/>
        <v>0</v>
      </c>
      <c r="M29" s="374">
        <f t="shared" si="3"/>
        <v>17392305</v>
      </c>
      <c r="O29" s="417"/>
      <c r="Q29" s="429"/>
      <c r="R29" s="576"/>
      <c r="T29" s="560" t="s">
        <v>1107</v>
      </c>
      <c r="U29" s="266"/>
      <c r="V29" s="266"/>
      <c r="W29" s="571">
        <f>(M22+M35)*-1</f>
        <v>0</v>
      </c>
      <c r="X29" s="655"/>
    </row>
    <row r="30" spans="1:26" s="264" customFormat="1" ht="16.5" customHeight="1">
      <c r="A30" s="263"/>
      <c r="B30" s="261"/>
      <c r="C30" s="566"/>
      <c r="D30" s="566"/>
      <c r="E30" s="566"/>
      <c r="F30" s="566"/>
      <c r="G30" s="566"/>
      <c r="H30" s="566"/>
      <c r="I30" s="566"/>
      <c r="J30" s="566"/>
      <c r="K30" s="566"/>
      <c r="L30" s="566"/>
      <c r="M30" s="567"/>
      <c r="O30" s="431" t="s">
        <v>289</v>
      </c>
      <c r="P30" s="432"/>
      <c r="Q30" s="433">
        <f>Q26+Q22</f>
        <v>52500565</v>
      </c>
      <c r="R30" s="647">
        <f>R28+R24</f>
        <v>-18667785</v>
      </c>
      <c r="T30" s="650" t="s">
        <v>1108</v>
      </c>
      <c r="U30" s="584"/>
      <c r="V30" s="584"/>
      <c r="W30" s="654">
        <f>SUM(W28:W29)</f>
        <v>1264227</v>
      </c>
      <c r="X30" s="655"/>
    </row>
    <row r="31" spans="1:26" s="264" customFormat="1" ht="12.75" customHeight="1">
      <c r="A31" s="263"/>
      <c r="B31" s="558" t="s">
        <v>1052</v>
      </c>
      <c r="C31" s="558"/>
      <c r="D31" s="374">
        <f t="shared" ref="D31:L31" si="5">D36-SUM(D32:D35)</f>
        <v>50290</v>
      </c>
      <c r="E31" s="374">
        <f t="shared" si="5"/>
        <v>25000602</v>
      </c>
      <c r="F31" s="374">
        <f t="shared" si="5"/>
        <v>460882</v>
      </c>
      <c r="G31" s="374">
        <f t="shared" si="5"/>
        <v>0</v>
      </c>
      <c r="H31" s="374">
        <f t="shared" si="5"/>
        <v>0</v>
      </c>
      <c r="I31" s="374">
        <f t="shared" si="5"/>
        <v>0</v>
      </c>
      <c r="J31" s="374">
        <f t="shared" si="5"/>
        <v>0</v>
      </c>
      <c r="K31" s="374">
        <f t="shared" si="5"/>
        <v>0</v>
      </c>
      <c r="L31" s="374">
        <f t="shared" si="5"/>
        <v>0</v>
      </c>
      <c r="M31" s="374">
        <f t="shared" ref="M31:M42" si="6">D31+E31+F31+G31+H31+I31+J31+K31+L31</f>
        <v>25511774</v>
      </c>
      <c r="O31" s="434" t="s">
        <v>290</v>
      </c>
      <c r="P31" s="276"/>
      <c r="Q31" s="335"/>
      <c r="R31" s="562"/>
      <c r="T31" s="572" t="s">
        <v>1109</v>
      </c>
      <c r="U31" s="573"/>
      <c r="V31" s="573"/>
      <c r="W31" s="574">
        <f>W27+W30</f>
        <v>3940647</v>
      </c>
      <c r="X31" s="425"/>
      <c r="Z31" s="330"/>
    </row>
    <row r="32" spans="1:26" s="264" customFormat="1" ht="12.75" customHeight="1">
      <c r="A32" s="263"/>
      <c r="B32" s="261" t="s">
        <v>722</v>
      </c>
      <c r="C32" s="261"/>
      <c r="D32" s="372">
        <f>Input!$ER$38</f>
        <v>0</v>
      </c>
      <c r="E32" s="372">
        <f>Input!$ES$38</f>
        <v>0</v>
      </c>
      <c r="F32" s="372">
        <f>Input!$ET$38</f>
        <v>0</v>
      </c>
      <c r="G32" s="372">
        <f>Input!$EU$38</f>
        <v>0</v>
      </c>
      <c r="H32" s="372">
        <f>Input!$EV$38</f>
        <v>0</v>
      </c>
      <c r="I32" s="372">
        <f>Input!$EW$38</f>
        <v>0</v>
      </c>
      <c r="J32" s="372">
        <f>Input!$EX$38</f>
        <v>0</v>
      </c>
      <c r="K32" s="372">
        <f>Input!$EY$38</f>
        <v>0</v>
      </c>
      <c r="L32" s="372">
        <f>Input!$EZ$38</f>
        <v>0</v>
      </c>
      <c r="M32" s="567">
        <f t="shared" si="6"/>
        <v>0</v>
      </c>
      <c r="O32" s="415" t="s">
        <v>1295</v>
      </c>
      <c r="P32" s="416"/>
      <c r="Q32" s="577">
        <f>Input!$SQ$38</f>
        <v>52500565</v>
      </c>
      <c r="R32" s="578"/>
      <c r="T32" s="560"/>
      <c r="U32" s="266"/>
      <c r="V32" s="266"/>
      <c r="X32" s="425"/>
      <c r="Z32" s="330"/>
    </row>
    <row r="33" spans="1:24" s="264" customFormat="1">
      <c r="A33" s="263"/>
      <c r="B33" s="261" t="s">
        <v>723</v>
      </c>
      <c r="C33" s="261"/>
      <c r="D33" s="372">
        <f>Input!$FA$38</f>
        <v>0</v>
      </c>
      <c r="E33" s="372">
        <f>Input!$FB$38</f>
        <v>0</v>
      </c>
      <c r="F33" s="372">
        <f>Input!$FC$38</f>
        <v>0</v>
      </c>
      <c r="G33" s="372">
        <f>Input!$FD$38</f>
        <v>0</v>
      </c>
      <c r="H33" s="372">
        <f>Input!$FE$38</f>
        <v>0</v>
      </c>
      <c r="I33" s="372">
        <f>Input!$FF$38</f>
        <v>0</v>
      </c>
      <c r="J33" s="372">
        <f>Input!$FG$38</f>
        <v>0</v>
      </c>
      <c r="K33" s="372">
        <f>Input!$FH$38</f>
        <v>0</v>
      </c>
      <c r="L33" s="372">
        <f>Input!$FI$38</f>
        <v>0</v>
      </c>
      <c r="M33" s="567">
        <f t="shared" si="6"/>
        <v>0</v>
      </c>
      <c r="O33" s="415"/>
      <c r="P33" s="416"/>
      <c r="Q33" s="327"/>
      <c r="R33" s="578"/>
      <c r="T33" s="560" t="s">
        <v>1051</v>
      </c>
      <c r="U33" s="266"/>
      <c r="V33" s="266"/>
      <c r="W33" s="334">
        <f>(M19+M32)*-1</f>
        <v>3442502</v>
      </c>
      <c r="X33" s="425"/>
    </row>
    <row r="34" spans="1:24" s="264" customFormat="1">
      <c r="A34" s="263"/>
      <c r="B34" s="261" t="s">
        <v>724</v>
      </c>
      <c r="C34" s="261"/>
      <c r="D34" s="372">
        <f>Input!$FJ$38</f>
        <v>0</v>
      </c>
      <c r="E34" s="372">
        <f>Input!$FK$38</f>
        <v>0</v>
      </c>
      <c r="F34" s="372">
        <f>Input!$FL$38</f>
        <v>0</v>
      </c>
      <c r="G34" s="372">
        <f>Input!$FM$38</f>
        <v>0</v>
      </c>
      <c r="H34" s="372">
        <f>Input!$FN$38</f>
        <v>0</v>
      </c>
      <c r="I34" s="372">
        <f>Input!$FO$38</f>
        <v>0</v>
      </c>
      <c r="J34" s="372">
        <f>Input!$FP$38</f>
        <v>0</v>
      </c>
      <c r="K34" s="372">
        <f>Input!$FQ$38</f>
        <v>0</v>
      </c>
      <c r="L34" s="372">
        <f>Input!$FR$38</f>
        <v>0</v>
      </c>
      <c r="M34" s="567">
        <f t="shared" si="6"/>
        <v>0</v>
      </c>
      <c r="O34" s="435" t="s">
        <v>1296</v>
      </c>
      <c r="P34" s="436"/>
      <c r="Q34" s="264" t="s">
        <v>291</v>
      </c>
      <c r="R34" s="648">
        <f>Input!$SR$38</f>
        <v>-18667785</v>
      </c>
      <c r="T34" s="560" t="s">
        <v>1110</v>
      </c>
      <c r="U34" s="266"/>
      <c r="V34" s="266"/>
      <c r="W34" s="430">
        <f>(M24+M37)*-1</f>
        <v>0</v>
      </c>
      <c r="X34" s="425"/>
    </row>
    <row r="35" spans="1:24" s="264" customFormat="1" ht="13.5" thickBot="1">
      <c r="A35" s="263"/>
      <c r="B35" s="261" t="s">
        <v>725</v>
      </c>
      <c r="C35" s="261"/>
      <c r="D35" s="372">
        <f>Input!$FS$38</f>
        <v>0</v>
      </c>
      <c r="E35" s="372">
        <f>Input!$FT$38</f>
        <v>0</v>
      </c>
      <c r="F35" s="372">
        <f>Input!$FU$38</f>
        <v>0</v>
      </c>
      <c r="G35" s="372">
        <f>Input!$FV$38</f>
        <v>0</v>
      </c>
      <c r="H35" s="372">
        <f>Input!$FW$38</f>
        <v>0</v>
      </c>
      <c r="I35" s="372">
        <f>Input!$FX$38</f>
        <v>0</v>
      </c>
      <c r="J35" s="372">
        <f>Input!$FY$38</f>
        <v>0</v>
      </c>
      <c r="K35" s="372">
        <f>Input!$FZ$38</f>
        <v>0</v>
      </c>
      <c r="L35" s="372">
        <f>Input!$GA$38</f>
        <v>0</v>
      </c>
      <c r="M35" s="567">
        <f t="shared" si="6"/>
        <v>0</v>
      </c>
      <c r="O35" s="418" t="s">
        <v>286</v>
      </c>
      <c r="P35" s="419"/>
      <c r="Q35" s="420">
        <f>Q30-Q32</f>
        <v>0</v>
      </c>
      <c r="R35" s="649">
        <f>R30-R34</f>
        <v>0</v>
      </c>
      <c r="T35" s="650" t="s">
        <v>1111</v>
      </c>
      <c r="U35" s="584"/>
      <c r="V35" s="584"/>
      <c r="W35" s="656">
        <f>SUM(W33:W34)</f>
        <v>3442502</v>
      </c>
      <c r="X35" s="655"/>
    </row>
    <row r="36" spans="1:24" s="264" customFormat="1" ht="13.5" thickTop="1">
      <c r="A36" s="263"/>
      <c r="B36" s="558" t="s">
        <v>732</v>
      </c>
      <c r="C36" s="563"/>
      <c r="D36" s="564">
        <f>Input!$GB$38</f>
        <v>50290</v>
      </c>
      <c r="E36" s="564">
        <f>Input!$GC$38</f>
        <v>25000602</v>
      </c>
      <c r="F36" s="564">
        <f>Input!$GD$38</f>
        <v>460882</v>
      </c>
      <c r="G36" s="564">
        <f>Input!$GE$38</f>
        <v>0</v>
      </c>
      <c r="H36" s="564">
        <f>Input!$GF$38</f>
        <v>0</v>
      </c>
      <c r="I36" s="564">
        <f>Input!$GG$38</f>
        <v>0</v>
      </c>
      <c r="J36" s="564">
        <f>Input!$GH$38</f>
        <v>0</v>
      </c>
      <c r="K36" s="564">
        <f>Input!$GI$38</f>
        <v>0</v>
      </c>
      <c r="L36" s="564">
        <f>Input!$GJ$38</f>
        <v>0</v>
      </c>
      <c r="M36" s="565">
        <f t="shared" si="6"/>
        <v>25511774</v>
      </c>
      <c r="O36" s="261"/>
      <c r="Q36" s="412" t="str">
        <f>IF(Q30&lt;&gt;Q32,"Out of Balance","Balanced")</f>
        <v>Balanced</v>
      </c>
      <c r="R36" s="412" t="str">
        <f>IF(R30&lt;&gt;R34,"Out of Balance","Balanced")</f>
        <v>Balanced</v>
      </c>
      <c r="T36" s="560" t="s">
        <v>1053</v>
      </c>
      <c r="U36" s="266"/>
      <c r="V36" s="266"/>
      <c r="W36" s="334">
        <f>(M20+M33)*-1</f>
        <v>0</v>
      </c>
      <c r="X36" s="425"/>
    </row>
    <row r="37" spans="1:24" s="264" customFormat="1">
      <c r="A37" s="263"/>
      <c r="B37" s="261" t="s">
        <v>727</v>
      </c>
      <c r="C37" s="566"/>
      <c r="D37" s="372">
        <f>Input!$GK$38</f>
        <v>0</v>
      </c>
      <c r="E37" s="372">
        <f>Input!$GL$38</f>
        <v>0</v>
      </c>
      <c r="F37" s="372">
        <f>Input!$GM$38</f>
        <v>0</v>
      </c>
      <c r="G37" s="372">
        <f>Input!$GN$38</f>
        <v>0</v>
      </c>
      <c r="H37" s="372">
        <f>Input!$GO$38</f>
        <v>0</v>
      </c>
      <c r="I37" s="372">
        <f>Input!$GP$38</f>
        <v>0</v>
      </c>
      <c r="J37" s="372">
        <f>Input!$GQ$38</f>
        <v>0</v>
      </c>
      <c r="K37" s="372">
        <f>Input!$GR$38</f>
        <v>0</v>
      </c>
      <c r="L37" s="372">
        <f>Input!$GS$38</f>
        <v>0</v>
      </c>
      <c r="M37" s="567">
        <f t="shared" si="6"/>
        <v>0</v>
      </c>
      <c r="O37" s="261"/>
      <c r="T37" s="560" t="s">
        <v>1112</v>
      </c>
      <c r="U37" s="266"/>
      <c r="V37" s="266"/>
      <c r="W37" s="430">
        <f>(M25+M38)*-1</f>
        <v>0</v>
      </c>
      <c r="X37" s="655"/>
    </row>
    <row r="38" spans="1:24" s="264" customFormat="1">
      <c r="A38" s="263"/>
      <c r="B38" s="261" t="s">
        <v>728</v>
      </c>
      <c r="C38" s="566"/>
      <c r="D38" s="372">
        <f>Input!$GT$38</f>
        <v>0</v>
      </c>
      <c r="E38" s="372">
        <f>Input!$GU$38</f>
        <v>0</v>
      </c>
      <c r="F38" s="372">
        <f>Input!$GV$38</f>
        <v>0</v>
      </c>
      <c r="G38" s="372">
        <f>Input!$GW$38</f>
        <v>0</v>
      </c>
      <c r="H38" s="372">
        <f>Input!$GX$38</f>
        <v>0</v>
      </c>
      <c r="I38" s="372">
        <f>Input!$GY$38</f>
        <v>0</v>
      </c>
      <c r="J38" s="372">
        <f>Input!$GZ$38</f>
        <v>0</v>
      </c>
      <c r="K38" s="372">
        <f>Input!$HA$38</f>
        <v>0</v>
      </c>
      <c r="L38" s="372">
        <f>Input!$HB$38</f>
        <v>0</v>
      </c>
      <c r="M38" s="567">
        <f t="shared" si="6"/>
        <v>0</v>
      </c>
      <c r="O38" s="261"/>
      <c r="T38" s="650" t="s">
        <v>1113</v>
      </c>
      <c r="U38" s="584"/>
      <c r="V38" s="584"/>
      <c r="W38" s="656">
        <f>SUM(W36:W37)</f>
        <v>0</v>
      </c>
      <c r="X38" s="425"/>
    </row>
    <row r="39" spans="1:24" s="264" customFormat="1">
      <c r="A39" s="263"/>
      <c r="B39" s="261" t="s">
        <v>729</v>
      </c>
      <c r="C39" s="566"/>
      <c r="D39" s="372">
        <f>Input!$HC$38</f>
        <v>-2705</v>
      </c>
      <c r="E39" s="372">
        <f>Input!$HD$38</f>
        <v>-1081098</v>
      </c>
      <c r="F39" s="372">
        <f>Input!$HE$38</f>
        <v>-58877</v>
      </c>
      <c r="G39" s="372">
        <f>Input!$HF$38</f>
        <v>0</v>
      </c>
      <c r="H39" s="372">
        <f>Input!$HG$38</f>
        <v>0</v>
      </c>
      <c r="I39" s="372">
        <f>Input!$HH$38</f>
        <v>0</v>
      </c>
      <c r="J39" s="372">
        <f>Input!$HI$38</f>
        <v>0</v>
      </c>
      <c r="K39" s="372">
        <f>Input!$HJ$38</f>
        <v>0</v>
      </c>
      <c r="L39" s="372">
        <f>Input!$HK$38</f>
        <v>0</v>
      </c>
      <c r="M39" s="567">
        <f t="shared" si="6"/>
        <v>-1142680</v>
      </c>
      <c r="O39" s="261"/>
      <c r="T39" s="560" t="s">
        <v>1054</v>
      </c>
      <c r="U39" s="266"/>
      <c r="V39" s="266"/>
      <c r="W39" s="334"/>
      <c r="X39" s="425">
        <f>W38+W35</f>
        <v>3442502</v>
      </c>
    </row>
    <row r="40" spans="1:24" s="264" customFormat="1">
      <c r="A40" s="263"/>
      <c r="B40" s="261" t="s">
        <v>730</v>
      </c>
      <c r="C40" s="566"/>
      <c r="D40" s="372">
        <f>Input!$HL$38</f>
        <v>0</v>
      </c>
      <c r="E40" s="372">
        <f>Input!$HM$38</f>
        <v>-998459</v>
      </c>
      <c r="F40" s="372">
        <f>Input!$HN$38</f>
        <v>-133610</v>
      </c>
      <c r="G40" s="372">
        <f>Input!$HO$38</f>
        <v>0</v>
      </c>
      <c r="H40" s="372">
        <f>Input!$HP$38</f>
        <v>0</v>
      </c>
      <c r="I40" s="372">
        <f>Input!$HQ$38</f>
        <v>0</v>
      </c>
      <c r="J40" s="372">
        <f>Input!$HR$38</f>
        <v>0</v>
      </c>
      <c r="K40" s="372">
        <f>Input!$HS$38</f>
        <v>0</v>
      </c>
      <c r="L40" s="372">
        <f>Input!$HT$38</f>
        <v>0</v>
      </c>
      <c r="M40" s="567">
        <f t="shared" si="6"/>
        <v>-1132069</v>
      </c>
      <c r="O40" s="261"/>
      <c r="T40" s="560"/>
      <c r="U40" s="261"/>
      <c r="V40" s="261"/>
      <c r="W40" s="261"/>
      <c r="X40" s="655"/>
    </row>
    <row r="41" spans="1:24" s="264" customFormat="1">
      <c r="A41" s="263"/>
      <c r="B41" s="261" t="s">
        <v>2133</v>
      </c>
      <c r="C41" s="566"/>
      <c r="D41" s="372">
        <f>Input!$HU$38</f>
        <v>-15177</v>
      </c>
      <c r="E41" s="372">
        <f>Input!$HV$38</f>
        <v>-6809983</v>
      </c>
      <c r="F41" s="372">
        <f>Input!$HW$38</f>
        <v>28610</v>
      </c>
      <c r="G41" s="372">
        <f>Input!$HX$38</f>
        <v>0</v>
      </c>
      <c r="H41" s="372">
        <f>Input!$HY$38</f>
        <v>0</v>
      </c>
      <c r="I41" s="372">
        <f>Input!$HZ$38</f>
        <v>0</v>
      </c>
      <c r="J41" s="372">
        <f>Input!$IA$38</f>
        <v>0</v>
      </c>
      <c r="K41" s="372">
        <f>Input!$IB$38</f>
        <v>0</v>
      </c>
      <c r="L41" s="372">
        <f>Input!$IC$38</f>
        <v>0</v>
      </c>
      <c r="M41" s="567">
        <f t="shared" si="6"/>
        <v>-6796550</v>
      </c>
      <c r="O41"/>
      <c r="P41"/>
      <c r="Q41"/>
      <c r="R41"/>
      <c r="S41"/>
      <c r="T41" s="560" t="s">
        <v>1104</v>
      </c>
      <c r="U41" s="266"/>
      <c r="V41" s="266"/>
      <c r="W41" s="330">
        <f>(M21+M34)*-1</f>
        <v>0</v>
      </c>
      <c r="X41" s="425"/>
    </row>
    <row r="42" spans="1:24" s="264" customFormat="1">
      <c r="A42" s="263"/>
      <c r="B42" s="575" t="s">
        <v>40</v>
      </c>
      <c r="C42" s="563"/>
      <c r="D42" s="374">
        <f t="shared" ref="D42:L42" si="7">SUM(D36:D41)</f>
        <v>32408</v>
      </c>
      <c r="E42" s="374">
        <f t="shared" si="7"/>
        <v>16111062</v>
      </c>
      <c r="F42" s="374">
        <f t="shared" si="7"/>
        <v>297005</v>
      </c>
      <c r="G42" s="374">
        <f t="shared" si="7"/>
        <v>0</v>
      </c>
      <c r="H42" s="374">
        <f t="shared" si="7"/>
        <v>0</v>
      </c>
      <c r="I42" s="374">
        <f t="shared" si="7"/>
        <v>0</v>
      </c>
      <c r="J42" s="374">
        <f t="shared" si="7"/>
        <v>0</v>
      </c>
      <c r="K42" s="374">
        <f t="shared" si="7"/>
        <v>0</v>
      </c>
      <c r="L42" s="374">
        <f t="shared" si="7"/>
        <v>0</v>
      </c>
      <c r="M42" s="374">
        <f t="shared" si="6"/>
        <v>16440475</v>
      </c>
      <c r="O42"/>
      <c r="P42"/>
      <c r="Q42"/>
      <c r="R42"/>
      <c r="S42"/>
      <c r="T42" s="560" t="s">
        <v>1107</v>
      </c>
      <c r="U42" s="266"/>
      <c r="V42" s="266"/>
      <c r="W42" s="430">
        <f>(M22+M35)*-1</f>
        <v>0</v>
      </c>
      <c r="X42" s="425"/>
    </row>
    <row r="43" spans="1:24" s="264" customFormat="1">
      <c r="A43" s="263"/>
      <c r="B43" s="261"/>
      <c r="C43" s="566"/>
      <c r="D43" s="566"/>
      <c r="E43" s="566"/>
      <c r="F43" s="566"/>
      <c r="G43" s="566"/>
      <c r="H43" s="566"/>
      <c r="I43" s="566"/>
      <c r="J43" s="566"/>
      <c r="K43" s="566"/>
      <c r="L43" s="566"/>
      <c r="M43" s="567"/>
      <c r="O43"/>
      <c r="P43"/>
      <c r="Q43"/>
      <c r="R43"/>
      <c r="S43"/>
      <c r="T43" s="650" t="s">
        <v>1114</v>
      </c>
      <c r="U43" s="584"/>
      <c r="V43" s="584"/>
      <c r="W43" s="656">
        <f>SUM(W41:W42)</f>
        <v>0</v>
      </c>
      <c r="X43" s="655"/>
    </row>
    <row r="44" spans="1:24" s="264" customFormat="1" ht="13.5" customHeight="1">
      <c r="A44" s="263"/>
      <c r="B44" s="575" t="s">
        <v>1055</v>
      </c>
      <c r="C44" s="563"/>
      <c r="D44" s="374">
        <f t="shared" ref="D44:L44" si="8">D42+D29</f>
        <v>4649675</v>
      </c>
      <c r="E44" s="374">
        <f t="shared" si="8"/>
        <v>28886100</v>
      </c>
      <c r="F44" s="374">
        <f t="shared" si="8"/>
        <v>297005</v>
      </c>
      <c r="G44" s="374">
        <f t="shared" si="8"/>
        <v>0</v>
      </c>
      <c r="H44" s="374">
        <f t="shared" si="8"/>
        <v>0</v>
      </c>
      <c r="I44" s="374">
        <f t="shared" si="8"/>
        <v>0</v>
      </c>
      <c r="J44" s="374">
        <f t="shared" si="8"/>
        <v>0</v>
      </c>
      <c r="K44" s="374">
        <f t="shared" si="8"/>
        <v>0</v>
      </c>
      <c r="L44" s="374">
        <f t="shared" si="8"/>
        <v>0</v>
      </c>
      <c r="M44" s="374">
        <f>D44+E44+F44+G44+H44+I44+J44+K44+L44</f>
        <v>33832780</v>
      </c>
      <c r="O44"/>
      <c r="P44"/>
      <c r="Q44"/>
      <c r="R44"/>
      <c r="S44"/>
      <c r="T44" s="560"/>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0"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0" t="s">
        <v>1112</v>
      </c>
      <c r="U46" s="266"/>
      <c r="V46" s="266"/>
      <c r="W46" s="430">
        <f>(M25+M38)*-1</f>
        <v>0</v>
      </c>
      <c r="X46" s="425"/>
    </row>
    <row r="47" spans="1:24">
      <c r="A47" s="184">
        <v>30</v>
      </c>
      <c r="B47" s="176" t="s">
        <v>7</v>
      </c>
      <c r="C47" s="176"/>
      <c r="D47" s="375">
        <f>Input!$ID$38</f>
        <v>1040585</v>
      </c>
      <c r="E47" s="375">
        <f>Input!$IE$38</f>
        <v>14208</v>
      </c>
      <c r="F47" s="375">
        <f>Input!$IF$38</f>
        <v>0</v>
      </c>
      <c r="G47" s="375">
        <f>Input!$IG$38</f>
        <v>22302052</v>
      </c>
      <c r="H47" s="375">
        <f>Input!$IH$38</f>
        <v>0</v>
      </c>
      <c r="I47" s="375">
        <f>Input!$II$38</f>
        <v>0</v>
      </c>
      <c r="J47" s="375">
        <f>Input!$IJ$38</f>
        <v>0</v>
      </c>
      <c r="K47" s="375">
        <f>Input!$IK$38</f>
        <v>0</v>
      </c>
      <c r="L47" s="375">
        <f>Input!$IL$38</f>
        <v>0</v>
      </c>
      <c r="M47" s="374">
        <f>D47+E47+F47+G47+H47+I47+J47+K47+L47</f>
        <v>23356845</v>
      </c>
      <c r="N47" s="160"/>
      <c r="O47"/>
      <c r="P47"/>
      <c r="Q47"/>
      <c r="R47"/>
      <c r="S47"/>
      <c r="T47" s="657" t="s">
        <v>1115</v>
      </c>
      <c r="U47" s="27"/>
      <c r="V47" s="27"/>
      <c r="W47" s="656">
        <f>SUM(W45:W46)</f>
        <v>0</v>
      </c>
      <c r="X47" s="655"/>
    </row>
    <row r="48" spans="1:24">
      <c r="A48" s="184">
        <v>31</v>
      </c>
      <c r="B48" s="160"/>
      <c r="C48" s="160"/>
      <c r="D48" s="373"/>
      <c r="E48" s="373"/>
      <c r="F48" s="373"/>
      <c r="G48" s="373"/>
      <c r="H48" s="373"/>
      <c r="I48" s="373"/>
      <c r="J48" s="373"/>
      <c r="K48" s="373"/>
      <c r="L48" s="373"/>
      <c r="M48" s="373"/>
      <c r="N48" s="160"/>
      <c r="O48"/>
      <c r="P48"/>
      <c r="Q48"/>
      <c r="R48"/>
      <c r="S48"/>
      <c r="T48" s="560"/>
      <c r="U48" s="261"/>
      <c r="V48" s="261"/>
      <c r="W48" s="261"/>
      <c r="X48" s="658">
        <f>W43-W47</f>
        <v>0</v>
      </c>
    </row>
    <row r="49" spans="1:28">
      <c r="A49" s="184">
        <v>32</v>
      </c>
      <c r="B49" s="172" t="s">
        <v>8</v>
      </c>
      <c r="C49" s="172"/>
      <c r="D49" s="373"/>
      <c r="E49" s="373"/>
      <c r="F49" s="373"/>
      <c r="G49" s="373"/>
      <c r="H49" s="373"/>
      <c r="I49" s="373"/>
      <c r="J49" s="373"/>
      <c r="K49" s="373"/>
      <c r="L49" s="373"/>
      <c r="M49" s="373"/>
      <c r="N49" s="160"/>
      <c r="O49" s="273"/>
      <c r="T49" s="579" t="s">
        <v>287</v>
      </c>
      <c r="U49" s="511"/>
      <c r="V49" s="580"/>
      <c r="W49" s="580"/>
      <c r="X49" s="574">
        <f>SUM(X23:X48)</f>
        <v>55943067</v>
      </c>
    </row>
    <row r="50" spans="1:28">
      <c r="A50" s="184">
        <v>33</v>
      </c>
      <c r="B50" s="160" t="s">
        <v>42</v>
      </c>
      <c r="C50" s="160"/>
      <c r="D50" s="372">
        <f>Input!$IM$38</f>
        <v>17461</v>
      </c>
      <c r="E50" s="372">
        <f>Input!$IN$38</f>
        <v>1191103</v>
      </c>
      <c r="F50" s="372">
        <f>Input!$IO$38</f>
        <v>0</v>
      </c>
      <c r="G50" s="372">
        <f>Input!$IP$38</f>
        <v>1115726</v>
      </c>
      <c r="H50" s="372">
        <f>Input!$IQ$38</f>
        <v>3499</v>
      </c>
      <c r="I50" s="372">
        <f>Input!$IR$38</f>
        <v>-32922</v>
      </c>
      <c r="J50" s="372">
        <f>Input!$IS$38</f>
        <v>133875</v>
      </c>
      <c r="K50" s="372">
        <f>Input!$IT$38</f>
        <v>0</v>
      </c>
      <c r="L50" s="372">
        <f>Input!$IU$38</f>
        <v>0</v>
      </c>
      <c r="M50" s="373">
        <f t="shared" ref="M50:M57" si="9">D50+E50+F50+G50+H50+I50+J50+K50+L50</f>
        <v>2428742</v>
      </c>
      <c r="N50" s="160"/>
      <c r="O50" s="273"/>
      <c r="U50" s="275"/>
    </row>
    <row r="51" spans="1:28">
      <c r="A51" s="184">
        <v>34</v>
      </c>
      <c r="B51" s="160" t="s">
        <v>9</v>
      </c>
      <c r="C51" s="160"/>
      <c r="D51" s="372">
        <f>Input!$IV$38</f>
        <v>0</v>
      </c>
      <c r="E51" s="372">
        <f>Input!$IW$38</f>
        <v>0</v>
      </c>
      <c r="F51" s="372">
        <f>Input!$IX$38</f>
        <v>0</v>
      </c>
      <c r="G51" s="372">
        <f>Input!$IY$38</f>
        <v>0</v>
      </c>
      <c r="H51" s="372">
        <f>Input!$IZ$38</f>
        <v>0</v>
      </c>
      <c r="I51" s="372">
        <f>Input!$JA$38</f>
        <v>0</v>
      </c>
      <c r="J51" s="372">
        <f>Input!$JB$38</f>
        <v>0</v>
      </c>
      <c r="K51" s="372">
        <f>Input!$JC$38</f>
        <v>0</v>
      </c>
      <c r="L51" s="372">
        <f>Input!$JD$38</f>
        <v>0</v>
      </c>
      <c r="M51" s="376">
        <f t="shared" si="9"/>
        <v>0</v>
      </c>
      <c r="N51" s="160"/>
      <c r="Y51" s="277"/>
    </row>
    <row r="52" spans="1:28">
      <c r="A52" s="184">
        <v>35</v>
      </c>
      <c r="B52" s="160" t="s">
        <v>10</v>
      </c>
      <c r="C52" s="160"/>
      <c r="D52" s="372">
        <f>Input!$JE$38</f>
        <v>0</v>
      </c>
      <c r="E52" s="372">
        <f>Input!$JF$38</f>
        <v>267655</v>
      </c>
      <c r="F52" s="372">
        <f>Input!$JG$38</f>
        <v>1865</v>
      </c>
      <c r="G52" s="372">
        <f>Input!$JH$38</f>
        <v>6446240</v>
      </c>
      <c r="H52" s="372">
        <f>Input!$JI$38</f>
        <v>0</v>
      </c>
      <c r="I52" s="372">
        <f>Input!$JJ$38</f>
        <v>0</v>
      </c>
      <c r="J52" s="372">
        <f>Input!$JK$38</f>
        <v>250000</v>
      </c>
      <c r="K52" s="372">
        <f>Input!$JL$38</f>
        <v>0</v>
      </c>
      <c r="L52" s="372">
        <f>Input!$JM$38</f>
        <v>0</v>
      </c>
      <c r="M52" s="373">
        <f t="shared" si="9"/>
        <v>6965760</v>
      </c>
      <c r="N52" s="160"/>
      <c r="O52" s="273"/>
      <c r="P52" s="278"/>
    </row>
    <row r="53" spans="1:28">
      <c r="A53" s="184">
        <v>36</v>
      </c>
      <c r="B53" s="160" t="s">
        <v>11</v>
      </c>
      <c r="C53" s="160"/>
      <c r="D53" s="372">
        <f>Input!$JN$38</f>
        <v>75</v>
      </c>
      <c r="E53" s="372">
        <f>Input!$JO$38</f>
        <v>798876</v>
      </c>
      <c r="F53" s="372">
        <f>Input!$JP$38</f>
        <v>0</v>
      </c>
      <c r="G53" s="372">
        <f>Input!$JQ$38</f>
        <v>6643</v>
      </c>
      <c r="H53" s="372">
        <f>Input!$JR$38</f>
        <v>0</v>
      </c>
      <c r="I53" s="372">
        <f>Input!$JS$38</f>
        <v>0</v>
      </c>
      <c r="J53" s="372">
        <f>Input!$JT$38</f>
        <v>0</v>
      </c>
      <c r="K53" s="372">
        <f>Input!$JU$38</f>
        <v>0</v>
      </c>
      <c r="L53" s="372">
        <f>Input!$JV$38</f>
        <v>0</v>
      </c>
      <c r="M53" s="373">
        <f t="shared" si="9"/>
        <v>805594</v>
      </c>
      <c r="N53" s="160"/>
      <c r="O53" s="273"/>
    </row>
    <row r="54" spans="1:28" ht="13.5" thickBot="1">
      <c r="A54" s="184">
        <v>37</v>
      </c>
      <c r="B54" s="177" t="s">
        <v>2134</v>
      </c>
      <c r="C54" s="177"/>
      <c r="D54" s="372">
        <f>Input!$JW$38</f>
        <v>0</v>
      </c>
      <c r="E54" s="372">
        <f>Input!$JX$38</f>
        <v>0</v>
      </c>
      <c r="F54" s="372">
        <f>Input!$JY$38</f>
        <v>13143360</v>
      </c>
      <c r="G54" s="372">
        <f>Input!$JZ$38</f>
        <v>0</v>
      </c>
      <c r="H54" s="372">
        <f>Input!$KA$38</f>
        <v>0</v>
      </c>
      <c r="I54" s="372">
        <f>Input!$KB$38</f>
        <v>0</v>
      </c>
      <c r="J54" s="372">
        <f>Input!$KC$38</f>
        <v>0</v>
      </c>
      <c r="K54" s="372">
        <f>Input!$KD$38</f>
        <v>0</v>
      </c>
      <c r="L54" s="372">
        <f>Input!$KE$38</f>
        <v>0</v>
      </c>
      <c r="M54" s="373">
        <f t="shared" si="9"/>
        <v>13143360</v>
      </c>
      <c r="N54" s="160"/>
      <c r="O54" s="273"/>
    </row>
    <row r="55" spans="1:28" ht="14.25" thickTop="1" thickBot="1">
      <c r="A55" s="184">
        <v>38</v>
      </c>
      <c r="B55" s="160" t="s">
        <v>43</v>
      </c>
      <c r="C55" s="160"/>
      <c r="D55" s="372">
        <f>Input!$KF$38</f>
        <v>1890</v>
      </c>
      <c r="E55" s="372">
        <f>Input!$KG$38</f>
        <v>895165</v>
      </c>
      <c r="F55" s="372">
        <f>Input!$KH$38</f>
        <v>10695</v>
      </c>
      <c r="G55" s="372">
        <f>Input!$KI$38</f>
        <v>244592</v>
      </c>
      <c r="H55" s="372">
        <f>Input!$KJ$38</f>
        <v>46907</v>
      </c>
      <c r="I55" s="372">
        <f>Input!$KK$38</f>
        <v>0</v>
      </c>
      <c r="J55" s="372">
        <f>Input!$KL$38</f>
        <v>625845</v>
      </c>
      <c r="K55" s="372">
        <f>Input!$KM$38</f>
        <v>0</v>
      </c>
      <c r="L55" s="372">
        <f>Input!$KN$38</f>
        <v>0</v>
      </c>
      <c r="M55" s="373">
        <f t="shared" si="9"/>
        <v>1825094</v>
      </c>
      <c r="N55" s="160"/>
      <c r="O55" s="1616" t="s">
        <v>251</v>
      </c>
      <c r="P55" s="1617"/>
      <c r="Q55" s="1617"/>
      <c r="R55" s="1618"/>
      <c r="S55" s="437"/>
      <c r="T55" s="1619" t="s">
        <v>252</v>
      </c>
      <c r="U55" s="1620"/>
      <c r="V55" s="1620"/>
      <c r="W55" s="1620"/>
      <c r="X55" s="1621"/>
      <c r="Y55" s="320"/>
      <c r="Z55" s="1749" t="s">
        <v>1301</v>
      </c>
      <c r="AA55" s="1750"/>
      <c r="AB55" s="1751"/>
    </row>
    <row r="56" spans="1:28" ht="13.5" customHeight="1" thickTop="1">
      <c r="A56" s="184">
        <v>39</v>
      </c>
      <c r="B56" s="176" t="s">
        <v>3</v>
      </c>
      <c r="C56" s="176"/>
      <c r="D56" s="374">
        <f>SUM(D50:D55)</f>
        <v>19426</v>
      </c>
      <c r="E56" s="374">
        <f t="shared" ref="E56:L56" si="10">SUM(E50:E55)</f>
        <v>3152799</v>
      </c>
      <c r="F56" s="374">
        <f t="shared" si="10"/>
        <v>13155920</v>
      </c>
      <c r="G56" s="374">
        <f t="shared" si="10"/>
        <v>7813201</v>
      </c>
      <c r="H56" s="374">
        <f t="shared" si="10"/>
        <v>50406</v>
      </c>
      <c r="I56" s="374">
        <f t="shared" si="10"/>
        <v>-32922</v>
      </c>
      <c r="J56" s="374">
        <f t="shared" si="10"/>
        <v>1009720</v>
      </c>
      <c r="K56" s="374">
        <f t="shared" si="10"/>
        <v>0</v>
      </c>
      <c r="L56" s="374">
        <f t="shared" si="10"/>
        <v>0</v>
      </c>
      <c r="M56" s="374">
        <f t="shared" si="9"/>
        <v>25168550</v>
      </c>
      <c r="N56" s="160"/>
      <c r="O56" s="1622" t="s">
        <v>1135</v>
      </c>
      <c r="P56" s="1625" t="s">
        <v>254</v>
      </c>
      <c r="Q56" s="1625" t="s">
        <v>292</v>
      </c>
      <c r="R56" s="1628" t="s">
        <v>1063</v>
      </c>
      <c r="S56" s="280"/>
      <c r="T56" s="1739" t="s">
        <v>1136</v>
      </c>
      <c r="U56" s="1637" t="s">
        <v>254</v>
      </c>
      <c r="V56" s="1634" t="s">
        <v>256</v>
      </c>
      <c r="W56" s="1637" t="s">
        <v>257</v>
      </c>
      <c r="X56" s="1638" t="s">
        <v>1064</v>
      </c>
      <c r="Z56" s="1754" t="s">
        <v>1302</v>
      </c>
      <c r="AA56" s="1747" t="s">
        <v>1303</v>
      </c>
      <c r="AB56" s="1752" t="s">
        <v>238</v>
      </c>
    </row>
    <row r="57" spans="1:28">
      <c r="A57" s="184">
        <v>40</v>
      </c>
      <c r="B57" s="162" t="s">
        <v>68</v>
      </c>
      <c r="C57" s="162"/>
      <c r="D57" s="374">
        <f>D15+D44+D47+D56</f>
        <v>37070496</v>
      </c>
      <c r="E57" s="374">
        <f t="shared" ref="E57:L57" si="11">E15+E44+E47+E56</f>
        <v>32053107</v>
      </c>
      <c r="F57" s="374">
        <f t="shared" si="11"/>
        <v>13452925</v>
      </c>
      <c r="G57" s="374">
        <f t="shared" si="11"/>
        <v>34403040</v>
      </c>
      <c r="H57" s="374">
        <f t="shared" si="11"/>
        <v>50406</v>
      </c>
      <c r="I57" s="374">
        <f t="shared" si="11"/>
        <v>-32922</v>
      </c>
      <c r="J57" s="374">
        <f t="shared" si="11"/>
        <v>1009720</v>
      </c>
      <c r="K57" s="374">
        <f t="shared" si="11"/>
        <v>0</v>
      </c>
      <c r="L57" s="374">
        <f t="shared" si="11"/>
        <v>0</v>
      </c>
      <c r="M57" s="374">
        <f t="shared" si="9"/>
        <v>118006772</v>
      </c>
      <c r="N57" s="160"/>
      <c r="O57" s="1623"/>
      <c r="P57" s="1626"/>
      <c r="Q57" s="1626"/>
      <c r="R57" s="1629"/>
      <c r="S57" s="280"/>
      <c r="T57" s="1740"/>
      <c r="U57" s="1626"/>
      <c r="V57" s="1635"/>
      <c r="W57" s="1626"/>
      <c r="X57" s="1639"/>
      <c r="Z57" s="1755"/>
      <c r="AA57" s="1747"/>
      <c r="AB57" s="1752"/>
    </row>
    <row r="58" spans="1:28">
      <c r="A58" s="184">
        <v>41</v>
      </c>
      <c r="B58" s="160"/>
      <c r="C58" s="160"/>
      <c r="D58" s="373"/>
      <c r="E58" s="373"/>
      <c r="F58" s="373"/>
      <c r="G58" s="373"/>
      <c r="H58" s="373"/>
      <c r="I58" s="373"/>
      <c r="J58" s="373"/>
      <c r="K58" s="373"/>
      <c r="L58" s="373"/>
      <c r="M58" s="373"/>
      <c r="N58" s="160"/>
      <c r="O58" s="1623"/>
      <c r="P58" s="1626"/>
      <c r="Q58" s="1626"/>
      <c r="R58" s="1629"/>
      <c r="S58" s="280"/>
      <c r="T58" s="1740"/>
      <c r="U58" s="1626"/>
      <c r="V58" s="1635"/>
      <c r="W58" s="1626"/>
      <c r="X58" s="1639"/>
      <c r="Z58" s="1755"/>
      <c r="AA58" s="1747"/>
      <c r="AB58" s="1752"/>
    </row>
    <row r="59" spans="1:28" ht="14.25" customHeight="1">
      <c r="A59" s="184">
        <v>42</v>
      </c>
      <c r="B59" s="174" t="s">
        <v>72</v>
      </c>
      <c r="C59" s="174"/>
      <c r="D59" s="377"/>
      <c r="E59" s="377"/>
      <c r="F59" s="377"/>
      <c r="G59" s="1746" t="str">
        <f>IF(OR(P105&gt;0,P106&lt;&gt;0,P107&lt;&gt;0),"Do not Enter Cents - Whole Dollars Only","")</f>
        <v/>
      </c>
      <c r="H59" s="1746"/>
      <c r="I59" s="1746"/>
      <c r="J59" s="1746"/>
      <c r="K59" s="1746"/>
      <c r="L59" s="377"/>
      <c r="M59" s="377"/>
      <c r="N59" s="160"/>
      <c r="O59" s="1624"/>
      <c r="P59" s="1627"/>
      <c r="Q59" s="1627"/>
      <c r="R59" s="1630"/>
      <c r="S59" s="280"/>
      <c r="T59" s="1741"/>
      <c r="U59" s="1627"/>
      <c r="V59" s="1636"/>
      <c r="W59" s="1627"/>
      <c r="X59" s="1640"/>
      <c r="Z59" s="1756"/>
      <c r="AA59" s="1748"/>
      <c r="AB59" s="1753"/>
    </row>
    <row r="60" spans="1:28" ht="13.5" thickBot="1">
      <c r="A60" s="184">
        <v>43</v>
      </c>
      <c r="B60" s="160" t="s">
        <v>14</v>
      </c>
      <c r="C60" s="160"/>
      <c r="D60" s="372">
        <f>Input!$KO$38</f>
        <v>23453277</v>
      </c>
      <c r="E60" s="372">
        <f>Input!$KP$38</f>
        <v>13823890</v>
      </c>
      <c r="F60" s="372">
        <f>Input!$KQ$38</f>
        <v>0</v>
      </c>
      <c r="G60" s="372">
        <f>Input!$KR$38</f>
        <v>657143</v>
      </c>
      <c r="H60" s="372">
        <f>Input!$KS$38</f>
        <v>0</v>
      </c>
      <c r="I60" s="372">
        <f>Input!$KT$38</f>
        <v>0</v>
      </c>
      <c r="J60" s="372">
        <f>Input!$KU$38</f>
        <v>0</v>
      </c>
      <c r="K60" s="372">
        <f>Input!$KV$38</f>
        <v>0</v>
      </c>
      <c r="L60" s="372">
        <f>Input!$KW$38</f>
        <v>0</v>
      </c>
      <c r="M60" s="373">
        <f t="shared" ref="M60:M71" si="12">D60+E60+F60+G60+H60+I60+J60+K60+L60</f>
        <v>37934310</v>
      </c>
      <c r="N60" s="160"/>
      <c r="O60" s="282">
        <f>D60+E60+G60+J60</f>
        <v>37934310</v>
      </c>
      <c r="P60" s="518">
        <f>Input!$SS$38</f>
        <v>82287</v>
      </c>
      <c r="Q60" s="438" t="s">
        <v>259</v>
      </c>
      <c r="R60" s="284">
        <f>SUM(O60:P60)</f>
        <v>38016597</v>
      </c>
      <c r="S60" s="439"/>
      <c r="T60" s="286">
        <f t="shared" ref="T60:T67" si="13">D60+E60+G60</f>
        <v>37934310</v>
      </c>
      <c r="U60" s="287">
        <f t="shared" ref="U60:U67" si="14">P60</f>
        <v>82287</v>
      </c>
      <c r="V60" s="289">
        <f>Input!$TC$38</f>
        <v>0</v>
      </c>
      <c r="W60" s="289">
        <f>Input!$TK$38</f>
        <v>0</v>
      </c>
      <c r="X60" s="290">
        <f t="shared" ref="X60:X66" si="15">T60+U60-V60-W60</f>
        <v>38016597</v>
      </c>
      <c r="Z60" s="292" t="s">
        <v>14</v>
      </c>
      <c r="AA60" s="520">
        <f>Input!$TS$38</f>
        <v>37934310</v>
      </c>
      <c r="AB60" s="293">
        <f t="shared" ref="AB60:AB68" si="16">AA60-M60</f>
        <v>0</v>
      </c>
    </row>
    <row r="61" spans="1:28" ht="14.25" thickTop="1" thickBot="1">
      <c r="A61" s="184">
        <v>44</v>
      </c>
      <c r="B61" s="160" t="s">
        <v>15</v>
      </c>
      <c r="C61" s="160"/>
      <c r="D61" s="372">
        <f>Input!$KX$38</f>
        <v>32586</v>
      </c>
      <c r="E61" s="372">
        <f>Input!$KY$38</f>
        <v>295367</v>
      </c>
      <c r="F61" s="372">
        <f>Input!$KZ$38</f>
        <v>0</v>
      </c>
      <c r="G61" s="372">
        <f>Input!$LA$38</f>
        <v>554210</v>
      </c>
      <c r="H61" s="372">
        <f>Input!$LB$38</f>
        <v>0</v>
      </c>
      <c r="I61" s="372">
        <f>Input!$LC$38</f>
        <v>0</v>
      </c>
      <c r="J61" s="372">
        <f>Input!$LD$38</f>
        <v>0</v>
      </c>
      <c r="K61" s="372">
        <f>Input!$LE$38</f>
        <v>0</v>
      </c>
      <c r="L61" s="372">
        <f>Input!$LF$38</f>
        <v>0</v>
      </c>
      <c r="M61" s="373">
        <f t="shared" si="12"/>
        <v>882163</v>
      </c>
      <c r="N61" s="160"/>
      <c r="O61" s="440">
        <f t="shared" ref="O61:O67" si="17">D61+E61+G61+J61</f>
        <v>882163</v>
      </c>
      <c r="P61" s="518">
        <f>Input!$ST$38</f>
        <v>27509</v>
      </c>
      <c r="Q61" s="441" t="s">
        <v>259</v>
      </c>
      <c r="R61" s="295">
        <f>SUM(O61:P61)</f>
        <v>909672</v>
      </c>
      <c r="S61" s="442"/>
      <c r="T61" s="296">
        <f t="shared" si="13"/>
        <v>882163</v>
      </c>
      <c r="U61" s="297">
        <f t="shared" si="14"/>
        <v>27509</v>
      </c>
      <c r="V61" s="299">
        <f>Input!$TD$38</f>
        <v>0</v>
      </c>
      <c r="W61" s="299">
        <f>Input!$TL$38</f>
        <v>0</v>
      </c>
      <c r="X61" s="300">
        <f t="shared" si="15"/>
        <v>909672</v>
      </c>
      <c r="Z61" s="292" t="s">
        <v>15</v>
      </c>
      <c r="AA61" s="518">
        <f>Input!$TT$38</f>
        <v>882163</v>
      </c>
      <c r="AB61" s="301">
        <f t="shared" si="16"/>
        <v>0</v>
      </c>
    </row>
    <row r="62" spans="1:28" ht="13.5" thickTop="1">
      <c r="A62" s="184">
        <v>45</v>
      </c>
      <c r="B62" s="160" t="s">
        <v>16</v>
      </c>
      <c r="C62" s="160"/>
      <c r="D62" s="372">
        <f>Input!$LG$38</f>
        <v>126059</v>
      </c>
      <c r="E62" s="372">
        <f>Input!$LH$38</f>
        <v>403166</v>
      </c>
      <c r="F62" s="372">
        <f>Input!$LI$38</f>
        <v>0</v>
      </c>
      <c r="G62" s="372">
        <f>Input!$LJ$38</f>
        <v>552077</v>
      </c>
      <c r="H62" s="372">
        <f>Input!$LK$38</f>
        <v>0</v>
      </c>
      <c r="I62" s="372">
        <f>Input!$LL$38</f>
        <v>0</v>
      </c>
      <c r="J62" s="372">
        <f>Input!$LM$38</f>
        <v>0</v>
      </c>
      <c r="K62" s="372">
        <f>Input!$LN$38</f>
        <v>0</v>
      </c>
      <c r="L62" s="372">
        <f>Input!$LO$38</f>
        <v>0</v>
      </c>
      <c r="M62" s="373">
        <f t="shared" si="12"/>
        <v>1081302</v>
      </c>
      <c r="N62" s="160"/>
      <c r="O62" s="440">
        <f t="shared" si="17"/>
        <v>1081302</v>
      </c>
      <c r="P62" s="518">
        <f>Input!$SU$38</f>
        <v>0</v>
      </c>
      <c r="Q62" s="441" t="s">
        <v>259</v>
      </c>
      <c r="R62" s="302" t="s">
        <v>259</v>
      </c>
      <c r="S62" s="442"/>
      <c r="T62" s="296">
        <f t="shared" si="13"/>
        <v>1081302</v>
      </c>
      <c r="U62" s="297">
        <f t="shared" si="14"/>
        <v>0</v>
      </c>
      <c r="V62" s="299">
        <f>Input!$TE$38</f>
        <v>0</v>
      </c>
      <c r="W62" s="299">
        <f>Input!$TM$38</f>
        <v>0</v>
      </c>
      <c r="X62" s="303">
        <f t="shared" si="15"/>
        <v>1081302</v>
      </c>
      <c r="Z62" s="292" t="s">
        <v>16</v>
      </c>
      <c r="AA62" s="518">
        <f>Input!$TU$38</f>
        <v>1081302</v>
      </c>
      <c r="AB62" s="301">
        <f t="shared" si="16"/>
        <v>0</v>
      </c>
    </row>
    <row r="63" spans="1:28">
      <c r="A63" s="184">
        <v>46</v>
      </c>
      <c r="B63" s="160" t="s">
        <v>17</v>
      </c>
      <c r="C63" s="160"/>
      <c r="D63" s="372">
        <f>Input!$LP$38</f>
        <v>2885553</v>
      </c>
      <c r="E63" s="372">
        <f>Input!$LQ$38</f>
        <v>5075115</v>
      </c>
      <c r="F63" s="372">
        <f>Input!$LR$38</f>
        <v>0</v>
      </c>
      <c r="G63" s="372">
        <f>Input!$LS$38</f>
        <v>2469768</v>
      </c>
      <c r="H63" s="372">
        <f>Input!$LT$38</f>
        <v>0</v>
      </c>
      <c r="I63" s="372">
        <f>Input!$LU$38</f>
        <v>0</v>
      </c>
      <c r="J63" s="372">
        <f>Input!$LV$38</f>
        <v>0</v>
      </c>
      <c r="K63" s="372">
        <f>Input!$LW$38</f>
        <v>0</v>
      </c>
      <c r="L63" s="372">
        <f>Input!$LX$38</f>
        <v>0</v>
      </c>
      <c r="M63" s="373">
        <f t="shared" si="12"/>
        <v>10430436</v>
      </c>
      <c r="N63" s="160"/>
      <c r="O63" s="440">
        <f t="shared" si="17"/>
        <v>10430436</v>
      </c>
      <c r="P63" s="518">
        <f>Input!$SV$38</f>
        <v>4754138</v>
      </c>
      <c r="Q63" s="441" t="s">
        <v>259</v>
      </c>
      <c r="R63" s="295">
        <f t="shared" ref="R63:R65" si="18">SUM(O63:P63)</f>
        <v>15184574</v>
      </c>
      <c r="S63" s="442"/>
      <c r="T63" s="296">
        <f t="shared" si="13"/>
        <v>10430436</v>
      </c>
      <c r="U63" s="297">
        <f t="shared" si="14"/>
        <v>4754138</v>
      </c>
      <c r="V63" s="299">
        <f>Input!$TF$38</f>
        <v>0</v>
      </c>
      <c r="W63" s="299">
        <f>Input!$TN$38</f>
        <v>0</v>
      </c>
      <c r="X63" s="303">
        <f t="shared" si="15"/>
        <v>15184574</v>
      </c>
      <c r="Z63" s="292" t="s">
        <v>17</v>
      </c>
      <c r="AA63" s="518">
        <f>Input!$TV$38</f>
        <v>10430436</v>
      </c>
      <c r="AB63" s="301">
        <f t="shared" si="16"/>
        <v>0</v>
      </c>
    </row>
    <row r="64" spans="1:28">
      <c r="A64" s="184">
        <v>47</v>
      </c>
      <c r="B64" s="160" t="s">
        <v>18</v>
      </c>
      <c r="C64" s="160"/>
      <c r="D64" s="372">
        <f>Input!$LY$38</f>
        <v>1448699</v>
      </c>
      <c r="E64" s="372">
        <f>Input!$LZ$38</f>
        <v>11188606</v>
      </c>
      <c r="F64" s="372">
        <f>Input!$MA$38</f>
        <v>0</v>
      </c>
      <c r="G64" s="372">
        <f>Input!$MB$38</f>
        <v>547336</v>
      </c>
      <c r="H64" s="372">
        <f>Input!$MC$38</f>
        <v>467508</v>
      </c>
      <c r="I64" s="372">
        <f>Input!$MD$38</f>
        <v>0</v>
      </c>
      <c r="J64" s="372">
        <f>Input!$ME$38</f>
        <v>0</v>
      </c>
      <c r="K64" s="372">
        <f>Input!$MF$38</f>
        <v>0</v>
      </c>
      <c r="L64" s="372">
        <f>Input!$MG$38</f>
        <v>0</v>
      </c>
      <c r="M64" s="373">
        <f t="shared" si="12"/>
        <v>13652149</v>
      </c>
      <c r="N64" s="160"/>
      <c r="O64" s="440">
        <f t="shared" si="17"/>
        <v>13184641</v>
      </c>
      <c r="P64" s="518">
        <f>Input!$SW$38</f>
        <v>0</v>
      </c>
      <c r="Q64" s="518">
        <f>Input!$TB$38</f>
        <v>0</v>
      </c>
      <c r="R64" s="295">
        <f>SUM(O64:P64)-Q64</f>
        <v>13184641</v>
      </c>
      <c r="S64" s="442"/>
      <c r="T64" s="296">
        <f t="shared" si="13"/>
        <v>13184641</v>
      </c>
      <c r="U64" s="297">
        <f t="shared" si="14"/>
        <v>0</v>
      </c>
      <c r="V64" s="299">
        <f>Input!$TG$38</f>
        <v>0</v>
      </c>
      <c r="W64" s="299">
        <f>Input!$TO$38</f>
        <v>0</v>
      </c>
      <c r="X64" s="303">
        <f t="shared" si="15"/>
        <v>13184641</v>
      </c>
      <c r="Z64" s="292" t="s">
        <v>18</v>
      </c>
      <c r="AA64" s="518">
        <f>Input!$TW$38</f>
        <v>13652149</v>
      </c>
      <c r="AB64" s="301">
        <f t="shared" si="16"/>
        <v>0</v>
      </c>
    </row>
    <row r="65" spans="1:28">
      <c r="A65" s="184">
        <v>48</v>
      </c>
      <c r="B65" s="160" t="s">
        <v>19</v>
      </c>
      <c r="C65" s="160"/>
      <c r="D65" s="372">
        <f>Input!$MH$38</f>
        <v>2037095</v>
      </c>
      <c r="E65" s="372">
        <f>Input!$MI$38</f>
        <v>6395159</v>
      </c>
      <c r="F65" s="372">
        <f>Input!$MJ$38</f>
        <v>0</v>
      </c>
      <c r="G65" s="372">
        <f>Input!$MK$38</f>
        <v>259456</v>
      </c>
      <c r="H65" s="372">
        <f>Input!$ML$38</f>
        <v>0</v>
      </c>
      <c r="I65" s="372">
        <f>Input!$MM$38</f>
        <v>0</v>
      </c>
      <c r="J65" s="372">
        <f>Input!$MN$38</f>
        <v>0</v>
      </c>
      <c r="K65" s="372">
        <f>Input!$MO$38</f>
        <v>0</v>
      </c>
      <c r="L65" s="372">
        <f>Input!$MP$38</f>
        <v>0</v>
      </c>
      <c r="M65" s="373">
        <f t="shared" si="12"/>
        <v>8691710</v>
      </c>
      <c r="N65" s="160"/>
      <c r="O65" s="440">
        <f t="shared" si="17"/>
        <v>8691710</v>
      </c>
      <c r="P65" s="518">
        <f>Input!$SX$38</f>
        <v>28360</v>
      </c>
      <c r="Q65" s="441" t="s">
        <v>259</v>
      </c>
      <c r="R65" s="295">
        <f t="shared" si="18"/>
        <v>8720070</v>
      </c>
      <c r="S65" s="442"/>
      <c r="T65" s="296">
        <f t="shared" si="13"/>
        <v>8691710</v>
      </c>
      <c r="U65" s="297">
        <f t="shared" si="14"/>
        <v>28360</v>
      </c>
      <c r="V65" s="299">
        <f>Input!$TH$38</f>
        <v>0</v>
      </c>
      <c r="W65" s="299">
        <f>Input!$TP$38</f>
        <v>0</v>
      </c>
      <c r="X65" s="303">
        <f t="shared" si="15"/>
        <v>8720070</v>
      </c>
      <c r="Z65" s="292" t="s">
        <v>19</v>
      </c>
      <c r="AA65" s="518">
        <f>Input!$TX$38</f>
        <v>8691710</v>
      </c>
      <c r="AB65" s="301">
        <f t="shared" si="16"/>
        <v>0</v>
      </c>
    </row>
    <row r="66" spans="1:28">
      <c r="A66" s="184">
        <v>49</v>
      </c>
      <c r="B66" s="160" t="s">
        <v>20</v>
      </c>
      <c r="C66" s="160"/>
      <c r="D66" s="372">
        <f>Input!$MQ$38</f>
        <v>5845789</v>
      </c>
      <c r="E66" s="372">
        <f>Input!$MR$38</f>
        <v>1347704</v>
      </c>
      <c r="F66" s="372">
        <f>Input!$MS$38</f>
        <v>0</v>
      </c>
      <c r="G66" s="372">
        <f>Input!$MT$38</f>
        <v>67108</v>
      </c>
      <c r="H66" s="372">
        <f>Input!$MU$38</f>
        <v>0</v>
      </c>
      <c r="I66" s="372">
        <f>Input!$MV$38</f>
        <v>0</v>
      </c>
      <c r="J66" s="372">
        <f>Input!$MW$38</f>
        <v>40950</v>
      </c>
      <c r="K66" s="372">
        <f>Input!$MX$38</f>
        <v>1600</v>
      </c>
      <c r="L66" s="372">
        <f>Input!$MY$38</f>
        <v>0</v>
      </c>
      <c r="M66" s="373">
        <f t="shared" si="12"/>
        <v>7303151</v>
      </c>
      <c r="N66" s="160"/>
      <c r="O66" s="440">
        <f t="shared" si="17"/>
        <v>7301551</v>
      </c>
      <c r="P66" s="518">
        <f>Input!$SY$38</f>
        <v>694984</v>
      </c>
      <c r="Q66" s="441" t="s">
        <v>259</v>
      </c>
      <c r="R66" s="304" t="s">
        <v>259</v>
      </c>
      <c r="S66" s="442"/>
      <c r="T66" s="296">
        <f t="shared" si="13"/>
        <v>7260601</v>
      </c>
      <c r="U66" s="297">
        <f t="shared" si="14"/>
        <v>694984</v>
      </c>
      <c r="V66" s="299">
        <f>Input!$TI$38</f>
        <v>0</v>
      </c>
      <c r="W66" s="299">
        <f>Input!$TQ$38</f>
        <v>0</v>
      </c>
      <c r="X66" s="303">
        <f t="shared" si="15"/>
        <v>7955585</v>
      </c>
      <c r="Z66" s="292" t="s">
        <v>260</v>
      </c>
      <c r="AA66" s="518">
        <f>Input!$TY$38</f>
        <v>7303151</v>
      </c>
      <c r="AB66" s="301">
        <f t="shared" si="16"/>
        <v>0</v>
      </c>
    </row>
    <row r="67" spans="1:28" ht="13.5" thickBot="1">
      <c r="A67" s="184">
        <v>50</v>
      </c>
      <c r="B67" s="160" t="s">
        <v>21</v>
      </c>
      <c r="C67" s="160"/>
      <c r="D67" s="372">
        <f>Input!$MZ$38</f>
        <v>0</v>
      </c>
      <c r="E67" s="372">
        <f>Input!$NA$38</f>
        <v>0</v>
      </c>
      <c r="F67" s="372">
        <f>Input!$NB$38</f>
        <v>0</v>
      </c>
      <c r="G67" s="372">
        <f>Input!$NC$38</f>
        <v>17262753</v>
      </c>
      <c r="H67" s="372">
        <f>Input!$ND$38</f>
        <v>0</v>
      </c>
      <c r="I67" s="372">
        <f>Input!$NE$38</f>
        <v>0</v>
      </c>
      <c r="J67" s="372">
        <f>Input!$NF$38</f>
        <v>0</v>
      </c>
      <c r="K67" s="372">
        <f>Input!$NG$38</f>
        <v>0</v>
      </c>
      <c r="L67" s="372">
        <f>Input!$NH$38</f>
        <v>0</v>
      </c>
      <c r="M67" s="373">
        <f t="shared" si="12"/>
        <v>17262753</v>
      </c>
      <c r="N67" s="160"/>
      <c r="O67" s="440">
        <f t="shared" si="17"/>
        <v>17262753</v>
      </c>
      <c r="P67" s="518">
        <f>Input!$SZ$38</f>
        <v>0</v>
      </c>
      <c r="Q67" s="441" t="s">
        <v>259</v>
      </c>
      <c r="R67" s="304" t="s">
        <v>259</v>
      </c>
      <c r="S67" s="442"/>
      <c r="T67" s="306">
        <f t="shared" si="13"/>
        <v>17262753</v>
      </c>
      <c r="U67" s="307">
        <f t="shared" si="14"/>
        <v>0</v>
      </c>
      <c r="V67" s="308">
        <f>Input!$TJ$38</f>
        <v>0</v>
      </c>
      <c r="W67" s="308">
        <f>Input!$TR$38</f>
        <v>0</v>
      </c>
      <c r="X67" s="303">
        <f>U67+T67-V67-W67</f>
        <v>17262753</v>
      </c>
      <c r="Z67" s="292" t="s">
        <v>21</v>
      </c>
      <c r="AA67" s="518">
        <f>Input!$TZ$38</f>
        <v>17262753</v>
      </c>
      <c r="AB67" s="301">
        <f t="shared" si="16"/>
        <v>0</v>
      </c>
    </row>
    <row r="68" spans="1:28" ht="14.25" thickTop="1" thickBot="1">
      <c r="A68" s="184">
        <v>51</v>
      </c>
      <c r="B68" s="160" t="s">
        <v>2135</v>
      </c>
      <c r="C68" s="160"/>
      <c r="D68" s="372">
        <f>Input!$NI$38</f>
        <v>0</v>
      </c>
      <c r="E68" s="372">
        <f>Input!$NJ$38</f>
        <v>0</v>
      </c>
      <c r="F68" s="372">
        <f>Input!$NK$38</f>
        <v>8568034</v>
      </c>
      <c r="G68" s="372">
        <f>Input!$NL$38</f>
        <v>0</v>
      </c>
      <c r="H68" s="372">
        <f>Input!$NM$38</f>
        <v>0</v>
      </c>
      <c r="I68" s="372">
        <f>Input!$NN$38</f>
        <v>0</v>
      </c>
      <c r="J68" s="372">
        <f>Input!$NO$38</f>
        <v>0</v>
      </c>
      <c r="K68" s="372">
        <f>Input!$NP$38</f>
        <v>0</v>
      </c>
      <c r="L68" s="372">
        <f>Input!$NQ$38</f>
        <v>0</v>
      </c>
      <c r="M68" s="373">
        <f t="shared" si="12"/>
        <v>8568034</v>
      </c>
      <c r="N68" s="160"/>
      <c r="O68" s="309" t="s">
        <v>259</v>
      </c>
      <c r="P68" s="519">
        <f>Input!$TA$38</f>
        <v>0</v>
      </c>
      <c r="Q68" s="444" t="s">
        <v>259</v>
      </c>
      <c r="R68" s="311" t="s">
        <v>259</v>
      </c>
      <c r="S68" s="442"/>
      <c r="T68" s="305"/>
      <c r="U68" s="305"/>
      <c r="V68" s="312" t="s">
        <v>261</v>
      </c>
      <c r="W68" s="313"/>
      <c r="X68" s="314">
        <f>SUM(X60:X67)</f>
        <v>102315194</v>
      </c>
      <c r="Z68" s="292" t="s">
        <v>22</v>
      </c>
      <c r="AA68" s="518">
        <f>Input!$UA$38</f>
        <v>8568034</v>
      </c>
      <c r="AB68" s="301">
        <f t="shared" si="16"/>
        <v>0</v>
      </c>
    </row>
    <row r="69" spans="1:28" ht="14.25" thickTop="1" thickBot="1">
      <c r="A69" s="184">
        <v>52</v>
      </c>
      <c r="B69" s="161" t="s">
        <v>59</v>
      </c>
      <c r="C69" s="161"/>
      <c r="D69" s="372">
        <f>Input!$NR$38</f>
        <v>669728</v>
      </c>
      <c r="E69" s="372">
        <f>Input!$NS$38</f>
        <v>145250</v>
      </c>
      <c r="F69" s="372">
        <f>Input!$NT$38</f>
        <v>0</v>
      </c>
      <c r="G69" s="372">
        <f>Input!$NU$38</f>
        <v>4772300</v>
      </c>
      <c r="H69" s="372">
        <f>Input!$NV$38</f>
        <v>0</v>
      </c>
      <c r="I69" s="372">
        <f>Input!$NW$38</f>
        <v>0</v>
      </c>
      <c r="J69" s="372">
        <f>Input!$NX$38</f>
        <v>0</v>
      </c>
      <c r="K69" s="372">
        <f>Input!$NY$38</f>
        <v>0</v>
      </c>
      <c r="L69" s="372">
        <f>Input!$NZ$38</f>
        <v>0</v>
      </c>
      <c r="M69" s="373">
        <f t="shared" si="12"/>
        <v>5587278</v>
      </c>
      <c r="N69" s="160"/>
      <c r="O69" s="315"/>
      <c r="P69" s="316">
        <f>SUM(P60:P68)</f>
        <v>5587278</v>
      </c>
      <c r="Q69" s="316">
        <f>SUM(Q64:Q68)</f>
        <v>0</v>
      </c>
      <c r="R69" s="317">
        <f>SUM(R60:R65)</f>
        <v>76015554</v>
      </c>
      <c r="S69" s="316"/>
      <c r="T69" s="305"/>
      <c r="U69" s="305"/>
      <c r="V69" s="305"/>
      <c r="W69" s="277"/>
      <c r="X69" s="277"/>
      <c r="Y69" s="277"/>
      <c r="Z69" s="292" t="s">
        <v>285</v>
      </c>
      <c r="AA69" s="445">
        <f>M88*-1</f>
        <v>17216719</v>
      </c>
      <c r="AB69" s="301">
        <f>AA69+M88</f>
        <v>0</v>
      </c>
    </row>
    <row r="70" spans="1:28" ht="14.25" thickTop="1" thickBot="1">
      <c r="A70" s="184">
        <v>53</v>
      </c>
      <c r="B70" s="178" t="s">
        <v>44</v>
      </c>
      <c r="C70" s="178"/>
      <c r="D70" s="378">
        <f>Input!$OA$38</f>
        <v>0</v>
      </c>
      <c r="E70" s="378">
        <f>Input!$OB$38</f>
        <v>0</v>
      </c>
      <c r="F70" s="378">
        <f>Input!$OC$38</f>
        <v>0</v>
      </c>
      <c r="G70" s="378">
        <f>Input!$OD$38</f>
        <v>0</v>
      </c>
      <c r="H70" s="378">
        <f>Input!$OE$38</f>
        <v>0</v>
      </c>
      <c r="I70" s="378">
        <f>Input!$OF$38</f>
        <v>0</v>
      </c>
      <c r="J70" s="378">
        <f>Input!$OG$38</f>
        <v>0</v>
      </c>
      <c r="K70" s="378">
        <f>Input!$OH$38</f>
        <v>0</v>
      </c>
      <c r="L70" s="378">
        <f>Input!$OI$38</f>
        <v>358259</v>
      </c>
      <c r="M70" s="373">
        <f t="shared" si="12"/>
        <v>358259</v>
      </c>
      <c r="N70" s="160"/>
      <c r="O70" s="320"/>
      <c r="P70" s="516" t="str">
        <f>IF(P69&lt;&gt;M69,"Out of Balance","Balanced")</f>
        <v>Balanced</v>
      </c>
      <c r="Q70" s="318"/>
      <c r="R70" s="305"/>
      <c r="S70" s="305"/>
      <c r="T70" s="305"/>
      <c r="U70" s="277"/>
      <c r="V70" s="1738" t="str">
        <f>IF(X68-INT(X68)&lt;&gt;0,"Whole Dollars Only","")</f>
        <v/>
      </c>
      <c r="W70" s="1738"/>
      <c r="X70" s="537"/>
      <c r="Y70" s="319"/>
      <c r="Z70" s="410" t="s">
        <v>262</v>
      </c>
      <c r="AA70" s="446" t="s">
        <v>259</v>
      </c>
      <c r="AB70" s="411">
        <f>M90</f>
        <v>0</v>
      </c>
    </row>
    <row r="71" spans="1:28" ht="13.5" thickTop="1">
      <c r="A71" s="184">
        <v>54</v>
      </c>
      <c r="B71" s="162" t="s">
        <v>69</v>
      </c>
      <c r="C71" s="162"/>
      <c r="D71" s="374">
        <f>SUM(D60:D70)</f>
        <v>36498786</v>
      </c>
      <c r="E71" s="374">
        <f>SUM(E60:E70)</f>
        <v>38674257</v>
      </c>
      <c r="F71" s="374">
        <f t="shared" ref="F71:L71" si="19">SUM(F60:F70)</f>
        <v>8568034</v>
      </c>
      <c r="G71" s="374">
        <f t="shared" si="19"/>
        <v>27142151</v>
      </c>
      <c r="H71" s="374">
        <f t="shared" si="19"/>
        <v>467508</v>
      </c>
      <c r="I71" s="374">
        <f t="shared" si="19"/>
        <v>0</v>
      </c>
      <c r="J71" s="374">
        <f t="shared" si="19"/>
        <v>40950</v>
      </c>
      <c r="K71" s="374">
        <f t="shared" si="19"/>
        <v>1600</v>
      </c>
      <c r="L71" s="374">
        <f t="shared" si="19"/>
        <v>358259</v>
      </c>
      <c r="M71" s="374">
        <f t="shared" si="12"/>
        <v>111751545</v>
      </c>
      <c r="N71" s="160"/>
      <c r="O71" s="322"/>
      <c r="P71" s="1738" t="str">
        <f>IF(P69-INT(P69)&lt;&gt;0,"Whole Dollars Only","")</f>
        <v/>
      </c>
      <c r="Q71" s="1738"/>
      <c r="R71" s="323"/>
      <c r="S71" s="323"/>
      <c r="T71" s="323"/>
      <c r="U71" s="291"/>
      <c r="V71" s="324"/>
      <c r="W71" s="321"/>
      <c r="X71" s="321"/>
      <c r="Y71" s="321"/>
      <c r="Z71" s="318"/>
      <c r="AA71" s="325">
        <f>SUM(AA60:AA70)</f>
        <v>123022727</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Input!$OJ$38</f>
        <v>0</v>
      </c>
      <c r="E74" s="372">
        <f>Input!$OK$38</f>
        <v>0</v>
      </c>
      <c r="F74" s="372">
        <f>Input!$OL$38</f>
        <v>0</v>
      </c>
      <c r="G74" s="372">
        <f>Input!$OM$38</f>
        <v>0</v>
      </c>
      <c r="H74" s="372">
        <f>Input!$ON$38</f>
        <v>0</v>
      </c>
      <c r="I74" s="372">
        <f>Input!$OO$38</f>
        <v>0</v>
      </c>
      <c r="J74" s="372">
        <f>Input!$OP$38</f>
        <v>-1763329</v>
      </c>
      <c r="K74" s="372">
        <f>Input!$OQ$38</f>
        <v>0</v>
      </c>
      <c r="L74" s="372">
        <f>Input!$OR$38</f>
        <v>0</v>
      </c>
      <c r="M74" s="373">
        <f>D74+E74+F74+G74+H74+I74+J74+K74+L74</f>
        <v>-1763329</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Input!$OS$38</f>
        <v>-7245416</v>
      </c>
      <c r="E75" s="372">
        <f>Input!$OT$38</f>
        <v>6663901</v>
      </c>
      <c r="F75" s="372">
        <f>Input!$OU$38</f>
        <v>-4283502</v>
      </c>
      <c r="G75" s="372">
        <f>Input!$OV$38</f>
        <v>-15253613</v>
      </c>
      <c r="H75" s="372">
        <f>Input!$OW$38</f>
        <v>89852</v>
      </c>
      <c r="I75" s="372">
        <f>Input!$OX$38</f>
        <v>11879</v>
      </c>
      <c r="J75" s="372">
        <f>Input!$OY$38</f>
        <v>-1780356</v>
      </c>
      <c r="K75" s="372">
        <f>Input!$OZ$38</f>
        <v>4871850</v>
      </c>
      <c r="L75" s="372">
        <f>Input!$PA$38</f>
        <v>14221232</v>
      </c>
      <c r="M75" s="373">
        <f>D75+E75+F75+G75+H75+I75+J75+K75+L75</f>
        <v>-2704173</v>
      </c>
      <c r="N75" s="160"/>
      <c r="O75" s="1723" t="str">
        <f>IF(M85&lt;0,"Footnote 11 is N/A - No Data Entry Required","Footnote 11")</f>
        <v>Footnote 11 is N/A - No Data Entry Required</v>
      </c>
      <c r="P75" s="1724"/>
      <c r="Q75" s="1724"/>
      <c r="R75" s="1725"/>
      <c r="S75" s="330"/>
      <c r="T75" s="330"/>
      <c r="U75" s="327"/>
      <c r="V75" s="276"/>
      <c r="W75" s="331"/>
      <c r="X75" s="331"/>
      <c r="Y75" s="328"/>
      <c r="Z75" s="328"/>
      <c r="AA75" s="276"/>
      <c r="AB75" s="276" t="s">
        <v>293</v>
      </c>
    </row>
    <row r="76" spans="1:28" ht="13.5" thickTop="1">
      <c r="A76" s="184">
        <v>59</v>
      </c>
      <c r="B76" s="160" t="s">
        <v>45</v>
      </c>
      <c r="C76" s="160"/>
      <c r="D76" s="372">
        <f>Input!$PB$38</f>
        <v>0</v>
      </c>
      <c r="E76" s="372">
        <f>Input!$PC$38</f>
        <v>0</v>
      </c>
      <c r="F76" s="372">
        <f>Input!$PD$38</f>
        <v>0</v>
      </c>
      <c r="G76" s="372">
        <f>Input!$PE$38</f>
        <v>0</v>
      </c>
      <c r="H76" s="372">
        <f>Input!$PF$38</f>
        <v>0</v>
      </c>
      <c r="I76" s="372">
        <f>Input!$PG$38</f>
        <v>0</v>
      </c>
      <c r="J76" s="372">
        <f>Input!$PH$38</f>
        <v>-76777</v>
      </c>
      <c r="K76" s="372">
        <f>Input!$PI$38</f>
        <v>0</v>
      </c>
      <c r="L76" s="372">
        <f>Input!$PJ$38</f>
        <v>0</v>
      </c>
      <c r="M76" s="373">
        <f>D76+E76+F76+G76+H76+I76+J76+K76+L76</f>
        <v>-76777</v>
      </c>
      <c r="N76" s="160"/>
      <c r="O76" s="487" t="s">
        <v>583</v>
      </c>
      <c r="P76" s="488"/>
      <c r="Q76" s="489"/>
      <c r="R76" s="490" t="str">
        <f>IF($M$85&lt;0,"N/A",$M$85)</f>
        <v>N/A</v>
      </c>
      <c r="S76" s="330"/>
      <c r="T76" s="330"/>
      <c r="U76" s="327"/>
      <c r="V76" s="276"/>
      <c r="W76" s="331"/>
      <c r="X76" s="331"/>
      <c r="Y76" s="331"/>
      <c r="Z76" s="331"/>
      <c r="AA76" s="276"/>
      <c r="AB76" s="276"/>
    </row>
    <row r="77" spans="1:28">
      <c r="A77" s="184">
        <v>60</v>
      </c>
      <c r="B77" s="160" t="s">
        <v>46</v>
      </c>
      <c r="C77" s="160"/>
      <c r="D77" s="372">
        <f>Input!$PK$38</f>
        <v>0</v>
      </c>
      <c r="E77" s="372">
        <f>Input!$PL$38</f>
        <v>0</v>
      </c>
      <c r="F77" s="372">
        <f>Input!$PM$38</f>
        <v>0</v>
      </c>
      <c r="G77" s="372">
        <f>Input!$PN$38</f>
        <v>0</v>
      </c>
      <c r="H77" s="372">
        <f>Input!$PO$38</f>
        <v>0</v>
      </c>
      <c r="I77" s="372">
        <f>Input!$PP$38</f>
        <v>0</v>
      </c>
      <c r="J77" s="372">
        <f>Input!$PQ$38</f>
        <v>0</v>
      </c>
      <c r="K77" s="372">
        <f>Input!$PR$38</f>
        <v>-11178053</v>
      </c>
      <c r="L77" s="372">
        <f>Input!$PS$38</f>
        <v>0</v>
      </c>
      <c r="M77" s="373">
        <f>D77+E77+F77+G77+H77+I77+J77+K77+L77</f>
        <v>-11178053</v>
      </c>
      <c r="N77" s="160"/>
      <c r="O77" s="491" t="s">
        <v>584</v>
      </c>
      <c r="P77" s="334"/>
      <c r="Q77" s="334"/>
      <c r="R77" s="521">
        <f>Input!$UB$38</f>
        <v>0</v>
      </c>
      <c r="S77" s="330"/>
      <c r="T77" s="330"/>
      <c r="U77" s="327"/>
      <c r="V77" s="276"/>
      <c r="W77" s="331"/>
      <c r="X77" s="331"/>
      <c r="Y77" s="331"/>
      <c r="Z77" s="331"/>
      <c r="AA77" s="276"/>
      <c r="AB77" s="276"/>
    </row>
    <row r="78" spans="1:28">
      <c r="A78" s="184">
        <v>61</v>
      </c>
      <c r="B78" s="162" t="s">
        <v>3</v>
      </c>
      <c r="C78" s="162"/>
      <c r="D78" s="374">
        <f t="shared" ref="D78:L78" si="20">SUM(D74:D77)</f>
        <v>-7245416</v>
      </c>
      <c r="E78" s="374">
        <f t="shared" si="20"/>
        <v>6663901</v>
      </c>
      <c r="F78" s="374">
        <f t="shared" si="20"/>
        <v>-4283502</v>
      </c>
      <c r="G78" s="374">
        <f t="shared" si="20"/>
        <v>-15253613</v>
      </c>
      <c r="H78" s="374">
        <f t="shared" si="20"/>
        <v>89852</v>
      </c>
      <c r="I78" s="374">
        <f t="shared" si="20"/>
        <v>11879</v>
      </c>
      <c r="J78" s="374">
        <f t="shared" si="20"/>
        <v>-3620462</v>
      </c>
      <c r="K78" s="374">
        <f t="shared" si="20"/>
        <v>-6306203</v>
      </c>
      <c r="L78" s="374">
        <f t="shared" si="20"/>
        <v>14221232</v>
      </c>
      <c r="M78" s="374">
        <f>D78+E78+F78+G78+H78+I78+J78+K78+L78</f>
        <v>-15722332</v>
      </c>
      <c r="N78" s="160"/>
      <c r="O78" s="491" t="s">
        <v>585</v>
      </c>
      <c r="P78" s="276"/>
      <c r="Q78" s="334"/>
      <c r="R78" s="492" t="str">
        <f>IF($M$85&lt;0,"",$R$76-$R$77)</f>
        <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3"/>
      <c r="P79" s="276"/>
      <c r="Q79" s="334"/>
      <c r="R79" s="494"/>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5" t="s">
        <v>586</v>
      </c>
      <c r="P80" s="276"/>
      <c r="Q80" s="334"/>
      <c r="R80" s="521">
        <f>Input!$UC$38</f>
        <v>0</v>
      </c>
      <c r="S80" s="330"/>
      <c r="T80" s="330"/>
      <c r="U80" s="334"/>
      <c r="V80" s="276"/>
      <c r="W80" s="328"/>
      <c r="X80" s="328"/>
      <c r="Y80" s="331"/>
      <c r="Z80" s="331"/>
      <c r="AA80" s="276"/>
      <c r="AB80" s="276"/>
    </row>
    <row r="81" spans="1:28">
      <c r="A81" s="184">
        <v>64</v>
      </c>
      <c r="B81" s="160" t="s">
        <v>47</v>
      </c>
      <c r="C81" s="160"/>
      <c r="D81" s="372">
        <f>Input!$PT$38</f>
        <v>0</v>
      </c>
      <c r="E81" s="372">
        <f>Input!$PU$38</f>
        <v>2591997</v>
      </c>
      <c r="F81" s="372">
        <f>Input!$PV$38</f>
        <v>295990</v>
      </c>
      <c r="G81" s="372">
        <f>Input!$PW$38</f>
        <v>557890</v>
      </c>
      <c r="H81" s="372">
        <f>Input!$PX$38</f>
        <v>-67169</v>
      </c>
      <c r="I81" s="372">
        <f>Input!$PY$38</f>
        <v>3978257</v>
      </c>
      <c r="J81" s="372">
        <f>Input!$PZ$38</f>
        <v>348373</v>
      </c>
      <c r="K81" s="372">
        <f>Input!$QA$38</f>
        <v>0</v>
      </c>
      <c r="L81" s="372">
        <f>Input!$QB$38</f>
        <v>0</v>
      </c>
      <c r="M81" s="373">
        <f>D81+E81+F81+G81+H81+I81+J81+K81+L81</f>
        <v>7705338</v>
      </c>
      <c r="N81" s="160"/>
      <c r="O81" s="496" t="s">
        <v>587</v>
      </c>
      <c r="P81" s="276"/>
      <c r="Q81" s="276"/>
      <c r="R81" s="497"/>
      <c r="S81" s="330"/>
      <c r="T81" s="330"/>
      <c r="W81" s="276"/>
      <c r="X81" s="276"/>
      <c r="Y81" s="331"/>
      <c r="Z81" s="331"/>
      <c r="AA81" s="276"/>
      <c r="AB81" s="276"/>
    </row>
    <row r="82" spans="1:28">
      <c r="A82" s="184">
        <v>65</v>
      </c>
      <c r="B82" s="160" t="s">
        <v>48</v>
      </c>
      <c r="C82" s="160"/>
      <c r="D82" s="372">
        <f>Input!$QC$38</f>
        <v>0</v>
      </c>
      <c r="E82" s="372">
        <f>Input!$QD$38</f>
        <v>0</v>
      </c>
      <c r="F82" s="372">
        <f>Input!$QE$38</f>
        <v>0</v>
      </c>
      <c r="G82" s="372">
        <f>Input!$QF$38</f>
        <v>0</v>
      </c>
      <c r="H82" s="372">
        <f>Input!$QG$38</f>
        <v>0</v>
      </c>
      <c r="I82" s="372">
        <f>Input!$QH$38</f>
        <v>63270</v>
      </c>
      <c r="J82" s="372">
        <f>Input!$QI$38</f>
        <v>0</v>
      </c>
      <c r="K82" s="372">
        <f>Input!$QJ$38</f>
        <v>0</v>
      </c>
      <c r="L82" s="372">
        <f>Input!$QK$38</f>
        <v>0</v>
      </c>
      <c r="M82" s="373">
        <f>D82+E82+F82+G82+H82+I82+J82+K82+L82</f>
        <v>63270</v>
      </c>
      <c r="N82" s="160"/>
      <c r="O82" s="498" t="s">
        <v>588</v>
      </c>
      <c r="P82" s="276"/>
      <c r="Q82" s="276"/>
      <c r="R82" s="492" t="str">
        <f>IFERROR($R$78-$R$80,"")</f>
        <v/>
      </c>
      <c r="Y82" s="331"/>
      <c r="Z82" s="401"/>
      <c r="AA82" s="268"/>
      <c r="AB82" s="268"/>
    </row>
    <row r="83" spans="1:28">
      <c r="A83" s="184">
        <v>66</v>
      </c>
      <c r="B83" s="162" t="s">
        <v>3</v>
      </c>
      <c r="C83" s="162"/>
      <c r="D83" s="374">
        <f t="shared" ref="D83:L83" si="21">SUM(D81:D82)</f>
        <v>0</v>
      </c>
      <c r="E83" s="374">
        <f t="shared" si="21"/>
        <v>2591997</v>
      </c>
      <c r="F83" s="374">
        <f t="shared" si="21"/>
        <v>295990</v>
      </c>
      <c r="G83" s="374">
        <f t="shared" si="21"/>
        <v>557890</v>
      </c>
      <c r="H83" s="374">
        <f t="shared" si="21"/>
        <v>-67169</v>
      </c>
      <c r="I83" s="374">
        <f t="shared" si="21"/>
        <v>4041527</v>
      </c>
      <c r="J83" s="374">
        <f t="shared" si="21"/>
        <v>348373</v>
      </c>
      <c r="K83" s="374">
        <f t="shared" si="21"/>
        <v>0</v>
      </c>
      <c r="L83" s="374">
        <f t="shared" si="21"/>
        <v>0</v>
      </c>
      <c r="M83" s="374">
        <f>D83+E83+F83+G83+H83+I83+J83+K83+L83</f>
        <v>7768608</v>
      </c>
      <c r="N83" s="160"/>
      <c r="O83" s="493"/>
      <c r="P83" s="276"/>
      <c r="Q83" s="276"/>
      <c r="R83" s="497"/>
      <c r="Y83" s="163"/>
      <c r="Z83" s="447"/>
      <c r="AA83" s="439"/>
      <c r="AB83" s="448"/>
    </row>
    <row r="84" spans="1:28" ht="13.5" thickBot="1">
      <c r="A84" s="184">
        <v>67</v>
      </c>
      <c r="B84" s="160"/>
      <c r="C84" s="160"/>
      <c r="D84" s="373"/>
      <c r="E84" s="373"/>
      <c r="F84" s="373"/>
      <c r="G84" s="373"/>
      <c r="H84" s="373"/>
      <c r="I84" s="373"/>
      <c r="J84" s="373"/>
      <c r="K84" s="373"/>
      <c r="L84" s="373"/>
      <c r="M84" s="373"/>
      <c r="N84" s="160"/>
      <c r="O84" s="499" t="s">
        <v>589</v>
      </c>
      <c r="P84" s="500"/>
      <c r="Q84" s="500"/>
      <c r="R84" s="501" t="str">
        <f>IFERROR((R82+R80)-R78,"")</f>
        <v/>
      </c>
      <c r="Y84" s="268"/>
      <c r="Z84" s="447"/>
      <c r="AA84" s="439"/>
      <c r="AB84" s="449"/>
    </row>
    <row r="85" spans="1:28" ht="13.5" thickTop="1">
      <c r="A85" s="184">
        <v>68</v>
      </c>
      <c r="B85" s="162" t="s">
        <v>574</v>
      </c>
      <c r="C85" s="162"/>
      <c r="D85" s="374">
        <f t="shared" ref="D85:L85" si="22">D57-D71+D78+D83</f>
        <v>-6673706</v>
      </c>
      <c r="E85" s="374">
        <f t="shared" si="22"/>
        <v>2634748</v>
      </c>
      <c r="F85" s="374">
        <f t="shared" si="22"/>
        <v>897379</v>
      </c>
      <c r="G85" s="374">
        <f t="shared" si="22"/>
        <v>-7434834</v>
      </c>
      <c r="H85" s="374">
        <f t="shared" si="22"/>
        <v>-394419</v>
      </c>
      <c r="I85" s="374">
        <f t="shared" si="22"/>
        <v>4020484</v>
      </c>
      <c r="J85" s="374">
        <f t="shared" si="22"/>
        <v>-2303319</v>
      </c>
      <c r="K85" s="374">
        <f t="shared" si="22"/>
        <v>-6307803</v>
      </c>
      <c r="L85" s="374">
        <f t="shared" si="22"/>
        <v>13862973</v>
      </c>
      <c r="M85" s="374">
        <f>D85+E85+F85+G85+H85+I85+J85+K85+L85</f>
        <v>-1698497</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Input!$QL$38</f>
        <v>0</v>
      </c>
      <c r="E87" s="372">
        <f>Input!$QM$38</f>
        <v>0</v>
      </c>
      <c r="F87" s="372">
        <f>Input!$QN$38</f>
        <v>0</v>
      </c>
      <c r="G87" s="372">
        <f>Input!$QO$38</f>
        <v>0</v>
      </c>
      <c r="H87" s="372">
        <f>Input!$QP$38</f>
        <v>0</v>
      </c>
      <c r="I87" s="372">
        <f>Input!$QQ$38</f>
        <v>0</v>
      </c>
      <c r="J87" s="372">
        <f>Input!$QR$38</f>
        <v>76777</v>
      </c>
      <c r="K87" s="372">
        <f>Input!$QS$38</f>
        <v>6307803</v>
      </c>
      <c r="L87" s="372">
        <f>Input!$QT$38</f>
        <v>0</v>
      </c>
      <c r="M87" s="329">
        <f>D87+E87+F87+G87+H87+I87+J87+K87+L87</f>
        <v>6384580</v>
      </c>
      <c r="N87" s="160"/>
      <c r="Y87" s="268"/>
      <c r="Z87" s="447"/>
      <c r="AA87" s="439"/>
      <c r="AB87" s="449"/>
    </row>
    <row r="88" spans="1:28">
      <c r="B88" s="160" t="s">
        <v>66</v>
      </c>
      <c r="C88" s="160"/>
      <c r="D88" s="372">
        <f>Input!$QU$38</f>
        <v>0</v>
      </c>
      <c r="E88" s="372">
        <f>Input!$QV$38</f>
        <v>0</v>
      </c>
      <c r="F88" s="372">
        <f>Input!$QW$38</f>
        <v>0</v>
      </c>
      <c r="G88" s="372">
        <f>Input!$QX$38</f>
        <v>0</v>
      </c>
      <c r="H88" s="372">
        <f>Input!$QY$38</f>
        <v>0</v>
      </c>
      <c r="I88" s="372">
        <f>Input!$QZ$38</f>
        <v>0</v>
      </c>
      <c r="J88" s="372">
        <f>Input!$RA$38</f>
        <v>0</v>
      </c>
      <c r="K88" s="372">
        <f>Input!$RB$38</f>
        <v>0</v>
      </c>
      <c r="L88" s="372">
        <f>Input!$RC$38</f>
        <v>-17216719</v>
      </c>
      <c r="M88" s="373">
        <f>D88+E88+F88+G88+H88+I88+J88+K88+L88</f>
        <v>-17216719</v>
      </c>
      <c r="N88" s="160"/>
      <c r="O88" s="270"/>
      <c r="P88" s="335"/>
      <c r="Y88" s="268"/>
      <c r="Z88" s="447"/>
      <c r="AA88" s="439"/>
      <c r="AB88" s="449"/>
    </row>
    <row r="89" spans="1:28" s="264" customFormat="1">
      <c r="A89" s="263"/>
      <c r="B89" s="171" t="s">
        <v>216</v>
      </c>
      <c r="C89" s="171"/>
      <c r="D89" s="372">
        <f>Input!$RD$38</f>
        <v>0</v>
      </c>
      <c r="E89" s="372">
        <f>Input!$RE$38</f>
        <v>0</v>
      </c>
      <c r="F89" s="372">
        <f>Input!$RF$38</f>
        <v>0</v>
      </c>
      <c r="G89" s="372">
        <f>Input!$RG$38</f>
        <v>0</v>
      </c>
      <c r="H89" s="372">
        <f>Input!$RH$38</f>
        <v>0</v>
      </c>
      <c r="I89" s="372">
        <f>Input!$RI$38</f>
        <v>0</v>
      </c>
      <c r="J89" s="372">
        <f>Input!$RJ$38</f>
        <v>0</v>
      </c>
      <c r="K89" s="372">
        <f>Input!$RK$38</f>
        <v>0</v>
      </c>
      <c r="L89" s="372">
        <f>Input!$RL$38</f>
        <v>0</v>
      </c>
      <c r="M89" s="373">
        <f t="shared" ref="M89:M91" si="23">D89+E89+F89+G89+H89+I89+J89+K89+L89</f>
        <v>0</v>
      </c>
      <c r="N89" s="160"/>
      <c r="O89" s="1726" t="s">
        <v>1355</v>
      </c>
      <c r="P89" s="1727"/>
      <c r="Q89" s="1727"/>
      <c r="R89" s="1727"/>
      <c r="S89" s="1727"/>
      <c r="T89" s="1727"/>
      <c r="U89" s="1728"/>
      <c r="Y89" s="268"/>
      <c r="Z89" s="447"/>
      <c r="AA89" s="439"/>
      <c r="AB89" s="449"/>
    </row>
    <row r="90" spans="1:28" s="264" customFormat="1">
      <c r="A90" s="263"/>
      <c r="B90" s="171" t="s">
        <v>105</v>
      </c>
      <c r="C90" s="171"/>
      <c r="D90" s="372">
        <f>Input!$RM$38</f>
        <v>0</v>
      </c>
      <c r="E90" s="372">
        <f>Input!$RN$38</f>
        <v>0</v>
      </c>
      <c r="F90" s="372">
        <f>Input!$RO$38</f>
        <v>0</v>
      </c>
      <c r="G90" s="372">
        <f>Input!$RP$38</f>
        <v>0</v>
      </c>
      <c r="H90" s="372">
        <f>Input!$RQ$38</f>
        <v>0</v>
      </c>
      <c r="I90" s="372">
        <f>Input!$RR$38</f>
        <v>0</v>
      </c>
      <c r="J90" s="372">
        <f>Input!$RS$38</f>
        <v>0</v>
      </c>
      <c r="K90" s="372">
        <f>Input!$RT$38</f>
        <v>0</v>
      </c>
      <c r="L90" s="372">
        <f>Input!$RU$38</f>
        <v>0</v>
      </c>
      <c r="M90" s="373">
        <f t="shared" si="23"/>
        <v>0</v>
      </c>
      <c r="N90" s="160"/>
      <c r="O90" s="502" t="s">
        <v>590</v>
      </c>
      <c r="P90" s="423"/>
      <c r="Q90" s="502" t="s">
        <v>591</v>
      </c>
      <c r="R90" s="423"/>
      <c r="S90" s="503"/>
      <c r="T90" s="502" t="s">
        <v>592</v>
      </c>
      <c r="U90" s="423"/>
      <c r="Y90" s="268"/>
      <c r="Z90" s="447"/>
      <c r="AA90" s="439"/>
      <c r="AB90" s="449"/>
    </row>
    <row r="91" spans="1:28" s="264" customFormat="1">
      <c r="A91" s="263"/>
      <c r="B91" s="171" t="s">
        <v>128</v>
      </c>
      <c r="C91" s="171"/>
      <c r="D91" s="372">
        <f>Input!$RV$38</f>
        <v>0</v>
      </c>
      <c r="E91" s="372">
        <f>Input!$RW$38</f>
        <v>0</v>
      </c>
      <c r="F91" s="372">
        <f>Input!$RX$38</f>
        <v>0</v>
      </c>
      <c r="G91" s="372">
        <f>Input!$RY$38</f>
        <v>4253750</v>
      </c>
      <c r="H91" s="372">
        <f>Input!$RZ$38</f>
        <v>0</v>
      </c>
      <c r="I91" s="372">
        <f>Input!$SA$38</f>
        <v>0</v>
      </c>
      <c r="J91" s="372">
        <f>Input!$SB$38</f>
        <v>0</v>
      </c>
      <c r="K91" s="372">
        <f>Input!$SC$38</f>
        <v>0</v>
      </c>
      <c r="L91" s="372">
        <f>Input!$SD$38</f>
        <v>0</v>
      </c>
      <c r="M91" s="373">
        <f t="shared" si="23"/>
        <v>4253750</v>
      </c>
      <c r="N91" s="160"/>
      <c r="O91" s="504"/>
      <c r="P91" s="505"/>
      <c r="Q91" s="504"/>
      <c r="R91" s="426"/>
      <c r="S91" s="276"/>
      <c r="T91" s="506"/>
      <c r="U91" s="426"/>
      <c r="Y91" s="268"/>
      <c r="Z91" s="447"/>
      <c r="AA91" s="439"/>
      <c r="AB91" s="449"/>
    </row>
    <row r="92" spans="1:28" s="264" customFormat="1">
      <c r="A92" s="263"/>
      <c r="B92" s="160" t="s">
        <v>67</v>
      </c>
      <c r="C92" s="160"/>
      <c r="D92" s="372">
        <f>Input!$SE$38</f>
        <v>669728</v>
      </c>
      <c r="E92" s="372">
        <f>Input!$SF$38</f>
        <v>145250</v>
      </c>
      <c r="F92" s="372">
        <f>Input!$SG$38</f>
        <v>0</v>
      </c>
      <c r="G92" s="372">
        <f>Input!$SH$38</f>
        <v>4772300</v>
      </c>
      <c r="H92" s="372">
        <f>Input!$SI$38</f>
        <v>0</v>
      </c>
      <c r="I92" s="372">
        <f>Input!$SJ$38</f>
        <v>0</v>
      </c>
      <c r="J92" s="372">
        <f>Input!$SK$38</f>
        <v>1763329</v>
      </c>
      <c r="K92" s="372">
        <f>Input!$SL$38</f>
        <v>0</v>
      </c>
      <c r="L92" s="372">
        <f>Input!$SM$38</f>
        <v>0</v>
      </c>
      <c r="M92" s="373">
        <f>D92+E92+F92+G92+H92+I92+J92+K92+L92</f>
        <v>7350607</v>
      </c>
      <c r="N92" s="160"/>
      <c r="O92" s="1729" t="str">
        <f>Input!UF$38</f>
        <v>Chris Stovall</v>
      </c>
      <c r="P92" s="1730"/>
      <c r="Q92" s="1729" t="str">
        <f>Input!$UG$38</f>
        <v>(940) 397-4273</v>
      </c>
      <c r="R92" s="1730"/>
      <c r="S92" s="276"/>
      <c r="T92" s="1731" t="str">
        <f>HYPERLINK("Mailto:"&amp;Input!$UH$38,Input!$UH$38)</f>
        <v>chris.stovall@msutexas.edu</v>
      </c>
      <c r="U92" s="1730"/>
      <c r="Y92" s="268"/>
      <c r="Z92" s="447"/>
      <c r="AA92" s="442"/>
      <c r="AB92" s="449"/>
    </row>
    <row r="93" spans="1:28" ht="13.5" thickBot="1">
      <c r="B93" s="179" t="s">
        <v>58</v>
      </c>
      <c r="C93" s="179"/>
      <c r="D93" s="380">
        <f t="shared" ref="D93:K93" si="24">SUM(D85:D92)</f>
        <v>-6003978</v>
      </c>
      <c r="E93" s="380">
        <f t="shared" si="24"/>
        <v>2779998</v>
      </c>
      <c r="F93" s="380">
        <f t="shared" si="24"/>
        <v>897379</v>
      </c>
      <c r="G93" s="380">
        <f t="shared" si="24"/>
        <v>1591216</v>
      </c>
      <c r="H93" s="380">
        <f t="shared" si="24"/>
        <v>-394419</v>
      </c>
      <c r="I93" s="380">
        <f t="shared" si="24"/>
        <v>4020484</v>
      </c>
      <c r="J93" s="380">
        <f t="shared" si="24"/>
        <v>-463213</v>
      </c>
      <c r="K93" s="380">
        <f t="shared" si="24"/>
        <v>0</v>
      </c>
      <c r="L93" s="380">
        <f>SUM(L85:L92)</f>
        <v>-3353746</v>
      </c>
      <c r="M93" s="380">
        <f>D93+E93+F93+G93+H93+I93+J93+K93+L93</f>
        <v>-926279</v>
      </c>
      <c r="N93" s="160"/>
      <c r="O93" s="506"/>
      <c r="P93" s="507"/>
      <c r="Q93" s="276"/>
      <c r="R93" s="276"/>
      <c r="S93" s="276"/>
      <c r="T93" s="507"/>
      <c r="U93" s="508"/>
      <c r="Y93" s="268"/>
      <c r="Z93" s="447"/>
      <c r="AA93" s="442"/>
      <c r="AB93" s="449"/>
    </row>
    <row r="94" spans="1:28" ht="13.5" thickTop="1">
      <c r="C94" s="160"/>
      <c r="D94" s="165"/>
      <c r="E94" s="165"/>
      <c r="F94" s="165"/>
      <c r="G94" s="165"/>
      <c r="H94" s="165"/>
      <c r="I94" s="165"/>
      <c r="J94" s="165"/>
      <c r="K94" s="165"/>
      <c r="L94" s="165"/>
      <c r="M94" s="180"/>
      <c r="N94" s="160"/>
      <c r="O94" s="1720" t="s">
        <v>593</v>
      </c>
      <c r="P94" s="1721"/>
      <c r="Q94" s="1721"/>
      <c r="R94" s="1721"/>
      <c r="S94" s="1721"/>
      <c r="T94" s="1721"/>
      <c r="U94" s="1722"/>
      <c r="Y94" s="268"/>
      <c r="Z94" s="451"/>
      <c r="AA94" s="442"/>
      <c r="AB94" s="449"/>
    </row>
    <row r="95" spans="1:28">
      <c r="B95" s="171" t="s">
        <v>1369</v>
      </c>
      <c r="C95" s="169"/>
      <c r="D95" s="165"/>
      <c r="E95" s="165"/>
      <c r="F95" s="165"/>
      <c r="G95" s="165"/>
      <c r="H95" s="165"/>
      <c r="I95" s="165"/>
      <c r="J95" s="165"/>
      <c r="K95" s="165"/>
      <c r="L95" s="165"/>
      <c r="M95" s="180"/>
      <c r="N95" s="160"/>
      <c r="O95" s="1720"/>
      <c r="P95" s="1721"/>
      <c r="Q95" s="1721"/>
      <c r="R95" s="1721"/>
      <c r="S95" s="1721"/>
      <c r="T95" s="1721"/>
      <c r="U95" s="1722"/>
      <c r="Y95" s="268"/>
      <c r="Z95" s="452"/>
      <c r="AA95" s="453"/>
      <c r="AB95" s="454"/>
    </row>
    <row r="96" spans="1:28">
      <c r="B96" s="169" t="s">
        <v>80</v>
      </c>
      <c r="C96" s="160"/>
      <c r="D96" s="165"/>
      <c r="E96" s="165"/>
      <c r="F96" s="165"/>
      <c r="G96" s="165"/>
      <c r="H96" s="165"/>
      <c r="I96" s="165"/>
      <c r="J96" s="165"/>
      <c r="K96" s="165"/>
      <c r="L96" s="165"/>
      <c r="M96" s="180"/>
      <c r="N96" s="160"/>
      <c r="O96" s="509"/>
      <c r="P96" s="510"/>
      <c r="Q96" s="511"/>
      <c r="R96" s="511"/>
      <c r="S96" s="511"/>
      <c r="T96" s="510"/>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Input!$SN$38</f>
        <v>-926279</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3" t="str">
        <f>IF($L$118&lt;&gt;Input!$F$38,"Out of Balance","Balanced")</f>
        <v>Balanced</v>
      </c>
      <c r="M102" s="517"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63551092</v>
      </c>
      <c r="E105" s="373">
        <f>SUM($E$10:$E$14)+SUM($E$19:$E$28)+SUM($E$32:$E$41)+$E$47+SUM($E$50:$E$55)+SUM($E$60:$E$70)+SUM($E$74:$E$77)+SUM($E$81:$E$82)+SUM($E$87:$E$92)</f>
        <v>80128512</v>
      </c>
      <c r="F105" s="373">
        <f>SUM($F$10:$F$14)+SUM($F$19:$F$28)+SUM($F$32:$F$41)+$F$47+SUM($F$50:$F$55)+SUM($F$60:$F$70)+SUM($F$74:$F$77)+SUM($F$81:$F$82)+SUM($F$87:$F$92)</f>
        <v>18033447</v>
      </c>
      <c r="G105" s="373">
        <f>SUM($G$10:$G$14)+SUM($G$19:$G$28)+SUM($G$32:$G$41)+$G$47+SUM($G$50:$G$55)+SUM($G$60:$G$70)+SUM($G$74:$G$77)+SUM($G$81:$G$82)+SUM($G$87:$G$92)</f>
        <v>55875518</v>
      </c>
      <c r="H105" s="373">
        <f>SUM($H$10:$H$14)+SUM($H$19:$H$28)+SUM($H$32:$H$41)+$H$47+SUM($H$50:$H$55)+SUM($H$60:$H$70)+SUM($H$74:$H$77)+SUM($H$81:$H$82)+SUM($H$87:$H$92)</f>
        <v>540597</v>
      </c>
      <c r="I105" s="373">
        <f>SUM($I$10:$I$14)+SUM($I$19:$I$28)+SUM($I$32:$I$41)+$I$47+SUM($I$50:$I$55)+SUM($I$60:$I$70)+SUM($I$74:$I$77)+SUM($I$81:$I$82)+SUM($I$87:$I$92)</f>
        <v>4020484</v>
      </c>
      <c r="J105" s="373">
        <f>SUM($J$10:$J$14)+SUM($J$19:$J$28)+SUM($J$32:$J$41)+$J$47+SUM($J$50:$J$55)+SUM($J$60:$J$70)+SUM($J$74:$J$77)+SUM($J$81:$J$82)+SUM($J$87:$J$92)</f>
        <v>-381313</v>
      </c>
      <c r="K105" s="373">
        <f>SUM($K$10:$K$14)+SUM($K$19:$K$28)+SUM($K$32:$K$41)+$K$47+SUM($K$50:$K$55)+SUM($K$60:$K$70)+SUM($K$74:$K$77)+SUM($K$81:$K$82)+SUM($K$87:$K$92)</f>
        <v>3200</v>
      </c>
      <c r="L105" s="373">
        <f>SUM($L$10:$L$14)+SUM($L$19:$L$28)+SUM($L$32:$L$41)+$L$47+SUM($L$50:$L$55)+SUM($L$60:$L$70)+SUM($L$74:$L$77)+SUM($L$81:$L$82)+SUM($L$87:$L$92)</f>
        <v>-2637228</v>
      </c>
      <c r="M105" s="373"/>
      <c r="N105" s="264"/>
      <c r="O105" s="373"/>
      <c r="P105" s="450">
        <f>M18-INT(M18)</f>
        <v>0</v>
      </c>
    </row>
    <row r="106" spans="2:28">
      <c r="B106" s="261"/>
      <c r="C106" s="261"/>
      <c r="D106" s="261"/>
      <c r="E106" s="261"/>
      <c r="F106" s="261"/>
      <c r="G106" s="261"/>
      <c r="H106" s="261"/>
      <c r="I106" s="261"/>
      <c r="J106" s="261"/>
      <c r="K106" s="261"/>
      <c r="L106" s="373">
        <f>SUM($D$105:$L$105)</f>
        <v>219134309</v>
      </c>
      <c r="M106" s="261"/>
      <c r="N106" s="264"/>
      <c r="O106" s="373"/>
      <c r="P106" s="450">
        <f>M31-INT(M31)</f>
        <v>0</v>
      </c>
    </row>
    <row r="107" spans="2:28">
      <c r="B107" s="261"/>
      <c r="C107" s="261"/>
      <c r="D107" s="261"/>
      <c r="E107" s="261"/>
      <c r="F107" s="261"/>
      <c r="G107" s="261"/>
      <c r="H107" s="261"/>
      <c r="I107" s="261"/>
      <c r="J107" s="261" t="s">
        <v>1299</v>
      </c>
      <c r="K107" s="261"/>
      <c r="L107" s="373">
        <f>$M$100</f>
        <v>-926279</v>
      </c>
      <c r="M107" s="261"/>
      <c r="N107" s="264"/>
      <c r="O107" s="373"/>
      <c r="P107" s="450">
        <f>M93-INT(M93)</f>
        <v>0</v>
      </c>
    </row>
    <row r="108" spans="2:28">
      <c r="B108" s="261"/>
      <c r="C108" s="261"/>
      <c r="D108" s="261"/>
      <c r="E108" s="261"/>
      <c r="F108" s="261"/>
      <c r="G108" s="261"/>
      <c r="H108" s="261"/>
      <c r="I108" s="261"/>
      <c r="J108" s="261" t="s">
        <v>1300</v>
      </c>
      <c r="K108" s="261"/>
      <c r="L108" s="512">
        <f>$Q$32</f>
        <v>52500565</v>
      </c>
      <c r="M108" s="261"/>
      <c r="N108" s="264"/>
      <c r="O108" s="373"/>
    </row>
    <row r="109" spans="2:28">
      <c r="B109" s="261"/>
      <c r="C109" s="261"/>
      <c r="D109" s="261"/>
      <c r="E109" s="261"/>
      <c r="F109" s="261"/>
      <c r="G109" s="261"/>
      <c r="H109" s="261"/>
      <c r="I109" s="261"/>
      <c r="J109" s="261" t="s">
        <v>1300</v>
      </c>
      <c r="K109" s="261"/>
      <c r="L109" s="512">
        <f>$R$34</f>
        <v>-18667785</v>
      </c>
      <c r="M109" s="261"/>
      <c r="N109" s="264"/>
      <c r="O109" s="373"/>
    </row>
    <row r="110" spans="2:28">
      <c r="B110" s="261"/>
      <c r="C110" s="261"/>
      <c r="D110" s="261"/>
      <c r="E110" s="261"/>
      <c r="F110" s="261"/>
      <c r="G110" s="261"/>
      <c r="H110" s="261"/>
      <c r="I110" s="261"/>
      <c r="J110" s="261" t="s">
        <v>29</v>
      </c>
      <c r="K110" s="261"/>
      <c r="L110" s="512">
        <f>SUM($P$60:$P$68)</f>
        <v>5587278</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2">
        <f>SUM($V$60:$V$67)</f>
        <v>0</v>
      </c>
      <c r="M112" s="261"/>
      <c r="N112" s="264"/>
      <c r="O112" s="373"/>
    </row>
    <row r="113" spans="2:15">
      <c r="B113" s="261"/>
      <c r="C113" s="261"/>
      <c r="D113" s="261"/>
      <c r="E113" s="261"/>
      <c r="F113" s="261"/>
      <c r="G113" s="261"/>
      <c r="H113" s="261"/>
      <c r="I113" s="261"/>
      <c r="J113" s="261" t="s">
        <v>596</v>
      </c>
      <c r="K113" s="261"/>
      <c r="L113" s="512">
        <f>SUM($W$60:$W$67)</f>
        <v>0</v>
      </c>
      <c r="M113" s="261"/>
      <c r="N113" s="264"/>
      <c r="O113" s="373"/>
    </row>
    <row r="114" spans="2:15">
      <c r="B114" s="261"/>
      <c r="C114" s="261"/>
      <c r="D114" s="261"/>
      <c r="E114" s="261"/>
      <c r="F114" s="261"/>
      <c r="G114" s="261"/>
      <c r="H114" s="261"/>
      <c r="I114" s="261"/>
      <c r="J114" s="261" t="s">
        <v>258</v>
      </c>
      <c r="K114" s="261"/>
      <c r="L114" s="512">
        <f>SUM($AA$60:$AA$68)</f>
        <v>105806008</v>
      </c>
      <c r="M114" s="261"/>
      <c r="N114" s="264"/>
      <c r="O114" s="373"/>
    </row>
    <row r="115" spans="2:15">
      <c r="B115" s="261"/>
      <c r="C115" s="261"/>
      <c r="D115" s="261"/>
      <c r="E115" s="261"/>
      <c r="F115" s="261"/>
      <c r="G115" s="261"/>
      <c r="H115" s="261"/>
      <c r="I115" s="261"/>
      <c r="J115" s="261" t="s">
        <v>597</v>
      </c>
      <c r="K115" s="261"/>
      <c r="L115" s="512">
        <f>$R$77</f>
        <v>0</v>
      </c>
      <c r="M115" s="261"/>
      <c r="N115" s="264"/>
      <c r="O115" s="373"/>
    </row>
    <row r="116" spans="2:15">
      <c r="B116" s="261"/>
      <c r="C116" s="261"/>
      <c r="D116" s="261"/>
      <c r="E116" s="261"/>
      <c r="F116" s="261"/>
      <c r="G116" s="261"/>
      <c r="H116" s="261"/>
      <c r="I116" s="261"/>
      <c r="J116" s="261" t="s">
        <v>597</v>
      </c>
      <c r="K116" s="261"/>
      <c r="L116" s="512">
        <f>$R$80</f>
        <v>0</v>
      </c>
      <c r="M116" s="261"/>
      <c r="N116" s="264"/>
      <c r="O116" s="373"/>
    </row>
    <row r="117" spans="2:15">
      <c r="B117" s="261"/>
      <c r="C117" s="261"/>
      <c r="D117" s="261"/>
      <c r="E117" s="261"/>
      <c r="F117" s="261"/>
      <c r="G117" s="261"/>
      <c r="H117" s="261"/>
      <c r="I117" s="261"/>
      <c r="J117" s="261" t="s">
        <v>1231</v>
      </c>
      <c r="K117" s="261"/>
      <c r="L117" s="512">
        <f>VLOOKUP(B2,Names!B5:$C$87,2,FALSE)</f>
        <v>3592</v>
      </c>
      <c r="M117" s="261"/>
      <c r="N117" s="264"/>
      <c r="O117" s="373"/>
    </row>
    <row r="118" spans="2:15">
      <c r="B118" s="261"/>
      <c r="C118" s="261"/>
      <c r="D118" s="261"/>
      <c r="E118" s="261"/>
      <c r="F118" s="261"/>
      <c r="G118" s="261"/>
      <c r="H118" s="261"/>
      <c r="I118" s="261"/>
      <c r="J118" s="261"/>
      <c r="K118" s="261"/>
      <c r="L118" s="373">
        <f>SUM(L106:L117)</f>
        <v>363437688</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V56:V59"/>
    <mergeCell ref="W56:W59"/>
    <mergeCell ref="G59:K59"/>
    <mergeCell ref="AA56:AA59"/>
    <mergeCell ref="Z55:AB55"/>
    <mergeCell ref="R56:R59"/>
    <mergeCell ref="O55:R55"/>
    <mergeCell ref="T55:X55"/>
    <mergeCell ref="X56:X59"/>
    <mergeCell ref="AB56:AB59"/>
    <mergeCell ref="Z56:Z59"/>
    <mergeCell ref="B2:F2"/>
    <mergeCell ref="B3:F3"/>
    <mergeCell ref="B4:F4"/>
    <mergeCell ref="B6:M6"/>
    <mergeCell ref="P4:Q4"/>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s>
  <conditionalFormatting sqref="U87:X88 O88:Q88">
    <cfRule type="cellIs" dxfId="275" priority="114" stopIfTrue="1" operator="notEqual">
      <formula>#REF!</formula>
    </cfRule>
  </conditionalFormatting>
  <conditionalFormatting sqref="P70">
    <cfRule type="expression" dxfId="274" priority="93">
      <formula>$P$69&lt;&gt;$M$69</formula>
    </cfRule>
  </conditionalFormatting>
  <conditionalFormatting sqref="AB72">
    <cfRule type="expression" dxfId="273" priority="92">
      <formula>$AB$71&lt;&gt;0</formula>
    </cfRule>
  </conditionalFormatting>
  <conditionalFormatting sqref="P71">
    <cfRule type="expression" dxfId="272" priority="91">
      <formula>P69-INT(P69)</formula>
    </cfRule>
  </conditionalFormatting>
  <conditionalFormatting sqref="V70">
    <cfRule type="expression" dxfId="271" priority="89">
      <formula>X68-INT(X68)</formula>
    </cfRule>
  </conditionalFormatting>
  <conditionalFormatting sqref="O11">
    <cfRule type="expression" dxfId="270" priority="82">
      <formula>#REF!&lt;&gt;$M$11</formula>
    </cfRule>
  </conditionalFormatting>
  <conditionalFormatting sqref="U87:U88 O88:Q88">
    <cfRule type="cellIs" dxfId="269" priority="73" stopIfTrue="1" operator="notEqual">
      <formula>#REF!</formula>
    </cfRule>
  </conditionalFormatting>
  <conditionalFormatting sqref="R84">
    <cfRule type="expression" priority="71" stopIfTrue="1">
      <formula>$M$85&lt;0</formula>
    </cfRule>
    <cfRule type="expression" dxfId="268" priority="72">
      <formula>$S$85&lt;&gt;0</formula>
    </cfRule>
  </conditionalFormatting>
  <conditionalFormatting sqref="R80 R77">
    <cfRule type="expression" dxfId="267" priority="69" stopIfTrue="1">
      <formula>$M$85&gt;=0</formula>
    </cfRule>
    <cfRule type="expression" priority="70">
      <formula>$M$85&lt;0</formula>
    </cfRule>
  </conditionalFormatting>
  <conditionalFormatting sqref="U87:U88 O88:Q88">
    <cfRule type="cellIs" dxfId="266" priority="68" stopIfTrue="1" operator="notEqual">
      <formula>#REF!</formula>
    </cfRule>
  </conditionalFormatting>
  <conditionalFormatting sqref="O12">
    <cfRule type="expression" dxfId="265" priority="52">
      <formula>$P$12&lt;&gt;$M$12</formula>
    </cfRule>
  </conditionalFormatting>
  <conditionalFormatting sqref="O13">
    <cfRule type="expression" dxfId="264" priority="51">
      <formula>$P$13&lt;&gt;$M$13</formula>
    </cfRule>
  </conditionalFormatting>
  <conditionalFormatting sqref="Q36">
    <cfRule type="expression" dxfId="263" priority="27">
      <formula>#REF!&lt;&gt;#REF!</formula>
    </cfRule>
  </conditionalFormatting>
  <conditionalFormatting sqref="R35">
    <cfRule type="expression" dxfId="262" priority="26">
      <formula>#REF!&lt;&gt;0</formula>
    </cfRule>
  </conditionalFormatting>
  <conditionalFormatting sqref="Q35">
    <cfRule type="expression" dxfId="261" priority="25">
      <formula>#REF!&lt;&gt;0</formula>
    </cfRule>
  </conditionalFormatting>
  <conditionalFormatting sqref="R36">
    <cfRule type="expression" dxfId="260" priority="24">
      <formula>#REF!&lt;&gt;#REF!</formula>
    </cfRule>
  </conditionalFormatting>
  <conditionalFormatting sqref="D93:M98 T94:T95 R90:S95 U87:X93 T90:T92 Y90:Y95 O88:O92 P88:Q93">
    <cfRule type="cellIs" dxfId="259" priority="23" stopIfTrue="1" operator="notEqual">
      <formula>#REF!</formula>
    </cfRule>
  </conditionalFormatting>
  <conditionalFormatting sqref="P70">
    <cfRule type="expression" dxfId="258" priority="22">
      <formula>$P$69&lt;&gt;$M$69</formula>
    </cfRule>
  </conditionalFormatting>
  <conditionalFormatting sqref="AB72">
    <cfRule type="expression" dxfId="257" priority="21">
      <formula>$AB$71&lt;&gt;0</formula>
    </cfRule>
  </conditionalFormatting>
  <conditionalFormatting sqref="P71">
    <cfRule type="expression" dxfId="256" priority="20">
      <formula>P69-INT(P69)</formula>
    </cfRule>
  </conditionalFormatting>
  <conditionalFormatting sqref="V70">
    <cfRule type="expression" dxfId="255" priority="19">
      <formula>X68-INT(X68)</formula>
    </cfRule>
  </conditionalFormatting>
  <conditionalFormatting sqref="O12">
    <cfRule type="expression" dxfId="254" priority="18">
      <formula>$P$12&lt;&gt;$M$12</formula>
    </cfRule>
  </conditionalFormatting>
  <conditionalFormatting sqref="T94:T95 R90:S95 U87:U93 T90:T92 O88:O92 P88:Q93">
    <cfRule type="cellIs" dxfId="253" priority="16" stopIfTrue="1" operator="notEqual">
      <formula>#REF!</formula>
    </cfRule>
  </conditionalFormatting>
  <conditionalFormatting sqref="R84">
    <cfRule type="expression" priority="14" stopIfTrue="1">
      <formula>$M$85&lt;0</formula>
    </cfRule>
    <cfRule type="expression" dxfId="252" priority="15">
      <formula>$S$85&lt;&gt;0</formula>
    </cfRule>
  </conditionalFormatting>
  <conditionalFormatting sqref="R80 R77">
    <cfRule type="expression" dxfId="251" priority="12" stopIfTrue="1">
      <formula>$M$85&gt;=0</formula>
    </cfRule>
    <cfRule type="expression" priority="13">
      <formula>$M$85&lt;0</formula>
    </cfRule>
  </conditionalFormatting>
  <conditionalFormatting sqref="U87:U88 R89:U92 O88:Q92">
    <cfRule type="cellIs" dxfId="250" priority="11" stopIfTrue="1" operator="notEqual">
      <formula>#REF!</formula>
    </cfRule>
  </conditionalFormatting>
  <conditionalFormatting sqref="M101">
    <cfRule type="expression" dxfId="249" priority="10">
      <formula>$M$101&lt;&gt;0</formula>
    </cfRule>
  </conditionalFormatting>
  <conditionalFormatting sqref="M102">
    <cfRule type="expression" dxfId="248" priority="9">
      <formula>$M$93&lt;&gt;$M$100</formula>
    </cfRule>
  </conditionalFormatting>
  <conditionalFormatting sqref="U87:U92 R90:T92 O88:Q92">
    <cfRule type="cellIs" dxfId="247" priority="8" stopIfTrue="1" operator="notEqual">
      <formula>#REF!</formula>
    </cfRule>
  </conditionalFormatting>
  <conditionalFormatting sqref="T89:U89 Q91 T90 O89:O90 P89:Q89 R89:S91">
    <cfRule type="cellIs" dxfId="246" priority="7" stopIfTrue="1" operator="notEqual">
      <formula>#REF!</formula>
    </cfRule>
  </conditionalFormatting>
  <conditionalFormatting sqref="Q36">
    <cfRule type="expression" dxfId="245" priority="6">
      <formula>#REF!&lt;&gt;#REF!</formula>
    </cfRule>
  </conditionalFormatting>
  <conditionalFormatting sqref="R35">
    <cfRule type="expression" dxfId="244" priority="5">
      <formula>#REF!&lt;&gt;0</formula>
    </cfRule>
  </conditionalFormatting>
  <conditionalFormatting sqref="Q35">
    <cfRule type="expression" dxfId="243" priority="4">
      <formula>#REF!&lt;&gt;0</formula>
    </cfRule>
  </conditionalFormatting>
  <conditionalFormatting sqref="R36">
    <cfRule type="expression" dxfId="242" priority="3">
      <formula>#REF!&lt;&gt;#REF!</formula>
    </cfRule>
  </conditionalFormatting>
  <conditionalFormatting sqref="G59:K59">
    <cfRule type="expression" dxfId="241" priority="1">
      <formula>OR($P$105&gt;0,$P$106&lt;&gt;0,$P$107&lt;&gt;0)</formula>
    </cfRule>
  </conditionalFormatting>
  <hyperlinks>
    <hyperlink ref="O2" location="Index!A1" display="Return to Index" xr:uid="{00000000-0004-0000-9B00-000000000000}"/>
  </hyperlinks>
  <printOptions horizontalCentered="1"/>
  <pageMargins left="0.5" right="0.5" top="0.25" bottom="0.25" header="0" footer="0.25"/>
  <pageSetup scale="10" orientation="landscape" r:id="rId1"/>
  <headerFooter alignWithMargins="0"/>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sheetPr codeName="Sheet130"/>
  <dimension ref="A1:G30"/>
  <sheetViews>
    <sheetView showGridLines="0" zoomScale="80" zoomScaleNormal="80" workbookViewId="0">
      <selection activeCell="E74" sqref="E74:F74"/>
    </sheetView>
  </sheetViews>
  <sheetFormatPr defaultColWidth="9.140625" defaultRowHeight="12.75"/>
  <cols>
    <col min="1" max="1" width="7" style="53" customWidth="1"/>
    <col min="2" max="2" width="93.140625" style="53" customWidth="1"/>
    <col min="3" max="3" width="19.7109375" style="53" customWidth="1"/>
    <col min="4" max="9" width="9.140625" style="53"/>
    <col min="10" max="10" width="14.85546875" style="53" customWidth="1"/>
    <col min="11" max="16384" width="9.140625" style="53"/>
  </cols>
  <sheetData>
    <row r="1" spans="2:6" ht="18.75" thickBot="1">
      <c r="B1" s="466" t="str">
        <f>'MidWST Chrts'!$A$1</f>
        <v>Midwestern State University</v>
      </c>
      <c r="C1" s="835" t="s">
        <v>1200</v>
      </c>
    </row>
    <row r="2" spans="2:6">
      <c r="B2" s="393" t="str">
        <f>'Smmy Chrts'!$A$2</f>
        <v>For the Year Ended August 31, 2021</v>
      </c>
    </row>
    <row r="3" spans="2:6">
      <c r="B3" s="393" t="str">
        <f>'Smmy Chrts'!$A$3</f>
        <v>Source: FY 2021 Annual Financial Report</v>
      </c>
    </row>
    <row r="5" spans="2:6" customFormat="1">
      <c r="B5" s="529" t="s">
        <v>705</v>
      </c>
    </row>
    <row r="6" spans="2:6" customFormat="1">
      <c r="B6" s="530"/>
    </row>
    <row r="7" spans="2:6" customFormat="1" ht="226.5" customHeight="1">
      <c r="B7" s="531" t="s">
        <v>706</v>
      </c>
      <c r="C7" s="532"/>
    </row>
    <row r="8" spans="2:6" customFormat="1" ht="263.25" customHeight="1">
      <c r="B8" s="531" t="s">
        <v>707</v>
      </c>
    </row>
    <row r="9" spans="2:6" ht="64.5" customHeight="1">
      <c r="B9" s="533" t="str">
        <f>IF('MidWST FGD'!$R$76="N/A","FN11.  N/A",$B$20&amp;$B$21&amp;$B$22&amp;$B$23&amp;$B$24&amp;$B$25&amp;$B$26&amp;$B$27&amp;$B$28&amp;$B$29&amp;$B$30)</f>
        <v>FN11.  N/A</v>
      </c>
      <c r="E9" s="131"/>
      <c r="F9" s="105"/>
    </row>
    <row r="20" spans="1:7">
      <c r="B20" s="105" t="s">
        <v>681</v>
      </c>
      <c r="G20" s="105"/>
    </row>
    <row r="21" spans="1:7">
      <c r="A21" s="53">
        <v>69</v>
      </c>
      <c r="B21" s="131" t="str">
        <f>TEXT(IF('MidWST FGD'!$M$85&lt;0,"N/A",'MidWST FGD'!$M$85),"$* #,##0;$* (#,##0)")</f>
        <v>N/A</v>
      </c>
      <c r="C21" s="480"/>
      <c r="D21" s="480"/>
      <c r="E21" s="480"/>
      <c r="G21" s="105"/>
    </row>
    <row r="22" spans="1:7">
      <c r="B22" s="105" t="s">
        <v>682</v>
      </c>
    </row>
    <row r="23" spans="1:7">
      <c r="A23" s="53">
        <v>61</v>
      </c>
      <c r="B23" s="515" t="str">
        <f>IF(ABS('MidWST FGD'!$R$77)&gt;=1000000,TEXT('MidWST FGD'!$R$77/1000000,"$* #,##0.0;$* (#,##0.0)")&amp;" million",IF(ABS('MidWST FGD'!$R$77)&lt;1000,TEXT('MidWST FGD'!$R$77,"$* #,##0;$* (#,##0)"),TEXT('MidWST FGD'!$R$77/1000,"$* #,##0;$* (#,##0)")&amp;" thousand"))</f>
        <v>$0</v>
      </c>
      <c r="C23" s="515"/>
      <c r="E23" s="515"/>
    </row>
    <row r="24" spans="1:7">
      <c r="B24" s="105" t="s">
        <v>708</v>
      </c>
    </row>
    <row r="25" spans="1:7">
      <c r="A25" s="53">
        <v>62</v>
      </c>
      <c r="B25" s="515" t="e">
        <f>IF(ABS('MidWST FGD'!$R$78)&gt;=1000000,TEXT('MidWST FGD'!$R$78/1000000,"$* #,##0.0;$* (#,##0.0)")&amp;" million",IF(ABS('MidWST FGD'!$R$78)&lt;1000,TEXT('MidWST FGD'!$R$78,"$* #,##0;$* (#,##0)"),TEXT('MidWST FGD'!$R$78/1000,"$* #,##0;$* (#,##0)")&amp;" thousand"))</f>
        <v>#VALUE!</v>
      </c>
      <c r="C25" s="515"/>
      <c r="E25" s="515"/>
    </row>
    <row r="26" spans="1:7">
      <c r="B26" s="105" t="s">
        <v>683</v>
      </c>
    </row>
    <row r="27" spans="1:7">
      <c r="A27" s="53">
        <v>64</v>
      </c>
      <c r="B27" s="515" t="str">
        <f>IF(ABS('MidWST FGD'!$R$80)&gt;=1000000,TEXT('MidWST FGD'!$R$80/1000000,"$* #,##0.0;$* (#,##0.0)")&amp;" million",IF(ABS('MidWST FGD'!$R$80)&lt;1000,TEXT('MidWST FGD'!$R$80,"$* #,##0;$* (#,##0)"),TEXT('MidWST FGD'!$R$80/1000,"$* #,##0;$* (#,##0)")&amp;" thousand"))</f>
        <v>$0</v>
      </c>
      <c r="C27" s="515"/>
      <c r="E27" s="515"/>
    </row>
    <row r="28" spans="1:7">
      <c r="B28" s="105" t="s">
        <v>684</v>
      </c>
    </row>
    <row r="29" spans="1:7">
      <c r="A29" s="53">
        <v>66</v>
      </c>
      <c r="B29" s="515" t="e">
        <f>IF(ABS('MidWST FGD'!$R$82)&gt;=1000000,TEXT('MidWST FGD'!$R$82/1000000,"$* #,##0.0;$* (#,##0.0)")&amp;" million",IF(ABS('MidWST FGD'!$R$82)&lt;1000,TEXT('MidWST FGD'!$R$82,"$* #,##0;$* (#,##0)"),TEXT('MidWST FGD'!$R$82/1000,"$* #,##0;$* (#,##0)")&amp;" thousand"))</f>
        <v>#VALUE!</v>
      </c>
      <c r="C29" s="515"/>
      <c r="E29" s="515"/>
    </row>
    <row r="30" spans="1:7">
      <c r="B30" s="105" t="s">
        <v>709</v>
      </c>
    </row>
  </sheetData>
  <hyperlinks>
    <hyperlink ref="C1" location="Index!A1" display="Return to Index" xr:uid="{00000000-0004-0000-9C00-000000000000}"/>
  </hyperlinks>
  <pageMargins left="0.25" right="0.25" top="0.25" bottom="0.25" header="0" footer="0.25"/>
  <pageSetup orientation="portrait" r:id="rId1"/>
  <headerFooter alignWithMargins="0"/>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sheetPr codeName="Sheet131">
    <tabColor indexed="47"/>
    <pageSetUpPr fitToPage="1"/>
  </sheetPr>
  <dimension ref="A1:E165"/>
  <sheetViews>
    <sheetView showGridLines="0" zoomScale="65" zoomScaleNormal="65" zoomScaleSheetLayoutView="65" workbookViewId="0">
      <selection activeCell="B30" sqref="B30"/>
    </sheetView>
  </sheetViews>
  <sheetFormatPr defaultColWidth="9.140625" defaultRowHeight="12.75" customHeight="1"/>
  <cols>
    <col min="1" max="1" width="158.7109375" style="53" customWidth="1"/>
    <col min="2" max="2" width="23" style="53" customWidth="1"/>
    <col min="3" max="3" width="49.28515625" style="53" customWidth="1"/>
    <col min="4" max="4" width="20.7109375" style="53" customWidth="1"/>
    <col min="5" max="5" width="9.140625" style="679"/>
    <col min="6" max="16384" width="9.140625" style="53"/>
  </cols>
  <sheetData>
    <row r="1" spans="1:5" ht="28.5" thickBot="1">
      <c r="A1" s="159" t="s">
        <v>125</v>
      </c>
      <c r="B1" s="835" t="s">
        <v>1200</v>
      </c>
      <c r="C1" s="53" t="s">
        <v>1329</v>
      </c>
    </row>
    <row r="2" spans="1:5" ht="27.75">
      <c r="A2" s="54" t="str">
        <f>'Smmy Chrts'!$A$2</f>
        <v>For the Year Ended August 31, 2021</v>
      </c>
      <c r="C2" s="55" t="s">
        <v>63</v>
      </c>
    </row>
    <row r="3" spans="1:5" ht="27.75">
      <c r="A3" s="54" t="str">
        <f>'Smmy Chrts'!$A$3</f>
        <v>Source: FY 2021 Annual Financial Report</v>
      </c>
      <c r="C3" s="53" t="s">
        <v>64</v>
      </c>
    </row>
    <row r="4" spans="1:5" ht="12.75" customHeight="1">
      <c r="C4" s="53" t="s">
        <v>267</v>
      </c>
    </row>
    <row r="5" spans="1:5" ht="12.75" customHeight="1">
      <c r="C5" s="53" t="s">
        <v>268</v>
      </c>
    </row>
    <row r="7" spans="1:5" ht="12.75" customHeight="1">
      <c r="C7" s="1687" t="s">
        <v>25</v>
      </c>
      <c r="D7" s="1687"/>
    </row>
    <row r="8" spans="1:5" ht="12.75" customHeight="1">
      <c r="C8" s="57"/>
      <c r="D8" s="58"/>
    </row>
    <row r="9" spans="1:5" ht="12.75" customHeight="1">
      <c r="C9" s="59" t="str">
        <f>'SFA Sum'!A9</f>
        <v>State of Texas</v>
      </c>
      <c r="D9" s="60">
        <f>'SFA Sum'!B15</f>
        <v>70173866</v>
      </c>
      <c r="E9" s="680">
        <f>ROUND(D9/$D$14,3)</f>
        <v>0.26200000000000001</v>
      </c>
    </row>
    <row r="10" spans="1:5" ht="12.75" customHeight="1">
      <c r="C10" s="59" t="str">
        <f>'SFA Sum'!A17</f>
        <v>Student &amp; Parent</v>
      </c>
      <c r="D10" s="60">
        <f>'SFA Sum'!B20</f>
        <v>80528042</v>
      </c>
      <c r="E10" s="680">
        <f t="shared" ref="E10:E12" si="0">ROUND(D10/$D$14,3)</f>
        <v>0.30099999999999999</v>
      </c>
    </row>
    <row r="11" spans="1:5" ht="12.75" customHeight="1">
      <c r="C11" s="59" t="str">
        <f>'SFA Sum'!A22</f>
        <v>Federal Government</v>
      </c>
      <c r="D11" s="60">
        <f>'SFA Sum'!B23</f>
        <v>74490644</v>
      </c>
      <c r="E11" s="680">
        <f t="shared" si="0"/>
        <v>0.27800000000000002</v>
      </c>
    </row>
    <row r="12" spans="1:5" ht="12.75" customHeight="1">
      <c r="C12" s="59" t="str">
        <f>'SFA Sum'!A25</f>
        <v>Institutional Resources</v>
      </c>
      <c r="D12" s="60">
        <f>'SFA Sum'!B32</f>
        <v>42383275</v>
      </c>
      <c r="E12" s="680">
        <f t="shared" si="0"/>
        <v>0.158</v>
      </c>
    </row>
    <row r="13" spans="1:5" ht="12.75" customHeight="1">
      <c r="C13" s="57"/>
      <c r="D13" s="58"/>
      <c r="E13" s="680"/>
    </row>
    <row r="14" spans="1:5" ht="12.75" customHeight="1">
      <c r="C14" s="61" t="s">
        <v>68</v>
      </c>
      <c r="D14" s="62">
        <f>SUM(D9:D13)</f>
        <v>267575827</v>
      </c>
      <c r="E14" s="680">
        <f>SUM(E9:E13)</f>
        <v>0.999</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86" t="str">
        <f>C14&amp;" "&amp;TEXT(D14,"$#,###")</f>
        <v>Total Operating Sources $267,575,827</v>
      </c>
    </row>
    <row r="48" spans="1:1" ht="12.75" customHeight="1">
      <c r="A48" s="1686"/>
    </row>
    <row r="49" spans="1:5" ht="12.75" customHeight="1">
      <c r="A49" s="56"/>
    </row>
    <row r="52" spans="1:5" ht="12.75" customHeight="1">
      <c r="C52" s="63" t="s">
        <v>25</v>
      </c>
      <c r="D52" s="58"/>
    </row>
    <row r="54" spans="1:5" ht="12.75" customHeight="1">
      <c r="C54" s="59" t="s">
        <v>1</v>
      </c>
      <c r="D54" s="60">
        <f>'SFA Sum'!B10</f>
        <v>47150002</v>
      </c>
      <c r="E54" s="680">
        <f>ROUND(D54/$D$67,3)</f>
        <v>0.17599999999999999</v>
      </c>
    </row>
    <row r="55" spans="1:5" ht="12.75" customHeight="1">
      <c r="C55" s="59" t="s">
        <v>221</v>
      </c>
      <c r="D55" s="60">
        <f>'SFA Sum'!B11</f>
        <v>11746071</v>
      </c>
      <c r="E55" s="680">
        <f t="shared" ref="E55:E66" si="1">ROUND(D55/$D$67,3)</f>
        <v>4.3999999999999997E-2</v>
      </c>
    </row>
    <row r="56" spans="1:5" ht="12.75" customHeight="1">
      <c r="C56" s="59"/>
      <c r="D56" s="60"/>
      <c r="E56" s="680"/>
    </row>
    <row r="57" spans="1:5" ht="12.75" customHeight="1">
      <c r="C57" s="59" t="str">
        <f>'SFA Sum'!A13</f>
        <v>Higher Education Fund</v>
      </c>
      <c r="D57" s="60">
        <f>'SFA Sum'!B13</f>
        <v>11277793</v>
      </c>
      <c r="E57" s="680">
        <f t="shared" si="1"/>
        <v>4.2000000000000003E-2</v>
      </c>
    </row>
    <row r="58" spans="1:5" ht="12.75" customHeight="1">
      <c r="C58" s="1069" t="s">
        <v>41</v>
      </c>
      <c r="D58" s="60">
        <f>'SFA Sum'!B14</f>
        <v>0</v>
      </c>
      <c r="E58" s="680">
        <f t="shared" si="1"/>
        <v>0</v>
      </c>
    </row>
    <row r="59" spans="1:5" ht="12.75" customHeight="1">
      <c r="C59" s="59" t="s">
        <v>87</v>
      </c>
      <c r="D59" s="60">
        <f>'SFA Sum'!B20</f>
        <v>80528042</v>
      </c>
      <c r="E59" s="680">
        <f t="shared" si="1"/>
        <v>0.30099999999999999</v>
      </c>
    </row>
    <row r="60" spans="1:5" ht="12.75" customHeight="1">
      <c r="C60" s="64" t="s">
        <v>74</v>
      </c>
      <c r="D60" s="60">
        <f>'SFA Sum'!B23</f>
        <v>74490644</v>
      </c>
      <c r="E60" s="680">
        <f t="shared" si="1"/>
        <v>0.27800000000000002</v>
      </c>
    </row>
    <row r="61" spans="1:5" ht="12.75" customHeight="1">
      <c r="C61" s="59" t="s">
        <v>75</v>
      </c>
      <c r="D61" s="60">
        <f>'SFA Sum'!B26</f>
        <v>5310888</v>
      </c>
      <c r="E61" s="680">
        <f t="shared" si="1"/>
        <v>0.02</v>
      </c>
    </row>
    <row r="62" spans="1:5" ht="12.75" customHeight="1">
      <c r="C62" s="59" t="s">
        <v>27</v>
      </c>
      <c r="D62" s="60">
        <f>'SFA Sum'!B27</f>
        <v>1129224</v>
      </c>
      <c r="E62" s="680">
        <f t="shared" si="1"/>
        <v>4.0000000000000001E-3</v>
      </c>
    </row>
    <row r="63" spans="1:5" ht="12.75" customHeight="1">
      <c r="C63" s="59" t="s">
        <v>76</v>
      </c>
      <c r="D63" s="60">
        <f>'SFA Sum'!B28</f>
        <v>12237725</v>
      </c>
      <c r="E63" s="680">
        <f t="shared" si="1"/>
        <v>4.5999999999999999E-2</v>
      </c>
    </row>
    <row r="64" spans="1:5" ht="12.75" customHeight="1">
      <c r="C64" s="59" t="s">
        <v>77</v>
      </c>
      <c r="D64" s="60">
        <f>'SFA Sum'!B29</f>
        <v>4789551</v>
      </c>
      <c r="E64" s="680">
        <f t="shared" si="1"/>
        <v>1.7999999999999999E-2</v>
      </c>
    </row>
    <row r="65" spans="1:5" ht="12.75" customHeight="1">
      <c r="C65" s="59" t="s">
        <v>220</v>
      </c>
      <c r="D65" s="60">
        <f>'SFA Sum'!B30</f>
        <v>17374062</v>
      </c>
      <c r="E65" s="680">
        <f t="shared" si="1"/>
        <v>6.5000000000000002E-2</v>
      </c>
    </row>
    <row r="66" spans="1:5" ht="12.75" customHeight="1">
      <c r="C66" s="64" t="s">
        <v>52</v>
      </c>
      <c r="D66" s="60">
        <f>'SFA Sum'!B31</f>
        <v>1541825</v>
      </c>
      <c r="E66" s="680">
        <f t="shared" si="1"/>
        <v>6.0000000000000001E-3</v>
      </c>
    </row>
    <row r="67" spans="1:5" ht="12.75" customHeight="1">
      <c r="C67" s="61" t="s">
        <v>68</v>
      </c>
      <c r="D67" s="62">
        <f>SUM(D54:D66)</f>
        <v>267575827</v>
      </c>
      <c r="E67" s="681">
        <f>SUM(E54:E66)</f>
        <v>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86" t="str">
        <f>C67&amp;" "&amp;TEXT(D67,"$#,###")</f>
        <v>Total Operating Sources $267,575,827</v>
      </c>
    </row>
    <row r="93" spans="1:5" ht="12.75" customHeight="1">
      <c r="A93" s="1686"/>
    </row>
    <row r="94" spans="1:5" ht="12.75" customHeight="1">
      <c r="A94" s="65"/>
    </row>
    <row r="95" spans="1:5" s="68" customFormat="1" ht="12.75" customHeight="1">
      <c r="A95" s="66"/>
      <c r="E95" s="682"/>
    </row>
    <row r="96" spans="1:5" ht="12.75" customHeight="1">
      <c r="A96" s="65"/>
    </row>
    <row r="97" spans="1:5" ht="12.75" customHeight="1">
      <c r="A97" s="65"/>
    </row>
    <row r="98" spans="1:5" ht="12.75" customHeight="1">
      <c r="A98" s="65"/>
    </row>
    <row r="100" spans="1:5" ht="12.75" customHeight="1">
      <c r="C100" s="1687" t="s">
        <v>13</v>
      </c>
      <c r="D100" s="1687"/>
    </row>
    <row r="101" spans="1:5" ht="12.75" customHeight="1">
      <c r="C101" s="1687"/>
      <c r="D101" s="1687"/>
    </row>
    <row r="102" spans="1:5" ht="12.75" customHeight="1">
      <c r="C102" s="69" t="s">
        <v>14</v>
      </c>
      <c r="D102" s="60">
        <f>'SFA Sum'!B36</f>
        <v>76284735</v>
      </c>
      <c r="E102" s="680">
        <f>ROUND(D102/$D$114,3)</f>
        <v>0.30099999999999999</v>
      </c>
    </row>
    <row r="103" spans="1:5" ht="12.75" customHeight="1">
      <c r="C103" s="69" t="s">
        <v>15</v>
      </c>
      <c r="D103" s="60">
        <f>'SFA Sum'!B37</f>
        <v>3688401</v>
      </c>
      <c r="E103" s="680">
        <f t="shared" ref="E103:E112" si="2">ROUND(D103/$D$114,3)</f>
        <v>1.4999999999999999E-2</v>
      </c>
    </row>
    <row r="104" spans="1:5" ht="12.75" customHeight="1">
      <c r="C104" s="69" t="s">
        <v>16</v>
      </c>
      <c r="D104" s="60">
        <f>'SFA Sum'!B38</f>
        <v>1421827</v>
      </c>
      <c r="E104" s="680">
        <f t="shared" si="2"/>
        <v>6.0000000000000001E-3</v>
      </c>
    </row>
    <row r="105" spans="1:5" ht="12.75" customHeight="1">
      <c r="C105" s="69" t="s">
        <v>17</v>
      </c>
      <c r="D105" s="60">
        <f>'SFA Sum'!B39</f>
        <v>16382558</v>
      </c>
      <c r="E105" s="680">
        <f t="shared" si="2"/>
        <v>6.5000000000000002E-2</v>
      </c>
    </row>
    <row r="106" spans="1:5" ht="12.75" customHeight="1">
      <c r="C106" s="69" t="s">
        <v>18</v>
      </c>
      <c r="D106" s="60">
        <f>'SFA Sum'!B40</f>
        <v>23128753</v>
      </c>
      <c r="E106" s="680">
        <f t="shared" si="2"/>
        <v>9.0999999999999998E-2</v>
      </c>
    </row>
    <row r="107" spans="1:5" ht="12.75" customHeight="1">
      <c r="C107" s="69" t="s">
        <v>19</v>
      </c>
      <c r="D107" s="60">
        <f>'SFA Sum'!B41</f>
        <v>34770654</v>
      </c>
      <c r="E107" s="680">
        <f t="shared" si="2"/>
        <v>0.13700000000000001</v>
      </c>
    </row>
    <row r="108" spans="1:5" ht="12.75" customHeight="1">
      <c r="C108" s="69" t="s">
        <v>78</v>
      </c>
      <c r="D108" s="60">
        <f>'SFA Sum'!B42</f>
        <v>17083626</v>
      </c>
      <c r="E108" s="680">
        <f t="shared" si="2"/>
        <v>6.7000000000000004E-2</v>
      </c>
    </row>
    <row r="109" spans="1:5" ht="12.75" customHeight="1">
      <c r="C109" s="69" t="s">
        <v>79</v>
      </c>
      <c r="D109" s="60">
        <f>'SFA Sum'!B43</f>
        <v>33675827</v>
      </c>
      <c r="E109" s="680">
        <f t="shared" si="2"/>
        <v>0.13300000000000001</v>
      </c>
    </row>
    <row r="110" spans="1:5" ht="12.75" customHeight="1">
      <c r="C110" s="69" t="s">
        <v>22</v>
      </c>
      <c r="D110" s="60">
        <f>'SFA Sum'!B44</f>
        <v>26980088</v>
      </c>
      <c r="E110" s="680">
        <f t="shared" si="2"/>
        <v>0.106</v>
      </c>
    </row>
    <row r="111" spans="1:5" ht="12.75" customHeight="1">
      <c r="C111" s="64" t="s">
        <v>29</v>
      </c>
      <c r="D111" s="60">
        <f>'SFA Sum'!B45</f>
        <v>1211299</v>
      </c>
      <c r="E111" s="680">
        <f t="shared" si="2"/>
        <v>5.0000000000000001E-3</v>
      </c>
    </row>
    <row r="112" spans="1:5" ht="12.75" customHeight="1">
      <c r="C112" s="64" t="s">
        <v>53</v>
      </c>
      <c r="D112" s="60">
        <f>'SFA Sum'!B46</f>
        <v>19230141</v>
      </c>
      <c r="E112" s="680">
        <f t="shared" si="2"/>
        <v>7.5999999999999998E-2</v>
      </c>
    </row>
    <row r="113" spans="3:5" ht="12.75" customHeight="1">
      <c r="C113" s="57"/>
      <c r="D113" s="57"/>
    </row>
    <row r="114" spans="3:5" ht="12.75" customHeight="1">
      <c r="C114" s="70" t="s">
        <v>69</v>
      </c>
      <c r="D114" s="62">
        <f>SUM(D102:D113)</f>
        <v>253857909</v>
      </c>
      <c r="E114" s="681">
        <f>SUM(E102:E113)</f>
        <v>1.002</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86" t="str">
        <f>C114&amp;" "&amp;TEXT(D114,"$#,###")</f>
        <v>Total Operating Uses $253,857,909</v>
      </c>
    </row>
    <row r="137" spans="1:1" ht="12.75" customHeight="1">
      <c r="A137" s="1686"/>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9D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1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sheetPr transitionEvaluation="1" transitionEntry="1" codeName="Sheet132">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G27" sqref="G27"/>
    </sheetView>
  </sheetViews>
  <sheetFormatPr defaultColWidth="9.140625"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'SFA Chrts'!$A$1</f>
        <v>Stephen F. Austin State University</v>
      </c>
      <c r="B1" s="74"/>
      <c r="C1" s="1"/>
      <c r="D1" s="1704" t="s">
        <v>1200</v>
      </c>
      <c r="E1" s="1705"/>
      <c r="F1" s="1757" t="s">
        <v>1196</v>
      </c>
      <c r="G1" s="1706"/>
      <c r="H1" s="1706"/>
      <c r="I1" s="1761"/>
      <c r="J1" s="1707" t="s">
        <v>1197</v>
      </c>
      <c r="K1" s="1695"/>
      <c r="L1" s="1695"/>
      <c r="M1" s="1695"/>
      <c r="N1" s="1695"/>
      <c r="O1" s="1696"/>
    </row>
    <row r="2" spans="1:15" ht="15.75">
      <c r="A2" s="76" t="str">
        <f>'Smmy Chrts'!$A$2</f>
        <v>For the Year Ended August 31, 2021</v>
      </c>
      <c r="B2" s="74"/>
      <c r="C2" s="1"/>
      <c r="D2" s="37"/>
      <c r="E2" s="37"/>
      <c r="F2" s="37"/>
      <c r="J2" s="37"/>
      <c r="K2" s="37"/>
      <c r="L2" s="37"/>
      <c r="M2" s="37"/>
    </row>
    <row r="3" spans="1:15" ht="15.75">
      <c r="A3" s="76" t="str">
        <f>'Smmy Chrts'!$A$3</f>
        <v>Source: FY 2021 Annual Financial Report</v>
      </c>
      <c r="B3" s="74"/>
      <c r="C3" s="1"/>
    </row>
    <row r="4" spans="1:15" ht="13.5" customHeight="1">
      <c r="B4" s="77"/>
      <c r="C4" s="4"/>
      <c r="D4" s="1711" t="s">
        <v>1142</v>
      </c>
      <c r="E4" s="1711" t="s">
        <v>1143</v>
      </c>
      <c r="F4" s="266"/>
    </row>
    <row r="5" spans="1:15" ht="18">
      <c r="A5" s="39" t="str">
        <f>'Smmy Chrts'!$C$35</f>
        <v>Summary Worksheet FY 2021</v>
      </c>
      <c r="B5" s="40" t="s">
        <v>86</v>
      </c>
      <c r="C5" s="40" t="s">
        <v>129</v>
      </c>
      <c r="D5" s="1712"/>
      <c r="E5" s="1712"/>
      <c r="F5" s="266"/>
      <c r="G5" s="799" t="s">
        <v>1198</v>
      </c>
      <c r="I5" s="822" t="s">
        <v>2157</v>
      </c>
      <c r="J5" s="792" t="s">
        <v>1144</v>
      </c>
    </row>
    <row r="6" spans="1:15" ht="13.5" customHeight="1">
      <c r="A6" s="78" t="s">
        <v>266</v>
      </c>
      <c r="B6" s="41"/>
      <c r="C6" s="42">
        <f>VLOOKUP($A$1,FTSELU,12,FALSE)</f>
        <v>10368.98</v>
      </c>
      <c r="J6" s="712"/>
    </row>
    <row r="7" spans="1:15">
      <c r="I7" s="824" t="s">
        <v>1162</v>
      </c>
      <c r="J7" s="827"/>
    </row>
    <row r="8" spans="1:15">
      <c r="A8" s="81" t="s">
        <v>71</v>
      </c>
      <c r="B8" s="81"/>
      <c r="C8" s="24"/>
      <c r="I8" s="896">
        <f>VLOOKUP(A1,FTSELU,14,FALSE)</f>
        <v>1232.71</v>
      </c>
      <c r="J8" s="712"/>
    </row>
    <row r="9" spans="1:15" ht="12.75" customHeight="1" thickBot="1">
      <c r="A9" s="78" t="s">
        <v>0</v>
      </c>
      <c r="B9" s="82"/>
      <c r="C9" s="7"/>
      <c r="J9" s="712"/>
    </row>
    <row r="10" spans="1:15" ht="12.75" customHeight="1" thickTop="1">
      <c r="A10" s="75" t="s">
        <v>1</v>
      </c>
      <c r="B10" s="83">
        <f>'SFA FGD'!M10</f>
        <v>47150002</v>
      </c>
      <c r="C10" s="83">
        <f>ROUND(B10/$C$6,0)</f>
        <v>4547</v>
      </c>
      <c r="D10" s="512">
        <f>'SFA FGD'!F10</f>
        <v>0</v>
      </c>
      <c r="E10" s="512"/>
      <c r="F10" s="84">
        <f>B10-(SUM(D10:E10))</f>
        <v>47150002</v>
      </c>
      <c r="G10" s="1143" t="s">
        <v>1</v>
      </c>
      <c r="H10" s="1144"/>
      <c r="I10" s="825" t="s">
        <v>1161</v>
      </c>
      <c r="J10" s="713">
        <f>ROUND(F10/$C$6,0)</f>
        <v>4547</v>
      </c>
    </row>
    <row r="11" spans="1:15" ht="12.75" customHeight="1" thickBot="1">
      <c r="A11" s="75" t="s">
        <v>2</v>
      </c>
      <c r="B11" s="86">
        <f>'SFA FGD'!M11</f>
        <v>11746071</v>
      </c>
      <c r="C11" s="87">
        <f t="shared" ref="C11:C14" si="0">ROUND(B11/$C$6,0)</f>
        <v>1133</v>
      </c>
      <c r="D11" s="86">
        <f>'SFA FGD'!F11</f>
        <v>0</v>
      </c>
      <c r="E11" s="74"/>
      <c r="F11" s="606">
        <f t="shared" ref="F11:F14" si="1">B11-(SUM(D11:E11))</f>
        <v>11746071</v>
      </c>
      <c r="G11" s="1148">
        <f>SUM(F10:F11)</f>
        <v>58896073</v>
      </c>
      <c r="H11" s="715"/>
      <c r="I11" s="1373">
        <f>ROUND($G$11/$C$6,0)</f>
        <v>5680</v>
      </c>
      <c r="J11" s="716">
        <f t="shared" ref="J11:J14" si="2">ROUND(F11/$C$6,0)</f>
        <v>1133</v>
      </c>
    </row>
    <row r="12" spans="1:15" ht="12.75" hidden="1" customHeight="1" thickTop="1" thickBot="1">
      <c r="A12" s="75" t="s">
        <v>1410</v>
      </c>
      <c r="B12" s="86"/>
      <c r="C12" s="87"/>
      <c r="D12" s="86"/>
      <c r="E12" s="74"/>
      <c r="F12" s="607"/>
      <c r="J12" s="716"/>
      <c r="O12" s="608"/>
    </row>
    <row r="13" spans="1:15" ht="12.75" customHeight="1" thickTop="1">
      <c r="A13" s="75" t="s">
        <v>1368</v>
      </c>
      <c r="B13" s="86">
        <f>'SFA FGD'!M13</f>
        <v>11277793</v>
      </c>
      <c r="C13" s="87">
        <f t="shared" si="0"/>
        <v>1088</v>
      </c>
      <c r="D13" s="86">
        <f>'SFA FGD'!F13</f>
        <v>0</v>
      </c>
      <c r="E13" s="74"/>
      <c r="F13" s="893">
        <f t="shared" si="1"/>
        <v>11277793</v>
      </c>
      <c r="G13" s="882" t="s">
        <v>81</v>
      </c>
      <c r="H13" s="894"/>
      <c r="I13" s="826" t="s">
        <v>1163</v>
      </c>
      <c r="J13" s="716">
        <f t="shared" si="2"/>
        <v>1088</v>
      </c>
    </row>
    <row r="14" spans="1:15" ht="12.75" customHeight="1" thickBot="1">
      <c r="A14" s="75" t="s">
        <v>49</v>
      </c>
      <c r="B14" s="86">
        <f>'SFA FGD'!M14</f>
        <v>0</v>
      </c>
      <c r="C14" s="87">
        <f t="shared" si="0"/>
        <v>0</v>
      </c>
      <c r="D14" s="86">
        <f>'SFA FGD'!F14</f>
        <v>0</v>
      </c>
      <c r="E14" s="74"/>
      <c r="F14" s="607">
        <f t="shared" si="1"/>
        <v>0</v>
      </c>
      <c r="G14" s="800">
        <f>SUM(F13:F14)</f>
        <v>11277793</v>
      </c>
      <c r="H14" s="895"/>
      <c r="I14" s="1377">
        <f>ROUND($G$11/$I$8,0)</f>
        <v>47778</v>
      </c>
      <c r="J14" s="828">
        <f t="shared" si="2"/>
        <v>0</v>
      </c>
    </row>
    <row r="15" spans="1:15" ht="12.75" customHeight="1" thickTop="1">
      <c r="A15" s="88" t="s">
        <v>3</v>
      </c>
      <c r="B15" s="89">
        <f>SUM(B10:B14)</f>
        <v>70173866</v>
      </c>
      <c r="C15" s="89">
        <f>SUM(C10:C14)</f>
        <v>6768</v>
      </c>
      <c r="D15" s="89">
        <f>SUM(D10:D14)</f>
        <v>0</v>
      </c>
      <c r="E15" s="89">
        <f>SUM(E10:E14)</f>
        <v>0</v>
      </c>
      <c r="F15" s="216">
        <f>SUM(F10:F14)</f>
        <v>70173866</v>
      </c>
      <c r="I15" s="1372"/>
      <c r="J15" s="757">
        <f>SUM(J10:J14)</f>
        <v>6768</v>
      </c>
    </row>
    <row r="16" spans="1:15">
      <c r="B16" s="48"/>
      <c r="C16" s="75"/>
      <c r="J16" s="712"/>
    </row>
    <row r="17" spans="1:31" ht="12.75" customHeight="1">
      <c r="A17" s="78" t="s">
        <v>4</v>
      </c>
      <c r="B17" s="86"/>
      <c r="C17" s="75"/>
      <c r="J17" s="712"/>
    </row>
    <row r="18" spans="1:31">
      <c r="A18" s="75" t="s">
        <v>39</v>
      </c>
      <c r="B18" s="83">
        <f>'SFA FGD'!M29</f>
        <v>57041582</v>
      </c>
      <c r="C18" s="83">
        <f t="shared" ref="C18:C19" si="3">ROUND(B18/$C$6,0)</f>
        <v>5501</v>
      </c>
      <c r="D18" s="512">
        <f>'SFA FGD'!$F$29</f>
        <v>0</v>
      </c>
      <c r="E18" s="512"/>
      <c r="F18" s="512">
        <f t="shared" ref="F18:F19" si="4">B18-(SUM(D18:E18))</f>
        <v>57041582</v>
      </c>
      <c r="G18" s="337"/>
      <c r="H18" s="337"/>
      <c r="I18" s="337"/>
      <c r="J18" s="713">
        <f>ROUND(F18/$C$6,0)</f>
        <v>5501</v>
      </c>
    </row>
    <row r="19" spans="1:31" ht="13.5" thickBot="1">
      <c r="A19" s="75" t="s">
        <v>40</v>
      </c>
      <c r="B19" s="86">
        <f>'SFA FGD'!M42</f>
        <v>23486460</v>
      </c>
      <c r="C19" s="87">
        <f t="shared" si="3"/>
        <v>2265</v>
      </c>
      <c r="D19" s="74">
        <f>'SFA FGD'!$F$42</f>
        <v>4254012</v>
      </c>
      <c r="E19" s="74"/>
      <c r="F19" s="74">
        <f t="shared" si="4"/>
        <v>19232448</v>
      </c>
      <c r="G19" s="337"/>
      <c r="H19" s="337"/>
      <c r="I19" s="337"/>
      <c r="J19" s="716">
        <f>ROUND(F19/$C$6,0)</f>
        <v>1855</v>
      </c>
    </row>
    <row r="20" spans="1:31" ht="14.25" thickTop="1" thickBot="1">
      <c r="A20" s="88" t="s">
        <v>5</v>
      </c>
      <c r="B20" s="89">
        <f>SUM(B18:B19)</f>
        <v>80528042</v>
      </c>
      <c r="C20" s="89">
        <f>SUM(C18:C19)</f>
        <v>7766</v>
      </c>
      <c r="D20" s="717">
        <f>SUM(D18:D19)</f>
        <v>4254012</v>
      </c>
      <c r="E20" s="718">
        <f>SUM(E18:E19)</f>
        <v>0</v>
      </c>
      <c r="F20" s="801">
        <f>SUM(F18:F19)</f>
        <v>76274030</v>
      </c>
      <c r="G20" s="720" t="s">
        <v>26</v>
      </c>
      <c r="H20" s="366"/>
      <c r="I20" s="367"/>
      <c r="J20" s="721">
        <f>SUM(J18:J19)</f>
        <v>7356</v>
      </c>
    </row>
    <row r="21" spans="1:31" ht="12.75" customHeight="1" thickTop="1">
      <c r="B21" s="91"/>
      <c r="C21" s="75"/>
      <c r="F21" s="804"/>
      <c r="J21" s="712"/>
    </row>
    <row r="22" spans="1:31" ht="14.25" customHeight="1" thickBot="1">
      <c r="A22" s="78" t="s">
        <v>6</v>
      </c>
      <c r="B22" s="91"/>
      <c r="C22" s="75"/>
      <c r="J22" s="712"/>
    </row>
    <row r="23" spans="1:31" ht="14.25" thickTop="1" thickBot="1">
      <c r="A23" s="88" t="s">
        <v>7</v>
      </c>
      <c r="B23" s="92">
        <f>'SFA FGD'!M47</f>
        <v>74490644</v>
      </c>
      <c r="C23" s="89">
        <f t="shared" ref="C23" si="5">ROUND(B23/$C$6,0)</f>
        <v>7184</v>
      </c>
      <c r="D23" s="717">
        <f>'SFA FGD'!F47</f>
        <v>0</v>
      </c>
      <c r="E23" s="718"/>
      <c r="F23" s="801">
        <f>B23-(SUM(D23:E23))</f>
        <v>74490644</v>
      </c>
      <c r="G23" s="722" t="s">
        <v>74</v>
      </c>
      <c r="H23" s="366"/>
      <c r="I23" s="367"/>
      <c r="J23" s="756">
        <f>ROUND(F23/$C$6,0)</f>
        <v>7184</v>
      </c>
    </row>
    <row r="24" spans="1:31" ht="13.5" thickTop="1">
      <c r="B24" s="91"/>
      <c r="C24" s="75"/>
      <c r="J24" s="712"/>
    </row>
    <row r="25" spans="1:31">
      <c r="A25" s="78" t="s">
        <v>8</v>
      </c>
      <c r="B25" s="91"/>
      <c r="C25" s="75"/>
      <c r="J25" s="712"/>
    </row>
    <row r="26" spans="1:31">
      <c r="A26" s="75" t="s">
        <v>42</v>
      </c>
      <c r="B26" s="83">
        <f>'SFA FGD'!M50</f>
        <v>5310888</v>
      </c>
      <c r="C26" s="83">
        <f t="shared" ref="C26:C31" si="6">ROUND(B26/$C$6,0)</f>
        <v>512</v>
      </c>
      <c r="D26" s="512">
        <f>'SFA FGD'!F50</f>
        <v>478819</v>
      </c>
      <c r="E26" s="512"/>
      <c r="F26" s="512">
        <f t="shared" ref="F26:F31" si="7">B26-(SUM(D26:E26))</f>
        <v>4832069</v>
      </c>
      <c r="G26" s="337"/>
      <c r="H26" s="337"/>
      <c r="I26" s="337"/>
      <c r="J26" s="713">
        <f>ROUND(F26/$C$6,0)</f>
        <v>466</v>
      </c>
    </row>
    <row r="27" spans="1:31">
      <c r="A27" s="75" t="s">
        <v>9</v>
      </c>
      <c r="B27" s="86">
        <f>'SFA FGD'!M51</f>
        <v>1129224</v>
      </c>
      <c r="C27" s="87">
        <f t="shared" si="6"/>
        <v>109</v>
      </c>
      <c r="D27" s="86">
        <f>'SFA FGD'!F51</f>
        <v>0</v>
      </c>
      <c r="E27" s="74"/>
      <c r="F27" s="74">
        <f t="shared" si="7"/>
        <v>1129224</v>
      </c>
      <c r="G27" s="337"/>
      <c r="H27" s="337"/>
      <c r="I27" s="337"/>
      <c r="J27" s="716">
        <f t="shared" ref="J27:J31" si="8">ROUND(F27/$C$6,0)</f>
        <v>109</v>
      </c>
    </row>
    <row r="28" spans="1:31" ht="13.5" thickBot="1">
      <c r="A28" s="75" t="s">
        <v>10</v>
      </c>
      <c r="B28" s="86">
        <f>'SFA FGD'!M52</f>
        <v>12237725</v>
      </c>
      <c r="C28" s="87">
        <f t="shared" si="6"/>
        <v>1180</v>
      </c>
      <c r="D28" s="86">
        <f>'SFA FGD'!F52</f>
        <v>1000000</v>
      </c>
      <c r="E28" s="74"/>
      <c r="F28" s="74">
        <f t="shared" si="7"/>
        <v>11237725</v>
      </c>
      <c r="G28" s="337"/>
      <c r="H28" s="337"/>
      <c r="I28" s="337"/>
      <c r="J28" s="716">
        <f t="shared" si="8"/>
        <v>1084</v>
      </c>
    </row>
    <row r="29" spans="1:31" ht="13.5" thickBot="1">
      <c r="A29" s="75" t="s">
        <v>11</v>
      </c>
      <c r="B29" s="86">
        <f>'SFA FGD'!M53</f>
        <v>4789551</v>
      </c>
      <c r="C29" s="87">
        <f t="shared" si="6"/>
        <v>462</v>
      </c>
      <c r="D29" s="86">
        <f>'SFA FGD'!F53</f>
        <v>0</v>
      </c>
      <c r="E29" s="74"/>
      <c r="F29" s="74">
        <f t="shared" si="7"/>
        <v>4789551</v>
      </c>
      <c r="G29" s="337"/>
      <c r="H29" s="337"/>
      <c r="I29" s="337"/>
      <c r="J29" s="716">
        <f t="shared" si="8"/>
        <v>462</v>
      </c>
      <c r="K29" s="1694" t="s">
        <v>1065</v>
      </c>
      <c r="L29" s="1695"/>
      <c r="M29" s="1695"/>
      <c r="N29" s="1695"/>
      <c r="O29" s="1696"/>
    </row>
    <row r="30" spans="1:31" ht="13.5" thickBot="1">
      <c r="A30" s="93" t="s">
        <v>2134</v>
      </c>
      <c r="B30" s="94">
        <f>'SFA FGD'!M54</f>
        <v>17374062</v>
      </c>
      <c r="C30" s="87">
        <f t="shared" si="6"/>
        <v>1676</v>
      </c>
      <c r="D30" s="729">
        <f>B30</f>
        <v>17374062</v>
      </c>
      <c r="E30" s="74"/>
      <c r="F30" s="74">
        <f t="shared" si="7"/>
        <v>0</v>
      </c>
      <c r="G30" s="337"/>
      <c r="H30" s="337"/>
      <c r="I30" s="337"/>
      <c r="J30" s="716">
        <f t="shared" si="8"/>
        <v>0</v>
      </c>
      <c r="K30" s="1694" t="s">
        <v>1070</v>
      </c>
      <c r="L30" s="1695"/>
      <c r="M30" s="1695"/>
      <c r="N30" s="1695"/>
      <c r="O30" s="1696"/>
    </row>
    <row r="31" spans="1:31" ht="13.5" customHeight="1" thickBot="1">
      <c r="A31" s="95" t="s">
        <v>43</v>
      </c>
      <c r="B31" s="86">
        <f>'SFA FGD'!M55</f>
        <v>1541825</v>
      </c>
      <c r="C31" s="87">
        <f t="shared" si="6"/>
        <v>149</v>
      </c>
      <c r="D31" s="86">
        <f>'SFA FGD'!F55</f>
        <v>162783</v>
      </c>
      <c r="E31" s="74"/>
      <c r="F31" s="74">
        <f t="shared" si="7"/>
        <v>1379042</v>
      </c>
      <c r="G31" s="35"/>
      <c r="H31" s="35"/>
      <c r="I31" s="38"/>
      <c r="J31" s="716">
        <f t="shared" si="8"/>
        <v>133</v>
      </c>
      <c r="K31" s="1697" t="s">
        <v>1073</v>
      </c>
      <c r="L31" s="1697" t="s">
        <v>1071</v>
      </c>
      <c r="M31" s="1697" t="s">
        <v>1072</v>
      </c>
      <c r="N31" s="1697" t="s">
        <v>1240</v>
      </c>
      <c r="O31" s="1697"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42383275</v>
      </c>
      <c r="C32" s="89">
        <f>SUM(C26:C31)</f>
        <v>4088</v>
      </c>
      <c r="D32" s="723">
        <f>SUM(D26:D31)</f>
        <v>19015664</v>
      </c>
      <c r="E32" s="723">
        <f>SUM(E26:E31)</f>
        <v>0</v>
      </c>
      <c r="F32" s="802">
        <f>SUM(F26:F31)</f>
        <v>23367611</v>
      </c>
      <c r="G32" s="1708" t="s">
        <v>8</v>
      </c>
      <c r="H32" s="1709"/>
      <c r="I32" s="783" t="s">
        <v>1166</v>
      </c>
      <c r="J32" s="725">
        <f>SUM(J26:J31)</f>
        <v>2254</v>
      </c>
      <c r="K32" s="1698"/>
      <c r="L32" s="1698"/>
      <c r="M32" s="1698"/>
      <c r="N32" s="1698" t="s">
        <v>1074</v>
      </c>
      <c r="O32" s="1698" t="s">
        <v>1075</v>
      </c>
    </row>
    <row r="33" spans="1:31" ht="14.25" thickTop="1" thickBot="1">
      <c r="A33" s="97" t="s">
        <v>68</v>
      </c>
      <c r="B33" s="52">
        <f>B15+B20+B23+B32</f>
        <v>267575827</v>
      </c>
      <c r="C33" s="45">
        <f>C15+C20+C23+C32</f>
        <v>25806</v>
      </c>
      <c r="D33" s="52">
        <f>D15+D20+D23+D32</f>
        <v>23269676</v>
      </c>
      <c r="E33" s="52">
        <f>E15+E20+E23+E32</f>
        <v>0</v>
      </c>
      <c r="F33" s="724">
        <f>F15+F20+F23+F32</f>
        <v>244306151</v>
      </c>
      <c r="G33" s="1758" t="s">
        <v>84</v>
      </c>
      <c r="H33" s="1759"/>
      <c r="I33" s="1375">
        <f>ROUND($G$35/$C$6,0)</f>
        <v>22474</v>
      </c>
      <c r="J33" s="726">
        <f>J15+J20+J23+J32</f>
        <v>23562</v>
      </c>
      <c r="K33" s="1698"/>
      <c r="L33" s="1698"/>
      <c r="M33" s="1698"/>
      <c r="N33" s="1698"/>
      <c r="O33" s="1698"/>
    </row>
    <row r="34" spans="1:31" ht="14.25" thickTop="1" thickBot="1">
      <c r="B34" s="98"/>
      <c r="C34" s="75"/>
      <c r="D34" s="337"/>
      <c r="E34" s="337"/>
      <c r="F34" s="337" t="s">
        <v>1199</v>
      </c>
      <c r="G34" s="787">
        <f>G14*-1</f>
        <v>-11277793</v>
      </c>
      <c r="H34" s="337"/>
      <c r="I34" s="783" t="s">
        <v>1167</v>
      </c>
      <c r="J34" s="727"/>
      <c r="K34" s="1699"/>
      <c r="L34" s="1699"/>
      <c r="M34" s="1699"/>
      <c r="N34" s="1699"/>
      <c r="O34" s="1699"/>
    </row>
    <row r="35" spans="1:31" ht="14.25" thickTop="1" thickBot="1">
      <c r="A35" s="81" t="s">
        <v>72</v>
      </c>
      <c r="B35" s="81"/>
      <c r="C35" s="81"/>
      <c r="D35" s="728"/>
      <c r="E35" s="728"/>
      <c r="F35" s="788" t="s">
        <v>1165</v>
      </c>
      <c r="G35" s="803">
        <f>F33+G34</f>
        <v>233028358</v>
      </c>
      <c r="I35" s="1376">
        <f>ROUND($G$35/$I$8,0)</f>
        <v>189037</v>
      </c>
      <c r="K35" s="609"/>
      <c r="L35" s="609"/>
      <c r="M35" s="609"/>
      <c r="N35" s="609"/>
      <c r="O35" s="609"/>
    </row>
    <row r="36" spans="1:31" ht="13.5" thickTop="1">
      <c r="A36" s="99" t="s">
        <v>14</v>
      </c>
      <c r="B36" s="83">
        <f>'SFA FGD'!M60</f>
        <v>76284735</v>
      </c>
      <c r="C36" s="83">
        <f t="shared" ref="C36:C46" si="9">ROUND(B36/$C$6,0)</f>
        <v>7357</v>
      </c>
      <c r="D36" s="512">
        <f>'SFA FGD'!F60</f>
        <v>0</v>
      </c>
      <c r="E36" s="512"/>
      <c r="F36" s="512">
        <f t="shared" ref="F36:F46" si="10">B36-(SUM(D36:E36))</f>
        <v>76284735</v>
      </c>
      <c r="G36" s="337"/>
      <c r="H36" s="1378" t="s">
        <v>2158</v>
      </c>
      <c r="I36" s="1379">
        <f>ROUND(F36/$C$6,0)</f>
        <v>7357</v>
      </c>
      <c r="J36" s="337" t="s">
        <v>752</v>
      </c>
      <c r="K36" s="512">
        <f>F36</f>
        <v>76284735</v>
      </c>
      <c r="L36" s="512">
        <f>K36</f>
        <v>76284735</v>
      </c>
      <c r="M36" s="512"/>
      <c r="N36" s="512"/>
      <c r="O36" s="512"/>
    </row>
    <row r="37" spans="1:31">
      <c r="A37" s="99" t="s">
        <v>15</v>
      </c>
      <c r="B37" s="86">
        <f>'SFA FGD'!M61</f>
        <v>3688401</v>
      </c>
      <c r="C37" s="87">
        <f t="shared" si="9"/>
        <v>356</v>
      </c>
      <c r="D37" s="86">
        <f>'SFA FGD'!F61</f>
        <v>0</v>
      </c>
      <c r="E37" s="74"/>
      <c r="F37" s="74">
        <f t="shared" si="10"/>
        <v>3688401</v>
      </c>
      <c r="G37" s="337"/>
      <c r="H37" s="337"/>
      <c r="J37" s="337" t="s">
        <v>1076</v>
      </c>
      <c r="K37" s="373">
        <f>F37</f>
        <v>3688401</v>
      </c>
      <c r="L37" s="373">
        <f>K37</f>
        <v>3688401</v>
      </c>
      <c r="M37" s="373"/>
      <c r="N37" s="373"/>
      <c r="O37" s="373"/>
    </row>
    <row r="38" spans="1:31">
      <c r="A38" s="99" t="s">
        <v>16</v>
      </c>
      <c r="B38" s="86">
        <f>'SFA FGD'!M62</f>
        <v>1421827</v>
      </c>
      <c r="C38" s="87">
        <f t="shared" si="9"/>
        <v>137</v>
      </c>
      <c r="D38" s="86">
        <f>'SFA FGD'!F62</f>
        <v>0</v>
      </c>
      <c r="E38" s="86">
        <f>B38-D38</f>
        <v>1421827</v>
      </c>
      <c r="F38" s="74">
        <f t="shared" si="10"/>
        <v>0</v>
      </c>
      <c r="G38" s="337"/>
      <c r="H38" s="337"/>
      <c r="I38" s="337"/>
      <c r="J38" s="337" t="s">
        <v>1077</v>
      </c>
      <c r="K38" s="736"/>
      <c r="L38" s="737"/>
      <c r="M38" s="737" t="s">
        <v>1152</v>
      </c>
      <c r="N38" s="737"/>
      <c r="O38" s="738"/>
    </row>
    <row r="39" spans="1:31">
      <c r="A39" s="99" t="s">
        <v>17</v>
      </c>
      <c r="B39" s="86">
        <f>'SFA FGD'!M63</f>
        <v>16382558</v>
      </c>
      <c r="C39" s="87">
        <f t="shared" si="9"/>
        <v>1580</v>
      </c>
      <c r="D39" s="86">
        <f>'SFA FGD'!F63</f>
        <v>0</v>
      </c>
      <c r="E39" s="74"/>
      <c r="F39" s="74">
        <f t="shared" si="10"/>
        <v>16382558</v>
      </c>
      <c r="G39" s="337"/>
      <c r="H39" s="1378" t="s">
        <v>2159</v>
      </c>
      <c r="I39" s="1379">
        <f>ROUND(F39/$C$6,0)</f>
        <v>1580</v>
      </c>
      <c r="J39" s="337" t="s">
        <v>1078</v>
      </c>
      <c r="K39" s="373">
        <f t="shared" ref="K39:K43" si="11">F39</f>
        <v>16382558</v>
      </c>
      <c r="L39" s="373">
        <f>K39</f>
        <v>16382558</v>
      </c>
      <c r="M39" s="373"/>
      <c r="N39" s="373"/>
      <c r="O39" s="373"/>
    </row>
    <row r="40" spans="1:31">
      <c r="A40" s="99" t="s">
        <v>18</v>
      </c>
      <c r="B40" s="86">
        <f>'SFA FGD'!M64</f>
        <v>23128753</v>
      </c>
      <c r="C40" s="87">
        <f t="shared" si="9"/>
        <v>2231</v>
      </c>
      <c r="D40" s="86">
        <f>'SFA FGD'!F64</f>
        <v>12548022</v>
      </c>
      <c r="E40" s="74"/>
      <c r="F40" s="74">
        <f t="shared" si="10"/>
        <v>10580731</v>
      </c>
      <c r="G40" s="337"/>
      <c r="J40" s="337" t="s">
        <v>1079</v>
      </c>
      <c r="K40" s="373">
        <f t="shared" si="11"/>
        <v>10580731</v>
      </c>
      <c r="L40" s="373"/>
      <c r="M40" s="373">
        <f>K40</f>
        <v>10580731</v>
      </c>
      <c r="N40" s="373"/>
      <c r="O40" s="373"/>
    </row>
    <row r="41" spans="1:31">
      <c r="A41" s="99" t="s">
        <v>19</v>
      </c>
      <c r="B41" s="86">
        <f>'SFA FGD'!M65</f>
        <v>34770654</v>
      </c>
      <c r="C41" s="87">
        <f t="shared" si="9"/>
        <v>3353</v>
      </c>
      <c r="D41" s="86">
        <f>'SFA FGD'!F65</f>
        <v>0</v>
      </c>
      <c r="E41" s="74"/>
      <c r="F41" s="74">
        <f t="shared" si="10"/>
        <v>34770654</v>
      </c>
      <c r="G41" s="337"/>
      <c r="H41" s="1378" t="s">
        <v>2160</v>
      </c>
      <c r="I41" s="1379">
        <f>ROUND(F41/$C$6,0)</f>
        <v>3353</v>
      </c>
      <c r="J41" s="337" t="s">
        <v>757</v>
      </c>
      <c r="K41" s="373">
        <f t="shared" si="11"/>
        <v>34770654</v>
      </c>
      <c r="L41" s="373"/>
      <c r="M41" s="373"/>
      <c r="N41" s="373">
        <f>K41</f>
        <v>34770654</v>
      </c>
      <c r="O41" s="373"/>
    </row>
    <row r="42" spans="1:31">
      <c r="A42" s="99" t="s">
        <v>20</v>
      </c>
      <c r="B42" s="86">
        <f>'SFA FGD'!M66</f>
        <v>17083626</v>
      </c>
      <c r="C42" s="87">
        <f t="shared" si="9"/>
        <v>1648</v>
      </c>
      <c r="D42" s="86">
        <f>'SFA FGD'!F66</f>
        <v>0</v>
      </c>
      <c r="E42" s="74"/>
      <c r="F42" s="74">
        <f t="shared" si="10"/>
        <v>17083626</v>
      </c>
      <c r="G42" s="337"/>
      <c r="J42" s="337" t="s">
        <v>758</v>
      </c>
      <c r="K42" s="373">
        <f t="shared" si="11"/>
        <v>17083626</v>
      </c>
      <c r="L42" s="373"/>
      <c r="M42" s="373"/>
      <c r="N42" s="373">
        <f>K42</f>
        <v>17083626</v>
      </c>
      <c r="O42" s="373"/>
    </row>
    <row r="43" spans="1:31">
      <c r="A43" s="99" t="s">
        <v>21</v>
      </c>
      <c r="B43" s="86">
        <f>'SFA FGD'!M67</f>
        <v>33675827</v>
      </c>
      <c r="C43" s="87">
        <f t="shared" si="9"/>
        <v>3248</v>
      </c>
      <c r="D43" s="86">
        <f>'SFA FGD'!F67</f>
        <v>2719286</v>
      </c>
      <c r="E43" s="74"/>
      <c r="F43" s="74">
        <f t="shared" si="10"/>
        <v>30956541</v>
      </c>
      <c r="G43" s="337"/>
      <c r="H43" s="337"/>
      <c r="I43" s="337"/>
      <c r="J43" s="337" t="s">
        <v>1145</v>
      </c>
      <c r="K43" s="373">
        <f t="shared" si="11"/>
        <v>30956541</v>
      </c>
      <c r="L43" s="373"/>
      <c r="M43" s="373">
        <f>K43</f>
        <v>30956541</v>
      </c>
      <c r="N43" s="373"/>
      <c r="O43" s="373"/>
    </row>
    <row r="44" spans="1:31">
      <c r="A44" s="99" t="s">
        <v>2135</v>
      </c>
      <c r="B44" s="86">
        <f>'SFA FGD'!M68</f>
        <v>26980088</v>
      </c>
      <c r="C44" s="87">
        <f t="shared" si="9"/>
        <v>2602</v>
      </c>
      <c r="D44" s="729">
        <f>B44</f>
        <v>26980088</v>
      </c>
      <c r="E44" s="74"/>
      <c r="F44" s="74">
        <f t="shared" si="10"/>
        <v>0</v>
      </c>
      <c r="G44" s="337"/>
      <c r="H44" s="337"/>
      <c r="I44" s="337"/>
      <c r="J44" s="337" t="s">
        <v>743</v>
      </c>
      <c r="K44" s="736"/>
      <c r="L44" s="737"/>
      <c r="M44" s="737" t="s">
        <v>1152</v>
      </c>
      <c r="N44" s="737"/>
      <c r="O44" s="738"/>
    </row>
    <row r="45" spans="1:31">
      <c r="A45" s="99" t="s">
        <v>61</v>
      </c>
      <c r="B45" s="86">
        <f>'SFA FGD'!M69</f>
        <v>1211299</v>
      </c>
      <c r="C45" s="87">
        <f t="shared" si="9"/>
        <v>117</v>
      </c>
      <c r="D45" s="86">
        <f>'SFA FGD'!F69</f>
        <v>38701</v>
      </c>
      <c r="E45" s="74"/>
      <c r="F45" s="74">
        <f t="shared" si="10"/>
        <v>1172598</v>
      </c>
      <c r="G45" s="337"/>
      <c r="H45" s="337"/>
      <c r="I45" s="337"/>
      <c r="J45" s="337" t="s">
        <v>1080</v>
      </c>
      <c r="K45" s="373">
        <f t="shared" ref="K45:K46" si="12">F45</f>
        <v>1172598</v>
      </c>
      <c r="L45" s="373"/>
      <c r="M45" s="373"/>
      <c r="N45" s="373"/>
      <c r="O45" s="373">
        <f>K45</f>
        <v>1172598</v>
      </c>
    </row>
    <row r="46" spans="1:31" ht="13.5" thickBot="1">
      <c r="A46" s="75" t="s">
        <v>50</v>
      </c>
      <c r="B46" s="86">
        <f>'SFA FGD'!M70</f>
        <v>19230141</v>
      </c>
      <c r="C46" s="87">
        <f t="shared" si="9"/>
        <v>1855</v>
      </c>
      <c r="D46" s="86">
        <f>'SFA FGD'!F70</f>
        <v>50621</v>
      </c>
      <c r="E46" s="74"/>
      <c r="F46" s="74">
        <f t="shared" si="10"/>
        <v>19179520</v>
      </c>
      <c r="G46" s="35"/>
      <c r="H46" s="1378" t="s">
        <v>2161</v>
      </c>
      <c r="I46" s="1379">
        <f>ROUND(SUM(F37+F40+F42+F43+F45+F46)/$C$6,0)</f>
        <v>7972</v>
      </c>
      <c r="J46" s="610" t="s">
        <v>1075</v>
      </c>
      <c r="K46" s="373">
        <f t="shared" si="12"/>
        <v>19179520</v>
      </c>
      <c r="L46" s="611"/>
      <c r="M46" s="611"/>
      <c r="N46" s="611"/>
      <c r="O46" s="373">
        <f>K46</f>
        <v>19179520</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253857909</v>
      </c>
      <c r="C47" s="45">
        <f>SUM(C36:C46)</f>
        <v>24484</v>
      </c>
      <c r="D47" s="730">
        <f>SUM(D36:D46)</f>
        <v>42336718</v>
      </c>
      <c r="E47" s="731">
        <f>SUM(E36:E46)</f>
        <v>1421827</v>
      </c>
      <c r="F47" s="719">
        <f>SUM(F36:F46)</f>
        <v>210099364</v>
      </c>
      <c r="G47" s="1688" t="s">
        <v>1176</v>
      </c>
      <c r="H47" s="1689"/>
      <c r="I47" s="785" t="s">
        <v>1164</v>
      </c>
      <c r="J47" s="610" t="s">
        <v>1081</v>
      </c>
      <c r="K47" s="612">
        <f>SUM(K36:K46)</f>
        <v>210099364</v>
      </c>
      <c r="L47" s="612">
        <f>SUM(L36:L46)</f>
        <v>96355694</v>
      </c>
      <c r="M47" s="612">
        <f>SUM(M36:M46)</f>
        <v>41537272</v>
      </c>
      <c r="N47" s="612">
        <f>SUM(N36:N46)</f>
        <v>51854280</v>
      </c>
      <c r="O47" s="612">
        <f>SUM(O36:O46)</f>
        <v>20352118</v>
      </c>
    </row>
    <row r="48" spans="1:31" ht="14.25" thickTop="1" thickBot="1">
      <c r="A48" s="93"/>
      <c r="B48" s="98"/>
      <c r="C48" s="75"/>
      <c r="F48" s="613"/>
      <c r="G48" s="1690"/>
      <c r="H48" s="1691"/>
      <c r="I48" s="823">
        <f>ROUND(F47/C6,0)</f>
        <v>20262</v>
      </c>
      <c r="J48" s="1700" t="s">
        <v>1082</v>
      </c>
      <c r="K48" s="611"/>
      <c r="L48" s="611"/>
      <c r="M48" s="611"/>
      <c r="N48" s="611"/>
      <c r="O48" s="611"/>
    </row>
    <row r="49" spans="1:31" ht="13.5" thickBot="1">
      <c r="A49" s="78" t="s">
        <v>23</v>
      </c>
      <c r="B49" s="82"/>
      <c r="C49" s="75"/>
      <c r="F49" s="614"/>
      <c r="G49" s="1690"/>
      <c r="H49" s="1691"/>
      <c r="I49" s="878"/>
      <c r="J49" s="1700"/>
      <c r="K49" s="615">
        <f>ROUND(K47/$C$6,2)</f>
        <v>20262.3</v>
      </c>
      <c r="L49" s="615">
        <f t="shared" ref="L49:O49" si="13">ROUND(L47/$C$6,2)</f>
        <v>9292.69</v>
      </c>
      <c r="M49" s="615">
        <f t="shared" si="13"/>
        <v>4005.92</v>
      </c>
      <c r="N49" s="615">
        <f t="shared" si="13"/>
        <v>5000.8999999999996</v>
      </c>
      <c r="O49" s="615">
        <f t="shared" si="13"/>
        <v>1962.79</v>
      </c>
      <c r="P49" s="35"/>
      <c r="Q49" s="96"/>
      <c r="R49" s="96"/>
      <c r="S49" s="96"/>
      <c r="T49" s="96"/>
      <c r="U49" s="96"/>
      <c r="V49" s="96"/>
      <c r="W49" s="96"/>
      <c r="X49" s="96"/>
      <c r="Y49" s="96"/>
      <c r="Z49" s="96"/>
      <c r="AA49" s="96"/>
      <c r="AB49" s="96"/>
      <c r="AC49" s="96"/>
      <c r="AD49" s="96"/>
      <c r="AE49" s="96"/>
    </row>
    <row r="50" spans="1:31" ht="13.5" thickBot="1">
      <c r="A50" s="75" t="s">
        <v>62</v>
      </c>
      <c r="B50" s="86">
        <f>'SFA FGD'!M74</f>
        <v>-27293390</v>
      </c>
      <c r="C50" s="83">
        <f t="shared" ref="C50:C53" si="14">ROUND(B50/$C$6,0)</f>
        <v>-2632</v>
      </c>
      <c r="D50" s="512">
        <f>'SFA FGD'!F74</f>
        <v>0</v>
      </c>
      <c r="E50" s="512"/>
      <c r="F50" s="732">
        <f t="shared" ref="F50:F53" si="15">B50-(SUM(D50:E50))</f>
        <v>-27293390</v>
      </c>
      <c r="G50" s="1692"/>
      <c r="H50" s="1693"/>
      <c r="I50" s="878"/>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'SFA FGD'!M75</f>
        <v>670236</v>
      </c>
      <c r="C51" s="87">
        <f t="shared" si="14"/>
        <v>65</v>
      </c>
      <c r="D51" s="91">
        <f>'SFA FGD'!F75</f>
        <v>5373680</v>
      </c>
      <c r="E51" s="82"/>
      <c r="F51" s="74">
        <f t="shared" si="15"/>
        <v>-4703444</v>
      </c>
      <c r="G51" s="337"/>
      <c r="J51" s="337"/>
      <c r="K51" s="616"/>
      <c r="L51" s="616"/>
      <c r="M51" s="616"/>
      <c r="N51" s="616"/>
      <c r="O51" s="616"/>
    </row>
    <row r="52" spans="1:31">
      <c r="A52" s="75" t="s">
        <v>51</v>
      </c>
      <c r="B52" s="86">
        <f>'SFA FGD'!M76</f>
        <v>0</v>
      </c>
      <c r="C52" s="87">
        <f t="shared" si="14"/>
        <v>0</v>
      </c>
      <c r="D52" s="91">
        <f>'SFA FGD'!F76</f>
        <v>0</v>
      </c>
      <c r="E52" s="82"/>
      <c r="F52" s="74">
        <f t="shared" si="15"/>
        <v>0</v>
      </c>
      <c r="G52" s="337"/>
      <c r="J52" s="733"/>
      <c r="K52" s="733"/>
      <c r="L52" s="733"/>
      <c r="M52" s="733"/>
      <c r="N52" s="733"/>
      <c r="O52" s="733"/>
    </row>
    <row r="53" spans="1:31" ht="12" customHeight="1">
      <c r="A53" s="75" t="s">
        <v>46</v>
      </c>
      <c r="B53" s="86">
        <f>'SFA FGD'!M77</f>
        <v>-8989878</v>
      </c>
      <c r="C53" s="87">
        <f t="shared" si="14"/>
        <v>-867</v>
      </c>
      <c r="D53" s="91">
        <f>'SFA FGD'!F77</f>
        <v>-62086</v>
      </c>
      <c r="E53" s="82"/>
      <c r="F53" s="74">
        <f t="shared" si="15"/>
        <v>-8927792</v>
      </c>
      <c r="G53" s="35"/>
      <c r="J53" s="733"/>
      <c r="K53" s="733"/>
      <c r="L53" s="733"/>
      <c r="M53" s="733"/>
      <c r="N53" s="733"/>
      <c r="O53" s="733"/>
      <c r="P53" s="35"/>
      <c r="Q53" s="96"/>
      <c r="R53" s="96"/>
      <c r="S53" s="96"/>
      <c r="T53" s="96"/>
      <c r="U53" s="96"/>
      <c r="V53" s="96"/>
      <c r="W53" s="96"/>
      <c r="X53" s="96"/>
      <c r="Y53" s="96"/>
      <c r="Z53" s="96"/>
      <c r="AA53" s="96"/>
      <c r="AB53" s="96"/>
      <c r="AC53" s="96"/>
      <c r="AD53" s="96"/>
      <c r="AE53" s="96"/>
    </row>
    <row r="54" spans="1:31">
      <c r="A54" s="88" t="s">
        <v>3</v>
      </c>
      <c r="B54" s="89">
        <f>SUM(B50:B53)</f>
        <v>-35613032</v>
      </c>
      <c r="C54" s="89">
        <f>SUM(C50:C53)</f>
        <v>-3434</v>
      </c>
      <c r="D54" s="89">
        <f>SUM(D50:D53)</f>
        <v>5311594</v>
      </c>
      <c r="E54" s="89">
        <f>SUM(E50:E53)</f>
        <v>0</v>
      </c>
      <c r="F54" s="102">
        <f>SUM(F50:F53)</f>
        <v>-40924626</v>
      </c>
      <c r="G54" s="337"/>
      <c r="H54" s="337"/>
      <c r="I54" s="337"/>
      <c r="J54" s="733"/>
      <c r="K54" s="733"/>
      <c r="L54" s="733"/>
      <c r="M54" s="733"/>
      <c r="N54" s="733"/>
      <c r="O54" s="733"/>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'SFA FGD'!M81</f>
        <v>10251148</v>
      </c>
      <c r="C57" s="83">
        <f>ROUND(B57/$C$6,0)</f>
        <v>989</v>
      </c>
      <c r="D57" s="512">
        <f>'SFA FGD'!F81</f>
        <v>1121322</v>
      </c>
      <c r="E57" s="512"/>
      <c r="F57" s="512">
        <f t="shared" ref="F57:F58" si="16">B57-(SUM(D57:E57))</f>
        <v>9129826</v>
      </c>
      <c r="G57" s="337"/>
      <c r="H57" s="337"/>
      <c r="I57" s="337"/>
      <c r="J57" s="337"/>
    </row>
    <row r="58" spans="1:31">
      <c r="A58" s="75" t="s">
        <v>48</v>
      </c>
      <c r="B58" s="86">
        <f>'SFA FGD'!M82</f>
        <v>23478</v>
      </c>
      <c r="C58" s="87">
        <f>ROUND(B58/$C$6,0)</f>
        <v>2</v>
      </c>
      <c r="D58" s="91">
        <f>'SFA FGD'!F82</f>
        <v>0</v>
      </c>
      <c r="E58" s="82"/>
      <c r="F58" s="74">
        <f t="shared" si="16"/>
        <v>23478</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10274626</v>
      </c>
      <c r="C59" s="89">
        <f>SUM(C57:C58)</f>
        <v>991</v>
      </c>
      <c r="D59" s="89">
        <f>SUM(D57:D58)</f>
        <v>1121322</v>
      </c>
      <c r="E59" s="89">
        <f>SUM(E57:E58)</f>
        <v>0</v>
      </c>
      <c r="F59" s="89">
        <f>SUM(F57:F58)</f>
        <v>9153304</v>
      </c>
      <c r="G59" s="367"/>
      <c r="H59" s="367"/>
      <c r="I59" s="367"/>
      <c r="J59" s="367"/>
      <c r="K59" s="266"/>
      <c r="L59" s="266"/>
      <c r="M59" s="266"/>
      <c r="N59" s="266"/>
      <c r="O59" s="266"/>
      <c r="P59" s="266"/>
    </row>
    <row r="60" spans="1:31">
      <c r="B60" s="82"/>
      <c r="C60" s="75"/>
    </row>
    <row r="61" spans="1:31" ht="13.5" thickBot="1">
      <c r="A61" s="103" t="s">
        <v>573</v>
      </c>
      <c r="B61" s="46">
        <f>B33-B47+B54+B59</f>
        <v>-11620488</v>
      </c>
      <c r="C61" s="46">
        <f>C33-C47+C54+C59</f>
        <v>-1121</v>
      </c>
      <c r="D61" s="46">
        <f>D33-D47+D54+D59</f>
        <v>-12634126</v>
      </c>
      <c r="E61" s="46">
        <f>E33-E47+E54+E59</f>
        <v>-1421827</v>
      </c>
      <c r="F61" s="46">
        <f>F33-F47+F54+F59</f>
        <v>2435465</v>
      </c>
    </row>
    <row r="62" spans="1:31" ht="13.5" thickTop="1"/>
    <row r="63" spans="1:31">
      <c r="D63" s="512"/>
    </row>
    <row r="65" spans="2:16">
      <c r="B65" s="734">
        <f>'SFA FGD'!$M$85</f>
        <v>-11620488</v>
      </c>
      <c r="C65" s="75"/>
      <c r="D65" s="734">
        <f>'SFA FGD'!$F$85</f>
        <v>13108105</v>
      </c>
      <c r="E65" s="734">
        <f>'SFA FGD'!$M$62*-1</f>
        <v>-1421827</v>
      </c>
      <c r="F65" s="75"/>
    </row>
    <row r="66" spans="2:16">
      <c r="B66" s="734"/>
      <c r="C66" s="75"/>
      <c r="D66" s="734">
        <f>'SFA FGD'!$F$68</f>
        <v>1237857</v>
      </c>
      <c r="E66" s="734">
        <f>+$D$38</f>
        <v>0</v>
      </c>
      <c r="F66" s="734"/>
    </row>
    <row r="67" spans="2:16">
      <c r="B67" s="759"/>
      <c r="C67" s="75"/>
      <c r="D67" s="759">
        <f>-'SFA FGD'!$M$68</f>
        <v>-26980088</v>
      </c>
      <c r="E67" s="759"/>
      <c r="F67" s="734"/>
    </row>
    <row r="68" spans="2:16">
      <c r="B68" s="734">
        <f>SUM(B65:B67)</f>
        <v>-11620488</v>
      </c>
      <c r="C68" s="75"/>
      <c r="D68" s="734">
        <f>SUM(D65:D67)</f>
        <v>-12634126</v>
      </c>
      <c r="E68" s="734">
        <f>SUM(E65:E67)</f>
        <v>-1421827</v>
      </c>
      <c r="F68" s="734">
        <f>B68-D68-E68</f>
        <v>2435465</v>
      </c>
    </row>
    <row r="69" spans="2:16">
      <c r="B69" s="734"/>
      <c r="C69" s="75"/>
      <c r="D69" s="734">
        <f>'SFA FGD'!F54*-1</f>
        <v>-17374062</v>
      </c>
      <c r="E69" s="734"/>
      <c r="F69" s="734"/>
    </row>
    <row r="70" spans="2:16" ht="12.75" customHeight="1">
      <c r="B70" s="759"/>
      <c r="C70" s="95"/>
      <c r="D70" s="759">
        <f>'SFA FGD'!M54</f>
        <v>17374062</v>
      </c>
      <c r="E70" s="759"/>
      <c r="F70" s="759">
        <f>-D70-D69</f>
        <v>0</v>
      </c>
    </row>
    <row r="71" spans="2:16" ht="12.75" customHeight="1">
      <c r="B71" s="734">
        <f>SUM(B68:B70)</f>
        <v>-11620488</v>
      </c>
      <c r="C71" s="75"/>
      <c r="D71" s="734">
        <f>SUM(D68:D70)</f>
        <v>-12634126</v>
      </c>
      <c r="E71" s="734">
        <f>SUM(E68:E70)</f>
        <v>-1421827</v>
      </c>
      <c r="F71" s="734">
        <f>SUM(F68:F70)</f>
        <v>2435465</v>
      </c>
    </row>
    <row r="72" spans="2:16" ht="12.75" customHeight="1">
      <c r="B72" s="734"/>
      <c r="C72" s="75"/>
      <c r="D72" s="734"/>
      <c r="E72" s="734"/>
      <c r="F72" s="734"/>
    </row>
    <row r="73" spans="2:16" ht="12.75" customHeight="1">
      <c r="B73" s="512">
        <f>B61-B71</f>
        <v>0</v>
      </c>
      <c r="C73" s="75"/>
      <c r="D73" s="512">
        <f>D61-D71</f>
        <v>0</v>
      </c>
      <c r="E73" s="512">
        <f>E61-E71</f>
        <v>0</v>
      </c>
      <c r="F73" s="512">
        <f>F61-F71</f>
        <v>0</v>
      </c>
    </row>
    <row r="74" spans="2:16" ht="12.75" customHeight="1">
      <c r="C74" s="75"/>
      <c r="F74" s="617"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G47:H50"/>
    <mergeCell ref="K30:O30"/>
    <mergeCell ref="M31:M34"/>
    <mergeCell ref="G32:H32"/>
    <mergeCell ref="G33:H33"/>
    <mergeCell ref="L31:L34"/>
    <mergeCell ref="K31:K34"/>
    <mergeCell ref="N31:N34"/>
    <mergeCell ref="O31:O34"/>
    <mergeCell ref="J48:J49"/>
    <mergeCell ref="F1:I1"/>
    <mergeCell ref="J1:O1"/>
    <mergeCell ref="D1:E1"/>
    <mergeCell ref="K29:O29"/>
    <mergeCell ref="D4:D5"/>
    <mergeCell ref="E4:E5"/>
  </mergeCells>
  <hyperlinks>
    <hyperlink ref="D1:E1" location="Index!A1" display="Return to Index" xr:uid="{00000000-0004-0000-9E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41"/>
  </sheetPr>
  <dimension ref="A1:W814"/>
  <sheetViews>
    <sheetView showGridLines="0" zoomScale="85" zoomScaleNormal="85" workbookViewId="0">
      <pane xSplit="8" ySplit="9" topLeftCell="I52" activePane="bottomRight" state="frozen"/>
      <selection activeCell="F74" sqref="E74:F74"/>
      <selection pane="topRight" activeCell="F74" sqref="E74:F74"/>
      <selection pane="bottomLeft" activeCell="F74" sqref="E74:F74"/>
      <selection pane="bottomRight" activeCell="I67" sqref="I67"/>
    </sheetView>
  </sheetViews>
  <sheetFormatPr defaultColWidth="9.140625" defaultRowHeight="12.75" outlineLevelRow="1"/>
  <cols>
    <col min="1" max="1" width="7.28515625" style="480" customWidth="1"/>
    <col min="2" max="3" width="10" style="480" customWidth="1"/>
    <col min="4" max="4" width="13" style="480" customWidth="1"/>
    <col min="5" max="5" width="25.140625" style="53" customWidth="1"/>
    <col min="6" max="6" width="10.28515625" style="53" customWidth="1"/>
    <col min="7" max="7" width="14.28515625" style="1286" customWidth="1"/>
    <col min="8" max="8" width="11.140625" style="53" customWidth="1"/>
    <col min="9" max="9" width="17.85546875" style="154" customWidth="1"/>
    <col min="10" max="10" width="16.5703125" style="154" customWidth="1"/>
    <col min="11" max="11" width="17.28515625" style="154" customWidth="1"/>
    <col min="12" max="13" width="16.42578125" style="154" customWidth="1"/>
    <col min="14" max="14" width="17.28515625" style="154" customWidth="1"/>
    <col min="15" max="15" width="14.140625" style="53" customWidth="1"/>
    <col min="16" max="16" width="13.42578125" style="53" customWidth="1"/>
    <col min="17" max="17" width="7.28515625" style="53" customWidth="1"/>
    <col min="18" max="18" width="18.85546875" style="68" customWidth="1"/>
    <col min="19" max="19" width="14" style="53" customWidth="1"/>
    <col min="20" max="20" width="4" style="53" customWidth="1"/>
    <col min="21" max="21" width="19.42578125" style="53" customWidth="1"/>
    <col min="22" max="22" width="16.5703125" style="53" customWidth="1"/>
    <col min="23" max="23" width="26.85546875" style="53" customWidth="1"/>
    <col min="24" max="16384" width="9.140625" style="53"/>
  </cols>
  <sheetData>
    <row r="1" spans="1:23" ht="13.5" thickBot="1">
      <c r="I1" s="1124" t="s">
        <v>131</v>
      </c>
      <c r="J1" s="68"/>
      <c r="K1" s="68"/>
      <c r="L1" s="114"/>
      <c r="M1" s="114"/>
      <c r="N1" s="114"/>
      <c r="P1" s="855" t="s">
        <v>1200</v>
      </c>
    </row>
    <row r="2" spans="1:23">
      <c r="I2" s="814" t="s">
        <v>2389</v>
      </c>
      <c r="J2" s="1124"/>
      <c r="K2" s="68"/>
      <c r="L2" s="114"/>
      <c r="M2" s="114"/>
      <c r="N2" s="114"/>
    </row>
    <row r="3" spans="1:23">
      <c r="A3" s="215"/>
      <c r="I3" s="68" t="s">
        <v>2484</v>
      </c>
      <c r="J3" s="1124"/>
      <c r="K3" s="68"/>
      <c r="L3" s="114"/>
      <c r="M3" s="114"/>
      <c r="N3" s="114"/>
    </row>
    <row r="4" spans="1:23" ht="13.5" thickBot="1">
      <c r="F4" s="480">
        <v>2021</v>
      </c>
      <c r="I4" s="114"/>
      <c r="J4" s="114"/>
      <c r="K4" s="114"/>
      <c r="L4" s="114"/>
      <c r="M4" s="114"/>
      <c r="N4" s="114"/>
      <c r="O4" s="1652" t="s">
        <v>2374</v>
      </c>
      <c r="P4" s="1653"/>
    </row>
    <row r="5" spans="1:23" ht="13.5" thickBot="1">
      <c r="A5" s="468" t="s">
        <v>2128</v>
      </c>
      <c r="G5" s="53"/>
      <c r="H5" s="480"/>
      <c r="I5" s="1671" t="s">
        <v>2131</v>
      </c>
      <c r="J5" s="1672"/>
      <c r="K5" s="1672"/>
      <c r="L5" s="1672"/>
      <c r="M5" s="1672"/>
      <c r="N5" s="1673"/>
      <c r="O5" s="1671"/>
      <c r="P5" s="1673"/>
    </row>
    <row r="6" spans="1:23">
      <c r="A6" s="468" t="s">
        <v>2129</v>
      </c>
      <c r="F6" s="480"/>
      <c r="G6" s="480"/>
      <c r="H6" s="480"/>
      <c r="I6" s="145">
        <v>1</v>
      </c>
      <c r="J6" s="145">
        <v>2</v>
      </c>
      <c r="K6" s="145">
        <v>3</v>
      </c>
      <c r="L6" s="145">
        <v>4</v>
      </c>
      <c r="M6" s="145">
        <v>5</v>
      </c>
      <c r="N6" s="145">
        <v>6</v>
      </c>
      <c r="O6" s="145"/>
      <c r="P6" s="114"/>
    </row>
    <row r="7" spans="1:23">
      <c r="A7" s="468" t="s">
        <v>2130</v>
      </c>
      <c r="G7" s="53"/>
      <c r="H7" s="480"/>
      <c r="I7" s="145">
        <v>1</v>
      </c>
      <c r="J7" s="145">
        <v>1</v>
      </c>
      <c r="K7" s="145">
        <v>1</v>
      </c>
      <c r="L7" s="145">
        <v>1</v>
      </c>
      <c r="M7" s="145">
        <v>1</v>
      </c>
      <c r="N7" s="145">
        <v>1</v>
      </c>
      <c r="O7" s="114"/>
      <c r="P7" s="114"/>
      <c r="U7" s="1649" t="s">
        <v>1084</v>
      </c>
      <c r="V7" s="1650"/>
      <c r="W7" s="1651"/>
    </row>
    <row r="8" spans="1:23" s="123" customFormat="1" ht="48.75" customHeight="1">
      <c r="A8" s="780" t="s">
        <v>1123</v>
      </c>
      <c r="B8" s="1664" t="s">
        <v>1134</v>
      </c>
      <c r="C8" s="1664"/>
      <c r="D8" s="1664"/>
      <c r="E8" s="118" t="s">
        <v>298</v>
      </c>
      <c r="F8" s="118" t="s">
        <v>1168</v>
      </c>
      <c r="G8" s="1297" t="s">
        <v>2118</v>
      </c>
      <c r="H8" s="118" t="s">
        <v>132</v>
      </c>
      <c r="I8" s="1298" t="s">
        <v>1</v>
      </c>
      <c r="J8" s="1298" t="s">
        <v>1226</v>
      </c>
      <c r="K8" s="1298" t="s">
        <v>1189</v>
      </c>
      <c r="L8" s="1298" t="s">
        <v>1068</v>
      </c>
      <c r="M8" s="1298" t="s">
        <v>83</v>
      </c>
      <c r="N8" s="1298" t="s">
        <v>1191</v>
      </c>
      <c r="O8" s="1298" t="s">
        <v>1317</v>
      </c>
      <c r="P8" s="1298" t="s">
        <v>1318</v>
      </c>
      <c r="Q8" s="796"/>
      <c r="R8" s="752"/>
      <c r="S8" s="796" t="s">
        <v>2175</v>
      </c>
      <c r="T8" s="621"/>
      <c r="U8" s="779" t="s">
        <v>299</v>
      </c>
      <c r="V8" s="158" t="s">
        <v>703</v>
      </c>
      <c r="W8" s="779" t="s">
        <v>704</v>
      </c>
    </row>
    <row r="9" spans="1:23" ht="18" customHeight="1">
      <c r="A9" s="468" t="s">
        <v>1193</v>
      </c>
      <c r="E9" s="776"/>
      <c r="F9" s="793" t="s">
        <v>1171</v>
      </c>
      <c r="G9" s="1287" t="s">
        <v>2118</v>
      </c>
      <c r="H9" s="480" t="s">
        <v>1170</v>
      </c>
      <c r="I9" s="1317" t="s">
        <v>1186</v>
      </c>
      <c r="J9" s="1318" t="s">
        <v>1227</v>
      </c>
      <c r="K9" s="1319" t="s">
        <v>1185</v>
      </c>
      <c r="L9" s="1320" t="s">
        <v>1187</v>
      </c>
      <c r="M9" s="1320" t="s">
        <v>1188</v>
      </c>
      <c r="N9" s="1321" t="s">
        <v>1184</v>
      </c>
      <c r="O9" s="1321" t="s">
        <v>1320</v>
      </c>
      <c r="P9" s="1322" t="s">
        <v>1321</v>
      </c>
      <c r="Q9" s="794"/>
      <c r="R9" s="1302"/>
      <c r="S9" s="794"/>
      <c r="U9" s="763"/>
      <c r="V9" s="763"/>
      <c r="W9" s="763"/>
    </row>
    <row r="10" spans="1:23" ht="14.25" customHeight="1">
      <c r="A10" s="468"/>
      <c r="E10" s="53" t="s">
        <v>1182</v>
      </c>
      <c r="F10" s="124">
        <f t="shared" ref="F10:F47" si="0">$F$4</f>
        <v>2021</v>
      </c>
      <c r="G10" s="1288" t="s">
        <v>2117</v>
      </c>
      <c r="H10" s="1294">
        <v>20</v>
      </c>
      <c r="I10" s="1316" t="s">
        <v>1183</v>
      </c>
      <c r="J10" s="1309" t="s">
        <v>1183</v>
      </c>
      <c r="K10" s="1012" t="s">
        <v>1183</v>
      </c>
      <c r="L10" s="1012" t="s">
        <v>1183</v>
      </c>
      <c r="M10" s="1012" t="s">
        <v>1183</v>
      </c>
      <c r="N10" s="1309" t="s">
        <v>1183</v>
      </c>
      <c r="O10" s="1477">
        <f>ROUND((VLOOKUP($H10,'Univ_IE_Keys NA'!$X$11:$AB$57,4,FALSE))/'Univ_IE_Keys NA'!$AC12,2)</f>
        <v>0</v>
      </c>
      <c r="P10" s="1478">
        <f>ROUND((VLOOKUP($H10,'Univ_IE_Keys NA'!$X$11:$AB$57,5,FALSE))/'Univ_IE_Keys NA'!$AC12,2)</f>
        <v>0</v>
      </c>
      <c r="Q10" s="794"/>
      <c r="R10" s="1303"/>
      <c r="S10" s="1416">
        <v>6899</v>
      </c>
      <c r="U10" s="763"/>
      <c r="V10" s="763"/>
      <c r="W10" s="763"/>
    </row>
    <row r="11" spans="1:23">
      <c r="A11" s="480">
        <v>320</v>
      </c>
      <c r="B11" s="678" t="str">
        <f ca="1">OFFSET(PeerGroups!$C$6,MATCH(H11,PeerGroups!$A$7:$A$623,0),MATCH($F$4,PeerGroups!$D$5:$AA$5,0))</f>
        <v>P00031</v>
      </c>
      <c r="C11" s="678" t="str">
        <f ca="1">OFFSET(SystemGroups!$C$6,MATCH(H11,SystemGroups!$A$7:$A$623,0),MATCH($F$4,SystemGroups!$D$5:$AA$5,0))</f>
        <v>S39154</v>
      </c>
      <c r="D11" s="68" t="str">
        <f ca="1">VLOOKUP(B11,PeerGroups!$I$643:$K$647,3,FALSE)</f>
        <v>Master's</v>
      </c>
      <c r="E11" s="53" t="s">
        <v>140</v>
      </c>
      <c r="F11" s="124">
        <f t="shared" ref="F11:F58" si="1">$F$4</f>
        <v>2021</v>
      </c>
      <c r="G11" s="1288" t="s">
        <v>2117</v>
      </c>
      <c r="H11" s="1294">
        <v>3541</v>
      </c>
      <c r="I11" s="1310">
        <f>'ASU Sum'!$G$11</f>
        <v>42521327</v>
      </c>
      <c r="J11" s="1020">
        <f>'ASU Sum'!$G$14</f>
        <v>6792999</v>
      </c>
      <c r="K11" s="1013">
        <f>'ASU Sum'!$F$20</f>
        <v>38091980</v>
      </c>
      <c r="L11" s="1013">
        <f>'ASU Sum'!$F$23</f>
        <v>32115992</v>
      </c>
      <c r="M11" s="1013">
        <f>'ASU Sum'!$F$32</f>
        <v>29301046</v>
      </c>
      <c r="N11" s="1020">
        <f>'ASU Sum'!$G$35</f>
        <v>142030345</v>
      </c>
      <c r="O11" s="1479">
        <f>ROUND((VLOOKUP($H11,'Univ_IE_Keys NA'!$X$11:$AB$57,4,FALSE))/'Univ_IE_Keys NA'!$T11,2)</f>
        <v>0</v>
      </c>
      <c r="P11" s="1480">
        <f>ROUND((VLOOKUP($H11,'Univ_IE_Keys NA'!$X$11:$AB$57,5,FALSE))/'Univ_IE_Keys NA'!$T11,2)</f>
        <v>0</v>
      </c>
      <c r="Q11" s="794"/>
      <c r="R11" s="910"/>
      <c r="S11" s="1416">
        <v>6899</v>
      </c>
      <c r="U11" s="528" t="str">
        <f>'ASU FGD'!$O$92</f>
        <v>Janet Coleman</v>
      </c>
      <c r="V11" s="528" t="str">
        <f>'ASU FGD'!$Q$92</f>
        <v>325-942-2014</v>
      </c>
      <c r="W11" s="528" t="str">
        <f>'ASU FGD'!$T$92</f>
        <v>janet.coleman@angelo.edu</v>
      </c>
    </row>
    <row r="12" spans="1:23">
      <c r="A12" s="480">
        <v>210</v>
      </c>
      <c r="B12" s="678" t="str">
        <f ca="1">OFFSET(PeerGroups!$C$6,MATCH(H12,PeerGroups!$A$7:$A$623,0),MATCH($F$4,PeerGroups!$D$5:$AA$5,0))</f>
        <v>P00032</v>
      </c>
      <c r="C12" s="678" t="str">
        <f ca="1">OFFSET(SystemGroups!$C$6,MATCH(H12,SystemGroups!$A$7:$A$623,0),MATCH($F$4,SystemGroups!$D$5:$AA$5,0))</f>
        <v>S03629</v>
      </c>
      <c r="D12" s="68" t="str">
        <f ca="1">VLOOKUP(B12,PeerGroups!$I$643:$K$647,3,FALSE)</f>
        <v>Doctoral</v>
      </c>
      <c r="E12" s="53" t="s">
        <v>142</v>
      </c>
      <c r="F12" s="124">
        <f t="shared" si="1"/>
        <v>2021</v>
      </c>
      <c r="G12" s="1288" t="s">
        <v>2117</v>
      </c>
      <c r="H12" s="1294">
        <v>3565</v>
      </c>
      <c r="I12" s="1310">
        <f>'TAMUC Sum'!$G$11</f>
        <v>59088127</v>
      </c>
      <c r="J12" s="1020">
        <f>'TAMUC Sum'!$G$14</f>
        <v>11123859</v>
      </c>
      <c r="K12" s="1013">
        <f>'TAMUC Sum'!$F$20</f>
        <v>66300947</v>
      </c>
      <c r="L12" s="1013">
        <f>'TAMUC Sum'!$F$23</f>
        <v>44440614</v>
      </c>
      <c r="M12" s="1013">
        <f>'TAMUC Sum'!$F$32</f>
        <v>21968593</v>
      </c>
      <c r="N12" s="1020">
        <f>'TAMUC Sum'!$G$35</f>
        <v>191798281</v>
      </c>
      <c r="O12" s="1479">
        <f>ROUND((VLOOKUP($H12,'Univ_IE_Keys NA'!$X$11:$AB$57,4,FALSE))/'Univ_IE_Keys NA'!$T12,2)</f>
        <v>0</v>
      </c>
      <c r="P12" s="1480">
        <f>ROUND((VLOOKUP($H12,'Univ_IE_Keys NA'!$X$11:$AB$57,5,FALSE))/'Univ_IE_Keys NA'!$T12,2)</f>
        <v>0</v>
      </c>
      <c r="Q12" s="794"/>
      <c r="R12" s="910"/>
      <c r="S12" s="1416">
        <v>7078</v>
      </c>
      <c r="U12" s="528" t="str">
        <f>'TAMUC FGD'!$O$92</f>
        <v>Chris Arrington</v>
      </c>
      <c r="V12" s="528" t="str">
        <f>'TAMUC FGD'!$Q$92</f>
        <v>979-458-9151</v>
      </c>
      <c r="W12" s="528" t="str">
        <f>'TAMUC FGD'!$T$92</f>
        <v>carrington@tamus.edu</v>
      </c>
    </row>
    <row r="13" spans="1:23">
      <c r="A13" s="480">
        <v>270</v>
      </c>
      <c r="B13" s="678" t="str">
        <f ca="1">OFFSET(PeerGroups!$C$6,MATCH(H13,PeerGroups!$A$7:$A$623,0),MATCH($F$4,PeerGroups!$D$5:$AA$5,0))</f>
        <v>P00030</v>
      </c>
      <c r="C13" s="678" t="str">
        <f ca="1">OFFSET(SystemGroups!$C$6,MATCH(H13,SystemGroups!$A$7:$A$623,0),MATCH($F$4,SystemGroups!$D$5:$AA$5,0))</f>
        <v>S00110</v>
      </c>
      <c r="D13" s="68" t="str">
        <f ca="1">VLOOKUP(B13,PeerGroups!$I$643:$K$647,3,FALSE)</f>
        <v>Comprehensive</v>
      </c>
      <c r="E13" s="53" t="s">
        <v>144</v>
      </c>
      <c r="F13" s="124">
        <f t="shared" si="1"/>
        <v>2021</v>
      </c>
      <c r="G13" s="1288" t="s">
        <v>2117</v>
      </c>
      <c r="H13" s="1294">
        <v>3581</v>
      </c>
      <c r="I13" s="1310">
        <f>'LU Sum'!$G$11</f>
        <v>65928426</v>
      </c>
      <c r="J13" s="1020">
        <f>'LU Sum'!$G$14</f>
        <v>13141181</v>
      </c>
      <c r="K13" s="1013">
        <f>'LU Sum'!$F$20</f>
        <v>105644394</v>
      </c>
      <c r="L13" s="1013">
        <f>'LU Sum'!$F$23</f>
        <v>52209570</v>
      </c>
      <c r="M13" s="1013">
        <f>'LU Sum'!$F$32</f>
        <v>10524840</v>
      </c>
      <c r="N13" s="1020">
        <f>'LU Sum'!$G$35</f>
        <v>234307230</v>
      </c>
      <c r="O13" s="1479">
        <f>ROUND((VLOOKUP($H13,'Univ_IE_Keys NA'!$X$11:$AB$57,4,FALSE))/'Univ_IE_Keys NA'!$T13,2)</f>
        <v>0</v>
      </c>
      <c r="P13" s="1480">
        <f>ROUND((VLOOKUP($H13,'Univ_IE_Keys NA'!$X$11:$AB$57,5,FALSE))/'Univ_IE_Keys NA'!$T13,2)</f>
        <v>0</v>
      </c>
      <c r="Q13" s="794"/>
      <c r="R13" s="910"/>
      <c r="S13" s="1416">
        <v>8634</v>
      </c>
      <c r="U13" s="528" t="str">
        <f>'LU FGD'!$O$92</f>
        <v>Cynthia Brown</v>
      </c>
      <c r="V13" s="528" t="str">
        <f>'LU FGD'!$Q$92</f>
        <v>409-880-7925</v>
      </c>
      <c r="W13" s="528" t="str">
        <f>'LU FGD'!$T$92</f>
        <v>clbrown@lamar.edu</v>
      </c>
    </row>
    <row r="14" spans="1:23">
      <c r="A14" s="480">
        <v>340</v>
      </c>
      <c r="B14" s="678" t="str">
        <f ca="1">OFFSET(PeerGroups!$C$6,MATCH(H14,PeerGroups!$A$7:$A$623,0),MATCH($F$4,PeerGroups!$D$5:$AA$5,0))</f>
        <v>P00031</v>
      </c>
      <c r="C14" s="678" t="str">
        <f ca="1">OFFSET(SystemGroups!$C$6,MATCH(H14,SystemGroups!$A$7:$A$623,0),MATCH($F$4,SystemGroups!$D$5:$AA$5,0))</f>
        <v>S39154</v>
      </c>
      <c r="D14" s="68" t="str">
        <f ca="1">VLOOKUP(B14,PeerGroups!$I$643:$K$647,3,FALSE)</f>
        <v>Master's</v>
      </c>
      <c r="E14" s="53" t="s">
        <v>146</v>
      </c>
      <c r="F14" s="124">
        <f t="shared" si="1"/>
        <v>2021</v>
      </c>
      <c r="G14" s="1288" t="s">
        <v>2117</v>
      </c>
      <c r="H14" s="1294">
        <v>3592</v>
      </c>
      <c r="I14" s="1310">
        <f>'MidWST Sum'!$G$11</f>
        <v>30715397</v>
      </c>
      <c r="J14" s="1020">
        <f>'MidWST Sum'!$G$14</f>
        <v>4933200</v>
      </c>
      <c r="K14" s="1013">
        <f>'MidWST Sum'!$F$20</f>
        <v>33535775</v>
      </c>
      <c r="L14" s="1013">
        <f>'MidWST Sum'!$F$23</f>
        <v>23356845</v>
      </c>
      <c r="M14" s="1013">
        <f>'MidWST Sum'!$F$32</f>
        <v>12012630</v>
      </c>
      <c r="N14" s="1020">
        <f>'MidWST Sum'!$G$35</f>
        <v>99620647</v>
      </c>
      <c r="O14" s="1479">
        <f>ROUND((VLOOKUP($H14,'Univ_IE_Keys NA'!$X$11:$AB$57,4,FALSE))/'Univ_IE_Keys NA'!$T14,2)</f>
        <v>0</v>
      </c>
      <c r="P14" s="1480">
        <f>ROUND((VLOOKUP($H14,'Univ_IE_Keys NA'!$X$11:$AB$57,5,FALSE))/'Univ_IE_Keys NA'!$T14,2)</f>
        <v>0</v>
      </c>
      <c r="Q14" s="794"/>
      <c r="R14" s="910"/>
      <c r="S14" s="1416">
        <v>7049</v>
      </c>
      <c r="U14" s="528" t="str">
        <f>'MidWST FGD'!$O$92</f>
        <v>Chris Stovall</v>
      </c>
      <c r="V14" s="528" t="str">
        <f>'MidWST FGD'!$Q$92</f>
        <v>(940) 397-4273</v>
      </c>
      <c r="W14" s="528" t="str">
        <f>'MidWST FGD'!$T$92</f>
        <v>chris.stovall@msutexas.edu</v>
      </c>
    </row>
    <row r="15" spans="1:23">
      <c r="A15" s="480">
        <v>330</v>
      </c>
      <c r="B15" s="678" t="str">
        <f ca="1">OFFSET(PeerGroups!$C$6,MATCH(H15,PeerGroups!$A$7:$A$623,0),MATCH($F$4,PeerGroups!$D$5:$AA$5,0))</f>
        <v>P00033</v>
      </c>
      <c r="C15" s="678" t="str">
        <f ca="1">OFFSET(SystemGroups!$C$6,MATCH(H15,SystemGroups!$A$7:$A$623,0),MATCH($F$4,SystemGroups!$D$5:$AA$5,0))</f>
        <v>S03594</v>
      </c>
      <c r="D15" s="68" t="str">
        <f ca="1">VLOOKUP(B15,PeerGroups!$I$643:$K$647,3,FALSE)</f>
        <v>Emerging Research</v>
      </c>
      <c r="E15" s="53" t="s">
        <v>148</v>
      </c>
      <c r="F15" s="124">
        <f t="shared" si="1"/>
        <v>2021</v>
      </c>
      <c r="G15" s="1288" t="s">
        <v>2117</v>
      </c>
      <c r="H15" s="1294">
        <v>3594</v>
      </c>
      <c r="I15" s="1310">
        <f>'UNT Sum'!$G$11</f>
        <v>166646513</v>
      </c>
      <c r="J15" s="1020">
        <f>'UNT Sum'!$G$14</f>
        <v>37346563</v>
      </c>
      <c r="K15" s="1013">
        <f>'UNT Sum'!$F$20</f>
        <v>346350615</v>
      </c>
      <c r="L15" s="1013">
        <f>'UNT Sum'!$F$23</f>
        <v>165506817</v>
      </c>
      <c r="M15" s="1013">
        <f>'UNT Sum'!$F$32</f>
        <v>52940722</v>
      </c>
      <c r="N15" s="1020">
        <f>'UNT Sum'!$G$35</f>
        <v>731444667</v>
      </c>
      <c r="O15" s="1479">
        <f>ROUND((VLOOKUP($H15,'Univ_IE_Keys NA'!$X$11:$AB$57,4,FALSE))/'Univ_IE_Keys NA'!$T15,2)</f>
        <v>0</v>
      </c>
      <c r="P15" s="1480">
        <f>ROUND((VLOOKUP($H15,'Univ_IE_Keys NA'!$X$11:$AB$57,5,FALSE))/'Univ_IE_Keys NA'!$T15,2)</f>
        <v>0</v>
      </c>
      <c r="Q15" s="794"/>
      <c r="R15" s="910"/>
      <c r="S15" s="1416">
        <v>8611</v>
      </c>
      <c r="U15" s="528" t="str">
        <f>'UNT FGD'!$O$92</f>
        <v>Leydi Carter</v>
      </c>
      <c r="V15" s="528" t="str">
        <f>'UNT FGD'!$Q$92</f>
        <v>(940) 369-5089</v>
      </c>
      <c r="W15" s="528" t="str">
        <f>'UNT FGD'!$T$92</f>
        <v>Leydi.Carter@untsystem.edu</v>
      </c>
    </row>
    <row r="16" spans="1:23">
      <c r="A16" s="1123">
        <v>91</v>
      </c>
      <c r="B16" s="678" t="str">
        <f ca="1">OFFSET(PeerGroups!$C$6,MATCH(H16,PeerGroups!$A$7:$A$623,0),MATCH($F$4,PeerGroups!$D$5:$AA$5,0))</f>
        <v>P00032</v>
      </c>
      <c r="C16" s="678" t="str">
        <f ca="1">OFFSET(SystemGroups!$C$6,MATCH(H16,SystemGroups!$A$7:$A$623,0),MATCH($F$4,SystemGroups!$D$5:$AA$5,0))</f>
        <v>S03655</v>
      </c>
      <c r="D16" s="78" t="str">
        <f ca="1">VLOOKUP(B16,PeerGroups!$I$643:$K$647,3,FALSE)</f>
        <v>Doctoral</v>
      </c>
      <c r="E16" s="116" t="s">
        <v>1399</v>
      </c>
      <c r="F16" s="1125">
        <f t="shared" si="1"/>
        <v>2021</v>
      </c>
      <c r="G16" s="1288" t="s">
        <v>2117</v>
      </c>
      <c r="H16" s="1000">
        <v>3599</v>
      </c>
      <c r="I16" s="1310">
        <f>'RGV1 Sum'!$G$11</f>
        <v>152832944</v>
      </c>
      <c r="J16" s="1020">
        <f>'RGV1 Sum'!$G$14</f>
        <v>0</v>
      </c>
      <c r="K16" s="1013">
        <f>'RGV1 Sum'!$F$20</f>
        <v>127994340</v>
      </c>
      <c r="L16" s="1013">
        <f>'RGV1 Sum'!$F$23</f>
        <v>246799186</v>
      </c>
      <c r="M16" s="1013">
        <f>'RGV1 Sum'!$F$32</f>
        <v>72972468</v>
      </c>
      <c r="N16" s="1020">
        <f>'RGV1 Sum'!$G$35</f>
        <v>600598938</v>
      </c>
      <c r="O16" s="1479">
        <f>ROUND((VLOOKUP($H16,'Univ_IE_Keys NA'!$X$11:$AB$57,4,FALSE))/'Univ_IE_Keys NA'!$T43,2)</f>
        <v>0</v>
      </c>
      <c r="P16" s="1480">
        <f>ROUND((VLOOKUP($H16,'Univ_IE_Keys NA'!$X$11:$AB$57,5,FALSE))/'Univ_IE_Keys NA'!$T43,2)</f>
        <v>0</v>
      </c>
      <c r="Q16" s="794"/>
      <c r="R16" s="1304"/>
      <c r="S16" s="1416">
        <v>5926</v>
      </c>
      <c r="T16" s="73"/>
      <c r="U16" s="1129" t="str">
        <f>'RGV1 FGD'!$O$92</f>
        <v>Lilia M. St. Clair</v>
      </c>
      <c r="V16" s="1129" t="str">
        <f>'RGV1 FGD'!$Q$92</f>
        <v>956-665-7906</v>
      </c>
      <c r="W16" s="1129" t="str">
        <f>'RGV1 FGD'!$T$92</f>
        <v>lilia.stclair@utrgv.edu</v>
      </c>
    </row>
    <row r="17" spans="1:23">
      <c r="A17" s="1123">
        <v>281</v>
      </c>
      <c r="B17" s="678" t="str">
        <f ca="1">OFFSET(PeerGroups!$C$6,MATCH(H17,PeerGroups!$A$7:$A$623,0),MATCH($F$4,PeerGroups!$D$5:$AA$5,0))</f>
        <v>P00032</v>
      </c>
      <c r="C17" s="678" t="str">
        <f ca="1">OFFSET(SystemGroups!$C$6,MATCH(H17,SystemGroups!$A$7:$A$623,0),MATCH($F$4,SystemGroups!$D$5:$AA$5,0))</f>
        <v>S00110</v>
      </c>
      <c r="D17" s="68" t="str">
        <f ca="1">VLOOKUP(B17,PeerGroups!$I$643:$K$647,3,FALSE)</f>
        <v>Doctoral</v>
      </c>
      <c r="E17" s="116" t="s">
        <v>2262</v>
      </c>
      <c r="F17" s="124">
        <f t="shared" si="1"/>
        <v>2021</v>
      </c>
      <c r="G17" s="1288" t="s">
        <v>2117</v>
      </c>
      <c r="H17" s="1294">
        <v>3606</v>
      </c>
      <c r="I17" s="1310">
        <f>'shsu1 Sum'!$G$11</f>
        <v>89104525</v>
      </c>
      <c r="J17" s="1020">
        <f>'shsu1 Sum'!$G$14</f>
        <v>18236811</v>
      </c>
      <c r="K17" s="1013">
        <f>'shsu1 Sum'!$F$20</f>
        <v>166246272</v>
      </c>
      <c r="L17" s="1013">
        <f>'shsu1 Sum'!$F$23</f>
        <v>75908436</v>
      </c>
      <c r="M17" s="1013">
        <f>'shsu1 Sum'!$F$32</f>
        <v>38239276</v>
      </c>
      <c r="N17" s="1020">
        <f>'shsu1 Sum'!$G$35</f>
        <v>369498509</v>
      </c>
      <c r="O17" s="1479">
        <f>ROUND((VLOOKUP($H17,'Univ_IE_Keys NA'!$X$11:$AB$57,4,FALSE))/'Univ_IE_Keys NA'!$T16,2)</f>
        <v>0</v>
      </c>
      <c r="P17" s="1480">
        <f>ROUND((VLOOKUP($H17,'Univ_IE_Keys NA'!$X$11:$AB$57,5,FALSE))/'Univ_IE_Keys NA'!$T16,2)</f>
        <v>0</v>
      </c>
      <c r="Q17" s="794"/>
      <c r="R17" s="910"/>
      <c r="S17" s="1416">
        <v>3216</v>
      </c>
      <c r="U17" s="528" t="str">
        <f>'shsu1 FGD'!$O$92</f>
        <v>Amanda Withers</v>
      </c>
      <c r="V17" s="528" t="str">
        <f>'shsu1 FGD'!$Q$92</f>
        <v>936-294-2289</v>
      </c>
      <c r="W17" s="528" t="str">
        <f>'shsu1 FGD'!$T$92</f>
        <v>withers@shsu.edu</v>
      </c>
    </row>
    <row r="18" spans="1:23">
      <c r="A18" s="480">
        <v>290</v>
      </c>
      <c r="B18" s="678" t="str">
        <f ca="1">OFFSET(PeerGroups!$C$6,MATCH(H18,PeerGroups!$A$7:$A$623,0),MATCH($F$4,PeerGroups!$D$5:$AA$5,0))</f>
        <v>P00033</v>
      </c>
      <c r="C18" s="678" t="str">
        <f ca="1">OFFSET(SystemGroups!$C$6,MATCH(H18,SystemGroups!$A$7:$A$623,0),MATCH($F$4,SystemGroups!$D$5:$AA$5,0))</f>
        <v>S00110</v>
      </c>
      <c r="D18" s="68" t="str">
        <f ca="1">VLOOKUP(B18,PeerGroups!$I$643:$K$647,3,FALSE)</f>
        <v>Emerging Research</v>
      </c>
      <c r="E18" s="53" t="s">
        <v>1421</v>
      </c>
      <c r="F18" s="124">
        <f t="shared" si="1"/>
        <v>2021</v>
      </c>
      <c r="G18" s="1288" t="s">
        <v>2117</v>
      </c>
      <c r="H18" s="1294">
        <v>3615</v>
      </c>
      <c r="I18" s="1310">
        <f>'TXST Sum'!$G$11</f>
        <v>169236332</v>
      </c>
      <c r="J18" s="1020">
        <f>'TXST Sum'!$G$14</f>
        <v>37606478</v>
      </c>
      <c r="K18" s="1013">
        <f>'TXST Sum'!$F$20</f>
        <v>242535976</v>
      </c>
      <c r="L18" s="1013">
        <f>'TXST Sum'!$F$23</f>
        <v>142660412</v>
      </c>
      <c r="M18" s="1013">
        <f>'TXST Sum'!$F$32</f>
        <v>47790018</v>
      </c>
      <c r="N18" s="1020">
        <f>'TXST Sum'!$G$35</f>
        <v>602222738</v>
      </c>
      <c r="O18" s="1479">
        <f>ROUND((VLOOKUP($H18,'Univ_IE_Keys NA'!$X$11:$AB$57,4,FALSE))/'Univ_IE_Keys NA'!$T17,2)</f>
        <v>0</v>
      </c>
      <c r="P18" s="1480">
        <f>ROUND((VLOOKUP($H18,'Univ_IE_Keys NA'!$X$11:$AB$57,5,FALSE))/'Univ_IE_Keys NA'!$T17,2)</f>
        <v>0</v>
      </c>
      <c r="Q18" s="794"/>
      <c r="R18" s="910"/>
      <c r="S18" s="1416">
        <v>7809</v>
      </c>
      <c r="U18" s="528" t="str">
        <f>'TXST FGD'!$O$92</f>
        <v>Cindy Haley</v>
      </c>
      <c r="V18" s="528" t="str">
        <f>'TXST FGD'!$Q$92</f>
        <v>512-245-2087</v>
      </c>
      <c r="W18" s="528" t="str">
        <f>'TXST FGD'!$T$92</f>
        <v>cindy.haley@txstate.edu</v>
      </c>
    </row>
    <row r="19" spans="1:23">
      <c r="A19" s="480">
        <v>350</v>
      </c>
      <c r="B19" s="678" t="str">
        <f ca="1">OFFSET(PeerGroups!$C$6,MATCH(H19,PeerGroups!$A$7:$A$623,0),MATCH($F$4,PeerGroups!$D$5:$AA$5,0))</f>
        <v>P00030</v>
      </c>
      <c r="C19" s="678">
        <f ca="1">OFFSET(SystemGroups!$C$6,MATCH(H19,SystemGroups!$A$7:$A$623,0),MATCH($F$4,SystemGroups!$D$5:$AA$5,0))</f>
        <v>0</v>
      </c>
      <c r="D19" s="68" t="str">
        <f ca="1">VLOOKUP(B19,PeerGroups!$I$643:$K$647,3,FALSE)</f>
        <v>Comprehensive</v>
      </c>
      <c r="E19" s="53" t="s">
        <v>156</v>
      </c>
      <c r="F19" s="124">
        <f t="shared" si="1"/>
        <v>2021</v>
      </c>
      <c r="G19" s="1288" t="s">
        <v>2117</v>
      </c>
      <c r="H19" s="1294">
        <v>3624</v>
      </c>
      <c r="I19" s="1310">
        <f>'SFA Sum'!$G$11</f>
        <v>58896073</v>
      </c>
      <c r="J19" s="1020">
        <f>'SFA Sum'!$G$14</f>
        <v>11277793</v>
      </c>
      <c r="K19" s="1013">
        <f>'SFA Sum'!$F$20</f>
        <v>76274030</v>
      </c>
      <c r="L19" s="1013">
        <f>'SFA Sum'!$F$23</f>
        <v>74490644</v>
      </c>
      <c r="M19" s="1013">
        <f>'SFA Sum'!$F$32</f>
        <v>23367611</v>
      </c>
      <c r="N19" s="1020">
        <f>'SFA Sum'!$G$35</f>
        <v>233028358</v>
      </c>
      <c r="O19" s="1479">
        <f>ROUND((VLOOKUP($H19,'Univ_IE_Keys NA'!$X$11:$AB$57,4,FALSE))/'Univ_IE_Keys NA'!$T18,2)</f>
        <v>0</v>
      </c>
      <c r="P19" s="1480">
        <f>ROUND((VLOOKUP($H19,'Univ_IE_Keys NA'!$X$11:$AB$57,5,FALSE))/'Univ_IE_Keys NA'!$T18,2)</f>
        <v>0</v>
      </c>
      <c r="Q19" s="794"/>
      <c r="R19" s="910"/>
      <c r="S19" s="1416">
        <v>7976</v>
      </c>
      <c r="U19" s="528" t="str">
        <f>'SFA FGD'!$O$92</f>
        <v>Dannette Sales</v>
      </c>
      <c r="V19" s="528" t="str">
        <f>'SFA FGD'!$Q$92</f>
        <v>(936) 468-2354</v>
      </c>
      <c r="W19" s="528" t="str">
        <f>'SFA FGD'!$T$92</f>
        <v>salesdl@sfasu.edu</v>
      </c>
    </row>
    <row r="20" spans="1:23">
      <c r="A20" s="480">
        <v>300</v>
      </c>
      <c r="B20" s="678" t="str">
        <f ca="1">OFFSET(PeerGroups!$C$6,MATCH(H20,PeerGroups!$A$7:$A$623,0),MATCH($F$4,PeerGroups!$D$5:$AA$5,0))</f>
        <v>P00031</v>
      </c>
      <c r="C20" s="678" t="str">
        <f ca="1">OFFSET(SystemGroups!$C$6,MATCH(H20,SystemGroups!$A$7:$A$623,0),MATCH($F$4,SystemGroups!$D$5:$AA$5,0))</f>
        <v>S00110</v>
      </c>
      <c r="D20" s="68" t="str">
        <f ca="1">VLOOKUP(B20,PeerGroups!$I$643:$K$647,3,FALSE)</f>
        <v>Master's</v>
      </c>
      <c r="E20" s="53" t="s">
        <v>158</v>
      </c>
      <c r="F20" s="124">
        <f t="shared" si="1"/>
        <v>2021</v>
      </c>
      <c r="G20" s="1288" t="s">
        <v>2117</v>
      </c>
      <c r="H20" s="1294">
        <v>3625</v>
      </c>
      <c r="I20" s="1310">
        <f>'SRSU Sum'!$G$11</f>
        <v>21061496</v>
      </c>
      <c r="J20" s="1020">
        <f>'SRSU Sum'!$G$14</f>
        <v>2624613</v>
      </c>
      <c r="K20" s="1013">
        <f>'SRSU Sum'!$F$20</f>
        <v>9678587</v>
      </c>
      <c r="L20" s="1013">
        <f>'SRSU Sum'!$F$23</f>
        <v>13524396</v>
      </c>
      <c r="M20" s="1013">
        <f>'SRSU Sum'!$F$32</f>
        <v>10559203</v>
      </c>
      <c r="N20" s="1020">
        <f>'SRSU Sum'!$G$35</f>
        <v>54823682</v>
      </c>
      <c r="O20" s="1479">
        <f>ROUND((VLOOKUP($H20,'Univ_IE_Keys NA'!$X$11:$AB$57,4,FALSE))/'Univ_IE_Keys NA'!$T19,2)</f>
        <v>0</v>
      </c>
      <c r="P20" s="1480">
        <f>ROUND((VLOOKUP($H20,'Univ_IE_Keys NA'!$X$11:$AB$57,5,FALSE))/'Univ_IE_Keys NA'!$T19,2)</f>
        <v>0</v>
      </c>
      <c r="Q20" s="794"/>
      <c r="R20" s="910"/>
      <c r="S20" s="1416">
        <v>7501</v>
      </c>
      <c r="U20" s="528" t="str">
        <f>'SRSU FGD'!$O$92</f>
        <v>Bonnie Albright</v>
      </c>
      <c r="V20" s="528" t="str">
        <f>'SRSU FGD'!$Q$92</f>
        <v>432-837-8078</v>
      </c>
      <c r="W20" s="528" t="str">
        <f>'SRSU FGD'!$T$92</f>
        <v>bonnie.albright@sulross.edu</v>
      </c>
    </row>
    <row r="21" spans="1:23">
      <c r="A21" s="480">
        <v>150</v>
      </c>
      <c r="B21" s="678" t="str">
        <f ca="1">OFFSET(PeerGroups!$C$6,MATCH(H21,PeerGroups!$A$7:$A$623,0),MATCH($F$4,PeerGroups!$D$5:$AA$5,0))</f>
        <v>P00030</v>
      </c>
      <c r="C21" s="678" t="str">
        <f ca="1">OFFSET(SystemGroups!$C$6,MATCH(H21,SystemGroups!$A$7:$A$623,0),MATCH($F$4,SystemGroups!$D$5:$AA$5,0))</f>
        <v>S03629</v>
      </c>
      <c r="D21" s="68" t="str">
        <f ca="1">VLOOKUP(B21,PeerGroups!$I$643:$K$647,3,FALSE)</f>
        <v>Comprehensive</v>
      </c>
      <c r="E21" s="53" t="s">
        <v>160</v>
      </c>
      <c r="F21" s="124">
        <f t="shared" si="1"/>
        <v>2021</v>
      </c>
      <c r="G21" s="1288" t="s">
        <v>2117</v>
      </c>
      <c r="H21" s="1294">
        <v>3630</v>
      </c>
      <c r="I21" s="1310">
        <f>'PVAMU Sum'!$G$11</f>
        <v>68769239</v>
      </c>
      <c r="J21" s="1020">
        <f>'PVAMU Sum'!$G$14</f>
        <v>26604505</v>
      </c>
      <c r="K21" s="1013">
        <f>'PVAMU Sum'!$F$20</f>
        <v>53291516</v>
      </c>
      <c r="L21" s="1013">
        <f>'PVAMU Sum'!$F$23</f>
        <v>104828664</v>
      </c>
      <c r="M21" s="1013">
        <f>'PVAMU Sum'!$F$32</f>
        <v>45876159</v>
      </c>
      <c r="N21" s="1020">
        <f>'PVAMU Sum'!$G$35</f>
        <v>272765578</v>
      </c>
      <c r="O21" s="1479">
        <f>ROUND((VLOOKUP($H21,'Univ_IE_Keys NA'!$X$11:$AB$57,4,FALSE))/'Univ_IE_Keys NA'!$T20,2)</f>
        <v>0</v>
      </c>
      <c r="P21" s="1480">
        <f>ROUND((VLOOKUP($H21,'Univ_IE_Keys NA'!$X$11:$AB$57,5,FALSE))/'Univ_IE_Keys NA'!$T20,2)</f>
        <v>0</v>
      </c>
      <c r="Q21" s="794"/>
      <c r="R21" s="910"/>
      <c r="S21" s="1416">
        <v>3816</v>
      </c>
      <c r="U21" s="528" t="str">
        <f>'PVAMU FGD'!$O$92</f>
        <v>Chris Arrington</v>
      </c>
      <c r="V21" s="528" t="str">
        <f>'PVAMU FGD'!$Q$92</f>
        <v>979-458-9151</v>
      </c>
      <c r="W21" s="528" t="str">
        <f>'PVAMU FGD'!$T$92</f>
        <v>carrington@tamus.edu</v>
      </c>
    </row>
    <row r="22" spans="1:23">
      <c r="A22" s="480">
        <v>160</v>
      </c>
      <c r="B22" s="678" t="str">
        <f ca="1">OFFSET(PeerGroups!$C$6,MATCH(H22,PeerGroups!$A$7:$A$623,0),MATCH($F$4,PeerGroups!$D$5:$AA$5,0))</f>
        <v>P00030</v>
      </c>
      <c r="C22" s="678" t="str">
        <f ca="1">OFFSET(SystemGroups!$C$6,MATCH(H22,SystemGroups!$A$7:$A$623,0),MATCH($F$4,SystemGroups!$D$5:$AA$5,0))</f>
        <v>S03629</v>
      </c>
      <c r="D22" s="68" t="str">
        <f ca="1">VLOOKUP(B22,PeerGroups!$I$643:$K$647,3,FALSE)</f>
        <v>Comprehensive</v>
      </c>
      <c r="E22" s="53" t="s">
        <v>162</v>
      </c>
      <c r="F22" s="124">
        <f t="shared" si="1"/>
        <v>2021</v>
      </c>
      <c r="G22" s="1288" t="s">
        <v>2117</v>
      </c>
      <c r="H22" s="1294">
        <v>3631</v>
      </c>
      <c r="I22" s="1310">
        <f>'TARLST Sum'!$G$11</f>
        <v>62943792</v>
      </c>
      <c r="J22" s="1020">
        <f>'TARLST Sum'!$G$14</f>
        <v>0</v>
      </c>
      <c r="K22" s="1013">
        <f>'TARLST Sum'!$F$20</f>
        <v>83273755</v>
      </c>
      <c r="L22" s="1013">
        <f>'TARLST Sum'!$F$23</f>
        <v>57260009</v>
      </c>
      <c r="M22" s="1013">
        <f>'TARLST Sum'!$F$32</f>
        <v>24545541</v>
      </c>
      <c r="N22" s="1020">
        <f>'TARLST Sum'!$G$35</f>
        <v>228023097</v>
      </c>
      <c r="O22" s="1479">
        <f>ROUND((VLOOKUP($H22,'Univ_IE_Keys NA'!$X$11:$AB$57,4,FALSE))/'Univ_IE_Keys NA'!$T21,2)</f>
        <v>0</v>
      </c>
      <c r="P22" s="1480">
        <f>ROUND((VLOOKUP($H22,'Univ_IE_Keys NA'!$X$11:$AB$57,5,FALSE))/'Univ_IE_Keys NA'!$T21,2)</f>
        <v>0</v>
      </c>
      <c r="Q22" s="794"/>
      <c r="R22" s="910"/>
      <c r="S22" s="1416">
        <v>6131</v>
      </c>
      <c r="U22" s="528" t="str">
        <f>'TARLST FGD'!$O$92</f>
        <v>Chris Arrington</v>
      </c>
      <c r="V22" s="528" t="str">
        <f>'TARLST FGD'!$Q$92</f>
        <v>254-968-1643</v>
      </c>
      <c r="W22" s="528" t="str">
        <f>'TARLST FGD'!$T$92</f>
        <v>fincher@tarleton.edu</v>
      </c>
    </row>
    <row r="23" spans="1:23">
      <c r="A23" s="480">
        <v>130</v>
      </c>
      <c r="B23" s="678" t="str">
        <f ca="1">OFFSET(PeerGroups!$C$6,MATCH(H23,PeerGroups!$A$7:$A$623,0),MATCH($F$4,PeerGroups!$D$5:$AA$5,0))</f>
        <v>P00034</v>
      </c>
      <c r="C23" s="678" t="str">
        <f ca="1">OFFSET(SystemGroups!$C$6,MATCH(H23,SystemGroups!$A$7:$A$623,0),MATCH($F$4,SystemGroups!$D$5:$AA$5,0))</f>
        <v>S03629</v>
      </c>
      <c r="D23" s="68" t="str">
        <f ca="1">VLOOKUP(B23,PeerGroups!$I$643:$K$647,3,FALSE)</f>
        <v>Research</v>
      </c>
      <c r="E23" s="53" t="s">
        <v>164</v>
      </c>
      <c r="F23" s="124">
        <f t="shared" si="1"/>
        <v>2021</v>
      </c>
      <c r="G23" s="1288" t="s">
        <v>2117</v>
      </c>
      <c r="H23" s="1294">
        <v>3632</v>
      </c>
      <c r="I23" s="1310">
        <f>'TAMU Sum'!$G$11</f>
        <v>449121506</v>
      </c>
      <c r="J23" s="1020">
        <f>'TAMU Sum'!$G$14</f>
        <v>201614294</v>
      </c>
      <c r="K23" s="1013">
        <f>'TAMU Sum'!$F$20</f>
        <v>647717317</v>
      </c>
      <c r="L23" s="1013">
        <f>'TAMU Sum'!$F$23</f>
        <v>272642791</v>
      </c>
      <c r="M23" s="1013">
        <f>'TAMU Sum'!$F$32</f>
        <v>502902844</v>
      </c>
      <c r="N23" s="1020">
        <f>'TAMU Sum'!$G$35</f>
        <v>1872384458</v>
      </c>
      <c r="O23" s="1479">
        <f>ROUND((VLOOKUP($H23,'Univ_IE_Keys NA'!$X$11:$AB$57,4,FALSE))/'Univ_IE_Keys NA'!$T22,2)</f>
        <v>0</v>
      </c>
      <c r="P23" s="1480">
        <f>ROUND((VLOOKUP($H23,'Univ_IE_Keys NA'!$X$11:$AB$57,5,FALSE))/'Univ_IE_Keys NA'!$T22,2)</f>
        <v>0</v>
      </c>
      <c r="Q23" s="794"/>
      <c r="R23" s="910"/>
      <c r="S23" s="1416">
        <v>6653</v>
      </c>
      <c r="U23" s="528" t="str">
        <f>'TAMU FGD'!$O$92</f>
        <v>Chris Arrington</v>
      </c>
      <c r="V23" s="528" t="str">
        <f>'TAMU FGD'!$Q$92</f>
        <v>979-458-9151</v>
      </c>
      <c r="W23" s="528" t="str">
        <f>'TAMU FGD'!$T$92</f>
        <v>carrington@tamus.edu</v>
      </c>
    </row>
    <row r="24" spans="1:23">
      <c r="A24" s="480">
        <v>180</v>
      </c>
      <c r="B24" s="678" t="str">
        <f ca="1">OFFSET(PeerGroups!$C$6,MATCH(H24,PeerGroups!$A$7:$A$623,0),MATCH($F$4,PeerGroups!$D$5:$AA$5,0))</f>
        <v>P00032</v>
      </c>
      <c r="C24" s="678" t="str">
        <f ca="1">OFFSET(SystemGroups!$C$6,MATCH(H24,SystemGroups!$A$7:$A$623,0),MATCH($F$4,SystemGroups!$D$5:$AA$5,0))</f>
        <v>S03629</v>
      </c>
      <c r="D24" s="68" t="str">
        <f ca="1">VLOOKUP(B24,PeerGroups!$I$643:$K$647,3,FALSE)</f>
        <v>Doctoral</v>
      </c>
      <c r="E24" s="53" t="s">
        <v>166</v>
      </c>
      <c r="F24" s="124">
        <f t="shared" si="1"/>
        <v>2021</v>
      </c>
      <c r="G24" s="1288" t="s">
        <v>2117</v>
      </c>
      <c r="H24" s="1294">
        <v>3639</v>
      </c>
      <c r="I24" s="1310">
        <f>'TAMUK Sum'!$G$11</f>
        <v>53624257</v>
      </c>
      <c r="J24" s="1020">
        <f>'TAMUK Sum'!$G$14</f>
        <v>8858060</v>
      </c>
      <c r="K24" s="1013">
        <f>'TAMUK Sum'!$F$20</f>
        <v>34165807</v>
      </c>
      <c r="L24" s="1013">
        <f>'TAMUK Sum'!$F$23</f>
        <v>47273104</v>
      </c>
      <c r="M24" s="1013">
        <f>'TAMUK Sum'!$F$32</f>
        <v>21535946</v>
      </c>
      <c r="N24" s="1020">
        <f>'TAMUK Sum'!$G$35</f>
        <v>156599114</v>
      </c>
      <c r="O24" s="1479">
        <f>ROUND((VLOOKUP($H24,'Univ_IE_Keys NA'!$X$11:$AB$57,4,FALSE))/'Univ_IE_Keys NA'!$T23,2)</f>
        <v>0</v>
      </c>
      <c r="P24" s="1480">
        <f>ROUND((VLOOKUP($H24,'Univ_IE_Keys NA'!$X$11:$AB$57,5,FALSE))/'Univ_IE_Keys NA'!$T23,2)</f>
        <v>0</v>
      </c>
      <c r="Q24" s="794"/>
      <c r="R24" s="910"/>
      <c r="S24" s="1416">
        <v>9447</v>
      </c>
      <c r="U24" s="528" t="str">
        <f>'TAMUK FGD'!$O$92</f>
        <v>Chris Arrington</v>
      </c>
      <c r="V24" s="528" t="str">
        <f>'TAMUK FGD'!$Q$92</f>
        <v>979-458-9151</v>
      </c>
      <c r="W24" s="528" t="str">
        <f>'TAMUK FGD'!$T$92</f>
        <v>carrington@tamus.edu</v>
      </c>
    </row>
    <row r="25" spans="1:23">
      <c r="A25" s="480">
        <v>360</v>
      </c>
      <c r="B25" s="678" t="str">
        <f ca="1">OFFSET(PeerGroups!$C$6,MATCH(H25,PeerGroups!$A$7:$A$623,0),MATCH($F$4,PeerGroups!$D$5:$AA$5,0))</f>
        <v>P00032</v>
      </c>
      <c r="C25" s="678">
        <f ca="1">OFFSET(SystemGroups!$C$6,MATCH(H25,SystemGroups!$A$7:$A$623,0),MATCH($F$4,SystemGroups!$D$5:$AA$5,0))</f>
        <v>0</v>
      </c>
      <c r="D25" s="68" t="str">
        <f ca="1">VLOOKUP(B25,PeerGroups!$I$643:$K$647,3,FALSE)</f>
        <v>Doctoral</v>
      </c>
      <c r="E25" s="53" t="s">
        <v>168</v>
      </c>
      <c r="F25" s="124">
        <f t="shared" si="1"/>
        <v>2021</v>
      </c>
      <c r="G25" s="1288" t="s">
        <v>2117</v>
      </c>
      <c r="H25" s="1294">
        <v>3642</v>
      </c>
      <c r="I25" s="1310">
        <f>'TSU Sum'!$G$11</f>
        <v>67848348</v>
      </c>
      <c r="J25" s="1020">
        <f>'TSU Sum'!$G$14</f>
        <v>11719335</v>
      </c>
      <c r="K25" s="1013">
        <f>'TSU Sum'!$F$20</f>
        <v>48520382</v>
      </c>
      <c r="L25" s="1013">
        <f>'TSU Sum'!$F$23</f>
        <v>89345091</v>
      </c>
      <c r="M25" s="1013">
        <f>'TSU Sum'!$F$32</f>
        <v>24711981</v>
      </c>
      <c r="N25" s="1020">
        <f>'TSU Sum'!$G$35</f>
        <v>230425802</v>
      </c>
      <c r="O25" s="1479">
        <f>ROUND((VLOOKUP($H25,'Univ_IE_Keys NA'!$X$11:$AB$57,4,FALSE))/'Univ_IE_Keys NA'!$T24,2)</f>
        <v>0</v>
      </c>
      <c r="P25" s="1480">
        <f>ROUND((VLOOKUP($H25,'Univ_IE_Keys NA'!$X$11:$AB$57,5,FALSE))/'Univ_IE_Keys NA'!$T24,2)</f>
        <v>0</v>
      </c>
      <c r="Q25" s="794"/>
      <c r="R25" s="910"/>
      <c r="S25" s="1416">
        <v>7102</v>
      </c>
      <c r="U25" s="528" t="str">
        <f>'TSU FGD'!$O$92</f>
        <v>Bobbie Phelps</v>
      </c>
      <c r="V25" s="528" t="str">
        <f>'TSU FGD'!$Q$92</f>
        <v>713-313-6890</v>
      </c>
      <c r="W25" s="528" t="str">
        <f>'TSU FGD'!$T$92</f>
        <v>bobbie.phelps@tsu.edu</v>
      </c>
    </row>
    <row r="26" spans="1:23">
      <c r="A26" s="480">
        <v>310</v>
      </c>
      <c r="B26" s="678" t="str">
        <f ca="1">OFFSET(PeerGroups!$C$6,MATCH(H26,PeerGroups!$A$7:$A$623,0),MATCH($F$4,PeerGroups!$D$5:$AA$5,0))</f>
        <v>P00033</v>
      </c>
      <c r="C26" s="678" t="str">
        <f ca="1">OFFSET(SystemGroups!$C$6,MATCH(H26,SystemGroups!$A$7:$A$623,0),MATCH($F$4,SystemGroups!$D$5:$AA$5,0))</f>
        <v>S39154</v>
      </c>
      <c r="D26" s="68" t="str">
        <f ca="1">VLOOKUP(B26,PeerGroups!$I$643:$K$647,3,FALSE)</f>
        <v>Emerging Research</v>
      </c>
      <c r="E26" s="53" t="s">
        <v>170</v>
      </c>
      <c r="F26" s="124">
        <f t="shared" si="1"/>
        <v>2021</v>
      </c>
      <c r="G26" s="1288" t="s">
        <v>2117</v>
      </c>
      <c r="H26" s="1294">
        <v>3644</v>
      </c>
      <c r="I26" s="1310">
        <f>'TTU Sum'!$G$11</f>
        <v>213747640</v>
      </c>
      <c r="J26" s="1020">
        <f>'TTU Sum'!$G$14</f>
        <v>49874746</v>
      </c>
      <c r="K26" s="1013">
        <f>'TTU Sum'!$F$20</f>
        <v>352858285</v>
      </c>
      <c r="L26" s="1013">
        <f>'TTU Sum'!$F$23</f>
        <v>126847258</v>
      </c>
      <c r="M26" s="1013">
        <f>'TTU Sum'!$F$32</f>
        <v>144537946</v>
      </c>
      <c r="N26" s="1020">
        <f>'TTU Sum'!$G$35</f>
        <v>837991129</v>
      </c>
      <c r="O26" s="1479">
        <f>ROUND((VLOOKUP($H26,'Univ_IE_Keys NA'!$X$11:$AB$57,4,FALSE))/'Univ_IE_Keys NA'!$T25,2)</f>
        <v>0</v>
      </c>
      <c r="P26" s="1480">
        <f>ROUND((VLOOKUP($H26,'Univ_IE_Keys NA'!$X$11:$AB$57,5,FALSE))/'Univ_IE_Keys NA'!$T25,2)</f>
        <v>0</v>
      </c>
      <c r="Q26" s="794"/>
      <c r="R26" s="910"/>
      <c r="S26" s="1416">
        <v>7383</v>
      </c>
      <c r="U26" s="528" t="str">
        <f>'TTU FGD'!$O$92</f>
        <v>Lori Eppler</v>
      </c>
      <c r="V26" s="528" t="str">
        <f>'TTU FGD'!$Q$92</f>
        <v>806-834-4640</v>
      </c>
      <c r="W26" s="528" t="str">
        <f>'TTU FGD'!$T$92</f>
        <v>lori.eppler@ttu.edu</v>
      </c>
    </row>
    <row r="27" spans="1:23">
      <c r="A27" s="480">
        <v>370</v>
      </c>
      <c r="B27" s="678" t="str">
        <f ca="1">OFFSET(PeerGroups!$C$6,MATCH(H27,PeerGroups!$A$7:$A$623,0),MATCH($F$4,PeerGroups!$D$5:$AA$5,0))</f>
        <v>P00032</v>
      </c>
      <c r="C27" s="678">
        <f ca="1">OFFSET(SystemGroups!$C$6,MATCH(H27,SystemGroups!$A$7:$A$623,0),MATCH($F$4,SystemGroups!$D$5:$AA$5,0))</f>
        <v>0</v>
      </c>
      <c r="D27" s="68" t="str">
        <f ca="1">VLOOKUP(B27,PeerGroups!$I$643:$K$647,3,FALSE)</f>
        <v>Doctoral</v>
      </c>
      <c r="E27" s="56" t="s">
        <v>172</v>
      </c>
      <c r="F27" s="124">
        <f t="shared" si="1"/>
        <v>2021</v>
      </c>
      <c r="G27" s="1288" t="s">
        <v>2117</v>
      </c>
      <c r="H27" s="1277">
        <v>3646</v>
      </c>
      <c r="I27" s="1310">
        <f>'TWU Sum'!$G$11</f>
        <v>81290161</v>
      </c>
      <c r="J27" s="1020">
        <f>'TWU Sum'!$G$14</f>
        <v>14554133</v>
      </c>
      <c r="K27" s="1013">
        <f>'TWU Sum'!$F$20</f>
        <v>89161334</v>
      </c>
      <c r="L27" s="1013">
        <f>'TWU Sum'!$F$23</f>
        <v>42101935</v>
      </c>
      <c r="M27" s="1013">
        <f>'TWU Sum'!$F$32</f>
        <v>17745550</v>
      </c>
      <c r="N27" s="1020">
        <f>'TWU Sum'!$G$35</f>
        <v>230298980</v>
      </c>
      <c r="O27" s="1479">
        <f>ROUND((VLOOKUP($H27,'Univ_IE_Keys NA'!$X$11:$AB$57,4,FALSE))/'Univ_IE_Keys NA'!$T26,2)</f>
        <v>0</v>
      </c>
      <c r="P27" s="1480">
        <f>ROUND((VLOOKUP($H27,'Univ_IE_Keys NA'!$X$11:$AB$57,5,FALSE))/'Univ_IE_Keys NA'!$T26,2)</f>
        <v>0</v>
      </c>
      <c r="Q27" s="794"/>
      <c r="R27" s="910"/>
      <c r="S27" s="1416">
        <v>9451</v>
      </c>
      <c r="U27" s="528" t="str">
        <f>'TWU FGD'!$O$92</f>
        <v>June Orth</v>
      </c>
      <c r="V27" s="528" t="str">
        <f>'TWU FGD'!$Q$92</f>
        <v>940-898-3522</v>
      </c>
      <c r="W27" s="528" t="str">
        <f>'TWU FGD'!$T$92</f>
        <v>borth@twu.edu</v>
      </c>
    </row>
    <row r="28" spans="1:23" ht="14.25" customHeight="1">
      <c r="A28" s="480">
        <v>231</v>
      </c>
      <c r="B28" s="678" t="str">
        <f ca="1">OFFSET(PeerGroups!$C$6,MATCH(H28,PeerGroups!$A$7:$A$623,0),MATCH($F$4,PeerGroups!$D$5:$AA$5,0))</f>
        <v>P00033</v>
      </c>
      <c r="C28" s="678" t="str">
        <f ca="1">OFFSET(SystemGroups!$C$6,MATCH(H28,SystemGroups!$A$7:$A$623,0),MATCH($F$4,SystemGroups!$D$5:$AA$5,0))</f>
        <v>S11721</v>
      </c>
      <c r="D28" s="68" t="str">
        <f ca="1">VLOOKUP(B28,PeerGroups!$I$643:$K$647,3,FALSE)</f>
        <v>Emerging Research</v>
      </c>
      <c r="E28" s="116" t="s">
        <v>2261</v>
      </c>
      <c r="F28" s="124">
        <f t="shared" si="1"/>
        <v>2021</v>
      </c>
      <c r="G28" s="1289" t="s">
        <v>2117</v>
      </c>
      <c r="H28" s="1294">
        <v>3652</v>
      </c>
      <c r="I28" s="1310">
        <f>'UH1 Sum'!$G$11</f>
        <v>249063522</v>
      </c>
      <c r="J28" s="1020">
        <f>'UH1 Sum'!$G$14</f>
        <v>54514004</v>
      </c>
      <c r="K28" s="1013">
        <f>'UH1 Sum'!$F$20</f>
        <v>379222889</v>
      </c>
      <c r="L28" s="1013">
        <f>'UH1 Sum'!$F$23</f>
        <v>263368751</v>
      </c>
      <c r="M28" s="1013">
        <f>'UH1 Sum'!$F$32</f>
        <v>342523259</v>
      </c>
      <c r="N28" s="1020">
        <f>'UH1 Sum'!$G$35</f>
        <v>1234178421</v>
      </c>
      <c r="O28" s="1479">
        <f>ROUND((VLOOKUP($H28,'Univ_IE_Keys NA'!$X$11:$AB$57,4,FALSE))/'Univ_IE_Keys NA'!$T27,2)</f>
        <v>0</v>
      </c>
      <c r="P28" s="1480">
        <f>ROUND((VLOOKUP($H28,'Univ_IE_Keys NA'!$X$11:$AB$57,5,FALSE))/'Univ_IE_Keys NA'!$T27,2)</f>
        <v>0</v>
      </c>
      <c r="Q28" s="794"/>
      <c r="R28" s="910"/>
      <c r="S28" s="1416">
        <v>5999</v>
      </c>
      <c r="U28" s="528" t="str">
        <f>'UH1 FGD'!$O$92</f>
        <v>CHARLOTTE HOTZ</v>
      </c>
      <c r="V28" s="528" t="str">
        <f>'UH1 FGD'!$Q$92</f>
        <v>713.743.5296</v>
      </c>
      <c r="W28" s="528" t="str">
        <f>'UH1 FGD'!$T$92</f>
        <v>cahotz@uh.edu</v>
      </c>
    </row>
    <row r="29" spans="1:23" s="116" customFormat="1">
      <c r="A29" s="480">
        <v>40</v>
      </c>
      <c r="B29" s="678" t="str">
        <f ca="1">OFFSET(PeerGroups!$C$6,MATCH(H29,PeerGroups!$A$7:$A$623,0),MATCH($F$4,PeerGroups!$D$5:$AA$5,0))</f>
        <v>P00033</v>
      </c>
      <c r="C29" s="678" t="str">
        <f ca="1">OFFSET(SystemGroups!$C$6,MATCH(H29,SystemGroups!$A$7:$A$623,0),MATCH($F$4,SystemGroups!$D$5:$AA$5,0))</f>
        <v>S03655</v>
      </c>
      <c r="D29" s="68" t="str">
        <f ca="1">VLOOKUP(B29,PeerGroups!$I$643:$K$647,3,FALSE)</f>
        <v>Emerging Research</v>
      </c>
      <c r="E29" s="53" t="s">
        <v>176</v>
      </c>
      <c r="F29" s="124">
        <f t="shared" si="1"/>
        <v>2021</v>
      </c>
      <c r="G29" s="1288" t="s">
        <v>2117</v>
      </c>
      <c r="H29" s="1294">
        <v>3656</v>
      </c>
      <c r="I29" s="1310">
        <f>'ARL Sum'!$G$11</f>
        <v>160771184</v>
      </c>
      <c r="J29" s="1020">
        <f>'ARL Sum'!$G$14</f>
        <v>0</v>
      </c>
      <c r="K29" s="1013">
        <f>'ARL Sum'!$F$20</f>
        <v>333494337</v>
      </c>
      <c r="L29" s="1013">
        <f>'ARL Sum'!$F$23</f>
        <v>176364560</v>
      </c>
      <c r="M29" s="1013">
        <f>'ARL Sum'!$F$32</f>
        <v>87762572</v>
      </c>
      <c r="N29" s="1020">
        <f>'ARL Sum'!$G$35</f>
        <v>758392653</v>
      </c>
      <c r="O29" s="1479">
        <f>ROUND((VLOOKUP($H29,'Univ_IE_Keys NA'!$X$11:$AB$57,4,FALSE))/'Univ_IE_Keys NA'!$T28,2)</f>
        <v>0</v>
      </c>
      <c r="P29" s="1480">
        <f>ROUND((VLOOKUP($H29,'Univ_IE_Keys NA'!$X$11:$AB$57,5,FALSE))/'Univ_IE_Keys NA'!$T28,2)</f>
        <v>0</v>
      </c>
      <c r="Q29" s="794"/>
      <c r="R29" s="910"/>
      <c r="S29" s="1416">
        <v>10068</v>
      </c>
      <c r="T29" s="53"/>
      <c r="U29" s="528" t="str">
        <f>'ARL FGD'!$O$92</f>
        <v>Ting Chen</v>
      </c>
      <c r="V29" s="528" t="str">
        <f>'ARL FGD'!$Q$92</f>
        <v>817-272-7489</v>
      </c>
      <c r="W29" s="528" t="str">
        <f>'ARL FGD'!$T$92</f>
        <v>ting.chen@uta.edu</v>
      </c>
    </row>
    <row r="30" spans="1:23">
      <c r="A30" s="1123">
        <v>51</v>
      </c>
      <c r="B30" s="678" t="str">
        <f ca="1">OFFSET(PeerGroups!$C$6,MATCH(H30,PeerGroups!$A$7:$A$623,0),MATCH($F$4,PeerGroups!$D$5:$AA$5,0))</f>
        <v>P00034</v>
      </c>
      <c r="C30" s="678" t="str">
        <f ca="1">OFFSET(SystemGroups!$C$6,MATCH(H30,SystemGroups!$A$7:$A$623,0),MATCH($F$4,SystemGroups!$D$5:$AA$5,0))</f>
        <v>S03655</v>
      </c>
      <c r="D30" s="78" t="str">
        <f ca="1">VLOOKUP(B30,PeerGroups!$I$643:$K$647,3,FALSE)</f>
        <v>Research</v>
      </c>
      <c r="E30" s="116" t="s">
        <v>1404</v>
      </c>
      <c r="F30" s="1125">
        <f t="shared" si="1"/>
        <v>2021</v>
      </c>
      <c r="G30" s="1288" t="s">
        <v>2117</v>
      </c>
      <c r="H30" s="1295">
        <v>3658</v>
      </c>
      <c r="I30" s="1310">
        <f>'AUS1 Sum'!$G$11</f>
        <v>387382636</v>
      </c>
      <c r="J30" s="1020">
        <f>'AUS1 Sum'!$G$14</f>
        <v>392376810</v>
      </c>
      <c r="K30" s="1013">
        <f>'AUS1 Sum'!$F$20</f>
        <v>487004378</v>
      </c>
      <c r="L30" s="1013">
        <f>'AUS1 Sum'!$F$23</f>
        <v>599352881</v>
      </c>
      <c r="M30" s="1013">
        <f>'AUS1 Sum'!$F$32</f>
        <v>1142386227</v>
      </c>
      <c r="N30" s="1020">
        <f>'AUS1 Sum'!$G$35</f>
        <v>2616126122</v>
      </c>
      <c r="O30" s="1479">
        <f>ROUND((VLOOKUP($H30,'Univ_IE_Keys NA'!$X$11:$AB$57,4,FALSE))/'Univ_IE_Keys NA'!$T29,2)</f>
        <v>0</v>
      </c>
      <c r="P30" s="1480">
        <f>ROUND((VLOOKUP($H30,'Univ_IE_Keys NA'!$X$11:$AB$57,5,FALSE))/'Univ_IE_Keys NA'!$T29,2)</f>
        <v>0</v>
      </c>
      <c r="Q30" s="794"/>
      <c r="R30" s="1304"/>
      <c r="S30" s="1416">
        <v>8488</v>
      </c>
      <c r="T30" s="116"/>
      <c r="U30" s="1129" t="str">
        <f>'AUS1 FGD'!$O$92</f>
        <v>Marcy Lowther</v>
      </c>
      <c r="V30" s="1129" t="str">
        <f>'AUS1 FGD'!$Q$92</f>
        <v>512-471-2808</v>
      </c>
      <c r="W30" s="1129" t="str">
        <f>'AUS1 FGD'!$T$92</f>
        <v>mlowther@austin.utexas.edu</v>
      </c>
    </row>
    <row r="31" spans="1:23">
      <c r="A31" s="480">
        <v>70</v>
      </c>
      <c r="B31" s="678" t="str">
        <f ca="1">OFFSET(PeerGroups!$C$6,MATCH(H31,PeerGroups!$A$7:$A$623,0),MATCH($F$4,PeerGroups!$D$5:$AA$5,0))</f>
        <v>P00033</v>
      </c>
      <c r="C31" s="678" t="str">
        <f ca="1">OFFSET(SystemGroups!$C$6,MATCH(H31,SystemGroups!$A$7:$A$623,0),MATCH($F$4,SystemGroups!$D$5:$AA$5,0))</f>
        <v>S03655</v>
      </c>
      <c r="D31" s="68" t="str">
        <f ca="1">VLOOKUP(B31,PeerGroups!$I$643:$K$647,3,FALSE)</f>
        <v>Emerging Research</v>
      </c>
      <c r="E31" s="53" t="s">
        <v>180</v>
      </c>
      <c r="F31" s="124">
        <f t="shared" si="1"/>
        <v>2021</v>
      </c>
      <c r="G31" s="1288" t="s">
        <v>2117</v>
      </c>
      <c r="H31" s="1294">
        <v>3661</v>
      </c>
      <c r="I31" s="1310">
        <f>'E-P Sum'!$G$11</f>
        <v>133335593</v>
      </c>
      <c r="J31" s="1020">
        <f>'E-P Sum'!$G$14</f>
        <v>0</v>
      </c>
      <c r="K31" s="1013">
        <f>'E-P Sum'!$F$20</f>
        <v>140269683</v>
      </c>
      <c r="L31" s="1013">
        <f>'E-P Sum'!$F$23</f>
        <v>206524165</v>
      </c>
      <c r="M31" s="1013">
        <f>'E-P Sum'!$F$32</f>
        <v>39635683</v>
      </c>
      <c r="N31" s="1020">
        <f>'E-P Sum'!$G$35</f>
        <v>519765124</v>
      </c>
      <c r="O31" s="1479">
        <f>ROUND((VLOOKUP($H31,'Univ_IE_Keys NA'!$X$11:$AB$57,4,FALSE))/'Univ_IE_Keys NA'!$T30,2)</f>
        <v>0</v>
      </c>
      <c r="P31" s="1480">
        <f>ROUND((VLOOKUP($H31,'Univ_IE_Keys NA'!$X$11:$AB$57,5,FALSE))/'Univ_IE_Keys NA'!$T30,2)</f>
        <v>0</v>
      </c>
      <c r="Q31" s="794"/>
      <c r="R31" s="910"/>
      <c r="S31" s="1416">
        <v>10061</v>
      </c>
      <c r="U31" s="528" t="str">
        <f>'E-P FGD'!$O$92</f>
        <v>Daniel Dominguez</v>
      </c>
      <c r="V31" s="528" t="str">
        <f>'E-P FGD'!$Q$92</f>
        <v>(915)747-5083</v>
      </c>
      <c r="W31" s="528" t="str">
        <f>'E-P FGD'!$T$92</f>
        <v>drdominguez@utep.edu</v>
      </c>
    </row>
    <row r="32" spans="1:23">
      <c r="A32" s="480">
        <v>200</v>
      </c>
      <c r="B32" s="678" t="str">
        <f ca="1">OFFSET(PeerGroups!$C$6,MATCH(H32,PeerGroups!$A$7:$A$623,0),MATCH($F$4,PeerGroups!$D$5:$AA$5,0))</f>
        <v>P00030</v>
      </c>
      <c r="C32" s="678" t="str">
        <f ca="1">OFFSET(SystemGroups!$C$6,MATCH(H32,SystemGroups!$A$7:$A$623,0),MATCH($F$4,SystemGroups!$D$5:$AA$5,0))</f>
        <v>S03629</v>
      </c>
      <c r="D32" s="68" t="str">
        <f ca="1">VLOOKUP(B32,PeerGroups!$I$643:$K$647,3,FALSE)</f>
        <v>Comprehensive</v>
      </c>
      <c r="E32" s="53" t="s">
        <v>182</v>
      </c>
      <c r="F32" s="124">
        <f t="shared" si="1"/>
        <v>2021</v>
      </c>
      <c r="G32" s="1288" t="s">
        <v>2117</v>
      </c>
      <c r="H32" s="1277">
        <v>3665</v>
      </c>
      <c r="I32" s="1310">
        <f>'WTAMU Sum'!$G$11</f>
        <v>47050495</v>
      </c>
      <c r="J32" s="1020">
        <f>'WTAMU Sum'!$G$14</f>
        <v>7446495</v>
      </c>
      <c r="K32" s="1013">
        <f>'WTAMU Sum'!$F$20</f>
        <v>51617523</v>
      </c>
      <c r="L32" s="1013">
        <f>'WTAMU Sum'!$F$23</f>
        <v>34173176</v>
      </c>
      <c r="M32" s="1013">
        <f>'WTAMU Sum'!$F$32</f>
        <v>27961999</v>
      </c>
      <c r="N32" s="1020">
        <f>'WTAMU Sum'!$G$35</f>
        <v>160803193</v>
      </c>
      <c r="O32" s="1479">
        <f>ROUND((VLOOKUP($H32,'Univ_IE_Keys NA'!$X$11:$AB$57,4,FALSE))/'Univ_IE_Keys NA'!$T31,2)</f>
        <v>0</v>
      </c>
      <c r="P32" s="1480">
        <f>ROUND((VLOOKUP($H32,'Univ_IE_Keys NA'!$X$11:$AB$57,5,FALSE))/'Univ_IE_Keys NA'!$T31,2)</f>
        <v>0</v>
      </c>
      <c r="Q32" s="794"/>
      <c r="R32" s="1164"/>
      <c r="S32" s="1416">
        <v>5990</v>
      </c>
      <c r="U32" s="528" t="str">
        <f>'WTAMU FGD'!$O$92</f>
        <v>Chris Arrington</v>
      </c>
      <c r="V32" s="528" t="str">
        <f>'WTAMU FGD'!$Q$92</f>
        <v>979-458-9151</v>
      </c>
      <c r="W32" s="528" t="str">
        <f>'WTAMU FGD'!$T$92</f>
        <v>carrington@tamus.edu</v>
      </c>
    </row>
    <row r="33" spans="1:23">
      <c r="A33" s="480">
        <v>190</v>
      </c>
      <c r="B33" s="678" t="str">
        <f ca="1">OFFSET(PeerGroups!$C$6,MATCH(H33,PeerGroups!$A$7:$A$623,0),MATCH($F$4,PeerGroups!$D$5:$AA$5,0))</f>
        <v>P00030</v>
      </c>
      <c r="C33" s="678" t="str">
        <f ca="1">OFFSET(SystemGroups!$C$6,MATCH(H33,SystemGroups!$A$7:$A$623,0),MATCH($F$4,SystemGroups!$D$5:$AA$5,0))</f>
        <v>S03629</v>
      </c>
      <c r="D33" s="68" t="str">
        <f ca="1">VLOOKUP(B33,PeerGroups!$I$643:$K$647,3,FALSE)</f>
        <v>Comprehensive</v>
      </c>
      <c r="E33" s="53" t="s">
        <v>184</v>
      </c>
      <c r="F33" s="124">
        <f t="shared" si="1"/>
        <v>2021</v>
      </c>
      <c r="G33" s="1288" t="s">
        <v>2117</v>
      </c>
      <c r="H33" s="1294">
        <v>9651</v>
      </c>
      <c r="I33" s="1310">
        <f>'TAMIU Sum'!$G$11</f>
        <v>49132692</v>
      </c>
      <c r="J33" s="1020">
        <f>'TAMIU Sum'!$G$14</f>
        <v>7462394</v>
      </c>
      <c r="K33" s="1013">
        <f>'TAMIU Sum'!$F$20</f>
        <v>31387596</v>
      </c>
      <c r="L33" s="1013">
        <f>'TAMIU Sum'!$F$23</f>
        <v>51758469</v>
      </c>
      <c r="M33" s="1013">
        <f>'TAMIU Sum'!$F$32</f>
        <v>13244911</v>
      </c>
      <c r="N33" s="1020">
        <f>'TAMIU Sum'!$G$35</f>
        <v>145523668</v>
      </c>
      <c r="O33" s="1479">
        <f>ROUND((VLOOKUP($H33,'Univ_IE_Keys NA'!$X$11:$AB$57,4,FALSE))/'Univ_IE_Keys NA'!$T32,2)</f>
        <v>0</v>
      </c>
      <c r="P33" s="1480">
        <f>ROUND((VLOOKUP($H33,'Univ_IE_Keys NA'!$X$11:$AB$57,5,FALSE))/'Univ_IE_Keys NA'!$T32,2)</f>
        <v>0</v>
      </c>
      <c r="Q33" s="794"/>
      <c r="R33" s="910"/>
      <c r="S33" s="1416">
        <v>6465</v>
      </c>
      <c r="U33" s="528" t="str">
        <f>'TAMIU FGD'!$O$92</f>
        <v>Chris Arrington</v>
      </c>
      <c r="V33" s="528" t="str">
        <f>'TAMIU FGD'!$Q$92</f>
        <v>979-458-9151</v>
      </c>
      <c r="W33" s="528" t="str">
        <f>'TAMIU FGD'!$T$92</f>
        <v>carrington@tamus.edu</v>
      </c>
    </row>
    <row r="34" spans="1:23">
      <c r="A34" s="480">
        <v>60</v>
      </c>
      <c r="B34" s="678" t="str">
        <f ca="1">OFFSET(PeerGroups!$C$6,MATCH(H34,PeerGroups!$A$7:$A$623,0),MATCH($F$4,PeerGroups!$D$5:$AA$5,0))</f>
        <v>P00033</v>
      </c>
      <c r="C34" s="678" t="str">
        <f ca="1">OFFSET(SystemGroups!$C$6,MATCH(H34,SystemGroups!$A$7:$A$623,0),MATCH($F$4,SystemGroups!$D$5:$AA$5,0))</f>
        <v>S03655</v>
      </c>
      <c r="D34" s="68" t="str">
        <f ca="1">VLOOKUP(B34,PeerGroups!$I$643:$K$647,3,FALSE)</f>
        <v>Emerging Research</v>
      </c>
      <c r="E34" s="53" t="s">
        <v>186</v>
      </c>
      <c r="F34" s="124">
        <f t="shared" si="1"/>
        <v>2021</v>
      </c>
      <c r="G34" s="1288" t="s">
        <v>2117</v>
      </c>
      <c r="H34" s="1294">
        <v>9741</v>
      </c>
      <c r="I34" s="1310">
        <f>'DAL Sum'!$G$11</f>
        <v>129433047</v>
      </c>
      <c r="J34" s="1020">
        <f>'DAL Sum'!$G$14</f>
        <v>0</v>
      </c>
      <c r="K34" s="1013">
        <f>'DAL Sum'!$F$20</f>
        <v>279071910</v>
      </c>
      <c r="L34" s="1013">
        <f>'DAL Sum'!$F$23</f>
        <v>143175656</v>
      </c>
      <c r="M34" s="1013">
        <f>'DAL Sum'!$F$32</f>
        <v>105282603</v>
      </c>
      <c r="N34" s="1020">
        <f>'DAL Sum'!$G$35</f>
        <v>656963216</v>
      </c>
      <c r="O34" s="1479">
        <f>ROUND((VLOOKUP($H34,'Univ_IE_Keys NA'!$X$11:$AB$57,4,FALSE))/'Univ_IE_Keys NA'!$T33,2)</f>
        <v>0</v>
      </c>
      <c r="P34" s="1480">
        <f>ROUND((VLOOKUP($H34,'Univ_IE_Keys NA'!$X$11:$AB$57,5,FALSE))/'Univ_IE_Keys NA'!$T33,2)</f>
        <v>0</v>
      </c>
      <c r="Q34" s="794"/>
      <c r="R34" s="910"/>
      <c r="S34" s="1416">
        <v>4098</v>
      </c>
      <c r="U34" s="528" t="str">
        <f>'DAL FGD'!$O$92</f>
        <v>Cindy Milligan</v>
      </c>
      <c r="V34" s="528" t="str">
        <f>'DAL FGD'!$Q$92</f>
        <v>(972) 883-2632</v>
      </c>
      <c r="W34" s="528" t="str">
        <f>'DAL FGD'!$T$92</f>
        <v>cxm133830@utdallas.edu</v>
      </c>
    </row>
    <row r="35" spans="1:23">
      <c r="A35" s="480">
        <v>100</v>
      </c>
      <c r="B35" s="678" t="str">
        <f ca="1">OFFSET(PeerGroups!$C$6,MATCH(H35,PeerGroups!$A$7:$A$623,0),MATCH($F$4,PeerGroups!$D$5:$AA$5,0))</f>
        <v>P00031</v>
      </c>
      <c r="C35" s="678" t="str">
        <f ca="1">OFFSET(SystemGroups!$C$6,MATCH(H35,SystemGroups!$A$7:$A$623,0),MATCH($F$4,SystemGroups!$D$5:$AA$5,0))</f>
        <v>S03655</v>
      </c>
      <c r="D35" s="68" t="str">
        <f ca="1">VLOOKUP(B35,PeerGroups!$I$643:$K$647,3,FALSE)</f>
        <v>Master's</v>
      </c>
      <c r="E35" s="53" t="s">
        <v>188</v>
      </c>
      <c r="F35" s="124">
        <f t="shared" si="1"/>
        <v>2021</v>
      </c>
      <c r="G35" s="1288" t="s">
        <v>2117</v>
      </c>
      <c r="H35" s="1294">
        <v>9930</v>
      </c>
      <c r="I35" s="1310">
        <f>'P-B Sum'!$G$11</f>
        <v>43016478</v>
      </c>
      <c r="J35" s="1020">
        <f>'P-B Sum'!$G$14</f>
        <v>0</v>
      </c>
      <c r="K35" s="1013">
        <f>'P-B Sum'!$F$20</f>
        <v>29564335</v>
      </c>
      <c r="L35" s="1013">
        <f>'P-B Sum'!$F$23</f>
        <v>22084960</v>
      </c>
      <c r="M35" s="1013">
        <f>'P-B Sum'!$F$32</f>
        <v>11154898</v>
      </c>
      <c r="N35" s="1020">
        <f>'P-B Sum'!$G$35</f>
        <v>105820671</v>
      </c>
      <c r="O35" s="1479">
        <f>ROUND((VLOOKUP($H35,'Univ_IE_Keys NA'!$X$11:$AB$57,4,FALSE))/'Univ_IE_Keys NA'!$T34,2)</f>
        <v>0</v>
      </c>
      <c r="P35" s="1480">
        <f>ROUND((VLOOKUP($H35,'Univ_IE_Keys NA'!$X$11:$AB$57,5,FALSE))/'Univ_IE_Keys NA'!$T34,2)</f>
        <v>0</v>
      </c>
      <c r="Q35" s="794"/>
      <c r="R35" s="910"/>
      <c r="S35" s="1416">
        <v>13702</v>
      </c>
      <c r="U35" s="528" t="str">
        <f>'P-B FGD'!$O$92</f>
        <v>Jana Juarez</v>
      </c>
      <c r="V35" s="528" t="str">
        <f>'P-B FGD'!$Q$92</f>
        <v>432-552-2717</v>
      </c>
      <c r="W35" s="528" t="str">
        <f>'P-B FGD'!$T$92</f>
        <v>juarez_j@utpb.edu</v>
      </c>
    </row>
    <row r="36" spans="1:23">
      <c r="A36" s="480">
        <v>110</v>
      </c>
      <c r="B36" s="678" t="str">
        <f ca="1">OFFSET(PeerGroups!$C$6,MATCH(H36,PeerGroups!$A$7:$A$623,0),MATCH($F$4,PeerGroups!$D$5:$AA$5,0))</f>
        <v>P00033</v>
      </c>
      <c r="C36" s="678" t="str">
        <f ca="1">OFFSET(SystemGroups!$C$6,MATCH(H36,SystemGroups!$A$7:$A$623,0),MATCH($F$4,SystemGroups!$D$5:$AA$5,0))</f>
        <v>S03655</v>
      </c>
      <c r="D36" s="68" t="str">
        <f ca="1">VLOOKUP(B36,PeerGroups!$I$643:$K$647,3,FALSE)</f>
        <v>Emerging Research</v>
      </c>
      <c r="E36" s="53" t="s">
        <v>190</v>
      </c>
      <c r="F36" s="124">
        <f t="shared" si="1"/>
        <v>2021</v>
      </c>
      <c r="G36" s="1288" t="s">
        <v>2117</v>
      </c>
      <c r="H36" s="1294">
        <v>10115</v>
      </c>
      <c r="I36" s="1310">
        <f>'S-A Sum'!$G$11</f>
        <v>162176413</v>
      </c>
      <c r="J36" s="1020">
        <f>'S-A Sum'!$G$14</f>
        <v>0</v>
      </c>
      <c r="K36" s="1013">
        <f>'S-A Sum'!$F$20</f>
        <v>228192154</v>
      </c>
      <c r="L36" s="1013">
        <f>'S-A Sum'!$F$23</f>
        <v>200914830</v>
      </c>
      <c r="M36" s="1013">
        <f>'S-A Sum'!$F$32</f>
        <v>134488033</v>
      </c>
      <c r="N36" s="1020">
        <f>'S-A Sum'!$G$35</f>
        <v>725771430</v>
      </c>
      <c r="O36" s="1479">
        <f>ROUND((VLOOKUP($H36,'Univ_IE_Keys NA'!$X$11:$AB$57,4,FALSE))/'Univ_IE_Keys NA'!$T35,2)</f>
        <v>0</v>
      </c>
      <c r="P36" s="1480">
        <f>ROUND((VLOOKUP($H36,'Univ_IE_Keys NA'!$X$11:$AB$57,5,FALSE))/'Univ_IE_Keys NA'!$T35,2)</f>
        <v>0</v>
      </c>
      <c r="Q36" s="794"/>
      <c r="R36" s="910"/>
      <c r="S36" s="1416">
        <v>4123</v>
      </c>
      <c r="U36" s="528" t="str">
        <f>'S-A FGD'!$O$92</f>
        <v>Sheri Hardison</v>
      </c>
      <c r="V36" s="528" t="str">
        <f>'S-A FGD'!$Q$92</f>
        <v>210-458-6774</v>
      </c>
      <c r="W36" s="528" t="str">
        <f>'S-A FGD'!$T$92</f>
        <v>sheri.hardison@utsa.edu</v>
      </c>
    </row>
    <row r="37" spans="1:23">
      <c r="A37" s="480">
        <v>140</v>
      </c>
      <c r="B37" s="678" t="str">
        <f ca="1">OFFSET(PeerGroups!$C$6,MATCH(H37,PeerGroups!$A$7:$A$623,0),MATCH($F$4,PeerGroups!$D$5:$AA$5,0))</f>
        <v>P00031</v>
      </c>
      <c r="C37" s="678" t="str">
        <f ca="1">OFFSET(SystemGroups!$C$6,MATCH(H37,SystemGroups!$A$7:$A$623,0),MATCH($F$4,SystemGroups!$D$5:$AA$5,0))</f>
        <v>S03629</v>
      </c>
      <c r="D37" s="68" t="str">
        <f ca="1">VLOOKUP(B37,PeerGroups!$I$643:$K$647,3,FALSE)</f>
        <v>Master's</v>
      </c>
      <c r="E37" s="53" t="s">
        <v>192</v>
      </c>
      <c r="F37" s="124">
        <f t="shared" si="1"/>
        <v>2021</v>
      </c>
      <c r="G37" s="1288" t="s">
        <v>2117</v>
      </c>
      <c r="H37" s="1294">
        <v>10298</v>
      </c>
      <c r="I37" s="1310">
        <f>'TAMUG Sum'!$G$11</f>
        <v>71006415</v>
      </c>
      <c r="J37" s="1020">
        <f>'TAMUG Sum'!$G$14</f>
        <v>0</v>
      </c>
      <c r="K37" s="1013">
        <f>'TAMUG Sum'!$F$20</f>
        <v>21292132</v>
      </c>
      <c r="L37" s="1013">
        <f>'TAMUG Sum'!$F$23</f>
        <v>10245867</v>
      </c>
      <c r="M37" s="1013">
        <f>'TAMUG Sum'!$F$32</f>
        <v>10934036</v>
      </c>
      <c r="N37" s="1020">
        <f>'TAMUG Sum'!$G$35</f>
        <v>113478450</v>
      </c>
      <c r="O37" s="1479">
        <f>ROUND((VLOOKUP($H37,'Univ_IE_Keys NA'!$X$11:$AB$57,4,FALSE))/'Univ_IE_Keys NA'!$T36,2)</f>
        <v>0</v>
      </c>
      <c r="P37" s="1480">
        <f>ROUND((VLOOKUP($H37,'Univ_IE_Keys NA'!$X$11:$AB$57,5,FALSE))/'Univ_IE_Keys NA'!$T36,2)</f>
        <v>0</v>
      </c>
      <c r="Q37" s="794"/>
      <c r="R37" s="910"/>
      <c r="S37" s="1416">
        <v>8382</v>
      </c>
      <c r="U37" s="528" t="str">
        <f>'TAMUG FGD'!$O$92</f>
        <v>Chris Arrington</v>
      </c>
      <c r="V37" s="528" t="str">
        <f>'TAMUG FGD'!$Q$92</f>
        <v>979-458-9151</v>
      </c>
      <c r="W37" s="528" t="str">
        <f>'TAMUG FGD'!$T$92</f>
        <v>carrington@tamus.edu</v>
      </c>
    </row>
    <row r="38" spans="1:23">
      <c r="A38" s="480">
        <v>170</v>
      </c>
      <c r="B38" s="678" t="str">
        <f ca="1">OFFSET(PeerGroups!$C$6,MATCH(H38,PeerGroups!$A$7:$A$623,0),MATCH($F$4,PeerGroups!$D$5:$AA$5,0))</f>
        <v>P00032</v>
      </c>
      <c r="C38" s="678" t="str">
        <f ca="1">OFFSET(SystemGroups!$C$6,MATCH(H38,SystemGroups!$A$7:$A$623,0),MATCH($F$4,SystemGroups!$D$5:$AA$5,0))</f>
        <v>S03629</v>
      </c>
      <c r="D38" s="68" t="str">
        <f ca="1">VLOOKUP(B38,PeerGroups!$I$643:$K$647,3,FALSE)</f>
        <v>Doctoral</v>
      </c>
      <c r="E38" s="53" t="s">
        <v>194</v>
      </c>
      <c r="F38" s="124">
        <f t="shared" si="1"/>
        <v>2021</v>
      </c>
      <c r="G38" s="1288" t="s">
        <v>2117</v>
      </c>
      <c r="H38" s="1294">
        <v>11161</v>
      </c>
      <c r="I38" s="1310">
        <f>'TAMUCC Sum'!$G$11</f>
        <v>69246907</v>
      </c>
      <c r="J38" s="1020">
        <f>'TAMUCC Sum'!$G$14</f>
        <v>11478824</v>
      </c>
      <c r="K38" s="1013">
        <f>'TAMUCC Sum'!$F$20</f>
        <v>67622717</v>
      </c>
      <c r="L38" s="1013">
        <f>'TAMUCC Sum'!$F$23</f>
        <v>64668767</v>
      </c>
      <c r="M38" s="1013">
        <f>'TAMUCC Sum'!$F$32</f>
        <v>24477960</v>
      </c>
      <c r="N38" s="1020">
        <f>'TAMUCC Sum'!$G$35</f>
        <v>226016351</v>
      </c>
      <c r="O38" s="1479">
        <f>ROUND((VLOOKUP($H38,'Univ_IE_Keys NA'!$X$11:$AB$57,4,FALSE))/'Univ_IE_Keys NA'!$T37,2)</f>
        <v>0</v>
      </c>
      <c r="P38" s="1480">
        <f>ROUND((VLOOKUP($H38,'Univ_IE_Keys NA'!$X$11:$AB$57,5,FALSE))/'Univ_IE_Keys NA'!$T37,2)</f>
        <v>0</v>
      </c>
      <c r="Q38" s="794"/>
      <c r="R38" s="910"/>
      <c r="S38" s="1416">
        <v>9565</v>
      </c>
      <c r="U38" s="528" t="str">
        <f>'TAMUCC FGD'!$O$92</f>
        <v>Chris Arrington</v>
      </c>
      <c r="V38" s="528" t="str">
        <f>'TAMUCC FGD'!$Q$92</f>
        <v>979-458-9151</v>
      </c>
      <c r="W38" s="528" t="str">
        <f>'TAMUCC FGD'!$T$92</f>
        <v>carrington@tamus.edu</v>
      </c>
    </row>
    <row r="39" spans="1:23">
      <c r="A39" s="480">
        <v>120</v>
      </c>
      <c r="B39" s="678" t="str">
        <f ca="1">OFFSET(PeerGroups!$C$6,MATCH(H39,PeerGroups!$A$7:$A$623,0),MATCH($F$4,PeerGroups!$D$5:$AA$5,0))</f>
        <v>P00031</v>
      </c>
      <c r="C39" s="678" t="str">
        <f ca="1">OFFSET(SystemGroups!$C$6,MATCH(H39,SystemGroups!$A$7:$A$623,0),MATCH($F$4,SystemGroups!$D$5:$AA$5,0))</f>
        <v>S03655</v>
      </c>
      <c r="D39" s="68" t="str">
        <f ca="1">VLOOKUP(B39,PeerGroups!$I$643:$K$647,3,FALSE)</f>
        <v>Master's</v>
      </c>
      <c r="E39" s="53" t="s">
        <v>196</v>
      </c>
      <c r="F39" s="124">
        <f t="shared" si="1"/>
        <v>2021</v>
      </c>
      <c r="G39" s="1288" t="s">
        <v>2117</v>
      </c>
      <c r="H39" s="1294">
        <v>11163</v>
      </c>
      <c r="I39" s="1310">
        <f>'TYL Sum'!$G$11</f>
        <v>52855515</v>
      </c>
      <c r="J39" s="1020">
        <f>'TYL Sum'!$G$14</f>
        <v>0</v>
      </c>
      <c r="K39" s="1013">
        <f>'TYL Sum'!$F$20</f>
        <v>52273469</v>
      </c>
      <c r="L39" s="1013">
        <f>'TYL Sum'!$F$23</f>
        <v>23208570</v>
      </c>
      <c r="M39" s="1013">
        <f>'TYL Sum'!$F$32</f>
        <v>22692456</v>
      </c>
      <c r="N39" s="1020">
        <f>'TYL Sum'!$G$35</f>
        <v>151030010</v>
      </c>
      <c r="O39" s="1479">
        <f>ROUND((VLOOKUP($H39,'Univ_IE_Keys NA'!$X$11:$AB$57,4,FALSE))/'Univ_IE_Keys NA'!$T38,2)</f>
        <v>0</v>
      </c>
      <c r="P39" s="1480">
        <f>ROUND((VLOOKUP($H39,'Univ_IE_Keys NA'!$X$11:$AB$57,5,FALSE))/'Univ_IE_Keys NA'!$T38,2)</f>
        <v>0</v>
      </c>
      <c r="Q39" s="794"/>
      <c r="R39" s="910"/>
      <c r="S39" s="1416">
        <v>7440</v>
      </c>
      <c r="U39" s="528" t="str">
        <f>'TYL FGD'!$O$92</f>
        <v>Brenda Golemon</v>
      </c>
      <c r="V39" s="528" t="str">
        <f>'TYL FGD'!$Q$92</f>
        <v>903-566-7319</v>
      </c>
      <c r="W39" s="528" t="str">
        <f>'TYL FGD'!$T$92</f>
        <v>bgolemon@gmail.com</v>
      </c>
    </row>
    <row r="40" spans="1:23">
      <c r="A40" s="480">
        <v>240</v>
      </c>
      <c r="B40" s="678" t="str">
        <f ca="1">OFFSET(PeerGroups!$C$6,MATCH(H40,PeerGroups!$A$7:$A$623,0),MATCH($F$4,PeerGroups!$D$5:$AA$5,0))</f>
        <v>P00031</v>
      </c>
      <c r="C40" s="678" t="str">
        <f ca="1">OFFSET(SystemGroups!$C$6,MATCH(H40,SystemGroups!$A$7:$A$623,0),MATCH($F$4,SystemGroups!$D$5:$AA$5,0))</f>
        <v>S11721</v>
      </c>
      <c r="D40" s="68" t="str">
        <f ca="1">VLOOKUP(B40,PeerGroups!$I$643:$K$647,3,FALSE)</f>
        <v>Master's</v>
      </c>
      <c r="E40" s="53" t="s">
        <v>198</v>
      </c>
      <c r="F40" s="124">
        <f t="shared" si="1"/>
        <v>2021</v>
      </c>
      <c r="G40" s="1288" t="s">
        <v>2117</v>
      </c>
      <c r="H40" s="1294">
        <v>11711</v>
      </c>
      <c r="I40" s="1310">
        <f>'UHCL Sum'!$G$11</f>
        <v>39325155</v>
      </c>
      <c r="J40" s="1020">
        <f>'UHCL Sum'!$G$14</f>
        <v>7726043</v>
      </c>
      <c r="K40" s="1013">
        <f>'UHCL Sum'!$F$20</f>
        <v>51356468</v>
      </c>
      <c r="L40" s="1013">
        <f>'UHCL Sum'!$F$23</f>
        <v>37552981</v>
      </c>
      <c r="M40" s="1013">
        <f>'UHCL Sum'!$F$32</f>
        <v>10467074</v>
      </c>
      <c r="N40" s="1020">
        <f>'UHCL Sum'!$G$35</f>
        <v>138701678</v>
      </c>
      <c r="O40" s="1479">
        <f>ROUND((VLOOKUP($H40,'Univ_IE_Keys NA'!$X$11:$AB$57,4,FALSE))/'Univ_IE_Keys NA'!$T39,2)</f>
        <v>0</v>
      </c>
      <c r="P40" s="1480">
        <f>ROUND((VLOOKUP($H40,'Univ_IE_Keys NA'!$X$11:$AB$57,5,FALSE))/'Univ_IE_Keys NA'!$T39,2)</f>
        <v>0</v>
      </c>
      <c r="Q40" s="794"/>
      <c r="R40" s="910"/>
      <c r="S40" s="1416">
        <v>6131</v>
      </c>
      <c r="U40" s="528" t="str">
        <f>'UHCL FGD'!$O$92</f>
        <v>Mila Bautista</v>
      </c>
      <c r="V40" s="528" t="str">
        <f>'UHCL FGD'!$Q$92</f>
        <v>281-283-2129</v>
      </c>
      <c r="W40" s="528" t="str">
        <f>'UHCL FGD'!$T$92</f>
        <v>BautistaM@uhcl.edu</v>
      </c>
    </row>
    <row r="41" spans="1:23">
      <c r="A41" s="480">
        <v>250</v>
      </c>
      <c r="B41" s="678" t="str">
        <f ca="1">OFFSET(PeerGroups!$C$6,MATCH(H41,PeerGroups!$A$7:$A$623,0),MATCH($F$4,PeerGroups!$D$5:$AA$5,0))</f>
        <v>P00031</v>
      </c>
      <c r="C41" s="678" t="str">
        <f ca="1">OFFSET(SystemGroups!$C$6,MATCH(H41,SystemGroups!$A$7:$A$623,0),MATCH($F$4,SystemGroups!$D$5:$AA$5,0))</f>
        <v>S11721</v>
      </c>
      <c r="D41" s="68" t="str">
        <f ca="1">VLOOKUP(B41,PeerGroups!$I$643:$K$647,3,FALSE)</f>
        <v>Master's</v>
      </c>
      <c r="E41" s="53" t="s">
        <v>200</v>
      </c>
      <c r="F41" s="124">
        <f t="shared" si="1"/>
        <v>2021</v>
      </c>
      <c r="G41" s="1288" t="s">
        <v>2117</v>
      </c>
      <c r="H41" s="1294">
        <v>12826</v>
      </c>
      <c r="I41" s="1310">
        <f>'UHD Sum'!$G$11</f>
        <v>38889927</v>
      </c>
      <c r="J41" s="1020">
        <f>'UHD Sum'!$G$14</f>
        <v>10828344</v>
      </c>
      <c r="K41" s="1013">
        <f>'UHD Sum'!$F$20</f>
        <v>65776567</v>
      </c>
      <c r="L41" s="1013">
        <f>'UHD Sum'!$F$23</f>
        <v>63925563</v>
      </c>
      <c r="M41" s="1013">
        <f>'UHD Sum'!$F$32</f>
        <v>15179933</v>
      </c>
      <c r="N41" s="1020">
        <f>'UHD Sum'!$G$35</f>
        <v>183771990</v>
      </c>
      <c r="O41" s="1479">
        <f>ROUND((VLOOKUP($H41,'Univ_IE_Keys NA'!$X$11:$AB$57,4,FALSE))/'Univ_IE_Keys NA'!$T40,2)</f>
        <v>0</v>
      </c>
      <c r="P41" s="1480">
        <f>ROUND((VLOOKUP($H41,'Univ_IE_Keys NA'!$X$11:$AB$57,5,FALSE))/'Univ_IE_Keys NA'!$T40,2)</f>
        <v>0</v>
      </c>
      <c r="Q41" s="794"/>
      <c r="R41" s="910"/>
      <c r="S41" s="1416">
        <v>9587</v>
      </c>
      <c r="U41" s="528" t="str">
        <f>'UHD FGD'!$O$92</f>
        <v>Alice Tsai</v>
      </c>
      <c r="V41" s="528" t="str">
        <f>'UHD FGD'!$Q$92</f>
        <v>713-221-8098</v>
      </c>
      <c r="W41" s="528" t="str">
        <f>'UHD FGD'!$T$92</f>
        <v>Tsaia@uhd.edu</v>
      </c>
    </row>
    <row r="42" spans="1:23">
      <c r="A42" s="480">
        <v>260</v>
      </c>
      <c r="B42" s="678" t="str">
        <f ca="1">OFFSET(PeerGroups!$C$6,MATCH(H42,PeerGroups!$A$7:$A$623,0),MATCH($F$4,PeerGroups!$D$5:$AA$5,0))</f>
        <v>P00031</v>
      </c>
      <c r="C42" s="678" t="str">
        <f ca="1">OFFSET(SystemGroups!$C$6,MATCH(H42,SystemGroups!$A$7:$A$623,0),MATCH($F$4,SystemGroups!$D$5:$AA$5,0))</f>
        <v>S11721</v>
      </c>
      <c r="D42" s="68" t="str">
        <f ca="1">VLOOKUP(B42,PeerGroups!$I$643:$K$647,3,FALSE)</f>
        <v>Master's</v>
      </c>
      <c r="E42" s="53" t="s">
        <v>202</v>
      </c>
      <c r="F42" s="124">
        <f t="shared" si="1"/>
        <v>2021</v>
      </c>
      <c r="G42" s="1289" t="s">
        <v>2117</v>
      </c>
      <c r="H42" s="1294">
        <v>13231</v>
      </c>
      <c r="I42" s="1310">
        <f>'UHV Sum'!$G$11</f>
        <v>19867941</v>
      </c>
      <c r="J42" s="1020">
        <f>'UHV Sum'!$G$14</f>
        <v>3542817</v>
      </c>
      <c r="K42" s="1013">
        <f>'UHV Sum'!$F$20</f>
        <v>23365242</v>
      </c>
      <c r="L42" s="1013">
        <f>'UHV Sum'!$F$23</f>
        <v>15650731</v>
      </c>
      <c r="M42" s="1013">
        <f>'UHV Sum'!$F$32</f>
        <v>4844551</v>
      </c>
      <c r="N42" s="1020">
        <f>'UHV Sum'!$G$35</f>
        <v>63728465</v>
      </c>
      <c r="O42" s="1479">
        <f>ROUND((VLOOKUP($H42,'Univ_IE_Keys NA'!$X$11:$AB$57,4,FALSE))/'Univ_IE_Keys NA'!$T41,2)</f>
        <v>0</v>
      </c>
      <c r="P42" s="1480">
        <f>ROUND((VLOOKUP($H42,'Univ_IE_Keys NA'!$X$11:$AB$57,5,FALSE))/'Univ_IE_Keys NA'!$T41,2)</f>
        <v>0</v>
      </c>
      <c r="Q42" s="794"/>
      <c r="R42" s="910"/>
      <c r="S42" s="1416">
        <v>7186</v>
      </c>
      <c r="U42" s="528" t="str">
        <f>'UHV FGD'!$O$92</f>
        <v>June Nelson</v>
      </c>
      <c r="V42" s="528" t="str">
        <f>'UHV FGD'!$Q$92</f>
        <v>361-570-4873</v>
      </c>
      <c r="W42" s="528" t="str">
        <f>'UHV FGD'!$T$92</f>
        <v>nelsonj@uhv.edu</v>
      </c>
    </row>
    <row r="43" spans="1:23" s="116" customFormat="1">
      <c r="A43" s="480">
        <v>220</v>
      </c>
      <c r="B43" s="678" t="str">
        <f ca="1">OFFSET(PeerGroups!$C$6,MATCH(H43,PeerGroups!$A$7:$A$623,0),MATCH($F$4,PeerGroups!$D$5:$AA$5,0))</f>
        <v>P00031</v>
      </c>
      <c r="C43" s="678" t="str">
        <f ca="1">OFFSET(SystemGroups!$C$6,MATCH(H43,SystemGroups!$A$7:$A$623,0),MATCH($F$4,SystemGroups!$D$5:$AA$5,0))</f>
        <v>S03629</v>
      </c>
      <c r="D43" s="68" t="str">
        <f ca="1">VLOOKUP(B43,PeerGroups!$I$643:$K$647,3,FALSE)</f>
        <v>Master's</v>
      </c>
      <c r="E43" s="53" t="s">
        <v>204</v>
      </c>
      <c r="F43" s="124">
        <f t="shared" si="1"/>
        <v>2021</v>
      </c>
      <c r="G43" s="1288" t="s">
        <v>2117</v>
      </c>
      <c r="H43" s="1294">
        <v>29269</v>
      </c>
      <c r="I43" s="1310">
        <f>'TAMUT Sum'!$G$11</f>
        <v>26526760</v>
      </c>
      <c r="J43" s="1020">
        <f>'TAMUT Sum'!$G$14</f>
        <v>2050273</v>
      </c>
      <c r="K43" s="1013">
        <f>'TAMUT Sum'!$F$20</f>
        <v>10626119</v>
      </c>
      <c r="L43" s="1013">
        <f>'TAMUT Sum'!$F$23</f>
        <v>9745130</v>
      </c>
      <c r="M43" s="1013">
        <f>'TAMUT Sum'!$F$32</f>
        <v>4366618</v>
      </c>
      <c r="N43" s="1020">
        <f>'TAMUT Sum'!$G$35</f>
        <v>51264627</v>
      </c>
      <c r="O43" s="1479">
        <f>ROUND((VLOOKUP($H43,'Univ_IE_Keys NA'!$X$11:$AB$57,4,FALSE))/'Univ_IE_Keys NA'!$T42,2)</f>
        <v>0</v>
      </c>
      <c r="P43" s="1480">
        <f>ROUND((VLOOKUP($H43,'Univ_IE_Keys NA'!$X$11:$AB$57,5,FALSE))/'Univ_IE_Keys NA'!$T42,2)</f>
        <v>0</v>
      </c>
      <c r="Q43" s="794"/>
      <c r="R43" s="910"/>
      <c r="S43" s="1416">
        <v>6093</v>
      </c>
      <c r="T43" s="53"/>
      <c r="U43" s="528" t="str">
        <f>'TAMUT FGD'!$O$92</f>
        <v>Chris Arrington</v>
      </c>
      <c r="V43" s="528" t="str">
        <f>'TAMUT FGD'!$Q$92</f>
        <v>979-458-9151</v>
      </c>
      <c r="W43" s="528" t="str">
        <f>'TAMUT FGD'!$T$92</f>
        <v>carrington@tamus.edu</v>
      </c>
    </row>
    <row r="44" spans="1:23">
      <c r="A44" s="480">
        <v>223</v>
      </c>
      <c r="B44" s="678" t="str">
        <f ca="1">OFFSET(PeerGroups!$C$6,MATCH(H44,PeerGroups!$A$7:$A$623,0),MATCH($F$4,PeerGroups!$D$5:$AA$5,0))</f>
        <v>P00031</v>
      </c>
      <c r="C44" s="678" t="str">
        <f ca="1">OFFSET(SystemGroups!$C$6,MATCH(H44,SystemGroups!$A$7:$A$623,0),MATCH($F$4,SystemGroups!$D$5:$AA$5,0))</f>
        <v>S03629</v>
      </c>
      <c r="D44" s="68" t="str">
        <f ca="1">VLOOKUP(B44,PeerGroups!$I$643:$K$647,3,FALSE)</f>
        <v>Master's</v>
      </c>
      <c r="E44" s="53" t="s">
        <v>278</v>
      </c>
      <c r="F44" s="124">
        <f t="shared" si="1"/>
        <v>2021</v>
      </c>
      <c r="G44" s="1288" t="s">
        <v>2117</v>
      </c>
      <c r="H44" s="1294">
        <v>42295</v>
      </c>
      <c r="I44" s="1310">
        <f>'TAMUCT Sum'!$G$11</f>
        <v>18794464</v>
      </c>
      <c r="J44" s="1020">
        <f>'TAMUCT Sum'!$G$14</f>
        <v>0</v>
      </c>
      <c r="K44" s="1013">
        <f>'TAMUCT Sum'!$F$20</f>
        <v>12660399</v>
      </c>
      <c r="L44" s="1013">
        <f>'TAMUCT Sum'!$F$23</f>
        <v>8130294</v>
      </c>
      <c r="M44" s="1013">
        <f>'TAMUCT Sum'!$F$32</f>
        <v>2067999</v>
      </c>
      <c r="N44" s="1020">
        <f>'TAMUCT Sum'!$G$35</f>
        <v>41653156</v>
      </c>
      <c r="O44" s="1479">
        <f>ROUND((VLOOKUP($H44,'Univ_IE_Keys NA'!$X$11:$AB$57,4,FALSE))/'Univ_IE_Keys NA'!$T44,2)</f>
        <v>0</v>
      </c>
      <c r="P44" s="1480">
        <f>ROUND((VLOOKUP($H44,'Univ_IE_Keys NA'!$X$11:$AB$57,5,FALSE))/'Univ_IE_Keys NA'!$T44,2)</f>
        <v>0</v>
      </c>
      <c r="Q44" s="794"/>
      <c r="R44" s="910"/>
      <c r="S44" s="1416">
        <v>5209</v>
      </c>
      <c r="U44" s="528" t="str">
        <f>'TAMUCT FGD'!$O$92</f>
        <v>Chris Arrington</v>
      </c>
      <c r="V44" s="528" t="str">
        <f>'TAMUCT FGD'!$Q$92</f>
        <v>979-458-9151</v>
      </c>
      <c r="W44" s="528" t="str">
        <f>'TAMUCT FGD'!$T$92</f>
        <v>fincher@tarleton.edu</v>
      </c>
    </row>
    <row r="45" spans="1:23">
      <c r="A45" s="480">
        <v>333</v>
      </c>
      <c r="B45" s="678" t="str">
        <f ca="1">OFFSET(PeerGroups!$C$6,MATCH(H45,PeerGroups!$A$7:$A$623,0),MATCH($F$4,PeerGroups!$D$5:$AA$5,0))</f>
        <v>P00031</v>
      </c>
      <c r="C45" s="678" t="str">
        <f ca="1">OFFSET(SystemGroups!$C$6,MATCH(H45,SystemGroups!$A$7:$A$623,0),MATCH($F$4,SystemGroups!$D$5:$AA$5,0))</f>
        <v>S03594</v>
      </c>
      <c r="D45" s="68" t="str">
        <f ca="1">VLOOKUP(B45,PeerGroups!$I$643:$K$647,3,FALSE)</f>
        <v>Master's</v>
      </c>
      <c r="E45" s="56" t="s">
        <v>276</v>
      </c>
      <c r="F45" s="124">
        <f t="shared" si="1"/>
        <v>2021</v>
      </c>
      <c r="G45" s="1288" t="s">
        <v>2117</v>
      </c>
      <c r="H45" s="1277">
        <v>42421</v>
      </c>
      <c r="I45" s="1310">
        <f>'UNTD Sum'!$G$11</f>
        <v>30073544</v>
      </c>
      <c r="J45" s="1020">
        <f>'UNTD Sum'!$G$14</f>
        <v>3354441</v>
      </c>
      <c r="K45" s="1013">
        <f>'UNTD Sum'!$F$20</f>
        <v>30361512</v>
      </c>
      <c r="L45" s="1013">
        <f>'UNTD Sum'!$F$23</f>
        <v>22473380</v>
      </c>
      <c r="M45" s="1013">
        <f>'UNTD Sum'!$F$32</f>
        <v>3634709</v>
      </c>
      <c r="N45" s="1020">
        <f>'UNTD Sum'!$G$35</f>
        <v>86543145</v>
      </c>
      <c r="O45" s="1479">
        <f>ROUND((VLOOKUP($H45,'Univ_IE_Keys NA'!$X$11:$AB$57,4,FALSE))/'Univ_IE_Keys NA'!$T45,2)</f>
        <v>0</v>
      </c>
      <c r="P45" s="1480">
        <f>ROUND((VLOOKUP($H45,'Univ_IE_Keys NA'!$X$11:$AB$57,5,FALSE))/'Univ_IE_Keys NA'!$T45,2)</f>
        <v>0</v>
      </c>
      <c r="Q45" s="794"/>
      <c r="R45" s="910"/>
      <c r="S45" s="1416">
        <v>6148</v>
      </c>
      <c r="U45" s="528" t="str">
        <f>'UNTD FGD'!$O$92</f>
        <v>Gia Doss</v>
      </c>
      <c r="V45" s="528">
        <f>'UNTD FGD'!$Q$92</f>
        <v>0</v>
      </c>
      <c r="W45" s="528" t="str">
        <f>'UNTD FGD'!$T$92</f>
        <v>Gia.Doss@untsystem.edu</v>
      </c>
    </row>
    <row r="46" spans="1:23" s="56" customFormat="1">
      <c r="A46" s="210">
        <v>226</v>
      </c>
      <c r="B46" s="1038" t="str">
        <f ca="1">OFFSET(PeerGroups!$C$6,MATCH(H46,PeerGroups!$A$7:$A$623,0),MATCH($F$4,PeerGroups!$D$5:$AA$5,0))</f>
        <v>P00031</v>
      </c>
      <c r="C46" s="678" t="str">
        <f ca="1">OFFSET(SystemGroups!$C$6,MATCH(H46,SystemGroups!$A$7:$A$623,0),MATCH($F$4,SystemGroups!$D$5:$AA$5,0))</f>
        <v>S03629</v>
      </c>
      <c r="D46" s="67" t="str">
        <f ca="1">VLOOKUP(B46,PeerGroups!$I$643:$K$647,3,FALSE)</f>
        <v>Master's</v>
      </c>
      <c r="E46" s="56" t="s">
        <v>279</v>
      </c>
      <c r="F46" s="669">
        <f t="shared" si="1"/>
        <v>2021</v>
      </c>
      <c r="G46" s="1288" t="s">
        <v>2117</v>
      </c>
      <c r="H46" s="1277">
        <v>42485</v>
      </c>
      <c r="I46" s="1310">
        <f>'TAMUSA Sum'!$G$11</f>
        <v>38086689</v>
      </c>
      <c r="J46" s="1020">
        <f>'TAMUSA Sum'!$G$14</f>
        <v>0</v>
      </c>
      <c r="K46" s="1020">
        <f>'TAMUSA Sum'!$F$20</f>
        <v>29070862</v>
      </c>
      <c r="L46" s="1020">
        <f>'TAMUSA Sum'!$F$23</f>
        <v>35360842</v>
      </c>
      <c r="M46" s="1020">
        <f>'TAMUSA Sum'!$F$32</f>
        <v>7316614</v>
      </c>
      <c r="N46" s="1020">
        <f>'TAMUSA Sum'!$G$35</f>
        <v>109835007</v>
      </c>
      <c r="O46" s="1479">
        <f>ROUND((VLOOKUP($H46,'Univ_IE_Keys NA'!$X$11:$AB$57,4,FALSE))/'Univ_IE_Keys NA'!$T46,2)</f>
        <v>0</v>
      </c>
      <c r="P46" s="1480">
        <f>ROUND((VLOOKUP($H46,'Univ_IE_Keys NA'!$X$11:$AB$57,5,FALSE))/'Univ_IE_Keys NA'!$T46,2)</f>
        <v>0</v>
      </c>
      <c r="Q46" s="794"/>
      <c r="R46" s="910"/>
      <c r="S46" s="1417">
        <v>8120</v>
      </c>
      <c r="U46" s="1039" t="str">
        <f>'TAMUSA FGD'!$O$92</f>
        <v>Chris Arrington</v>
      </c>
      <c r="V46" s="1039" t="str">
        <f>'TAMUSA FGD'!$Q$92</f>
        <v>979-458-9151</v>
      </c>
      <c r="W46" s="1039" t="str">
        <f>'TAMUSA FGD'!$T$92</f>
        <v>carrington@tamus.edu</v>
      </c>
    </row>
    <row r="47" spans="1:23" ht="13.5" thickBot="1">
      <c r="A47" s="139"/>
      <c r="B47" s="139"/>
      <c r="C47" s="139"/>
      <c r="D47" s="139"/>
      <c r="E47" s="140" t="s">
        <v>207</v>
      </c>
      <c r="F47" s="795">
        <f t="shared" si="0"/>
        <v>2021</v>
      </c>
      <c r="G47" s="1290" t="s">
        <v>2117</v>
      </c>
      <c r="H47" s="1296">
        <v>999999</v>
      </c>
      <c r="I47" s="1311">
        <f>'Smmy Sum'!$G$47</f>
        <v>3619411480</v>
      </c>
      <c r="J47" s="1015">
        <f>'Smmy Sum'!$G$50</f>
        <v>957089015</v>
      </c>
      <c r="K47" s="1015">
        <f>'Smmy Sum'!$F$56</f>
        <v>4845871604</v>
      </c>
      <c r="L47" s="1015">
        <f>'Smmy Sum'!$F$59</f>
        <v>3599991337</v>
      </c>
      <c r="M47" s="1015">
        <f>'Smmy Sum'!$F$68</f>
        <v>3111954509</v>
      </c>
      <c r="N47" s="1015">
        <f>'Smmy Sum'!$G$71</f>
        <v>15177228930</v>
      </c>
      <c r="O47" s="1481">
        <f>ROUND('Univ_IE_Keys NA'!$AA$58/'Univ_IE_Keys NA'!$T$47,2)</f>
        <v>0</v>
      </c>
      <c r="P47" s="1482">
        <f>ROUND('Univ_IE_Keys NA'!$AB$58/'Univ_IE_Keys NA'!$T$47,2)</f>
        <v>0</v>
      </c>
      <c r="Q47" s="798"/>
      <c r="R47" s="1305"/>
      <c r="S47" s="1417"/>
      <c r="U47" s="114"/>
      <c r="V47" s="114"/>
      <c r="W47" s="114"/>
    </row>
    <row r="48" spans="1:23" s="1024" customFormat="1" ht="13.5" thickTop="1">
      <c r="A48" s="145"/>
      <c r="B48" s="145" t="s">
        <v>1580</v>
      </c>
      <c r="C48" s="145"/>
      <c r="D48" s="145">
        <f ca="1">COUNTIF($D$11:$D$46,E48)</f>
        <v>2</v>
      </c>
      <c r="E48" s="1275" t="s">
        <v>15</v>
      </c>
      <c r="F48" s="1472">
        <f t="shared" si="1"/>
        <v>2021</v>
      </c>
      <c r="G48" s="1276" t="s">
        <v>2117</v>
      </c>
      <c r="H48" s="1277" t="s">
        <v>1580</v>
      </c>
      <c r="I48" s="1312">
        <f t="shared" ref="I48:N52" ca="1" si="2">ROUND(SUMIF($B$10:$B$46,$B48,I$10:I$46)/COUNTIF($B$10:$B$46,$B48),0)</f>
        <v>418252071</v>
      </c>
      <c r="J48" s="1315">
        <f t="shared" ca="1" si="2"/>
        <v>296995552</v>
      </c>
      <c r="K48" s="1278">
        <f t="shared" ca="1" si="2"/>
        <v>567360848</v>
      </c>
      <c r="L48" s="1278">
        <f t="shared" ca="1" si="2"/>
        <v>435997836</v>
      </c>
      <c r="M48" s="1278">
        <f t="shared" ca="1" si="2"/>
        <v>822644536</v>
      </c>
      <c r="N48" s="1278">
        <f t="shared" ca="1" si="2"/>
        <v>2244255290</v>
      </c>
      <c r="O48" s="1479">
        <f t="shared" ref="O48:P52" ca="1" si="3">ROUND(SUMIF($B$10:$B$46,$B48,O$10:O$46)/COUNTIF($B$10:$B$46,$B48),2)</f>
        <v>0</v>
      </c>
      <c r="P48" s="1480">
        <f t="shared" ca="1" si="3"/>
        <v>0</v>
      </c>
      <c r="Q48" s="1279"/>
      <c r="R48" s="1305"/>
      <c r="S48" s="1418"/>
      <c r="T48" s="53"/>
    </row>
    <row r="49" spans="1:20" s="1024" customFormat="1">
      <c r="A49" s="1280"/>
      <c r="B49" s="1280" t="s">
        <v>1571</v>
      </c>
      <c r="C49" s="1280"/>
      <c r="D49" s="1280">
        <f t="shared" ref="D49:D52" ca="1" si="4">COUNTIF($D$11:$D$46,E49)</f>
        <v>8</v>
      </c>
      <c r="E49" s="344" t="s">
        <v>1133</v>
      </c>
      <c r="F49" s="1472">
        <f t="shared" si="1"/>
        <v>2021</v>
      </c>
      <c r="G49" s="1276" t="s">
        <v>2117</v>
      </c>
      <c r="H49" s="1277" t="s">
        <v>1571</v>
      </c>
      <c r="I49" s="1313">
        <f t="shared" ca="1" si="2"/>
        <v>173051281</v>
      </c>
      <c r="J49" s="1307">
        <f t="shared" ca="1" si="2"/>
        <v>22417724</v>
      </c>
      <c r="K49" s="1278">
        <f t="shared" ca="1" si="2"/>
        <v>287749481</v>
      </c>
      <c r="L49" s="1278">
        <f t="shared" ca="1" si="2"/>
        <v>178170306</v>
      </c>
      <c r="M49" s="1278">
        <f t="shared" ca="1" si="2"/>
        <v>119370105</v>
      </c>
      <c r="N49" s="1278">
        <f t="shared" ca="1" si="2"/>
        <v>758341172</v>
      </c>
      <c r="O49" s="1479">
        <f t="shared" ca="1" si="3"/>
        <v>0</v>
      </c>
      <c r="P49" s="1480">
        <f t="shared" ca="1" si="3"/>
        <v>0</v>
      </c>
      <c r="Q49" s="1279"/>
      <c r="R49" s="1305"/>
      <c r="S49" s="1305"/>
      <c r="T49" s="53"/>
    </row>
    <row r="50" spans="1:20" s="1024" customFormat="1">
      <c r="A50" s="145"/>
      <c r="B50" s="145" t="s">
        <v>1562</v>
      </c>
      <c r="C50" s="145"/>
      <c r="D50" s="145">
        <f t="shared" ca="1" si="4"/>
        <v>7</v>
      </c>
      <c r="E50" s="344" t="s">
        <v>697</v>
      </c>
      <c r="F50" s="1472">
        <f t="shared" si="1"/>
        <v>2021</v>
      </c>
      <c r="G50" s="1276" t="s">
        <v>2117</v>
      </c>
      <c r="H50" s="1277" t="s">
        <v>1562</v>
      </c>
      <c r="I50" s="1313">
        <f t="shared" ca="1" si="2"/>
        <v>81862181</v>
      </c>
      <c r="J50" s="1307">
        <f t="shared" ca="1" si="2"/>
        <v>10853003</v>
      </c>
      <c r="K50" s="1278">
        <f t="shared" ca="1" si="2"/>
        <v>85715971</v>
      </c>
      <c r="L50" s="1278">
        <f t="shared" ca="1" si="2"/>
        <v>87219590</v>
      </c>
      <c r="M50" s="1278">
        <f t="shared" ca="1" si="2"/>
        <v>31664539</v>
      </c>
      <c r="N50" s="1278">
        <f t="shared" ca="1" si="2"/>
        <v>286462282</v>
      </c>
      <c r="O50" s="1479">
        <f t="shared" ca="1" si="3"/>
        <v>0</v>
      </c>
      <c r="P50" s="1480">
        <f t="shared" ca="1" si="3"/>
        <v>0</v>
      </c>
      <c r="Q50" s="1279"/>
      <c r="R50" s="1305"/>
      <c r="S50" s="1305"/>
      <c r="T50" s="53"/>
    </row>
    <row r="51" spans="1:20" s="1024" customFormat="1">
      <c r="A51" s="145"/>
      <c r="B51" s="145" t="s">
        <v>1555</v>
      </c>
      <c r="C51" s="145"/>
      <c r="D51" s="145">
        <f t="shared" ca="1" si="4"/>
        <v>6</v>
      </c>
      <c r="E51" s="344" t="s">
        <v>1132</v>
      </c>
      <c r="F51" s="1472">
        <f t="shared" si="1"/>
        <v>2021</v>
      </c>
      <c r="G51" s="1276" t="s">
        <v>2117</v>
      </c>
      <c r="H51" s="1277" t="s">
        <v>1555</v>
      </c>
      <c r="I51" s="1313">
        <f t="shared" ca="1" si="2"/>
        <v>58786786</v>
      </c>
      <c r="J51" s="1307">
        <f t="shared" ca="1" si="2"/>
        <v>10988728</v>
      </c>
      <c r="K51" s="1278">
        <f t="shared" ca="1" si="2"/>
        <v>66914802</v>
      </c>
      <c r="L51" s="1278">
        <f t="shared" ca="1" si="2"/>
        <v>62453422</v>
      </c>
      <c r="M51" s="1278">
        <f t="shared" ca="1" si="2"/>
        <v>24253510</v>
      </c>
      <c r="N51" s="1278">
        <f t="shared" ca="1" si="2"/>
        <v>212408521</v>
      </c>
      <c r="O51" s="1479">
        <f t="shared" ca="1" si="3"/>
        <v>0</v>
      </c>
      <c r="P51" s="1480">
        <f t="shared" ca="1" si="3"/>
        <v>0</v>
      </c>
      <c r="Q51" s="1279"/>
      <c r="R51" s="1305"/>
      <c r="S51" s="1305"/>
      <c r="T51" s="53"/>
    </row>
    <row r="52" spans="1:20" s="1024" customFormat="1" ht="13.5" thickBot="1">
      <c r="A52" s="1281"/>
      <c r="B52" s="1281" t="s">
        <v>1539</v>
      </c>
      <c r="C52" s="1281"/>
      <c r="D52" s="1281">
        <f t="shared" ca="1" si="4"/>
        <v>13</v>
      </c>
      <c r="E52" s="1282" t="s">
        <v>696</v>
      </c>
      <c r="F52" s="1473">
        <f t="shared" si="1"/>
        <v>2021</v>
      </c>
      <c r="G52" s="1283" t="s">
        <v>2117</v>
      </c>
      <c r="H52" s="1284" t="s">
        <v>1539</v>
      </c>
      <c r="I52" s="1313">
        <f t="shared" ca="1" si="2"/>
        <v>36364701</v>
      </c>
      <c r="J52" s="1307">
        <f t="shared" ca="1" si="2"/>
        <v>3219441</v>
      </c>
      <c r="K52" s="1285">
        <f t="shared" ca="1" si="2"/>
        <v>31357957</v>
      </c>
      <c r="L52" s="1285">
        <f t="shared" ca="1" si="2"/>
        <v>24413504</v>
      </c>
      <c r="M52" s="1285">
        <f t="shared" ca="1" si="2"/>
        <v>11117828</v>
      </c>
      <c r="N52" s="1285">
        <f t="shared" ca="1" si="2"/>
        <v>103253990</v>
      </c>
      <c r="O52" s="1483">
        <f t="shared" ca="1" si="3"/>
        <v>0</v>
      </c>
      <c r="P52" s="1484">
        <f t="shared" ca="1" si="3"/>
        <v>0</v>
      </c>
      <c r="Q52" s="1279"/>
      <c r="R52" s="1305"/>
      <c r="S52" s="1305"/>
      <c r="T52" s="53"/>
    </row>
    <row r="53" spans="1:20" s="1024" customFormat="1">
      <c r="A53" s="1280"/>
      <c r="B53" s="1280"/>
      <c r="C53" s="1280" t="s">
        <v>2209</v>
      </c>
      <c r="D53" s="1280">
        <f ca="1">COUNTIF($C$11:$C$46,C53)</f>
        <v>4</v>
      </c>
      <c r="E53" s="344" t="s">
        <v>557</v>
      </c>
      <c r="F53" s="1472">
        <f t="shared" si="1"/>
        <v>2021</v>
      </c>
      <c r="G53" s="1276" t="s">
        <v>2117</v>
      </c>
      <c r="H53" s="1277" t="s">
        <v>2209</v>
      </c>
      <c r="I53" s="1470">
        <f ca="1">ROUND(SUMIF($C$10:$C$46,$C53,I$10:I$46),0)</f>
        <v>345330779</v>
      </c>
      <c r="J53" s="1471">
        <f t="shared" ref="J53:N58" ca="1" si="5">ROUND(SUMIF($C$10:$C$46,$C53,J$10:J$46),0)</f>
        <v>71609083</v>
      </c>
      <c r="K53" s="1278">
        <f t="shared" ca="1" si="5"/>
        <v>524105229</v>
      </c>
      <c r="L53" s="1278">
        <f t="shared" ca="1" si="5"/>
        <v>284302814</v>
      </c>
      <c r="M53" s="1278">
        <f t="shared" ca="1" si="5"/>
        <v>107113337</v>
      </c>
      <c r="N53" s="1278">
        <f t="shared" ca="1" si="5"/>
        <v>1260852159</v>
      </c>
      <c r="O53" s="1479">
        <f ca="1">ROUND(SUMIF($C$10:$C$46,$C53,O$10:O$46)/COUNTIF($C$10:$C$46,$C53),2)</f>
        <v>0</v>
      </c>
      <c r="P53" s="1480">
        <f t="shared" ref="P53:P58" ca="1" si="6">ROUND(SUMIF($C$10:$C$46,$C53,P$10:P$46)/COUNTIF($C$10:$C$46,$C53),2)</f>
        <v>0</v>
      </c>
      <c r="Q53" s="1279"/>
      <c r="R53" s="1305"/>
      <c r="S53" s="1305"/>
      <c r="T53" s="53"/>
    </row>
    <row r="54" spans="1:20" s="1024" customFormat="1">
      <c r="A54" s="145"/>
      <c r="B54" s="145"/>
      <c r="C54" s="145" t="s">
        <v>2210</v>
      </c>
      <c r="D54" s="145">
        <f t="shared" ref="D54:D57" ca="1" si="7">COUNTIF($C$11:$C$46,C54)</f>
        <v>2</v>
      </c>
      <c r="E54" s="344" t="s">
        <v>561</v>
      </c>
      <c r="F54" s="1472">
        <f t="shared" si="1"/>
        <v>2021</v>
      </c>
      <c r="G54" s="1276" t="s">
        <v>2117</v>
      </c>
      <c r="H54" s="1277" t="s">
        <v>2210</v>
      </c>
      <c r="I54" s="1313">
        <f t="shared" ref="I54:I58" ca="1" si="8">ROUND(SUMIF($C$10:$C$46,$C54,I$10:I$46),0)</f>
        <v>196720057</v>
      </c>
      <c r="J54" s="1307">
        <f t="shared" ca="1" si="5"/>
        <v>40701004</v>
      </c>
      <c r="K54" s="1278">
        <f t="shared" ca="1" si="5"/>
        <v>376712127</v>
      </c>
      <c r="L54" s="1278">
        <f t="shared" ca="1" si="5"/>
        <v>187980197</v>
      </c>
      <c r="M54" s="1278">
        <f t="shared" ca="1" si="5"/>
        <v>56575431</v>
      </c>
      <c r="N54" s="1278">
        <f t="shared" ca="1" si="5"/>
        <v>817987812</v>
      </c>
      <c r="O54" s="1479">
        <f t="shared" ref="O54:O58" ca="1" si="9">ROUND(SUMIF($C$10:$C$46,$C54,O$10:O$46)/COUNTIF($C$10:$C$46,$C54),2)</f>
        <v>0</v>
      </c>
      <c r="P54" s="1480">
        <f t="shared" ca="1" si="6"/>
        <v>0</v>
      </c>
      <c r="Q54" s="1279"/>
      <c r="R54" s="1305"/>
      <c r="S54" s="1418"/>
      <c r="T54" s="53"/>
    </row>
    <row r="55" spans="1:20" s="1024" customFormat="1">
      <c r="A55" s="1280"/>
      <c r="B55" s="1280"/>
      <c r="C55" s="1280" t="s">
        <v>2211</v>
      </c>
      <c r="D55" s="1280">
        <f t="shared" ca="1" si="7"/>
        <v>12</v>
      </c>
      <c r="E55" s="344" t="s">
        <v>2215</v>
      </c>
      <c r="F55" s="1472">
        <f t="shared" si="1"/>
        <v>2021</v>
      </c>
      <c r="G55" s="1276" t="s">
        <v>2117</v>
      </c>
      <c r="H55" s="1277" t="s">
        <v>2211</v>
      </c>
      <c r="I55" s="1313">
        <f t="shared" ca="1" si="8"/>
        <v>1013391343</v>
      </c>
      <c r="J55" s="1307">
        <f t="shared" ca="1" si="5"/>
        <v>276638704</v>
      </c>
      <c r="K55" s="1278">
        <f t="shared" ca="1" si="5"/>
        <v>1109026690</v>
      </c>
      <c r="L55" s="1278">
        <f t="shared" ca="1" si="5"/>
        <v>740527727</v>
      </c>
      <c r="M55" s="1278">
        <f t="shared" ca="1" si="5"/>
        <v>707199220</v>
      </c>
      <c r="N55" s="1278">
        <f t="shared" ca="1" si="5"/>
        <v>3570144980</v>
      </c>
      <c r="O55" s="1479">
        <f t="shared" ca="1" si="9"/>
        <v>0</v>
      </c>
      <c r="P55" s="1480">
        <f t="shared" ca="1" si="6"/>
        <v>0</v>
      </c>
      <c r="Q55" s="1279"/>
      <c r="R55" s="1305"/>
      <c r="S55" s="1305"/>
      <c r="T55" s="53"/>
    </row>
    <row r="56" spans="1:20" s="1024" customFormat="1">
      <c r="A56" s="145"/>
      <c r="B56" s="145"/>
      <c r="C56" s="145" t="s">
        <v>2212</v>
      </c>
      <c r="D56" s="145">
        <f t="shared" ca="1" si="7"/>
        <v>8</v>
      </c>
      <c r="E56" s="344" t="s">
        <v>2217</v>
      </c>
      <c r="F56" s="1472">
        <f t="shared" si="1"/>
        <v>2021</v>
      </c>
      <c r="G56" s="1276" t="s">
        <v>2117</v>
      </c>
      <c r="H56" s="1277" t="s">
        <v>2212</v>
      </c>
      <c r="I56" s="1313">
        <f t="shared" ca="1" si="8"/>
        <v>1221803810</v>
      </c>
      <c r="J56" s="1307">
        <f t="shared" ca="1" si="5"/>
        <v>392376810</v>
      </c>
      <c r="K56" s="1278">
        <f t="shared" ca="1" si="5"/>
        <v>1677864606</v>
      </c>
      <c r="L56" s="1278">
        <f t="shared" ca="1" si="5"/>
        <v>1618424808</v>
      </c>
      <c r="M56" s="1278">
        <f t="shared" ca="1" si="5"/>
        <v>1616374940</v>
      </c>
      <c r="N56" s="1278">
        <f t="shared" ca="1" si="5"/>
        <v>6134468164</v>
      </c>
      <c r="O56" s="1479">
        <f t="shared" ca="1" si="9"/>
        <v>0</v>
      </c>
      <c r="P56" s="1480">
        <f t="shared" ca="1" si="6"/>
        <v>0</v>
      </c>
      <c r="Q56" s="1279"/>
      <c r="R56" s="1305"/>
      <c r="S56" s="1305"/>
      <c r="T56" s="53"/>
    </row>
    <row r="57" spans="1:20" s="1024" customFormat="1">
      <c r="A57" s="145"/>
      <c r="B57" s="145"/>
      <c r="C57" s="145" t="s">
        <v>2213</v>
      </c>
      <c r="D57" s="145">
        <f t="shared" ca="1" si="7"/>
        <v>4</v>
      </c>
      <c r="E57" s="344" t="s">
        <v>556</v>
      </c>
      <c r="F57" s="1472">
        <f t="shared" si="1"/>
        <v>2021</v>
      </c>
      <c r="G57" s="1276" t="s">
        <v>2117</v>
      </c>
      <c r="H57" s="1277" t="s">
        <v>2213</v>
      </c>
      <c r="I57" s="1313">
        <f t="shared" ca="1" si="8"/>
        <v>347146545</v>
      </c>
      <c r="J57" s="1307">
        <f t="shared" ca="1" si="5"/>
        <v>76611208</v>
      </c>
      <c r="K57" s="1278">
        <f t="shared" ca="1" si="5"/>
        <v>519721166</v>
      </c>
      <c r="L57" s="1278">
        <f t="shared" ca="1" si="5"/>
        <v>380498026</v>
      </c>
      <c r="M57" s="1278">
        <f t="shared" ca="1" si="5"/>
        <v>373014817</v>
      </c>
      <c r="N57" s="1278">
        <f t="shared" ca="1" si="5"/>
        <v>1620380554</v>
      </c>
      <c r="O57" s="1479">
        <f t="shared" ca="1" si="9"/>
        <v>0</v>
      </c>
      <c r="P57" s="1480">
        <f t="shared" ca="1" si="6"/>
        <v>0</v>
      </c>
      <c r="Q57" s="1279"/>
      <c r="R57" s="1305"/>
      <c r="S57" s="1305"/>
      <c r="T57" s="53"/>
    </row>
    <row r="58" spans="1:20" s="1024" customFormat="1" ht="13.5" thickBot="1">
      <c r="A58" s="1281"/>
      <c r="B58" s="1281"/>
      <c r="C58" s="1281" t="s">
        <v>2214</v>
      </c>
      <c r="D58" s="1281">
        <f ca="1">COUNTIF($C$11:$C$46,C58)</f>
        <v>3</v>
      </c>
      <c r="E58" s="1282" t="s">
        <v>2216</v>
      </c>
      <c r="F58" s="1473">
        <f t="shared" si="1"/>
        <v>2021</v>
      </c>
      <c r="G58" s="1283" t="s">
        <v>2117</v>
      </c>
      <c r="H58" s="1284" t="s">
        <v>2214</v>
      </c>
      <c r="I58" s="1314">
        <f t="shared" ca="1" si="8"/>
        <v>286984364</v>
      </c>
      <c r="J58" s="1308">
        <f t="shared" ca="1" si="5"/>
        <v>61600945</v>
      </c>
      <c r="K58" s="1285">
        <f t="shared" ca="1" si="5"/>
        <v>424486040</v>
      </c>
      <c r="L58" s="1285">
        <f t="shared" ca="1" si="5"/>
        <v>182320095</v>
      </c>
      <c r="M58" s="1285">
        <f t="shared" ca="1" si="5"/>
        <v>185851622</v>
      </c>
      <c r="N58" s="1285">
        <f t="shared" ca="1" si="5"/>
        <v>1079642121</v>
      </c>
      <c r="O58" s="1483">
        <f t="shared" ca="1" si="9"/>
        <v>0</v>
      </c>
      <c r="P58" s="1484">
        <f t="shared" ca="1" si="6"/>
        <v>0</v>
      </c>
      <c r="Q58" s="1279"/>
      <c r="R58" s="1305"/>
      <c r="S58" s="1305"/>
      <c r="T58" s="53"/>
    </row>
    <row r="59" spans="1:20" s="114" customFormat="1" ht="13.5" thickBot="1">
      <c r="A59" s="145"/>
      <c r="B59" s="145"/>
      <c r="C59" s="145"/>
      <c r="D59" s="145"/>
      <c r="F59" s="139">
        <f>COUNTA(F11:F46)</f>
        <v>36</v>
      </c>
      <c r="G59" s="1286"/>
      <c r="Q59" s="354"/>
      <c r="R59" s="920"/>
      <c r="S59" s="1305"/>
    </row>
    <row r="60" spans="1:20" s="114" customFormat="1" ht="13.5" thickTop="1">
      <c r="A60" s="145"/>
      <c r="B60" s="114" t="s">
        <v>1138</v>
      </c>
      <c r="D60" s="145"/>
      <c r="G60" s="1286"/>
      <c r="Q60" s="354"/>
      <c r="R60" s="920"/>
      <c r="S60" s="354"/>
    </row>
    <row r="61" spans="1:20" s="114" customFormat="1">
      <c r="A61" s="145"/>
      <c r="B61" s="114" t="s">
        <v>1137</v>
      </c>
      <c r="D61" s="145"/>
      <c r="G61" s="1286"/>
      <c r="I61" s="145" t="s">
        <v>1190</v>
      </c>
      <c r="J61" s="145" t="s">
        <v>1190</v>
      </c>
      <c r="K61" s="145" t="s">
        <v>1190</v>
      </c>
      <c r="L61" s="145"/>
      <c r="M61" s="145" t="s">
        <v>1190</v>
      </c>
      <c r="N61" s="145" t="s">
        <v>1190</v>
      </c>
      <c r="Q61" s="354"/>
      <c r="R61" s="920"/>
      <c r="S61" s="354"/>
    </row>
    <row r="62" spans="1:20" s="114" customFormat="1" ht="38.25">
      <c r="A62" s="145"/>
      <c r="B62" s="145"/>
      <c r="C62" s="145"/>
      <c r="D62" s="145"/>
      <c r="F62" s="1299" t="s">
        <v>2119</v>
      </c>
      <c r="G62" s="1286"/>
      <c r="I62" s="147" t="s">
        <v>1</v>
      </c>
      <c r="J62" s="148" t="s">
        <v>28</v>
      </c>
      <c r="K62" s="148" t="s">
        <v>39</v>
      </c>
      <c r="L62" s="148" t="s">
        <v>7</v>
      </c>
      <c r="M62" s="148" t="s">
        <v>42</v>
      </c>
      <c r="N62" s="870" t="s">
        <v>84</v>
      </c>
      <c r="R62" s="68"/>
      <c r="S62" s="354"/>
    </row>
    <row r="63" spans="1:20" s="114" customFormat="1" ht="51" outlineLevel="1">
      <c r="A63" s="145"/>
      <c r="B63" s="145"/>
      <c r="C63" s="145"/>
      <c r="D63" s="145"/>
      <c r="E63" s="146" t="s">
        <v>209</v>
      </c>
      <c r="G63" s="1286"/>
      <c r="I63" s="147" t="s">
        <v>2</v>
      </c>
      <c r="J63" s="148" t="s">
        <v>49</v>
      </c>
      <c r="K63" s="148" t="s">
        <v>40</v>
      </c>
      <c r="L63" s="806"/>
      <c r="M63" s="148" t="s">
        <v>9</v>
      </c>
      <c r="N63" s="754" t="s">
        <v>1213</v>
      </c>
      <c r="Q63" s="146"/>
      <c r="R63" s="75"/>
    </row>
    <row r="64" spans="1:20" s="114" customFormat="1" ht="38.25" outlineLevel="1">
      <c r="A64" s="145"/>
      <c r="B64" s="145"/>
      <c r="C64" s="145"/>
      <c r="D64" s="145"/>
      <c r="G64" s="1286"/>
      <c r="I64" s="147" t="s">
        <v>130</v>
      </c>
      <c r="J64" s="807"/>
      <c r="K64" s="754" t="s">
        <v>1142</v>
      </c>
      <c r="L64" s="807"/>
      <c r="M64" s="148" t="s">
        <v>10</v>
      </c>
      <c r="N64" s="807"/>
      <c r="R64" s="68"/>
      <c r="S64" s="146"/>
    </row>
    <row r="65" spans="1:21" s="114" customFormat="1" ht="25.5" outlineLevel="1">
      <c r="A65" s="145"/>
      <c r="B65" s="145"/>
      <c r="C65" s="145"/>
      <c r="D65" s="145"/>
      <c r="G65" s="1286"/>
      <c r="I65" s="807"/>
      <c r="J65" s="67"/>
      <c r="K65" s="67"/>
      <c r="L65" s="67"/>
      <c r="M65" s="148" t="s">
        <v>11</v>
      </c>
      <c r="N65" s="67"/>
      <c r="R65" s="68"/>
    </row>
    <row r="66" spans="1:21" s="114" customFormat="1" ht="25.5" outlineLevel="1">
      <c r="A66" s="145"/>
      <c r="B66" s="145"/>
      <c r="C66" s="145"/>
      <c r="D66" s="145"/>
      <c r="G66" s="1286"/>
      <c r="M66" s="755" t="s">
        <v>711</v>
      </c>
      <c r="R66" s="68"/>
    </row>
    <row r="67" spans="1:21" s="114" customFormat="1" ht="25.5" outlineLevel="1">
      <c r="A67" s="145"/>
      <c r="B67" s="145"/>
      <c r="C67" s="145"/>
      <c r="D67" s="145"/>
      <c r="G67" s="1286"/>
      <c r="M67" s="148" t="s">
        <v>43</v>
      </c>
      <c r="R67" s="68"/>
    </row>
    <row r="68" spans="1:21" s="114" customFormat="1" outlineLevel="1">
      <c r="A68" s="145"/>
      <c r="B68" s="145"/>
      <c r="C68" s="145"/>
      <c r="D68" s="145"/>
      <c r="G68" s="1286"/>
      <c r="I68" s="779"/>
      <c r="J68" s="779"/>
      <c r="K68" s="779"/>
      <c r="L68" s="779"/>
      <c r="M68" s="814"/>
      <c r="N68" s="779" t="s">
        <v>210</v>
      </c>
      <c r="R68" s="68"/>
    </row>
    <row r="69" spans="1:21" s="114" customFormat="1" outlineLevel="1">
      <c r="A69" s="145"/>
      <c r="B69" s="145"/>
      <c r="C69" s="145"/>
      <c r="D69" s="145"/>
      <c r="G69" s="1286"/>
      <c r="I69" s="151"/>
      <c r="J69" s="151"/>
      <c r="K69" s="151"/>
      <c r="L69" s="151"/>
      <c r="M69" s="151"/>
      <c r="N69" s="151" t="s">
        <v>211</v>
      </c>
      <c r="R69" s="68"/>
    </row>
    <row r="70" spans="1:21" s="114" customFormat="1" outlineLevel="1">
      <c r="A70" s="145"/>
      <c r="B70" s="145"/>
      <c r="C70" s="145"/>
      <c r="D70" s="145"/>
      <c r="G70" s="1286"/>
      <c r="I70" s="151"/>
      <c r="J70" s="151"/>
      <c r="K70" s="151"/>
      <c r="L70" s="151"/>
      <c r="M70" s="151"/>
      <c r="N70" s="151" t="s">
        <v>1153</v>
      </c>
      <c r="R70" s="68"/>
    </row>
    <row r="71" spans="1:21" s="114" customFormat="1" outlineLevel="1">
      <c r="A71" s="145"/>
      <c r="B71" s="145"/>
      <c r="C71" s="145"/>
      <c r="D71" s="145"/>
      <c r="G71" s="1286"/>
      <c r="I71" s="151"/>
      <c r="J71" s="151"/>
      <c r="K71" s="151"/>
      <c r="L71" s="151"/>
      <c r="M71" s="151"/>
      <c r="N71" s="151" t="s">
        <v>213</v>
      </c>
      <c r="R71" s="68"/>
    </row>
    <row r="72" spans="1:21" s="114" customFormat="1" outlineLevel="1">
      <c r="A72" s="145"/>
      <c r="B72" s="145"/>
      <c r="C72" s="145"/>
      <c r="D72" s="145"/>
      <c r="G72" s="1286"/>
      <c r="I72" s="151"/>
      <c r="J72" s="151"/>
      <c r="K72" s="151"/>
      <c r="L72" s="151"/>
      <c r="M72" s="151"/>
      <c r="N72" s="151" t="s">
        <v>214</v>
      </c>
      <c r="R72" s="68"/>
    </row>
    <row r="73" spans="1:21" s="114" customFormat="1">
      <c r="A73" s="145"/>
      <c r="B73" s="145"/>
      <c r="C73" s="145"/>
      <c r="D73" s="145"/>
      <c r="G73" s="1286"/>
      <c r="R73" s="68"/>
      <c r="U73" s="144"/>
    </row>
    <row r="74" spans="1:21" s="114" customFormat="1">
      <c r="A74" s="145"/>
      <c r="B74" s="145"/>
      <c r="C74" s="145"/>
      <c r="D74" s="145"/>
      <c r="G74" s="1286"/>
      <c r="R74" s="68"/>
    </row>
    <row r="75" spans="1:21" s="114" customFormat="1">
      <c r="A75" s="145"/>
      <c r="B75" s="145"/>
      <c r="C75" s="145"/>
      <c r="D75" s="145"/>
      <c r="G75" s="1286"/>
      <c r="I75" s="665" t="str">
        <f>IF(SUM(I11:I46)&lt;&gt;'Smmy Sum'!$G$47,"Error","Balanced")</f>
        <v>Balanced</v>
      </c>
      <c r="J75" s="665" t="str">
        <f>IF(SUM(J11:J46)&lt;&gt;'Smmy Sum'!$G$50,"Error","Balanced")</f>
        <v>Balanced</v>
      </c>
      <c r="K75" s="665" t="str">
        <f>IF(SUM(K11:K46)&lt;&gt;'Smmy Sum'!$F$56,"Error","Balanced")</f>
        <v>Balanced</v>
      </c>
      <c r="L75" s="665" t="str">
        <f>IF(SUM(L11:L46)&lt;&gt;'Smmy Sum'!$F$59,"Error","Balanced")</f>
        <v>Balanced</v>
      </c>
      <c r="M75" s="665" t="str">
        <f>IF(SUM(M11:M46)&lt;&gt;'Smmy Sum'!$F$68,"Error","Balanced")</f>
        <v>Balanced</v>
      </c>
      <c r="N75" s="665" t="str">
        <f>IF(SUM(N11:N46)&lt;&gt;'Smmy Sum'!$G$71,"Error","Balanced")</f>
        <v>Balanced</v>
      </c>
      <c r="Q75" s="665"/>
      <c r="R75" s="678"/>
    </row>
    <row r="76" spans="1:21" s="114" customFormat="1">
      <c r="A76" s="145"/>
      <c r="B76" s="145"/>
      <c r="C76" s="145"/>
      <c r="D76" s="145"/>
      <c r="G76" s="1286"/>
      <c r="R76" s="68"/>
    </row>
    <row r="77" spans="1:21" s="114" customFormat="1">
      <c r="A77" s="145"/>
      <c r="B77" s="145"/>
      <c r="C77" s="145"/>
      <c r="D77" s="145"/>
      <c r="G77" s="1286"/>
      <c r="I77" s="145" t="s">
        <v>419</v>
      </c>
      <c r="J77" s="145" t="s">
        <v>814</v>
      </c>
      <c r="K77" s="145" t="s">
        <v>403</v>
      </c>
      <c r="L77" s="145" t="s">
        <v>404</v>
      </c>
      <c r="M77" s="145" t="s">
        <v>814</v>
      </c>
      <c r="N77" s="145" t="s">
        <v>458</v>
      </c>
      <c r="Q77" s="145"/>
      <c r="R77" s="678"/>
    </row>
    <row r="78" spans="1:21" s="114" customFormat="1">
      <c r="A78" s="145"/>
      <c r="B78" s="145"/>
      <c r="C78" s="145"/>
      <c r="D78" s="145"/>
      <c r="G78" s="1286"/>
      <c r="R78" s="68"/>
      <c r="S78" s="145"/>
    </row>
    <row r="79" spans="1:21" s="114" customFormat="1">
      <c r="A79" s="145"/>
      <c r="B79" s="145"/>
      <c r="C79" s="145"/>
      <c r="D79" s="145"/>
      <c r="G79" s="1286"/>
      <c r="R79" s="68"/>
    </row>
    <row r="80" spans="1:21" s="114" customFormat="1">
      <c r="A80" s="145"/>
      <c r="B80" s="145"/>
      <c r="C80" s="145"/>
      <c r="D80" s="145"/>
      <c r="E80" s="814" t="s">
        <v>1338</v>
      </c>
      <c r="G80" s="1286"/>
      <c r="H80" s="857">
        <f>SUM(H10:H46)+H47</f>
        <v>1346014</v>
      </c>
      <c r="I80" s="857">
        <f ca="1">SUM(I11:I58)</f>
        <v>11418516878</v>
      </c>
      <c r="J80" s="857">
        <f t="shared" ref="J80:N80" ca="1" si="10">SUM(J11:J58)</f>
        <v>3178190232</v>
      </c>
      <c r="K80" s="857">
        <f t="shared" ca="1" si="10"/>
        <v>15362758125</v>
      </c>
      <c r="L80" s="857">
        <f t="shared" ca="1" si="10"/>
        <v>11382290999</v>
      </c>
      <c r="M80" s="857">
        <f t="shared" ca="1" si="10"/>
        <v>10279088903</v>
      </c>
      <c r="N80" s="857">
        <f t="shared" ca="1" si="10"/>
        <v>48442654905</v>
      </c>
      <c r="O80" s="912">
        <f ca="1">SUM(O10:O58)</f>
        <v>0</v>
      </c>
      <c r="P80" s="912">
        <f ca="1">SUM(P10:P58)</f>
        <v>0</v>
      </c>
      <c r="R80" s="1306">
        <f ca="1">SUM(H80:Q80)</f>
        <v>100064846056</v>
      </c>
    </row>
    <row r="81" spans="1:19" s="114" customFormat="1">
      <c r="A81" s="145"/>
      <c r="B81" s="145"/>
      <c r="C81" s="145"/>
      <c r="D81" s="145"/>
      <c r="G81" s="1286"/>
      <c r="R81" s="1306"/>
      <c r="S81" s="913"/>
    </row>
    <row r="82" spans="1:19" s="114" customFormat="1">
      <c r="A82" s="145"/>
      <c r="B82" s="145"/>
      <c r="C82" s="145"/>
      <c r="D82" s="145"/>
      <c r="E82" s="1500" t="s">
        <v>2231</v>
      </c>
      <c r="G82" s="1286"/>
      <c r="H82" s="1466">
        <v>1346014</v>
      </c>
      <c r="I82" s="1466">
        <v>11418516878</v>
      </c>
      <c r="J82" s="1466">
        <v>3178190232</v>
      </c>
      <c r="K82" s="1466">
        <v>15362758125</v>
      </c>
      <c r="L82" s="1466">
        <v>11382290999</v>
      </c>
      <c r="M82" s="1466">
        <v>10279088903</v>
      </c>
      <c r="N82" s="1466">
        <v>48442654905</v>
      </c>
      <c r="O82" s="1469">
        <v>0</v>
      </c>
      <c r="P82" s="1469">
        <v>0</v>
      </c>
      <c r="Q82" s="146"/>
      <c r="R82" s="1468">
        <v>100064846056</v>
      </c>
      <c r="S82" s="913"/>
    </row>
    <row r="83" spans="1:19" s="114" customFormat="1">
      <c r="A83" s="145"/>
      <c r="B83" s="145"/>
      <c r="C83" s="145"/>
      <c r="D83" s="145"/>
      <c r="E83" s="1499">
        <v>44553</v>
      </c>
      <c r="G83" s="1286"/>
      <c r="H83" s="153">
        <f t="shared" ref="H83:N83" si="11">H80-H82</f>
        <v>0</v>
      </c>
      <c r="I83" s="153">
        <f t="shared" ca="1" si="11"/>
        <v>0</v>
      </c>
      <c r="J83" s="153">
        <f t="shared" ca="1" si="11"/>
        <v>0</v>
      </c>
      <c r="K83" s="153">
        <f t="shared" ca="1" si="11"/>
        <v>0</v>
      </c>
      <c r="L83" s="153">
        <f t="shared" ca="1" si="11"/>
        <v>0</v>
      </c>
      <c r="M83" s="153">
        <f t="shared" ca="1" si="11"/>
        <v>0</v>
      </c>
      <c r="N83" s="153">
        <f t="shared" ca="1" si="11"/>
        <v>0</v>
      </c>
      <c r="O83" s="153">
        <f t="shared" ref="O83:P83" ca="1" si="12">O80-O82</f>
        <v>0</v>
      </c>
      <c r="P83" s="153">
        <f t="shared" ca="1" si="12"/>
        <v>0</v>
      </c>
      <c r="R83" s="1306">
        <f ca="1">R80-R82</f>
        <v>0</v>
      </c>
      <c r="S83" s="913"/>
    </row>
    <row r="84" spans="1:19" s="114" customFormat="1">
      <c r="A84" s="145"/>
      <c r="B84" s="145"/>
      <c r="C84" s="145"/>
      <c r="D84" s="145"/>
      <c r="G84" s="1286"/>
      <c r="R84" s="68"/>
      <c r="S84" s="913"/>
    </row>
    <row r="85" spans="1:19" s="114" customFormat="1">
      <c r="A85" s="145"/>
      <c r="B85" s="145"/>
      <c r="C85" s="145"/>
      <c r="D85" s="145"/>
      <c r="E85" s="114" t="s">
        <v>2489</v>
      </c>
      <c r="G85" s="1286"/>
      <c r="R85" s="68"/>
    </row>
    <row r="86" spans="1:19" s="114" customFormat="1">
      <c r="A86" s="145"/>
      <c r="B86" s="145"/>
      <c r="C86" s="145"/>
      <c r="D86" s="145"/>
      <c r="E86" s="1499">
        <v>44553</v>
      </c>
      <c r="G86" s="1286"/>
      <c r="R86" s="68"/>
    </row>
    <row r="87" spans="1:19" s="114" customFormat="1">
      <c r="A87" s="145"/>
      <c r="B87" s="145"/>
      <c r="C87" s="145"/>
      <c r="D87" s="145"/>
      <c r="G87" s="1286"/>
      <c r="R87" s="68"/>
    </row>
    <row r="88" spans="1:19" s="114" customFormat="1">
      <c r="A88" s="145"/>
      <c r="B88" s="145"/>
      <c r="C88" s="145"/>
      <c r="D88" s="145"/>
      <c r="G88" s="1286"/>
      <c r="R88" s="68"/>
    </row>
    <row r="89" spans="1:19" s="114" customFormat="1">
      <c r="A89" s="145"/>
      <c r="B89" s="145"/>
      <c r="C89" s="145"/>
      <c r="D89" s="145"/>
      <c r="G89" s="1286"/>
      <c r="R89" s="68"/>
    </row>
    <row r="90" spans="1:19" s="114" customFormat="1">
      <c r="A90" s="145"/>
      <c r="B90" s="145"/>
      <c r="C90" s="145"/>
      <c r="D90" s="145"/>
      <c r="G90" s="1291"/>
      <c r="R90" s="68"/>
    </row>
    <row r="91" spans="1:19" s="114" customFormat="1">
      <c r="A91" s="145"/>
      <c r="B91" s="145"/>
      <c r="C91" s="145"/>
      <c r="D91" s="145"/>
      <c r="G91" s="1286"/>
      <c r="R91" s="68"/>
    </row>
    <row r="92" spans="1:19" s="114" customFormat="1">
      <c r="A92" s="145"/>
      <c r="B92" s="145"/>
      <c r="C92" s="145"/>
      <c r="D92" s="145"/>
      <c r="G92" s="1286"/>
      <c r="R92" s="68"/>
    </row>
    <row r="93" spans="1:19" s="114" customFormat="1">
      <c r="A93" s="145"/>
      <c r="B93" s="145"/>
      <c r="C93" s="145"/>
      <c r="D93" s="145"/>
      <c r="G93" s="1286"/>
      <c r="R93" s="68"/>
    </row>
    <row r="94" spans="1:19" s="114" customFormat="1">
      <c r="A94" s="145"/>
      <c r="B94" s="145"/>
      <c r="C94" s="145"/>
      <c r="D94" s="145"/>
      <c r="G94" s="1286"/>
      <c r="R94" s="68"/>
    </row>
    <row r="95" spans="1:19" s="114" customFormat="1">
      <c r="A95" s="145"/>
      <c r="B95" s="145"/>
      <c r="C95" s="145"/>
      <c r="D95" s="145"/>
      <c r="G95" s="1286"/>
      <c r="R95" s="68"/>
    </row>
    <row r="96" spans="1:19" s="114" customFormat="1">
      <c r="A96" s="145"/>
      <c r="B96" s="145"/>
      <c r="C96" s="145"/>
      <c r="D96" s="145"/>
      <c r="G96" s="1286"/>
      <c r="R96" s="68"/>
    </row>
    <row r="97" spans="1:18" s="114" customFormat="1">
      <c r="A97" s="145"/>
      <c r="B97" s="145"/>
      <c r="C97" s="145"/>
      <c r="D97" s="145"/>
      <c r="G97" s="1286"/>
      <c r="R97" s="68"/>
    </row>
    <row r="98" spans="1:18" s="114" customFormat="1">
      <c r="A98" s="145"/>
      <c r="B98" s="145"/>
      <c r="C98" s="145"/>
      <c r="D98" s="145"/>
      <c r="G98" s="1286"/>
      <c r="R98" s="68"/>
    </row>
    <row r="99" spans="1:18" s="114" customFormat="1">
      <c r="A99" s="145"/>
      <c r="B99" s="145"/>
      <c r="C99" s="145"/>
      <c r="D99" s="145"/>
      <c r="G99" s="1286"/>
      <c r="R99" s="68"/>
    </row>
    <row r="100" spans="1:18" s="114" customFormat="1">
      <c r="A100" s="145"/>
      <c r="B100" s="145"/>
      <c r="C100" s="145"/>
      <c r="D100" s="145"/>
      <c r="G100" s="1286"/>
      <c r="R100" s="68"/>
    </row>
    <row r="101" spans="1:18" s="114" customFormat="1">
      <c r="A101" s="145"/>
      <c r="B101" s="145"/>
      <c r="C101" s="145"/>
      <c r="D101" s="145"/>
      <c r="G101" s="1286"/>
      <c r="R101" s="68"/>
    </row>
    <row r="102" spans="1:18" s="114" customFormat="1">
      <c r="A102" s="145"/>
      <c r="B102" s="145"/>
      <c r="C102" s="145"/>
      <c r="D102" s="145"/>
      <c r="G102" s="1286"/>
      <c r="R102" s="68"/>
    </row>
    <row r="103" spans="1:18" s="114" customFormat="1">
      <c r="A103" s="145"/>
      <c r="B103" s="145"/>
      <c r="C103" s="145"/>
      <c r="D103" s="145"/>
      <c r="G103" s="1286"/>
      <c r="R103" s="68"/>
    </row>
    <row r="104" spans="1:18" s="114" customFormat="1">
      <c r="A104" s="145"/>
      <c r="B104" s="145"/>
      <c r="C104" s="145"/>
      <c r="D104" s="145"/>
      <c r="G104" s="1286"/>
      <c r="R104" s="68"/>
    </row>
    <row r="105" spans="1:18" s="114" customFormat="1">
      <c r="A105" s="145"/>
      <c r="B105" s="145"/>
      <c r="C105" s="145"/>
      <c r="D105" s="145"/>
      <c r="G105" s="1286"/>
      <c r="R105" s="68"/>
    </row>
    <row r="106" spans="1:18" s="114" customFormat="1">
      <c r="A106" s="145"/>
      <c r="B106" s="145"/>
      <c r="C106" s="145"/>
      <c r="D106" s="145"/>
      <c r="G106" s="1286"/>
      <c r="R106" s="68"/>
    </row>
    <row r="107" spans="1:18" s="114" customFormat="1">
      <c r="A107" s="145"/>
      <c r="B107" s="145"/>
      <c r="C107" s="145"/>
      <c r="D107" s="145"/>
      <c r="G107" s="1286"/>
      <c r="R107" s="68"/>
    </row>
    <row r="108" spans="1:18" s="114" customFormat="1">
      <c r="A108" s="145"/>
      <c r="B108" s="145"/>
      <c r="C108" s="145"/>
      <c r="D108" s="145"/>
      <c r="G108" s="1286"/>
      <c r="R108" s="68"/>
    </row>
    <row r="109" spans="1:18" s="114" customFormat="1">
      <c r="A109" s="145"/>
      <c r="B109" s="145"/>
      <c r="C109" s="145"/>
      <c r="D109" s="145"/>
      <c r="G109" s="1289"/>
      <c r="R109" s="68"/>
    </row>
    <row r="110" spans="1:18" s="114" customFormat="1">
      <c r="A110" s="145"/>
      <c r="B110" s="145"/>
      <c r="C110" s="145"/>
      <c r="D110" s="145"/>
      <c r="G110" s="1289"/>
      <c r="R110" s="68"/>
    </row>
    <row r="111" spans="1:18" s="114" customFormat="1">
      <c r="A111" s="145"/>
      <c r="B111" s="145"/>
      <c r="C111" s="145"/>
      <c r="D111" s="145"/>
      <c r="G111" s="1286"/>
      <c r="R111" s="68"/>
    </row>
    <row r="112" spans="1:18" s="114" customFormat="1">
      <c r="A112" s="145"/>
      <c r="B112" s="145"/>
      <c r="C112" s="145"/>
      <c r="D112" s="145"/>
      <c r="G112" s="1286"/>
      <c r="R112" s="68"/>
    </row>
    <row r="113" spans="1:18" s="114" customFormat="1">
      <c r="A113" s="145"/>
      <c r="B113" s="145"/>
      <c r="C113" s="145"/>
      <c r="D113" s="145"/>
      <c r="G113" s="1289"/>
      <c r="R113" s="68"/>
    </row>
    <row r="114" spans="1:18" s="114" customFormat="1">
      <c r="A114" s="145"/>
      <c r="B114" s="145"/>
      <c r="C114" s="145"/>
      <c r="D114" s="145"/>
      <c r="G114" s="1286"/>
      <c r="R114" s="68"/>
    </row>
    <row r="115" spans="1:18" s="114" customFormat="1">
      <c r="A115" s="145"/>
      <c r="B115" s="145"/>
      <c r="C115" s="145"/>
      <c r="D115" s="145"/>
      <c r="G115" s="1286"/>
      <c r="R115" s="68"/>
    </row>
    <row r="116" spans="1:18" s="114" customFormat="1">
      <c r="A116" s="145"/>
      <c r="B116" s="145"/>
      <c r="C116" s="145"/>
      <c r="D116" s="145"/>
      <c r="G116" s="1286"/>
      <c r="R116" s="68"/>
    </row>
    <row r="117" spans="1:18" s="114" customFormat="1">
      <c r="A117" s="145"/>
      <c r="B117" s="145"/>
      <c r="C117" s="145"/>
      <c r="D117" s="145"/>
      <c r="G117" s="1286"/>
      <c r="R117" s="68"/>
    </row>
    <row r="118" spans="1:18" s="114" customFormat="1">
      <c r="A118" s="145"/>
      <c r="B118" s="145"/>
      <c r="C118" s="145"/>
      <c r="D118" s="145"/>
      <c r="G118" s="1286"/>
      <c r="R118" s="68"/>
    </row>
    <row r="119" spans="1:18" s="114" customFormat="1">
      <c r="A119" s="145"/>
      <c r="B119" s="145"/>
      <c r="C119" s="145"/>
      <c r="D119" s="145"/>
      <c r="G119" s="1286"/>
      <c r="R119" s="68"/>
    </row>
    <row r="120" spans="1:18" s="114" customFormat="1">
      <c r="A120" s="145"/>
      <c r="B120" s="145"/>
      <c r="C120" s="145"/>
      <c r="D120" s="145"/>
      <c r="G120" s="1286"/>
      <c r="R120" s="68"/>
    </row>
    <row r="121" spans="1:18" s="114" customFormat="1">
      <c r="A121" s="145"/>
      <c r="B121" s="145"/>
      <c r="C121" s="145"/>
      <c r="D121" s="145"/>
      <c r="G121" s="1286"/>
      <c r="R121" s="68"/>
    </row>
    <row r="122" spans="1:18" s="114" customFormat="1">
      <c r="A122" s="145"/>
      <c r="B122" s="145"/>
      <c r="C122" s="145"/>
      <c r="D122" s="145"/>
      <c r="G122" s="1286"/>
      <c r="R122" s="68"/>
    </row>
    <row r="123" spans="1:18" s="114" customFormat="1">
      <c r="A123" s="145"/>
      <c r="B123" s="145"/>
      <c r="C123" s="145"/>
      <c r="D123" s="145"/>
      <c r="G123" s="1286"/>
      <c r="R123" s="68"/>
    </row>
    <row r="124" spans="1:18" s="114" customFormat="1">
      <c r="A124" s="145"/>
      <c r="B124" s="145"/>
      <c r="C124" s="145"/>
      <c r="D124" s="145"/>
      <c r="G124" s="1286"/>
      <c r="R124" s="68"/>
    </row>
    <row r="125" spans="1:18" s="114" customFormat="1">
      <c r="A125" s="145"/>
      <c r="B125" s="145"/>
      <c r="C125" s="145"/>
      <c r="D125" s="145"/>
      <c r="G125" s="1286"/>
      <c r="R125" s="68"/>
    </row>
    <row r="126" spans="1:18" s="114" customFormat="1">
      <c r="A126" s="145"/>
      <c r="B126" s="145"/>
      <c r="C126" s="145"/>
      <c r="D126" s="145"/>
      <c r="G126" s="1286"/>
      <c r="R126" s="68"/>
    </row>
    <row r="127" spans="1:18" s="114" customFormat="1">
      <c r="A127" s="145"/>
      <c r="B127" s="145"/>
      <c r="C127" s="145"/>
      <c r="D127" s="145"/>
      <c r="G127" s="1286"/>
      <c r="R127" s="68"/>
    </row>
    <row r="128" spans="1:18" s="114" customFormat="1">
      <c r="A128" s="145"/>
      <c r="B128" s="145"/>
      <c r="C128" s="145"/>
      <c r="D128" s="145"/>
      <c r="G128" s="1286"/>
      <c r="R128" s="68"/>
    </row>
    <row r="129" spans="1:18" s="114" customFormat="1">
      <c r="A129" s="145"/>
      <c r="B129" s="145"/>
      <c r="C129" s="145"/>
      <c r="D129" s="145"/>
      <c r="G129" s="1286"/>
      <c r="R129" s="68"/>
    </row>
    <row r="130" spans="1:18" s="114" customFormat="1">
      <c r="A130" s="145"/>
      <c r="B130" s="145"/>
      <c r="C130" s="145"/>
      <c r="D130" s="145"/>
      <c r="G130" s="1286"/>
      <c r="R130" s="68"/>
    </row>
    <row r="131" spans="1:18" s="114" customFormat="1">
      <c r="A131" s="145"/>
      <c r="B131" s="145"/>
      <c r="C131" s="145"/>
      <c r="D131" s="145"/>
      <c r="G131" s="1286"/>
      <c r="R131" s="68"/>
    </row>
    <row r="132" spans="1:18" s="114" customFormat="1">
      <c r="A132" s="145"/>
      <c r="B132" s="145"/>
      <c r="C132" s="145"/>
      <c r="D132" s="145"/>
      <c r="G132" s="1286"/>
      <c r="R132" s="68"/>
    </row>
    <row r="133" spans="1:18" s="114" customFormat="1">
      <c r="A133" s="145"/>
      <c r="B133" s="145"/>
      <c r="C133" s="145"/>
      <c r="D133" s="145"/>
      <c r="G133" s="1286"/>
      <c r="R133" s="68"/>
    </row>
    <row r="134" spans="1:18" s="114" customFormat="1">
      <c r="A134" s="145"/>
      <c r="B134" s="145"/>
      <c r="C134" s="145"/>
      <c r="D134" s="145"/>
      <c r="G134" s="1286"/>
      <c r="R134" s="68"/>
    </row>
    <row r="135" spans="1:18" s="114" customFormat="1">
      <c r="A135" s="145"/>
      <c r="B135" s="145"/>
      <c r="C135" s="145"/>
      <c r="D135" s="145"/>
      <c r="G135" s="1286"/>
      <c r="R135" s="68"/>
    </row>
    <row r="136" spans="1:18" s="114" customFormat="1">
      <c r="A136" s="145"/>
      <c r="B136" s="145"/>
      <c r="C136" s="145"/>
      <c r="D136" s="145"/>
      <c r="G136" s="1286"/>
      <c r="R136" s="68"/>
    </row>
    <row r="137" spans="1:18" s="114" customFormat="1">
      <c r="A137" s="145"/>
      <c r="B137" s="145"/>
      <c r="C137" s="145"/>
      <c r="D137" s="145"/>
      <c r="G137" s="1286"/>
      <c r="R137" s="68"/>
    </row>
    <row r="138" spans="1:18" s="114" customFormat="1">
      <c r="A138" s="145"/>
      <c r="B138" s="145"/>
      <c r="C138" s="145"/>
      <c r="D138" s="145"/>
      <c r="G138" s="1286"/>
      <c r="R138" s="68"/>
    </row>
    <row r="139" spans="1:18" s="114" customFormat="1">
      <c r="A139" s="145"/>
      <c r="B139" s="145"/>
      <c r="C139" s="145"/>
      <c r="D139" s="145"/>
      <c r="G139" s="1286"/>
      <c r="R139" s="68"/>
    </row>
    <row r="140" spans="1:18" s="114" customFormat="1">
      <c r="A140" s="145"/>
      <c r="B140" s="145"/>
      <c r="C140" s="145"/>
      <c r="D140" s="145"/>
      <c r="G140" s="1286"/>
      <c r="R140" s="68"/>
    </row>
    <row r="141" spans="1:18" s="114" customFormat="1">
      <c r="A141" s="145"/>
      <c r="B141" s="145"/>
      <c r="C141" s="145"/>
      <c r="D141" s="145"/>
      <c r="G141" s="1286"/>
      <c r="R141" s="68"/>
    </row>
    <row r="142" spans="1:18" s="114" customFormat="1">
      <c r="A142" s="145"/>
      <c r="B142" s="145"/>
      <c r="C142" s="145"/>
      <c r="D142" s="145"/>
      <c r="G142" s="1286"/>
      <c r="R142" s="68"/>
    </row>
    <row r="143" spans="1:18" s="114" customFormat="1">
      <c r="A143" s="145"/>
      <c r="B143" s="145"/>
      <c r="C143" s="145"/>
      <c r="D143" s="145"/>
      <c r="G143" s="1286"/>
      <c r="R143" s="68"/>
    </row>
    <row r="144" spans="1:18" s="114" customFormat="1">
      <c r="A144" s="145"/>
      <c r="B144" s="145"/>
      <c r="C144" s="145"/>
      <c r="D144" s="145"/>
      <c r="G144" s="1286"/>
      <c r="R144" s="68"/>
    </row>
    <row r="145" spans="1:18" s="114" customFormat="1">
      <c r="A145" s="145"/>
      <c r="B145" s="145"/>
      <c r="C145" s="145"/>
      <c r="D145" s="145"/>
      <c r="G145" s="1286"/>
      <c r="R145" s="68"/>
    </row>
    <row r="146" spans="1:18" s="114" customFormat="1">
      <c r="A146" s="145"/>
      <c r="B146" s="145"/>
      <c r="C146" s="145"/>
      <c r="D146" s="145"/>
      <c r="G146" s="1286"/>
      <c r="R146" s="68"/>
    </row>
    <row r="147" spans="1:18" s="114" customFormat="1">
      <c r="A147" s="145"/>
      <c r="B147" s="145"/>
      <c r="C147" s="145"/>
      <c r="D147" s="145"/>
      <c r="G147" s="1286"/>
      <c r="R147" s="68"/>
    </row>
    <row r="148" spans="1:18" s="114" customFormat="1">
      <c r="A148" s="145"/>
      <c r="B148" s="145"/>
      <c r="C148" s="145"/>
      <c r="D148" s="145"/>
      <c r="G148" s="1286"/>
      <c r="R148" s="68"/>
    </row>
    <row r="149" spans="1:18" s="114" customFormat="1">
      <c r="A149" s="145"/>
      <c r="B149" s="145"/>
      <c r="C149" s="145"/>
      <c r="D149" s="145"/>
      <c r="G149" s="1286"/>
      <c r="R149" s="68"/>
    </row>
    <row r="150" spans="1:18" s="114" customFormat="1">
      <c r="A150" s="145"/>
      <c r="B150" s="145"/>
      <c r="C150" s="145"/>
      <c r="D150" s="145"/>
      <c r="G150" s="1286"/>
      <c r="R150" s="68"/>
    </row>
    <row r="151" spans="1:18" s="114" customFormat="1">
      <c r="A151" s="145"/>
      <c r="B151" s="145"/>
      <c r="C151" s="145"/>
      <c r="D151" s="145"/>
      <c r="G151" s="1286"/>
      <c r="R151" s="68"/>
    </row>
    <row r="152" spans="1:18" s="114" customFormat="1">
      <c r="A152" s="145"/>
      <c r="B152" s="145"/>
      <c r="C152" s="145"/>
      <c r="D152" s="145"/>
      <c r="G152" s="1286"/>
      <c r="R152" s="68"/>
    </row>
    <row r="153" spans="1:18" s="114" customFormat="1">
      <c r="A153" s="145"/>
      <c r="B153" s="145"/>
      <c r="C153" s="145"/>
      <c r="D153" s="145"/>
      <c r="G153" s="1286"/>
      <c r="R153" s="68"/>
    </row>
    <row r="154" spans="1:18" s="114" customFormat="1">
      <c r="A154" s="145"/>
      <c r="B154" s="145"/>
      <c r="C154" s="145"/>
      <c r="D154" s="145"/>
      <c r="G154" s="1286"/>
      <c r="R154" s="68"/>
    </row>
    <row r="155" spans="1:18" s="114" customFormat="1">
      <c r="A155" s="145"/>
      <c r="B155" s="145"/>
      <c r="C155" s="145"/>
      <c r="D155" s="145"/>
      <c r="G155" s="1286"/>
      <c r="R155" s="68"/>
    </row>
    <row r="156" spans="1:18" s="114" customFormat="1">
      <c r="A156" s="145"/>
      <c r="B156" s="145"/>
      <c r="C156" s="145"/>
      <c r="D156" s="145"/>
      <c r="G156" s="1286"/>
      <c r="R156" s="68"/>
    </row>
    <row r="157" spans="1:18" s="114" customFormat="1">
      <c r="A157" s="145"/>
      <c r="B157" s="145"/>
      <c r="C157" s="145"/>
      <c r="D157" s="145"/>
      <c r="G157" s="1286"/>
      <c r="R157" s="68"/>
    </row>
    <row r="158" spans="1:18" s="114" customFormat="1">
      <c r="A158" s="145"/>
      <c r="B158" s="145"/>
      <c r="C158" s="145"/>
      <c r="D158" s="145"/>
      <c r="G158" s="1286"/>
      <c r="R158" s="68"/>
    </row>
    <row r="159" spans="1:18" s="114" customFormat="1">
      <c r="A159" s="145"/>
      <c r="B159" s="145"/>
      <c r="C159" s="145"/>
      <c r="D159" s="145"/>
      <c r="G159" s="1286"/>
      <c r="R159" s="68"/>
    </row>
    <row r="160" spans="1:18" s="114" customFormat="1">
      <c r="A160" s="145"/>
      <c r="B160" s="145"/>
      <c r="C160" s="145"/>
      <c r="D160" s="145"/>
      <c r="G160" s="1286"/>
      <c r="R160" s="68"/>
    </row>
    <row r="161" spans="1:18" s="114" customFormat="1">
      <c r="A161" s="145"/>
      <c r="B161" s="145"/>
      <c r="C161" s="145"/>
      <c r="D161" s="145"/>
      <c r="G161" s="1286"/>
      <c r="R161" s="68"/>
    </row>
    <row r="162" spans="1:18" s="114" customFormat="1">
      <c r="A162" s="145"/>
      <c r="B162" s="145"/>
      <c r="C162" s="145"/>
      <c r="D162" s="145"/>
      <c r="G162" s="1286"/>
      <c r="R162" s="68"/>
    </row>
    <row r="163" spans="1:18" s="114" customFormat="1">
      <c r="A163" s="145"/>
      <c r="B163" s="145"/>
      <c r="C163" s="145"/>
      <c r="D163" s="145"/>
      <c r="G163" s="1286"/>
      <c r="R163" s="68"/>
    </row>
    <row r="164" spans="1:18" s="114" customFormat="1">
      <c r="A164" s="145"/>
      <c r="B164" s="145"/>
      <c r="C164" s="145"/>
      <c r="D164" s="145"/>
      <c r="G164" s="1286"/>
      <c r="R164" s="68"/>
    </row>
    <row r="165" spans="1:18" s="114" customFormat="1">
      <c r="A165" s="145"/>
      <c r="B165" s="145"/>
      <c r="C165" s="145"/>
      <c r="D165" s="145"/>
      <c r="G165" s="1286"/>
      <c r="R165" s="68"/>
    </row>
    <row r="166" spans="1:18" s="114" customFormat="1">
      <c r="A166" s="145"/>
      <c r="B166" s="145"/>
      <c r="C166" s="145"/>
      <c r="D166" s="145"/>
      <c r="G166" s="1286"/>
      <c r="R166" s="68"/>
    </row>
    <row r="167" spans="1:18" s="114" customFormat="1">
      <c r="A167" s="145"/>
      <c r="B167" s="145"/>
      <c r="C167" s="145"/>
      <c r="D167" s="145"/>
      <c r="G167" s="1286"/>
      <c r="R167" s="68"/>
    </row>
    <row r="168" spans="1:18" s="114" customFormat="1">
      <c r="A168" s="145"/>
      <c r="B168" s="145"/>
      <c r="C168" s="145"/>
      <c r="D168" s="145"/>
      <c r="G168" s="1286"/>
      <c r="R168" s="68"/>
    </row>
    <row r="169" spans="1:18" s="114" customFormat="1">
      <c r="A169" s="145"/>
      <c r="B169" s="145"/>
      <c r="C169" s="145"/>
      <c r="D169" s="145"/>
      <c r="G169" s="1286"/>
      <c r="R169" s="68"/>
    </row>
    <row r="170" spans="1:18" s="114" customFormat="1">
      <c r="A170" s="145"/>
      <c r="B170" s="145"/>
      <c r="C170" s="145"/>
      <c r="D170" s="145"/>
      <c r="G170" s="1286"/>
      <c r="R170" s="68"/>
    </row>
    <row r="171" spans="1:18" s="114" customFormat="1">
      <c r="A171" s="145"/>
      <c r="B171" s="145"/>
      <c r="C171" s="145"/>
      <c r="D171" s="145"/>
      <c r="G171" s="1286"/>
      <c r="R171" s="68"/>
    </row>
    <row r="172" spans="1:18" s="114" customFormat="1">
      <c r="A172" s="145"/>
      <c r="B172" s="145"/>
      <c r="C172" s="145"/>
      <c r="D172" s="145"/>
      <c r="G172" s="1286"/>
      <c r="R172" s="68"/>
    </row>
    <row r="173" spans="1:18" s="114" customFormat="1">
      <c r="A173" s="145"/>
      <c r="B173" s="145"/>
      <c r="C173" s="145"/>
      <c r="D173" s="145"/>
      <c r="G173" s="1286"/>
      <c r="R173" s="68"/>
    </row>
    <row r="174" spans="1:18" s="114" customFormat="1">
      <c r="A174" s="145"/>
      <c r="B174" s="145"/>
      <c r="C174" s="145"/>
      <c r="D174" s="145"/>
      <c r="G174" s="1286"/>
      <c r="R174" s="68"/>
    </row>
    <row r="175" spans="1:18" s="114" customFormat="1">
      <c r="A175" s="145"/>
      <c r="B175" s="145"/>
      <c r="C175" s="145"/>
      <c r="D175" s="145"/>
      <c r="G175" s="1286"/>
      <c r="R175" s="68"/>
    </row>
    <row r="176" spans="1:18" s="114" customFormat="1">
      <c r="A176" s="145"/>
      <c r="B176" s="145"/>
      <c r="C176" s="145"/>
      <c r="D176" s="145"/>
      <c r="G176" s="1286"/>
      <c r="R176" s="68"/>
    </row>
    <row r="177" spans="1:18" s="114" customFormat="1">
      <c r="A177" s="145"/>
      <c r="B177" s="145"/>
      <c r="C177" s="145"/>
      <c r="D177" s="145"/>
      <c r="G177" s="1286"/>
      <c r="R177" s="68"/>
    </row>
    <row r="178" spans="1:18" s="114" customFormat="1">
      <c r="A178" s="145"/>
      <c r="B178" s="145"/>
      <c r="C178" s="145"/>
      <c r="D178" s="145"/>
      <c r="G178" s="1286"/>
      <c r="R178" s="68"/>
    </row>
    <row r="179" spans="1:18" s="114" customFormat="1">
      <c r="A179" s="145"/>
      <c r="B179" s="145"/>
      <c r="C179" s="145"/>
      <c r="D179" s="145"/>
      <c r="G179" s="1286"/>
      <c r="R179" s="68"/>
    </row>
    <row r="180" spans="1:18" s="114" customFormat="1">
      <c r="A180" s="145"/>
      <c r="B180" s="145"/>
      <c r="C180" s="145"/>
      <c r="D180" s="145"/>
      <c r="G180" s="1286"/>
      <c r="R180" s="68"/>
    </row>
    <row r="181" spans="1:18" s="114" customFormat="1">
      <c r="A181" s="145"/>
      <c r="B181" s="145"/>
      <c r="C181" s="145"/>
      <c r="D181" s="145"/>
      <c r="G181" s="1286"/>
      <c r="R181" s="68"/>
    </row>
    <row r="182" spans="1:18" s="114" customFormat="1">
      <c r="A182" s="145"/>
      <c r="B182" s="145"/>
      <c r="C182" s="145"/>
      <c r="D182" s="145"/>
      <c r="G182" s="1286"/>
      <c r="R182" s="68"/>
    </row>
    <row r="183" spans="1:18" s="114" customFormat="1">
      <c r="A183" s="145"/>
      <c r="B183" s="145"/>
      <c r="C183" s="145"/>
      <c r="D183" s="145"/>
      <c r="G183" s="1286"/>
      <c r="R183" s="68"/>
    </row>
    <row r="184" spans="1:18" s="114" customFormat="1">
      <c r="A184" s="145"/>
      <c r="B184" s="145"/>
      <c r="C184" s="145"/>
      <c r="D184" s="145"/>
      <c r="G184" s="1286"/>
      <c r="R184" s="68"/>
    </row>
    <row r="185" spans="1:18" s="114" customFormat="1">
      <c r="A185" s="145"/>
      <c r="B185" s="145"/>
      <c r="C185" s="145"/>
      <c r="D185" s="145"/>
      <c r="G185" s="1286"/>
      <c r="R185" s="68"/>
    </row>
    <row r="186" spans="1:18" s="114" customFormat="1">
      <c r="A186" s="145"/>
      <c r="B186" s="145"/>
      <c r="C186" s="145"/>
      <c r="D186" s="145"/>
      <c r="G186" s="1286"/>
      <c r="R186" s="68"/>
    </row>
    <row r="187" spans="1:18" s="114" customFormat="1">
      <c r="A187" s="145"/>
      <c r="B187" s="145"/>
      <c r="C187" s="145"/>
      <c r="D187" s="145"/>
      <c r="G187" s="1286"/>
      <c r="R187" s="68"/>
    </row>
    <row r="188" spans="1:18" s="114" customFormat="1">
      <c r="A188" s="145"/>
      <c r="B188" s="145"/>
      <c r="C188" s="145"/>
      <c r="D188" s="145"/>
      <c r="G188" s="1286"/>
      <c r="R188" s="68"/>
    </row>
    <row r="189" spans="1:18" s="114" customFormat="1">
      <c r="A189" s="145"/>
      <c r="B189" s="145"/>
      <c r="C189" s="145"/>
      <c r="D189" s="145"/>
      <c r="G189" s="1286"/>
      <c r="R189" s="68"/>
    </row>
    <row r="190" spans="1:18" s="114" customFormat="1">
      <c r="A190" s="145"/>
      <c r="B190" s="145"/>
      <c r="C190" s="145"/>
      <c r="D190" s="145"/>
      <c r="G190" s="1286"/>
      <c r="R190" s="68"/>
    </row>
    <row r="191" spans="1:18" s="114" customFormat="1">
      <c r="A191" s="145"/>
      <c r="B191" s="145"/>
      <c r="C191" s="145"/>
      <c r="D191" s="145"/>
      <c r="G191" s="1286"/>
      <c r="R191" s="68"/>
    </row>
    <row r="192" spans="1:18" s="114" customFormat="1">
      <c r="A192" s="145"/>
      <c r="B192" s="145"/>
      <c r="C192" s="145"/>
      <c r="D192" s="145"/>
      <c r="G192" s="1286"/>
      <c r="R192" s="68"/>
    </row>
    <row r="193" spans="1:18" s="114" customFormat="1">
      <c r="A193" s="145"/>
      <c r="B193" s="145"/>
      <c r="C193" s="145"/>
      <c r="D193" s="145"/>
      <c r="G193" s="1286"/>
      <c r="R193" s="68"/>
    </row>
    <row r="194" spans="1:18" s="114" customFormat="1">
      <c r="A194" s="145"/>
      <c r="B194" s="145"/>
      <c r="C194" s="145"/>
      <c r="D194" s="145"/>
      <c r="G194" s="1286"/>
      <c r="R194" s="68"/>
    </row>
    <row r="195" spans="1:18" s="114" customFormat="1">
      <c r="A195" s="145"/>
      <c r="B195" s="145"/>
      <c r="C195" s="145"/>
      <c r="D195" s="145"/>
      <c r="G195" s="1286"/>
      <c r="R195" s="68"/>
    </row>
    <row r="196" spans="1:18" s="114" customFormat="1">
      <c r="A196" s="145"/>
      <c r="B196" s="145"/>
      <c r="C196" s="145"/>
      <c r="D196" s="145"/>
      <c r="G196" s="1286"/>
      <c r="R196" s="68"/>
    </row>
    <row r="197" spans="1:18" s="114" customFormat="1">
      <c r="A197" s="145"/>
      <c r="B197" s="145"/>
      <c r="C197" s="145"/>
      <c r="D197" s="145"/>
      <c r="G197" s="1286"/>
      <c r="R197" s="68"/>
    </row>
    <row r="198" spans="1:18" s="114" customFormat="1">
      <c r="A198" s="145"/>
      <c r="B198" s="145"/>
      <c r="C198" s="145"/>
      <c r="D198" s="145"/>
      <c r="G198" s="1286"/>
      <c r="R198" s="68"/>
    </row>
    <row r="199" spans="1:18" s="114" customFormat="1">
      <c r="A199" s="145"/>
      <c r="B199" s="145"/>
      <c r="C199" s="145"/>
      <c r="D199" s="145"/>
      <c r="G199" s="1286"/>
      <c r="R199" s="68"/>
    </row>
    <row r="200" spans="1:18" s="114" customFormat="1">
      <c r="A200" s="145"/>
      <c r="B200" s="145"/>
      <c r="C200" s="145"/>
      <c r="D200" s="145"/>
      <c r="G200" s="1286"/>
      <c r="R200" s="68"/>
    </row>
    <row r="201" spans="1:18" s="114" customFormat="1">
      <c r="A201" s="145"/>
      <c r="B201" s="145"/>
      <c r="C201" s="145"/>
      <c r="D201" s="145"/>
      <c r="G201" s="1286"/>
      <c r="R201" s="68"/>
    </row>
    <row r="202" spans="1:18" s="114" customFormat="1">
      <c r="A202" s="145"/>
      <c r="B202" s="145"/>
      <c r="C202" s="145"/>
      <c r="D202" s="145"/>
      <c r="G202" s="1286"/>
      <c r="R202" s="68"/>
    </row>
    <row r="203" spans="1:18" s="114" customFormat="1">
      <c r="A203" s="145"/>
      <c r="B203" s="145"/>
      <c r="C203" s="145"/>
      <c r="D203" s="145"/>
      <c r="G203" s="1286"/>
      <c r="R203" s="68"/>
    </row>
    <row r="204" spans="1:18" s="114" customFormat="1">
      <c r="A204" s="145"/>
      <c r="B204" s="145"/>
      <c r="C204" s="145"/>
      <c r="D204" s="145"/>
      <c r="G204" s="1286"/>
      <c r="R204" s="68"/>
    </row>
    <row r="205" spans="1:18" s="114" customFormat="1">
      <c r="A205" s="145"/>
      <c r="B205" s="145"/>
      <c r="C205" s="145"/>
      <c r="D205" s="145"/>
      <c r="G205" s="1286"/>
      <c r="R205" s="68"/>
    </row>
    <row r="206" spans="1:18" s="114" customFormat="1">
      <c r="A206" s="145"/>
      <c r="B206" s="145"/>
      <c r="C206" s="145"/>
      <c r="D206" s="145"/>
      <c r="G206" s="1286"/>
      <c r="R206" s="68"/>
    </row>
    <row r="207" spans="1:18" s="114" customFormat="1">
      <c r="A207" s="145"/>
      <c r="B207" s="145"/>
      <c r="C207" s="145"/>
      <c r="D207" s="145"/>
      <c r="G207" s="1286"/>
      <c r="R207" s="68"/>
    </row>
    <row r="208" spans="1:18" s="114" customFormat="1">
      <c r="A208" s="145"/>
      <c r="B208" s="145"/>
      <c r="C208" s="145"/>
      <c r="D208" s="145"/>
      <c r="G208" s="1286"/>
      <c r="R208" s="68"/>
    </row>
    <row r="209" spans="1:18" s="114" customFormat="1">
      <c r="A209" s="145"/>
      <c r="B209" s="145"/>
      <c r="C209" s="145"/>
      <c r="D209" s="145"/>
      <c r="G209" s="1286"/>
      <c r="R209" s="68"/>
    </row>
    <row r="210" spans="1:18" s="114" customFormat="1">
      <c r="A210" s="145"/>
      <c r="B210" s="145"/>
      <c r="C210" s="145"/>
      <c r="D210" s="145"/>
      <c r="G210" s="1286"/>
      <c r="R210" s="68"/>
    </row>
    <row r="211" spans="1:18" s="114" customFormat="1">
      <c r="A211" s="145"/>
      <c r="B211" s="145"/>
      <c r="C211" s="145"/>
      <c r="D211" s="145"/>
      <c r="G211" s="1286"/>
      <c r="R211" s="68"/>
    </row>
    <row r="212" spans="1:18" s="114" customFormat="1">
      <c r="A212" s="145"/>
      <c r="B212" s="145"/>
      <c r="C212" s="145"/>
      <c r="D212" s="145"/>
      <c r="G212" s="1286"/>
      <c r="R212" s="68"/>
    </row>
    <row r="213" spans="1:18" s="114" customFormat="1">
      <c r="A213" s="145"/>
      <c r="B213" s="145"/>
      <c r="C213" s="145"/>
      <c r="D213" s="145"/>
      <c r="G213" s="1286"/>
      <c r="R213" s="68"/>
    </row>
    <row r="214" spans="1:18" s="114" customFormat="1">
      <c r="A214" s="145"/>
      <c r="B214" s="145"/>
      <c r="C214" s="145"/>
      <c r="D214" s="145"/>
      <c r="G214" s="1286"/>
      <c r="R214" s="68"/>
    </row>
    <row r="215" spans="1:18" s="114" customFormat="1">
      <c r="A215" s="145"/>
      <c r="B215" s="145"/>
      <c r="C215" s="145"/>
      <c r="D215" s="145"/>
      <c r="G215" s="1286"/>
      <c r="R215" s="68"/>
    </row>
    <row r="216" spans="1:18" s="114" customFormat="1">
      <c r="A216" s="145"/>
      <c r="B216" s="145"/>
      <c r="C216" s="145"/>
      <c r="D216" s="145"/>
      <c r="G216" s="1286"/>
      <c r="R216" s="68"/>
    </row>
    <row r="217" spans="1:18" s="114" customFormat="1">
      <c r="A217" s="145"/>
      <c r="B217" s="145"/>
      <c r="C217" s="145"/>
      <c r="D217" s="145"/>
      <c r="G217" s="1286"/>
      <c r="R217" s="68"/>
    </row>
    <row r="218" spans="1:18" s="114" customFormat="1">
      <c r="A218" s="145"/>
      <c r="B218" s="145"/>
      <c r="C218" s="145"/>
      <c r="D218" s="145"/>
      <c r="G218" s="1286"/>
      <c r="R218" s="68"/>
    </row>
    <row r="219" spans="1:18" s="114" customFormat="1">
      <c r="A219" s="145"/>
      <c r="B219" s="145"/>
      <c r="C219" s="145"/>
      <c r="D219" s="145"/>
      <c r="G219" s="1286"/>
      <c r="R219" s="68"/>
    </row>
    <row r="220" spans="1:18" s="114" customFormat="1">
      <c r="A220" s="145"/>
      <c r="B220" s="145"/>
      <c r="C220" s="145"/>
      <c r="D220" s="145"/>
      <c r="G220" s="1286"/>
      <c r="R220" s="68"/>
    </row>
    <row r="221" spans="1:18" s="114" customFormat="1">
      <c r="A221" s="145"/>
      <c r="B221" s="145"/>
      <c r="C221" s="145"/>
      <c r="D221" s="145"/>
      <c r="G221" s="1286"/>
      <c r="R221" s="68"/>
    </row>
    <row r="222" spans="1:18" s="114" customFormat="1">
      <c r="A222" s="145"/>
      <c r="B222" s="145"/>
      <c r="C222" s="145"/>
      <c r="D222" s="145"/>
      <c r="G222" s="1286"/>
      <c r="R222" s="68"/>
    </row>
    <row r="223" spans="1:18" s="114" customFormat="1">
      <c r="A223" s="145"/>
      <c r="B223" s="145"/>
      <c r="C223" s="145"/>
      <c r="D223" s="145"/>
      <c r="G223" s="1286"/>
      <c r="R223" s="68"/>
    </row>
    <row r="224" spans="1:18" s="114" customFormat="1">
      <c r="A224" s="145"/>
      <c r="B224" s="145"/>
      <c r="C224" s="145"/>
      <c r="D224" s="145"/>
      <c r="G224" s="1286"/>
      <c r="R224" s="68"/>
    </row>
    <row r="225" spans="1:18" s="114" customFormat="1">
      <c r="A225" s="145"/>
      <c r="B225" s="145"/>
      <c r="C225" s="145"/>
      <c r="D225" s="145"/>
      <c r="G225" s="1286"/>
      <c r="R225" s="68"/>
    </row>
    <row r="226" spans="1:18" s="114" customFormat="1">
      <c r="A226" s="145"/>
      <c r="B226" s="145"/>
      <c r="C226" s="145"/>
      <c r="D226" s="145"/>
      <c r="G226" s="1286"/>
      <c r="R226" s="68"/>
    </row>
    <row r="227" spans="1:18" s="114" customFormat="1">
      <c r="A227" s="145"/>
      <c r="B227" s="145"/>
      <c r="C227" s="145"/>
      <c r="D227" s="145"/>
      <c r="G227" s="1286"/>
      <c r="R227" s="68"/>
    </row>
    <row r="228" spans="1:18" s="114" customFormat="1">
      <c r="A228" s="145"/>
      <c r="B228" s="145"/>
      <c r="C228" s="145"/>
      <c r="D228" s="145"/>
      <c r="G228" s="1286"/>
      <c r="R228" s="68"/>
    </row>
    <row r="229" spans="1:18" s="114" customFormat="1">
      <c r="A229" s="145"/>
      <c r="B229" s="145"/>
      <c r="C229" s="145"/>
      <c r="D229" s="145"/>
      <c r="G229" s="1286"/>
      <c r="R229" s="68"/>
    </row>
    <row r="230" spans="1:18" s="114" customFormat="1">
      <c r="A230" s="145"/>
      <c r="B230" s="145"/>
      <c r="C230" s="145"/>
      <c r="D230" s="145"/>
      <c r="G230" s="1286"/>
      <c r="R230" s="68"/>
    </row>
    <row r="231" spans="1:18" s="114" customFormat="1">
      <c r="A231" s="145"/>
      <c r="B231" s="145"/>
      <c r="C231" s="145"/>
      <c r="D231" s="145"/>
      <c r="G231" s="1286"/>
      <c r="R231" s="68"/>
    </row>
    <row r="232" spans="1:18" s="114" customFormat="1">
      <c r="A232" s="145"/>
      <c r="B232" s="145"/>
      <c r="C232" s="145"/>
      <c r="D232" s="145"/>
      <c r="G232" s="1286"/>
      <c r="R232" s="68"/>
    </row>
    <row r="233" spans="1:18" s="114" customFormat="1">
      <c r="A233" s="145"/>
      <c r="B233" s="145"/>
      <c r="C233" s="145"/>
      <c r="D233" s="145"/>
      <c r="G233" s="1286"/>
      <c r="R233" s="68"/>
    </row>
    <row r="234" spans="1:18" s="114" customFormat="1">
      <c r="A234" s="145"/>
      <c r="B234" s="145"/>
      <c r="C234" s="145"/>
      <c r="D234" s="145"/>
      <c r="G234" s="1286"/>
      <c r="R234" s="68"/>
    </row>
    <row r="235" spans="1:18" s="114" customFormat="1">
      <c r="A235" s="145"/>
      <c r="B235" s="145"/>
      <c r="C235" s="145"/>
      <c r="D235" s="145"/>
      <c r="G235" s="1286"/>
      <c r="R235" s="68"/>
    </row>
    <row r="236" spans="1:18" s="114" customFormat="1">
      <c r="A236" s="145"/>
      <c r="B236" s="145"/>
      <c r="C236" s="145"/>
      <c r="D236" s="145"/>
      <c r="G236" s="1286"/>
      <c r="R236" s="68"/>
    </row>
    <row r="237" spans="1:18" s="114" customFormat="1">
      <c r="A237" s="145"/>
      <c r="B237" s="145"/>
      <c r="C237" s="145"/>
      <c r="D237" s="145"/>
      <c r="G237" s="1286"/>
      <c r="R237" s="68"/>
    </row>
    <row r="238" spans="1:18" s="114" customFormat="1">
      <c r="A238" s="145"/>
      <c r="B238" s="145"/>
      <c r="C238" s="145"/>
      <c r="D238" s="145"/>
      <c r="G238" s="1286"/>
      <c r="R238" s="68"/>
    </row>
    <row r="239" spans="1:18" s="114" customFormat="1">
      <c r="A239" s="145"/>
      <c r="B239" s="145"/>
      <c r="C239" s="145"/>
      <c r="D239" s="145"/>
      <c r="G239" s="1286"/>
      <c r="R239" s="68"/>
    </row>
    <row r="240" spans="1:18" s="114" customFormat="1">
      <c r="A240" s="145"/>
      <c r="B240" s="145"/>
      <c r="C240" s="145"/>
      <c r="D240" s="145"/>
      <c r="G240" s="1286"/>
      <c r="R240" s="68"/>
    </row>
    <row r="241" spans="1:18" s="114" customFormat="1">
      <c r="A241" s="145"/>
      <c r="B241" s="145"/>
      <c r="C241" s="145"/>
      <c r="D241" s="145"/>
      <c r="G241" s="1286"/>
      <c r="R241" s="68"/>
    </row>
    <row r="242" spans="1:18" s="114" customFormat="1">
      <c r="A242" s="145"/>
      <c r="B242" s="145"/>
      <c r="C242" s="145"/>
      <c r="D242" s="145"/>
      <c r="G242" s="1286"/>
      <c r="R242" s="68"/>
    </row>
    <row r="243" spans="1:18" s="114" customFormat="1">
      <c r="A243" s="145"/>
      <c r="B243" s="145"/>
      <c r="C243" s="145"/>
      <c r="D243" s="145"/>
      <c r="G243" s="1286"/>
      <c r="R243" s="68"/>
    </row>
    <row r="244" spans="1:18" s="114" customFormat="1">
      <c r="A244" s="145"/>
      <c r="B244" s="145"/>
      <c r="C244" s="145"/>
      <c r="D244" s="145"/>
      <c r="G244" s="1286"/>
      <c r="R244" s="68"/>
    </row>
    <row r="245" spans="1:18" s="114" customFormat="1">
      <c r="A245" s="145"/>
      <c r="B245" s="145"/>
      <c r="C245" s="145"/>
      <c r="D245" s="145"/>
      <c r="G245" s="1286"/>
      <c r="R245" s="68"/>
    </row>
    <row r="246" spans="1:18" s="114" customFormat="1">
      <c r="A246" s="145"/>
      <c r="B246" s="145"/>
      <c r="C246" s="145"/>
      <c r="D246" s="145"/>
      <c r="G246" s="1286"/>
      <c r="R246" s="68"/>
    </row>
    <row r="247" spans="1:18" s="114" customFormat="1">
      <c r="A247" s="145"/>
      <c r="B247" s="145"/>
      <c r="C247" s="145"/>
      <c r="D247" s="145"/>
      <c r="G247" s="1286"/>
      <c r="R247" s="68"/>
    </row>
    <row r="248" spans="1:18" s="114" customFormat="1">
      <c r="A248" s="145"/>
      <c r="B248" s="145"/>
      <c r="C248" s="145"/>
      <c r="D248" s="145"/>
      <c r="G248" s="1286"/>
      <c r="R248" s="68"/>
    </row>
    <row r="249" spans="1:18" s="114" customFormat="1">
      <c r="A249" s="145"/>
      <c r="B249" s="145"/>
      <c r="C249" s="145"/>
      <c r="D249" s="145"/>
      <c r="G249" s="1286"/>
      <c r="R249" s="68"/>
    </row>
    <row r="250" spans="1:18" s="114" customFormat="1">
      <c r="A250" s="145"/>
      <c r="B250" s="145"/>
      <c r="C250" s="145"/>
      <c r="D250" s="145"/>
      <c r="G250" s="1286"/>
      <c r="R250" s="68"/>
    </row>
    <row r="251" spans="1:18" s="114" customFormat="1">
      <c r="A251" s="145"/>
      <c r="B251" s="145"/>
      <c r="C251" s="145"/>
      <c r="D251" s="145"/>
      <c r="G251" s="1286"/>
      <c r="R251" s="68"/>
    </row>
    <row r="252" spans="1:18" s="114" customFormat="1">
      <c r="A252" s="145"/>
      <c r="B252" s="145"/>
      <c r="C252" s="145"/>
      <c r="D252" s="145"/>
      <c r="G252" s="1286"/>
      <c r="R252" s="68"/>
    </row>
    <row r="253" spans="1:18" s="114" customFormat="1">
      <c r="A253" s="145"/>
      <c r="B253" s="145"/>
      <c r="C253" s="145"/>
      <c r="D253" s="145"/>
      <c r="G253" s="1286"/>
      <c r="R253" s="68"/>
    </row>
    <row r="254" spans="1:18" s="114" customFormat="1">
      <c r="A254" s="145"/>
      <c r="B254" s="145"/>
      <c r="C254" s="145"/>
      <c r="D254" s="145"/>
      <c r="G254" s="1286"/>
      <c r="R254" s="68"/>
    </row>
    <row r="255" spans="1:18" s="114" customFormat="1">
      <c r="A255" s="145"/>
      <c r="B255" s="145"/>
      <c r="C255" s="145"/>
      <c r="D255" s="145"/>
      <c r="G255" s="1286"/>
      <c r="R255" s="68"/>
    </row>
    <row r="256" spans="1:18" s="114" customFormat="1">
      <c r="A256" s="145"/>
      <c r="B256" s="145"/>
      <c r="C256" s="145"/>
      <c r="D256" s="145"/>
      <c r="G256" s="1286"/>
      <c r="R256" s="68"/>
    </row>
    <row r="257" spans="1:18" s="114" customFormat="1">
      <c r="A257" s="145"/>
      <c r="B257" s="145"/>
      <c r="C257" s="145"/>
      <c r="D257" s="145"/>
      <c r="G257" s="1286"/>
      <c r="R257" s="68"/>
    </row>
    <row r="258" spans="1:18" s="114" customFormat="1">
      <c r="A258" s="145"/>
      <c r="B258" s="145"/>
      <c r="C258" s="145"/>
      <c r="D258" s="145"/>
      <c r="G258" s="1286"/>
      <c r="R258" s="68"/>
    </row>
    <row r="259" spans="1:18" s="114" customFormat="1">
      <c r="A259" s="145"/>
      <c r="B259" s="145"/>
      <c r="C259" s="145"/>
      <c r="D259" s="145"/>
      <c r="G259" s="1286"/>
      <c r="R259" s="68"/>
    </row>
    <row r="260" spans="1:18" s="114" customFormat="1">
      <c r="A260" s="145"/>
      <c r="B260" s="145"/>
      <c r="C260" s="145"/>
      <c r="D260" s="145"/>
      <c r="G260" s="1286"/>
      <c r="R260" s="68"/>
    </row>
    <row r="261" spans="1:18" s="114" customFormat="1">
      <c r="A261" s="145"/>
      <c r="B261" s="145"/>
      <c r="C261" s="145"/>
      <c r="D261" s="145"/>
      <c r="G261" s="1286"/>
      <c r="R261" s="68"/>
    </row>
    <row r="262" spans="1:18" s="114" customFormat="1">
      <c r="A262" s="145"/>
      <c r="B262" s="145"/>
      <c r="C262" s="145"/>
      <c r="D262" s="145"/>
      <c r="G262" s="1286"/>
      <c r="R262" s="68"/>
    </row>
    <row r="263" spans="1:18" s="114" customFormat="1">
      <c r="A263" s="145"/>
      <c r="B263" s="145"/>
      <c r="C263" s="145"/>
      <c r="D263" s="145"/>
      <c r="G263" s="1286"/>
      <c r="R263" s="68"/>
    </row>
    <row r="264" spans="1:18" s="114" customFormat="1">
      <c r="A264" s="145"/>
      <c r="B264" s="145"/>
      <c r="C264" s="145"/>
      <c r="D264" s="145"/>
      <c r="G264" s="1286"/>
      <c r="R264" s="68"/>
    </row>
    <row r="265" spans="1:18" s="114" customFormat="1">
      <c r="A265" s="145"/>
      <c r="B265" s="145"/>
      <c r="C265" s="145"/>
      <c r="D265" s="145"/>
      <c r="G265" s="1286"/>
      <c r="R265" s="68"/>
    </row>
    <row r="266" spans="1:18" s="114" customFormat="1">
      <c r="A266" s="145"/>
      <c r="B266" s="145"/>
      <c r="C266" s="145"/>
      <c r="D266" s="145"/>
      <c r="G266" s="1286"/>
      <c r="R266" s="68"/>
    </row>
    <row r="267" spans="1:18" s="114" customFormat="1">
      <c r="A267" s="145"/>
      <c r="B267" s="145"/>
      <c r="C267" s="145"/>
      <c r="D267" s="145"/>
      <c r="G267" s="1286"/>
      <c r="R267" s="68"/>
    </row>
    <row r="268" spans="1:18" s="114" customFormat="1">
      <c r="A268" s="145"/>
      <c r="B268" s="145"/>
      <c r="C268" s="145"/>
      <c r="D268" s="145"/>
      <c r="G268" s="1286"/>
      <c r="R268" s="68"/>
    </row>
    <row r="269" spans="1:18" s="114" customFormat="1">
      <c r="A269" s="145"/>
      <c r="B269" s="145"/>
      <c r="C269" s="145"/>
      <c r="D269" s="145"/>
      <c r="G269" s="1286"/>
      <c r="R269" s="68"/>
    </row>
    <row r="270" spans="1:18" s="114" customFormat="1">
      <c r="A270" s="145"/>
      <c r="B270" s="145"/>
      <c r="C270" s="145"/>
      <c r="D270" s="145"/>
      <c r="G270" s="1286"/>
      <c r="R270" s="68"/>
    </row>
    <row r="271" spans="1:18" s="114" customFormat="1">
      <c r="A271" s="145"/>
      <c r="B271" s="145"/>
      <c r="C271" s="145"/>
      <c r="D271" s="145"/>
      <c r="G271" s="1286"/>
      <c r="R271" s="68"/>
    </row>
    <row r="272" spans="1:18" s="114" customFormat="1">
      <c r="A272" s="145"/>
      <c r="B272" s="145"/>
      <c r="C272" s="145"/>
      <c r="D272" s="145"/>
      <c r="G272" s="1286"/>
      <c r="R272" s="68"/>
    </row>
    <row r="273" spans="1:18" s="114" customFormat="1">
      <c r="A273" s="145"/>
      <c r="B273" s="145"/>
      <c r="C273" s="145"/>
      <c r="D273" s="145"/>
      <c r="G273" s="1286"/>
      <c r="R273" s="68"/>
    </row>
    <row r="274" spans="1:18" s="114" customFormat="1">
      <c r="A274" s="145"/>
      <c r="B274" s="145"/>
      <c r="C274" s="145"/>
      <c r="D274" s="145"/>
      <c r="G274" s="1286"/>
      <c r="R274" s="68"/>
    </row>
    <row r="275" spans="1:18" s="114" customFormat="1">
      <c r="A275" s="145"/>
      <c r="B275" s="145"/>
      <c r="C275" s="145"/>
      <c r="D275" s="145"/>
      <c r="G275" s="1286"/>
      <c r="R275" s="68"/>
    </row>
    <row r="276" spans="1:18" s="114" customFormat="1">
      <c r="A276" s="145"/>
      <c r="B276" s="145"/>
      <c r="C276" s="145"/>
      <c r="D276" s="145"/>
      <c r="G276" s="1286"/>
      <c r="R276" s="68"/>
    </row>
    <row r="277" spans="1:18" s="114" customFormat="1">
      <c r="A277" s="145"/>
      <c r="B277" s="145"/>
      <c r="C277" s="145"/>
      <c r="D277" s="145"/>
      <c r="G277" s="1286"/>
      <c r="R277" s="68"/>
    </row>
    <row r="278" spans="1:18" s="114" customFormat="1">
      <c r="A278" s="145"/>
      <c r="B278" s="145"/>
      <c r="C278" s="145"/>
      <c r="D278" s="145"/>
      <c r="G278" s="1286"/>
      <c r="R278" s="68"/>
    </row>
    <row r="279" spans="1:18" s="114" customFormat="1">
      <c r="A279" s="145"/>
      <c r="B279" s="145"/>
      <c r="C279" s="145"/>
      <c r="D279" s="145"/>
      <c r="G279" s="1286"/>
      <c r="R279" s="68"/>
    </row>
    <row r="280" spans="1:18" s="114" customFormat="1">
      <c r="A280" s="145"/>
      <c r="B280" s="145"/>
      <c r="C280" s="145"/>
      <c r="D280" s="145"/>
      <c r="G280" s="1286"/>
      <c r="R280" s="68"/>
    </row>
    <row r="281" spans="1:18" s="114" customFormat="1">
      <c r="A281" s="145"/>
      <c r="B281" s="145"/>
      <c r="C281" s="145"/>
      <c r="D281" s="145"/>
      <c r="G281" s="1286"/>
      <c r="R281" s="68"/>
    </row>
    <row r="282" spans="1:18" s="114" customFormat="1">
      <c r="A282" s="145"/>
      <c r="B282" s="145"/>
      <c r="C282" s="145"/>
      <c r="D282" s="145"/>
      <c r="G282" s="1286"/>
      <c r="R282" s="68"/>
    </row>
    <row r="283" spans="1:18" s="114" customFormat="1">
      <c r="A283" s="145"/>
      <c r="B283" s="145"/>
      <c r="C283" s="145"/>
      <c r="D283" s="145"/>
      <c r="G283" s="1286"/>
      <c r="R283" s="68"/>
    </row>
    <row r="284" spans="1:18" s="114" customFormat="1">
      <c r="A284" s="145"/>
      <c r="B284" s="145"/>
      <c r="C284" s="145"/>
      <c r="D284" s="145"/>
      <c r="G284" s="1286"/>
      <c r="R284" s="68"/>
    </row>
    <row r="285" spans="1:18" s="114" customFormat="1">
      <c r="A285" s="145"/>
      <c r="B285" s="145"/>
      <c r="C285" s="145"/>
      <c r="D285" s="145"/>
      <c r="G285" s="1286"/>
      <c r="R285" s="68"/>
    </row>
    <row r="286" spans="1:18" s="114" customFormat="1">
      <c r="A286" s="145"/>
      <c r="B286" s="145"/>
      <c r="C286" s="145"/>
      <c r="D286" s="145"/>
      <c r="G286" s="1286"/>
      <c r="R286" s="68"/>
    </row>
    <row r="287" spans="1:18" s="114" customFormat="1">
      <c r="A287" s="145"/>
      <c r="B287" s="145"/>
      <c r="C287" s="145"/>
      <c r="D287" s="145"/>
      <c r="G287" s="1286"/>
      <c r="R287" s="68"/>
    </row>
    <row r="288" spans="1:18" s="114" customFormat="1">
      <c r="A288" s="145"/>
      <c r="B288" s="145"/>
      <c r="C288" s="145"/>
      <c r="D288" s="145"/>
      <c r="G288" s="1286"/>
      <c r="R288" s="68"/>
    </row>
    <row r="289" spans="1:18" s="114" customFormat="1">
      <c r="A289" s="145"/>
      <c r="B289" s="145"/>
      <c r="C289" s="145"/>
      <c r="D289" s="145"/>
      <c r="G289" s="1286"/>
      <c r="R289" s="68"/>
    </row>
    <row r="290" spans="1:18" s="114" customFormat="1">
      <c r="A290" s="145"/>
      <c r="B290" s="145"/>
      <c r="C290" s="145"/>
      <c r="D290" s="145"/>
      <c r="G290" s="1286"/>
      <c r="R290" s="68"/>
    </row>
    <row r="291" spans="1:18" s="114" customFormat="1">
      <c r="A291" s="145"/>
      <c r="B291" s="145"/>
      <c r="C291" s="145"/>
      <c r="D291" s="145"/>
      <c r="G291" s="1286"/>
      <c r="R291" s="68"/>
    </row>
    <row r="292" spans="1:18" s="114" customFormat="1">
      <c r="A292" s="145"/>
      <c r="B292" s="145"/>
      <c r="C292" s="145"/>
      <c r="D292" s="145"/>
      <c r="G292" s="1286"/>
      <c r="R292" s="68"/>
    </row>
    <row r="293" spans="1:18" s="114" customFormat="1">
      <c r="A293" s="145"/>
      <c r="B293" s="145"/>
      <c r="C293" s="145"/>
      <c r="D293" s="145"/>
      <c r="G293" s="1286"/>
      <c r="R293" s="68"/>
    </row>
    <row r="294" spans="1:18" s="114" customFormat="1">
      <c r="A294" s="145"/>
      <c r="B294" s="145"/>
      <c r="C294" s="145"/>
      <c r="D294" s="145"/>
      <c r="G294" s="1286"/>
      <c r="R294" s="68"/>
    </row>
    <row r="295" spans="1:18" s="114" customFormat="1">
      <c r="A295" s="145"/>
      <c r="B295" s="145"/>
      <c r="C295" s="145"/>
      <c r="D295" s="145"/>
      <c r="G295" s="1286"/>
      <c r="R295" s="68"/>
    </row>
    <row r="296" spans="1:18" s="114" customFormat="1">
      <c r="A296" s="145"/>
      <c r="B296" s="145"/>
      <c r="C296" s="145"/>
      <c r="D296" s="145"/>
      <c r="G296" s="1286"/>
      <c r="R296" s="68"/>
    </row>
    <row r="297" spans="1:18" s="114" customFormat="1">
      <c r="A297" s="145"/>
      <c r="B297" s="145"/>
      <c r="C297" s="145"/>
      <c r="D297" s="145"/>
      <c r="G297" s="1286"/>
      <c r="R297" s="68"/>
    </row>
    <row r="298" spans="1:18" s="114" customFormat="1">
      <c r="A298" s="145"/>
      <c r="B298" s="145"/>
      <c r="C298" s="145"/>
      <c r="D298" s="145"/>
      <c r="G298" s="1286"/>
      <c r="R298" s="68"/>
    </row>
    <row r="299" spans="1:18" s="114" customFormat="1">
      <c r="A299" s="145"/>
      <c r="B299" s="145"/>
      <c r="C299" s="145"/>
      <c r="D299" s="145"/>
      <c r="G299" s="1286"/>
      <c r="R299" s="68"/>
    </row>
    <row r="300" spans="1:18" s="114" customFormat="1">
      <c r="A300" s="145"/>
      <c r="B300" s="145"/>
      <c r="C300" s="145"/>
      <c r="D300" s="145"/>
      <c r="G300" s="1286"/>
      <c r="R300" s="68"/>
    </row>
    <row r="301" spans="1:18" s="114" customFormat="1">
      <c r="A301" s="145"/>
      <c r="B301" s="145"/>
      <c r="C301" s="145"/>
      <c r="D301" s="145"/>
      <c r="G301" s="1286"/>
      <c r="R301" s="68"/>
    </row>
    <row r="302" spans="1:18" s="114" customFormat="1">
      <c r="A302" s="145"/>
      <c r="B302" s="145"/>
      <c r="C302" s="145"/>
      <c r="D302" s="145"/>
      <c r="G302" s="1286"/>
      <c r="R302" s="68"/>
    </row>
    <row r="303" spans="1:18" s="114" customFormat="1">
      <c r="A303" s="145"/>
      <c r="B303" s="145"/>
      <c r="C303" s="145"/>
      <c r="D303" s="145"/>
      <c r="G303" s="1286"/>
      <c r="R303" s="68"/>
    </row>
    <row r="304" spans="1:18" s="114" customFormat="1">
      <c r="A304" s="145"/>
      <c r="B304" s="145"/>
      <c r="C304" s="145"/>
      <c r="D304" s="145"/>
      <c r="G304" s="1286"/>
      <c r="R304" s="68"/>
    </row>
    <row r="305" spans="1:18" s="114" customFormat="1">
      <c r="A305" s="145"/>
      <c r="B305" s="145"/>
      <c r="C305" s="145"/>
      <c r="D305" s="145"/>
      <c r="G305" s="1286"/>
      <c r="R305" s="68"/>
    </row>
    <row r="306" spans="1:18" s="114" customFormat="1">
      <c r="A306" s="145"/>
      <c r="B306" s="145"/>
      <c r="C306" s="145"/>
      <c r="D306" s="145"/>
      <c r="G306" s="1286"/>
      <c r="R306" s="68"/>
    </row>
    <row r="307" spans="1:18" s="114" customFormat="1">
      <c r="A307" s="145"/>
      <c r="B307" s="145"/>
      <c r="C307" s="145"/>
      <c r="D307" s="145"/>
      <c r="G307" s="1286"/>
      <c r="R307" s="68"/>
    </row>
    <row r="308" spans="1:18" s="114" customFormat="1">
      <c r="A308" s="145"/>
      <c r="B308" s="145"/>
      <c r="C308" s="145"/>
      <c r="D308" s="145"/>
      <c r="G308" s="1286"/>
      <c r="R308" s="68"/>
    </row>
    <row r="309" spans="1:18" s="114" customFormat="1">
      <c r="A309" s="145"/>
      <c r="B309" s="145"/>
      <c r="C309" s="145"/>
      <c r="D309" s="145"/>
      <c r="G309" s="1286"/>
      <c r="R309" s="68"/>
    </row>
    <row r="310" spans="1:18" s="114" customFormat="1">
      <c r="A310" s="145"/>
      <c r="B310" s="145"/>
      <c r="C310" s="145"/>
      <c r="D310" s="145"/>
      <c r="G310" s="1286"/>
      <c r="R310" s="68"/>
    </row>
    <row r="311" spans="1:18" s="114" customFormat="1">
      <c r="A311" s="145"/>
      <c r="B311" s="145"/>
      <c r="C311" s="145"/>
      <c r="D311" s="145"/>
      <c r="G311" s="1286"/>
      <c r="R311" s="68"/>
    </row>
    <row r="312" spans="1:18" s="114" customFormat="1">
      <c r="A312" s="145"/>
      <c r="B312" s="145"/>
      <c r="C312" s="145"/>
      <c r="D312" s="145"/>
      <c r="G312" s="1286"/>
      <c r="R312" s="68"/>
    </row>
    <row r="313" spans="1:18" s="114" customFormat="1">
      <c r="A313" s="145"/>
      <c r="B313" s="145"/>
      <c r="C313" s="145"/>
      <c r="D313" s="145"/>
      <c r="G313" s="1286"/>
      <c r="R313" s="68"/>
    </row>
    <row r="314" spans="1:18" s="114" customFormat="1">
      <c r="A314" s="145"/>
      <c r="B314" s="145"/>
      <c r="C314" s="145"/>
      <c r="D314" s="145"/>
      <c r="G314" s="1286"/>
      <c r="R314" s="68"/>
    </row>
    <row r="315" spans="1:18" s="114" customFormat="1">
      <c r="A315" s="145"/>
      <c r="B315" s="145"/>
      <c r="C315" s="145"/>
      <c r="D315" s="145"/>
      <c r="G315" s="1286"/>
      <c r="R315" s="68"/>
    </row>
    <row r="316" spans="1:18" s="114" customFormat="1">
      <c r="A316" s="145"/>
      <c r="B316" s="145"/>
      <c r="C316" s="145"/>
      <c r="D316" s="145"/>
      <c r="G316" s="1286"/>
      <c r="R316" s="68"/>
    </row>
    <row r="317" spans="1:18" s="114" customFormat="1">
      <c r="A317" s="145"/>
      <c r="B317" s="145"/>
      <c r="C317" s="145"/>
      <c r="D317" s="145"/>
      <c r="G317" s="1286"/>
      <c r="R317" s="68"/>
    </row>
    <row r="318" spans="1:18" s="114" customFormat="1">
      <c r="A318" s="145"/>
      <c r="B318" s="145"/>
      <c r="C318" s="145"/>
      <c r="D318" s="145"/>
      <c r="G318" s="1286"/>
      <c r="R318" s="68"/>
    </row>
    <row r="319" spans="1:18" s="114" customFormat="1">
      <c r="A319" s="145"/>
      <c r="B319" s="145"/>
      <c r="C319" s="145"/>
      <c r="D319" s="145"/>
      <c r="G319" s="1286"/>
      <c r="R319" s="68"/>
    </row>
    <row r="320" spans="1:18" s="114" customFormat="1">
      <c r="A320" s="145"/>
      <c r="B320" s="145"/>
      <c r="C320" s="145"/>
      <c r="D320" s="145"/>
      <c r="G320" s="1286"/>
      <c r="R320" s="68"/>
    </row>
    <row r="321" spans="1:18" s="114" customFormat="1">
      <c r="A321" s="145"/>
      <c r="B321" s="145"/>
      <c r="C321" s="145"/>
      <c r="D321" s="145"/>
      <c r="G321" s="1286"/>
      <c r="R321" s="68"/>
    </row>
    <row r="322" spans="1:18" s="114" customFormat="1">
      <c r="A322" s="145"/>
      <c r="B322" s="145"/>
      <c r="C322" s="145"/>
      <c r="D322" s="145"/>
      <c r="G322" s="1286"/>
      <c r="R322" s="68"/>
    </row>
    <row r="323" spans="1:18" s="114" customFormat="1">
      <c r="A323" s="145"/>
      <c r="B323" s="145"/>
      <c r="C323" s="145"/>
      <c r="D323" s="145"/>
      <c r="G323" s="1286"/>
      <c r="R323" s="68"/>
    </row>
    <row r="324" spans="1:18" s="114" customFormat="1">
      <c r="A324" s="145"/>
      <c r="B324" s="145"/>
      <c r="C324" s="145"/>
      <c r="D324" s="145"/>
      <c r="G324" s="1286"/>
      <c r="R324" s="68"/>
    </row>
    <row r="325" spans="1:18" s="114" customFormat="1">
      <c r="A325" s="145"/>
      <c r="B325" s="145"/>
      <c r="C325" s="145"/>
      <c r="D325" s="145"/>
      <c r="G325" s="1286"/>
      <c r="R325" s="68"/>
    </row>
    <row r="326" spans="1:18" s="114" customFormat="1">
      <c r="A326" s="145"/>
      <c r="B326" s="145"/>
      <c r="C326" s="145"/>
      <c r="D326" s="145"/>
      <c r="G326" s="1286"/>
      <c r="R326" s="68"/>
    </row>
    <row r="327" spans="1:18" s="114" customFormat="1">
      <c r="A327" s="145"/>
      <c r="B327" s="145"/>
      <c r="C327" s="145"/>
      <c r="D327" s="145"/>
      <c r="G327" s="1286"/>
      <c r="R327" s="68"/>
    </row>
    <row r="328" spans="1:18" s="114" customFormat="1">
      <c r="A328" s="145"/>
      <c r="B328" s="145"/>
      <c r="C328" s="145"/>
      <c r="D328" s="145"/>
      <c r="G328" s="1286"/>
      <c r="R328" s="68"/>
    </row>
    <row r="329" spans="1:18" s="114" customFormat="1">
      <c r="A329" s="145"/>
      <c r="B329" s="145"/>
      <c r="C329" s="145"/>
      <c r="D329" s="145"/>
      <c r="G329" s="1286"/>
      <c r="R329" s="68"/>
    </row>
    <row r="330" spans="1:18" s="114" customFormat="1">
      <c r="A330" s="145"/>
      <c r="B330" s="145"/>
      <c r="C330" s="145"/>
      <c r="D330" s="145"/>
      <c r="G330" s="1286"/>
      <c r="R330" s="68"/>
    </row>
    <row r="331" spans="1:18" s="114" customFormat="1">
      <c r="A331" s="145"/>
      <c r="B331" s="145"/>
      <c r="C331" s="145"/>
      <c r="D331" s="145"/>
      <c r="G331" s="1286"/>
      <c r="R331" s="68"/>
    </row>
    <row r="332" spans="1:18" s="114" customFormat="1">
      <c r="A332" s="145"/>
      <c r="B332" s="145"/>
      <c r="C332" s="145"/>
      <c r="D332" s="145"/>
      <c r="G332" s="1286"/>
      <c r="R332" s="68"/>
    </row>
    <row r="333" spans="1:18" s="114" customFormat="1">
      <c r="A333" s="145"/>
      <c r="B333" s="145"/>
      <c r="C333" s="145"/>
      <c r="D333" s="145"/>
      <c r="G333" s="1286"/>
      <c r="R333" s="68"/>
    </row>
    <row r="334" spans="1:18" s="114" customFormat="1">
      <c r="A334" s="145"/>
      <c r="B334" s="145"/>
      <c r="C334" s="145"/>
      <c r="D334" s="145"/>
      <c r="G334" s="1286"/>
      <c r="R334" s="68"/>
    </row>
    <row r="335" spans="1:18" s="114" customFormat="1">
      <c r="A335" s="145"/>
      <c r="B335" s="145"/>
      <c r="C335" s="145"/>
      <c r="D335" s="145"/>
      <c r="G335" s="1286"/>
      <c r="R335" s="68"/>
    </row>
    <row r="336" spans="1:18" s="114" customFormat="1">
      <c r="A336" s="145"/>
      <c r="B336" s="145"/>
      <c r="C336" s="145"/>
      <c r="D336" s="145"/>
      <c r="G336" s="1286"/>
      <c r="R336" s="68"/>
    </row>
    <row r="337" spans="1:18" s="114" customFormat="1">
      <c r="A337" s="145"/>
      <c r="B337" s="145"/>
      <c r="C337" s="145"/>
      <c r="D337" s="145"/>
      <c r="G337" s="1286"/>
      <c r="R337" s="68"/>
    </row>
    <row r="338" spans="1:18" s="114" customFormat="1">
      <c r="A338" s="145"/>
      <c r="B338" s="145"/>
      <c r="C338" s="145"/>
      <c r="D338" s="145"/>
      <c r="G338" s="1286"/>
      <c r="R338" s="68"/>
    </row>
    <row r="339" spans="1:18" s="114" customFormat="1">
      <c r="A339" s="145"/>
      <c r="B339" s="145"/>
      <c r="C339" s="145"/>
      <c r="D339" s="145"/>
      <c r="G339" s="1286"/>
      <c r="R339" s="68"/>
    </row>
    <row r="340" spans="1:18" s="114" customFormat="1">
      <c r="A340" s="145"/>
      <c r="B340" s="145"/>
      <c r="C340" s="145"/>
      <c r="D340" s="145"/>
      <c r="G340" s="1286"/>
      <c r="R340" s="68"/>
    </row>
    <row r="341" spans="1:18" s="114" customFormat="1">
      <c r="A341" s="145"/>
      <c r="B341" s="145"/>
      <c r="C341" s="145"/>
      <c r="D341" s="145"/>
      <c r="G341" s="1286"/>
      <c r="R341" s="68"/>
    </row>
    <row r="342" spans="1:18" s="114" customFormat="1">
      <c r="A342" s="145"/>
      <c r="B342" s="145"/>
      <c r="C342" s="145"/>
      <c r="D342" s="145"/>
      <c r="G342" s="1286"/>
      <c r="R342" s="68"/>
    </row>
    <row r="343" spans="1:18" s="114" customFormat="1">
      <c r="A343" s="145"/>
      <c r="B343" s="145"/>
      <c r="C343" s="145"/>
      <c r="D343" s="145"/>
      <c r="G343" s="1286"/>
      <c r="R343" s="68"/>
    </row>
    <row r="344" spans="1:18" s="114" customFormat="1">
      <c r="A344" s="145"/>
      <c r="B344" s="145"/>
      <c r="C344" s="145"/>
      <c r="D344" s="145"/>
      <c r="G344" s="1286"/>
      <c r="R344" s="68"/>
    </row>
    <row r="345" spans="1:18" s="114" customFormat="1">
      <c r="A345" s="145"/>
      <c r="B345" s="145"/>
      <c r="C345" s="145"/>
      <c r="D345" s="145"/>
      <c r="G345" s="1286"/>
      <c r="R345" s="68"/>
    </row>
    <row r="346" spans="1:18" s="114" customFormat="1">
      <c r="A346" s="145"/>
      <c r="B346" s="145"/>
      <c r="C346" s="145"/>
      <c r="D346" s="145"/>
      <c r="G346" s="1286"/>
      <c r="R346" s="68"/>
    </row>
    <row r="347" spans="1:18" s="114" customFormat="1">
      <c r="A347" s="145"/>
      <c r="B347" s="145"/>
      <c r="C347" s="145"/>
      <c r="D347" s="145"/>
      <c r="G347" s="1286"/>
      <c r="R347" s="68"/>
    </row>
    <row r="348" spans="1:18" s="114" customFormat="1">
      <c r="A348" s="145"/>
      <c r="B348" s="145"/>
      <c r="C348" s="145"/>
      <c r="D348" s="145"/>
      <c r="G348" s="1286"/>
      <c r="R348" s="68"/>
    </row>
    <row r="349" spans="1:18" s="114" customFormat="1">
      <c r="A349" s="145"/>
      <c r="B349" s="145"/>
      <c r="C349" s="145"/>
      <c r="D349" s="145"/>
      <c r="G349" s="1286"/>
      <c r="R349" s="68"/>
    </row>
    <row r="350" spans="1:18" s="114" customFormat="1">
      <c r="A350" s="145"/>
      <c r="B350" s="145"/>
      <c r="C350" s="145"/>
      <c r="D350" s="145"/>
      <c r="G350" s="1286"/>
      <c r="R350" s="68"/>
    </row>
    <row r="351" spans="1:18" s="114" customFormat="1">
      <c r="A351" s="145"/>
      <c r="B351" s="145"/>
      <c r="C351" s="145"/>
      <c r="D351" s="145"/>
      <c r="G351" s="1286"/>
      <c r="R351" s="68"/>
    </row>
    <row r="352" spans="1:18" s="114" customFormat="1">
      <c r="A352" s="145"/>
      <c r="B352" s="145"/>
      <c r="C352" s="145"/>
      <c r="D352" s="145"/>
      <c r="G352" s="1286"/>
      <c r="R352" s="68"/>
    </row>
    <row r="353" spans="1:18" s="114" customFormat="1">
      <c r="A353" s="145"/>
      <c r="B353" s="145"/>
      <c r="C353" s="145"/>
      <c r="D353" s="145"/>
      <c r="G353" s="1286"/>
      <c r="R353" s="68"/>
    </row>
    <row r="354" spans="1:18" s="114" customFormat="1">
      <c r="A354" s="145"/>
      <c r="B354" s="145"/>
      <c r="C354" s="145"/>
      <c r="D354" s="145"/>
      <c r="G354" s="1286"/>
      <c r="R354" s="68"/>
    </row>
    <row r="355" spans="1:18" s="114" customFormat="1">
      <c r="A355" s="145"/>
      <c r="B355" s="145"/>
      <c r="C355" s="145"/>
      <c r="D355" s="145"/>
      <c r="G355" s="1286"/>
      <c r="R355" s="68"/>
    </row>
    <row r="356" spans="1:18" s="114" customFormat="1">
      <c r="A356" s="145"/>
      <c r="B356" s="145"/>
      <c r="C356" s="145"/>
      <c r="D356" s="145"/>
      <c r="G356" s="1286"/>
      <c r="R356" s="68"/>
    </row>
    <row r="357" spans="1:18" s="114" customFormat="1">
      <c r="A357" s="145"/>
      <c r="B357" s="145"/>
      <c r="C357" s="145"/>
      <c r="D357" s="145"/>
      <c r="G357" s="1286"/>
      <c r="R357" s="68"/>
    </row>
    <row r="358" spans="1:18" s="114" customFormat="1">
      <c r="A358" s="145"/>
      <c r="B358" s="145"/>
      <c r="C358" s="145"/>
      <c r="D358" s="145"/>
      <c r="G358" s="1286"/>
      <c r="R358" s="68"/>
    </row>
    <row r="359" spans="1:18" s="114" customFormat="1">
      <c r="A359" s="145"/>
      <c r="B359" s="145"/>
      <c r="C359" s="145"/>
      <c r="D359" s="145"/>
      <c r="G359" s="1286"/>
      <c r="R359" s="68"/>
    </row>
    <row r="360" spans="1:18" s="114" customFormat="1">
      <c r="A360" s="145"/>
      <c r="B360" s="145"/>
      <c r="C360" s="145"/>
      <c r="D360" s="145"/>
      <c r="G360" s="1286"/>
      <c r="R360" s="68"/>
    </row>
    <row r="361" spans="1:18" s="114" customFormat="1">
      <c r="A361" s="145"/>
      <c r="B361" s="145"/>
      <c r="C361" s="145"/>
      <c r="D361" s="145"/>
      <c r="G361" s="1286"/>
      <c r="R361" s="68"/>
    </row>
    <row r="362" spans="1:18" s="114" customFormat="1">
      <c r="A362" s="145"/>
      <c r="B362" s="145"/>
      <c r="C362" s="145"/>
      <c r="D362" s="145"/>
      <c r="G362" s="1286"/>
      <c r="R362" s="68"/>
    </row>
    <row r="363" spans="1:18" s="114" customFormat="1">
      <c r="A363" s="145"/>
      <c r="B363" s="145"/>
      <c r="C363" s="145"/>
      <c r="D363" s="145"/>
      <c r="G363" s="1286"/>
      <c r="R363" s="68"/>
    </row>
    <row r="364" spans="1:18" s="114" customFormat="1">
      <c r="A364" s="145"/>
      <c r="B364" s="145"/>
      <c r="C364" s="145"/>
      <c r="D364" s="145"/>
      <c r="G364" s="1286"/>
      <c r="R364" s="68"/>
    </row>
    <row r="365" spans="1:18" s="114" customFormat="1">
      <c r="A365" s="145"/>
      <c r="B365" s="145"/>
      <c r="C365" s="145"/>
      <c r="D365" s="145"/>
      <c r="G365" s="1286"/>
      <c r="R365" s="68"/>
    </row>
    <row r="366" spans="1:18" s="114" customFormat="1">
      <c r="A366" s="145"/>
      <c r="B366" s="145"/>
      <c r="C366" s="145"/>
      <c r="D366" s="145"/>
      <c r="G366" s="1286"/>
      <c r="R366" s="68"/>
    </row>
    <row r="367" spans="1:18" s="114" customFormat="1">
      <c r="A367" s="145"/>
      <c r="B367" s="145"/>
      <c r="C367" s="145"/>
      <c r="D367" s="145"/>
      <c r="G367" s="1286"/>
      <c r="R367" s="68"/>
    </row>
    <row r="368" spans="1:18" s="114" customFormat="1">
      <c r="A368" s="145"/>
      <c r="B368" s="145"/>
      <c r="C368" s="145"/>
      <c r="D368" s="145"/>
      <c r="G368" s="1286"/>
      <c r="R368" s="68"/>
    </row>
    <row r="369" spans="1:18" s="114" customFormat="1">
      <c r="A369" s="145"/>
      <c r="B369" s="145"/>
      <c r="C369" s="145"/>
      <c r="D369" s="145"/>
      <c r="G369" s="1286"/>
      <c r="R369" s="68"/>
    </row>
    <row r="370" spans="1:18" s="114" customFormat="1">
      <c r="A370" s="145"/>
      <c r="B370" s="145"/>
      <c r="C370" s="145"/>
      <c r="D370" s="145"/>
      <c r="G370" s="1286"/>
      <c r="R370" s="68"/>
    </row>
    <row r="371" spans="1:18" s="114" customFormat="1">
      <c r="A371" s="145"/>
      <c r="B371" s="145"/>
      <c r="C371" s="145"/>
      <c r="D371" s="145"/>
      <c r="G371" s="1286"/>
      <c r="R371" s="68"/>
    </row>
    <row r="372" spans="1:18" s="114" customFormat="1">
      <c r="A372" s="145"/>
      <c r="B372" s="145"/>
      <c r="C372" s="145"/>
      <c r="D372" s="145"/>
      <c r="G372" s="1286"/>
      <c r="R372" s="68"/>
    </row>
    <row r="373" spans="1:18" s="114" customFormat="1">
      <c r="A373" s="145"/>
      <c r="B373" s="145"/>
      <c r="C373" s="145"/>
      <c r="D373" s="145"/>
      <c r="G373" s="1286"/>
      <c r="R373" s="68"/>
    </row>
    <row r="374" spans="1:18" s="114" customFormat="1">
      <c r="A374" s="145"/>
      <c r="B374" s="145"/>
      <c r="C374" s="145"/>
      <c r="D374" s="145"/>
      <c r="G374" s="1286"/>
      <c r="R374" s="68"/>
    </row>
    <row r="375" spans="1:18" s="114" customFormat="1">
      <c r="A375" s="145"/>
      <c r="B375" s="145"/>
      <c r="C375" s="145"/>
      <c r="D375" s="145"/>
      <c r="G375" s="1286"/>
      <c r="R375" s="68"/>
    </row>
    <row r="376" spans="1:18" s="114" customFormat="1">
      <c r="A376" s="145"/>
      <c r="B376" s="145"/>
      <c r="C376" s="145"/>
      <c r="D376" s="145"/>
      <c r="G376" s="1286"/>
      <c r="R376" s="68"/>
    </row>
    <row r="377" spans="1:18" s="114" customFormat="1">
      <c r="A377" s="145"/>
      <c r="B377" s="145"/>
      <c r="C377" s="145"/>
      <c r="D377" s="145"/>
      <c r="G377" s="1286"/>
      <c r="R377" s="68"/>
    </row>
    <row r="378" spans="1:18" s="114" customFormat="1">
      <c r="A378" s="145"/>
      <c r="B378" s="145"/>
      <c r="C378" s="145"/>
      <c r="D378" s="145"/>
      <c r="G378" s="1286"/>
      <c r="R378" s="68"/>
    </row>
    <row r="379" spans="1:18" s="114" customFormat="1">
      <c r="A379" s="145"/>
      <c r="B379" s="145"/>
      <c r="C379" s="145"/>
      <c r="D379" s="145"/>
      <c r="G379" s="1286"/>
      <c r="R379" s="68"/>
    </row>
    <row r="380" spans="1:18" s="114" customFormat="1">
      <c r="A380" s="145"/>
      <c r="B380" s="145"/>
      <c r="C380" s="145"/>
      <c r="D380" s="145"/>
      <c r="G380" s="1286"/>
      <c r="R380" s="68"/>
    </row>
    <row r="381" spans="1:18" s="114" customFormat="1">
      <c r="A381" s="145"/>
      <c r="B381" s="145"/>
      <c r="C381" s="145"/>
      <c r="D381" s="145"/>
      <c r="G381" s="1286"/>
      <c r="R381" s="68"/>
    </row>
    <row r="382" spans="1:18" s="114" customFormat="1">
      <c r="A382" s="145"/>
      <c r="B382" s="145"/>
      <c r="C382" s="145"/>
      <c r="D382" s="145"/>
      <c r="G382" s="1286"/>
      <c r="R382" s="68"/>
    </row>
    <row r="383" spans="1:18" s="114" customFormat="1">
      <c r="A383" s="145"/>
      <c r="B383" s="145"/>
      <c r="C383" s="145"/>
      <c r="D383" s="145"/>
      <c r="G383" s="1286"/>
      <c r="R383" s="68"/>
    </row>
    <row r="384" spans="1:18" s="114" customFormat="1">
      <c r="A384" s="145"/>
      <c r="B384" s="145"/>
      <c r="C384" s="145"/>
      <c r="D384" s="145"/>
      <c r="G384" s="1286"/>
      <c r="R384" s="68"/>
    </row>
    <row r="385" spans="1:18" s="114" customFormat="1">
      <c r="A385" s="145"/>
      <c r="B385" s="145"/>
      <c r="C385" s="145"/>
      <c r="D385" s="145"/>
      <c r="G385" s="1286"/>
      <c r="R385" s="68"/>
    </row>
    <row r="386" spans="1:18" s="114" customFormat="1">
      <c r="A386" s="145"/>
      <c r="B386" s="145"/>
      <c r="C386" s="145"/>
      <c r="D386" s="145"/>
      <c r="G386" s="1286"/>
      <c r="R386" s="68"/>
    </row>
    <row r="387" spans="1:18" s="114" customFormat="1">
      <c r="A387" s="145"/>
      <c r="B387" s="145"/>
      <c r="C387" s="145"/>
      <c r="D387" s="145"/>
      <c r="G387" s="1286"/>
      <c r="R387" s="68"/>
    </row>
    <row r="388" spans="1:18" s="114" customFormat="1">
      <c r="A388" s="145"/>
      <c r="B388" s="145"/>
      <c r="C388" s="145"/>
      <c r="D388" s="145"/>
      <c r="G388" s="1286"/>
      <c r="R388" s="68"/>
    </row>
    <row r="389" spans="1:18" s="114" customFormat="1">
      <c r="A389" s="145"/>
      <c r="B389" s="145"/>
      <c r="C389" s="145"/>
      <c r="D389" s="145"/>
      <c r="G389" s="1286"/>
      <c r="R389" s="68"/>
    </row>
    <row r="390" spans="1:18" s="114" customFormat="1">
      <c r="A390" s="145"/>
      <c r="B390" s="145"/>
      <c r="C390" s="145"/>
      <c r="D390" s="145"/>
      <c r="G390" s="1286"/>
      <c r="R390" s="68"/>
    </row>
    <row r="391" spans="1:18" s="114" customFormat="1">
      <c r="A391" s="145"/>
      <c r="B391" s="145"/>
      <c r="C391" s="145"/>
      <c r="D391" s="145"/>
      <c r="G391" s="1286"/>
      <c r="R391" s="68"/>
    </row>
    <row r="392" spans="1:18" s="114" customFormat="1">
      <c r="A392" s="145"/>
      <c r="B392" s="145"/>
      <c r="C392" s="145"/>
      <c r="D392" s="145"/>
      <c r="G392" s="1286"/>
      <c r="R392" s="68"/>
    </row>
    <row r="393" spans="1:18" s="114" customFormat="1">
      <c r="A393" s="145"/>
      <c r="B393" s="145"/>
      <c r="C393" s="145"/>
      <c r="D393" s="145"/>
      <c r="G393" s="1286"/>
      <c r="R393" s="68"/>
    </row>
    <row r="394" spans="1:18" s="114" customFormat="1">
      <c r="A394" s="145"/>
      <c r="B394" s="145"/>
      <c r="C394" s="145"/>
      <c r="D394" s="145"/>
      <c r="G394" s="1286"/>
      <c r="R394" s="68"/>
    </row>
    <row r="395" spans="1:18" s="114" customFormat="1">
      <c r="A395" s="145"/>
      <c r="B395" s="145"/>
      <c r="C395" s="145"/>
      <c r="D395" s="145"/>
      <c r="G395" s="1286"/>
      <c r="R395" s="68"/>
    </row>
    <row r="396" spans="1:18" s="114" customFormat="1">
      <c r="A396" s="145"/>
      <c r="B396" s="145"/>
      <c r="C396" s="145"/>
      <c r="D396" s="145"/>
      <c r="G396" s="1286"/>
      <c r="R396" s="68"/>
    </row>
    <row r="397" spans="1:18" s="114" customFormat="1">
      <c r="A397" s="145"/>
      <c r="B397" s="145"/>
      <c r="C397" s="145"/>
      <c r="D397" s="145"/>
      <c r="G397" s="1286"/>
      <c r="R397" s="68"/>
    </row>
    <row r="398" spans="1:18" s="114" customFormat="1">
      <c r="A398" s="145"/>
      <c r="B398" s="145"/>
      <c r="C398" s="145"/>
      <c r="D398" s="145"/>
      <c r="G398" s="1286"/>
      <c r="R398" s="68"/>
    </row>
    <row r="399" spans="1:18" s="114" customFormat="1">
      <c r="A399" s="145"/>
      <c r="B399" s="145"/>
      <c r="C399" s="145"/>
      <c r="D399" s="145"/>
      <c r="G399" s="1286"/>
      <c r="R399" s="68"/>
    </row>
    <row r="400" spans="1:18" s="114" customFormat="1">
      <c r="A400" s="145"/>
      <c r="B400" s="145"/>
      <c r="C400" s="145"/>
      <c r="D400" s="145"/>
      <c r="G400" s="1286"/>
      <c r="R400" s="68"/>
    </row>
    <row r="401" spans="1:18" s="114" customFormat="1">
      <c r="A401" s="145"/>
      <c r="B401" s="145"/>
      <c r="C401" s="145"/>
      <c r="D401" s="145"/>
      <c r="G401" s="1286"/>
      <c r="R401" s="68"/>
    </row>
    <row r="402" spans="1:18" s="114" customFormat="1">
      <c r="A402" s="145"/>
      <c r="B402" s="145"/>
      <c r="C402" s="145"/>
      <c r="D402" s="145"/>
      <c r="G402" s="1286"/>
      <c r="R402" s="68"/>
    </row>
    <row r="403" spans="1:18" s="114" customFormat="1">
      <c r="A403" s="145"/>
      <c r="B403" s="145"/>
      <c r="C403" s="145"/>
      <c r="D403" s="145"/>
      <c r="G403" s="1286"/>
      <c r="R403" s="68"/>
    </row>
    <row r="404" spans="1:18" s="114" customFormat="1">
      <c r="A404" s="145"/>
      <c r="B404" s="145"/>
      <c r="C404" s="145"/>
      <c r="D404" s="145"/>
      <c r="G404" s="1286"/>
      <c r="R404" s="68"/>
    </row>
    <row r="405" spans="1:18" s="114" customFormat="1">
      <c r="A405" s="145"/>
      <c r="B405" s="145"/>
      <c r="C405" s="145"/>
      <c r="D405" s="145"/>
      <c r="G405" s="1286"/>
      <c r="R405" s="68"/>
    </row>
    <row r="406" spans="1:18" s="114" customFormat="1">
      <c r="A406" s="145"/>
      <c r="B406" s="145"/>
      <c r="C406" s="145"/>
      <c r="D406" s="145"/>
      <c r="G406" s="1286"/>
      <c r="R406" s="68"/>
    </row>
    <row r="407" spans="1:18" s="114" customFormat="1">
      <c r="A407" s="145"/>
      <c r="B407" s="145"/>
      <c r="C407" s="145"/>
      <c r="D407" s="145"/>
      <c r="G407" s="1286"/>
      <c r="R407" s="68"/>
    </row>
    <row r="408" spans="1:18" s="114" customFormat="1">
      <c r="A408" s="145"/>
      <c r="B408" s="145"/>
      <c r="C408" s="145"/>
      <c r="D408" s="145"/>
      <c r="G408" s="1286"/>
      <c r="R408" s="68"/>
    </row>
    <row r="409" spans="1:18" s="114" customFormat="1">
      <c r="A409" s="145"/>
      <c r="B409" s="145"/>
      <c r="C409" s="145"/>
      <c r="D409" s="145"/>
      <c r="G409" s="1286"/>
      <c r="R409" s="68"/>
    </row>
    <row r="410" spans="1:18" s="114" customFormat="1">
      <c r="A410" s="145"/>
      <c r="B410" s="145"/>
      <c r="C410" s="145"/>
      <c r="D410" s="145"/>
      <c r="G410" s="1286"/>
      <c r="R410" s="68"/>
    </row>
    <row r="411" spans="1:18" s="114" customFormat="1">
      <c r="A411" s="145"/>
      <c r="B411" s="145"/>
      <c r="C411" s="145"/>
      <c r="D411" s="145"/>
      <c r="G411" s="1286"/>
      <c r="R411" s="68"/>
    </row>
    <row r="412" spans="1:18" s="114" customFormat="1">
      <c r="A412" s="145"/>
      <c r="B412" s="145"/>
      <c r="C412" s="145"/>
      <c r="D412" s="145"/>
      <c r="G412" s="1286"/>
      <c r="R412" s="68"/>
    </row>
    <row r="413" spans="1:18" s="114" customFormat="1">
      <c r="A413" s="145"/>
      <c r="B413" s="145"/>
      <c r="C413" s="145"/>
      <c r="D413" s="145"/>
      <c r="G413" s="1286"/>
      <c r="R413" s="68"/>
    </row>
    <row r="414" spans="1:18" s="114" customFormat="1">
      <c r="A414" s="145"/>
      <c r="B414" s="145"/>
      <c r="C414" s="145"/>
      <c r="D414" s="145"/>
      <c r="G414" s="1286"/>
      <c r="R414" s="68"/>
    </row>
    <row r="415" spans="1:18" s="114" customFormat="1">
      <c r="A415" s="145"/>
      <c r="B415" s="145"/>
      <c r="C415" s="145"/>
      <c r="D415" s="145"/>
      <c r="G415" s="1286"/>
      <c r="R415" s="68"/>
    </row>
    <row r="416" spans="1:18" s="114" customFormat="1">
      <c r="A416" s="145"/>
      <c r="B416" s="145"/>
      <c r="C416" s="145"/>
      <c r="D416" s="145"/>
      <c r="G416" s="1286"/>
      <c r="R416" s="68"/>
    </row>
    <row r="417" spans="1:18" s="114" customFormat="1">
      <c r="A417" s="145"/>
      <c r="B417" s="145"/>
      <c r="C417" s="145"/>
      <c r="D417" s="145"/>
      <c r="G417" s="1286"/>
      <c r="R417" s="68"/>
    </row>
    <row r="418" spans="1:18" s="114" customFormat="1">
      <c r="A418" s="145"/>
      <c r="B418" s="145"/>
      <c r="C418" s="145"/>
      <c r="D418" s="145"/>
      <c r="G418" s="1286"/>
      <c r="R418" s="68"/>
    </row>
    <row r="419" spans="1:18" s="114" customFormat="1">
      <c r="A419" s="145"/>
      <c r="B419" s="145"/>
      <c r="C419" s="145"/>
      <c r="D419" s="145"/>
      <c r="G419" s="1286"/>
      <c r="R419" s="68"/>
    </row>
    <row r="420" spans="1:18" s="114" customFormat="1">
      <c r="A420" s="145"/>
      <c r="B420" s="145"/>
      <c r="C420" s="145"/>
      <c r="D420" s="145"/>
      <c r="G420" s="1286"/>
      <c r="R420" s="68"/>
    </row>
    <row r="421" spans="1:18" s="114" customFormat="1">
      <c r="A421" s="145"/>
      <c r="B421" s="145"/>
      <c r="C421" s="145"/>
      <c r="D421" s="145"/>
      <c r="G421" s="1286"/>
      <c r="R421" s="68"/>
    </row>
    <row r="422" spans="1:18" s="114" customFormat="1">
      <c r="A422" s="145"/>
      <c r="B422" s="145"/>
      <c r="C422" s="145"/>
      <c r="D422" s="145"/>
      <c r="G422" s="1286"/>
      <c r="R422" s="68"/>
    </row>
    <row r="423" spans="1:18" s="114" customFormat="1">
      <c r="A423" s="145"/>
      <c r="B423" s="145"/>
      <c r="C423" s="145"/>
      <c r="D423" s="145"/>
      <c r="G423" s="1286"/>
      <c r="R423" s="68"/>
    </row>
    <row r="424" spans="1:18" s="114" customFormat="1">
      <c r="A424" s="145"/>
      <c r="B424" s="145"/>
      <c r="C424" s="145"/>
      <c r="D424" s="145"/>
      <c r="G424" s="1286"/>
      <c r="R424" s="68"/>
    </row>
    <row r="425" spans="1:18" s="114" customFormat="1">
      <c r="A425" s="145"/>
      <c r="B425" s="145"/>
      <c r="C425" s="145"/>
      <c r="D425" s="145"/>
      <c r="G425" s="1286"/>
      <c r="R425" s="68"/>
    </row>
    <row r="426" spans="1:18" s="114" customFormat="1">
      <c r="A426" s="145"/>
      <c r="B426" s="145"/>
      <c r="C426" s="145"/>
      <c r="D426" s="145"/>
      <c r="G426" s="1286"/>
      <c r="R426" s="68"/>
    </row>
    <row r="427" spans="1:18" s="114" customFormat="1">
      <c r="A427" s="145"/>
      <c r="B427" s="145"/>
      <c r="C427" s="145"/>
      <c r="D427" s="145"/>
      <c r="G427" s="1286"/>
      <c r="R427" s="68"/>
    </row>
    <row r="428" spans="1:18" s="114" customFormat="1">
      <c r="A428" s="145"/>
      <c r="B428" s="145"/>
      <c r="C428" s="145"/>
      <c r="D428" s="145"/>
      <c r="G428" s="1286"/>
      <c r="R428" s="68"/>
    </row>
    <row r="429" spans="1:18" s="114" customFormat="1">
      <c r="A429" s="145"/>
      <c r="B429" s="145"/>
      <c r="C429" s="145"/>
      <c r="D429" s="145"/>
      <c r="G429" s="1286"/>
      <c r="R429" s="68"/>
    </row>
    <row r="430" spans="1:18" s="114" customFormat="1">
      <c r="A430" s="145"/>
      <c r="B430" s="145"/>
      <c r="C430" s="145"/>
      <c r="D430" s="145"/>
      <c r="G430" s="1286"/>
      <c r="R430" s="68"/>
    </row>
    <row r="431" spans="1:18" s="114" customFormat="1">
      <c r="A431" s="145"/>
      <c r="B431" s="145"/>
      <c r="C431" s="145"/>
      <c r="D431" s="145"/>
      <c r="G431" s="1286"/>
      <c r="R431" s="68"/>
    </row>
    <row r="432" spans="1:18" s="114" customFormat="1">
      <c r="A432" s="145"/>
      <c r="B432" s="145"/>
      <c r="C432" s="145"/>
      <c r="D432" s="145"/>
      <c r="G432" s="1286"/>
      <c r="R432" s="68"/>
    </row>
    <row r="433" spans="1:18" s="114" customFormat="1">
      <c r="A433" s="145"/>
      <c r="B433" s="145"/>
      <c r="C433" s="145"/>
      <c r="D433" s="145"/>
      <c r="G433" s="1286"/>
      <c r="R433" s="68"/>
    </row>
    <row r="434" spans="1:18" s="114" customFormat="1">
      <c r="A434" s="145"/>
      <c r="B434" s="145"/>
      <c r="C434" s="145"/>
      <c r="D434" s="145"/>
      <c r="G434" s="1286"/>
      <c r="R434" s="68"/>
    </row>
    <row r="435" spans="1:18" s="114" customFormat="1">
      <c r="A435" s="145"/>
      <c r="B435" s="145"/>
      <c r="C435" s="145"/>
      <c r="D435" s="145"/>
      <c r="G435" s="1286"/>
      <c r="R435" s="68"/>
    </row>
    <row r="436" spans="1:18" s="114" customFormat="1">
      <c r="A436" s="145"/>
      <c r="B436" s="145"/>
      <c r="C436" s="145"/>
      <c r="D436" s="145"/>
      <c r="G436" s="1286"/>
      <c r="R436" s="68"/>
    </row>
    <row r="437" spans="1:18" s="114" customFormat="1">
      <c r="A437" s="145"/>
      <c r="B437" s="145"/>
      <c r="C437" s="145"/>
      <c r="D437" s="145"/>
      <c r="G437" s="1286"/>
      <c r="R437" s="68"/>
    </row>
    <row r="438" spans="1:18" s="114" customFormat="1">
      <c r="A438" s="145"/>
      <c r="B438" s="145"/>
      <c r="C438" s="145"/>
      <c r="D438" s="145"/>
      <c r="G438" s="1286"/>
      <c r="R438" s="68"/>
    </row>
    <row r="439" spans="1:18" s="114" customFormat="1">
      <c r="A439" s="145"/>
      <c r="B439" s="145"/>
      <c r="C439" s="145"/>
      <c r="D439" s="145"/>
      <c r="G439" s="1286"/>
      <c r="R439" s="68"/>
    </row>
    <row r="440" spans="1:18" s="114" customFormat="1">
      <c r="A440" s="145"/>
      <c r="B440" s="145"/>
      <c r="C440" s="145"/>
      <c r="D440" s="145"/>
      <c r="G440" s="1286"/>
      <c r="R440" s="68"/>
    </row>
    <row r="441" spans="1:18" s="114" customFormat="1">
      <c r="A441" s="145"/>
      <c r="B441" s="145"/>
      <c r="C441" s="145"/>
      <c r="D441" s="145"/>
      <c r="G441" s="1286"/>
      <c r="R441" s="68"/>
    </row>
    <row r="442" spans="1:18" s="114" customFormat="1">
      <c r="A442" s="145"/>
      <c r="B442" s="145"/>
      <c r="C442" s="145"/>
      <c r="D442" s="145"/>
      <c r="G442" s="1286"/>
      <c r="R442" s="68"/>
    </row>
    <row r="443" spans="1:18" s="114" customFormat="1">
      <c r="A443" s="145"/>
      <c r="B443" s="145"/>
      <c r="C443" s="145"/>
      <c r="D443" s="145"/>
      <c r="G443" s="1286"/>
      <c r="R443" s="68"/>
    </row>
    <row r="444" spans="1:18" s="114" customFormat="1">
      <c r="A444" s="145"/>
      <c r="B444" s="145"/>
      <c r="C444" s="145"/>
      <c r="D444" s="145"/>
      <c r="G444" s="1286"/>
      <c r="R444" s="68"/>
    </row>
    <row r="445" spans="1:18" s="114" customFormat="1">
      <c r="A445" s="145"/>
      <c r="B445" s="145"/>
      <c r="C445" s="145"/>
      <c r="D445" s="145"/>
      <c r="G445" s="1286"/>
      <c r="R445" s="68"/>
    </row>
    <row r="446" spans="1:18" s="114" customFormat="1">
      <c r="A446" s="145"/>
      <c r="B446" s="145"/>
      <c r="C446" s="145"/>
      <c r="D446" s="145"/>
      <c r="G446" s="1286"/>
      <c r="R446" s="68"/>
    </row>
    <row r="447" spans="1:18" s="114" customFormat="1">
      <c r="A447" s="145"/>
      <c r="B447" s="145"/>
      <c r="C447" s="145"/>
      <c r="D447" s="145"/>
      <c r="G447" s="1286"/>
      <c r="R447" s="68"/>
    </row>
    <row r="448" spans="1:18" s="114" customFormat="1">
      <c r="A448" s="145"/>
      <c r="B448" s="145"/>
      <c r="C448" s="145"/>
      <c r="D448" s="145"/>
      <c r="G448" s="1286"/>
      <c r="R448" s="68"/>
    </row>
    <row r="449" spans="1:18" s="114" customFormat="1">
      <c r="A449" s="145"/>
      <c r="B449" s="145"/>
      <c r="C449" s="145"/>
      <c r="D449" s="145"/>
      <c r="G449" s="1286"/>
      <c r="R449" s="68"/>
    </row>
    <row r="450" spans="1:18" s="114" customFormat="1">
      <c r="A450" s="145"/>
      <c r="B450" s="145"/>
      <c r="C450" s="145"/>
      <c r="D450" s="145"/>
      <c r="G450" s="1286"/>
      <c r="R450" s="68"/>
    </row>
    <row r="451" spans="1:18" s="114" customFormat="1">
      <c r="A451" s="145"/>
      <c r="B451" s="145"/>
      <c r="C451" s="145"/>
      <c r="D451" s="145"/>
      <c r="G451" s="1286"/>
      <c r="R451" s="68"/>
    </row>
    <row r="452" spans="1:18" s="114" customFormat="1">
      <c r="A452" s="145"/>
      <c r="B452" s="145"/>
      <c r="C452" s="145"/>
      <c r="D452" s="145"/>
      <c r="G452" s="1286"/>
      <c r="R452" s="68"/>
    </row>
    <row r="453" spans="1:18" s="114" customFormat="1">
      <c r="A453" s="145"/>
      <c r="B453" s="145"/>
      <c r="C453" s="145"/>
      <c r="D453" s="145"/>
      <c r="G453" s="1286"/>
      <c r="R453" s="68"/>
    </row>
    <row r="454" spans="1:18" s="114" customFormat="1">
      <c r="A454" s="145"/>
      <c r="B454" s="145"/>
      <c r="C454" s="145"/>
      <c r="D454" s="145"/>
      <c r="G454" s="1286"/>
      <c r="R454" s="68"/>
    </row>
    <row r="455" spans="1:18" s="114" customFormat="1">
      <c r="A455" s="145"/>
      <c r="B455" s="145"/>
      <c r="C455" s="145"/>
      <c r="D455" s="145"/>
      <c r="G455" s="1286"/>
      <c r="R455" s="68"/>
    </row>
    <row r="456" spans="1:18" s="114" customFormat="1">
      <c r="A456" s="145"/>
      <c r="B456" s="145"/>
      <c r="C456" s="145"/>
      <c r="D456" s="145"/>
      <c r="G456" s="1286"/>
      <c r="R456" s="68"/>
    </row>
    <row r="457" spans="1:18" s="114" customFormat="1">
      <c r="A457" s="145"/>
      <c r="B457" s="145"/>
      <c r="C457" s="145"/>
      <c r="D457" s="145"/>
      <c r="G457" s="1286"/>
      <c r="R457" s="68"/>
    </row>
    <row r="458" spans="1:18" s="114" customFormat="1">
      <c r="A458" s="145"/>
      <c r="B458" s="145"/>
      <c r="C458" s="145"/>
      <c r="D458" s="145"/>
      <c r="G458" s="1286"/>
      <c r="R458" s="68"/>
    </row>
    <row r="459" spans="1:18" s="114" customFormat="1">
      <c r="A459" s="145"/>
      <c r="B459" s="145"/>
      <c r="C459" s="145"/>
      <c r="D459" s="145"/>
      <c r="G459" s="1286"/>
      <c r="R459" s="68"/>
    </row>
    <row r="460" spans="1:18" s="114" customFormat="1">
      <c r="A460" s="145"/>
      <c r="B460" s="145"/>
      <c r="C460" s="145"/>
      <c r="D460" s="145"/>
      <c r="G460" s="1286"/>
      <c r="R460" s="68"/>
    </row>
    <row r="461" spans="1:18" s="114" customFormat="1">
      <c r="A461" s="145"/>
      <c r="B461" s="145"/>
      <c r="C461" s="145"/>
      <c r="D461" s="145"/>
      <c r="G461" s="1286"/>
      <c r="R461" s="68"/>
    </row>
    <row r="462" spans="1:18" s="114" customFormat="1">
      <c r="A462" s="145"/>
      <c r="B462" s="145"/>
      <c r="C462" s="145"/>
      <c r="D462" s="145"/>
      <c r="G462" s="1286"/>
      <c r="R462" s="68"/>
    </row>
    <row r="463" spans="1:18" s="114" customFormat="1">
      <c r="A463" s="145"/>
      <c r="B463" s="145"/>
      <c r="C463" s="145"/>
      <c r="D463" s="145"/>
      <c r="G463" s="1286"/>
      <c r="R463" s="68"/>
    </row>
    <row r="464" spans="1:18" s="114" customFormat="1">
      <c r="A464" s="145"/>
      <c r="B464" s="145"/>
      <c r="C464" s="145"/>
      <c r="D464" s="145"/>
      <c r="G464" s="1286"/>
      <c r="R464" s="68"/>
    </row>
    <row r="465" spans="1:18" s="114" customFormat="1">
      <c r="A465" s="145"/>
      <c r="B465" s="145"/>
      <c r="C465" s="145"/>
      <c r="D465" s="145"/>
      <c r="G465" s="1286"/>
      <c r="R465" s="68"/>
    </row>
    <row r="466" spans="1:18" s="114" customFormat="1">
      <c r="A466" s="145"/>
      <c r="B466" s="145"/>
      <c r="C466" s="145"/>
      <c r="D466" s="145"/>
      <c r="G466" s="1286"/>
      <c r="R466" s="68"/>
    </row>
    <row r="467" spans="1:18" s="114" customFormat="1">
      <c r="A467" s="145"/>
      <c r="B467" s="145"/>
      <c r="C467" s="145"/>
      <c r="D467" s="145"/>
      <c r="G467" s="1286"/>
      <c r="R467" s="68"/>
    </row>
    <row r="468" spans="1:18" s="114" customFormat="1">
      <c r="A468" s="145"/>
      <c r="B468" s="145"/>
      <c r="C468" s="145"/>
      <c r="D468" s="145"/>
      <c r="G468" s="1286"/>
      <c r="R468" s="68"/>
    </row>
    <row r="469" spans="1:18" s="114" customFormat="1">
      <c r="A469" s="145"/>
      <c r="B469" s="145"/>
      <c r="C469" s="145"/>
      <c r="D469" s="145"/>
      <c r="G469" s="1286"/>
      <c r="R469" s="68"/>
    </row>
    <row r="470" spans="1:18" s="114" customFormat="1">
      <c r="A470" s="145"/>
      <c r="B470" s="145"/>
      <c r="C470" s="145"/>
      <c r="D470" s="145"/>
      <c r="G470" s="1286"/>
      <c r="R470" s="68"/>
    </row>
    <row r="471" spans="1:18" s="114" customFormat="1">
      <c r="A471" s="145"/>
      <c r="B471" s="145"/>
      <c r="C471" s="145"/>
      <c r="D471" s="145"/>
      <c r="G471" s="1286"/>
      <c r="R471" s="68"/>
    </row>
    <row r="472" spans="1:18" s="114" customFormat="1">
      <c r="A472" s="145"/>
      <c r="B472" s="145"/>
      <c r="C472" s="145"/>
      <c r="D472" s="145"/>
      <c r="G472" s="1286"/>
      <c r="R472" s="68"/>
    </row>
    <row r="473" spans="1:18" s="114" customFormat="1">
      <c r="A473" s="145"/>
      <c r="B473" s="145"/>
      <c r="C473" s="145"/>
      <c r="D473" s="145"/>
      <c r="G473" s="1286"/>
      <c r="R473" s="68"/>
    </row>
    <row r="474" spans="1:18" s="114" customFormat="1">
      <c r="A474" s="145"/>
      <c r="B474" s="145"/>
      <c r="C474" s="145"/>
      <c r="D474" s="145"/>
      <c r="G474" s="1286"/>
      <c r="R474" s="68"/>
    </row>
    <row r="475" spans="1:18" s="114" customFormat="1">
      <c r="A475" s="145"/>
      <c r="B475" s="145"/>
      <c r="C475" s="145"/>
      <c r="D475" s="145"/>
      <c r="G475" s="1286"/>
      <c r="R475" s="68"/>
    </row>
    <row r="476" spans="1:18" s="114" customFormat="1">
      <c r="A476" s="145"/>
      <c r="B476" s="145"/>
      <c r="C476" s="145"/>
      <c r="D476" s="145"/>
      <c r="G476" s="1286"/>
      <c r="R476" s="68"/>
    </row>
    <row r="477" spans="1:18" s="114" customFormat="1">
      <c r="A477" s="145"/>
      <c r="B477" s="145"/>
      <c r="C477" s="145"/>
      <c r="D477" s="145"/>
      <c r="G477" s="1286"/>
      <c r="R477" s="68"/>
    </row>
    <row r="478" spans="1:18" s="114" customFormat="1">
      <c r="A478" s="145"/>
      <c r="B478" s="145"/>
      <c r="C478" s="145"/>
      <c r="D478" s="145"/>
      <c r="G478" s="1286"/>
      <c r="R478" s="68"/>
    </row>
    <row r="479" spans="1:18" s="114" customFormat="1">
      <c r="A479" s="145"/>
      <c r="B479" s="145"/>
      <c r="C479" s="145"/>
      <c r="D479" s="145"/>
      <c r="G479" s="1286"/>
      <c r="R479" s="68"/>
    </row>
    <row r="480" spans="1:18" s="114" customFormat="1">
      <c r="A480" s="145"/>
      <c r="B480" s="145"/>
      <c r="C480" s="145"/>
      <c r="D480" s="145"/>
      <c r="G480" s="1286"/>
      <c r="R480" s="68"/>
    </row>
    <row r="481" spans="1:18" s="114" customFormat="1">
      <c r="A481" s="145"/>
      <c r="B481" s="145"/>
      <c r="C481" s="145"/>
      <c r="D481" s="145"/>
      <c r="G481" s="1286"/>
      <c r="R481" s="68"/>
    </row>
    <row r="482" spans="1:18" s="114" customFormat="1">
      <c r="A482" s="145"/>
      <c r="B482" s="145"/>
      <c r="C482" s="145"/>
      <c r="D482" s="145"/>
      <c r="G482" s="1286"/>
      <c r="R482" s="68"/>
    </row>
    <row r="483" spans="1:18" s="114" customFormat="1">
      <c r="A483" s="145"/>
      <c r="B483" s="145"/>
      <c r="C483" s="145"/>
      <c r="D483" s="145"/>
      <c r="G483" s="1286"/>
      <c r="R483" s="68"/>
    </row>
    <row r="484" spans="1:18" s="114" customFormat="1">
      <c r="A484" s="145"/>
      <c r="B484" s="145"/>
      <c r="C484" s="145"/>
      <c r="D484" s="145"/>
      <c r="G484" s="1286"/>
      <c r="R484" s="68"/>
    </row>
    <row r="485" spans="1:18" s="114" customFormat="1">
      <c r="A485" s="145"/>
      <c r="B485" s="145"/>
      <c r="C485" s="145"/>
      <c r="D485" s="145"/>
      <c r="G485" s="1286"/>
      <c r="R485" s="68"/>
    </row>
    <row r="486" spans="1:18" s="114" customFormat="1">
      <c r="A486" s="145"/>
      <c r="B486" s="145"/>
      <c r="C486" s="145"/>
      <c r="D486" s="145"/>
      <c r="G486" s="1286"/>
      <c r="R486" s="68"/>
    </row>
    <row r="487" spans="1:18" s="114" customFormat="1">
      <c r="A487" s="145"/>
      <c r="B487" s="145"/>
      <c r="C487" s="145"/>
      <c r="D487" s="145"/>
      <c r="G487" s="1286"/>
      <c r="R487" s="68"/>
    </row>
    <row r="488" spans="1:18" s="114" customFormat="1">
      <c r="A488" s="145"/>
      <c r="B488" s="145"/>
      <c r="C488" s="145"/>
      <c r="D488" s="145"/>
      <c r="G488" s="1286"/>
      <c r="R488" s="68"/>
    </row>
    <row r="489" spans="1:18" s="114" customFormat="1">
      <c r="A489" s="145"/>
      <c r="B489" s="145"/>
      <c r="C489" s="145"/>
      <c r="D489" s="145"/>
      <c r="G489" s="1286"/>
      <c r="R489" s="68"/>
    </row>
    <row r="490" spans="1:18" s="114" customFormat="1">
      <c r="A490" s="145"/>
      <c r="B490" s="145"/>
      <c r="C490" s="145"/>
      <c r="D490" s="145"/>
      <c r="G490" s="1286"/>
      <c r="R490" s="68"/>
    </row>
    <row r="491" spans="1:18" s="114" customFormat="1">
      <c r="A491" s="145"/>
      <c r="B491" s="145"/>
      <c r="C491" s="145"/>
      <c r="D491" s="145"/>
      <c r="G491" s="1286"/>
      <c r="R491" s="68"/>
    </row>
    <row r="492" spans="1:18" s="114" customFormat="1">
      <c r="A492" s="145"/>
      <c r="B492" s="145"/>
      <c r="C492" s="145"/>
      <c r="D492" s="145"/>
      <c r="G492" s="1286"/>
      <c r="R492" s="68"/>
    </row>
    <row r="493" spans="1:18" s="114" customFormat="1">
      <c r="A493" s="145"/>
      <c r="B493" s="145"/>
      <c r="C493" s="145"/>
      <c r="D493" s="145"/>
      <c r="G493" s="1286"/>
      <c r="R493" s="68"/>
    </row>
    <row r="494" spans="1:18" s="114" customFormat="1">
      <c r="A494" s="145"/>
      <c r="B494" s="145"/>
      <c r="C494" s="145"/>
      <c r="D494" s="145"/>
      <c r="G494" s="1286"/>
      <c r="R494" s="68"/>
    </row>
    <row r="495" spans="1:18" s="114" customFormat="1">
      <c r="A495" s="145"/>
      <c r="B495" s="145"/>
      <c r="C495" s="145"/>
      <c r="D495" s="145"/>
      <c r="G495" s="1286"/>
      <c r="R495" s="68"/>
    </row>
    <row r="496" spans="1:18" s="114" customFormat="1">
      <c r="A496" s="145"/>
      <c r="B496" s="145"/>
      <c r="C496" s="145"/>
      <c r="D496" s="145"/>
      <c r="G496" s="1286"/>
      <c r="R496" s="68"/>
    </row>
    <row r="497" spans="1:18" s="114" customFormat="1">
      <c r="A497" s="145"/>
      <c r="B497" s="145"/>
      <c r="C497" s="145"/>
      <c r="D497" s="145"/>
      <c r="G497" s="1286"/>
      <c r="R497" s="68"/>
    </row>
    <row r="498" spans="1:18" s="114" customFormat="1">
      <c r="A498" s="145"/>
      <c r="B498" s="145"/>
      <c r="C498" s="145"/>
      <c r="D498" s="145"/>
      <c r="G498" s="1286"/>
      <c r="R498" s="68"/>
    </row>
    <row r="499" spans="1:18" s="114" customFormat="1">
      <c r="A499" s="145"/>
      <c r="B499" s="145"/>
      <c r="C499" s="145"/>
      <c r="D499" s="145"/>
      <c r="G499" s="1286"/>
      <c r="R499" s="68"/>
    </row>
    <row r="500" spans="1:18" s="114" customFormat="1">
      <c r="A500" s="145"/>
      <c r="B500" s="145"/>
      <c r="C500" s="145"/>
      <c r="D500" s="145"/>
      <c r="G500" s="1286"/>
      <c r="R500" s="68"/>
    </row>
    <row r="501" spans="1:18" s="114" customFormat="1">
      <c r="A501" s="145"/>
      <c r="B501" s="145"/>
      <c r="C501" s="145"/>
      <c r="D501" s="145"/>
      <c r="G501" s="1286"/>
      <c r="R501" s="68"/>
    </row>
    <row r="502" spans="1:18" s="114" customFormat="1">
      <c r="A502" s="145"/>
      <c r="B502" s="145"/>
      <c r="C502" s="145"/>
      <c r="D502" s="145"/>
      <c r="G502" s="1286"/>
      <c r="R502" s="68"/>
    </row>
    <row r="503" spans="1:18" s="114" customFormat="1">
      <c r="A503" s="145"/>
      <c r="B503" s="145"/>
      <c r="C503" s="145"/>
      <c r="D503" s="145"/>
      <c r="G503" s="1286"/>
      <c r="R503" s="68"/>
    </row>
    <row r="504" spans="1:18" s="114" customFormat="1">
      <c r="A504" s="145"/>
      <c r="B504" s="145"/>
      <c r="C504" s="145"/>
      <c r="D504" s="145"/>
      <c r="G504" s="1286"/>
      <c r="R504" s="68"/>
    </row>
    <row r="505" spans="1:18" s="114" customFormat="1">
      <c r="A505" s="145"/>
      <c r="B505" s="145"/>
      <c r="C505" s="145"/>
      <c r="D505" s="145"/>
      <c r="G505" s="1286"/>
      <c r="R505" s="68"/>
    </row>
    <row r="506" spans="1:18" s="114" customFormat="1">
      <c r="A506" s="145"/>
      <c r="B506" s="145"/>
      <c r="C506" s="145"/>
      <c r="D506" s="145"/>
      <c r="G506" s="1286"/>
      <c r="R506" s="68"/>
    </row>
    <row r="507" spans="1:18" s="114" customFormat="1">
      <c r="A507" s="145"/>
      <c r="B507" s="145"/>
      <c r="C507" s="145"/>
      <c r="D507" s="145"/>
      <c r="G507" s="1286"/>
      <c r="R507" s="68"/>
    </row>
    <row r="508" spans="1:18" s="114" customFormat="1">
      <c r="A508" s="145"/>
      <c r="B508" s="145"/>
      <c r="C508" s="145"/>
      <c r="D508" s="145"/>
      <c r="G508" s="1286"/>
      <c r="R508" s="68"/>
    </row>
    <row r="509" spans="1:18" s="114" customFormat="1">
      <c r="A509" s="145"/>
      <c r="B509" s="145"/>
      <c r="C509" s="145"/>
      <c r="D509" s="145"/>
      <c r="G509" s="1286"/>
      <c r="R509" s="68"/>
    </row>
    <row r="510" spans="1:18" s="114" customFormat="1">
      <c r="A510" s="145"/>
      <c r="B510" s="145"/>
      <c r="C510" s="145"/>
      <c r="D510" s="145"/>
      <c r="G510" s="1286"/>
      <c r="R510" s="68"/>
    </row>
    <row r="511" spans="1:18" s="114" customFormat="1">
      <c r="A511" s="145"/>
      <c r="B511" s="145"/>
      <c r="C511" s="145"/>
      <c r="D511" s="145"/>
      <c r="G511" s="1286"/>
      <c r="R511" s="68"/>
    </row>
    <row r="512" spans="1:18" s="114" customFormat="1">
      <c r="A512" s="145"/>
      <c r="B512" s="145"/>
      <c r="C512" s="145"/>
      <c r="D512" s="145"/>
      <c r="G512" s="1286"/>
      <c r="R512" s="68"/>
    </row>
    <row r="513" spans="1:18" s="114" customFormat="1">
      <c r="A513" s="145"/>
      <c r="B513" s="145"/>
      <c r="C513" s="145"/>
      <c r="D513" s="145"/>
      <c r="G513" s="1286"/>
      <c r="R513" s="68"/>
    </row>
    <row r="514" spans="1:18" s="114" customFormat="1">
      <c r="A514" s="145"/>
      <c r="B514" s="145"/>
      <c r="C514" s="145"/>
      <c r="D514" s="145"/>
      <c r="G514" s="1286"/>
      <c r="R514" s="68"/>
    </row>
    <row r="515" spans="1:18" s="114" customFormat="1">
      <c r="A515" s="145"/>
      <c r="B515" s="145"/>
      <c r="C515" s="145"/>
      <c r="D515" s="145"/>
      <c r="G515" s="1286"/>
      <c r="R515" s="68"/>
    </row>
    <row r="516" spans="1:18" s="114" customFormat="1">
      <c r="A516" s="145"/>
      <c r="B516" s="145"/>
      <c r="C516" s="145"/>
      <c r="D516" s="145"/>
      <c r="G516" s="1286"/>
      <c r="R516" s="68"/>
    </row>
    <row r="517" spans="1:18" s="114" customFormat="1">
      <c r="A517" s="145"/>
      <c r="B517" s="145"/>
      <c r="C517" s="145"/>
      <c r="D517" s="145"/>
      <c r="G517" s="1286"/>
      <c r="R517" s="68"/>
    </row>
    <row r="518" spans="1:18" s="114" customFormat="1">
      <c r="A518" s="145"/>
      <c r="B518" s="145"/>
      <c r="C518" s="145"/>
      <c r="D518" s="145"/>
      <c r="G518" s="1286"/>
      <c r="R518" s="68"/>
    </row>
    <row r="519" spans="1:18" s="114" customFormat="1">
      <c r="A519" s="145"/>
      <c r="B519" s="145"/>
      <c r="C519" s="145"/>
      <c r="D519" s="145"/>
      <c r="G519" s="1286"/>
      <c r="R519" s="68"/>
    </row>
    <row r="520" spans="1:18" s="114" customFormat="1">
      <c r="A520" s="145"/>
      <c r="B520" s="145"/>
      <c r="C520" s="145"/>
      <c r="D520" s="145"/>
      <c r="G520" s="1286"/>
      <c r="R520" s="68"/>
    </row>
    <row r="521" spans="1:18" s="114" customFormat="1">
      <c r="A521" s="145"/>
      <c r="B521" s="145"/>
      <c r="C521" s="145"/>
      <c r="D521" s="145"/>
      <c r="G521" s="1286"/>
      <c r="R521" s="68"/>
    </row>
    <row r="522" spans="1:18" s="114" customFormat="1">
      <c r="A522" s="145"/>
      <c r="B522" s="145"/>
      <c r="C522" s="145"/>
      <c r="D522" s="145"/>
      <c r="G522" s="1286"/>
      <c r="R522" s="68"/>
    </row>
    <row r="523" spans="1:18" s="114" customFormat="1">
      <c r="A523" s="145"/>
      <c r="B523" s="145"/>
      <c r="C523" s="145"/>
      <c r="D523" s="145"/>
      <c r="G523" s="1286"/>
      <c r="R523" s="68"/>
    </row>
    <row r="524" spans="1:18" s="114" customFormat="1">
      <c r="A524" s="145"/>
      <c r="B524" s="145"/>
      <c r="C524" s="145"/>
      <c r="D524" s="145"/>
      <c r="G524" s="1286"/>
      <c r="R524" s="68"/>
    </row>
    <row r="525" spans="1:18" s="114" customFormat="1">
      <c r="A525" s="145"/>
      <c r="B525" s="145"/>
      <c r="C525" s="145"/>
      <c r="D525" s="145"/>
      <c r="G525" s="1286"/>
      <c r="R525" s="68"/>
    </row>
    <row r="526" spans="1:18" s="114" customFormat="1">
      <c r="A526" s="145"/>
      <c r="B526" s="145"/>
      <c r="C526" s="145"/>
      <c r="D526" s="145"/>
      <c r="G526" s="1286"/>
      <c r="R526" s="68"/>
    </row>
    <row r="527" spans="1:18" s="114" customFormat="1">
      <c r="A527" s="145"/>
      <c r="B527" s="145"/>
      <c r="C527" s="145"/>
      <c r="D527" s="145"/>
      <c r="G527" s="1286"/>
      <c r="R527" s="68"/>
    </row>
    <row r="528" spans="1:18" s="114" customFormat="1">
      <c r="A528" s="145"/>
      <c r="B528" s="145"/>
      <c r="C528" s="145"/>
      <c r="D528" s="145"/>
      <c r="G528" s="1286"/>
      <c r="R528" s="68"/>
    </row>
    <row r="529" spans="1:18" s="114" customFormat="1">
      <c r="A529" s="145"/>
      <c r="B529" s="145"/>
      <c r="C529" s="145"/>
      <c r="D529" s="145"/>
      <c r="G529" s="1286"/>
      <c r="R529" s="68"/>
    </row>
    <row r="530" spans="1:18" s="114" customFormat="1">
      <c r="A530" s="145"/>
      <c r="B530" s="145"/>
      <c r="C530" s="145"/>
      <c r="D530" s="145"/>
      <c r="G530" s="1286"/>
      <c r="R530" s="68"/>
    </row>
    <row r="531" spans="1:18" s="114" customFormat="1">
      <c r="A531" s="145"/>
      <c r="B531" s="145"/>
      <c r="C531" s="145"/>
      <c r="D531" s="145"/>
      <c r="G531" s="1286"/>
      <c r="R531" s="68"/>
    </row>
    <row r="532" spans="1:18" s="114" customFormat="1">
      <c r="A532" s="145"/>
      <c r="B532" s="145"/>
      <c r="C532" s="145"/>
      <c r="D532" s="145"/>
      <c r="G532" s="1286"/>
      <c r="R532" s="68"/>
    </row>
    <row r="533" spans="1:18" s="114" customFormat="1">
      <c r="A533" s="145"/>
      <c r="B533" s="145"/>
      <c r="C533" s="145"/>
      <c r="D533" s="145"/>
      <c r="G533" s="1286"/>
      <c r="R533" s="68"/>
    </row>
    <row r="534" spans="1:18" s="114" customFormat="1">
      <c r="A534" s="145"/>
      <c r="B534" s="145"/>
      <c r="C534" s="145"/>
      <c r="D534" s="145"/>
      <c r="G534" s="1286"/>
      <c r="R534" s="68"/>
    </row>
    <row r="535" spans="1:18" s="114" customFormat="1">
      <c r="A535" s="145"/>
      <c r="B535" s="145"/>
      <c r="C535" s="145"/>
      <c r="D535" s="145"/>
      <c r="G535" s="1286"/>
      <c r="R535" s="68"/>
    </row>
    <row r="536" spans="1:18" s="114" customFormat="1">
      <c r="A536" s="145"/>
      <c r="B536" s="145"/>
      <c r="C536" s="145"/>
      <c r="D536" s="145"/>
      <c r="G536" s="1286"/>
      <c r="R536" s="68"/>
    </row>
    <row r="537" spans="1:18" s="114" customFormat="1">
      <c r="A537" s="145"/>
      <c r="B537" s="145"/>
      <c r="C537" s="145"/>
      <c r="D537" s="145"/>
      <c r="G537" s="1286"/>
      <c r="R537" s="68"/>
    </row>
    <row r="538" spans="1:18" s="114" customFormat="1">
      <c r="A538" s="145"/>
      <c r="B538" s="145"/>
      <c r="C538" s="145"/>
      <c r="D538" s="145"/>
      <c r="G538" s="1286"/>
      <c r="R538" s="68"/>
    </row>
    <row r="539" spans="1:18" s="114" customFormat="1">
      <c r="A539" s="145"/>
      <c r="B539" s="145"/>
      <c r="C539" s="145"/>
      <c r="D539" s="145"/>
      <c r="G539" s="1286"/>
      <c r="R539" s="68"/>
    </row>
    <row r="540" spans="1:18" s="114" customFormat="1">
      <c r="A540" s="145"/>
      <c r="B540" s="145"/>
      <c r="C540" s="145"/>
      <c r="D540" s="145"/>
      <c r="G540" s="1286"/>
      <c r="R540" s="68"/>
    </row>
    <row r="541" spans="1:18" s="114" customFormat="1">
      <c r="A541" s="145"/>
      <c r="B541" s="145"/>
      <c r="C541" s="145"/>
      <c r="D541" s="145"/>
      <c r="G541" s="1286"/>
      <c r="R541" s="68"/>
    </row>
    <row r="542" spans="1:18" s="114" customFormat="1">
      <c r="A542" s="145"/>
      <c r="B542" s="145"/>
      <c r="C542" s="145"/>
      <c r="D542" s="145"/>
      <c r="G542" s="1286"/>
      <c r="R542" s="68"/>
    </row>
    <row r="543" spans="1:18" s="114" customFormat="1">
      <c r="A543" s="145"/>
      <c r="B543" s="145"/>
      <c r="C543" s="145"/>
      <c r="D543" s="145"/>
      <c r="G543" s="1286"/>
      <c r="R543" s="68"/>
    </row>
    <row r="544" spans="1:18" s="114" customFormat="1">
      <c r="A544" s="145"/>
      <c r="B544" s="145"/>
      <c r="C544" s="145"/>
      <c r="D544" s="145"/>
      <c r="G544" s="1286"/>
      <c r="R544" s="68"/>
    </row>
    <row r="545" spans="1:18" s="114" customFormat="1">
      <c r="A545" s="145"/>
      <c r="B545" s="145"/>
      <c r="C545" s="145"/>
      <c r="D545" s="145"/>
      <c r="G545" s="1286"/>
      <c r="R545" s="68"/>
    </row>
    <row r="546" spans="1:18" s="114" customFormat="1">
      <c r="A546" s="145"/>
      <c r="B546" s="145"/>
      <c r="C546" s="145"/>
      <c r="D546" s="145"/>
      <c r="G546" s="1286"/>
      <c r="R546" s="68"/>
    </row>
    <row r="547" spans="1:18" s="114" customFormat="1">
      <c r="A547" s="145"/>
      <c r="B547" s="145"/>
      <c r="C547" s="145"/>
      <c r="D547" s="145"/>
      <c r="G547" s="1286"/>
      <c r="R547" s="68"/>
    </row>
    <row r="548" spans="1:18" s="114" customFormat="1">
      <c r="A548" s="145"/>
      <c r="B548" s="145"/>
      <c r="C548" s="145"/>
      <c r="D548" s="145"/>
      <c r="G548" s="1286"/>
      <c r="R548" s="68"/>
    </row>
    <row r="549" spans="1:18" s="114" customFormat="1">
      <c r="A549" s="145"/>
      <c r="B549" s="145"/>
      <c r="C549" s="145"/>
      <c r="D549" s="145"/>
      <c r="G549" s="1286"/>
      <c r="R549" s="68"/>
    </row>
    <row r="550" spans="1:18" s="114" customFormat="1">
      <c r="A550" s="145"/>
      <c r="B550" s="145"/>
      <c r="C550" s="145"/>
      <c r="D550" s="145"/>
      <c r="G550" s="1286"/>
      <c r="R550" s="68"/>
    </row>
    <row r="551" spans="1:18" s="114" customFormat="1">
      <c r="A551" s="145"/>
      <c r="B551" s="145"/>
      <c r="C551" s="145"/>
      <c r="D551" s="145"/>
      <c r="G551" s="1286"/>
      <c r="R551" s="68"/>
    </row>
    <row r="552" spans="1:18" s="114" customFormat="1">
      <c r="A552" s="145"/>
      <c r="B552" s="145"/>
      <c r="C552" s="145"/>
      <c r="D552" s="145"/>
      <c r="G552" s="1286"/>
      <c r="R552" s="68"/>
    </row>
    <row r="553" spans="1:18" s="114" customFormat="1">
      <c r="A553" s="145"/>
      <c r="B553" s="145"/>
      <c r="C553" s="145"/>
      <c r="D553" s="145"/>
      <c r="G553" s="1286"/>
      <c r="R553" s="68"/>
    </row>
    <row r="554" spans="1:18" s="114" customFormat="1">
      <c r="A554" s="145"/>
      <c r="B554" s="145"/>
      <c r="C554" s="145"/>
      <c r="D554" s="145"/>
      <c r="G554" s="1286"/>
      <c r="R554" s="68"/>
    </row>
    <row r="555" spans="1:18" s="114" customFormat="1">
      <c r="A555" s="145"/>
      <c r="B555" s="145"/>
      <c r="C555" s="145"/>
      <c r="D555" s="145"/>
      <c r="G555" s="1286"/>
      <c r="R555" s="68"/>
    </row>
    <row r="556" spans="1:18" s="114" customFormat="1">
      <c r="A556" s="145"/>
      <c r="B556" s="145"/>
      <c r="C556" s="145"/>
      <c r="D556" s="145"/>
      <c r="G556" s="1286"/>
      <c r="R556" s="68"/>
    </row>
    <row r="557" spans="1:18" s="114" customFormat="1">
      <c r="A557" s="145"/>
      <c r="B557" s="145"/>
      <c r="C557" s="145"/>
      <c r="D557" s="145"/>
      <c r="G557" s="1286"/>
      <c r="R557" s="68"/>
    </row>
    <row r="558" spans="1:18" s="114" customFormat="1">
      <c r="A558" s="145"/>
      <c r="B558" s="145"/>
      <c r="C558" s="145"/>
      <c r="D558" s="145"/>
      <c r="G558" s="1286"/>
      <c r="R558" s="68"/>
    </row>
    <row r="559" spans="1:18" s="114" customFormat="1">
      <c r="A559" s="145"/>
      <c r="B559" s="145"/>
      <c r="C559" s="145"/>
      <c r="D559" s="145"/>
      <c r="G559" s="1286"/>
      <c r="R559" s="68"/>
    </row>
    <row r="560" spans="1:18" s="114" customFormat="1">
      <c r="A560" s="145"/>
      <c r="B560" s="145"/>
      <c r="C560" s="145"/>
      <c r="D560" s="145"/>
      <c r="G560" s="1286"/>
      <c r="R560" s="68"/>
    </row>
    <row r="561" spans="1:18" s="114" customFormat="1">
      <c r="A561" s="145"/>
      <c r="B561" s="145"/>
      <c r="C561" s="145"/>
      <c r="D561" s="145"/>
      <c r="G561" s="1286"/>
      <c r="R561" s="68"/>
    </row>
    <row r="562" spans="1:18" s="114" customFormat="1">
      <c r="A562" s="145"/>
      <c r="B562" s="145"/>
      <c r="C562" s="145"/>
      <c r="D562" s="145"/>
      <c r="G562" s="1286"/>
      <c r="R562" s="68"/>
    </row>
    <row r="563" spans="1:18" s="114" customFormat="1">
      <c r="A563" s="145"/>
      <c r="B563" s="145"/>
      <c r="C563" s="145"/>
      <c r="D563" s="145"/>
      <c r="G563" s="1286"/>
      <c r="R563" s="68"/>
    </row>
    <row r="564" spans="1:18" s="114" customFormat="1">
      <c r="A564" s="145"/>
      <c r="B564" s="145"/>
      <c r="C564" s="145"/>
      <c r="D564" s="145"/>
      <c r="G564" s="1286"/>
      <c r="R564" s="68"/>
    </row>
    <row r="565" spans="1:18" s="114" customFormat="1">
      <c r="A565" s="145"/>
      <c r="B565" s="145"/>
      <c r="C565" s="145"/>
      <c r="D565" s="145"/>
      <c r="G565" s="1286"/>
      <c r="R565" s="68"/>
    </row>
    <row r="566" spans="1:18" s="114" customFormat="1">
      <c r="A566" s="145"/>
      <c r="B566" s="145"/>
      <c r="C566" s="145"/>
      <c r="D566" s="145"/>
      <c r="G566" s="1286"/>
      <c r="R566" s="68"/>
    </row>
    <row r="567" spans="1:18" s="114" customFormat="1">
      <c r="A567" s="145"/>
      <c r="B567" s="145"/>
      <c r="C567" s="145"/>
      <c r="D567" s="145"/>
      <c r="G567" s="1286"/>
      <c r="R567" s="68"/>
    </row>
    <row r="568" spans="1:18" s="114" customFormat="1">
      <c r="A568" s="145"/>
      <c r="B568" s="145"/>
      <c r="C568" s="145"/>
      <c r="D568" s="145"/>
      <c r="G568" s="1286"/>
      <c r="R568" s="68"/>
    </row>
    <row r="569" spans="1:18" s="114" customFormat="1">
      <c r="A569" s="145"/>
      <c r="B569" s="145"/>
      <c r="C569" s="145"/>
      <c r="D569" s="145"/>
      <c r="G569" s="1286"/>
      <c r="R569" s="68"/>
    </row>
    <row r="570" spans="1:18" s="114" customFormat="1">
      <c r="A570" s="145"/>
      <c r="B570" s="145"/>
      <c r="C570" s="145"/>
      <c r="D570" s="145"/>
      <c r="G570" s="1286"/>
      <c r="R570" s="68"/>
    </row>
    <row r="571" spans="1:18" s="114" customFormat="1">
      <c r="A571" s="145"/>
      <c r="B571" s="145"/>
      <c r="C571" s="145"/>
      <c r="D571" s="145"/>
      <c r="G571" s="1286"/>
      <c r="R571" s="68"/>
    </row>
    <row r="572" spans="1:18" s="114" customFormat="1">
      <c r="A572" s="145"/>
      <c r="B572" s="145"/>
      <c r="C572" s="145"/>
      <c r="D572" s="145"/>
      <c r="G572" s="1286"/>
      <c r="R572" s="68"/>
    </row>
    <row r="573" spans="1:18" s="114" customFormat="1">
      <c r="A573" s="145"/>
      <c r="B573" s="145"/>
      <c r="C573" s="145"/>
      <c r="D573" s="145"/>
      <c r="G573" s="1286"/>
      <c r="R573" s="68"/>
    </row>
    <row r="574" spans="1:18" s="114" customFormat="1">
      <c r="A574" s="145"/>
      <c r="B574" s="145"/>
      <c r="C574" s="145"/>
      <c r="D574" s="145"/>
      <c r="G574" s="1286"/>
      <c r="R574" s="68"/>
    </row>
    <row r="575" spans="1:18" s="114" customFormat="1">
      <c r="A575" s="145"/>
      <c r="B575" s="145"/>
      <c r="C575" s="145"/>
      <c r="D575" s="145"/>
      <c r="G575" s="1286"/>
      <c r="R575" s="68"/>
    </row>
    <row r="576" spans="1:18" s="114" customFormat="1">
      <c r="A576" s="145"/>
      <c r="B576" s="145"/>
      <c r="C576" s="145"/>
      <c r="D576" s="145"/>
      <c r="G576" s="1286"/>
      <c r="R576" s="68"/>
    </row>
    <row r="577" spans="1:18" s="114" customFormat="1">
      <c r="A577" s="145"/>
      <c r="B577" s="145"/>
      <c r="C577" s="145"/>
      <c r="D577" s="145"/>
      <c r="G577" s="1286"/>
      <c r="R577" s="68"/>
    </row>
    <row r="578" spans="1:18" s="114" customFormat="1">
      <c r="A578" s="145"/>
      <c r="B578" s="145"/>
      <c r="C578" s="145"/>
      <c r="D578" s="145"/>
      <c r="G578" s="1286"/>
      <c r="R578" s="68"/>
    </row>
    <row r="579" spans="1:18" s="114" customFormat="1">
      <c r="A579" s="145"/>
      <c r="B579" s="145"/>
      <c r="C579" s="145"/>
      <c r="D579" s="145"/>
      <c r="G579" s="1286"/>
      <c r="R579" s="68"/>
    </row>
    <row r="580" spans="1:18" s="114" customFormat="1">
      <c r="A580" s="145"/>
      <c r="B580" s="145"/>
      <c r="C580" s="145"/>
      <c r="D580" s="145"/>
      <c r="G580" s="1286"/>
      <c r="R580" s="68"/>
    </row>
    <row r="581" spans="1:18" s="114" customFormat="1">
      <c r="A581" s="145"/>
      <c r="B581" s="145"/>
      <c r="C581" s="145"/>
      <c r="D581" s="145"/>
      <c r="G581" s="1286"/>
      <c r="R581" s="68"/>
    </row>
    <row r="582" spans="1:18" s="114" customFormat="1">
      <c r="A582" s="145"/>
      <c r="B582" s="145"/>
      <c r="C582" s="145"/>
      <c r="D582" s="145"/>
      <c r="G582" s="1286"/>
      <c r="R582" s="68"/>
    </row>
    <row r="583" spans="1:18" s="114" customFormat="1">
      <c r="A583" s="145"/>
      <c r="B583" s="145"/>
      <c r="C583" s="145"/>
      <c r="D583" s="145"/>
      <c r="G583" s="1286"/>
      <c r="R583" s="68"/>
    </row>
    <row r="584" spans="1:18" s="114" customFormat="1">
      <c r="A584" s="145"/>
      <c r="B584" s="145"/>
      <c r="C584" s="145"/>
      <c r="D584" s="145"/>
      <c r="G584" s="1286"/>
      <c r="R584" s="68"/>
    </row>
    <row r="585" spans="1:18" s="114" customFormat="1">
      <c r="A585" s="145"/>
      <c r="B585" s="145"/>
      <c r="C585" s="145"/>
      <c r="D585" s="145"/>
      <c r="G585" s="1286"/>
      <c r="R585" s="68"/>
    </row>
    <row r="586" spans="1:18" s="114" customFormat="1">
      <c r="A586" s="145"/>
      <c r="B586" s="145"/>
      <c r="C586" s="145"/>
      <c r="D586" s="145"/>
      <c r="G586" s="1286"/>
      <c r="R586" s="68"/>
    </row>
    <row r="587" spans="1:18" s="114" customFormat="1">
      <c r="A587" s="145"/>
      <c r="B587" s="145"/>
      <c r="C587" s="145"/>
      <c r="D587" s="145"/>
      <c r="G587" s="1286"/>
      <c r="R587" s="68"/>
    </row>
    <row r="588" spans="1:18" s="114" customFormat="1">
      <c r="A588" s="145"/>
      <c r="B588" s="145"/>
      <c r="C588" s="145"/>
      <c r="D588" s="145"/>
      <c r="G588" s="1286"/>
      <c r="R588" s="68"/>
    </row>
    <row r="589" spans="1:18" s="114" customFormat="1">
      <c r="A589" s="145"/>
      <c r="B589" s="145"/>
      <c r="C589" s="145"/>
      <c r="D589" s="145"/>
      <c r="G589" s="1286"/>
      <c r="R589" s="68"/>
    </row>
    <row r="590" spans="1:18" s="114" customFormat="1">
      <c r="A590" s="145"/>
      <c r="B590" s="145"/>
      <c r="C590" s="145"/>
      <c r="D590" s="145"/>
      <c r="G590" s="1286"/>
      <c r="R590" s="68"/>
    </row>
    <row r="591" spans="1:18" s="114" customFormat="1">
      <c r="A591" s="145"/>
      <c r="B591" s="145"/>
      <c r="C591" s="145"/>
      <c r="D591" s="145"/>
      <c r="G591" s="1286"/>
      <c r="R591" s="68"/>
    </row>
    <row r="592" spans="1:18" s="114" customFormat="1">
      <c r="A592" s="145"/>
      <c r="B592" s="145"/>
      <c r="C592" s="145"/>
      <c r="D592" s="145"/>
      <c r="G592" s="1286"/>
      <c r="R592" s="68"/>
    </row>
    <row r="593" spans="1:18" s="114" customFormat="1">
      <c r="A593" s="145"/>
      <c r="B593" s="145"/>
      <c r="C593" s="145"/>
      <c r="D593" s="145"/>
      <c r="G593" s="1286"/>
      <c r="R593" s="68"/>
    </row>
    <row r="594" spans="1:18" s="114" customFormat="1">
      <c r="A594" s="145"/>
      <c r="B594" s="145"/>
      <c r="C594" s="145"/>
      <c r="D594" s="145"/>
      <c r="G594" s="1286"/>
      <c r="R594" s="68"/>
    </row>
    <row r="595" spans="1:18" s="114" customFormat="1">
      <c r="A595" s="145"/>
      <c r="B595" s="145"/>
      <c r="C595" s="145"/>
      <c r="D595" s="145"/>
      <c r="G595" s="1286"/>
      <c r="R595" s="68"/>
    </row>
    <row r="596" spans="1:18" s="114" customFormat="1">
      <c r="A596" s="145"/>
      <c r="B596" s="145"/>
      <c r="C596" s="145"/>
      <c r="D596" s="145"/>
      <c r="G596" s="1286"/>
      <c r="R596" s="68"/>
    </row>
    <row r="597" spans="1:18" s="114" customFormat="1">
      <c r="A597" s="145"/>
      <c r="B597" s="145"/>
      <c r="C597" s="145"/>
      <c r="D597" s="145"/>
      <c r="G597" s="1286"/>
      <c r="R597" s="68"/>
    </row>
    <row r="598" spans="1:18" s="114" customFormat="1">
      <c r="A598" s="145"/>
      <c r="B598" s="145"/>
      <c r="C598" s="145"/>
      <c r="D598" s="145"/>
      <c r="G598" s="1286"/>
      <c r="R598" s="68"/>
    </row>
    <row r="599" spans="1:18" s="114" customFormat="1">
      <c r="A599" s="145"/>
      <c r="B599" s="145"/>
      <c r="C599" s="145"/>
      <c r="D599" s="145"/>
      <c r="G599" s="1286"/>
      <c r="R599" s="68"/>
    </row>
    <row r="600" spans="1:18" s="114" customFormat="1">
      <c r="A600" s="145"/>
      <c r="B600" s="145"/>
      <c r="C600" s="145"/>
      <c r="D600" s="145"/>
      <c r="G600" s="1286"/>
      <c r="R600" s="68"/>
    </row>
    <row r="601" spans="1:18" s="114" customFormat="1">
      <c r="A601" s="145"/>
      <c r="B601" s="145"/>
      <c r="C601" s="145"/>
      <c r="D601" s="145"/>
      <c r="G601" s="1286"/>
      <c r="R601" s="68"/>
    </row>
    <row r="602" spans="1:18" s="114" customFormat="1">
      <c r="A602" s="145"/>
      <c r="B602" s="145"/>
      <c r="C602" s="145"/>
      <c r="D602" s="145"/>
      <c r="G602" s="1286"/>
      <c r="R602" s="68"/>
    </row>
    <row r="603" spans="1:18" s="114" customFormat="1">
      <c r="A603" s="145"/>
      <c r="B603" s="145"/>
      <c r="C603" s="145"/>
      <c r="D603" s="145"/>
      <c r="G603" s="1286"/>
      <c r="R603" s="68"/>
    </row>
    <row r="604" spans="1:18" s="114" customFormat="1">
      <c r="A604" s="145"/>
      <c r="B604" s="145"/>
      <c r="C604" s="145"/>
      <c r="D604" s="145"/>
      <c r="G604" s="1286"/>
      <c r="R604" s="68"/>
    </row>
    <row r="605" spans="1:18" s="114" customFormat="1">
      <c r="A605" s="145"/>
      <c r="B605" s="145"/>
      <c r="C605" s="145"/>
      <c r="D605" s="145"/>
      <c r="G605" s="1286"/>
      <c r="R605" s="68"/>
    </row>
    <row r="606" spans="1:18" s="114" customFormat="1">
      <c r="A606" s="145"/>
      <c r="B606" s="145"/>
      <c r="C606" s="145"/>
      <c r="D606" s="145"/>
      <c r="G606" s="1286"/>
      <c r="R606" s="68"/>
    </row>
    <row r="607" spans="1:18" s="114" customFormat="1">
      <c r="A607" s="145"/>
      <c r="B607" s="145"/>
      <c r="C607" s="145"/>
      <c r="D607" s="145"/>
      <c r="G607" s="1286"/>
      <c r="R607" s="68"/>
    </row>
    <row r="608" spans="1:18" s="114" customFormat="1">
      <c r="A608" s="145"/>
      <c r="B608" s="145"/>
      <c r="C608" s="145"/>
      <c r="D608" s="145"/>
      <c r="G608" s="1286"/>
      <c r="R608" s="68"/>
    </row>
    <row r="609" spans="1:18" s="114" customFormat="1">
      <c r="A609" s="145"/>
      <c r="B609" s="145"/>
      <c r="C609" s="145"/>
      <c r="D609" s="145"/>
      <c r="G609" s="1286"/>
      <c r="R609" s="68"/>
    </row>
    <row r="610" spans="1:18" s="114" customFormat="1">
      <c r="A610" s="145"/>
      <c r="B610" s="145"/>
      <c r="C610" s="145"/>
      <c r="D610" s="145"/>
      <c r="G610" s="1286"/>
      <c r="R610" s="68"/>
    </row>
    <row r="611" spans="1:18" s="114" customFormat="1">
      <c r="A611" s="145"/>
      <c r="B611" s="145"/>
      <c r="C611" s="145"/>
      <c r="D611" s="145"/>
      <c r="G611" s="1286"/>
      <c r="R611" s="68"/>
    </row>
    <row r="612" spans="1:18" s="114" customFormat="1">
      <c r="A612" s="145"/>
      <c r="B612" s="145"/>
      <c r="C612" s="145"/>
      <c r="D612" s="145"/>
      <c r="G612" s="1286"/>
      <c r="R612" s="68"/>
    </row>
    <row r="613" spans="1:18" s="114" customFormat="1">
      <c r="A613" s="145"/>
      <c r="B613" s="145"/>
      <c r="C613" s="145"/>
      <c r="D613" s="145"/>
      <c r="G613" s="1286"/>
      <c r="R613" s="68"/>
    </row>
    <row r="614" spans="1:18" s="114" customFormat="1">
      <c r="A614" s="145"/>
      <c r="B614" s="145"/>
      <c r="C614" s="145"/>
      <c r="D614" s="145"/>
      <c r="G614" s="1286"/>
      <c r="R614" s="68"/>
    </row>
    <row r="615" spans="1:18" s="114" customFormat="1">
      <c r="A615" s="145"/>
      <c r="B615" s="145"/>
      <c r="C615" s="145"/>
      <c r="D615" s="145"/>
      <c r="G615" s="1286"/>
      <c r="R615" s="68"/>
    </row>
    <row r="616" spans="1:18" s="114" customFormat="1">
      <c r="A616" s="145"/>
      <c r="B616" s="145"/>
      <c r="C616" s="145"/>
      <c r="D616" s="145"/>
      <c r="G616" s="1286"/>
      <c r="R616" s="68"/>
    </row>
    <row r="617" spans="1:18" s="114" customFormat="1">
      <c r="A617" s="145"/>
      <c r="B617" s="145"/>
      <c r="C617" s="145"/>
      <c r="D617" s="145"/>
      <c r="G617" s="1286"/>
      <c r="R617" s="68"/>
    </row>
    <row r="618" spans="1:18" s="114" customFormat="1">
      <c r="A618" s="145"/>
      <c r="B618" s="145"/>
      <c r="C618" s="145"/>
      <c r="D618" s="145"/>
      <c r="G618" s="1286"/>
      <c r="R618" s="68"/>
    </row>
    <row r="619" spans="1:18" s="114" customFormat="1">
      <c r="A619" s="145"/>
      <c r="B619" s="145"/>
      <c r="C619" s="145"/>
      <c r="D619" s="145"/>
      <c r="G619" s="1286"/>
      <c r="R619" s="68"/>
    </row>
    <row r="620" spans="1:18" s="114" customFormat="1">
      <c r="A620" s="145"/>
      <c r="B620" s="145"/>
      <c r="C620" s="145"/>
      <c r="D620" s="145"/>
      <c r="G620" s="1286"/>
      <c r="R620" s="68"/>
    </row>
    <row r="621" spans="1:18" s="114" customFormat="1">
      <c r="A621" s="145"/>
      <c r="B621" s="145"/>
      <c r="C621" s="145"/>
      <c r="D621" s="145"/>
      <c r="G621" s="1286"/>
      <c r="R621" s="68"/>
    </row>
    <row r="622" spans="1:18" s="114" customFormat="1">
      <c r="A622" s="145"/>
      <c r="B622" s="145"/>
      <c r="C622" s="145"/>
      <c r="D622" s="145"/>
      <c r="G622" s="1286"/>
      <c r="R622" s="68"/>
    </row>
    <row r="623" spans="1:18" s="114" customFormat="1">
      <c r="A623" s="145"/>
      <c r="B623" s="145"/>
      <c r="C623" s="145"/>
      <c r="D623" s="145"/>
      <c r="G623" s="1286"/>
      <c r="R623" s="68"/>
    </row>
    <row r="624" spans="1:18" s="114" customFormat="1">
      <c r="A624" s="145"/>
      <c r="B624" s="145"/>
      <c r="C624" s="145"/>
      <c r="D624" s="145"/>
      <c r="G624" s="1286"/>
      <c r="R624" s="68"/>
    </row>
    <row r="625" spans="1:18" s="114" customFormat="1">
      <c r="A625" s="145"/>
      <c r="B625" s="145"/>
      <c r="C625" s="145"/>
      <c r="D625" s="145"/>
      <c r="G625" s="1286"/>
      <c r="R625" s="68"/>
    </row>
    <row r="626" spans="1:18" s="114" customFormat="1">
      <c r="A626" s="145"/>
      <c r="B626" s="145"/>
      <c r="C626" s="145"/>
      <c r="D626" s="145"/>
      <c r="G626" s="1286"/>
      <c r="R626" s="68"/>
    </row>
    <row r="627" spans="1:18" s="114" customFormat="1">
      <c r="A627" s="145"/>
      <c r="B627" s="145"/>
      <c r="C627" s="145"/>
      <c r="D627" s="145"/>
      <c r="G627" s="1286"/>
      <c r="R627" s="68"/>
    </row>
    <row r="628" spans="1:18" s="114" customFormat="1">
      <c r="A628" s="145"/>
      <c r="B628" s="145"/>
      <c r="C628" s="145"/>
      <c r="D628" s="145"/>
      <c r="G628" s="1286"/>
      <c r="R628" s="68"/>
    </row>
    <row r="629" spans="1:18" s="114" customFormat="1">
      <c r="A629" s="145"/>
      <c r="B629" s="145"/>
      <c r="C629" s="145"/>
      <c r="D629" s="145"/>
      <c r="G629" s="1286"/>
      <c r="R629" s="68"/>
    </row>
    <row r="630" spans="1:18" s="114" customFormat="1">
      <c r="A630" s="145"/>
      <c r="B630" s="145"/>
      <c r="C630" s="145"/>
      <c r="D630" s="145"/>
      <c r="G630" s="1286"/>
      <c r="R630" s="68"/>
    </row>
    <row r="631" spans="1:18" s="114" customFormat="1">
      <c r="A631" s="145"/>
      <c r="B631" s="145"/>
      <c r="C631" s="145"/>
      <c r="D631" s="145"/>
      <c r="G631" s="1286"/>
      <c r="R631" s="68"/>
    </row>
    <row r="632" spans="1:18" s="114" customFormat="1">
      <c r="A632" s="145"/>
      <c r="B632" s="145"/>
      <c r="C632" s="145"/>
      <c r="D632" s="145"/>
      <c r="G632" s="1286"/>
      <c r="R632" s="68"/>
    </row>
    <row r="633" spans="1:18" s="114" customFormat="1">
      <c r="A633" s="145"/>
      <c r="B633" s="145"/>
      <c r="C633" s="145"/>
      <c r="D633" s="145"/>
      <c r="G633" s="1286"/>
      <c r="R633" s="68"/>
    </row>
    <row r="634" spans="1:18" s="114" customFormat="1">
      <c r="A634" s="145"/>
      <c r="B634" s="145"/>
      <c r="C634" s="145"/>
      <c r="D634" s="145"/>
      <c r="G634" s="1286"/>
      <c r="R634" s="68"/>
    </row>
    <row r="635" spans="1:18" s="114" customFormat="1">
      <c r="A635" s="145"/>
      <c r="B635" s="145"/>
      <c r="C635" s="145"/>
      <c r="D635" s="145"/>
      <c r="G635" s="1286"/>
      <c r="R635" s="68"/>
    </row>
    <row r="636" spans="1:18" s="114" customFormat="1">
      <c r="A636" s="145"/>
      <c r="B636" s="145"/>
      <c r="C636" s="145"/>
      <c r="D636" s="145"/>
      <c r="G636" s="1286"/>
      <c r="R636" s="68"/>
    </row>
    <row r="637" spans="1:18" s="114" customFormat="1">
      <c r="A637" s="145"/>
      <c r="B637" s="145"/>
      <c r="C637" s="145"/>
      <c r="D637" s="145"/>
      <c r="G637" s="1286"/>
      <c r="R637" s="68"/>
    </row>
    <row r="638" spans="1:18" s="114" customFormat="1">
      <c r="A638" s="145"/>
      <c r="B638" s="145"/>
      <c r="C638" s="145"/>
      <c r="D638" s="145"/>
      <c r="G638" s="1286"/>
      <c r="R638" s="68"/>
    </row>
    <row r="639" spans="1:18" s="114" customFormat="1">
      <c r="A639" s="145"/>
      <c r="B639" s="145"/>
      <c r="C639" s="145"/>
      <c r="D639" s="145"/>
      <c r="G639" s="1286"/>
      <c r="R639" s="68"/>
    </row>
    <row r="640" spans="1:18" s="114" customFormat="1">
      <c r="A640" s="145"/>
      <c r="B640" s="145"/>
      <c r="C640" s="145"/>
      <c r="D640" s="145"/>
      <c r="G640" s="1286"/>
      <c r="R640" s="68"/>
    </row>
    <row r="641" spans="1:18" s="114" customFormat="1">
      <c r="A641" s="145"/>
      <c r="B641" s="145"/>
      <c r="C641" s="145"/>
      <c r="D641" s="145"/>
      <c r="G641" s="1286"/>
      <c r="R641" s="68"/>
    </row>
    <row r="642" spans="1:18" s="114" customFormat="1">
      <c r="A642" s="145"/>
      <c r="B642" s="145"/>
      <c r="C642" s="145"/>
      <c r="D642" s="145"/>
      <c r="G642" s="1286"/>
      <c r="R642" s="68"/>
    </row>
    <row r="643" spans="1:18" s="114" customFormat="1">
      <c r="A643" s="145"/>
      <c r="B643" s="145"/>
      <c r="C643" s="145"/>
      <c r="D643" s="145"/>
      <c r="G643" s="1286"/>
      <c r="R643" s="68"/>
    </row>
    <row r="644" spans="1:18" s="114" customFormat="1">
      <c r="A644" s="145"/>
      <c r="B644" s="145"/>
      <c r="C644" s="145"/>
      <c r="D644" s="145"/>
      <c r="G644" s="1286"/>
      <c r="R644" s="68"/>
    </row>
    <row r="645" spans="1:18" s="114" customFormat="1">
      <c r="A645" s="145"/>
      <c r="B645" s="145"/>
      <c r="C645" s="145"/>
      <c r="D645" s="145"/>
      <c r="G645" s="1286"/>
      <c r="R645" s="68"/>
    </row>
    <row r="646" spans="1:18" s="114" customFormat="1">
      <c r="A646" s="145"/>
      <c r="B646" s="145"/>
      <c r="C646" s="145"/>
      <c r="D646" s="145"/>
      <c r="G646" s="1286"/>
      <c r="R646" s="68"/>
    </row>
    <row r="647" spans="1:18" s="114" customFormat="1">
      <c r="A647" s="145"/>
      <c r="B647" s="145"/>
      <c r="C647" s="145"/>
      <c r="D647" s="145"/>
      <c r="G647" s="1286"/>
      <c r="R647" s="68"/>
    </row>
    <row r="648" spans="1:18" s="114" customFormat="1">
      <c r="A648" s="145"/>
      <c r="B648" s="145"/>
      <c r="C648" s="145"/>
      <c r="D648" s="145"/>
      <c r="G648" s="1286"/>
      <c r="R648" s="68"/>
    </row>
    <row r="649" spans="1:18" s="114" customFormat="1">
      <c r="A649" s="145"/>
      <c r="B649" s="145"/>
      <c r="C649" s="145"/>
      <c r="D649" s="145"/>
      <c r="G649" s="1286"/>
      <c r="R649" s="68"/>
    </row>
    <row r="650" spans="1:18" s="114" customFormat="1">
      <c r="A650" s="145"/>
      <c r="B650" s="145"/>
      <c r="C650" s="145"/>
      <c r="D650" s="145"/>
      <c r="G650" s="1286"/>
      <c r="R650" s="68"/>
    </row>
    <row r="651" spans="1:18" s="114" customFormat="1">
      <c r="A651" s="145"/>
      <c r="B651" s="145"/>
      <c r="C651" s="145"/>
      <c r="D651" s="145"/>
      <c r="G651" s="1286"/>
      <c r="R651" s="68"/>
    </row>
    <row r="652" spans="1:18" s="114" customFormat="1">
      <c r="A652" s="145"/>
      <c r="B652" s="145"/>
      <c r="C652" s="145"/>
      <c r="D652" s="145"/>
      <c r="G652" s="1286"/>
      <c r="R652" s="68"/>
    </row>
    <row r="653" spans="1:18" s="114" customFormat="1">
      <c r="A653" s="145"/>
      <c r="B653" s="145"/>
      <c r="C653" s="145"/>
      <c r="D653" s="145"/>
      <c r="G653" s="1286"/>
      <c r="R653" s="68"/>
    </row>
    <row r="654" spans="1:18" s="114" customFormat="1">
      <c r="A654" s="145"/>
      <c r="B654" s="145"/>
      <c r="C654" s="145"/>
      <c r="D654" s="145"/>
      <c r="G654" s="1286"/>
      <c r="R654" s="68"/>
    </row>
    <row r="655" spans="1:18" s="114" customFormat="1">
      <c r="A655" s="145"/>
      <c r="B655" s="145"/>
      <c r="C655" s="145"/>
      <c r="D655" s="145"/>
      <c r="G655" s="1286"/>
      <c r="R655" s="68"/>
    </row>
    <row r="656" spans="1:18" s="114" customFormat="1">
      <c r="A656" s="145"/>
      <c r="B656" s="145"/>
      <c r="C656" s="145"/>
      <c r="D656" s="145"/>
      <c r="G656" s="1286"/>
      <c r="R656" s="68"/>
    </row>
    <row r="657" spans="1:18" s="114" customFormat="1">
      <c r="A657" s="145"/>
      <c r="B657" s="145"/>
      <c r="C657" s="145"/>
      <c r="D657" s="145"/>
      <c r="G657" s="1286"/>
      <c r="R657" s="68"/>
    </row>
    <row r="658" spans="1:18" s="114" customFormat="1">
      <c r="A658" s="145"/>
      <c r="B658" s="145"/>
      <c r="C658" s="145"/>
      <c r="D658" s="145"/>
      <c r="G658" s="1286"/>
      <c r="R658" s="68"/>
    </row>
    <row r="659" spans="1:18" s="114" customFormat="1">
      <c r="A659" s="145"/>
      <c r="B659" s="145"/>
      <c r="C659" s="145"/>
      <c r="D659" s="145"/>
      <c r="G659" s="1286"/>
      <c r="R659" s="68"/>
    </row>
    <row r="660" spans="1:18" s="114" customFormat="1">
      <c r="A660" s="145"/>
      <c r="B660" s="145"/>
      <c r="C660" s="145"/>
      <c r="D660" s="145"/>
      <c r="G660" s="1286"/>
      <c r="R660" s="68"/>
    </row>
    <row r="661" spans="1:18" s="114" customFormat="1">
      <c r="A661" s="145"/>
      <c r="B661" s="145"/>
      <c r="C661" s="145"/>
      <c r="D661" s="145"/>
      <c r="G661" s="1286"/>
      <c r="R661" s="68"/>
    </row>
    <row r="662" spans="1:18" s="114" customFormat="1">
      <c r="A662" s="145"/>
      <c r="B662" s="145"/>
      <c r="C662" s="145"/>
      <c r="D662" s="145"/>
      <c r="G662" s="1286"/>
      <c r="R662" s="68"/>
    </row>
    <row r="663" spans="1:18" s="114" customFormat="1">
      <c r="A663" s="145"/>
      <c r="B663" s="145"/>
      <c r="C663" s="145"/>
      <c r="D663" s="145"/>
      <c r="G663" s="1286"/>
      <c r="R663" s="68"/>
    </row>
    <row r="664" spans="1:18" s="114" customFormat="1">
      <c r="A664" s="145"/>
      <c r="B664" s="145"/>
      <c r="C664" s="145"/>
      <c r="D664" s="145"/>
      <c r="G664" s="1286"/>
      <c r="R664" s="68"/>
    </row>
    <row r="665" spans="1:18" s="114" customFormat="1">
      <c r="A665" s="145"/>
      <c r="B665" s="145"/>
      <c r="C665" s="145"/>
      <c r="D665" s="145"/>
      <c r="G665" s="1286"/>
      <c r="R665" s="68"/>
    </row>
    <row r="666" spans="1:18" s="114" customFormat="1">
      <c r="A666" s="145"/>
      <c r="B666" s="145"/>
      <c r="C666" s="145"/>
      <c r="D666" s="145"/>
      <c r="G666" s="1286"/>
      <c r="R666" s="68"/>
    </row>
    <row r="667" spans="1:18" s="114" customFormat="1">
      <c r="A667" s="145"/>
      <c r="B667" s="145"/>
      <c r="C667" s="145"/>
      <c r="D667" s="145"/>
      <c r="G667" s="1286"/>
      <c r="R667" s="68"/>
    </row>
    <row r="668" spans="1:18" s="114" customFormat="1">
      <c r="A668" s="145"/>
      <c r="B668" s="145"/>
      <c r="C668" s="145"/>
      <c r="D668" s="145"/>
      <c r="G668" s="1286"/>
      <c r="R668" s="68"/>
    </row>
    <row r="669" spans="1:18" s="114" customFormat="1">
      <c r="A669" s="145"/>
      <c r="B669" s="145"/>
      <c r="C669" s="145"/>
      <c r="D669" s="145"/>
      <c r="G669" s="1286"/>
      <c r="R669" s="68"/>
    </row>
    <row r="670" spans="1:18" s="114" customFormat="1">
      <c r="A670" s="145"/>
      <c r="B670" s="145"/>
      <c r="C670" s="145"/>
      <c r="D670" s="145"/>
      <c r="G670" s="1286"/>
      <c r="R670" s="68"/>
    </row>
    <row r="671" spans="1:18" s="114" customFormat="1">
      <c r="A671" s="145"/>
      <c r="B671" s="145"/>
      <c r="C671" s="145"/>
      <c r="D671" s="145"/>
      <c r="G671" s="1286"/>
      <c r="R671" s="68"/>
    </row>
    <row r="672" spans="1:18" s="114" customFormat="1">
      <c r="A672" s="145"/>
      <c r="B672" s="145"/>
      <c r="C672" s="145"/>
      <c r="D672" s="145"/>
      <c r="G672" s="1286"/>
      <c r="R672" s="68"/>
    </row>
    <row r="673" spans="1:18" s="114" customFormat="1">
      <c r="A673" s="145"/>
      <c r="B673" s="145"/>
      <c r="C673" s="145"/>
      <c r="D673" s="145"/>
      <c r="G673" s="1286"/>
      <c r="R673" s="68"/>
    </row>
    <row r="674" spans="1:18" s="114" customFormat="1">
      <c r="A674" s="145"/>
      <c r="B674" s="145"/>
      <c r="C674" s="145"/>
      <c r="D674" s="145"/>
      <c r="G674" s="1286"/>
      <c r="R674" s="68"/>
    </row>
    <row r="675" spans="1:18" s="114" customFormat="1">
      <c r="A675" s="145"/>
      <c r="B675" s="145"/>
      <c r="C675" s="145"/>
      <c r="D675" s="145"/>
      <c r="G675" s="1286"/>
      <c r="R675" s="68"/>
    </row>
    <row r="676" spans="1:18" s="114" customFormat="1">
      <c r="A676" s="145"/>
      <c r="B676" s="145"/>
      <c r="C676" s="145"/>
      <c r="D676" s="145"/>
      <c r="G676" s="1286"/>
      <c r="R676" s="68"/>
    </row>
    <row r="677" spans="1:18" s="114" customFormat="1">
      <c r="A677" s="145"/>
      <c r="B677" s="145"/>
      <c r="C677" s="145"/>
      <c r="D677" s="145"/>
      <c r="G677" s="1286"/>
      <c r="R677" s="68"/>
    </row>
    <row r="678" spans="1:18" s="114" customFormat="1">
      <c r="A678" s="145"/>
      <c r="B678" s="145"/>
      <c r="C678" s="145"/>
      <c r="D678" s="145"/>
      <c r="G678" s="1286"/>
      <c r="R678" s="68"/>
    </row>
    <row r="679" spans="1:18" s="114" customFormat="1">
      <c r="A679" s="145"/>
      <c r="B679" s="145"/>
      <c r="C679" s="145"/>
      <c r="D679" s="145"/>
      <c r="G679" s="1286"/>
      <c r="R679" s="68"/>
    </row>
    <row r="680" spans="1:18" s="114" customFormat="1">
      <c r="A680" s="145"/>
      <c r="B680" s="145"/>
      <c r="C680" s="145"/>
      <c r="D680" s="145"/>
      <c r="G680" s="1286"/>
      <c r="R680" s="68"/>
    </row>
    <row r="681" spans="1:18" s="114" customFormat="1">
      <c r="A681" s="145"/>
      <c r="B681" s="145"/>
      <c r="C681" s="145"/>
      <c r="D681" s="145"/>
      <c r="G681" s="1286"/>
      <c r="R681" s="68"/>
    </row>
    <row r="682" spans="1:18" s="114" customFormat="1">
      <c r="A682" s="145"/>
      <c r="B682" s="145"/>
      <c r="C682" s="145"/>
      <c r="D682" s="145"/>
      <c r="G682" s="1286"/>
      <c r="R682" s="68"/>
    </row>
    <row r="683" spans="1:18" s="114" customFormat="1">
      <c r="A683" s="145"/>
      <c r="B683" s="145"/>
      <c r="C683" s="145"/>
      <c r="D683" s="145"/>
      <c r="G683" s="1286"/>
      <c r="R683" s="68"/>
    </row>
    <row r="684" spans="1:18" s="114" customFormat="1">
      <c r="A684" s="145"/>
      <c r="B684" s="145"/>
      <c r="C684" s="145"/>
      <c r="D684" s="145"/>
      <c r="G684" s="1286"/>
      <c r="R684" s="68"/>
    </row>
    <row r="685" spans="1:18" s="114" customFormat="1">
      <c r="A685" s="145"/>
      <c r="B685" s="145"/>
      <c r="C685" s="145"/>
      <c r="D685" s="145"/>
      <c r="G685" s="1286"/>
      <c r="R685" s="68"/>
    </row>
    <row r="686" spans="1:18" s="114" customFormat="1">
      <c r="A686" s="145"/>
      <c r="B686" s="145"/>
      <c r="C686" s="145"/>
      <c r="D686" s="145"/>
      <c r="G686" s="1286"/>
      <c r="R686" s="68"/>
    </row>
    <row r="687" spans="1:18" s="114" customFormat="1">
      <c r="A687" s="145"/>
      <c r="B687" s="145"/>
      <c r="C687" s="145"/>
      <c r="D687" s="145"/>
      <c r="G687" s="1286"/>
      <c r="R687" s="68"/>
    </row>
    <row r="688" spans="1:18" s="114" customFormat="1">
      <c r="A688" s="145"/>
      <c r="B688" s="145"/>
      <c r="C688" s="145"/>
      <c r="D688" s="145"/>
      <c r="G688" s="1286"/>
      <c r="R688" s="68"/>
    </row>
    <row r="689" spans="1:18" s="114" customFormat="1">
      <c r="A689" s="145"/>
      <c r="B689" s="145"/>
      <c r="C689" s="145"/>
      <c r="D689" s="145"/>
      <c r="G689" s="1286"/>
      <c r="R689" s="68"/>
    </row>
    <row r="690" spans="1:18" s="114" customFormat="1">
      <c r="A690" s="145"/>
      <c r="B690" s="145"/>
      <c r="C690" s="145"/>
      <c r="D690" s="145"/>
      <c r="G690" s="1286"/>
      <c r="R690" s="68"/>
    </row>
    <row r="691" spans="1:18" s="114" customFormat="1">
      <c r="A691" s="145"/>
      <c r="B691" s="145"/>
      <c r="C691" s="145"/>
      <c r="D691" s="145"/>
      <c r="G691" s="1286"/>
      <c r="R691" s="68"/>
    </row>
    <row r="692" spans="1:18" s="114" customFormat="1">
      <c r="A692" s="145"/>
      <c r="B692" s="145"/>
      <c r="C692" s="145"/>
      <c r="D692" s="145"/>
      <c r="G692" s="1286"/>
      <c r="R692" s="68"/>
    </row>
    <row r="693" spans="1:18" s="114" customFormat="1">
      <c r="A693" s="145"/>
      <c r="B693" s="145"/>
      <c r="C693" s="145"/>
      <c r="D693" s="145"/>
      <c r="G693" s="1286"/>
      <c r="R693" s="68"/>
    </row>
    <row r="694" spans="1:18" s="114" customFormat="1">
      <c r="A694" s="145"/>
      <c r="B694" s="145"/>
      <c r="C694" s="145"/>
      <c r="D694" s="145"/>
      <c r="G694" s="1286"/>
      <c r="R694" s="68"/>
    </row>
    <row r="695" spans="1:18" s="114" customFormat="1">
      <c r="A695" s="145"/>
      <c r="B695" s="145"/>
      <c r="C695" s="145"/>
      <c r="D695" s="145"/>
      <c r="G695" s="1286"/>
      <c r="R695" s="68"/>
    </row>
    <row r="696" spans="1:18" s="114" customFormat="1">
      <c r="A696" s="145"/>
      <c r="B696" s="145"/>
      <c r="C696" s="145"/>
      <c r="D696" s="145"/>
      <c r="G696" s="1286"/>
      <c r="R696" s="68"/>
    </row>
    <row r="697" spans="1:18" s="114" customFormat="1">
      <c r="A697" s="145"/>
      <c r="B697" s="145"/>
      <c r="C697" s="145"/>
      <c r="D697" s="145"/>
      <c r="G697" s="1286"/>
      <c r="R697" s="68"/>
    </row>
    <row r="698" spans="1:18" s="114" customFormat="1">
      <c r="A698" s="145"/>
      <c r="B698" s="145"/>
      <c r="C698" s="145"/>
      <c r="D698" s="145"/>
      <c r="G698" s="1286"/>
      <c r="R698" s="68"/>
    </row>
    <row r="699" spans="1:18" s="114" customFormat="1">
      <c r="A699" s="145"/>
      <c r="B699" s="145"/>
      <c r="C699" s="145"/>
      <c r="D699" s="145"/>
      <c r="G699" s="1286"/>
      <c r="R699" s="68"/>
    </row>
    <row r="700" spans="1:18" s="114" customFormat="1">
      <c r="A700" s="145"/>
      <c r="B700" s="145"/>
      <c r="C700" s="145"/>
      <c r="D700" s="145"/>
      <c r="G700" s="1286"/>
      <c r="R700" s="68"/>
    </row>
    <row r="701" spans="1:18" s="114" customFormat="1">
      <c r="A701" s="145"/>
      <c r="B701" s="145"/>
      <c r="C701" s="145"/>
      <c r="D701" s="145"/>
      <c r="G701" s="1286"/>
      <c r="R701" s="68"/>
    </row>
    <row r="702" spans="1:18" s="114" customFormat="1">
      <c r="A702" s="145"/>
      <c r="B702" s="145"/>
      <c r="C702" s="145"/>
      <c r="D702" s="145"/>
      <c r="G702" s="1286"/>
      <c r="R702" s="68"/>
    </row>
    <row r="703" spans="1:18" s="114" customFormat="1">
      <c r="A703" s="145"/>
      <c r="B703" s="145"/>
      <c r="C703" s="145"/>
      <c r="D703" s="145"/>
      <c r="G703" s="1286"/>
      <c r="R703" s="68"/>
    </row>
    <row r="704" spans="1:18" s="114" customFormat="1">
      <c r="A704" s="145"/>
      <c r="B704" s="145"/>
      <c r="C704" s="145"/>
      <c r="D704" s="145"/>
      <c r="G704" s="1286"/>
      <c r="R704" s="68"/>
    </row>
    <row r="705" spans="1:18" s="114" customFormat="1">
      <c r="A705" s="145"/>
      <c r="B705" s="145"/>
      <c r="C705" s="145"/>
      <c r="D705" s="145"/>
      <c r="G705" s="1286"/>
      <c r="R705" s="68"/>
    </row>
    <row r="706" spans="1:18" s="114" customFormat="1">
      <c r="A706" s="145"/>
      <c r="B706" s="145"/>
      <c r="C706" s="145"/>
      <c r="D706" s="145"/>
      <c r="G706" s="1286"/>
      <c r="R706" s="68"/>
    </row>
    <row r="707" spans="1:18" s="114" customFormat="1">
      <c r="A707" s="145"/>
      <c r="B707" s="145"/>
      <c r="C707" s="145"/>
      <c r="D707" s="145"/>
      <c r="G707" s="1286"/>
      <c r="R707" s="68"/>
    </row>
    <row r="708" spans="1:18" s="114" customFormat="1">
      <c r="A708" s="145"/>
      <c r="B708" s="145"/>
      <c r="C708" s="145"/>
      <c r="D708" s="145"/>
      <c r="G708" s="1286"/>
      <c r="R708" s="68"/>
    </row>
    <row r="709" spans="1:18" s="114" customFormat="1">
      <c r="A709" s="145"/>
      <c r="B709" s="145"/>
      <c r="C709" s="145"/>
      <c r="D709" s="145"/>
      <c r="G709" s="1286"/>
      <c r="R709" s="68"/>
    </row>
    <row r="710" spans="1:18" s="114" customFormat="1">
      <c r="A710" s="145"/>
      <c r="B710" s="145"/>
      <c r="C710" s="145"/>
      <c r="D710" s="145"/>
      <c r="G710" s="1286"/>
      <c r="R710" s="68"/>
    </row>
    <row r="711" spans="1:18" s="114" customFormat="1">
      <c r="A711" s="145"/>
      <c r="B711" s="145"/>
      <c r="C711" s="145"/>
      <c r="D711" s="145"/>
      <c r="G711" s="1286"/>
      <c r="R711" s="68"/>
    </row>
    <row r="712" spans="1:18" s="114" customFormat="1">
      <c r="A712" s="145"/>
      <c r="B712" s="145"/>
      <c r="C712" s="145"/>
      <c r="D712" s="145"/>
      <c r="G712" s="1286"/>
      <c r="R712" s="68"/>
    </row>
    <row r="713" spans="1:18" s="114" customFormat="1">
      <c r="A713" s="145"/>
      <c r="B713" s="145"/>
      <c r="C713" s="145"/>
      <c r="D713" s="145"/>
      <c r="G713" s="1286"/>
      <c r="R713" s="68"/>
    </row>
    <row r="714" spans="1:18" s="114" customFormat="1">
      <c r="A714" s="145"/>
      <c r="B714" s="145"/>
      <c r="C714" s="145"/>
      <c r="D714" s="145"/>
      <c r="G714" s="1286"/>
      <c r="R714" s="68"/>
    </row>
    <row r="715" spans="1:18" s="114" customFormat="1">
      <c r="A715" s="145"/>
      <c r="B715" s="145"/>
      <c r="C715" s="145"/>
      <c r="D715" s="145"/>
      <c r="G715" s="1286"/>
      <c r="R715" s="68"/>
    </row>
    <row r="716" spans="1:18" s="114" customFormat="1">
      <c r="A716" s="145"/>
      <c r="B716" s="145"/>
      <c r="C716" s="145"/>
      <c r="D716" s="145"/>
      <c r="G716" s="1286"/>
      <c r="R716" s="68"/>
    </row>
    <row r="717" spans="1:18" s="114" customFormat="1">
      <c r="A717" s="145"/>
      <c r="B717" s="145"/>
      <c r="C717" s="145"/>
      <c r="D717" s="145"/>
      <c r="G717" s="1286"/>
      <c r="R717" s="68"/>
    </row>
    <row r="718" spans="1:18" s="114" customFormat="1">
      <c r="A718" s="145"/>
      <c r="B718" s="145"/>
      <c r="C718" s="145"/>
      <c r="D718" s="145"/>
      <c r="G718" s="1286"/>
      <c r="R718" s="68"/>
    </row>
    <row r="719" spans="1:18" s="114" customFormat="1">
      <c r="A719" s="145"/>
      <c r="B719" s="145"/>
      <c r="C719" s="145"/>
      <c r="D719" s="145"/>
      <c r="G719" s="1286"/>
      <c r="R719" s="68"/>
    </row>
    <row r="720" spans="1:18" s="114" customFormat="1">
      <c r="A720" s="145"/>
      <c r="B720" s="145"/>
      <c r="C720" s="145"/>
      <c r="D720" s="145"/>
      <c r="G720" s="1286"/>
      <c r="R720" s="68"/>
    </row>
    <row r="721" spans="1:18" s="114" customFormat="1">
      <c r="A721" s="145"/>
      <c r="B721" s="145"/>
      <c r="C721" s="145"/>
      <c r="D721" s="145"/>
      <c r="G721" s="1286"/>
      <c r="R721" s="68"/>
    </row>
    <row r="722" spans="1:18" s="114" customFormat="1">
      <c r="A722" s="145"/>
      <c r="B722" s="145"/>
      <c r="C722" s="145"/>
      <c r="D722" s="145"/>
      <c r="G722" s="1286"/>
      <c r="R722" s="68"/>
    </row>
    <row r="723" spans="1:18" s="114" customFormat="1">
      <c r="A723" s="145"/>
      <c r="B723" s="145"/>
      <c r="C723" s="145"/>
      <c r="D723" s="145"/>
      <c r="G723" s="1286"/>
      <c r="R723" s="68"/>
    </row>
    <row r="724" spans="1:18" s="114" customFormat="1">
      <c r="A724" s="145"/>
      <c r="B724" s="145"/>
      <c r="C724" s="145"/>
      <c r="D724" s="145"/>
      <c r="G724" s="1286"/>
      <c r="R724" s="68"/>
    </row>
    <row r="725" spans="1:18" s="114" customFormat="1">
      <c r="A725" s="145"/>
      <c r="B725" s="145"/>
      <c r="C725" s="145"/>
      <c r="D725" s="145"/>
      <c r="G725" s="1286"/>
      <c r="R725" s="68"/>
    </row>
    <row r="726" spans="1:18" s="114" customFormat="1">
      <c r="A726" s="145"/>
      <c r="B726" s="145"/>
      <c r="C726" s="145"/>
      <c r="D726" s="145"/>
      <c r="G726" s="1286"/>
      <c r="R726" s="68"/>
    </row>
    <row r="727" spans="1:18" s="114" customFormat="1">
      <c r="A727" s="145"/>
      <c r="B727" s="145"/>
      <c r="C727" s="145"/>
      <c r="D727" s="145"/>
      <c r="G727" s="1286"/>
      <c r="R727" s="68"/>
    </row>
    <row r="728" spans="1:18" s="114" customFormat="1">
      <c r="A728" s="145"/>
      <c r="B728" s="145"/>
      <c r="C728" s="145"/>
      <c r="D728" s="145"/>
      <c r="G728" s="1286"/>
      <c r="R728" s="68"/>
    </row>
    <row r="729" spans="1:18" s="114" customFormat="1">
      <c r="A729" s="145"/>
      <c r="B729" s="145"/>
      <c r="C729" s="145"/>
      <c r="D729" s="145"/>
      <c r="G729" s="1286"/>
      <c r="R729" s="68"/>
    </row>
    <row r="730" spans="1:18" s="114" customFormat="1">
      <c r="A730" s="145"/>
      <c r="B730" s="145"/>
      <c r="C730" s="145"/>
      <c r="D730" s="145"/>
      <c r="G730" s="1286"/>
      <c r="R730" s="68"/>
    </row>
    <row r="731" spans="1:18" s="114" customFormat="1">
      <c r="A731" s="145"/>
      <c r="B731" s="145"/>
      <c r="C731" s="145"/>
      <c r="D731" s="145"/>
      <c r="G731" s="1286"/>
      <c r="R731" s="68"/>
    </row>
    <row r="732" spans="1:18" s="114" customFormat="1">
      <c r="A732" s="145"/>
      <c r="B732" s="145"/>
      <c r="C732" s="145"/>
      <c r="D732" s="145"/>
      <c r="G732" s="1286"/>
      <c r="R732" s="68"/>
    </row>
    <row r="733" spans="1:18" s="114" customFormat="1">
      <c r="A733" s="145"/>
      <c r="B733" s="145"/>
      <c r="C733" s="145"/>
      <c r="D733" s="145"/>
      <c r="G733" s="1286"/>
      <c r="R733" s="68"/>
    </row>
    <row r="734" spans="1:18" s="114" customFormat="1">
      <c r="A734" s="145"/>
      <c r="B734" s="145"/>
      <c r="C734" s="145"/>
      <c r="D734" s="145"/>
      <c r="G734" s="1286"/>
      <c r="R734" s="68"/>
    </row>
    <row r="735" spans="1:18" s="114" customFormat="1">
      <c r="A735" s="145"/>
      <c r="B735" s="145"/>
      <c r="C735" s="145"/>
      <c r="D735" s="145"/>
      <c r="G735" s="1286"/>
      <c r="R735" s="68"/>
    </row>
    <row r="736" spans="1:18" s="114" customFormat="1">
      <c r="A736" s="145"/>
      <c r="B736" s="145"/>
      <c r="C736" s="145"/>
      <c r="D736" s="145"/>
      <c r="G736" s="1286"/>
      <c r="R736" s="68"/>
    </row>
    <row r="737" spans="1:18" s="114" customFormat="1">
      <c r="A737" s="145"/>
      <c r="B737" s="145"/>
      <c r="C737" s="145"/>
      <c r="D737" s="145"/>
      <c r="G737" s="1286"/>
      <c r="R737" s="68"/>
    </row>
    <row r="738" spans="1:18" s="114" customFormat="1">
      <c r="A738" s="145"/>
      <c r="B738" s="145"/>
      <c r="C738" s="145"/>
      <c r="D738" s="145"/>
      <c r="G738" s="1286"/>
      <c r="R738" s="68"/>
    </row>
    <row r="739" spans="1:18" s="114" customFormat="1">
      <c r="A739" s="145"/>
      <c r="B739" s="145"/>
      <c r="C739" s="145"/>
      <c r="D739" s="145"/>
      <c r="G739" s="1286"/>
      <c r="R739" s="68"/>
    </row>
    <row r="740" spans="1:18" s="114" customFormat="1">
      <c r="A740" s="145"/>
      <c r="B740" s="145"/>
      <c r="C740" s="145"/>
      <c r="D740" s="145"/>
      <c r="G740" s="1286"/>
      <c r="R740" s="68"/>
    </row>
    <row r="741" spans="1:18" s="114" customFormat="1">
      <c r="A741" s="145"/>
      <c r="B741" s="145"/>
      <c r="C741" s="145"/>
      <c r="D741" s="145"/>
      <c r="G741" s="1286"/>
      <c r="R741" s="68"/>
    </row>
    <row r="742" spans="1:18" s="114" customFormat="1">
      <c r="A742" s="145"/>
      <c r="B742" s="145"/>
      <c r="C742" s="145"/>
      <c r="D742" s="145"/>
      <c r="G742" s="1286"/>
      <c r="R742" s="68"/>
    </row>
    <row r="743" spans="1:18" s="114" customFormat="1">
      <c r="A743" s="145"/>
      <c r="B743" s="145"/>
      <c r="C743" s="145"/>
      <c r="D743" s="145"/>
      <c r="G743" s="1286"/>
      <c r="R743" s="68"/>
    </row>
    <row r="744" spans="1:18" s="114" customFormat="1">
      <c r="A744" s="145"/>
      <c r="B744" s="145"/>
      <c r="C744" s="145"/>
      <c r="D744" s="145"/>
      <c r="G744" s="1286"/>
      <c r="R744" s="68"/>
    </row>
    <row r="745" spans="1:18" s="114" customFormat="1">
      <c r="A745" s="145"/>
      <c r="B745" s="145"/>
      <c r="C745" s="145"/>
      <c r="D745" s="145"/>
      <c r="G745" s="1286"/>
      <c r="R745" s="68"/>
    </row>
    <row r="746" spans="1:18" s="114" customFormat="1">
      <c r="A746" s="145"/>
      <c r="B746" s="145"/>
      <c r="C746" s="145"/>
      <c r="D746" s="145"/>
      <c r="G746" s="1286"/>
      <c r="R746" s="68"/>
    </row>
    <row r="747" spans="1:18" s="114" customFormat="1">
      <c r="A747" s="145"/>
      <c r="B747" s="145"/>
      <c r="C747" s="145"/>
      <c r="D747" s="145"/>
      <c r="G747" s="1286"/>
      <c r="R747" s="68"/>
    </row>
    <row r="748" spans="1:18" s="114" customFormat="1">
      <c r="A748" s="145"/>
      <c r="B748" s="145"/>
      <c r="C748" s="145"/>
      <c r="D748" s="145"/>
      <c r="G748" s="1286"/>
      <c r="R748" s="68"/>
    </row>
    <row r="749" spans="1:18" s="114" customFormat="1">
      <c r="A749" s="145"/>
      <c r="B749" s="145"/>
      <c r="C749" s="145"/>
      <c r="D749" s="145"/>
      <c r="G749" s="1286"/>
      <c r="R749" s="68"/>
    </row>
    <row r="750" spans="1:18" s="114" customFormat="1">
      <c r="A750" s="145"/>
      <c r="B750" s="145"/>
      <c r="C750" s="145"/>
      <c r="D750" s="145"/>
      <c r="G750" s="1286"/>
      <c r="R750" s="68"/>
    </row>
    <row r="751" spans="1:18" s="114" customFormat="1">
      <c r="A751" s="145"/>
      <c r="B751" s="145"/>
      <c r="C751" s="145"/>
      <c r="D751" s="145"/>
      <c r="G751" s="1286"/>
      <c r="R751" s="68"/>
    </row>
    <row r="752" spans="1:18" s="114" customFormat="1">
      <c r="A752" s="145"/>
      <c r="B752" s="145"/>
      <c r="C752" s="145"/>
      <c r="D752" s="145"/>
      <c r="G752" s="1286"/>
      <c r="R752" s="68"/>
    </row>
    <row r="753" spans="1:18" s="114" customFormat="1">
      <c r="A753" s="145"/>
      <c r="B753" s="145"/>
      <c r="C753" s="145"/>
      <c r="D753" s="145"/>
      <c r="G753" s="1286"/>
      <c r="R753" s="68"/>
    </row>
    <row r="754" spans="1:18" s="114" customFormat="1">
      <c r="A754" s="145"/>
      <c r="B754" s="145"/>
      <c r="C754" s="145"/>
      <c r="D754" s="145"/>
      <c r="G754" s="1286"/>
      <c r="R754" s="68"/>
    </row>
    <row r="755" spans="1:18" s="114" customFormat="1">
      <c r="A755" s="145"/>
      <c r="B755" s="145"/>
      <c r="C755" s="145"/>
      <c r="D755" s="145"/>
      <c r="G755" s="1286"/>
      <c r="R755" s="68"/>
    </row>
    <row r="756" spans="1:18" s="114" customFormat="1">
      <c r="A756" s="145"/>
      <c r="B756" s="145"/>
      <c r="C756" s="145"/>
      <c r="D756" s="145"/>
      <c r="G756" s="1286"/>
      <c r="R756" s="68"/>
    </row>
    <row r="757" spans="1:18" s="114" customFormat="1">
      <c r="A757" s="145"/>
      <c r="B757" s="145"/>
      <c r="C757" s="145"/>
      <c r="D757" s="145"/>
      <c r="G757" s="1286"/>
      <c r="R757" s="68"/>
    </row>
    <row r="758" spans="1:18" s="114" customFormat="1">
      <c r="A758" s="145"/>
      <c r="B758" s="145"/>
      <c r="C758" s="145"/>
      <c r="D758" s="145"/>
      <c r="G758" s="1286"/>
      <c r="R758" s="68"/>
    </row>
    <row r="759" spans="1:18" s="114" customFormat="1">
      <c r="A759" s="145"/>
      <c r="B759" s="145"/>
      <c r="C759" s="145"/>
      <c r="D759" s="145"/>
      <c r="G759" s="1286"/>
      <c r="R759" s="68"/>
    </row>
    <row r="760" spans="1:18" s="114" customFormat="1">
      <c r="A760" s="145"/>
      <c r="B760" s="145"/>
      <c r="C760" s="145"/>
      <c r="D760" s="145"/>
      <c r="G760" s="1286"/>
      <c r="R760" s="68"/>
    </row>
    <row r="761" spans="1:18" s="114" customFormat="1">
      <c r="A761" s="145"/>
      <c r="B761" s="145"/>
      <c r="C761" s="145"/>
      <c r="D761" s="145"/>
      <c r="G761" s="1286"/>
      <c r="R761" s="68"/>
    </row>
    <row r="762" spans="1:18" s="114" customFormat="1">
      <c r="A762" s="145"/>
      <c r="B762" s="145"/>
      <c r="C762" s="145"/>
      <c r="D762" s="145"/>
      <c r="G762" s="1286"/>
      <c r="R762" s="68"/>
    </row>
    <row r="763" spans="1:18" s="114" customFormat="1">
      <c r="A763" s="145"/>
      <c r="B763" s="145"/>
      <c r="C763" s="145"/>
      <c r="D763" s="145"/>
      <c r="G763" s="1286"/>
      <c r="R763" s="68"/>
    </row>
    <row r="764" spans="1:18" s="114" customFormat="1">
      <c r="A764" s="145"/>
      <c r="B764" s="145"/>
      <c r="C764" s="145"/>
      <c r="D764" s="145"/>
      <c r="G764" s="1286"/>
      <c r="R764" s="68"/>
    </row>
    <row r="765" spans="1:18" s="114" customFormat="1">
      <c r="A765" s="145"/>
      <c r="B765" s="145"/>
      <c r="C765" s="145"/>
      <c r="D765" s="145"/>
      <c r="G765" s="1286"/>
      <c r="R765" s="68"/>
    </row>
    <row r="766" spans="1:18" s="114" customFormat="1">
      <c r="A766" s="145"/>
      <c r="B766" s="145"/>
      <c r="C766" s="145"/>
      <c r="D766" s="145"/>
      <c r="G766" s="1286"/>
      <c r="R766" s="68"/>
    </row>
    <row r="767" spans="1:18" s="114" customFormat="1">
      <c r="A767" s="145"/>
      <c r="B767" s="145"/>
      <c r="C767" s="145"/>
      <c r="D767" s="145"/>
      <c r="G767" s="1286"/>
      <c r="R767" s="68"/>
    </row>
    <row r="768" spans="1:18" s="114" customFormat="1">
      <c r="A768" s="145"/>
      <c r="B768" s="145"/>
      <c r="C768" s="145"/>
      <c r="D768" s="145"/>
      <c r="G768" s="1286"/>
      <c r="R768" s="68"/>
    </row>
    <row r="769" spans="1:18" s="114" customFormat="1">
      <c r="A769" s="145"/>
      <c r="B769" s="145"/>
      <c r="C769" s="145"/>
      <c r="D769" s="145"/>
      <c r="G769" s="1286"/>
      <c r="R769" s="68"/>
    </row>
    <row r="770" spans="1:18" s="114" customFormat="1">
      <c r="A770" s="145"/>
      <c r="B770" s="145"/>
      <c r="C770" s="145"/>
      <c r="D770" s="145"/>
      <c r="G770" s="1286"/>
      <c r="R770" s="68"/>
    </row>
    <row r="771" spans="1:18" s="114" customFormat="1">
      <c r="A771" s="145"/>
      <c r="B771" s="145"/>
      <c r="C771" s="145"/>
      <c r="D771" s="145"/>
      <c r="G771" s="1286"/>
      <c r="R771" s="68"/>
    </row>
    <row r="772" spans="1:18" s="114" customFormat="1">
      <c r="A772" s="145"/>
      <c r="B772" s="145"/>
      <c r="C772" s="145"/>
      <c r="D772" s="145"/>
      <c r="G772" s="1286"/>
      <c r="R772" s="68"/>
    </row>
    <row r="773" spans="1:18" s="114" customFormat="1">
      <c r="A773" s="145"/>
      <c r="B773" s="145"/>
      <c r="C773" s="145"/>
      <c r="D773" s="145"/>
      <c r="G773" s="1286"/>
      <c r="R773" s="68"/>
    </row>
    <row r="774" spans="1:18" s="114" customFormat="1">
      <c r="A774" s="145"/>
      <c r="B774" s="145"/>
      <c r="C774" s="145"/>
      <c r="D774" s="145"/>
      <c r="G774" s="1286"/>
      <c r="R774" s="68"/>
    </row>
    <row r="775" spans="1:18" s="114" customFormat="1">
      <c r="A775" s="145"/>
      <c r="B775" s="145"/>
      <c r="C775" s="145"/>
      <c r="D775" s="145"/>
      <c r="G775" s="1286"/>
      <c r="R775" s="68"/>
    </row>
    <row r="776" spans="1:18" s="114" customFormat="1">
      <c r="A776" s="145"/>
      <c r="B776" s="145"/>
      <c r="C776" s="145"/>
      <c r="D776" s="145"/>
      <c r="G776" s="1286"/>
      <c r="R776" s="68"/>
    </row>
    <row r="777" spans="1:18" s="114" customFormat="1">
      <c r="A777" s="145"/>
      <c r="B777" s="145"/>
      <c r="C777" s="145"/>
      <c r="D777" s="145"/>
      <c r="G777" s="1286"/>
      <c r="R777" s="68"/>
    </row>
    <row r="778" spans="1:18" s="114" customFormat="1">
      <c r="A778" s="145"/>
      <c r="B778" s="145"/>
      <c r="C778" s="145"/>
      <c r="D778" s="145"/>
      <c r="G778" s="1286"/>
      <c r="R778" s="68"/>
    </row>
    <row r="779" spans="1:18" s="114" customFormat="1">
      <c r="A779" s="145"/>
      <c r="B779" s="145"/>
      <c r="C779" s="145"/>
      <c r="D779" s="145"/>
      <c r="G779" s="1286"/>
      <c r="R779" s="68"/>
    </row>
    <row r="780" spans="1:18" s="114" customFormat="1">
      <c r="A780" s="145"/>
      <c r="B780" s="145"/>
      <c r="C780" s="145"/>
      <c r="D780" s="145"/>
      <c r="G780" s="1286"/>
      <c r="R780" s="68"/>
    </row>
    <row r="781" spans="1:18" s="114" customFormat="1">
      <c r="A781" s="145"/>
      <c r="B781" s="145"/>
      <c r="C781" s="145"/>
      <c r="D781" s="145"/>
      <c r="G781" s="1286"/>
      <c r="R781" s="68"/>
    </row>
    <row r="782" spans="1:18" s="114" customFormat="1">
      <c r="A782" s="145"/>
      <c r="B782" s="145"/>
      <c r="C782" s="145"/>
      <c r="D782" s="145"/>
      <c r="G782" s="1286"/>
      <c r="R782" s="68"/>
    </row>
    <row r="783" spans="1:18" s="114" customFormat="1">
      <c r="A783" s="145"/>
      <c r="B783" s="145"/>
      <c r="C783" s="145"/>
      <c r="D783" s="145"/>
      <c r="G783" s="1286"/>
      <c r="R783" s="68"/>
    </row>
    <row r="784" spans="1:18" s="114" customFormat="1">
      <c r="A784" s="145"/>
      <c r="B784" s="145"/>
      <c r="C784" s="145"/>
      <c r="D784" s="145"/>
      <c r="G784" s="1286"/>
      <c r="R784" s="68"/>
    </row>
    <row r="785" spans="1:18" s="114" customFormat="1">
      <c r="A785" s="145"/>
      <c r="B785" s="145"/>
      <c r="C785" s="145"/>
      <c r="D785" s="145"/>
      <c r="G785" s="1286"/>
      <c r="R785" s="68"/>
    </row>
    <row r="786" spans="1:18" s="114" customFormat="1">
      <c r="A786" s="145"/>
      <c r="B786" s="145"/>
      <c r="C786" s="145"/>
      <c r="D786" s="145"/>
      <c r="G786" s="1286"/>
      <c r="R786" s="68"/>
    </row>
    <row r="787" spans="1:18" s="114" customFormat="1">
      <c r="A787" s="145"/>
      <c r="B787" s="145"/>
      <c r="C787" s="145"/>
      <c r="D787" s="145"/>
      <c r="G787" s="1286"/>
      <c r="R787" s="68"/>
    </row>
    <row r="788" spans="1:18" s="114" customFormat="1">
      <c r="A788" s="145"/>
      <c r="B788" s="145"/>
      <c r="C788" s="145"/>
      <c r="D788" s="145"/>
      <c r="G788" s="1286"/>
      <c r="R788" s="68"/>
    </row>
    <row r="789" spans="1:18" s="114" customFormat="1">
      <c r="A789" s="145"/>
      <c r="B789" s="145"/>
      <c r="C789" s="145"/>
      <c r="D789" s="145"/>
      <c r="G789" s="1286"/>
      <c r="R789" s="68"/>
    </row>
    <row r="790" spans="1:18" s="114" customFormat="1">
      <c r="A790" s="145"/>
      <c r="B790" s="145"/>
      <c r="C790" s="145"/>
      <c r="D790" s="145"/>
      <c r="G790" s="1286"/>
      <c r="R790" s="68"/>
    </row>
    <row r="791" spans="1:18" s="114" customFormat="1">
      <c r="A791" s="145"/>
      <c r="B791" s="145"/>
      <c r="C791" s="145"/>
      <c r="D791" s="145"/>
      <c r="G791" s="1286"/>
      <c r="R791" s="68"/>
    </row>
    <row r="792" spans="1:18" s="114" customFormat="1">
      <c r="A792" s="145"/>
      <c r="B792" s="145"/>
      <c r="C792" s="145"/>
      <c r="D792" s="145"/>
      <c r="G792" s="1286"/>
      <c r="R792" s="68"/>
    </row>
    <row r="793" spans="1:18" s="114" customFormat="1">
      <c r="A793" s="145"/>
      <c r="B793" s="145"/>
      <c r="C793" s="145"/>
      <c r="D793" s="145"/>
      <c r="G793" s="1286"/>
      <c r="R793" s="68"/>
    </row>
    <row r="794" spans="1:18" s="114" customFormat="1">
      <c r="A794" s="145"/>
      <c r="B794" s="145"/>
      <c r="C794" s="145"/>
      <c r="D794" s="145"/>
      <c r="G794" s="1286"/>
      <c r="R794" s="68"/>
    </row>
    <row r="795" spans="1:18" s="114" customFormat="1">
      <c r="A795" s="145"/>
      <c r="B795" s="145"/>
      <c r="C795" s="145"/>
      <c r="D795" s="145"/>
      <c r="G795" s="1286"/>
      <c r="R795" s="68"/>
    </row>
    <row r="796" spans="1:18" s="114" customFormat="1">
      <c r="A796" s="145"/>
      <c r="B796" s="145"/>
      <c r="C796" s="145"/>
      <c r="D796" s="145"/>
      <c r="G796" s="1286"/>
      <c r="R796" s="68"/>
    </row>
    <row r="797" spans="1:18" s="114" customFormat="1">
      <c r="A797" s="145"/>
      <c r="B797" s="145"/>
      <c r="C797" s="145"/>
      <c r="D797" s="145"/>
      <c r="G797" s="1286"/>
      <c r="R797" s="68"/>
    </row>
    <row r="798" spans="1:18" s="114" customFormat="1">
      <c r="A798" s="145"/>
      <c r="B798" s="145"/>
      <c r="C798" s="145"/>
      <c r="D798" s="145"/>
      <c r="G798" s="1286"/>
      <c r="R798" s="68"/>
    </row>
    <row r="799" spans="1:18" s="114" customFormat="1">
      <c r="A799" s="145"/>
      <c r="B799" s="145"/>
      <c r="C799" s="145"/>
      <c r="D799" s="145"/>
      <c r="G799" s="1286"/>
      <c r="R799" s="68"/>
    </row>
    <row r="800" spans="1:18" s="114" customFormat="1">
      <c r="A800" s="145"/>
      <c r="B800" s="145"/>
      <c r="C800" s="145"/>
      <c r="D800" s="145"/>
      <c r="G800" s="1286"/>
      <c r="R800" s="68"/>
    </row>
    <row r="801" spans="1:23" s="114" customFormat="1">
      <c r="A801" s="145"/>
      <c r="B801" s="145"/>
      <c r="C801" s="145"/>
      <c r="D801" s="145"/>
      <c r="G801" s="1286"/>
      <c r="R801" s="68"/>
    </row>
    <row r="802" spans="1:23" s="114" customFormat="1">
      <c r="A802" s="145"/>
      <c r="B802" s="145"/>
      <c r="C802" s="145"/>
      <c r="D802" s="145"/>
      <c r="G802" s="1286"/>
      <c r="R802" s="68"/>
    </row>
    <row r="803" spans="1:23" s="114" customFormat="1">
      <c r="A803" s="145"/>
      <c r="B803" s="145"/>
      <c r="C803" s="145"/>
      <c r="D803" s="145"/>
      <c r="G803" s="1286"/>
      <c r="R803" s="68"/>
    </row>
    <row r="804" spans="1:23" s="114" customFormat="1">
      <c r="A804" s="145"/>
      <c r="B804" s="145"/>
      <c r="C804" s="145"/>
      <c r="D804" s="145"/>
      <c r="G804" s="1286"/>
      <c r="R804" s="68"/>
    </row>
    <row r="805" spans="1:23" s="114" customFormat="1">
      <c r="A805" s="145"/>
      <c r="B805" s="145"/>
      <c r="C805" s="145"/>
      <c r="D805" s="145"/>
      <c r="G805" s="1286"/>
      <c r="R805" s="68"/>
    </row>
    <row r="806" spans="1:23" s="114" customFormat="1">
      <c r="A806" s="145"/>
      <c r="B806" s="145"/>
      <c r="C806" s="145"/>
      <c r="D806" s="145"/>
      <c r="G806" s="1286"/>
      <c r="R806" s="68"/>
    </row>
    <row r="807" spans="1:23" s="114" customFormat="1">
      <c r="A807" s="145"/>
      <c r="B807" s="145"/>
      <c r="C807" s="145"/>
      <c r="D807" s="145"/>
      <c r="G807" s="1286"/>
      <c r="R807" s="68"/>
    </row>
    <row r="808" spans="1:23" s="114" customFormat="1">
      <c r="A808" s="145"/>
      <c r="B808" s="145"/>
      <c r="C808" s="145"/>
      <c r="D808" s="145"/>
      <c r="G808" s="1286"/>
      <c r="R808" s="68"/>
    </row>
    <row r="809" spans="1:23" s="114" customFormat="1">
      <c r="A809" s="145"/>
      <c r="B809" s="145"/>
      <c r="C809" s="145"/>
      <c r="D809" s="145"/>
      <c r="G809" s="1286"/>
      <c r="R809" s="68"/>
    </row>
    <row r="810" spans="1:23" s="114" customFormat="1">
      <c r="A810" s="145"/>
      <c r="B810" s="145"/>
      <c r="C810" s="145"/>
      <c r="D810" s="145"/>
      <c r="G810" s="1286"/>
      <c r="R810" s="68"/>
    </row>
    <row r="811" spans="1:23" s="114" customFormat="1">
      <c r="A811" s="145"/>
      <c r="B811" s="145"/>
      <c r="C811" s="145"/>
      <c r="D811" s="145"/>
      <c r="G811" s="1286"/>
      <c r="R811" s="68"/>
    </row>
    <row r="812" spans="1:23" s="114" customFormat="1">
      <c r="A812" s="145"/>
      <c r="B812" s="145"/>
      <c r="C812" s="145"/>
      <c r="D812" s="145"/>
      <c r="G812" s="1286"/>
      <c r="R812" s="68"/>
    </row>
    <row r="813" spans="1:23" s="114" customFormat="1">
      <c r="A813" s="145"/>
      <c r="B813" s="145"/>
      <c r="C813" s="145"/>
      <c r="D813" s="145"/>
      <c r="G813" s="1286"/>
      <c r="R813" s="68"/>
      <c r="U813" s="53"/>
      <c r="V813" s="53"/>
      <c r="W813" s="53"/>
    </row>
    <row r="814" spans="1:23">
      <c r="S814" s="114"/>
    </row>
  </sheetData>
  <sortState xmlns:xlrd2="http://schemas.microsoft.com/office/spreadsheetml/2017/richdata2" ref="A11:Y46">
    <sortCondition ref="H11:H46"/>
  </sortState>
  <mergeCells count="5">
    <mergeCell ref="U7:W7"/>
    <mergeCell ref="B8:D8"/>
    <mergeCell ref="O4:P4"/>
    <mergeCell ref="I5:N5"/>
    <mergeCell ref="O5:P5"/>
  </mergeCells>
  <hyperlinks>
    <hyperlink ref="P1" location="Index!A1" display="Return to Index" xr:uid="{00000000-0004-0000-0F00-000000000000}"/>
  </hyperlinks>
  <printOptions horizontalCentered="1"/>
  <pageMargins left="0.25" right="0.25" top="0.5" bottom="0.5" header="0.5" footer="0.5"/>
  <pageSetup scale="78" orientation="landscape" horizontalDpi="1200" verticalDpi="1200" r:id="rId1"/>
  <headerFooter alignWithMargins="0">
    <oddFooter>&amp;L&amp;8Planning &amp; Accountability&amp;R&amp;8&amp;D</oddFooter>
  </headerFooter>
  <rowBreaks count="1" manualBreakCount="1">
    <brk id="59" max="10" man="1"/>
  </rowBreaks>
  <legacyDrawing r:id="rId2"/>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sheetPr codeName="Sheet133">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4.85546875" style="164" customWidth="1"/>
    <col min="15" max="15" width="14.42578125" style="261" customWidth="1"/>
    <col min="16" max="16" width="25.7109375" style="264" customWidth="1"/>
    <col min="17" max="17" width="16.42578125" style="264" customWidth="1"/>
    <col min="18" max="18" width="17.7109375" style="264" customWidth="1"/>
    <col min="19" max="19" width="1.7109375" style="264" customWidth="1"/>
    <col min="20" max="20" width="17.140625" style="264" customWidth="1"/>
    <col min="21" max="21" width="16.85546875" style="264" customWidth="1"/>
    <col min="22" max="23" width="19.28515625" style="264" customWidth="1"/>
    <col min="24" max="24" width="19.71093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13" t="str">
        <f>'SFA Chrts'!$A$1</f>
        <v>Stephen F. Austin State University</v>
      </c>
      <c r="C2" s="1713"/>
      <c r="D2" s="1713"/>
      <c r="E2" s="1713"/>
      <c r="F2" s="1742"/>
      <c r="G2" s="160"/>
      <c r="H2" s="161"/>
      <c r="I2" s="320" t="str">
        <f>IF($B$2&lt;&gt;Input!$B$39,"Name Mismatch","")</f>
        <v/>
      </c>
      <c r="J2" s="168"/>
      <c r="K2" s="169"/>
      <c r="L2" s="169"/>
      <c r="M2" s="170"/>
      <c r="O2" s="835" t="s">
        <v>1200</v>
      </c>
      <c r="P2" s="36"/>
    </row>
    <row r="3" spans="1:28" ht="20.25">
      <c r="A3" s="184">
        <v>2</v>
      </c>
      <c r="B3" s="1713" t="str">
        <f>'Smmy Chrts'!$A$2</f>
        <v>For the Year Ended August 31, 2021</v>
      </c>
      <c r="C3" s="1713"/>
      <c r="D3" s="1713"/>
      <c r="E3" s="1713"/>
      <c r="F3" s="1742"/>
      <c r="G3" s="161"/>
      <c r="H3" s="161"/>
      <c r="I3" s="169"/>
      <c r="J3" s="168"/>
      <c r="K3" s="169"/>
      <c r="L3" s="169"/>
      <c r="M3" s="170"/>
      <c r="O3" s="74"/>
    </row>
    <row r="4" spans="1:28" ht="20.25">
      <c r="A4" s="184">
        <v>3</v>
      </c>
      <c r="B4" s="1713" t="str">
        <f>'Smmy Chrts'!$A$3</f>
        <v>Source: FY 2021 Annual Financial Report</v>
      </c>
      <c r="C4" s="1713"/>
      <c r="D4" s="1713"/>
      <c r="E4" s="1713"/>
      <c r="F4" s="1742"/>
      <c r="G4" s="161"/>
      <c r="H4" s="161"/>
      <c r="I4" s="169"/>
      <c r="J4" s="168"/>
      <c r="K4" s="169"/>
      <c r="L4" s="169"/>
      <c r="M4" s="170"/>
      <c r="O4" s="74"/>
      <c r="P4" s="1744" t="s">
        <v>93</v>
      </c>
      <c r="Q4" s="1745"/>
      <c r="T4" s="36" t="s">
        <v>250</v>
      </c>
    </row>
    <row r="5" spans="1:28">
      <c r="A5" s="184">
        <v>4</v>
      </c>
      <c r="B5" s="160"/>
      <c r="C5" s="160"/>
      <c r="D5" s="160"/>
      <c r="E5" s="160"/>
      <c r="F5" s="160"/>
      <c r="G5" s="160"/>
      <c r="H5" s="160"/>
      <c r="I5" s="160"/>
      <c r="J5" s="160"/>
      <c r="K5" s="160"/>
      <c r="L5" s="160"/>
      <c r="M5" s="166"/>
      <c r="O5" s="262"/>
    </row>
    <row r="6" spans="1:28">
      <c r="A6" s="184">
        <v>5</v>
      </c>
      <c r="B6" s="1715" t="str">
        <f>'Smmy Chrts'!$C$32</f>
        <v>Detail Worksheet FY 2021</v>
      </c>
      <c r="C6" s="1715"/>
      <c r="D6" s="1743"/>
      <c r="E6" s="1743"/>
      <c r="F6" s="1743"/>
      <c r="G6" s="1743"/>
      <c r="H6" s="1743"/>
      <c r="I6" s="1743"/>
      <c r="J6" s="1743"/>
      <c r="K6" s="1743"/>
      <c r="L6" s="1743"/>
      <c r="M6" s="1743"/>
      <c r="O6" s="265"/>
    </row>
    <row r="7" spans="1:28">
      <c r="A7" s="184">
        <v>6</v>
      </c>
      <c r="B7" s="172"/>
      <c r="C7" s="172"/>
      <c r="D7" s="160"/>
      <c r="E7" s="160"/>
      <c r="F7" s="160"/>
      <c r="G7" s="160"/>
      <c r="H7" s="160"/>
      <c r="I7" s="160"/>
      <c r="J7" s="160"/>
      <c r="K7" s="160"/>
      <c r="L7" s="160"/>
      <c r="M7" s="173" t="str">
        <f>'Smmy Chrts'!$C$33</f>
        <v>FY 2021</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Input!$M$39</f>
        <v>47150002</v>
      </c>
      <c r="E10" s="372">
        <f>Input!$N$39</f>
        <v>0</v>
      </c>
      <c r="F10" s="372">
        <f>Input!$O$39</f>
        <v>0</v>
      </c>
      <c r="G10" s="372">
        <f>Input!$P$39</f>
        <v>0</v>
      </c>
      <c r="H10" s="372">
        <f>Input!$Q$39</f>
        <v>0</v>
      </c>
      <c r="I10" s="372">
        <f>Input!$R$39</f>
        <v>0</v>
      </c>
      <c r="J10" s="372">
        <f>Input!$S$39</f>
        <v>0</v>
      </c>
      <c r="K10" s="372">
        <f>Input!$T$39</f>
        <v>0</v>
      </c>
      <c r="L10" s="372">
        <f>Input!$U$39</f>
        <v>0</v>
      </c>
      <c r="M10" s="373">
        <f t="shared" ref="M10:M15" si="0">D10+E10+F10+G10+H10+I10+J10+K10+L10</f>
        <v>47150002</v>
      </c>
      <c r="N10" s="160"/>
      <c r="O10" s="271"/>
      <c r="P10" s="1718" t="s">
        <v>575</v>
      </c>
      <c r="U10" s="268"/>
    </row>
    <row r="11" spans="1:28">
      <c r="A11" s="184">
        <v>10</v>
      </c>
      <c r="B11" s="160" t="s">
        <v>2</v>
      </c>
      <c r="C11" s="160"/>
      <c r="D11" s="372">
        <f>Input!$V$39</f>
        <v>9316719</v>
      </c>
      <c r="E11" s="372">
        <f>Input!$W$39</f>
        <v>0</v>
      </c>
      <c r="F11" s="372">
        <f>Input!$X$39</f>
        <v>0</v>
      </c>
      <c r="G11" s="372">
        <f>Input!$Y$39</f>
        <v>2429352</v>
      </c>
      <c r="H11" s="372">
        <f>Input!$Z$39</f>
        <v>0</v>
      </c>
      <c r="I11" s="372">
        <f>Input!$AA$39</f>
        <v>0</v>
      </c>
      <c r="J11" s="372">
        <f>Input!$AB$39</f>
        <v>0</v>
      </c>
      <c r="K11" s="372">
        <f>Input!$AC$39</f>
        <v>0</v>
      </c>
      <c r="L11" s="372">
        <f>Input!$AD$39</f>
        <v>0</v>
      </c>
      <c r="M11" s="373">
        <f t="shared" si="0"/>
        <v>11746071</v>
      </c>
      <c r="N11" s="160"/>
      <c r="O11" s="482"/>
      <c r="P11" s="1719"/>
      <c r="U11" s="268"/>
    </row>
    <row r="12" spans="1:28" ht="12.75" hidden="1" customHeight="1">
      <c r="B12" s="160" t="s">
        <v>1410</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Input!$AN$39</f>
        <v>11277793</v>
      </c>
      <c r="E13" s="372">
        <f>Input!$AO$39</f>
        <v>0</v>
      </c>
      <c r="F13" s="372">
        <f>Input!$AP$39</f>
        <v>0</v>
      </c>
      <c r="G13" s="372">
        <f>Input!$AQ$39</f>
        <v>0</v>
      </c>
      <c r="H13" s="372">
        <f>Input!$AR$39</f>
        <v>0</v>
      </c>
      <c r="I13" s="372">
        <f>Input!$AS$39</f>
        <v>0</v>
      </c>
      <c r="J13" s="372">
        <f>Input!$AT$39</f>
        <v>0</v>
      </c>
      <c r="K13" s="372">
        <f>Input!$AU$39</f>
        <v>0</v>
      </c>
      <c r="L13" s="372">
        <f>Input!$AV$39</f>
        <v>0</v>
      </c>
      <c r="M13" s="373">
        <f t="shared" si="0"/>
        <v>11277793</v>
      </c>
      <c r="N13" s="160"/>
      <c r="O13" s="482" t="str">
        <f>IF(P13&lt;&gt;M13,"Out of Balance","Balanced")</f>
        <v>Balanced</v>
      </c>
      <c r="P13" s="484">
        <f>IFERROR(VLOOKUP($B$2,AMTLU,6,FALSE),0)</f>
        <v>11277793</v>
      </c>
      <c r="U13" s="268"/>
    </row>
    <row r="14" spans="1:28">
      <c r="A14" s="184">
        <v>13</v>
      </c>
      <c r="B14" s="160" t="s">
        <v>49</v>
      </c>
      <c r="C14" s="160"/>
      <c r="D14" s="372">
        <f>Input!$AW$39</f>
        <v>0</v>
      </c>
      <c r="E14" s="372">
        <f>Input!$AX$39</f>
        <v>0</v>
      </c>
      <c r="F14" s="372">
        <f>Input!$AY$39</f>
        <v>0</v>
      </c>
      <c r="G14" s="372">
        <f>Input!$AZ$39</f>
        <v>0</v>
      </c>
      <c r="H14" s="372">
        <f>Input!$BA$39</f>
        <v>0</v>
      </c>
      <c r="I14" s="372">
        <f>Input!$BB$39</f>
        <v>0</v>
      </c>
      <c r="J14" s="372">
        <f>Input!$BC$39</f>
        <v>0</v>
      </c>
      <c r="K14" s="372">
        <f>Input!$BD$39</f>
        <v>0</v>
      </c>
      <c r="L14" s="372">
        <f>Input!$BE$39</f>
        <v>0</v>
      </c>
      <c r="M14" s="373">
        <f t="shared" si="0"/>
        <v>0</v>
      </c>
      <c r="N14" s="160"/>
      <c r="O14" s="482"/>
      <c r="P14" s="485"/>
    </row>
    <row r="15" spans="1:28" ht="15">
      <c r="A15" s="184">
        <v>14</v>
      </c>
      <c r="B15" s="176" t="s">
        <v>3</v>
      </c>
      <c r="C15" s="176"/>
      <c r="D15" s="374">
        <f t="shared" ref="D15:L15" si="1">SUM(D10:D14)</f>
        <v>67744514</v>
      </c>
      <c r="E15" s="374">
        <f t="shared" si="1"/>
        <v>0</v>
      </c>
      <c r="F15" s="374">
        <f t="shared" si="1"/>
        <v>0</v>
      </c>
      <c r="G15" s="374">
        <f t="shared" si="1"/>
        <v>2429352</v>
      </c>
      <c r="H15" s="374">
        <f t="shared" si="1"/>
        <v>0</v>
      </c>
      <c r="I15" s="374">
        <f t="shared" si="1"/>
        <v>0</v>
      </c>
      <c r="J15" s="374">
        <f t="shared" si="1"/>
        <v>0</v>
      </c>
      <c r="K15" s="374">
        <f t="shared" si="1"/>
        <v>0</v>
      </c>
      <c r="L15" s="374">
        <f t="shared" si="1"/>
        <v>0</v>
      </c>
      <c r="M15" s="374">
        <f t="shared" si="0"/>
        <v>70173866</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58" t="s">
        <v>1042</v>
      </c>
      <c r="C18" s="558"/>
      <c r="D18" s="374">
        <f t="shared" ref="D18:L18" si="2">D23-SUM(D19:D22)</f>
        <v>18636562</v>
      </c>
      <c r="E18" s="374">
        <f t="shared" si="2"/>
        <v>72148625</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90785187</v>
      </c>
      <c r="V18" s="327"/>
      <c r="X18" s="330"/>
    </row>
    <row r="19" spans="1:26" s="264" customFormat="1" ht="12.75" customHeight="1" thickTop="1" thickBot="1">
      <c r="A19" s="263"/>
      <c r="B19" s="261" t="s">
        <v>722</v>
      </c>
      <c r="C19" s="261"/>
      <c r="D19" s="372">
        <f>Input!$BF$39</f>
        <v>-290751</v>
      </c>
      <c r="E19" s="372">
        <f>Input!$BG$39</f>
        <v>-39150</v>
      </c>
      <c r="F19" s="372">
        <f>Input!$BH$39</f>
        <v>0</v>
      </c>
      <c r="G19" s="372">
        <f>Input!$BI$39</f>
        <v>0</v>
      </c>
      <c r="H19" s="372">
        <f>Input!$BJ$39</f>
        <v>0</v>
      </c>
      <c r="I19" s="372">
        <f>Input!$BK$39</f>
        <v>0</v>
      </c>
      <c r="J19" s="372">
        <f>Input!$BL$39</f>
        <v>0</v>
      </c>
      <c r="K19" s="372">
        <f>Input!$BM$39</f>
        <v>0</v>
      </c>
      <c r="L19" s="372">
        <f>Input!$BN$39</f>
        <v>0</v>
      </c>
      <c r="M19" s="373">
        <f t="shared" si="3"/>
        <v>-329901</v>
      </c>
      <c r="O19" s="1732" t="s">
        <v>1294</v>
      </c>
      <c r="P19" s="1733"/>
      <c r="Q19" s="1733"/>
      <c r="R19" s="1734"/>
      <c r="T19" s="1735" t="s">
        <v>1043</v>
      </c>
      <c r="U19" s="1736"/>
      <c r="V19" s="1736"/>
      <c r="W19" s="1736"/>
      <c r="X19" s="1737"/>
    </row>
    <row r="20" spans="1:26" s="264" customFormat="1" ht="12.75" customHeight="1" thickTop="1">
      <c r="A20" s="263"/>
      <c r="B20" s="261" t="s">
        <v>723</v>
      </c>
      <c r="C20" s="261"/>
      <c r="D20" s="372">
        <f>Input!$BO$39</f>
        <v>0</v>
      </c>
      <c r="E20" s="372">
        <f>Input!$BP$39</f>
        <v>0</v>
      </c>
      <c r="F20" s="372">
        <f>Input!$BQ$39</f>
        <v>0</v>
      </c>
      <c r="G20" s="372">
        <f>Input!$BR$39</f>
        <v>0</v>
      </c>
      <c r="H20" s="372">
        <f>Input!$BS$39</f>
        <v>0</v>
      </c>
      <c r="I20" s="372">
        <f>Input!$BT$39</f>
        <v>0</v>
      </c>
      <c r="J20" s="372">
        <f>Input!$BU$39</f>
        <v>0</v>
      </c>
      <c r="K20" s="372">
        <f>Input!$BV$39</f>
        <v>0</v>
      </c>
      <c r="L20" s="372">
        <f>Input!$BW$39</f>
        <v>0</v>
      </c>
      <c r="M20" s="373">
        <f t="shared" si="3"/>
        <v>0</v>
      </c>
      <c r="O20" s="421" t="s">
        <v>288</v>
      </c>
      <c r="P20" s="422"/>
      <c r="Q20" s="414"/>
      <c r="R20" s="559"/>
      <c r="T20" s="560" t="s">
        <v>1044</v>
      </c>
      <c r="U20" s="266"/>
      <c r="V20" s="266"/>
      <c r="X20" s="425"/>
    </row>
    <row r="21" spans="1:26" s="264" customFormat="1">
      <c r="A21" s="263"/>
      <c r="B21" s="261" t="s">
        <v>724</v>
      </c>
      <c r="C21" s="261"/>
      <c r="D21" s="372">
        <f>Input!$BX$39</f>
        <v>0</v>
      </c>
      <c r="E21" s="372">
        <f>Input!$BY$39</f>
        <v>0</v>
      </c>
      <c r="F21" s="372">
        <f>Input!$BZ$39</f>
        <v>0</v>
      </c>
      <c r="G21" s="372">
        <f>Input!$CA$39</f>
        <v>0</v>
      </c>
      <c r="H21" s="372">
        <f>Input!$CB$39</f>
        <v>0</v>
      </c>
      <c r="I21" s="372">
        <f>Input!$CC$39</f>
        <v>0</v>
      </c>
      <c r="J21" s="372">
        <f>Input!$CD$39</f>
        <v>0</v>
      </c>
      <c r="K21" s="372">
        <f>Input!$CE$39</f>
        <v>0</v>
      </c>
      <c r="L21" s="372">
        <f>Input!$CF$39</f>
        <v>0</v>
      </c>
      <c r="M21" s="373">
        <f t="shared" si="3"/>
        <v>0</v>
      </c>
      <c r="O21" s="434"/>
      <c r="R21" s="561"/>
      <c r="T21" s="650" t="s">
        <v>1045</v>
      </c>
      <c r="U21" s="266"/>
      <c r="V21" s="266"/>
      <c r="W21" s="651">
        <f>M44</f>
        <v>80528042</v>
      </c>
      <c r="X21" s="425"/>
      <c r="Z21" s="330"/>
    </row>
    <row r="22" spans="1:26" s="264" customFormat="1">
      <c r="A22" s="263"/>
      <c r="B22" s="261" t="s">
        <v>725</v>
      </c>
      <c r="C22" s="261"/>
      <c r="D22" s="372">
        <f>Input!$CG$39</f>
        <v>0</v>
      </c>
      <c r="E22" s="372">
        <f>Input!$CH$39</f>
        <v>0</v>
      </c>
      <c r="F22" s="372">
        <f>Input!$CI$39</f>
        <v>0</v>
      </c>
      <c r="G22" s="372">
        <f>Input!$CJ$39</f>
        <v>0</v>
      </c>
      <c r="H22" s="372">
        <f>Input!$CK$39</f>
        <v>0</v>
      </c>
      <c r="I22" s="372">
        <f>Input!$CL$39</f>
        <v>0</v>
      </c>
      <c r="J22" s="372">
        <f>Input!$CM$39</f>
        <v>0</v>
      </c>
      <c r="K22" s="372">
        <f>Input!$CN$39</f>
        <v>0</v>
      </c>
      <c r="L22" s="372">
        <f>Input!$CO$39</f>
        <v>0</v>
      </c>
      <c r="M22" s="373">
        <f t="shared" si="3"/>
        <v>0</v>
      </c>
      <c r="N22" s="270"/>
      <c r="O22" s="434" t="s">
        <v>1046</v>
      </c>
      <c r="P22" s="276"/>
      <c r="Q22" s="424">
        <f>M23</f>
        <v>90455286</v>
      </c>
      <c r="R22" s="562"/>
      <c r="T22" s="650" t="s">
        <v>1047</v>
      </c>
      <c r="U22" s="266"/>
      <c r="V22" s="266"/>
      <c r="W22" s="652">
        <f>R30*-1</f>
        <v>47773232</v>
      </c>
      <c r="X22" s="425"/>
    </row>
    <row r="23" spans="1:26" s="264" customFormat="1" ht="12.75" customHeight="1">
      <c r="A23" s="263"/>
      <c r="B23" s="558" t="s">
        <v>726</v>
      </c>
      <c r="C23" s="563"/>
      <c r="D23" s="564">
        <f>Input!$CP$39</f>
        <v>18345811</v>
      </c>
      <c r="E23" s="564">
        <f>Input!$CQ$39</f>
        <v>72109475</v>
      </c>
      <c r="F23" s="564">
        <f>Input!$CR$39</f>
        <v>0</v>
      </c>
      <c r="G23" s="564">
        <f>Input!$CS$39</f>
        <v>0</v>
      </c>
      <c r="H23" s="564">
        <f>Input!$CT$39</f>
        <v>0</v>
      </c>
      <c r="I23" s="564">
        <f>Input!$CU$39</f>
        <v>0</v>
      </c>
      <c r="J23" s="564">
        <f>Input!$CV$39</f>
        <v>0</v>
      </c>
      <c r="K23" s="564">
        <f>Input!$CW$39</f>
        <v>0</v>
      </c>
      <c r="L23" s="564">
        <f>Input!$CX$39</f>
        <v>0</v>
      </c>
      <c r="M23" s="565">
        <f t="shared" si="3"/>
        <v>90455286</v>
      </c>
      <c r="O23" s="434"/>
      <c r="P23" s="276"/>
      <c r="Q23" s="424"/>
      <c r="R23" s="562"/>
      <c r="T23" s="560" t="s">
        <v>1230</v>
      </c>
      <c r="U23" s="266"/>
      <c r="V23" s="266"/>
      <c r="W23" s="276"/>
      <c r="X23" s="425">
        <f>SUM(W21:W22)</f>
        <v>128301274</v>
      </c>
      <c r="Z23" s="330"/>
    </row>
    <row r="24" spans="1:26" s="264" customFormat="1" ht="12.75" customHeight="1">
      <c r="A24" s="263"/>
      <c r="B24" s="261" t="s">
        <v>727</v>
      </c>
      <c r="C24" s="566"/>
      <c r="D24" s="372">
        <f>Input!$CY$39</f>
        <v>0</v>
      </c>
      <c r="E24" s="372">
        <f>Input!$CZ$39</f>
        <v>0</v>
      </c>
      <c r="F24" s="372">
        <f>Input!$DA$39</f>
        <v>0</v>
      </c>
      <c r="G24" s="372">
        <f>Input!$DB$39</f>
        <v>0</v>
      </c>
      <c r="H24" s="372">
        <f>Input!$DC$39</f>
        <v>0</v>
      </c>
      <c r="I24" s="372">
        <f>Input!$DD$39</f>
        <v>0</v>
      </c>
      <c r="J24" s="372">
        <f>Input!$DE$39</f>
        <v>0</v>
      </c>
      <c r="K24" s="372">
        <f>Input!$DF$39</f>
        <v>0</v>
      </c>
      <c r="L24" s="372">
        <f>Input!$DG$39</f>
        <v>0</v>
      </c>
      <c r="M24" s="567">
        <f t="shared" si="3"/>
        <v>0</v>
      </c>
      <c r="O24" s="417" t="s">
        <v>1048</v>
      </c>
      <c r="P24" s="276"/>
      <c r="Q24" s="327"/>
      <c r="R24" s="646">
        <f>SUM(M24:M28)</f>
        <v>-33413704</v>
      </c>
      <c r="T24" s="560"/>
      <c r="U24" s="266"/>
      <c r="V24" s="266"/>
      <c r="X24" s="425"/>
      <c r="Z24" s="330"/>
    </row>
    <row r="25" spans="1:26" s="264" customFormat="1" ht="12.75" customHeight="1">
      <c r="A25" s="263"/>
      <c r="B25" s="261" t="s">
        <v>728</v>
      </c>
      <c r="C25" s="566"/>
      <c r="D25" s="372">
        <f>Input!$DH$39</f>
        <v>0</v>
      </c>
      <c r="E25" s="372">
        <f>Input!$DI$39</f>
        <v>0</v>
      </c>
      <c r="F25" s="372">
        <f>Input!$DJ$39</f>
        <v>0</v>
      </c>
      <c r="G25" s="372">
        <f>Input!$DK$39</f>
        <v>0</v>
      </c>
      <c r="H25" s="372">
        <f>Input!$DL$39</f>
        <v>0</v>
      </c>
      <c r="I25" s="372">
        <f>Input!$DM$39</f>
        <v>0</v>
      </c>
      <c r="J25" s="372">
        <f>Input!$DN$39</f>
        <v>0</v>
      </c>
      <c r="K25" s="372">
        <f>Input!$DO$39</f>
        <v>0</v>
      </c>
      <c r="L25" s="372">
        <f>Input!$DP$39</f>
        <v>0</v>
      </c>
      <c r="M25" s="567">
        <f t="shared" si="3"/>
        <v>0</v>
      </c>
      <c r="O25" s="434"/>
      <c r="P25" s="276"/>
      <c r="Q25" s="327"/>
      <c r="R25" s="646"/>
      <c r="T25" s="568" t="s">
        <v>1103</v>
      </c>
      <c r="U25" s="569"/>
      <c r="V25" s="569"/>
      <c r="W25" s="653">
        <f>(M26+M39)*-1</f>
        <v>16240364</v>
      </c>
      <c r="X25" s="425"/>
      <c r="Z25" s="330"/>
    </row>
    <row r="26" spans="1:26" s="264" customFormat="1" ht="12.75" customHeight="1">
      <c r="A26" s="263"/>
      <c r="B26" s="261" t="s">
        <v>729</v>
      </c>
      <c r="C26" s="566"/>
      <c r="D26" s="372">
        <f>Input!$DQ$39</f>
        <v>-1159264</v>
      </c>
      <c r="E26" s="372">
        <f>Input!$DR$39</f>
        <v>-10020259</v>
      </c>
      <c r="F26" s="372">
        <f>Input!$DS$39</f>
        <v>0</v>
      </c>
      <c r="G26" s="372">
        <f>Input!$DT$39</f>
        <v>0</v>
      </c>
      <c r="H26" s="372">
        <f>Input!$DU$39</f>
        <v>0</v>
      </c>
      <c r="I26" s="372">
        <f>Input!$DV$39</f>
        <v>0</v>
      </c>
      <c r="J26" s="372">
        <f>Input!$DW$39</f>
        <v>0</v>
      </c>
      <c r="K26" s="372">
        <f>Input!$DX$39</f>
        <v>0</v>
      </c>
      <c r="L26" s="372">
        <f>Input!$DY$39</f>
        <v>0</v>
      </c>
      <c r="M26" s="567">
        <f t="shared" si="3"/>
        <v>-11179523</v>
      </c>
      <c r="O26" s="434" t="s">
        <v>1049</v>
      </c>
      <c r="P26" s="276"/>
      <c r="Q26" s="427">
        <f>M36</f>
        <v>37845988</v>
      </c>
      <c r="R26" s="570"/>
      <c r="T26" s="560" t="s">
        <v>1104</v>
      </c>
      <c r="U26" s="266"/>
      <c r="V26" s="266"/>
      <c r="W26" s="571">
        <f>(M21+M34)*-1</f>
        <v>0</v>
      </c>
      <c r="X26" s="425"/>
      <c r="Z26" s="330"/>
    </row>
    <row r="27" spans="1:26" s="264" customFormat="1">
      <c r="A27" s="263"/>
      <c r="B27" s="261" t="s">
        <v>730</v>
      </c>
      <c r="C27" s="566"/>
      <c r="D27" s="372">
        <f>Input!$DZ$39</f>
        <v>0</v>
      </c>
      <c r="E27" s="372">
        <f>Input!$EA$39</f>
        <v>0</v>
      </c>
      <c r="F27" s="372">
        <f>Input!$EB$39</f>
        <v>0</v>
      </c>
      <c r="G27" s="372">
        <f>Input!$EC$39</f>
        <v>0</v>
      </c>
      <c r="H27" s="372">
        <f>Input!$ED$39</f>
        <v>0</v>
      </c>
      <c r="I27" s="372">
        <f>Input!$EE$39</f>
        <v>0</v>
      </c>
      <c r="J27" s="372">
        <f>Input!$EF$39</f>
        <v>0</v>
      </c>
      <c r="K27" s="372">
        <f>Input!$EG$39</f>
        <v>0</v>
      </c>
      <c r="L27" s="372">
        <f>Input!EH6</f>
        <v>0</v>
      </c>
      <c r="M27" s="567">
        <f t="shared" si="3"/>
        <v>0</v>
      </c>
      <c r="O27" s="434"/>
      <c r="P27" s="276"/>
      <c r="Q27" s="427"/>
      <c r="R27" s="570"/>
      <c r="T27" s="650" t="s">
        <v>1105</v>
      </c>
      <c r="U27" s="584"/>
      <c r="V27" s="584"/>
      <c r="W27" s="654">
        <f>SUM(W25:W26)</f>
        <v>16240364</v>
      </c>
      <c r="X27" s="655"/>
    </row>
    <row r="28" spans="1:26" s="264" customFormat="1">
      <c r="A28" s="263"/>
      <c r="B28" s="261" t="s">
        <v>2133</v>
      </c>
      <c r="C28" s="566"/>
      <c r="D28" s="372">
        <f>Input!$EI$39</f>
        <v>-5670118</v>
      </c>
      <c r="E28" s="372">
        <f>Input!$EJ$39</f>
        <v>-16564063</v>
      </c>
      <c r="F28" s="372">
        <f>Input!$EK$39</f>
        <v>0</v>
      </c>
      <c r="G28" s="372">
        <f>Input!$EL$39</f>
        <v>0</v>
      </c>
      <c r="H28" s="372">
        <f>Input!$EM$39</f>
        <v>0</v>
      </c>
      <c r="I28" s="372">
        <f>Input!$EN$39</f>
        <v>0</v>
      </c>
      <c r="J28" s="372">
        <f>Input!$EO$39</f>
        <v>0</v>
      </c>
      <c r="K28" s="372">
        <f>Input!$EP$39</f>
        <v>0</v>
      </c>
      <c r="L28" s="372">
        <f>Input!$EQ$39</f>
        <v>0</v>
      </c>
      <c r="M28" s="567">
        <f t="shared" si="3"/>
        <v>-22234181</v>
      </c>
      <c r="O28" s="417" t="s">
        <v>1050</v>
      </c>
      <c r="Q28" s="429"/>
      <c r="R28" s="646">
        <f>SUM(M37:M41)</f>
        <v>-14359528</v>
      </c>
      <c r="T28" s="560" t="s">
        <v>1106</v>
      </c>
      <c r="U28" s="266"/>
      <c r="V28" s="266"/>
      <c r="W28" s="425">
        <f>(M27+M40)*-1</f>
        <v>0</v>
      </c>
      <c r="X28" s="655"/>
      <c r="Z28" s="330"/>
    </row>
    <row r="29" spans="1:26" s="264" customFormat="1" ht="12" customHeight="1">
      <c r="A29" s="263"/>
      <c r="B29" s="575" t="s">
        <v>39</v>
      </c>
      <c r="C29" s="563"/>
      <c r="D29" s="374">
        <f t="shared" ref="D29:L29" si="4">SUM(D23:D28)</f>
        <v>11516429</v>
      </c>
      <c r="E29" s="374">
        <f t="shared" si="4"/>
        <v>45525153</v>
      </c>
      <c r="F29" s="374">
        <f t="shared" si="4"/>
        <v>0</v>
      </c>
      <c r="G29" s="374">
        <f t="shared" si="4"/>
        <v>0</v>
      </c>
      <c r="H29" s="374">
        <f t="shared" si="4"/>
        <v>0</v>
      </c>
      <c r="I29" s="374">
        <f t="shared" si="4"/>
        <v>0</v>
      </c>
      <c r="J29" s="374">
        <f t="shared" si="4"/>
        <v>0</v>
      </c>
      <c r="K29" s="374">
        <f t="shared" si="4"/>
        <v>0</v>
      </c>
      <c r="L29" s="374">
        <f t="shared" si="4"/>
        <v>0</v>
      </c>
      <c r="M29" s="374">
        <f t="shared" si="3"/>
        <v>57041582</v>
      </c>
      <c r="O29" s="417"/>
      <c r="Q29" s="429"/>
      <c r="R29" s="576"/>
      <c r="T29" s="560" t="s">
        <v>1107</v>
      </c>
      <c r="U29" s="266"/>
      <c r="V29" s="266"/>
      <c r="W29" s="571">
        <f>(M22+M35)*-1</f>
        <v>0</v>
      </c>
      <c r="X29" s="655"/>
    </row>
    <row r="30" spans="1:26" s="264" customFormat="1" ht="16.5" customHeight="1">
      <c r="A30" s="263"/>
      <c r="B30" s="261"/>
      <c r="C30" s="566"/>
      <c r="D30" s="566"/>
      <c r="E30" s="566"/>
      <c r="F30" s="566"/>
      <c r="G30" s="566"/>
      <c r="H30" s="566"/>
      <c r="I30" s="566"/>
      <c r="J30" s="566"/>
      <c r="K30" s="566"/>
      <c r="L30" s="566"/>
      <c r="M30" s="567"/>
      <c r="O30" s="431" t="s">
        <v>289</v>
      </c>
      <c r="P30" s="432"/>
      <c r="Q30" s="433">
        <f>Q26+Q22</f>
        <v>128301274</v>
      </c>
      <c r="R30" s="647">
        <f>R28+R24</f>
        <v>-47773232</v>
      </c>
      <c r="T30" s="650" t="s">
        <v>1108</v>
      </c>
      <c r="U30" s="584"/>
      <c r="V30" s="584"/>
      <c r="W30" s="654">
        <f>SUM(W28:W29)</f>
        <v>0</v>
      </c>
      <c r="X30" s="655"/>
    </row>
    <row r="31" spans="1:26" s="264" customFormat="1" ht="12.75" customHeight="1">
      <c r="A31" s="263"/>
      <c r="B31" s="558" t="s">
        <v>1052</v>
      </c>
      <c r="C31" s="558"/>
      <c r="D31" s="374">
        <f t="shared" ref="D31:L31" si="5">D36-SUM(D32:D35)</f>
        <v>189736</v>
      </c>
      <c r="E31" s="374">
        <f t="shared" si="5"/>
        <v>30847387</v>
      </c>
      <c r="F31" s="374">
        <f t="shared" si="5"/>
        <v>6808865</v>
      </c>
      <c r="G31" s="374">
        <f t="shared" si="5"/>
        <v>0</v>
      </c>
      <c r="H31" s="374">
        <f t="shared" si="5"/>
        <v>0</v>
      </c>
      <c r="I31" s="374">
        <f t="shared" si="5"/>
        <v>0</v>
      </c>
      <c r="J31" s="374">
        <f t="shared" si="5"/>
        <v>0</v>
      </c>
      <c r="K31" s="374">
        <f t="shared" si="5"/>
        <v>0</v>
      </c>
      <c r="L31" s="374">
        <f t="shared" si="5"/>
        <v>0</v>
      </c>
      <c r="M31" s="374">
        <f t="shared" ref="M31:M42" si="6">D31+E31+F31+G31+H31+I31+J31+K31+L31</f>
        <v>37845988</v>
      </c>
      <c r="O31" s="434" t="s">
        <v>290</v>
      </c>
      <c r="P31" s="276"/>
      <c r="Q31" s="335"/>
      <c r="R31" s="562"/>
      <c r="T31" s="572" t="s">
        <v>1109</v>
      </c>
      <c r="U31" s="573"/>
      <c r="V31" s="573"/>
      <c r="W31" s="574">
        <f>W27+W30</f>
        <v>16240364</v>
      </c>
      <c r="X31" s="425"/>
      <c r="Z31" s="330"/>
    </row>
    <row r="32" spans="1:26" s="264" customFormat="1" ht="12.75" customHeight="1">
      <c r="A32" s="263"/>
      <c r="B32" s="261" t="s">
        <v>722</v>
      </c>
      <c r="C32" s="261"/>
      <c r="D32" s="372">
        <f>Input!$ER$39</f>
        <v>0</v>
      </c>
      <c r="E32" s="372">
        <f>Input!$ES$39</f>
        <v>0</v>
      </c>
      <c r="F32" s="372">
        <f>Input!$ET$39</f>
        <v>0</v>
      </c>
      <c r="G32" s="372">
        <f>Input!$EU$39</f>
        <v>0</v>
      </c>
      <c r="H32" s="372">
        <f>Input!$EV$39</f>
        <v>0</v>
      </c>
      <c r="I32" s="372">
        <f>Input!$EW$39</f>
        <v>0</v>
      </c>
      <c r="J32" s="372">
        <f>Input!$EX$39</f>
        <v>0</v>
      </c>
      <c r="K32" s="372">
        <f>Input!$EY$39</f>
        <v>0</v>
      </c>
      <c r="L32" s="372">
        <f>Input!$EZ$39</f>
        <v>0</v>
      </c>
      <c r="M32" s="567">
        <f t="shared" si="6"/>
        <v>0</v>
      </c>
      <c r="O32" s="415" t="s">
        <v>1295</v>
      </c>
      <c r="P32" s="416"/>
      <c r="Q32" s="577">
        <f>Input!$SQ$39</f>
        <v>128301274</v>
      </c>
      <c r="R32" s="578"/>
      <c r="T32" s="560"/>
      <c r="U32" s="266"/>
      <c r="V32" s="266"/>
      <c r="X32" s="425"/>
      <c r="Z32" s="330"/>
    </row>
    <row r="33" spans="1:24" s="264" customFormat="1">
      <c r="A33" s="263"/>
      <c r="B33" s="261" t="s">
        <v>723</v>
      </c>
      <c r="C33" s="261"/>
      <c r="D33" s="372">
        <f>Input!$FA$39</f>
        <v>0</v>
      </c>
      <c r="E33" s="372">
        <f>Input!$FB$39</f>
        <v>0</v>
      </c>
      <c r="F33" s="372">
        <f>Input!$FC$39</f>
        <v>0</v>
      </c>
      <c r="G33" s="372">
        <f>Input!$FD$39</f>
        <v>0</v>
      </c>
      <c r="H33" s="372">
        <f>Input!$FE$39</f>
        <v>0</v>
      </c>
      <c r="I33" s="372">
        <f>Input!$FF$39</f>
        <v>0</v>
      </c>
      <c r="J33" s="372">
        <f>Input!$FG$39</f>
        <v>0</v>
      </c>
      <c r="K33" s="372">
        <f>Input!$FH$39</f>
        <v>0</v>
      </c>
      <c r="L33" s="372">
        <f>Input!$FI$39</f>
        <v>0</v>
      </c>
      <c r="M33" s="567">
        <f t="shared" si="6"/>
        <v>0</v>
      </c>
      <c r="O33" s="415"/>
      <c r="P33" s="416"/>
      <c r="Q33" s="327"/>
      <c r="R33" s="578"/>
      <c r="T33" s="560" t="s">
        <v>1051</v>
      </c>
      <c r="U33" s="266"/>
      <c r="V33" s="266"/>
      <c r="W33" s="334">
        <f>(M19+M32)*-1</f>
        <v>329901</v>
      </c>
      <c r="X33" s="425"/>
    </row>
    <row r="34" spans="1:24" s="264" customFormat="1">
      <c r="A34" s="263"/>
      <c r="B34" s="261" t="s">
        <v>724</v>
      </c>
      <c r="C34" s="261"/>
      <c r="D34" s="372">
        <f>Input!$FJ$39</f>
        <v>0</v>
      </c>
      <c r="E34" s="372">
        <f>Input!$FK$39</f>
        <v>0</v>
      </c>
      <c r="F34" s="372">
        <f>Input!$FL$39</f>
        <v>0</v>
      </c>
      <c r="G34" s="372">
        <f>Input!$FM$39</f>
        <v>0</v>
      </c>
      <c r="H34" s="372">
        <f>Input!$FN$39</f>
        <v>0</v>
      </c>
      <c r="I34" s="372">
        <f>Input!$FO$39</f>
        <v>0</v>
      </c>
      <c r="J34" s="372">
        <f>Input!$FP$39</f>
        <v>0</v>
      </c>
      <c r="K34" s="372">
        <f>Input!$FQ$39</f>
        <v>0</v>
      </c>
      <c r="L34" s="372">
        <f>Input!$FR$39</f>
        <v>0</v>
      </c>
      <c r="M34" s="567">
        <f t="shared" si="6"/>
        <v>0</v>
      </c>
      <c r="O34" s="435" t="s">
        <v>1296</v>
      </c>
      <c r="P34" s="436"/>
      <c r="Q34" s="264" t="s">
        <v>291</v>
      </c>
      <c r="R34" s="648">
        <f>Input!$SR$39</f>
        <v>-47773232</v>
      </c>
      <c r="T34" s="560" t="s">
        <v>1110</v>
      </c>
      <c r="U34" s="266"/>
      <c r="V34" s="266"/>
      <c r="W34" s="430">
        <f>(M24+M37)*-1</f>
        <v>0</v>
      </c>
      <c r="X34" s="425"/>
    </row>
    <row r="35" spans="1:24" s="264" customFormat="1" ht="13.5" thickBot="1">
      <c r="A35" s="263"/>
      <c r="B35" s="261" t="s">
        <v>725</v>
      </c>
      <c r="C35" s="261"/>
      <c r="D35" s="372">
        <f>Input!$FS$39</f>
        <v>0</v>
      </c>
      <c r="E35" s="372">
        <f>Input!$FT$39</f>
        <v>0</v>
      </c>
      <c r="F35" s="372">
        <f>Input!$FU$39</f>
        <v>0</v>
      </c>
      <c r="G35" s="372">
        <f>Input!$FV$39</f>
        <v>0</v>
      </c>
      <c r="H35" s="372">
        <f>Input!$FW$39</f>
        <v>0</v>
      </c>
      <c r="I35" s="372">
        <f>Input!$FX$39</f>
        <v>0</v>
      </c>
      <c r="J35" s="372">
        <f>Input!$FY$39</f>
        <v>0</v>
      </c>
      <c r="K35" s="372">
        <f>Input!$FZ$39</f>
        <v>0</v>
      </c>
      <c r="L35" s="372">
        <f>Input!$GA$39</f>
        <v>0</v>
      </c>
      <c r="M35" s="567">
        <f t="shared" si="6"/>
        <v>0</v>
      </c>
      <c r="O35" s="418" t="s">
        <v>286</v>
      </c>
      <c r="P35" s="419"/>
      <c r="Q35" s="420">
        <f>Q30-Q32</f>
        <v>0</v>
      </c>
      <c r="R35" s="649">
        <f>R30-R34</f>
        <v>0</v>
      </c>
      <c r="T35" s="650" t="s">
        <v>1111</v>
      </c>
      <c r="U35" s="584"/>
      <c r="V35" s="584"/>
      <c r="W35" s="656">
        <f>SUM(W33:W34)</f>
        <v>329901</v>
      </c>
      <c r="X35" s="655"/>
    </row>
    <row r="36" spans="1:24" s="264" customFormat="1" ht="13.5" thickTop="1">
      <c r="A36" s="263"/>
      <c r="B36" s="558" t="s">
        <v>732</v>
      </c>
      <c r="C36" s="563"/>
      <c r="D36" s="564">
        <f>Input!$GB$39</f>
        <v>189736</v>
      </c>
      <c r="E36" s="564">
        <f>Input!$GC$39</f>
        <v>30847387</v>
      </c>
      <c r="F36" s="564">
        <f>Input!$GD$39</f>
        <v>6808865</v>
      </c>
      <c r="G36" s="564">
        <f>Input!$GE$39</f>
        <v>0</v>
      </c>
      <c r="H36" s="564">
        <f>Input!$GF$39</f>
        <v>0</v>
      </c>
      <c r="I36" s="564">
        <f>Input!$GG$39</f>
        <v>0</v>
      </c>
      <c r="J36" s="564">
        <f>Input!$GH$39</f>
        <v>0</v>
      </c>
      <c r="K36" s="564">
        <f>Input!$GI$39</f>
        <v>0</v>
      </c>
      <c r="L36" s="564">
        <f>Input!$GJ$39</f>
        <v>0</v>
      </c>
      <c r="M36" s="565">
        <f t="shared" si="6"/>
        <v>37845988</v>
      </c>
      <c r="O36" s="261"/>
      <c r="Q36" s="412" t="str">
        <f>IF(Q30&lt;&gt;Q32,"Out of Balance","Balanced")</f>
        <v>Balanced</v>
      </c>
      <c r="R36" s="412" t="str">
        <f>IF(R30&lt;&gt;R34,"Out of Balance","Balanced")</f>
        <v>Balanced</v>
      </c>
      <c r="T36" s="560" t="s">
        <v>1053</v>
      </c>
      <c r="U36" s="266"/>
      <c r="V36" s="266"/>
      <c r="W36" s="334">
        <f>(M20+M33)*-1</f>
        <v>0</v>
      </c>
      <c r="X36" s="425"/>
    </row>
    <row r="37" spans="1:24" s="264" customFormat="1">
      <c r="A37" s="263"/>
      <c r="B37" s="261" t="s">
        <v>727</v>
      </c>
      <c r="C37" s="566"/>
      <c r="D37" s="372">
        <f>Input!$GK$39</f>
        <v>0</v>
      </c>
      <c r="E37" s="372">
        <f>Input!$GL$39</f>
        <v>0</v>
      </c>
      <c r="F37" s="372">
        <f>Input!$GM$39</f>
        <v>0</v>
      </c>
      <c r="G37" s="372">
        <f>Input!$GN$39</f>
        <v>0</v>
      </c>
      <c r="H37" s="372">
        <f>Input!$GO$39</f>
        <v>0</v>
      </c>
      <c r="I37" s="372">
        <f>Input!$GP$39</f>
        <v>0</v>
      </c>
      <c r="J37" s="372">
        <f>Input!$GQ$39</f>
        <v>0</v>
      </c>
      <c r="K37" s="372">
        <f>Input!$GR$39</f>
        <v>0</v>
      </c>
      <c r="L37" s="372">
        <f>Input!$GS$39</f>
        <v>0</v>
      </c>
      <c r="M37" s="567">
        <f t="shared" si="6"/>
        <v>0</v>
      </c>
      <c r="O37" s="261"/>
      <c r="T37" s="560" t="s">
        <v>1112</v>
      </c>
      <c r="U37" s="266"/>
      <c r="V37" s="266"/>
      <c r="W37" s="430">
        <f>(M25+M38)*-1</f>
        <v>0</v>
      </c>
      <c r="X37" s="655"/>
    </row>
    <row r="38" spans="1:24" s="264" customFormat="1">
      <c r="A38" s="263"/>
      <c r="B38" s="261" t="s">
        <v>728</v>
      </c>
      <c r="C38" s="566"/>
      <c r="D38" s="372">
        <f>Input!$GT$39</f>
        <v>0</v>
      </c>
      <c r="E38" s="372">
        <f>Input!$GU$39</f>
        <v>0</v>
      </c>
      <c r="F38" s="372">
        <f>Input!$GV$39</f>
        <v>0</v>
      </c>
      <c r="G38" s="372">
        <f>Input!$GW$39</f>
        <v>0</v>
      </c>
      <c r="H38" s="372">
        <f>Input!$GX$39</f>
        <v>0</v>
      </c>
      <c r="I38" s="372">
        <f>Input!$GY$39</f>
        <v>0</v>
      </c>
      <c r="J38" s="372">
        <f>Input!$GZ$39</f>
        <v>0</v>
      </c>
      <c r="K38" s="372">
        <f>Input!$HA$39</f>
        <v>0</v>
      </c>
      <c r="L38" s="372">
        <f>Input!$HB$39</f>
        <v>0</v>
      </c>
      <c r="M38" s="567">
        <f t="shared" si="6"/>
        <v>0</v>
      </c>
      <c r="O38" s="261"/>
      <c r="T38" s="650" t="s">
        <v>1113</v>
      </c>
      <c r="U38" s="584"/>
      <c r="V38" s="584"/>
      <c r="W38" s="656">
        <f>SUM(W36:W37)</f>
        <v>0</v>
      </c>
      <c r="X38" s="425"/>
    </row>
    <row r="39" spans="1:24" s="264" customFormat="1">
      <c r="A39" s="263"/>
      <c r="B39" s="261" t="s">
        <v>729</v>
      </c>
      <c r="C39" s="566"/>
      <c r="D39" s="372">
        <f>Input!$HC$39</f>
        <v>-26447</v>
      </c>
      <c r="E39" s="372">
        <f>Input!$HD$39</f>
        <v>-4314275</v>
      </c>
      <c r="F39" s="372">
        <f>Input!$HE$39</f>
        <v>-720119</v>
      </c>
      <c r="G39" s="372">
        <f>Input!$HF$39</f>
        <v>0</v>
      </c>
      <c r="H39" s="372">
        <f>Input!$HG$39</f>
        <v>0</v>
      </c>
      <c r="I39" s="372">
        <f>Input!$HH$39</f>
        <v>0</v>
      </c>
      <c r="J39" s="372">
        <f>Input!$HI$39</f>
        <v>0</v>
      </c>
      <c r="K39" s="372">
        <f>Input!$HJ$39</f>
        <v>0</v>
      </c>
      <c r="L39" s="372">
        <f>Input!$HK$39</f>
        <v>0</v>
      </c>
      <c r="M39" s="567">
        <f t="shared" si="6"/>
        <v>-5060841</v>
      </c>
      <c r="O39" s="261"/>
      <c r="T39" s="560" t="s">
        <v>1054</v>
      </c>
      <c r="U39" s="266"/>
      <c r="V39" s="266"/>
      <c r="W39" s="334"/>
      <c r="X39" s="425">
        <f>W38+W35</f>
        <v>329901</v>
      </c>
    </row>
    <row r="40" spans="1:24" s="264" customFormat="1">
      <c r="A40" s="263"/>
      <c r="B40" s="261" t="s">
        <v>730</v>
      </c>
      <c r="C40" s="566"/>
      <c r="D40" s="372">
        <f>Input!$HL$39</f>
        <v>0</v>
      </c>
      <c r="E40" s="372">
        <f>Input!$HM$39</f>
        <v>0</v>
      </c>
      <c r="F40" s="372">
        <f>Input!$HN$39</f>
        <v>0</v>
      </c>
      <c r="G40" s="372">
        <f>Input!$HO$39</f>
        <v>0</v>
      </c>
      <c r="H40" s="372">
        <f>Input!$HP$39</f>
        <v>0</v>
      </c>
      <c r="I40" s="372">
        <f>Input!$HQ$39</f>
        <v>0</v>
      </c>
      <c r="J40" s="372">
        <f>Input!$HR$39</f>
        <v>0</v>
      </c>
      <c r="K40" s="372">
        <f>Input!$HS$39</f>
        <v>0</v>
      </c>
      <c r="L40" s="372">
        <f>Input!$HT$39</f>
        <v>0</v>
      </c>
      <c r="M40" s="567">
        <f t="shared" si="6"/>
        <v>0</v>
      </c>
      <c r="O40" s="261"/>
      <c r="T40" s="560"/>
      <c r="U40" s="261"/>
      <c r="V40" s="261"/>
      <c r="W40" s="261"/>
      <c r="X40" s="655"/>
    </row>
    <row r="41" spans="1:24" s="264" customFormat="1">
      <c r="A41" s="263"/>
      <c r="B41" s="261" t="s">
        <v>2133</v>
      </c>
      <c r="C41" s="566"/>
      <c r="D41" s="372">
        <f>Input!$HU$39</f>
        <v>-43502</v>
      </c>
      <c r="E41" s="372">
        <f>Input!$HV$39</f>
        <v>-7420451</v>
      </c>
      <c r="F41" s="372">
        <f>Input!$HW$39</f>
        <v>-1834734</v>
      </c>
      <c r="G41" s="372">
        <f>Input!$HX$39</f>
        <v>0</v>
      </c>
      <c r="H41" s="372">
        <f>Input!$HY$39</f>
        <v>0</v>
      </c>
      <c r="I41" s="372">
        <f>Input!$HZ$39</f>
        <v>0</v>
      </c>
      <c r="J41" s="372">
        <f>Input!$IA$39</f>
        <v>0</v>
      </c>
      <c r="K41" s="372">
        <f>Input!$IB$39</f>
        <v>0</v>
      </c>
      <c r="L41" s="372">
        <f>Input!$IC$39</f>
        <v>0</v>
      </c>
      <c r="M41" s="567">
        <f t="shared" si="6"/>
        <v>-9298687</v>
      </c>
      <c r="O41"/>
      <c r="P41"/>
      <c r="Q41"/>
      <c r="R41"/>
      <c r="S41"/>
      <c r="T41" s="560" t="s">
        <v>1104</v>
      </c>
      <c r="U41" s="266"/>
      <c r="V41" s="266"/>
      <c r="W41" s="330">
        <f>(M21+M34)*-1</f>
        <v>0</v>
      </c>
      <c r="X41" s="425"/>
    </row>
    <row r="42" spans="1:24" s="264" customFormat="1">
      <c r="A42" s="263"/>
      <c r="B42" s="575" t="s">
        <v>40</v>
      </c>
      <c r="C42" s="563"/>
      <c r="D42" s="374">
        <f t="shared" ref="D42:L42" si="7">SUM(D36:D41)</f>
        <v>119787</v>
      </c>
      <c r="E42" s="374">
        <f t="shared" si="7"/>
        <v>19112661</v>
      </c>
      <c r="F42" s="374">
        <f t="shared" si="7"/>
        <v>4254012</v>
      </c>
      <c r="G42" s="374">
        <f t="shared" si="7"/>
        <v>0</v>
      </c>
      <c r="H42" s="374">
        <f t="shared" si="7"/>
        <v>0</v>
      </c>
      <c r="I42" s="374">
        <f t="shared" si="7"/>
        <v>0</v>
      </c>
      <c r="J42" s="374">
        <f t="shared" si="7"/>
        <v>0</v>
      </c>
      <c r="K42" s="374">
        <f t="shared" si="7"/>
        <v>0</v>
      </c>
      <c r="L42" s="374">
        <f t="shared" si="7"/>
        <v>0</v>
      </c>
      <c r="M42" s="374">
        <f t="shared" si="6"/>
        <v>23486460</v>
      </c>
      <c r="O42"/>
      <c r="P42"/>
      <c r="Q42"/>
      <c r="R42"/>
      <c r="S42"/>
      <c r="T42" s="560" t="s">
        <v>1107</v>
      </c>
      <c r="U42" s="266"/>
      <c r="V42" s="266"/>
      <c r="W42" s="430">
        <f>(M22+M35)*-1</f>
        <v>0</v>
      </c>
      <c r="X42" s="425"/>
    </row>
    <row r="43" spans="1:24" s="264" customFormat="1">
      <c r="A43" s="263"/>
      <c r="B43" s="261"/>
      <c r="C43" s="566"/>
      <c r="D43" s="566"/>
      <c r="E43" s="566"/>
      <c r="F43" s="566"/>
      <c r="G43" s="566"/>
      <c r="H43" s="566"/>
      <c r="I43" s="566"/>
      <c r="J43" s="566"/>
      <c r="K43" s="566"/>
      <c r="L43" s="566"/>
      <c r="M43" s="567"/>
      <c r="O43"/>
      <c r="P43"/>
      <c r="Q43"/>
      <c r="R43"/>
      <c r="S43"/>
      <c r="T43" s="650" t="s">
        <v>1114</v>
      </c>
      <c r="U43" s="584"/>
      <c r="V43" s="584"/>
      <c r="W43" s="656">
        <f>SUM(W41:W42)</f>
        <v>0</v>
      </c>
      <c r="X43" s="655"/>
    </row>
    <row r="44" spans="1:24" s="264" customFormat="1" ht="13.5" customHeight="1">
      <c r="A44" s="263"/>
      <c r="B44" s="575" t="s">
        <v>1055</v>
      </c>
      <c r="C44" s="563"/>
      <c r="D44" s="374">
        <f t="shared" ref="D44:L44" si="8">D42+D29</f>
        <v>11636216</v>
      </c>
      <c r="E44" s="374">
        <f t="shared" si="8"/>
        <v>64637814</v>
      </c>
      <c r="F44" s="374">
        <f t="shared" si="8"/>
        <v>4254012</v>
      </c>
      <c r="G44" s="374">
        <f t="shared" si="8"/>
        <v>0</v>
      </c>
      <c r="H44" s="374">
        <f t="shared" si="8"/>
        <v>0</v>
      </c>
      <c r="I44" s="374">
        <f t="shared" si="8"/>
        <v>0</v>
      </c>
      <c r="J44" s="374">
        <f t="shared" si="8"/>
        <v>0</v>
      </c>
      <c r="K44" s="374">
        <f t="shared" si="8"/>
        <v>0</v>
      </c>
      <c r="L44" s="374">
        <f t="shared" si="8"/>
        <v>0</v>
      </c>
      <c r="M44" s="374">
        <f>D44+E44+F44+G44+H44+I44+J44+K44+L44</f>
        <v>80528042</v>
      </c>
      <c r="O44"/>
      <c r="P44"/>
      <c r="Q44"/>
      <c r="R44"/>
      <c r="S44"/>
      <c r="T44" s="560"/>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0"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0" t="s">
        <v>1112</v>
      </c>
      <c r="U46" s="266"/>
      <c r="V46" s="266"/>
      <c r="W46" s="430">
        <f>(M25+M38)*-1</f>
        <v>0</v>
      </c>
      <c r="X46" s="425"/>
    </row>
    <row r="47" spans="1:24">
      <c r="A47" s="184">
        <v>30</v>
      </c>
      <c r="B47" s="176" t="s">
        <v>7</v>
      </c>
      <c r="C47" s="176"/>
      <c r="D47" s="375">
        <f>Input!$ID$39</f>
        <v>1926071</v>
      </c>
      <c r="E47" s="375">
        <f>Input!$IE$39</f>
        <v>0</v>
      </c>
      <c r="F47" s="375">
        <f>Input!$IF$39</f>
        <v>0</v>
      </c>
      <c r="G47" s="375">
        <f>Input!$IG$39</f>
        <v>72564573</v>
      </c>
      <c r="H47" s="375">
        <f>Input!$IH$39</f>
        <v>0</v>
      </c>
      <c r="I47" s="375">
        <f>Input!$II$39</f>
        <v>0</v>
      </c>
      <c r="J47" s="375">
        <f>Input!$IJ$39</f>
        <v>0</v>
      </c>
      <c r="K47" s="375">
        <f>Input!$IK$39</f>
        <v>0</v>
      </c>
      <c r="L47" s="375">
        <f>Input!$IL$39</f>
        <v>0</v>
      </c>
      <c r="M47" s="374">
        <f>D47+E47+F47+G47+H47+I47+J47+K47+L47</f>
        <v>74490644</v>
      </c>
      <c r="N47" s="160"/>
      <c r="O47"/>
      <c r="P47"/>
      <c r="Q47"/>
      <c r="R47"/>
      <c r="S47"/>
      <c r="T47" s="657" t="s">
        <v>1115</v>
      </c>
      <c r="U47" s="27"/>
      <c r="V47" s="27"/>
      <c r="W47" s="656">
        <f>SUM(W45:W46)</f>
        <v>0</v>
      </c>
      <c r="X47" s="655"/>
    </row>
    <row r="48" spans="1:24">
      <c r="A48" s="184">
        <v>31</v>
      </c>
      <c r="B48" s="160"/>
      <c r="C48" s="160"/>
      <c r="D48" s="373"/>
      <c r="E48" s="373"/>
      <c r="F48" s="373"/>
      <c r="G48" s="373"/>
      <c r="H48" s="373"/>
      <c r="I48" s="373"/>
      <c r="J48" s="373"/>
      <c r="K48" s="373"/>
      <c r="L48" s="373"/>
      <c r="M48" s="373"/>
      <c r="N48" s="160"/>
      <c r="O48"/>
      <c r="P48"/>
      <c r="Q48"/>
      <c r="R48"/>
      <c r="S48"/>
      <c r="T48" s="560"/>
      <c r="U48" s="261"/>
      <c r="V48" s="261"/>
      <c r="W48" s="261"/>
      <c r="X48" s="658">
        <f>W43-W47</f>
        <v>0</v>
      </c>
    </row>
    <row r="49" spans="1:28">
      <c r="A49" s="184">
        <v>32</v>
      </c>
      <c r="B49" s="172" t="s">
        <v>8</v>
      </c>
      <c r="C49" s="172"/>
      <c r="D49" s="373"/>
      <c r="E49" s="373"/>
      <c r="F49" s="373"/>
      <c r="G49" s="373"/>
      <c r="H49" s="373"/>
      <c r="I49" s="373"/>
      <c r="J49" s="373"/>
      <c r="K49" s="373"/>
      <c r="L49" s="373"/>
      <c r="M49" s="373"/>
      <c r="N49" s="160"/>
      <c r="O49" s="273"/>
      <c r="T49" s="579" t="s">
        <v>287</v>
      </c>
      <c r="U49" s="511"/>
      <c r="V49" s="580"/>
      <c r="W49" s="580"/>
      <c r="X49" s="574">
        <f>SUM(X23:X48)</f>
        <v>128631175</v>
      </c>
    </row>
    <row r="50" spans="1:28">
      <c r="A50" s="184">
        <v>33</v>
      </c>
      <c r="B50" s="160" t="s">
        <v>42</v>
      </c>
      <c r="C50" s="160"/>
      <c r="D50" s="372">
        <f>Input!$IM$39</f>
        <v>23589</v>
      </c>
      <c r="E50" s="372">
        <f>Input!$IN$39</f>
        <v>2645269</v>
      </c>
      <c r="F50" s="372">
        <f>Input!$IO$39</f>
        <v>478819</v>
      </c>
      <c r="G50" s="372">
        <f>Input!$IP$39</f>
        <v>533459</v>
      </c>
      <c r="H50" s="372">
        <f>Input!$IQ$39</f>
        <v>0</v>
      </c>
      <c r="I50" s="372">
        <f>Input!$IR$39</f>
        <v>1389429</v>
      </c>
      <c r="J50" s="372">
        <f>Input!$IS$39</f>
        <v>240323</v>
      </c>
      <c r="K50" s="372">
        <f>Input!$IT$39</f>
        <v>0</v>
      </c>
      <c r="L50" s="372">
        <f>Input!$IU$39</f>
        <v>0</v>
      </c>
      <c r="M50" s="373">
        <f t="shared" ref="M50:M57" si="9">D50+E50+F50+G50+H50+I50+J50+K50+L50</f>
        <v>5310888</v>
      </c>
      <c r="N50" s="160"/>
      <c r="O50" s="273"/>
      <c r="U50" s="275"/>
    </row>
    <row r="51" spans="1:28">
      <c r="A51" s="184">
        <v>34</v>
      </c>
      <c r="B51" s="160" t="s">
        <v>9</v>
      </c>
      <c r="C51" s="160"/>
      <c r="D51" s="372">
        <f>Input!$IV$39</f>
        <v>0</v>
      </c>
      <c r="E51" s="372">
        <f>Input!$IW$39</f>
        <v>0</v>
      </c>
      <c r="F51" s="372">
        <f>Input!$IX$39</f>
        <v>0</v>
      </c>
      <c r="G51" s="372">
        <f>Input!$IY$39</f>
        <v>1129224</v>
      </c>
      <c r="H51" s="372">
        <f>Input!$IZ$39</f>
        <v>0</v>
      </c>
      <c r="I51" s="372">
        <f>Input!$JA$39</f>
        <v>0</v>
      </c>
      <c r="J51" s="372">
        <f>Input!$JB$39</f>
        <v>0</v>
      </c>
      <c r="K51" s="372">
        <f>Input!$JC$39</f>
        <v>0</v>
      </c>
      <c r="L51" s="372">
        <f>Input!$JD$39</f>
        <v>0</v>
      </c>
      <c r="M51" s="376">
        <f t="shared" si="9"/>
        <v>1129224</v>
      </c>
      <c r="N51" s="160"/>
      <c r="Y51" s="277"/>
    </row>
    <row r="52" spans="1:28">
      <c r="A52" s="184">
        <v>35</v>
      </c>
      <c r="B52" s="160" t="s">
        <v>10</v>
      </c>
      <c r="C52" s="160"/>
      <c r="D52" s="372">
        <f>Input!$JE$39</f>
        <v>0</v>
      </c>
      <c r="E52" s="372">
        <f>Input!$JF$39</f>
        <v>12189</v>
      </c>
      <c r="F52" s="372">
        <f>Input!$JG$39</f>
        <v>1000000</v>
      </c>
      <c r="G52" s="372">
        <f>Input!$JH$39</f>
        <v>7254236</v>
      </c>
      <c r="H52" s="372">
        <f>Input!$JI$39</f>
        <v>0</v>
      </c>
      <c r="I52" s="372">
        <f>Input!$JJ$39</f>
        <v>0</v>
      </c>
      <c r="J52" s="372">
        <f>Input!$JK$39</f>
        <v>3971300</v>
      </c>
      <c r="K52" s="372">
        <f>Input!$JL$39</f>
        <v>0</v>
      </c>
      <c r="L52" s="372">
        <f>Input!$JM$39</f>
        <v>0</v>
      </c>
      <c r="M52" s="373">
        <f t="shared" si="9"/>
        <v>12237725</v>
      </c>
      <c r="N52" s="160"/>
      <c r="O52" s="273"/>
      <c r="P52" s="278"/>
    </row>
    <row r="53" spans="1:28">
      <c r="A53" s="184">
        <v>36</v>
      </c>
      <c r="B53" s="160" t="s">
        <v>11</v>
      </c>
      <c r="C53" s="160"/>
      <c r="D53" s="372">
        <f>Input!$JN$39</f>
        <v>683467</v>
      </c>
      <c r="E53" s="372">
        <f>Input!$JO$39</f>
        <v>3534732</v>
      </c>
      <c r="F53" s="372">
        <f>Input!$JP$39</f>
        <v>0</v>
      </c>
      <c r="G53" s="372">
        <f>Input!$JQ$39</f>
        <v>571352</v>
      </c>
      <c r="H53" s="372">
        <f>Input!$JR$39</f>
        <v>0</v>
      </c>
      <c r="I53" s="372">
        <f>Input!$JS$39</f>
        <v>0</v>
      </c>
      <c r="J53" s="372">
        <f>Input!$JT$39</f>
        <v>0</v>
      </c>
      <c r="K53" s="372">
        <f>Input!$JU$39</f>
        <v>0</v>
      </c>
      <c r="L53" s="372">
        <f>Input!$JV$39</f>
        <v>0</v>
      </c>
      <c r="M53" s="373">
        <f t="shared" si="9"/>
        <v>4789551</v>
      </c>
      <c r="N53" s="160"/>
      <c r="O53" s="273"/>
    </row>
    <row r="54" spans="1:28" ht="13.5" thickBot="1">
      <c r="A54" s="184">
        <v>37</v>
      </c>
      <c r="B54" s="177" t="s">
        <v>2134</v>
      </c>
      <c r="C54" s="177"/>
      <c r="D54" s="372">
        <f>Input!$JW$39</f>
        <v>0</v>
      </c>
      <c r="E54" s="372">
        <f>Input!$JX$39</f>
        <v>0</v>
      </c>
      <c r="F54" s="372">
        <f>Input!$JY$39</f>
        <v>17374062</v>
      </c>
      <c r="G54" s="372">
        <f>Input!$JZ$39</f>
        <v>0</v>
      </c>
      <c r="H54" s="372">
        <f>Input!$KA$39</f>
        <v>0</v>
      </c>
      <c r="I54" s="372">
        <f>Input!$KB$39</f>
        <v>0</v>
      </c>
      <c r="J54" s="372">
        <f>Input!$KC$39</f>
        <v>0</v>
      </c>
      <c r="K54" s="372">
        <f>Input!$KD$39</f>
        <v>0</v>
      </c>
      <c r="L54" s="372">
        <f>Input!$KE$39</f>
        <v>0</v>
      </c>
      <c r="M54" s="373">
        <f t="shared" si="9"/>
        <v>17374062</v>
      </c>
      <c r="N54" s="160"/>
      <c r="O54" s="273"/>
    </row>
    <row r="55" spans="1:28" ht="14.25" thickTop="1" thickBot="1">
      <c r="A55" s="184">
        <v>38</v>
      </c>
      <c r="B55" s="160" t="s">
        <v>43</v>
      </c>
      <c r="C55" s="160"/>
      <c r="D55" s="372">
        <f>Input!$KF$39</f>
        <v>13610</v>
      </c>
      <c r="E55" s="372">
        <f>Input!$KG$39</f>
        <v>1522833</v>
      </c>
      <c r="F55" s="372">
        <f>Input!$KH$39</f>
        <v>162783</v>
      </c>
      <c r="G55" s="372">
        <f>Input!$KI$39</f>
        <v>10735</v>
      </c>
      <c r="H55" s="372">
        <f>Input!$KJ$39</f>
        <v>-168136</v>
      </c>
      <c r="I55" s="372">
        <f>Input!$KK$39</f>
        <v>0</v>
      </c>
      <c r="J55" s="372">
        <f>Input!$KL$39</f>
        <v>0</v>
      </c>
      <c r="K55" s="372">
        <f>Input!$KM$39</f>
        <v>0</v>
      </c>
      <c r="L55" s="372">
        <f>Input!$KN$39</f>
        <v>0</v>
      </c>
      <c r="M55" s="373">
        <f t="shared" si="9"/>
        <v>1541825</v>
      </c>
      <c r="N55" s="160"/>
      <c r="O55" s="1616" t="s">
        <v>251</v>
      </c>
      <c r="P55" s="1617"/>
      <c r="Q55" s="1617"/>
      <c r="R55" s="1618"/>
      <c r="S55" s="437"/>
      <c r="T55" s="1619" t="s">
        <v>252</v>
      </c>
      <c r="U55" s="1620"/>
      <c r="V55" s="1620"/>
      <c r="W55" s="1620"/>
      <c r="X55" s="1621"/>
      <c r="Y55" s="320"/>
      <c r="Z55" s="1749" t="s">
        <v>1301</v>
      </c>
      <c r="AA55" s="1750"/>
      <c r="AB55" s="1751"/>
    </row>
    <row r="56" spans="1:28" ht="13.5" customHeight="1" thickTop="1">
      <c r="A56" s="184">
        <v>39</v>
      </c>
      <c r="B56" s="176" t="s">
        <v>3</v>
      </c>
      <c r="C56" s="176"/>
      <c r="D56" s="374">
        <f>SUM(D50:D55)</f>
        <v>720666</v>
      </c>
      <c r="E56" s="374">
        <f t="shared" ref="E56:L56" si="10">SUM(E50:E55)</f>
        <v>7715023</v>
      </c>
      <c r="F56" s="374">
        <f t="shared" si="10"/>
        <v>19015664</v>
      </c>
      <c r="G56" s="374">
        <f t="shared" si="10"/>
        <v>9499006</v>
      </c>
      <c r="H56" s="374">
        <f t="shared" si="10"/>
        <v>-168136</v>
      </c>
      <c r="I56" s="374">
        <f t="shared" si="10"/>
        <v>1389429</v>
      </c>
      <c r="J56" s="374">
        <f t="shared" si="10"/>
        <v>4211623</v>
      </c>
      <c r="K56" s="374">
        <f t="shared" si="10"/>
        <v>0</v>
      </c>
      <c r="L56" s="374">
        <f t="shared" si="10"/>
        <v>0</v>
      </c>
      <c r="M56" s="374">
        <f t="shared" si="9"/>
        <v>42383275</v>
      </c>
      <c r="N56" s="160"/>
      <c r="O56" s="1622" t="s">
        <v>1135</v>
      </c>
      <c r="P56" s="1625" t="s">
        <v>254</v>
      </c>
      <c r="Q56" s="1625" t="s">
        <v>292</v>
      </c>
      <c r="R56" s="1628" t="s">
        <v>1063</v>
      </c>
      <c r="S56" s="280"/>
      <c r="T56" s="1739" t="s">
        <v>1136</v>
      </c>
      <c r="U56" s="1637" t="s">
        <v>254</v>
      </c>
      <c r="V56" s="1634" t="s">
        <v>256</v>
      </c>
      <c r="W56" s="1637" t="s">
        <v>257</v>
      </c>
      <c r="X56" s="1638" t="s">
        <v>1064</v>
      </c>
      <c r="Z56" s="1754" t="s">
        <v>1302</v>
      </c>
      <c r="AA56" s="1747" t="s">
        <v>1303</v>
      </c>
      <c r="AB56" s="1752" t="s">
        <v>238</v>
      </c>
    </row>
    <row r="57" spans="1:28">
      <c r="A57" s="184">
        <v>40</v>
      </c>
      <c r="B57" s="162" t="s">
        <v>68</v>
      </c>
      <c r="C57" s="162"/>
      <c r="D57" s="374">
        <f>D15+D44+D47+D56</f>
        <v>82027467</v>
      </c>
      <c r="E57" s="374">
        <f t="shared" ref="E57:L57" si="11">E15+E44+E47+E56</f>
        <v>72352837</v>
      </c>
      <c r="F57" s="374">
        <f t="shared" si="11"/>
        <v>23269676</v>
      </c>
      <c r="G57" s="374">
        <f t="shared" si="11"/>
        <v>84492931</v>
      </c>
      <c r="H57" s="374">
        <f t="shared" si="11"/>
        <v>-168136</v>
      </c>
      <c r="I57" s="374">
        <f t="shared" si="11"/>
        <v>1389429</v>
      </c>
      <c r="J57" s="374">
        <f t="shared" si="11"/>
        <v>4211623</v>
      </c>
      <c r="K57" s="374">
        <f t="shared" si="11"/>
        <v>0</v>
      </c>
      <c r="L57" s="374">
        <f t="shared" si="11"/>
        <v>0</v>
      </c>
      <c r="M57" s="374">
        <f t="shared" si="9"/>
        <v>267575827</v>
      </c>
      <c r="N57" s="160"/>
      <c r="O57" s="1623"/>
      <c r="P57" s="1626"/>
      <c r="Q57" s="1626"/>
      <c r="R57" s="1629"/>
      <c r="S57" s="280"/>
      <c r="T57" s="1740"/>
      <c r="U57" s="1626"/>
      <c r="V57" s="1635"/>
      <c r="W57" s="1626"/>
      <c r="X57" s="1639"/>
      <c r="Z57" s="1755"/>
      <c r="AA57" s="1747"/>
      <c r="AB57" s="1752"/>
    </row>
    <row r="58" spans="1:28">
      <c r="A58" s="184">
        <v>41</v>
      </c>
      <c r="B58" s="160"/>
      <c r="C58" s="160"/>
      <c r="D58" s="373"/>
      <c r="E58" s="373"/>
      <c r="F58" s="373"/>
      <c r="G58" s="373"/>
      <c r="H58" s="373"/>
      <c r="I58" s="373"/>
      <c r="J58" s="373"/>
      <c r="K58" s="373"/>
      <c r="L58" s="373"/>
      <c r="M58" s="373"/>
      <c r="N58" s="160"/>
      <c r="O58" s="1623"/>
      <c r="P58" s="1626"/>
      <c r="Q58" s="1626"/>
      <c r="R58" s="1629"/>
      <c r="S58" s="280"/>
      <c r="T58" s="1740"/>
      <c r="U58" s="1626"/>
      <c r="V58" s="1635"/>
      <c r="W58" s="1626"/>
      <c r="X58" s="1639"/>
      <c r="Z58" s="1755"/>
      <c r="AA58" s="1747"/>
      <c r="AB58" s="1752"/>
    </row>
    <row r="59" spans="1:28" ht="14.25" customHeight="1">
      <c r="A59" s="184">
        <v>42</v>
      </c>
      <c r="B59" s="174" t="s">
        <v>72</v>
      </c>
      <c r="C59" s="174"/>
      <c r="D59" s="377"/>
      <c r="E59" s="377"/>
      <c r="F59" s="377"/>
      <c r="G59" s="1746" t="str">
        <f>IF(OR(P105&gt;0,P106&lt;&gt;0,P107&lt;&gt;0),"Do not Enter Cents - Whole Dollars Only","")</f>
        <v/>
      </c>
      <c r="H59" s="1746"/>
      <c r="I59" s="1746"/>
      <c r="J59" s="1746"/>
      <c r="K59" s="1746"/>
      <c r="L59" s="377"/>
      <c r="M59" s="377"/>
      <c r="N59" s="160"/>
      <c r="O59" s="1624"/>
      <c r="P59" s="1627"/>
      <c r="Q59" s="1627"/>
      <c r="R59" s="1630"/>
      <c r="S59" s="280"/>
      <c r="T59" s="1741"/>
      <c r="U59" s="1627"/>
      <c r="V59" s="1636"/>
      <c r="W59" s="1627"/>
      <c r="X59" s="1640"/>
      <c r="Z59" s="1756"/>
      <c r="AA59" s="1748"/>
      <c r="AB59" s="1753"/>
    </row>
    <row r="60" spans="1:28" ht="13.5" thickBot="1">
      <c r="A60" s="184">
        <v>43</v>
      </c>
      <c r="B60" s="160" t="s">
        <v>14</v>
      </c>
      <c r="C60" s="160"/>
      <c r="D60" s="372">
        <f>Input!$KO$39</f>
        <v>42013236</v>
      </c>
      <c r="E60" s="372">
        <f>Input!$KP$39</f>
        <v>31394004</v>
      </c>
      <c r="F60" s="372">
        <f>Input!$KQ$39</f>
        <v>0</v>
      </c>
      <c r="G60" s="372">
        <f>Input!$KR$39</f>
        <v>2877495</v>
      </c>
      <c r="H60" s="372">
        <f>Input!$KS$39</f>
        <v>0</v>
      </c>
      <c r="I60" s="372">
        <f>Input!$KT$39</f>
        <v>0</v>
      </c>
      <c r="J60" s="372">
        <f>Input!$KU$39</f>
        <v>0</v>
      </c>
      <c r="K60" s="372">
        <f>Input!$KV$39</f>
        <v>0</v>
      </c>
      <c r="L60" s="372">
        <f>Input!$KW$39</f>
        <v>0</v>
      </c>
      <c r="M60" s="373">
        <f t="shared" ref="M60:M71" si="12">D60+E60+F60+G60+H60+I60+J60+K60+L60</f>
        <v>76284735</v>
      </c>
      <c r="N60" s="160"/>
      <c r="O60" s="282">
        <f>D60+E60+G60+J60</f>
        <v>76284735</v>
      </c>
      <c r="P60" s="518">
        <f>Input!$SS$39</f>
        <v>202380</v>
      </c>
      <c r="Q60" s="438" t="s">
        <v>259</v>
      </c>
      <c r="R60" s="284">
        <f>SUM(O60:P60)</f>
        <v>76487115</v>
      </c>
      <c r="S60" s="439"/>
      <c r="T60" s="286">
        <f t="shared" ref="T60:T67" si="13">D60+E60+G60</f>
        <v>76284735</v>
      </c>
      <c r="U60" s="287">
        <f t="shared" ref="U60:U67" si="14">P60</f>
        <v>202380</v>
      </c>
      <c r="V60" s="289">
        <f>Input!$TC$39</f>
        <v>0</v>
      </c>
      <c r="W60" s="289">
        <f>Input!$TK$39</f>
        <v>0</v>
      </c>
      <c r="X60" s="290">
        <f t="shared" ref="X60:X66" si="15">T60+U60-V60-W60</f>
        <v>76487115</v>
      </c>
      <c r="Z60" s="292" t="s">
        <v>14</v>
      </c>
      <c r="AA60" s="520">
        <f>Input!$TS$39</f>
        <v>76284735</v>
      </c>
      <c r="AB60" s="293">
        <f t="shared" ref="AB60:AB68" si="16">AA60-M60</f>
        <v>0</v>
      </c>
    </row>
    <row r="61" spans="1:28" ht="14.25" thickTop="1" thickBot="1">
      <c r="A61" s="184">
        <v>44</v>
      </c>
      <c r="B61" s="160" t="s">
        <v>15</v>
      </c>
      <c r="C61" s="160"/>
      <c r="D61" s="372">
        <f>Input!$KX$39</f>
        <v>917309</v>
      </c>
      <c r="E61" s="372">
        <f>Input!$KY$39</f>
        <v>1137843</v>
      </c>
      <c r="F61" s="372">
        <f>Input!$KZ$39</f>
        <v>0</v>
      </c>
      <c r="G61" s="372">
        <f>Input!$LA$39</f>
        <v>1633249</v>
      </c>
      <c r="H61" s="372">
        <f>Input!$LB$39</f>
        <v>0</v>
      </c>
      <c r="I61" s="372">
        <f>Input!$LC$39</f>
        <v>0</v>
      </c>
      <c r="J61" s="372">
        <f>Input!$LD$39</f>
        <v>0</v>
      </c>
      <c r="K61" s="372">
        <f>Input!$LE$39</f>
        <v>0</v>
      </c>
      <c r="L61" s="372">
        <f>Input!$LF$39</f>
        <v>0</v>
      </c>
      <c r="M61" s="373">
        <f t="shared" si="12"/>
        <v>3688401</v>
      </c>
      <c r="N61" s="160"/>
      <c r="O61" s="440">
        <f t="shared" ref="O61:O67" si="17">D61+E61+G61+J61</f>
        <v>3688401</v>
      </c>
      <c r="P61" s="518">
        <f>Input!$ST$39</f>
        <v>147141</v>
      </c>
      <c r="Q61" s="441" t="s">
        <v>259</v>
      </c>
      <c r="R61" s="295">
        <f>SUM(O61:P61)</f>
        <v>3835542</v>
      </c>
      <c r="S61" s="442"/>
      <c r="T61" s="296">
        <f t="shared" si="13"/>
        <v>3688401</v>
      </c>
      <c r="U61" s="297">
        <f t="shared" si="14"/>
        <v>147141</v>
      </c>
      <c r="V61" s="299">
        <f>Input!$TD$39</f>
        <v>0</v>
      </c>
      <c r="W61" s="299">
        <f>Input!$TL$39</f>
        <v>0</v>
      </c>
      <c r="X61" s="300">
        <f t="shared" si="15"/>
        <v>3835542</v>
      </c>
      <c r="Z61" s="292" t="s">
        <v>15</v>
      </c>
      <c r="AA61" s="518">
        <f>Input!$TT$39</f>
        <v>3688401</v>
      </c>
      <c r="AB61" s="301">
        <f t="shared" si="16"/>
        <v>0</v>
      </c>
    </row>
    <row r="62" spans="1:28" ht="13.5" thickTop="1">
      <c r="A62" s="184">
        <v>45</v>
      </c>
      <c r="B62" s="160" t="s">
        <v>16</v>
      </c>
      <c r="C62" s="160"/>
      <c r="D62" s="372">
        <f>Input!$LG$39</f>
        <v>93387</v>
      </c>
      <c r="E62" s="372">
        <f>Input!$LH$39</f>
        <v>581489</v>
      </c>
      <c r="F62" s="372">
        <f>Input!$LI$39</f>
        <v>0</v>
      </c>
      <c r="G62" s="372">
        <f>Input!$LJ$39</f>
        <v>746951</v>
      </c>
      <c r="H62" s="372">
        <f>Input!$LK$39</f>
        <v>0</v>
      </c>
      <c r="I62" s="372">
        <f>Input!$LL$39</f>
        <v>0</v>
      </c>
      <c r="J62" s="372">
        <f>Input!$LM$39</f>
        <v>0</v>
      </c>
      <c r="K62" s="372">
        <f>Input!$LN$39</f>
        <v>0</v>
      </c>
      <c r="L62" s="372">
        <f>Input!$LO$39</f>
        <v>0</v>
      </c>
      <c r="M62" s="373">
        <f t="shared" si="12"/>
        <v>1421827</v>
      </c>
      <c r="N62" s="160"/>
      <c r="O62" s="440">
        <f t="shared" si="17"/>
        <v>1421827</v>
      </c>
      <c r="P62" s="518">
        <f>Input!$SU$39</f>
        <v>0</v>
      </c>
      <c r="Q62" s="441" t="s">
        <v>259</v>
      </c>
      <c r="R62" s="302" t="s">
        <v>259</v>
      </c>
      <c r="S62" s="442"/>
      <c r="T62" s="296">
        <f t="shared" si="13"/>
        <v>1421827</v>
      </c>
      <c r="U62" s="297">
        <f t="shared" si="14"/>
        <v>0</v>
      </c>
      <c r="V62" s="299">
        <f>Input!$TE$39</f>
        <v>0</v>
      </c>
      <c r="W62" s="299">
        <f>Input!$TM$39</f>
        <v>0</v>
      </c>
      <c r="X62" s="303">
        <f t="shared" si="15"/>
        <v>1421827</v>
      </c>
      <c r="Z62" s="292" t="s">
        <v>16</v>
      </c>
      <c r="AA62" s="518">
        <f>Input!$TU$39</f>
        <v>1421827</v>
      </c>
      <c r="AB62" s="301">
        <f t="shared" si="16"/>
        <v>0</v>
      </c>
    </row>
    <row r="63" spans="1:28">
      <c r="A63" s="184">
        <v>46</v>
      </c>
      <c r="B63" s="160" t="s">
        <v>17</v>
      </c>
      <c r="C63" s="160"/>
      <c r="D63" s="372">
        <f>Input!$LP$39</f>
        <v>5111192</v>
      </c>
      <c r="E63" s="372">
        <f>Input!$LQ$39</f>
        <v>10276478</v>
      </c>
      <c r="F63" s="372">
        <f>Input!$LR$39</f>
        <v>0</v>
      </c>
      <c r="G63" s="372">
        <f>Input!$LS$39</f>
        <v>994888</v>
      </c>
      <c r="H63" s="372">
        <f>Input!$LT$39</f>
        <v>0</v>
      </c>
      <c r="I63" s="372">
        <f>Input!$LU$39</f>
        <v>0</v>
      </c>
      <c r="J63" s="372">
        <f>Input!$LV$39</f>
        <v>0</v>
      </c>
      <c r="K63" s="372">
        <f>Input!$LW$39</f>
        <v>0</v>
      </c>
      <c r="L63" s="372">
        <f>Input!$LX$39</f>
        <v>0</v>
      </c>
      <c r="M63" s="373">
        <f t="shared" si="12"/>
        <v>16382558</v>
      </c>
      <c r="N63" s="160"/>
      <c r="O63" s="440">
        <f t="shared" si="17"/>
        <v>16382558</v>
      </c>
      <c r="P63" s="518">
        <f>Input!$SV$39</f>
        <v>181054</v>
      </c>
      <c r="Q63" s="441" t="s">
        <v>259</v>
      </c>
      <c r="R63" s="295">
        <f t="shared" ref="R63:R65" si="18">SUM(O63:P63)</f>
        <v>16563612</v>
      </c>
      <c r="S63" s="442"/>
      <c r="T63" s="296">
        <f t="shared" si="13"/>
        <v>16382558</v>
      </c>
      <c r="U63" s="297">
        <f t="shared" si="14"/>
        <v>181054</v>
      </c>
      <c r="V63" s="299">
        <f>Input!$TF$39</f>
        <v>0</v>
      </c>
      <c r="W63" s="299">
        <f>Input!$TN$39</f>
        <v>0</v>
      </c>
      <c r="X63" s="303">
        <f t="shared" si="15"/>
        <v>16563612</v>
      </c>
      <c r="Z63" s="292" t="s">
        <v>17</v>
      </c>
      <c r="AA63" s="518">
        <f>Input!$TV$39</f>
        <v>16382558</v>
      </c>
      <c r="AB63" s="301">
        <f t="shared" si="16"/>
        <v>0</v>
      </c>
    </row>
    <row r="64" spans="1:28">
      <c r="A64" s="184">
        <v>47</v>
      </c>
      <c r="B64" s="160" t="s">
        <v>18</v>
      </c>
      <c r="C64" s="160"/>
      <c r="D64" s="372">
        <f>Input!$LY$39</f>
        <v>609664</v>
      </c>
      <c r="E64" s="372">
        <f>Input!$LZ$39</f>
        <v>8123407</v>
      </c>
      <c r="F64" s="372">
        <f>Input!$MA$39</f>
        <v>12548022</v>
      </c>
      <c r="G64" s="372">
        <f>Input!$MB$39</f>
        <v>1201694</v>
      </c>
      <c r="H64" s="372">
        <f>Input!$MC$39</f>
        <v>590966</v>
      </c>
      <c r="I64" s="372">
        <f>Input!$MD$39</f>
        <v>0</v>
      </c>
      <c r="J64" s="372">
        <f>Input!$ME$39</f>
        <v>55000</v>
      </c>
      <c r="K64" s="372">
        <f>Input!$MF$39</f>
        <v>0</v>
      </c>
      <c r="L64" s="372">
        <f>Input!$MG$39</f>
        <v>0</v>
      </c>
      <c r="M64" s="373">
        <f t="shared" si="12"/>
        <v>23128753</v>
      </c>
      <c r="N64" s="160"/>
      <c r="O64" s="440">
        <f t="shared" si="17"/>
        <v>9989765</v>
      </c>
      <c r="P64" s="518">
        <f>Input!$SW$39</f>
        <v>396706</v>
      </c>
      <c r="Q64" s="518">
        <f>Input!$TB$39</f>
        <v>0</v>
      </c>
      <c r="R64" s="295">
        <f>SUM(O64:P64)-Q64</f>
        <v>10386471</v>
      </c>
      <c r="S64" s="442"/>
      <c r="T64" s="296">
        <f t="shared" si="13"/>
        <v>9934765</v>
      </c>
      <c r="U64" s="297">
        <f t="shared" si="14"/>
        <v>396706</v>
      </c>
      <c r="V64" s="299">
        <f>Input!$TG$39</f>
        <v>0</v>
      </c>
      <c r="W64" s="299">
        <f>Input!$TO$39</f>
        <v>0</v>
      </c>
      <c r="X64" s="303">
        <f t="shared" si="15"/>
        <v>10331471</v>
      </c>
      <c r="Z64" s="292" t="s">
        <v>18</v>
      </c>
      <c r="AA64" s="518">
        <f>Input!$TW$39</f>
        <v>23128753</v>
      </c>
      <c r="AB64" s="301">
        <f t="shared" si="16"/>
        <v>0</v>
      </c>
    </row>
    <row r="65" spans="1:28">
      <c r="A65" s="184">
        <v>48</v>
      </c>
      <c r="B65" s="160" t="s">
        <v>19</v>
      </c>
      <c r="C65" s="160"/>
      <c r="D65" s="372">
        <f>Input!$MH$39</f>
        <v>8272374</v>
      </c>
      <c r="E65" s="372">
        <f>Input!$MI$39</f>
        <v>20284807</v>
      </c>
      <c r="F65" s="372">
        <f>Input!$MJ$39</f>
        <v>0</v>
      </c>
      <c r="G65" s="372">
        <f>Input!$MK$39</f>
        <v>6177247</v>
      </c>
      <c r="H65" s="372">
        <f>Input!$ML$39</f>
        <v>0</v>
      </c>
      <c r="I65" s="372">
        <f>Input!$MM$39</f>
        <v>0</v>
      </c>
      <c r="J65" s="372">
        <f>Input!$MN$39</f>
        <v>36226</v>
      </c>
      <c r="K65" s="372">
        <f>Input!$MO$39</f>
        <v>0</v>
      </c>
      <c r="L65" s="372">
        <f>Input!$MP$39</f>
        <v>0</v>
      </c>
      <c r="M65" s="373">
        <f t="shared" si="12"/>
        <v>34770654</v>
      </c>
      <c r="N65" s="160"/>
      <c r="O65" s="440">
        <f t="shared" si="17"/>
        <v>34770654</v>
      </c>
      <c r="P65" s="518">
        <f>Input!$SX$39</f>
        <v>243276</v>
      </c>
      <c r="Q65" s="441" t="s">
        <v>259</v>
      </c>
      <c r="R65" s="295">
        <f t="shared" si="18"/>
        <v>35013930</v>
      </c>
      <c r="S65" s="442"/>
      <c r="T65" s="296">
        <f t="shared" si="13"/>
        <v>34734428</v>
      </c>
      <c r="U65" s="297">
        <f t="shared" si="14"/>
        <v>243276</v>
      </c>
      <c r="V65" s="299">
        <f>Input!$TH$39</f>
        <v>0</v>
      </c>
      <c r="W65" s="299">
        <f>Input!$TP$39</f>
        <v>0</v>
      </c>
      <c r="X65" s="303">
        <f t="shared" si="15"/>
        <v>34977704</v>
      </c>
      <c r="Z65" s="292" t="s">
        <v>19</v>
      </c>
      <c r="AA65" s="518">
        <f>Input!$TX$39</f>
        <v>34770654</v>
      </c>
      <c r="AB65" s="301">
        <f t="shared" si="16"/>
        <v>0</v>
      </c>
    </row>
    <row r="66" spans="1:28">
      <c r="A66" s="184">
        <v>49</v>
      </c>
      <c r="B66" s="160" t="s">
        <v>20</v>
      </c>
      <c r="C66" s="160"/>
      <c r="D66" s="372">
        <f>Input!$MQ$39</f>
        <v>3665093</v>
      </c>
      <c r="E66" s="372">
        <f>Input!$MR$39</f>
        <v>8406671</v>
      </c>
      <c r="F66" s="372">
        <f>Input!$MS$39</f>
        <v>0</v>
      </c>
      <c r="G66" s="372">
        <f>Input!$MT$39</f>
        <v>92694</v>
      </c>
      <c r="H66" s="372">
        <f>Input!$MU$39</f>
        <v>0</v>
      </c>
      <c r="I66" s="372">
        <f>Input!$MV$39</f>
        <v>0</v>
      </c>
      <c r="J66" s="372">
        <f>Input!$MW$39</f>
        <v>4919168</v>
      </c>
      <c r="K66" s="372">
        <f>Input!$MX$39</f>
        <v>0</v>
      </c>
      <c r="L66" s="372">
        <f>Input!$MY$39</f>
        <v>0</v>
      </c>
      <c r="M66" s="373">
        <f t="shared" si="12"/>
        <v>17083626</v>
      </c>
      <c r="N66" s="160"/>
      <c r="O66" s="440">
        <f t="shared" si="17"/>
        <v>17083626</v>
      </c>
      <c r="P66" s="518">
        <f>Input!$SY$39</f>
        <v>32377</v>
      </c>
      <c r="Q66" s="441" t="s">
        <v>259</v>
      </c>
      <c r="R66" s="304" t="s">
        <v>259</v>
      </c>
      <c r="S66" s="442"/>
      <c r="T66" s="296">
        <f t="shared" si="13"/>
        <v>12164458</v>
      </c>
      <c r="U66" s="297">
        <f t="shared" si="14"/>
        <v>32377</v>
      </c>
      <c r="V66" s="299">
        <f>Input!$TI$39</f>
        <v>0</v>
      </c>
      <c r="W66" s="299">
        <f>Input!$TQ$39</f>
        <v>0</v>
      </c>
      <c r="X66" s="303">
        <f t="shared" si="15"/>
        <v>12196835</v>
      </c>
      <c r="Z66" s="292" t="s">
        <v>260</v>
      </c>
      <c r="AA66" s="518">
        <f>Input!$TY$39</f>
        <v>17083626</v>
      </c>
      <c r="AB66" s="301">
        <f t="shared" si="16"/>
        <v>0</v>
      </c>
    </row>
    <row r="67" spans="1:28" ht="13.5" thickBot="1">
      <c r="A67" s="184">
        <v>50</v>
      </c>
      <c r="B67" s="160" t="s">
        <v>21</v>
      </c>
      <c r="C67" s="160"/>
      <c r="D67" s="372">
        <f>Input!$MZ$39</f>
        <v>4963499</v>
      </c>
      <c r="E67" s="372">
        <f>Input!$NA$39</f>
        <v>5732002</v>
      </c>
      <c r="F67" s="372">
        <f>Input!$NB$39</f>
        <v>2719286</v>
      </c>
      <c r="G67" s="372">
        <f>Input!$NC$39</f>
        <v>20261040</v>
      </c>
      <c r="H67" s="372">
        <f>Input!$ND$39</f>
        <v>0</v>
      </c>
      <c r="I67" s="372">
        <f>Input!$NE$39</f>
        <v>0</v>
      </c>
      <c r="J67" s="372">
        <f>Input!$NF$39</f>
        <v>0</v>
      </c>
      <c r="K67" s="372">
        <f>Input!$NG$39</f>
        <v>0</v>
      </c>
      <c r="L67" s="372">
        <f>Input!$NH$39</f>
        <v>0</v>
      </c>
      <c r="M67" s="373">
        <f t="shared" si="12"/>
        <v>33675827</v>
      </c>
      <c r="N67" s="160"/>
      <c r="O67" s="440">
        <f t="shared" si="17"/>
        <v>30956541</v>
      </c>
      <c r="P67" s="518">
        <f>Input!$SZ$39</f>
        <v>0</v>
      </c>
      <c r="Q67" s="441" t="s">
        <v>259</v>
      </c>
      <c r="R67" s="304" t="s">
        <v>259</v>
      </c>
      <c r="S67" s="442"/>
      <c r="T67" s="306">
        <f t="shared" si="13"/>
        <v>30956541</v>
      </c>
      <c r="U67" s="307">
        <f t="shared" si="14"/>
        <v>0</v>
      </c>
      <c r="V67" s="308">
        <f>Input!$TJ$39</f>
        <v>0</v>
      </c>
      <c r="W67" s="308">
        <f>Input!$TR$39</f>
        <v>0</v>
      </c>
      <c r="X67" s="303">
        <f>U67+T67-V67-W67</f>
        <v>30956541</v>
      </c>
      <c r="Z67" s="292" t="s">
        <v>21</v>
      </c>
      <c r="AA67" s="518">
        <f>Input!$TZ$39</f>
        <v>33675827</v>
      </c>
      <c r="AB67" s="301">
        <f t="shared" si="16"/>
        <v>0</v>
      </c>
    </row>
    <row r="68" spans="1:28" ht="14.25" thickTop="1" thickBot="1">
      <c r="A68" s="184">
        <v>51</v>
      </c>
      <c r="B68" s="160" t="s">
        <v>2135</v>
      </c>
      <c r="C68" s="160"/>
      <c r="D68" s="372">
        <f>Input!$NI$39</f>
        <v>0</v>
      </c>
      <c r="E68" s="372">
        <f>Input!$NJ$39</f>
        <v>3998145</v>
      </c>
      <c r="F68" s="372">
        <f>Input!$NK$39</f>
        <v>1237857</v>
      </c>
      <c r="G68" s="372">
        <f>Input!$NL$39</f>
        <v>21744086</v>
      </c>
      <c r="H68" s="372">
        <f>Input!$NM$39</f>
        <v>0</v>
      </c>
      <c r="I68" s="372">
        <f>Input!$NN$39</f>
        <v>0</v>
      </c>
      <c r="J68" s="372">
        <f>Input!$NO$39</f>
        <v>0</v>
      </c>
      <c r="K68" s="372">
        <f>Input!$NP$39</f>
        <v>0</v>
      </c>
      <c r="L68" s="372">
        <f>Input!$NQ$39</f>
        <v>0</v>
      </c>
      <c r="M68" s="373">
        <f t="shared" si="12"/>
        <v>26980088</v>
      </c>
      <c r="N68" s="160"/>
      <c r="O68" s="309" t="s">
        <v>259</v>
      </c>
      <c r="P68" s="519">
        <f>Input!$TA$39</f>
        <v>8365</v>
      </c>
      <c r="Q68" s="444" t="s">
        <v>259</v>
      </c>
      <c r="R68" s="311" t="s">
        <v>259</v>
      </c>
      <c r="S68" s="442"/>
      <c r="T68" s="305"/>
      <c r="U68" s="305"/>
      <c r="V68" s="312" t="s">
        <v>261</v>
      </c>
      <c r="W68" s="313"/>
      <c r="X68" s="314">
        <f>SUM(X60:X67)</f>
        <v>186770647</v>
      </c>
      <c r="Z68" s="292" t="s">
        <v>22</v>
      </c>
      <c r="AA68" s="518">
        <f>Input!$UA$39</f>
        <v>26980088</v>
      </c>
      <c r="AB68" s="301">
        <f t="shared" si="16"/>
        <v>0</v>
      </c>
    </row>
    <row r="69" spans="1:28" ht="14.25" thickTop="1" thickBot="1">
      <c r="A69" s="184">
        <v>52</v>
      </c>
      <c r="B69" s="161" t="s">
        <v>59</v>
      </c>
      <c r="C69" s="161"/>
      <c r="D69" s="372">
        <f>Input!$NR$39</f>
        <v>204653</v>
      </c>
      <c r="E69" s="372">
        <f>Input!$NS$39</f>
        <v>384004</v>
      </c>
      <c r="F69" s="372">
        <f>Input!$NT$39</f>
        <v>38701</v>
      </c>
      <c r="G69" s="372">
        <f>Input!$NU$39</f>
        <v>583941</v>
      </c>
      <c r="H69" s="372">
        <f>Input!$NV$39</f>
        <v>0</v>
      </c>
      <c r="I69" s="372">
        <f>Input!$NW$39</f>
        <v>0</v>
      </c>
      <c r="J69" s="372">
        <f>Input!$NX$39</f>
        <v>0</v>
      </c>
      <c r="K69" s="372">
        <f>Input!$NY$39</f>
        <v>0</v>
      </c>
      <c r="L69" s="372">
        <f>Input!$NZ$39</f>
        <v>0</v>
      </c>
      <c r="M69" s="373">
        <f t="shared" si="12"/>
        <v>1211299</v>
      </c>
      <c r="N69" s="160"/>
      <c r="O69" s="315"/>
      <c r="P69" s="316">
        <f>SUM(P60:P68)</f>
        <v>1211299</v>
      </c>
      <c r="Q69" s="316">
        <f>SUM(Q64:Q68)</f>
        <v>0</v>
      </c>
      <c r="R69" s="317">
        <f>SUM(R60:R65)</f>
        <v>142286670</v>
      </c>
      <c r="S69" s="316"/>
      <c r="T69" s="305"/>
      <c r="U69" s="305"/>
      <c r="V69" s="305"/>
      <c r="W69" s="277"/>
      <c r="X69" s="277"/>
      <c r="Y69" s="277"/>
      <c r="Z69" s="292" t="s">
        <v>285</v>
      </c>
      <c r="AA69" s="445">
        <f>M88*-1</f>
        <v>18823601</v>
      </c>
      <c r="AB69" s="301">
        <f>AA69+M88</f>
        <v>0</v>
      </c>
    </row>
    <row r="70" spans="1:28" ht="14.25" thickTop="1" thickBot="1">
      <c r="A70" s="184">
        <v>53</v>
      </c>
      <c r="B70" s="178" t="s">
        <v>44</v>
      </c>
      <c r="C70" s="178"/>
      <c r="D70" s="378">
        <f>Input!$OA$39</f>
        <v>100</v>
      </c>
      <c r="E70" s="378">
        <f>Input!$OB$39</f>
        <v>256009</v>
      </c>
      <c r="F70" s="378">
        <f>Input!$OC$39</f>
        <v>50621</v>
      </c>
      <c r="G70" s="378">
        <f>Input!$OD$39</f>
        <v>968600</v>
      </c>
      <c r="H70" s="378">
        <f>Input!$OE$39</f>
        <v>0</v>
      </c>
      <c r="I70" s="378">
        <f>Input!$OF$39</f>
        <v>152086</v>
      </c>
      <c r="J70" s="378">
        <f>Input!$OG$39</f>
        <v>-502521</v>
      </c>
      <c r="K70" s="378">
        <f>Input!$OH$39</f>
        <v>256383</v>
      </c>
      <c r="L70" s="378">
        <f>Input!$OI$39</f>
        <v>18048863</v>
      </c>
      <c r="M70" s="373">
        <f t="shared" si="12"/>
        <v>19230141</v>
      </c>
      <c r="N70" s="160"/>
      <c r="O70" s="320"/>
      <c r="P70" s="516" t="str">
        <f>IF(P69&lt;&gt;M69,"Out of Balance","Balanced")</f>
        <v>Balanced</v>
      </c>
      <c r="Q70" s="318"/>
      <c r="R70" s="305"/>
      <c r="S70" s="305"/>
      <c r="T70" s="305"/>
      <c r="U70" s="277"/>
      <c r="V70" s="1738" t="str">
        <f>IF(X68-INT(X68)&lt;&gt;0,"Whole Dollars Only","")</f>
        <v/>
      </c>
      <c r="W70" s="1738"/>
      <c r="X70" s="537"/>
      <c r="Y70" s="319"/>
      <c r="Z70" s="410" t="s">
        <v>262</v>
      </c>
      <c r="AA70" s="446" t="s">
        <v>259</v>
      </c>
      <c r="AB70" s="411">
        <f>M90</f>
        <v>0</v>
      </c>
    </row>
    <row r="71" spans="1:28" ht="13.5" thickTop="1">
      <c r="A71" s="184">
        <v>54</v>
      </c>
      <c r="B71" s="162" t="s">
        <v>69</v>
      </c>
      <c r="C71" s="162"/>
      <c r="D71" s="374">
        <f>SUM(D60:D70)</f>
        <v>65850507</v>
      </c>
      <c r="E71" s="374">
        <f>SUM(E60:E70)</f>
        <v>90574859</v>
      </c>
      <c r="F71" s="374">
        <f t="shared" ref="F71:L71" si="19">SUM(F60:F70)</f>
        <v>16594487</v>
      </c>
      <c r="G71" s="374">
        <f t="shared" si="19"/>
        <v>57281885</v>
      </c>
      <c r="H71" s="374">
        <f t="shared" si="19"/>
        <v>590966</v>
      </c>
      <c r="I71" s="374">
        <f t="shared" si="19"/>
        <v>152086</v>
      </c>
      <c r="J71" s="374">
        <f t="shared" si="19"/>
        <v>4507873</v>
      </c>
      <c r="K71" s="374">
        <f t="shared" si="19"/>
        <v>256383</v>
      </c>
      <c r="L71" s="374">
        <f t="shared" si="19"/>
        <v>18048863</v>
      </c>
      <c r="M71" s="374">
        <f t="shared" si="12"/>
        <v>253857909</v>
      </c>
      <c r="N71" s="160"/>
      <c r="O71" s="322"/>
      <c r="P71" s="1738" t="str">
        <f>IF(P69-INT(P69)&lt;&gt;0,"Whole Dollars Only","")</f>
        <v/>
      </c>
      <c r="Q71" s="1738"/>
      <c r="R71" s="323"/>
      <c r="S71" s="323"/>
      <c r="T71" s="323"/>
      <c r="U71" s="291"/>
      <c r="V71" s="324"/>
      <c r="W71" s="321"/>
      <c r="X71" s="321"/>
      <c r="Y71" s="321"/>
      <c r="Z71" s="318"/>
      <c r="AA71" s="325">
        <f>SUM(AA60:AA70)</f>
        <v>252240070</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Input!$OJ$39</f>
        <v>0</v>
      </c>
      <c r="E74" s="372">
        <f>Input!$OK$39</f>
        <v>0</v>
      </c>
      <c r="F74" s="372">
        <f>Input!$OL$39</f>
        <v>0</v>
      </c>
      <c r="G74" s="372">
        <f>Input!$OM$39</f>
        <v>0</v>
      </c>
      <c r="H74" s="372">
        <f>Input!$ON$39</f>
        <v>0</v>
      </c>
      <c r="I74" s="372">
        <f>Input!$OO$39</f>
        <v>0</v>
      </c>
      <c r="J74" s="372">
        <f>Input!$OP$39</f>
        <v>-27267790</v>
      </c>
      <c r="K74" s="372">
        <f>Input!$OQ$39</f>
        <v>0</v>
      </c>
      <c r="L74" s="372">
        <f>Input!$OR$39</f>
        <v>-25600</v>
      </c>
      <c r="M74" s="373">
        <f>D74+E74+F74+G74+H74+I74+J74+K74+L74</f>
        <v>-27293390</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Input!$OS$39</f>
        <v>-12642786</v>
      </c>
      <c r="E75" s="372">
        <f>Input!$OT$39</f>
        <v>2224549</v>
      </c>
      <c r="F75" s="372">
        <f>Input!$OU$39</f>
        <v>5373680</v>
      </c>
      <c r="G75" s="372">
        <f>Input!$OV$39</f>
        <v>-25563260</v>
      </c>
      <c r="H75" s="372">
        <f>Input!$OW$39</f>
        <v>0</v>
      </c>
      <c r="I75" s="372">
        <f>Input!$OX$39</f>
        <v>465000</v>
      </c>
      <c r="J75" s="372">
        <f>Input!$OY$39</f>
        <v>5478898</v>
      </c>
      <c r="K75" s="372">
        <f>Input!$OZ$39</f>
        <v>25334155</v>
      </c>
      <c r="L75" s="372">
        <f>Input!$PA$39</f>
        <v>0</v>
      </c>
      <c r="M75" s="373">
        <f>D75+E75+F75+G75+H75+I75+J75+K75+L75</f>
        <v>670236</v>
      </c>
      <c r="N75" s="160"/>
      <c r="O75" s="1723" t="str">
        <f>IF(M85&lt;0,"Footnote 11 is N/A - No Data Entry Required","Footnote 11")</f>
        <v>Footnote 11 is N/A - No Data Entry Required</v>
      </c>
      <c r="P75" s="1724"/>
      <c r="Q75" s="1724"/>
      <c r="R75" s="1725"/>
      <c r="S75" s="330"/>
      <c r="T75" s="330"/>
      <c r="U75" s="327"/>
      <c r="V75" s="276"/>
      <c r="W75" s="331"/>
      <c r="X75" s="331"/>
      <c r="Y75" s="328"/>
      <c r="Z75" s="328"/>
      <c r="AA75" s="276"/>
      <c r="AB75" s="276" t="s">
        <v>293</v>
      </c>
    </row>
    <row r="76" spans="1:28" ht="13.5" thickTop="1">
      <c r="A76" s="184">
        <v>59</v>
      </c>
      <c r="B76" s="160" t="s">
        <v>45</v>
      </c>
      <c r="C76" s="160"/>
      <c r="D76" s="372">
        <f>Input!$PB$39</f>
        <v>0</v>
      </c>
      <c r="E76" s="372">
        <f>Input!$PC$39</f>
        <v>0</v>
      </c>
      <c r="F76" s="372">
        <f>Input!$PD$39</f>
        <v>0</v>
      </c>
      <c r="G76" s="372">
        <f>Input!$PE$39</f>
        <v>0</v>
      </c>
      <c r="H76" s="372">
        <f>Input!$PF$39</f>
        <v>0</v>
      </c>
      <c r="I76" s="372">
        <f>Input!$PG$39</f>
        <v>0</v>
      </c>
      <c r="J76" s="372">
        <f>Input!$PH$39</f>
        <v>0</v>
      </c>
      <c r="K76" s="372">
        <f>Input!$PI$39</f>
        <v>0</v>
      </c>
      <c r="L76" s="372">
        <f>Input!$PJ$39</f>
        <v>0</v>
      </c>
      <c r="M76" s="373">
        <f>D76+E76+F76+G76+H76+I76+J76+K76+L76</f>
        <v>0</v>
      </c>
      <c r="N76" s="160"/>
      <c r="O76" s="487" t="s">
        <v>583</v>
      </c>
      <c r="P76" s="488"/>
      <c r="Q76" s="489"/>
      <c r="R76" s="490" t="str">
        <f>IF($M$85&lt;0,"N/A",$M$85)</f>
        <v>N/A</v>
      </c>
      <c r="S76" s="330"/>
      <c r="T76" s="330"/>
      <c r="U76" s="327"/>
      <c r="V76" s="276"/>
      <c r="W76" s="331"/>
      <c r="X76" s="331"/>
      <c r="Y76" s="331"/>
      <c r="Z76" s="331"/>
      <c r="AA76" s="276"/>
      <c r="AB76" s="276"/>
    </row>
    <row r="77" spans="1:28">
      <c r="A77" s="184">
        <v>60</v>
      </c>
      <c r="B77" s="160" t="s">
        <v>46</v>
      </c>
      <c r="C77" s="160"/>
      <c r="D77" s="372">
        <f>Input!$PK$39</f>
        <v>0</v>
      </c>
      <c r="E77" s="372">
        <f>Input!$PL$39</f>
        <v>0</v>
      </c>
      <c r="F77" s="372">
        <f>Input!$PM$39</f>
        <v>-62086</v>
      </c>
      <c r="G77" s="372">
        <f>Input!$PN$39</f>
        <v>0</v>
      </c>
      <c r="H77" s="372">
        <f>Input!$PO$39</f>
        <v>0</v>
      </c>
      <c r="I77" s="372">
        <f>Input!$PP$39</f>
        <v>0</v>
      </c>
      <c r="J77" s="372">
        <f>Input!$PQ$39</f>
        <v>0</v>
      </c>
      <c r="K77" s="372">
        <f>Input!$PR$39</f>
        <v>-8927792</v>
      </c>
      <c r="L77" s="372">
        <f>Input!$PS$39</f>
        <v>0</v>
      </c>
      <c r="M77" s="373">
        <f>D77+E77+F77+G77+H77+I77+J77+K77+L77</f>
        <v>-8989878</v>
      </c>
      <c r="N77" s="160"/>
      <c r="O77" s="491" t="s">
        <v>584</v>
      </c>
      <c r="P77" s="334"/>
      <c r="Q77" s="334"/>
      <c r="R77" s="521">
        <f>Input!$UB$39</f>
        <v>0</v>
      </c>
      <c r="S77" s="330"/>
      <c r="T77" s="330"/>
      <c r="U77" s="327"/>
      <c r="V77" s="276"/>
      <c r="W77" s="331"/>
      <c r="X77" s="331"/>
      <c r="Y77" s="331"/>
      <c r="Z77" s="331"/>
      <c r="AA77" s="276"/>
      <c r="AB77" s="276"/>
    </row>
    <row r="78" spans="1:28">
      <c r="A78" s="184">
        <v>61</v>
      </c>
      <c r="B78" s="162" t="s">
        <v>3</v>
      </c>
      <c r="C78" s="162"/>
      <c r="D78" s="374">
        <f t="shared" ref="D78:L78" si="20">SUM(D74:D77)</f>
        <v>-12642786</v>
      </c>
      <c r="E78" s="374">
        <f t="shared" si="20"/>
        <v>2224549</v>
      </c>
      <c r="F78" s="374">
        <f t="shared" si="20"/>
        <v>5311594</v>
      </c>
      <c r="G78" s="374">
        <f t="shared" si="20"/>
        <v>-25563260</v>
      </c>
      <c r="H78" s="374">
        <f t="shared" si="20"/>
        <v>0</v>
      </c>
      <c r="I78" s="374">
        <f t="shared" si="20"/>
        <v>465000</v>
      </c>
      <c r="J78" s="374">
        <f t="shared" si="20"/>
        <v>-21788892</v>
      </c>
      <c r="K78" s="374">
        <f t="shared" si="20"/>
        <v>16406363</v>
      </c>
      <c r="L78" s="374">
        <f t="shared" si="20"/>
        <v>-25600</v>
      </c>
      <c r="M78" s="374">
        <f>D78+E78+F78+G78+H78+I78+J78+K78+L78</f>
        <v>-35613032</v>
      </c>
      <c r="N78" s="160"/>
      <c r="O78" s="491" t="s">
        <v>585</v>
      </c>
      <c r="P78" s="276"/>
      <c r="Q78" s="334"/>
      <c r="R78" s="492" t="str">
        <f>IF($M$85&lt;0,"",$R$76-$R$77)</f>
        <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3"/>
      <c r="P79" s="276"/>
      <c r="Q79" s="334"/>
      <c r="R79" s="494"/>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5" t="s">
        <v>586</v>
      </c>
      <c r="P80" s="276"/>
      <c r="Q80" s="334"/>
      <c r="R80" s="521">
        <f>Input!$UC$39</f>
        <v>0</v>
      </c>
      <c r="S80" s="330"/>
      <c r="T80" s="330"/>
      <c r="U80" s="334"/>
      <c r="V80" s="276"/>
      <c r="W80" s="328"/>
      <c r="X80" s="328"/>
      <c r="Y80" s="331"/>
      <c r="Z80" s="331"/>
      <c r="AA80" s="276"/>
      <c r="AB80" s="276"/>
    </row>
    <row r="81" spans="1:28">
      <c r="A81" s="184">
        <v>64</v>
      </c>
      <c r="B81" s="160" t="s">
        <v>47</v>
      </c>
      <c r="C81" s="160"/>
      <c r="D81" s="372">
        <f>Input!$PT$39</f>
        <v>0</v>
      </c>
      <c r="E81" s="372">
        <f>Input!$PU$39</f>
        <v>6378087</v>
      </c>
      <c r="F81" s="372">
        <f>Input!$PV$39</f>
        <v>1121322</v>
      </c>
      <c r="G81" s="372">
        <f>Input!$PW$39</f>
        <v>0</v>
      </c>
      <c r="H81" s="372">
        <f>Input!$PX$39</f>
        <v>0</v>
      </c>
      <c r="I81" s="372">
        <f>Input!$PY$39</f>
        <v>2847216</v>
      </c>
      <c r="J81" s="372">
        <f>Input!$PZ$39</f>
        <v>0</v>
      </c>
      <c r="K81" s="372">
        <f>Input!$QA$39</f>
        <v>0</v>
      </c>
      <c r="L81" s="372">
        <f>Input!$QB$39</f>
        <v>-95477</v>
      </c>
      <c r="M81" s="373">
        <f>D81+E81+F81+G81+H81+I81+J81+K81+L81</f>
        <v>10251148</v>
      </c>
      <c r="N81" s="160"/>
      <c r="O81" s="496" t="s">
        <v>587</v>
      </c>
      <c r="P81" s="276"/>
      <c r="Q81" s="276"/>
      <c r="R81" s="497"/>
      <c r="S81" s="330"/>
      <c r="T81" s="330"/>
      <c r="W81" s="276"/>
      <c r="X81" s="276"/>
      <c r="Y81" s="331"/>
      <c r="Z81" s="331"/>
      <c r="AA81" s="276"/>
      <c r="AB81" s="276"/>
    </row>
    <row r="82" spans="1:28">
      <c r="A82" s="184">
        <v>65</v>
      </c>
      <c r="B82" s="160" t="s">
        <v>48</v>
      </c>
      <c r="C82" s="160"/>
      <c r="D82" s="372">
        <f>Input!$QC$39</f>
        <v>0</v>
      </c>
      <c r="E82" s="372">
        <f>Input!$QD$39</f>
        <v>0</v>
      </c>
      <c r="F82" s="372">
        <f>Input!$QE$39</f>
        <v>0</v>
      </c>
      <c r="G82" s="372">
        <f>Input!$QF$39</f>
        <v>0</v>
      </c>
      <c r="H82" s="372">
        <f>Input!$QG$39</f>
        <v>0</v>
      </c>
      <c r="I82" s="372">
        <f>Input!$QH$39</f>
        <v>23478</v>
      </c>
      <c r="J82" s="372">
        <f>Input!$QI$39</f>
        <v>0</v>
      </c>
      <c r="K82" s="372">
        <f>Input!$QJ$39</f>
        <v>0</v>
      </c>
      <c r="L82" s="372">
        <f>Input!$QK$39</f>
        <v>0</v>
      </c>
      <c r="M82" s="373">
        <f>D82+E82+F82+G82+H82+I82+J82+K82+L82</f>
        <v>23478</v>
      </c>
      <c r="N82" s="160"/>
      <c r="O82" s="498" t="s">
        <v>588</v>
      </c>
      <c r="P82" s="276"/>
      <c r="Q82" s="276"/>
      <c r="R82" s="492" t="str">
        <f>IFERROR($R$78-$R$80,"")</f>
        <v/>
      </c>
      <c r="Y82" s="331"/>
      <c r="Z82" s="401"/>
      <c r="AA82" s="268"/>
      <c r="AB82" s="268"/>
    </row>
    <row r="83" spans="1:28">
      <c r="A83" s="184">
        <v>66</v>
      </c>
      <c r="B83" s="162" t="s">
        <v>3</v>
      </c>
      <c r="C83" s="162"/>
      <c r="D83" s="374">
        <f t="shared" ref="D83:L83" si="21">SUM(D81:D82)</f>
        <v>0</v>
      </c>
      <c r="E83" s="374">
        <f t="shared" si="21"/>
        <v>6378087</v>
      </c>
      <c r="F83" s="374">
        <f t="shared" si="21"/>
        <v>1121322</v>
      </c>
      <c r="G83" s="374">
        <f t="shared" si="21"/>
        <v>0</v>
      </c>
      <c r="H83" s="374">
        <f t="shared" si="21"/>
        <v>0</v>
      </c>
      <c r="I83" s="374">
        <f t="shared" si="21"/>
        <v>2870694</v>
      </c>
      <c r="J83" s="374">
        <f t="shared" si="21"/>
        <v>0</v>
      </c>
      <c r="K83" s="374">
        <f t="shared" si="21"/>
        <v>0</v>
      </c>
      <c r="L83" s="374">
        <f t="shared" si="21"/>
        <v>-95477</v>
      </c>
      <c r="M83" s="374">
        <f>D83+E83+F83+G83+H83+I83+J83+K83+L83</f>
        <v>10274626</v>
      </c>
      <c r="N83" s="160"/>
      <c r="O83" s="493"/>
      <c r="P83" s="276"/>
      <c r="Q83" s="276"/>
      <c r="R83" s="497"/>
      <c r="Y83" s="163"/>
      <c r="Z83" s="447"/>
      <c r="AA83" s="439"/>
      <c r="AB83" s="448"/>
    </row>
    <row r="84" spans="1:28" ht="13.5" thickBot="1">
      <c r="A84" s="184">
        <v>67</v>
      </c>
      <c r="B84" s="160"/>
      <c r="C84" s="160"/>
      <c r="D84" s="373"/>
      <c r="E84" s="373"/>
      <c r="F84" s="373"/>
      <c r="G84" s="373"/>
      <c r="H84" s="373"/>
      <c r="I84" s="373"/>
      <c r="J84" s="373"/>
      <c r="K84" s="373"/>
      <c r="L84" s="373"/>
      <c r="M84" s="373"/>
      <c r="N84" s="160"/>
      <c r="O84" s="499" t="s">
        <v>589</v>
      </c>
      <c r="P84" s="500"/>
      <c r="Q84" s="500"/>
      <c r="R84" s="501" t="str">
        <f>IFERROR((R82+R80)-R78,"")</f>
        <v/>
      </c>
      <c r="Y84" s="268"/>
      <c r="Z84" s="447"/>
      <c r="AA84" s="439"/>
      <c r="AB84" s="449"/>
    </row>
    <row r="85" spans="1:28" ht="13.5" thickTop="1">
      <c r="A85" s="184">
        <v>68</v>
      </c>
      <c r="B85" s="162" t="s">
        <v>574</v>
      </c>
      <c r="C85" s="162"/>
      <c r="D85" s="374">
        <f t="shared" ref="D85:L85" si="22">D57-D71+D78+D83</f>
        <v>3534174</v>
      </c>
      <c r="E85" s="374">
        <f t="shared" si="22"/>
        <v>-9619386</v>
      </c>
      <c r="F85" s="374">
        <f t="shared" si="22"/>
        <v>13108105</v>
      </c>
      <c r="G85" s="374">
        <f t="shared" si="22"/>
        <v>1647786</v>
      </c>
      <c r="H85" s="374">
        <f t="shared" si="22"/>
        <v>-759102</v>
      </c>
      <c r="I85" s="374">
        <f t="shared" si="22"/>
        <v>4573037</v>
      </c>
      <c r="J85" s="374">
        <f t="shared" si="22"/>
        <v>-22085142</v>
      </c>
      <c r="K85" s="374">
        <f t="shared" si="22"/>
        <v>16149980</v>
      </c>
      <c r="L85" s="374">
        <f t="shared" si="22"/>
        <v>-18169940</v>
      </c>
      <c r="M85" s="374">
        <f>D85+E85+F85+G85+H85+I85+J85+K85+L85</f>
        <v>-11620488</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Input!$QL$39</f>
        <v>0</v>
      </c>
      <c r="E87" s="372">
        <f>Input!$QM$39</f>
        <v>0</v>
      </c>
      <c r="F87" s="372">
        <f>Input!$QN$39</f>
        <v>0</v>
      </c>
      <c r="G87" s="372">
        <f>Input!$QO$39</f>
        <v>0</v>
      </c>
      <c r="H87" s="372">
        <f>Input!$QP$39</f>
        <v>0</v>
      </c>
      <c r="I87" s="372">
        <f>Input!$QQ$39</f>
        <v>0</v>
      </c>
      <c r="J87" s="372">
        <f>Input!$QR$39</f>
        <v>1905000</v>
      </c>
      <c r="K87" s="372">
        <f>Input!$QS$39</f>
        <v>-15748685</v>
      </c>
      <c r="L87" s="372">
        <f>Input!$QT$39</f>
        <v>33394968</v>
      </c>
      <c r="M87" s="329">
        <f>D87+E87+F87+G87+H87+I87+J87+K87+L87</f>
        <v>19551283</v>
      </c>
      <c r="N87" s="160"/>
      <c r="Y87" s="268"/>
      <c r="Z87" s="447"/>
      <c r="AA87" s="439"/>
      <c r="AB87" s="449"/>
    </row>
    <row r="88" spans="1:28">
      <c r="A88" s="184">
        <v>72</v>
      </c>
      <c r="B88" s="160" t="s">
        <v>66</v>
      </c>
      <c r="C88" s="160"/>
      <c r="D88" s="372">
        <f>Input!$QU$39</f>
        <v>0</v>
      </c>
      <c r="E88" s="372">
        <f>Input!$QV$39</f>
        <v>0</v>
      </c>
      <c r="F88" s="372">
        <f>Input!$QW$39</f>
        <v>0</v>
      </c>
      <c r="G88" s="372">
        <f>Input!$QX$39</f>
        <v>0</v>
      </c>
      <c r="H88" s="372">
        <f>Input!$QY$39</f>
        <v>0</v>
      </c>
      <c r="I88" s="372">
        <f>Input!$QZ$39</f>
        <v>0</v>
      </c>
      <c r="J88" s="372">
        <f>Input!$RA$39</f>
        <v>0</v>
      </c>
      <c r="K88" s="372">
        <f>Input!$RB$39</f>
        <v>0</v>
      </c>
      <c r="L88" s="372">
        <f>Input!$RC$39</f>
        <v>-18823601</v>
      </c>
      <c r="M88" s="373">
        <f>D88+E88+F88+G88+H88+I88+J88+K88+L88</f>
        <v>-18823601</v>
      </c>
      <c r="N88" s="160"/>
      <c r="O88" s="270"/>
      <c r="P88" s="335"/>
      <c r="Y88" s="268"/>
      <c r="Z88" s="447"/>
      <c r="AA88" s="439"/>
      <c r="AB88" s="449"/>
    </row>
    <row r="89" spans="1:28" s="264" customFormat="1">
      <c r="A89" s="263"/>
      <c r="B89" s="171" t="s">
        <v>216</v>
      </c>
      <c r="C89" s="171"/>
      <c r="D89" s="372">
        <f>Input!$RD$39</f>
        <v>0</v>
      </c>
      <c r="E89" s="372">
        <f>Input!$RE$39</f>
        <v>0</v>
      </c>
      <c r="F89" s="372">
        <f>Input!$RF$39</f>
        <v>0</v>
      </c>
      <c r="G89" s="372">
        <f>Input!$RG$39</f>
        <v>0</v>
      </c>
      <c r="H89" s="372">
        <f>Input!$RH$39</f>
        <v>0</v>
      </c>
      <c r="I89" s="372">
        <f>Input!$RI$39</f>
        <v>0</v>
      </c>
      <c r="J89" s="372">
        <f>Input!$RJ$39</f>
        <v>0</v>
      </c>
      <c r="K89" s="372">
        <f>Input!$RK$39</f>
        <v>0</v>
      </c>
      <c r="L89" s="372">
        <f>Input!$RL$39</f>
        <v>0</v>
      </c>
      <c r="M89" s="373">
        <f t="shared" ref="M89:M91" si="23">D89+E89+F89+G89+H89+I89+J89+K89+L89</f>
        <v>0</v>
      </c>
      <c r="N89" s="160"/>
      <c r="O89" s="1726" t="s">
        <v>1355</v>
      </c>
      <c r="P89" s="1727"/>
      <c r="Q89" s="1727"/>
      <c r="R89" s="1727"/>
      <c r="S89" s="1727"/>
      <c r="T89" s="1727"/>
      <c r="U89" s="1728"/>
      <c r="Y89" s="268"/>
      <c r="Z89" s="447"/>
      <c r="AA89" s="439"/>
      <c r="AB89" s="449"/>
    </row>
    <row r="90" spans="1:28" s="264" customFormat="1">
      <c r="A90" s="263"/>
      <c r="B90" s="171" t="s">
        <v>105</v>
      </c>
      <c r="C90" s="171"/>
      <c r="D90" s="372">
        <f>Input!$RM$39</f>
        <v>0</v>
      </c>
      <c r="E90" s="372">
        <f>Input!$RN$39</f>
        <v>0</v>
      </c>
      <c r="F90" s="372">
        <f>Input!$RO$39</f>
        <v>0</v>
      </c>
      <c r="G90" s="372">
        <f>Input!$RP$39</f>
        <v>0</v>
      </c>
      <c r="H90" s="372">
        <f>Input!$RQ$39</f>
        <v>0</v>
      </c>
      <c r="I90" s="372">
        <f>Input!$RR$39</f>
        <v>0</v>
      </c>
      <c r="J90" s="372">
        <f>Input!$RS$39</f>
        <v>0</v>
      </c>
      <c r="K90" s="372">
        <f>Input!$RT$39</f>
        <v>0</v>
      </c>
      <c r="L90" s="372">
        <f>Input!$RU$39</f>
        <v>0</v>
      </c>
      <c r="M90" s="373">
        <f t="shared" si="23"/>
        <v>0</v>
      </c>
      <c r="N90" s="160"/>
      <c r="O90" s="502" t="s">
        <v>590</v>
      </c>
      <c r="P90" s="423"/>
      <c r="Q90" s="502" t="s">
        <v>591</v>
      </c>
      <c r="R90" s="423"/>
      <c r="S90" s="503"/>
      <c r="T90" s="502" t="s">
        <v>592</v>
      </c>
      <c r="U90" s="423"/>
      <c r="Y90" s="268"/>
      <c r="Z90" s="447"/>
      <c r="AA90" s="439"/>
      <c r="AB90" s="449"/>
    </row>
    <row r="91" spans="1:28" s="264" customFormat="1">
      <c r="A91" s="263"/>
      <c r="B91" s="171" t="s">
        <v>128</v>
      </c>
      <c r="C91" s="171"/>
      <c r="D91" s="372">
        <f>Input!$RV$39</f>
        <v>0</v>
      </c>
      <c r="E91" s="372">
        <f>Input!$RW$39</f>
        <v>0</v>
      </c>
      <c r="F91" s="372">
        <f>Input!$RX$39</f>
        <v>0</v>
      </c>
      <c r="G91" s="372">
        <f>Input!$RY$39</f>
        <v>0</v>
      </c>
      <c r="H91" s="372">
        <f>Input!$RZ$39</f>
        <v>0</v>
      </c>
      <c r="I91" s="372">
        <f>Input!$SA$39</f>
        <v>0</v>
      </c>
      <c r="J91" s="372">
        <f>Input!$SB$39</f>
        <v>0</v>
      </c>
      <c r="K91" s="372">
        <f>Input!$SC$39</f>
        <v>0</v>
      </c>
      <c r="L91" s="372">
        <f>Input!$SD$39</f>
        <v>0</v>
      </c>
      <c r="M91" s="373">
        <f t="shared" si="23"/>
        <v>0</v>
      </c>
      <c r="N91" s="160"/>
      <c r="O91" s="504"/>
      <c r="P91" s="505"/>
      <c r="Q91" s="504"/>
      <c r="R91" s="426"/>
      <c r="S91" s="276"/>
      <c r="T91" s="506"/>
      <c r="U91" s="426"/>
      <c r="Y91" s="268"/>
      <c r="Z91" s="447"/>
      <c r="AA91" s="439"/>
      <c r="AB91" s="449"/>
    </row>
    <row r="92" spans="1:28" s="264" customFormat="1">
      <c r="A92" s="263"/>
      <c r="B92" s="160" t="s">
        <v>67</v>
      </c>
      <c r="C92" s="160"/>
      <c r="D92" s="372">
        <f>Input!$SE$39</f>
        <v>0</v>
      </c>
      <c r="E92" s="372">
        <f>Input!$SF$39</f>
        <v>0</v>
      </c>
      <c r="F92" s="372">
        <f>Input!$SG$39</f>
        <v>0</v>
      </c>
      <c r="G92" s="372">
        <f>Input!$SH$39</f>
        <v>0</v>
      </c>
      <c r="H92" s="372">
        <f>Input!$SI$39</f>
        <v>0</v>
      </c>
      <c r="I92" s="372">
        <f>Input!$SJ$39</f>
        <v>0</v>
      </c>
      <c r="J92" s="372">
        <f>Input!$SK$39</f>
        <v>0</v>
      </c>
      <c r="K92" s="372">
        <f>Input!$SL$39</f>
        <v>0</v>
      </c>
      <c r="L92" s="372">
        <f>Input!$SM$39</f>
        <v>28504689</v>
      </c>
      <c r="M92" s="373">
        <f>D92+E92+F92+G92+H92+I92+J92+K92+L92</f>
        <v>28504689</v>
      </c>
      <c r="N92" s="160"/>
      <c r="O92" s="1729" t="str">
        <f>Input!UF$39</f>
        <v>Dannette Sales</v>
      </c>
      <c r="P92" s="1730"/>
      <c r="Q92" s="1729" t="str">
        <f>Input!$UG$39</f>
        <v>(936) 468-2354</v>
      </c>
      <c r="R92" s="1730"/>
      <c r="S92" s="276"/>
      <c r="T92" s="1731" t="str">
        <f>HYPERLINK("Mailto:"&amp;Input!$UH$39,Input!$UH$39)</f>
        <v>salesdl@sfasu.edu</v>
      </c>
      <c r="U92" s="1730"/>
      <c r="Y92" s="268"/>
      <c r="Z92" s="447"/>
      <c r="AA92" s="442"/>
      <c r="AB92" s="449"/>
    </row>
    <row r="93" spans="1:28" ht="13.5" thickBot="1">
      <c r="B93" s="179" t="s">
        <v>58</v>
      </c>
      <c r="C93" s="179"/>
      <c r="D93" s="380">
        <f t="shared" ref="D93:K93" si="24">SUM(D85:D92)</f>
        <v>3534174</v>
      </c>
      <c r="E93" s="380">
        <f t="shared" si="24"/>
        <v>-9619386</v>
      </c>
      <c r="F93" s="380">
        <f t="shared" si="24"/>
        <v>13108105</v>
      </c>
      <c r="G93" s="380">
        <f t="shared" si="24"/>
        <v>1647786</v>
      </c>
      <c r="H93" s="380">
        <f t="shared" si="24"/>
        <v>-759102</v>
      </c>
      <c r="I93" s="380">
        <f t="shared" si="24"/>
        <v>4573037</v>
      </c>
      <c r="J93" s="380">
        <f t="shared" si="24"/>
        <v>-20180142</v>
      </c>
      <c r="K93" s="380">
        <f t="shared" si="24"/>
        <v>401295</v>
      </c>
      <c r="L93" s="380">
        <f>SUM(L85:L92)</f>
        <v>24906116</v>
      </c>
      <c r="M93" s="380">
        <f>D93+E93+F93+G93+H93+I93+J93+K93+L93</f>
        <v>17611883</v>
      </c>
      <c r="N93" s="160"/>
      <c r="O93" s="506"/>
      <c r="P93" s="507"/>
      <c r="Q93" s="276"/>
      <c r="R93" s="276"/>
      <c r="S93" s="276"/>
      <c r="T93" s="507"/>
      <c r="U93" s="508"/>
      <c r="Y93" s="268"/>
      <c r="Z93" s="447"/>
      <c r="AA93" s="442"/>
      <c r="AB93" s="449"/>
    </row>
    <row r="94" spans="1:28" ht="13.5" thickTop="1">
      <c r="C94" s="160"/>
      <c r="D94" s="165"/>
      <c r="E94" s="165"/>
      <c r="F94" s="165"/>
      <c r="G94" s="165"/>
      <c r="H94" s="165"/>
      <c r="I94" s="165"/>
      <c r="J94" s="165"/>
      <c r="K94" s="165"/>
      <c r="L94" s="165"/>
      <c r="M94" s="180"/>
      <c r="N94" s="160"/>
      <c r="O94" s="1720" t="s">
        <v>593</v>
      </c>
      <c r="P94" s="1721"/>
      <c r="Q94" s="1721"/>
      <c r="R94" s="1721"/>
      <c r="S94" s="1721"/>
      <c r="T94" s="1721"/>
      <c r="U94" s="1722"/>
      <c r="Y94" s="268"/>
      <c r="Z94" s="451"/>
      <c r="AA94" s="442"/>
      <c r="AB94" s="449"/>
    </row>
    <row r="95" spans="1:28">
      <c r="B95" s="171" t="s">
        <v>1369</v>
      </c>
      <c r="C95" s="169"/>
      <c r="D95" s="165"/>
      <c r="E95" s="165"/>
      <c r="F95" s="165"/>
      <c r="G95" s="165"/>
      <c r="H95" s="165"/>
      <c r="I95" s="165"/>
      <c r="J95" s="165"/>
      <c r="K95" s="165"/>
      <c r="L95" s="165"/>
      <c r="M95" s="180"/>
      <c r="N95" s="160"/>
      <c r="O95" s="1720"/>
      <c r="P95" s="1721"/>
      <c r="Q95" s="1721"/>
      <c r="R95" s="1721"/>
      <c r="S95" s="1721"/>
      <c r="T95" s="1721"/>
      <c r="U95" s="1722"/>
      <c r="Y95" s="268"/>
      <c r="Z95" s="452"/>
      <c r="AA95" s="453"/>
      <c r="AB95" s="454"/>
    </row>
    <row r="96" spans="1:28">
      <c r="B96" s="169" t="s">
        <v>80</v>
      </c>
      <c r="C96" s="160"/>
      <c r="D96" s="165"/>
      <c r="E96" s="165"/>
      <c r="F96" s="165"/>
      <c r="G96" s="165"/>
      <c r="H96" s="165"/>
      <c r="I96" s="165"/>
      <c r="J96" s="165"/>
      <c r="K96" s="165"/>
      <c r="L96" s="165"/>
      <c r="M96" s="180"/>
      <c r="N96" s="160"/>
      <c r="O96" s="509"/>
      <c r="P96" s="510"/>
      <c r="Q96" s="511"/>
      <c r="R96" s="511"/>
      <c r="S96" s="511"/>
      <c r="T96" s="510"/>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Input!$SN$39</f>
        <v>17611883</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3" t="str">
        <f>IF($L$118&lt;&gt;Input!$F$39,"Out of Balance","Balanced")</f>
        <v>Balanced</v>
      </c>
      <c r="M102" s="517"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134944437</v>
      </c>
      <c r="E105" s="373">
        <f>SUM($E$10:$E$14)+SUM($E$19:$E$28)+SUM($E$32:$E$41)+$E$47+SUM($E$50:$E$55)+SUM($E$60:$E$70)+SUM($E$74:$E$77)+SUM($E$81:$E$82)+SUM($E$87:$E$92)</f>
        <v>171491182</v>
      </c>
      <c r="F105" s="373">
        <f>SUM($F$10:$F$14)+SUM($F$19:$F$28)+SUM($F$32:$F$41)+$F$47+SUM($F$50:$F$55)+SUM($F$60:$F$70)+SUM($F$74:$F$77)+SUM($F$81:$F$82)+SUM($F$87:$F$92)</f>
        <v>46297079</v>
      </c>
      <c r="G105" s="373">
        <f>SUM($G$10:$G$14)+SUM($G$19:$G$28)+SUM($G$32:$G$41)+$G$47+SUM($G$50:$G$55)+SUM($G$60:$G$70)+SUM($G$74:$G$77)+SUM($G$81:$G$82)+SUM($G$87:$G$92)</f>
        <v>116211556</v>
      </c>
      <c r="H105" s="373">
        <f>SUM($H$10:$H$14)+SUM($H$19:$H$28)+SUM($H$32:$H$41)+$H$47+SUM($H$50:$H$55)+SUM($H$60:$H$70)+SUM($H$74:$H$77)+SUM($H$81:$H$82)+SUM($H$87:$H$92)</f>
        <v>422830</v>
      </c>
      <c r="I105" s="373">
        <f>SUM($I$10:$I$14)+SUM($I$19:$I$28)+SUM($I$32:$I$41)+$I$47+SUM($I$50:$I$55)+SUM($I$60:$I$70)+SUM($I$74:$I$77)+SUM($I$81:$I$82)+SUM($I$87:$I$92)</f>
        <v>4877209</v>
      </c>
      <c r="J105" s="373">
        <f>SUM($J$10:$J$14)+SUM($J$19:$J$28)+SUM($J$32:$J$41)+$J$47+SUM($J$50:$J$55)+SUM($J$60:$J$70)+SUM($J$74:$J$77)+SUM($J$81:$J$82)+SUM($J$87:$J$92)</f>
        <v>-11164396</v>
      </c>
      <c r="K105" s="373">
        <f>SUM($K$10:$K$14)+SUM($K$19:$K$28)+SUM($K$32:$K$41)+$K$47+SUM($K$50:$K$55)+SUM($K$60:$K$70)+SUM($K$74:$K$77)+SUM($K$81:$K$82)+SUM($K$87:$K$92)</f>
        <v>914061</v>
      </c>
      <c r="L105" s="373">
        <f>SUM($L$10:$L$14)+SUM($L$19:$L$28)+SUM($L$32:$L$41)+$L$47+SUM($L$50:$L$55)+SUM($L$60:$L$70)+SUM($L$74:$L$77)+SUM($L$81:$L$82)+SUM($L$87:$L$92)</f>
        <v>61003842</v>
      </c>
      <c r="M105" s="373"/>
      <c r="N105" s="264"/>
      <c r="O105" s="373"/>
      <c r="P105" s="450">
        <f>M18-INT(M18)</f>
        <v>0</v>
      </c>
    </row>
    <row r="106" spans="2:28">
      <c r="B106" s="261"/>
      <c r="C106" s="261"/>
      <c r="D106" s="261"/>
      <c r="E106" s="261"/>
      <c r="F106" s="261"/>
      <c r="G106" s="261"/>
      <c r="H106" s="261"/>
      <c r="I106" s="261"/>
      <c r="J106" s="261"/>
      <c r="K106" s="261"/>
      <c r="L106" s="373">
        <f>SUM($D$105:$L$105)</f>
        <v>524997800</v>
      </c>
      <c r="M106" s="261"/>
      <c r="N106" s="264"/>
      <c r="O106" s="373"/>
      <c r="P106" s="450">
        <f>M31-INT(M31)</f>
        <v>0</v>
      </c>
    </row>
    <row r="107" spans="2:28">
      <c r="B107" s="261"/>
      <c r="C107" s="261"/>
      <c r="D107" s="261"/>
      <c r="E107" s="261"/>
      <c r="F107" s="261"/>
      <c r="G107" s="261"/>
      <c r="H107" s="261"/>
      <c r="I107" s="261"/>
      <c r="J107" s="261" t="s">
        <v>1299</v>
      </c>
      <c r="K107" s="261"/>
      <c r="L107" s="373">
        <f>$M$100</f>
        <v>17611883</v>
      </c>
      <c r="M107" s="261"/>
      <c r="N107" s="264"/>
      <c r="O107" s="373"/>
      <c r="P107" s="450">
        <f>M93-INT(M93)</f>
        <v>0</v>
      </c>
    </row>
    <row r="108" spans="2:28">
      <c r="B108" s="261"/>
      <c r="C108" s="261"/>
      <c r="D108" s="261"/>
      <c r="E108" s="261"/>
      <c r="F108" s="261"/>
      <c r="G108" s="261"/>
      <c r="H108" s="261"/>
      <c r="I108" s="261"/>
      <c r="J108" s="261" t="s">
        <v>1300</v>
      </c>
      <c r="K108" s="261"/>
      <c r="L108" s="512">
        <f>$Q$32</f>
        <v>128301274</v>
      </c>
      <c r="M108" s="261"/>
      <c r="N108" s="264"/>
      <c r="O108" s="373"/>
    </row>
    <row r="109" spans="2:28">
      <c r="B109" s="261"/>
      <c r="C109" s="261"/>
      <c r="D109" s="261"/>
      <c r="E109" s="261"/>
      <c r="F109" s="261"/>
      <c r="G109" s="261"/>
      <c r="H109" s="261"/>
      <c r="I109" s="261"/>
      <c r="J109" s="261" t="s">
        <v>1300</v>
      </c>
      <c r="K109" s="261"/>
      <c r="L109" s="512">
        <f>$R$34</f>
        <v>-47773232</v>
      </c>
      <c r="M109" s="261"/>
      <c r="N109" s="264"/>
      <c r="O109" s="373"/>
    </row>
    <row r="110" spans="2:28">
      <c r="B110" s="261"/>
      <c r="C110" s="261"/>
      <c r="D110" s="261"/>
      <c r="E110" s="261"/>
      <c r="F110" s="261"/>
      <c r="G110" s="261"/>
      <c r="H110" s="261"/>
      <c r="I110" s="261"/>
      <c r="J110" s="261" t="s">
        <v>29</v>
      </c>
      <c r="K110" s="261"/>
      <c r="L110" s="512">
        <f>SUM($P$60:$P$68)</f>
        <v>1211299</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2">
        <f>SUM($V$60:$V$67)</f>
        <v>0</v>
      </c>
      <c r="M112" s="261"/>
      <c r="N112" s="264"/>
      <c r="O112" s="373"/>
    </row>
    <row r="113" spans="2:15">
      <c r="B113" s="261"/>
      <c r="C113" s="261"/>
      <c r="D113" s="261"/>
      <c r="E113" s="261"/>
      <c r="F113" s="261"/>
      <c r="G113" s="261"/>
      <c r="H113" s="261"/>
      <c r="I113" s="261"/>
      <c r="J113" s="261" t="s">
        <v>596</v>
      </c>
      <c r="K113" s="261"/>
      <c r="L113" s="512">
        <f>SUM($W$60:$W$67)</f>
        <v>0</v>
      </c>
      <c r="M113" s="261"/>
      <c r="N113" s="264"/>
      <c r="O113" s="373"/>
    </row>
    <row r="114" spans="2:15">
      <c r="B114" s="261"/>
      <c r="C114" s="261"/>
      <c r="D114" s="261"/>
      <c r="E114" s="261"/>
      <c r="F114" s="261"/>
      <c r="G114" s="261"/>
      <c r="H114" s="261"/>
      <c r="I114" s="261"/>
      <c r="J114" s="261" t="s">
        <v>258</v>
      </c>
      <c r="K114" s="261"/>
      <c r="L114" s="512">
        <f>SUM($AA$60:$AA$68)</f>
        <v>233416469</v>
      </c>
      <c r="M114" s="261"/>
      <c r="N114" s="264"/>
      <c r="O114" s="373"/>
    </row>
    <row r="115" spans="2:15">
      <c r="B115" s="261"/>
      <c r="C115" s="261"/>
      <c r="D115" s="261"/>
      <c r="E115" s="261"/>
      <c r="F115" s="261"/>
      <c r="G115" s="261"/>
      <c r="H115" s="261"/>
      <c r="I115" s="261"/>
      <c r="J115" s="261" t="s">
        <v>597</v>
      </c>
      <c r="K115" s="261"/>
      <c r="L115" s="512">
        <f>$R$77</f>
        <v>0</v>
      </c>
      <c r="M115" s="261"/>
      <c r="N115" s="264"/>
      <c r="O115" s="373"/>
    </row>
    <row r="116" spans="2:15">
      <c r="B116" s="261"/>
      <c r="C116" s="261"/>
      <c r="D116" s="261"/>
      <c r="E116" s="261"/>
      <c r="F116" s="261"/>
      <c r="G116" s="261"/>
      <c r="H116" s="261"/>
      <c r="I116" s="261"/>
      <c r="J116" s="261" t="s">
        <v>597</v>
      </c>
      <c r="K116" s="261"/>
      <c r="L116" s="512">
        <f>$R$80</f>
        <v>0</v>
      </c>
      <c r="M116" s="261"/>
      <c r="N116" s="264"/>
      <c r="O116" s="373"/>
    </row>
    <row r="117" spans="2:15">
      <c r="B117" s="261"/>
      <c r="C117" s="261"/>
      <c r="D117" s="261"/>
      <c r="E117" s="261"/>
      <c r="F117" s="261"/>
      <c r="G117" s="261"/>
      <c r="H117" s="261"/>
      <c r="I117" s="261"/>
      <c r="J117" s="261" t="s">
        <v>1231</v>
      </c>
      <c r="K117" s="261"/>
      <c r="L117" s="512">
        <f>VLOOKUP(B2,Names!B5:$C$87,2,FALSE)</f>
        <v>3624</v>
      </c>
      <c r="M117" s="261"/>
      <c r="N117" s="264"/>
      <c r="O117" s="373"/>
    </row>
    <row r="118" spans="2:15">
      <c r="B118" s="261"/>
      <c r="C118" s="261"/>
      <c r="D118" s="261"/>
      <c r="E118" s="261"/>
      <c r="F118" s="261"/>
      <c r="G118" s="261"/>
      <c r="H118" s="261"/>
      <c r="I118" s="261"/>
      <c r="J118" s="261"/>
      <c r="K118" s="261"/>
      <c r="L118" s="373">
        <f>SUM(L106:L117)</f>
        <v>857769117</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V56:V59"/>
    <mergeCell ref="W56:W59"/>
    <mergeCell ref="G59:K59"/>
    <mergeCell ref="AA56:AA59"/>
    <mergeCell ref="Z55:AB55"/>
    <mergeCell ref="R56:R59"/>
    <mergeCell ref="O55:R55"/>
    <mergeCell ref="T55:X55"/>
    <mergeCell ref="X56:X59"/>
    <mergeCell ref="AB56:AB59"/>
    <mergeCell ref="Z56:Z59"/>
    <mergeCell ref="B2:F2"/>
    <mergeCell ref="B3:F3"/>
    <mergeCell ref="B4:F4"/>
    <mergeCell ref="B6:M6"/>
    <mergeCell ref="P4:Q4"/>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s>
  <conditionalFormatting sqref="U87:X88 O88:Q88">
    <cfRule type="cellIs" dxfId="240" priority="107" stopIfTrue="1" operator="notEqual">
      <formula>#REF!</formula>
    </cfRule>
  </conditionalFormatting>
  <conditionalFormatting sqref="P70">
    <cfRule type="expression" dxfId="239" priority="86">
      <formula>$P$69&lt;&gt;$M$69</formula>
    </cfRule>
  </conditionalFormatting>
  <conditionalFormatting sqref="AB72">
    <cfRule type="expression" dxfId="238" priority="85">
      <formula>$AB$71&lt;&gt;0</formula>
    </cfRule>
  </conditionalFormatting>
  <conditionalFormatting sqref="P71">
    <cfRule type="expression" dxfId="237" priority="84">
      <formula>P69-INT(P69)</formula>
    </cfRule>
  </conditionalFormatting>
  <conditionalFormatting sqref="V70">
    <cfRule type="expression" dxfId="236" priority="82">
      <formula>X68-INT(X68)</formula>
    </cfRule>
  </conditionalFormatting>
  <conditionalFormatting sqref="O11">
    <cfRule type="expression" dxfId="235" priority="75">
      <formula>#REF!&lt;&gt;$M$11</formula>
    </cfRule>
  </conditionalFormatting>
  <conditionalFormatting sqref="U87:U88 O88:Q88">
    <cfRule type="cellIs" dxfId="234" priority="66" stopIfTrue="1" operator="notEqual">
      <formula>#REF!</formula>
    </cfRule>
  </conditionalFormatting>
  <conditionalFormatting sqref="R84">
    <cfRule type="expression" priority="64" stopIfTrue="1">
      <formula>$M$85&lt;0</formula>
    </cfRule>
    <cfRule type="expression" dxfId="233" priority="65">
      <formula>$S$85&lt;&gt;0</formula>
    </cfRule>
  </conditionalFormatting>
  <conditionalFormatting sqref="R80 R77">
    <cfRule type="expression" dxfId="232" priority="62" stopIfTrue="1">
      <formula>$M$85&gt;=0</formula>
    </cfRule>
    <cfRule type="expression" priority="63">
      <formula>$M$85&lt;0</formula>
    </cfRule>
  </conditionalFormatting>
  <conditionalFormatting sqref="U87:U88 O88:Q88">
    <cfRule type="cellIs" dxfId="231" priority="61" stopIfTrue="1" operator="notEqual">
      <formula>#REF!</formula>
    </cfRule>
  </conditionalFormatting>
  <conditionalFormatting sqref="O12">
    <cfRule type="expression" dxfId="230" priority="45">
      <formula>$P$12&lt;&gt;$M$12</formula>
    </cfRule>
  </conditionalFormatting>
  <conditionalFormatting sqref="O13">
    <cfRule type="expression" dxfId="229" priority="44">
      <formula>$P$13&lt;&gt;$M$13</formula>
    </cfRule>
  </conditionalFormatting>
  <conditionalFormatting sqref="Q36">
    <cfRule type="expression" dxfId="228" priority="27">
      <formula>#REF!&lt;&gt;#REF!</formula>
    </cfRule>
  </conditionalFormatting>
  <conditionalFormatting sqref="R35">
    <cfRule type="expression" dxfId="227" priority="26">
      <formula>#REF!&lt;&gt;0</formula>
    </cfRule>
  </conditionalFormatting>
  <conditionalFormatting sqref="Q35">
    <cfRule type="expression" dxfId="226" priority="25">
      <formula>#REF!&lt;&gt;0</formula>
    </cfRule>
  </conditionalFormatting>
  <conditionalFormatting sqref="R36">
    <cfRule type="expression" dxfId="225" priority="24">
      <formula>#REF!&lt;&gt;#REF!</formula>
    </cfRule>
  </conditionalFormatting>
  <conditionalFormatting sqref="D93:M98 T94:T95 R90:S95 U87:X93 T90:T92 Y90:Y95 O88:O92 P88:Q93">
    <cfRule type="cellIs" dxfId="224" priority="23" stopIfTrue="1" operator="notEqual">
      <formula>#REF!</formula>
    </cfRule>
  </conditionalFormatting>
  <conditionalFormatting sqref="P70">
    <cfRule type="expression" dxfId="223" priority="22">
      <formula>$P$69&lt;&gt;$M$69</formula>
    </cfRule>
  </conditionalFormatting>
  <conditionalFormatting sqref="AB72">
    <cfRule type="expression" dxfId="222" priority="21">
      <formula>$AB$71&lt;&gt;0</formula>
    </cfRule>
  </conditionalFormatting>
  <conditionalFormatting sqref="P71">
    <cfRule type="expression" dxfId="221" priority="20">
      <formula>P69-INT(P69)</formula>
    </cfRule>
  </conditionalFormatting>
  <conditionalFormatting sqref="V70">
    <cfRule type="expression" dxfId="220" priority="19">
      <formula>X68-INT(X68)</formula>
    </cfRule>
  </conditionalFormatting>
  <conditionalFormatting sqref="O12">
    <cfRule type="expression" dxfId="219" priority="18">
      <formula>$P$12&lt;&gt;$M$12</formula>
    </cfRule>
  </conditionalFormatting>
  <conditionalFormatting sqref="T94:T95 R90:S95 U87:U93 T90:T92 O88:O92 P88:Q93">
    <cfRule type="cellIs" dxfId="218" priority="16" stopIfTrue="1" operator="notEqual">
      <formula>#REF!</formula>
    </cfRule>
  </conditionalFormatting>
  <conditionalFormatting sqref="R84">
    <cfRule type="expression" priority="14" stopIfTrue="1">
      <formula>$M$85&lt;0</formula>
    </cfRule>
    <cfRule type="expression" dxfId="217" priority="15">
      <formula>$S$85&lt;&gt;0</formula>
    </cfRule>
  </conditionalFormatting>
  <conditionalFormatting sqref="R80 R77">
    <cfRule type="expression" dxfId="216" priority="12" stopIfTrue="1">
      <formula>$M$85&gt;=0</formula>
    </cfRule>
    <cfRule type="expression" priority="13">
      <formula>$M$85&lt;0</formula>
    </cfRule>
  </conditionalFormatting>
  <conditionalFormatting sqref="U87:U88 R89:U92 O88:Q92">
    <cfRule type="cellIs" dxfId="215" priority="11" stopIfTrue="1" operator="notEqual">
      <formula>#REF!</formula>
    </cfRule>
  </conditionalFormatting>
  <conditionalFormatting sqref="M101">
    <cfRule type="expression" dxfId="214" priority="10">
      <formula>$M$101&lt;&gt;0</formula>
    </cfRule>
  </conditionalFormatting>
  <conditionalFormatting sqref="M102">
    <cfRule type="expression" dxfId="213" priority="9">
      <formula>$M$93&lt;&gt;$M$100</formula>
    </cfRule>
  </conditionalFormatting>
  <conditionalFormatting sqref="U87:U92 R90:T92 O88:Q92">
    <cfRule type="cellIs" dxfId="212" priority="8" stopIfTrue="1" operator="notEqual">
      <formula>#REF!</formula>
    </cfRule>
  </conditionalFormatting>
  <conditionalFormatting sqref="T89:U89 Q91 T90 O89:O90 P89:Q89 R89:S91">
    <cfRule type="cellIs" dxfId="211" priority="7" stopIfTrue="1" operator="notEqual">
      <formula>#REF!</formula>
    </cfRule>
  </conditionalFormatting>
  <conditionalFormatting sqref="Q36">
    <cfRule type="expression" dxfId="210" priority="6">
      <formula>#REF!&lt;&gt;#REF!</formula>
    </cfRule>
  </conditionalFormatting>
  <conditionalFormatting sqref="R35">
    <cfRule type="expression" dxfId="209" priority="5">
      <formula>#REF!&lt;&gt;0</formula>
    </cfRule>
  </conditionalFormatting>
  <conditionalFormatting sqref="Q35">
    <cfRule type="expression" dxfId="208" priority="4">
      <formula>#REF!&lt;&gt;0</formula>
    </cfRule>
  </conditionalFormatting>
  <conditionalFormatting sqref="R36">
    <cfRule type="expression" dxfId="207" priority="3">
      <formula>#REF!&lt;&gt;#REF!</formula>
    </cfRule>
  </conditionalFormatting>
  <conditionalFormatting sqref="G59:K59">
    <cfRule type="expression" dxfId="206" priority="1">
      <formula>OR($P$105&gt;0,$P$106&lt;&gt;0,$P$107&lt;&gt;0)</formula>
    </cfRule>
  </conditionalFormatting>
  <hyperlinks>
    <hyperlink ref="O2" location="Index!A1" display="Return to Index" xr:uid="{00000000-0004-0000-9F00-000000000000}"/>
  </hyperlinks>
  <printOptions horizontalCentered="1"/>
  <pageMargins left="0.5" right="0.5" top="0.25" bottom="0.25" header="0" footer="0.25"/>
  <pageSetup scale="10" orientation="landscape" r:id="rId1"/>
  <headerFooter alignWithMargins="0"/>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sheetPr codeName="Sheet134"/>
  <dimension ref="A1:G30"/>
  <sheetViews>
    <sheetView showGridLines="0" zoomScale="80" zoomScaleNormal="80" workbookViewId="0">
      <selection activeCell="E74" sqref="E74:F74"/>
    </sheetView>
  </sheetViews>
  <sheetFormatPr defaultColWidth="9.140625" defaultRowHeight="12.75"/>
  <cols>
    <col min="1" max="1" width="7" style="53" customWidth="1"/>
    <col min="2" max="2" width="93.140625" style="53" customWidth="1"/>
    <col min="3" max="3" width="19.5703125" style="53" customWidth="1"/>
    <col min="4" max="9" width="9.140625" style="53"/>
    <col min="10" max="10" width="15" style="53" customWidth="1"/>
    <col min="11" max="16384" width="9.140625" style="53"/>
  </cols>
  <sheetData>
    <row r="1" spans="2:6" ht="18.75" thickBot="1">
      <c r="B1" s="466" t="str">
        <f>'SFA Chrts'!$A$1</f>
        <v>Stephen F. Austin State University</v>
      </c>
      <c r="C1" s="835" t="s">
        <v>1200</v>
      </c>
    </row>
    <row r="2" spans="2:6">
      <c r="B2" s="393" t="str">
        <f>'Smmy Chrts'!$A$2</f>
        <v>For the Year Ended August 31, 2021</v>
      </c>
    </row>
    <row r="3" spans="2:6">
      <c r="B3" s="393" t="str">
        <f>'Smmy Chrts'!$A$3</f>
        <v>Source: FY 2021 Annual Financial Report</v>
      </c>
    </row>
    <row r="5" spans="2:6" customFormat="1">
      <c r="B5" s="529" t="s">
        <v>705</v>
      </c>
    </row>
    <row r="6" spans="2:6" customFormat="1">
      <c r="B6" s="530"/>
    </row>
    <row r="7" spans="2:6" customFormat="1" ht="226.5" customHeight="1">
      <c r="B7" s="531" t="s">
        <v>706</v>
      </c>
      <c r="C7" s="532"/>
    </row>
    <row r="8" spans="2:6" customFormat="1" ht="263.25" customHeight="1">
      <c r="B8" s="531" t="s">
        <v>707</v>
      </c>
    </row>
    <row r="9" spans="2:6" ht="64.5" customHeight="1">
      <c r="B9" s="533" t="str">
        <f>IF('SFA FGD'!$R$76="N/A","FN11.  N/A",$B$20&amp;$B$21&amp;$B$22&amp;$B$23&amp;$B$24&amp;$B$25&amp;$B$26&amp;$B$27&amp;$B$28&amp;$B$29&amp;$B$30)</f>
        <v>FN11.  N/A</v>
      </c>
      <c r="E9" s="131"/>
      <c r="F9" s="105"/>
    </row>
    <row r="20" spans="1:7">
      <c r="B20" s="105" t="s">
        <v>681</v>
      </c>
      <c r="G20" s="105"/>
    </row>
    <row r="21" spans="1:7">
      <c r="A21" s="53">
        <v>69</v>
      </c>
      <c r="B21" s="131" t="str">
        <f>TEXT(IF('SFA FGD'!$M$85&lt;0,"N/A",'SFA FGD'!$M$85),"$* #,##0;$* (#,##0)")</f>
        <v>N/A</v>
      </c>
      <c r="C21" s="480"/>
      <c r="D21" s="480"/>
      <c r="E21" s="480"/>
      <c r="G21" s="105"/>
    </row>
    <row r="22" spans="1:7">
      <c r="B22" s="105" t="s">
        <v>682</v>
      </c>
    </row>
    <row r="23" spans="1:7">
      <c r="A23" s="53">
        <v>61</v>
      </c>
      <c r="B23" s="515" t="str">
        <f>IF(ABS('SFA FGD'!$R$77)&gt;=1000000,TEXT('SFA FGD'!$R$77/1000000,"$* #,##0.0;$* (#,##0.0)")&amp;" million",IF(ABS('SFA FGD'!$R$77)&lt;1000,TEXT('SFA FGD'!$R$77,"$* #,##0;$* (#,##0)"),TEXT('SFA FGD'!$R$77/1000,"$* #,##0;$* (#,##0)")&amp;" thousand"))</f>
        <v>$0</v>
      </c>
      <c r="C23" s="515"/>
      <c r="E23" s="515"/>
    </row>
    <row r="24" spans="1:7">
      <c r="B24" s="105" t="s">
        <v>708</v>
      </c>
    </row>
    <row r="25" spans="1:7">
      <c r="A25" s="53">
        <v>62</v>
      </c>
      <c r="B25" s="515" t="e">
        <f>IF(ABS('SFA FGD'!$R$78)&gt;=1000000,TEXT('SFA FGD'!$R$78/1000000,"$* #,##0.0;$* (#,##0.0)")&amp;" million",IF(ABS('SFA FGD'!$R$78)&lt;1000,TEXT('SFA FGD'!$R$78,"$* #,##0;$* (#,##0)"),TEXT('SFA FGD'!$R$78/1000,"$* #,##0;$* (#,##0)")&amp;" thousand"))</f>
        <v>#VALUE!</v>
      </c>
      <c r="C25" s="515"/>
      <c r="E25" s="515"/>
    </row>
    <row r="26" spans="1:7">
      <c r="B26" s="105" t="s">
        <v>683</v>
      </c>
    </row>
    <row r="27" spans="1:7">
      <c r="A27" s="53">
        <v>64</v>
      </c>
      <c r="B27" s="515" t="str">
        <f>IF(ABS('SFA FGD'!$R$80)&gt;=1000000,TEXT('SFA FGD'!$R$80/1000000,"$* #,##0.0;$* (#,##0.0)")&amp;" million",IF(ABS('SFA FGD'!$R$80)&lt;1000,TEXT('SFA FGD'!$R$80,"$* #,##0;$* (#,##0)"),TEXT('SFA FGD'!$R$80/1000,"$* #,##0;$* (#,##0)")&amp;" thousand"))</f>
        <v>$0</v>
      </c>
      <c r="C27" s="515"/>
      <c r="E27" s="515"/>
    </row>
    <row r="28" spans="1:7">
      <c r="B28" s="105" t="s">
        <v>684</v>
      </c>
    </row>
    <row r="29" spans="1:7">
      <c r="A29" s="53">
        <v>66</v>
      </c>
      <c r="B29" s="515" t="e">
        <f>IF(ABS('SFA FGD'!$R$82)&gt;=1000000,TEXT('SFA FGD'!$R$82/1000000,"$* #,##0.0;$* (#,##0.0)")&amp;" million",IF(ABS('SFA FGD'!$R$82)&lt;1000,TEXT('SFA FGD'!$R$82,"$* #,##0;$* (#,##0)"),TEXT('SFA FGD'!$R$82/1000,"$* #,##0;$* (#,##0)")&amp;" thousand"))</f>
        <v>#VALUE!</v>
      </c>
      <c r="C29" s="515"/>
      <c r="E29" s="515"/>
    </row>
    <row r="30" spans="1:7">
      <c r="B30" s="105" t="s">
        <v>709</v>
      </c>
    </row>
  </sheetData>
  <hyperlinks>
    <hyperlink ref="C1" location="Index!A1" display="Return to Index" xr:uid="{00000000-0004-0000-A000-000000000000}"/>
  </hyperlinks>
  <pageMargins left="0.25" right="0.25" top="0.25" bottom="0.25" header="0" footer="0.25"/>
  <pageSetup orientation="portrait" r:id="rId1"/>
  <headerFooter alignWithMargins="0"/>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sheetPr codeName="Sheet135">
    <tabColor indexed="47"/>
    <pageSetUpPr fitToPage="1"/>
  </sheetPr>
  <dimension ref="A1:E165"/>
  <sheetViews>
    <sheetView showGridLines="0" zoomScale="65" zoomScaleNormal="65" zoomScaleSheetLayoutView="65" workbookViewId="0">
      <selection activeCell="C33" sqref="C33"/>
    </sheetView>
  </sheetViews>
  <sheetFormatPr defaultColWidth="9.140625" defaultRowHeight="12.75" customHeight="1"/>
  <cols>
    <col min="1" max="1" width="158.7109375" style="53" customWidth="1"/>
    <col min="2" max="2" width="21.7109375" style="53" customWidth="1"/>
    <col min="3" max="3" width="48.7109375" style="53" customWidth="1"/>
    <col min="4" max="4" width="20.7109375" style="53" customWidth="1"/>
    <col min="5" max="5" width="9.140625" style="679"/>
    <col min="6" max="16384" width="9.140625" style="53"/>
  </cols>
  <sheetData>
    <row r="1" spans="1:5" ht="28.5" thickBot="1">
      <c r="A1" s="54" t="s">
        <v>126</v>
      </c>
      <c r="B1" s="835" t="s">
        <v>1200</v>
      </c>
      <c r="C1" s="53" t="s">
        <v>1329</v>
      </c>
    </row>
    <row r="2" spans="1:5" ht="27.75">
      <c r="A2" s="54" t="str">
        <f>'Smmy Chrts'!$A$2</f>
        <v>For the Year Ended August 31, 2021</v>
      </c>
      <c r="C2" s="55" t="s">
        <v>63</v>
      </c>
    </row>
    <row r="3" spans="1:5" ht="27.75">
      <c r="A3" s="54" t="str">
        <f>'Smmy Chrts'!$A$3</f>
        <v>Source: FY 2021 Annual Financial Report</v>
      </c>
      <c r="C3" s="53" t="s">
        <v>64</v>
      </c>
    </row>
    <row r="4" spans="1:5" ht="12.75" customHeight="1">
      <c r="C4" s="53" t="s">
        <v>267</v>
      </c>
    </row>
    <row r="5" spans="1:5" ht="12.75" customHeight="1">
      <c r="C5" s="53" t="s">
        <v>268</v>
      </c>
    </row>
    <row r="7" spans="1:5" ht="12.75" customHeight="1">
      <c r="C7" s="1687" t="s">
        <v>25</v>
      </c>
      <c r="D7" s="1687"/>
    </row>
    <row r="8" spans="1:5" ht="12.75" customHeight="1">
      <c r="C8" s="57"/>
      <c r="D8" s="58"/>
    </row>
    <row r="9" spans="1:5" ht="12.75" customHeight="1">
      <c r="C9" s="59" t="str">
        <f>'TSU Sum'!A9</f>
        <v>State of Texas</v>
      </c>
      <c r="D9" s="60">
        <f>'TSU Sum'!B15</f>
        <v>79567683</v>
      </c>
      <c r="E9" s="680">
        <f>ROUND(D9/$D$14,3)</f>
        <v>0.312</v>
      </c>
    </row>
    <row r="10" spans="1:5" ht="12.75" customHeight="1">
      <c r="C10" s="59" t="str">
        <f>'TSU Sum'!A17</f>
        <v>Student &amp; Parent</v>
      </c>
      <c r="D10" s="60">
        <f>'TSU Sum'!B20</f>
        <v>53649894</v>
      </c>
      <c r="E10" s="680">
        <f t="shared" ref="E10:E12" si="0">ROUND(D10/$D$14,3)</f>
        <v>0.21</v>
      </c>
    </row>
    <row r="11" spans="1:5" ht="12.75" customHeight="1">
      <c r="C11" s="59" t="str">
        <f>'TSU Sum'!A22</f>
        <v>Federal Government</v>
      </c>
      <c r="D11" s="60">
        <f>'TSU Sum'!B23</f>
        <v>89345091</v>
      </c>
      <c r="E11" s="680">
        <f t="shared" si="0"/>
        <v>0.35</v>
      </c>
    </row>
    <row r="12" spans="1:5" ht="12.75" customHeight="1">
      <c r="C12" s="59" t="str">
        <f>'TSU Sum'!A25</f>
        <v>Institutional Resources</v>
      </c>
      <c r="D12" s="60">
        <f>'TSU Sum'!B32</f>
        <v>32643993</v>
      </c>
      <c r="E12" s="680">
        <f t="shared" si="0"/>
        <v>0.128</v>
      </c>
    </row>
    <row r="13" spans="1:5" ht="12.75" customHeight="1">
      <c r="C13" s="57"/>
      <c r="D13" s="58"/>
      <c r="E13" s="680"/>
    </row>
    <row r="14" spans="1:5" ht="12.75" customHeight="1">
      <c r="C14" s="61" t="s">
        <v>68</v>
      </c>
      <c r="D14" s="62">
        <f>SUM(D9:D13)</f>
        <v>255206661</v>
      </c>
      <c r="E14" s="680">
        <f>SUM(E9:E13)</f>
        <v>1</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86" t="str">
        <f>C14&amp;" "&amp;TEXT(D14,"$#,###")</f>
        <v>Total Operating Sources $255,206,661</v>
      </c>
    </row>
    <row r="48" spans="1:1" ht="12.75" customHeight="1">
      <c r="A48" s="1686"/>
    </row>
    <row r="49" spans="1:5" ht="12.75" customHeight="1">
      <c r="A49" s="56"/>
    </row>
    <row r="52" spans="1:5" ht="12.75" customHeight="1">
      <c r="C52" s="63" t="s">
        <v>25</v>
      </c>
      <c r="D52" s="58"/>
    </row>
    <row r="54" spans="1:5" ht="12.75" customHeight="1">
      <c r="C54" s="59" t="s">
        <v>1</v>
      </c>
      <c r="D54" s="60">
        <f>'TSU Sum'!B10</f>
        <v>62046473</v>
      </c>
      <c r="E54" s="680">
        <f>ROUND(D54/$D$67,3)</f>
        <v>0.24299999999999999</v>
      </c>
    </row>
    <row r="55" spans="1:5" ht="12.75" customHeight="1">
      <c r="C55" s="59" t="s">
        <v>221</v>
      </c>
      <c r="D55" s="60">
        <f>'TSU Sum'!B11</f>
        <v>5801875</v>
      </c>
      <c r="E55" s="680">
        <f t="shared" ref="E55:E66" si="1">ROUND(D55/$D$67,3)</f>
        <v>2.3E-2</v>
      </c>
    </row>
    <row r="56" spans="1:5" ht="12.75" customHeight="1">
      <c r="C56" s="59"/>
      <c r="D56" s="60"/>
      <c r="E56" s="680"/>
    </row>
    <row r="57" spans="1:5" ht="12.75" customHeight="1">
      <c r="C57" s="59" t="str">
        <f>'TSU Sum'!A13</f>
        <v>Higher Education Fund</v>
      </c>
      <c r="D57" s="60">
        <f>'TSU Sum'!B13</f>
        <v>11719335</v>
      </c>
      <c r="E57" s="680">
        <f t="shared" si="1"/>
        <v>4.5999999999999999E-2</v>
      </c>
    </row>
    <row r="58" spans="1:5" ht="12.75" customHeight="1">
      <c r="C58" s="1069" t="s">
        <v>41</v>
      </c>
      <c r="D58" s="60">
        <f>'TSU Sum'!B14</f>
        <v>0</v>
      </c>
      <c r="E58" s="680">
        <f t="shared" si="1"/>
        <v>0</v>
      </c>
    </row>
    <row r="59" spans="1:5" ht="12.75" customHeight="1">
      <c r="C59" s="59" t="s">
        <v>87</v>
      </c>
      <c r="D59" s="60">
        <f>'TSU Sum'!B20</f>
        <v>53649894</v>
      </c>
      <c r="E59" s="680">
        <f t="shared" si="1"/>
        <v>0.21</v>
      </c>
    </row>
    <row r="60" spans="1:5" ht="12.75" customHeight="1">
      <c r="C60" s="64" t="s">
        <v>74</v>
      </c>
      <c r="D60" s="60">
        <f>'TSU Sum'!B23</f>
        <v>89345091</v>
      </c>
      <c r="E60" s="680">
        <f t="shared" si="1"/>
        <v>0.35</v>
      </c>
    </row>
    <row r="61" spans="1:5" ht="12.75" customHeight="1">
      <c r="C61" s="59" t="s">
        <v>75</v>
      </c>
      <c r="D61" s="60">
        <f>'TSU Sum'!B26</f>
        <v>2169599</v>
      </c>
      <c r="E61" s="680">
        <f t="shared" si="1"/>
        <v>8.9999999999999993E-3</v>
      </c>
    </row>
    <row r="62" spans="1:5" ht="12.75" customHeight="1">
      <c r="C62" s="59" t="s">
        <v>27</v>
      </c>
      <c r="D62" s="60">
        <f>'TSU Sum'!B27</f>
        <v>245226</v>
      </c>
      <c r="E62" s="680">
        <f t="shared" si="1"/>
        <v>1E-3</v>
      </c>
    </row>
    <row r="63" spans="1:5" ht="12.75" customHeight="1">
      <c r="C63" s="59" t="s">
        <v>76</v>
      </c>
      <c r="D63" s="60">
        <f>'TSU Sum'!B28</f>
        <v>3709356</v>
      </c>
      <c r="E63" s="680">
        <f t="shared" si="1"/>
        <v>1.4999999999999999E-2</v>
      </c>
    </row>
    <row r="64" spans="1:5" ht="12.75" customHeight="1">
      <c r="C64" s="59" t="s">
        <v>77</v>
      </c>
      <c r="D64" s="60">
        <f>'TSU Sum'!B29</f>
        <v>59382</v>
      </c>
      <c r="E64" s="680">
        <f t="shared" si="1"/>
        <v>0</v>
      </c>
    </row>
    <row r="65" spans="1:5" ht="12.75" customHeight="1">
      <c r="C65" s="59" t="s">
        <v>220</v>
      </c>
      <c r="D65" s="60">
        <f>'TSU Sum'!B30</f>
        <v>7508284</v>
      </c>
      <c r="E65" s="680">
        <f t="shared" si="1"/>
        <v>2.9000000000000001E-2</v>
      </c>
    </row>
    <row r="66" spans="1:5" ht="12.75" customHeight="1">
      <c r="C66" s="64" t="s">
        <v>52</v>
      </c>
      <c r="D66" s="60">
        <f>'TSU Sum'!B31</f>
        <v>18952146</v>
      </c>
      <c r="E66" s="680">
        <f t="shared" si="1"/>
        <v>7.3999999999999996E-2</v>
      </c>
    </row>
    <row r="67" spans="1:5" ht="12.75" customHeight="1">
      <c r="C67" s="61" t="s">
        <v>68</v>
      </c>
      <c r="D67" s="62">
        <f>SUM(D54:D66)</f>
        <v>255206661</v>
      </c>
      <c r="E67" s="681">
        <f>SUM(E54:E66)</f>
        <v>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86" t="str">
        <f>C67&amp;" "&amp;TEXT(D67,"$#,###")</f>
        <v>Total Operating Sources $255,206,661</v>
      </c>
    </row>
    <row r="93" spans="1:5" ht="12.75" customHeight="1">
      <c r="A93" s="1686"/>
    </row>
    <row r="94" spans="1:5" ht="12.75" customHeight="1">
      <c r="A94" s="65"/>
    </row>
    <row r="95" spans="1:5" s="68" customFormat="1" ht="12.75" customHeight="1">
      <c r="A95" s="66"/>
      <c r="E95" s="682"/>
    </row>
    <row r="96" spans="1:5" ht="12.75" customHeight="1">
      <c r="A96" s="65"/>
    </row>
    <row r="97" spans="1:5" ht="12.75" customHeight="1">
      <c r="A97" s="65"/>
    </row>
    <row r="98" spans="1:5" ht="12.75" customHeight="1">
      <c r="A98" s="65"/>
    </row>
    <row r="100" spans="1:5" ht="12.75" customHeight="1">
      <c r="C100" s="1687" t="s">
        <v>13</v>
      </c>
      <c r="D100" s="1687"/>
    </row>
    <row r="101" spans="1:5" ht="12.75" customHeight="1">
      <c r="C101" s="1687"/>
      <c r="D101" s="1687"/>
    </row>
    <row r="102" spans="1:5" ht="12.75" customHeight="1">
      <c r="C102" s="69" t="s">
        <v>14</v>
      </c>
      <c r="D102" s="60">
        <f>'TSU Sum'!B36</f>
        <v>78454410</v>
      </c>
      <c r="E102" s="680">
        <f>ROUND(D102/$D$114,3)</f>
        <v>0.34200000000000003</v>
      </c>
    </row>
    <row r="103" spans="1:5" ht="12.75" customHeight="1">
      <c r="C103" s="69" t="s">
        <v>15</v>
      </c>
      <c r="D103" s="60">
        <f>'TSU Sum'!B37</f>
        <v>5151314</v>
      </c>
      <c r="E103" s="680">
        <f t="shared" ref="E103:E112" si="2">ROUND(D103/$D$114,3)</f>
        <v>2.1999999999999999E-2</v>
      </c>
    </row>
    <row r="104" spans="1:5" ht="12.75" customHeight="1">
      <c r="C104" s="69" t="s">
        <v>16</v>
      </c>
      <c r="D104" s="60">
        <f>'TSU Sum'!B38</f>
        <v>2009621</v>
      </c>
      <c r="E104" s="680">
        <f t="shared" si="2"/>
        <v>8.9999999999999993E-3</v>
      </c>
    </row>
    <row r="105" spans="1:5" ht="12.75" customHeight="1">
      <c r="C105" s="69" t="s">
        <v>17</v>
      </c>
      <c r="D105" s="60">
        <f>'TSU Sum'!B39</f>
        <v>11715380</v>
      </c>
      <c r="E105" s="680">
        <f t="shared" si="2"/>
        <v>5.0999999999999997E-2</v>
      </c>
    </row>
    <row r="106" spans="1:5" ht="12.75" customHeight="1">
      <c r="C106" s="69" t="s">
        <v>18</v>
      </c>
      <c r="D106" s="60">
        <f>'TSU Sum'!B40</f>
        <v>14886580</v>
      </c>
      <c r="E106" s="680">
        <f t="shared" si="2"/>
        <v>6.5000000000000002E-2</v>
      </c>
    </row>
    <row r="107" spans="1:5" ht="12.75" customHeight="1">
      <c r="C107" s="69" t="s">
        <v>19</v>
      </c>
      <c r="D107" s="60">
        <f>'TSU Sum'!B41</f>
        <v>53515854</v>
      </c>
      <c r="E107" s="680">
        <f t="shared" si="2"/>
        <v>0.23300000000000001</v>
      </c>
    </row>
    <row r="108" spans="1:5" ht="12.75" customHeight="1">
      <c r="C108" s="69" t="s">
        <v>78</v>
      </c>
      <c r="D108" s="60">
        <f>'TSU Sum'!B42</f>
        <v>14101852</v>
      </c>
      <c r="E108" s="680">
        <f t="shared" si="2"/>
        <v>6.2E-2</v>
      </c>
    </row>
    <row r="109" spans="1:5" ht="12.75" customHeight="1">
      <c r="C109" s="69" t="s">
        <v>79</v>
      </c>
      <c r="D109" s="60">
        <f>'TSU Sum'!B43</f>
        <v>27513383</v>
      </c>
      <c r="E109" s="680">
        <f t="shared" si="2"/>
        <v>0.12</v>
      </c>
    </row>
    <row r="110" spans="1:5" ht="12.75" customHeight="1">
      <c r="C110" s="69" t="s">
        <v>22</v>
      </c>
      <c r="D110" s="60">
        <f>'TSU Sum'!B44</f>
        <v>15885231</v>
      </c>
      <c r="E110" s="680">
        <f t="shared" si="2"/>
        <v>6.9000000000000006E-2</v>
      </c>
    </row>
    <row r="111" spans="1:5" ht="12.75" customHeight="1">
      <c r="C111" s="64" t="s">
        <v>29</v>
      </c>
      <c r="D111" s="60">
        <f>'TSU Sum'!B45</f>
        <v>5433052</v>
      </c>
      <c r="E111" s="680">
        <f t="shared" si="2"/>
        <v>2.4E-2</v>
      </c>
    </row>
    <row r="112" spans="1:5" ht="12.75" customHeight="1">
      <c r="C112" s="64" t="s">
        <v>53</v>
      </c>
      <c r="D112" s="60">
        <f>'TSU Sum'!B46</f>
        <v>525803</v>
      </c>
      <c r="E112" s="680">
        <f t="shared" si="2"/>
        <v>2E-3</v>
      </c>
    </row>
    <row r="113" spans="3:5" ht="12.75" customHeight="1">
      <c r="C113" s="57"/>
      <c r="D113" s="57"/>
    </row>
    <row r="114" spans="3:5" ht="12.75" customHeight="1">
      <c r="C114" s="70" t="s">
        <v>69</v>
      </c>
      <c r="D114" s="62">
        <f>SUM(D102:D113)</f>
        <v>229192480</v>
      </c>
      <c r="E114" s="681">
        <f>SUM(E102:E113)</f>
        <v>0.99900000000000011</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86" t="str">
        <f>C114&amp;" "&amp;TEXT(D114,"$#,###")</f>
        <v>Total Operating Uses $229,192,480</v>
      </c>
    </row>
    <row r="137" spans="1:1" ht="12.75" customHeight="1">
      <c r="A137" s="1686"/>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A1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1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sheetPr transitionEvaluation="1" transitionEntry="1" codeName="Sheet136">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'TSU Chrts'!$A$1</f>
        <v>Texas Southern University</v>
      </c>
      <c r="B1" s="74"/>
      <c r="C1" s="1"/>
      <c r="D1" s="1704" t="s">
        <v>1200</v>
      </c>
      <c r="E1" s="1705"/>
      <c r="F1" s="1757" t="s">
        <v>1196</v>
      </c>
      <c r="G1" s="1706"/>
      <c r="H1" s="1706"/>
      <c r="I1" s="1706"/>
      <c r="J1" s="1707" t="s">
        <v>1197</v>
      </c>
      <c r="K1" s="1695"/>
      <c r="L1" s="1695"/>
      <c r="M1" s="1695"/>
      <c r="N1" s="1695"/>
      <c r="O1" s="1696"/>
    </row>
    <row r="2" spans="1:15" ht="15.75">
      <c r="A2" s="76" t="str">
        <f>'Smmy Chrts'!$A$2</f>
        <v>For the Year Ended August 31, 2021</v>
      </c>
      <c r="B2" s="74"/>
      <c r="C2" s="1"/>
      <c r="D2" s="37"/>
      <c r="E2" s="37"/>
      <c r="F2" s="37"/>
      <c r="J2" s="37"/>
      <c r="K2" s="37"/>
      <c r="L2" s="37"/>
      <c r="M2" s="37"/>
    </row>
    <row r="3" spans="1:15" ht="15.75">
      <c r="A3" s="76" t="str">
        <f>'Smmy Chrts'!$A$3</f>
        <v>Source: FY 2021 Annual Financial Report</v>
      </c>
      <c r="B3" s="74"/>
      <c r="C3" s="1"/>
    </row>
    <row r="4" spans="1:15" ht="13.5" customHeight="1">
      <c r="B4" s="77"/>
      <c r="C4" s="4"/>
      <c r="D4" s="1711" t="s">
        <v>1142</v>
      </c>
      <c r="E4" s="1711" t="s">
        <v>1143</v>
      </c>
      <c r="F4" s="266"/>
    </row>
    <row r="5" spans="1:15" ht="18">
      <c r="A5" s="39" t="str">
        <f>'Smmy Chrts'!$C$35</f>
        <v>Summary Worksheet FY 2021</v>
      </c>
      <c r="B5" s="40" t="s">
        <v>86</v>
      </c>
      <c r="C5" s="40" t="s">
        <v>129</v>
      </c>
      <c r="D5" s="1712"/>
      <c r="E5" s="1712"/>
      <c r="F5" s="266"/>
      <c r="G5" s="799" t="s">
        <v>1198</v>
      </c>
      <c r="I5" s="822" t="s">
        <v>2157</v>
      </c>
      <c r="J5" s="792" t="s">
        <v>1144</v>
      </c>
    </row>
    <row r="6" spans="1:15" ht="13.5" customHeight="1">
      <c r="A6" s="78" t="s">
        <v>266</v>
      </c>
      <c r="B6" s="41"/>
      <c r="C6" s="42">
        <f>VLOOKUP($A$1,FTSELU,12,FALSE)</f>
        <v>6445.64</v>
      </c>
      <c r="J6" s="712"/>
    </row>
    <row r="7" spans="1:15">
      <c r="I7" s="824" t="s">
        <v>1162</v>
      </c>
      <c r="J7" s="827"/>
    </row>
    <row r="8" spans="1:15">
      <c r="A8" s="81" t="s">
        <v>71</v>
      </c>
      <c r="B8" s="81"/>
      <c r="C8" s="24"/>
      <c r="I8" s="896">
        <f>VLOOKUP(A1,FTSELU,14,FALSE)</f>
        <v>906.9</v>
      </c>
      <c r="J8" s="712"/>
    </row>
    <row r="9" spans="1:15" ht="12.75" customHeight="1" thickBot="1">
      <c r="A9" s="78" t="s">
        <v>0</v>
      </c>
      <c r="B9" s="82"/>
      <c r="C9" s="7"/>
      <c r="J9" s="712"/>
    </row>
    <row r="10" spans="1:15" ht="12.75" customHeight="1" thickTop="1">
      <c r="A10" s="75" t="s">
        <v>1</v>
      </c>
      <c r="B10" s="83">
        <f>'TSU FGD'!M10</f>
        <v>62046473</v>
      </c>
      <c r="C10" s="83">
        <f>ROUND(B10/$C$6,0)</f>
        <v>9626</v>
      </c>
      <c r="D10" s="512">
        <f>'TSU FGD'!F10</f>
        <v>0</v>
      </c>
      <c r="E10" s="512"/>
      <c r="F10" s="84">
        <f>B10-(SUM(D10:E10))</f>
        <v>62046473</v>
      </c>
      <c r="G10" s="1143" t="s">
        <v>1</v>
      </c>
      <c r="H10" s="1144"/>
      <c r="I10" s="825" t="s">
        <v>1161</v>
      </c>
      <c r="J10" s="713">
        <f>ROUND(F10/$C$6,0)</f>
        <v>9626</v>
      </c>
    </row>
    <row r="11" spans="1:15" ht="12.75" customHeight="1" thickBot="1">
      <c r="A11" s="75" t="s">
        <v>2</v>
      </c>
      <c r="B11" s="86">
        <f>'TSU FGD'!M11</f>
        <v>5801875</v>
      </c>
      <c r="C11" s="87">
        <f t="shared" ref="C11:C14" si="0">ROUND(B11/$C$6,0)</f>
        <v>900</v>
      </c>
      <c r="D11" s="86">
        <f>'TSU FGD'!F11</f>
        <v>0</v>
      </c>
      <c r="E11" s="74"/>
      <c r="F11" s="606">
        <f t="shared" ref="F11:F14" si="1">B11-(SUM(D11:E11))</f>
        <v>5801875</v>
      </c>
      <c r="G11" s="1148">
        <f>SUM(F10:F11)</f>
        <v>67848348</v>
      </c>
      <c r="H11" s="715"/>
      <c r="I11" s="1373">
        <f>ROUND($G$11/$C$6,0)</f>
        <v>10526</v>
      </c>
      <c r="J11" s="716">
        <f t="shared" ref="J11:J14" si="2">ROUND(F11/$C$6,0)</f>
        <v>900</v>
      </c>
    </row>
    <row r="12" spans="1:15" ht="12.75" hidden="1" customHeight="1" thickTop="1" thickBot="1">
      <c r="A12" s="75" t="s">
        <v>1410</v>
      </c>
      <c r="B12" s="86"/>
      <c r="C12" s="87"/>
      <c r="D12" s="86"/>
      <c r="E12" s="74"/>
      <c r="F12" s="607"/>
      <c r="J12" s="716"/>
      <c r="O12" s="608"/>
    </row>
    <row r="13" spans="1:15" ht="12.75" customHeight="1" thickTop="1">
      <c r="A13" s="75" t="s">
        <v>1368</v>
      </c>
      <c r="B13" s="86">
        <f>'TSU FGD'!M13</f>
        <v>11719335</v>
      </c>
      <c r="C13" s="87">
        <f t="shared" si="0"/>
        <v>1818</v>
      </c>
      <c r="D13" s="86">
        <f>'TSU FGD'!F13</f>
        <v>0</v>
      </c>
      <c r="E13" s="74"/>
      <c r="F13" s="893">
        <f t="shared" si="1"/>
        <v>11719335</v>
      </c>
      <c r="G13" s="882" t="s">
        <v>81</v>
      </c>
      <c r="H13" s="894"/>
      <c r="I13" s="826" t="s">
        <v>1163</v>
      </c>
      <c r="J13" s="716">
        <f t="shared" si="2"/>
        <v>1818</v>
      </c>
    </row>
    <row r="14" spans="1:15" ht="12.75" customHeight="1" thickBot="1">
      <c r="A14" s="75" t="s">
        <v>49</v>
      </c>
      <c r="B14" s="86">
        <f>'TSU FGD'!M14</f>
        <v>0</v>
      </c>
      <c r="C14" s="87">
        <f t="shared" si="0"/>
        <v>0</v>
      </c>
      <c r="D14" s="86">
        <f>'TSU FGD'!F14</f>
        <v>0</v>
      </c>
      <c r="E14" s="74"/>
      <c r="F14" s="607">
        <f t="shared" si="1"/>
        <v>0</v>
      </c>
      <c r="G14" s="800">
        <f>SUM(F13:F14)</f>
        <v>11719335</v>
      </c>
      <c r="H14" s="895"/>
      <c r="I14" s="1377">
        <f>ROUND($G$11/$I$8,0)</f>
        <v>74813</v>
      </c>
      <c r="J14" s="828">
        <f t="shared" si="2"/>
        <v>0</v>
      </c>
    </row>
    <row r="15" spans="1:15" ht="12.75" customHeight="1" thickTop="1">
      <c r="A15" s="88" t="s">
        <v>3</v>
      </c>
      <c r="B15" s="89">
        <f>SUM(B10:B14)</f>
        <v>79567683</v>
      </c>
      <c r="C15" s="89">
        <f>SUM(C10:C14)</f>
        <v>12344</v>
      </c>
      <c r="D15" s="89">
        <f>SUM(D10:D14)</f>
        <v>0</v>
      </c>
      <c r="E15" s="89">
        <f>SUM(E10:E14)</f>
        <v>0</v>
      </c>
      <c r="F15" s="216">
        <f>SUM(F10:F14)</f>
        <v>79567683</v>
      </c>
      <c r="I15" s="1372"/>
      <c r="J15" s="757">
        <f>SUM(J10:J14)</f>
        <v>12344</v>
      </c>
    </row>
    <row r="16" spans="1:15">
      <c r="B16" s="48"/>
      <c r="C16" s="75"/>
      <c r="J16" s="712"/>
    </row>
    <row r="17" spans="1:31" ht="12.75" customHeight="1">
      <c r="A17" s="78" t="s">
        <v>4</v>
      </c>
      <c r="B17" s="86"/>
      <c r="C17" s="75"/>
      <c r="J17" s="712"/>
    </row>
    <row r="18" spans="1:31">
      <c r="A18" s="75" t="s">
        <v>39</v>
      </c>
      <c r="B18" s="83">
        <f>'TSU FGD'!M29</f>
        <v>42032412</v>
      </c>
      <c r="C18" s="83">
        <f t="shared" ref="C18:C19" si="3">ROUND(B18/$C$6,0)</f>
        <v>6521</v>
      </c>
      <c r="D18" s="512">
        <f>'TSU FGD'!$F$29</f>
        <v>0</v>
      </c>
      <c r="E18" s="512"/>
      <c r="F18" s="512">
        <f t="shared" ref="F18:F19" si="4">B18-(SUM(D18:E18))</f>
        <v>42032412</v>
      </c>
      <c r="G18" s="337"/>
      <c r="H18" s="337"/>
      <c r="I18" s="337"/>
      <c r="J18" s="713">
        <f>ROUND(F18/$C$6,0)</f>
        <v>6521</v>
      </c>
    </row>
    <row r="19" spans="1:31" ht="13.5" thickBot="1">
      <c r="A19" s="75" t="s">
        <v>40</v>
      </c>
      <c r="B19" s="86">
        <f>'TSU FGD'!M42</f>
        <v>11617482</v>
      </c>
      <c r="C19" s="87">
        <f t="shared" si="3"/>
        <v>1802</v>
      </c>
      <c r="D19" s="74">
        <f>'TSU FGD'!$F$42</f>
        <v>5129512</v>
      </c>
      <c r="E19" s="74"/>
      <c r="F19" s="74">
        <f t="shared" si="4"/>
        <v>6487970</v>
      </c>
      <c r="G19" s="337"/>
      <c r="H19" s="337"/>
      <c r="I19" s="337"/>
      <c r="J19" s="716">
        <f>ROUND(F19/$C$6,0)</f>
        <v>1007</v>
      </c>
    </row>
    <row r="20" spans="1:31" ht="14.25" thickTop="1" thickBot="1">
      <c r="A20" s="88" t="s">
        <v>5</v>
      </c>
      <c r="B20" s="89">
        <f>SUM(B18:B19)</f>
        <v>53649894</v>
      </c>
      <c r="C20" s="89">
        <f>SUM(C18:C19)</f>
        <v>8323</v>
      </c>
      <c r="D20" s="717">
        <f>SUM(D18:D19)</f>
        <v>5129512</v>
      </c>
      <c r="E20" s="718">
        <f>SUM(E18:E19)</f>
        <v>0</v>
      </c>
      <c r="F20" s="801">
        <f>SUM(F18:F19)</f>
        <v>48520382</v>
      </c>
      <c r="G20" s="720" t="s">
        <v>26</v>
      </c>
      <c r="H20" s="366"/>
      <c r="I20" s="367"/>
      <c r="J20" s="721">
        <f>SUM(J18:J19)</f>
        <v>7528</v>
      </c>
    </row>
    <row r="21" spans="1:31" ht="12.75" customHeight="1" thickTop="1">
      <c r="B21" s="91"/>
      <c r="C21" s="75"/>
      <c r="F21" s="804"/>
      <c r="J21" s="712"/>
    </row>
    <row r="22" spans="1:31" ht="14.25" customHeight="1" thickBot="1">
      <c r="A22" s="78" t="s">
        <v>6</v>
      </c>
      <c r="B22" s="91"/>
      <c r="C22" s="75"/>
      <c r="J22" s="712"/>
    </row>
    <row r="23" spans="1:31" ht="14.25" thickTop="1" thickBot="1">
      <c r="A23" s="88" t="s">
        <v>7</v>
      </c>
      <c r="B23" s="92">
        <f>'TSU FGD'!M47</f>
        <v>89345091</v>
      </c>
      <c r="C23" s="89">
        <f t="shared" ref="C23" si="5">ROUND(B23/$C$6,0)</f>
        <v>13861</v>
      </c>
      <c r="D23" s="717">
        <f>'TSU FGD'!F47</f>
        <v>0</v>
      </c>
      <c r="E23" s="718"/>
      <c r="F23" s="801">
        <f>B23-(SUM(D23:E23))</f>
        <v>89345091</v>
      </c>
      <c r="G23" s="722" t="s">
        <v>74</v>
      </c>
      <c r="H23" s="366"/>
      <c r="I23" s="367"/>
      <c r="J23" s="756">
        <f>ROUND(F23/$C$6,0)</f>
        <v>13861</v>
      </c>
    </row>
    <row r="24" spans="1:31" ht="13.5" thickTop="1">
      <c r="B24" s="91"/>
      <c r="C24" s="75"/>
      <c r="J24" s="712"/>
    </row>
    <row r="25" spans="1:31">
      <c r="A25" s="78" t="s">
        <v>8</v>
      </c>
      <c r="B25" s="91"/>
      <c r="C25" s="75"/>
      <c r="J25" s="712"/>
    </row>
    <row r="26" spans="1:31">
      <c r="A26" s="75" t="s">
        <v>42</v>
      </c>
      <c r="B26" s="83">
        <f>'TSU FGD'!M50</f>
        <v>2169599</v>
      </c>
      <c r="C26" s="83">
        <f t="shared" ref="C26:C31" si="6">ROUND(B26/$C$6,0)</f>
        <v>337</v>
      </c>
      <c r="D26" s="512">
        <f>'TSU FGD'!F50</f>
        <v>9298</v>
      </c>
      <c r="E26" s="512"/>
      <c r="F26" s="512">
        <f t="shared" ref="F26:F31" si="7">B26-(SUM(D26:E26))</f>
        <v>2160301</v>
      </c>
      <c r="G26" s="337"/>
      <c r="H26" s="337"/>
      <c r="I26" s="337"/>
      <c r="J26" s="713">
        <f>ROUND(F26/$C$6,0)</f>
        <v>335</v>
      </c>
    </row>
    <row r="27" spans="1:31">
      <c r="A27" s="75" t="s">
        <v>9</v>
      </c>
      <c r="B27" s="86">
        <f>'TSU FGD'!M51</f>
        <v>245226</v>
      </c>
      <c r="C27" s="87">
        <f t="shared" si="6"/>
        <v>38</v>
      </c>
      <c r="D27" s="86">
        <f>'TSU FGD'!F51</f>
        <v>0</v>
      </c>
      <c r="E27" s="74"/>
      <c r="F27" s="74">
        <f t="shared" si="7"/>
        <v>245226</v>
      </c>
      <c r="G27" s="337"/>
      <c r="H27" s="337"/>
      <c r="I27" s="337"/>
      <c r="J27" s="716">
        <f t="shared" ref="J27:J31" si="8">ROUND(F27/$C$6,0)</f>
        <v>38</v>
      </c>
    </row>
    <row r="28" spans="1:31" ht="13.5" thickBot="1">
      <c r="A28" s="75" t="s">
        <v>10</v>
      </c>
      <c r="B28" s="86">
        <f>'TSU FGD'!M52</f>
        <v>3709356</v>
      </c>
      <c r="C28" s="87">
        <f t="shared" si="6"/>
        <v>575</v>
      </c>
      <c r="D28" s="86">
        <f>'TSU FGD'!F52</f>
        <v>5</v>
      </c>
      <c r="E28" s="74"/>
      <c r="F28" s="74">
        <f t="shared" si="7"/>
        <v>3709351</v>
      </c>
      <c r="G28" s="337"/>
      <c r="H28" s="337"/>
      <c r="I28" s="337"/>
      <c r="J28" s="716">
        <f t="shared" si="8"/>
        <v>575</v>
      </c>
    </row>
    <row r="29" spans="1:31" ht="13.5" thickBot="1">
      <c r="A29" s="75" t="s">
        <v>11</v>
      </c>
      <c r="B29" s="86">
        <f>'TSU FGD'!M53</f>
        <v>59382</v>
      </c>
      <c r="C29" s="87">
        <f t="shared" si="6"/>
        <v>9</v>
      </c>
      <c r="D29" s="86">
        <f>'TSU FGD'!F53</f>
        <v>0</v>
      </c>
      <c r="E29" s="74"/>
      <c r="F29" s="74">
        <f t="shared" si="7"/>
        <v>59382</v>
      </c>
      <c r="G29" s="337"/>
      <c r="H29" s="337"/>
      <c r="I29" s="337"/>
      <c r="J29" s="716">
        <f t="shared" si="8"/>
        <v>9</v>
      </c>
      <c r="K29" s="1694" t="s">
        <v>1065</v>
      </c>
      <c r="L29" s="1695"/>
      <c r="M29" s="1695"/>
      <c r="N29" s="1695"/>
      <c r="O29" s="1696"/>
    </row>
    <row r="30" spans="1:31" ht="13.5" thickBot="1">
      <c r="A30" s="93" t="s">
        <v>2134</v>
      </c>
      <c r="B30" s="94">
        <f>'TSU FGD'!M54</f>
        <v>7508284</v>
      </c>
      <c r="C30" s="87">
        <f t="shared" si="6"/>
        <v>1165</v>
      </c>
      <c r="D30" s="729">
        <f>B30</f>
        <v>7508284</v>
      </c>
      <c r="E30" s="74"/>
      <c r="F30" s="74">
        <f t="shared" si="7"/>
        <v>0</v>
      </c>
      <c r="G30" s="337"/>
      <c r="H30" s="337"/>
      <c r="I30" s="337"/>
      <c r="J30" s="716">
        <f t="shared" si="8"/>
        <v>0</v>
      </c>
      <c r="K30" s="1694" t="s">
        <v>1070</v>
      </c>
      <c r="L30" s="1695"/>
      <c r="M30" s="1695"/>
      <c r="N30" s="1695"/>
      <c r="O30" s="1696"/>
    </row>
    <row r="31" spans="1:31" ht="13.5" customHeight="1" thickBot="1">
      <c r="A31" s="95" t="s">
        <v>43</v>
      </c>
      <c r="B31" s="86">
        <f>'TSU FGD'!M55</f>
        <v>18952146</v>
      </c>
      <c r="C31" s="87">
        <f t="shared" si="6"/>
        <v>2940</v>
      </c>
      <c r="D31" s="86">
        <f>'TSU FGD'!F55</f>
        <v>414425</v>
      </c>
      <c r="E31" s="74"/>
      <c r="F31" s="74">
        <f t="shared" si="7"/>
        <v>18537721</v>
      </c>
      <c r="G31" s="35"/>
      <c r="H31" s="35"/>
      <c r="I31" s="38"/>
      <c r="J31" s="716">
        <f t="shared" si="8"/>
        <v>2876</v>
      </c>
      <c r="K31" s="1697" t="s">
        <v>1073</v>
      </c>
      <c r="L31" s="1697" t="s">
        <v>1071</v>
      </c>
      <c r="M31" s="1697" t="s">
        <v>1072</v>
      </c>
      <c r="N31" s="1697" t="s">
        <v>1240</v>
      </c>
      <c r="O31" s="1697"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32643993</v>
      </c>
      <c r="C32" s="89">
        <f>SUM(C26:C31)</f>
        <v>5064</v>
      </c>
      <c r="D32" s="723">
        <f>SUM(D26:D31)</f>
        <v>7932012</v>
      </c>
      <c r="E32" s="723">
        <f>SUM(E26:E31)</f>
        <v>0</v>
      </c>
      <c r="F32" s="802">
        <f>SUM(F26:F31)</f>
        <v>24711981</v>
      </c>
      <c r="G32" s="1708" t="s">
        <v>8</v>
      </c>
      <c r="H32" s="1709"/>
      <c r="I32" s="783" t="s">
        <v>1166</v>
      </c>
      <c r="J32" s="725">
        <f>SUM(J26:J31)</f>
        <v>3833</v>
      </c>
      <c r="K32" s="1698"/>
      <c r="L32" s="1698"/>
      <c r="M32" s="1698"/>
      <c r="N32" s="1698" t="s">
        <v>1074</v>
      </c>
      <c r="O32" s="1698" t="s">
        <v>1075</v>
      </c>
    </row>
    <row r="33" spans="1:31" ht="14.25" thickTop="1" thickBot="1">
      <c r="A33" s="97" t="s">
        <v>68</v>
      </c>
      <c r="B33" s="52">
        <f>B15+B20+B23+B32</f>
        <v>255206661</v>
      </c>
      <c r="C33" s="45">
        <f>C15+C20+C23+C32</f>
        <v>39592</v>
      </c>
      <c r="D33" s="52">
        <f>D15+D20+D23+D32</f>
        <v>13061524</v>
      </c>
      <c r="E33" s="52">
        <f>E15+E20+E23+E32</f>
        <v>0</v>
      </c>
      <c r="F33" s="724">
        <f>F15+F20+F23+F32</f>
        <v>242145137</v>
      </c>
      <c r="G33" s="1758" t="s">
        <v>84</v>
      </c>
      <c r="H33" s="1759"/>
      <c r="I33" s="1375">
        <f>ROUND($G$35/$C$6,0)</f>
        <v>35749</v>
      </c>
      <c r="J33" s="726">
        <f>J15+J20+J23+J32</f>
        <v>37566</v>
      </c>
      <c r="K33" s="1698"/>
      <c r="L33" s="1698"/>
      <c r="M33" s="1698"/>
      <c r="N33" s="1698"/>
      <c r="O33" s="1698"/>
    </row>
    <row r="34" spans="1:31" ht="14.25" thickTop="1" thickBot="1">
      <c r="B34" s="98"/>
      <c r="C34" s="75"/>
      <c r="D34" s="337"/>
      <c r="E34" s="337"/>
      <c r="F34" s="337" t="s">
        <v>1199</v>
      </c>
      <c r="G34" s="787">
        <f>G14*-1</f>
        <v>-11719335</v>
      </c>
      <c r="H34" s="337"/>
      <c r="I34" s="783" t="s">
        <v>1167</v>
      </c>
      <c r="J34" s="727"/>
      <c r="K34" s="1699"/>
      <c r="L34" s="1699"/>
      <c r="M34" s="1699"/>
      <c r="N34" s="1699"/>
      <c r="O34" s="1699"/>
    </row>
    <row r="35" spans="1:31" ht="14.25" thickTop="1" thickBot="1">
      <c r="A35" s="81" t="s">
        <v>72</v>
      </c>
      <c r="B35" s="81"/>
      <c r="C35" s="81"/>
      <c r="D35" s="728"/>
      <c r="E35" s="728"/>
      <c r="F35" s="788" t="s">
        <v>1165</v>
      </c>
      <c r="G35" s="803">
        <f>F33+G34</f>
        <v>230425802</v>
      </c>
      <c r="I35" s="1376">
        <f>ROUND($G$35/$I$8,0)</f>
        <v>254081</v>
      </c>
      <c r="K35" s="609"/>
      <c r="L35" s="609"/>
      <c r="M35" s="609"/>
      <c r="N35" s="609"/>
      <c r="O35" s="609"/>
    </row>
    <row r="36" spans="1:31" ht="13.5" thickTop="1">
      <c r="A36" s="99" t="s">
        <v>14</v>
      </c>
      <c r="B36" s="83">
        <f>'TSU FGD'!M60</f>
        <v>78454410</v>
      </c>
      <c r="C36" s="83">
        <f t="shared" ref="C36:C46" si="9">ROUND(B36/$C$6,0)</f>
        <v>12172</v>
      </c>
      <c r="D36" s="512">
        <f>'TSU FGD'!F60</f>
        <v>0</v>
      </c>
      <c r="E36" s="512"/>
      <c r="F36" s="512">
        <f t="shared" ref="F36:F46" si="10">B36-(SUM(D36:E36))</f>
        <v>78454410</v>
      </c>
      <c r="G36" s="337"/>
      <c r="H36" s="1378" t="s">
        <v>2158</v>
      </c>
      <c r="I36" s="1379">
        <f>ROUND(F36/$C$6,0)</f>
        <v>12172</v>
      </c>
      <c r="J36" s="337" t="s">
        <v>752</v>
      </c>
      <c r="K36" s="512">
        <f>F36</f>
        <v>78454410</v>
      </c>
      <c r="L36" s="512">
        <f>K36</f>
        <v>78454410</v>
      </c>
      <c r="M36" s="512"/>
      <c r="N36" s="512"/>
      <c r="O36" s="512"/>
    </row>
    <row r="37" spans="1:31">
      <c r="A37" s="99" t="s">
        <v>15</v>
      </c>
      <c r="B37" s="86">
        <f>'TSU FGD'!M61</f>
        <v>5151314</v>
      </c>
      <c r="C37" s="87">
        <f t="shared" si="9"/>
        <v>799</v>
      </c>
      <c r="D37" s="86">
        <f>'TSU FGD'!F61</f>
        <v>0</v>
      </c>
      <c r="E37" s="74"/>
      <c r="F37" s="74">
        <f t="shared" si="10"/>
        <v>5151314</v>
      </c>
      <c r="G37" s="337"/>
      <c r="H37" s="337"/>
      <c r="J37" s="337" t="s">
        <v>1076</v>
      </c>
      <c r="K37" s="373">
        <f>F37</f>
        <v>5151314</v>
      </c>
      <c r="L37" s="373">
        <f>K37</f>
        <v>5151314</v>
      </c>
      <c r="M37" s="373"/>
      <c r="N37" s="373"/>
      <c r="O37" s="373"/>
    </row>
    <row r="38" spans="1:31">
      <c r="A38" s="99" t="s">
        <v>16</v>
      </c>
      <c r="B38" s="86">
        <f>'TSU FGD'!M62</f>
        <v>2009621</v>
      </c>
      <c r="C38" s="87">
        <f t="shared" si="9"/>
        <v>312</v>
      </c>
      <c r="D38" s="86">
        <f>'TSU FGD'!F62</f>
        <v>0</v>
      </c>
      <c r="E38" s="86">
        <f>B38-D38</f>
        <v>2009621</v>
      </c>
      <c r="F38" s="74">
        <f t="shared" si="10"/>
        <v>0</v>
      </c>
      <c r="G38" s="337"/>
      <c r="H38" s="337"/>
      <c r="I38" s="337"/>
      <c r="J38" s="337" t="s">
        <v>1077</v>
      </c>
      <c r="K38" s="736"/>
      <c r="L38" s="737"/>
      <c r="M38" s="737" t="s">
        <v>1152</v>
      </c>
      <c r="N38" s="737"/>
      <c r="O38" s="738"/>
    </row>
    <row r="39" spans="1:31">
      <c r="A39" s="99" t="s">
        <v>17</v>
      </c>
      <c r="B39" s="86">
        <f>'TSU FGD'!M63</f>
        <v>11715380</v>
      </c>
      <c r="C39" s="87">
        <f t="shared" si="9"/>
        <v>1818</v>
      </c>
      <c r="D39" s="86">
        <f>'TSU FGD'!F63</f>
        <v>0</v>
      </c>
      <c r="E39" s="74"/>
      <c r="F39" s="74">
        <f t="shared" si="10"/>
        <v>11715380</v>
      </c>
      <c r="G39" s="337"/>
      <c r="H39" s="1378" t="s">
        <v>2159</v>
      </c>
      <c r="I39" s="1379">
        <f>ROUND(F39/$C$6,0)</f>
        <v>1818</v>
      </c>
      <c r="J39" s="337" t="s">
        <v>1078</v>
      </c>
      <c r="K39" s="373">
        <f t="shared" ref="K39:K43" si="11">F39</f>
        <v>11715380</v>
      </c>
      <c r="L39" s="373">
        <f>K39</f>
        <v>11715380</v>
      </c>
      <c r="M39" s="373"/>
      <c r="N39" s="373"/>
      <c r="O39" s="373"/>
    </row>
    <row r="40" spans="1:31">
      <c r="A40" s="99" t="s">
        <v>18</v>
      </c>
      <c r="B40" s="86">
        <f>'TSU FGD'!M64</f>
        <v>14886580</v>
      </c>
      <c r="C40" s="87">
        <f t="shared" si="9"/>
        <v>2310</v>
      </c>
      <c r="D40" s="86">
        <f>'TSU FGD'!F64</f>
        <v>0</v>
      </c>
      <c r="E40" s="74"/>
      <c r="F40" s="74">
        <f t="shared" si="10"/>
        <v>14886580</v>
      </c>
      <c r="G40" s="337"/>
      <c r="J40" s="337" t="s">
        <v>1079</v>
      </c>
      <c r="K40" s="373">
        <f t="shared" si="11"/>
        <v>14886580</v>
      </c>
      <c r="L40" s="373"/>
      <c r="M40" s="373">
        <f>K40</f>
        <v>14886580</v>
      </c>
      <c r="N40" s="373"/>
      <c r="O40" s="373"/>
    </row>
    <row r="41" spans="1:31">
      <c r="A41" s="99" t="s">
        <v>19</v>
      </c>
      <c r="B41" s="86">
        <f>'TSU FGD'!M65</f>
        <v>53515854</v>
      </c>
      <c r="C41" s="87">
        <f t="shared" si="9"/>
        <v>8303</v>
      </c>
      <c r="D41" s="86">
        <f>'TSU FGD'!F65</f>
        <v>0</v>
      </c>
      <c r="E41" s="74"/>
      <c r="F41" s="74">
        <f t="shared" si="10"/>
        <v>53515854</v>
      </c>
      <c r="G41" s="337"/>
      <c r="H41" s="1378" t="s">
        <v>2160</v>
      </c>
      <c r="I41" s="1379">
        <f>ROUND(F41/$C$6,0)</f>
        <v>8303</v>
      </c>
      <c r="J41" s="337" t="s">
        <v>757</v>
      </c>
      <c r="K41" s="373">
        <f t="shared" si="11"/>
        <v>53515854</v>
      </c>
      <c r="L41" s="373"/>
      <c r="M41" s="373"/>
      <c r="N41" s="373">
        <f>K41</f>
        <v>53515854</v>
      </c>
      <c r="O41" s="373"/>
    </row>
    <row r="42" spans="1:31">
      <c r="A42" s="99" t="s">
        <v>20</v>
      </c>
      <c r="B42" s="86">
        <f>'TSU FGD'!M66</f>
        <v>14101852</v>
      </c>
      <c r="C42" s="87">
        <f t="shared" si="9"/>
        <v>2188</v>
      </c>
      <c r="D42" s="86">
        <f>'TSU FGD'!F66</f>
        <v>0</v>
      </c>
      <c r="E42" s="74"/>
      <c r="F42" s="74">
        <f t="shared" si="10"/>
        <v>14101852</v>
      </c>
      <c r="G42" s="337"/>
      <c r="J42" s="337" t="s">
        <v>758</v>
      </c>
      <c r="K42" s="373">
        <f t="shared" si="11"/>
        <v>14101852</v>
      </c>
      <c r="L42" s="373"/>
      <c r="M42" s="373"/>
      <c r="N42" s="373">
        <f>K42</f>
        <v>14101852</v>
      </c>
      <c r="O42" s="373"/>
    </row>
    <row r="43" spans="1:31">
      <c r="A43" s="99" t="s">
        <v>21</v>
      </c>
      <c r="B43" s="86">
        <f>'TSU FGD'!M67</f>
        <v>27513383</v>
      </c>
      <c r="C43" s="87">
        <f t="shared" si="9"/>
        <v>4269</v>
      </c>
      <c r="D43" s="86">
        <f>'TSU FGD'!F67</f>
        <v>0</v>
      </c>
      <c r="E43" s="74"/>
      <c r="F43" s="74">
        <f t="shared" si="10"/>
        <v>27513383</v>
      </c>
      <c r="G43" s="337"/>
      <c r="H43" s="337"/>
      <c r="I43" s="337"/>
      <c r="J43" s="337" t="s">
        <v>1145</v>
      </c>
      <c r="K43" s="373">
        <f t="shared" si="11"/>
        <v>27513383</v>
      </c>
      <c r="L43" s="373"/>
      <c r="M43" s="373">
        <f>K43</f>
        <v>27513383</v>
      </c>
      <c r="N43" s="373"/>
      <c r="O43" s="373"/>
    </row>
    <row r="44" spans="1:31">
      <c r="A44" s="99" t="s">
        <v>2135</v>
      </c>
      <c r="B44" s="86">
        <f>'TSU FGD'!M68</f>
        <v>15885231</v>
      </c>
      <c r="C44" s="87">
        <f t="shared" si="9"/>
        <v>2464</v>
      </c>
      <c r="D44" s="729">
        <f>B44</f>
        <v>15885231</v>
      </c>
      <c r="E44" s="74"/>
      <c r="F44" s="74">
        <f t="shared" si="10"/>
        <v>0</v>
      </c>
      <c r="G44" s="337"/>
      <c r="H44" s="337"/>
      <c r="I44" s="337"/>
      <c r="J44" s="337" t="s">
        <v>743</v>
      </c>
      <c r="K44" s="736"/>
      <c r="L44" s="737"/>
      <c r="M44" s="737" t="s">
        <v>1152</v>
      </c>
      <c r="N44" s="737"/>
      <c r="O44" s="738"/>
    </row>
    <row r="45" spans="1:31">
      <c r="A45" s="99" t="s">
        <v>61</v>
      </c>
      <c r="B45" s="86">
        <f>'TSU FGD'!M69</f>
        <v>5433052</v>
      </c>
      <c r="C45" s="87">
        <f t="shared" si="9"/>
        <v>843</v>
      </c>
      <c r="D45" s="86">
        <f>'TSU FGD'!F69</f>
        <v>322298</v>
      </c>
      <c r="E45" s="74"/>
      <c r="F45" s="74">
        <f t="shared" si="10"/>
        <v>5110754</v>
      </c>
      <c r="G45" s="337"/>
      <c r="H45" s="337"/>
      <c r="I45" s="337"/>
      <c r="J45" s="337" t="s">
        <v>1080</v>
      </c>
      <c r="K45" s="373">
        <f t="shared" ref="K45:K46" si="12">F45</f>
        <v>5110754</v>
      </c>
      <c r="L45" s="373"/>
      <c r="M45" s="373"/>
      <c r="N45" s="373"/>
      <c r="O45" s="373">
        <f>K45</f>
        <v>5110754</v>
      </c>
    </row>
    <row r="46" spans="1:31" ht="13.5" thickBot="1">
      <c r="A46" s="75" t="s">
        <v>50</v>
      </c>
      <c r="B46" s="86">
        <f>'TSU FGD'!M70</f>
        <v>525803</v>
      </c>
      <c r="C46" s="87">
        <f t="shared" si="9"/>
        <v>82</v>
      </c>
      <c r="D46" s="86">
        <f>'TSU FGD'!F70</f>
        <v>0</v>
      </c>
      <c r="E46" s="74"/>
      <c r="F46" s="74">
        <f t="shared" si="10"/>
        <v>525803</v>
      </c>
      <c r="G46" s="35"/>
      <c r="H46" s="1378" t="s">
        <v>2161</v>
      </c>
      <c r="I46" s="1379">
        <f>ROUND(SUM(F37+F40+F42+F43+F45+F46)/$C$6,0)</f>
        <v>10440</v>
      </c>
      <c r="J46" s="610" t="s">
        <v>1075</v>
      </c>
      <c r="K46" s="373">
        <f t="shared" si="12"/>
        <v>525803</v>
      </c>
      <c r="L46" s="611"/>
      <c r="M46" s="611"/>
      <c r="N46" s="611"/>
      <c r="O46" s="373">
        <f>K46</f>
        <v>525803</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229192480</v>
      </c>
      <c r="C47" s="45">
        <f>SUM(C36:C46)</f>
        <v>35560</v>
      </c>
      <c r="D47" s="730">
        <f>SUM(D36:D46)</f>
        <v>16207529</v>
      </c>
      <c r="E47" s="731">
        <f>SUM(E36:E46)</f>
        <v>2009621</v>
      </c>
      <c r="F47" s="719">
        <f>SUM(F36:F46)</f>
        <v>210975330</v>
      </c>
      <c r="G47" s="1688" t="s">
        <v>1176</v>
      </c>
      <c r="H47" s="1689"/>
      <c r="I47" s="785" t="s">
        <v>1164</v>
      </c>
      <c r="J47" s="610" t="s">
        <v>1081</v>
      </c>
      <c r="K47" s="612">
        <f>SUM(K36:K46)</f>
        <v>210975330</v>
      </c>
      <c r="L47" s="612">
        <f>SUM(L36:L46)</f>
        <v>95321104</v>
      </c>
      <c r="M47" s="612">
        <f>SUM(M36:M46)</f>
        <v>42399963</v>
      </c>
      <c r="N47" s="612">
        <f>SUM(N36:N46)</f>
        <v>67617706</v>
      </c>
      <c r="O47" s="612">
        <f>SUM(O36:O46)</f>
        <v>5636557</v>
      </c>
    </row>
    <row r="48" spans="1:31" ht="14.25" thickTop="1" thickBot="1">
      <c r="A48" s="93"/>
      <c r="B48" s="98"/>
      <c r="C48" s="75"/>
      <c r="F48" s="613"/>
      <c r="G48" s="1690"/>
      <c r="H48" s="1691"/>
      <c r="I48" s="823">
        <f>ROUND(F47/C6,0)</f>
        <v>32731</v>
      </c>
      <c r="J48" s="1700" t="s">
        <v>1082</v>
      </c>
      <c r="K48" s="611"/>
      <c r="L48" s="611"/>
      <c r="M48" s="611"/>
      <c r="N48" s="611"/>
      <c r="O48" s="611"/>
    </row>
    <row r="49" spans="1:31" ht="13.5" thickBot="1">
      <c r="A49" s="78" t="s">
        <v>23</v>
      </c>
      <c r="B49" s="82"/>
      <c r="C49" s="75"/>
      <c r="F49" s="614"/>
      <c r="G49" s="1690"/>
      <c r="H49" s="1691"/>
      <c r="I49" s="811"/>
      <c r="J49" s="1700"/>
      <c r="K49" s="615">
        <f>ROUND(K47/$C$6,2)</f>
        <v>32731.48</v>
      </c>
      <c r="L49" s="615">
        <f t="shared" ref="L49:O49" si="13">ROUND(L47/$C$6,2)</f>
        <v>14788.46</v>
      </c>
      <c r="M49" s="615">
        <f t="shared" si="13"/>
        <v>6578.08</v>
      </c>
      <c r="N49" s="615">
        <f t="shared" si="13"/>
        <v>10490.46</v>
      </c>
      <c r="O49" s="615">
        <f t="shared" si="13"/>
        <v>874.48</v>
      </c>
      <c r="P49" s="35"/>
      <c r="Q49" s="96"/>
      <c r="R49" s="96"/>
      <c r="S49" s="96"/>
      <c r="T49" s="96"/>
      <c r="U49" s="96"/>
      <c r="V49" s="96"/>
      <c r="W49" s="96"/>
      <c r="X49" s="96"/>
      <c r="Y49" s="96"/>
      <c r="Z49" s="96"/>
      <c r="AA49" s="96"/>
      <c r="AB49" s="96"/>
      <c r="AC49" s="96"/>
      <c r="AD49" s="96"/>
      <c r="AE49" s="96"/>
    </row>
    <row r="50" spans="1:31" ht="13.5" thickBot="1">
      <c r="A50" s="75" t="s">
        <v>62</v>
      </c>
      <c r="B50" s="86">
        <f>'TSU FGD'!M74</f>
        <v>-13325302</v>
      </c>
      <c r="C50" s="83">
        <f t="shared" ref="C50:C53" si="14">ROUND(B50/$C$6,0)</f>
        <v>-2067</v>
      </c>
      <c r="D50" s="512">
        <f>'TSU FGD'!F74</f>
        <v>0</v>
      </c>
      <c r="E50" s="512"/>
      <c r="F50" s="732">
        <f t="shared" ref="F50:F53" si="15">B50-(SUM(D50:E50))</f>
        <v>-13325302</v>
      </c>
      <c r="G50" s="1692"/>
      <c r="H50" s="1693"/>
      <c r="I50" s="808"/>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'TSU FGD'!M75</f>
        <v>-3767752</v>
      </c>
      <c r="C51" s="87">
        <f t="shared" si="14"/>
        <v>-585</v>
      </c>
      <c r="D51" s="91">
        <f>'TSU FGD'!F75</f>
        <v>0</v>
      </c>
      <c r="E51" s="82"/>
      <c r="F51" s="74">
        <f t="shared" si="15"/>
        <v>-3767752</v>
      </c>
      <c r="G51" s="337"/>
      <c r="J51" s="337"/>
      <c r="K51" s="616"/>
      <c r="L51" s="616"/>
      <c r="M51" s="616"/>
      <c r="N51" s="616"/>
      <c r="O51" s="616"/>
    </row>
    <row r="52" spans="1:31">
      <c r="A52" s="75" t="s">
        <v>51</v>
      </c>
      <c r="B52" s="86">
        <f>'TSU FGD'!M76</f>
        <v>0</v>
      </c>
      <c r="C52" s="87">
        <f t="shared" si="14"/>
        <v>0</v>
      </c>
      <c r="D52" s="91">
        <f>'TSU FGD'!F76</f>
        <v>0</v>
      </c>
      <c r="E52" s="82"/>
      <c r="F52" s="74">
        <f t="shared" si="15"/>
        <v>0</v>
      </c>
      <c r="G52" s="337"/>
      <c r="J52" s="733"/>
      <c r="K52" s="733"/>
      <c r="L52" s="733"/>
      <c r="M52" s="733"/>
      <c r="N52" s="733"/>
      <c r="O52" s="733"/>
    </row>
    <row r="53" spans="1:31" ht="12" customHeight="1">
      <c r="A53" s="75" t="s">
        <v>46</v>
      </c>
      <c r="B53" s="86">
        <f>'TSU FGD'!M77</f>
        <v>-15903989</v>
      </c>
      <c r="C53" s="87">
        <f t="shared" si="14"/>
        <v>-2467</v>
      </c>
      <c r="D53" s="91">
        <f>'TSU FGD'!F77</f>
        <v>-1745665</v>
      </c>
      <c r="E53" s="82"/>
      <c r="F53" s="74">
        <f t="shared" si="15"/>
        <v>-14158324</v>
      </c>
      <c r="G53" s="35"/>
      <c r="J53" s="733"/>
      <c r="K53" s="733"/>
      <c r="L53" s="733"/>
      <c r="M53" s="733"/>
      <c r="N53" s="733"/>
      <c r="O53" s="733"/>
      <c r="P53" s="35"/>
      <c r="Q53" s="96"/>
      <c r="R53" s="96"/>
      <c r="S53" s="96"/>
      <c r="T53" s="96"/>
      <c r="U53" s="96"/>
      <c r="V53" s="96"/>
      <c r="W53" s="96"/>
      <c r="X53" s="96"/>
      <c r="Y53" s="96"/>
      <c r="Z53" s="96"/>
      <c r="AA53" s="96"/>
      <c r="AB53" s="96"/>
      <c r="AC53" s="96"/>
      <c r="AD53" s="96"/>
      <c r="AE53" s="96"/>
    </row>
    <row r="54" spans="1:31">
      <c r="A54" s="88" t="s">
        <v>3</v>
      </c>
      <c r="B54" s="89">
        <f>SUM(B50:B53)</f>
        <v>-32997043</v>
      </c>
      <c r="C54" s="89">
        <f>SUM(C50:C53)</f>
        <v>-5119</v>
      </c>
      <c r="D54" s="89">
        <f>SUM(D50:D53)</f>
        <v>-1745665</v>
      </c>
      <c r="E54" s="89">
        <f>SUM(E50:E53)</f>
        <v>0</v>
      </c>
      <c r="F54" s="102">
        <f>SUM(F50:F53)</f>
        <v>-31251378</v>
      </c>
      <c r="G54" s="337"/>
      <c r="H54" s="337"/>
      <c r="I54" s="337"/>
      <c r="J54" s="733"/>
      <c r="K54" s="733"/>
      <c r="L54" s="733"/>
      <c r="M54" s="733"/>
      <c r="N54" s="733"/>
      <c r="O54" s="733"/>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'TSU FGD'!M81</f>
        <v>102307777</v>
      </c>
      <c r="C57" s="83">
        <f>ROUND(B57/$C$6,0)</f>
        <v>15872</v>
      </c>
      <c r="D57" s="512">
        <f>'TSU FGD'!F81</f>
        <v>0</v>
      </c>
      <c r="E57" s="512"/>
      <c r="F57" s="512">
        <f t="shared" ref="F57:F58" si="16">B57-(SUM(D57:E57))</f>
        <v>102307777</v>
      </c>
      <c r="G57" s="337"/>
      <c r="H57" s="337"/>
      <c r="I57" s="337"/>
      <c r="J57" s="337"/>
    </row>
    <row r="58" spans="1:31">
      <c r="A58" s="75" t="s">
        <v>48</v>
      </c>
      <c r="B58" s="86">
        <f>'TSU FGD'!M82</f>
        <v>898617</v>
      </c>
      <c r="C58" s="87">
        <f>ROUND(B58/$C$6,0)</f>
        <v>139</v>
      </c>
      <c r="D58" s="91">
        <f>'TSU FGD'!F82</f>
        <v>0</v>
      </c>
      <c r="E58" s="82"/>
      <c r="F58" s="74">
        <f t="shared" si="16"/>
        <v>898617</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103206394</v>
      </c>
      <c r="C59" s="89">
        <f>SUM(C57:C58)</f>
        <v>16011</v>
      </c>
      <c r="D59" s="89">
        <f>SUM(D57:D58)</f>
        <v>0</v>
      </c>
      <c r="E59" s="89">
        <f>SUM(E57:E58)</f>
        <v>0</v>
      </c>
      <c r="F59" s="89">
        <f>SUM(F57:F58)</f>
        <v>103206394</v>
      </c>
      <c r="G59" s="367"/>
      <c r="H59" s="367"/>
      <c r="I59" s="367"/>
      <c r="J59" s="367"/>
      <c r="K59" s="266"/>
      <c r="L59" s="266"/>
      <c r="M59" s="266"/>
      <c r="N59" s="266"/>
      <c r="O59" s="266"/>
      <c r="P59" s="266"/>
    </row>
    <row r="60" spans="1:31">
      <c r="B60" s="82"/>
      <c r="C60" s="75"/>
    </row>
    <row r="61" spans="1:31" ht="13.5" thickBot="1">
      <c r="A61" s="103" t="s">
        <v>573</v>
      </c>
      <c r="B61" s="46">
        <f>B33-B47+B54+B59</f>
        <v>96223532</v>
      </c>
      <c r="C61" s="46">
        <f>C33-C47+C54+C59</f>
        <v>14924</v>
      </c>
      <c r="D61" s="46">
        <f>D33-D47+D54+D59</f>
        <v>-4891670</v>
      </c>
      <c r="E61" s="46">
        <f>E33-E47+E54+E59</f>
        <v>-2009621</v>
      </c>
      <c r="F61" s="46">
        <f>F33-F47+F54+F59</f>
        <v>103124823</v>
      </c>
    </row>
    <row r="62" spans="1:31" ht="13.5" thickTop="1"/>
    <row r="63" spans="1:31">
      <c r="D63" s="512"/>
    </row>
    <row r="65" spans="2:16">
      <c r="B65" s="734">
        <f>'TSU FGD'!$M$85</f>
        <v>96223532</v>
      </c>
      <c r="C65" s="75"/>
      <c r="D65" s="734">
        <f>'TSU FGD'!$F$85</f>
        <v>-4891670</v>
      </c>
      <c r="E65" s="734">
        <f>'TSU FGD'!$M$62*-1</f>
        <v>-2009621</v>
      </c>
      <c r="F65" s="75"/>
    </row>
    <row r="66" spans="2:16">
      <c r="B66" s="734"/>
      <c r="C66" s="75"/>
      <c r="D66" s="734">
        <f>'TSU FGD'!$F$68</f>
        <v>15885231</v>
      </c>
      <c r="E66" s="734">
        <f>+$D$38</f>
        <v>0</v>
      </c>
      <c r="F66" s="734"/>
    </row>
    <row r="67" spans="2:16">
      <c r="B67" s="759"/>
      <c r="C67" s="75"/>
      <c r="D67" s="759">
        <f>-'TSU FGD'!$M$68</f>
        <v>-15885231</v>
      </c>
      <c r="E67" s="759"/>
      <c r="F67" s="734"/>
    </row>
    <row r="68" spans="2:16">
      <c r="B68" s="734">
        <f>SUM(B65:B67)</f>
        <v>96223532</v>
      </c>
      <c r="C68" s="75"/>
      <c r="D68" s="734">
        <f>SUM(D65:D67)</f>
        <v>-4891670</v>
      </c>
      <c r="E68" s="734">
        <f>SUM(E65:E67)</f>
        <v>-2009621</v>
      </c>
      <c r="F68" s="734">
        <f>B68-D68-E68</f>
        <v>103124823</v>
      </c>
    </row>
    <row r="69" spans="2:16">
      <c r="B69" s="734"/>
      <c r="C69" s="75"/>
      <c r="D69" s="734">
        <f>'TSU FGD'!F54*-1</f>
        <v>-7508284</v>
      </c>
      <c r="E69" s="734"/>
      <c r="F69" s="734"/>
    </row>
    <row r="70" spans="2:16" ht="12.75" customHeight="1">
      <c r="B70" s="759"/>
      <c r="C70" s="95"/>
      <c r="D70" s="759">
        <f>'TSU FGD'!M54</f>
        <v>7508284</v>
      </c>
      <c r="E70" s="759"/>
      <c r="F70" s="759">
        <f>-D70-D69</f>
        <v>0</v>
      </c>
    </row>
    <row r="71" spans="2:16" ht="12.75" customHeight="1">
      <c r="B71" s="734">
        <f>SUM(B68:B70)</f>
        <v>96223532</v>
      </c>
      <c r="C71" s="75"/>
      <c r="D71" s="734">
        <f>SUM(D68:D70)</f>
        <v>-4891670</v>
      </c>
      <c r="E71" s="734">
        <f>SUM(E68:E70)</f>
        <v>-2009621</v>
      </c>
      <c r="F71" s="734">
        <f>SUM(F68:F70)</f>
        <v>103124823</v>
      </c>
    </row>
    <row r="72" spans="2:16" ht="12.75" customHeight="1">
      <c r="B72" s="734"/>
      <c r="C72" s="75"/>
      <c r="D72" s="734"/>
      <c r="E72" s="734"/>
      <c r="F72" s="734"/>
    </row>
    <row r="73" spans="2:16" ht="12.75" customHeight="1">
      <c r="B73" s="512">
        <f>B61-B71</f>
        <v>0</v>
      </c>
      <c r="C73" s="75"/>
      <c r="D73" s="512">
        <f>D61-D71</f>
        <v>0</v>
      </c>
      <c r="E73" s="512">
        <f>E61-E71</f>
        <v>0</v>
      </c>
      <c r="F73" s="512">
        <f>F61-F71</f>
        <v>0</v>
      </c>
    </row>
    <row r="74" spans="2:16" ht="12.75" customHeight="1">
      <c r="C74" s="75"/>
      <c r="F74" s="617"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G47:H50"/>
    <mergeCell ref="K30:O30"/>
    <mergeCell ref="M31:M34"/>
    <mergeCell ref="G32:H32"/>
    <mergeCell ref="G33:H33"/>
    <mergeCell ref="L31:L34"/>
    <mergeCell ref="K31:K34"/>
    <mergeCell ref="N31:N34"/>
    <mergeCell ref="O31:O34"/>
    <mergeCell ref="J48:J49"/>
    <mergeCell ref="F1:I1"/>
    <mergeCell ref="J1:O1"/>
    <mergeCell ref="D1:E1"/>
    <mergeCell ref="K29:O29"/>
    <mergeCell ref="D4:D5"/>
    <mergeCell ref="E4:E5"/>
  </mergeCells>
  <hyperlinks>
    <hyperlink ref="D1:E1" location="Index!A1" display="Return to Index" xr:uid="{00000000-0004-0000-A2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sheetPr codeName="Sheet137">
    <tabColor indexed="11"/>
    <pageSetUpPr fitToPage="1"/>
  </sheetPr>
  <dimension ref="A1:AB122"/>
  <sheetViews>
    <sheetView showGridLines="0" zoomScale="75" zoomScaleNormal="75" workbookViewId="0">
      <pane xSplit="2" ySplit="8" topLeftCell="D79" activePane="bottomRight" state="frozen"/>
      <selection activeCell="E74" sqref="E74:F74"/>
      <selection pane="topRight" activeCell="E74" sqref="E74:F74"/>
      <selection pane="bottomLeft" activeCell="E74" sqref="E74:F74"/>
      <selection pane="bottomRight" activeCell="K98" sqref="K98"/>
    </sheetView>
  </sheetViews>
  <sheetFormatPr defaultColWidth="9.140625"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5.140625" style="164" customWidth="1"/>
    <col min="15" max="15" width="14.42578125" style="261" customWidth="1"/>
    <col min="16" max="16" width="25.7109375" style="264" customWidth="1"/>
    <col min="17" max="17" width="16.42578125" style="264" customWidth="1"/>
    <col min="18" max="18" width="18.42578125" style="264" customWidth="1"/>
    <col min="19" max="19" width="1.7109375" style="264" customWidth="1"/>
    <col min="20" max="20" width="17.140625" style="264" customWidth="1"/>
    <col min="21" max="21" width="16.85546875" style="264" customWidth="1"/>
    <col min="22" max="23" width="19.28515625" style="264" customWidth="1"/>
    <col min="24" max="24" width="16.855468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13" t="str">
        <f>'TSU Chrts'!$A$1</f>
        <v>Texas Southern University</v>
      </c>
      <c r="C2" s="1713"/>
      <c r="D2" s="1713"/>
      <c r="E2" s="1713"/>
      <c r="F2" s="1742"/>
      <c r="G2" s="160"/>
      <c r="H2" s="161"/>
      <c r="I2" s="320" t="str">
        <f>IF($B$2&lt;&gt;Input!$B$40,"Name Mismatch","")</f>
        <v/>
      </c>
      <c r="J2" s="168"/>
      <c r="K2" s="169"/>
      <c r="L2" s="169"/>
      <c r="M2" s="170"/>
      <c r="O2" s="835" t="s">
        <v>1200</v>
      </c>
      <c r="P2" s="36"/>
    </row>
    <row r="3" spans="1:28" ht="20.25">
      <c r="A3" s="184">
        <v>2</v>
      </c>
      <c r="B3" s="1713" t="str">
        <f>'Smmy Chrts'!$A$2</f>
        <v>For the Year Ended August 31, 2021</v>
      </c>
      <c r="C3" s="1713"/>
      <c r="D3" s="1713"/>
      <c r="E3" s="1713"/>
      <c r="F3" s="1742"/>
      <c r="G3" s="161"/>
      <c r="H3" s="161"/>
      <c r="I3" s="169"/>
      <c r="J3" s="168"/>
      <c r="K3" s="169"/>
      <c r="L3" s="169"/>
      <c r="M3" s="170"/>
      <c r="O3" s="74"/>
    </row>
    <row r="4" spans="1:28" ht="20.25">
      <c r="A4" s="184">
        <v>3</v>
      </c>
      <c r="B4" s="1713" t="str">
        <f>'Smmy Chrts'!$A$3</f>
        <v>Source: FY 2021 Annual Financial Report</v>
      </c>
      <c r="C4" s="1713"/>
      <c r="D4" s="1713"/>
      <c r="E4" s="1713"/>
      <c r="F4" s="1742"/>
      <c r="G4" s="161"/>
      <c r="H4" s="161"/>
      <c r="I4" s="169"/>
      <c r="J4" s="168"/>
      <c r="K4" s="169"/>
      <c r="L4" s="169"/>
      <c r="M4" s="170"/>
      <c r="O4" s="74"/>
      <c r="P4" s="1744" t="s">
        <v>93</v>
      </c>
      <c r="Q4" s="1745"/>
      <c r="T4" s="36" t="s">
        <v>250</v>
      </c>
    </row>
    <row r="5" spans="1:28">
      <c r="A5" s="184">
        <v>4</v>
      </c>
      <c r="B5" s="160"/>
      <c r="C5" s="160"/>
      <c r="D5" s="160"/>
      <c r="E5" s="160"/>
      <c r="F5" s="160"/>
      <c r="G5" s="160"/>
      <c r="H5" s="160"/>
      <c r="I5" s="160"/>
      <c r="J5" s="160"/>
      <c r="K5" s="160"/>
      <c r="L5" s="160"/>
      <c r="M5" s="166"/>
      <c r="O5" s="262"/>
    </row>
    <row r="6" spans="1:28">
      <c r="A6" s="184">
        <v>5</v>
      </c>
      <c r="B6" s="1715" t="str">
        <f>'Smmy Chrts'!$C$32</f>
        <v>Detail Worksheet FY 2021</v>
      </c>
      <c r="C6" s="1715"/>
      <c r="D6" s="1743"/>
      <c r="E6" s="1743"/>
      <c r="F6" s="1743"/>
      <c r="G6" s="1743"/>
      <c r="H6" s="1743"/>
      <c r="I6" s="1743"/>
      <c r="J6" s="1743"/>
      <c r="K6" s="1743"/>
      <c r="L6" s="1743"/>
      <c r="M6" s="1743"/>
      <c r="O6" s="265"/>
    </row>
    <row r="7" spans="1:28">
      <c r="A7" s="184">
        <v>6</v>
      </c>
      <c r="B7" s="172"/>
      <c r="C7" s="172"/>
      <c r="D7" s="160"/>
      <c r="E7" s="160"/>
      <c r="F7" s="160"/>
      <c r="G7" s="160"/>
      <c r="H7" s="160"/>
      <c r="I7" s="160"/>
      <c r="J7" s="160"/>
      <c r="K7" s="160"/>
      <c r="L7" s="160"/>
      <c r="M7" s="173" t="str">
        <f>'Smmy Chrts'!$C$33</f>
        <v>FY 2021</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Input!$M$40</f>
        <v>62046473</v>
      </c>
      <c r="E10" s="372">
        <f>Input!$N$40</f>
        <v>0</v>
      </c>
      <c r="F10" s="372">
        <f>Input!$O$40</f>
        <v>0</v>
      </c>
      <c r="G10" s="372">
        <f>Input!$P$40</f>
        <v>0</v>
      </c>
      <c r="H10" s="372">
        <f>Input!$Q$40</f>
        <v>0</v>
      </c>
      <c r="I10" s="372">
        <f>Input!$R$40</f>
        <v>0</v>
      </c>
      <c r="J10" s="372">
        <f>Input!$S$40</f>
        <v>0</v>
      </c>
      <c r="K10" s="372">
        <f>Input!$T$40</f>
        <v>0</v>
      </c>
      <c r="L10" s="372">
        <f>Input!$U$40</f>
        <v>0</v>
      </c>
      <c r="M10" s="373">
        <f t="shared" ref="M10:M15" si="0">D10+E10+F10+G10+H10+I10+J10+K10+L10</f>
        <v>62046473</v>
      </c>
      <c r="N10" s="160"/>
      <c r="O10" s="271"/>
      <c r="P10" s="1718" t="s">
        <v>575</v>
      </c>
      <c r="U10" s="268"/>
    </row>
    <row r="11" spans="1:28">
      <c r="A11" s="184">
        <v>10</v>
      </c>
      <c r="B11" s="160" t="s">
        <v>2</v>
      </c>
      <c r="C11" s="160"/>
      <c r="D11" s="372">
        <f>Input!$V$40</f>
        <v>5511132</v>
      </c>
      <c r="E11" s="372">
        <f>Input!$W$40</f>
        <v>0</v>
      </c>
      <c r="F11" s="372">
        <f>Input!$X$40</f>
        <v>0</v>
      </c>
      <c r="G11" s="372">
        <f>Input!$Y$40</f>
        <v>290743</v>
      </c>
      <c r="H11" s="372">
        <f>Input!$Z$40</f>
        <v>0</v>
      </c>
      <c r="I11" s="372">
        <f>Input!$AA$40</f>
        <v>0</v>
      </c>
      <c r="J11" s="372">
        <f>Input!$AB$40</f>
        <v>0</v>
      </c>
      <c r="K11" s="372">
        <f>Input!$AC$40</f>
        <v>0</v>
      </c>
      <c r="L11" s="372">
        <f>Input!$AD$40</f>
        <v>0</v>
      </c>
      <c r="M11" s="373">
        <f t="shared" si="0"/>
        <v>5801875</v>
      </c>
      <c r="N11" s="160"/>
      <c r="O11" s="482"/>
      <c r="P11" s="1719"/>
      <c r="U11" s="268"/>
    </row>
    <row r="12" spans="1:28" ht="12.75" hidden="1" customHeight="1">
      <c r="B12" s="160" t="s">
        <v>1410</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Input!$AN$40</f>
        <v>11719335</v>
      </c>
      <c r="E13" s="372">
        <f>Input!$AO$40</f>
        <v>0</v>
      </c>
      <c r="F13" s="372">
        <f>Input!$AP$40</f>
        <v>0</v>
      </c>
      <c r="G13" s="372">
        <f>Input!$AQ$40</f>
        <v>0</v>
      </c>
      <c r="H13" s="372">
        <f>Input!$AR$40</f>
        <v>0</v>
      </c>
      <c r="I13" s="372">
        <f>Input!$AS$40</f>
        <v>0</v>
      </c>
      <c r="J13" s="372">
        <f>Input!$AT$40</f>
        <v>0</v>
      </c>
      <c r="K13" s="372">
        <f>Input!$AU$40</f>
        <v>0</v>
      </c>
      <c r="L13" s="372">
        <f>Input!$AV$40</f>
        <v>0</v>
      </c>
      <c r="M13" s="373">
        <f t="shared" si="0"/>
        <v>11719335</v>
      </c>
      <c r="N13" s="160"/>
      <c r="O13" s="482" t="str">
        <f>IF(P13&lt;&gt;M13,"Out of Balance","Balanced")</f>
        <v>Balanced</v>
      </c>
      <c r="P13" s="484">
        <f>IFERROR(VLOOKUP($B$2,AMTLU,6,FALSE),0)</f>
        <v>11719335</v>
      </c>
      <c r="U13" s="268"/>
    </row>
    <row r="14" spans="1:28">
      <c r="A14" s="184">
        <v>13</v>
      </c>
      <c r="B14" s="160" t="s">
        <v>49</v>
      </c>
      <c r="C14" s="160"/>
      <c r="D14" s="372">
        <f>Input!$AW$40</f>
        <v>0</v>
      </c>
      <c r="E14" s="372">
        <f>Input!$AX$40</f>
        <v>0</v>
      </c>
      <c r="F14" s="372">
        <f>Input!$AY$40</f>
        <v>0</v>
      </c>
      <c r="G14" s="372">
        <f>Input!$AZ$40</f>
        <v>0</v>
      </c>
      <c r="H14" s="372">
        <f>Input!$BA$40</f>
        <v>0</v>
      </c>
      <c r="I14" s="372">
        <f>Input!$BB$40</f>
        <v>0</v>
      </c>
      <c r="J14" s="372">
        <f>Input!$BC$40</f>
        <v>0</v>
      </c>
      <c r="K14" s="372">
        <f>Input!$BD$40</f>
        <v>0</v>
      </c>
      <c r="L14" s="372">
        <f>Input!$BE$40</f>
        <v>0</v>
      </c>
      <c r="M14" s="373">
        <f t="shared" si="0"/>
        <v>0</v>
      </c>
      <c r="N14" s="160"/>
      <c r="O14" s="482"/>
      <c r="P14" s="485"/>
    </row>
    <row r="15" spans="1:28" ht="15">
      <c r="A15" s="184">
        <v>14</v>
      </c>
      <c r="B15" s="176" t="s">
        <v>3</v>
      </c>
      <c r="C15" s="176"/>
      <c r="D15" s="374">
        <f t="shared" ref="D15:L15" si="1">SUM(D10:D14)</f>
        <v>79276940</v>
      </c>
      <c r="E15" s="374">
        <f t="shared" si="1"/>
        <v>0</v>
      </c>
      <c r="F15" s="374">
        <f t="shared" si="1"/>
        <v>0</v>
      </c>
      <c r="G15" s="374">
        <f t="shared" si="1"/>
        <v>290743</v>
      </c>
      <c r="H15" s="374">
        <f t="shared" si="1"/>
        <v>0</v>
      </c>
      <c r="I15" s="374">
        <f t="shared" si="1"/>
        <v>0</v>
      </c>
      <c r="J15" s="374">
        <f t="shared" si="1"/>
        <v>0</v>
      </c>
      <c r="K15" s="374">
        <f t="shared" si="1"/>
        <v>0</v>
      </c>
      <c r="L15" s="374">
        <f t="shared" si="1"/>
        <v>0</v>
      </c>
      <c r="M15" s="374">
        <f t="shared" si="0"/>
        <v>79567683</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58" t="s">
        <v>1042</v>
      </c>
      <c r="C18" s="558"/>
      <c r="D18" s="374">
        <f t="shared" ref="D18:L18" si="2">D23-SUM(D19:D22)</f>
        <v>30505343</v>
      </c>
      <c r="E18" s="374">
        <f t="shared" si="2"/>
        <v>36354034</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66859377</v>
      </c>
      <c r="V18" s="327"/>
      <c r="X18" s="330"/>
    </row>
    <row r="19" spans="1:26" s="264" customFormat="1" ht="12.75" customHeight="1" thickTop="1" thickBot="1">
      <c r="A19" s="263"/>
      <c r="B19" s="261" t="s">
        <v>722</v>
      </c>
      <c r="C19" s="261"/>
      <c r="D19" s="372">
        <f>Input!$BF$40</f>
        <v>-4872104</v>
      </c>
      <c r="E19" s="372">
        <f>Input!$BG$40</f>
        <v>0</v>
      </c>
      <c r="F19" s="372">
        <f>Input!$BH$40</f>
        <v>0</v>
      </c>
      <c r="G19" s="372">
        <f>Input!$BI$40</f>
        <v>0</v>
      </c>
      <c r="H19" s="372">
        <f>Input!$BJ$40</f>
        <v>0</v>
      </c>
      <c r="I19" s="372">
        <f>Input!$BK$40</f>
        <v>0</v>
      </c>
      <c r="J19" s="372">
        <f>Input!$BL$40</f>
        <v>0</v>
      </c>
      <c r="K19" s="372">
        <f>Input!$BM$40</f>
        <v>0</v>
      </c>
      <c r="L19" s="372">
        <f>Input!$BN$40</f>
        <v>0</v>
      </c>
      <c r="M19" s="373">
        <f t="shared" si="3"/>
        <v>-4872104</v>
      </c>
      <c r="O19" s="1732" t="s">
        <v>1294</v>
      </c>
      <c r="P19" s="1733"/>
      <c r="Q19" s="1733"/>
      <c r="R19" s="1734"/>
      <c r="T19" s="1735" t="s">
        <v>1043</v>
      </c>
      <c r="U19" s="1736"/>
      <c r="V19" s="1736"/>
      <c r="W19" s="1736"/>
      <c r="X19" s="1737"/>
    </row>
    <row r="20" spans="1:26" s="264" customFormat="1" ht="12.75" customHeight="1" thickTop="1">
      <c r="A20" s="263"/>
      <c r="B20" s="261" t="s">
        <v>723</v>
      </c>
      <c r="C20" s="261"/>
      <c r="D20" s="372">
        <f>Input!$BO$40</f>
        <v>0</v>
      </c>
      <c r="E20" s="372">
        <f>Input!$BP$40</f>
        <v>0</v>
      </c>
      <c r="F20" s="372">
        <f>Input!$BQ$40</f>
        <v>0</v>
      </c>
      <c r="G20" s="372">
        <f>Input!$BR$40</f>
        <v>0</v>
      </c>
      <c r="H20" s="372">
        <f>Input!$BS$40</f>
        <v>0</v>
      </c>
      <c r="I20" s="372">
        <f>Input!$BT$40</f>
        <v>0</v>
      </c>
      <c r="J20" s="372">
        <f>Input!$BU$40</f>
        <v>0</v>
      </c>
      <c r="K20" s="372">
        <f>Input!$BV$40</f>
        <v>0</v>
      </c>
      <c r="L20" s="372">
        <f>Input!$BW$40</f>
        <v>0</v>
      </c>
      <c r="M20" s="373">
        <f t="shared" si="3"/>
        <v>0</v>
      </c>
      <c r="O20" s="421" t="s">
        <v>288</v>
      </c>
      <c r="P20" s="422"/>
      <c r="Q20" s="414"/>
      <c r="R20" s="559"/>
      <c r="T20" s="560" t="s">
        <v>1044</v>
      </c>
      <c r="U20" s="266"/>
      <c r="V20" s="266"/>
      <c r="X20" s="425"/>
    </row>
    <row r="21" spans="1:26" s="264" customFormat="1">
      <c r="A21" s="263"/>
      <c r="B21" s="261" t="s">
        <v>724</v>
      </c>
      <c r="C21" s="261"/>
      <c r="D21" s="372">
        <f>Input!$BX$40</f>
        <v>0</v>
      </c>
      <c r="E21" s="372">
        <f>Input!$BY$40</f>
        <v>0</v>
      </c>
      <c r="F21" s="372">
        <f>Input!$BZ$40</f>
        <v>0</v>
      </c>
      <c r="G21" s="372">
        <f>Input!$CA$40</f>
        <v>0</v>
      </c>
      <c r="H21" s="372">
        <f>Input!$CB$40</f>
        <v>0</v>
      </c>
      <c r="I21" s="372">
        <f>Input!$CC$40</f>
        <v>0</v>
      </c>
      <c r="J21" s="372">
        <f>Input!$CD$40</f>
        <v>0</v>
      </c>
      <c r="K21" s="372">
        <f>Input!$CE$40</f>
        <v>0</v>
      </c>
      <c r="L21" s="372">
        <f>Input!$CF$40</f>
        <v>0</v>
      </c>
      <c r="M21" s="373">
        <f t="shared" si="3"/>
        <v>0</v>
      </c>
      <c r="O21" s="434"/>
      <c r="R21" s="561"/>
      <c r="T21" s="650" t="s">
        <v>1045</v>
      </c>
      <c r="U21" s="266"/>
      <c r="V21" s="266"/>
      <c r="W21" s="651">
        <f>M44</f>
        <v>53649894</v>
      </c>
      <c r="X21" s="425"/>
      <c r="Z21" s="330"/>
    </row>
    <row r="22" spans="1:26" s="264" customFormat="1">
      <c r="A22" s="263"/>
      <c r="B22" s="261" t="s">
        <v>725</v>
      </c>
      <c r="C22" s="261"/>
      <c r="D22" s="372">
        <f>Input!$CG$40</f>
        <v>0</v>
      </c>
      <c r="E22" s="372">
        <f>Input!$CH$40</f>
        <v>0</v>
      </c>
      <c r="F22" s="372">
        <f>Input!$CI$40</f>
        <v>0</v>
      </c>
      <c r="G22" s="372">
        <f>Input!$CJ$40</f>
        <v>0</v>
      </c>
      <c r="H22" s="372">
        <f>Input!$CK$40</f>
        <v>0</v>
      </c>
      <c r="I22" s="372">
        <f>Input!$CL$40</f>
        <v>0</v>
      </c>
      <c r="J22" s="372">
        <f>Input!$CM$40</f>
        <v>0</v>
      </c>
      <c r="K22" s="372">
        <f>Input!$CN$40</f>
        <v>0</v>
      </c>
      <c r="L22" s="372">
        <f>Input!$CO$40</f>
        <v>0</v>
      </c>
      <c r="M22" s="373">
        <f t="shared" si="3"/>
        <v>0</v>
      </c>
      <c r="N22" s="270"/>
      <c r="O22" s="434" t="s">
        <v>1046</v>
      </c>
      <c r="P22" s="276"/>
      <c r="Q22" s="424">
        <f>M23</f>
        <v>61987273</v>
      </c>
      <c r="R22" s="562"/>
      <c r="T22" s="650" t="s">
        <v>1047</v>
      </c>
      <c r="U22" s="266"/>
      <c r="V22" s="266"/>
      <c r="W22" s="652">
        <f>R30*-1</f>
        <v>24582417</v>
      </c>
      <c r="X22" s="425"/>
    </row>
    <row r="23" spans="1:26" s="264" customFormat="1" ht="12.75" customHeight="1">
      <c r="A23" s="263"/>
      <c r="B23" s="558" t="s">
        <v>726</v>
      </c>
      <c r="C23" s="563"/>
      <c r="D23" s="564">
        <f>Input!$CP$40</f>
        <v>25633239</v>
      </c>
      <c r="E23" s="564">
        <f>Input!$CQ$40</f>
        <v>36354034</v>
      </c>
      <c r="F23" s="564">
        <f>Input!$CR$40</f>
        <v>0</v>
      </c>
      <c r="G23" s="564">
        <f>Input!$CS$40</f>
        <v>0</v>
      </c>
      <c r="H23" s="564">
        <f>Input!$CT$40</f>
        <v>0</v>
      </c>
      <c r="I23" s="564">
        <f>Input!$CU$40</f>
        <v>0</v>
      </c>
      <c r="J23" s="564">
        <f>Input!$CV$40</f>
        <v>0</v>
      </c>
      <c r="K23" s="564">
        <f>Input!$CW$40</f>
        <v>0</v>
      </c>
      <c r="L23" s="564">
        <f>Input!$CX$40</f>
        <v>0</v>
      </c>
      <c r="M23" s="565">
        <f t="shared" si="3"/>
        <v>61987273</v>
      </c>
      <c r="O23" s="434"/>
      <c r="P23" s="276"/>
      <c r="Q23" s="424"/>
      <c r="R23" s="562"/>
      <c r="T23" s="560" t="s">
        <v>1230</v>
      </c>
      <c r="U23" s="266"/>
      <c r="V23" s="266"/>
      <c r="W23" s="276"/>
      <c r="X23" s="425">
        <f>SUM(W21:W22)</f>
        <v>78232311</v>
      </c>
      <c r="Z23" s="330"/>
    </row>
    <row r="24" spans="1:26" s="264" customFormat="1" ht="12.75" customHeight="1">
      <c r="A24" s="263"/>
      <c r="B24" s="261" t="s">
        <v>727</v>
      </c>
      <c r="C24" s="566"/>
      <c r="D24" s="372">
        <f>Input!$CY$40</f>
        <v>0</v>
      </c>
      <c r="E24" s="372">
        <f>Input!$CZ$40</f>
        <v>0</v>
      </c>
      <c r="F24" s="372">
        <f>Input!$DA$40</f>
        <v>0</v>
      </c>
      <c r="G24" s="372">
        <f>Input!$DB$40</f>
        <v>0</v>
      </c>
      <c r="H24" s="372">
        <f>Input!$DC$40</f>
        <v>0</v>
      </c>
      <c r="I24" s="372">
        <f>Input!$DD$40</f>
        <v>0</v>
      </c>
      <c r="J24" s="372">
        <f>Input!$DE$40</f>
        <v>0</v>
      </c>
      <c r="K24" s="372">
        <f>Input!$DF$40</f>
        <v>0</v>
      </c>
      <c r="L24" s="372">
        <f>Input!$DG$40</f>
        <v>0</v>
      </c>
      <c r="M24" s="567">
        <f t="shared" si="3"/>
        <v>0</v>
      </c>
      <c r="O24" s="417" t="s">
        <v>1048</v>
      </c>
      <c r="P24" s="276"/>
      <c r="Q24" s="327"/>
      <c r="R24" s="646">
        <f>SUM(M24:M28)</f>
        <v>-19954861</v>
      </c>
      <c r="T24" s="560"/>
      <c r="U24" s="266"/>
      <c r="V24" s="266"/>
      <c r="X24" s="425"/>
      <c r="Z24" s="330"/>
    </row>
    <row r="25" spans="1:26" s="264" customFormat="1" ht="12.75" customHeight="1">
      <c r="A25" s="263"/>
      <c r="B25" s="261" t="s">
        <v>728</v>
      </c>
      <c r="C25" s="566"/>
      <c r="D25" s="372">
        <f>Input!$DH$40</f>
        <v>0</v>
      </c>
      <c r="E25" s="372">
        <f>Input!$DI$40</f>
        <v>0</v>
      </c>
      <c r="F25" s="372">
        <f>Input!$DJ$40</f>
        <v>0</v>
      </c>
      <c r="G25" s="372">
        <f>Input!$DK$40</f>
        <v>0</v>
      </c>
      <c r="H25" s="372">
        <f>Input!$DL$40</f>
        <v>0</v>
      </c>
      <c r="I25" s="372">
        <f>Input!$DM$40</f>
        <v>0</v>
      </c>
      <c r="J25" s="372">
        <f>Input!$DN$40</f>
        <v>0</v>
      </c>
      <c r="K25" s="372">
        <f>Input!$DO$40</f>
        <v>0</v>
      </c>
      <c r="L25" s="372">
        <f>Input!$DP$40</f>
        <v>0</v>
      </c>
      <c r="M25" s="567">
        <f t="shared" si="3"/>
        <v>0</v>
      </c>
      <c r="O25" s="434"/>
      <c r="P25" s="276"/>
      <c r="Q25" s="327"/>
      <c r="R25" s="646"/>
      <c r="T25" s="568" t="s">
        <v>1103</v>
      </c>
      <c r="U25" s="569"/>
      <c r="V25" s="569"/>
      <c r="W25" s="653">
        <f>(M26+M39)*-1</f>
        <v>3192164</v>
      </c>
      <c r="X25" s="425"/>
      <c r="Z25" s="330"/>
    </row>
    <row r="26" spans="1:26" s="264" customFormat="1" ht="12.75" customHeight="1">
      <c r="A26" s="263"/>
      <c r="B26" s="261" t="s">
        <v>729</v>
      </c>
      <c r="C26" s="566"/>
      <c r="D26" s="372">
        <f>Input!$DQ$40</f>
        <v>-3192164</v>
      </c>
      <c r="E26" s="372">
        <f>Input!$DR$40</f>
        <v>0</v>
      </c>
      <c r="F26" s="372">
        <f>Input!$DS$40</f>
        <v>0</v>
      </c>
      <c r="G26" s="372">
        <f>Input!$DT$40</f>
        <v>0</v>
      </c>
      <c r="H26" s="372">
        <f>Input!$DU$40</f>
        <v>0</v>
      </c>
      <c r="I26" s="372">
        <f>Input!$DV$40</f>
        <v>0</v>
      </c>
      <c r="J26" s="372">
        <f>Input!$DW$40</f>
        <v>0</v>
      </c>
      <c r="K26" s="372">
        <f>Input!$DX$40</f>
        <v>0</v>
      </c>
      <c r="L26" s="372">
        <f>Input!$DY$40</f>
        <v>0</v>
      </c>
      <c r="M26" s="567">
        <f t="shared" si="3"/>
        <v>-3192164</v>
      </c>
      <c r="O26" s="434" t="s">
        <v>1049</v>
      </c>
      <c r="P26" s="276"/>
      <c r="Q26" s="427">
        <f>M36</f>
        <v>16245038</v>
      </c>
      <c r="R26" s="570"/>
      <c r="T26" s="560" t="s">
        <v>1104</v>
      </c>
      <c r="U26" s="266"/>
      <c r="V26" s="266"/>
      <c r="W26" s="571">
        <f>(M21+M34)*-1</f>
        <v>0</v>
      </c>
      <c r="X26" s="425"/>
      <c r="Z26" s="330"/>
    </row>
    <row r="27" spans="1:26" s="264" customFormat="1">
      <c r="A27" s="263"/>
      <c r="B27" s="261" t="s">
        <v>730</v>
      </c>
      <c r="C27" s="566"/>
      <c r="D27" s="372">
        <f>Input!$DZ$40</f>
        <v>0</v>
      </c>
      <c r="E27" s="372">
        <f>Input!$EA$40</f>
        <v>0</v>
      </c>
      <c r="F27" s="372">
        <f>Input!$EB$40</f>
        <v>0</v>
      </c>
      <c r="G27" s="372">
        <f>Input!$EC$40</f>
        <v>0</v>
      </c>
      <c r="H27" s="372">
        <f>Input!$ED$40</f>
        <v>0</v>
      </c>
      <c r="I27" s="372">
        <f>Input!$EE$40</f>
        <v>0</v>
      </c>
      <c r="J27" s="372">
        <f>Input!$EF$40</f>
        <v>0</v>
      </c>
      <c r="K27" s="372">
        <f>Input!$EG$40</f>
        <v>0</v>
      </c>
      <c r="L27" s="372">
        <f>Input!EH6</f>
        <v>0</v>
      </c>
      <c r="M27" s="567">
        <f t="shared" si="3"/>
        <v>0</v>
      </c>
      <c r="O27" s="434"/>
      <c r="P27" s="276"/>
      <c r="Q27" s="427"/>
      <c r="R27" s="570"/>
      <c r="T27" s="650" t="s">
        <v>1105</v>
      </c>
      <c r="U27" s="584"/>
      <c r="V27" s="584"/>
      <c r="W27" s="654">
        <f>SUM(W25:W26)</f>
        <v>3192164</v>
      </c>
      <c r="X27" s="655"/>
    </row>
    <row r="28" spans="1:26" s="264" customFormat="1">
      <c r="A28" s="263"/>
      <c r="B28" s="261" t="s">
        <v>2133</v>
      </c>
      <c r="C28" s="566"/>
      <c r="D28" s="372">
        <f>Input!$EI$40</f>
        <v>-6406898</v>
      </c>
      <c r="E28" s="372">
        <f>Input!$EJ$40</f>
        <v>-10355799</v>
      </c>
      <c r="F28" s="372">
        <f>Input!$EK$40</f>
        <v>0</v>
      </c>
      <c r="G28" s="372">
        <f>Input!$EL$40</f>
        <v>0</v>
      </c>
      <c r="H28" s="372">
        <f>Input!$EM$40</f>
        <v>0</v>
      </c>
      <c r="I28" s="372">
        <f>Input!$EN$40</f>
        <v>0</v>
      </c>
      <c r="J28" s="372">
        <f>Input!$EO$40</f>
        <v>0</v>
      </c>
      <c r="K28" s="372">
        <f>Input!$EP$40</f>
        <v>0</v>
      </c>
      <c r="L28" s="372">
        <f>Input!$EQ$40</f>
        <v>0</v>
      </c>
      <c r="M28" s="567">
        <f t="shared" si="3"/>
        <v>-16762697</v>
      </c>
      <c r="O28" s="417" t="s">
        <v>1050</v>
      </c>
      <c r="Q28" s="429"/>
      <c r="R28" s="646">
        <f>SUM(M37:M41)</f>
        <v>-4627556</v>
      </c>
      <c r="T28" s="560" t="s">
        <v>1106</v>
      </c>
      <c r="U28" s="266"/>
      <c r="V28" s="266"/>
      <c r="W28" s="425">
        <f>(M27+M40)*-1</f>
        <v>0</v>
      </c>
      <c r="X28" s="655"/>
      <c r="Z28" s="330"/>
    </row>
    <row r="29" spans="1:26" s="264" customFormat="1" ht="12" customHeight="1">
      <c r="A29" s="263"/>
      <c r="B29" s="575" t="s">
        <v>39</v>
      </c>
      <c r="C29" s="563"/>
      <c r="D29" s="374">
        <f t="shared" ref="D29:L29" si="4">SUM(D23:D28)</f>
        <v>16034177</v>
      </c>
      <c r="E29" s="374">
        <f t="shared" si="4"/>
        <v>25998235</v>
      </c>
      <c r="F29" s="374">
        <f t="shared" si="4"/>
        <v>0</v>
      </c>
      <c r="G29" s="374">
        <f t="shared" si="4"/>
        <v>0</v>
      </c>
      <c r="H29" s="374">
        <f t="shared" si="4"/>
        <v>0</v>
      </c>
      <c r="I29" s="374">
        <f t="shared" si="4"/>
        <v>0</v>
      </c>
      <c r="J29" s="374">
        <f t="shared" si="4"/>
        <v>0</v>
      </c>
      <c r="K29" s="374">
        <f t="shared" si="4"/>
        <v>0</v>
      </c>
      <c r="L29" s="374">
        <f t="shared" si="4"/>
        <v>0</v>
      </c>
      <c r="M29" s="374">
        <f t="shared" si="3"/>
        <v>42032412</v>
      </c>
      <c r="O29" s="417"/>
      <c r="Q29" s="429"/>
      <c r="R29" s="576"/>
      <c r="T29" s="560" t="s">
        <v>1107</v>
      </c>
      <c r="U29" s="266"/>
      <c r="V29" s="266"/>
      <c r="W29" s="571">
        <f>(M22+M35)*-1</f>
        <v>0</v>
      </c>
      <c r="X29" s="655"/>
    </row>
    <row r="30" spans="1:26" s="264" customFormat="1" ht="16.5" customHeight="1">
      <c r="A30" s="263"/>
      <c r="B30" s="261"/>
      <c r="C30" s="566"/>
      <c r="D30" s="566"/>
      <c r="E30" s="566"/>
      <c r="F30" s="566"/>
      <c r="G30" s="566"/>
      <c r="H30" s="566"/>
      <c r="I30" s="566"/>
      <c r="J30" s="566"/>
      <c r="K30" s="566"/>
      <c r="L30" s="566"/>
      <c r="M30" s="567"/>
      <c r="O30" s="431" t="s">
        <v>289</v>
      </c>
      <c r="P30" s="432"/>
      <c r="Q30" s="433">
        <f>Q26+Q22</f>
        <v>78232311</v>
      </c>
      <c r="R30" s="647">
        <f>R28+R24</f>
        <v>-24582417</v>
      </c>
      <c r="T30" s="650" t="s">
        <v>1108</v>
      </c>
      <c r="U30" s="584"/>
      <c r="V30" s="584"/>
      <c r="W30" s="654">
        <f>SUM(W28:W29)</f>
        <v>0</v>
      </c>
      <c r="X30" s="655"/>
    </row>
    <row r="31" spans="1:26" s="264" customFormat="1" ht="12.75" customHeight="1">
      <c r="A31" s="263"/>
      <c r="B31" s="558" t="s">
        <v>1052</v>
      </c>
      <c r="C31" s="558"/>
      <c r="D31" s="374">
        <f t="shared" ref="D31:L31" si="5">D36-SUM(D32:D35)</f>
        <v>540072</v>
      </c>
      <c r="E31" s="374">
        <f t="shared" si="5"/>
        <v>10239026</v>
      </c>
      <c r="F31" s="374">
        <f t="shared" si="5"/>
        <v>5465940</v>
      </c>
      <c r="G31" s="374">
        <f t="shared" si="5"/>
        <v>0</v>
      </c>
      <c r="H31" s="374">
        <f t="shared" si="5"/>
        <v>0</v>
      </c>
      <c r="I31" s="374">
        <f t="shared" si="5"/>
        <v>0</v>
      </c>
      <c r="J31" s="374">
        <f t="shared" si="5"/>
        <v>0</v>
      </c>
      <c r="K31" s="374">
        <f t="shared" si="5"/>
        <v>0</v>
      </c>
      <c r="L31" s="374">
        <f t="shared" si="5"/>
        <v>0</v>
      </c>
      <c r="M31" s="374">
        <f t="shared" ref="M31:M42" si="6">D31+E31+F31+G31+H31+I31+J31+K31+L31</f>
        <v>16245038</v>
      </c>
      <c r="O31" s="434" t="s">
        <v>290</v>
      </c>
      <c r="P31" s="276"/>
      <c r="Q31" s="335"/>
      <c r="R31" s="562"/>
      <c r="T31" s="572" t="s">
        <v>1109</v>
      </c>
      <c r="U31" s="573"/>
      <c r="V31" s="573"/>
      <c r="W31" s="574">
        <f>W27+W30</f>
        <v>3192164</v>
      </c>
      <c r="X31" s="425"/>
      <c r="Z31" s="330"/>
    </row>
    <row r="32" spans="1:26" s="264" customFormat="1" ht="12.75" customHeight="1">
      <c r="A32" s="263"/>
      <c r="B32" s="261" t="s">
        <v>722</v>
      </c>
      <c r="C32" s="261"/>
      <c r="D32" s="372">
        <f>Input!$ER$40</f>
        <v>0</v>
      </c>
      <c r="E32" s="372">
        <f>Input!$ES$40</f>
        <v>0</v>
      </c>
      <c r="F32" s="372">
        <f>Input!$ET$40</f>
        <v>0</v>
      </c>
      <c r="G32" s="372">
        <f>Input!$EU$40</f>
        <v>0</v>
      </c>
      <c r="H32" s="372">
        <f>Input!$EV$40</f>
        <v>0</v>
      </c>
      <c r="I32" s="372">
        <f>Input!$EW$40</f>
        <v>0</v>
      </c>
      <c r="J32" s="372">
        <f>Input!$EX$40</f>
        <v>0</v>
      </c>
      <c r="K32" s="372">
        <f>Input!$EY$40</f>
        <v>0</v>
      </c>
      <c r="L32" s="372">
        <f>Input!$EZ$40</f>
        <v>0</v>
      </c>
      <c r="M32" s="567">
        <f t="shared" si="6"/>
        <v>0</v>
      </c>
      <c r="O32" s="415" t="s">
        <v>1295</v>
      </c>
      <c r="P32" s="416"/>
      <c r="Q32" s="577">
        <f>Input!$SQ$40</f>
        <v>78232311</v>
      </c>
      <c r="R32" s="578"/>
      <c r="T32" s="560"/>
      <c r="U32" s="266"/>
      <c r="V32" s="266"/>
      <c r="X32" s="425"/>
      <c r="Z32" s="330"/>
    </row>
    <row r="33" spans="1:24" s="264" customFormat="1">
      <c r="A33" s="263"/>
      <c r="B33" s="261" t="s">
        <v>723</v>
      </c>
      <c r="C33" s="261"/>
      <c r="D33" s="372">
        <f>Input!$FA$40</f>
        <v>0</v>
      </c>
      <c r="E33" s="372">
        <f>Input!$FB$40</f>
        <v>0</v>
      </c>
      <c r="F33" s="372">
        <f>Input!$FC$40</f>
        <v>0</v>
      </c>
      <c r="G33" s="372">
        <f>Input!$FD$40</f>
        <v>0</v>
      </c>
      <c r="H33" s="372">
        <f>Input!$FE$40</f>
        <v>0</v>
      </c>
      <c r="I33" s="372">
        <f>Input!$FF$40</f>
        <v>0</v>
      </c>
      <c r="J33" s="372">
        <f>Input!$FG$40</f>
        <v>0</v>
      </c>
      <c r="K33" s="372">
        <f>Input!$FH$40</f>
        <v>0</v>
      </c>
      <c r="L33" s="372">
        <f>Input!$FI$40</f>
        <v>0</v>
      </c>
      <c r="M33" s="567">
        <f t="shared" si="6"/>
        <v>0</v>
      </c>
      <c r="O33" s="415"/>
      <c r="P33" s="416"/>
      <c r="Q33" s="327"/>
      <c r="R33" s="578"/>
      <c r="T33" s="560" t="s">
        <v>1051</v>
      </c>
      <c r="U33" s="266"/>
      <c r="V33" s="266"/>
      <c r="W33" s="334">
        <f>(M19+M32)*-1</f>
        <v>4872104</v>
      </c>
      <c r="X33" s="425"/>
    </row>
    <row r="34" spans="1:24" s="264" customFormat="1">
      <c r="A34" s="263"/>
      <c r="B34" s="261" t="s">
        <v>724</v>
      </c>
      <c r="C34" s="261"/>
      <c r="D34" s="372">
        <f>Input!$FJ$40</f>
        <v>0</v>
      </c>
      <c r="E34" s="372">
        <f>Input!$FK$40</f>
        <v>0</v>
      </c>
      <c r="F34" s="372">
        <f>Input!$FL$40</f>
        <v>0</v>
      </c>
      <c r="G34" s="372">
        <f>Input!$FM$40</f>
        <v>0</v>
      </c>
      <c r="H34" s="372">
        <f>Input!$FN$40</f>
        <v>0</v>
      </c>
      <c r="I34" s="372">
        <f>Input!$FO$40</f>
        <v>0</v>
      </c>
      <c r="J34" s="372">
        <f>Input!$FP$40</f>
        <v>0</v>
      </c>
      <c r="K34" s="372">
        <f>Input!$FQ$40</f>
        <v>0</v>
      </c>
      <c r="L34" s="372">
        <f>Input!$FR$40</f>
        <v>0</v>
      </c>
      <c r="M34" s="567">
        <f t="shared" si="6"/>
        <v>0</v>
      </c>
      <c r="O34" s="435" t="s">
        <v>1296</v>
      </c>
      <c r="P34" s="436"/>
      <c r="Q34" s="264" t="s">
        <v>291</v>
      </c>
      <c r="R34" s="648">
        <f>Input!$SR$40</f>
        <v>-24582417</v>
      </c>
      <c r="T34" s="560" t="s">
        <v>1110</v>
      </c>
      <c r="U34" s="266"/>
      <c r="V34" s="266"/>
      <c r="W34" s="430">
        <f>(M24+M37)*-1</f>
        <v>0</v>
      </c>
      <c r="X34" s="425"/>
    </row>
    <row r="35" spans="1:24" s="264" customFormat="1" ht="13.5" thickBot="1">
      <c r="A35" s="263"/>
      <c r="B35" s="261" t="s">
        <v>725</v>
      </c>
      <c r="C35" s="261"/>
      <c r="D35" s="372">
        <f>Input!$FS$40</f>
        <v>0</v>
      </c>
      <c r="E35" s="372">
        <f>Input!$FT$40</f>
        <v>0</v>
      </c>
      <c r="F35" s="372">
        <f>Input!$FU$40</f>
        <v>0</v>
      </c>
      <c r="G35" s="372">
        <f>Input!$FV$40</f>
        <v>0</v>
      </c>
      <c r="H35" s="372">
        <f>Input!$FW$40</f>
        <v>0</v>
      </c>
      <c r="I35" s="372">
        <f>Input!$FX$40</f>
        <v>0</v>
      </c>
      <c r="J35" s="372">
        <f>Input!$FY$40</f>
        <v>0</v>
      </c>
      <c r="K35" s="372">
        <f>Input!$FZ$40</f>
        <v>0</v>
      </c>
      <c r="L35" s="372">
        <f>Input!$GA$40</f>
        <v>0</v>
      </c>
      <c r="M35" s="567">
        <f t="shared" si="6"/>
        <v>0</v>
      </c>
      <c r="O35" s="418" t="s">
        <v>286</v>
      </c>
      <c r="P35" s="419"/>
      <c r="Q35" s="420">
        <f>Q30-Q32</f>
        <v>0</v>
      </c>
      <c r="R35" s="649">
        <f>R30-R34</f>
        <v>0</v>
      </c>
      <c r="T35" s="650" t="s">
        <v>1111</v>
      </c>
      <c r="U35" s="584"/>
      <c r="V35" s="584"/>
      <c r="W35" s="656">
        <f>SUM(W33:W34)</f>
        <v>4872104</v>
      </c>
      <c r="X35" s="655"/>
    </row>
    <row r="36" spans="1:24" s="264" customFormat="1" ht="13.5" thickTop="1">
      <c r="A36" s="263"/>
      <c r="B36" s="558" t="s">
        <v>732</v>
      </c>
      <c r="C36" s="563"/>
      <c r="D36" s="564">
        <f>Input!$GB$40</f>
        <v>540072</v>
      </c>
      <c r="E36" s="564">
        <f>Input!$GC$40</f>
        <v>10239026</v>
      </c>
      <c r="F36" s="564">
        <f>Input!$GD$40</f>
        <v>5465940</v>
      </c>
      <c r="G36" s="564">
        <f>Input!$GE$40</f>
        <v>0</v>
      </c>
      <c r="H36" s="564">
        <f>Input!$GF$40</f>
        <v>0</v>
      </c>
      <c r="I36" s="564">
        <f>Input!$GG$40</f>
        <v>0</v>
      </c>
      <c r="J36" s="564">
        <f>Input!$GH$40</f>
        <v>0</v>
      </c>
      <c r="K36" s="564">
        <f>Input!$GI$40</f>
        <v>0</v>
      </c>
      <c r="L36" s="564">
        <f>Input!$GJ$40</f>
        <v>0</v>
      </c>
      <c r="M36" s="565">
        <f t="shared" si="6"/>
        <v>16245038</v>
      </c>
      <c r="O36" s="261"/>
      <c r="Q36" s="412" t="str">
        <f>IF(Q30&lt;&gt;Q32,"Out of Balance","Balanced")</f>
        <v>Balanced</v>
      </c>
      <c r="R36" s="412" t="str">
        <f>IF(R30&lt;&gt;R34,"Out of Balance","Balanced")</f>
        <v>Balanced</v>
      </c>
      <c r="T36" s="560" t="s">
        <v>1053</v>
      </c>
      <c r="U36" s="266"/>
      <c r="V36" s="266"/>
      <c r="W36" s="334">
        <f>(M20+M33)*-1</f>
        <v>0</v>
      </c>
      <c r="X36" s="425"/>
    </row>
    <row r="37" spans="1:24" s="264" customFormat="1">
      <c r="A37" s="263"/>
      <c r="B37" s="261" t="s">
        <v>727</v>
      </c>
      <c r="C37" s="566"/>
      <c r="D37" s="372">
        <f>Input!$GK$40</f>
        <v>0</v>
      </c>
      <c r="E37" s="372">
        <f>Input!$GL$40</f>
        <v>0</v>
      </c>
      <c r="F37" s="372">
        <f>Input!$GM$40</f>
        <v>0</v>
      </c>
      <c r="G37" s="372">
        <f>Input!$GN$40</f>
        <v>0</v>
      </c>
      <c r="H37" s="372">
        <f>Input!$GO$40</f>
        <v>0</v>
      </c>
      <c r="I37" s="372">
        <f>Input!$GP$40</f>
        <v>0</v>
      </c>
      <c r="J37" s="372">
        <f>Input!$GQ$40</f>
        <v>0</v>
      </c>
      <c r="K37" s="372">
        <f>Input!$GR$40</f>
        <v>0</v>
      </c>
      <c r="L37" s="372">
        <f>Input!$GS$40</f>
        <v>0</v>
      </c>
      <c r="M37" s="567">
        <f t="shared" si="6"/>
        <v>0</v>
      </c>
      <c r="O37" s="261"/>
      <c r="T37" s="560" t="s">
        <v>1112</v>
      </c>
      <c r="U37" s="266"/>
      <c r="V37" s="266"/>
      <c r="W37" s="430">
        <f>(M25+M38)*-1</f>
        <v>0</v>
      </c>
      <c r="X37" s="655"/>
    </row>
    <row r="38" spans="1:24" s="264" customFormat="1">
      <c r="A38" s="263"/>
      <c r="B38" s="261" t="s">
        <v>728</v>
      </c>
      <c r="C38" s="566"/>
      <c r="D38" s="372">
        <f>Input!$GT$40</f>
        <v>0</v>
      </c>
      <c r="E38" s="372">
        <f>Input!$GU$40</f>
        <v>0</v>
      </c>
      <c r="F38" s="372">
        <f>Input!$GV$40</f>
        <v>0</v>
      </c>
      <c r="G38" s="372">
        <f>Input!$GW$40</f>
        <v>0</v>
      </c>
      <c r="H38" s="372">
        <f>Input!$GX$40</f>
        <v>0</v>
      </c>
      <c r="I38" s="372">
        <f>Input!$GY$40</f>
        <v>0</v>
      </c>
      <c r="J38" s="372">
        <f>Input!$GZ$40</f>
        <v>0</v>
      </c>
      <c r="K38" s="372">
        <f>Input!$HA$40</f>
        <v>0</v>
      </c>
      <c r="L38" s="372">
        <f>Input!$HB$40</f>
        <v>0</v>
      </c>
      <c r="M38" s="567">
        <f t="shared" si="6"/>
        <v>0</v>
      </c>
      <c r="O38" s="261"/>
      <c r="T38" s="650" t="s">
        <v>1113</v>
      </c>
      <c r="U38" s="584"/>
      <c r="V38" s="584"/>
      <c r="W38" s="656">
        <f>SUM(W36:W37)</f>
        <v>0</v>
      </c>
      <c r="X38" s="425"/>
    </row>
    <row r="39" spans="1:24" s="264" customFormat="1">
      <c r="A39" s="263"/>
      <c r="B39" s="261" t="s">
        <v>729</v>
      </c>
      <c r="C39" s="566"/>
      <c r="D39" s="372">
        <f>Input!$HC$40</f>
        <v>0</v>
      </c>
      <c r="E39" s="372">
        <f>Input!$HD$40</f>
        <v>0</v>
      </c>
      <c r="F39" s="372">
        <f>Input!$HE$40</f>
        <v>0</v>
      </c>
      <c r="G39" s="372">
        <f>Input!$HF$40</f>
        <v>0</v>
      </c>
      <c r="H39" s="372">
        <f>Input!$HG$40</f>
        <v>0</v>
      </c>
      <c r="I39" s="372">
        <f>Input!$HH$40</f>
        <v>0</v>
      </c>
      <c r="J39" s="372">
        <f>Input!$HI$40</f>
        <v>0</v>
      </c>
      <c r="K39" s="372">
        <f>Input!$HJ$40</f>
        <v>0</v>
      </c>
      <c r="L39" s="372">
        <f>Input!$HK$40</f>
        <v>0</v>
      </c>
      <c r="M39" s="567">
        <f t="shared" si="6"/>
        <v>0</v>
      </c>
      <c r="O39" s="261"/>
      <c r="T39" s="560" t="s">
        <v>1054</v>
      </c>
      <c r="U39" s="266"/>
      <c r="V39" s="266"/>
      <c r="W39" s="334"/>
      <c r="X39" s="425">
        <f>W38+W35</f>
        <v>4872104</v>
      </c>
    </row>
    <row r="40" spans="1:24" s="264" customFormat="1">
      <c r="A40" s="263"/>
      <c r="B40" s="261" t="s">
        <v>730</v>
      </c>
      <c r="C40" s="566"/>
      <c r="D40" s="372">
        <f>Input!$HL$40</f>
        <v>0</v>
      </c>
      <c r="E40" s="372">
        <f>Input!$HM$40</f>
        <v>0</v>
      </c>
      <c r="F40" s="372">
        <f>Input!$HN$40</f>
        <v>0</v>
      </c>
      <c r="G40" s="372">
        <f>Input!$HO$40</f>
        <v>0</v>
      </c>
      <c r="H40" s="372">
        <f>Input!$HP$40</f>
        <v>0</v>
      </c>
      <c r="I40" s="372">
        <f>Input!$HQ$40</f>
        <v>0</v>
      </c>
      <c r="J40" s="372">
        <f>Input!$HR$40</f>
        <v>0</v>
      </c>
      <c r="K40" s="372">
        <f>Input!$HS$40</f>
        <v>0</v>
      </c>
      <c r="L40" s="372">
        <f>Input!$HT$40</f>
        <v>0</v>
      </c>
      <c r="M40" s="567">
        <f t="shared" si="6"/>
        <v>0</v>
      </c>
      <c r="O40" s="261"/>
      <c r="T40" s="560"/>
      <c r="U40" s="261"/>
      <c r="V40" s="261"/>
      <c r="W40" s="261"/>
      <c r="X40" s="655"/>
    </row>
    <row r="41" spans="1:24" s="264" customFormat="1">
      <c r="A41" s="263"/>
      <c r="B41" s="261" t="s">
        <v>2133</v>
      </c>
      <c r="C41" s="566"/>
      <c r="D41" s="372">
        <f>Input!$HU$40</f>
        <v>-1307741</v>
      </c>
      <c r="E41" s="372">
        <f>Input!$HV$40</f>
        <v>-2983387</v>
      </c>
      <c r="F41" s="372">
        <f>Input!$HW$40</f>
        <v>-336428</v>
      </c>
      <c r="G41" s="372">
        <f>Input!$HX$40</f>
        <v>0</v>
      </c>
      <c r="H41" s="372">
        <f>Input!$HY$40</f>
        <v>0</v>
      </c>
      <c r="I41" s="372">
        <f>Input!$HZ$40</f>
        <v>0</v>
      </c>
      <c r="J41" s="372">
        <f>Input!$IA$40</f>
        <v>0</v>
      </c>
      <c r="K41" s="372">
        <f>Input!$IB$40</f>
        <v>0</v>
      </c>
      <c r="L41" s="372">
        <f>Input!$IC$40</f>
        <v>0</v>
      </c>
      <c r="M41" s="567">
        <f t="shared" si="6"/>
        <v>-4627556</v>
      </c>
      <c r="O41"/>
      <c r="P41"/>
      <c r="Q41"/>
      <c r="R41"/>
      <c r="S41"/>
      <c r="T41" s="560" t="s">
        <v>1104</v>
      </c>
      <c r="U41" s="266"/>
      <c r="V41" s="266"/>
      <c r="W41" s="330">
        <f>(M21+M34)*-1</f>
        <v>0</v>
      </c>
      <c r="X41" s="425"/>
    </row>
    <row r="42" spans="1:24" s="264" customFormat="1">
      <c r="A42" s="263"/>
      <c r="B42" s="575" t="s">
        <v>40</v>
      </c>
      <c r="C42" s="563"/>
      <c r="D42" s="374">
        <f t="shared" ref="D42:L42" si="7">SUM(D36:D41)</f>
        <v>-767669</v>
      </c>
      <c r="E42" s="374">
        <f t="shared" si="7"/>
        <v>7255639</v>
      </c>
      <c r="F42" s="374">
        <f t="shared" si="7"/>
        <v>5129512</v>
      </c>
      <c r="G42" s="374">
        <f t="shared" si="7"/>
        <v>0</v>
      </c>
      <c r="H42" s="374">
        <f t="shared" si="7"/>
        <v>0</v>
      </c>
      <c r="I42" s="374">
        <f t="shared" si="7"/>
        <v>0</v>
      </c>
      <c r="J42" s="374">
        <f t="shared" si="7"/>
        <v>0</v>
      </c>
      <c r="K42" s="374">
        <f t="shared" si="7"/>
        <v>0</v>
      </c>
      <c r="L42" s="374">
        <f t="shared" si="7"/>
        <v>0</v>
      </c>
      <c r="M42" s="374">
        <f t="shared" si="6"/>
        <v>11617482</v>
      </c>
      <c r="O42"/>
      <c r="P42"/>
      <c r="Q42"/>
      <c r="R42"/>
      <c r="S42"/>
      <c r="T42" s="560" t="s">
        <v>1107</v>
      </c>
      <c r="U42" s="266"/>
      <c r="V42" s="266"/>
      <c r="W42" s="430">
        <f>(M22+M35)*-1</f>
        <v>0</v>
      </c>
      <c r="X42" s="425"/>
    </row>
    <row r="43" spans="1:24" s="264" customFormat="1">
      <c r="A43" s="263"/>
      <c r="B43" s="261"/>
      <c r="C43" s="566"/>
      <c r="D43" s="566"/>
      <c r="E43" s="566"/>
      <c r="F43" s="566"/>
      <c r="G43" s="566"/>
      <c r="H43" s="566"/>
      <c r="I43" s="566"/>
      <c r="J43" s="566"/>
      <c r="K43" s="566"/>
      <c r="L43" s="566"/>
      <c r="M43" s="567"/>
      <c r="O43"/>
      <c r="P43"/>
      <c r="Q43"/>
      <c r="R43"/>
      <c r="S43"/>
      <c r="T43" s="650" t="s">
        <v>1114</v>
      </c>
      <c r="U43" s="584"/>
      <c r="V43" s="584"/>
      <c r="W43" s="656">
        <f>SUM(W41:W42)</f>
        <v>0</v>
      </c>
      <c r="X43" s="655"/>
    </row>
    <row r="44" spans="1:24" s="264" customFormat="1" ht="13.5" customHeight="1">
      <c r="A44" s="263"/>
      <c r="B44" s="575" t="s">
        <v>1055</v>
      </c>
      <c r="C44" s="563"/>
      <c r="D44" s="374">
        <f t="shared" ref="D44:L44" si="8">D42+D29</f>
        <v>15266508</v>
      </c>
      <c r="E44" s="374">
        <f t="shared" si="8"/>
        <v>33253874</v>
      </c>
      <c r="F44" s="374">
        <f t="shared" si="8"/>
        <v>5129512</v>
      </c>
      <c r="G44" s="374">
        <f t="shared" si="8"/>
        <v>0</v>
      </c>
      <c r="H44" s="374">
        <f t="shared" si="8"/>
        <v>0</v>
      </c>
      <c r="I44" s="374">
        <f t="shared" si="8"/>
        <v>0</v>
      </c>
      <c r="J44" s="374">
        <f t="shared" si="8"/>
        <v>0</v>
      </c>
      <c r="K44" s="374">
        <f t="shared" si="8"/>
        <v>0</v>
      </c>
      <c r="L44" s="374">
        <f t="shared" si="8"/>
        <v>0</v>
      </c>
      <c r="M44" s="374">
        <f>D44+E44+F44+G44+H44+I44+J44+K44+L44</f>
        <v>53649894</v>
      </c>
      <c r="O44"/>
      <c r="P44"/>
      <c r="Q44"/>
      <c r="R44"/>
      <c r="S44"/>
      <c r="T44" s="560"/>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0"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0" t="s">
        <v>1112</v>
      </c>
      <c r="U46" s="266"/>
      <c r="V46" s="266"/>
      <c r="W46" s="430">
        <f>(M25+M38)*-1</f>
        <v>0</v>
      </c>
      <c r="X46" s="425"/>
    </row>
    <row r="47" spans="1:24">
      <c r="A47" s="184">
        <v>30</v>
      </c>
      <c r="B47" s="176" t="s">
        <v>7</v>
      </c>
      <c r="C47" s="176"/>
      <c r="D47" s="375">
        <f>Input!$ID$40</f>
        <v>0</v>
      </c>
      <c r="E47" s="375">
        <f>Input!$IE$40</f>
        <v>0</v>
      </c>
      <c r="F47" s="375">
        <f>Input!$IF$40</f>
        <v>0</v>
      </c>
      <c r="G47" s="375">
        <f>Input!$IG$40</f>
        <v>89345091</v>
      </c>
      <c r="H47" s="375">
        <f>Input!$IH$40</f>
        <v>0</v>
      </c>
      <c r="I47" s="375">
        <f>Input!$II$40</f>
        <v>0</v>
      </c>
      <c r="J47" s="375">
        <f>Input!$IJ$40</f>
        <v>0</v>
      </c>
      <c r="K47" s="375">
        <f>Input!$IK$40</f>
        <v>0</v>
      </c>
      <c r="L47" s="375">
        <f>Input!$IL$40</f>
        <v>0</v>
      </c>
      <c r="M47" s="374">
        <f>D47+E47+F47+G47+H47+I47+J47+K47+L47</f>
        <v>89345091</v>
      </c>
      <c r="N47" s="160"/>
      <c r="O47"/>
      <c r="P47"/>
      <c r="Q47"/>
      <c r="R47"/>
      <c r="S47"/>
      <c r="T47" s="657" t="s">
        <v>1115</v>
      </c>
      <c r="U47" s="27"/>
      <c r="V47" s="27"/>
      <c r="W47" s="656">
        <f>SUM(W45:W46)</f>
        <v>0</v>
      </c>
      <c r="X47" s="655"/>
    </row>
    <row r="48" spans="1:24">
      <c r="A48" s="184">
        <v>31</v>
      </c>
      <c r="B48" s="160"/>
      <c r="C48" s="160"/>
      <c r="D48" s="373"/>
      <c r="E48" s="373"/>
      <c r="F48" s="373"/>
      <c r="G48" s="373"/>
      <c r="H48" s="373"/>
      <c r="I48" s="373"/>
      <c r="J48" s="373"/>
      <c r="K48" s="373"/>
      <c r="L48" s="373"/>
      <c r="M48" s="373"/>
      <c r="N48" s="160"/>
      <c r="O48"/>
      <c r="P48"/>
      <c r="Q48"/>
      <c r="R48"/>
      <c r="S48"/>
      <c r="T48" s="560"/>
      <c r="U48" s="261"/>
      <c r="V48" s="261"/>
      <c r="W48" s="261"/>
      <c r="X48" s="658">
        <f>W43-W47</f>
        <v>0</v>
      </c>
    </row>
    <row r="49" spans="1:28">
      <c r="A49" s="184">
        <v>32</v>
      </c>
      <c r="B49" s="172" t="s">
        <v>8</v>
      </c>
      <c r="C49" s="172"/>
      <c r="D49" s="373"/>
      <c r="E49" s="373"/>
      <c r="F49" s="373"/>
      <c r="G49" s="373"/>
      <c r="H49" s="373"/>
      <c r="I49" s="373"/>
      <c r="J49" s="373"/>
      <c r="K49" s="373"/>
      <c r="L49" s="373"/>
      <c r="M49" s="373"/>
      <c r="N49" s="160"/>
      <c r="O49" s="273"/>
      <c r="T49" s="579" t="s">
        <v>287</v>
      </c>
      <c r="U49" s="511"/>
      <c r="V49" s="580"/>
      <c r="W49" s="580"/>
      <c r="X49" s="574">
        <f>SUM(X23:X48)</f>
        <v>83104415</v>
      </c>
    </row>
    <row r="50" spans="1:28">
      <c r="A50" s="184">
        <v>33</v>
      </c>
      <c r="B50" s="160" t="s">
        <v>42</v>
      </c>
      <c r="C50" s="160"/>
      <c r="D50" s="372">
        <f>Input!$IM$40</f>
        <v>58758</v>
      </c>
      <c r="E50" s="372">
        <f>Input!$IN$40</f>
        <v>965</v>
      </c>
      <c r="F50" s="372">
        <f>Input!$IO$40</f>
        <v>9298</v>
      </c>
      <c r="G50" s="372">
        <f>Input!$IP$40</f>
        <v>0</v>
      </c>
      <c r="H50" s="372">
        <f>Input!$IQ$40</f>
        <v>0</v>
      </c>
      <c r="I50" s="372">
        <f>Input!$IR$40</f>
        <v>1193536</v>
      </c>
      <c r="J50" s="372">
        <f>Input!$IS$40</f>
        <v>3381</v>
      </c>
      <c r="K50" s="372">
        <f>Input!$IT$40</f>
        <v>57348</v>
      </c>
      <c r="L50" s="372">
        <f>Input!$IU$40</f>
        <v>846313</v>
      </c>
      <c r="M50" s="373">
        <f t="shared" ref="M50:M57" si="9">D50+E50+F50+G50+H50+I50+J50+K50+L50</f>
        <v>2169599</v>
      </c>
      <c r="N50" s="160"/>
      <c r="O50" s="273"/>
      <c r="U50" s="275"/>
    </row>
    <row r="51" spans="1:28">
      <c r="A51" s="184">
        <v>34</v>
      </c>
      <c r="B51" s="160" t="s">
        <v>9</v>
      </c>
      <c r="C51" s="160"/>
      <c r="D51" s="372">
        <f>Input!$IV$40</f>
        <v>0</v>
      </c>
      <c r="E51" s="372">
        <f>Input!$IW$40</f>
        <v>0</v>
      </c>
      <c r="F51" s="372">
        <f>Input!$IX$40</f>
        <v>0</v>
      </c>
      <c r="G51" s="372">
        <f>Input!$IY$40</f>
        <v>245226</v>
      </c>
      <c r="H51" s="372">
        <f>Input!$IZ$40</f>
        <v>0</v>
      </c>
      <c r="I51" s="372">
        <f>Input!$JA$40</f>
        <v>0</v>
      </c>
      <c r="J51" s="372">
        <f>Input!$JB$40</f>
        <v>0</v>
      </c>
      <c r="K51" s="372">
        <f>Input!$JC$40</f>
        <v>0</v>
      </c>
      <c r="L51" s="372">
        <f>Input!$JD$40</f>
        <v>0</v>
      </c>
      <c r="M51" s="376">
        <f t="shared" si="9"/>
        <v>245226</v>
      </c>
      <c r="N51" s="160"/>
      <c r="Y51" s="277"/>
    </row>
    <row r="52" spans="1:28">
      <c r="A52" s="184">
        <v>35</v>
      </c>
      <c r="B52" s="160" t="s">
        <v>10</v>
      </c>
      <c r="C52" s="160"/>
      <c r="D52" s="372">
        <f>Input!$JE$40</f>
        <v>-30280</v>
      </c>
      <c r="E52" s="372">
        <f>Input!$JF$40</f>
        <v>615759</v>
      </c>
      <c r="F52" s="372">
        <f>Input!$JG$40</f>
        <v>5</v>
      </c>
      <c r="G52" s="372">
        <f>Input!$JH$40</f>
        <v>2717236</v>
      </c>
      <c r="H52" s="372">
        <f>Input!$JI$40</f>
        <v>0</v>
      </c>
      <c r="I52" s="372">
        <f>Input!$JJ$40</f>
        <v>179050</v>
      </c>
      <c r="J52" s="372">
        <f>Input!$JK$40</f>
        <v>227586</v>
      </c>
      <c r="K52" s="372">
        <f>Input!$JL$40</f>
        <v>0</v>
      </c>
      <c r="L52" s="372">
        <f>Input!$JM$40</f>
        <v>0</v>
      </c>
      <c r="M52" s="373">
        <f t="shared" si="9"/>
        <v>3709356</v>
      </c>
      <c r="N52" s="160"/>
      <c r="O52" s="273"/>
      <c r="P52" s="278"/>
    </row>
    <row r="53" spans="1:28">
      <c r="A53" s="184">
        <v>36</v>
      </c>
      <c r="B53" s="160" t="s">
        <v>11</v>
      </c>
      <c r="C53" s="160"/>
      <c r="D53" s="372">
        <f>Input!$JN$40</f>
        <v>13679</v>
      </c>
      <c r="E53" s="372">
        <f>Input!$JO$40</f>
        <v>45703</v>
      </c>
      <c r="F53" s="372">
        <f>Input!$JP$40</f>
        <v>0</v>
      </c>
      <c r="G53" s="372">
        <f>Input!$JQ$40</f>
        <v>0</v>
      </c>
      <c r="H53" s="372">
        <f>Input!$JR$40</f>
        <v>0</v>
      </c>
      <c r="I53" s="372">
        <f>Input!$JS$40</f>
        <v>0</v>
      </c>
      <c r="J53" s="372">
        <f>Input!$JT$40</f>
        <v>0</v>
      </c>
      <c r="K53" s="372">
        <f>Input!$JU$40</f>
        <v>0</v>
      </c>
      <c r="L53" s="372">
        <f>Input!$JV$40</f>
        <v>0</v>
      </c>
      <c r="M53" s="373">
        <f t="shared" si="9"/>
        <v>59382</v>
      </c>
      <c r="N53" s="160"/>
      <c r="O53" s="273"/>
    </row>
    <row r="54" spans="1:28" ht="13.5" thickBot="1">
      <c r="A54" s="184">
        <v>37</v>
      </c>
      <c r="B54" s="177" t="s">
        <v>2134</v>
      </c>
      <c r="C54" s="177"/>
      <c r="D54" s="372">
        <f>Input!$JW$40</f>
        <v>0</v>
      </c>
      <c r="E54" s="372">
        <f>Input!$JX$40</f>
        <v>0</v>
      </c>
      <c r="F54" s="372">
        <f>Input!$JY$40</f>
        <v>7508284</v>
      </c>
      <c r="G54" s="372">
        <f>Input!$JZ$40</f>
        <v>0</v>
      </c>
      <c r="H54" s="372">
        <f>Input!$KA$40</f>
        <v>0</v>
      </c>
      <c r="I54" s="372">
        <f>Input!$KB$40</f>
        <v>0</v>
      </c>
      <c r="J54" s="372">
        <f>Input!$KC$40</f>
        <v>0</v>
      </c>
      <c r="K54" s="372">
        <f>Input!$KD$40</f>
        <v>0</v>
      </c>
      <c r="L54" s="372">
        <f>Input!$KE$40</f>
        <v>0</v>
      </c>
      <c r="M54" s="373">
        <f t="shared" si="9"/>
        <v>7508284</v>
      </c>
      <c r="N54" s="160"/>
      <c r="O54" s="273"/>
    </row>
    <row r="55" spans="1:28" ht="14.25" thickTop="1" thickBot="1">
      <c r="A55" s="184">
        <v>38</v>
      </c>
      <c r="B55" s="160" t="s">
        <v>43</v>
      </c>
      <c r="C55" s="160"/>
      <c r="D55" s="372">
        <f>Input!$KF$40</f>
        <v>16726071</v>
      </c>
      <c r="E55" s="372">
        <f>Input!$KG$40</f>
        <v>2834946</v>
      </c>
      <c r="F55" s="372">
        <f>Input!$KH$40</f>
        <v>414425</v>
      </c>
      <c r="G55" s="372">
        <f>Input!$KI$40</f>
        <v>-3857101</v>
      </c>
      <c r="H55" s="372">
        <f>Input!$KJ$40</f>
        <v>0</v>
      </c>
      <c r="I55" s="372">
        <f>Input!$KK$40</f>
        <v>-7250</v>
      </c>
      <c r="J55" s="372">
        <f>Input!$KL$40</f>
        <v>3002150</v>
      </c>
      <c r="K55" s="372">
        <f>Input!$KM$40</f>
        <v>0</v>
      </c>
      <c r="L55" s="372">
        <f>Input!$KN$40</f>
        <v>-161095</v>
      </c>
      <c r="M55" s="373">
        <f t="shared" si="9"/>
        <v>18952146</v>
      </c>
      <c r="N55" s="160"/>
      <c r="O55" s="1616" t="s">
        <v>251</v>
      </c>
      <c r="P55" s="1617"/>
      <c r="Q55" s="1617"/>
      <c r="R55" s="1618"/>
      <c r="S55" s="437"/>
      <c r="T55" s="1619" t="s">
        <v>252</v>
      </c>
      <c r="U55" s="1620"/>
      <c r="V55" s="1620"/>
      <c r="W55" s="1620"/>
      <c r="X55" s="1621"/>
      <c r="Y55" s="320"/>
      <c r="Z55" s="1749" t="s">
        <v>1301</v>
      </c>
      <c r="AA55" s="1750"/>
      <c r="AB55" s="1751"/>
    </row>
    <row r="56" spans="1:28" ht="13.5" customHeight="1" thickTop="1">
      <c r="A56" s="184">
        <v>39</v>
      </c>
      <c r="B56" s="176" t="s">
        <v>3</v>
      </c>
      <c r="C56" s="176"/>
      <c r="D56" s="374">
        <f>SUM(D50:D55)</f>
        <v>16768228</v>
      </c>
      <c r="E56" s="374">
        <f t="shared" ref="E56:L56" si="10">SUM(E50:E55)</f>
        <v>3497373</v>
      </c>
      <c r="F56" s="374">
        <f t="shared" si="10"/>
        <v>7932012</v>
      </c>
      <c r="G56" s="374">
        <f t="shared" si="10"/>
        <v>-894639</v>
      </c>
      <c r="H56" s="374">
        <f t="shared" si="10"/>
        <v>0</v>
      </c>
      <c r="I56" s="374">
        <f t="shared" si="10"/>
        <v>1365336</v>
      </c>
      <c r="J56" s="374">
        <f t="shared" si="10"/>
        <v>3233117</v>
      </c>
      <c r="K56" s="374">
        <f t="shared" si="10"/>
        <v>57348</v>
      </c>
      <c r="L56" s="374">
        <f t="shared" si="10"/>
        <v>685218</v>
      </c>
      <c r="M56" s="374">
        <f t="shared" si="9"/>
        <v>32643993</v>
      </c>
      <c r="N56" s="160"/>
      <c r="O56" s="1622" t="s">
        <v>1135</v>
      </c>
      <c r="P56" s="1625" t="s">
        <v>254</v>
      </c>
      <c r="Q56" s="1625" t="s">
        <v>292</v>
      </c>
      <c r="R56" s="1628" t="s">
        <v>1063</v>
      </c>
      <c r="S56" s="280"/>
      <c r="T56" s="1739" t="s">
        <v>1136</v>
      </c>
      <c r="U56" s="1637" t="s">
        <v>254</v>
      </c>
      <c r="V56" s="1634" t="s">
        <v>256</v>
      </c>
      <c r="W56" s="1637" t="s">
        <v>257</v>
      </c>
      <c r="X56" s="1638" t="s">
        <v>1064</v>
      </c>
      <c r="Z56" s="1754" t="s">
        <v>1302</v>
      </c>
      <c r="AA56" s="1747" t="s">
        <v>1303</v>
      </c>
      <c r="AB56" s="1752" t="s">
        <v>238</v>
      </c>
    </row>
    <row r="57" spans="1:28">
      <c r="A57" s="184">
        <v>40</v>
      </c>
      <c r="B57" s="162" t="s">
        <v>68</v>
      </c>
      <c r="C57" s="162"/>
      <c r="D57" s="374">
        <f>D15+D44+D47+D56</f>
        <v>111311676</v>
      </c>
      <c r="E57" s="374">
        <f t="shared" ref="E57:L57" si="11">E15+E44+E47+E56</f>
        <v>36751247</v>
      </c>
      <c r="F57" s="374">
        <f t="shared" si="11"/>
        <v>13061524</v>
      </c>
      <c r="G57" s="374">
        <f t="shared" si="11"/>
        <v>88741195</v>
      </c>
      <c r="H57" s="374">
        <f t="shared" si="11"/>
        <v>0</v>
      </c>
      <c r="I57" s="374">
        <f t="shared" si="11"/>
        <v>1365336</v>
      </c>
      <c r="J57" s="374">
        <f t="shared" si="11"/>
        <v>3233117</v>
      </c>
      <c r="K57" s="374">
        <f t="shared" si="11"/>
        <v>57348</v>
      </c>
      <c r="L57" s="374">
        <f t="shared" si="11"/>
        <v>685218</v>
      </c>
      <c r="M57" s="374">
        <f t="shared" si="9"/>
        <v>255206661</v>
      </c>
      <c r="N57" s="160"/>
      <c r="O57" s="1623"/>
      <c r="P57" s="1626"/>
      <c r="Q57" s="1626"/>
      <c r="R57" s="1629"/>
      <c r="S57" s="280"/>
      <c r="T57" s="1740"/>
      <c r="U57" s="1626"/>
      <c r="V57" s="1635"/>
      <c r="W57" s="1626"/>
      <c r="X57" s="1639"/>
      <c r="Z57" s="1755"/>
      <c r="AA57" s="1747"/>
      <c r="AB57" s="1752"/>
    </row>
    <row r="58" spans="1:28">
      <c r="A58" s="184">
        <v>41</v>
      </c>
      <c r="B58" s="160"/>
      <c r="C58" s="160"/>
      <c r="D58" s="373"/>
      <c r="E58" s="373"/>
      <c r="F58" s="373"/>
      <c r="G58" s="373"/>
      <c r="H58" s="373"/>
      <c r="I58" s="373"/>
      <c r="J58" s="373"/>
      <c r="K58" s="373"/>
      <c r="L58" s="373"/>
      <c r="M58" s="373"/>
      <c r="N58" s="160"/>
      <c r="O58" s="1623"/>
      <c r="P58" s="1626"/>
      <c r="Q58" s="1626"/>
      <c r="R58" s="1629"/>
      <c r="S58" s="280"/>
      <c r="T58" s="1740"/>
      <c r="U58" s="1626"/>
      <c r="V58" s="1635"/>
      <c r="W58" s="1626"/>
      <c r="X58" s="1639"/>
      <c r="Z58" s="1755"/>
      <c r="AA58" s="1747"/>
      <c r="AB58" s="1752"/>
    </row>
    <row r="59" spans="1:28" ht="14.25" customHeight="1">
      <c r="A59" s="184">
        <v>42</v>
      </c>
      <c r="B59" s="174" t="s">
        <v>72</v>
      </c>
      <c r="C59" s="174"/>
      <c r="D59" s="377"/>
      <c r="E59" s="377"/>
      <c r="F59" s="377"/>
      <c r="G59" s="1746" t="str">
        <f>IF(OR(P105&gt;0,P106&lt;&gt;0,P107&lt;&gt;0),"Do not Enter Cents - Whole Dollars Only","")</f>
        <v/>
      </c>
      <c r="H59" s="1746"/>
      <c r="I59" s="1746"/>
      <c r="J59" s="1746"/>
      <c r="K59" s="1746"/>
      <c r="L59" s="377"/>
      <c r="M59" s="377"/>
      <c r="N59" s="160"/>
      <c r="O59" s="1624"/>
      <c r="P59" s="1627"/>
      <c r="Q59" s="1627"/>
      <c r="R59" s="1630"/>
      <c r="S59" s="280"/>
      <c r="T59" s="1741"/>
      <c r="U59" s="1627"/>
      <c r="V59" s="1636"/>
      <c r="W59" s="1627"/>
      <c r="X59" s="1640"/>
      <c r="Z59" s="1756"/>
      <c r="AA59" s="1748"/>
      <c r="AB59" s="1753"/>
    </row>
    <row r="60" spans="1:28" ht="13.5" thickBot="1">
      <c r="A60" s="184">
        <v>43</v>
      </c>
      <c r="B60" s="160" t="s">
        <v>14</v>
      </c>
      <c r="C60" s="160"/>
      <c r="D60" s="372">
        <f>Input!$KO$40</f>
        <v>56432663</v>
      </c>
      <c r="E60" s="372">
        <f>Input!$KP$40</f>
        <v>17627133</v>
      </c>
      <c r="F60" s="372">
        <f>Input!$KQ$40</f>
        <v>0</v>
      </c>
      <c r="G60" s="372">
        <f>Input!$KR$40</f>
        <v>4651598</v>
      </c>
      <c r="H60" s="372">
        <f>Input!$KS$40</f>
        <v>0</v>
      </c>
      <c r="I60" s="372">
        <f>Input!$KT$40</f>
        <v>0</v>
      </c>
      <c r="J60" s="372">
        <f>Input!$KU$40</f>
        <v>0</v>
      </c>
      <c r="K60" s="372">
        <f>Input!$KV$40</f>
        <v>0</v>
      </c>
      <c r="L60" s="372">
        <f>Input!$KW$40</f>
        <v>-256984</v>
      </c>
      <c r="M60" s="373">
        <f t="shared" ref="M60:M71" si="12">D60+E60+F60+G60+H60+I60+J60+K60+L60</f>
        <v>78454410</v>
      </c>
      <c r="N60" s="160"/>
      <c r="O60" s="282">
        <f>D60+E60+G60+J60</f>
        <v>78711394</v>
      </c>
      <c r="P60" s="518">
        <f>Input!$SS$40</f>
        <v>256984</v>
      </c>
      <c r="Q60" s="438" t="s">
        <v>259</v>
      </c>
      <c r="R60" s="284">
        <f>SUM(O60:P60)</f>
        <v>78968378</v>
      </c>
      <c r="S60" s="439"/>
      <c r="T60" s="286">
        <f t="shared" ref="T60:T67" si="13">D60+E60+G60</f>
        <v>78711394</v>
      </c>
      <c r="U60" s="287">
        <f t="shared" ref="U60:U67" si="14">P60</f>
        <v>256984</v>
      </c>
      <c r="V60" s="289">
        <f>Input!$TC$40</f>
        <v>0</v>
      </c>
      <c r="W60" s="289">
        <f>Input!$TK$40</f>
        <v>0</v>
      </c>
      <c r="X60" s="290">
        <f t="shared" ref="X60:X66" si="15">T60+U60-V60-W60</f>
        <v>78968378</v>
      </c>
      <c r="Z60" s="292" t="s">
        <v>14</v>
      </c>
      <c r="AA60" s="520">
        <f>Input!$TS$40</f>
        <v>78454410</v>
      </c>
      <c r="AB60" s="293">
        <f t="shared" ref="AB60:AB68" si="16">AA60-M60</f>
        <v>0</v>
      </c>
    </row>
    <row r="61" spans="1:28" ht="14.25" thickTop="1" thickBot="1">
      <c r="A61" s="184">
        <v>44</v>
      </c>
      <c r="B61" s="160" t="s">
        <v>15</v>
      </c>
      <c r="C61" s="160"/>
      <c r="D61" s="372">
        <f>Input!$KX$40</f>
        <v>533226</v>
      </c>
      <c r="E61" s="372">
        <f>Input!$KY$40</f>
        <v>0</v>
      </c>
      <c r="F61" s="372">
        <f>Input!$KZ$40</f>
        <v>0</v>
      </c>
      <c r="G61" s="372">
        <f>Input!$LA$40</f>
        <v>4677662</v>
      </c>
      <c r="H61" s="372">
        <f>Input!$LB$40</f>
        <v>0</v>
      </c>
      <c r="I61" s="372">
        <f>Input!$LC$40</f>
        <v>0</v>
      </c>
      <c r="J61" s="372">
        <f>Input!$LD$40</f>
        <v>0</v>
      </c>
      <c r="K61" s="372">
        <f>Input!$LE$40</f>
        <v>0</v>
      </c>
      <c r="L61" s="372">
        <f>Input!$LF$40</f>
        <v>-59574</v>
      </c>
      <c r="M61" s="373">
        <f t="shared" si="12"/>
        <v>5151314</v>
      </c>
      <c r="N61" s="160"/>
      <c r="O61" s="440">
        <f t="shared" ref="O61:O67" si="17">D61+E61+G61+J61</f>
        <v>5210888</v>
      </c>
      <c r="P61" s="518">
        <f>Input!$ST$40</f>
        <v>59574</v>
      </c>
      <c r="Q61" s="441" t="s">
        <v>259</v>
      </c>
      <c r="R61" s="295">
        <f>SUM(O61:P61)</f>
        <v>5270462</v>
      </c>
      <c r="S61" s="442"/>
      <c r="T61" s="296">
        <f t="shared" si="13"/>
        <v>5210888</v>
      </c>
      <c r="U61" s="297">
        <f t="shared" si="14"/>
        <v>59574</v>
      </c>
      <c r="V61" s="299">
        <f>Input!$TD$40</f>
        <v>0</v>
      </c>
      <c r="W61" s="299">
        <f>Input!$TL$40</f>
        <v>0</v>
      </c>
      <c r="X61" s="300">
        <f t="shared" si="15"/>
        <v>5270462</v>
      </c>
      <c r="Z61" s="292" t="s">
        <v>15</v>
      </c>
      <c r="AA61" s="518">
        <f>Input!$TT$40</f>
        <v>5151314</v>
      </c>
      <c r="AB61" s="301">
        <f t="shared" si="16"/>
        <v>0</v>
      </c>
    </row>
    <row r="62" spans="1:28" ht="13.5" thickTop="1">
      <c r="A62" s="184">
        <v>45</v>
      </c>
      <c r="B62" s="160" t="s">
        <v>16</v>
      </c>
      <c r="C62" s="160"/>
      <c r="D62" s="372">
        <f>Input!$LG$40</f>
        <v>325933</v>
      </c>
      <c r="E62" s="372">
        <f>Input!$LH$40</f>
        <v>303496</v>
      </c>
      <c r="F62" s="372">
        <f>Input!$LI$40</f>
        <v>0</v>
      </c>
      <c r="G62" s="372">
        <f>Input!$LJ$40</f>
        <v>1380192</v>
      </c>
      <c r="H62" s="372">
        <f>Input!$LK$40</f>
        <v>0</v>
      </c>
      <c r="I62" s="372">
        <f>Input!$LL$40</f>
        <v>0</v>
      </c>
      <c r="J62" s="372">
        <f>Input!$LM$40</f>
        <v>0</v>
      </c>
      <c r="K62" s="372">
        <f>Input!$LN$40</f>
        <v>0</v>
      </c>
      <c r="L62" s="372">
        <f>Input!$LO$40</f>
        <v>0</v>
      </c>
      <c r="M62" s="373">
        <f t="shared" si="12"/>
        <v>2009621</v>
      </c>
      <c r="N62" s="160"/>
      <c r="O62" s="440">
        <f t="shared" si="17"/>
        <v>2009621</v>
      </c>
      <c r="P62" s="518">
        <f>Input!$SU$40</f>
        <v>0</v>
      </c>
      <c r="Q62" s="441" t="s">
        <v>259</v>
      </c>
      <c r="R62" s="302" t="s">
        <v>259</v>
      </c>
      <c r="S62" s="442"/>
      <c r="T62" s="296">
        <f t="shared" si="13"/>
        <v>2009621</v>
      </c>
      <c r="U62" s="297">
        <f t="shared" si="14"/>
        <v>0</v>
      </c>
      <c r="V62" s="299">
        <f>Input!$TE$40</f>
        <v>0</v>
      </c>
      <c r="W62" s="299">
        <f>Input!$TM$40</f>
        <v>0</v>
      </c>
      <c r="X62" s="303">
        <f t="shared" si="15"/>
        <v>2009621</v>
      </c>
      <c r="Z62" s="292" t="s">
        <v>16</v>
      </c>
      <c r="AA62" s="518">
        <f>Input!$TU$40</f>
        <v>2009621</v>
      </c>
      <c r="AB62" s="301">
        <f t="shared" si="16"/>
        <v>0</v>
      </c>
    </row>
    <row r="63" spans="1:28">
      <c r="A63" s="184">
        <v>46</v>
      </c>
      <c r="B63" s="160" t="s">
        <v>17</v>
      </c>
      <c r="C63" s="160"/>
      <c r="D63" s="372">
        <f>Input!$LP$40</f>
        <v>5497602</v>
      </c>
      <c r="E63" s="372">
        <f>Input!$LQ$40</f>
        <v>4916743</v>
      </c>
      <c r="F63" s="372">
        <f>Input!$LR$40</f>
        <v>0</v>
      </c>
      <c r="G63" s="372">
        <f>Input!$LS$40</f>
        <v>3803766</v>
      </c>
      <c r="H63" s="372">
        <f>Input!$LT$40</f>
        <v>0</v>
      </c>
      <c r="I63" s="372">
        <f>Input!$LU$40</f>
        <v>0</v>
      </c>
      <c r="J63" s="372">
        <f>Input!$LV$40</f>
        <v>0</v>
      </c>
      <c r="K63" s="372">
        <f>Input!$LW$40</f>
        <v>0</v>
      </c>
      <c r="L63" s="372">
        <f>Input!$LX$40</f>
        <v>-2502731</v>
      </c>
      <c r="M63" s="373">
        <f t="shared" si="12"/>
        <v>11715380</v>
      </c>
      <c r="N63" s="160"/>
      <c r="O63" s="440">
        <f t="shared" si="17"/>
        <v>14218111</v>
      </c>
      <c r="P63" s="518">
        <f>Input!$SV$40</f>
        <v>2502731</v>
      </c>
      <c r="Q63" s="441" t="s">
        <v>259</v>
      </c>
      <c r="R63" s="295">
        <f t="shared" ref="R63:R65" si="18">SUM(O63:P63)</f>
        <v>16720842</v>
      </c>
      <c r="S63" s="442"/>
      <c r="T63" s="296">
        <f t="shared" si="13"/>
        <v>14218111</v>
      </c>
      <c r="U63" s="297">
        <f t="shared" si="14"/>
        <v>2502731</v>
      </c>
      <c r="V63" s="299">
        <f>Input!$TF$40</f>
        <v>0</v>
      </c>
      <c r="W63" s="299">
        <f>Input!$TN$40</f>
        <v>0</v>
      </c>
      <c r="X63" s="303">
        <f t="shared" si="15"/>
        <v>16720842</v>
      </c>
      <c r="Z63" s="292" t="s">
        <v>17</v>
      </c>
      <c r="AA63" s="518">
        <f>Input!$TV$40</f>
        <v>11715380</v>
      </c>
      <c r="AB63" s="301">
        <f t="shared" si="16"/>
        <v>0</v>
      </c>
    </row>
    <row r="64" spans="1:28">
      <c r="A64" s="184">
        <v>47</v>
      </c>
      <c r="B64" s="160" t="s">
        <v>18</v>
      </c>
      <c r="C64" s="160"/>
      <c r="D64" s="372">
        <f>Input!$LY$40</f>
        <v>1372432</v>
      </c>
      <c r="E64" s="372">
        <f>Input!$LZ$40</f>
        <v>10158044</v>
      </c>
      <c r="F64" s="372">
        <f>Input!$MA$40</f>
        <v>0</v>
      </c>
      <c r="G64" s="372">
        <f>Input!$MB$40</f>
        <v>3660856</v>
      </c>
      <c r="H64" s="372">
        <f>Input!$MC$40</f>
        <v>0</v>
      </c>
      <c r="I64" s="372">
        <f>Input!$MD$40</f>
        <v>0</v>
      </c>
      <c r="J64" s="372">
        <f>Input!$ME$40</f>
        <v>0</v>
      </c>
      <c r="K64" s="372">
        <f>Input!$MF$40</f>
        <v>0</v>
      </c>
      <c r="L64" s="372">
        <f>Input!$MG$40</f>
        <v>-304752</v>
      </c>
      <c r="M64" s="373">
        <f t="shared" si="12"/>
        <v>14886580</v>
      </c>
      <c r="N64" s="160"/>
      <c r="O64" s="440">
        <f t="shared" si="17"/>
        <v>15191332</v>
      </c>
      <c r="P64" s="518">
        <f>Input!$SW$40</f>
        <v>304752</v>
      </c>
      <c r="Q64" s="518">
        <f>Input!$TB$40</f>
        <v>6000</v>
      </c>
      <c r="R64" s="295">
        <f>SUM(O64:P64)-Q64</f>
        <v>15490084</v>
      </c>
      <c r="S64" s="442"/>
      <c r="T64" s="296">
        <f t="shared" si="13"/>
        <v>15191332</v>
      </c>
      <c r="U64" s="297">
        <f t="shared" si="14"/>
        <v>304752</v>
      </c>
      <c r="V64" s="299">
        <f>Input!$TG$40</f>
        <v>0</v>
      </c>
      <c r="W64" s="299">
        <f>Input!$TO$40</f>
        <v>0</v>
      </c>
      <c r="X64" s="303">
        <f t="shared" si="15"/>
        <v>15496084</v>
      </c>
      <c r="Z64" s="292" t="s">
        <v>18</v>
      </c>
      <c r="AA64" s="518">
        <f>Input!$TW$40</f>
        <v>14886580</v>
      </c>
      <c r="AB64" s="301">
        <f t="shared" si="16"/>
        <v>0</v>
      </c>
    </row>
    <row r="65" spans="1:28">
      <c r="A65" s="184">
        <v>48</v>
      </c>
      <c r="B65" s="160" t="s">
        <v>19</v>
      </c>
      <c r="C65" s="160"/>
      <c r="D65" s="372">
        <f>Input!$MH$40</f>
        <v>33447080</v>
      </c>
      <c r="E65" s="372">
        <f>Input!$MI$40</f>
        <v>12315212</v>
      </c>
      <c r="F65" s="372">
        <f>Input!$MJ$40</f>
        <v>0</v>
      </c>
      <c r="G65" s="372">
        <f>Input!$MK$40</f>
        <v>10066212</v>
      </c>
      <c r="H65" s="372">
        <f>Input!$ML$40</f>
        <v>0</v>
      </c>
      <c r="I65" s="372">
        <f>Input!$MM$40</f>
        <v>0</v>
      </c>
      <c r="J65" s="372">
        <f>Input!$MN$40</f>
        <v>-4574</v>
      </c>
      <c r="K65" s="372">
        <f>Input!$MO$40</f>
        <v>0</v>
      </c>
      <c r="L65" s="372">
        <f>Input!$MP$40</f>
        <v>-2308076</v>
      </c>
      <c r="M65" s="373">
        <f t="shared" si="12"/>
        <v>53515854</v>
      </c>
      <c r="N65" s="160"/>
      <c r="O65" s="440">
        <f t="shared" si="17"/>
        <v>55823930</v>
      </c>
      <c r="P65" s="518">
        <f>Input!$SX$40</f>
        <v>2308076</v>
      </c>
      <c r="Q65" s="441" t="s">
        <v>259</v>
      </c>
      <c r="R65" s="295">
        <f t="shared" si="18"/>
        <v>58132006</v>
      </c>
      <c r="S65" s="442"/>
      <c r="T65" s="296">
        <f t="shared" si="13"/>
        <v>55828504</v>
      </c>
      <c r="U65" s="297">
        <f t="shared" si="14"/>
        <v>2308076</v>
      </c>
      <c r="V65" s="299">
        <f>Input!$TH$40</f>
        <v>408898</v>
      </c>
      <c r="W65" s="299">
        <f>Input!$TP$40</f>
        <v>0</v>
      </c>
      <c r="X65" s="303">
        <f t="shared" si="15"/>
        <v>57727682</v>
      </c>
      <c r="Z65" s="292" t="s">
        <v>19</v>
      </c>
      <c r="AA65" s="518">
        <f>Input!$TX$40</f>
        <v>53515854</v>
      </c>
      <c r="AB65" s="301">
        <f t="shared" si="16"/>
        <v>0</v>
      </c>
    </row>
    <row r="66" spans="1:28">
      <c r="A66" s="184">
        <v>49</v>
      </c>
      <c r="B66" s="160" t="s">
        <v>20</v>
      </c>
      <c r="C66" s="160"/>
      <c r="D66" s="372">
        <f>Input!$MQ$40</f>
        <v>6534710</v>
      </c>
      <c r="E66" s="372">
        <f>Input!$MR$40</f>
        <v>5897155</v>
      </c>
      <c r="F66" s="372">
        <f>Input!$MS$40</f>
        <v>0</v>
      </c>
      <c r="G66" s="372">
        <f>Input!$MT$40</f>
        <v>0</v>
      </c>
      <c r="H66" s="372">
        <f>Input!$MU$40</f>
        <v>0</v>
      </c>
      <c r="I66" s="372">
        <f>Input!$MV$40</f>
        <v>0</v>
      </c>
      <c r="J66" s="372">
        <f>Input!$MW$40</f>
        <v>15018298</v>
      </c>
      <c r="K66" s="372">
        <f>Input!$MX$40</f>
        <v>0</v>
      </c>
      <c r="L66" s="372">
        <f>Input!$MY$40</f>
        <v>-13348311</v>
      </c>
      <c r="M66" s="373">
        <f t="shared" si="12"/>
        <v>14101852</v>
      </c>
      <c r="N66" s="160"/>
      <c r="O66" s="440">
        <f t="shared" si="17"/>
        <v>27450163</v>
      </c>
      <c r="P66" s="518">
        <f>Input!$SY$40</f>
        <v>935</v>
      </c>
      <c r="Q66" s="441" t="s">
        <v>259</v>
      </c>
      <c r="R66" s="304" t="s">
        <v>259</v>
      </c>
      <c r="S66" s="442"/>
      <c r="T66" s="296">
        <f t="shared" si="13"/>
        <v>12431865</v>
      </c>
      <c r="U66" s="297">
        <f t="shared" si="14"/>
        <v>935</v>
      </c>
      <c r="V66" s="299">
        <f>Input!$TI$40</f>
        <v>0</v>
      </c>
      <c r="W66" s="299">
        <f>Input!$TQ$40</f>
        <v>0</v>
      </c>
      <c r="X66" s="303">
        <f t="shared" si="15"/>
        <v>12432800</v>
      </c>
      <c r="Z66" s="292" t="s">
        <v>260</v>
      </c>
      <c r="AA66" s="518">
        <f>Input!$TY$40</f>
        <v>14101852</v>
      </c>
      <c r="AB66" s="301">
        <f t="shared" si="16"/>
        <v>0</v>
      </c>
    </row>
    <row r="67" spans="1:28" ht="13.5" thickBot="1">
      <c r="A67" s="184">
        <v>50</v>
      </c>
      <c r="B67" s="160" t="s">
        <v>21</v>
      </c>
      <c r="C67" s="160"/>
      <c r="D67" s="372">
        <f>Input!$MZ$40</f>
        <v>-52028</v>
      </c>
      <c r="E67" s="372">
        <f>Input!$NA$40</f>
        <v>-7060266</v>
      </c>
      <c r="F67" s="372">
        <f>Input!$NB$40</f>
        <v>0</v>
      </c>
      <c r="G67" s="372">
        <f>Input!$NC$40</f>
        <v>34625677</v>
      </c>
      <c r="H67" s="372">
        <f>Input!$ND$40</f>
        <v>0</v>
      </c>
      <c r="I67" s="372">
        <f>Input!$NE$40</f>
        <v>0</v>
      </c>
      <c r="J67" s="372">
        <f>Input!$NF$40</f>
        <v>0</v>
      </c>
      <c r="K67" s="372">
        <f>Input!$NG$40</f>
        <v>0</v>
      </c>
      <c r="L67" s="372">
        <f>Input!$NH$40</f>
        <v>0</v>
      </c>
      <c r="M67" s="373">
        <f t="shared" si="12"/>
        <v>27513383</v>
      </c>
      <c r="N67" s="160"/>
      <c r="O67" s="440">
        <f t="shared" si="17"/>
        <v>27513383</v>
      </c>
      <c r="P67" s="518">
        <f>Input!$SZ$40</f>
        <v>0</v>
      </c>
      <c r="Q67" s="441" t="s">
        <v>259</v>
      </c>
      <c r="R67" s="304" t="s">
        <v>259</v>
      </c>
      <c r="S67" s="442"/>
      <c r="T67" s="306">
        <f t="shared" si="13"/>
        <v>27513383</v>
      </c>
      <c r="U67" s="307">
        <f t="shared" si="14"/>
        <v>0</v>
      </c>
      <c r="V67" s="308">
        <f>Input!$TJ$40</f>
        <v>0</v>
      </c>
      <c r="W67" s="308">
        <f>Input!$TR$40</f>
        <v>0</v>
      </c>
      <c r="X67" s="303">
        <f>U67+T67-V67-W67</f>
        <v>27513383</v>
      </c>
      <c r="Z67" s="292" t="s">
        <v>21</v>
      </c>
      <c r="AA67" s="518">
        <f>Input!$TZ$40</f>
        <v>27513383</v>
      </c>
      <c r="AB67" s="301">
        <f t="shared" si="16"/>
        <v>0</v>
      </c>
    </row>
    <row r="68" spans="1:28" ht="14.25" thickTop="1" thickBot="1">
      <c r="A68" s="184">
        <v>51</v>
      </c>
      <c r="B68" s="160" t="s">
        <v>2135</v>
      </c>
      <c r="C68" s="160"/>
      <c r="D68" s="372">
        <f>Input!$NI$40</f>
        <v>0</v>
      </c>
      <c r="E68" s="372">
        <f>Input!$NJ$40</f>
        <v>0</v>
      </c>
      <c r="F68" s="372">
        <f>Input!$NK$40</f>
        <v>15885231</v>
      </c>
      <c r="G68" s="372">
        <f>Input!$NL$40</f>
        <v>0</v>
      </c>
      <c r="H68" s="372">
        <f>Input!$NM$40</f>
        <v>0</v>
      </c>
      <c r="I68" s="372">
        <f>Input!$NN$40</f>
        <v>0</v>
      </c>
      <c r="J68" s="372">
        <f>Input!$NO$40</f>
        <v>0</v>
      </c>
      <c r="K68" s="372">
        <f>Input!$NP$40</f>
        <v>0</v>
      </c>
      <c r="L68" s="372">
        <f>Input!$NQ$40</f>
        <v>0</v>
      </c>
      <c r="M68" s="373">
        <f t="shared" si="12"/>
        <v>15885231</v>
      </c>
      <c r="N68" s="160"/>
      <c r="O68" s="309" t="s">
        <v>259</v>
      </c>
      <c r="P68" s="519">
        <f>Input!$TA$40</f>
        <v>0</v>
      </c>
      <c r="Q68" s="444" t="s">
        <v>259</v>
      </c>
      <c r="R68" s="311" t="s">
        <v>259</v>
      </c>
      <c r="S68" s="442"/>
      <c r="T68" s="305"/>
      <c r="U68" s="305"/>
      <c r="V68" s="312" t="s">
        <v>261</v>
      </c>
      <c r="W68" s="313"/>
      <c r="X68" s="314">
        <f>SUM(X60:X67)</f>
        <v>216139252</v>
      </c>
      <c r="Z68" s="292" t="s">
        <v>22</v>
      </c>
      <c r="AA68" s="518">
        <f>Input!$UA$40</f>
        <v>15885231</v>
      </c>
      <c r="AB68" s="301">
        <f t="shared" si="16"/>
        <v>0</v>
      </c>
    </row>
    <row r="69" spans="1:28" ht="14.25" thickTop="1" thickBot="1">
      <c r="A69" s="184">
        <v>52</v>
      </c>
      <c r="B69" s="161" t="s">
        <v>59</v>
      </c>
      <c r="C69" s="161"/>
      <c r="D69" s="372">
        <f>Input!$NR$40</f>
        <v>1168981</v>
      </c>
      <c r="E69" s="372">
        <f>Input!$NS$40</f>
        <v>1226135</v>
      </c>
      <c r="F69" s="372">
        <f>Input!$NT$40</f>
        <v>322298</v>
      </c>
      <c r="G69" s="372">
        <f>Input!$NU$40</f>
        <v>2715638</v>
      </c>
      <c r="H69" s="372">
        <f>Input!$NV$40</f>
        <v>0</v>
      </c>
      <c r="I69" s="372">
        <f>Input!$NW$40</f>
        <v>0</v>
      </c>
      <c r="J69" s="372">
        <f>Input!$NX$40</f>
        <v>0</v>
      </c>
      <c r="K69" s="372">
        <f>Input!$NY$40</f>
        <v>0</v>
      </c>
      <c r="L69" s="372">
        <f>Input!$NZ$40</f>
        <v>0</v>
      </c>
      <c r="M69" s="373">
        <f t="shared" si="12"/>
        <v>5433052</v>
      </c>
      <c r="N69" s="160"/>
      <c r="O69" s="315"/>
      <c r="P69" s="316">
        <f>SUM(P60:P68)</f>
        <v>5433052</v>
      </c>
      <c r="Q69" s="316">
        <f>SUM(Q64:Q68)</f>
        <v>6000</v>
      </c>
      <c r="R69" s="317">
        <f>SUM(R60:R65)</f>
        <v>174581772</v>
      </c>
      <c r="S69" s="316"/>
      <c r="T69" s="305"/>
      <c r="U69" s="305"/>
      <c r="V69" s="305"/>
      <c r="W69" s="277"/>
      <c r="X69" s="277"/>
      <c r="Y69" s="277"/>
      <c r="Z69" s="292" t="s">
        <v>285</v>
      </c>
      <c r="AA69" s="445">
        <f>M88*-1</f>
        <v>22977507</v>
      </c>
      <c r="AB69" s="301">
        <f>AA69+M88</f>
        <v>0</v>
      </c>
    </row>
    <row r="70" spans="1:28" ht="14.25" thickTop="1" thickBot="1">
      <c r="A70" s="184">
        <v>53</v>
      </c>
      <c r="B70" s="178" t="s">
        <v>44</v>
      </c>
      <c r="C70" s="178"/>
      <c r="D70" s="378">
        <f>Input!$OA$40</f>
        <v>0</v>
      </c>
      <c r="E70" s="378">
        <f>Input!$OB$40</f>
        <v>0</v>
      </c>
      <c r="F70" s="378">
        <f>Input!$OC$40</f>
        <v>0</v>
      </c>
      <c r="G70" s="378">
        <f>Input!$OD$40</f>
        <v>0</v>
      </c>
      <c r="H70" s="378">
        <f>Input!$OE$40</f>
        <v>0</v>
      </c>
      <c r="I70" s="378">
        <f>Input!$OF$40</f>
        <v>525803</v>
      </c>
      <c r="J70" s="378">
        <f>Input!$OG$40</f>
        <v>0</v>
      </c>
      <c r="K70" s="378">
        <f>Input!$OH$40</f>
        <v>0</v>
      </c>
      <c r="L70" s="378">
        <f>Input!$OI$40</f>
        <v>0</v>
      </c>
      <c r="M70" s="373">
        <f t="shared" si="12"/>
        <v>525803</v>
      </c>
      <c r="N70" s="160"/>
      <c r="O70" s="320"/>
      <c r="P70" s="516" t="str">
        <f>IF(P69&lt;&gt;M69,"Out of Balance","Balanced")</f>
        <v>Balanced</v>
      </c>
      <c r="Q70" s="318"/>
      <c r="R70" s="305"/>
      <c r="S70" s="305"/>
      <c r="T70" s="305"/>
      <c r="U70" s="277"/>
      <c r="V70" s="1738" t="str">
        <f>IF(X68-INT(X68)&lt;&gt;0,"Whole Dollars Only","")</f>
        <v/>
      </c>
      <c r="W70" s="1738"/>
      <c r="X70" s="537"/>
      <c r="Y70" s="319"/>
      <c r="Z70" s="410" t="s">
        <v>262</v>
      </c>
      <c r="AA70" s="446" t="s">
        <v>259</v>
      </c>
      <c r="AB70" s="411">
        <f>M90</f>
        <v>0</v>
      </c>
    </row>
    <row r="71" spans="1:28" ht="13.5" thickTop="1">
      <c r="A71" s="184">
        <v>54</v>
      </c>
      <c r="B71" s="162" t="s">
        <v>69</v>
      </c>
      <c r="C71" s="162"/>
      <c r="D71" s="374">
        <f>SUM(D60:D70)</f>
        <v>105260599</v>
      </c>
      <c r="E71" s="374">
        <f>SUM(E60:E70)</f>
        <v>45383652</v>
      </c>
      <c r="F71" s="374">
        <f t="shared" ref="F71:L71" si="19">SUM(F60:F70)</f>
        <v>16207529</v>
      </c>
      <c r="G71" s="374">
        <f t="shared" si="19"/>
        <v>65581601</v>
      </c>
      <c r="H71" s="374">
        <f t="shared" si="19"/>
        <v>0</v>
      </c>
      <c r="I71" s="374">
        <f t="shared" si="19"/>
        <v>525803</v>
      </c>
      <c r="J71" s="374">
        <f t="shared" si="19"/>
        <v>15013724</v>
      </c>
      <c r="K71" s="374">
        <f t="shared" si="19"/>
        <v>0</v>
      </c>
      <c r="L71" s="374">
        <f t="shared" si="19"/>
        <v>-18780428</v>
      </c>
      <c r="M71" s="374">
        <f t="shared" si="12"/>
        <v>229192480</v>
      </c>
      <c r="N71" s="160"/>
      <c r="O71" s="322"/>
      <c r="P71" s="1738" t="str">
        <f>IF(P69-INT(P69)&lt;&gt;0,"Whole Dollars Only","")</f>
        <v/>
      </c>
      <c r="Q71" s="1738"/>
      <c r="R71" s="323"/>
      <c r="S71" s="323"/>
      <c r="T71" s="323"/>
      <c r="U71" s="291"/>
      <c r="V71" s="324"/>
      <c r="W71" s="321"/>
      <c r="X71" s="321"/>
      <c r="Y71" s="321"/>
      <c r="Z71" s="318"/>
      <c r="AA71" s="325">
        <f>SUM(AA60:AA70)</f>
        <v>246211132</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Input!$OJ$40</f>
        <v>0</v>
      </c>
      <c r="E74" s="372">
        <f>Input!$OK$40</f>
        <v>0</v>
      </c>
      <c r="F74" s="372">
        <f>Input!$OL$40</f>
        <v>0</v>
      </c>
      <c r="G74" s="372">
        <f>Input!$OM$40</f>
        <v>0</v>
      </c>
      <c r="H74" s="372">
        <f>Input!$ON$40</f>
        <v>0</v>
      </c>
      <c r="I74" s="372">
        <f>Input!$OO$40</f>
        <v>0</v>
      </c>
      <c r="J74" s="372">
        <f>Input!$OP$40</f>
        <v>-13325302</v>
      </c>
      <c r="K74" s="372">
        <f>Input!$OQ$40</f>
        <v>0</v>
      </c>
      <c r="L74" s="372">
        <f>Input!$OR$40</f>
        <v>0</v>
      </c>
      <c r="M74" s="373">
        <f>D74+E74+F74+G74+H74+I74+J74+K74+L74</f>
        <v>-13325302</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Input!$OS$40</f>
        <v>-3767752</v>
      </c>
      <c r="E75" s="372">
        <f>Input!$OT$40</f>
        <v>0</v>
      </c>
      <c r="F75" s="372">
        <f>Input!$OU$40</f>
        <v>0</v>
      </c>
      <c r="G75" s="372">
        <f>Input!$OV$40</f>
        <v>0</v>
      </c>
      <c r="H75" s="372">
        <f>Input!$OW$40</f>
        <v>0</v>
      </c>
      <c r="I75" s="372">
        <f>Input!$OX$40</f>
        <v>0</v>
      </c>
      <c r="J75" s="372">
        <f>Input!$OY$40</f>
        <v>0</v>
      </c>
      <c r="K75" s="372">
        <f>Input!$OZ$40</f>
        <v>0</v>
      </c>
      <c r="L75" s="372">
        <f>Input!$PA$40</f>
        <v>0</v>
      </c>
      <c r="M75" s="373">
        <f>D75+E75+F75+G75+H75+I75+J75+K75+L75</f>
        <v>-3767752</v>
      </c>
      <c r="N75" s="160"/>
      <c r="O75" s="1723" t="str">
        <f>IF(M85&lt;0,"Footnote 11 is N/A - No Data Entry Required","Footnote 11")</f>
        <v>Footnote 11</v>
      </c>
      <c r="P75" s="1724"/>
      <c r="Q75" s="1724"/>
      <c r="R75" s="1725"/>
      <c r="S75" s="330"/>
      <c r="T75" s="330"/>
      <c r="U75" s="327"/>
      <c r="V75" s="276"/>
      <c r="W75" s="331"/>
      <c r="X75" s="331"/>
      <c r="Y75" s="328"/>
      <c r="Z75" s="328"/>
      <c r="AA75" s="276"/>
      <c r="AB75" s="276" t="s">
        <v>293</v>
      </c>
    </row>
    <row r="76" spans="1:28" ht="13.5" thickTop="1">
      <c r="A76" s="184">
        <v>59</v>
      </c>
      <c r="B76" s="160" t="s">
        <v>45</v>
      </c>
      <c r="C76" s="160"/>
      <c r="D76" s="372">
        <f>Input!$PB$40</f>
        <v>0</v>
      </c>
      <c r="E76" s="372">
        <f>Input!$PC$40</f>
        <v>0</v>
      </c>
      <c r="F76" s="372">
        <f>Input!$PD$40</f>
        <v>0</v>
      </c>
      <c r="G76" s="372">
        <f>Input!$PE$40</f>
        <v>0</v>
      </c>
      <c r="H76" s="372">
        <f>Input!$PF$40</f>
        <v>0</v>
      </c>
      <c r="I76" s="372">
        <f>Input!$PG$40</f>
        <v>0</v>
      </c>
      <c r="J76" s="372">
        <f>Input!$PH$40</f>
        <v>0</v>
      </c>
      <c r="K76" s="372">
        <f>Input!$PI$40</f>
        <v>0</v>
      </c>
      <c r="L76" s="372">
        <f>Input!$PJ$40</f>
        <v>0</v>
      </c>
      <c r="M76" s="373">
        <f>D76+E76+F76+G76+H76+I76+J76+K76+L76</f>
        <v>0</v>
      </c>
      <c r="N76" s="160"/>
      <c r="O76" s="487" t="s">
        <v>583</v>
      </c>
      <c r="P76" s="488"/>
      <c r="Q76" s="489"/>
      <c r="R76" s="490">
        <f>IF($M$85&lt;0,"N/A",$M$85)</f>
        <v>96223532</v>
      </c>
      <c r="S76" s="330"/>
      <c r="T76" s="330"/>
      <c r="U76" s="327"/>
      <c r="V76" s="276"/>
      <c r="W76" s="331"/>
      <c r="X76" s="331"/>
      <c r="Y76" s="331"/>
      <c r="Z76" s="331"/>
      <c r="AA76" s="276"/>
      <c r="AB76" s="276"/>
    </row>
    <row r="77" spans="1:28">
      <c r="A77" s="184">
        <v>60</v>
      </c>
      <c r="B77" s="160" t="s">
        <v>46</v>
      </c>
      <c r="C77" s="160"/>
      <c r="D77" s="372">
        <f>Input!$PK$40</f>
        <v>-8700020</v>
      </c>
      <c r="E77" s="372">
        <f>Input!$PL$40</f>
        <v>-1361931</v>
      </c>
      <c r="F77" s="372">
        <f>Input!$PM$40</f>
        <v>-1745665</v>
      </c>
      <c r="G77" s="372">
        <f>Input!$PN$40</f>
        <v>0</v>
      </c>
      <c r="H77" s="372">
        <f>Input!$PO$40</f>
        <v>0</v>
      </c>
      <c r="I77" s="372">
        <f>Input!$PP$40</f>
        <v>0</v>
      </c>
      <c r="J77" s="372">
        <f>Input!$PQ$40</f>
        <v>-2059502</v>
      </c>
      <c r="K77" s="372">
        <f>Input!$PR$40</f>
        <v>-1512902</v>
      </c>
      <c r="L77" s="372">
        <f>Input!$PS$40</f>
        <v>-523969</v>
      </c>
      <c r="M77" s="373">
        <f>D77+E77+F77+G77+H77+I77+J77+K77+L77</f>
        <v>-15903989</v>
      </c>
      <c r="N77" s="160"/>
      <c r="O77" s="491" t="s">
        <v>584</v>
      </c>
      <c r="P77" s="334"/>
      <c r="Q77" s="334"/>
      <c r="R77" s="521">
        <f>Input!$UB$40</f>
        <v>69058121</v>
      </c>
      <c r="S77" s="330"/>
      <c r="T77" s="330"/>
      <c r="U77" s="327"/>
      <c r="V77" s="276"/>
      <c r="W77" s="331"/>
      <c r="X77" s="331"/>
      <c r="Y77" s="331"/>
      <c r="Z77" s="331"/>
      <c r="AA77" s="276"/>
      <c r="AB77" s="276"/>
    </row>
    <row r="78" spans="1:28">
      <c r="A78" s="184">
        <v>61</v>
      </c>
      <c r="B78" s="162" t="s">
        <v>3</v>
      </c>
      <c r="C78" s="162"/>
      <c r="D78" s="374">
        <f t="shared" ref="D78:L78" si="20">SUM(D74:D77)</f>
        <v>-12467772</v>
      </c>
      <c r="E78" s="374">
        <f t="shared" si="20"/>
        <v>-1361931</v>
      </c>
      <c r="F78" s="374">
        <f t="shared" si="20"/>
        <v>-1745665</v>
      </c>
      <c r="G78" s="374">
        <f t="shared" si="20"/>
        <v>0</v>
      </c>
      <c r="H78" s="374">
        <f t="shared" si="20"/>
        <v>0</v>
      </c>
      <c r="I78" s="374">
        <f t="shared" si="20"/>
        <v>0</v>
      </c>
      <c r="J78" s="374">
        <f t="shared" si="20"/>
        <v>-15384804</v>
      </c>
      <c r="K78" s="374">
        <f t="shared" si="20"/>
        <v>-1512902</v>
      </c>
      <c r="L78" s="374">
        <f t="shared" si="20"/>
        <v>-523969</v>
      </c>
      <c r="M78" s="374">
        <f>D78+E78+F78+G78+H78+I78+J78+K78+L78</f>
        <v>-32997043</v>
      </c>
      <c r="N78" s="160"/>
      <c r="O78" s="491" t="s">
        <v>585</v>
      </c>
      <c r="P78" s="276"/>
      <c r="Q78" s="334"/>
      <c r="R78" s="492">
        <f>IF($M$85&lt;0,"",$R$76-$R$77)</f>
        <v>27165411</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3"/>
      <c r="P79" s="276"/>
      <c r="Q79" s="334"/>
      <c r="R79" s="494"/>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5" t="s">
        <v>586</v>
      </c>
      <c r="P80" s="276"/>
      <c r="Q80" s="334"/>
      <c r="R80" s="521">
        <f>Input!$UC$40</f>
        <v>27165411</v>
      </c>
      <c r="S80" s="330"/>
      <c r="T80" s="330"/>
      <c r="U80" s="334"/>
      <c r="V80" s="276"/>
      <c r="W80" s="328"/>
      <c r="X80" s="328"/>
      <c r="Y80" s="331"/>
      <c r="Z80" s="331"/>
      <c r="AA80" s="276"/>
      <c r="AB80" s="276"/>
    </row>
    <row r="81" spans="1:28">
      <c r="A81" s="184">
        <v>64</v>
      </c>
      <c r="B81" s="160" t="s">
        <v>47</v>
      </c>
      <c r="C81" s="160"/>
      <c r="D81" s="372">
        <f>Input!$PT$40</f>
        <v>85431864</v>
      </c>
      <c r="E81" s="372">
        <f>Input!$PU$40</f>
        <v>709272</v>
      </c>
      <c r="F81" s="372">
        <f>Input!$PV$40</f>
        <v>0</v>
      </c>
      <c r="G81" s="372">
        <f>Input!$PW$40</f>
        <v>0</v>
      </c>
      <c r="H81" s="372">
        <f>Input!$PX$40</f>
        <v>0</v>
      </c>
      <c r="I81" s="372">
        <f>Input!$PY$40</f>
        <v>16166641</v>
      </c>
      <c r="J81" s="372">
        <f>Input!$PZ$40</f>
        <v>0</v>
      </c>
      <c r="K81" s="372">
        <f>Input!$QA$40</f>
        <v>0</v>
      </c>
      <c r="L81" s="372">
        <f>Input!$QB$40</f>
        <v>0</v>
      </c>
      <c r="M81" s="373">
        <f>D81+E81+F81+G81+H81+I81+J81+K81+L81</f>
        <v>102307777</v>
      </c>
      <c r="N81" s="160"/>
      <c r="O81" s="496" t="s">
        <v>587</v>
      </c>
      <c r="P81" s="276"/>
      <c r="Q81" s="276"/>
      <c r="R81" s="497"/>
      <c r="S81" s="330"/>
      <c r="T81" s="330"/>
      <c r="W81" s="276"/>
      <c r="X81" s="276"/>
      <c r="Y81" s="331"/>
      <c r="Z81" s="331"/>
      <c r="AA81" s="276"/>
      <c r="AB81" s="276"/>
    </row>
    <row r="82" spans="1:28">
      <c r="A82" s="184">
        <v>65</v>
      </c>
      <c r="B82" s="160" t="s">
        <v>48</v>
      </c>
      <c r="C82" s="160"/>
      <c r="D82" s="372">
        <f>Input!$QC$40</f>
        <v>0</v>
      </c>
      <c r="E82" s="372">
        <f>Input!$QD$40</f>
        <v>0</v>
      </c>
      <c r="F82" s="372">
        <f>Input!$QE$40</f>
        <v>0</v>
      </c>
      <c r="G82" s="372">
        <f>Input!$QF$40</f>
        <v>0</v>
      </c>
      <c r="H82" s="372">
        <f>Input!$QG$40</f>
        <v>0</v>
      </c>
      <c r="I82" s="372">
        <f>Input!$QH$40</f>
        <v>898617</v>
      </c>
      <c r="J82" s="372">
        <f>Input!$QI$40</f>
        <v>0</v>
      </c>
      <c r="K82" s="372">
        <f>Input!$QJ$40</f>
        <v>0</v>
      </c>
      <c r="L82" s="372">
        <f>Input!$QK$40</f>
        <v>0</v>
      </c>
      <c r="M82" s="373">
        <f>D82+E82+F82+G82+H82+I82+J82+K82+L82</f>
        <v>898617</v>
      </c>
      <c r="N82" s="160"/>
      <c r="O82" s="498" t="s">
        <v>588</v>
      </c>
      <c r="P82" s="276"/>
      <c r="Q82" s="276"/>
      <c r="R82" s="492">
        <f>IFERROR($R$78-$R$80,"")</f>
        <v>0</v>
      </c>
      <c r="Y82" s="331"/>
      <c r="Z82" s="401"/>
      <c r="AA82" s="268"/>
      <c r="AB82" s="268"/>
    </row>
    <row r="83" spans="1:28">
      <c r="A83" s="184">
        <v>66</v>
      </c>
      <c r="B83" s="162" t="s">
        <v>3</v>
      </c>
      <c r="C83" s="162"/>
      <c r="D83" s="374">
        <f t="shared" ref="D83:L83" si="21">SUM(D81:D82)</f>
        <v>85431864</v>
      </c>
      <c r="E83" s="374">
        <f t="shared" si="21"/>
        <v>709272</v>
      </c>
      <c r="F83" s="374">
        <f t="shared" si="21"/>
        <v>0</v>
      </c>
      <c r="G83" s="374">
        <f t="shared" si="21"/>
        <v>0</v>
      </c>
      <c r="H83" s="374">
        <f t="shared" si="21"/>
        <v>0</v>
      </c>
      <c r="I83" s="374">
        <f t="shared" si="21"/>
        <v>17065258</v>
      </c>
      <c r="J83" s="374">
        <f t="shared" si="21"/>
        <v>0</v>
      </c>
      <c r="K83" s="374">
        <f t="shared" si="21"/>
        <v>0</v>
      </c>
      <c r="L83" s="374">
        <f t="shared" si="21"/>
        <v>0</v>
      </c>
      <c r="M83" s="374">
        <f>D83+E83+F83+G83+H83+I83+J83+K83+L83</f>
        <v>103206394</v>
      </c>
      <c r="N83" s="160"/>
      <c r="O83" s="493"/>
      <c r="P83" s="276"/>
      <c r="Q83" s="276"/>
      <c r="R83" s="497"/>
      <c r="Y83" s="163"/>
      <c r="Z83" s="447"/>
      <c r="AA83" s="439"/>
      <c r="AB83" s="448"/>
    </row>
    <row r="84" spans="1:28" ht="13.5" thickBot="1">
      <c r="A84" s="184">
        <v>67</v>
      </c>
      <c r="B84" s="160"/>
      <c r="C84" s="160"/>
      <c r="D84" s="373"/>
      <c r="E84" s="373"/>
      <c r="F84" s="373"/>
      <c r="G84" s="373"/>
      <c r="H84" s="373"/>
      <c r="I84" s="373"/>
      <c r="J84" s="373"/>
      <c r="K84" s="373"/>
      <c r="L84" s="373"/>
      <c r="M84" s="373"/>
      <c r="N84" s="160"/>
      <c r="O84" s="499" t="s">
        <v>589</v>
      </c>
      <c r="P84" s="500"/>
      <c r="Q84" s="500"/>
      <c r="R84" s="501">
        <f>IFERROR((R82+R80)-R78,"")</f>
        <v>0</v>
      </c>
      <c r="Y84" s="268"/>
      <c r="Z84" s="447"/>
      <c r="AA84" s="439"/>
      <c r="AB84" s="449"/>
    </row>
    <row r="85" spans="1:28" ht="13.5" thickTop="1">
      <c r="A85" s="184">
        <v>68</v>
      </c>
      <c r="B85" s="162" t="s">
        <v>574</v>
      </c>
      <c r="C85" s="162"/>
      <c r="D85" s="374">
        <f t="shared" ref="D85:L85" si="22">D57-D71+D78+D83</f>
        <v>79015169</v>
      </c>
      <c r="E85" s="374">
        <f t="shared" si="22"/>
        <v>-9285064</v>
      </c>
      <c r="F85" s="374">
        <f t="shared" si="22"/>
        <v>-4891670</v>
      </c>
      <c r="G85" s="374">
        <f t="shared" si="22"/>
        <v>23159594</v>
      </c>
      <c r="H85" s="374">
        <f t="shared" si="22"/>
        <v>0</v>
      </c>
      <c r="I85" s="374">
        <f t="shared" si="22"/>
        <v>17904791</v>
      </c>
      <c r="J85" s="374">
        <f t="shared" si="22"/>
        <v>-27165411</v>
      </c>
      <c r="K85" s="374">
        <f t="shared" si="22"/>
        <v>-1455554</v>
      </c>
      <c r="L85" s="374">
        <f t="shared" si="22"/>
        <v>18941677</v>
      </c>
      <c r="M85" s="374">
        <f>D85+E85+F85+G85+H85+I85+J85+K85+L85</f>
        <v>96223532</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Input!$QL$40</f>
        <v>8700000</v>
      </c>
      <c r="E87" s="372">
        <f>Input!$QM$40</f>
        <v>1187519</v>
      </c>
      <c r="F87" s="372">
        <f>Input!$QN$40</f>
        <v>1274250</v>
      </c>
      <c r="G87" s="372">
        <f>Input!$QO$40</f>
        <v>0</v>
      </c>
      <c r="H87" s="372">
        <f>Input!$QP$40</f>
        <v>0</v>
      </c>
      <c r="I87" s="372">
        <f>Input!$QQ$40</f>
        <v>0</v>
      </c>
      <c r="J87" s="372">
        <f>Input!$QR$40</f>
        <v>116793</v>
      </c>
      <c r="K87" s="372">
        <f>Input!$QS$40</f>
        <v>0</v>
      </c>
      <c r="L87" s="372">
        <f>Input!$QT$40</f>
        <v>0</v>
      </c>
      <c r="M87" s="329">
        <f>D87+E87+F87+G87+H87+I87+J87+K87+L87</f>
        <v>11278562</v>
      </c>
      <c r="N87" s="160"/>
      <c r="Y87" s="268"/>
      <c r="Z87" s="447"/>
      <c r="AA87" s="439"/>
      <c r="AB87" s="449"/>
    </row>
    <row r="88" spans="1:28">
      <c r="A88" s="184">
        <v>72</v>
      </c>
      <c r="B88" s="160" t="s">
        <v>66</v>
      </c>
      <c r="C88" s="160"/>
      <c r="D88" s="372">
        <f>Input!$QU$40</f>
        <v>0</v>
      </c>
      <c r="E88" s="372">
        <f>Input!$QV$40</f>
        <v>0</v>
      </c>
      <c r="F88" s="372">
        <f>Input!$QW$40</f>
        <v>0</v>
      </c>
      <c r="G88" s="372">
        <f>Input!$QX$40</f>
        <v>0</v>
      </c>
      <c r="H88" s="372">
        <f>Input!$QY$40</f>
        <v>0</v>
      </c>
      <c r="I88" s="372">
        <f>Input!$QZ$40</f>
        <v>0</v>
      </c>
      <c r="J88" s="372">
        <f>Input!$RA$40</f>
        <v>0</v>
      </c>
      <c r="K88" s="372">
        <f>Input!$RB$40</f>
        <v>0</v>
      </c>
      <c r="L88" s="372">
        <f>Input!$RC$40</f>
        <v>-22977507</v>
      </c>
      <c r="M88" s="373">
        <f>D88+E88+F88+G88+H88+I88+J88+K88+L88</f>
        <v>-22977507</v>
      </c>
      <c r="N88" s="160"/>
      <c r="O88" s="270"/>
      <c r="P88" s="335"/>
      <c r="Y88" s="268"/>
      <c r="Z88" s="447"/>
      <c r="AA88" s="439"/>
      <c r="AB88" s="449"/>
    </row>
    <row r="89" spans="1:28" s="264" customFormat="1">
      <c r="A89" s="263"/>
      <c r="B89" s="171" t="s">
        <v>216</v>
      </c>
      <c r="C89" s="171"/>
      <c r="D89" s="372">
        <f>Input!$RD$40</f>
        <v>0</v>
      </c>
      <c r="E89" s="372">
        <f>Input!$RE$40</f>
        <v>0</v>
      </c>
      <c r="F89" s="372">
        <f>Input!$RF$40</f>
        <v>0</v>
      </c>
      <c r="G89" s="372">
        <f>Input!$RG$40</f>
        <v>0</v>
      </c>
      <c r="H89" s="372">
        <f>Input!$RH$40</f>
        <v>0</v>
      </c>
      <c r="I89" s="372">
        <f>Input!$RI$40</f>
        <v>0</v>
      </c>
      <c r="J89" s="372">
        <f>Input!$RJ$40</f>
        <v>0</v>
      </c>
      <c r="K89" s="372">
        <f>Input!$RK$40</f>
        <v>0</v>
      </c>
      <c r="L89" s="372">
        <f>Input!$RL$40</f>
        <v>0</v>
      </c>
      <c r="M89" s="373">
        <f t="shared" ref="M89:M91" si="23">D89+E89+F89+G89+H89+I89+J89+K89+L89</f>
        <v>0</v>
      </c>
      <c r="N89" s="160"/>
      <c r="O89" s="1726" t="s">
        <v>1355</v>
      </c>
      <c r="P89" s="1727"/>
      <c r="Q89" s="1727"/>
      <c r="R89" s="1727"/>
      <c r="S89" s="1727"/>
      <c r="T89" s="1727"/>
      <c r="U89" s="1728"/>
      <c r="Y89" s="268"/>
      <c r="Z89" s="447"/>
      <c r="AA89" s="439"/>
      <c r="AB89" s="449"/>
    </row>
    <row r="90" spans="1:28" s="264" customFormat="1">
      <c r="A90" s="263"/>
      <c r="B90" s="171" t="s">
        <v>105</v>
      </c>
      <c r="C90" s="171"/>
      <c r="D90" s="372">
        <f>Input!$RM$40</f>
        <v>0</v>
      </c>
      <c r="E90" s="372">
        <f>Input!$RN$40</f>
        <v>0</v>
      </c>
      <c r="F90" s="372">
        <f>Input!$RO$40</f>
        <v>0</v>
      </c>
      <c r="G90" s="372">
        <f>Input!$RP$40</f>
        <v>0</v>
      </c>
      <c r="H90" s="372">
        <f>Input!$RQ$40</f>
        <v>0</v>
      </c>
      <c r="I90" s="372">
        <f>Input!$RR$40</f>
        <v>0</v>
      </c>
      <c r="J90" s="372">
        <f>Input!$RS$40</f>
        <v>0</v>
      </c>
      <c r="K90" s="372">
        <f>Input!$RT$40</f>
        <v>0</v>
      </c>
      <c r="L90" s="372">
        <f>Input!$RU$40</f>
        <v>0</v>
      </c>
      <c r="M90" s="373">
        <f t="shared" si="23"/>
        <v>0</v>
      </c>
      <c r="N90" s="160"/>
      <c r="O90" s="502" t="s">
        <v>590</v>
      </c>
      <c r="P90" s="423"/>
      <c r="Q90" s="502" t="s">
        <v>591</v>
      </c>
      <c r="R90" s="423"/>
      <c r="S90" s="503"/>
      <c r="T90" s="502" t="s">
        <v>592</v>
      </c>
      <c r="U90" s="423"/>
      <c r="Y90" s="268"/>
      <c r="Z90" s="447"/>
      <c r="AA90" s="439"/>
      <c r="AB90" s="449"/>
    </row>
    <row r="91" spans="1:28" s="264" customFormat="1">
      <c r="A91" s="263"/>
      <c r="B91" s="171" t="s">
        <v>128</v>
      </c>
      <c r="C91" s="171"/>
      <c r="D91" s="372">
        <f>Input!$RV$40</f>
        <v>0</v>
      </c>
      <c r="E91" s="372">
        <f>Input!$RW$40</f>
        <v>0</v>
      </c>
      <c r="F91" s="372">
        <f>Input!$RX$40</f>
        <v>0</v>
      </c>
      <c r="G91" s="372">
        <f>Input!$RY$40</f>
        <v>0</v>
      </c>
      <c r="H91" s="372">
        <f>Input!$RZ$40</f>
        <v>0</v>
      </c>
      <c r="I91" s="372">
        <f>Input!$SA$40</f>
        <v>0</v>
      </c>
      <c r="J91" s="372">
        <f>Input!$SB$40</f>
        <v>0</v>
      </c>
      <c r="K91" s="372">
        <f>Input!$SC$40</f>
        <v>0</v>
      </c>
      <c r="L91" s="372">
        <f>Input!$SD$40</f>
        <v>0</v>
      </c>
      <c r="M91" s="373">
        <f t="shared" si="23"/>
        <v>0</v>
      </c>
      <c r="N91" s="160"/>
      <c r="O91" s="504"/>
      <c r="P91" s="505"/>
      <c r="Q91" s="504"/>
      <c r="R91" s="426"/>
      <c r="S91" s="276"/>
      <c r="T91" s="506"/>
      <c r="U91" s="426"/>
      <c r="Y91" s="268"/>
      <c r="Z91" s="447"/>
      <c r="AA91" s="439"/>
      <c r="AB91" s="449"/>
    </row>
    <row r="92" spans="1:28" s="264" customFormat="1">
      <c r="A92" s="263"/>
      <c r="B92" s="160" t="s">
        <v>67</v>
      </c>
      <c r="C92" s="160"/>
      <c r="D92" s="372">
        <f>Input!$SE$40</f>
        <v>1168981</v>
      </c>
      <c r="E92" s="372">
        <f>Input!$SF$40</f>
        <v>1226135</v>
      </c>
      <c r="F92" s="372">
        <f>Input!$SG$40</f>
        <v>322298</v>
      </c>
      <c r="G92" s="372">
        <f>Input!$SH$40</f>
        <v>2715638</v>
      </c>
      <c r="H92" s="372">
        <f>Input!$SI$40</f>
        <v>0</v>
      </c>
      <c r="I92" s="372">
        <f>Input!$SJ$40</f>
        <v>0</v>
      </c>
      <c r="J92" s="372">
        <f>Input!$SK$40</f>
        <v>13325302</v>
      </c>
      <c r="K92" s="372">
        <f>Input!$SL$40</f>
        <v>0</v>
      </c>
      <c r="L92" s="372">
        <f>Input!$SM$40</f>
        <v>0</v>
      </c>
      <c r="M92" s="373">
        <f>D92+E92+F92+G92+H92+I92+J92+K92+L92</f>
        <v>18758354</v>
      </c>
      <c r="N92" s="160"/>
      <c r="O92" s="1729" t="str">
        <f>Input!UF$40</f>
        <v>Bobbie Phelps</v>
      </c>
      <c r="P92" s="1730"/>
      <c r="Q92" s="1729" t="str">
        <f>Input!$UG$40</f>
        <v>713-313-6890</v>
      </c>
      <c r="R92" s="1730"/>
      <c r="S92" s="276"/>
      <c r="T92" s="1731" t="str">
        <f>HYPERLINK("Mailto:"&amp;Input!$UH$40,Input!$UH$40)</f>
        <v>bobbie.phelps@tsu.edu</v>
      </c>
      <c r="U92" s="1730"/>
      <c r="Y92" s="268"/>
      <c r="Z92" s="447"/>
      <c r="AA92" s="442"/>
      <c r="AB92" s="449"/>
    </row>
    <row r="93" spans="1:28" ht="13.5" thickBot="1">
      <c r="B93" s="179" t="s">
        <v>58</v>
      </c>
      <c r="C93" s="179"/>
      <c r="D93" s="380">
        <f t="shared" ref="D93:K93" si="24">SUM(D85:D92)</f>
        <v>88884150</v>
      </c>
      <c r="E93" s="380">
        <f t="shared" si="24"/>
        <v>-6871410</v>
      </c>
      <c r="F93" s="380">
        <f t="shared" si="24"/>
        <v>-3295122</v>
      </c>
      <c r="G93" s="380">
        <f t="shared" si="24"/>
        <v>25875232</v>
      </c>
      <c r="H93" s="380">
        <f t="shared" si="24"/>
        <v>0</v>
      </c>
      <c r="I93" s="380">
        <f t="shared" si="24"/>
        <v>17904791</v>
      </c>
      <c r="J93" s="380">
        <f t="shared" si="24"/>
        <v>-13723316</v>
      </c>
      <c r="K93" s="380">
        <f t="shared" si="24"/>
        <v>-1455554</v>
      </c>
      <c r="L93" s="380">
        <f>SUM(L85:L92)</f>
        <v>-4035830</v>
      </c>
      <c r="M93" s="380">
        <f>D93+E93+F93+G93+H93+I93+J93+K93+L93</f>
        <v>103282941</v>
      </c>
      <c r="N93" s="160"/>
      <c r="O93" s="506"/>
      <c r="P93" s="507"/>
      <c r="Q93" s="276"/>
      <c r="R93" s="276"/>
      <c r="S93" s="276"/>
      <c r="T93" s="507"/>
      <c r="U93" s="508"/>
      <c r="Y93" s="268"/>
      <c r="Z93" s="447"/>
      <c r="AA93" s="442"/>
      <c r="AB93" s="449"/>
    </row>
    <row r="94" spans="1:28" ht="13.5" thickTop="1">
      <c r="C94" s="160"/>
      <c r="D94" s="165"/>
      <c r="E94" s="165"/>
      <c r="F94" s="165"/>
      <c r="G94" s="165"/>
      <c r="H94" s="165"/>
      <c r="I94" s="165"/>
      <c r="J94" s="165"/>
      <c r="K94" s="165"/>
      <c r="L94" s="165"/>
      <c r="M94" s="180"/>
      <c r="N94" s="160"/>
      <c r="O94" s="1720" t="s">
        <v>593</v>
      </c>
      <c r="P94" s="1721"/>
      <c r="Q94" s="1721"/>
      <c r="R94" s="1721"/>
      <c r="S94" s="1721"/>
      <c r="T94" s="1721"/>
      <c r="U94" s="1722"/>
      <c r="Y94" s="268"/>
      <c r="Z94" s="451"/>
      <c r="AA94" s="442"/>
      <c r="AB94" s="449"/>
    </row>
    <row r="95" spans="1:28">
      <c r="B95" s="171" t="s">
        <v>1369</v>
      </c>
      <c r="C95" s="169"/>
      <c r="D95" s="165"/>
      <c r="E95" s="165"/>
      <c r="F95" s="165"/>
      <c r="G95" s="165"/>
      <c r="H95" s="165"/>
      <c r="I95" s="165"/>
      <c r="J95" s="165"/>
      <c r="K95" s="165"/>
      <c r="L95" s="165"/>
      <c r="M95" s="180"/>
      <c r="N95" s="160"/>
      <c r="O95" s="1720"/>
      <c r="P95" s="1721"/>
      <c r="Q95" s="1721"/>
      <c r="R95" s="1721"/>
      <c r="S95" s="1721"/>
      <c r="T95" s="1721"/>
      <c r="U95" s="1722"/>
      <c r="Y95" s="268"/>
      <c r="Z95" s="452"/>
      <c r="AA95" s="453"/>
      <c r="AB95" s="454"/>
    </row>
    <row r="96" spans="1:28">
      <c r="B96" s="169" t="s">
        <v>80</v>
      </c>
      <c r="C96" s="160"/>
      <c r="D96" s="165"/>
      <c r="E96" s="165"/>
      <c r="F96" s="165"/>
      <c r="G96" s="165"/>
      <c r="H96" s="165"/>
      <c r="I96" s="165"/>
      <c r="J96" s="165"/>
      <c r="K96" s="165"/>
      <c r="L96" s="165"/>
      <c r="M96" s="180"/>
      <c r="N96" s="160"/>
      <c r="O96" s="509"/>
      <c r="P96" s="510"/>
      <c r="Q96" s="511"/>
      <c r="R96" s="511"/>
      <c r="S96" s="511"/>
      <c r="T96" s="510"/>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Input!$SN$40</f>
        <v>103282941</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3" t="str">
        <f>IF($L$118&lt;&gt;Input!$F$40,"Out of Balance","Balanced")</f>
        <v>Balanced</v>
      </c>
      <c r="M102" s="517"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294533244</v>
      </c>
      <c r="E105" s="373">
        <f>SUM($E$10:$E$14)+SUM($E$19:$E$28)+SUM($E$32:$E$41)+$E$47+SUM($E$50:$E$55)+SUM($E$60:$E$70)+SUM($E$74:$E$77)+SUM($E$81:$E$82)+SUM($E$87:$E$92)</f>
        <v>83895894</v>
      </c>
      <c r="F105" s="373">
        <f>SUM($F$10:$F$14)+SUM($F$19:$F$28)+SUM($F$32:$F$41)+$F$47+SUM($F$50:$F$55)+SUM($F$60:$F$70)+SUM($F$74:$F$77)+SUM($F$81:$F$82)+SUM($F$87:$F$92)</f>
        <v>29119936</v>
      </c>
      <c r="G105" s="373">
        <f>SUM($G$10:$G$14)+SUM($G$19:$G$28)+SUM($G$32:$G$41)+$G$47+SUM($G$50:$G$55)+SUM($G$60:$G$70)+SUM($G$74:$G$77)+SUM($G$81:$G$82)+SUM($G$87:$G$92)</f>
        <v>157038434</v>
      </c>
      <c r="H105" s="373">
        <f>SUM($H$10:$H$14)+SUM($H$19:$H$28)+SUM($H$32:$H$41)+$H$47+SUM($H$50:$H$55)+SUM($H$60:$H$70)+SUM($H$74:$H$77)+SUM($H$81:$H$82)+SUM($H$87:$H$92)</f>
        <v>0</v>
      </c>
      <c r="I105" s="373">
        <f>SUM($I$10:$I$14)+SUM($I$19:$I$28)+SUM($I$32:$I$41)+$I$47+SUM($I$50:$I$55)+SUM($I$60:$I$70)+SUM($I$74:$I$77)+SUM($I$81:$I$82)+SUM($I$87:$I$92)</f>
        <v>18956397</v>
      </c>
      <c r="J105" s="373">
        <f>SUM($J$10:$J$14)+SUM($J$19:$J$28)+SUM($J$32:$J$41)+$J$47+SUM($J$50:$J$55)+SUM($J$60:$J$70)+SUM($J$74:$J$77)+SUM($J$81:$J$82)+SUM($J$87:$J$92)</f>
        <v>16304132</v>
      </c>
      <c r="K105" s="373">
        <f>SUM($K$10:$K$14)+SUM($K$19:$K$28)+SUM($K$32:$K$41)+$K$47+SUM($K$50:$K$55)+SUM($K$60:$K$70)+SUM($K$74:$K$77)+SUM($K$81:$K$82)+SUM($K$87:$K$92)</f>
        <v>-1455554</v>
      </c>
      <c r="L105" s="373">
        <f>SUM($L$10:$L$14)+SUM($L$19:$L$28)+SUM($L$32:$L$41)+$L$47+SUM($L$50:$L$55)+SUM($L$60:$L$70)+SUM($L$74:$L$77)+SUM($L$81:$L$82)+SUM($L$87:$L$92)</f>
        <v>-41596686</v>
      </c>
      <c r="M105" s="373"/>
      <c r="N105" s="264"/>
      <c r="O105" s="373"/>
      <c r="P105" s="450">
        <f>M18-INT(M18)</f>
        <v>0</v>
      </c>
    </row>
    <row r="106" spans="2:28">
      <c r="B106" s="261"/>
      <c r="C106" s="261"/>
      <c r="D106" s="261"/>
      <c r="E106" s="261"/>
      <c r="F106" s="261"/>
      <c r="G106" s="261"/>
      <c r="H106" s="261"/>
      <c r="I106" s="261"/>
      <c r="J106" s="261"/>
      <c r="K106" s="261"/>
      <c r="L106" s="373">
        <f>SUM($D$105:$L$105)</f>
        <v>556795797</v>
      </c>
      <c r="M106" s="261"/>
      <c r="N106" s="264"/>
      <c r="O106" s="373"/>
      <c r="P106" s="450">
        <f>M31-INT(M31)</f>
        <v>0</v>
      </c>
    </row>
    <row r="107" spans="2:28">
      <c r="B107" s="261"/>
      <c r="C107" s="261"/>
      <c r="D107" s="261"/>
      <c r="E107" s="261"/>
      <c r="F107" s="261"/>
      <c r="G107" s="261"/>
      <c r="H107" s="261"/>
      <c r="I107" s="261"/>
      <c r="J107" s="261" t="s">
        <v>1299</v>
      </c>
      <c r="K107" s="261"/>
      <c r="L107" s="373">
        <f>$M$100</f>
        <v>103282941</v>
      </c>
      <c r="M107" s="261"/>
      <c r="N107" s="264"/>
      <c r="O107" s="373"/>
      <c r="P107" s="450">
        <f>M93-INT(M93)</f>
        <v>0</v>
      </c>
    </row>
    <row r="108" spans="2:28">
      <c r="B108" s="261"/>
      <c r="C108" s="261"/>
      <c r="D108" s="261"/>
      <c r="E108" s="261"/>
      <c r="F108" s="261"/>
      <c r="G108" s="261"/>
      <c r="H108" s="261"/>
      <c r="I108" s="261"/>
      <c r="J108" s="261" t="s">
        <v>1300</v>
      </c>
      <c r="K108" s="261"/>
      <c r="L108" s="512">
        <f>$Q$32</f>
        <v>78232311</v>
      </c>
      <c r="M108" s="261"/>
      <c r="N108" s="264"/>
      <c r="O108" s="373"/>
    </row>
    <row r="109" spans="2:28">
      <c r="B109" s="261"/>
      <c r="C109" s="261"/>
      <c r="D109" s="261"/>
      <c r="E109" s="261"/>
      <c r="F109" s="261"/>
      <c r="G109" s="261"/>
      <c r="H109" s="261"/>
      <c r="I109" s="261"/>
      <c r="J109" s="261" t="s">
        <v>1300</v>
      </c>
      <c r="K109" s="261"/>
      <c r="L109" s="512">
        <f>$R$34</f>
        <v>-24582417</v>
      </c>
      <c r="M109" s="261"/>
      <c r="N109" s="264"/>
      <c r="O109" s="373"/>
    </row>
    <row r="110" spans="2:28">
      <c r="B110" s="261"/>
      <c r="C110" s="261"/>
      <c r="D110" s="261"/>
      <c r="E110" s="261"/>
      <c r="F110" s="261"/>
      <c r="G110" s="261"/>
      <c r="H110" s="261"/>
      <c r="I110" s="261"/>
      <c r="J110" s="261" t="s">
        <v>29</v>
      </c>
      <c r="K110" s="261"/>
      <c r="L110" s="512">
        <f>SUM($P$60:$P$68)</f>
        <v>5433052</v>
      </c>
      <c r="M110" s="261"/>
      <c r="N110" s="264"/>
      <c r="O110" s="373"/>
    </row>
    <row r="111" spans="2:28">
      <c r="B111" s="261"/>
      <c r="C111" s="261"/>
      <c r="D111" s="261"/>
      <c r="E111" s="261"/>
      <c r="F111" s="261"/>
      <c r="G111" s="261"/>
      <c r="H111" s="261"/>
      <c r="I111" s="261"/>
      <c r="J111" s="261" t="s">
        <v>594</v>
      </c>
      <c r="K111" s="261"/>
      <c r="L111" s="373">
        <f>$Q$64</f>
        <v>6000</v>
      </c>
      <c r="M111" s="261"/>
      <c r="N111" s="264"/>
      <c r="O111" s="373"/>
    </row>
    <row r="112" spans="2:28">
      <c r="B112" s="261"/>
      <c r="C112" s="261"/>
      <c r="D112" s="261"/>
      <c r="E112" s="261"/>
      <c r="F112" s="261"/>
      <c r="G112" s="261"/>
      <c r="H112" s="261"/>
      <c r="I112" s="261"/>
      <c r="J112" s="261" t="s">
        <v>595</v>
      </c>
      <c r="K112" s="261"/>
      <c r="L112" s="512">
        <f>SUM($V$60:$V$67)</f>
        <v>408898</v>
      </c>
      <c r="M112" s="261"/>
      <c r="N112" s="264"/>
      <c r="O112" s="373"/>
    </row>
    <row r="113" spans="2:15">
      <c r="B113" s="261"/>
      <c r="C113" s="261"/>
      <c r="D113" s="261"/>
      <c r="E113" s="261"/>
      <c r="F113" s="261"/>
      <c r="G113" s="261"/>
      <c r="H113" s="261"/>
      <c r="I113" s="261"/>
      <c r="J113" s="261" t="s">
        <v>596</v>
      </c>
      <c r="K113" s="261"/>
      <c r="L113" s="512">
        <f>SUM($W$60:$W$67)</f>
        <v>0</v>
      </c>
      <c r="M113" s="261"/>
      <c r="N113" s="264"/>
      <c r="O113" s="373"/>
    </row>
    <row r="114" spans="2:15">
      <c r="B114" s="261"/>
      <c r="C114" s="261"/>
      <c r="D114" s="261"/>
      <c r="E114" s="261"/>
      <c r="F114" s="261"/>
      <c r="G114" s="261"/>
      <c r="H114" s="261"/>
      <c r="I114" s="261"/>
      <c r="J114" s="261" t="s">
        <v>258</v>
      </c>
      <c r="K114" s="261"/>
      <c r="L114" s="512">
        <f>SUM($AA$60:$AA$68)</f>
        <v>223233625</v>
      </c>
      <c r="M114" s="261"/>
      <c r="N114" s="264"/>
      <c r="O114" s="373"/>
    </row>
    <row r="115" spans="2:15">
      <c r="B115" s="261"/>
      <c r="C115" s="261"/>
      <c r="D115" s="261"/>
      <c r="E115" s="261"/>
      <c r="F115" s="261"/>
      <c r="G115" s="261"/>
      <c r="H115" s="261"/>
      <c r="I115" s="261"/>
      <c r="J115" s="261" t="s">
        <v>597</v>
      </c>
      <c r="K115" s="261"/>
      <c r="L115" s="512">
        <f>$R$77</f>
        <v>69058121</v>
      </c>
      <c r="M115" s="261"/>
      <c r="N115" s="264"/>
      <c r="O115" s="373"/>
    </row>
    <row r="116" spans="2:15">
      <c r="B116" s="261"/>
      <c r="C116" s="261"/>
      <c r="D116" s="261"/>
      <c r="E116" s="261"/>
      <c r="F116" s="261"/>
      <c r="G116" s="261"/>
      <c r="H116" s="261"/>
      <c r="I116" s="261"/>
      <c r="J116" s="261" t="s">
        <v>597</v>
      </c>
      <c r="K116" s="261"/>
      <c r="L116" s="512">
        <f>$R$80</f>
        <v>27165411</v>
      </c>
      <c r="M116" s="261"/>
      <c r="N116" s="264"/>
      <c r="O116" s="373"/>
    </row>
    <row r="117" spans="2:15">
      <c r="B117" s="261"/>
      <c r="C117" s="261"/>
      <c r="D117" s="261"/>
      <c r="E117" s="261"/>
      <c r="F117" s="261"/>
      <c r="G117" s="261"/>
      <c r="H117" s="261"/>
      <c r="I117" s="261"/>
      <c r="J117" s="261" t="s">
        <v>1231</v>
      </c>
      <c r="K117" s="261"/>
      <c r="L117" s="512">
        <f>VLOOKUP(B2,Names!B5:$C$87,2,FALSE)</f>
        <v>3642</v>
      </c>
      <c r="M117" s="261"/>
      <c r="N117" s="264"/>
      <c r="O117" s="373"/>
    </row>
    <row r="118" spans="2:15">
      <c r="B118" s="261"/>
      <c r="C118" s="261"/>
      <c r="D118" s="261"/>
      <c r="E118" s="261"/>
      <c r="F118" s="261"/>
      <c r="G118" s="261"/>
      <c r="H118" s="261"/>
      <c r="I118" s="261"/>
      <c r="J118" s="261"/>
      <c r="K118" s="261"/>
      <c r="L118" s="373">
        <f>SUM(L106:L117)</f>
        <v>1039037381</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V56:V59"/>
    <mergeCell ref="W56:W59"/>
    <mergeCell ref="G59:K59"/>
    <mergeCell ref="AA56:AA59"/>
    <mergeCell ref="Z55:AB55"/>
    <mergeCell ref="R56:R59"/>
    <mergeCell ref="O55:R55"/>
    <mergeCell ref="T55:X55"/>
    <mergeCell ref="X56:X59"/>
    <mergeCell ref="AB56:AB59"/>
    <mergeCell ref="Z56:Z59"/>
    <mergeCell ref="B2:F2"/>
    <mergeCell ref="B3:F3"/>
    <mergeCell ref="B4:F4"/>
    <mergeCell ref="B6:M6"/>
    <mergeCell ref="P4:Q4"/>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s>
  <conditionalFormatting sqref="U87:X88 O88:Q88">
    <cfRule type="cellIs" dxfId="205" priority="100" stopIfTrue="1" operator="notEqual">
      <formula>#REF!</formula>
    </cfRule>
  </conditionalFormatting>
  <conditionalFormatting sqref="P70">
    <cfRule type="expression" dxfId="204" priority="79">
      <formula>$P$69&lt;&gt;$M$69</formula>
    </cfRule>
  </conditionalFormatting>
  <conditionalFormatting sqref="AB72">
    <cfRule type="expression" dxfId="203" priority="78">
      <formula>$AB$71&lt;&gt;0</formula>
    </cfRule>
  </conditionalFormatting>
  <conditionalFormatting sqref="P71">
    <cfRule type="expression" dxfId="202" priority="77">
      <formula>P69-INT(P69)</formula>
    </cfRule>
  </conditionalFormatting>
  <conditionalFormatting sqref="V70">
    <cfRule type="expression" dxfId="201" priority="75">
      <formula>X68-INT(X68)</formula>
    </cfRule>
  </conditionalFormatting>
  <conditionalFormatting sqref="O11">
    <cfRule type="expression" dxfId="200" priority="68">
      <formula>#REF!&lt;&gt;$M$11</formula>
    </cfRule>
  </conditionalFormatting>
  <conditionalFormatting sqref="U87:U88 O88:Q88">
    <cfRule type="cellIs" dxfId="199" priority="59" stopIfTrue="1" operator="notEqual">
      <formula>#REF!</formula>
    </cfRule>
  </conditionalFormatting>
  <conditionalFormatting sqref="R84">
    <cfRule type="expression" priority="57" stopIfTrue="1">
      <formula>$M$85&lt;0</formula>
    </cfRule>
    <cfRule type="expression" dxfId="198" priority="58">
      <formula>$S$85&lt;&gt;0</formula>
    </cfRule>
  </conditionalFormatting>
  <conditionalFormatting sqref="R77 R80">
    <cfRule type="expression" dxfId="197" priority="55" stopIfTrue="1">
      <formula>$M$85&gt;=0</formula>
    </cfRule>
    <cfRule type="expression" priority="56">
      <formula>$M$85&lt;0</formula>
    </cfRule>
  </conditionalFormatting>
  <conditionalFormatting sqref="O12">
    <cfRule type="expression" dxfId="196" priority="38">
      <formula>$P$12&lt;&gt;$M$12</formula>
    </cfRule>
  </conditionalFormatting>
  <conditionalFormatting sqref="O13">
    <cfRule type="expression" dxfId="195" priority="37">
      <formula>$P$13&lt;&gt;$M$13</formula>
    </cfRule>
  </conditionalFormatting>
  <conditionalFormatting sqref="Q36">
    <cfRule type="expression" dxfId="194" priority="27">
      <formula>#REF!&lt;&gt;#REF!</formula>
    </cfRule>
  </conditionalFormatting>
  <conditionalFormatting sqref="R35">
    <cfRule type="expression" dxfId="193" priority="26">
      <formula>#REF!&lt;&gt;0</formula>
    </cfRule>
  </conditionalFormatting>
  <conditionalFormatting sqref="Q35">
    <cfRule type="expression" dxfId="192" priority="25">
      <formula>#REF!&lt;&gt;0</formula>
    </cfRule>
  </conditionalFormatting>
  <conditionalFormatting sqref="R36">
    <cfRule type="expression" dxfId="191" priority="24">
      <formula>#REF!&lt;&gt;#REF!</formula>
    </cfRule>
  </conditionalFormatting>
  <conditionalFormatting sqref="D93:M98 T94:T95 R90:S95 U87:X93 T90:T92 Y90:Y95 O88:O92 P88:Q93">
    <cfRule type="cellIs" dxfId="190" priority="23" stopIfTrue="1" operator="notEqual">
      <formula>#REF!</formula>
    </cfRule>
  </conditionalFormatting>
  <conditionalFormatting sqref="P70">
    <cfRule type="expression" dxfId="189" priority="22">
      <formula>$P$69&lt;&gt;$M$69</formula>
    </cfRule>
  </conditionalFormatting>
  <conditionalFormatting sqref="AB72">
    <cfRule type="expression" dxfId="188" priority="21">
      <formula>$AB$71&lt;&gt;0</formula>
    </cfRule>
  </conditionalFormatting>
  <conditionalFormatting sqref="P71">
    <cfRule type="expression" dxfId="187" priority="20">
      <formula>P69-INT(P69)</formula>
    </cfRule>
  </conditionalFormatting>
  <conditionalFormatting sqref="V70">
    <cfRule type="expression" dxfId="186" priority="19">
      <formula>X68-INT(X68)</formula>
    </cfRule>
  </conditionalFormatting>
  <conditionalFormatting sqref="O12">
    <cfRule type="expression" dxfId="185" priority="18">
      <formula>$P$12&lt;&gt;$M$12</formula>
    </cfRule>
  </conditionalFormatting>
  <conditionalFormatting sqref="T94:T95 R90:S95 U87:U93 T90:T92 O88:O92 P88:Q93">
    <cfRule type="cellIs" dxfId="184" priority="16" stopIfTrue="1" operator="notEqual">
      <formula>#REF!</formula>
    </cfRule>
  </conditionalFormatting>
  <conditionalFormatting sqref="R84">
    <cfRule type="expression" priority="14" stopIfTrue="1">
      <formula>$M$85&lt;0</formula>
    </cfRule>
    <cfRule type="expression" dxfId="183" priority="15">
      <formula>$S$85&lt;&gt;0</formula>
    </cfRule>
  </conditionalFormatting>
  <conditionalFormatting sqref="R80 R77">
    <cfRule type="expression" dxfId="182" priority="12" stopIfTrue="1">
      <formula>$M$85&gt;=0</formula>
    </cfRule>
    <cfRule type="expression" priority="13">
      <formula>$M$85&lt;0</formula>
    </cfRule>
  </conditionalFormatting>
  <conditionalFormatting sqref="U87:U88 R89:U92 O88:Q92">
    <cfRule type="cellIs" dxfId="181" priority="11" stopIfTrue="1" operator="notEqual">
      <formula>#REF!</formula>
    </cfRule>
  </conditionalFormatting>
  <conditionalFormatting sqref="M101">
    <cfRule type="expression" dxfId="180" priority="10">
      <formula>$M$101&lt;&gt;0</formula>
    </cfRule>
  </conditionalFormatting>
  <conditionalFormatting sqref="M102">
    <cfRule type="expression" dxfId="179" priority="9">
      <formula>$M$93&lt;&gt;$M$100</formula>
    </cfRule>
  </conditionalFormatting>
  <conditionalFormatting sqref="U87:U92 R90:T92 O88:Q92">
    <cfRule type="cellIs" dxfId="178" priority="8" stopIfTrue="1" operator="notEqual">
      <formula>#REF!</formula>
    </cfRule>
  </conditionalFormatting>
  <conditionalFormatting sqref="T89:U89 Q91 T90 O89:O90 P89:Q89 R89:S91">
    <cfRule type="cellIs" dxfId="177" priority="7" stopIfTrue="1" operator="notEqual">
      <formula>#REF!</formula>
    </cfRule>
  </conditionalFormatting>
  <conditionalFormatting sqref="Q36">
    <cfRule type="expression" dxfId="176" priority="6">
      <formula>#REF!&lt;&gt;#REF!</formula>
    </cfRule>
  </conditionalFormatting>
  <conditionalFormatting sqref="R35">
    <cfRule type="expression" dxfId="175" priority="5">
      <formula>#REF!&lt;&gt;0</formula>
    </cfRule>
  </conditionalFormatting>
  <conditionalFormatting sqref="Q35">
    <cfRule type="expression" dxfId="174" priority="4">
      <formula>#REF!&lt;&gt;0</formula>
    </cfRule>
  </conditionalFormatting>
  <conditionalFormatting sqref="R36">
    <cfRule type="expression" dxfId="173" priority="3">
      <formula>#REF!&lt;&gt;#REF!</formula>
    </cfRule>
  </conditionalFormatting>
  <conditionalFormatting sqref="G59:K59">
    <cfRule type="expression" dxfId="172" priority="1">
      <formula>OR($P$105&gt;0,$P$106&lt;&gt;0,$P$107&lt;&gt;0)</formula>
    </cfRule>
  </conditionalFormatting>
  <hyperlinks>
    <hyperlink ref="O2" location="Index!A1" display="Return to Index" xr:uid="{00000000-0004-0000-A300-000000000000}"/>
  </hyperlinks>
  <printOptions horizontalCentered="1"/>
  <pageMargins left="0.5" right="0.5" top="0.25" bottom="0.25" header="0" footer="0.25"/>
  <pageSetup scale="46" orientation="landscape" r:id="rId1"/>
  <headerFooter alignWithMargins="0"/>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sheetPr codeName="Sheet138"/>
  <dimension ref="A1:G30"/>
  <sheetViews>
    <sheetView showGridLines="0" zoomScale="80" zoomScaleNormal="80" workbookViewId="0">
      <selection activeCell="E74" sqref="E74:F74"/>
    </sheetView>
  </sheetViews>
  <sheetFormatPr defaultColWidth="9.140625" defaultRowHeight="12.75"/>
  <cols>
    <col min="1" max="1" width="7" style="53" customWidth="1"/>
    <col min="2" max="2" width="93.140625" style="53" customWidth="1"/>
    <col min="3" max="3" width="21.140625" style="53" customWidth="1"/>
    <col min="4" max="9" width="9.140625" style="53"/>
    <col min="10" max="10" width="15" style="53" customWidth="1"/>
    <col min="11" max="16384" width="9.140625" style="53"/>
  </cols>
  <sheetData>
    <row r="1" spans="2:6" ht="18.75" thickBot="1">
      <c r="B1" s="466" t="str">
        <f>'TSU Chrts'!$A$1</f>
        <v>Texas Southern University</v>
      </c>
      <c r="C1" s="835" t="s">
        <v>1200</v>
      </c>
    </row>
    <row r="2" spans="2:6">
      <c r="B2" s="393" t="str">
        <f>'Smmy Chrts'!$A$2</f>
        <v>For the Year Ended August 31, 2021</v>
      </c>
    </row>
    <row r="3" spans="2:6">
      <c r="B3" s="393" t="str">
        <f>'Smmy Chrts'!$A$3</f>
        <v>Source: FY 2021 Annual Financial Report</v>
      </c>
    </row>
    <row r="5" spans="2:6" customFormat="1">
      <c r="B5" s="529" t="s">
        <v>705</v>
      </c>
    </row>
    <row r="6" spans="2:6" customFormat="1">
      <c r="B6" s="530"/>
    </row>
    <row r="7" spans="2:6" customFormat="1" ht="226.5" customHeight="1">
      <c r="B7" s="531" t="s">
        <v>706</v>
      </c>
      <c r="C7" s="532"/>
    </row>
    <row r="8" spans="2:6" customFormat="1" ht="263.25" customHeight="1">
      <c r="B8" s="531" t="s">
        <v>707</v>
      </c>
    </row>
    <row r="9" spans="2:6" ht="64.5" customHeight="1">
      <c r="B9" s="533" t="str">
        <f>IF('TSU FGD'!$R$76="N/A","FN11.  N/A",$B$20&amp;$B$21&amp;$B$22&amp;$B$23&amp;$B$24&amp;$B$25&amp;$B$26&amp;$B$27&amp;$B$28&amp;$B$29&amp;$B$30)</f>
        <v>FN11: Of the net increase of $96,223,532 approximately $69.1 million represents revenues received but not yet expended. This income is fully committed to program expenditures and capital disbursements. The remaining $27.2 million represents non-expendable funds from unrealized gains and additions to permanent endowments of approximately $27.2 million and $0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TEXT(IF('TSU FGD'!$M$85&lt;0,"N/A",'TSU FGD'!$M$85),"$* #,##0;$* (#,##0)")</f>
        <v>$96,223,532</v>
      </c>
      <c r="C21" s="480"/>
      <c r="D21" s="480"/>
      <c r="E21" s="480"/>
      <c r="G21" s="105"/>
    </row>
    <row r="22" spans="1:7">
      <c r="B22" s="105" t="s">
        <v>682</v>
      </c>
    </row>
    <row r="23" spans="1:7">
      <c r="A23" s="53">
        <v>61</v>
      </c>
      <c r="B23" s="515" t="str">
        <f>IF(ABS('TSU FGD'!$R$77)&gt;=1000000,TEXT('TSU FGD'!$R$77/1000000,"$* #,##0.0;$* (#,##0.0)")&amp;" million",IF(ABS('TSU FGD'!$R$77)&lt;1000,TEXT('TSU FGD'!$R$77,"$* #,##0;$* (#,##0)"),TEXT('TSU FGD'!$R$77/1000,"$* #,##0;$* (#,##0)")&amp;" thousand"))</f>
        <v>$69.1 million</v>
      </c>
      <c r="C23" s="515"/>
      <c r="E23" s="515"/>
    </row>
    <row r="24" spans="1:7">
      <c r="B24" s="105" t="s">
        <v>708</v>
      </c>
    </row>
    <row r="25" spans="1:7">
      <c r="A25" s="53">
        <v>62</v>
      </c>
      <c r="B25" s="515" t="str">
        <f>IF(ABS('TSU FGD'!$R$78)&gt;=1000000,TEXT('TSU FGD'!$R$78/1000000,"$* #,##0.0;$* (#,##0.0)")&amp;" million",IF(ABS('TSU FGD'!$R$78)&lt;1000,TEXT('TSU FGD'!$R$78,"$* #,##0;$* (#,##0)"),TEXT('TSU FGD'!$R$78/1000,"$* #,##0;$* (#,##0)")&amp;" thousand"))</f>
        <v>$27.2 million</v>
      </c>
      <c r="C25" s="515"/>
      <c r="E25" s="515"/>
    </row>
    <row r="26" spans="1:7">
      <c r="B26" s="105" t="s">
        <v>683</v>
      </c>
    </row>
    <row r="27" spans="1:7">
      <c r="A27" s="53">
        <v>64</v>
      </c>
      <c r="B27" s="515" t="str">
        <f>IF(ABS('TSU FGD'!$R$80)&gt;=1000000,TEXT('TSU FGD'!$R$80/1000000,"$* #,##0.0;$* (#,##0.0)")&amp;" million",IF(ABS('TSU FGD'!$R$80)&lt;1000,TEXT('TSU FGD'!$R$80,"$* #,##0;$* (#,##0)"),TEXT('TSU FGD'!$R$80/1000,"$* #,##0;$* (#,##0)")&amp;" thousand"))</f>
        <v>$27.2 million</v>
      </c>
      <c r="C27" s="515"/>
      <c r="E27" s="515"/>
    </row>
    <row r="28" spans="1:7">
      <c r="B28" s="105" t="s">
        <v>684</v>
      </c>
    </row>
    <row r="29" spans="1:7">
      <c r="A29" s="53">
        <v>66</v>
      </c>
      <c r="B29" s="515" t="str">
        <f>IF(ABS('TSU FGD'!$R$82)&gt;=1000000,TEXT('TSU FGD'!$R$82/1000000,"$* #,##0.0;$* (#,##0.0)")&amp;" million",IF(ABS('TSU FGD'!$R$82)&lt;1000,TEXT('TSU FGD'!$R$82,"$* #,##0;$* (#,##0)"),TEXT('TSU FGD'!$R$82/1000,"$* #,##0;$* (#,##0)")&amp;" thousand"))</f>
        <v>$0</v>
      </c>
      <c r="C29" s="515"/>
      <c r="E29" s="515"/>
    </row>
    <row r="30" spans="1:7">
      <c r="B30" s="105" t="s">
        <v>709</v>
      </c>
    </row>
  </sheetData>
  <hyperlinks>
    <hyperlink ref="C1" location="Index!A1" display="Return to Index" xr:uid="{00000000-0004-0000-A400-000000000000}"/>
  </hyperlinks>
  <pageMargins left="0.25" right="0.25" top="0.25" bottom="0.25" header="0" footer="0.25"/>
  <pageSetup orientation="portrait" r:id="rId1"/>
  <headerFooter alignWithMargins="0"/>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sheetPr codeName="Sheet139">
    <tabColor indexed="47"/>
    <pageSetUpPr fitToPage="1"/>
  </sheetPr>
  <dimension ref="A1:E165"/>
  <sheetViews>
    <sheetView showGridLines="0" zoomScale="65" zoomScaleNormal="65" zoomScaleSheetLayoutView="65" workbookViewId="0">
      <selection activeCell="C34" sqref="C34"/>
    </sheetView>
  </sheetViews>
  <sheetFormatPr defaultColWidth="9.140625" defaultRowHeight="12.75" customHeight="1"/>
  <cols>
    <col min="1" max="1" width="158.7109375" style="53" customWidth="1"/>
    <col min="2" max="2" width="23.42578125" style="53" customWidth="1"/>
    <col min="3" max="3" width="49.7109375" style="53" customWidth="1"/>
    <col min="4" max="4" width="20.7109375" style="53" customWidth="1"/>
    <col min="5" max="5" width="9.140625" style="679"/>
    <col min="6" max="16384" width="9.140625" style="53"/>
  </cols>
  <sheetData>
    <row r="1" spans="1:5" ht="28.5" thickBot="1">
      <c r="A1" s="159" t="s">
        <v>127</v>
      </c>
      <c r="B1" s="835" t="s">
        <v>1200</v>
      </c>
      <c r="C1" s="53" t="s">
        <v>1329</v>
      </c>
    </row>
    <row r="2" spans="1:5" ht="27.75">
      <c r="A2" s="54" t="str">
        <f>'Smmy Chrts'!$A$2</f>
        <v>For the Year Ended August 31, 2021</v>
      </c>
      <c r="C2" s="55" t="s">
        <v>63</v>
      </c>
    </row>
    <row r="3" spans="1:5" ht="27.75">
      <c r="A3" s="54" t="str">
        <f>'Smmy Chrts'!$A$3</f>
        <v>Source: FY 2021 Annual Financial Report</v>
      </c>
      <c r="C3" s="53" t="s">
        <v>64</v>
      </c>
    </row>
    <row r="4" spans="1:5" ht="12.75" customHeight="1">
      <c r="C4" s="53" t="s">
        <v>267</v>
      </c>
    </row>
    <row r="5" spans="1:5" ht="12.75" customHeight="1">
      <c r="C5" s="53" t="s">
        <v>268</v>
      </c>
    </row>
    <row r="7" spans="1:5" ht="12.75" customHeight="1">
      <c r="C7" s="1687" t="s">
        <v>25</v>
      </c>
      <c r="D7" s="1687"/>
    </row>
    <row r="8" spans="1:5" ht="12.75" customHeight="1">
      <c r="C8" s="57"/>
      <c r="D8" s="58"/>
    </row>
    <row r="9" spans="1:5" ht="12.75" customHeight="1">
      <c r="C9" s="59" t="str">
        <f>'TWU Sum'!A9</f>
        <v>State of Texas</v>
      </c>
      <c r="D9" s="60">
        <f>'TWU Sum'!B15</f>
        <v>95844294</v>
      </c>
      <c r="E9" s="680">
        <f>ROUND(D9/$D$14,3)</f>
        <v>0.36299999999999999</v>
      </c>
    </row>
    <row r="10" spans="1:5" ht="12.75" customHeight="1">
      <c r="C10" s="59" t="str">
        <f>'TWU Sum'!A17</f>
        <v>Student &amp; Parent</v>
      </c>
      <c r="D10" s="60">
        <f>'TWU Sum'!B20</f>
        <v>89161334</v>
      </c>
      <c r="E10" s="680">
        <f t="shared" ref="E10:E12" si="0">ROUND(D10/$D$14,3)</f>
        <v>0.33800000000000002</v>
      </c>
    </row>
    <row r="11" spans="1:5" ht="12.75" customHeight="1">
      <c r="C11" s="59" t="str">
        <f>'TWU Sum'!A22</f>
        <v>Federal Government</v>
      </c>
      <c r="D11" s="60">
        <f>'TWU Sum'!B23</f>
        <v>42101935</v>
      </c>
      <c r="E11" s="680">
        <f t="shared" si="0"/>
        <v>0.16</v>
      </c>
    </row>
    <row r="12" spans="1:5" ht="12.75" customHeight="1">
      <c r="C12" s="59" t="str">
        <f>'TWU Sum'!A25</f>
        <v>Institutional Resources</v>
      </c>
      <c r="D12" s="60">
        <f>'TWU Sum'!B32</f>
        <v>36669845</v>
      </c>
      <c r="E12" s="680">
        <f t="shared" si="0"/>
        <v>0.13900000000000001</v>
      </c>
    </row>
    <row r="13" spans="1:5" ht="12.75" customHeight="1">
      <c r="C13" s="57"/>
      <c r="D13" s="58"/>
      <c r="E13" s="680"/>
    </row>
    <row r="14" spans="1:5" ht="12.75" customHeight="1">
      <c r="C14" s="61" t="s">
        <v>68</v>
      </c>
      <c r="D14" s="62">
        <f>SUM(D9:D13)</f>
        <v>263777408</v>
      </c>
      <c r="E14" s="680">
        <f>SUM(E9:E13)</f>
        <v>1</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86" t="str">
        <f>C14&amp;" "&amp;TEXT(D14,"$#,###")</f>
        <v>Total Operating Sources $263,777,408</v>
      </c>
    </row>
    <row r="48" spans="1:1" ht="12.75" customHeight="1">
      <c r="A48" s="1686"/>
    </row>
    <row r="49" spans="1:5" ht="12.75" customHeight="1">
      <c r="A49" s="56"/>
    </row>
    <row r="52" spans="1:5" ht="12.75" customHeight="1">
      <c r="C52" s="63" t="s">
        <v>25</v>
      </c>
      <c r="D52" s="58"/>
    </row>
    <row r="54" spans="1:5" ht="12.75" customHeight="1">
      <c r="C54" s="59" t="s">
        <v>1</v>
      </c>
      <c r="D54" s="60">
        <f>'TWU Sum'!B10</f>
        <v>75097158</v>
      </c>
      <c r="E54" s="680">
        <f>ROUND(D54/$D$67,3)</f>
        <v>0.28499999999999998</v>
      </c>
    </row>
    <row r="55" spans="1:5" ht="12.75" customHeight="1">
      <c r="C55" s="59" t="s">
        <v>221</v>
      </c>
      <c r="D55" s="60">
        <f>'TWU Sum'!B11</f>
        <v>6193003</v>
      </c>
      <c r="E55" s="680">
        <f t="shared" ref="E55:E66" si="1">ROUND(D55/$D$67,3)</f>
        <v>2.3E-2</v>
      </c>
    </row>
    <row r="56" spans="1:5" ht="12.75" customHeight="1">
      <c r="C56" s="59"/>
      <c r="D56" s="60"/>
      <c r="E56" s="680"/>
    </row>
    <row r="57" spans="1:5" ht="12.75" customHeight="1">
      <c r="C57" s="59" t="str">
        <f>'TWU Sum'!A13</f>
        <v>Higher Education Fund</v>
      </c>
      <c r="D57" s="60">
        <f>'TWU Sum'!B13</f>
        <v>14554133</v>
      </c>
      <c r="E57" s="680">
        <f t="shared" si="1"/>
        <v>5.5E-2</v>
      </c>
    </row>
    <row r="58" spans="1:5" ht="12.75" customHeight="1">
      <c r="C58" s="1069" t="s">
        <v>41</v>
      </c>
      <c r="D58" s="60">
        <f>'TWU Sum'!B14</f>
        <v>0</v>
      </c>
      <c r="E58" s="680">
        <f t="shared" si="1"/>
        <v>0</v>
      </c>
    </row>
    <row r="59" spans="1:5" ht="12.75" customHeight="1">
      <c r="C59" s="59" t="s">
        <v>87</v>
      </c>
      <c r="D59" s="60">
        <f>'TWU Sum'!B20</f>
        <v>89161334</v>
      </c>
      <c r="E59" s="680">
        <f t="shared" si="1"/>
        <v>0.33800000000000002</v>
      </c>
    </row>
    <row r="60" spans="1:5" ht="12.75" customHeight="1">
      <c r="C60" s="64" t="s">
        <v>74</v>
      </c>
      <c r="D60" s="60">
        <f>'TWU Sum'!B23</f>
        <v>42101935</v>
      </c>
      <c r="E60" s="680">
        <f t="shared" si="1"/>
        <v>0.16</v>
      </c>
    </row>
    <row r="61" spans="1:5" ht="12.75" customHeight="1">
      <c r="C61" s="59" t="s">
        <v>75</v>
      </c>
      <c r="D61" s="60">
        <f>'TWU Sum'!B26</f>
        <v>10381145</v>
      </c>
      <c r="E61" s="680">
        <f t="shared" si="1"/>
        <v>3.9E-2</v>
      </c>
    </row>
    <row r="62" spans="1:5" ht="12.75" customHeight="1">
      <c r="C62" s="59" t="s">
        <v>27</v>
      </c>
      <c r="D62" s="60">
        <f>'TWU Sum'!B27</f>
        <v>1195291</v>
      </c>
      <c r="E62" s="680">
        <f t="shared" si="1"/>
        <v>5.0000000000000001E-3</v>
      </c>
    </row>
    <row r="63" spans="1:5" ht="12.75" customHeight="1">
      <c r="C63" s="59" t="s">
        <v>76</v>
      </c>
      <c r="D63" s="60">
        <f>'TWU Sum'!B28</f>
        <v>3338377</v>
      </c>
      <c r="E63" s="680">
        <f t="shared" si="1"/>
        <v>1.2999999999999999E-2</v>
      </c>
    </row>
    <row r="64" spans="1:5" ht="12.75" customHeight="1">
      <c r="C64" s="1069" t="s">
        <v>77</v>
      </c>
      <c r="D64" s="60">
        <f>'TWU Sum'!B29</f>
        <v>-41095</v>
      </c>
      <c r="E64" s="680">
        <f t="shared" si="1"/>
        <v>0</v>
      </c>
    </row>
    <row r="65" spans="1:5" ht="12.75" customHeight="1">
      <c r="C65" s="59" t="s">
        <v>220</v>
      </c>
      <c r="D65" s="60">
        <f>'TWU Sum'!B30</f>
        <v>17712952</v>
      </c>
      <c r="E65" s="680">
        <f t="shared" si="1"/>
        <v>6.7000000000000004E-2</v>
      </c>
    </row>
    <row r="66" spans="1:5" ht="12.75" customHeight="1">
      <c r="C66" s="64" t="s">
        <v>52</v>
      </c>
      <c r="D66" s="60">
        <f>'TWU Sum'!B31</f>
        <v>4083175</v>
      </c>
      <c r="E66" s="680">
        <f t="shared" si="1"/>
        <v>1.4999999999999999E-2</v>
      </c>
    </row>
    <row r="67" spans="1:5" ht="12.75" customHeight="1">
      <c r="C67" s="61" t="s">
        <v>68</v>
      </c>
      <c r="D67" s="62">
        <f>SUM(D54:D66)</f>
        <v>263777408</v>
      </c>
      <c r="E67" s="681">
        <f>SUM(E54:E66)</f>
        <v>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86" t="str">
        <f>C67&amp;" "&amp;TEXT(D67,"$#,###")</f>
        <v>Total Operating Sources $263,777,408</v>
      </c>
    </row>
    <row r="93" spans="1:5" ht="12.75" customHeight="1">
      <c r="A93" s="1686"/>
    </row>
    <row r="94" spans="1:5" ht="12.75" customHeight="1">
      <c r="A94" s="65"/>
    </row>
    <row r="95" spans="1:5" s="68" customFormat="1" ht="12.75" customHeight="1">
      <c r="A95" s="66"/>
      <c r="E95" s="682"/>
    </row>
    <row r="96" spans="1:5" ht="12.75" customHeight="1">
      <c r="A96" s="65"/>
    </row>
    <row r="97" spans="1:5" ht="12.75" customHeight="1">
      <c r="A97" s="65"/>
    </row>
    <row r="98" spans="1:5" ht="12.75" customHeight="1">
      <c r="A98" s="65"/>
    </row>
    <row r="100" spans="1:5" ht="12.75" customHeight="1">
      <c r="C100" s="1687" t="s">
        <v>13</v>
      </c>
      <c r="D100" s="1687"/>
    </row>
    <row r="101" spans="1:5" ht="12.75" customHeight="1">
      <c r="C101" s="1687"/>
      <c r="D101" s="1687"/>
    </row>
    <row r="102" spans="1:5" ht="12.75" customHeight="1">
      <c r="C102" s="69" t="s">
        <v>14</v>
      </c>
      <c r="D102" s="60">
        <f>'TWU Sum'!B36</f>
        <v>85377136</v>
      </c>
      <c r="E102" s="680">
        <f>ROUND(D102/$D$114,3)</f>
        <v>0.39900000000000002</v>
      </c>
    </row>
    <row r="103" spans="1:5" ht="12.75" customHeight="1">
      <c r="C103" s="69" t="s">
        <v>15</v>
      </c>
      <c r="D103" s="60">
        <f>'TWU Sum'!B37</f>
        <v>4430225</v>
      </c>
      <c r="E103" s="680">
        <f t="shared" ref="E103:E112" si="2">ROUND(D103/$D$114,3)</f>
        <v>2.1000000000000001E-2</v>
      </c>
    </row>
    <row r="104" spans="1:5" ht="12.75" customHeight="1">
      <c r="C104" s="69" t="s">
        <v>16</v>
      </c>
      <c r="D104" s="60">
        <f>'TWU Sum'!B38</f>
        <v>741161</v>
      </c>
      <c r="E104" s="680">
        <f t="shared" si="2"/>
        <v>3.0000000000000001E-3</v>
      </c>
    </row>
    <row r="105" spans="1:5" ht="12.75" customHeight="1">
      <c r="C105" s="69" t="s">
        <v>17</v>
      </c>
      <c r="D105" s="60">
        <f>'TWU Sum'!B39</f>
        <v>29599978</v>
      </c>
      <c r="E105" s="680">
        <f t="shared" si="2"/>
        <v>0.13800000000000001</v>
      </c>
    </row>
    <row r="106" spans="1:5" ht="12.75" customHeight="1">
      <c r="C106" s="69" t="s">
        <v>18</v>
      </c>
      <c r="D106" s="60">
        <f>'TWU Sum'!B40</f>
        <v>12424731</v>
      </c>
      <c r="E106" s="680">
        <f t="shared" si="2"/>
        <v>5.8000000000000003E-2</v>
      </c>
    </row>
    <row r="107" spans="1:5" ht="12.75" customHeight="1">
      <c r="C107" s="69" t="s">
        <v>19</v>
      </c>
      <c r="D107" s="60">
        <f>'TWU Sum'!B41</f>
        <v>31090483</v>
      </c>
      <c r="E107" s="680">
        <f t="shared" si="2"/>
        <v>0.14499999999999999</v>
      </c>
    </row>
    <row r="108" spans="1:5" ht="12.75" customHeight="1">
      <c r="C108" s="69" t="s">
        <v>78</v>
      </c>
      <c r="D108" s="60">
        <f>'TWU Sum'!B42</f>
        <v>23143607</v>
      </c>
      <c r="E108" s="680">
        <f t="shared" si="2"/>
        <v>0.108</v>
      </c>
    </row>
    <row r="109" spans="1:5" ht="12.75" customHeight="1">
      <c r="C109" s="69" t="s">
        <v>79</v>
      </c>
      <c r="D109" s="60">
        <f>'TWU Sum'!B43</f>
        <v>4918082</v>
      </c>
      <c r="E109" s="680">
        <f t="shared" si="2"/>
        <v>2.3E-2</v>
      </c>
    </row>
    <row r="110" spans="1:5" ht="12.75" customHeight="1">
      <c r="C110" s="69" t="s">
        <v>22</v>
      </c>
      <c r="D110" s="60">
        <f>'TWU Sum'!B44</f>
        <v>21030123</v>
      </c>
      <c r="E110" s="680">
        <f t="shared" si="2"/>
        <v>9.8000000000000004E-2</v>
      </c>
    </row>
    <row r="111" spans="1:5" ht="12.75" customHeight="1">
      <c r="C111" s="64" t="s">
        <v>29</v>
      </c>
      <c r="D111" s="60">
        <f>'TWU Sum'!B45</f>
        <v>917665</v>
      </c>
      <c r="E111" s="680">
        <f t="shared" si="2"/>
        <v>4.0000000000000001E-3</v>
      </c>
    </row>
    <row r="112" spans="1:5" ht="12.75" customHeight="1">
      <c r="C112" s="64" t="s">
        <v>53</v>
      </c>
      <c r="D112" s="60">
        <f>'TWU Sum'!B46</f>
        <v>121252</v>
      </c>
      <c r="E112" s="680">
        <f t="shared" si="2"/>
        <v>1E-3</v>
      </c>
    </row>
    <row r="113" spans="3:5" ht="12.75" customHeight="1">
      <c r="C113" s="57"/>
      <c r="D113" s="57"/>
    </row>
    <row r="114" spans="3:5" ht="12.75" customHeight="1">
      <c r="C114" s="70" t="s">
        <v>69</v>
      </c>
      <c r="D114" s="62">
        <f>SUM(D102:D113)</f>
        <v>213794443</v>
      </c>
      <c r="E114" s="681">
        <f>SUM(E102:E113)</f>
        <v>0.99800000000000011</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86" t="str">
        <f>C114&amp;" "&amp;TEXT(D114,"$#,###")</f>
        <v>Total Operating Uses $213,794,443</v>
      </c>
    </row>
    <row r="137" spans="1:1" ht="12.75" customHeight="1">
      <c r="A137" s="1686"/>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A5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1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sheetPr transitionEvaluation="1" transitionEntry="1" codeName="Sheet140">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8" sqref="E8"/>
    </sheetView>
  </sheetViews>
  <sheetFormatPr defaultColWidth="9.140625"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'TWU Chrts'!$A$1</f>
        <v>Texas Woman's University</v>
      </c>
      <c r="B1" s="74"/>
      <c r="C1" s="1"/>
      <c r="D1" s="1704" t="s">
        <v>1200</v>
      </c>
      <c r="E1" s="1705"/>
      <c r="F1" s="1757" t="s">
        <v>1196</v>
      </c>
      <c r="G1" s="1706"/>
      <c r="H1" s="1706"/>
      <c r="I1" s="1706"/>
      <c r="J1" s="1707" t="s">
        <v>1197</v>
      </c>
      <c r="K1" s="1695"/>
      <c r="L1" s="1695"/>
      <c r="M1" s="1695"/>
      <c r="N1" s="1695"/>
      <c r="O1" s="1696"/>
    </row>
    <row r="2" spans="1:15" ht="15.75">
      <c r="A2" s="76" t="str">
        <f>'Smmy Chrts'!$A$2</f>
        <v>For the Year Ended August 31, 2021</v>
      </c>
      <c r="B2" s="74"/>
      <c r="C2" s="1"/>
      <c r="D2" s="37"/>
      <c r="E2" s="37"/>
      <c r="F2" s="37"/>
      <c r="J2" s="37"/>
      <c r="K2" s="37"/>
      <c r="L2" s="37"/>
      <c r="M2" s="37"/>
    </row>
    <row r="3" spans="1:15" ht="15.75">
      <c r="A3" s="76" t="str">
        <f>'Smmy Chrts'!$A$3</f>
        <v>Source: FY 2021 Annual Financial Report</v>
      </c>
      <c r="B3" s="74"/>
      <c r="C3" s="1"/>
    </row>
    <row r="4" spans="1:15" ht="13.5" customHeight="1">
      <c r="B4" s="77"/>
      <c r="C4" s="4"/>
      <c r="D4" s="1711" t="s">
        <v>1142</v>
      </c>
      <c r="E4" s="1711" t="s">
        <v>1143</v>
      </c>
      <c r="F4" s="266"/>
    </row>
    <row r="5" spans="1:15" ht="18">
      <c r="A5" s="39" t="str">
        <f>'Smmy Chrts'!$C$35</f>
        <v>Summary Worksheet FY 2021</v>
      </c>
      <c r="B5" s="40" t="s">
        <v>86</v>
      </c>
      <c r="C5" s="40" t="s">
        <v>129</v>
      </c>
      <c r="D5" s="1712"/>
      <c r="E5" s="1712"/>
      <c r="F5" s="266"/>
      <c r="G5" s="799" t="s">
        <v>1198</v>
      </c>
      <c r="I5" s="822" t="s">
        <v>2157</v>
      </c>
      <c r="J5" s="792" t="s">
        <v>1144</v>
      </c>
    </row>
    <row r="6" spans="1:15" ht="13.5" customHeight="1">
      <c r="A6" s="78" t="s">
        <v>266</v>
      </c>
      <c r="B6" s="41"/>
      <c r="C6" s="42">
        <f>VLOOKUP($A$1,FTSELU,12,FALSE)</f>
        <v>13026.58</v>
      </c>
      <c r="J6" s="712"/>
    </row>
    <row r="7" spans="1:15">
      <c r="I7" s="824" t="s">
        <v>1162</v>
      </c>
      <c r="J7" s="827"/>
    </row>
    <row r="8" spans="1:15">
      <c r="A8" s="81" t="s">
        <v>71</v>
      </c>
      <c r="B8" s="81"/>
      <c r="C8" s="24"/>
      <c r="I8" s="896">
        <f>VLOOKUP(A1,FTSELU,14,FALSE)</f>
        <v>1349.4299999999998</v>
      </c>
      <c r="J8" s="712"/>
    </row>
    <row r="9" spans="1:15" ht="12.75" customHeight="1" thickBot="1">
      <c r="A9" s="78" t="s">
        <v>0</v>
      </c>
      <c r="B9" s="82"/>
      <c r="C9" s="7"/>
      <c r="J9" s="712"/>
    </row>
    <row r="10" spans="1:15" ht="12.75" customHeight="1" thickTop="1">
      <c r="A10" s="75" t="s">
        <v>1</v>
      </c>
      <c r="B10" s="83">
        <f>'TWU FGD'!M10</f>
        <v>75097158</v>
      </c>
      <c r="C10" s="83">
        <f>ROUND(B10/$C$6,0)</f>
        <v>5765</v>
      </c>
      <c r="D10" s="512">
        <f>'TWU FGD'!F10</f>
        <v>0</v>
      </c>
      <c r="E10" s="512"/>
      <c r="F10" s="84">
        <f>B10-(SUM(D10:E10))</f>
        <v>75097158</v>
      </c>
      <c r="G10" s="1143" t="s">
        <v>1</v>
      </c>
      <c r="H10" s="1144"/>
      <c r="I10" s="825" t="s">
        <v>1161</v>
      </c>
      <c r="J10" s="713">
        <f>ROUND(F10/$C$6,0)</f>
        <v>5765</v>
      </c>
    </row>
    <row r="11" spans="1:15" ht="12.75" customHeight="1" thickBot="1">
      <c r="A11" s="75" t="s">
        <v>2</v>
      </c>
      <c r="B11" s="86">
        <f>'TWU FGD'!M11</f>
        <v>6193003</v>
      </c>
      <c r="C11" s="87">
        <f t="shared" ref="C11:C14" si="0">ROUND(B11/$C$6,0)</f>
        <v>475</v>
      </c>
      <c r="D11" s="86">
        <f>'TWU FGD'!F11</f>
        <v>0</v>
      </c>
      <c r="E11" s="74"/>
      <c r="F11" s="606">
        <f t="shared" ref="F11:F14" si="1">B11-(SUM(D11:E11))</f>
        <v>6193003</v>
      </c>
      <c r="G11" s="1148">
        <f>SUM(F10:F11)</f>
        <v>81290161</v>
      </c>
      <c r="H11" s="715"/>
      <c r="I11" s="1373">
        <f>ROUND($G$11/$C$6,0)</f>
        <v>6240</v>
      </c>
      <c r="J11" s="716">
        <f t="shared" ref="J11:J14" si="2">ROUND(F11/$C$6,0)</f>
        <v>475</v>
      </c>
    </row>
    <row r="12" spans="1:15" ht="12.75" hidden="1" customHeight="1" thickTop="1" thickBot="1">
      <c r="A12" s="75" t="s">
        <v>1410</v>
      </c>
      <c r="B12" s="86"/>
      <c r="C12" s="87"/>
      <c r="D12" s="86"/>
      <c r="E12" s="74"/>
      <c r="F12" s="607"/>
      <c r="J12" s="716"/>
      <c r="O12" s="608"/>
    </row>
    <row r="13" spans="1:15" ht="12.75" customHeight="1" thickTop="1">
      <c r="A13" s="75" t="s">
        <v>1368</v>
      </c>
      <c r="B13" s="86">
        <f>'TWU FGD'!M13</f>
        <v>14554133</v>
      </c>
      <c r="C13" s="87">
        <f t="shared" si="0"/>
        <v>1117</v>
      </c>
      <c r="D13" s="86">
        <f>'TWU FGD'!F13</f>
        <v>0</v>
      </c>
      <c r="E13" s="74"/>
      <c r="F13" s="893">
        <f t="shared" si="1"/>
        <v>14554133</v>
      </c>
      <c r="G13" s="882" t="s">
        <v>81</v>
      </c>
      <c r="H13" s="894"/>
      <c r="I13" s="826" t="s">
        <v>1163</v>
      </c>
      <c r="J13" s="716">
        <f t="shared" si="2"/>
        <v>1117</v>
      </c>
    </row>
    <row r="14" spans="1:15" ht="12.75" customHeight="1" thickBot="1">
      <c r="A14" s="75" t="s">
        <v>49</v>
      </c>
      <c r="B14" s="86">
        <f>'TWU FGD'!M14</f>
        <v>0</v>
      </c>
      <c r="C14" s="87">
        <f t="shared" si="0"/>
        <v>0</v>
      </c>
      <c r="D14" s="86">
        <f>'TWU FGD'!F14</f>
        <v>0</v>
      </c>
      <c r="E14" s="74"/>
      <c r="F14" s="607">
        <f t="shared" si="1"/>
        <v>0</v>
      </c>
      <c r="G14" s="800">
        <f>SUM(F13:F14)</f>
        <v>14554133</v>
      </c>
      <c r="H14" s="895"/>
      <c r="I14" s="1377">
        <f>ROUND($G$11/$I$8,0)</f>
        <v>60240</v>
      </c>
      <c r="J14" s="828">
        <f t="shared" si="2"/>
        <v>0</v>
      </c>
    </row>
    <row r="15" spans="1:15" ht="12.75" customHeight="1" thickTop="1">
      <c r="A15" s="88" t="s">
        <v>3</v>
      </c>
      <c r="B15" s="89">
        <f>SUM(B10:B14)</f>
        <v>95844294</v>
      </c>
      <c r="C15" s="89">
        <f>SUM(C10:C14)</f>
        <v>7357</v>
      </c>
      <c r="D15" s="89">
        <f>SUM(D10:D14)</f>
        <v>0</v>
      </c>
      <c r="E15" s="89">
        <f>SUM(E10:E14)</f>
        <v>0</v>
      </c>
      <c r="F15" s="216">
        <f>SUM(F10:F14)</f>
        <v>95844294</v>
      </c>
      <c r="I15" s="1372"/>
      <c r="J15" s="757">
        <f>SUM(J10:J14)</f>
        <v>7357</v>
      </c>
    </row>
    <row r="16" spans="1:15">
      <c r="B16" s="48"/>
      <c r="C16" s="75"/>
      <c r="J16" s="712"/>
    </row>
    <row r="17" spans="1:31" ht="12.75" customHeight="1">
      <c r="A17" s="78" t="s">
        <v>4</v>
      </c>
      <c r="B17" s="86"/>
      <c r="C17" s="75"/>
      <c r="J17" s="712"/>
    </row>
    <row r="18" spans="1:31">
      <c r="A18" s="75" t="s">
        <v>39</v>
      </c>
      <c r="B18" s="83">
        <f>'TWU FGD'!M29</f>
        <v>113172166</v>
      </c>
      <c r="C18" s="83">
        <f t="shared" ref="C18:C19" si="3">ROUND(B18/$C$6,0)</f>
        <v>8688</v>
      </c>
      <c r="D18" s="512">
        <f>'TWU FGD'!$F$29</f>
        <v>0</v>
      </c>
      <c r="E18" s="512"/>
      <c r="F18" s="512">
        <f t="shared" ref="F18:F19" si="4">B18-(SUM(D18:E18))</f>
        <v>113172166</v>
      </c>
      <c r="G18" s="337"/>
      <c r="H18" s="337"/>
      <c r="I18" s="337"/>
      <c r="J18" s="713">
        <f>ROUND(F18/$C$6,0)</f>
        <v>8688</v>
      </c>
    </row>
    <row r="19" spans="1:31" ht="13.5" thickBot="1">
      <c r="A19" s="75" t="s">
        <v>40</v>
      </c>
      <c r="B19" s="86">
        <f>'TWU FGD'!M42</f>
        <v>-24010832</v>
      </c>
      <c r="C19" s="87">
        <f t="shared" si="3"/>
        <v>-1843</v>
      </c>
      <c r="D19" s="74">
        <f>'TWU FGD'!$F$42</f>
        <v>0</v>
      </c>
      <c r="E19" s="74"/>
      <c r="F19" s="74">
        <f t="shared" si="4"/>
        <v>-24010832</v>
      </c>
      <c r="G19" s="337"/>
      <c r="H19" s="337"/>
      <c r="I19" s="337"/>
      <c r="J19" s="716">
        <f>ROUND(F19/$C$6,0)</f>
        <v>-1843</v>
      </c>
    </row>
    <row r="20" spans="1:31" ht="14.25" thickTop="1" thickBot="1">
      <c r="A20" s="88" t="s">
        <v>5</v>
      </c>
      <c r="B20" s="89">
        <f>SUM(B18:B19)</f>
        <v>89161334</v>
      </c>
      <c r="C20" s="89">
        <f>SUM(C18:C19)</f>
        <v>6845</v>
      </c>
      <c r="D20" s="717">
        <f>SUM(D18:D19)</f>
        <v>0</v>
      </c>
      <c r="E20" s="718">
        <f>SUM(E18:E19)</f>
        <v>0</v>
      </c>
      <c r="F20" s="801">
        <f>SUM(F18:F19)</f>
        <v>89161334</v>
      </c>
      <c r="G20" s="720" t="s">
        <v>26</v>
      </c>
      <c r="H20" s="366"/>
      <c r="I20" s="367"/>
      <c r="J20" s="721">
        <f>SUM(J18:J19)</f>
        <v>6845</v>
      </c>
    </row>
    <row r="21" spans="1:31" ht="12.75" customHeight="1" thickTop="1">
      <c r="B21" s="91"/>
      <c r="C21" s="75"/>
      <c r="F21" s="804"/>
      <c r="J21" s="712"/>
    </row>
    <row r="22" spans="1:31" ht="14.25" customHeight="1" thickBot="1">
      <c r="A22" s="78" t="s">
        <v>6</v>
      </c>
      <c r="B22" s="91"/>
      <c r="C22" s="75"/>
      <c r="J22" s="712"/>
    </row>
    <row r="23" spans="1:31" ht="14.25" thickTop="1" thickBot="1">
      <c r="A23" s="88" t="s">
        <v>7</v>
      </c>
      <c r="B23" s="92">
        <f>'TWU FGD'!M47</f>
        <v>42101935</v>
      </c>
      <c r="C23" s="89">
        <f t="shared" ref="C23" si="5">ROUND(B23/$C$6,0)</f>
        <v>3232</v>
      </c>
      <c r="D23" s="717">
        <f>'TWU FGD'!F47</f>
        <v>0</v>
      </c>
      <c r="E23" s="718"/>
      <c r="F23" s="801">
        <f>B23-(SUM(D23:E23))</f>
        <v>42101935</v>
      </c>
      <c r="G23" s="722" t="s">
        <v>74</v>
      </c>
      <c r="H23" s="366"/>
      <c r="I23" s="367"/>
      <c r="J23" s="756">
        <f>ROUND(F23/$C$6,0)</f>
        <v>3232</v>
      </c>
    </row>
    <row r="24" spans="1:31" ht="13.5" thickTop="1">
      <c r="B24" s="91"/>
      <c r="C24" s="75"/>
      <c r="J24" s="712"/>
    </row>
    <row r="25" spans="1:31">
      <c r="A25" s="78" t="s">
        <v>8</v>
      </c>
      <c r="B25" s="91"/>
      <c r="C25" s="75"/>
      <c r="J25" s="712"/>
    </row>
    <row r="26" spans="1:31">
      <c r="A26" s="75" t="s">
        <v>42</v>
      </c>
      <c r="B26" s="83">
        <f>'TWU FGD'!M50</f>
        <v>10381145</v>
      </c>
      <c r="C26" s="83">
        <f t="shared" ref="C26:C31" si="6">ROUND(B26/$C$6,0)</f>
        <v>797</v>
      </c>
      <c r="D26" s="512">
        <f>'TWU FGD'!F50</f>
        <v>95078</v>
      </c>
      <c r="E26" s="512"/>
      <c r="F26" s="512">
        <f t="shared" ref="F26:F31" si="7">B26-(SUM(D26:E26))</f>
        <v>10286067</v>
      </c>
      <c r="G26" s="337"/>
      <c r="H26" s="337"/>
      <c r="I26" s="337"/>
      <c r="J26" s="713">
        <f>ROUND(F26/$C$6,0)</f>
        <v>790</v>
      </c>
    </row>
    <row r="27" spans="1:31">
      <c r="A27" s="75" t="s">
        <v>9</v>
      </c>
      <c r="B27" s="86">
        <f>'TWU FGD'!M51</f>
        <v>1195291</v>
      </c>
      <c r="C27" s="87">
        <f t="shared" si="6"/>
        <v>92</v>
      </c>
      <c r="D27" s="86">
        <f>'TWU FGD'!F51</f>
        <v>0</v>
      </c>
      <c r="E27" s="74"/>
      <c r="F27" s="74">
        <f t="shared" si="7"/>
        <v>1195291</v>
      </c>
      <c r="G27" s="337"/>
      <c r="H27" s="337"/>
      <c r="I27" s="337"/>
      <c r="J27" s="716">
        <f t="shared" ref="J27:J31" si="8">ROUND(F27/$C$6,0)</f>
        <v>92</v>
      </c>
    </row>
    <row r="28" spans="1:31" ht="13.5" thickBot="1">
      <c r="A28" s="75" t="s">
        <v>10</v>
      </c>
      <c r="B28" s="86">
        <f>'TWU FGD'!M52</f>
        <v>3338377</v>
      </c>
      <c r="C28" s="87">
        <f t="shared" si="6"/>
        <v>256</v>
      </c>
      <c r="D28" s="86">
        <f>'TWU FGD'!F52</f>
        <v>1000</v>
      </c>
      <c r="E28" s="74"/>
      <c r="F28" s="74">
        <f t="shared" si="7"/>
        <v>3337377</v>
      </c>
      <c r="G28" s="337"/>
      <c r="H28" s="337"/>
      <c r="I28" s="337"/>
      <c r="J28" s="716">
        <f t="shared" si="8"/>
        <v>256</v>
      </c>
    </row>
    <row r="29" spans="1:31" ht="13.5" thickBot="1">
      <c r="A29" s="75" t="s">
        <v>11</v>
      </c>
      <c r="B29" s="86">
        <f>'TWU FGD'!M53</f>
        <v>-41095</v>
      </c>
      <c r="C29" s="87">
        <f t="shared" si="6"/>
        <v>-3</v>
      </c>
      <c r="D29" s="86">
        <f>'TWU FGD'!F53</f>
        <v>-1086</v>
      </c>
      <c r="E29" s="74"/>
      <c r="F29" s="74">
        <f t="shared" si="7"/>
        <v>-40009</v>
      </c>
      <c r="G29" s="337"/>
      <c r="H29" s="337"/>
      <c r="I29" s="337"/>
      <c r="J29" s="716">
        <f t="shared" si="8"/>
        <v>-3</v>
      </c>
      <c r="K29" s="1694" t="s">
        <v>1065</v>
      </c>
      <c r="L29" s="1695"/>
      <c r="M29" s="1695"/>
      <c r="N29" s="1695"/>
      <c r="O29" s="1696"/>
    </row>
    <row r="30" spans="1:31" ht="13.5" thickBot="1">
      <c r="A30" s="93" t="s">
        <v>2134</v>
      </c>
      <c r="B30" s="94">
        <f>'TWU FGD'!M54</f>
        <v>17712952</v>
      </c>
      <c r="C30" s="87">
        <f t="shared" si="6"/>
        <v>1360</v>
      </c>
      <c r="D30" s="729">
        <f>B30</f>
        <v>17712952</v>
      </c>
      <c r="E30" s="74"/>
      <c r="F30" s="74">
        <f t="shared" si="7"/>
        <v>0</v>
      </c>
      <c r="G30" s="337"/>
      <c r="H30" s="337"/>
      <c r="I30" s="337"/>
      <c r="J30" s="716">
        <f t="shared" si="8"/>
        <v>0</v>
      </c>
      <c r="K30" s="1694" t="s">
        <v>1070</v>
      </c>
      <c r="L30" s="1695"/>
      <c r="M30" s="1695"/>
      <c r="N30" s="1695"/>
      <c r="O30" s="1696"/>
    </row>
    <row r="31" spans="1:31" ht="13.5" customHeight="1" thickBot="1">
      <c r="A31" s="95" t="s">
        <v>43</v>
      </c>
      <c r="B31" s="86">
        <f>'TWU FGD'!M55</f>
        <v>4083175</v>
      </c>
      <c r="C31" s="87">
        <f t="shared" si="6"/>
        <v>313</v>
      </c>
      <c r="D31" s="86">
        <f>'TWU FGD'!F55</f>
        <v>1116351</v>
      </c>
      <c r="E31" s="74"/>
      <c r="F31" s="74">
        <f t="shared" si="7"/>
        <v>2966824</v>
      </c>
      <c r="G31" s="35"/>
      <c r="H31" s="35"/>
      <c r="I31" s="38"/>
      <c r="J31" s="716">
        <f t="shared" si="8"/>
        <v>228</v>
      </c>
      <c r="K31" s="1697" t="s">
        <v>1073</v>
      </c>
      <c r="L31" s="1697" t="s">
        <v>1071</v>
      </c>
      <c r="M31" s="1697" t="s">
        <v>1072</v>
      </c>
      <c r="N31" s="1697" t="s">
        <v>1240</v>
      </c>
      <c r="O31" s="1697"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36669845</v>
      </c>
      <c r="C32" s="89">
        <f>SUM(C26:C31)</f>
        <v>2815</v>
      </c>
      <c r="D32" s="723">
        <f>SUM(D26:D31)</f>
        <v>18924295</v>
      </c>
      <c r="E32" s="723">
        <f>SUM(E26:E31)</f>
        <v>0</v>
      </c>
      <c r="F32" s="802">
        <f>SUM(F26:F31)</f>
        <v>17745550</v>
      </c>
      <c r="G32" s="1708" t="s">
        <v>8</v>
      </c>
      <c r="H32" s="1709"/>
      <c r="I32" s="783" t="s">
        <v>1166</v>
      </c>
      <c r="J32" s="725">
        <f>SUM(J26:J31)</f>
        <v>1363</v>
      </c>
      <c r="K32" s="1698"/>
      <c r="L32" s="1698"/>
      <c r="M32" s="1698"/>
      <c r="N32" s="1698" t="s">
        <v>1074</v>
      </c>
      <c r="O32" s="1698" t="s">
        <v>1075</v>
      </c>
    </row>
    <row r="33" spans="1:31" ht="14.25" thickTop="1" thickBot="1">
      <c r="A33" s="97" t="s">
        <v>68</v>
      </c>
      <c r="B33" s="52">
        <f>B15+B20+B23+B32</f>
        <v>263777408</v>
      </c>
      <c r="C33" s="45">
        <f>C15+C20+C23+C32</f>
        <v>20249</v>
      </c>
      <c r="D33" s="52">
        <f>D15+D20+D23+D32</f>
        <v>18924295</v>
      </c>
      <c r="E33" s="52">
        <f>E15+E20+E23+E32</f>
        <v>0</v>
      </c>
      <c r="F33" s="724">
        <f>F15+F20+F23+F32</f>
        <v>244853113</v>
      </c>
      <c r="G33" s="1758" t="s">
        <v>84</v>
      </c>
      <c r="H33" s="1759"/>
      <c r="I33" s="1375">
        <f>ROUND($G$35/$C$6,0)</f>
        <v>17679</v>
      </c>
      <c r="J33" s="726">
        <f>J15+J20+J23+J32</f>
        <v>18797</v>
      </c>
      <c r="K33" s="1698"/>
      <c r="L33" s="1698"/>
      <c r="M33" s="1698"/>
      <c r="N33" s="1698"/>
      <c r="O33" s="1698"/>
    </row>
    <row r="34" spans="1:31" ht="14.25" thickTop="1" thickBot="1">
      <c r="B34" s="98"/>
      <c r="C34" s="75"/>
      <c r="D34" s="337"/>
      <c r="E34" s="337"/>
      <c r="F34" s="337" t="s">
        <v>1199</v>
      </c>
      <c r="G34" s="787">
        <f>G14*-1</f>
        <v>-14554133</v>
      </c>
      <c r="H34" s="337"/>
      <c r="I34" s="783" t="s">
        <v>1167</v>
      </c>
      <c r="J34" s="727"/>
      <c r="K34" s="1699"/>
      <c r="L34" s="1699"/>
      <c r="M34" s="1699"/>
      <c r="N34" s="1699"/>
      <c r="O34" s="1699"/>
    </row>
    <row r="35" spans="1:31" ht="14.25" thickTop="1" thickBot="1">
      <c r="A35" s="81" t="s">
        <v>72</v>
      </c>
      <c r="B35" s="81"/>
      <c r="C35" s="81"/>
      <c r="D35" s="728"/>
      <c r="E35" s="728"/>
      <c r="F35" s="788" t="s">
        <v>1165</v>
      </c>
      <c r="G35" s="803">
        <f>F33+G34</f>
        <v>230298980</v>
      </c>
      <c r="I35" s="1376">
        <f>ROUND($G$35/$I$8,0)</f>
        <v>170664</v>
      </c>
      <c r="K35" s="609"/>
      <c r="L35" s="609"/>
      <c r="M35" s="609"/>
      <c r="N35" s="609"/>
      <c r="O35" s="609"/>
    </row>
    <row r="36" spans="1:31" ht="13.5" thickTop="1">
      <c r="A36" s="99" t="s">
        <v>14</v>
      </c>
      <c r="B36" s="83">
        <f>'TWU FGD'!M60</f>
        <v>85377136</v>
      </c>
      <c r="C36" s="83">
        <f t="shared" ref="C36:C46" si="9">ROUND(B36/$C$6,0)</f>
        <v>6554</v>
      </c>
      <c r="D36" s="512">
        <f>'TWU FGD'!F60</f>
        <v>0</v>
      </c>
      <c r="E36" s="512"/>
      <c r="F36" s="512">
        <f t="shared" ref="F36:F46" si="10">B36-(SUM(D36:E36))</f>
        <v>85377136</v>
      </c>
      <c r="G36" s="337"/>
      <c r="H36" s="1378" t="s">
        <v>2158</v>
      </c>
      <c r="I36" s="1379">
        <f>ROUND(F36/$C$6,0)</f>
        <v>6554</v>
      </c>
      <c r="J36" s="337" t="s">
        <v>752</v>
      </c>
      <c r="K36" s="512">
        <f>F36</f>
        <v>85377136</v>
      </c>
      <c r="L36" s="512">
        <f>K36</f>
        <v>85377136</v>
      </c>
      <c r="M36" s="512"/>
      <c r="N36" s="512"/>
      <c r="O36" s="512"/>
    </row>
    <row r="37" spans="1:31">
      <c r="A37" s="99" t="s">
        <v>15</v>
      </c>
      <c r="B37" s="86">
        <f>'TWU FGD'!M61</f>
        <v>4430225</v>
      </c>
      <c r="C37" s="87">
        <f t="shared" si="9"/>
        <v>340</v>
      </c>
      <c r="D37" s="86">
        <f>'TWU FGD'!F61</f>
        <v>0</v>
      </c>
      <c r="E37" s="74"/>
      <c r="F37" s="74">
        <f t="shared" si="10"/>
        <v>4430225</v>
      </c>
      <c r="G37" s="337"/>
      <c r="H37" s="337"/>
      <c r="J37" s="337" t="s">
        <v>1076</v>
      </c>
      <c r="K37" s="373">
        <f>F37</f>
        <v>4430225</v>
      </c>
      <c r="L37" s="373">
        <f>K37</f>
        <v>4430225</v>
      </c>
      <c r="M37" s="373"/>
      <c r="N37" s="373"/>
      <c r="O37" s="373"/>
    </row>
    <row r="38" spans="1:31">
      <c r="A38" s="99" t="s">
        <v>16</v>
      </c>
      <c r="B38" s="86">
        <f>'TWU FGD'!M62</f>
        <v>741161</v>
      </c>
      <c r="C38" s="87">
        <f t="shared" si="9"/>
        <v>57</v>
      </c>
      <c r="D38" s="86">
        <f>'TWU FGD'!F62</f>
        <v>0</v>
      </c>
      <c r="E38" s="86">
        <f>B38-D38</f>
        <v>741161</v>
      </c>
      <c r="F38" s="74">
        <f t="shared" si="10"/>
        <v>0</v>
      </c>
      <c r="G38" s="337"/>
      <c r="H38" s="337"/>
      <c r="I38" s="337"/>
      <c r="J38" s="337" t="s">
        <v>1077</v>
      </c>
      <c r="K38" s="736"/>
      <c r="L38" s="737"/>
      <c r="M38" s="737" t="s">
        <v>1152</v>
      </c>
      <c r="N38" s="737"/>
      <c r="O38" s="738"/>
    </row>
    <row r="39" spans="1:31">
      <c r="A39" s="99" t="s">
        <v>17</v>
      </c>
      <c r="B39" s="86">
        <f>'TWU FGD'!M63</f>
        <v>29599978</v>
      </c>
      <c r="C39" s="87">
        <f t="shared" si="9"/>
        <v>2272</v>
      </c>
      <c r="D39" s="86">
        <f>'TWU FGD'!F63</f>
        <v>0</v>
      </c>
      <c r="E39" s="74"/>
      <c r="F39" s="74">
        <f t="shared" si="10"/>
        <v>29599978</v>
      </c>
      <c r="G39" s="337"/>
      <c r="H39" s="1378" t="s">
        <v>2159</v>
      </c>
      <c r="I39" s="1379">
        <f>ROUND(F39/$C$6,0)</f>
        <v>2272</v>
      </c>
      <c r="J39" s="337" t="s">
        <v>1078</v>
      </c>
      <c r="K39" s="373">
        <f t="shared" ref="K39:K43" si="11">F39</f>
        <v>29599978</v>
      </c>
      <c r="L39" s="373">
        <f>K39</f>
        <v>29599978</v>
      </c>
      <c r="M39" s="373"/>
      <c r="N39" s="373"/>
      <c r="O39" s="373"/>
    </row>
    <row r="40" spans="1:31">
      <c r="A40" s="99" t="s">
        <v>18</v>
      </c>
      <c r="B40" s="86">
        <f>'TWU FGD'!M64</f>
        <v>12424731</v>
      </c>
      <c r="C40" s="87">
        <f t="shared" si="9"/>
        <v>954</v>
      </c>
      <c r="D40" s="86">
        <f>'TWU FGD'!F64</f>
        <v>0</v>
      </c>
      <c r="E40" s="74"/>
      <c r="F40" s="74">
        <f t="shared" si="10"/>
        <v>12424731</v>
      </c>
      <c r="G40" s="337"/>
      <c r="J40" s="337" t="s">
        <v>1079</v>
      </c>
      <c r="K40" s="373">
        <f t="shared" si="11"/>
        <v>12424731</v>
      </c>
      <c r="L40" s="373"/>
      <c r="M40" s="373">
        <f>K40</f>
        <v>12424731</v>
      </c>
      <c r="N40" s="373"/>
      <c r="O40" s="373"/>
    </row>
    <row r="41" spans="1:31">
      <c r="A41" s="99" t="s">
        <v>19</v>
      </c>
      <c r="B41" s="86">
        <f>'TWU FGD'!M65</f>
        <v>31090483</v>
      </c>
      <c r="C41" s="87">
        <f t="shared" si="9"/>
        <v>2387</v>
      </c>
      <c r="D41" s="86">
        <f>'TWU FGD'!F65</f>
        <v>0</v>
      </c>
      <c r="E41" s="74"/>
      <c r="F41" s="74">
        <f t="shared" si="10"/>
        <v>31090483</v>
      </c>
      <c r="G41" s="337"/>
      <c r="H41" s="1378" t="s">
        <v>2160</v>
      </c>
      <c r="I41" s="1379">
        <f>ROUND(F41/$C$6,0)</f>
        <v>2387</v>
      </c>
      <c r="J41" s="337" t="s">
        <v>757</v>
      </c>
      <c r="K41" s="373">
        <f t="shared" si="11"/>
        <v>31090483</v>
      </c>
      <c r="L41" s="373"/>
      <c r="M41" s="373"/>
      <c r="N41" s="373">
        <f>K41</f>
        <v>31090483</v>
      </c>
      <c r="O41" s="373"/>
    </row>
    <row r="42" spans="1:31">
      <c r="A42" s="99" t="s">
        <v>20</v>
      </c>
      <c r="B42" s="86">
        <f>'TWU FGD'!M66</f>
        <v>23143607</v>
      </c>
      <c r="C42" s="87">
        <f t="shared" si="9"/>
        <v>1777</v>
      </c>
      <c r="D42" s="86">
        <f>'TWU FGD'!F66</f>
        <v>0</v>
      </c>
      <c r="E42" s="74"/>
      <c r="F42" s="74">
        <f t="shared" si="10"/>
        <v>23143607</v>
      </c>
      <c r="G42" s="337"/>
      <c r="J42" s="337" t="s">
        <v>758</v>
      </c>
      <c r="K42" s="373">
        <f t="shared" si="11"/>
        <v>23143607</v>
      </c>
      <c r="L42" s="373"/>
      <c r="M42" s="373"/>
      <c r="N42" s="373">
        <f>K42</f>
        <v>23143607</v>
      </c>
      <c r="O42" s="373"/>
    </row>
    <row r="43" spans="1:31">
      <c r="A43" s="99" t="s">
        <v>21</v>
      </c>
      <c r="B43" s="86">
        <f>'TWU FGD'!M67</f>
        <v>4918082</v>
      </c>
      <c r="C43" s="87">
        <f t="shared" si="9"/>
        <v>378</v>
      </c>
      <c r="D43" s="86">
        <f>'TWU FGD'!F67</f>
        <v>0</v>
      </c>
      <c r="E43" s="74"/>
      <c r="F43" s="74">
        <f t="shared" si="10"/>
        <v>4918082</v>
      </c>
      <c r="G43" s="337"/>
      <c r="H43" s="337"/>
      <c r="I43" s="337"/>
      <c r="J43" s="337" t="s">
        <v>1145</v>
      </c>
      <c r="K43" s="373">
        <f t="shared" si="11"/>
        <v>4918082</v>
      </c>
      <c r="L43" s="373"/>
      <c r="M43" s="373">
        <f>K43</f>
        <v>4918082</v>
      </c>
      <c r="N43" s="373"/>
      <c r="O43" s="373"/>
    </row>
    <row r="44" spans="1:31">
      <c r="A44" s="99" t="s">
        <v>2135</v>
      </c>
      <c r="B44" s="86">
        <f>'TWU FGD'!M68</f>
        <v>21030123</v>
      </c>
      <c r="C44" s="87">
        <f t="shared" si="9"/>
        <v>1614</v>
      </c>
      <c r="D44" s="729">
        <f>B44</f>
        <v>21030123</v>
      </c>
      <c r="E44" s="74"/>
      <c r="F44" s="74">
        <f t="shared" si="10"/>
        <v>0</v>
      </c>
      <c r="G44" s="337"/>
      <c r="H44" s="337"/>
      <c r="I44" s="337"/>
      <c r="J44" s="337" t="s">
        <v>743</v>
      </c>
      <c r="K44" s="736"/>
      <c r="L44" s="737"/>
      <c r="M44" s="737" t="s">
        <v>1152</v>
      </c>
      <c r="N44" s="737"/>
      <c r="O44" s="738"/>
    </row>
    <row r="45" spans="1:31">
      <c r="A45" s="99" t="s">
        <v>61</v>
      </c>
      <c r="B45" s="86">
        <f>'TWU FGD'!M69</f>
        <v>917665</v>
      </c>
      <c r="C45" s="87">
        <f t="shared" si="9"/>
        <v>70</v>
      </c>
      <c r="D45" s="86">
        <f>'TWU FGD'!F69</f>
        <v>0</v>
      </c>
      <c r="E45" s="74"/>
      <c r="F45" s="74">
        <f t="shared" si="10"/>
        <v>917665</v>
      </c>
      <c r="G45" s="337"/>
      <c r="H45" s="337"/>
      <c r="I45" s="337"/>
      <c r="J45" s="337" t="s">
        <v>1080</v>
      </c>
      <c r="K45" s="373">
        <f t="shared" ref="K45:K46" si="12">F45</f>
        <v>917665</v>
      </c>
      <c r="L45" s="373"/>
      <c r="M45" s="373"/>
      <c r="N45" s="373"/>
      <c r="O45" s="373">
        <f>K45</f>
        <v>917665</v>
      </c>
    </row>
    <row r="46" spans="1:31" ht="13.5" thickBot="1">
      <c r="A46" s="75" t="s">
        <v>50</v>
      </c>
      <c r="B46" s="86">
        <f>'TWU FGD'!M70</f>
        <v>121252</v>
      </c>
      <c r="C46" s="87">
        <f t="shared" si="9"/>
        <v>9</v>
      </c>
      <c r="D46" s="86">
        <f>'TWU FGD'!F70</f>
        <v>0</v>
      </c>
      <c r="E46" s="74"/>
      <c r="F46" s="74">
        <f t="shared" si="10"/>
        <v>121252</v>
      </c>
      <c r="G46" s="35"/>
      <c r="H46" s="1378" t="s">
        <v>2161</v>
      </c>
      <c r="I46" s="1379">
        <f>ROUND(SUM(F37+F40+F42+F43+F45+F46)/$C$6,0)</f>
        <v>3528</v>
      </c>
      <c r="J46" s="610" t="s">
        <v>1075</v>
      </c>
      <c r="K46" s="373">
        <f t="shared" si="12"/>
        <v>121252</v>
      </c>
      <c r="L46" s="611"/>
      <c r="M46" s="611"/>
      <c r="N46" s="611"/>
      <c r="O46" s="373">
        <f>K46</f>
        <v>121252</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213794443</v>
      </c>
      <c r="C47" s="45">
        <f>SUM(C36:C46)</f>
        <v>16412</v>
      </c>
      <c r="D47" s="730">
        <f>SUM(D36:D46)</f>
        <v>21030123</v>
      </c>
      <c r="E47" s="731">
        <f>SUM(E36:E46)</f>
        <v>741161</v>
      </c>
      <c r="F47" s="719">
        <f>SUM(F36:F46)</f>
        <v>192023159</v>
      </c>
      <c r="G47" s="1688" t="s">
        <v>1176</v>
      </c>
      <c r="H47" s="1689"/>
      <c r="I47" s="785" t="s">
        <v>1164</v>
      </c>
      <c r="J47" s="610" t="s">
        <v>1081</v>
      </c>
      <c r="K47" s="612">
        <f>SUM(K36:K46)</f>
        <v>192023159</v>
      </c>
      <c r="L47" s="612">
        <f>SUM(L36:L46)</f>
        <v>119407339</v>
      </c>
      <c r="M47" s="612">
        <f>SUM(M36:M46)</f>
        <v>17342813</v>
      </c>
      <c r="N47" s="612">
        <f>SUM(N36:N46)</f>
        <v>54234090</v>
      </c>
      <c r="O47" s="612">
        <f>SUM(O36:O46)</f>
        <v>1038917</v>
      </c>
    </row>
    <row r="48" spans="1:31" ht="14.25" thickTop="1" thickBot="1">
      <c r="A48" s="93"/>
      <c r="B48" s="98"/>
      <c r="C48" s="75"/>
      <c r="F48" s="613"/>
      <c r="G48" s="1690"/>
      <c r="H48" s="1691"/>
      <c r="I48" s="823">
        <f>ROUND(F47/C6,0)</f>
        <v>14741</v>
      </c>
      <c r="J48" s="1700" t="s">
        <v>1082</v>
      </c>
      <c r="K48" s="611"/>
      <c r="L48" s="611"/>
      <c r="M48" s="611"/>
      <c r="N48" s="611"/>
      <c r="O48" s="611"/>
    </row>
    <row r="49" spans="1:31" ht="13.5" thickBot="1">
      <c r="A49" s="78" t="s">
        <v>23</v>
      </c>
      <c r="B49" s="82"/>
      <c r="C49" s="75"/>
      <c r="F49" s="614"/>
      <c r="G49" s="1690"/>
      <c r="H49" s="1691"/>
      <c r="I49" s="811"/>
      <c r="J49" s="1700"/>
      <c r="K49" s="615">
        <f>ROUND(K47/$C$6,2)</f>
        <v>14740.87</v>
      </c>
      <c r="L49" s="615">
        <f t="shared" ref="L49:O49" si="13">ROUND(L47/$C$6,2)</f>
        <v>9166.44</v>
      </c>
      <c r="M49" s="615">
        <f t="shared" si="13"/>
        <v>1331.34</v>
      </c>
      <c r="N49" s="615">
        <f t="shared" si="13"/>
        <v>4163.34</v>
      </c>
      <c r="O49" s="615">
        <f t="shared" si="13"/>
        <v>79.75</v>
      </c>
      <c r="P49" s="35"/>
      <c r="Q49" s="96"/>
      <c r="R49" s="96"/>
      <c r="S49" s="96"/>
      <c r="T49" s="96"/>
      <c r="U49" s="96"/>
      <c r="V49" s="96"/>
      <c r="W49" s="96"/>
      <c r="X49" s="96"/>
      <c r="Y49" s="96"/>
      <c r="Z49" s="96"/>
      <c r="AA49" s="96"/>
      <c r="AB49" s="96"/>
      <c r="AC49" s="96"/>
      <c r="AD49" s="96"/>
      <c r="AE49" s="96"/>
    </row>
    <row r="50" spans="1:31" ht="13.5" thickBot="1">
      <c r="A50" s="75" t="s">
        <v>62</v>
      </c>
      <c r="B50" s="86">
        <f>'TWU FGD'!M74</f>
        <v>-8408177</v>
      </c>
      <c r="C50" s="83">
        <f t="shared" ref="C50:C53" si="14">ROUND(B50/$C$6,0)</f>
        <v>-645</v>
      </c>
      <c r="D50" s="512">
        <f>'TWU FGD'!F74</f>
        <v>0</v>
      </c>
      <c r="E50" s="512"/>
      <c r="F50" s="732">
        <f t="shared" ref="F50:F53" si="15">B50-(SUM(D50:E50))</f>
        <v>-8408177</v>
      </c>
      <c r="G50" s="1692"/>
      <c r="H50" s="1693"/>
      <c r="I50" s="808"/>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'TWU FGD'!M75</f>
        <v>328199</v>
      </c>
      <c r="C51" s="87">
        <f t="shared" si="14"/>
        <v>25</v>
      </c>
      <c r="D51" s="91">
        <f>'TWU FGD'!F75</f>
        <v>8746385</v>
      </c>
      <c r="E51" s="82"/>
      <c r="F51" s="74">
        <f t="shared" si="15"/>
        <v>-8418186</v>
      </c>
      <c r="G51" s="337"/>
      <c r="J51" s="337"/>
      <c r="K51" s="616"/>
      <c r="L51" s="616"/>
      <c r="M51" s="616"/>
      <c r="N51" s="616"/>
      <c r="O51" s="616"/>
    </row>
    <row r="52" spans="1:31">
      <c r="A52" s="75" t="s">
        <v>51</v>
      </c>
      <c r="B52" s="86">
        <f>'TWU FGD'!M76</f>
        <v>17938486</v>
      </c>
      <c r="C52" s="87">
        <f t="shared" si="14"/>
        <v>1377</v>
      </c>
      <c r="D52" s="91">
        <f>'TWU FGD'!F76</f>
        <v>0</v>
      </c>
      <c r="E52" s="82"/>
      <c r="F52" s="74">
        <f t="shared" si="15"/>
        <v>17938486</v>
      </c>
      <c r="G52" s="337"/>
      <c r="J52" s="733"/>
      <c r="K52" s="733"/>
      <c r="L52" s="733"/>
      <c r="M52" s="733"/>
      <c r="N52" s="733"/>
      <c r="O52" s="733"/>
    </row>
    <row r="53" spans="1:31" ht="12" customHeight="1">
      <c r="A53" s="75" t="s">
        <v>46</v>
      </c>
      <c r="B53" s="86">
        <f>'TWU FGD'!M77</f>
        <v>-15455033</v>
      </c>
      <c r="C53" s="87">
        <f t="shared" si="14"/>
        <v>-1186</v>
      </c>
      <c r="D53" s="91">
        <f>'TWU FGD'!F77</f>
        <v>0</v>
      </c>
      <c r="E53" s="82"/>
      <c r="F53" s="74">
        <f t="shared" si="15"/>
        <v>-15455033</v>
      </c>
      <c r="G53" s="35"/>
      <c r="J53" s="733"/>
      <c r="K53" s="733"/>
      <c r="L53" s="733"/>
      <c r="M53" s="733"/>
      <c r="N53" s="733"/>
      <c r="O53" s="733"/>
      <c r="P53" s="35"/>
      <c r="Q53" s="96"/>
      <c r="R53" s="96"/>
      <c r="S53" s="96"/>
      <c r="T53" s="96"/>
      <c r="U53" s="96"/>
      <c r="V53" s="96"/>
      <c r="W53" s="96"/>
      <c r="X53" s="96"/>
      <c r="Y53" s="96"/>
      <c r="Z53" s="96"/>
      <c r="AA53" s="96"/>
      <c r="AB53" s="96"/>
      <c r="AC53" s="96"/>
      <c r="AD53" s="96"/>
      <c r="AE53" s="96"/>
    </row>
    <row r="54" spans="1:31">
      <c r="A54" s="88" t="s">
        <v>3</v>
      </c>
      <c r="B54" s="89">
        <f>SUM(B50:B53)</f>
        <v>-5596525</v>
      </c>
      <c r="C54" s="89">
        <f>SUM(C50:C53)</f>
        <v>-429</v>
      </c>
      <c r="D54" s="89">
        <f>SUM(D50:D53)</f>
        <v>8746385</v>
      </c>
      <c r="E54" s="89">
        <f>SUM(E50:E53)</f>
        <v>0</v>
      </c>
      <c r="F54" s="102">
        <f>SUM(F50:F53)</f>
        <v>-14342910</v>
      </c>
      <c r="G54" s="337"/>
      <c r="H54" s="337"/>
      <c r="I54" s="337"/>
      <c r="J54" s="733"/>
      <c r="K54" s="733"/>
      <c r="L54" s="733"/>
      <c r="M54" s="733"/>
      <c r="N54" s="733"/>
      <c r="O54" s="733"/>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'TWU FGD'!M81</f>
        <v>24964791</v>
      </c>
      <c r="C57" s="83">
        <f>ROUND(B57/$C$6,0)</f>
        <v>1916</v>
      </c>
      <c r="D57" s="512">
        <f>'TWU FGD'!F81</f>
        <v>0</v>
      </c>
      <c r="E57" s="512"/>
      <c r="F57" s="512">
        <f t="shared" ref="F57:F58" si="16">B57-(SUM(D57:E57))</f>
        <v>24964791</v>
      </c>
      <c r="G57" s="337"/>
      <c r="H57" s="337"/>
      <c r="I57" s="337"/>
      <c r="J57" s="337"/>
    </row>
    <row r="58" spans="1:31">
      <c r="A58" s="75" t="s">
        <v>48</v>
      </c>
      <c r="B58" s="86">
        <f>'TWU FGD'!M82</f>
        <v>36018</v>
      </c>
      <c r="C58" s="87">
        <f>ROUND(B58/$C$6,0)</f>
        <v>3</v>
      </c>
      <c r="D58" s="91">
        <f>'TWU FGD'!F82</f>
        <v>0</v>
      </c>
      <c r="E58" s="82"/>
      <c r="F58" s="74">
        <f t="shared" si="16"/>
        <v>36018</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25000809</v>
      </c>
      <c r="C59" s="89">
        <f>SUM(C57:C58)</f>
        <v>1919</v>
      </c>
      <c r="D59" s="89">
        <f>SUM(D57:D58)</f>
        <v>0</v>
      </c>
      <c r="E59" s="89">
        <f>SUM(E57:E58)</f>
        <v>0</v>
      </c>
      <c r="F59" s="89">
        <f>SUM(F57:F58)</f>
        <v>25000809</v>
      </c>
      <c r="G59" s="367"/>
      <c r="H59" s="367"/>
      <c r="I59" s="367"/>
      <c r="J59" s="367"/>
      <c r="K59" s="266"/>
      <c r="L59" s="266"/>
      <c r="M59" s="266"/>
      <c r="N59" s="266"/>
      <c r="O59" s="266"/>
      <c r="P59" s="266"/>
    </row>
    <row r="60" spans="1:31">
      <c r="B60" s="82"/>
      <c r="C60" s="75"/>
    </row>
    <row r="61" spans="1:31" ht="13.5" thickBot="1">
      <c r="A61" s="103" t="s">
        <v>573</v>
      </c>
      <c r="B61" s="46">
        <f>B33-B47+B54+B59</f>
        <v>69387249</v>
      </c>
      <c r="C61" s="46">
        <f>C33-C47+C54+C59</f>
        <v>5327</v>
      </c>
      <c r="D61" s="46">
        <f>D33-D47+D54+D59</f>
        <v>6640557</v>
      </c>
      <c r="E61" s="46">
        <f>E33-E47+E54+E59</f>
        <v>-741161</v>
      </c>
      <c r="F61" s="46">
        <f>F33-F47+F54+F59</f>
        <v>63487853</v>
      </c>
    </row>
    <row r="62" spans="1:31" ht="13.5" thickTop="1"/>
    <row r="63" spans="1:31">
      <c r="D63" s="512"/>
    </row>
    <row r="65" spans="2:16">
      <c r="B65" s="734">
        <f>'TWU FGD'!$M$85</f>
        <v>69387249</v>
      </c>
      <c r="C65" s="75"/>
      <c r="D65" s="734">
        <f>'TWU FGD'!$F$85</f>
        <v>6672227</v>
      </c>
      <c r="E65" s="734">
        <f>'TWU FGD'!$M$62*-1</f>
        <v>-741161</v>
      </c>
      <c r="F65" s="75"/>
    </row>
    <row r="66" spans="2:16">
      <c r="B66" s="734"/>
      <c r="C66" s="75"/>
      <c r="D66" s="734">
        <f>'TWU FGD'!$F$68</f>
        <v>20998453</v>
      </c>
      <c r="E66" s="734">
        <f>+$D$38</f>
        <v>0</v>
      </c>
      <c r="F66" s="734"/>
    </row>
    <row r="67" spans="2:16">
      <c r="B67" s="759"/>
      <c r="C67" s="75"/>
      <c r="D67" s="759">
        <f>-'TWU FGD'!$M$68</f>
        <v>-21030123</v>
      </c>
      <c r="E67" s="759"/>
      <c r="F67" s="734"/>
    </row>
    <row r="68" spans="2:16">
      <c r="B68" s="734">
        <f>SUM(B65:B67)</f>
        <v>69387249</v>
      </c>
      <c r="C68" s="75"/>
      <c r="D68" s="734">
        <f>SUM(D65:D67)</f>
        <v>6640557</v>
      </c>
      <c r="E68" s="734">
        <f>SUM(E65:E67)</f>
        <v>-741161</v>
      </c>
      <c r="F68" s="734">
        <f>B68-D68-E68</f>
        <v>63487853</v>
      </c>
    </row>
    <row r="69" spans="2:16">
      <c r="B69" s="734"/>
      <c r="C69" s="75"/>
      <c r="D69" s="734">
        <f>'TWU FGD'!F54*-1</f>
        <v>-17712952</v>
      </c>
      <c r="E69" s="734"/>
      <c r="F69" s="734"/>
    </row>
    <row r="70" spans="2:16" ht="12.75" customHeight="1">
      <c r="B70" s="759"/>
      <c r="C70" s="95"/>
      <c r="D70" s="759">
        <f>'TWU FGD'!M54</f>
        <v>17712952</v>
      </c>
      <c r="E70" s="759"/>
      <c r="F70" s="759">
        <f>-D70-D69</f>
        <v>0</v>
      </c>
    </row>
    <row r="71" spans="2:16" ht="12.75" customHeight="1">
      <c r="B71" s="734">
        <f>SUM(B68:B70)</f>
        <v>69387249</v>
      </c>
      <c r="C71" s="75"/>
      <c r="D71" s="734">
        <f>SUM(D68:D70)</f>
        <v>6640557</v>
      </c>
      <c r="E71" s="734">
        <f>SUM(E68:E70)</f>
        <v>-741161</v>
      </c>
      <c r="F71" s="734">
        <f>SUM(F68:F70)</f>
        <v>63487853</v>
      </c>
    </row>
    <row r="72" spans="2:16" ht="12.75" customHeight="1">
      <c r="B72" s="734"/>
      <c r="C72" s="75"/>
      <c r="D72" s="734"/>
      <c r="E72" s="734"/>
      <c r="F72" s="734"/>
    </row>
    <row r="73" spans="2:16" ht="12.75" customHeight="1">
      <c r="B73" s="512">
        <f>B61-B71</f>
        <v>0</v>
      </c>
      <c r="C73" s="75"/>
      <c r="D73" s="512">
        <f>D61-D71</f>
        <v>0</v>
      </c>
      <c r="E73" s="512">
        <f>E61-E71</f>
        <v>0</v>
      </c>
      <c r="F73" s="512">
        <f>F61-F71</f>
        <v>0</v>
      </c>
    </row>
    <row r="74" spans="2:16" ht="12.75" customHeight="1">
      <c r="C74" s="75"/>
      <c r="F74" s="617"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G47:H50"/>
    <mergeCell ref="K30:O30"/>
    <mergeCell ref="M31:M34"/>
    <mergeCell ref="G32:H32"/>
    <mergeCell ref="G33:H33"/>
    <mergeCell ref="L31:L34"/>
    <mergeCell ref="K31:K34"/>
    <mergeCell ref="N31:N34"/>
    <mergeCell ref="O31:O34"/>
    <mergeCell ref="J48:J49"/>
    <mergeCell ref="F1:I1"/>
    <mergeCell ref="J1:O1"/>
    <mergeCell ref="D1:E1"/>
    <mergeCell ref="K29:O29"/>
    <mergeCell ref="D4:D5"/>
    <mergeCell ref="E4:E5"/>
  </mergeCells>
  <hyperlinks>
    <hyperlink ref="D1:E1" location="Index!A1" display="Return to Index" xr:uid="{00000000-0004-0000-A6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sheetPr codeName="Sheet141">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4.42578125" style="164" customWidth="1"/>
    <col min="15" max="15" width="14.42578125" style="261" customWidth="1"/>
    <col min="16" max="16" width="25.7109375" style="264" customWidth="1"/>
    <col min="17" max="17" width="16.42578125" style="264" customWidth="1"/>
    <col min="18" max="18" width="19" style="264" customWidth="1"/>
    <col min="19" max="19" width="1.7109375" style="264" customWidth="1"/>
    <col min="20" max="20" width="17.140625" style="264" customWidth="1"/>
    <col min="21" max="21" width="16.85546875" style="264" customWidth="1"/>
    <col min="22" max="23" width="19.28515625" style="264" customWidth="1"/>
    <col min="24" max="24" width="19.85546875" style="264" customWidth="1"/>
    <col min="25" max="25" width="1.85546875" style="264" customWidth="1"/>
    <col min="26" max="26" width="26.42578125" style="264" customWidth="1"/>
    <col min="27" max="27" width="19.85546875" style="264" customWidth="1"/>
    <col min="28" max="28" width="19.14062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13" t="str">
        <f>'TWU Chrts'!$A$1</f>
        <v>Texas Woman's University</v>
      </c>
      <c r="C2" s="1713"/>
      <c r="D2" s="1713"/>
      <c r="E2" s="1713"/>
      <c r="F2" s="1742"/>
      <c r="G2" s="160"/>
      <c r="H2" s="161"/>
      <c r="I2" s="320" t="str">
        <f>IF($B$2&lt;&gt;Input!$B$41,"Name Mismatch","")</f>
        <v/>
      </c>
      <c r="J2" s="168"/>
      <c r="K2" s="169"/>
      <c r="L2" s="169"/>
      <c r="M2" s="170"/>
      <c r="O2" s="835" t="s">
        <v>1200</v>
      </c>
      <c r="P2" s="36"/>
    </row>
    <row r="3" spans="1:28" ht="20.25">
      <c r="A3" s="184">
        <v>2</v>
      </c>
      <c r="B3" s="1713" t="str">
        <f>'Smmy Chrts'!$A$2</f>
        <v>For the Year Ended August 31, 2021</v>
      </c>
      <c r="C3" s="1713"/>
      <c r="D3" s="1713"/>
      <c r="E3" s="1713"/>
      <c r="F3" s="1742"/>
      <c r="G3" s="161"/>
      <c r="H3" s="161"/>
      <c r="I3" s="169"/>
      <c r="J3" s="168"/>
      <c r="K3" s="169"/>
      <c r="L3" s="169"/>
      <c r="M3" s="170"/>
      <c r="O3" s="74"/>
    </row>
    <row r="4" spans="1:28" ht="20.25">
      <c r="A4" s="184">
        <v>3</v>
      </c>
      <c r="B4" s="1713" t="str">
        <f>'Smmy Chrts'!$A$3</f>
        <v>Source: FY 2021 Annual Financial Report</v>
      </c>
      <c r="C4" s="1713"/>
      <c r="D4" s="1713"/>
      <c r="E4" s="1713"/>
      <c r="F4" s="1742"/>
      <c r="G4" s="161"/>
      <c r="H4" s="161"/>
      <c r="I4" s="169"/>
      <c r="J4" s="168"/>
      <c r="K4" s="169"/>
      <c r="L4" s="169"/>
      <c r="M4" s="169"/>
      <c r="N4" s="169"/>
      <c r="O4" s="169"/>
      <c r="P4" s="1744" t="s">
        <v>93</v>
      </c>
      <c r="Q4" s="1745"/>
      <c r="T4" s="36" t="s">
        <v>250</v>
      </c>
    </row>
    <row r="5" spans="1:28">
      <c r="A5" s="184">
        <v>4</v>
      </c>
      <c r="B5" s="160"/>
      <c r="C5" s="160"/>
      <c r="D5" s="160"/>
      <c r="E5" s="160"/>
      <c r="F5" s="160"/>
      <c r="G5" s="160"/>
      <c r="H5" s="160"/>
      <c r="I5" s="160"/>
      <c r="J5" s="160"/>
      <c r="K5" s="160"/>
      <c r="L5" s="160"/>
      <c r="M5" s="166"/>
      <c r="O5" s="262"/>
    </row>
    <row r="6" spans="1:28">
      <c r="A6" s="184">
        <v>5</v>
      </c>
      <c r="B6" s="1715" t="str">
        <f>'Smmy Chrts'!$C$32</f>
        <v>Detail Worksheet FY 2021</v>
      </c>
      <c r="C6" s="1715"/>
      <c r="D6" s="1743"/>
      <c r="E6" s="1743"/>
      <c r="F6" s="1743"/>
      <c r="G6" s="1743"/>
      <c r="H6" s="1743"/>
      <c r="I6" s="1743"/>
      <c r="J6" s="1743"/>
      <c r="K6" s="1743"/>
      <c r="L6" s="1743"/>
      <c r="M6" s="1743"/>
      <c r="O6" s="265"/>
    </row>
    <row r="7" spans="1:28">
      <c r="A7" s="184">
        <v>6</v>
      </c>
      <c r="B7" s="172"/>
      <c r="C7" s="172"/>
      <c r="D7" s="160"/>
      <c r="E7" s="160"/>
      <c r="F7" s="160"/>
      <c r="G7" s="160"/>
      <c r="H7" s="160"/>
      <c r="I7" s="160"/>
      <c r="J7" s="160"/>
      <c r="K7" s="160"/>
      <c r="L7" s="160"/>
      <c r="M7" s="173" t="str">
        <f>'Smmy Chrts'!$C$33</f>
        <v>FY 2021</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Input!$M$41</f>
        <v>75097158</v>
      </c>
      <c r="E10" s="372">
        <f>Input!$N$41</f>
        <v>0</v>
      </c>
      <c r="F10" s="372">
        <f>Input!$O$41</f>
        <v>0</v>
      </c>
      <c r="G10" s="372">
        <f>Input!$P$41</f>
        <v>0</v>
      </c>
      <c r="H10" s="372">
        <f>Input!$Q$41</f>
        <v>0</v>
      </c>
      <c r="I10" s="372">
        <f>Input!$R$41</f>
        <v>0</v>
      </c>
      <c r="J10" s="372">
        <f>Input!$S$41</f>
        <v>0</v>
      </c>
      <c r="K10" s="372">
        <f>Input!$T$41</f>
        <v>0</v>
      </c>
      <c r="L10" s="372">
        <f>Input!$U$41</f>
        <v>0</v>
      </c>
      <c r="M10" s="373">
        <f t="shared" ref="M10:M15" si="0">D10+E10+F10+G10+H10+I10+J10+K10+L10</f>
        <v>75097158</v>
      </c>
      <c r="N10" s="160"/>
      <c r="O10" s="271"/>
      <c r="P10" s="1718" t="s">
        <v>575</v>
      </c>
      <c r="U10" s="268"/>
    </row>
    <row r="11" spans="1:28">
      <c r="A11" s="184">
        <v>10</v>
      </c>
      <c r="B11" s="160" t="s">
        <v>2</v>
      </c>
      <c r="C11" s="160"/>
      <c r="D11" s="372">
        <f>Input!$V$41</f>
        <v>0</v>
      </c>
      <c r="E11" s="372">
        <f>Input!$W$41</f>
        <v>0</v>
      </c>
      <c r="F11" s="372">
        <f>Input!$X$41</f>
        <v>0</v>
      </c>
      <c r="G11" s="372">
        <f>Input!$Y$41</f>
        <v>6193003</v>
      </c>
      <c r="H11" s="372">
        <f>Input!$Z$41</f>
        <v>0</v>
      </c>
      <c r="I11" s="372">
        <f>Input!$AA$41</f>
        <v>0</v>
      </c>
      <c r="J11" s="372">
        <f>Input!$AB$41</f>
        <v>0</v>
      </c>
      <c r="K11" s="372">
        <f>Input!$AC$41</f>
        <v>0</v>
      </c>
      <c r="L11" s="372">
        <f>Input!$AD$41</f>
        <v>0</v>
      </c>
      <c r="M11" s="373">
        <f t="shared" si="0"/>
        <v>6193003</v>
      </c>
      <c r="N11" s="160"/>
      <c r="O11" s="482"/>
      <c r="P11" s="1719"/>
      <c r="U11" s="268"/>
    </row>
    <row r="12" spans="1:28" ht="12.75" hidden="1" customHeight="1">
      <c r="B12" s="160" t="s">
        <v>1410</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Input!$AN$41</f>
        <v>14554133</v>
      </c>
      <c r="E13" s="372">
        <f>Input!$AO$41</f>
        <v>0</v>
      </c>
      <c r="F13" s="372">
        <f>Input!$AP$41</f>
        <v>0</v>
      </c>
      <c r="G13" s="372">
        <f>Input!$AQ$41</f>
        <v>0</v>
      </c>
      <c r="H13" s="372">
        <f>Input!$AR$41</f>
        <v>0</v>
      </c>
      <c r="I13" s="372">
        <f>Input!$AS$41</f>
        <v>0</v>
      </c>
      <c r="J13" s="372">
        <f>Input!$AT$41</f>
        <v>0</v>
      </c>
      <c r="K13" s="372">
        <f>Input!$AU$41</f>
        <v>0</v>
      </c>
      <c r="L13" s="372">
        <f>Input!$AV$41</f>
        <v>0</v>
      </c>
      <c r="M13" s="373">
        <f t="shared" si="0"/>
        <v>14554133</v>
      </c>
      <c r="N13" s="160"/>
      <c r="O13" s="482" t="str">
        <f>IF(P13&lt;&gt;M13,"Out of Balance","Balanced")</f>
        <v>Balanced</v>
      </c>
      <c r="P13" s="484">
        <f>IFERROR(VLOOKUP($B$2,AMTLU,6,FALSE),0)</f>
        <v>14554133</v>
      </c>
      <c r="U13" s="268"/>
    </row>
    <row r="14" spans="1:28">
      <c r="A14" s="184">
        <v>13</v>
      </c>
      <c r="B14" s="160" t="s">
        <v>49</v>
      </c>
      <c r="C14" s="160"/>
      <c r="D14" s="372">
        <f>Input!$AW$41</f>
        <v>0</v>
      </c>
      <c r="E14" s="372">
        <f>Input!$AX$41</f>
        <v>0</v>
      </c>
      <c r="F14" s="372">
        <f>Input!$AY$41</f>
        <v>0</v>
      </c>
      <c r="G14" s="372">
        <f>Input!$AZ$41</f>
        <v>0</v>
      </c>
      <c r="H14" s="372">
        <f>Input!$BA$41</f>
        <v>0</v>
      </c>
      <c r="I14" s="372">
        <f>Input!$BB$41</f>
        <v>0</v>
      </c>
      <c r="J14" s="372">
        <f>Input!$BC$41</f>
        <v>0</v>
      </c>
      <c r="K14" s="372">
        <f>Input!$BD$41</f>
        <v>0</v>
      </c>
      <c r="L14" s="372">
        <f>Input!$BE$41</f>
        <v>0</v>
      </c>
      <c r="M14" s="373">
        <f t="shared" si="0"/>
        <v>0</v>
      </c>
      <c r="N14" s="160"/>
      <c r="O14" s="482"/>
      <c r="P14" s="485"/>
    </row>
    <row r="15" spans="1:28" ht="15">
      <c r="A15" s="184">
        <v>14</v>
      </c>
      <c r="B15" s="176" t="s">
        <v>3</v>
      </c>
      <c r="C15" s="176"/>
      <c r="D15" s="374">
        <f t="shared" ref="D15:L15" si="1">SUM(D10:D14)</f>
        <v>89651291</v>
      </c>
      <c r="E15" s="374">
        <f t="shared" si="1"/>
        <v>0</v>
      </c>
      <c r="F15" s="374">
        <f t="shared" si="1"/>
        <v>0</v>
      </c>
      <c r="G15" s="374">
        <f t="shared" si="1"/>
        <v>6193003</v>
      </c>
      <c r="H15" s="374">
        <f t="shared" si="1"/>
        <v>0</v>
      </c>
      <c r="I15" s="374">
        <f t="shared" si="1"/>
        <v>0</v>
      </c>
      <c r="J15" s="374">
        <f t="shared" si="1"/>
        <v>0</v>
      </c>
      <c r="K15" s="374">
        <f t="shared" si="1"/>
        <v>0</v>
      </c>
      <c r="L15" s="374">
        <f t="shared" si="1"/>
        <v>0</v>
      </c>
      <c r="M15" s="374">
        <f t="shared" si="0"/>
        <v>95844294</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58" t="s">
        <v>1042</v>
      </c>
      <c r="C18" s="558"/>
      <c r="D18" s="374">
        <f t="shared" ref="D18:L18" si="2">D23-SUM(D19:D22)</f>
        <v>38779077</v>
      </c>
      <c r="E18" s="374">
        <f t="shared" si="2"/>
        <v>85692866</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124471943</v>
      </c>
      <c r="V18" s="327"/>
      <c r="X18" s="330"/>
    </row>
    <row r="19" spans="1:26" s="264" customFormat="1" ht="12.75" customHeight="1" thickTop="1" thickBot="1">
      <c r="A19" s="263"/>
      <c r="B19" s="261" t="s">
        <v>722</v>
      </c>
      <c r="C19" s="261"/>
      <c r="D19" s="372">
        <f>Input!$BF$41</f>
        <v>0</v>
      </c>
      <c r="E19" s="372">
        <f>Input!$BG$41</f>
        <v>0</v>
      </c>
      <c r="F19" s="372">
        <f>Input!$BH$41</f>
        <v>0</v>
      </c>
      <c r="G19" s="372">
        <f>Input!$BI$41</f>
        <v>0</v>
      </c>
      <c r="H19" s="372">
        <f>Input!$BJ$41</f>
        <v>0</v>
      </c>
      <c r="I19" s="372">
        <f>Input!$BK$41</f>
        <v>0</v>
      </c>
      <c r="J19" s="372">
        <f>Input!$BL$41</f>
        <v>0</v>
      </c>
      <c r="K19" s="372">
        <f>Input!$BM$41</f>
        <v>0</v>
      </c>
      <c r="L19" s="372">
        <f>Input!$BN$41</f>
        <v>0</v>
      </c>
      <c r="M19" s="373">
        <f t="shared" si="3"/>
        <v>0</v>
      </c>
      <c r="O19" s="1732" t="s">
        <v>1294</v>
      </c>
      <c r="P19" s="1733"/>
      <c r="Q19" s="1733"/>
      <c r="R19" s="1734"/>
      <c r="T19" s="1735" t="s">
        <v>1043</v>
      </c>
      <c r="U19" s="1736"/>
      <c r="V19" s="1736"/>
      <c r="W19" s="1736"/>
      <c r="X19" s="1737"/>
    </row>
    <row r="20" spans="1:26" s="264" customFormat="1" ht="12.75" customHeight="1" thickTop="1">
      <c r="A20" s="263"/>
      <c r="B20" s="261" t="s">
        <v>723</v>
      </c>
      <c r="C20" s="261"/>
      <c r="D20" s="372">
        <f>Input!$BO$41</f>
        <v>0</v>
      </c>
      <c r="E20" s="372">
        <f>Input!$BP$41</f>
        <v>0</v>
      </c>
      <c r="F20" s="372">
        <f>Input!$BQ$41</f>
        <v>0</v>
      </c>
      <c r="G20" s="372">
        <f>Input!$BR$41</f>
        <v>0</v>
      </c>
      <c r="H20" s="372">
        <f>Input!$BS$41</f>
        <v>0</v>
      </c>
      <c r="I20" s="372">
        <f>Input!$BT$41</f>
        <v>0</v>
      </c>
      <c r="J20" s="372">
        <f>Input!$BU$41</f>
        <v>0</v>
      </c>
      <c r="K20" s="372">
        <f>Input!$BV$41</f>
        <v>0</v>
      </c>
      <c r="L20" s="372">
        <f>Input!$BW$41</f>
        <v>0</v>
      </c>
      <c r="M20" s="373">
        <f t="shared" si="3"/>
        <v>0</v>
      </c>
      <c r="O20" s="421" t="s">
        <v>288</v>
      </c>
      <c r="P20" s="422"/>
      <c r="Q20" s="414"/>
      <c r="R20" s="559"/>
      <c r="T20" s="560" t="s">
        <v>1044</v>
      </c>
      <c r="U20" s="266"/>
      <c r="V20" s="266"/>
      <c r="X20" s="425"/>
    </row>
    <row r="21" spans="1:26" s="264" customFormat="1">
      <c r="A21" s="263"/>
      <c r="B21" s="261" t="s">
        <v>724</v>
      </c>
      <c r="C21" s="261"/>
      <c r="D21" s="372">
        <f>Input!$BX$41</f>
        <v>0</v>
      </c>
      <c r="E21" s="372">
        <f>Input!$BY$41</f>
        <v>0</v>
      </c>
      <c r="F21" s="372">
        <f>Input!$BZ$41</f>
        <v>0</v>
      </c>
      <c r="G21" s="372">
        <f>Input!$CA$41</f>
        <v>0</v>
      </c>
      <c r="H21" s="372">
        <f>Input!$CB$41</f>
        <v>0</v>
      </c>
      <c r="I21" s="372">
        <f>Input!$CC$41</f>
        <v>0</v>
      </c>
      <c r="J21" s="372">
        <f>Input!$CD$41</f>
        <v>0</v>
      </c>
      <c r="K21" s="372">
        <f>Input!$CE$41</f>
        <v>0</v>
      </c>
      <c r="L21" s="372">
        <f>Input!$CF$41</f>
        <v>0</v>
      </c>
      <c r="M21" s="373">
        <f t="shared" si="3"/>
        <v>0</v>
      </c>
      <c r="O21" s="434"/>
      <c r="R21" s="561"/>
      <c r="T21" s="650" t="s">
        <v>1045</v>
      </c>
      <c r="U21" s="266"/>
      <c r="V21" s="266"/>
      <c r="W21" s="651">
        <f>M44</f>
        <v>89161334</v>
      </c>
      <c r="X21" s="425"/>
      <c r="Z21" s="330"/>
    </row>
    <row r="22" spans="1:26" s="264" customFormat="1">
      <c r="A22" s="263"/>
      <c r="B22" s="261" t="s">
        <v>725</v>
      </c>
      <c r="C22" s="261"/>
      <c r="D22" s="372">
        <f>Input!$CG$41</f>
        <v>0</v>
      </c>
      <c r="E22" s="372">
        <f>Input!$CH$41</f>
        <v>0</v>
      </c>
      <c r="F22" s="372">
        <f>Input!$CI$41</f>
        <v>0</v>
      </c>
      <c r="G22" s="372">
        <f>Input!$CJ$41</f>
        <v>0</v>
      </c>
      <c r="H22" s="372">
        <f>Input!$CK$41</f>
        <v>0</v>
      </c>
      <c r="I22" s="372">
        <f>Input!$CL$41</f>
        <v>0</v>
      </c>
      <c r="J22" s="372">
        <f>Input!$CM$41</f>
        <v>0</v>
      </c>
      <c r="K22" s="372">
        <f>Input!$CN$41</f>
        <v>0</v>
      </c>
      <c r="L22" s="372">
        <f>Input!$CO$41</f>
        <v>0</v>
      </c>
      <c r="M22" s="373">
        <f t="shared" si="3"/>
        <v>0</v>
      </c>
      <c r="N22" s="270"/>
      <c r="O22" s="434" t="s">
        <v>1046</v>
      </c>
      <c r="P22" s="276"/>
      <c r="Q22" s="424">
        <f>M23</f>
        <v>124471943</v>
      </c>
      <c r="R22" s="562"/>
      <c r="T22" s="650" t="s">
        <v>1047</v>
      </c>
      <c r="U22" s="266"/>
      <c r="V22" s="266"/>
      <c r="W22" s="652">
        <f>R30*-1</f>
        <v>54386428</v>
      </c>
      <c r="X22" s="425"/>
    </row>
    <row r="23" spans="1:26" s="264" customFormat="1" ht="12.75" customHeight="1">
      <c r="A23" s="263"/>
      <c r="B23" s="558" t="s">
        <v>726</v>
      </c>
      <c r="C23" s="563"/>
      <c r="D23" s="564">
        <f>Input!$CP$41</f>
        <v>38779077</v>
      </c>
      <c r="E23" s="564">
        <f>Input!$CQ$41</f>
        <v>85692866</v>
      </c>
      <c r="F23" s="564">
        <f>Input!$CR$41</f>
        <v>0</v>
      </c>
      <c r="G23" s="564">
        <f>Input!$CS$41</f>
        <v>0</v>
      </c>
      <c r="H23" s="564">
        <f>Input!$CT$41</f>
        <v>0</v>
      </c>
      <c r="I23" s="564">
        <f>Input!$CU$41</f>
        <v>0</v>
      </c>
      <c r="J23" s="564">
        <f>Input!$CV$41</f>
        <v>0</v>
      </c>
      <c r="K23" s="564">
        <f>Input!$CW$41</f>
        <v>0</v>
      </c>
      <c r="L23" s="564">
        <f>Input!$CX$41</f>
        <v>0</v>
      </c>
      <c r="M23" s="565">
        <f t="shared" si="3"/>
        <v>124471943</v>
      </c>
      <c r="O23" s="434"/>
      <c r="P23" s="276"/>
      <c r="Q23" s="424"/>
      <c r="R23" s="562"/>
      <c r="T23" s="560" t="s">
        <v>1230</v>
      </c>
      <c r="U23" s="266"/>
      <c r="V23" s="266"/>
      <c r="W23" s="276"/>
      <c r="X23" s="425">
        <f>SUM(W21:W22)</f>
        <v>143547762</v>
      </c>
      <c r="Z23" s="330"/>
    </row>
    <row r="24" spans="1:26" s="264" customFormat="1" ht="12.75" customHeight="1">
      <c r="A24" s="263"/>
      <c r="B24" s="261" t="s">
        <v>727</v>
      </c>
      <c r="C24" s="566"/>
      <c r="D24" s="372">
        <f>Input!$CY$41</f>
        <v>-5958562</v>
      </c>
      <c r="E24" s="372">
        <f>Input!$CZ$41</f>
        <v>0</v>
      </c>
      <c r="F24" s="372">
        <f>Input!$DA$41</f>
        <v>0</v>
      </c>
      <c r="G24" s="372">
        <f>Input!$DB$41</f>
        <v>0</v>
      </c>
      <c r="H24" s="372">
        <f>Input!$DC$41</f>
        <v>0</v>
      </c>
      <c r="I24" s="372">
        <f>Input!$DD$41</f>
        <v>0</v>
      </c>
      <c r="J24" s="372">
        <f>Input!$DE$41</f>
        <v>0</v>
      </c>
      <c r="K24" s="372">
        <f>Input!$DF$41</f>
        <v>0</v>
      </c>
      <c r="L24" s="372">
        <f>Input!$DG$41</f>
        <v>0</v>
      </c>
      <c r="M24" s="567">
        <f t="shared" si="3"/>
        <v>-5958562</v>
      </c>
      <c r="O24" s="417" t="s">
        <v>1048</v>
      </c>
      <c r="P24" s="276"/>
      <c r="Q24" s="327"/>
      <c r="R24" s="646">
        <f>SUM(M24:M28)</f>
        <v>-11299777</v>
      </c>
      <c r="T24" s="560"/>
      <c r="U24" s="266"/>
      <c r="V24" s="266"/>
      <c r="X24" s="425"/>
      <c r="Z24" s="330"/>
    </row>
    <row r="25" spans="1:26" s="264" customFormat="1" ht="12.75" customHeight="1">
      <c r="A25" s="263"/>
      <c r="B25" s="261" t="s">
        <v>728</v>
      </c>
      <c r="C25" s="566"/>
      <c r="D25" s="372">
        <f>Input!$DH$41</f>
        <v>0</v>
      </c>
      <c r="E25" s="372">
        <f>Input!$DI$41</f>
        <v>-40224</v>
      </c>
      <c r="F25" s="372">
        <f>Input!$DJ$41</f>
        <v>0</v>
      </c>
      <c r="G25" s="372">
        <f>Input!$DK$41</f>
        <v>0</v>
      </c>
      <c r="H25" s="372">
        <f>Input!$DL$41</f>
        <v>0</v>
      </c>
      <c r="I25" s="372">
        <f>Input!$DM$41</f>
        <v>0</v>
      </c>
      <c r="J25" s="372">
        <f>Input!$DN$41</f>
        <v>0</v>
      </c>
      <c r="K25" s="372">
        <f>Input!$DO$41</f>
        <v>0</v>
      </c>
      <c r="L25" s="372">
        <f>Input!$DP$41</f>
        <v>0</v>
      </c>
      <c r="M25" s="567">
        <f t="shared" si="3"/>
        <v>-40224</v>
      </c>
      <c r="O25" s="434"/>
      <c r="P25" s="276"/>
      <c r="Q25" s="327"/>
      <c r="R25" s="646"/>
      <c r="T25" s="568" t="s">
        <v>1103</v>
      </c>
      <c r="U25" s="569"/>
      <c r="V25" s="569"/>
      <c r="W25" s="653">
        <f>(M26+M39)*-1</f>
        <v>5555756</v>
      </c>
      <c r="X25" s="425"/>
      <c r="Z25" s="330"/>
    </row>
    <row r="26" spans="1:26" s="264" customFormat="1" ht="12.75" customHeight="1">
      <c r="A26" s="263"/>
      <c r="B26" s="261" t="s">
        <v>729</v>
      </c>
      <c r="C26" s="566"/>
      <c r="D26" s="372">
        <f>Input!$DQ$41</f>
        <v>-2419468</v>
      </c>
      <c r="E26" s="372">
        <f>Input!$DR$41</f>
        <v>0</v>
      </c>
      <c r="F26" s="372">
        <f>Input!$DS$41</f>
        <v>0</v>
      </c>
      <c r="G26" s="372">
        <f>Input!$DT$41</f>
        <v>0</v>
      </c>
      <c r="H26" s="372">
        <f>Input!$DU$41</f>
        <v>0</v>
      </c>
      <c r="I26" s="372">
        <f>Input!$DV$41</f>
        <v>0</v>
      </c>
      <c r="J26" s="372">
        <f>Input!$DW$41</f>
        <v>0</v>
      </c>
      <c r="K26" s="372">
        <f>Input!$DX$41</f>
        <v>0</v>
      </c>
      <c r="L26" s="372">
        <f>Input!$DY$41</f>
        <v>0</v>
      </c>
      <c r="M26" s="567">
        <f t="shared" si="3"/>
        <v>-2419468</v>
      </c>
      <c r="O26" s="434" t="s">
        <v>1049</v>
      </c>
      <c r="P26" s="276"/>
      <c r="Q26" s="427">
        <f>M36</f>
        <v>19075819</v>
      </c>
      <c r="R26" s="570"/>
      <c r="T26" s="560" t="s">
        <v>1104</v>
      </c>
      <c r="U26" s="266"/>
      <c r="V26" s="266"/>
      <c r="W26" s="571">
        <f>(M21+M34)*-1</f>
        <v>0</v>
      </c>
      <c r="X26" s="425"/>
      <c r="Z26" s="330"/>
    </row>
    <row r="27" spans="1:26" s="264" customFormat="1">
      <c r="A27" s="263"/>
      <c r="B27" s="261" t="s">
        <v>730</v>
      </c>
      <c r="C27" s="566"/>
      <c r="D27" s="372">
        <f>Input!$DZ$41</f>
        <v>0</v>
      </c>
      <c r="E27" s="372">
        <f>Input!$EA$41</f>
        <v>-2881523</v>
      </c>
      <c r="F27" s="372">
        <f>Input!$EB$41</f>
        <v>0</v>
      </c>
      <c r="G27" s="372">
        <f>Input!$EC$41</f>
        <v>0</v>
      </c>
      <c r="H27" s="372">
        <f>Input!$ED$41</f>
        <v>0</v>
      </c>
      <c r="I27" s="372">
        <f>Input!$EE$41</f>
        <v>0</v>
      </c>
      <c r="J27" s="372">
        <f>Input!$EF$41</f>
        <v>0</v>
      </c>
      <c r="K27" s="372">
        <f>Input!$EG$41</f>
        <v>0</v>
      </c>
      <c r="L27" s="372">
        <f>Input!EH6</f>
        <v>0</v>
      </c>
      <c r="M27" s="567">
        <f t="shared" si="3"/>
        <v>-2881523</v>
      </c>
      <c r="O27" s="434"/>
      <c r="P27" s="276"/>
      <c r="Q27" s="427"/>
      <c r="R27" s="570"/>
      <c r="T27" s="650" t="s">
        <v>1105</v>
      </c>
      <c r="U27" s="584"/>
      <c r="V27" s="584"/>
      <c r="W27" s="654">
        <f>SUM(W25:W26)</f>
        <v>5555756</v>
      </c>
      <c r="X27" s="655"/>
    </row>
    <row r="28" spans="1:26" s="264" customFormat="1">
      <c r="A28" s="263"/>
      <c r="B28" s="261" t="s">
        <v>2133</v>
      </c>
      <c r="C28" s="566"/>
      <c r="D28" s="372">
        <f>Input!$EI$41</f>
        <v>0</v>
      </c>
      <c r="E28" s="372">
        <f>Input!$EJ$41</f>
        <v>0</v>
      </c>
      <c r="F28" s="372">
        <f>Input!$EK$41</f>
        <v>0</v>
      </c>
      <c r="G28" s="372">
        <f>Input!$EL$41</f>
        <v>0</v>
      </c>
      <c r="H28" s="372">
        <f>Input!$EM$41</f>
        <v>0</v>
      </c>
      <c r="I28" s="372">
        <f>Input!$EN$41</f>
        <v>0</v>
      </c>
      <c r="J28" s="372">
        <f>Input!$EO$41</f>
        <v>0</v>
      </c>
      <c r="K28" s="372">
        <f>Input!$EP$41</f>
        <v>0</v>
      </c>
      <c r="L28" s="372">
        <f>Input!$EQ$41</f>
        <v>0</v>
      </c>
      <c r="M28" s="567">
        <f t="shared" si="3"/>
        <v>0</v>
      </c>
      <c r="O28" s="417" t="s">
        <v>1050</v>
      </c>
      <c r="Q28" s="429"/>
      <c r="R28" s="646">
        <f>SUM(M37:M41)</f>
        <v>-43086651</v>
      </c>
      <c r="T28" s="560" t="s">
        <v>1106</v>
      </c>
      <c r="U28" s="266"/>
      <c r="V28" s="266"/>
      <c r="W28" s="425">
        <f>(M27+M40)*-1</f>
        <v>2882444</v>
      </c>
      <c r="X28" s="655"/>
      <c r="Z28" s="330"/>
    </row>
    <row r="29" spans="1:26" s="264" customFormat="1" ht="12" customHeight="1">
      <c r="A29" s="263"/>
      <c r="B29" s="575" t="s">
        <v>39</v>
      </c>
      <c r="C29" s="563"/>
      <c r="D29" s="374">
        <f t="shared" ref="D29:L29" si="4">SUM(D23:D28)</f>
        <v>30401047</v>
      </c>
      <c r="E29" s="374">
        <f t="shared" si="4"/>
        <v>82771119</v>
      </c>
      <c r="F29" s="374">
        <f t="shared" si="4"/>
        <v>0</v>
      </c>
      <c r="G29" s="374">
        <f t="shared" si="4"/>
        <v>0</v>
      </c>
      <c r="H29" s="374">
        <f t="shared" si="4"/>
        <v>0</v>
      </c>
      <c r="I29" s="374">
        <f t="shared" si="4"/>
        <v>0</v>
      </c>
      <c r="J29" s="374">
        <f t="shared" si="4"/>
        <v>0</v>
      </c>
      <c r="K29" s="374">
        <f t="shared" si="4"/>
        <v>0</v>
      </c>
      <c r="L29" s="374">
        <f t="shared" si="4"/>
        <v>0</v>
      </c>
      <c r="M29" s="374">
        <f t="shared" si="3"/>
        <v>113172166</v>
      </c>
      <c r="O29" s="417"/>
      <c r="Q29" s="429"/>
      <c r="R29" s="576"/>
      <c r="T29" s="560" t="s">
        <v>1107</v>
      </c>
      <c r="U29" s="266"/>
      <c r="V29" s="266"/>
      <c r="W29" s="571">
        <f>(M22+M35)*-1</f>
        <v>0</v>
      </c>
      <c r="X29" s="655"/>
    </row>
    <row r="30" spans="1:26" s="264" customFormat="1" ht="16.5" customHeight="1">
      <c r="A30" s="263"/>
      <c r="B30" s="261"/>
      <c r="C30" s="566"/>
      <c r="D30" s="566"/>
      <c r="E30" s="566"/>
      <c r="F30" s="566"/>
      <c r="G30" s="566"/>
      <c r="H30" s="566"/>
      <c r="I30" s="566"/>
      <c r="J30" s="566"/>
      <c r="K30" s="566"/>
      <c r="L30" s="566"/>
      <c r="M30" s="567"/>
      <c r="O30" s="431" t="s">
        <v>289</v>
      </c>
      <c r="P30" s="432"/>
      <c r="Q30" s="433">
        <f>Q26+Q22</f>
        <v>143547762</v>
      </c>
      <c r="R30" s="647">
        <f>R28+R24</f>
        <v>-54386428</v>
      </c>
      <c r="T30" s="650" t="s">
        <v>1108</v>
      </c>
      <c r="U30" s="584"/>
      <c r="V30" s="584"/>
      <c r="W30" s="654">
        <f>SUM(W28:W29)</f>
        <v>2882444</v>
      </c>
      <c r="X30" s="655"/>
    </row>
    <row r="31" spans="1:26" s="264" customFormat="1" ht="12.75" customHeight="1">
      <c r="A31" s="263"/>
      <c r="B31" s="558" t="s">
        <v>1052</v>
      </c>
      <c r="C31" s="558"/>
      <c r="D31" s="374">
        <f t="shared" ref="D31:L31" si="5">D36-SUM(D32:D35)</f>
        <v>581559</v>
      </c>
      <c r="E31" s="374">
        <f t="shared" si="5"/>
        <v>18494260</v>
      </c>
      <c r="F31" s="374">
        <f t="shared" si="5"/>
        <v>0</v>
      </c>
      <c r="G31" s="374">
        <f t="shared" si="5"/>
        <v>0</v>
      </c>
      <c r="H31" s="374">
        <f t="shared" si="5"/>
        <v>0</v>
      </c>
      <c r="I31" s="374">
        <f t="shared" si="5"/>
        <v>0</v>
      </c>
      <c r="J31" s="374">
        <f t="shared" si="5"/>
        <v>0</v>
      </c>
      <c r="K31" s="374">
        <f t="shared" si="5"/>
        <v>0</v>
      </c>
      <c r="L31" s="374">
        <f t="shared" si="5"/>
        <v>0</v>
      </c>
      <c r="M31" s="374">
        <f t="shared" ref="M31:M42" si="6">D31+E31+F31+G31+H31+I31+J31+K31+L31</f>
        <v>19075819</v>
      </c>
      <c r="O31" s="434" t="s">
        <v>290</v>
      </c>
      <c r="P31" s="276"/>
      <c r="Q31" s="335"/>
      <c r="R31" s="562"/>
      <c r="T31" s="572" t="s">
        <v>1109</v>
      </c>
      <c r="U31" s="573"/>
      <c r="V31" s="573"/>
      <c r="W31" s="574">
        <f>W27+W30</f>
        <v>8438200</v>
      </c>
      <c r="X31" s="425"/>
      <c r="Z31" s="330"/>
    </row>
    <row r="32" spans="1:26" s="264" customFormat="1" ht="12.75" customHeight="1">
      <c r="A32" s="263"/>
      <c r="B32" s="261" t="s">
        <v>722</v>
      </c>
      <c r="C32" s="261"/>
      <c r="D32" s="372">
        <f>Input!$ER$41</f>
        <v>0</v>
      </c>
      <c r="E32" s="372">
        <f>Input!$ES$41</f>
        <v>0</v>
      </c>
      <c r="F32" s="372">
        <f>Input!$ET$41</f>
        <v>0</v>
      </c>
      <c r="G32" s="372">
        <f>Input!$EU$41</f>
        <v>0</v>
      </c>
      <c r="H32" s="372">
        <f>Input!$EV$41</f>
        <v>0</v>
      </c>
      <c r="I32" s="372">
        <f>Input!$EW$41</f>
        <v>0</v>
      </c>
      <c r="J32" s="372">
        <f>Input!$EX$41</f>
        <v>0</v>
      </c>
      <c r="K32" s="372">
        <f>Input!$EY$41</f>
        <v>0</v>
      </c>
      <c r="L32" s="372">
        <f>Input!$EZ$41</f>
        <v>0</v>
      </c>
      <c r="M32" s="567">
        <f t="shared" si="6"/>
        <v>0</v>
      </c>
      <c r="O32" s="415" t="s">
        <v>1295</v>
      </c>
      <c r="P32" s="416"/>
      <c r="Q32" s="577">
        <f>Input!$SQ$41</f>
        <v>143547762</v>
      </c>
      <c r="R32" s="578"/>
      <c r="T32" s="560"/>
      <c r="U32" s="266"/>
      <c r="V32" s="266"/>
      <c r="X32" s="425"/>
      <c r="Z32" s="330"/>
    </row>
    <row r="33" spans="1:24" s="264" customFormat="1">
      <c r="A33" s="263"/>
      <c r="B33" s="261" t="s">
        <v>723</v>
      </c>
      <c r="C33" s="261"/>
      <c r="D33" s="372">
        <f>Input!$FA$41</f>
        <v>0</v>
      </c>
      <c r="E33" s="372">
        <f>Input!$FB$41</f>
        <v>0</v>
      </c>
      <c r="F33" s="372">
        <f>Input!$FC$41</f>
        <v>0</v>
      </c>
      <c r="G33" s="372">
        <f>Input!$FD$41</f>
        <v>0</v>
      </c>
      <c r="H33" s="372">
        <f>Input!$FE$41</f>
        <v>0</v>
      </c>
      <c r="I33" s="372">
        <f>Input!$FF$41</f>
        <v>0</v>
      </c>
      <c r="J33" s="372">
        <f>Input!$FG$41</f>
        <v>0</v>
      </c>
      <c r="K33" s="372">
        <f>Input!$FH$41</f>
        <v>0</v>
      </c>
      <c r="L33" s="372">
        <f>Input!$FI$41</f>
        <v>0</v>
      </c>
      <c r="M33" s="567">
        <f t="shared" si="6"/>
        <v>0</v>
      </c>
      <c r="O33" s="415"/>
      <c r="P33" s="416"/>
      <c r="Q33" s="327"/>
      <c r="R33" s="578"/>
      <c r="T33" s="560" t="s">
        <v>1051</v>
      </c>
      <c r="U33" s="266"/>
      <c r="V33" s="266"/>
      <c r="W33" s="334">
        <f>(M19+M32)*-1</f>
        <v>0</v>
      </c>
      <c r="X33" s="425"/>
    </row>
    <row r="34" spans="1:24" s="264" customFormat="1">
      <c r="A34" s="263"/>
      <c r="B34" s="261" t="s">
        <v>724</v>
      </c>
      <c r="C34" s="261"/>
      <c r="D34" s="372">
        <f>Input!$FJ$41</f>
        <v>0</v>
      </c>
      <c r="E34" s="372">
        <f>Input!$FK$41</f>
        <v>0</v>
      </c>
      <c r="F34" s="372">
        <f>Input!$FL$41</f>
        <v>0</v>
      </c>
      <c r="G34" s="372">
        <f>Input!$FM$41</f>
        <v>0</v>
      </c>
      <c r="H34" s="372">
        <f>Input!$FN$41</f>
        <v>0</v>
      </c>
      <c r="I34" s="372">
        <f>Input!$FO$41</f>
        <v>0</v>
      </c>
      <c r="J34" s="372">
        <f>Input!$FP$41</f>
        <v>0</v>
      </c>
      <c r="K34" s="372">
        <f>Input!$FQ$41</f>
        <v>0</v>
      </c>
      <c r="L34" s="372">
        <f>Input!$FR$41</f>
        <v>0</v>
      </c>
      <c r="M34" s="567">
        <f t="shared" si="6"/>
        <v>0</v>
      </c>
      <c r="O34" s="435" t="s">
        <v>1296</v>
      </c>
      <c r="P34" s="436"/>
      <c r="Q34" s="264" t="s">
        <v>291</v>
      </c>
      <c r="R34" s="648">
        <f>Input!$SR$41</f>
        <v>-54386428</v>
      </c>
      <c r="T34" s="560" t="s">
        <v>1110</v>
      </c>
      <c r="U34" s="266"/>
      <c r="V34" s="266"/>
      <c r="W34" s="430">
        <f>(M24+M37)*-1</f>
        <v>6045732</v>
      </c>
      <c r="X34" s="425"/>
    </row>
    <row r="35" spans="1:24" s="264" customFormat="1" ht="13.5" thickBot="1">
      <c r="A35" s="263"/>
      <c r="B35" s="261" t="s">
        <v>725</v>
      </c>
      <c r="C35" s="261"/>
      <c r="D35" s="372">
        <f>Input!$FS$41</f>
        <v>0</v>
      </c>
      <c r="E35" s="372">
        <f>Input!$FT$41</f>
        <v>0</v>
      </c>
      <c r="F35" s="372">
        <f>Input!$FU$41</f>
        <v>0</v>
      </c>
      <c r="G35" s="372">
        <f>Input!$FV$41</f>
        <v>0</v>
      </c>
      <c r="H35" s="372">
        <f>Input!$FW$41</f>
        <v>0</v>
      </c>
      <c r="I35" s="372">
        <f>Input!$FX$41</f>
        <v>0</v>
      </c>
      <c r="J35" s="372">
        <f>Input!$FY$41</f>
        <v>0</v>
      </c>
      <c r="K35" s="372">
        <f>Input!$FZ$41</f>
        <v>0</v>
      </c>
      <c r="L35" s="372">
        <f>Input!$GA$41</f>
        <v>0</v>
      </c>
      <c r="M35" s="567">
        <f t="shared" si="6"/>
        <v>0</v>
      </c>
      <c r="O35" s="418" t="s">
        <v>286</v>
      </c>
      <c r="P35" s="419"/>
      <c r="Q35" s="420">
        <f>Q30-Q32</f>
        <v>0</v>
      </c>
      <c r="R35" s="649">
        <f>R30-R34</f>
        <v>0</v>
      </c>
      <c r="T35" s="650" t="s">
        <v>1111</v>
      </c>
      <c r="U35" s="584"/>
      <c r="V35" s="584"/>
      <c r="W35" s="656">
        <f>SUM(W33:W34)</f>
        <v>6045732</v>
      </c>
      <c r="X35" s="655"/>
    </row>
    <row r="36" spans="1:24" s="264" customFormat="1" ht="13.5" thickTop="1">
      <c r="A36" s="263"/>
      <c r="B36" s="558" t="s">
        <v>732</v>
      </c>
      <c r="C36" s="563"/>
      <c r="D36" s="564">
        <f>Input!$GB$41</f>
        <v>581559</v>
      </c>
      <c r="E36" s="564">
        <f>Input!$GC$41</f>
        <v>18494260</v>
      </c>
      <c r="F36" s="564">
        <f>Input!$GD$41</f>
        <v>0</v>
      </c>
      <c r="G36" s="564">
        <f>Input!$GE$41</f>
        <v>0</v>
      </c>
      <c r="H36" s="564">
        <f>Input!$GF$41</f>
        <v>0</v>
      </c>
      <c r="I36" s="564">
        <f>Input!$GG$41</f>
        <v>0</v>
      </c>
      <c r="J36" s="564">
        <f>Input!$GH$41</f>
        <v>0</v>
      </c>
      <c r="K36" s="564">
        <f>Input!$GI$41</f>
        <v>0</v>
      </c>
      <c r="L36" s="564">
        <f>Input!$GJ$41</f>
        <v>0</v>
      </c>
      <c r="M36" s="565">
        <f t="shared" si="6"/>
        <v>19075819</v>
      </c>
      <c r="O36" s="261"/>
      <c r="Q36" s="412" t="str">
        <f>IF(Q30&lt;&gt;Q32,"Out of Balance","Balanced")</f>
        <v>Balanced</v>
      </c>
      <c r="R36" s="412" t="str">
        <f>IF(R30&lt;&gt;R34,"Out of Balance","Balanced")</f>
        <v>Balanced</v>
      </c>
      <c r="T36" s="560" t="s">
        <v>1053</v>
      </c>
      <c r="U36" s="266"/>
      <c r="V36" s="266"/>
      <c r="W36" s="334">
        <f>(M20+M33)*-1</f>
        <v>0</v>
      </c>
      <c r="X36" s="425"/>
    </row>
    <row r="37" spans="1:24" s="264" customFormat="1">
      <c r="A37" s="263"/>
      <c r="B37" s="261" t="s">
        <v>727</v>
      </c>
      <c r="C37" s="566"/>
      <c r="D37" s="372">
        <f>Input!$GK$41</f>
        <v>-87170</v>
      </c>
      <c r="E37" s="372">
        <f>Input!$GL$41</f>
        <v>0</v>
      </c>
      <c r="F37" s="372">
        <f>Input!$GM$41</f>
        <v>0</v>
      </c>
      <c r="G37" s="372">
        <f>Input!$GN$41</f>
        <v>0</v>
      </c>
      <c r="H37" s="372">
        <f>Input!$GO$41</f>
        <v>0</v>
      </c>
      <c r="I37" s="372">
        <f>Input!$GP$41</f>
        <v>0</v>
      </c>
      <c r="J37" s="372">
        <f>Input!$GQ$41</f>
        <v>0</v>
      </c>
      <c r="K37" s="372">
        <f>Input!$GR$41</f>
        <v>0</v>
      </c>
      <c r="L37" s="372">
        <f>Input!$GS$41</f>
        <v>0</v>
      </c>
      <c r="M37" s="567">
        <f t="shared" si="6"/>
        <v>-87170</v>
      </c>
      <c r="O37" s="261"/>
      <c r="T37" s="560" t="s">
        <v>1112</v>
      </c>
      <c r="U37" s="266"/>
      <c r="V37" s="266"/>
      <c r="W37" s="430">
        <f>(M25+M38)*-1</f>
        <v>42549</v>
      </c>
      <c r="X37" s="655"/>
    </row>
    <row r="38" spans="1:24" s="264" customFormat="1">
      <c r="A38" s="263"/>
      <c r="B38" s="261" t="s">
        <v>728</v>
      </c>
      <c r="C38" s="566"/>
      <c r="D38" s="372">
        <f>Input!$GT$41</f>
        <v>0</v>
      </c>
      <c r="E38" s="372">
        <f>Input!$GU$41</f>
        <v>-2325</v>
      </c>
      <c r="F38" s="372">
        <f>Input!$GV$41</f>
        <v>0</v>
      </c>
      <c r="G38" s="372">
        <f>Input!$GW$41</f>
        <v>0</v>
      </c>
      <c r="H38" s="372">
        <f>Input!$GX$41</f>
        <v>0</v>
      </c>
      <c r="I38" s="372">
        <f>Input!$GY$41</f>
        <v>0</v>
      </c>
      <c r="J38" s="372">
        <f>Input!$GZ$41</f>
        <v>0</v>
      </c>
      <c r="K38" s="372">
        <f>Input!$HA$41</f>
        <v>0</v>
      </c>
      <c r="L38" s="372">
        <f>Input!$HB$41</f>
        <v>0</v>
      </c>
      <c r="M38" s="567">
        <f t="shared" si="6"/>
        <v>-2325</v>
      </c>
      <c r="O38" s="261"/>
      <c r="T38" s="650" t="s">
        <v>1113</v>
      </c>
      <c r="U38" s="584"/>
      <c r="V38" s="584"/>
      <c r="W38" s="656">
        <f>SUM(W36:W37)</f>
        <v>42549</v>
      </c>
      <c r="X38" s="425"/>
    </row>
    <row r="39" spans="1:24" s="264" customFormat="1">
      <c r="A39" s="263"/>
      <c r="B39" s="261" t="s">
        <v>729</v>
      </c>
      <c r="C39" s="566"/>
      <c r="D39" s="372">
        <f>Input!$HC$41</f>
        <v>-3136288</v>
      </c>
      <c r="E39" s="372">
        <f>Input!$HD$41</f>
        <v>0</v>
      </c>
      <c r="F39" s="372">
        <f>Input!$HE$41</f>
        <v>0</v>
      </c>
      <c r="G39" s="372">
        <f>Input!$HF$41</f>
        <v>0</v>
      </c>
      <c r="H39" s="372">
        <f>Input!$HG$41</f>
        <v>0</v>
      </c>
      <c r="I39" s="372">
        <f>Input!$HH$41</f>
        <v>0</v>
      </c>
      <c r="J39" s="372">
        <f>Input!$HI$41</f>
        <v>0</v>
      </c>
      <c r="K39" s="372">
        <f>Input!$HJ$41</f>
        <v>0</v>
      </c>
      <c r="L39" s="372">
        <f>Input!$HK$41</f>
        <v>0</v>
      </c>
      <c r="M39" s="567">
        <f t="shared" si="6"/>
        <v>-3136288</v>
      </c>
      <c r="O39" s="261"/>
      <c r="T39" s="560" t="s">
        <v>1054</v>
      </c>
      <c r="U39" s="266"/>
      <c r="V39" s="266"/>
      <c r="W39" s="334"/>
      <c r="X39" s="425">
        <f>W38+W35</f>
        <v>6088281</v>
      </c>
    </row>
    <row r="40" spans="1:24" s="264" customFormat="1">
      <c r="A40" s="263"/>
      <c r="B40" s="261" t="s">
        <v>730</v>
      </c>
      <c r="C40" s="566"/>
      <c r="D40" s="372">
        <f>Input!$HL$41</f>
        <v>0</v>
      </c>
      <c r="E40" s="372">
        <f>Input!$HM$41</f>
        <v>-921</v>
      </c>
      <c r="F40" s="372">
        <f>Input!$HN$41</f>
        <v>0</v>
      </c>
      <c r="G40" s="372">
        <f>Input!$HO$41</f>
        <v>0</v>
      </c>
      <c r="H40" s="372">
        <f>Input!$HP$41</f>
        <v>0</v>
      </c>
      <c r="I40" s="372">
        <f>Input!$HQ$41</f>
        <v>0</v>
      </c>
      <c r="J40" s="372">
        <f>Input!$HR$41</f>
        <v>0</v>
      </c>
      <c r="K40" s="372">
        <f>Input!$HS$41</f>
        <v>0</v>
      </c>
      <c r="L40" s="372">
        <f>Input!$HT$41</f>
        <v>0</v>
      </c>
      <c r="M40" s="567">
        <f t="shared" si="6"/>
        <v>-921</v>
      </c>
      <c r="O40" s="261"/>
      <c r="T40" s="560"/>
      <c r="U40" s="261"/>
      <c r="V40" s="261"/>
      <c r="W40" s="261"/>
      <c r="X40" s="655"/>
    </row>
    <row r="41" spans="1:24" s="264" customFormat="1">
      <c r="A41" s="263"/>
      <c r="B41" s="261" t="s">
        <v>2133</v>
      </c>
      <c r="C41" s="566"/>
      <c r="D41" s="372">
        <f>Input!$HU$41</f>
        <v>-10929553</v>
      </c>
      <c r="E41" s="372">
        <f>Input!$HV$41</f>
        <v>-28930394</v>
      </c>
      <c r="F41" s="372">
        <f>Input!$HW$41</f>
        <v>0</v>
      </c>
      <c r="G41" s="372">
        <f>Input!$HX$41</f>
        <v>0</v>
      </c>
      <c r="H41" s="372">
        <f>Input!$HY$41</f>
        <v>0</v>
      </c>
      <c r="I41" s="372">
        <f>Input!$HZ$41</f>
        <v>0</v>
      </c>
      <c r="J41" s="372">
        <f>Input!$IA$41</f>
        <v>0</v>
      </c>
      <c r="K41" s="372">
        <f>Input!$IB$41</f>
        <v>0</v>
      </c>
      <c r="L41" s="372">
        <f>Input!$IC$41</f>
        <v>0</v>
      </c>
      <c r="M41" s="567">
        <f t="shared" si="6"/>
        <v>-39859947</v>
      </c>
      <c r="O41"/>
      <c r="P41"/>
      <c r="Q41"/>
      <c r="R41"/>
      <c r="S41"/>
      <c r="T41" s="560" t="s">
        <v>1104</v>
      </c>
      <c r="U41" s="266"/>
      <c r="V41" s="266"/>
      <c r="W41" s="330">
        <f>(M21+M34)*-1</f>
        <v>0</v>
      </c>
      <c r="X41" s="425"/>
    </row>
    <row r="42" spans="1:24" s="264" customFormat="1">
      <c r="A42" s="263"/>
      <c r="B42" s="575" t="s">
        <v>40</v>
      </c>
      <c r="C42" s="563"/>
      <c r="D42" s="374">
        <f t="shared" ref="D42:L42" si="7">SUM(D36:D41)</f>
        <v>-13571452</v>
      </c>
      <c r="E42" s="374">
        <f t="shared" si="7"/>
        <v>-10439380</v>
      </c>
      <c r="F42" s="374">
        <f t="shared" si="7"/>
        <v>0</v>
      </c>
      <c r="G42" s="374">
        <f t="shared" si="7"/>
        <v>0</v>
      </c>
      <c r="H42" s="374">
        <f t="shared" si="7"/>
        <v>0</v>
      </c>
      <c r="I42" s="374">
        <f t="shared" si="7"/>
        <v>0</v>
      </c>
      <c r="J42" s="374">
        <f t="shared" si="7"/>
        <v>0</v>
      </c>
      <c r="K42" s="374">
        <f t="shared" si="7"/>
        <v>0</v>
      </c>
      <c r="L42" s="374">
        <f t="shared" si="7"/>
        <v>0</v>
      </c>
      <c r="M42" s="374">
        <f t="shared" si="6"/>
        <v>-24010832</v>
      </c>
      <c r="O42"/>
      <c r="P42"/>
      <c r="Q42"/>
      <c r="R42"/>
      <c r="S42"/>
      <c r="T42" s="560" t="s">
        <v>1107</v>
      </c>
      <c r="U42" s="266"/>
      <c r="V42" s="266"/>
      <c r="W42" s="430">
        <f>(M22+M35)*-1</f>
        <v>0</v>
      </c>
      <c r="X42" s="425"/>
    </row>
    <row r="43" spans="1:24" s="264" customFormat="1">
      <c r="A43" s="263"/>
      <c r="B43" s="261"/>
      <c r="C43" s="566"/>
      <c r="D43" s="566"/>
      <c r="E43" s="566"/>
      <c r="F43" s="566"/>
      <c r="G43" s="566"/>
      <c r="H43" s="566"/>
      <c r="I43" s="566"/>
      <c r="J43" s="566"/>
      <c r="K43" s="566"/>
      <c r="L43" s="566"/>
      <c r="M43" s="567"/>
      <c r="O43"/>
      <c r="P43"/>
      <c r="Q43"/>
      <c r="R43"/>
      <c r="S43"/>
      <c r="T43" s="650" t="s">
        <v>1114</v>
      </c>
      <c r="U43" s="584"/>
      <c r="V43" s="584"/>
      <c r="W43" s="656">
        <f>SUM(W41:W42)</f>
        <v>0</v>
      </c>
      <c r="X43" s="655"/>
    </row>
    <row r="44" spans="1:24" s="264" customFormat="1" ht="13.5" customHeight="1">
      <c r="A44" s="263"/>
      <c r="B44" s="575" t="s">
        <v>1055</v>
      </c>
      <c r="C44" s="563"/>
      <c r="D44" s="374">
        <f t="shared" ref="D44:L44" si="8">D42+D29</f>
        <v>16829595</v>
      </c>
      <c r="E44" s="374">
        <f t="shared" si="8"/>
        <v>72331739</v>
      </c>
      <c r="F44" s="374">
        <f t="shared" si="8"/>
        <v>0</v>
      </c>
      <c r="G44" s="374">
        <f t="shared" si="8"/>
        <v>0</v>
      </c>
      <c r="H44" s="374">
        <f t="shared" si="8"/>
        <v>0</v>
      </c>
      <c r="I44" s="374">
        <f t="shared" si="8"/>
        <v>0</v>
      </c>
      <c r="J44" s="374">
        <f t="shared" si="8"/>
        <v>0</v>
      </c>
      <c r="K44" s="374">
        <f t="shared" si="8"/>
        <v>0</v>
      </c>
      <c r="L44" s="374">
        <f t="shared" si="8"/>
        <v>0</v>
      </c>
      <c r="M44" s="374">
        <f>D44+E44+F44+G44+H44+I44+J44+K44+L44</f>
        <v>89161334</v>
      </c>
      <c r="O44"/>
      <c r="P44"/>
      <c r="Q44"/>
      <c r="R44"/>
      <c r="S44"/>
      <c r="T44" s="560"/>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0" t="s">
        <v>1110</v>
      </c>
      <c r="U45" s="266"/>
      <c r="V45" s="266"/>
      <c r="W45" s="334">
        <f>(M24+M37)*-1</f>
        <v>6045732</v>
      </c>
      <c r="X45" s="425"/>
    </row>
    <row r="46" spans="1:24">
      <c r="A46" s="184">
        <v>29</v>
      </c>
      <c r="B46" s="172" t="s">
        <v>6</v>
      </c>
      <c r="C46" s="172"/>
      <c r="D46" s="373"/>
      <c r="E46" s="373"/>
      <c r="F46" s="373"/>
      <c r="G46" s="373"/>
      <c r="H46" s="373"/>
      <c r="I46" s="373"/>
      <c r="J46" s="373"/>
      <c r="K46" s="373"/>
      <c r="L46" s="373"/>
      <c r="M46" s="373"/>
      <c r="N46" s="160"/>
      <c r="O46"/>
      <c r="P46"/>
      <c r="Q46"/>
      <c r="R46"/>
      <c r="S46"/>
      <c r="T46" s="560" t="s">
        <v>1112</v>
      </c>
      <c r="U46" s="266"/>
      <c r="V46" s="266"/>
      <c r="W46" s="430">
        <f>(M25+M38)*-1</f>
        <v>42549</v>
      </c>
      <c r="X46" s="425"/>
    </row>
    <row r="47" spans="1:24">
      <c r="A47" s="184">
        <v>30</v>
      </c>
      <c r="B47" s="176" t="s">
        <v>7</v>
      </c>
      <c r="C47" s="176"/>
      <c r="D47" s="375">
        <f>Input!$ID$41</f>
        <v>0</v>
      </c>
      <c r="E47" s="375">
        <f>Input!$IE$41</f>
        <v>0</v>
      </c>
      <c r="F47" s="375">
        <f>Input!$IF$41</f>
        <v>0</v>
      </c>
      <c r="G47" s="375">
        <f>Input!$IG$41</f>
        <v>42101935</v>
      </c>
      <c r="H47" s="375">
        <f>Input!$IH$41</f>
        <v>0</v>
      </c>
      <c r="I47" s="375">
        <f>Input!$II$41</f>
        <v>0</v>
      </c>
      <c r="J47" s="375">
        <f>Input!$IJ$41</f>
        <v>0</v>
      </c>
      <c r="K47" s="375">
        <f>Input!$IK$41</f>
        <v>0</v>
      </c>
      <c r="L47" s="375">
        <f>Input!$IL$41</f>
        <v>0</v>
      </c>
      <c r="M47" s="374">
        <f>D47+E47+F47+G47+H47+I47+J47+K47+L47</f>
        <v>42101935</v>
      </c>
      <c r="N47" s="160"/>
      <c r="O47"/>
      <c r="P47"/>
      <c r="Q47"/>
      <c r="R47"/>
      <c r="S47"/>
      <c r="T47" s="657" t="s">
        <v>1115</v>
      </c>
      <c r="U47" s="27"/>
      <c r="V47" s="27"/>
      <c r="W47" s="656">
        <f>SUM(W45:W46)</f>
        <v>6088281</v>
      </c>
      <c r="X47" s="655"/>
    </row>
    <row r="48" spans="1:24">
      <c r="A48" s="184">
        <v>31</v>
      </c>
      <c r="B48" s="160"/>
      <c r="C48" s="160"/>
      <c r="D48" s="373"/>
      <c r="E48" s="373"/>
      <c r="F48" s="373"/>
      <c r="G48" s="373"/>
      <c r="H48" s="373"/>
      <c r="I48" s="373"/>
      <c r="J48" s="373"/>
      <c r="K48" s="373"/>
      <c r="L48" s="373"/>
      <c r="M48" s="373"/>
      <c r="N48" s="160"/>
      <c r="O48"/>
      <c r="P48"/>
      <c r="Q48"/>
      <c r="R48"/>
      <c r="S48"/>
      <c r="T48" s="560"/>
      <c r="U48" s="261"/>
      <c r="V48" s="261"/>
      <c r="W48" s="261"/>
      <c r="X48" s="658">
        <f>W43-W47</f>
        <v>-6088281</v>
      </c>
    </row>
    <row r="49" spans="1:28">
      <c r="A49" s="184">
        <v>32</v>
      </c>
      <c r="B49" s="172" t="s">
        <v>8</v>
      </c>
      <c r="C49" s="172"/>
      <c r="D49" s="373"/>
      <c r="E49" s="373"/>
      <c r="F49" s="373"/>
      <c r="G49" s="373"/>
      <c r="H49" s="373"/>
      <c r="I49" s="373"/>
      <c r="J49" s="373"/>
      <c r="K49" s="373"/>
      <c r="L49" s="373"/>
      <c r="M49" s="373"/>
      <c r="N49" s="160"/>
      <c r="O49" s="273"/>
      <c r="T49" s="579" t="s">
        <v>287</v>
      </c>
      <c r="U49" s="511"/>
      <c r="V49" s="580"/>
      <c r="W49" s="580"/>
      <c r="X49" s="574">
        <f>SUM(X23:X48)</f>
        <v>143547762</v>
      </c>
    </row>
    <row r="50" spans="1:28">
      <c r="A50" s="184">
        <v>33</v>
      </c>
      <c r="B50" s="160" t="s">
        <v>42</v>
      </c>
      <c r="C50" s="160"/>
      <c r="D50" s="372">
        <f>Input!$IM$41</f>
        <v>41894</v>
      </c>
      <c r="E50" s="372">
        <f>Input!$IN$41</f>
        <v>9189109</v>
      </c>
      <c r="F50" s="372">
        <f>Input!$IO$41</f>
        <v>95078</v>
      </c>
      <c r="G50" s="372">
        <f>Input!$IP$41</f>
        <v>88877</v>
      </c>
      <c r="H50" s="372">
        <f>Input!$IQ$41</f>
        <v>16368</v>
      </c>
      <c r="I50" s="372">
        <f>Input!$IR$41</f>
        <v>876728</v>
      </c>
      <c r="J50" s="372">
        <f>Input!$IS$41</f>
        <v>73091</v>
      </c>
      <c r="K50" s="372">
        <f>Input!$IT$41</f>
        <v>0</v>
      </c>
      <c r="L50" s="372">
        <f>Input!$IU$41</f>
        <v>0</v>
      </c>
      <c r="M50" s="373">
        <f t="shared" ref="M50:M57" si="9">D50+E50+F50+G50+H50+I50+J50+K50+L50</f>
        <v>10381145</v>
      </c>
      <c r="N50" s="160"/>
      <c r="O50" s="273"/>
      <c r="U50" s="275"/>
    </row>
    <row r="51" spans="1:28">
      <c r="A51" s="184">
        <v>34</v>
      </c>
      <c r="B51" s="160" t="s">
        <v>9</v>
      </c>
      <c r="C51" s="160"/>
      <c r="D51" s="372">
        <f>Input!$IV$41</f>
        <v>0</v>
      </c>
      <c r="E51" s="372">
        <f>Input!$IW$41</f>
        <v>0</v>
      </c>
      <c r="F51" s="372">
        <f>Input!$IX$41</f>
        <v>0</v>
      </c>
      <c r="G51" s="372">
        <f>Input!$IY$41</f>
        <v>1195291</v>
      </c>
      <c r="H51" s="372">
        <f>Input!$IZ$41</f>
        <v>0</v>
      </c>
      <c r="I51" s="372">
        <f>Input!$JA$41</f>
        <v>0</v>
      </c>
      <c r="J51" s="372">
        <f>Input!$JB$41</f>
        <v>0</v>
      </c>
      <c r="K51" s="372">
        <f>Input!$JC$41</f>
        <v>0</v>
      </c>
      <c r="L51" s="372">
        <f>Input!$JD$41</f>
        <v>0</v>
      </c>
      <c r="M51" s="376">
        <f t="shared" si="9"/>
        <v>1195291</v>
      </c>
      <c r="N51" s="160"/>
      <c r="Y51" s="277"/>
    </row>
    <row r="52" spans="1:28">
      <c r="A52" s="184">
        <v>35</v>
      </c>
      <c r="B52" s="160" t="s">
        <v>10</v>
      </c>
      <c r="C52" s="160"/>
      <c r="D52" s="372">
        <f>Input!$JE$41</f>
        <v>0</v>
      </c>
      <c r="E52" s="372">
        <f>Input!$JF$41</f>
        <v>22961</v>
      </c>
      <c r="F52" s="372">
        <f>Input!$JG$41</f>
        <v>1000</v>
      </c>
      <c r="G52" s="372">
        <f>Input!$JH$41</f>
        <v>3264416</v>
      </c>
      <c r="H52" s="372">
        <f>Input!$JI$41</f>
        <v>0</v>
      </c>
      <c r="I52" s="372">
        <f>Input!$JJ$41</f>
        <v>0</v>
      </c>
      <c r="J52" s="372">
        <f>Input!$JK$41</f>
        <v>50000</v>
      </c>
      <c r="K52" s="372">
        <f>Input!$JL$41</f>
        <v>0</v>
      </c>
      <c r="L52" s="372">
        <f>Input!$JM$41</f>
        <v>0</v>
      </c>
      <c r="M52" s="373">
        <f t="shared" si="9"/>
        <v>3338377</v>
      </c>
      <c r="N52" s="160"/>
      <c r="O52" s="273"/>
      <c r="P52" s="278"/>
    </row>
    <row r="53" spans="1:28">
      <c r="A53" s="184">
        <v>36</v>
      </c>
      <c r="B53" s="160" t="s">
        <v>11</v>
      </c>
      <c r="C53" s="160"/>
      <c r="D53" s="372">
        <f>Input!$JN$41</f>
        <v>0</v>
      </c>
      <c r="E53" s="372">
        <f>Input!$JO$41</f>
        <v>-40009</v>
      </c>
      <c r="F53" s="372">
        <f>Input!$JP$41</f>
        <v>-1086</v>
      </c>
      <c r="G53" s="372">
        <f>Input!$JQ$41</f>
        <v>0</v>
      </c>
      <c r="H53" s="372">
        <f>Input!$JR$41</f>
        <v>0</v>
      </c>
      <c r="I53" s="372">
        <f>Input!$JS$41</f>
        <v>0</v>
      </c>
      <c r="J53" s="372">
        <f>Input!$JT$41</f>
        <v>0</v>
      </c>
      <c r="K53" s="372">
        <f>Input!$JU$41</f>
        <v>0</v>
      </c>
      <c r="L53" s="372">
        <f>Input!$JV$41</f>
        <v>0</v>
      </c>
      <c r="M53" s="373">
        <f t="shared" si="9"/>
        <v>-41095</v>
      </c>
      <c r="N53" s="160"/>
      <c r="O53" s="273"/>
    </row>
    <row r="54" spans="1:28" ht="13.5" thickBot="1">
      <c r="A54" s="184">
        <v>37</v>
      </c>
      <c r="B54" s="401" t="s">
        <v>2134</v>
      </c>
      <c r="C54" s="177"/>
      <c r="D54" s="372">
        <f>Input!$JW$41</f>
        <v>0</v>
      </c>
      <c r="E54" s="372">
        <f>Input!$JX$41</f>
        <v>0</v>
      </c>
      <c r="F54" s="372">
        <f>Input!$JY$41</f>
        <v>17712952</v>
      </c>
      <c r="G54" s="372">
        <f>Input!$JZ$41</f>
        <v>0</v>
      </c>
      <c r="H54" s="372">
        <f>Input!$KA$41</f>
        <v>0</v>
      </c>
      <c r="I54" s="372">
        <f>Input!$KB$41</f>
        <v>0</v>
      </c>
      <c r="J54" s="372">
        <f>Input!$KC$41</f>
        <v>0</v>
      </c>
      <c r="K54" s="372">
        <f>Input!$KD$41</f>
        <v>0</v>
      </c>
      <c r="L54" s="372">
        <f>Input!$KE$41</f>
        <v>0</v>
      </c>
      <c r="M54" s="373">
        <f t="shared" si="9"/>
        <v>17712952</v>
      </c>
      <c r="N54" s="160"/>
      <c r="O54" s="273"/>
    </row>
    <row r="55" spans="1:28" ht="14.25" thickTop="1" thickBot="1">
      <c r="A55" s="184">
        <v>38</v>
      </c>
      <c r="B55" s="160" t="s">
        <v>43</v>
      </c>
      <c r="C55" s="160"/>
      <c r="D55" s="372">
        <f>Input!$KF$41</f>
        <v>82550</v>
      </c>
      <c r="E55" s="372">
        <f>Input!$KG$41</f>
        <v>2432097</v>
      </c>
      <c r="F55" s="372">
        <f>Input!$KH$41</f>
        <v>1116351</v>
      </c>
      <c r="G55" s="372">
        <f>Input!$KI$41</f>
        <v>452177</v>
      </c>
      <c r="H55" s="372">
        <f>Input!$KJ$41</f>
        <v>0</v>
      </c>
      <c r="I55" s="372">
        <f>Input!$KK$41</f>
        <v>0</v>
      </c>
      <c r="J55" s="372">
        <f>Input!$KL$41</f>
        <v>0</v>
      </c>
      <c r="K55" s="372">
        <f>Input!$KM$41</f>
        <v>0</v>
      </c>
      <c r="L55" s="372">
        <f>Input!$KN$41</f>
        <v>0</v>
      </c>
      <c r="M55" s="373">
        <f t="shared" si="9"/>
        <v>4083175</v>
      </c>
      <c r="N55" s="160"/>
      <c r="O55" s="1616" t="s">
        <v>251</v>
      </c>
      <c r="P55" s="1617"/>
      <c r="Q55" s="1617"/>
      <c r="R55" s="1618"/>
      <c r="S55" s="437"/>
      <c r="T55" s="1619" t="s">
        <v>252</v>
      </c>
      <c r="U55" s="1620"/>
      <c r="V55" s="1620"/>
      <c r="W55" s="1620"/>
      <c r="X55" s="1621"/>
      <c r="Y55" s="320"/>
      <c r="Z55" s="1749" t="s">
        <v>1301</v>
      </c>
      <c r="AA55" s="1750"/>
      <c r="AB55" s="1751"/>
    </row>
    <row r="56" spans="1:28" ht="13.5" customHeight="1" thickTop="1">
      <c r="A56" s="184">
        <v>39</v>
      </c>
      <c r="B56" s="176" t="s">
        <v>3</v>
      </c>
      <c r="C56" s="176"/>
      <c r="D56" s="374">
        <f>SUM(D50:D55)</f>
        <v>124444</v>
      </c>
      <c r="E56" s="374">
        <f t="shared" ref="E56:L56" si="10">SUM(E50:E55)</f>
        <v>11604158</v>
      </c>
      <c r="F56" s="374">
        <f t="shared" si="10"/>
        <v>18924295</v>
      </c>
      <c r="G56" s="374">
        <f t="shared" si="10"/>
        <v>5000761</v>
      </c>
      <c r="H56" s="374">
        <f t="shared" si="10"/>
        <v>16368</v>
      </c>
      <c r="I56" s="374">
        <f t="shared" si="10"/>
        <v>876728</v>
      </c>
      <c r="J56" s="374">
        <f t="shared" si="10"/>
        <v>123091</v>
      </c>
      <c r="K56" s="374">
        <f t="shared" si="10"/>
        <v>0</v>
      </c>
      <c r="L56" s="374">
        <f t="shared" si="10"/>
        <v>0</v>
      </c>
      <c r="M56" s="374">
        <f t="shared" si="9"/>
        <v>36669845</v>
      </c>
      <c r="N56" s="160"/>
      <c r="O56" s="1622" t="s">
        <v>1135</v>
      </c>
      <c r="P56" s="1625" t="s">
        <v>254</v>
      </c>
      <c r="Q56" s="1625" t="s">
        <v>292</v>
      </c>
      <c r="R56" s="1628" t="s">
        <v>1063</v>
      </c>
      <c r="S56" s="280"/>
      <c r="T56" s="1739" t="s">
        <v>1136</v>
      </c>
      <c r="U56" s="1637" t="s">
        <v>254</v>
      </c>
      <c r="V56" s="1634" t="s">
        <v>256</v>
      </c>
      <c r="W56" s="1637" t="s">
        <v>257</v>
      </c>
      <c r="X56" s="1638" t="s">
        <v>1064</v>
      </c>
      <c r="Z56" s="1754" t="s">
        <v>1302</v>
      </c>
      <c r="AA56" s="1747" t="s">
        <v>1303</v>
      </c>
      <c r="AB56" s="1752" t="s">
        <v>238</v>
      </c>
    </row>
    <row r="57" spans="1:28">
      <c r="A57" s="184">
        <v>40</v>
      </c>
      <c r="B57" s="162" t="s">
        <v>68</v>
      </c>
      <c r="C57" s="162"/>
      <c r="D57" s="374">
        <f>D15+D44+D47+D56</f>
        <v>106605330</v>
      </c>
      <c r="E57" s="374">
        <f t="shared" ref="E57:L57" si="11">E15+E44+E47+E56</f>
        <v>83935897</v>
      </c>
      <c r="F57" s="374">
        <f t="shared" si="11"/>
        <v>18924295</v>
      </c>
      <c r="G57" s="374">
        <f t="shared" si="11"/>
        <v>53295699</v>
      </c>
      <c r="H57" s="374">
        <f t="shared" si="11"/>
        <v>16368</v>
      </c>
      <c r="I57" s="374">
        <f t="shared" si="11"/>
        <v>876728</v>
      </c>
      <c r="J57" s="374">
        <f t="shared" si="11"/>
        <v>123091</v>
      </c>
      <c r="K57" s="374">
        <f t="shared" si="11"/>
        <v>0</v>
      </c>
      <c r="L57" s="374">
        <f t="shared" si="11"/>
        <v>0</v>
      </c>
      <c r="M57" s="374">
        <f t="shared" si="9"/>
        <v>263777408</v>
      </c>
      <c r="N57" s="160"/>
      <c r="O57" s="1623"/>
      <c r="P57" s="1626"/>
      <c r="Q57" s="1626"/>
      <c r="R57" s="1629"/>
      <c r="S57" s="280"/>
      <c r="T57" s="1740"/>
      <c r="U57" s="1626"/>
      <c r="V57" s="1635"/>
      <c r="W57" s="1626"/>
      <c r="X57" s="1639"/>
      <c r="Z57" s="1755"/>
      <c r="AA57" s="1747"/>
      <c r="AB57" s="1752"/>
    </row>
    <row r="58" spans="1:28">
      <c r="A58" s="184">
        <v>41</v>
      </c>
      <c r="B58" s="160"/>
      <c r="C58" s="160"/>
      <c r="D58" s="373"/>
      <c r="E58" s="373"/>
      <c r="F58" s="373"/>
      <c r="G58" s="373"/>
      <c r="H58" s="373"/>
      <c r="I58" s="373"/>
      <c r="J58" s="373"/>
      <c r="K58" s="373"/>
      <c r="L58" s="373"/>
      <c r="M58" s="373"/>
      <c r="N58" s="160"/>
      <c r="O58" s="1623"/>
      <c r="P58" s="1626"/>
      <c r="Q58" s="1626"/>
      <c r="R58" s="1629"/>
      <c r="S58" s="280"/>
      <c r="T58" s="1740"/>
      <c r="U58" s="1626"/>
      <c r="V58" s="1635"/>
      <c r="W58" s="1626"/>
      <c r="X58" s="1639"/>
      <c r="Z58" s="1755"/>
      <c r="AA58" s="1747"/>
      <c r="AB58" s="1752"/>
    </row>
    <row r="59" spans="1:28" ht="14.25" customHeight="1">
      <c r="A59" s="184">
        <v>42</v>
      </c>
      <c r="B59" s="174" t="s">
        <v>72</v>
      </c>
      <c r="C59" s="174"/>
      <c r="D59" s="377"/>
      <c r="E59" s="377"/>
      <c r="F59" s="377"/>
      <c r="G59" s="1746" t="str">
        <f>IF(OR(P105&gt;0,P106&lt;&gt;0,P107&lt;&gt;0),"Do not Enter Cents - Whole Dollars Only","")</f>
        <v/>
      </c>
      <c r="H59" s="1746"/>
      <c r="I59" s="1746"/>
      <c r="J59" s="1746"/>
      <c r="K59" s="1746"/>
      <c r="L59" s="377"/>
      <c r="M59" s="377"/>
      <c r="N59" s="160"/>
      <c r="O59" s="1624"/>
      <c r="P59" s="1627"/>
      <c r="Q59" s="1627"/>
      <c r="R59" s="1630"/>
      <c r="S59" s="280"/>
      <c r="T59" s="1741"/>
      <c r="U59" s="1627"/>
      <c r="V59" s="1636"/>
      <c r="W59" s="1627"/>
      <c r="X59" s="1640"/>
      <c r="Z59" s="1756"/>
      <c r="AA59" s="1748"/>
      <c r="AB59" s="1753"/>
    </row>
    <row r="60" spans="1:28" ht="13.5" thickBot="1">
      <c r="A60" s="184">
        <v>43</v>
      </c>
      <c r="B60" s="160" t="s">
        <v>14</v>
      </c>
      <c r="C60" s="160"/>
      <c r="D60" s="372">
        <f>Input!$KO$41</f>
        <v>72802640</v>
      </c>
      <c r="E60" s="372">
        <f>Input!$KP$41</f>
        <v>11125399</v>
      </c>
      <c r="F60" s="372">
        <f>Input!$KQ$41</f>
        <v>0</v>
      </c>
      <c r="G60" s="372">
        <f>Input!$KR$41</f>
        <v>1449097</v>
      </c>
      <c r="H60" s="372">
        <f>Input!$KS$41</f>
        <v>0</v>
      </c>
      <c r="I60" s="372">
        <f>Input!$KT$41</f>
        <v>0</v>
      </c>
      <c r="J60" s="372">
        <f>Input!$KU$41</f>
        <v>0</v>
      </c>
      <c r="K60" s="372">
        <f>Input!$KV$41</f>
        <v>0</v>
      </c>
      <c r="L60" s="372">
        <f>Input!$KW$41</f>
        <v>0</v>
      </c>
      <c r="M60" s="373">
        <f t="shared" ref="M60:M71" si="12">D60+E60+F60+G60+H60+I60+J60+K60+L60</f>
        <v>85377136</v>
      </c>
      <c r="N60" s="160"/>
      <c r="O60" s="282">
        <f>D60+E60+G60+J60</f>
        <v>85377136</v>
      </c>
      <c r="P60" s="518">
        <f>Input!$SS$41</f>
        <v>93798</v>
      </c>
      <c r="Q60" s="438" t="s">
        <v>259</v>
      </c>
      <c r="R60" s="284">
        <f>SUM(O60:P60)</f>
        <v>85470934</v>
      </c>
      <c r="S60" s="439"/>
      <c r="T60" s="286">
        <f t="shared" ref="T60:T67" si="13">D60+E60+G60</f>
        <v>85377136</v>
      </c>
      <c r="U60" s="287">
        <f t="shared" ref="U60:U67" si="14">P60</f>
        <v>93798</v>
      </c>
      <c r="V60" s="289">
        <f>Input!$TC$41</f>
        <v>0</v>
      </c>
      <c r="W60" s="289">
        <f>Input!$TK$41</f>
        <v>0</v>
      </c>
      <c r="X60" s="290">
        <f t="shared" ref="X60:X66" si="15">T60+U60-V60-W60</f>
        <v>85470934</v>
      </c>
      <c r="Z60" s="292" t="s">
        <v>14</v>
      </c>
      <c r="AA60" s="520">
        <f>Input!$TS$41</f>
        <v>85377136</v>
      </c>
      <c r="AB60" s="293">
        <f t="shared" ref="AB60:AB68" si="16">AA60-M60</f>
        <v>0</v>
      </c>
    </row>
    <row r="61" spans="1:28" ht="14.25" thickTop="1" thickBot="1">
      <c r="A61" s="184">
        <v>44</v>
      </c>
      <c r="B61" s="160" t="s">
        <v>15</v>
      </c>
      <c r="C61" s="160"/>
      <c r="D61" s="372">
        <f>Input!$KX$41</f>
        <v>1413119</v>
      </c>
      <c r="E61" s="372">
        <f>Input!$KY$41</f>
        <v>367040</v>
      </c>
      <c r="F61" s="372">
        <f>Input!$KZ$41</f>
        <v>0</v>
      </c>
      <c r="G61" s="372">
        <f>Input!$LA$41</f>
        <v>2650066</v>
      </c>
      <c r="H61" s="372">
        <f>Input!$LB$41</f>
        <v>0</v>
      </c>
      <c r="I61" s="372">
        <f>Input!$LC$41</f>
        <v>0</v>
      </c>
      <c r="J61" s="372">
        <f>Input!$LD$41</f>
        <v>0</v>
      </c>
      <c r="K61" s="372">
        <f>Input!$LE$41</f>
        <v>0</v>
      </c>
      <c r="L61" s="372">
        <f>Input!$LF$41</f>
        <v>0</v>
      </c>
      <c r="M61" s="373">
        <f t="shared" si="12"/>
        <v>4430225</v>
      </c>
      <c r="N61" s="160"/>
      <c r="O61" s="440">
        <f t="shared" ref="O61:O67" si="17">D61+E61+G61+J61</f>
        <v>4430225</v>
      </c>
      <c r="P61" s="518">
        <f>Input!$ST$41</f>
        <v>28673</v>
      </c>
      <c r="Q61" s="441" t="s">
        <v>259</v>
      </c>
      <c r="R61" s="295">
        <f>SUM(O61:P61)</f>
        <v>4458898</v>
      </c>
      <c r="S61" s="442"/>
      <c r="T61" s="296">
        <f t="shared" si="13"/>
        <v>4430225</v>
      </c>
      <c r="U61" s="297">
        <f t="shared" si="14"/>
        <v>28673</v>
      </c>
      <c r="V61" s="299">
        <f>Input!$TD$41</f>
        <v>0</v>
      </c>
      <c r="W61" s="299">
        <f>Input!$TL$41</f>
        <v>0</v>
      </c>
      <c r="X61" s="300">
        <f t="shared" si="15"/>
        <v>4458898</v>
      </c>
      <c r="Z61" s="292" t="s">
        <v>15</v>
      </c>
      <c r="AA61" s="518">
        <f>Input!$TT$41</f>
        <v>4430225</v>
      </c>
      <c r="AB61" s="301">
        <f t="shared" si="16"/>
        <v>0</v>
      </c>
    </row>
    <row r="62" spans="1:28" ht="13.5" thickTop="1">
      <c r="A62" s="184">
        <v>45</v>
      </c>
      <c r="B62" s="160" t="s">
        <v>16</v>
      </c>
      <c r="C62" s="160"/>
      <c r="D62" s="372">
        <f>Input!$LG$41</f>
        <v>843</v>
      </c>
      <c r="E62" s="372">
        <f>Input!$LH$41</f>
        <v>35013</v>
      </c>
      <c r="F62" s="372">
        <f>Input!$LI$41</f>
        <v>0</v>
      </c>
      <c r="G62" s="372">
        <f>Input!$LJ$41</f>
        <v>705305</v>
      </c>
      <c r="H62" s="372">
        <f>Input!$LK$41</f>
        <v>0</v>
      </c>
      <c r="I62" s="372">
        <f>Input!$LL$41</f>
        <v>0</v>
      </c>
      <c r="J62" s="372">
        <f>Input!$LM$41</f>
        <v>0</v>
      </c>
      <c r="K62" s="372">
        <f>Input!$LN$41</f>
        <v>0</v>
      </c>
      <c r="L62" s="372">
        <f>Input!$LO$41</f>
        <v>0</v>
      </c>
      <c r="M62" s="373">
        <f t="shared" si="12"/>
        <v>741161</v>
      </c>
      <c r="N62" s="160"/>
      <c r="O62" s="440">
        <f t="shared" si="17"/>
        <v>741161</v>
      </c>
      <c r="P62" s="518">
        <f>Input!$SU$41</f>
        <v>0</v>
      </c>
      <c r="Q62" s="441" t="s">
        <v>259</v>
      </c>
      <c r="R62" s="302" t="s">
        <v>259</v>
      </c>
      <c r="S62" s="442"/>
      <c r="T62" s="296">
        <f t="shared" si="13"/>
        <v>741161</v>
      </c>
      <c r="U62" s="297">
        <f t="shared" si="14"/>
        <v>0</v>
      </c>
      <c r="V62" s="299">
        <f>Input!$TE$41</f>
        <v>0</v>
      </c>
      <c r="W62" s="299">
        <f>Input!$TM$41</f>
        <v>0</v>
      </c>
      <c r="X62" s="303">
        <f t="shared" si="15"/>
        <v>741161</v>
      </c>
      <c r="Z62" s="292" t="s">
        <v>16</v>
      </c>
      <c r="AA62" s="518">
        <f>Input!$TU$41</f>
        <v>741161</v>
      </c>
      <c r="AB62" s="301">
        <f t="shared" si="16"/>
        <v>0</v>
      </c>
    </row>
    <row r="63" spans="1:28">
      <c r="A63" s="184">
        <v>46</v>
      </c>
      <c r="B63" s="160" t="s">
        <v>17</v>
      </c>
      <c r="C63" s="160"/>
      <c r="D63" s="372">
        <f>Input!$LP$41</f>
        <v>12138769</v>
      </c>
      <c r="E63" s="372">
        <f>Input!$LQ$41</f>
        <v>16723156</v>
      </c>
      <c r="F63" s="372">
        <f>Input!$LR$41</f>
        <v>0</v>
      </c>
      <c r="G63" s="372">
        <f>Input!$LS$41</f>
        <v>738053</v>
      </c>
      <c r="H63" s="372">
        <f>Input!$LT$41</f>
        <v>0</v>
      </c>
      <c r="I63" s="372">
        <f>Input!$LU$41</f>
        <v>0</v>
      </c>
      <c r="J63" s="372">
        <f>Input!$LV$41</f>
        <v>0</v>
      </c>
      <c r="K63" s="372">
        <f>Input!$LW$41</f>
        <v>0</v>
      </c>
      <c r="L63" s="372">
        <f>Input!$LX$41</f>
        <v>0</v>
      </c>
      <c r="M63" s="373">
        <f t="shared" si="12"/>
        <v>29599978</v>
      </c>
      <c r="N63" s="160"/>
      <c r="O63" s="440">
        <f t="shared" si="17"/>
        <v>29599978</v>
      </c>
      <c r="P63" s="518">
        <f>Input!$SV$41</f>
        <v>170452</v>
      </c>
      <c r="Q63" s="441" t="s">
        <v>259</v>
      </c>
      <c r="R63" s="295">
        <f t="shared" ref="R63:R65" si="18">SUM(O63:P63)</f>
        <v>29770430</v>
      </c>
      <c r="S63" s="442"/>
      <c r="T63" s="296">
        <f t="shared" si="13"/>
        <v>29599978</v>
      </c>
      <c r="U63" s="297">
        <f t="shared" si="14"/>
        <v>170452</v>
      </c>
      <c r="V63" s="299">
        <f>Input!$TF$41</f>
        <v>0</v>
      </c>
      <c r="W63" s="299">
        <f>Input!$TN$41</f>
        <v>0</v>
      </c>
      <c r="X63" s="303">
        <f t="shared" si="15"/>
        <v>29770430</v>
      </c>
      <c r="Z63" s="292" t="s">
        <v>17</v>
      </c>
      <c r="AA63" s="518">
        <f>Input!$TV$41</f>
        <v>29599978</v>
      </c>
      <c r="AB63" s="301">
        <f t="shared" si="16"/>
        <v>0</v>
      </c>
    </row>
    <row r="64" spans="1:28">
      <c r="A64" s="184">
        <v>47</v>
      </c>
      <c r="B64" s="160" t="s">
        <v>18</v>
      </c>
      <c r="C64" s="160"/>
      <c r="D64" s="372">
        <f>Input!$LY$41</f>
        <v>2346777</v>
      </c>
      <c r="E64" s="372">
        <f>Input!$LZ$41</f>
        <v>8209327</v>
      </c>
      <c r="F64" s="372">
        <f>Input!$MA$41</f>
        <v>0</v>
      </c>
      <c r="G64" s="372">
        <f>Input!$MB$41</f>
        <v>1868627</v>
      </c>
      <c r="H64" s="372">
        <f>Input!$MC$41</f>
        <v>0</v>
      </c>
      <c r="I64" s="372">
        <f>Input!$MD$41</f>
        <v>0</v>
      </c>
      <c r="J64" s="372">
        <f>Input!$ME$41</f>
        <v>0</v>
      </c>
      <c r="K64" s="372">
        <f>Input!$MF$41</f>
        <v>0</v>
      </c>
      <c r="L64" s="372">
        <f>Input!$MG$41</f>
        <v>0</v>
      </c>
      <c r="M64" s="373">
        <f t="shared" si="12"/>
        <v>12424731</v>
      </c>
      <c r="N64" s="160"/>
      <c r="O64" s="440">
        <f t="shared" si="17"/>
        <v>12424731</v>
      </c>
      <c r="P64" s="518">
        <f>Input!$SW$41</f>
        <v>0</v>
      </c>
      <c r="Q64" s="518">
        <f>Input!$TB$41</f>
        <v>0</v>
      </c>
      <c r="R64" s="295">
        <f>SUM(O64:P64)-Q64</f>
        <v>12424731</v>
      </c>
      <c r="S64" s="442"/>
      <c r="T64" s="296">
        <f t="shared" si="13"/>
        <v>12424731</v>
      </c>
      <c r="U64" s="297">
        <f t="shared" si="14"/>
        <v>0</v>
      </c>
      <c r="V64" s="299">
        <f>Input!$TG$41</f>
        <v>0</v>
      </c>
      <c r="W64" s="299">
        <f>Input!$TO$41</f>
        <v>0</v>
      </c>
      <c r="X64" s="303">
        <f t="shared" si="15"/>
        <v>12424731</v>
      </c>
      <c r="Z64" s="292" t="s">
        <v>18</v>
      </c>
      <c r="AA64" s="518">
        <f>Input!$TW$41</f>
        <v>12424731</v>
      </c>
      <c r="AB64" s="301">
        <f t="shared" si="16"/>
        <v>0</v>
      </c>
    </row>
    <row r="65" spans="1:28">
      <c r="A65" s="184">
        <v>48</v>
      </c>
      <c r="B65" s="160" t="s">
        <v>19</v>
      </c>
      <c r="C65" s="160"/>
      <c r="D65" s="372">
        <f>Input!$MH$41</f>
        <v>6852322</v>
      </c>
      <c r="E65" s="372">
        <f>Input!$MI$41</f>
        <v>22708349</v>
      </c>
      <c r="F65" s="372">
        <f>Input!$MJ$41</f>
        <v>0</v>
      </c>
      <c r="G65" s="372">
        <f>Input!$MK$41</f>
        <v>1391343</v>
      </c>
      <c r="H65" s="372">
        <f>Input!$ML$41</f>
        <v>0</v>
      </c>
      <c r="I65" s="372">
        <f>Input!$MM$41</f>
        <v>138469</v>
      </c>
      <c r="J65" s="372">
        <f>Input!$MN$41</f>
        <v>0</v>
      </c>
      <c r="K65" s="372">
        <f>Input!$MO$41</f>
        <v>0</v>
      </c>
      <c r="L65" s="372">
        <f>Input!$MP$41</f>
        <v>0</v>
      </c>
      <c r="M65" s="373">
        <f t="shared" si="12"/>
        <v>31090483</v>
      </c>
      <c r="N65" s="160"/>
      <c r="O65" s="440">
        <f t="shared" si="17"/>
        <v>30952014</v>
      </c>
      <c r="P65" s="518">
        <f>Input!$SX$41</f>
        <v>543946</v>
      </c>
      <c r="Q65" s="441" t="s">
        <v>259</v>
      </c>
      <c r="R65" s="295">
        <f t="shared" si="18"/>
        <v>31495960</v>
      </c>
      <c r="S65" s="442"/>
      <c r="T65" s="296">
        <f t="shared" si="13"/>
        <v>30952014</v>
      </c>
      <c r="U65" s="297">
        <f t="shared" si="14"/>
        <v>543946</v>
      </c>
      <c r="V65" s="299">
        <f>Input!$TH$41</f>
        <v>0</v>
      </c>
      <c r="W65" s="299">
        <f>Input!$TP$41</f>
        <v>0</v>
      </c>
      <c r="X65" s="303">
        <f t="shared" si="15"/>
        <v>31495960</v>
      </c>
      <c r="Z65" s="292" t="s">
        <v>19</v>
      </c>
      <c r="AA65" s="518">
        <f>Input!$TX$41</f>
        <v>31090483</v>
      </c>
      <c r="AB65" s="301">
        <f t="shared" si="16"/>
        <v>0</v>
      </c>
    </row>
    <row r="66" spans="1:28">
      <c r="A66" s="184">
        <v>49</v>
      </c>
      <c r="B66" s="160" t="s">
        <v>20</v>
      </c>
      <c r="C66" s="160"/>
      <c r="D66" s="372">
        <f>Input!$MQ$41</f>
        <v>6759800</v>
      </c>
      <c r="E66" s="372">
        <f>Input!$MR$41</f>
        <v>7580771</v>
      </c>
      <c r="F66" s="372">
        <f>Input!$MS$41</f>
        <v>0</v>
      </c>
      <c r="G66" s="372">
        <f>Input!$MT$41</f>
        <v>0</v>
      </c>
      <c r="H66" s="372">
        <f>Input!$MU$41</f>
        <v>0</v>
      </c>
      <c r="I66" s="372">
        <f>Input!$MV$41</f>
        <v>0</v>
      </c>
      <c r="J66" s="372">
        <f>Input!$MW$41</f>
        <v>8803036</v>
      </c>
      <c r="K66" s="372">
        <f>Input!$MX$41</f>
        <v>0</v>
      </c>
      <c r="L66" s="372">
        <f>Input!$MY$41</f>
        <v>0</v>
      </c>
      <c r="M66" s="373">
        <f t="shared" si="12"/>
        <v>23143607</v>
      </c>
      <c r="N66" s="160"/>
      <c r="O66" s="440">
        <f t="shared" si="17"/>
        <v>23143607</v>
      </c>
      <c r="P66" s="518">
        <f>Input!$SY$41</f>
        <v>80796</v>
      </c>
      <c r="Q66" s="441" t="s">
        <v>259</v>
      </c>
      <c r="R66" s="304" t="s">
        <v>259</v>
      </c>
      <c r="S66" s="442"/>
      <c r="T66" s="296">
        <f t="shared" si="13"/>
        <v>14340571</v>
      </c>
      <c r="U66" s="297">
        <f t="shared" si="14"/>
        <v>80796</v>
      </c>
      <c r="V66" s="299">
        <f>Input!$TI$41</f>
        <v>0</v>
      </c>
      <c r="W66" s="299">
        <f>Input!$TQ$41</f>
        <v>0</v>
      </c>
      <c r="X66" s="303">
        <f t="shared" si="15"/>
        <v>14421367</v>
      </c>
      <c r="Z66" s="292" t="s">
        <v>260</v>
      </c>
      <c r="AA66" s="518">
        <f>Input!$TY$41</f>
        <v>23143607</v>
      </c>
      <c r="AB66" s="301">
        <f t="shared" si="16"/>
        <v>0</v>
      </c>
    </row>
    <row r="67" spans="1:28" ht="13.5" thickBot="1">
      <c r="A67" s="184">
        <v>50</v>
      </c>
      <c r="B67" s="160" t="s">
        <v>21</v>
      </c>
      <c r="C67" s="160"/>
      <c r="D67" s="372">
        <f>Input!$MZ$41</f>
        <v>920999</v>
      </c>
      <c r="E67" s="372">
        <f>Input!$NA$41</f>
        <v>371048</v>
      </c>
      <c r="F67" s="372">
        <f>Input!$NB$41</f>
        <v>0</v>
      </c>
      <c r="G67" s="372">
        <f>Input!$NC$41</f>
        <v>3626035</v>
      </c>
      <c r="H67" s="372">
        <f>Input!$ND$41</f>
        <v>0</v>
      </c>
      <c r="I67" s="372">
        <f>Input!$NE$41</f>
        <v>0</v>
      </c>
      <c r="J67" s="372">
        <f>Input!$NF$41</f>
        <v>0</v>
      </c>
      <c r="K67" s="372">
        <f>Input!$NG$41</f>
        <v>0</v>
      </c>
      <c r="L67" s="372">
        <f>Input!$NH$41</f>
        <v>0</v>
      </c>
      <c r="M67" s="373">
        <f t="shared" si="12"/>
        <v>4918082</v>
      </c>
      <c r="N67" s="160"/>
      <c r="O67" s="440">
        <f t="shared" si="17"/>
        <v>4918082</v>
      </c>
      <c r="P67" s="518">
        <f>Input!$SZ$41</f>
        <v>0</v>
      </c>
      <c r="Q67" s="441" t="s">
        <v>259</v>
      </c>
      <c r="R67" s="304" t="s">
        <v>259</v>
      </c>
      <c r="S67" s="442"/>
      <c r="T67" s="306">
        <f t="shared" si="13"/>
        <v>4918082</v>
      </c>
      <c r="U67" s="307">
        <f t="shared" si="14"/>
        <v>0</v>
      </c>
      <c r="V67" s="308">
        <f>Input!$TJ$41</f>
        <v>0</v>
      </c>
      <c r="W67" s="308">
        <f>Input!$TR$41</f>
        <v>0</v>
      </c>
      <c r="X67" s="303">
        <f>U67+T67-V67-W67</f>
        <v>4918082</v>
      </c>
      <c r="Z67" s="292" t="s">
        <v>21</v>
      </c>
      <c r="AA67" s="518">
        <f>Input!$TZ$41</f>
        <v>4918082</v>
      </c>
      <c r="AB67" s="301">
        <f t="shared" si="16"/>
        <v>0</v>
      </c>
    </row>
    <row r="68" spans="1:28" ht="14.25" thickTop="1" thickBot="1">
      <c r="A68" s="184">
        <v>51</v>
      </c>
      <c r="B68" s="171" t="s">
        <v>2135</v>
      </c>
      <c r="C68" s="160"/>
      <c r="D68" s="372">
        <f>Input!$NI$41</f>
        <v>0</v>
      </c>
      <c r="E68" s="372">
        <f>Input!$NJ$41</f>
        <v>0</v>
      </c>
      <c r="F68" s="372">
        <f>Input!$NK$41</f>
        <v>20998453</v>
      </c>
      <c r="G68" s="372">
        <f>Input!$NL$41</f>
        <v>31670</v>
      </c>
      <c r="H68" s="372">
        <f>Input!$NM$41</f>
        <v>0</v>
      </c>
      <c r="I68" s="372">
        <f>Input!$NN$41</f>
        <v>0</v>
      </c>
      <c r="J68" s="372">
        <f>Input!$NO$41</f>
        <v>0</v>
      </c>
      <c r="K68" s="372">
        <f>Input!$NP$41</f>
        <v>0</v>
      </c>
      <c r="L68" s="372">
        <f>Input!$NQ$41</f>
        <v>0</v>
      </c>
      <c r="M68" s="373">
        <f t="shared" si="12"/>
        <v>21030123</v>
      </c>
      <c r="N68" s="160"/>
      <c r="O68" s="309" t="s">
        <v>259</v>
      </c>
      <c r="P68" s="519">
        <f>Input!$TA$41</f>
        <v>0</v>
      </c>
      <c r="Q68" s="444" t="s">
        <v>259</v>
      </c>
      <c r="R68" s="311" t="s">
        <v>259</v>
      </c>
      <c r="S68" s="442"/>
      <c r="T68" s="305"/>
      <c r="U68" s="305"/>
      <c r="V68" s="312" t="s">
        <v>261</v>
      </c>
      <c r="W68" s="313"/>
      <c r="X68" s="314">
        <f>SUM(X60:X67)</f>
        <v>183701563</v>
      </c>
      <c r="Z68" s="292" t="s">
        <v>22</v>
      </c>
      <c r="AA68" s="518">
        <f>Input!$UA$41</f>
        <v>21030123</v>
      </c>
      <c r="AB68" s="301">
        <f t="shared" si="16"/>
        <v>0</v>
      </c>
    </row>
    <row r="69" spans="1:28" ht="14.25" thickTop="1" thickBot="1">
      <c r="A69" s="184">
        <v>52</v>
      </c>
      <c r="B69" s="161" t="s">
        <v>59</v>
      </c>
      <c r="C69" s="161"/>
      <c r="D69" s="372">
        <f>Input!$NR$41</f>
        <v>579010</v>
      </c>
      <c r="E69" s="372">
        <f>Input!$NS$41</f>
        <v>205059</v>
      </c>
      <c r="F69" s="372">
        <f>Input!$NT$41</f>
        <v>0</v>
      </c>
      <c r="G69" s="372">
        <f>Input!$NU$41</f>
        <v>133596</v>
      </c>
      <c r="H69" s="372">
        <f>Input!$NV$41</f>
        <v>0</v>
      </c>
      <c r="I69" s="372">
        <f>Input!$NW$41</f>
        <v>0</v>
      </c>
      <c r="J69" s="372">
        <f>Input!$NX$41</f>
        <v>0</v>
      </c>
      <c r="K69" s="372">
        <f>Input!$NY$41</f>
        <v>0</v>
      </c>
      <c r="L69" s="372">
        <f>Input!$NZ$41</f>
        <v>0</v>
      </c>
      <c r="M69" s="373">
        <f t="shared" si="12"/>
        <v>917665</v>
      </c>
      <c r="N69" s="160"/>
      <c r="O69" s="315"/>
      <c r="P69" s="316">
        <f>SUM(P60:P68)</f>
        <v>917665</v>
      </c>
      <c r="Q69" s="316">
        <f>SUM(Q64:Q68)</f>
        <v>0</v>
      </c>
      <c r="R69" s="317">
        <f>SUM(R60:R65)</f>
        <v>163620953</v>
      </c>
      <c r="S69" s="316"/>
      <c r="T69" s="305"/>
      <c r="U69" s="305"/>
      <c r="V69" s="305"/>
      <c r="W69" s="277"/>
      <c r="X69" s="277"/>
      <c r="Y69" s="277"/>
      <c r="Z69" s="292" t="s">
        <v>285</v>
      </c>
      <c r="AA69" s="445">
        <f>M88*-1</f>
        <v>21007708</v>
      </c>
      <c r="AB69" s="301">
        <f>AA69+M88</f>
        <v>0</v>
      </c>
    </row>
    <row r="70" spans="1:28" ht="14.25" thickTop="1" thickBot="1">
      <c r="A70" s="184">
        <v>53</v>
      </c>
      <c r="B70" s="178" t="s">
        <v>44</v>
      </c>
      <c r="C70" s="178"/>
      <c r="D70" s="378">
        <f>Input!$OA$41</f>
        <v>0</v>
      </c>
      <c r="E70" s="378">
        <f>Input!$OB$41</f>
        <v>0</v>
      </c>
      <c r="F70" s="378">
        <f>Input!$OC$41</f>
        <v>0</v>
      </c>
      <c r="G70" s="378">
        <f>Input!$OD$41</f>
        <v>0</v>
      </c>
      <c r="H70" s="378">
        <f>Input!$OE$41</f>
        <v>0</v>
      </c>
      <c r="I70" s="378">
        <f>Input!$OF$41</f>
        <v>0</v>
      </c>
      <c r="J70" s="378">
        <f>Input!$OG$41</f>
        <v>0</v>
      </c>
      <c r="K70" s="378">
        <f>Input!$OH$41</f>
        <v>1025</v>
      </c>
      <c r="L70" s="378">
        <f>Input!$OI$41</f>
        <v>120227</v>
      </c>
      <c r="M70" s="373">
        <f t="shared" si="12"/>
        <v>121252</v>
      </c>
      <c r="N70" s="160"/>
      <c r="O70" s="320"/>
      <c r="P70" s="516" t="str">
        <f>IF(P69&lt;&gt;M69,"Out of Balance","Balanced")</f>
        <v>Balanced</v>
      </c>
      <c r="Q70" s="318"/>
      <c r="R70" s="305"/>
      <c r="S70" s="305"/>
      <c r="T70" s="305"/>
      <c r="U70" s="277"/>
      <c r="V70" s="1738" t="str">
        <f>IF(X68-INT(X68)&lt;&gt;0,"Whole Dollars Only","")</f>
        <v/>
      </c>
      <c r="W70" s="1738"/>
      <c r="X70" s="537"/>
      <c r="Y70" s="319"/>
      <c r="Z70" s="410" t="s">
        <v>262</v>
      </c>
      <c r="AA70" s="446" t="s">
        <v>259</v>
      </c>
      <c r="AB70" s="411">
        <f>M90</f>
        <v>0</v>
      </c>
    </row>
    <row r="71" spans="1:28" ht="13.5" thickTop="1">
      <c r="A71" s="184">
        <v>54</v>
      </c>
      <c r="B71" s="162" t="s">
        <v>69</v>
      </c>
      <c r="C71" s="162"/>
      <c r="D71" s="374">
        <f>SUM(D60:D70)</f>
        <v>103814279</v>
      </c>
      <c r="E71" s="374">
        <f>SUM(E60:E70)</f>
        <v>67325162</v>
      </c>
      <c r="F71" s="374">
        <f t="shared" ref="F71:L71" si="19">SUM(F60:F70)</f>
        <v>20998453</v>
      </c>
      <c r="G71" s="374">
        <f t="shared" si="19"/>
        <v>12593792</v>
      </c>
      <c r="H71" s="374">
        <f t="shared" si="19"/>
        <v>0</v>
      </c>
      <c r="I71" s="374">
        <f t="shared" si="19"/>
        <v>138469</v>
      </c>
      <c r="J71" s="374">
        <f t="shared" si="19"/>
        <v>8803036</v>
      </c>
      <c r="K71" s="374">
        <f t="shared" si="19"/>
        <v>1025</v>
      </c>
      <c r="L71" s="374">
        <f t="shared" si="19"/>
        <v>120227</v>
      </c>
      <c r="M71" s="374">
        <f t="shared" si="12"/>
        <v>213794443</v>
      </c>
      <c r="N71" s="160"/>
      <c r="O71" s="322"/>
      <c r="P71" s="1738" t="str">
        <f>IF(P69-INT(P69)&lt;&gt;0,"Whole Dollars Only","")</f>
        <v/>
      </c>
      <c r="Q71" s="1738"/>
      <c r="R71" s="323"/>
      <c r="S71" s="323"/>
      <c r="T71" s="323"/>
      <c r="U71" s="291"/>
      <c r="V71" s="324"/>
      <c r="W71" s="321"/>
      <c r="X71" s="321"/>
      <c r="Y71" s="321"/>
      <c r="Z71" s="318"/>
      <c r="AA71" s="325">
        <f>SUM(AA60:AA70)</f>
        <v>233763234</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Input!$OJ$41</f>
        <v>0</v>
      </c>
      <c r="E74" s="372">
        <f>Input!$OK$41</f>
        <v>0</v>
      </c>
      <c r="F74" s="372">
        <f>Input!$OL$41</f>
        <v>0</v>
      </c>
      <c r="G74" s="372">
        <f>Input!$OM$41</f>
        <v>0</v>
      </c>
      <c r="H74" s="372">
        <f>Input!$ON$41</f>
        <v>0</v>
      </c>
      <c r="I74" s="372">
        <f>Input!$OO$41</f>
        <v>0</v>
      </c>
      <c r="J74" s="372">
        <f>Input!$OP$41</f>
        <v>-8408177</v>
      </c>
      <c r="K74" s="372">
        <f>Input!$OQ$41</f>
        <v>0</v>
      </c>
      <c r="L74" s="372">
        <f>Input!$OR$41</f>
        <v>0</v>
      </c>
      <c r="M74" s="373">
        <f>D74+E74+F74+G74+H74+I74+J74+K74+L74</f>
        <v>-8408177</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Input!$OS$41</f>
        <v>-10399796</v>
      </c>
      <c r="E75" s="372">
        <f>Input!$OT$41</f>
        <v>6604078</v>
      </c>
      <c r="F75" s="372">
        <f>Input!$OU$41</f>
        <v>8746385</v>
      </c>
      <c r="G75" s="372">
        <f>Input!$OV$41</f>
        <v>-33882011</v>
      </c>
      <c r="H75" s="372">
        <f>Input!$OW$41</f>
        <v>267687</v>
      </c>
      <c r="I75" s="372">
        <f>Input!$OX$41</f>
        <v>-605987</v>
      </c>
      <c r="J75" s="372">
        <f>Input!$OY$41</f>
        <v>14032197</v>
      </c>
      <c r="K75" s="372">
        <f>Input!$OZ$41</f>
        <v>15565646</v>
      </c>
      <c r="L75" s="372">
        <f>Input!$PA$41</f>
        <v>0</v>
      </c>
      <c r="M75" s="373">
        <f>D75+E75+F75+G75+H75+I75+J75+K75+L75</f>
        <v>328199</v>
      </c>
      <c r="N75" s="160"/>
      <c r="O75" s="1723" t="str">
        <f>IF(M85&lt;0,"Footnote 11 is N/A - No Data Entry Required","Footnote 11")</f>
        <v>Footnote 11</v>
      </c>
      <c r="P75" s="1724"/>
      <c r="Q75" s="1724"/>
      <c r="R75" s="1725"/>
      <c r="S75" s="330"/>
      <c r="T75" s="330"/>
      <c r="U75" s="327"/>
      <c r="V75" s="276"/>
      <c r="W75" s="331"/>
      <c r="X75" s="331"/>
      <c r="Y75" s="328"/>
      <c r="Z75" s="328"/>
      <c r="AA75" s="276"/>
      <c r="AB75" s="276" t="s">
        <v>293</v>
      </c>
    </row>
    <row r="76" spans="1:28" ht="13.5" thickTop="1">
      <c r="A76" s="184">
        <v>59</v>
      </c>
      <c r="B76" s="160" t="s">
        <v>45</v>
      </c>
      <c r="C76" s="160"/>
      <c r="D76" s="372">
        <f>Input!$PB$41</f>
        <v>0</v>
      </c>
      <c r="E76" s="372">
        <f>Input!$PC$41</f>
        <v>0</v>
      </c>
      <c r="F76" s="372">
        <f>Input!$PD$41</f>
        <v>0</v>
      </c>
      <c r="G76" s="372">
        <f>Input!$PE$41</f>
        <v>0</v>
      </c>
      <c r="H76" s="372">
        <f>Input!$PF$41</f>
        <v>0</v>
      </c>
      <c r="I76" s="372">
        <f>Input!$PG$41</f>
        <v>0</v>
      </c>
      <c r="J76" s="372">
        <f>Input!$PH$41</f>
        <v>17938486</v>
      </c>
      <c r="K76" s="372">
        <f>Input!$PI$41</f>
        <v>0</v>
      </c>
      <c r="L76" s="372">
        <f>Input!$PJ$41</f>
        <v>0</v>
      </c>
      <c r="M76" s="373">
        <f>D76+E76+F76+G76+H76+I76+J76+K76+L76</f>
        <v>17938486</v>
      </c>
      <c r="N76" s="160"/>
      <c r="O76" s="487" t="s">
        <v>583</v>
      </c>
      <c r="P76" s="488"/>
      <c r="Q76" s="489"/>
      <c r="R76" s="490">
        <f>IF($M$85&lt;0,"N/A",$M$85)</f>
        <v>69387249</v>
      </c>
      <c r="S76" s="330"/>
      <c r="T76" s="330"/>
      <c r="U76" s="327"/>
      <c r="V76" s="276"/>
      <c r="W76" s="331"/>
      <c r="X76" s="331"/>
      <c r="Y76" s="331"/>
      <c r="Z76" s="331"/>
      <c r="AA76" s="276"/>
      <c r="AB76" s="276"/>
    </row>
    <row r="77" spans="1:28">
      <c r="A77" s="184">
        <v>60</v>
      </c>
      <c r="B77" s="160" t="s">
        <v>46</v>
      </c>
      <c r="C77" s="160"/>
      <c r="D77" s="372">
        <f>Input!$PK$41</f>
        <v>0</v>
      </c>
      <c r="E77" s="372">
        <f>Input!$PL$41</f>
        <v>0</v>
      </c>
      <c r="F77" s="372">
        <f>Input!$PM$41</f>
        <v>0</v>
      </c>
      <c r="G77" s="372">
        <f>Input!$PN$41</f>
        <v>0</v>
      </c>
      <c r="H77" s="372">
        <f>Input!$PO$41</f>
        <v>0</v>
      </c>
      <c r="I77" s="372">
        <f>Input!$PP$41</f>
        <v>0</v>
      </c>
      <c r="J77" s="372">
        <f>Input!$PQ$41</f>
        <v>0</v>
      </c>
      <c r="K77" s="372">
        <f>Input!$PR$41</f>
        <v>-15455033</v>
      </c>
      <c r="L77" s="372">
        <f>Input!$PS$41</f>
        <v>0</v>
      </c>
      <c r="M77" s="373">
        <f>D77+E77+F77+G77+H77+I77+J77+K77+L77</f>
        <v>-15455033</v>
      </c>
      <c r="N77" s="160"/>
      <c r="O77" s="491" t="s">
        <v>584</v>
      </c>
      <c r="P77" s="334"/>
      <c r="Q77" s="334"/>
      <c r="R77" s="521">
        <f>Input!$UB$41</f>
        <v>54316440</v>
      </c>
      <c r="S77" s="330"/>
      <c r="T77" s="330"/>
      <c r="U77" s="327"/>
      <c r="V77" s="276"/>
      <c r="W77" s="331"/>
      <c r="X77" s="331"/>
      <c r="Y77" s="331"/>
      <c r="Z77" s="331"/>
      <c r="AA77" s="276"/>
      <c r="AB77" s="276"/>
    </row>
    <row r="78" spans="1:28">
      <c r="A78" s="184">
        <v>61</v>
      </c>
      <c r="B78" s="162" t="s">
        <v>3</v>
      </c>
      <c r="C78" s="162"/>
      <c r="D78" s="374">
        <f t="shared" ref="D78:L78" si="20">SUM(D74:D77)</f>
        <v>-10399796</v>
      </c>
      <c r="E78" s="374">
        <f t="shared" si="20"/>
        <v>6604078</v>
      </c>
      <c r="F78" s="374">
        <f t="shared" si="20"/>
        <v>8746385</v>
      </c>
      <c r="G78" s="374">
        <f t="shared" si="20"/>
        <v>-33882011</v>
      </c>
      <c r="H78" s="374">
        <f t="shared" si="20"/>
        <v>267687</v>
      </c>
      <c r="I78" s="374">
        <f t="shared" si="20"/>
        <v>-605987</v>
      </c>
      <c r="J78" s="374">
        <f t="shared" si="20"/>
        <v>23562506</v>
      </c>
      <c r="K78" s="374">
        <f t="shared" si="20"/>
        <v>110613</v>
      </c>
      <c r="L78" s="374">
        <f t="shared" si="20"/>
        <v>0</v>
      </c>
      <c r="M78" s="374">
        <f>D78+E78+F78+G78+H78+I78+J78+K78+L78</f>
        <v>-5596525</v>
      </c>
      <c r="N78" s="160"/>
      <c r="O78" s="491" t="s">
        <v>585</v>
      </c>
      <c r="P78" s="276"/>
      <c r="Q78" s="334"/>
      <c r="R78" s="492">
        <f>IF($M$85&lt;0,"",$R$76-$R$77)</f>
        <v>15070809</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3"/>
      <c r="P79" s="276"/>
      <c r="Q79" s="334"/>
      <c r="R79" s="494"/>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5" t="s">
        <v>586</v>
      </c>
      <c r="P80" s="276"/>
      <c r="Q80" s="334"/>
      <c r="R80" s="521">
        <f>Input!$UC$41</f>
        <v>24964791</v>
      </c>
      <c r="S80" s="330"/>
      <c r="T80" s="330"/>
      <c r="U80" s="334"/>
      <c r="V80" s="276"/>
      <c r="W80" s="328"/>
      <c r="X80" s="328"/>
      <c r="Y80" s="331"/>
      <c r="Z80" s="331"/>
      <c r="AA80" s="276"/>
      <c r="AB80" s="276"/>
    </row>
    <row r="81" spans="1:28">
      <c r="A81" s="184">
        <v>64</v>
      </c>
      <c r="B81" s="160" t="s">
        <v>47</v>
      </c>
      <c r="C81" s="160"/>
      <c r="D81" s="372">
        <f>Input!$PT$41</f>
        <v>0</v>
      </c>
      <c r="E81" s="372">
        <f>Input!$PU$41</f>
        <v>21789315</v>
      </c>
      <c r="F81" s="372">
        <f>Input!$PV$41</f>
        <v>0</v>
      </c>
      <c r="G81" s="372">
        <f>Input!$PW$41</f>
        <v>0</v>
      </c>
      <c r="H81" s="372">
        <f>Input!$PX$41</f>
        <v>0</v>
      </c>
      <c r="I81" s="372">
        <f>Input!$PY$41</f>
        <v>3175476</v>
      </c>
      <c r="J81" s="372">
        <f>Input!$PZ$41</f>
        <v>0</v>
      </c>
      <c r="K81" s="372">
        <f>Input!$QA$41</f>
        <v>0</v>
      </c>
      <c r="L81" s="372">
        <f>Input!$QB$41</f>
        <v>0</v>
      </c>
      <c r="M81" s="373">
        <f>D81+E81+F81+G81+H81+I81+J81+K81+L81</f>
        <v>24964791</v>
      </c>
      <c r="N81" s="160"/>
      <c r="O81" s="496" t="s">
        <v>587</v>
      </c>
      <c r="P81" s="276"/>
      <c r="Q81" s="276"/>
      <c r="R81" s="497"/>
      <c r="S81" s="330"/>
      <c r="T81" s="330"/>
      <c r="W81" s="276"/>
      <c r="X81" s="276"/>
      <c r="Y81" s="331"/>
      <c r="Z81" s="331"/>
      <c r="AA81" s="276"/>
      <c r="AB81" s="276"/>
    </row>
    <row r="82" spans="1:28">
      <c r="A82" s="184">
        <v>65</v>
      </c>
      <c r="B82" s="160" t="s">
        <v>48</v>
      </c>
      <c r="C82" s="160"/>
      <c r="D82" s="372">
        <f>Input!$QC$41</f>
        <v>0</v>
      </c>
      <c r="E82" s="372">
        <f>Input!$QD$41</f>
        <v>0</v>
      </c>
      <c r="F82" s="372">
        <f>Input!$QE$41</f>
        <v>0</v>
      </c>
      <c r="G82" s="372">
        <f>Input!$QF$41</f>
        <v>0</v>
      </c>
      <c r="H82" s="372">
        <f>Input!$QG$41</f>
        <v>0</v>
      </c>
      <c r="I82" s="372">
        <f>Input!$QH$41</f>
        <v>36018</v>
      </c>
      <c r="J82" s="372">
        <f>Input!$QI$41</f>
        <v>0</v>
      </c>
      <c r="K82" s="372">
        <f>Input!$QJ$41</f>
        <v>0</v>
      </c>
      <c r="L82" s="372">
        <f>Input!$QK$41</f>
        <v>0</v>
      </c>
      <c r="M82" s="373">
        <f>D82+E82+F82+G82+H82+I82+J82+K82+L82</f>
        <v>36018</v>
      </c>
      <c r="N82" s="160"/>
      <c r="O82" s="498" t="s">
        <v>588</v>
      </c>
      <c r="P82" s="276"/>
      <c r="Q82" s="276"/>
      <c r="R82" s="492">
        <f>IFERROR($R$78-$R$80,"")</f>
        <v>-9893982</v>
      </c>
      <c r="Y82" s="331"/>
      <c r="Z82" s="401"/>
      <c r="AA82" s="268"/>
      <c r="AB82" s="268"/>
    </row>
    <row r="83" spans="1:28">
      <c r="A83" s="184">
        <v>66</v>
      </c>
      <c r="B83" s="162" t="s">
        <v>3</v>
      </c>
      <c r="C83" s="162"/>
      <c r="D83" s="374">
        <f t="shared" ref="D83:L83" si="21">SUM(D81:D82)</f>
        <v>0</v>
      </c>
      <c r="E83" s="374">
        <f t="shared" si="21"/>
        <v>21789315</v>
      </c>
      <c r="F83" s="374">
        <f t="shared" si="21"/>
        <v>0</v>
      </c>
      <c r="G83" s="374">
        <f t="shared" si="21"/>
        <v>0</v>
      </c>
      <c r="H83" s="374">
        <f t="shared" si="21"/>
        <v>0</v>
      </c>
      <c r="I83" s="374">
        <f t="shared" si="21"/>
        <v>3211494</v>
      </c>
      <c r="J83" s="374">
        <f t="shared" si="21"/>
        <v>0</v>
      </c>
      <c r="K83" s="374">
        <f t="shared" si="21"/>
        <v>0</v>
      </c>
      <c r="L83" s="374">
        <f t="shared" si="21"/>
        <v>0</v>
      </c>
      <c r="M83" s="374">
        <f>D83+E83+F83+G83+H83+I83+J83+K83+L83</f>
        <v>25000809</v>
      </c>
      <c r="N83" s="160"/>
      <c r="O83" s="493"/>
      <c r="P83" s="276"/>
      <c r="Q83" s="276"/>
      <c r="R83" s="497"/>
      <c r="Y83" s="163"/>
      <c r="Z83" s="447"/>
      <c r="AA83" s="439"/>
      <c r="AB83" s="448"/>
    </row>
    <row r="84" spans="1:28" ht="13.5" thickBot="1">
      <c r="A84" s="184">
        <v>67</v>
      </c>
      <c r="B84" s="160"/>
      <c r="C84" s="160"/>
      <c r="D84" s="373"/>
      <c r="E84" s="373"/>
      <c r="F84" s="373"/>
      <c r="G84" s="373"/>
      <c r="H84" s="373"/>
      <c r="I84" s="373"/>
      <c r="J84" s="373"/>
      <c r="K84" s="373"/>
      <c r="L84" s="373"/>
      <c r="M84" s="373"/>
      <c r="N84" s="160"/>
      <c r="O84" s="499" t="s">
        <v>589</v>
      </c>
      <c r="P84" s="500"/>
      <c r="Q84" s="500"/>
      <c r="R84" s="501">
        <f>IFERROR((R82+R80)-R78,"")</f>
        <v>0</v>
      </c>
      <c r="Y84" s="268"/>
      <c r="Z84" s="447"/>
      <c r="AA84" s="439"/>
      <c r="AB84" s="449"/>
    </row>
    <row r="85" spans="1:28" ht="13.5" thickTop="1">
      <c r="A85" s="184">
        <v>68</v>
      </c>
      <c r="B85" s="162" t="s">
        <v>574</v>
      </c>
      <c r="C85" s="162"/>
      <c r="D85" s="374">
        <f t="shared" ref="D85:L85" si="22">D57-D71+D78+D83</f>
        <v>-7608745</v>
      </c>
      <c r="E85" s="374">
        <f t="shared" si="22"/>
        <v>45004128</v>
      </c>
      <c r="F85" s="374">
        <f t="shared" si="22"/>
        <v>6672227</v>
      </c>
      <c r="G85" s="374">
        <f t="shared" si="22"/>
        <v>6819896</v>
      </c>
      <c r="H85" s="374">
        <f t="shared" si="22"/>
        <v>284055</v>
      </c>
      <c r="I85" s="374">
        <f t="shared" si="22"/>
        <v>3343766</v>
      </c>
      <c r="J85" s="374">
        <f t="shared" si="22"/>
        <v>14882561</v>
      </c>
      <c r="K85" s="374">
        <f t="shared" si="22"/>
        <v>109588</v>
      </c>
      <c r="L85" s="374">
        <f t="shared" si="22"/>
        <v>-120227</v>
      </c>
      <c r="M85" s="374">
        <f>D85+E85+F85+G85+H85+I85+J85+K85+L85</f>
        <v>69387249</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Input!$QL$41</f>
        <v>0</v>
      </c>
      <c r="E87" s="372">
        <f>Input!$QM$41</f>
        <v>0</v>
      </c>
      <c r="F87" s="372">
        <f>Input!$QN$41</f>
        <v>0</v>
      </c>
      <c r="G87" s="372">
        <f>Input!$QO$41</f>
        <v>0</v>
      </c>
      <c r="H87" s="372">
        <f>Input!$QP$41</f>
        <v>0</v>
      </c>
      <c r="I87" s="372">
        <f>Input!$QQ$41</f>
        <v>0</v>
      </c>
      <c r="J87" s="372">
        <f>Input!$QR$41</f>
        <v>-17938486</v>
      </c>
      <c r="K87" s="372">
        <f>Input!$QS$41</f>
        <v>9930000</v>
      </c>
      <c r="L87" s="372">
        <f>Input!$QT$41</f>
        <v>0</v>
      </c>
      <c r="M87" s="329">
        <f>D87+E87+F87+G87+H87+I87+J87+K87+L87</f>
        <v>-8008486</v>
      </c>
      <c r="N87" s="160"/>
      <c r="Y87" s="268"/>
      <c r="Z87" s="447"/>
      <c r="AA87" s="439"/>
      <c r="AB87" s="449"/>
    </row>
    <row r="88" spans="1:28">
      <c r="A88" s="184">
        <v>72</v>
      </c>
      <c r="B88" s="160" t="s">
        <v>66</v>
      </c>
      <c r="C88" s="160"/>
      <c r="D88" s="372">
        <f>Input!$QU$41</f>
        <v>0</v>
      </c>
      <c r="E88" s="372">
        <f>Input!$QV$41</f>
        <v>0</v>
      </c>
      <c r="F88" s="372">
        <f>Input!$QW$41</f>
        <v>0</v>
      </c>
      <c r="G88" s="372">
        <f>Input!$QX$41</f>
        <v>0</v>
      </c>
      <c r="H88" s="372">
        <f>Input!$QY$41</f>
        <v>0</v>
      </c>
      <c r="I88" s="372">
        <f>Input!$QZ$41</f>
        <v>0</v>
      </c>
      <c r="J88" s="372">
        <f>Input!$RA$41</f>
        <v>0</v>
      </c>
      <c r="K88" s="372">
        <f>Input!$RB$41</f>
        <v>0</v>
      </c>
      <c r="L88" s="372">
        <f>Input!$RC$41</f>
        <v>-21007708</v>
      </c>
      <c r="M88" s="373">
        <f>D88+E88+F88+G88+H88+I88+J88+K88+L88</f>
        <v>-21007708</v>
      </c>
      <c r="N88" s="160"/>
      <c r="O88" s="270"/>
      <c r="P88" s="335"/>
      <c r="Y88" s="268"/>
      <c r="Z88" s="447"/>
      <c r="AA88" s="439"/>
      <c r="AB88" s="449"/>
    </row>
    <row r="89" spans="1:28" s="264" customFormat="1">
      <c r="A89" s="263"/>
      <c r="B89" s="171" t="s">
        <v>216</v>
      </c>
      <c r="C89" s="171"/>
      <c r="D89" s="372">
        <f>Input!$RD$41</f>
        <v>0</v>
      </c>
      <c r="E89" s="372">
        <f>Input!$RE$41</f>
        <v>0</v>
      </c>
      <c r="F89" s="372">
        <f>Input!$RF$41</f>
        <v>0</v>
      </c>
      <c r="G89" s="372">
        <f>Input!$RG$41</f>
        <v>0</v>
      </c>
      <c r="H89" s="372">
        <f>Input!$RH$41</f>
        <v>0</v>
      </c>
      <c r="I89" s="372">
        <f>Input!$RI$41</f>
        <v>0</v>
      </c>
      <c r="J89" s="372">
        <f>Input!$RJ$41</f>
        <v>0</v>
      </c>
      <c r="K89" s="372">
        <f>Input!$RK$41</f>
        <v>0</v>
      </c>
      <c r="L89" s="372">
        <f>Input!$RL$41</f>
        <v>0</v>
      </c>
      <c r="M89" s="373">
        <f t="shared" ref="M89:M91" si="23">D89+E89+F89+G89+H89+I89+J89+K89+L89</f>
        <v>0</v>
      </c>
      <c r="N89" s="160"/>
      <c r="O89" s="1726" t="s">
        <v>1355</v>
      </c>
      <c r="P89" s="1727"/>
      <c r="Q89" s="1727"/>
      <c r="R89" s="1727"/>
      <c r="S89" s="1727"/>
      <c r="T89" s="1727"/>
      <c r="U89" s="1728"/>
      <c r="Y89" s="268"/>
      <c r="Z89" s="447"/>
      <c r="AA89" s="439"/>
      <c r="AB89" s="449"/>
    </row>
    <row r="90" spans="1:28" s="264" customFormat="1">
      <c r="A90" s="263"/>
      <c r="B90" s="171" t="s">
        <v>105</v>
      </c>
      <c r="C90" s="171"/>
      <c r="D90" s="372">
        <f>Input!$RM$41</f>
        <v>0</v>
      </c>
      <c r="E90" s="372">
        <f>Input!$RN$41</f>
        <v>0</v>
      </c>
      <c r="F90" s="372">
        <f>Input!$RO$41</f>
        <v>0</v>
      </c>
      <c r="G90" s="372">
        <f>Input!$RP$41</f>
        <v>0</v>
      </c>
      <c r="H90" s="372">
        <f>Input!$RQ$41</f>
        <v>0</v>
      </c>
      <c r="I90" s="372">
        <f>Input!$RR$41</f>
        <v>0</v>
      </c>
      <c r="J90" s="372">
        <f>Input!$RS$41</f>
        <v>0</v>
      </c>
      <c r="K90" s="372">
        <f>Input!$RT$41</f>
        <v>0</v>
      </c>
      <c r="L90" s="372">
        <f>Input!$RU$41</f>
        <v>0</v>
      </c>
      <c r="M90" s="373">
        <f t="shared" si="23"/>
        <v>0</v>
      </c>
      <c r="N90" s="160"/>
      <c r="O90" s="502" t="s">
        <v>590</v>
      </c>
      <c r="P90" s="423"/>
      <c r="Q90" s="502" t="s">
        <v>591</v>
      </c>
      <c r="R90" s="423"/>
      <c r="S90" s="503"/>
      <c r="T90" s="502" t="s">
        <v>592</v>
      </c>
      <c r="U90" s="423"/>
      <c r="Y90" s="268"/>
      <c r="Z90" s="447"/>
      <c r="AA90" s="439"/>
      <c r="AB90" s="449"/>
    </row>
    <row r="91" spans="1:28" s="264" customFormat="1">
      <c r="A91" s="263"/>
      <c r="B91" s="171" t="s">
        <v>128</v>
      </c>
      <c r="C91" s="171"/>
      <c r="D91" s="372">
        <f>Input!$RV$41</f>
        <v>0</v>
      </c>
      <c r="E91" s="372">
        <f>Input!$RW$41</f>
        <v>0</v>
      </c>
      <c r="F91" s="372">
        <f>Input!$RX$41</f>
        <v>0</v>
      </c>
      <c r="G91" s="372">
        <f>Input!$RY$41</f>
        <v>0</v>
      </c>
      <c r="H91" s="372">
        <f>Input!$RZ$41</f>
        <v>0</v>
      </c>
      <c r="I91" s="372">
        <f>Input!$SA$41</f>
        <v>0</v>
      </c>
      <c r="J91" s="372">
        <f>Input!$SB$41</f>
        <v>0</v>
      </c>
      <c r="K91" s="372">
        <f>Input!$SC$41</f>
        <v>0</v>
      </c>
      <c r="L91" s="372">
        <f>Input!$SD$41</f>
        <v>0</v>
      </c>
      <c r="M91" s="373">
        <f t="shared" si="23"/>
        <v>0</v>
      </c>
      <c r="N91" s="160"/>
      <c r="O91" s="504"/>
      <c r="P91" s="505"/>
      <c r="Q91" s="504"/>
      <c r="R91" s="426"/>
      <c r="S91" s="276"/>
      <c r="T91" s="506"/>
      <c r="U91" s="426"/>
      <c r="Y91" s="268"/>
      <c r="Z91" s="447"/>
      <c r="AA91" s="439"/>
      <c r="AB91" s="449"/>
    </row>
    <row r="92" spans="1:28" s="264" customFormat="1">
      <c r="A92" s="263"/>
      <c r="B92" s="160" t="s">
        <v>67</v>
      </c>
      <c r="C92" s="160"/>
      <c r="D92" s="372">
        <f>Input!$SE$41</f>
        <v>0</v>
      </c>
      <c r="E92" s="372">
        <f>Input!$SF$41</f>
        <v>0</v>
      </c>
      <c r="F92" s="372">
        <f>Input!$SG$41</f>
        <v>0</v>
      </c>
      <c r="G92" s="372">
        <f>Input!$SH$41</f>
        <v>0</v>
      </c>
      <c r="H92" s="372">
        <f>Input!$SI$41</f>
        <v>0</v>
      </c>
      <c r="I92" s="372">
        <f>Input!$SJ$41</f>
        <v>0</v>
      </c>
      <c r="J92" s="372">
        <f>Input!$SK$41</f>
        <v>0</v>
      </c>
      <c r="K92" s="372">
        <f>Input!$SL$41</f>
        <v>0</v>
      </c>
      <c r="L92" s="372">
        <f>Input!$SM$41</f>
        <v>9325842</v>
      </c>
      <c r="M92" s="373">
        <f>D92+E92+F92+G92+H92+I92+J92+K92+L92</f>
        <v>9325842</v>
      </c>
      <c r="N92" s="160"/>
      <c r="O92" s="1729" t="str">
        <f>Input!UF$41</f>
        <v>June Orth</v>
      </c>
      <c r="P92" s="1730"/>
      <c r="Q92" s="1729" t="str">
        <f>Input!$UG$41</f>
        <v>940-898-3522</v>
      </c>
      <c r="R92" s="1730"/>
      <c r="S92" s="276"/>
      <c r="T92" s="1731" t="str">
        <f>HYPERLINK("Mailto:"&amp;Input!$UH$41,Input!$UH$41)</f>
        <v>borth@twu.edu</v>
      </c>
      <c r="U92" s="1730"/>
      <c r="Y92" s="268"/>
      <c r="Z92" s="447"/>
      <c r="AA92" s="442"/>
      <c r="AB92" s="449"/>
    </row>
    <row r="93" spans="1:28" ht="13.5" thickBot="1">
      <c r="B93" s="179" t="s">
        <v>58</v>
      </c>
      <c r="C93" s="179"/>
      <c r="D93" s="380">
        <f t="shared" ref="D93:K93" si="24">SUM(D85:D92)</f>
        <v>-7608745</v>
      </c>
      <c r="E93" s="380">
        <f t="shared" si="24"/>
        <v>45004128</v>
      </c>
      <c r="F93" s="380">
        <f t="shared" si="24"/>
        <v>6672227</v>
      </c>
      <c r="G93" s="380">
        <f t="shared" si="24"/>
        <v>6819896</v>
      </c>
      <c r="H93" s="380">
        <f t="shared" si="24"/>
        <v>284055</v>
      </c>
      <c r="I93" s="380">
        <f t="shared" si="24"/>
        <v>3343766</v>
      </c>
      <c r="J93" s="380">
        <f t="shared" si="24"/>
        <v>-3055925</v>
      </c>
      <c r="K93" s="380">
        <f t="shared" si="24"/>
        <v>10039588</v>
      </c>
      <c r="L93" s="380">
        <f>SUM(L85:L92)</f>
        <v>-11802093</v>
      </c>
      <c r="M93" s="380">
        <f>D93+E93+F93+G93+H93+I93+J93+K93+L93</f>
        <v>49696897</v>
      </c>
      <c r="N93" s="160"/>
      <c r="O93" s="506"/>
      <c r="P93" s="507"/>
      <c r="Q93" s="276"/>
      <c r="R93" s="276"/>
      <c r="S93" s="276"/>
      <c r="T93" s="507"/>
      <c r="U93" s="508"/>
      <c r="Y93" s="268"/>
      <c r="Z93" s="447"/>
      <c r="AA93" s="442"/>
      <c r="AB93" s="449"/>
    </row>
    <row r="94" spans="1:28" ht="13.5" thickTop="1">
      <c r="C94" s="160"/>
      <c r="D94" s="165"/>
      <c r="E94" s="165"/>
      <c r="F94" s="165"/>
      <c r="G94" s="165"/>
      <c r="H94" s="165"/>
      <c r="I94" s="165"/>
      <c r="J94" s="165"/>
      <c r="K94" s="165"/>
      <c r="L94" s="165"/>
      <c r="M94" s="180"/>
      <c r="N94" s="160"/>
      <c r="O94" s="1720" t="s">
        <v>593</v>
      </c>
      <c r="P94" s="1721"/>
      <c r="Q94" s="1721"/>
      <c r="R94" s="1721"/>
      <c r="S94" s="1721"/>
      <c r="T94" s="1721"/>
      <c r="U94" s="1722"/>
      <c r="Y94" s="268"/>
      <c r="Z94" s="451"/>
      <c r="AA94" s="442"/>
      <c r="AB94" s="449"/>
    </row>
    <row r="95" spans="1:28">
      <c r="B95" s="171" t="s">
        <v>1369</v>
      </c>
      <c r="C95" s="169"/>
      <c r="D95" s="165"/>
      <c r="E95" s="165"/>
      <c r="F95" s="165"/>
      <c r="G95" s="165"/>
      <c r="H95" s="165"/>
      <c r="I95" s="165"/>
      <c r="J95" s="165"/>
      <c r="K95" s="165"/>
      <c r="L95" s="165"/>
      <c r="M95" s="180"/>
      <c r="N95" s="160"/>
      <c r="O95" s="1720"/>
      <c r="P95" s="1721"/>
      <c r="Q95" s="1721"/>
      <c r="R95" s="1721"/>
      <c r="S95" s="1721"/>
      <c r="T95" s="1721"/>
      <c r="U95" s="1722"/>
      <c r="Y95" s="268"/>
      <c r="Z95" s="452"/>
      <c r="AA95" s="453"/>
      <c r="AB95" s="454"/>
    </row>
    <row r="96" spans="1:28">
      <c r="B96" s="169" t="s">
        <v>80</v>
      </c>
      <c r="C96" s="160"/>
      <c r="D96" s="165"/>
      <c r="E96" s="165"/>
      <c r="F96" s="165"/>
      <c r="G96" s="165"/>
      <c r="H96" s="165"/>
      <c r="I96" s="165"/>
      <c r="J96" s="165"/>
      <c r="K96" s="165"/>
      <c r="L96" s="165"/>
      <c r="M96" s="180"/>
      <c r="N96" s="160"/>
      <c r="O96" s="509"/>
      <c r="P96" s="510"/>
      <c r="Q96" s="511"/>
      <c r="R96" s="511"/>
      <c r="S96" s="511"/>
      <c r="T96" s="510"/>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Input!$SN$41</f>
        <v>49696897</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3" t="str">
        <f>IF($L$118&lt;&gt;Input!$F$41,"Out of Balance","Balanced")</f>
        <v>Balanced</v>
      </c>
      <c r="M102" s="517"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200019813</v>
      </c>
      <c r="E105" s="373">
        <f>SUM($E$10:$E$14)+SUM($E$19:$E$28)+SUM($E$32:$E$41)+$E$47+SUM($E$50:$E$55)+SUM($E$60:$E$70)+SUM($E$74:$E$77)+SUM($E$81:$E$82)+SUM($E$87:$E$92)</f>
        <v>179654452</v>
      </c>
      <c r="F105" s="373">
        <f>SUM($F$10:$F$14)+SUM($F$19:$F$28)+SUM($F$32:$F$41)+$F$47+SUM($F$50:$F$55)+SUM($F$60:$F$70)+SUM($F$74:$F$77)+SUM($F$81:$F$82)+SUM($F$87:$F$92)</f>
        <v>48669133</v>
      </c>
      <c r="G105" s="373">
        <f>SUM($G$10:$G$14)+SUM($G$19:$G$28)+SUM($G$32:$G$41)+$G$47+SUM($G$50:$G$55)+SUM($G$60:$G$70)+SUM($G$74:$G$77)+SUM($G$81:$G$82)+SUM($G$87:$G$92)</f>
        <v>32007480</v>
      </c>
      <c r="H105" s="373">
        <f>SUM($H$10:$H$14)+SUM($H$19:$H$28)+SUM($H$32:$H$41)+$H$47+SUM($H$50:$H$55)+SUM($H$60:$H$70)+SUM($H$74:$H$77)+SUM($H$81:$H$82)+SUM($H$87:$H$92)</f>
        <v>284055</v>
      </c>
      <c r="I105" s="373">
        <f>SUM($I$10:$I$14)+SUM($I$19:$I$28)+SUM($I$32:$I$41)+$I$47+SUM($I$50:$I$55)+SUM($I$60:$I$70)+SUM($I$74:$I$77)+SUM($I$81:$I$82)+SUM($I$87:$I$92)</f>
        <v>3620704</v>
      </c>
      <c r="J105" s="373">
        <f>SUM($J$10:$J$14)+SUM($J$19:$J$28)+SUM($J$32:$J$41)+$J$47+SUM($J$50:$J$55)+SUM($J$60:$J$70)+SUM($J$74:$J$77)+SUM($J$81:$J$82)+SUM($J$87:$J$92)</f>
        <v>14550147</v>
      </c>
      <c r="K105" s="373">
        <f>SUM($K$10:$K$14)+SUM($K$19:$K$28)+SUM($K$32:$K$41)+$K$47+SUM($K$50:$K$55)+SUM($K$60:$K$70)+SUM($K$74:$K$77)+SUM($K$81:$K$82)+SUM($K$87:$K$92)</f>
        <v>10041638</v>
      </c>
      <c r="L105" s="373">
        <f>SUM($L$10:$L$14)+SUM($L$19:$L$28)+SUM($L$32:$L$41)+$L$47+SUM($L$50:$L$55)+SUM($L$60:$L$70)+SUM($L$74:$L$77)+SUM($L$81:$L$82)+SUM($L$87:$L$92)</f>
        <v>-11561639</v>
      </c>
      <c r="M105" s="373"/>
      <c r="N105" s="264"/>
      <c r="O105" s="373"/>
      <c r="P105" s="450">
        <f>M18-INT(M18)</f>
        <v>0</v>
      </c>
    </row>
    <row r="106" spans="2:28">
      <c r="B106" s="261"/>
      <c r="C106" s="261"/>
      <c r="D106" s="261"/>
      <c r="E106" s="261"/>
      <c r="F106" s="261"/>
      <c r="G106" s="261"/>
      <c r="H106" s="261"/>
      <c r="I106" s="261"/>
      <c r="J106" s="261"/>
      <c r="K106" s="261"/>
      <c r="L106" s="373">
        <f>SUM($D$105:$L$105)</f>
        <v>477285783</v>
      </c>
      <c r="M106" s="261"/>
      <c r="N106" s="264"/>
      <c r="O106" s="373"/>
      <c r="P106" s="450">
        <f>M31-INT(M31)</f>
        <v>0</v>
      </c>
    </row>
    <row r="107" spans="2:28">
      <c r="B107" s="261"/>
      <c r="C107" s="261"/>
      <c r="D107" s="261"/>
      <c r="E107" s="261"/>
      <c r="F107" s="261"/>
      <c r="G107" s="261"/>
      <c r="H107" s="261"/>
      <c r="I107" s="261"/>
      <c r="J107" s="261" t="s">
        <v>1299</v>
      </c>
      <c r="K107" s="261"/>
      <c r="L107" s="373">
        <f>$M$100</f>
        <v>49696897</v>
      </c>
      <c r="M107" s="261"/>
      <c r="N107" s="264"/>
      <c r="O107" s="373"/>
      <c r="P107" s="450">
        <f>M93-INT(M93)</f>
        <v>0</v>
      </c>
    </row>
    <row r="108" spans="2:28">
      <c r="B108" s="261"/>
      <c r="C108" s="261"/>
      <c r="D108" s="261"/>
      <c r="E108" s="261"/>
      <c r="F108" s="261"/>
      <c r="G108" s="261"/>
      <c r="H108" s="261"/>
      <c r="I108" s="261"/>
      <c r="J108" s="261" t="s">
        <v>1300</v>
      </c>
      <c r="K108" s="261"/>
      <c r="L108" s="512">
        <f>$Q$32</f>
        <v>143547762</v>
      </c>
      <c r="M108" s="261"/>
      <c r="N108" s="264"/>
      <c r="O108" s="373"/>
    </row>
    <row r="109" spans="2:28">
      <c r="B109" s="261"/>
      <c r="C109" s="261"/>
      <c r="D109" s="261"/>
      <c r="E109" s="261"/>
      <c r="F109" s="261"/>
      <c r="G109" s="261"/>
      <c r="H109" s="261"/>
      <c r="I109" s="261"/>
      <c r="J109" s="261" t="s">
        <v>1300</v>
      </c>
      <c r="K109" s="261"/>
      <c r="L109" s="512">
        <f>$R$34</f>
        <v>-54386428</v>
      </c>
      <c r="M109" s="261"/>
      <c r="N109" s="264"/>
      <c r="O109" s="373"/>
    </row>
    <row r="110" spans="2:28">
      <c r="B110" s="261"/>
      <c r="C110" s="261"/>
      <c r="D110" s="261"/>
      <c r="E110" s="261"/>
      <c r="F110" s="261"/>
      <c r="G110" s="261"/>
      <c r="H110" s="261"/>
      <c r="I110" s="261"/>
      <c r="J110" s="261" t="s">
        <v>29</v>
      </c>
      <c r="K110" s="261"/>
      <c r="L110" s="512">
        <f>SUM($P$60:$P$68)</f>
        <v>917665</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2">
        <f>SUM($V$60:$V$67)</f>
        <v>0</v>
      </c>
      <c r="M112" s="261"/>
      <c r="N112" s="264"/>
      <c r="O112" s="373"/>
    </row>
    <row r="113" spans="2:15">
      <c r="B113" s="261"/>
      <c r="C113" s="261"/>
      <c r="D113" s="261"/>
      <c r="E113" s="261"/>
      <c r="F113" s="261"/>
      <c r="G113" s="261"/>
      <c r="H113" s="261"/>
      <c r="I113" s="261"/>
      <c r="J113" s="261" t="s">
        <v>596</v>
      </c>
      <c r="K113" s="261"/>
      <c r="L113" s="512">
        <f>SUM($W$60:$W$67)</f>
        <v>0</v>
      </c>
      <c r="M113" s="261"/>
      <c r="N113" s="264"/>
      <c r="O113" s="373"/>
    </row>
    <row r="114" spans="2:15">
      <c r="B114" s="261"/>
      <c r="C114" s="261"/>
      <c r="D114" s="261"/>
      <c r="E114" s="261"/>
      <c r="F114" s="261"/>
      <c r="G114" s="261"/>
      <c r="H114" s="261"/>
      <c r="I114" s="261"/>
      <c r="J114" s="261" t="s">
        <v>258</v>
      </c>
      <c r="K114" s="261"/>
      <c r="L114" s="512">
        <f>SUM($AA$60:$AA$68)</f>
        <v>212755526</v>
      </c>
      <c r="M114" s="261"/>
      <c r="N114" s="264"/>
      <c r="O114" s="373"/>
    </row>
    <row r="115" spans="2:15">
      <c r="B115" s="261"/>
      <c r="C115" s="261"/>
      <c r="D115" s="261"/>
      <c r="E115" s="261"/>
      <c r="F115" s="261"/>
      <c r="G115" s="261"/>
      <c r="H115" s="261"/>
      <c r="I115" s="261"/>
      <c r="J115" s="261" t="s">
        <v>597</v>
      </c>
      <c r="K115" s="261"/>
      <c r="L115" s="512">
        <f>$R$77</f>
        <v>54316440</v>
      </c>
      <c r="M115" s="261"/>
      <c r="N115" s="264"/>
      <c r="O115" s="373"/>
    </row>
    <row r="116" spans="2:15">
      <c r="B116" s="261"/>
      <c r="C116" s="261"/>
      <c r="D116" s="261"/>
      <c r="E116" s="261"/>
      <c r="F116" s="261"/>
      <c r="G116" s="261"/>
      <c r="H116" s="261"/>
      <c r="I116" s="261"/>
      <c r="J116" s="261" t="s">
        <v>597</v>
      </c>
      <c r="K116" s="261"/>
      <c r="L116" s="512">
        <f>$R$80</f>
        <v>24964791</v>
      </c>
      <c r="M116" s="261"/>
      <c r="N116" s="264"/>
      <c r="O116" s="373"/>
    </row>
    <row r="117" spans="2:15">
      <c r="B117" s="261"/>
      <c r="C117" s="261"/>
      <c r="D117" s="261"/>
      <c r="E117" s="261"/>
      <c r="F117" s="261"/>
      <c r="G117" s="261"/>
      <c r="H117" s="261"/>
      <c r="I117" s="261"/>
      <c r="J117" s="261" t="s">
        <v>1231</v>
      </c>
      <c r="K117" s="261"/>
      <c r="L117" s="512">
        <f>VLOOKUP(B2,Names!B5:$C$87,2,FALSE)</f>
        <v>3646</v>
      </c>
      <c r="M117" s="261"/>
      <c r="N117" s="264"/>
      <c r="O117" s="373"/>
    </row>
    <row r="118" spans="2:15">
      <c r="B118" s="261"/>
      <c r="C118" s="261"/>
      <c r="D118" s="261"/>
      <c r="E118" s="261"/>
      <c r="F118" s="261"/>
      <c r="G118" s="261"/>
      <c r="H118" s="261"/>
      <c r="I118" s="261"/>
      <c r="J118" s="261"/>
      <c r="K118" s="261"/>
      <c r="L118" s="373">
        <f>SUM(L106:L117)</f>
        <v>909102082</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V56:V59"/>
    <mergeCell ref="W56:W59"/>
    <mergeCell ref="G59:K59"/>
    <mergeCell ref="AA56:AA59"/>
    <mergeCell ref="Z55:AB55"/>
    <mergeCell ref="R56:R59"/>
    <mergeCell ref="O55:R55"/>
    <mergeCell ref="T55:X55"/>
    <mergeCell ref="X56:X59"/>
    <mergeCell ref="AB56:AB59"/>
    <mergeCell ref="Z56:Z59"/>
    <mergeCell ref="B2:F2"/>
    <mergeCell ref="B3:F3"/>
    <mergeCell ref="B4:F4"/>
    <mergeCell ref="B6:M6"/>
    <mergeCell ref="P4:Q4"/>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s>
  <conditionalFormatting sqref="U87:X88 O88:Q88">
    <cfRule type="cellIs" dxfId="171" priority="91" stopIfTrue="1" operator="notEqual">
      <formula>#REF!</formula>
    </cfRule>
  </conditionalFormatting>
  <conditionalFormatting sqref="P70">
    <cfRule type="expression" dxfId="170" priority="70">
      <formula>$P$69&lt;&gt;$M$69</formula>
    </cfRule>
  </conditionalFormatting>
  <conditionalFormatting sqref="AB72">
    <cfRule type="expression" dxfId="169" priority="69">
      <formula>$AB$71&lt;&gt;0</formula>
    </cfRule>
  </conditionalFormatting>
  <conditionalFormatting sqref="P71">
    <cfRule type="expression" dxfId="168" priority="68">
      <formula>P69-INT(P69)</formula>
    </cfRule>
  </conditionalFormatting>
  <conditionalFormatting sqref="V70">
    <cfRule type="expression" dxfId="167" priority="66">
      <formula>X68-INT(X68)</formula>
    </cfRule>
  </conditionalFormatting>
  <conditionalFormatting sqref="O11">
    <cfRule type="expression" dxfId="166" priority="59">
      <formula>#REF!&lt;&gt;$M$11</formula>
    </cfRule>
  </conditionalFormatting>
  <conditionalFormatting sqref="U87:U88 O88:Q88">
    <cfRule type="cellIs" dxfId="165" priority="50" stopIfTrue="1" operator="notEqual">
      <formula>#REF!</formula>
    </cfRule>
  </conditionalFormatting>
  <conditionalFormatting sqref="R84">
    <cfRule type="expression" priority="48" stopIfTrue="1">
      <formula>$M$85&lt;0</formula>
    </cfRule>
    <cfRule type="expression" dxfId="164" priority="49">
      <formula>$S$85&lt;&gt;0</formula>
    </cfRule>
  </conditionalFormatting>
  <conditionalFormatting sqref="O12">
    <cfRule type="expression" dxfId="163" priority="31">
      <formula>$P$12&lt;&gt;$M$12</formula>
    </cfRule>
  </conditionalFormatting>
  <conditionalFormatting sqref="O13">
    <cfRule type="expression" dxfId="162" priority="30">
      <formula>$P$13&lt;&gt;$M$13</formula>
    </cfRule>
  </conditionalFormatting>
  <conditionalFormatting sqref="Q36">
    <cfRule type="expression" dxfId="161" priority="27">
      <formula>#REF!&lt;&gt;#REF!</formula>
    </cfRule>
  </conditionalFormatting>
  <conditionalFormatting sqref="R35">
    <cfRule type="expression" dxfId="160" priority="26">
      <formula>#REF!&lt;&gt;0</formula>
    </cfRule>
  </conditionalFormatting>
  <conditionalFormatting sqref="Q35">
    <cfRule type="expression" dxfId="159" priority="25">
      <formula>#REF!&lt;&gt;0</formula>
    </cfRule>
  </conditionalFormatting>
  <conditionalFormatting sqref="R36">
    <cfRule type="expression" dxfId="158" priority="24">
      <formula>#REF!&lt;&gt;#REF!</formula>
    </cfRule>
  </conditionalFormatting>
  <conditionalFormatting sqref="D93:M98 T94:T95 R90:S95 U87:X93 T90:T92 Y90:Y95 O88:O92 P88:Q93">
    <cfRule type="cellIs" dxfId="157" priority="23" stopIfTrue="1" operator="notEqual">
      <formula>#REF!</formula>
    </cfRule>
  </conditionalFormatting>
  <conditionalFormatting sqref="P70">
    <cfRule type="expression" dxfId="156" priority="22">
      <formula>$P$69&lt;&gt;$M$69</formula>
    </cfRule>
  </conditionalFormatting>
  <conditionalFormatting sqref="AB72">
    <cfRule type="expression" dxfId="155" priority="21">
      <formula>$AB$71&lt;&gt;0</formula>
    </cfRule>
  </conditionalFormatting>
  <conditionalFormatting sqref="P71">
    <cfRule type="expression" dxfId="154" priority="20">
      <formula>P69-INT(P69)</formula>
    </cfRule>
  </conditionalFormatting>
  <conditionalFormatting sqref="V70">
    <cfRule type="expression" dxfId="153" priority="19">
      <formula>X68-INT(X68)</formula>
    </cfRule>
  </conditionalFormatting>
  <conditionalFormatting sqref="O12">
    <cfRule type="expression" dxfId="152" priority="18">
      <formula>$P$12&lt;&gt;$M$12</formula>
    </cfRule>
  </conditionalFormatting>
  <conditionalFormatting sqref="T94:T95 R90:S95 U87:U93 T90:T92 O88:O92 P88:Q93">
    <cfRule type="cellIs" dxfId="151" priority="16" stopIfTrue="1" operator="notEqual">
      <formula>#REF!</formula>
    </cfRule>
  </conditionalFormatting>
  <conditionalFormatting sqref="R84">
    <cfRule type="expression" priority="14" stopIfTrue="1">
      <formula>$M$85&lt;0</formula>
    </cfRule>
    <cfRule type="expression" dxfId="150" priority="15">
      <formula>$S$85&lt;&gt;0</formula>
    </cfRule>
  </conditionalFormatting>
  <conditionalFormatting sqref="R80 R77">
    <cfRule type="expression" dxfId="149" priority="12" stopIfTrue="1">
      <formula>$M$85&gt;=0</formula>
    </cfRule>
    <cfRule type="expression" priority="13">
      <formula>$M$85&lt;0</formula>
    </cfRule>
  </conditionalFormatting>
  <conditionalFormatting sqref="U87:U88 R89:U92 O88:Q92">
    <cfRule type="cellIs" dxfId="148" priority="11" stopIfTrue="1" operator="notEqual">
      <formula>#REF!</formula>
    </cfRule>
  </conditionalFormatting>
  <conditionalFormatting sqref="M101">
    <cfRule type="expression" dxfId="147" priority="10">
      <formula>$M$101&lt;&gt;0</formula>
    </cfRule>
  </conditionalFormatting>
  <conditionalFormatting sqref="M102">
    <cfRule type="expression" dxfId="146" priority="9">
      <formula>$M$93&lt;&gt;$M$100</formula>
    </cfRule>
  </conditionalFormatting>
  <conditionalFormatting sqref="U87:U92 R90:T92 O88:Q92">
    <cfRule type="cellIs" dxfId="145" priority="8" stopIfTrue="1" operator="notEqual">
      <formula>#REF!</formula>
    </cfRule>
  </conditionalFormatting>
  <conditionalFormatting sqref="T89:U89 Q91 T90 O89:O90 P89:Q89 R89:S91">
    <cfRule type="cellIs" dxfId="144" priority="7" stopIfTrue="1" operator="notEqual">
      <formula>#REF!</formula>
    </cfRule>
  </conditionalFormatting>
  <conditionalFormatting sqref="Q36">
    <cfRule type="expression" dxfId="143" priority="6">
      <formula>#REF!&lt;&gt;#REF!</formula>
    </cfRule>
  </conditionalFormatting>
  <conditionalFormatting sqref="R35">
    <cfRule type="expression" dxfId="142" priority="5">
      <formula>#REF!&lt;&gt;0</formula>
    </cfRule>
  </conditionalFormatting>
  <conditionalFormatting sqref="Q35">
    <cfRule type="expression" dxfId="141" priority="4">
      <formula>#REF!&lt;&gt;0</formula>
    </cfRule>
  </conditionalFormatting>
  <conditionalFormatting sqref="R36">
    <cfRule type="expression" dxfId="140" priority="3">
      <formula>#REF!&lt;&gt;#REF!</formula>
    </cfRule>
  </conditionalFormatting>
  <conditionalFormatting sqref="G59:K59">
    <cfRule type="expression" dxfId="139" priority="1">
      <formula>OR($P$105&gt;0,$P$106&lt;&gt;0,$P$107&lt;&gt;0)</formula>
    </cfRule>
  </conditionalFormatting>
  <hyperlinks>
    <hyperlink ref="O2" location="Index!A1" display="Return to Index" xr:uid="{00000000-0004-0000-A700-000000000000}"/>
  </hyperlinks>
  <printOptions horizontalCentered="1"/>
  <pageMargins left="0.5" right="0.5" top="0.25" bottom="0.25" header="0" footer="0.25"/>
  <pageSetup scale="10" orientation="landscape" r:id="rId1"/>
  <headerFooter alignWithMargins="0"/>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sheetPr codeName="Sheet142"/>
  <dimension ref="A1:G30"/>
  <sheetViews>
    <sheetView showGridLines="0" zoomScale="80" zoomScaleNormal="80" workbookViewId="0">
      <selection activeCell="E74" sqref="E74:F74"/>
    </sheetView>
  </sheetViews>
  <sheetFormatPr defaultColWidth="9.140625" defaultRowHeight="12.75"/>
  <cols>
    <col min="1" max="1" width="7" style="53" customWidth="1"/>
    <col min="2" max="2" width="93" style="53" customWidth="1"/>
    <col min="3" max="3" width="20.42578125" style="53" customWidth="1"/>
    <col min="4" max="9" width="9.140625" style="53"/>
    <col min="10" max="10" width="15.42578125" style="53" customWidth="1"/>
    <col min="11" max="16384" width="9.140625" style="53"/>
  </cols>
  <sheetData>
    <row r="1" spans="2:6" ht="18.75" thickBot="1">
      <c r="B1" s="466" t="str">
        <f>'TWU Chrts'!$A$1</f>
        <v>Texas Woman's University</v>
      </c>
      <c r="C1" s="835" t="s">
        <v>1200</v>
      </c>
    </row>
    <row r="2" spans="2:6">
      <c r="B2" s="393" t="str">
        <f>'Smmy Chrts'!$A$2</f>
        <v>For the Year Ended August 31, 2021</v>
      </c>
    </row>
    <row r="3" spans="2:6">
      <c r="B3" s="393" t="str">
        <f>'Smmy Chrts'!$A$3</f>
        <v>Source: FY 2021 Annual Financial Report</v>
      </c>
    </row>
    <row r="5" spans="2:6" customFormat="1">
      <c r="B5" s="529" t="s">
        <v>705</v>
      </c>
    </row>
    <row r="6" spans="2:6" customFormat="1">
      <c r="B6" s="530"/>
    </row>
    <row r="7" spans="2:6" customFormat="1" ht="226.5" customHeight="1">
      <c r="B7" s="531" t="s">
        <v>706</v>
      </c>
      <c r="C7" s="532"/>
    </row>
    <row r="8" spans="2:6" customFormat="1" ht="263.25" customHeight="1">
      <c r="B8" s="531" t="s">
        <v>707</v>
      </c>
    </row>
    <row r="9" spans="2:6" ht="64.5" customHeight="1">
      <c r="B9" s="533" t="str">
        <f>IF('TWU FGD'!$R$76="N/A","FN11.  N/A",$B$20&amp;$B$21&amp;$B$22&amp;$B$23&amp;$B$24&amp;$B$25&amp;$B$26&amp;$B$27&amp;$B$28&amp;$B$29&amp;$B$30)</f>
        <v>FN11: Of the net increase of $69,387,249 approximately $54.3 million represents revenues received but not yet expended. This income is fully committed to program expenditures and capital disbursements. The remaining $15.1 million represents non-expendable funds from unrealized gains and additions to permanent endowments of approximately $25.0 million and $(9.9) million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TEXT(IF('TWU FGD'!$M$85&lt;0,"N/A",'TWU FGD'!$M$85),"$* #,##0;$* (#,##0)")</f>
        <v>$69,387,249</v>
      </c>
      <c r="C21" s="480"/>
      <c r="D21" s="480"/>
      <c r="E21" s="480"/>
      <c r="G21" s="105"/>
    </row>
    <row r="22" spans="1:7">
      <c r="B22" s="105" t="s">
        <v>682</v>
      </c>
    </row>
    <row r="23" spans="1:7">
      <c r="A23" s="53">
        <v>61</v>
      </c>
      <c r="B23" s="515" t="str">
        <f>IF(ABS('TWU FGD'!$R$77)&gt;=1000000,TEXT('TWU FGD'!$R$77/1000000,"$* #,##0.0;$* (#,##0.0)")&amp;" million",IF(ABS('TWU FGD'!$R$77)&lt;1000,TEXT('TWU FGD'!$R$77,"$* #,##0;$* (#,##0)"),TEXT('TWU FGD'!$R$77/1000,"$* #,##0;$* (#,##0)")&amp;" thousand"))</f>
        <v>$54.3 million</v>
      </c>
      <c r="C23" s="515"/>
      <c r="E23" s="515"/>
    </row>
    <row r="24" spans="1:7">
      <c r="B24" s="105" t="s">
        <v>708</v>
      </c>
    </row>
    <row r="25" spans="1:7">
      <c r="A25" s="53">
        <v>62</v>
      </c>
      <c r="B25" s="515" t="str">
        <f>IF(ABS('TWU FGD'!$R$78)&gt;=1000000,TEXT('TWU FGD'!$R$78/1000000,"$* #,##0.0;$* (#,##0.0)")&amp;" million",IF(ABS('TWU FGD'!$R$78)&lt;1000,TEXT('TWU FGD'!$R$78,"$* #,##0;$* (#,##0)"),TEXT('TWU FGD'!$R$78/1000,"$* #,##0;$* (#,##0)")&amp;" thousand"))</f>
        <v>$15.1 million</v>
      </c>
      <c r="C25" s="515"/>
      <c r="E25" s="515"/>
    </row>
    <row r="26" spans="1:7">
      <c r="B26" s="105" t="s">
        <v>683</v>
      </c>
    </row>
    <row r="27" spans="1:7">
      <c r="A27" s="53">
        <v>64</v>
      </c>
      <c r="B27" s="515" t="str">
        <f>IF(ABS('TWU FGD'!$R$80)&gt;=1000000,TEXT('TWU FGD'!$R$80/1000000,"$* #,##0.0;$* (#,##0.0)")&amp;" million",IF(ABS('TWU FGD'!$R$80)&lt;1000,TEXT('TWU FGD'!$R$80,"$* #,##0;$* (#,##0)"),TEXT('TWU FGD'!$R$80/1000,"$* #,##0;$* (#,##0)")&amp;" thousand"))</f>
        <v>$25.0 million</v>
      </c>
      <c r="C27" s="515"/>
      <c r="E27" s="515"/>
    </row>
    <row r="28" spans="1:7">
      <c r="B28" s="105" t="s">
        <v>684</v>
      </c>
    </row>
    <row r="29" spans="1:7">
      <c r="A29" s="53">
        <v>66</v>
      </c>
      <c r="B29" s="515" t="str">
        <f>IF(ABS('TWU FGD'!$R$82)&gt;=1000000,TEXT('TWU FGD'!$R$82/1000000,"$* #,##0.0;$* (#,##0.0)")&amp;" million",IF(ABS('TWU FGD'!$R$82)&lt;1000,TEXT('TWU FGD'!$R$82,"$* #,##0;$* (#,##0)"),TEXT('TWU FGD'!$R$82/1000,"$* #,##0;$* (#,##0)")&amp;" thousand"))</f>
        <v>$(9.9) million</v>
      </c>
      <c r="C29" s="515"/>
      <c r="E29" s="515"/>
    </row>
    <row r="30" spans="1:7">
      <c r="B30" s="105" t="s">
        <v>709</v>
      </c>
    </row>
  </sheetData>
  <hyperlinks>
    <hyperlink ref="C1" location="Index!A1" display="Return to Index" xr:uid="{00000000-0004-0000-A800-000000000000}"/>
  </hyperlinks>
  <pageMargins left="0.25" right="0.25" top="0.25" bottom="0.25" header="0" footer="0.25"/>
  <pageSetup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indexed="41"/>
    <pageSetUpPr fitToPage="1"/>
  </sheetPr>
  <dimension ref="A1:AO816"/>
  <sheetViews>
    <sheetView showGridLines="0" zoomScale="80" zoomScaleNormal="80" workbookViewId="0">
      <pane xSplit="8" ySplit="9" topLeftCell="I52" activePane="bottomRight" state="frozen"/>
      <selection activeCell="F74" sqref="E74:F74"/>
      <selection pane="topRight" activeCell="F74" sqref="E74:F74"/>
      <selection pane="bottomLeft" activeCell="F74" sqref="E74:F74"/>
      <selection pane="bottomRight" activeCell="J36" sqref="J36"/>
    </sheetView>
  </sheetViews>
  <sheetFormatPr defaultColWidth="9.140625" defaultRowHeight="12.75" outlineLevelRow="1"/>
  <cols>
    <col min="1" max="1" width="7.28515625" style="480" customWidth="1"/>
    <col min="2" max="3" width="11" style="480" customWidth="1"/>
    <col min="4" max="4" width="13" style="480" customWidth="1"/>
    <col min="5" max="5" width="25.140625" style="53" customWidth="1"/>
    <col min="6" max="6" width="10.28515625" style="53" customWidth="1"/>
    <col min="7" max="7" width="14" style="53" customWidth="1"/>
    <col min="8" max="8" width="11.85546875" style="53" customWidth="1"/>
    <col min="9" max="9" width="15.5703125" style="154" customWidth="1"/>
    <col min="10" max="12" width="17.28515625" style="154" customWidth="1"/>
    <col min="13" max="13" width="17.85546875" style="154" customWidth="1"/>
    <col min="14" max="14" width="11" customWidth="1"/>
    <col min="15" max="15" width="20.5703125" customWidth="1"/>
    <col min="16" max="16" width="18" customWidth="1"/>
    <col min="17" max="18" width="13.5703125" style="53" customWidth="1"/>
    <col min="19" max="19" width="4.140625" style="68" customWidth="1"/>
    <col min="20" max="20" width="13.5703125" style="53" customWidth="1"/>
    <col min="21" max="21" width="13.42578125" style="53" customWidth="1"/>
    <col min="22" max="22" width="19" style="53" customWidth="1"/>
    <col min="23" max="23" width="4" style="53" customWidth="1"/>
    <col min="24" max="24" width="9.140625" style="53"/>
    <col min="25" max="25" width="10.85546875" style="53" customWidth="1"/>
    <col min="26" max="26" width="11" style="53" customWidth="1"/>
    <col min="27" max="28" width="11.85546875" style="53" customWidth="1"/>
    <col min="29" max="29" width="9.140625" style="53"/>
    <col min="30" max="30" width="19.42578125" style="53" customWidth="1"/>
    <col min="31" max="31" width="16.5703125" style="53" customWidth="1"/>
    <col min="32" max="32" width="26.85546875" style="53" customWidth="1"/>
    <col min="33" max="36" width="9.140625" style="53"/>
    <col min="37" max="37" width="15.5703125" style="154" customWidth="1"/>
    <col min="38" max="38" width="17.28515625" style="154" customWidth="1"/>
    <col min="39" max="40" width="18.5703125" style="154" customWidth="1"/>
    <col min="41" max="41" width="14.28515625" style="53" customWidth="1"/>
    <col min="42" max="16384" width="9.140625" style="53"/>
  </cols>
  <sheetData>
    <row r="1" spans="1:41" ht="13.5" thickBot="1">
      <c r="I1" s="777" t="s">
        <v>131</v>
      </c>
      <c r="J1" s="114"/>
      <c r="K1" s="114"/>
      <c r="L1" s="114"/>
      <c r="M1" s="855" t="s">
        <v>1200</v>
      </c>
      <c r="AK1" s="114"/>
      <c r="AL1" s="114"/>
      <c r="AM1" s="114"/>
      <c r="AN1" s="114"/>
    </row>
    <row r="2" spans="1:41">
      <c r="I2" s="777" t="s">
        <v>2390</v>
      </c>
      <c r="J2" s="114"/>
      <c r="K2" s="114"/>
      <c r="L2" s="114"/>
      <c r="M2" s="114"/>
      <c r="AK2" s="114"/>
      <c r="AL2" s="114"/>
      <c r="AM2" s="114"/>
      <c r="AN2" s="114"/>
    </row>
    <row r="3" spans="1:41">
      <c r="A3" s="215" t="s">
        <v>241</v>
      </c>
      <c r="I3" s="1549" t="s">
        <v>2484</v>
      </c>
      <c r="J3" s="114"/>
      <c r="K3" s="114"/>
      <c r="L3" s="114"/>
      <c r="M3" s="114"/>
      <c r="X3" s="53" t="s">
        <v>2205</v>
      </c>
      <c r="AK3" s="114"/>
      <c r="AL3" s="114"/>
      <c r="AM3" s="114"/>
      <c r="AN3" s="114"/>
    </row>
    <row r="4" spans="1:41">
      <c r="F4" s="480">
        <v>2021</v>
      </c>
      <c r="I4" s="114"/>
      <c r="J4" s="114"/>
      <c r="K4" s="114"/>
      <c r="L4" s="114"/>
      <c r="M4" s="114"/>
      <c r="AK4" s="114"/>
      <c r="AL4" s="114"/>
      <c r="AM4" s="114"/>
      <c r="AN4" s="114"/>
    </row>
    <row r="5" spans="1:41" ht="14.25" customHeight="1">
      <c r="A5" s="468" t="s">
        <v>2128</v>
      </c>
      <c r="H5" s="480"/>
      <c r="I5" s="1674" t="s">
        <v>2174</v>
      </c>
      <c r="J5" s="1675"/>
      <c r="K5" s="1675"/>
      <c r="L5" s="1675"/>
      <c r="M5" s="1676"/>
      <c r="O5" s="1420" t="s">
        <v>2178</v>
      </c>
      <c r="U5" s="1667" t="s">
        <v>1333</v>
      </c>
      <c r="V5" s="1668"/>
      <c r="AK5" s="114"/>
      <c r="AL5" s="114"/>
      <c r="AM5" s="114"/>
      <c r="AN5" s="114"/>
    </row>
    <row r="6" spans="1:41" ht="30" customHeight="1" thickBot="1">
      <c r="A6" s="468" t="s">
        <v>2162</v>
      </c>
      <c r="F6" s="480"/>
      <c r="G6" s="480"/>
      <c r="H6" s="480"/>
      <c r="I6" s="1400">
        <v>1</v>
      </c>
      <c r="J6" s="1400">
        <v>2</v>
      </c>
      <c r="K6" s="1400">
        <v>3</v>
      </c>
      <c r="L6" s="1400">
        <v>4</v>
      </c>
      <c r="M6" s="1400">
        <v>5</v>
      </c>
      <c r="O6" s="1400">
        <v>1</v>
      </c>
      <c r="Q6" s="1652" t="s">
        <v>1332</v>
      </c>
      <c r="R6" s="1653"/>
      <c r="U6" s="1677" t="s">
        <v>1242</v>
      </c>
      <c r="V6" s="1678"/>
      <c r="X6" s="1024" t="s">
        <v>2200</v>
      </c>
      <c r="Y6" s="1024"/>
      <c r="Z6" s="1024"/>
      <c r="AA6" s="1024"/>
      <c r="AB6" s="1024"/>
      <c r="AD6" s="1649" t="s">
        <v>1084</v>
      </c>
      <c r="AE6" s="1650"/>
      <c r="AF6" s="1651"/>
      <c r="AK6" s="114"/>
      <c r="AL6" s="114"/>
      <c r="AM6" s="114"/>
      <c r="AN6" s="114"/>
    </row>
    <row r="7" spans="1:41" ht="14.25" customHeight="1" thickBot="1">
      <c r="A7" s="468"/>
      <c r="H7" s="480"/>
      <c r="I7" s="480"/>
      <c r="J7" s="480"/>
      <c r="K7" s="480"/>
      <c r="L7" s="480"/>
      <c r="M7" s="145"/>
      <c r="X7" s="1025" t="s">
        <v>1326</v>
      </c>
      <c r="Y7" s="1024"/>
      <c r="Z7" s="1024"/>
      <c r="AA7" s="1024"/>
      <c r="AB7" s="1024"/>
      <c r="AK7" s="114"/>
      <c r="AL7" s="114"/>
      <c r="AM7" s="114"/>
      <c r="AN7" s="114"/>
    </row>
    <row r="8" spans="1:41" s="123" customFormat="1" ht="36.75" customHeight="1" thickBot="1">
      <c r="A8" s="1371" t="s">
        <v>1123</v>
      </c>
      <c r="B8" s="1664" t="s">
        <v>1134</v>
      </c>
      <c r="C8" s="1664"/>
      <c r="D8" s="1664"/>
      <c r="E8" s="118" t="s">
        <v>298</v>
      </c>
      <c r="F8" s="1401" t="s">
        <v>2163</v>
      </c>
      <c r="G8" s="1401" t="s">
        <v>2164</v>
      </c>
      <c r="H8" s="1402" t="s">
        <v>132</v>
      </c>
      <c r="I8" s="1403" t="s">
        <v>2165</v>
      </c>
      <c r="J8" s="1403" t="s">
        <v>2166</v>
      </c>
      <c r="K8" s="1403" t="s">
        <v>2167</v>
      </c>
      <c r="L8" s="1403" t="s">
        <v>2168</v>
      </c>
      <c r="M8" s="1403" t="s">
        <v>1194</v>
      </c>
      <c r="O8" s="858" t="s">
        <v>1160</v>
      </c>
      <c r="Q8" s="796" t="s">
        <v>1322</v>
      </c>
      <c r="R8" s="858" t="s">
        <v>1323</v>
      </c>
      <c r="S8" s="752"/>
      <c r="T8" s="118" t="s">
        <v>264</v>
      </c>
      <c r="U8" s="926" t="s">
        <v>1244</v>
      </c>
      <c r="V8" s="927" t="s">
        <v>1243</v>
      </c>
      <c r="W8" s="621"/>
      <c r="X8" s="480">
        <v>1</v>
      </c>
      <c r="Y8" s="480">
        <v>2</v>
      </c>
      <c r="Z8" s="480">
        <v>3</v>
      </c>
      <c r="AA8" s="480">
        <v>4</v>
      </c>
      <c r="AB8" s="480">
        <v>5</v>
      </c>
      <c r="AD8" s="777" t="s">
        <v>299</v>
      </c>
      <c r="AE8" s="158" t="s">
        <v>703</v>
      </c>
      <c r="AF8" s="777" t="s">
        <v>704</v>
      </c>
      <c r="AK8" s="1298" t="s">
        <v>1160</v>
      </c>
      <c r="AL8" s="1298" t="s">
        <v>1174</v>
      </c>
      <c r="AM8" s="1298" t="s">
        <v>1334</v>
      </c>
      <c r="AN8" s="1298" t="s">
        <v>1335</v>
      </c>
    </row>
    <row r="9" spans="1:41" ht="18" customHeight="1" thickBot="1">
      <c r="A9" s="468"/>
      <c r="E9" s="776"/>
      <c r="F9" s="1287" t="s">
        <v>2163</v>
      </c>
      <c r="G9" s="1287" t="s">
        <v>2164</v>
      </c>
      <c r="H9" s="480" t="s">
        <v>1170</v>
      </c>
      <c r="I9" s="1404" t="s">
        <v>2169</v>
      </c>
      <c r="J9" s="1405" t="s">
        <v>2170</v>
      </c>
      <c r="K9" s="1405" t="s">
        <v>2171</v>
      </c>
      <c r="L9" s="1405" t="s">
        <v>2172</v>
      </c>
      <c r="M9" s="1406" t="s">
        <v>2173</v>
      </c>
      <c r="O9" s="1419" t="s">
        <v>2179</v>
      </c>
      <c r="Q9" s="1407" t="s">
        <v>1324</v>
      </c>
      <c r="R9" s="1408" t="s">
        <v>1325</v>
      </c>
      <c r="S9" s="917"/>
      <c r="T9" s="1016" t="s">
        <v>1173</v>
      </c>
      <c r="U9" s="928" t="s">
        <v>1245</v>
      </c>
      <c r="V9" s="898" t="s">
        <v>1245</v>
      </c>
      <c r="X9" s="1459" t="s">
        <v>1231</v>
      </c>
      <c r="Y9" s="1459" t="s">
        <v>1322</v>
      </c>
      <c r="Z9" s="1459" t="s">
        <v>1323</v>
      </c>
      <c r="AA9" s="1459" t="s">
        <v>2152</v>
      </c>
      <c r="AB9" s="1459" t="s">
        <v>2153</v>
      </c>
      <c r="AD9" s="763"/>
      <c r="AE9" s="763"/>
      <c r="AF9" s="763"/>
      <c r="AK9" s="859" t="s">
        <v>1161</v>
      </c>
      <c r="AL9" s="860" t="s">
        <v>1163</v>
      </c>
      <c r="AM9" s="860" t="s">
        <v>1166</v>
      </c>
      <c r="AN9" s="860" t="s">
        <v>1167</v>
      </c>
    </row>
    <row r="10" spans="1:41" ht="14.25" customHeight="1">
      <c r="A10" s="468"/>
      <c r="E10" s="53" t="s">
        <v>1182</v>
      </c>
      <c r="F10" s="481">
        <f t="shared" ref="F10" si="0">$F$4</f>
        <v>2021</v>
      </c>
      <c r="G10" s="1288" t="s">
        <v>2117</v>
      </c>
      <c r="H10" s="1294">
        <v>20</v>
      </c>
      <c r="I10" s="885" t="s">
        <v>1183</v>
      </c>
      <c r="J10" s="885" t="s">
        <v>1183</v>
      </c>
      <c r="K10" s="885" t="s">
        <v>1183</v>
      </c>
      <c r="L10" s="885" t="s">
        <v>1183</v>
      </c>
      <c r="M10" s="1356" t="s">
        <v>1183</v>
      </c>
      <c r="O10" s="1421" t="s">
        <v>1183</v>
      </c>
      <c r="Q10" s="1409">
        <f t="shared" ref="Q10:Q46" si="1">VLOOKUP($H10,$X$11:$AB$57,2,FALSE)</f>
        <v>0</v>
      </c>
      <c r="R10" s="1383">
        <f t="shared" ref="R10:R46" si="2">VLOOKUP($H10,$X$11:$AB$57,3,FALSE)</f>
        <v>0</v>
      </c>
      <c r="S10" s="918"/>
      <c r="T10" s="1382" t="s">
        <v>1183</v>
      </c>
      <c r="U10" s="1384" t="s">
        <v>1183</v>
      </c>
      <c r="V10" s="1385" t="s">
        <v>1183</v>
      </c>
      <c r="AD10" s="763"/>
      <c r="AE10" s="763"/>
      <c r="AF10" s="763"/>
      <c r="AH10" s="794"/>
      <c r="AI10" s="1300"/>
      <c r="AK10" s="884" t="s">
        <v>1183</v>
      </c>
      <c r="AL10" s="885" t="s">
        <v>1183</v>
      </c>
      <c r="AM10" s="885" t="s">
        <v>1183</v>
      </c>
      <c r="AN10" s="885" t="s">
        <v>1183</v>
      </c>
    </row>
    <row r="11" spans="1:41" ht="12.75" customHeight="1">
      <c r="A11" s="480">
        <v>320</v>
      </c>
      <c r="B11" s="678" t="str">
        <f ca="1">OFFSET(PeerGroups!$C$6,MATCH(H11,PeerGroups!$A$7:$A$623,0),MATCH($F$4,PeerGroups!$D$5:$AA$5,0))</f>
        <v>P00031</v>
      </c>
      <c r="C11" s="678" t="str">
        <f ca="1">OFFSET(SystemGroups!$C$6,MATCH(H11,SystemGroups!$A$7:$A$623,0),MATCH($F$4,SystemGroups!$D$5:$AA$5,0))</f>
        <v>S39154</v>
      </c>
      <c r="D11" s="68" t="str">
        <f ca="1">VLOOKUP(B11,PeerGroups!$I$643:$K$647,3,FALSE)</f>
        <v>Master's</v>
      </c>
      <c r="E11" s="53" t="s">
        <v>140</v>
      </c>
      <c r="F11" s="481">
        <f t="shared" ref="F11:F46" si="3">$F$4</f>
        <v>2021</v>
      </c>
      <c r="G11" s="1288" t="s">
        <v>2117</v>
      </c>
      <c r="H11" s="1294">
        <v>3541</v>
      </c>
      <c r="I11" s="1501">
        <f>'ASU Sum'!$I$36</f>
        <v>5831</v>
      </c>
      <c r="J11" s="1501">
        <f>'ASU Sum'!$I$39</f>
        <v>913</v>
      </c>
      <c r="K11" s="1501">
        <f>'ASU Sum'!$I$41</f>
        <v>2371</v>
      </c>
      <c r="L11" s="1501">
        <f>'ASU Sum'!$I$46</f>
        <v>4960</v>
      </c>
      <c r="M11" s="924">
        <f>'ASU Sum'!$I$48</f>
        <v>14075</v>
      </c>
      <c r="N11" s="360"/>
      <c r="O11" s="930">
        <f>'ASU Sum'!$I$11</f>
        <v>5582</v>
      </c>
      <c r="Q11" s="1409">
        <f t="shared" si="1"/>
        <v>0</v>
      </c>
      <c r="R11" s="1383">
        <f t="shared" si="2"/>
        <v>0</v>
      </c>
      <c r="S11" s="886"/>
      <c r="T11" s="1386">
        <f>'ASU Sum'!$C$6</f>
        <v>7617.63</v>
      </c>
      <c r="U11" s="1387">
        <f>'ASU Sum'!$C$15</f>
        <v>6474</v>
      </c>
      <c r="V11" s="1388">
        <f>'ASU Sum'!$C$20</f>
        <v>5874</v>
      </c>
      <c r="X11" s="1462">
        <v>20</v>
      </c>
      <c r="Y11" s="1460"/>
      <c r="Z11" s="1460"/>
      <c r="AA11" s="1461"/>
      <c r="AB11" s="1461"/>
      <c r="AD11" s="528" t="str">
        <f>'ASU FGD'!$O$92</f>
        <v>Janet Coleman</v>
      </c>
      <c r="AE11" s="528" t="str">
        <f>'ASU FGD'!$Q$92</f>
        <v>325-942-2014</v>
      </c>
      <c r="AF11" s="528" t="str">
        <f>'ASU FGD'!$T$92</f>
        <v>janet.coleman@angelo.edu</v>
      </c>
      <c r="AH11" s="794"/>
      <c r="AI11" s="1294"/>
      <c r="AK11" s="887">
        <f>'ASU Sum'!$I$11</f>
        <v>5582</v>
      </c>
      <c r="AL11" s="888">
        <f>'ASU Sum'!$I$14</f>
        <v>67120</v>
      </c>
      <c r="AM11" s="888">
        <f>'ASU Sum'!$I$33</f>
        <v>18645</v>
      </c>
      <c r="AN11" s="888">
        <f>'ASU Sum'!$I$35</f>
        <v>224196</v>
      </c>
    </row>
    <row r="12" spans="1:41" ht="15">
      <c r="A12" s="480">
        <v>210</v>
      </c>
      <c r="B12" s="678" t="str">
        <f ca="1">OFFSET(PeerGroups!$C$6,MATCH(H12,PeerGroups!$A$7:$A$623,0),MATCH($F$4,PeerGroups!$D$5:$AA$5,0))</f>
        <v>P00032</v>
      </c>
      <c r="C12" s="678" t="str">
        <f ca="1">OFFSET(SystemGroups!$C$6,MATCH(H12,SystemGroups!$A$7:$A$623,0),MATCH($F$4,SystemGroups!$D$5:$AA$5,0))</f>
        <v>S03629</v>
      </c>
      <c r="D12" s="68" t="str">
        <f ca="1">VLOOKUP(B12,PeerGroups!$I$643:$K$647,3,FALSE)</f>
        <v>Doctoral</v>
      </c>
      <c r="E12" s="53" t="s">
        <v>142</v>
      </c>
      <c r="F12" s="481">
        <f t="shared" si="3"/>
        <v>2021</v>
      </c>
      <c r="G12" s="1288" t="s">
        <v>2117</v>
      </c>
      <c r="H12" s="1294">
        <v>3565</v>
      </c>
      <c r="I12" s="1501">
        <f>'TAMUC Sum'!$I$36</f>
        <v>6140</v>
      </c>
      <c r="J12" s="1501">
        <f>'TAMUC Sum'!$I$39</f>
        <v>1741</v>
      </c>
      <c r="K12" s="1501">
        <f>'TAMUC Sum'!$I$41</f>
        <v>1361</v>
      </c>
      <c r="L12" s="1501">
        <f>'TAMUC Sum'!$I$46</f>
        <v>6629</v>
      </c>
      <c r="M12" s="924">
        <f>'TAMUC Sum'!$I$48</f>
        <v>15871</v>
      </c>
      <c r="N12" s="360"/>
      <c r="O12" s="930">
        <f>'TAMUC Sum'!$I$11</f>
        <v>6346</v>
      </c>
      <c r="Q12" s="1409">
        <f t="shared" si="1"/>
        <v>0</v>
      </c>
      <c r="R12" s="1383">
        <f t="shared" si="2"/>
        <v>0</v>
      </c>
      <c r="S12" s="886"/>
      <c r="T12" s="1386">
        <f>'TAMUC Sum'!$C$6</f>
        <v>9311.4500000000007</v>
      </c>
      <c r="U12" s="1387">
        <f>'TAMUC Sum'!$C$15</f>
        <v>7541</v>
      </c>
      <c r="V12" s="1388">
        <f>'TAMUC Sum'!$C$20</f>
        <v>8602</v>
      </c>
      <c r="X12" s="1462">
        <v>3541</v>
      </c>
      <c r="Y12" s="1460"/>
      <c r="Z12" s="1460"/>
      <c r="AA12" s="1461"/>
      <c r="AB12" s="1461"/>
      <c r="AC12" s="1035">
        <f>FTSE!N35</f>
        <v>546.67999999999995</v>
      </c>
      <c r="AD12" s="528" t="str">
        <f>'TAMUC FGD'!$O$92</f>
        <v>Chris Arrington</v>
      </c>
      <c r="AE12" s="528" t="str">
        <f>'TAMUC FGD'!$Q$92</f>
        <v>979-458-9151</v>
      </c>
      <c r="AF12" s="528" t="str">
        <f>'TAMUC FGD'!$T$92</f>
        <v>carrington@tamus.edu</v>
      </c>
      <c r="AH12" s="794"/>
      <c r="AI12" s="1294"/>
      <c r="AK12" s="887">
        <f>'TAMUC Sum'!$I$11</f>
        <v>6346</v>
      </c>
      <c r="AL12" s="888">
        <f>'TAMUC Sum'!$I$14</f>
        <v>89657</v>
      </c>
      <c r="AM12" s="888">
        <f>'TAMUC Sum'!$I$33</f>
        <v>20598</v>
      </c>
      <c r="AN12" s="888">
        <f>'TAMUC Sum'!$I$35</f>
        <v>291022</v>
      </c>
    </row>
    <row r="13" spans="1:41" ht="15">
      <c r="A13" s="480">
        <v>270</v>
      </c>
      <c r="B13" s="678" t="str">
        <f ca="1">OFFSET(PeerGroups!$C$6,MATCH(H13,PeerGroups!$A$7:$A$623,0),MATCH($F$4,PeerGroups!$D$5:$AA$5,0))</f>
        <v>P00030</v>
      </c>
      <c r="C13" s="678" t="str">
        <f ca="1">OFFSET(SystemGroups!$C$6,MATCH(H13,SystemGroups!$A$7:$A$623,0),MATCH($F$4,SystemGroups!$D$5:$AA$5,0))</f>
        <v>S00110</v>
      </c>
      <c r="D13" s="68" t="str">
        <f ca="1">VLOOKUP(B13,PeerGroups!$I$643:$K$647,3,FALSE)</f>
        <v>Comprehensive</v>
      </c>
      <c r="E13" s="53" t="s">
        <v>144</v>
      </c>
      <c r="F13" s="481">
        <f t="shared" si="3"/>
        <v>2021</v>
      </c>
      <c r="G13" s="1288" t="s">
        <v>2117</v>
      </c>
      <c r="H13" s="1294">
        <v>3581</v>
      </c>
      <c r="I13" s="1501">
        <f>'LU Sum'!$I$36</f>
        <v>4707</v>
      </c>
      <c r="J13" s="1501">
        <f>'LU Sum'!$I$39</f>
        <v>3489</v>
      </c>
      <c r="K13" s="1501">
        <f>'LU Sum'!$I$41</f>
        <v>2380</v>
      </c>
      <c r="L13" s="1501">
        <f>'LU Sum'!$I$46</f>
        <v>5142</v>
      </c>
      <c r="M13" s="924">
        <f>'LU Sum'!$I$48</f>
        <v>15718</v>
      </c>
      <c r="N13" s="360"/>
      <c r="O13" s="930">
        <f>'LU Sum'!$I$11</f>
        <v>4878</v>
      </c>
      <c r="Q13" s="1409">
        <f t="shared" si="1"/>
        <v>0</v>
      </c>
      <c r="R13" s="1383">
        <f t="shared" si="2"/>
        <v>0</v>
      </c>
      <c r="S13" s="886"/>
      <c r="T13" s="1386">
        <f>'LU Sum'!$C$6</f>
        <v>13516.8</v>
      </c>
      <c r="U13" s="1387">
        <f>'LU Sum'!$C$15</f>
        <v>5849</v>
      </c>
      <c r="V13" s="1388">
        <f>'LU Sum'!$C$20</f>
        <v>8301</v>
      </c>
      <c r="X13" s="1462">
        <v>3565</v>
      </c>
      <c r="Y13" s="1460"/>
      <c r="Z13" s="1460"/>
      <c r="AA13" s="1461"/>
      <c r="AB13" s="1461"/>
      <c r="AD13" s="528" t="str">
        <f>'LU FGD'!$O$92</f>
        <v>Cynthia Brown</v>
      </c>
      <c r="AE13" s="528" t="str">
        <f>'LU FGD'!$Q$92</f>
        <v>409-880-7925</v>
      </c>
      <c r="AF13" s="528" t="str">
        <f>'LU FGD'!$T$92</f>
        <v>clbrown@lamar.edu</v>
      </c>
      <c r="AH13" s="794"/>
      <c r="AI13" s="1294"/>
      <c r="AK13" s="887">
        <f>'LU Sum'!$I$11</f>
        <v>4878</v>
      </c>
      <c r="AL13" s="888">
        <f>'LU Sum'!$I$14</f>
        <v>71895</v>
      </c>
      <c r="AM13" s="888">
        <f>'LU Sum'!$I$33</f>
        <v>17335</v>
      </c>
      <c r="AN13" s="888">
        <f>'LU Sum'!$I$35</f>
        <v>255512</v>
      </c>
    </row>
    <row r="14" spans="1:41" ht="15">
      <c r="A14" s="480">
        <v>340</v>
      </c>
      <c r="B14" s="678" t="str">
        <f ca="1">OFFSET(PeerGroups!$C$6,MATCH(H14,PeerGroups!$A$7:$A$623,0),MATCH($F$4,PeerGroups!$D$5:$AA$5,0))</f>
        <v>P00031</v>
      </c>
      <c r="C14" s="678" t="str">
        <f ca="1">OFFSET(SystemGroups!$C$6,MATCH(H14,SystemGroups!$A$7:$A$623,0),MATCH($F$4,SystemGroups!$D$5:$AA$5,0))</f>
        <v>S39154</v>
      </c>
      <c r="D14" s="68" t="str">
        <f ca="1">VLOOKUP(B14,PeerGroups!$I$643:$K$647,3,FALSE)</f>
        <v>Master's</v>
      </c>
      <c r="E14" s="53" t="s">
        <v>146</v>
      </c>
      <c r="F14" s="481">
        <f t="shared" si="3"/>
        <v>2021</v>
      </c>
      <c r="G14" s="1288" t="s">
        <v>2117</v>
      </c>
      <c r="H14" s="1294">
        <v>3592</v>
      </c>
      <c r="I14" s="1501">
        <f>'MidWST Sum'!$I$36</f>
        <v>8776</v>
      </c>
      <c r="J14" s="1501">
        <f>'MidWST Sum'!$I$39</f>
        <v>2413</v>
      </c>
      <c r="K14" s="1501">
        <f>'MidWST Sum'!$I$41</f>
        <v>2011</v>
      </c>
      <c r="L14" s="1501">
        <f>'MidWST Sum'!$I$46</f>
        <v>10422</v>
      </c>
      <c r="M14" s="924">
        <f>'MidWST Sum'!$I$48</f>
        <v>23622</v>
      </c>
      <c r="N14" s="360"/>
      <c r="O14" s="930">
        <f>'MidWST Sum'!$I$11</f>
        <v>7106</v>
      </c>
      <c r="Q14" s="1409">
        <f t="shared" si="1"/>
        <v>0</v>
      </c>
      <c r="R14" s="1383">
        <f t="shared" si="2"/>
        <v>0</v>
      </c>
      <c r="S14" s="886"/>
      <c r="T14" s="1386">
        <f>'MidWST Sum'!$C$6</f>
        <v>4322.33</v>
      </c>
      <c r="U14" s="1387">
        <f>'MidWST Sum'!$C$15</f>
        <v>8248</v>
      </c>
      <c r="V14" s="1388">
        <f>'MidWST Sum'!$C$20</f>
        <v>7828</v>
      </c>
      <c r="X14" s="1462">
        <v>3581</v>
      </c>
      <c r="Y14" s="1460"/>
      <c r="Z14" s="1460"/>
      <c r="AA14" s="1461"/>
      <c r="AB14" s="1461"/>
      <c r="AD14" s="528" t="str">
        <f>'MidWST FGD'!$O$92</f>
        <v>Chris Stovall</v>
      </c>
      <c r="AE14" s="528" t="str">
        <f>'MidWST FGD'!$Q$92</f>
        <v>(940) 397-4273</v>
      </c>
      <c r="AF14" s="528" t="str">
        <f>'MidWST FGD'!$T$92</f>
        <v>chris.stovall@msutexas.edu</v>
      </c>
      <c r="AH14" s="794"/>
      <c r="AI14" s="1294"/>
      <c r="AK14" s="887">
        <f>'MidWST Sum'!$I$11</f>
        <v>7106</v>
      </c>
      <c r="AL14" s="888">
        <f>'MidWST Sum'!$I$14</f>
        <v>56892</v>
      </c>
      <c r="AM14" s="888">
        <f>'MidWST Sum'!$I$33</f>
        <v>23048</v>
      </c>
      <c r="AN14" s="888">
        <f>'MidWST Sum'!$I$35</f>
        <v>184520</v>
      </c>
    </row>
    <row r="15" spans="1:41" ht="15">
      <c r="A15" s="480">
        <v>330</v>
      </c>
      <c r="B15" s="678" t="str">
        <f ca="1">OFFSET(PeerGroups!$C$6,MATCH(H15,PeerGroups!$A$7:$A$623,0),MATCH($F$4,PeerGroups!$D$5:$AA$5,0))</f>
        <v>P00033</v>
      </c>
      <c r="C15" s="678" t="str">
        <f ca="1">OFFSET(SystemGroups!$C$6,MATCH(H15,SystemGroups!$A$7:$A$623,0),MATCH($F$4,SystemGroups!$D$5:$AA$5,0))</f>
        <v>S03594</v>
      </c>
      <c r="D15" s="68" t="str">
        <f ca="1">VLOOKUP(B15,PeerGroups!$I$643:$K$647,3,FALSE)</f>
        <v>Emerging Research</v>
      </c>
      <c r="E15" s="53" t="s">
        <v>148</v>
      </c>
      <c r="F15" s="481">
        <f t="shared" si="3"/>
        <v>2021</v>
      </c>
      <c r="G15" s="1288" t="s">
        <v>2117</v>
      </c>
      <c r="H15" s="1294">
        <v>3594</v>
      </c>
      <c r="I15" s="1501">
        <f>'UNT Sum'!$I$36</f>
        <v>5029</v>
      </c>
      <c r="J15" s="1501">
        <f>'UNT Sum'!$I$39</f>
        <v>1620</v>
      </c>
      <c r="K15" s="1501">
        <f>'UNT Sum'!$I$41</f>
        <v>1461</v>
      </c>
      <c r="L15" s="1501">
        <f>'UNT Sum'!$I$46</f>
        <v>10677</v>
      </c>
      <c r="M15" s="924">
        <f>'UNT Sum'!$I$48</f>
        <v>18787</v>
      </c>
      <c r="N15" s="360"/>
      <c r="O15" s="930">
        <f>'UNT Sum'!$I$11</f>
        <v>4799</v>
      </c>
      <c r="Q15" s="1409">
        <f t="shared" si="1"/>
        <v>0</v>
      </c>
      <c r="R15" s="1383">
        <f t="shared" si="2"/>
        <v>0</v>
      </c>
      <c r="S15" s="886"/>
      <c r="T15" s="1386">
        <f>'UNT Sum'!$C$6</f>
        <v>34726.76</v>
      </c>
      <c r="U15" s="1387">
        <f>'UNT Sum'!$C$15</f>
        <v>5874</v>
      </c>
      <c r="V15" s="1388">
        <f>'UNT Sum'!$C$20</f>
        <v>10468</v>
      </c>
      <c r="X15" s="1462">
        <v>3592</v>
      </c>
      <c r="Y15" s="1460"/>
      <c r="Z15" s="1460"/>
      <c r="AA15" s="1461"/>
      <c r="AB15" s="1461"/>
      <c r="AD15" s="528" t="str">
        <f>'UNT FGD'!$O$92</f>
        <v>Leydi Carter</v>
      </c>
      <c r="AE15" s="528" t="str">
        <f>'UNT FGD'!$Q$92</f>
        <v>(940) 369-5089</v>
      </c>
      <c r="AF15" s="528" t="str">
        <f>'UNT FGD'!$T$92</f>
        <v>Leydi.Carter@untsystem.edu</v>
      </c>
      <c r="AH15" s="794"/>
      <c r="AI15" s="1294"/>
      <c r="AK15" s="887">
        <f>'UNT Sum'!$I$11</f>
        <v>4799</v>
      </c>
      <c r="AL15" s="888">
        <f>'UNT Sum'!$I$14</f>
        <v>64209</v>
      </c>
      <c r="AM15" s="888">
        <f>'UNT Sum'!$I$33</f>
        <v>21063</v>
      </c>
      <c r="AN15" s="888">
        <f>'UNT Sum'!$I$35</f>
        <v>281827</v>
      </c>
    </row>
    <row r="16" spans="1:41" ht="15">
      <c r="A16" s="1123">
        <v>91</v>
      </c>
      <c r="B16" s="1124" t="str">
        <f ca="1">OFFSET(PeerGroups!$C$6,MATCH(H16,PeerGroups!$A$7:$A$623,0),MATCH($F$4,PeerGroups!$D$5:$AA$5,0))</f>
        <v>P00032</v>
      </c>
      <c r="C16" s="678" t="str">
        <f ca="1">OFFSET(SystemGroups!$C$6,MATCH(H16,SystemGroups!$A$7:$A$623,0),MATCH($F$4,SystemGroups!$D$5:$AA$5,0))</f>
        <v>S03655</v>
      </c>
      <c r="D16" s="78" t="str">
        <f ca="1">VLOOKUP(B16,PeerGroups!$I$643:$K$647,3,FALSE)</f>
        <v>Doctoral</v>
      </c>
      <c r="E16" s="116" t="s">
        <v>1399</v>
      </c>
      <c r="F16" s="1125">
        <f t="shared" si="3"/>
        <v>2021</v>
      </c>
      <c r="G16" s="1288" t="s">
        <v>2117</v>
      </c>
      <c r="H16" s="1000">
        <v>3599</v>
      </c>
      <c r="I16" s="1502">
        <f>'RGV1 Sum'!$I$36</f>
        <v>5017</v>
      </c>
      <c r="J16" s="1502">
        <f>'RGV1 Sum'!$I$39</f>
        <v>1667</v>
      </c>
      <c r="K16" s="1502">
        <f>'RGV1 Sum'!$I$41</f>
        <v>1325</v>
      </c>
      <c r="L16" s="1502">
        <f>'RGV1 Sum'!$I$46</f>
        <v>8029</v>
      </c>
      <c r="M16" s="1503">
        <f>'RGV1 Sum'!$I$48</f>
        <v>16038</v>
      </c>
      <c r="N16" s="1504"/>
      <c r="O16" s="1505">
        <f>'RGV1 Sum'!$I$11</f>
        <v>5385</v>
      </c>
      <c r="P16" s="116"/>
      <c r="Q16" s="1410">
        <f t="shared" si="1"/>
        <v>0</v>
      </c>
      <c r="R16" s="1390">
        <f t="shared" si="2"/>
        <v>0</v>
      </c>
      <c r="S16" s="1128"/>
      <c r="T16" s="1389">
        <f>'RGV1 Sum'!$C$6</f>
        <v>28382.37</v>
      </c>
      <c r="U16" s="1391">
        <f>'RGV1 Sum'!$C$15</f>
        <v>5385</v>
      </c>
      <c r="V16" s="1392">
        <f>'RGV1 Sum'!$C$20</f>
        <v>4930</v>
      </c>
      <c r="W16" s="73"/>
      <c r="X16" s="1462">
        <v>3594</v>
      </c>
      <c r="Y16" s="1460"/>
      <c r="Z16" s="1460"/>
      <c r="AA16" s="1461"/>
      <c r="AB16" s="1461"/>
      <c r="AC16" s="116"/>
      <c r="AD16" s="1129" t="str">
        <f>'RGV1 FGD'!$O$92</f>
        <v>Lilia M. St. Clair</v>
      </c>
      <c r="AE16" s="1129" t="str">
        <f>'RGV1 FGD'!$Q$92</f>
        <v>956-665-7906</v>
      </c>
      <c r="AF16" s="1129" t="str">
        <f>'RGV1 FGD'!$T$92</f>
        <v>lilia.stclair@utrgv.edu</v>
      </c>
      <c r="AH16" s="794"/>
      <c r="AI16" s="1301"/>
      <c r="AJ16" s="116"/>
      <c r="AK16" s="1126">
        <f>'RGV1 Sum'!$I$11</f>
        <v>5385</v>
      </c>
      <c r="AL16" s="1127">
        <f>'RGV1 Sum'!$I$14</f>
        <v>83156</v>
      </c>
      <c r="AM16" s="1127">
        <f>'RGV1 Sum'!$I$33</f>
        <v>21161</v>
      </c>
      <c r="AN16" s="1127">
        <f>'RGV1 Sum'!$I$35</f>
        <v>326785</v>
      </c>
      <c r="AO16" s="116"/>
    </row>
    <row r="17" spans="1:41" ht="15">
      <c r="A17" s="1123">
        <v>281</v>
      </c>
      <c r="B17" s="678" t="str">
        <f ca="1">OFFSET(PeerGroups!$C$6,MATCH(H17,PeerGroups!$A$7:$A$623,0),MATCH($F$4,PeerGroups!$D$5:$AA$5,0))</f>
        <v>P00032</v>
      </c>
      <c r="C17" s="678" t="str">
        <f ca="1">OFFSET(SystemGroups!$C$6,MATCH(H17,SystemGroups!$A$7:$A$623,0),MATCH($F$4,SystemGroups!$D$5:$AA$5,0))</f>
        <v>S00110</v>
      </c>
      <c r="D17" s="68" t="str">
        <f ca="1">VLOOKUP(B17,PeerGroups!$I$643:$K$647,3,FALSE)</f>
        <v>Doctoral</v>
      </c>
      <c r="E17" s="116" t="s">
        <v>2262</v>
      </c>
      <c r="F17" s="481">
        <f t="shared" si="3"/>
        <v>2021</v>
      </c>
      <c r="G17" s="1288" t="s">
        <v>2117</v>
      </c>
      <c r="H17" s="1294">
        <v>3606</v>
      </c>
      <c r="I17" s="1501">
        <f>'shsu1 Sum'!$I$36</f>
        <v>5799</v>
      </c>
      <c r="J17" s="1501">
        <f>'shsu1 Sum'!$I$39</f>
        <v>2581</v>
      </c>
      <c r="K17" s="1501">
        <f>'shsu1 Sum'!$I$41</f>
        <v>1402</v>
      </c>
      <c r="L17" s="1501">
        <f>'shsu1 Sum'!$I$46</f>
        <v>6731</v>
      </c>
      <c r="M17" s="924">
        <f>'shsu1 Sum'!$I$48</f>
        <v>16512</v>
      </c>
      <c r="N17" s="360"/>
      <c r="O17" s="930">
        <f>'shsu1 Sum'!$I$11</f>
        <v>5064</v>
      </c>
      <c r="Q17" s="1409">
        <f t="shared" si="1"/>
        <v>0</v>
      </c>
      <c r="R17" s="1383">
        <f t="shared" si="2"/>
        <v>0</v>
      </c>
      <c r="S17" s="886"/>
      <c r="T17" s="1386">
        <f>'shsu1 Sum'!$C$6</f>
        <v>17594.09</v>
      </c>
      <c r="U17" s="1387">
        <f>'shsu1 Sum'!$C$15</f>
        <v>6101</v>
      </c>
      <c r="V17" s="1388">
        <f>'shsu1 Sum'!$C$20</f>
        <v>10053</v>
      </c>
      <c r="X17" s="1462">
        <v>3599</v>
      </c>
      <c r="Y17" s="1460"/>
      <c r="Z17" s="1460"/>
      <c r="AA17" s="1461"/>
      <c r="AB17" s="1461"/>
      <c r="AD17" s="528" t="str">
        <f>'shsu1 FGD'!$O$92</f>
        <v>Amanda Withers</v>
      </c>
      <c r="AE17" s="528" t="str">
        <f>'shsu1 FGD'!$Q$92</f>
        <v>936-294-2289</v>
      </c>
      <c r="AF17" s="528" t="str">
        <f>'shsu1 FGD'!$T$92</f>
        <v>withers@shsu.edu</v>
      </c>
      <c r="AH17" s="794"/>
      <c r="AI17" s="1294"/>
      <c r="AK17" s="887">
        <f>'shsu1 Sum'!$I$11</f>
        <v>5064</v>
      </c>
      <c r="AL17" s="888">
        <f>'shsu1 Sum'!$I$14</f>
        <v>60487</v>
      </c>
      <c r="AM17" s="888">
        <f>'shsu1 Sum'!$I$33</f>
        <v>21001</v>
      </c>
      <c r="AN17" s="888">
        <f>'shsu1 Sum'!$I$35</f>
        <v>250827</v>
      </c>
    </row>
    <row r="18" spans="1:41" ht="15">
      <c r="A18" s="480">
        <v>290</v>
      </c>
      <c r="B18" s="678" t="str">
        <f ca="1">OFFSET(PeerGroups!$C$6,MATCH(H18,PeerGroups!$A$7:$A$623,0),MATCH($F$4,PeerGroups!$D$5:$AA$5,0))</f>
        <v>P00033</v>
      </c>
      <c r="C18" s="678" t="str">
        <f ca="1">OFFSET(SystemGroups!$C$6,MATCH(H18,SystemGroups!$A$7:$A$623,0),MATCH($F$4,SystemGroups!$D$5:$AA$5,0))</f>
        <v>S00110</v>
      </c>
      <c r="D18" s="68" t="str">
        <f ca="1">VLOOKUP(B18,PeerGroups!$I$643:$K$647,3,FALSE)</f>
        <v>Emerging Research</v>
      </c>
      <c r="E18" s="53" t="s">
        <v>2155</v>
      </c>
      <c r="F18" s="481">
        <f t="shared" si="3"/>
        <v>2021</v>
      </c>
      <c r="G18" s="1288" t="s">
        <v>2117</v>
      </c>
      <c r="H18" s="1294">
        <v>3615</v>
      </c>
      <c r="I18" s="1501">
        <f>'TXST Sum'!$I$36</f>
        <v>6550</v>
      </c>
      <c r="J18" s="1501">
        <f>'TXST Sum'!$I$39</f>
        <v>1292</v>
      </c>
      <c r="K18" s="1501">
        <f>'TXST Sum'!$I$41</f>
        <v>1269</v>
      </c>
      <c r="L18" s="1501">
        <f>'TXST Sum'!$I$46</f>
        <v>7029</v>
      </c>
      <c r="M18" s="924">
        <f>'TXST Sum'!$I$48</f>
        <v>16140</v>
      </c>
      <c r="N18" s="360"/>
      <c r="O18" s="930">
        <f>'TXST Sum'!$I$11</f>
        <v>5408</v>
      </c>
      <c r="Q18" s="1409">
        <f t="shared" si="1"/>
        <v>0</v>
      </c>
      <c r="R18" s="1383">
        <f t="shared" si="2"/>
        <v>0</v>
      </c>
      <c r="S18" s="886"/>
      <c r="T18" s="1386">
        <f>'TXST Sum'!$C$6</f>
        <v>31295.23</v>
      </c>
      <c r="U18" s="1387">
        <f>'TXST Sum'!$C$15</f>
        <v>6610</v>
      </c>
      <c r="V18" s="1388">
        <f>'TXST Sum'!$C$20</f>
        <v>9128</v>
      </c>
      <c r="X18" s="1462">
        <v>3606</v>
      </c>
      <c r="Y18" s="1460"/>
      <c r="Z18" s="1460"/>
      <c r="AA18" s="1461"/>
      <c r="AB18" s="1461"/>
      <c r="AD18" s="528" t="str">
        <f>'TXST FGD'!$O$92</f>
        <v>Cindy Haley</v>
      </c>
      <c r="AE18" s="528" t="str">
        <f>'TXST FGD'!$Q$92</f>
        <v>512-245-2087</v>
      </c>
      <c r="AF18" s="528" t="str">
        <f>'TXST FGD'!$T$92</f>
        <v>cindy.haley@txstate.edu</v>
      </c>
      <c r="AH18" s="794"/>
      <c r="AI18" s="1294"/>
      <c r="AK18" s="887">
        <f>'TXST Sum'!$I$11</f>
        <v>5408</v>
      </c>
      <c r="AL18" s="888">
        <f>'TXST Sum'!$I$14</f>
        <v>70757</v>
      </c>
      <c r="AM18" s="888">
        <f>'TXST Sum'!$I$33</f>
        <v>19243</v>
      </c>
      <c r="AN18" s="888">
        <f>'TXST Sum'!$I$35</f>
        <v>251786</v>
      </c>
    </row>
    <row r="19" spans="1:41" ht="15">
      <c r="A19" s="480">
        <v>350</v>
      </c>
      <c r="B19" s="678" t="str">
        <f ca="1">OFFSET(PeerGroups!$C$6,MATCH(H19,PeerGroups!$A$7:$A$623,0),MATCH($F$4,PeerGroups!$D$5:$AA$5,0))</f>
        <v>P00030</v>
      </c>
      <c r="C19" s="678">
        <f ca="1">OFFSET(SystemGroups!$C$6,MATCH(H19,SystemGroups!$A$7:$A$623,0),MATCH($F$4,SystemGroups!$D$5:$AA$5,0))</f>
        <v>0</v>
      </c>
      <c r="D19" s="68" t="str">
        <f ca="1">VLOOKUP(B19,PeerGroups!$I$643:$K$647,3,FALSE)</f>
        <v>Comprehensive</v>
      </c>
      <c r="E19" s="53" t="s">
        <v>156</v>
      </c>
      <c r="F19" s="481">
        <f t="shared" si="3"/>
        <v>2021</v>
      </c>
      <c r="G19" s="1288" t="s">
        <v>2117</v>
      </c>
      <c r="H19" s="1294">
        <v>3624</v>
      </c>
      <c r="I19" s="1501">
        <f>'SFA Sum'!$I$36</f>
        <v>7357</v>
      </c>
      <c r="J19" s="1501">
        <f>'SFA Sum'!$I$39</f>
        <v>1580</v>
      </c>
      <c r="K19" s="1501">
        <f>'SFA Sum'!$I$41</f>
        <v>3353</v>
      </c>
      <c r="L19" s="1501">
        <f>'SFA Sum'!$I$46</f>
        <v>7972</v>
      </c>
      <c r="M19" s="924">
        <f>'SFA Sum'!$I$48</f>
        <v>20262</v>
      </c>
      <c r="N19" s="360"/>
      <c r="O19" s="930">
        <f>'SFA Sum'!$I$11</f>
        <v>5680</v>
      </c>
      <c r="Q19" s="1409">
        <f t="shared" si="1"/>
        <v>0</v>
      </c>
      <c r="R19" s="1383">
        <f t="shared" si="2"/>
        <v>0</v>
      </c>
      <c r="S19" s="886"/>
      <c r="T19" s="1386">
        <f>'SFA Sum'!$C$6</f>
        <v>10368.98</v>
      </c>
      <c r="U19" s="1387">
        <f>'SFA Sum'!$C$15</f>
        <v>6768</v>
      </c>
      <c r="V19" s="1388">
        <f>'SFA Sum'!$C$20</f>
        <v>7766</v>
      </c>
      <c r="X19" s="1462">
        <v>3615</v>
      </c>
      <c r="Y19" s="1460"/>
      <c r="Z19" s="1460"/>
      <c r="AA19" s="1461"/>
      <c r="AB19" s="1461"/>
      <c r="AD19" s="528" t="str">
        <f>'SFA FGD'!$O$92</f>
        <v>Dannette Sales</v>
      </c>
      <c r="AE19" s="528" t="str">
        <f>'SFA FGD'!$Q$92</f>
        <v>(936) 468-2354</v>
      </c>
      <c r="AF19" s="528" t="str">
        <f>'SFA FGD'!$T$92</f>
        <v>salesdl@sfasu.edu</v>
      </c>
      <c r="AH19" s="794"/>
      <c r="AI19" s="1294"/>
      <c r="AK19" s="887">
        <f>'SFA Sum'!$I$11</f>
        <v>5680</v>
      </c>
      <c r="AL19" s="888">
        <f>'SFA Sum'!$I$14</f>
        <v>47778</v>
      </c>
      <c r="AM19" s="888">
        <f>'SFA Sum'!$I$33</f>
        <v>22474</v>
      </c>
      <c r="AN19" s="888">
        <f>'SFA Sum'!$I$35</f>
        <v>189037</v>
      </c>
    </row>
    <row r="20" spans="1:41" ht="15">
      <c r="A20" s="480">
        <v>300</v>
      </c>
      <c r="B20" s="678" t="str">
        <f ca="1">OFFSET(PeerGroups!$C$6,MATCH(H20,PeerGroups!$A$7:$A$623,0),MATCH($F$4,PeerGroups!$D$5:$AA$5,0))</f>
        <v>P00031</v>
      </c>
      <c r="C20" s="678" t="str">
        <f ca="1">OFFSET(SystemGroups!$C$6,MATCH(H20,SystemGroups!$A$7:$A$623,0),MATCH($F$4,SystemGroups!$D$5:$AA$5,0))</f>
        <v>S00110</v>
      </c>
      <c r="D20" s="68" t="str">
        <f ca="1">VLOOKUP(B20,PeerGroups!$I$643:$K$647,3,FALSE)</f>
        <v>Master's</v>
      </c>
      <c r="E20" s="53" t="s">
        <v>158</v>
      </c>
      <c r="F20" s="124">
        <f t="shared" si="3"/>
        <v>2021</v>
      </c>
      <c r="G20" s="1288" t="s">
        <v>2117</v>
      </c>
      <c r="H20" s="1294">
        <v>3625</v>
      </c>
      <c r="I20" s="1501">
        <f>'SRSU Sum'!$I$36</f>
        <v>5792</v>
      </c>
      <c r="J20" s="1501">
        <f>'SRSU Sum'!$I$39</f>
        <v>2416</v>
      </c>
      <c r="K20" s="1501">
        <f>'SRSU Sum'!$I$41</f>
        <v>8012</v>
      </c>
      <c r="L20" s="1501">
        <f>'SRSU Sum'!$I$46</f>
        <v>9963</v>
      </c>
      <c r="M20" s="924">
        <f>'SRSU Sum'!$I$48</f>
        <v>26183</v>
      </c>
      <c r="N20" s="360"/>
      <c r="O20" s="930">
        <f>'SRSU Sum'!$I$11</f>
        <v>12299</v>
      </c>
      <c r="Q20" s="1463">
        <f t="shared" si="1"/>
        <v>0</v>
      </c>
      <c r="R20" s="1464">
        <f t="shared" si="2"/>
        <v>0</v>
      </c>
      <c r="S20" s="886"/>
      <c r="T20" s="1386">
        <f>'SRSU Sum'!$C$6</f>
        <v>1712.5099999999998</v>
      </c>
      <c r="U20" s="1387">
        <f>'SRSU Sum'!$C$15</f>
        <v>13832</v>
      </c>
      <c r="V20" s="1388">
        <f>'SRSU Sum'!$C$20</f>
        <v>5652</v>
      </c>
      <c r="X20" s="1462">
        <v>3624</v>
      </c>
      <c r="Y20" s="1460"/>
      <c r="Z20" s="1460"/>
      <c r="AA20" s="1461"/>
      <c r="AB20" s="1461"/>
      <c r="AD20" s="528" t="str">
        <f>'SRSU FGD'!$O$92</f>
        <v>Bonnie Albright</v>
      </c>
      <c r="AE20" s="528" t="str">
        <f>'SRSU FGD'!$Q$92</f>
        <v>432-837-8078</v>
      </c>
      <c r="AF20" s="528" t="str">
        <f>'SRSU FGD'!$T$92</f>
        <v>bonnie.albright@sulross.edu</v>
      </c>
      <c r="AH20" s="794"/>
      <c r="AI20" s="1294"/>
      <c r="AK20" s="887">
        <f>'SRSU Sum'!$I$11</f>
        <v>12299</v>
      </c>
      <c r="AL20" s="888">
        <f>'SRSU Sum'!$I$14</f>
        <v>84833</v>
      </c>
      <c r="AM20" s="888">
        <f>'SRSU Sum'!$I$33</f>
        <v>32014</v>
      </c>
      <c r="AN20" s="888">
        <f>'SRSU Sum'!$I$35</f>
        <v>220823</v>
      </c>
    </row>
    <row r="21" spans="1:41" ht="15">
      <c r="A21" s="480">
        <v>150</v>
      </c>
      <c r="B21" s="678" t="str">
        <f ca="1">OFFSET(PeerGroups!$C$6,MATCH(H21,PeerGroups!$A$7:$A$623,0),MATCH($F$4,PeerGroups!$D$5:$AA$5,0))</f>
        <v>P00030</v>
      </c>
      <c r="C21" s="678" t="str">
        <f ca="1">OFFSET(SystemGroups!$C$6,MATCH(H21,SystemGroups!$A$7:$A$623,0),MATCH($F$4,SystemGroups!$D$5:$AA$5,0))</f>
        <v>S03629</v>
      </c>
      <c r="D21" s="68" t="str">
        <f ca="1">VLOOKUP(B21,PeerGroups!$I$643:$K$647,3,FALSE)</f>
        <v>Comprehensive</v>
      </c>
      <c r="E21" s="53" t="s">
        <v>160</v>
      </c>
      <c r="F21" s="124">
        <f t="shared" si="3"/>
        <v>2021</v>
      </c>
      <c r="G21" s="1288" t="s">
        <v>2117</v>
      </c>
      <c r="H21" s="1294">
        <v>3630</v>
      </c>
      <c r="I21" s="1501">
        <f>'PVAMU Sum'!$I$36</f>
        <v>6482</v>
      </c>
      <c r="J21" s="1501">
        <f>'PVAMU Sum'!$I$39</f>
        <v>2751</v>
      </c>
      <c r="K21" s="1501">
        <f>'PVAMU Sum'!$I$41</f>
        <v>2381</v>
      </c>
      <c r="L21" s="1501">
        <f>'PVAMU Sum'!$I$46</f>
        <v>17209</v>
      </c>
      <c r="M21" s="924">
        <f>'PVAMU Sum'!$I$48</f>
        <v>28823</v>
      </c>
      <c r="N21" s="360"/>
      <c r="O21" s="930">
        <f>'PVAMU Sum'!$I$11</f>
        <v>8522</v>
      </c>
      <c r="Q21" s="1409">
        <f t="shared" si="1"/>
        <v>0</v>
      </c>
      <c r="R21" s="1383">
        <f t="shared" si="2"/>
        <v>0</v>
      </c>
      <c r="S21" s="886"/>
      <c r="T21" s="1386">
        <f>'PVAMU Sum'!$C$6</f>
        <v>8069.33</v>
      </c>
      <c r="U21" s="1387">
        <f>'PVAMU Sum'!$C$15</f>
        <v>11819</v>
      </c>
      <c r="V21" s="1388">
        <f>'PVAMU Sum'!$C$20</f>
        <v>7263</v>
      </c>
      <c r="X21" s="1465">
        <v>3625</v>
      </c>
      <c r="Y21" s="1460"/>
      <c r="Z21" s="1460"/>
      <c r="AA21" s="1461"/>
      <c r="AB21" s="1461"/>
      <c r="AD21" s="528" t="str">
        <f>'PVAMU FGD'!$O$92</f>
        <v>Chris Arrington</v>
      </c>
      <c r="AE21" s="528" t="str">
        <f>'PVAMU FGD'!$Q$92</f>
        <v>979-458-9151</v>
      </c>
      <c r="AF21" s="528" t="str">
        <f>'PVAMU FGD'!$T$92</f>
        <v>carrington@tamus.edu</v>
      </c>
      <c r="AH21" s="794"/>
      <c r="AI21" s="1294"/>
      <c r="AK21" s="887">
        <f>'PVAMU Sum'!$I$11</f>
        <v>8522</v>
      </c>
      <c r="AL21" s="888">
        <f>'PVAMU Sum'!$I$14</f>
        <v>80076</v>
      </c>
      <c r="AM21" s="888">
        <f>'PVAMU Sum'!$I$33</f>
        <v>33803</v>
      </c>
      <c r="AN21" s="888">
        <f>'PVAMU Sum'!$I$35</f>
        <v>317612</v>
      </c>
    </row>
    <row r="22" spans="1:41" ht="15">
      <c r="A22" s="480">
        <v>160</v>
      </c>
      <c r="B22" s="678" t="str">
        <f ca="1">OFFSET(PeerGroups!$C$6,MATCH(H22,PeerGroups!$A$7:$A$623,0),MATCH($F$4,PeerGroups!$D$5:$AA$5,0))</f>
        <v>P00030</v>
      </c>
      <c r="C22" s="678" t="str">
        <f ca="1">OFFSET(SystemGroups!$C$6,MATCH(H22,SystemGroups!$A$7:$A$623,0),MATCH($F$4,SystemGroups!$D$5:$AA$5,0))</f>
        <v>S03629</v>
      </c>
      <c r="D22" s="68" t="str">
        <f ca="1">VLOOKUP(B22,PeerGroups!$I$643:$K$647,3,FALSE)</f>
        <v>Comprehensive</v>
      </c>
      <c r="E22" s="53" t="s">
        <v>162</v>
      </c>
      <c r="F22" s="124">
        <f t="shared" si="3"/>
        <v>2021</v>
      </c>
      <c r="G22" s="1288" t="s">
        <v>2117</v>
      </c>
      <c r="H22" s="1294">
        <v>3631</v>
      </c>
      <c r="I22" s="1501">
        <f>'TARLST Sum'!$I$36</f>
        <v>4433</v>
      </c>
      <c r="J22" s="1501">
        <f>'TARLST Sum'!$I$39</f>
        <v>1926</v>
      </c>
      <c r="K22" s="1501">
        <f>'TARLST Sum'!$I$41</f>
        <v>1557</v>
      </c>
      <c r="L22" s="1501">
        <f>'TARLST Sum'!$I$46</f>
        <v>6792</v>
      </c>
      <c r="M22" s="924">
        <f>'TARLST Sum'!$I$48</f>
        <v>14708</v>
      </c>
      <c r="N22" s="360"/>
      <c r="O22" s="930">
        <f>'TARLST Sum'!$I$11</f>
        <v>5447</v>
      </c>
      <c r="Q22" s="1409">
        <f t="shared" si="1"/>
        <v>0</v>
      </c>
      <c r="R22" s="1383">
        <f t="shared" si="2"/>
        <v>0</v>
      </c>
      <c r="S22" s="886"/>
      <c r="T22" s="1386">
        <f>'TARLST Sum'!$C$6</f>
        <v>11555.57</v>
      </c>
      <c r="U22" s="1387">
        <f>'TARLST Sum'!$C$15</f>
        <v>5447</v>
      </c>
      <c r="V22" s="1388">
        <f>'TARLST Sum'!$C$20</f>
        <v>8229</v>
      </c>
      <c r="X22" s="1462">
        <v>3630</v>
      </c>
      <c r="Y22" s="1460"/>
      <c r="Z22" s="1460"/>
      <c r="AA22" s="1461"/>
      <c r="AB22" s="1461"/>
      <c r="AD22" s="528" t="str">
        <f>'TARLST FGD'!$O$92</f>
        <v>Chris Arrington</v>
      </c>
      <c r="AE22" s="528" t="str">
        <f>'TARLST FGD'!$Q$92</f>
        <v>254-968-1643</v>
      </c>
      <c r="AF22" s="528" t="str">
        <f>'TARLST FGD'!$T$92</f>
        <v>fincher@tarleton.edu</v>
      </c>
      <c r="AH22" s="794"/>
      <c r="AI22" s="1294"/>
      <c r="AK22" s="887">
        <f>'TARLST Sum'!$I$11</f>
        <v>5447</v>
      </c>
      <c r="AL22" s="888">
        <f>'TARLST Sum'!$I$14</f>
        <v>72206</v>
      </c>
      <c r="AM22" s="888">
        <f>'TARLST Sum'!$I$33</f>
        <v>19733</v>
      </c>
      <c r="AN22" s="888">
        <f>'TARLST Sum'!$I$35</f>
        <v>261575</v>
      </c>
    </row>
    <row r="23" spans="1:41" ht="15">
      <c r="A23" s="480">
        <v>130</v>
      </c>
      <c r="B23" s="678" t="str">
        <f ca="1">OFFSET(PeerGroups!$C$6,MATCH(H23,PeerGroups!$A$7:$A$623,0),MATCH($F$4,PeerGroups!$D$5:$AA$5,0))</f>
        <v>P00034</v>
      </c>
      <c r="C23" s="678" t="str">
        <f ca="1">OFFSET(SystemGroups!$C$6,MATCH(H23,SystemGroups!$A$7:$A$623,0),MATCH($F$4,SystemGroups!$D$5:$AA$5,0))</f>
        <v>S03629</v>
      </c>
      <c r="D23" s="68" t="str">
        <f ca="1">VLOOKUP(B23,PeerGroups!$I$643:$K$647,3,FALSE)</f>
        <v>Research</v>
      </c>
      <c r="E23" s="53" t="s">
        <v>164</v>
      </c>
      <c r="F23" s="124">
        <f t="shared" si="3"/>
        <v>2021</v>
      </c>
      <c r="G23" s="1288" t="s">
        <v>2117</v>
      </c>
      <c r="H23" s="1294">
        <v>3632</v>
      </c>
      <c r="I23" s="1501">
        <f>'TAMU Sum'!$I$36</f>
        <v>10451</v>
      </c>
      <c r="J23" s="1501">
        <f>'TAMU Sum'!$I$39</f>
        <v>4394</v>
      </c>
      <c r="K23" s="1501">
        <f>'TAMU Sum'!$I$41</f>
        <v>1502</v>
      </c>
      <c r="L23" s="1501">
        <f>'TAMU Sum'!$I$46</f>
        <v>12188</v>
      </c>
      <c r="M23" s="924">
        <f>'TAMU Sum'!$I$48</f>
        <v>28535</v>
      </c>
      <c r="N23" s="360"/>
      <c r="O23" s="930">
        <f>'TAMU Sum'!$I$11</f>
        <v>7724</v>
      </c>
      <c r="Q23" s="1409">
        <f t="shared" si="1"/>
        <v>0</v>
      </c>
      <c r="R23" s="1383">
        <f t="shared" si="2"/>
        <v>0</v>
      </c>
      <c r="S23" s="886"/>
      <c r="T23" s="1386">
        <f>'TAMU Sum'!$C$6</f>
        <v>58149.98</v>
      </c>
      <c r="U23" s="1387">
        <f>'TAMU Sum'!$C$15</f>
        <v>11191</v>
      </c>
      <c r="V23" s="1388">
        <f>'TAMU Sum'!$C$20</f>
        <v>11687</v>
      </c>
      <c r="X23" s="1462">
        <v>3631</v>
      </c>
      <c r="Y23" s="1460"/>
      <c r="Z23" s="1460"/>
      <c r="AA23" s="1461"/>
      <c r="AB23" s="1461"/>
      <c r="AD23" s="528" t="str">
        <f>'TAMU FGD'!$O$92</f>
        <v>Chris Arrington</v>
      </c>
      <c r="AE23" s="528" t="str">
        <f>'TAMU FGD'!$Q$92</f>
        <v>979-458-9151</v>
      </c>
      <c r="AF23" s="528" t="str">
        <f>'TAMU FGD'!$T$92</f>
        <v>carrington@tamus.edu</v>
      </c>
      <c r="AH23" s="794"/>
      <c r="AI23" s="1294"/>
      <c r="AK23" s="887">
        <f>'TAMU Sum'!$I$11</f>
        <v>7724</v>
      </c>
      <c r="AL23" s="888">
        <f>'TAMU Sum'!$I$14</f>
        <v>94646</v>
      </c>
      <c r="AM23" s="888">
        <f>'TAMU Sum'!$I$33</f>
        <v>32199</v>
      </c>
      <c r="AN23" s="888">
        <f>'TAMU Sum'!$I$35</f>
        <v>394578</v>
      </c>
    </row>
    <row r="24" spans="1:41" ht="15">
      <c r="A24" s="480">
        <v>180</v>
      </c>
      <c r="B24" s="678" t="str">
        <f ca="1">OFFSET(PeerGroups!$C$6,MATCH(H24,PeerGroups!$A$7:$A$623,0),MATCH($F$4,PeerGroups!$D$5:$AA$5,0))</f>
        <v>P00032</v>
      </c>
      <c r="C24" s="678" t="str">
        <f ca="1">OFFSET(SystemGroups!$C$6,MATCH(H24,SystemGroups!$A$7:$A$623,0),MATCH($F$4,SystemGroups!$D$5:$AA$5,0))</f>
        <v>S03629</v>
      </c>
      <c r="D24" s="68" t="str">
        <f ca="1">VLOOKUP(B24,PeerGroups!$I$643:$K$647,3,FALSE)</f>
        <v>Doctoral</v>
      </c>
      <c r="E24" s="53" t="s">
        <v>166</v>
      </c>
      <c r="F24" s="124">
        <f t="shared" si="3"/>
        <v>2021</v>
      </c>
      <c r="G24" s="1288" t="s">
        <v>2117</v>
      </c>
      <c r="H24" s="1294">
        <v>3639</v>
      </c>
      <c r="I24" s="1501">
        <f>'TAMUK Sum'!$I$36</f>
        <v>7510</v>
      </c>
      <c r="J24" s="1501">
        <f>'TAMUK Sum'!$I$39</f>
        <v>2245</v>
      </c>
      <c r="K24" s="1501">
        <f>'TAMUK Sum'!$I$41</f>
        <v>2029</v>
      </c>
      <c r="L24" s="1501">
        <f>'TAMUK Sum'!$I$46</f>
        <v>11664</v>
      </c>
      <c r="M24" s="924">
        <f>'TAMUK Sum'!$I$48</f>
        <v>23448</v>
      </c>
      <c r="N24" s="360"/>
      <c r="O24" s="930">
        <f>'TAMUK Sum'!$I$11</f>
        <v>9548</v>
      </c>
      <c r="Q24" s="1409">
        <f t="shared" si="1"/>
        <v>0</v>
      </c>
      <c r="R24" s="1383">
        <f t="shared" si="2"/>
        <v>0</v>
      </c>
      <c r="S24" s="886"/>
      <c r="T24" s="1386">
        <f>'TAMUK Sum'!$C$6</f>
        <v>5616.08</v>
      </c>
      <c r="U24" s="1387">
        <f>'TAMUK Sum'!$C$15</f>
        <v>11125</v>
      </c>
      <c r="V24" s="1388">
        <f>'TAMUK Sum'!$C$20</f>
        <v>7049</v>
      </c>
      <c r="X24" s="1462">
        <v>3632</v>
      </c>
      <c r="Y24" s="1460"/>
      <c r="Z24" s="1460"/>
      <c r="AA24" s="1461"/>
      <c r="AB24" s="1461"/>
      <c r="AD24" s="528" t="str">
        <f>'TAMUK FGD'!$O$92</f>
        <v>Chris Arrington</v>
      </c>
      <c r="AE24" s="528" t="str">
        <f>'TAMUK FGD'!$Q$92</f>
        <v>979-458-9151</v>
      </c>
      <c r="AF24" s="528" t="str">
        <f>'TAMUK FGD'!$T$92</f>
        <v>carrington@tamus.edu</v>
      </c>
      <c r="AH24" s="794"/>
      <c r="AI24" s="1294"/>
      <c r="AK24" s="887">
        <f>'TAMUK Sum'!$I$11</f>
        <v>9548</v>
      </c>
      <c r="AL24" s="888">
        <f>'TAMUK Sum'!$I$14</f>
        <v>79916</v>
      </c>
      <c r="AM24" s="888">
        <f>'TAMUK Sum'!$I$33</f>
        <v>27884</v>
      </c>
      <c r="AN24" s="888">
        <f>'TAMUK Sum'!$I$35</f>
        <v>233378</v>
      </c>
    </row>
    <row r="25" spans="1:41" ht="15">
      <c r="A25" s="480">
        <v>360</v>
      </c>
      <c r="B25" s="678" t="str">
        <f ca="1">OFFSET(PeerGroups!$C$6,MATCH(H25,PeerGroups!$A$7:$A$623,0),MATCH($F$4,PeerGroups!$D$5:$AA$5,0))</f>
        <v>P00032</v>
      </c>
      <c r="C25" s="678">
        <f ca="1">OFFSET(SystemGroups!$C$6,MATCH(H25,SystemGroups!$A$7:$A$623,0),MATCH($F$4,SystemGroups!$D$5:$AA$5,0))</f>
        <v>0</v>
      </c>
      <c r="D25" s="68" t="str">
        <f ca="1">VLOOKUP(B25,PeerGroups!$I$643:$K$647,3,FALSE)</f>
        <v>Doctoral</v>
      </c>
      <c r="E25" s="53" t="s">
        <v>168</v>
      </c>
      <c r="F25" s="124">
        <f t="shared" si="3"/>
        <v>2021</v>
      </c>
      <c r="G25" s="1288" t="s">
        <v>2117</v>
      </c>
      <c r="H25" s="1294">
        <v>3642</v>
      </c>
      <c r="I25" s="1501">
        <f>'TSU Sum'!$I$36</f>
        <v>12172</v>
      </c>
      <c r="J25" s="1501">
        <f>'TSU Sum'!$I$39</f>
        <v>1818</v>
      </c>
      <c r="K25" s="1501">
        <f>'TSU Sum'!$I$41</f>
        <v>8303</v>
      </c>
      <c r="L25" s="1501">
        <f>'TSU Sum'!$I$46</f>
        <v>10440</v>
      </c>
      <c r="M25" s="924">
        <f>'TSU Sum'!$I$48</f>
        <v>32731</v>
      </c>
      <c r="N25" s="360"/>
      <c r="O25" s="930">
        <f>'TSU Sum'!$I$11</f>
        <v>10526</v>
      </c>
      <c r="Q25" s="1409">
        <f t="shared" si="1"/>
        <v>0</v>
      </c>
      <c r="R25" s="1383">
        <f t="shared" si="2"/>
        <v>0</v>
      </c>
      <c r="S25" s="886"/>
      <c r="T25" s="1386">
        <f>'TSU Sum'!$C$6</f>
        <v>6445.64</v>
      </c>
      <c r="U25" s="1387">
        <f>'TSU Sum'!$C$15</f>
        <v>12344</v>
      </c>
      <c r="V25" s="1388">
        <f>'TSU Sum'!$C$20</f>
        <v>8323</v>
      </c>
      <c r="X25" s="1462">
        <v>3634</v>
      </c>
      <c r="Y25" s="1460"/>
      <c r="Z25" s="1460"/>
      <c r="AA25" s="1461"/>
      <c r="AB25" s="1461"/>
      <c r="AD25" s="528" t="str">
        <f>'TSU FGD'!$O$92</f>
        <v>Bobbie Phelps</v>
      </c>
      <c r="AE25" s="528" t="str">
        <f>'TSU FGD'!$Q$92</f>
        <v>713-313-6890</v>
      </c>
      <c r="AF25" s="528" t="str">
        <f>'TSU FGD'!$T$92</f>
        <v>bobbie.phelps@tsu.edu</v>
      </c>
      <c r="AH25" s="794"/>
      <c r="AI25" s="1294"/>
      <c r="AK25" s="887">
        <f>'TSU Sum'!$I$11</f>
        <v>10526</v>
      </c>
      <c r="AL25" s="888">
        <f>'TSU Sum'!$I$14</f>
        <v>74813</v>
      </c>
      <c r="AM25" s="888">
        <f>'TSU Sum'!$I$33</f>
        <v>35749</v>
      </c>
      <c r="AN25" s="888">
        <f>'TSU Sum'!$I$35</f>
        <v>254081</v>
      </c>
    </row>
    <row r="26" spans="1:41" ht="15">
      <c r="A26" s="480">
        <v>310</v>
      </c>
      <c r="B26" s="678" t="str">
        <f ca="1">OFFSET(PeerGroups!$C$6,MATCH(H26,PeerGroups!$A$7:$A$623,0),MATCH($F$4,PeerGroups!$D$5:$AA$5,0))</f>
        <v>P00033</v>
      </c>
      <c r="C26" s="678" t="str">
        <f ca="1">OFFSET(SystemGroups!$C$6,MATCH(H26,SystemGroups!$A$7:$A$623,0),MATCH($F$4,SystemGroups!$D$5:$AA$5,0))</f>
        <v>S39154</v>
      </c>
      <c r="D26" s="68" t="str">
        <f ca="1">VLOOKUP(B26,PeerGroups!$I$643:$K$647,3,FALSE)</f>
        <v>Emerging Research</v>
      </c>
      <c r="E26" s="53" t="s">
        <v>170</v>
      </c>
      <c r="F26" s="124">
        <f t="shared" si="3"/>
        <v>2021</v>
      </c>
      <c r="G26" s="1288" t="s">
        <v>2117</v>
      </c>
      <c r="H26" s="1294">
        <v>3644</v>
      </c>
      <c r="I26" s="1501">
        <f>'TTU Sum'!$I$36</f>
        <v>5710</v>
      </c>
      <c r="J26" s="1501">
        <f>'TTU Sum'!$I$39</f>
        <v>2407</v>
      </c>
      <c r="K26" s="1501">
        <f>'TTU Sum'!$I$41</f>
        <v>1329</v>
      </c>
      <c r="L26" s="1501">
        <f>'TTU Sum'!$I$46</f>
        <v>9978</v>
      </c>
      <c r="M26" s="924">
        <f>'TTU Sum'!$I$48</f>
        <v>19424</v>
      </c>
      <c r="N26" s="360"/>
      <c r="O26" s="930">
        <f>'TTU Sum'!$I$11</f>
        <v>5932</v>
      </c>
      <c r="Q26" s="1409">
        <f t="shared" si="1"/>
        <v>0</v>
      </c>
      <c r="R26" s="1383">
        <f t="shared" si="2"/>
        <v>0</v>
      </c>
      <c r="S26" s="886"/>
      <c r="T26" s="1386">
        <f>'TTU Sum'!$C$6</f>
        <v>36035.31</v>
      </c>
      <c r="U26" s="1387">
        <f>'TTU Sum'!$C$15</f>
        <v>7316</v>
      </c>
      <c r="V26" s="1388">
        <f>'TTU Sum'!$C$20</f>
        <v>9915</v>
      </c>
      <c r="X26" s="1462">
        <v>3639</v>
      </c>
      <c r="Y26" s="1460"/>
      <c r="Z26" s="1460"/>
      <c r="AA26" s="1461"/>
      <c r="AB26" s="1461"/>
      <c r="AD26" s="528" t="str">
        <f>'TTU FGD'!$O$92</f>
        <v>Lori Eppler</v>
      </c>
      <c r="AE26" s="528" t="str">
        <f>'TTU FGD'!$Q$92</f>
        <v>806-834-4640</v>
      </c>
      <c r="AF26" s="528" t="str">
        <f>'TTU FGD'!$T$92</f>
        <v>lori.eppler@ttu.edu</v>
      </c>
      <c r="AH26" s="794"/>
      <c r="AI26" s="1294"/>
      <c r="AK26" s="887">
        <f>'TTU Sum'!$I$11</f>
        <v>5932</v>
      </c>
      <c r="AL26" s="888">
        <f>'TTU Sum'!$I$14</f>
        <v>58650</v>
      </c>
      <c r="AM26" s="888">
        <f>'TTU Sum'!$I$33</f>
        <v>23255</v>
      </c>
      <c r="AN26" s="888">
        <f>'TTU Sum'!$I$35</f>
        <v>229934</v>
      </c>
    </row>
    <row r="27" spans="1:41" ht="15">
      <c r="A27" s="480">
        <v>370</v>
      </c>
      <c r="B27" s="678" t="str">
        <f ca="1">OFFSET(PeerGroups!$C$6,MATCH(H27,PeerGroups!$A$7:$A$623,0),MATCH($F$4,PeerGroups!$D$5:$AA$5,0))</f>
        <v>P00032</v>
      </c>
      <c r="C27" s="678">
        <f ca="1">OFFSET(SystemGroups!$C$6,MATCH(H27,SystemGroups!$A$7:$A$623,0),MATCH($F$4,SystemGroups!$D$5:$AA$5,0))</f>
        <v>0</v>
      </c>
      <c r="D27" s="68" t="str">
        <f ca="1">VLOOKUP(B27,PeerGroups!$I$643:$K$647,3,FALSE)</f>
        <v>Doctoral</v>
      </c>
      <c r="E27" s="53" t="s">
        <v>172</v>
      </c>
      <c r="F27" s="124">
        <f t="shared" si="3"/>
        <v>2021</v>
      </c>
      <c r="G27" s="1288" t="s">
        <v>2117</v>
      </c>
      <c r="H27" s="1277">
        <v>3646</v>
      </c>
      <c r="I27" s="1501">
        <f>'TWU Sum'!$I$36</f>
        <v>6554</v>
      </c>
      <c r="J27" s="1501">
        <f>'TWU Sum'!$I$39</f>
        <v>2272</v>
      </c>
      <c r="K27" s="1501">
        <f>'TWU Sum'!$I$41</f>
        <v>2387</v>
      </c>
      <c r="L27" s="1501">
        <f>'TWU Sum'!$I$46</f>
        <v>3528</v>
      </c>
      <c r="M27" s="924">
        <f>'TWU Sum'!$I$48</f>
        <v>14741</v>
      </c>
      <c r="N27" s="360"/>
      <c r="O27" s="930">
        <f>'TWU Sum'!$I$11</f>
        <v>6240</v>
      </c>
      <c r="Q27" s="1409">
        <f t="shared" si="1"/>
        <v>0</v>
      </c>
      <c r="R27" s="1383">
        <f t="shared" si="2"/>
        <v>0</v>
      </c>
      <c r="S27" s="886"/>
      <c r="T27" s="1386">
        <f>'TWU Sum'!$C$6</f>
        <v>13026.58</v>
      </c>
      <c r="U27" s="1387">
        <f>'TWU Sum'!$C$15</f>
        <v>7357</v>
      </c>
      <c r="V27" s="1388">
        <f>'TWU Sum'!$C$20</f>
        <v>6845</v>
      </c>
      <c r="X27" s="1462">
        <v>3642</v>
      </c>
      <c r="Y27" s="1460"/>
      <c r="Z27" s="1460"/>
      <c r="AA27" s="1461"/>
      <c r="AB27" s="1461"/>
      <c r="AD27" s="528" t="str">
        <f>'TWU FGD'!$O$92</f>
        <v>June Orth</v>
      </c>
      <c r="AE27" s="528" t="str">
        <f>'TWU FGD'!$Q$92</f>
        <v>940-898-3522</v>
      </c>
      <c r="AF27" s="528" t="str">
        <f>'TWU FGD'!$T$92</f>
        <v>borth@twu.edu</v>
      </c>
      <c r="AH27" s="794"/>
      <c r="AI27" s="1294"/>
      <c r="AK27" s="887">
        <f>'TWU Sum'!$I$11</f>
        <v>6240</v>
      </c>
      <c r="AL27" s="888">
        <f>'TWU Sum'!$I$14</f>
        <v>60240</v>
      </c>
      <c r="AM27" s="888">
        <f>'TWU Sum'!$I$33</f>
        <v>17679</v>
      </c>
      <c r="AN27" s="888">
        <f>'TWU Sum'!$I$35</f>
        <v>170664</v>
      </c>
    </row>
    <row r="28" spans="1:41" ht="15">
      <c r="A28" s="1123">
        <v>231</v>
      </c>
      <c r="B28" s="678" t="str">
        <f ca="1">OFFSET(PeerGroups!$C$6,MATCH(H28,PeerGroups!$A$7:$A$623,0),MATCH($F$4,PeerGroups!$D$5:$AA$5,0))</f>
        <v>P00033</v>
      </c>
      <c r="C28" s="678" t="str">
        <f ca="1">OFFSET(SystemGroups!$C$6,MATCH(H28,SystemGroups!$A$7:$A$623,0),MATCH($F$4,SystemGroups!$D$5:$AA$5,0))</f>
        <v>S11721</v>
      </c>
      <c r="D28" s="68" t="str">
        <f ca="1">VLOOKUP(B28,PeerGroups!$I$643:$K$647,3,FALSE)</f>
        <v>Emerging Research</v>
      </c>
      <c r="E28" s="116" t="s">
        <v>2261</v>
      </c>
      <c r="F28" s="124">
        <f t="shared" si="3"/>
        <v>2021</v>
      </c>
      <c r="G28" s="1288" t="s">
        <v>2117</v>
      </c>
      <c r="H28" s="1294">
        <v>3652</v>
      </c>
      <c r="I28" s="1501">
        <f>'UH1 Sum'!$I$36</f>
        <v>6328</v>
      </c>
      <c r="J28" s="1501">
        <f>'UH1 Sum'!$I$39</f>
        <v>4464</v>
      </c>
      <c r="K28" s="1501">
        <f>'UH1 Sum'!$I$41</f>
        <v>2117</v>
      </c>
      <c r="L28" s="1501">
        <f>'UH1 Sum'!$I$46</f>
        <v>12444</v>
      </c>
      <c r="M28" s="924">
        <f>'UH1 Sum'!$I$48</f>
        <v>25352</v>
      </c>
      <c r="N28" s="360"/>
      <c r="O28" s="930">
        <f>'UH1 Sum'!$I$11</f>
        <v>6179</v>
      </c>
      <c r="Q28" s="1409">
        <f t="shared" si="1"/>
        <v>0</v>
      </c>
      <c r="R28" s="1383">
        <f t="shared" si="2"/>
        <v>0</v>
      </c>
      <c r="S28" s="886"/>
      <c r="T28" s="1386">
        <f>'UH1 Sum'!$C$6</f>
        <v>40310.42</v>
      </c>
      <c r="U28" s="1387">
        <f>'UH1 Sum'!$C$15</f>
        <v>7531</v>
      </c>
      <c r="V28" s="1388">
        <f>'UH1 Sum'!$C$20</f>
        <v>9937</v>
      </c>
      <c r="X28" s="1462">
        <v>3644</v>
      </c>
      <c r="Y28" s="1460"/>
      <c r="Z28" s="1460"/>
      <c r="AA28" s="1461"/>
      <c r="AB28" s="1461"/>
      <c r="AD28" s="528" t="str">
        <f>'UH1 FGD'!$O$92</f>
        <v>CHARLOTTE HOTZ</v>
      </c>
      <c r="AE28" s="528" t="str">
        <f>'UH1 FGD'!$Q$92</f>
        <v>713.743.5296</v>
      </c>
      <c r="AF28" s="528" t="str">
        <f>'UH1 FGD'!$T$92</f>
        <v>cahotz@uh.edu</v>
      </c>
      <c r="AH28" s="794"/>
      <c r="AI28" s="1294"/>
      <c r="AK28" s="887">
        <f>'UH1 Sum'!$I$11</f>
        <v>6179</v>
      </c>
      <c r="AL28" s="888">
        <f>'UH1 Sum'!$I$14</f>
        <v>70488</v>
      </c>
      <c r="AM28" s="888">
        <f>'UH1 Sum'!$I$33</f>
        <v>30617</v>
      </c>
      <c r="AN28" s="888">
        <f>'UH1 Sum'!$I$35</f>
        <v>349289</v>
      </c>
    </row>
    <row r="29" spans="1:41" s="116" customFormat="1" ht="15">
      <c r="A29" s="480">
        <v>40</v>
      </c>
      <c r="B29" s="678" t="str">
        <f ca="1">OFFSET(PeerGroups!$C$6,MATCH(H29,PeerGroups!$A$7:$A$623,0),MATCH($F$4,PeerGroups!$D$5:$AA$5,0))</f>
        <v>P00033</v>
      </c>
      <c r="C29" s="678" t="str">
        <f ca="1">OFFSET(SystemGroups!$C$6,MATCH(H29,SystemGroups!$A$7:$A$623,0),MATCH($F$4,SystemGroups!$D$5:$AA$5,0))</f>
        <v>S03655</v>
      </c>
      <c r="D29" s="68" t="str">
        <f ca="1">VLOOKUP(B29,PeerGroups!$I$643:$K$647,3,FALSE)</f>
        <v>Emerging Research</v>
      </c>
      <c r="E29" s="53" t="s">
        <v>176</v>
      </c>
      <c r="F29" s="124">
        <f t="shared" si="3"/>
        <v>2021</v>
      </c>
      <c r="G29" s="1289" t="s">
        <v>2117</v>
      </c>
      <c r="H29" s="1294">
        <v>3656</v>
      </c>
      <c r="I29" s="1501">
        <f>'ARL Sum'!$I$36</f>
        <v>5765</v>
      </c>
      <c r="J29" s="1501">
        <f>'ARL Sum'!$I$39</f>
        <v>1790</v>
      </c>
      <c r="K29" s="1501">
        <f>'ARL Sum'!$I$41</f>
        <v>1440</v>
      </c>
      <c r="L29" s="1501">
        <f>'ARL Sum'!$I$46</f>
        <v>9407</v>
      </c>
      <c r="M29" s="924">
        <f>'ARL Sum'!$I$48</f>
        <v>18402</v>
      </c>
      <c r="N29" s="360"/>
      <c r="O29" s="930">
        <f>'ARL Sum'!$I$11</f>
        <v>4679</v>
      </c>
      <c r="P29"/>
      <c r="Q29" s="1409">
        <f t="shared" si="1"/>
        <v>0</v>
      </c>
      <c r="R29" s="1383">
        <f t="shared" si="2"/>
        <v>0</v>
      </c>
      <c r="S29" s="886"/>
      <c r="T29" s="1386">
        <f>'ARL Sum'!$C$6</f>
        <v>34362.15</v>
      </c>
      <c r="U29" s="1387">
        <f>'ARL Sum'!$C$15</f>
        <v>4679</v>
      </c>
      <c r="V29" s="1388">
        <f>'ARL Sum'!$C$20</f>
        <v>10142</v>
      </c>
      <c r="W29" s="53"/>
      <c r="X29" s="1462">
        <v>3646</v>
      </c>
      <c r="Y29" s="1460"/>
      <c r="Z29" s="1460"/>
      <c r="AA29" s="1461"/>
      <c r="AB29" s="1461"/>
      <c r="AC29" s="53"/>
      <c r="AD29" s="528" t="str">
        <f>'ARL FGD'!$O$92</f>
        <v>Ting Chen</v>
      </c>
      <c r="AE29" s="528" t="str">
        <f>'ARL FGD'!$Q$92</f>
        <v>817-272-7489</v>
      </c>
      <c r="AF29" s="528" t="str">
        <f>'ARL FGD'!$T$92</f>
        <v>ting.chen@uta.edu</v>
      </c>
      <c r="AH29" s="794"/>
      <c r="AI29" s="1294"/>
      <c r="AJ29" s="53"/>
      <c r="AK29" s="887">
        <f>'ARL Sum'!$I$11</f>
        <v>4679</v>
      </c>
      <c r="AL29" s="888">
        <f>'ARL Sum'!$I$14</f>
        <v>65453</v>
      </c>
      <c r="AM29" s="888">
        <f>'ARL Sum'!$I$33</f>
        <v>22071</v>
      </c>
      <c r="AN29" s="888">
        <f>'ARL Sum'!$I$35</f>
        <v>308754</v>
      </c>
      <c r="AO29" s="53"/>
    </row>
    <row r="30" spans="1:41" ht="15">
      <c r="A30" s="1123">
        <v>51</v>
      </c>
      <c r="B30" s="1124" t="str">
        <f ca="1">OFFSET(PeerGroups!$C$6,MATCH(H30,PeerGroups!$A$7:$A$623,0),MATCH($F$4,PeerGroups!$D$5:$AA$5,0))</f>
        <v>P00034</v>
      </c>
      <c r="C30" s="678" t="str">
        <f ca="1">OFFSET(SystemGroups!$C$6,MATCH(H30,SystemGroups!$A$7:$A$623,0),MATCH($F$4,SystemGroups!$D$5:$AA$5,0))</f>
        <v>S03655</v>
      </c>
      <c r="D30" s="78" t="str">
        <f ca="1">VLOOKUP(B30,PeerGroups!$I$643:$K$647,3,FALSE)</f>
        <v>Research</v>
      </c>
      <c r="E30" s="116" t="s">
        <v>1398</v>
      </c>
      <c r="F30" s="1125">
        <f t="shared" si="3"/>
        <v>2021</v>
      </c>
      <c r="G30" s="1288" t="s">
        <v>2117</v>
      </c>
      <c r="H30" s="1295">
        <v>3658</v>
      </c>
      <c r="I30" s="1502">
        <f>'AUS1 Sum'!$I$36</f>
        <v>14227</v>
      </c>
      <c r="J30" s="1502">
        <f>'AUS1 Sum'!$I$39</f>
        <v>6517</v>
      </c>
      <c r="K30" s="1502">
        <f>'AUS1 Sum'!$I$41</f>
        <v>4478</v>
      </c>
      <c r="L30" s="1502">
        <f>'AUS1 Sum'!$I$46</f>
        <v>21440</v>
      </c>
      <c r="M30" s="1503">
        <f>'AUS1 Sum'!$I$48</f>
        <v>46662</v>
      </c>
      <c r="N30" s="1504"/>
      <c r="O30" s="1505">
        <f>'AUS1 Sum'!$I$11</f>
        <v>8149</v>
      </c>
      <c r="P30" s="116"/>
      <c r="Q30" s="1410">
        <f t="shared" si="1"/>
        <v>0</v>
      </c>
      <c r="R30" s="1390">
        <f t="shared" si="2"/>
        <v>0</v>
      </c>
      <c r="S30" s="1128"/>
      <c r="T30" s="1389">
        <f>'AUS1 Sum'!$C$6</f>
        <v>47534.87</v>
      </c>
      <c r="U30" s="1391">
        <f>'AUS1 Sum'!$C$15</f>
        <v>16405</v>
      </c>
      <c r="V30" s="1392">
        <f>'AUS1 Sum'!$C$20</f>
        <v>10968</v>
      </c>
      <c r="W30" s="116"/>
      <c r="X30" s="1462">
        <v>3652</v>
      </c>
      <c r="Y30" s="1460"/>
      <c r="Z30" s="1460"/>
      <c r="AA30" s="1461"/>
      <c r="AB30" s="1461"/>
      <c r="AC30" s="116"/>
      <c r="AD30" s="1129" t="str">
        <f>'AUS1 FGD'!$O$92</f>
        <v>Marcy Lowther</v>
      </c>
      <c r="AE30" s="1129" t="str">
        <f>'AUS1 FGD'!$Q$92</f>
        <v>512-471-2808</v>
      </c>
      <c r="AF30" s="1129" t="str">
        <f>'AUS1 FGD'!$T$92</f>
        <v>mlowther@austin.utexas.edu</v>
      </c>
      <c r="AH30" s="794"/>
      <c r="AI30" s="1301"/>
      <c r="AJ30" s="116"/>
      <c r="AK30" s="1126">
        <f>'AUS1 Sum'!$I$11</f>
        <v>8149</v>
      </c>
      <c r="AL30" s="1127">
        <f>'AUS1 Sum'!$I$14</f>
        <v>72400</v>
      </c>
      <c r="AM30" s="1127">
        <f>'AUS1 Sum'!$I$33</f>
        <v>55036</v>
      </c>
      <c r="AN30" s="1127">
        <f>'AUS1 Sum'!$I$35</f>
        <v>488939</v>
      </c>
      <c r="AO30" s="116"/>
    </row>
    <row r="31" spans="1:41" ht="15">
      <c r="A31" s="480">
        <v>70</v>
      </c>
      <c r="B31" s="678" t="str">
        <f ca="1">OFFSET(PeerGroups!$C$6,MATCH(H31,PeerGroups!$A$7:$A$623,0),MATCH($F$4,PeerGroups!$D$5:$AA$5,0))</f>
        <v>P00033</v>
      </c>
      <c r="C31" s="678" t="str">
        <f ca="1">OFFSET(SystemGroups!$C$6,MATCH(H31,SystemGroups!$A$7:$A$623,0),MATCH($F$4,SystemGroups!$D$5:$AA$5,0))</f>
        <v>S03655</v>
      </c>
      <c r="D31" s="68" t="str">
        <f ca="1">VLOOKUP(B31,PeerGroups!$I$643:$K$647,3,FALSE)</f>
        <v>Emerging Research</v>
      </c>
      <c r="E31" s="53" t="s">
        <v>180</v>
      </c>
      <c r="F31" s="124">
        <f t="shared" si="3"/>
        <v>2021</v>
      </c>
      <c r="G31" s="1288" t="s">
        <v>2117</v>
      </c>
      <c r="H31" s="1294">
        <v>3661</v>
      </c>
      <c r="I31" s="1501">
        <f>'E-P Sum'!$I$36</f>
        <v>5713</v>
      </c>
      <c r="J31" s="1501">
        <f>'E-P Sum'!$I$39</f>
        <v>1385</v>
      </c>
      <c r="K31" s="1501">
        <f>'E-P Sum'!$I$41</f>
        <v>1630</v>
      </c>
      <c r="L31" s="1501">
        <f>'E-P Sum'!$I$46</f>
        <v>13567</v>
      </c>
      <c r="M31" s="924">
        <f>'E-P Sum'!$I$48</f>
        <v>22296</v>
      </c>
      <c r="N31" s="360"/>
      <c r="O31" s="930">
        <f>'E-P Sum'!$I$11</f>
        <v>6842</v>
      </c>
      <c r="Q31" s="1409">
        <f t="shared" si="1"/>
        <v>0</v>
      </c>
      <c r="R31" s="1383">
        <f t="shared" si="2"/>
        <v>0</v>
      </c>
      <c r="S31" s="886"/>
      <c r="T31" s="1386">
        <f>'E-P Sum'!$C$6</f>
        <v>19488.8</v>
      </c>
      <c r="U31" s="1387">
        <f>'E-P Sum'!$C$15</f>
        <v>6842</v>
      </c>
      <c r="V31" s="1388">
        <f>'E-P Sum'!$C$20</f>
        <v>7645</v>
      </c>
      <c r="X31" s="1462">
        <v>3656</v>
      </c>
      <c r="Y31" s="1460"/>
      <c r="Z31" s="1460"/>
      <c r="AA31" s="1461"/>
      <c r="AB31" s="1461"/>
      <c r="AD31" s="528" t="str">
        <f>'E-P FGD'!$O$92</f>
        <v>Daniel Dominguez</v>
      </c>
      <c r="AE31" s="528" t="str">
        <f>'E-P FGD'!$Q$92</f>
        <v>(915)747-5083</v>
      </c>
      <c r="AF31" s="528" t="str">
        <f>'E-P FGD'!$T$92</f>
        <v>drdominguez@utep.edu</v>
      </c>
      <c r="AH31" s="794"/>
      <c r="AI31" s="1294"/>
      <c r="AK31" s="887">
        <f>'E-P Sum'!$I$11</f>
        <v>6842</v>
      </c>
      <c r="AL31" s="888">
        <f>'E-P Sum'!$I$14</f>
        <v>93523</v>
      </c>
      <c r="AM31" s="888">
        <f>'E-P Sum'!$I$33</f>
        <v>26670</v>
      </c>
      <c r="AN31" s="888">
        <f>'E-P Sum'!$I$35</f>
        <v>364568</v>
      </c>
    </row>
    <row r="32" spans="1:41" ht="15">
      <c r="A32" s="480">
        <v>200</v>
      </c>
      <c r="B32" s="678" t="str">
        <f ca="1">OFFSET(PeerGroups!$C$6,MATCH(H32,PeerGroups!$A$7:$A$623,0),MATCH($F$4,PeerGroups!$D$5:$AA$5,0))</f>
        <v>P00030</v>
      </c>
      <c r="C32" s="678" t="str">
        <f ca="1">OFFSET(SystemGroups!$C$6,MATCH(H32,SystemGroups!$A$7:$A$623,0),MATCH($F$4,SystemGroups!$D$5:$AA$5,0))</f>
        <v>S03629</v>
      </c>
      <c r="D32" s="68" t="str">
        <f ca="1">VLOOKUP(B32,PeerGroups!$I$643:$K$647,3,FALSE)</f>
        <v>Comprehensive</v>
      </c>
      <c r="E32" s="53" t="s">
        <v>182</v>
      </c>
      <c r="F32" s="124">
        <f t="shared" si="3"/>
        <v>2021</v>
      </c>
      <c r="G32" s="1288" t="s">
        <v>2117</v>
      </c>
      <c r="H32" s="1277">
        <v>3665</v>
      </c>
      <c r="I32" s="1501">
        <f>'WTAMU Sum'!$I$36</f>
        <v>5495</v>
      </c>
      <c r="J32" s="1501">
        <f>'WTAMU Sum'!$I$39</f>
        <v>2199</v>
      </c>
      <c r="K32" s="1501">
        <f>'WTAMU Sum'!$I$41</f>
        <v>1713</v>
      </c>
      <c r="L32" s="1501">
        <f>'WTAMU Sum'!$I$46</f>
        <v>7581</v>
      </c>
      <c r="M32" s="924">
        <f>'WTAMU Sum'!$I$48</f>
        <v>16987</v>
      </c>
      <c r="N32" s="360"/>
      <c r="O32" s="930">
        <f>'WTAMU Sum'!$I$11</f>
        <v>6091</v>
      </c>
      <c r="Q32" s="1409">
        <f t="shared" si="1"/>
        <v>0</v>
      </c>
      <c r="R32" s="1383">
        <f t="shared" si="2"/>
        <v>0</v>
      </c>
      <c r="S32" s="886"/>
      <c r="T32" s="1386">
        <f>'WTAMU Sum'!$C$6</f>
        <v>7724.93</v>
      </c>
      <c r="U32" s="1387">
        <f>'WTAMU Sum'!$C$15</f>
        <v>7054</v>
      </c>
      <c r="V32" s="1388">
        <f>'WTAMU Sum'!$C$20</f>
        <v>7920</v>
      </c>
      <c r="X32" s="1462">
        <v>3658</v>
      </c>
      <c r="Y32" s="1460"/>
      <c r="Z32" s="1460"/>
      <c r="AA32" s="1461"/>
      <c r="AB32" s="1461"/>
      <c r="AD32" s="528" t="str">
        <f>'WTAMU FGD'!$O$92</f>
        <v>Chris Arrington</v>
      </c>
      <c r="AE32" s="528" t="str">
        <f>'WTAMU FGD'!$Q$92</f>
        <v>979-458-9151</v>
      </c>
      <c r="AF32" s="528" t="str">
        <f>'WTAMU FGD'!$T$92</f>
        <v>carrington@tamus.edu</v>
      </c>
      <c r="AH32" s="794"/>
      <c r="AI32" s="1277"/>
      <c r="AK32" s="887">
        <f>'WTAMU Sum'!$I$11</f>
        <v>6091</v>
      </c>
      <c r="AL32" s="888">
        <f>'WTAMU Sum'!$I$14</f>
        <v>61132</v>
      </c>
      <c r="AM32" s="888">
        <f>'WTAMU Sum'!$I$33</f>
        <v>20816</v>
      </c>
      <c r="AN32" s="888">
        <f>'WTAMU Sum'!$I$35</f>
        <v>208928</v>
      </c>
    </row>
    <row r="33" spans="1:41" ht="15">
      <c r="A33" s="480">
        <v>190</v>
      </c>
      <c r="B33" s="678" t="str">
        <f ca="1">OFFSET(PeerGroups!$C$6,MATCH(H33,PeerGroups!$A$7:$A$623,0),MATCH($F$4,PeerGroups!$D$5:$AA$5,0))</f>
        <v>P00030</v>
      </c>
      <c r="C33" s="678" t="str">
        <f ca="1">OFFSET(SystemGroups!$C$6,MATCH(H33,SystemGroups!$A$7:$A$623,0),MATCH($F$4,SystemGroups!$D$5:$AA$5,0))</f>
        <v>S03629</v>
      </c>
      <c r="D33" s="68" t="str">
        <f ca="1">VLOOKUP(B33,PeerGroups!$I$643:$K$647,3,FALSE)</f>
        <v>Comprehensive</v>
      </c>
      <c r="E33" s="53" t="s">
        <v>184</v>
      </c>
      <c r="F33" s="124">
        <f t="shared" si="3"/>
        <v>2021</v>
      </c>
      <c r="G33" s="1288" t="s">
        <v>2117</v>
      </c>
      <c r="H33" s="1294">
        <v>9651</v>
      </c>
      <c r="I33" s="1501">
        <f>'TAMIU Sum'!$I$36</f>
        <v>4852</v>
      </c>
      <c r="J33" s="1501">
        <f>'TAMIU Sum'!$I$39</f>
        <v>2762</v>
      </c>
      <c r="K33" s="1501">
        <f>'TAMIU Sum'!$I$41</f>
        <v>1014</v>
      </c>
      <c r="L33" s="1501">
        <f>'TAMIU Sum'!$I$46</f>
        <v>8364</v>
      </c>
      <c r="M33" s="924">
        <f>'TAMIU Sum'!$I$48</f>
        <v>16991</v>
      </c>
      <c r="N33" s="360"/>
      <c r="O33" s="930">
        <f>'TAMIU Sum'!$I$11</f>
        <v>7057</v>
      </c>
      <c r="Q33" s="1409">
        <f t="shared" si="1"/>
        <v>0</v>
      </c>
      <c r="R33" s="1383">
        <f t="shared" si="2"/>
        <v>0</v>
      </c>
      <c r="S33" s="886"/>
      <c r="T33" s="1386">
        <f>'TAMIU Sum'!$C$6</f>
        <v>6962.28</v>
      </c>
      <c r="U33" s="1387">
        <f>'TAMIU Sum'!$C$15</f>
        <v>8129</v>
      </c>
      <c r="V33" s="1388">
        <f>'TAMIU Sum'!$C$20</f>
        <v>5137</v>
      </c>
      <c r="X33" s="1462">
        <v>3661</v>
      </c>
      <c r="Y33" s="1460"/>
      <c r="Z33" s="1460"/>
      <c r="AA33" s="1461"/>
      <c r="AB33" s="1461"/>
      <c r="AD33" s="528" t="str">
        <f>'TAMIU FGD'!$O$92</f>
        <v>Chris Arrington</v>
      </c>
      <c r="AE33" s="528" t="str">
        <f>'TAMIU FGD'!$Q$92</f>
        <v>979-458-9151</v>
      </c>
      <c r="AF33" s="528" t="str">
        <f>'TAMIU FGD'!$T$92</f>
        <v>carrington@tamus.edu</v>
      </c>
      <c r="AH33" s="794"/>
      <c r="AI33" s="1294"/>
      <c r="AK33" s="887">
        <f>'TAMIU Sum'!$I$11</f>
        <v>7057</v>
      </c>
      <c r="AL33" s="888">
        <f>'TAMIU Sum'!$I$14</f>
        <v>108614</v>
      </c>
      <c r="AM33" s="888">
        <f>'TAMIU Sum'!$I$33</f>
        <v>20902</v>
      </c>
      <c r="AN33" s="888">
        <f>'TAMIU Sum'!$I$35</f>
        <v>321699</v>
      </c>
    </row>
    <row r="34" spans="1:41" ht="15">
      <c r="A34" s="480">
        <v>60</v>
      </c>
      <c r="B34" s="678" t="str">
        <f ca="1">OFFSET(PeerGroups!$C$6,MATCH(H34,PeerGroups!$A$7:$A$623,0),MATCH($F$4,PeerGroups!$D$5:$AA$5,0))</f>
        <v>P00033</v>
      </c>
      <c r="C34" s="678" t="str">
        <f ca="1">OFFSET(SystemGroups!$C$6,MATCH(H34,SystemGroups!$A$7:$A$623,0),MATCH($F$4,SystemGroups!$D$5:$AA$5,0))</f>
        <v>S03655</v>
      </c>
      <c r="D34" s="68" t="str">
        <f ca="1">VLOOKUP(B34,PeerGroups!$I$643:$K$647,3,FALSE)</f>
        <v>Emerging Research</v>
      </c>
      <c r="E34" s="53" t="s">
        <v>186</v>
      </c>
      <c r="F34" s="124">
        <f t="shared" si="3"/>
        <v>2021</v>
      </c>
      <c r="G34" s="1288" t="s">
        <v>2117</v>
      </c>
      <c r="H34" s="1294">
        <v>9741</v>
      </c>
      <c r="I34" s="1501">
        <f>'DAL Sum'!$I$36</f>
        <v>8179</v>
      </c>
      <c r="J34" s="1501">
        <f>'DAL Sum'!$I$39</f>
        <v>2607</v>
      </c>
      <c r="K34" s="1501">
        <f>'DAL Sum'!$I$41</f>
        <v>1434</v>
      </c>
      <c r="L34" s="1501">
        <f>'DAL Sum'!$I$46</f>
        <v>10135</v>
      </c>
      <c r="M34" s="924">
        <f>'DAL Sum'!$I$48</f>
        <v>22355</v>
      </c>
      <c r="N34" s="360"/>
      <c r="O34" s="930">
        <f>'DAL Sum'!$I$11</f>
        <v>5356</v>
      </c>
      <c r="Q34" s="1409">
        <f t="shared" si="1"/>
        <v>0</v>
      </c>
      <c r="R34" s="1383">
        <f t="shared" si="2"/>
        <v>0</v>
      </c>
      <c r="S34" s="886"/>
      <c r="T34" s="1386">
        <f>'DAL Sum'!$C$6</f>
        <v>24167.85</v>
      </c>
      <c r="U34" s="1387">
        <f>'DAL Sum'!$C$15</f>
        <v>5356</v>
      </c>
      <c r="V34" s="1388">
        <f>'DAL Sum'!$C$20</f>
        <v>12410</v>
      </c>
      <c r="X34" s="1462">
        <v>3665</v>
      </c>
      <c r="Y34" s="1460"/>
      <c r="Z34" s="1460"/>
      <c r="AA34" s="1461"/>
      <c r="AB34" s="1461"/>
      <c r="AD34" s="528" t="str">
        <f>'DAL FGD'!$O$92</f>
        <v>Cindy Milligan</v>
      </c>
      <c r="AE34" s="528" t="str">
        <f>'DAL FGD'!$Q$92</f>
        <v>(972) 883-2632</v>
      </c>
      <c r="AF34" s="528" t="str">
        <f>'DAL FGD'!$T$92</f>
        <v>cxm133830@utdallas.edu</v>
      </c>
      <c r="AH34" s="794"/>
      <c r="AI34" s="1294"/>
      <c r="AK34" s="887">
        <f>'DAL Sum'!$I$11</f>
        <v>5356</v>
      </c>
      <c r="AL34" s="888">
        <f>'DAL Sum'!$I$14</f>
        <v>58178</v>
      </c>
      <c r="AM34" s="888">
        <f>'DAL Sum'!$I$33</f>
        <v>27183</v>
      </c>
      <c r="AN34" s="888">
        <f>'DAL Sum'!$I$35</f>
        <v>295294</v>
      </c>
    </row>
    <row r="35" spans="1:41" ht="15">
      <c r="A35" s="480">
        <v>100</v>
      </c>
      <c r="B35" s="678" t="str">
        <f ca="1">OFFSET(PeerGroups!$C$6,MATCH(H35,PeerGroups!$A$7:$A$623,0),MATCH($F$4,PeerGroups!$D$5:$AA$5,0))</f>
        <v>P00031</v>
      </c>
      <c r="C35" s="678" t="str">
        <f ca="1">OFFSET(SystemGroups!$C$6,MATCH(H35,SystemGroups!$A$7:$A$623,0),MATCH($F$4,SystemGroups!$D$5:$AA$5,0))</f>
        <v>S03655</v>
      </c>
      <c r="D35" s="68" t="str">
        <f ca="1">VLOOKUP(B35,PeerGroups!$I$643:$K$647,3,FALSE)</f>
        <v>Master's</v>
      </c>
      <c r="E35" s="53" t="s">
        <v>188</v>
      </c>
      <c r="F35" s="124">
        <f t="shared" si="3"/>
        <v>2021</v>
      </c>
      <c r="G35" s="1288" t="s">
        <v>2117</v>
      </c>
      <c r="H35" s="1294">
        <v>9930</v>
      </c>
      <c r="I35" s="1501">
        <f>'P-B Sum'!$I$36</f>
        <v>8310</v>
      </c>
      <c r="J35" s="1501">
        <f>'P-B Sum'!$I$39</f>
        <v>1716</v>
      </c>
      <c r="K35" s="1501">
        <f>'P-B Sum'!$I$41</f>
        <v>2740</v>
      </c>
      <c r="L35" s="1501">
        <f>'P-B Sum'!$I$46</f>
        <v>7451</v>
      </c>
      <c r="M35" s="924">
        <f>'P-B Sum'!$I$48</f>
        <v>20217</v>
      </c>
      <c r="N35" s="360"/>
      <c r="O35" s="930">
        <f>'P-B Sum'!$I$11</f>
        <v>10108</v>
      </c>
      <c r="Q35" s="1409">
        <f t="shared" si="1"/>
        <v>0</v>
      </c>
      <c r="R35" s="1383">
        <f t="shared" si="2"/>
        <v>0</v>
      </c>
      <c r="S35" s="886"/>
      <c r="T35" s="1386">
        <f>'P-B Sum'!$C$6</f>
        <v>4255.68</v>
      </c>
      <c r="U35" s="1387">
        <f>'P-B Sum'!$C$15</f>
        <v>10108</v>
      </c>
      <c r="V35" s="1388">
        <f>'P-B Sum'!$C$20</f>
        <v>7640</v>
      </c>
      <c r="X35" s="1462">
        <v>9225</v>
      </c>
      <c r="Y35" s="1460"/>
      <c r="Z35" s="1460"/>
      <c r="AA35" s="1461"/>
      <c r="AB35" s="1461"/>
      <c r="AD35" s="528" t="str">
        <f>'P-B FGD'!$O$92</f>
        <v>Jana Juarez</v>
      </c>
      <c r="AE35" s="528" t="str">
        <f>'P-B FGD'!$Q$92</f>
        <v>432-552-2717</v>
      </c>
      <c r="AF35" s="528" t="str">
        <f>'P-B FGD'!$T$92</f>
        <v>juarez_j@utpb.edu</v>
      </c>
      <c r="AH35" s="794"/>
      <c r="AI35" s="1294"/>
      <c r="AK35" s="887">
        <f>'P-B Sum'!$I$11</f>
        <v>10108</v>
      </c>
      <c r="AL35" s="888">
        <f>'P-B Sum'!$I$14</f>
        <v>108054</v>
      </c>
      <c r="AM35" s="888">
        <f>'P-B Sum'!$I$33</f>
        <v>24866</v>
      </c>
      <c r="AN35" s="888">
        <f>'P-B Sum'!$I$35</f>
        <v>265814</v>
      </c>
    </row>
    <row r="36" spans="1:41" ht="15">
      <c r="A36" s="480">
        <v>110</v>
      </c>
      <c r="B36" s="678" t="str">
        <f ca="1">OFFSET(PeerGroups!$C$6,MATCH(H36,PeerGroups!$A$7:$A$623,0),MATCH($F$4,PeerGroups!$D$5:$AA$5,0))</f>
        <v>P00033</v>
      </c>
      <c r="C36" s="678" t="str">
        <f ca="1">OFFSET(SystemGroups!$C$6,MATCH(H36,SystemGroups!$A$7:$A$623,0),MATCH($F$4,SystemGroups!$D$5:$AA$5,0))</f>
        <v>S03655</v>
      </c>
      <c r="D36" s="68" t="str">
        <f ca="1">VLOOKUP(B36,PeerGroups!$I$643:$K$647,3,FALSE)</f>
        <v>Emerging Research</v>
      </c>
      <c r="E36" s="53" t="s">
        <v>190</v>
      </c>
      <c r="F36" s="124">
        <f t="shared" si="3"/>
        <v>2021</v>
      </c>
      <c r="G36" s="1288" t="s">
        <v>2117</v>
      </c>
      <c r="H36" s="1294">
        <v>10115</v>
      </c>
      <c r="I36" s="1501">
        <f>'S-A Sum'!$I$36</f>
        <v>4082</v>
      </c>
      <c r="J36" s="1501">
        <f>'S-A Sum'!$I$39</f>
        <v>2525</v>
      </c>
      <c r="K36" s="1501">
        <f>'S-A Sum'!$I$41</f>
        <v>1512</v>
      </c>
      <c r="L36" s="1501">
        <f>'S-A Sum'!$I$46</f>
        <v>10685</v>
      </c>
      <c r="M36" s="924">
        <f>'S-A Sum'!$I$48</f>
        <v>18804</v>
      </c>
      <c r="N36" s="360"/>
      <c r="O36" s="930">
        <f>'S-A Sum'!$I$11</f>
        <v>5711</v>
      </c>
      <c r="Q36" s="1409">
        <f t="shared" si="1"/>
        <v>0</v>
      </c>
      <c r="R36" s="1383">
        <f t="shared" si="2"/>
        <v>0</v>
      </c>
      <c r="S36" s="886"/>
      <c r="T36" s="1386">
        <f>'S-A Sum'!$C$6</f>
        <v>28396.57</v>
      </c>
      <c r="U36" s="1387">
        <f>'S-A Sum'!$C$15</f>
        <v>5711</v>
      </c>
      <c r="V36" s="1388">
        <f>'S-A Sum'!$C$20</f>
        <v>8864</v>
      </c>
      <c r="X36" s="1462">
        <v>9651</v>
      </c>
      <c r="Y36" s="1460"/>
      <c r="Z36" s="1460"/>
      <c r="AA36" s="1461"/>
      <c r="AB36" s="1461"/>
      <c r="AD36" s="528" t="str">
        <f>'S-A FGD'!$O$92</f>
        <v>Sheri Hardison</v>
      </c>
      <c r="AE36" s="528" t="str">
        <f>'S-A FGD'!$Q$92</f>
        <v>210-458-6774</v>
      </c>
      <c r="AF36" s="528" t="str">
        <f>'S-A FGD'!$T$92</f>
        <v>sheri.hardison@utsa.edu</v>
      </c>
      <c r="AH36" s="794"/>
      <c r="AI36" s="1294"/>
      <c r="AK36" s="887">
        <f>'S-A Sum'!$I$11</f>
        <v>5711</v>
      </c>
      <c r="AL36" s="888">
        <f>'S-A Sum'!$I$14</f>
        <v>72713</v>
      </c>
      <c r="AM36" s="888">
        <f>'S-A Sum'!$I$33</f>
        <v>25558</v>
      </c>
      <c r="AN36" s="888">
        <f>'S-A Sum'!$I$35</f>
        <v>325407</v>
      </c>
    </row>
    <row r="37" spans="1:41" ht="15">
      <c r="A37" s="480">
        <v>140</v>
      </c>
      <c r="B37" s="678" t="str">
        <f ca="1">OFFSET(PeerGroups!$C$6,MATCH(H37,PeerGroups!$A$7:$A$623,0),MATCH($F$4,PeerGroups!$D$5:$AA$5,0))</f>
        <v>P00031</v>
      </c>
      <c r="C37" s="678" t="str">
        <f ca="1">OFFSET(SystemGroups!$C$6,MATCH(H37,SystemGroups!$A$7:$A$623,0),MATCH($F$4,SystemGroups!$D$5:$AA$5,0))</f>
        <v>S03629</v>
      </c>
      <c r="D37" s="68" t="str">
        <f ca="1">VLOOKUP(B37,PeerGroups!$I$643:$K$647,3,FALSE)</f>
        <v>Master's</v>
      </c>
      <c r="E37" s="53" t="s">
        <v>192</v>
      </c>
      <c r="F37" s="124">
        <f t="shared" si="3"/>
        <v>2021</v>
      </c>
      <c r="G37" s="1288" t="s">
        <v>2117</v>
      </c>
      <c r="H37" s="1294">
        <v>10298</v>
      </c>
      <c r="I37" s="1501">
        <f>'TAMUG Sum'!$I$36</f>
        <v>11668</v>
      </c>
      <c r="J37" s="1501">
        <f>'TAMUG Sum'!$I$39</f>
        <v>3676</v>
      </c>
      <c r="K37" s="1501">
        <f>'TAMUG Sum'!$I$41</f>
        <v>3890</v>
      </c>
      <c r="L37" s="1501">
        <f>'TAMUG Sum'!$I$46</f>
        <v>12012</v>
      </c>
      <c r="M37" s="924">
        <f>'TAMUG Sum'!$I$48</f>
        <v>31246</v>
      </c>
      <c r="N37" s="360"/>
      <c r="O37" s="930">
        <f>'TAMUG Sum'!$I$11</f>
        <v>40976</v>
      </c>
      <c r="Q37" s="1409">
        <f t="shared" si="1"/>
        <v>0</v>
      </c>
      <c r="R37" s="1383">
        <f t="shared" si="2"/>
        <v>0</v>
      </c>
      <c r="S37" s="886"/>
      <c r="T37" s="1386">
        <f>'TAMUG Sum'!$C$6</f>
        <v>1732.87</v>
      </c>
      <c r="U37" s="1387">
        <f>'TAMUG Sum'!$C$15</f>
        <v>40976</v>
      </c>
      <c r="V37" s="1388">
        <f>'TAMUG Sum'!$C$20</f>
        <v>12322</v>
      </c>
      <c r="X37" s="1462">
        <v>9741</v>
      </c>
      <c r="Y37" s="1460"/>
      <c r="Z37" s="1460"/>
      <c r="AA37" s="1461"/>
      <c r="AB37" s="1461"/>
      <c r="AD37" s="528" t="str">
        <f>'TAMUG FGD'!$O$92</f>
        <v>Chris Arrington</v>
      </c>
      <c r="AE37" s="528" t="str">
        <f>'TAMUG FGD'!$Q$92</f>
        <v>979-458-9151</v>
      </c>
      <c r="AF37" s="528" t="str">
        <f>'TAMUG FGD'!$T$92</f>
        <v>carrington@tamus.edu</v>
      </c>
      <c r="AH37" s="794"/>
      <c r="AI37" s="1294"/>
      <c r="AK37" s="887">
        <f>'TAMUG Sum'!$I$11</f>
        <v>40976</v>
      </c>
      <c r="AL37" s="888">
        <f>'TAMUG Sum'!$I$14</f>
        <v>316216</v>
      </c>
      <c r="AM37" s="888">
        <f>'TAMUG Sum'!$I$33</f>
        <v>65486</v>
      </c>
      <c r="AN37" s="888">
        <f>'TAMUG Sum'!$I$35</f>
        <v>505359</v>
      </c>
    </row>
    <row r="38" spans="1:41" ht="15">
      <c r="A38" s="480">
        <v>170</v>
      </c>
      <c r="B38" s="678" t="str">
        <f ca="1">OFFSET(PeerGroups!$C$6,MATCH(H38,PeerGroups!$A$7:$A$623,0),MATCH($F$4,PeerGroups!$D$5:$AA$5,0))</f>
        <v>P00032</v>
      </c>
      <c r="C38" s="678" t="str">
        <f ca="1">OFFSET(SystemGroups!$C$6,MATCH(H38,SystemGroups!$A$7:$A$623,0),MATCH($F$4,SystemGroups!$D$5:$AA$5,0))</f>
        <v>S03629</v>
      </c>
      <c r="D38" s="68" t="str">
        <f ca="1">VLOOKUP(B38,PeerGroups!$I$643:$K$647,3,FALSE)</f>
        <v>Doctoral</v>
      </c>
      <c r="E38" s="53" t="s">
        <v>194</v>
      </c>
      <c r="F38" s="124">
        <f t="shared" si="3"/>
        <v>2021</v>
      </c>
      <c r="G38" s="1288" t="s">
        <v>2117</v>
      </c>
      <c r="H38" s="1294">
        <v>11161</v>
      </c>
      <c r="I38" s="1501">
        <f>'TAMUCC Sum'!$I$36</f>
        <v>6887</v>
      </c>
      <c r="J38" s="1501">
        <f>'TAMUCC Sum'!$I$39</f>
        <v>3366</v>
      </c>
      <c r="K38" s="1501">
        <f>'TAMUCC Sum'!$I$41</f>
        <v>1638</v>
      </c>
      <c r="L38" s="1501">
        <f>'TAMUCC Sum'!$I$46</f>
        <v>10663</v>
      </c>
      <c r="M38" s="924">
        <f>'TAMUCC Sum'!$I$48</f>
        <v>22554</v>
      </c>
      <c r="N38" s="360"/>
      <c r="O38" s="930">
        <f>'TAMUCC Sum'!$I$11</f>
        <v>7417</v>
      </c>
      <c r="Q38" s="1409">
        <f t="shared" si="1"/>
        <v>0</v>
      </c>
      <c r="R38" s="1383">
        <f t="shared" si="2"/>
        <v>0</v>
      </c>
      <c r="S38" s="886"/>
      <c r="T38" s="1386">
        <f>'TAMUCC Sum'!$C$6</f>
        <v>9336.2800000000007</v>
      </c>
      <c r="U38" s="1387">
        <f>'TAMUCC Sum'!$C$15</f>
        <v>8646</v>
      </c>
      <c r="V38" s="1388">
        <f>'TAMUCC Sum'!$C$20</f>
        <v>8798</v>
      </c>
      <c r="X38" s="1462">
        <v>9930</v>
      </c>
      <c r="Y38" s="1460"/>
      <c r="Z38" s="1460"/>
      <c r="AA38" s="1461"/>
      <c r="AB38" s="1461"/>
      <c r="AD38" s="528" t="str">
        <f>'TAMUCC FGD'!$O$92</f>
        <v>Chris Arrington</v>
      </c>
      <c r="AE38" s="528" t="str">
        <f>'TAMUCC FGD'!$Q$92</f>
        <v>979-458-9151</v>
      </c>
      <c r="AF38" s="528" t="str">
        <f>'TAMUCC FGD'!$T$92</f>
        <v>carrington@tamus.edu</v>
      </c>
      <c r="AH38" s="794"/>
      <c r="AI38" s="1294"/>
      <c r="AK38" s="887">
        <f>'TAMUCC Sum'!$I$11</f>
        <v>7417</v>
      </c>
      <c r="AL38" s="888">
        <f>'TAMUCC Sum'!$I$14</f>
        <v>83571</v>
      </c>
      <c r="AM38" s="888">
        <f>'TAMUCC Sum'!$I$33</f>
        <v>24208</v>
      </c>
      <c r="AN38" s="888">
        <f>'TAMUCC Sum'!$I$35</f>
        <v>272769</v>
      </c>
    </row>
    <row r="39" spans="1:41" ht="15">
      <c r="A39" s="480">
        <v>120</v>
      </c>
      <c r="B39" s="678" t="str">
        <f ca="1">OFFSET(PeerGroups!$C$6,MATCH(H39,PeerGroups!$A$7:$A$623,0),MATCH($F$4,PeerGroups!$D$5:$AA$5,0))</f>
        <v>P00031</v>
      </c>
      <c r="C39" s="678" t="str">
        <f ca="1">OFFSET(SystemGroups!$C$6,MATCH(H39,SystemGroups!$A$7:$A$623,0),MATCH($F$4,SystemGroups!$D$5:$AA$5,0))</f>
        <v>S03655</v>
      </c>
      <c r="D39" s="68" t="str">
        <f ca="1">VLOOKUP(B39,PeerGroups!$I$643:$K$647,3,FALSE)</f>
        <v>Master's</v>
      </c>
      <c r="E39" s="53" t="s">
        <v>196</v>
      </c>
      <c r="F39" s="124">
        <f t="shared" si="3"/>
        <v>2021</v>
      </c>
      <c r="G39" s="1288" t="s">
        <v>2117</v>
      </c>
      <c r="H39" s="1294">
        <v>11163</v>
      </c>
      <c r="I39" s="1501">
        <f>'TYL Sum'!$I$36</f>
        <v>8100</v>
      </c>
      <c r="J39" s="1501">
        <f>'TYL Sum'!$I$39</f>
        <v>2043</v>
      </c>
      <c r="K39" s="1501">
        <f>'TYL Sum'!$I$41</f>
        <v>1852</v>
      </c>
      <c r="L39" s="1501">
        <f>'TYL Sum'!$I$46</f>
        <v>5604</v>
      </c>
      <c r="M39" s="924">
        <f>'TYL Sum'!$I$48</f>
        <v>17600</v>
      </c>
      <c r="N39" s="360"/>
      <c r="O39" s="930">
        <f>'TYL Sum'!$I$11</f>
        <v>6948</v>
      </c>
      <c r="Q39" s="1409">
        <f t="shared" si="1"/>
        <v>0</v>
      </c>
      <c r="R39" s="1383">
        <f t="shared" si="2"/>
        <v>0</v>
      </c>
      <c r="S39" s="886"/>
      <c r="T39" s="1386">
        <f>'TYL Sum'!$C$6</f>
        <v>7607.2</v>
      </c>
      <c r="U39" s="1387">
        <f>'TYL Sum'!$C$15</f>
        <v>6948</v>
      </c>
      <c r="V39" s="1388">
        <f>'TYL Sum'!$C$20</f>
        <v>7538</v>
      </c>
      <c r="X39" s="1462">
        <v>9932</v>
      </c>
      <c r="Y39" s="1460"/>
      <c r="Z39" s="1460"/>
      <c r="AA39" s="1461"/>
      <c r="AB39" s="1461"/>
      <c r="AD39" s="528" t="str">
        <f>'TYL FGD'!$O$92</f>
        <v>Brenda Golemon</v>
      </c>
      <c r="AE39" s="528" t="str">
        <f>'TYL FGD'!$Q$92</f>
        <v>903-566-7319</v>
      </c>
      <c r="AF39" s="528" t="str">
        <f>'TYL FGD'!$T$92</f>
        <v>bgolemon@gmail.com</v>
      </c>
      <c r="AH39" s="794"/>
      <c r="AI39" s="1294"/>
      <c r="AK39" s="887">
        <f>'TYL Sum'!$I$11</f>
        <v>6948</v>
      </c>
      <c r="AL39" s="888">
        <f>'TYL Sum'!$I$14</f>
        <v>71692</v>
      </c>
      <c r="AM39" s="888">
        <f>'TYL Sum'!$I$33</f>
        <v>19854</v>
      </c>
      <c r="AN39" s="888">
        <f>'TYL Sum'!$I$35</f>
        <v>204853</v>
      </c>
    </row>
    <row r="40" spans="1:41" ht="15">
      <c r="A40" s="480">
        <v>240</v>
      </c>
      <c r="B40" s="678" t="str">
        <f ca="1">OFFSET(PeerGroups!$C$6,MATCH(H40,PeerGroups!$A$7:$A$623,0),MATCH($F$4,PeerGroups!$D$5:$AA$5,0))</f>
        <v>P00031</v>
      </c>
      <c r="C40" s="678" t="str">
        <f ca="1">OFFSET(SystemGroups!$C$6,MATCH(H40,SystemGroups!$A$7:$A$623,0),MATCH($F$4,SystemGroups!$D$5:$AA$5,0))</f>
        <v>S11721</v>
      </c>
      <c r="D40" s="68" t="str">
        <f ca="1">VLOOKUP(B40,PeerGroups!$I$643:$K$647,3,FALSE)</f>
        <v>Master's</v>
      </c>
      <c r="E40" s="53" t="s">
        <v>198</v>
      </c>
      <c r="F40" s="124">
        <f t="shared" si="3"/>
        <v>2021</v>
      </c>
      <c r="G40" s="1288" t="s">
        <v>2117</v>
      </c>
      <c r="H40" s="1294">
        <v>11711</v>
      </c>
      <c r="I40" s="1501">
        <f>'UHCL Sum'!$I$36</f>
        <v>6379</v>
      </c>
      <c r="J40" s="1501">
        <f>'UHCL Sum'!$I$39</f>
        <v>4581</v>
      </c>
      <c r="K40" s="1501">
        <f>'UHCL Sum'!$I$41</f>
        <v>2615</v>
      </c>
      <c r="L40" s="1501">
        <f>'UHCL Sum'!$I$46</f>
        <v>7779</v>
      </c>
      <c r="M40" s="924">
        <f>'UHCL Sum'!$I$48</f>
        <v>21354</v>
      </c>
      <c r="N40" s="360"/>
      <c r="O40" s="930">
        <f>'UHCL Sum'!$I$11</f>
        <v>5815</v>
      </c>
      <c r="Q40" s="1409">
        <f t="shared" si="1"/>
        <v>0</v>
      </c>
      <c r="R40" s="1383">
        <f t="shared" si="2"/>
        <v>0</v>
      </c>
      <c r="S40" s="886"/>
      <c r="T40" s="1386">
        <f>'UHCL Sum'!$C$6</f>
        <v>6762.63</v>
      </c>
      <c r="U40" s="1387">
        <f>'UHCL Sum'!$C$15</f>
        <v>6957</v>
      </c>
      <c r="V40" s="1388">
        <f>'UHCL Sum'!$C$20</f>
        <v>8479</v>
      </c>
      <c r="X40" s="1462">
        <v>10115</v>
      </c>
      <c r="Y40" s="1460"/>
      <c r="Z40" s="1460"/>
      <c r="AA40" s="1461"/>
      <c r="AB40" s="1461"/>
      <c r="AD40" s="528" t="str">
        <f>'UHCL FGD'!$O$92</f>
        <v>Mila Bautista</v>
      </c>
      <c r="AE40" s="528" t="str">
        <f>'UHCL FGD'!$Q$92</f>
        <v>281-283-2129</v>
      </c>
      <c r="AF40" s="528" t="str">
        <f>'UHCL FGD'!$T$92</f>
        <v>BautistaM@uhcl.edu</v>
      </c>
      <c r="AH40" s="794"/>
      <c r="AI40" s="1294"/>
      <c r="AK40" s="887">
        <f>'UHCL Sum'!$I$11</f>
        <v>5815</v>
      </c>
      <c r="AL40" s="888">
        <f>'UHCL Sum'!$I$14</f>
        <v>58983</v>
      </c>
      <c r="AM40" s="888">
        <f>'UHCL Sum'!$I$33</f>
        <v>20510</v>
      </c>
      <c r="AN40" s="888">
        <f>'UHCL Sum'!$I$35</f>
        <v>208036</v>
      </c>
    </row>
    <row r="41" spans="1:41" ht="15">
      <c r="A41" s="480">
        <v>250</v>
      </c>
      <c r="B41" s="678" t="str">
        <f ca="1">OFFSET(PeerGroups!$C$6,MATCH(H41,PeerGroups!$A$7:$A$623,0),MATCH($F$4,PeerGroups!$D$5:$AA$5,0))</f>
        <v>P00031</v>
      </c>
      <c r="C41" s="678" t="str">
        <f ca="1">OFFSET(SystemGroups!$C$6,MATCH(H41,SystemGroups!$A$7:$A$623,0),MATCH($F$4,SystemGroups!$D$5:$AA$5,0))</f>
        <v>S11721</v>
      </c>
      <c r="D41" s="68" t="str">
        <f ca="1">VLOOKUP(B41,PeerGroups!$I$643:$K$647,3,FALSE)</f>
        <v>Master's</v>
      </c>
      <c r="E41" s="53" t="s">
        <v>200</v>
      </c>
      <c r="F41" s="124">
        <f t="shared" si="3"/>
        <v>2021</v>
      </c>
      <c r="G41" s="1288" t="s">
        <v>2117</v>
      </c>
      <c r="H41" s="1294">
        <v>12826</v>
      </c>
      <c r="I41" s="1501">
        <f>'UHD Sum'!$I$36</f>
        <v>4548</v>
      </c>
      <c r="J41" s="1501">
        <f>'UHD Sum'!$I$39</f>
        <v>3131</v>
      </c>
      <c r="K41" s="1501">
        <f>'UHD Sum'!$I$41</f>
        <v>2146</v>
      </c>
      <c r="L41" s="1501">
        <f>'UHD Sum'!$I$46</f>
        <v>5109</v>
      </c>
      <c r="M41" s="924">
        <f>'UHD Sum'!$I$48</f>
        <v>14933</v>
      </c>
      <c r="N41" s="360"/>
      <c r="O41" s="930">
        <f>'UHD Sum'!$I$11</f>
        <v>3474</v>
      </c>
      <c r="Q41" s="1409">
        <f t="shared" si="1"/>
        <v>0</v>
      </c>
      <c r="R41" s="1383">
        <f t="shared" si="2"/>
        <v>0</v>
      </c>
      <c r="S41" s="886"/>
      <c r="T41" s="1386">
        <f>'UHD Sum'!$C$6</f>
        <v>11193.03</v>
      </c>
      <c r="U41" s="1387">
        <f>'UHD Sum'!$C$15</f>
        <v>4442</v>
      </c>
      <c r="V41" s="1388">
        <f>'UHD Sum'!$C$20</f>
        <v>6441</v>
      </c>
      <c r="X41" s="1462">
        <v>10298</v>
      </c>
      <c r="Y41" s="1460"/>
      <c r="Z41" s="1460"/>
      <c r="AA41" s="1461"/>
      <c r="AB41" s="1461"/>
      <c r="AD41" s="528" t="str">
        <f>'UHD FGD'!$O$92</f>
        <v>Alice Tsai</v>
      </c>
      <c r="AE41" s="528" t="str">
        <f>'UHD FGD'!$Q$92</f>
        <v>713-221-8098</v>
      </c>
      <c r="AF41" s="528" t="str">
        <f>'UHD FGD'!$T$92</f>
        <v>Tsaia@uhd.edu</v>
      </c>
      <c r="AH41" s="794"/>
      <c r="AI41" s="1294"/>
      <c r="AK41" s="887">
        <f>'UHD Sum'!$I$11</f>
        <v>3474</v>
      </c>
      <c r="AL41" s="888">
        <f>'UHD Sum'!$I$14</f>
        <v>40683</v>
      </c>
      <c r="AM41" s="888">
        <f>'UHD Sum'!$I$33</f>
        <v>16418</v>
      </c>
      <c r="AN41" s="888">
        <f>'UHD Sum'!$I$35</f>
        <v>192244</v>
      </c>
    </row>
    <row r="42" spans="1:41" ht="15">
      <c r="A42" s="480">
        <v>260</v>
      </c>
      <c r="B42" s="678" t="str">
        <f ca="1">OFFSET(PeerGroups!$C$6,MATCH(H42,PeerGroups!$A$7:$A$623,0),MATCH($F$4,PeerGroups!$D$5:$AA$5,0))</f>
        <v>P00031</v>
      </c>
      <c r="C42" s="678" t="str">
        <f ca="1">OFFSET(SystemGroups!$C$6,MATCH(H42,SystemGroups!$A$7:$A$623,0),MATCH($F$4,SystemGroups!$D$5:$AA$5,0))</f>
        <v>S11721</v>
      </c>
      <c r="D42" s="68" t="str">
        <f ca="1">VLOOKUP(B42,PeerGroups!$I$643:$K$647,3,FALSE)</f>
        <v>Master's</v>
      </c>
      <c r="E42" s="53" t="s">
        <v>202</v>
      </c>
      <c r="F42" s="124">
        <f t="shared" si="3"/>
        <v>2021</v>
      </c>
      <c r="G42" s="1288" t="s">
        <v>2117</v>
      </c>
      <c r="H42" s="1294">
        <v>13231</v>
      </c>
      <c r="I42" s="1501">
        <f>'UHV Sum'!$I$36</f>
        <v>5715</v>
      </c>
      <c r="J42" s="1501">
        <f>'UHV Sum'!$I$39</f>
        <v>3865</v>
      </c>
      <c r="K42" s="1501">
        <f>'UHV Sum'!$I$41</f>
        <v>1635</v>
      </c>
      <c r="L42" s="1501">
        <f>'UHV Sum'!$I$46</f>
        <v>5702</v>
      </c>
      <c r="M42" s="924">
        <f>'UHV Sum'!$I$48</f>
        <v>16917</v>
      </c>
      <c r="N42" s="360"/>
      <c r="O42" s="930">
        <f>'UHV Sum'!$I$11</f>
        <v>5512</v>
      </c>
      <c r="Q42" s="1409">
        <f t="shared" si="1"/>
        <v>0</v>
      </c>
      <c r="R42" s="1383">
        <f t="shared" si="2"/>
        <v>0</v>
      </c>
      <c r="S42" s="886"/>
      <c r="T42" s="1386">
        <f>'UHV Sum'!$C$6</f>
        <v>3604.5</v>
      </c>
      <c r="U42" s="1387">
        <f>'UHV Sum'!$C$15</f>
        <v>6495</v>
      </c>
      <c r="V42" s="1388">
        <f>'UHV Sum'!$C$20</f>
        <v>7437</v>
      </c>
      <c r="X42" s="1462">
        <v>11161</v>
      </c>
      <c r="Y42" s="1460"/>
      <c r="Z42" s="1460"/>
      <c r="AA42" s="1461"/>
      <c r="AB42" s="1461"/>
      <c r="AD42" s="528" t="str">
        <f>'UHV FGD'!$O$92</f>
        <v>June Nelson</v>
      </c>
      <c r="AE42" s="528" t="str">
        <f>'UHV FGD'!$Q$92</f>
        <v>361-570-4873</v>
      </c>
      <c r="AF42" s="528" t="str">
        <f>'UHV FGD'!$T$92</f>
        <v>nelsonj@uhv.edu</v>
      </c>
      <c r="AH42" s="794"/>
      <c r="AI42" s="1294"/>
      <c r="AK42" s="887">
        <f>'UHV Sum'!$I$11</f>
        <v>5512</v>
      </c>
      <c r="AL42" s="888">
        <f>'UHV Sum'!$I$14</f>
        <v>68453</v>
      </c>
      <c r="AM42" s="888">
        <f>'UHV Sum'!$I$33</f>
        <v>17680</v>
      </c>
      <c r="AN42" s="888">
        <f>'UHV Sum'!$I$35</f>
        <v>219572</v>
      </c>
    </row>
    <row r="43" spans="1:41" s="116" customFormat="1" ht="15">
      <c r="A43" s="480">
        <v>220</v>
      </c>
      <c r="B43" s="678" t="str">
        <f ca="1">OFFSET(PeerGroups!$C$6,MATCH(H43,PeerGroups!$A$7:$A$623,0),MATCH($F$4,PeerGroups!$D$5:$AA$5,0))</f>
        <v>P00031</v>
      </c>
      <c r="C43" s="678" t="str">
        <f ca="1">OFFSET(SystemGroups!$C$6,MATCH(H43,SystemGroups!$A$7:$A$623,0),MATCH($F$4,SystemGroups!$D$5:$AA$5,0))</f>
        <v>S03629</v>
      </c>
      <c r="D43" s="68" t="str">
        <f ca="1">VLOOKUP(B43,PeerGroups!$I$643:$K$647,3,FALSE)</f>
        <v>Master's</v>
      </c>
      <c r="E43" s="53" t="s">
        <v>204</v>
      </c>
      <c r="F43" s="124">
        <f t="shared" si="3"/>
        <v>2021</v>
      </c>
      <c r="G43" s="1289" t="s">
        <v>2117</v>
      </c>
      <c r="H43" s="1294">
        <v>29269</v>
      </c>
      <c r="I43" s="1501">
        <f>'TAMUT Sum'!$I$36</f>
        <v>9515</v>
      </c>
      <c r="J43" s="1501">
        <f>'TAMUT Sum'!$I$39</f>
        <v>2574</v>
      </c>
      <c r="K43" s="1501">
        <f>'TAMUT Sum'!$I$41</f>
        <v>2918</v>
      </c>
      <c r="L43" s="1501">
        <f>'TAMUT Sum'!$I$46</f>
        <v>8636</v>
      </c>
      <c r="M43" s="924">
        <f>'TAMUT Sum'!$I$48</f>
        <v>23642</v>
      </c>
      <c r="N43" s="360"/>
      <c r="O43" s="930">
        <f>'TAMUT Sum'!$I$11</f>
        <v>16062</v>
      </c>
      <c r="P43"/>
      <c r="Q43" s="1409">
        <f t="shared" si="1"/>
        <v>0</v>
      </c>
      <c r="R43" s="1383">
        <f t="shared" si="2"/>
        <v>0</v>
      </c>
      <c r="S43" s="886"/>
      <c r="T43" s="1386">
        <f>'TAMUT Sum'!$C$6</f>
        <v>1651.54</v>
      </c>
      <c r="U43" s="1387">
        <f>'TAMUT Sum'!$C$15</f>
        <v>17303</v>
      </c>
      <c r="V43" s="1388">
        <f>'TAMUT Sum'!$C$20</f>
        <v>6879</v>
      </c>
      <c r="W43" s="53"/>
      <c r="X43" s="1462">
        <v>11163</v>
      </c>
      <c r="Y43" s="1460"/>
      <c r="Z43" s="1460"/>
      <c r="AA43" s="1461"/>
      <c r="AB43" s="1461"/>
      <c r="AC43" s="53"/>
      <c r="AD43" s="528" t="str">
        <f>'TAMUT FGD'!$O$92</f>
        <v>Chris Arrington</v>
      </c>
      <c r="AE43" s="528" t="str">
        <f>'TAMUT FGD'!$Q$92</f>
        <v>979-458-9151</v>
      </c>
      <c r="AF43" s="528" t="str">
        <f>'TAMUT FGD'!$T$92</f>
        <v>carrington@tamus.edu</v>
      </c>
      <c r="AH43" s="794"/>
      <c r="AI43" s="1294"/>
      <c r="AJ43" s="53"/>
      <c r="AK43" s="887">
        <f>'TAMUT Sum'!$I$11</f>
        <v>16062</v>
      </c>
      <c r="AL43" s="888">
        <f>'TAMUT Sum'!$I$14</f>
        <v>121011</v>
      </c>
      <c r="AM43" s="888">
        <f>'TAMUT Sum'!$I$33</f>
        <v>31040</v>
      </c>
      <c r="AN43" s="888">
        <f>'TAMUT Sum'!$I$35</f>
        <v>233861</v>
      </c>
      <c r="AO43" s="53"/>
    </row>
    <row r="44" spans="1:41" ht="15">
      <c r="A44" s="480">
        <v>223</v>
      </c>
      <c r="B44" s="678" t="str">
        <f ca="1">OFFSET(PeerGroups!$C$6,MATCH(H44,PeerGroups!$A$7:$A$623,0),MATCH($F$4,PeerGroups!$D$5:$AA$5,0))</f>
        <v>P00031</v>
      </c>
      <c r="C44" s="678" t="str">
        <f ca="1">OFFSET(SystemGroups!$C$6,MATCH(H44,SystemGroups!$A$7:$A$623,0),MATCH($F$4,SystemGroups!$D$5:$AA$5,0))</f>
        <v>S03629</v>
      </c>
      <c r="D44" s="68" t="str">
        <f ca="1">VLOOKUP(B44,PeerGroups!$I$643:$K$647,3,FALSE)</f>
        <v>Master's</v>
      </c>
      <c r="E44" s="53" t="s">
        <v>278</v>
      </c>
      <c r="F44" s="124">
        <f t="shared" si="3"/>
        <v>2021</v>
      </c>
      <c r="G44" s="1288" t="s">
        <v>2117</v>
      </c>
      <c r="H44" s="1294">
        <v>42295</v>
      </c>
      <c r="I44" s="1501">
        <f>'TAMUCT Sum'!$I$36</f>
        <v>6752</v>
      </c>
      <c r="J44" s="1501">
        <f>'TAMUCT Sum'!$I$39</f>
        <v>3578</v>
      </c>
      <c r="K44" s="1501">
        <f>'TAMUCT Sum'!$I$41</f>
        <v>2646</v>
      </c>
      <c r="L44" s="1501">
        <f>'TAMUCT Sum'!$I$46</f>
        <v>8945</v>
      </c>
      <c r="M44" s="924">
        <f>'TAMUCT Sum'!$I$48</f>
        <v>21920</v>
      </c>
      <c r="N44" s="360"/>
      <c r="O44" s="930">
        <f>'TAMUCT Sum'!$I$11</f>
        <v>11696</v>
      </c>
      <c r="Q44" s="1409">
        <f t="shared" si="1"/>
        <v>0</v>
      </c>
      <c r="R44" s="1383">
        <f t="shared" si="2"/>
        <v>0</v>
      </c>
      <c r="S44" s="886"/>
      <c r="T44" s="1386">
        <f>'TAMUCT Sum'!$C$6</f>
        <v>1606.96</v>
      </c>
      <c r="U44" s="1387">
        <f>'TAMUCT Sum'!$C$15</f>
        <v>11696</v>
      </c>
      <c r="V44" s="1388">
        <f>'TAMUCT Sum'!$C$20</f>
        <v>7879</v>
      </c>
      <c r="X44" s="1462">
        <v>11711</v>
      </c>
      <c r="Y44" s="1460"/>
      <c r="Z44" s="1460"/>
      <c r="AA44" s="1461"/>
      <c r="AB44" s="1461"/>
      <c r="AC44" s="114"/>
      <c r="AD44" s="528" t="str">
        <f>'TAMUCT FGD'!$O$92</f>
        <v>Chris Arrington</v>
      </c>
      <c r="AE44" s="528" t="str">
        <f>'TAMUCT FGD'!$Q$92</f>
        <v>979-458-9151</v>
      </c>
      <c r="AF44" s="528" t="str">
        <f>'TAMUCT FGD'!$T$92</f>
        <v>fincher@tarleton.edu</v>
      </c>
      <c r="AH44" s="794"/>
      <c r="AI44" s="1294"/>
      <c r="AK44" s="887">
        <f>'TAMUCT Sum'!$I$11</f>
        <v>11696</v>
      </c>
      <c r="AL44" s="888">
        <f>'TAMUCT Sum'!$I$14</f>
        <v>95529</v>
      </c>
      <c r="AM44" s="888">
        <f>'TAMUCT Sum'!$I$33</f>
        <v>25920</v>
      </c>
      <c r="AN44" s="888">
        <f>'TAMUCT Sum'!$I$35</f>
        <v>211717</v>
      </c>
    </row>
    <row r="45" spans="1:41" ht="15">
      <c r="A45" s="480">
        <v>333</v>
      </c>
      <c r="B45" s="678" t="str">
        <f ca="1">OFFSET(PeerGroups!$C$6,MATCH(H45,PeerGroups!$A$7:$A$623,0),MATCH($F$4,PeerGroups!$D$5:$AA$5,0))</f>
        <v>P00031</v>
      </c>
      <c r="C45" s="678" t="str">
        <f ca="1">OFFSET(SystemGroups!$C$6,MATCH(H45,SystemGroups!$A$7:$A$623,0),MATCH($F$4,SystemGroups!$D$5:$AA$5,0))</f>
        <v>S03594</v>
      </c>
      <c r="D45" s="67" t="str">
        <f ca="1">VLOOKUP(B45,PeerGroups!$I$643:$K$647,3,FALSE)</f>
        <v>Master's</v>
      </c>
      <c r="E45" s="56" t="s">
        <v>276</v>
      </c>
      <c r="F45" s="669">
        <f t="shared" si="3"/>
        <v>2021</v>
      </c>
      <c r="G45" s="1288" t="s">
        <v>2117</v>
      </c>
      <c r="H45" s="1294">
        <v>42421</v>
      </c>
      <c r="I45" s="1501">
        <f>'UNTD Sum'!$I$36</f>
        <v>5216</v>
      </c>
      <c r="J45" s="1501">
        <f>'UNTD Sum'!$I$39</f>
        <v>1310</v>
      </c>
      <c r="K45" s="1501">
        <f>'UNTD Sum'!$I$41</f>
        <v>2172</v>
      </c>
      <c r="L45" s="1501">
        <f>'UNTD Sum'!$I$46</f>
        <v>10191</v>
      </c>
      <c r="M45" s="924">
        <f>'UNTD Sum'!$I$48</f>
        <v>18889</v>
      </c>
      <c r="N45" s="360"/>
      <c r="O45" s="930">
        <f>'UNTD Sum'!$I$11</f>
        <v>8681</v>
      </c>
      <c r="Q45" s="1409">
        <f t="shared" si="1"/>
        <v>0</v>
      </c>
      <c r="R45" s="1383">
        <f t="shared" si="2"/>
        <v>0</v>
      </c>
      <c r="S45" s="886"/>
      <c r="T45" s="1386">
        <f>'UNTD Sum'!$C$6</f>
        <v>3464.14</v>
      </c>
      <c r="U45" s="1387">
        <f>'UNTD Sum'!$C$15</f>
        <v>9649</v>
      </c>
      <c r="V45" s="1388">
        <f>'UNTD Sum'!$C$20</f>
        <v>8765</v>
      </c>
      <c r="X45" s="1462">
        <v>12826</v>
      </c>
      <c r="Y45" s="1460"/>
      <c r="Z45" s="1460"/>
      <c r="AA45" s="1461"/>
      <c r="AB45" s="1461"/>
      <c r="AD45" s="528" t="str">
        <f>'UNTD FGD'!$O$92</f>
        <v>Gia Doss</v>
      </c>
      <c r="AE45" s="528">
        <f>'UNTD FGD'!$Q$92</f>
        <v>0</v>
      </c>
      <c r="AF45" s="528" t="str">
        <f>'UNTD FGD'!$T$92</f>
        <v>Gia.Doss@untsystem.edu</v>
      </c>
      <c r="AH45" s="794"/>
      <c r="AI45" s="1294"/>
      <c r="AK45" s="887">
        <f>'UNTD Sum'!$I$11</f>
        <v>8681</v>
      </c>
      <c r="AL45" s="888">
        <f>'UNTD Sum'!$I$14</f>
        <v>114544</v>
      </c>
      <c r="AM45" s="888">
        <f>'UNTD Sum'!$I$33</f>
        <v>24983</v>
      </c>
      <c r="AN45" s="888">
        <f>'UNTD Sum'!$I$35</f>
        <v>329625</v>
      </c>
    </row>
    <row r="46" spans="1:41" ht="15">
      <c r="A46" s="480">
        <v>226</v>
      </c>
      <c r="B46" s="678" t="str">
        <f ca="1">OFFSET(PeerGroups!$C$6,MATCH(H46,PeerGroups!$A$7:$A$623,0),MATCH($F$4,PeerGroups!$D$5:$AA$5,0))</f>
        <v>P00031</v>
      </c>
      <c r="C46" s="678" t="str">
        <f ca="1">OFFSET(SystemGroups!$C$6,MATCH(H46,SystemGroups!$A$7:$A$623,0),MATCH($F$4,SystemGroups!$D$5:$AA$5,0))</f>
        <v>S03629</v>
      </c>
      <c r="D46" s="68" t="str">
        <f ca="1">VLOOKUP(B46,PeerGroups!$I$643:$K$647,3,FALSE)</f>
        <v>Master's</v>
      </c>
      <c r="E46" s="53" t="s">
        <v>279</v>
      </c>
      <c r="F46" s="124">
        <f t="shared" si="3"/>
        <v>2021</v>
      </c>
      <c r="G46" s="1288" t="s">
        <v>2117</v>
      </c>
      <c r="H46" s="1294">
        <v>42485</v>
      </c>
      <c r="I46" s="1501">
        <f>'TAMUSA Sum'!$I$36</f>
        <v>6163</v>
      </c>
      <c r="J46" s="1501">
        <f>'TAMUSA Sum'!$I$39</f>
        <v>1300</v>
      </c>
      <c r="K46" s="1501">
        <f>'TAMUSA Sum'!$I$41</f>
        <v>2883</v>
      </c>
      <c r="L46" s="1501">
        <f>'TAMUSA Sum'!$I$46</f>
        <v>10276</v>
      </c>
      <c r="M46" s="924">
        <f>'TAMUSA Sum'!$I$48</f>
        <v>20622</v>
      </c>
      <c r="N46" s="360"/>
      <c r="O46" s="930">
        <f>'TAMUSA Sum'!$I$11</f>
        <v>7996</v>
      </c>
      <c r="Q46" s="1409">
        <f t="shared" si="1"/>
        <v>0</v>
      </c>
      <c r="R46" s="1383">
        <f t="shared" si="2"/>
        <v>0</v>
      </c>
      <c r="S46" s="886"/>
      <c r="T46" s="1386">
        <f>'TAMUSA Sum'!$C$6</f>
        <v>4763.3599999999997</v>
      </c>
      <c r="U46" s="1387">
        <f>'TAMUSA Sum'!$C$15</f>
        <v>7996</v>
      </c>
      <c r="V46" s="1388">
        <f>'TAMUSA Sum'!$C$20</f>
        <v>6193</v>
      </c>
      <c r="X46" s="1462">
        <v>13231</v>
      </c>
      <c r="Y46" s="1460"/>
      <c r="Z46" s="1460"/>
      <c r="AA46" s="1461"/>
      <c r="AB46" s="1461"/>
      <c r="AD46" s="528" t="str">
        <f>'TAMUSA FGD'!$O$92</f>
        <v>Chris Arrington</v>
      </c>
      <c r="AE46" s="528" t="str">
        <f>'TAMUSA FGD'!$Q$92</f>
        <v>979-458-9151</v>
      </c>
      <c r="AF46" s="528" t="str">
        <f>'TAMUSA FGD'!$T$92</f>
        <v>carrington@tamus.edu</v>
      </c>
      <c r="AH46" s="794"/>
      <c r="AI46" s="910"/>
      <c r="AK46" s="887">
        <f>'TAMUSA Sum'!$I$11</f>
        <v>7996</v>
      </c>
      <c r="AL46" s="888">
        <f>'TAMUSA Sum'!$I$14</f>
        <v>77839</v>
      </c>
      <c r="AM46" s="888">
        <f>'TAMUSA Sum'!$I$33</f>
        <v>23058</v>
      </c>
      <c r="AN46" s="888">
        <f>'TAMUSA Sum'!$I$35</f>
        <v>224474</v>
      </c>
    </row>
    <row r="47" spans="1:41" ht="15.75" thickBot="1">
      <c r="A47" s="139"/>
      <c r="B47" s="139"/>
      <c r="C47" s="139"/>
      <c r="D47" s="139"/>
      <c r="E47" s="140" t="s">
        <v>207</v>
      </c>
      <c r="F47" s="795">
        <f t="shared" ref="F47:F58" si="4">$F$4</f>
        <v>2021</v>
      </c>
      <c r="G47" s="1290" t="s">
        <v>2117</v>
      </c>
      <c r="H47" s="1296">
        <v>999999</v>
      </c>
      <c r="I47" s="1506">
        <f>'Smmy Sum'!$I$72</f>
        <v>7175</v>
      </c>
      <c r="J47" s="1506">
        <f>'Smmy Sum'!$I$75</f>
        <v>2918</v>
      </c>
      <c r="K47" s="1506">
        <f>'Smmy Sum'!$I$77</f>
        <v>2034</v>
      </c>
      <c r="L47" s="1506">
        <f>'Smmy Sum'!$I$82</f>
        <v>10533</v>
      </c>
      <c r="M47" s="925">
        <f>'Smmy Sum'!$I$84</f>
        <v>22660</v>
      </c>
      <c r="N47" s="360"/>
      <c r="O47" s="931">
        <f>'Smmy Sum'!$I$47</f>
        <v>6433</v>
      </c>
      <c r="Q47" s="1411"/>
      <c r="R47" s="1394"/>
      <c r="S47" s="919"/>
      <c r="T47" s="1393">
        <f>'Smmy Sum'!$C$42</f>
        <v>562672.70000000007</v>
      </c>
      <c r="U47" s="1395">
        <f>'Smmy Sum'!$C$51</f>
        <v>8134</v>
      </c>
      <c r="V47" s="1396">
        <f>'Smmy Sum'!$C$56</f>
        <v>9244</v>
      </c>
      <c r="X47" s="1462">
        <v>23485</v>
      </c>
      <c r="Y47" s="1460"/>
      <c r="Z47" s="1460"/>
      <c r="AA47" s="1461"/>
      <c r="AB47" s="1461"/>
      <c r="AD47" s="114"/>
      <c r="AE47" s="114"/>
      <c r="AF47" s="114"/>
      <c r="AG47" s="1024"/>
      <c r="AI47" s="114"/>
      <c r="AK47" s="889">
        <f>'Smmy Sum'!$I$47</f>
        <v>6433</v>
      </c>
      <c r="AL47" s="890">
        <f>'Smmy Sum'!$I$50</f>
        <v>73433</v>
      </c>
      <c r="AM47" s="890">
        <f>'Smmy Sum'!$I$69</f>
        <v>26973</v>
      </c>
      <c r="AN47" s="890">
        <f>'Smmy Sum'!$I$71</f>
        <v>307926</v>
      </c>
    </row>
    <row r="48" spans="1:41" s="1024" customFormat="1" ht="15.75" thickTop="1">
      <c r="A48" s="145"/>
      <c r="B48" s="145" t="s">
        <v>1580</v>
      </c>
      <c r="C48" s="145"/>
      <c r="D48" s="145">
        <f ca="1">COUNTIF($D$10:$D$45,E48)</f>
        <v>2</v>
      </c>
      <c r="E48" s="1275" t="s">
        <v>15</v>
      </c>
      <c r="F48" s="1292">
        <f t="shared" si="4"/>
        <v>2021</v>
      </c>
      <c r="G48" s="1276" t="s">
        <v>2117</v>
      </c>
      <c r="H48" s="1277" t="s">
        <v>1580</v>
      </c>
      <c r="I48" s="1278">
        <f ca="1">ROUND(SUMIF($B$10:$B$46,$B48,I$10:I$46)/COUNTIF($B$10:$B$46,$B48),0)</f>
        <v>12339</v>
      </c>
      <c r="J48" s="1278">
        <f t="shared" ref="J48:O52" ca="1" si="5">ROUND(SUMIF($B$10:$B$46,$B48,J$10:J$46)/COUNTIF($B$10:$B$46,$B48),0)</f>
        <v>5456</v>
      </c>
      <c r="K48" s="1278">
        <f t="shared" ca="1" si="5"/>
        <v>2990</v>
      </c>
      <c r="L48" s="1278">
        <f t="shared" ca="1" si="5"/>
        <v>16814</v>
      </c>
      <c r="M48" s="1424">
        <f t="shared" ca="1" si="5"/>
        <v>37599</v>
      </c>
      <c r="O48" s="1422">
        <f t="shared" ca="1" si="5"/>
        <v>7937</v>
      </c>
      <c r="Q48" s="1412">
        <f t="shared" ref="Q48:R52" ca="1" si="6">ROUND(SUMIF($B$10:$B$45,$B48,Q$10:Q$45)/COUNTIF($B$10:$B$45,$B48),0)</f>
        <v>0</v>
      </c>
      <c r="R48" s="1383">
        <f t="shared" ca="1" si="6"/>
        <v>0</v>
      </c>
      <c r="S48" s="1305"/>
      <c r="T48" s="1397">
        <f ca="1">ROUND(SUMIF($B$10:$B$45,$B48,T$10:T$46)/COUNTIF($B$10:$B$45,$B48),0)</f>
        <v>52842</v>
      </c>
      <c r="U48" s="1305"/>
      <c r="V48" s="68"/>
      <c r="X48" s="1462">
        <v>23582</v>
      </c>
      <c r="Y48" s="1460"/>
      <c r="Z48" s="1460"/>
      <c r="AA48" s="1461"/>
      <c r="AB48" s="1461"/>
      <c r="AK48" s="1278">
        <f ca="1">ROUND(SUMIF($B$10:$B$46,$B48,AK$10:AK$46)/COUNTIF($B$10:$B$46,$B48),0)</f>
        <v>7937</v>
      </c>
      <c r="AL48" s="1278">
        <f t="shared" ref="AL48:AL52" ca="1" si="7">ROUND(SUMIF($B$10:$B$45,$B48,AL$10:AL$45)/COUNTIF($B$10:$B$45,$B48),0)</f>
        <v>83523</v>
      </c>
      <c r="AM48" s="1278">
        <f t="shared" ref="AM48:AN52" ca="1" si="8">ROUND(SUMIF($B$10:$B$45,$B48,AM$10:AM$45)/COUNTIF($B$10:$B$45,$B48),0)</f>
        <v>43618</v>
      </c>
      <c r="AN48" s="1278">
        <f t="shared" ca="1" si="8"/>
        <v>441759</v>
      </c>
    </row>
    <row r="49" spans="1:40" s="1024" customFormat="1" ht="15">
      <c r="A49" s="1280"/>
      <c r="B49" s="1280" t="s">
        <v>1571</v>
      </c>
      <c r="C49" s="1280"/>
      <c r="D49" s="1280">
        <f ca="1">COUNTIF($D$10:$D$45,E49)</f>
        <v>8</v>
      </c>
      <c r="E49" s="344" t="s">
        <v>1133</v>
      </c>
      <c r="F49" s="1292">
        <f t="shared" si="4"/>
        <v>2021</v>
      </c>
      <c r="G49" s="1276" t="s">
        <v>2117</v>
      </c>
      <c r="H49" s="1277" t="s">
        <v>1571</v>
      </c>
      <c r="I49" s="1278">
        <f t="shared" ref="I49:I52" ca="1" si="9">ROUND(SUMIF($B$10:$B$46,$B49,I$10:I$46)/COUNTIF($B$10:$B$46,$B49),0)</f>
        <v>5920</v>
      </c>
      <c r="J49" s="1278">
        <f t="shared" ca="1" si="5"/>
        <v>2261</v>
      </c>
      <c r="K49" s="1278">
        <f t="shared" ca="1" si="5"/>
        <v>1524</v>
      </c>
      <c r="L49" s="1278">
        <f t="shared" ca="1" si="5"/>
        <v>10490</v>
      </c>
      <c r="M49" s="1424">
        <f t="shared" ca="1" si="5"/>
        <v>20195</v>
      </c>
      <c r="O49" s="1422">
        <f t="shared" ca="1" si="5"/>
        <v>5613</v>
      </c>
      <c r="Q49" s="1412">
        <f t="shared" ca="1" si="6"/>
        <v>0</v>
      </c>
      <c r="R49" s="1383">
        <f t="shared" ca="1" si="6"/>
        <v>0</v>
      </c>
      <c r="S49" s="1305"/>
      <c r="T49" s="1397">
        <f t="shared" ref="T49:T52" ca="1" si="10">ROUND(SUMIF($B$10:$B$45,$B49,T$10:T$46)/COUNTIF($B$10:$B$45,$B49),0)</f>
        <v>31098</v>
      </c>
      <c r="U49" s="1305"/>
      <c r="V49" s="68"/>
      <c r="X49" s="1462">
        <v>29269</v>
      </c>
      <c r="Y49" s="1460"/>
      <c r="Z49" s="1460"/>
      <c r="AA49" s="1461"/>
      <c r="AB49" s="1461"/>
      <c r="AK49" s="1278">
        <f ca="1">ROUND(SUMIF($B$10:$B$45,$B49,AK$10:AK$45)/COUNTIF($B$10:$B$45,$B49),0)</f>
        <v>5613</v>
      </c>
      <c r="AL49" s="1278">
        <f t="shared" ca="1" si="7"/>
        <v>69246</v>
      </c>
      <c r="AM49" s="1278">
        <f t="shared" ca="1" si="8"/>
        <v>24458</v>
      </c>
      <c r="AN49" s="1278">
        <f t="shared" ca="1" si="8"/>
        <v>300857</v>
      </c>
    </row>
    <row r="50" spans="1:40" s="1024" customFormat="1" ht="15">
      <c r="A50" s="145"/>
      <c r="B50" s="145" t="s">
        <v>1562</v>
      </c>
      <c r="C50" s="145"/>
      <c r="D50" s="145">
        <f ca="1">COUNTIF($D$10:$D$45,E50)</f>
        <v>7</v>
      </c>
      <c r="E50" s="344" t="s">
        <v>697</v>
      </c>
      <c r="F50" s="1292">
        <f t="shared" si="4"/>
        <v>2021</v>
      </c>
      <c r="G50" s="1276" t="s">
        <v>2117</v>
      </c>
      <c r="H50" s="1277" t="s">
        <v>1562</v>
      </c>
      <c r="I50" s="1278">
        <f t="shared" ca="1" si="9"/>
        <v>7154</v>
      </c>
      <c r="J50" s="1278">
        <f t="shared" ca="1" si="5"/>
        <v>2241</v>
      </c>
      <c r="K50" s="1278">
        <f t="shared" ca="1" si="5"/>
        <v>2635</v>
      </c>
      <c r="L50" s="1278">
        <f t="shared" ca="1" si="5"/>
        <v>8241</v>
      </c>
      <c r="M50" s="1424">
        <f t="shared" ca="1" si="5"/>
        <v>20271</v>
      </c>
      <c r="O50" s="1422">
        <f t="shared" ca="1" si="5"/>
        <v>7218</v>
      </c>
      <c r="Q50" s="1412">
        <f t="shared" ca="1" si="6"/>
        <v>0</v>
      </c>
      <c r="R50" s="1383">
        <f t="shared" ca="1" si="6"/>
        <v>0</v>
      </c>
      <c r="S50" s="1305"/>
      <c r="T50" s="1397">
        <f t="shared" ca="1" si="10"/>
        <v>12816</v>
      </c>
      <c r="U50" s="1305"/>
      <c r="V50" s="68"/>
      <c r="X50" s="1462">
        <v>33965</v>
      </c>
      <c r="Y50" s="1460"/>
      <c r="Z50" s="1460"/>
      <c r="AA50" s="1461"/>
      <c r="AB50" s="1461"/>
      <c r="AK50" s="1278">
        <f ca="1">ROUND(SUMIF($B$10:$B$45,$B50,AK$10:AK$45)/COUNTIF($B$10:$B$45,$B50),0)</f>
        <v>7218</v>
      </c>
      <c r="AL50" s="1278">
        <f t="shared" ca="1" si="7"/>
        <v>75977</v>
      </c>
      <c r="AM50" s="1278">
        <f t="shared" ca="1" si="8"/>
        <v>24040</v>
      </c>
      <c r="AN50" s="1278">
        <f t="shared" ca="1" si="8"/>
        <v>257075</v>
      </c>
    </row>
    <row r="51" spans="1:40" s="1024" customFormat="1" ht="15">
      <c r="A51" s="145"/>
      <c r="B51" s="145" t="s">
        <v>1555</v>
      </c>
      <c r="C51" s="145"/>
      <c r="D51" s="145">
        <f ca="1">COUNTIF($D$10:$D$45,E51)</f>
        <v>6</v>
      </c>
      <c r="E51" s="344" t="s">
        <v>1132</v>
      </c>
      <c r="F51" s="1292">
        <f t="shared" si="4"/>
        <v>2021</v>
      </c>
      <c r="G51" s="1276" t="s">
        <v>2117</v>
      </c>
      <c r="H51" s="1277" t="s">
        <v>1555</v>
      </c>
      <c r="I51" s="1278">
        <f t="shared" ca="1" si="9"/>
        <v>5554</v>
      </c>
      <c r="J51" s="1278">
        <f t="shared" ca="1" si="5"/>
        <v>2451</v>
      </c>
      <c r="K51" s="1278">
        <f t="shared" ca="1" si="5"/>
        <v>2066</v>
      </c>
      <c r="L51" s="1278">
        <f t="shared" ca="1" si="5"/>
        <v>8843</v>
      </c>
      <c r="M51" s="1424">
        <f t="shared" ca="1" si="5"/>
        <v>18915</v>
      </c>
      <c r="O51" s="1422">
        <f t="shared" ca="1" si="5"/>
        <v>6279</v>
      </c>
      <c r="Q51" s="1412">
        <f t="shared" ca="1" si="6"/>
        <v>0</v>
      </c>
      <c r="R51" s="1383">
        <f t="shared" ca="1" si="6"/>
        <v>0</v>
      </c>
      <c r="S51" s="1305"/>
      <c r="T51" s="1397">
        <f t="shared" ca="1" si="10"/>
        <v>9700</v>
      </c>
      <c r="U51" s="1305"/>
      <c r="V51" s="68"/>
      <c r="X51" s="1462">
        <v>36273</v>
      </c>
      <c r="Y51" s="1460"/>
      <c r="Z51" s="1460"/>
      <c r="AA51" s="1461"/>
      <c r="AB51" s="1461"/>
      <c r="AK51" s="1278">
        <f ca="1">ROUND(SUMIF($B$10:$B$45,$B51,AK$10:AK$45)/COUNTIF($B$10:$B$45,$B51),0)</f>
        <v>6279</v>
      </c>
      <c r="AL51" s="1278">
        <f t="shared" ca="1" si="7"/>
        <v>73617</v>
      </c>
      <c r="AM51" s="1278">
        <f t="shared" ca="1" si="8"/>
        <v>22511</v>
      </c>
      <c r="AN51" s="1278">
        <f t="shared" ca="1" si="8"/>
        <v>259061</v>
      </c>
    </row>
    <row r="52" spans="1:40" s="1024" customFormat="1" ht="15.75" thickBot="1">
      <c r="A52" s="1281"/>
      <c r="B52" s="1281" t="s">
        <v>1539</v>
      </c>
      <c r="C52" s="1281"/>
      <c r="D52" s="1281">
        <f ca="1">COUNTIF($D$10:$D$45,E52)</f>
        <v>12</v>
      </c>
      <c r="E52" s="1282" t="s">
        <v>696</v>
      </c>
      <c r="F52" s="1293">
        <f t="shared" si="4"/>
        <v>2021</v>
      </c>
      <c r="G52" s="1283" t="s">
        <v>2117</v>
      </c>
      <c r="H52" s="1284" t="s">
        <v>1539</v>
      </c>
      <c r="I52" s="1285">
        <f t="shared" ca="1" si="9"/>
        <v>7136</v>
      </c>
      <c r="J52" s="1285">
        <f t="shared" ca="1" si="5"/>
        <v>2578</v>
      </c>
      <c r="K52" s="1285">
        <f t="shared" ca="1" si="5"/>
        <v>2915</v>
      </c>
      <c r="L52" s="1285">
        <f t="shared" ca="1" si="5"/>
        <v>8235</v>
      </c>
      <c r="M52" s="1425">
        <f t="shared" ca="1" si="5"/>
        <v>20863</v>
      </c>
      <c r="O52" s="1423">
        <f t="shared" ca="1" si="5"/>
        <v>10943</v>
      </c>
      <c r="Q52" s="1413">
        <f t="shared" ca="1" si="6"/>
        <v>0</v>
      </c>
      <c r="R52" s="1399">
        <f t="shared" ca="1" si="6"/>
        <v>0</v>
      </c>
      <c r="S52" s="1305"/>
      <c r="T52" s="1398">
        <f t="shared" ca="1" si="10"/>
        <v>4628</v>
      </c>
      <c r="U52" s="1305"/>
      <c r="V52" s="68"/>
      <c r="X52" s="1462">
        <v>42295</v>
      </c>
      <c r="Y52" s="1460"/>
      <c r="Z52" s="1460"/>
      <c r="AA52" s="1461"/>
      <c r="AB52" s="1461"/>
      <c r="AG52" s="114"/>
      <c r="AK52" s="1285">
        <f ca="1">ROUND(SUMIF($B$10:$B$45,$B52,AK$10:AK$45)/COUNTIF($B$10:$B$45,$B52),0)</f>
        <v>11188</v>
      </c>
      <c r="AL52" s="1285">
        <f t="shared" ca="1" si="7"/>
        <v>100334</v>
      </c>
      <c r="AM52" s="1285">
        <f t="shared" ca="1" si="8"/>
        <v>26705</v>
      </c>
      <c r="AN52" s="1285">
        <f t="shared" ca="1" si="8"/>
        <v>250052</v>
      </c>
    </row>
    <row r="53" spans="1:40" s="1024" customFormat="1" ht="15">
      <c r="A53" s="1280"/>
      <c r="B53" s="1280"/>
      <c r="C53" s="1280" t="s">
        <v>2209</v>
      </c>
      <c r="D53" s="1280">
        <f ca="1">COUNTIF($C$11:$C$46,C53)</f>
        <v>4</v>
      </c>
      <c r="E53" s="344" t="s">
        <v>557</v>
      </c>
      <c r="F53" s="1472">
        <f t="shared" si="4"/>
        <v>2021</v>
      </c>
      <c r="G53" s="1276" t="s">
        <v>2117</v>
      </c>
      <c r="H53" s="1277" t="s">
        <v>2209</v>
      </c>
      <c r="I53" s="1470">
        <f t="shared" ref="I53:M58" ca="1" si="11">ROUND(SUMIF($C$10:$C$46,$C53,I$10:I$46)/COUNTIF($C$10:$C$46,$C53),0)</f>
        <v>5712</v>
      </c>
      <c r="J53" s="1471">
        <f t="shared" ca="1" si="11"/>
        <v>2445</v>
      </c>
      <c r="K53" s="1278">
        <f t="shared" ca="1" si="11"/>
        <v>3266</v>
      </c>
      <c r="L53" s="1278">
        <f t="shared" ca="1" si="11"/>
        <v>7216</v>
      </c>
      <c r="M53" s="1474">
        <f t="shared" ca="1" si="11"/>
        <v>18638</v>
      </c>
      <c r="O53" s="1507">
        <f t="shared" ref="O53:O58" ca="1" si="12">ROUND(SUMIF($C$10:$C$46,$C53,O$10:O$46)/COUNTIF($C$10:$C$46,$C53),0)</f>
        <v>6912</v>
      </c>
      <c r="Q53" s="1475">
        <f t="shared" ref="Q53:R58" ca="1" si="13">ROUND(SUMIF($C$10:$C$46,$C53,Q$10:Q$46)/COUNTIF($C$10:$C$46,$C53),0)</f>
        <v>0</v>
      </c>
      <c r="R53" s="1476">
        <f t="shared" ca="1" si="13"/>
        <v>0</v>
      </c>
      <c r="S53" s="1305"/>
      <c r="T53" s="1397"/>
      <c r="U53" s="1305"/>
      <c r="V53" s="68"/>
      <c r="X53" s="1462">
        <v>42421</v>
      </c>
      <c r="Y53" s="1460"/>
      <c r="Z53" s="1460"/>
      <c r="AA53" s="1461"/>
      <c r="AB53" s="1461"/>
      <c r="AG53" s="114"/>
      <c r="AK53" s="1278"/>
      <c r="AL53" s="1278"/>
      <c r="AM53" s="1278"/>
      <c r="AN53" s="1278"/>
    </row>
    <row r="54" spans="1:40" s="1024" customFormat="1" ht="15">
      <c r="A54" s="145"/>
      <c r="B54" s="145"/>
      <c r="C54" s="145" t="s">
        <v>2210</v>
      </c>
      <c r="D54" s="145">
        <f t="shared" ref="D54:D58" ca="1" si="14">COUNTIF($C$11:$C$46,C54)</f>
        <v>2</v>
      </c>
      <c r="E54" s="344" t="s">
        <v>561</v>
      </c>
      <c r="F54" s="1472">
        <f t="shared" si="4"/>
        <v>2021</v>
      </c>
      <c r="G54" s="1276" t="s">
        <v>2117</v>
      </c>
      <c r="H54" s="1277" t="s">
        <v>2210</v>
      </c>
      <c r="I54" s="1313">
        <f t="shared" ca="1" si="11"/>
        <v>5123</v>
      </c>
      <c r="J54" s="1307">
        <f t="shared" ca="1" si="11"/>
        <v>1465</v>
      </c>
      <c r="K54" s="1278">
        <f t="shared" ca="1" si="11"/>
        <v>1817</v>
      </c>
      <c r="L54" s="1278">
        <f t="shared" ca="1" si="11"/>
        <v>10434</v>
      </c>
      <c r="M54" s="1424">
        <f t="shared" ca="1" si="11"/>
        <v>18838</v>
      </c>
      <c r="O54" s="1508">
        <f t="shared" ca="1" si="12"/>
        <v>6740</v>
      </c>
      <c r="Q54" s="1412">
        <f t="shared" ca="1" si="13"/>
        <v>0</v>
      </c>
      <c r="R54" s="1383">
        <f t="shared" ca="1" si="13"/>
        <v>0</v>
      </c>
      <c r="S54" s="1305"/>
      <c r="T54" s="1397"/>
      <c r="U54" s="1305"/>
      <c r="V54" s="68"/>
      <c r="X54" s="1462">
        <v>42485</v>
      </c>
      <c r="Y54" s="1460"/>
      <c r="Z54" s="1460"/>
      <c r="AA54" s="1461"/>
      <c r="AB54" s="1461"/>
      <c r="AG54" s="114"/>
      <c r="AK54" s="1278"/>
      <c r="AL54" s="1278"/>
      <c r="AM54" s="1278"/>
      <c r="AN54" s="1278"/>
    </row>
    <row r="55" spans="1:40" s="1024" customFormat="1" ht="15">
      <c r="A55" s="1280"/>
      <c r="B55" s="1280"/>
      <c r="C55" s="1280" t="s">
        <v>2211</v>
      </c>
      <c r="D55" s="1280">
        <f t="shared" ca="1" si="14"/>
        <v>12</v>
      </c>
      <c r="E55" s="344" t="s">
        <v>2215</v>
      </c>
      <c r="F55" s="1472">
        <f t="shared" si="4"/>
        <v>2021</v>
      </c>
      <c r="G55" s="1276" t="s">
        <v>2117</v>
      </c>
      <c r="H55" s="1277" t="s">
        <v>2211</v>
      </c>
      <c r="I55" s="1313">
        <f t="shared" ca="1" si="11"/>
        <v>7196</v>
      </c>
      <c r="J55" s="1307">
        <f t="shared" ca="1" si="11"/>
        <v>2709</v>
      </c>
      <c r="K55" s="1278">
        <f t="shared" ca="1" si="11"/>
        <v>2128</v>
      </c>
      <c r="L55" s="1278">
        <f t="shared" ca="1" si="11"/>
        <v>10080</v>
      </c>
      <c r="M55" s="1424">
        <f t="shared" ca="1" si="11"/>
        <v>22112</v>
      </c>
      <c r="O55" s="1508">
        <f t="shared" ca="1" si="12"/>
        <v>11240</v>
      </c>
      <c r="Q55" s="1412">
        <f t="shared" ca="1" si="13"/>
        <v>0</v>
      </c>
      <c r="R55" s="1383">
        <f t="shared" ca="1" si="13"/>
        <v>0</v>
      </c>
      <c r="S55" s="1305"/>
      <c r="T55" s="1397"/>
      <c r="U55" s="1305"/>
      <c r="V55" s="68"/>
      <c r="X55" s="1462">
        <v>133965</v>
      </c>
      <c r="Y55" s="1460"/>
      <c r="Z55" s="1460"/>
      <c r="AA55" s="1461"/>
      <c r="AB55" s="1461"/>
      <c r="AG55" s="114"/>
      <c r="AK55" s="1278"/>
      <c r="AL55" s="1278"/>
      <c r="AM55" s="1278"/>
      <c r="AN55" s="1278"/>
    </row>
    <row r="56" spans="1:40" s="1024" customFormat="1" ht="15">
      <c r="A56" s="145"/>
      <c r="B56" s="145"/>
      <c r="C56" s="145" t="s">
        <v>2212</v>
      </c>
      <c r="D56" s="145">
        <f t="shared" ca="1" si="14"/>
        <v>8</v>
      </c>
      <c r="E56" s="344" t="s">
        <v>2217</v>
      </c>
      <c r="F56" s="1472">
        <f t="shared" si="4"/>
        <v>2021</v>
      </c>
      <c r="G56" s="1276" t="s">
        <v>2117</v>
      </c>
      <c r="H56" s="1277" t="s">
        <v>2212</v>
      </c>
      <c r="I56" s="1313">
        <f t="shared" ca="1" si="11"/>
        <v>7424</v>
      </c>
      <c r="J56" s="1307">
        <f t="shared" ca="1" si="11"/>
        <v>2531</v>
      </c>
      <c r="K56" s="1278">
        <f t="shared" ca="1" si="11"/>
        <v>2051</v>
      </c>
      <c r="L56" s="1278">
        <f t="shared" ca="1" si="11"/>
        <v>10790</v>
      </c>
      <c r="M56" s="1424">
        <f t="shared" ca="1" si="11"/>
        <v>22797</v>
      </c>
      <c r="O56" s="1508">
        <f t="shared" ca="1" si="12"/>
        <v>6647</v>
      </c>
      <c r="Q56" s="1412">
        <f t="shared" ca="1" si="13"/>
        <v>0</v>
      </c>
      <c r="R56" s="1383">
        <f t="shared" ca="1" si="13"/>
        <v>0</v>
      </c>
      <c r="S56" s="1305"/>
      <c r="T56" s="1397"/>
      <c r="U56" s="1305"/>
      <c r="V56" s="68"/>
      <c r="X56" s="1462">
        <v>203634</v>
      </c>
      <c r="Y56" s="1460"/>
      <c r="Z56" s="1460"/>
      <c r="AA56" s="1461"/>
      <c r="AB56" s="1461"/>
      <c r="AG56" s="114"/>
      <c r="AK56" s="1278"/>
      <c r="AL56" s="1278"/>
      <c r="AM56" s="1278"/>
      <c r="AN56" s="1278"/>
    </row>
    <row r="57" spans="1:40" s="1024" customFormat="1">
      <c r="A57" s="145"/>
      <c r="B57" s="145"/>
      <c r="C57" s="145" t="s">
        <v>2213</v>
      </c>
      <c r="D57" s="145">
        <f t="shared" ca="1" si="14"/>
        <v>4</v>
      </c>
      <c r="E57" s="344" t="s">
        <v>556</v>
      </c>
      <c r="F57" s="1472">
        <f t="shared" si="4"/>
        <v>2021</v>
      </c>
      <c r="G57" s="1276" t="s">
        <v>2117</v>
      </c>
      <c r="H57" s="1277" t="s">
        <v>2213</v>
      </c>
      <c r="I57" s="1313">
        <f t="shared" ca="1" si="11"/>
        <v>5743</v>
      </c>
      <c r="J57" s="1307">
        <f t="shared" ca="1" si="11"/>
        <v>4010</v>
      </c>
      <c r="K57" s="1278">
        <f t="shared" ca="1" si="11"/>
        <v>2128</v>
      </c>
      <c r="L57" s="1278">
        <f t="shared" ca="1" si="11"/>
        <v>7759</v>
      </c>
      <c r="M57" s="1424">
        <f t="shared" ca="1" si="11"/>
        <v>19639</v>
      </c>
      <c r="O57" s="1508">
        <f t="shared" ca="1" si="12"/>
        <v>5245</v>
      </c>
      <c r="Q57" s="1412">
        <f t="shared" ca="1" si="13"/>
        <v>0</v>
      </c>
      <c r="R57" s="1383">
        <f t="shared" ca="1" si="13"/>
        <v>0</v>
      </c>
      <c r="S57" s="1305"/>
      <c r="T57" s="1397"/>
      <c r="U57" s="1305"/>
      <c r="V57" s="68"/>
      <c r="X57" s="1026"/>
      <c r="Y57" s="1027"/>
      <c r="Z57" s="1027"/>
      <c r="AA57" s="1028"/>
      <c r="AB57" s="1028"/>
      <c r="AG57" s="114"/>
      <c r="AK57" s="1278"/>
      <c r="AL57" s="1278"/>
      <c r="AM57" s="1278"/>
      <c r="AN57" s="1278"/>
    </row>
    <row r="58" spans="1:40" s="1024" customFormat="1" ht="13.5" thickBot="1">
      <c r="A58" s="1281"/>
      <c r="B58" s="1281"/>
      <c r="C58" s="1281" t="s">
        <v>2214</v>
      </c>
      <c r="D58" s="1281">
        <f t="shared" ca="1" si="14"/>
        <v>3</v>
      </c>
      <c r="E58" s="1282" t="s">
        <v>2216</v>
      </c>
      <c r="F58" s="1473">
        <f t="shared" si="4"/>
        <v>2021</v>
      </c>
      <c r="G58" s="1283" t="s">
        <v>2117</v>
      </c>
      <c r="H58" s="1284" t="s">
        <v>2214</v>
      </c>
      <c r="I58" s="1314">
        <f t="shared" ca="1" si="11"/>
        <v>6772</v>
      </c>
      <c r="J58" s="1308">
        <f t="shared" ca="1" si="11"/>
        <v>1911</v>
      </c>
      <c r="K58" s="1285">
        <f t="shared" ca="1" si="11"/>
        <v>1904</v>
      </c>
      <c r="L58" s="1285">
        <f t="shared" ca="1" si="11"/>
        <v>8453</v>
      </c>
      <c r="M58" s="1425">
        <f t="shared" ca="1" si="11"/>
        <v>19040</v>
      </c>
      <c r="O58" s="1509">
        <f t="shared" ca="1" si="12"/>
        <v>6207</v>
      </c>
      <c r="Q58" s="1413">
        <f t="shared" ca="1" si="13"/>
        <v>0</v>
      </c>
      <c r="R58" s="1399">
        <f t="shared" ca="1" si="13"/>
        <v>0</v>
      </c>
      <c r="S58" s="1305"/>
      <c r="T58" s="1397"/>
      <c r="U58" s="1305"/>
      <c r="V58" s="68"/>
      <c r="X58" s="1036">
        <f>COUNT(X11:X57)</f>
        <v>46</v>
      </c>
      <c r="Y58" s="1029">
        <f>SUM(Y11:Y57)</f>
        <v>0</v>
      </c>
      <c r="Z58" s="1029">
        <f>SUM(Z11:Z57)</f>
        <v>0</v>
      </c>
      <c r="AA58" s="1030">
        <f>SUM(AA11:AA57)</f>
        <v>0</v>
      </c>
      <c r="AB58" s="1030">
        <f>SUM(AB11:AB57)</f>
        <v>0</v>
      </c>
      <c r="AG58" s="114"/>
      <c r="AK58" s="1278"/>
      <c r="AL58" s="1278"/>
      <c r="AM58" s="1278"/>
      <c r="AN58" s="1278"/>
    </row>
    <row r="59" spans="1:40" s="114" customFormat="1" ht="13.5" thickBot="1">
      <c r="A59" s="145"/>
      <c r="B59" s="145"/>
      <c r="C59" s="145"/>
      <c r="D59" s="145"/>
      <c r="F59" s="139">
        <f>COUNTA(F11:F46)</f>
        <v>36</v>
      </c>
      <c r="N59" s="1024"/>
      <c r="P59" s="1024"/>
      <c r="Q59" s="354"/>
      <c r="R59" s="354"/>
      <c r="S59" s="920"/>
      <c r="T59" s="354"/>
      <c r="U59" s="354"/>
      <c r="V59" s="354"/>
      <c r="X59" s="1024"/>
      <c r="Y59" s="1024"/>
      <c r="Z59" s="1024">
        <f>Z58+Y58</f>
        <v>0</v>
      </c>
      <c r="AA59" s="1024"/>
      <c r="AB59" s="1024"/>
    </row>
    <row r="60" spans="1:40" s="114" customFormat="1" ht="13.5" thickTop="1">
      <c r="A60" s="145"/>
      <c r="B60" s="145"/>
      <c r="C60" s="145"/>
      <c r="D60" s="145"/>
      <c r="E60" s="114" t="s">
        <v>1138</v>
      </c>
      <c r="N60" s="1024"/>
      <c r="P60" s="1024"/>
      <c r="Q60" s="354"/>
      <c r="R60" s="354"/>
      <c r="S60" s="920"/>
      <c r="T60" s="354"/>
      <c r="U60" s="354"/>
      <c r="V60" s="354"/>
    </row>
    <row r="61" spans="1:40" s="114" customFormat="1">
      <c r="A61" s="145"/>
      <c r="B61" s="145"/>
      <c r="C61" s="145"/>
      <c r="D61" s="145"/>
      <c r="E61" s="114" t="s">
        <v>1137</v>
      </c>
      <c r="Q61" s="354"/>
      <c r="R61" s="354"/>
      <c r="S61" s="920"/>
      <c r="T61" s="354"/>
      <c r="U61" s="354"/>
      <c r="V61" s="354"/>
      <c r="AA61" s="711">
        <f>AA11/AC12</f>
        <v>0</v>
      </c>
      <c r="AB61" s="711">
        <f>AB11/AC12</f>
        <v>0</v>
      </c>
    </row>
    <row r="62" spans="1:40" s="114" customFormat="1">
      <c r="A62" s="145"/>
      <c r="B62" s="145"/>
      <c r="C62" s="145"/>
      <c r="D62" s="145"/>
      <c r="F62" s="1299" t="s">
        <v>2119</v>
      </c>
      <c r="I62" s="77" t="s">
        <v>1181</v>
      </c>
      <c r="J62" s="77" t="s">
        <v>1181</v>
      </c>
      <c r="K62" s="77"/>
      <c r="L62" s="77"/>
      <c r="M62" s="77" t="s">
        <v>1181</v>
      </c>
      <c r="S62" s="68"/>
      <c r="AA62" s="1665" t="s">
        <v>1366</v>
      </c>
      <c r="AB62" s="1666"/>
      <c r="AK62" s="77" t="s">
        <v>1181</v>
      </c>
      <c r="AL62" s="77" t="s">
        <v>1181</v>
      </c>
      <c r="AM62" s="77" t="s">
        <v>1181</v>
      </c>
      <c r="AN62" s="77" t="s">
        <v>1181</v>
      </c>
    </row>
    <row r="63" spans="1:40" s="114" customFormat="1" ht="25.5" outlineLevel="1">
      <c r="A63" s="145"/>
      <c r="B63" s="145"/>
      <c r="C63" s="145"/>
      <c r="D63" s="145"/>
      <c r="E63" s="146" t="s">
        <v>209</v>
      </c>
      <c r="I63" s="147" t="s">
        <v>1</v>
      </c>
      <c r="J63" s="147" t="s">
        <v>1</v>
      </c>
      <c r="K63" s="147"/>
      <c r="L63" s="147"/>
      <c r="M63" s="753" t="s">
        <v>1149</v>
      </c>
      <c r="Q63" s="146"/>
      <c r="R63" s="146"/>
      <c r="S63" s="75"/>
      <c r="T63" s="146"/>
      <c r="U63" s="146"/>
      <c r="V63" s="146"/>
      <c r="AK63" s="147" t="s">
        <v>1</v>
      </c>
      <c r="AL63" s="147" t="s">
        <v>1</v>
      </c>
      <c r="AM63" s="753" t="s">
        <v>84</v>
      </c>
      <c r="AN63" s="753" t="s">
        <v>84</v>
      </c>
    </row>
    <row r="64" spans="1:40" s="114" customFormat="1" ht="25.5" outlineLevel="1">
      <c r="A64" s="145"/>
      <c r="B64" s="145"/>
      <c r="C64" s="145"/>
      <c r="D64" s="145"/>
      <c r="I64" s="754" t="s">
        <v>1179</v>
      </c>
      <c r="J64" s="754" t="s">
        <v>1180</v>
      </c>
      <c r="K64" s="754"/>
      <c r="L64" s="754"/>
      <c r="M64" s="754" t="s">
        <v>1150</v>
      </c>
      <c r="S64" s="68"/>
      <c r="AK64" s="754" t="s">
        <v>1179</v>
      </c>
      <c r="AL64" s="754" t="s">
        <v>1180</v>
      </c>
      <c r="AM64" s="754" t="s">
        <v>1178</v>
      </c>
      <c r="AN64" s="754" t="s">
        <v>1178</v>
      </c>
    </row>
    <row r="65" spans="1:40" s="114" customFormat="1" outlineLevel="1">
      <c r="A65" s="145"/>
      <c r="B65" s="145"/>
      <c r="C65" s="145"/>
      <c r="D65" s="145"/>
      <c r="M65" s="754" t="s">
        <v>1179</v>
      </c>
      <c r="S65" s="68"/>
      <c r="AM65" s="754" t="s">
        <v>1179</v>
      </c>
      <c r="AN65" s="754" t="s">
        <v>1180</v>
      </c>
    </row>
    <row r="66" spans="1:40" s="114" customFormat="1" outlineLevel="1">
      <c r="A66" s="145"/>
      <c r="B66" s="145"/>
      <c r="C66" s="145"/>
      <c r="D66" s="145"/>
      <c r="S66" s="68"/>
    </row>
    <row r="67" spans="1:40" s="114" customFormat="1" outlineLevel="1">
      <c r="A67" s="145"/>
      <c r="B67" s="145"/>
      <c r="C67" s="145"/>
      <c r="D67" s="145"/>
      <c r="S67" s="68"/>
    </row>
    <row r="68" spans="1:40" s="114" customFormat="1" outlineLevel="1">
      <c r="A68" s="145"/>
      <c r="B68" s="145"/>
      <c r="C68" s="145"/>
      <c r="D68" s="145"/>
      <c r="I68" s="777" t="s">
        <v>210</v>
      </c>
      <c r="J68" s="777"/>
      <c r="K68" s="814"/>
      <c r="L68" s="814"/>
      <c r="M68" s="777"/>
      <c r="S68" s="68"/>
      <c r="AK68" s="814" t="s">
        <v>210</v>
      </c>
      <c r="AL68" s="814"/>
      <c r="AM68" s="777"/>
      <c r="AN68" s="777"/>
    </row>
    <row r="69" spans="1:40" s="114" customFormat="1" outlineLevel="1">
      <c r="A69" s="145"/>
      <c r="B69" s="145"/>
      <c r="C69" s="145"/>
      <c r="D69" s="145"/>
      <c r="I69" s="151" t="s">
        <v>211</v>
      </c>
      <c r="J69" s="151"/>
      <c r="K69" s="151"/>
      <c r="L69" s="151"/>
      <c r="M69" s="151"/>
      <c r="S69" s="68"/>
      <c r="AK69" s="151" t="s">
        <v>211</v>
      </c>
      <c r="AL69" s="151"/>
      <c r="AM69" s="151"/>
      <c r="AN69" s="151"/>
    </row>
    <row r="70" spans="1:40" s="114" customFormat="1" outlineLevel="1">
      <c r="A70" s="145"/>
      <c r="B70" s="145"/>
      <c r="C70" s="145"/>
      <c r="D70" s="145"/>
      <c r="I70" s="151" t="s">
        <v>1153</v>
      </c>
      <c r="J70" s="151"/>
      <c r="K70" s="151"/>
      <c r="L70" s="151"/>
      <c r="M70" s="151"/>
      <c r="S70" s="68"/>
      <c r="AK70" s="151" t="s">
        <v>1153</v>
      </c>
      <c r="AL70" s="151"/>
      <c r="AM70" s="151"/>
      <c r="AN70" s="151"/>
    </row>
    <row r="71" spans="1:40" s="114" customFormat="1" outlineLevel="1">
      <c r="A71" s="145"/>
      <c r="B71" s="145"/>
      <c r="C71" s="145"/>
      <c r="D71" s="145"/>
      <c r="I71" s="151" t="s">
        <v>213</v>
      </c>
      <c r="J71" s="151"/>
      <c r="K71" s="151"/>
      <c r="L71" s="151"/>
      <c r="M71" s="151"/>
      <c r="S71" s="68"/>
      <c r="AK71" s="151" t="s">
        <v>213</v>
      </c>
      <c r="AL71" s="151"/>
      <c r="AM71" s="151"/>
      <c r="AN71" s="151"/>
    </row>
    <row r="72" spans="1:40" s="114" customFormat="1" outlineLevel="1">
      <c r="A72" s="145"/>
      <c r="B72" s="145"/>
      <c r="C72" s="145"/>
      <c r="D72" s="145"/>
      <c r="I72" s="151" t="s">
        <v>214</v>
      </c>
      <c r="J72" s="151"/>
      <c r="K72" s="151"/>
      <c r="L72" s="151"/>
      <c r="M72" s="151"/>
      <c r="S72" s="68"/>
      <c r="AK72" s="151" t="s">
        <v>214</v>
      </c>
      <c r="AL72" s="151"/>
      <c r="AM72" s="151"/>
      <c r="AN72" s="151"/>
    </row>
    <row r="73" spans="1:40" s="114" customFormat="1">
      <c r="A73" s="145"/>
      <c r="B73" s="145"/>
      <c r="C73" s="145"/>
      <c r="D73" s="145"/>
      <c r="S73" s="68"/>
      <c r="AD73" s="144"/>
    </row>
    <row r="74" spans="1:40" s="114" customFormat="1">
      <c r="A74" s="145"/>
      <c r="B74" s="145"/>
      <c r="C74" s="145"/>
      <c r="D74" s="145"/>
      <c r="S74" s="68"/>
    </row>
    <row r="75" spans="1:40" s="114" customFormat="1">
      <c r="A75" s="145"/>
      <c r="B75" s="145"/>
      <c r="C75" s="145"/>
      <c r="D75" s="145"/>
      <c r="Q75" s="665"/>
      <c r="R75" s="665"/>
      <c r="S75" s="678"/>
      <c r="T75" s="665" t="str">
        <f>IF(SUM(T11:T46)&lt;&gt;'Smmy Sum'!$C$42,"Error","Balanced")</f>
        <v>Balanced</v>
      </c>
      <c r="U75" s="665"/>
      <c r="V75" s="665"/>
    </row>
    <row r="76" spans="1:40" s="114" customFormat="1">
      <c r="A76" s="145"/>
      <c r="B76" s="145"/>
      <c r="C76" s="145"/>
      <c r="D76" s="145"/>
      <c r="S76" s="68"/>
    </row>
    <row r="77" spans="1:40" s="114" customFormat="1">
      <c r="A77" s="145"/>
      <c r="B77" s="145"/>
      <c r="C77" s="145"/>
      <c r="D77" s="145"/>
      <c r="I77" s="145"/>
      <c r="J77" s="145"/>
      <c r="K77" s="145"/>
      <c r="L77" s="145"/>
      <c r="M77" s="145"/>
      <c r="Q77" s="145"/>
      <c r="R77" s="145"/>
      <c r="S77" s="678"/>
      <c r="T77" s="145"/>
      <c r="U77" s="145"/>
      <c r="V77" s="145"/>
      <c r="AK77" s="145" t="s">
        <v>458</v>
      </c>
      <c r="AL77" s="145" t="s">
        <v>460</v>
      </c>
      <c r="AM77" s="145" t="s">
        <v>643</v>
      </c>
      <c r="AN77" s="145" t="s">
        <v>468</v>
      </c>
    </row>
    <row r="78" spans="1:40" s="114" customFormat="1">
      <c r="A78" s="145"/>
      <c r="B78" s="145"/>
      <c r="C78" s="145"/>
      <c r="D78" s="145"/>
      <c r="S78" s="68"/>
    </row>
    <row r="79" spans="1:40" s="114" customFormat="1">
      <c r="A79" s="145"/>
      <c r="B79" s="145"/>
      <c r="C79" s="145"/>
      <c r="D79" s="145"/>
      <c r="Q79" s="711"/>
      <c r="R79" s="711"/>
      <c r="S79" s="921"/>
      <c r="T79" s="711"/>
      <c r="U79" s="711"/>
      <c r="V79" s="711"/>
    </row>
    <row r="80" spans="1:40" s="114" customFormat="1">
      <c r="A80" s="145"/>
      <c r="B80" s="145"/>
      <c r="C80" s="145"/>
      <c r="D80" s="145"/>
      <c r="S80" s="68"/>
    </row>
    <row r="81" spans="1:40" s="114" customFormat="1">
      <c r="A81" s="145"/>
      <c r="B81" s="145"/>
      <c r="C81" s="145"/>
      <c r="D81" s="145"/>
      <c r="S81" s="68"/>
    </row>
    <row r="82" spans="1:40" s="114" customFormat="1">
      <c r="A82" s="145"/>
      <c r="B82" s="145"/>
      <c r="C82" s="145"/>
      <c r="D82" s="145"/>
      <c r="E82" s="856" t="s">
        <v>1338</v>
      </c>
      <c r="H82" s="857">
        <f t="shared" ref="H82" si="15">SUM(H10:H47)</f>
        <v>1346014</v>
      </c>
      <c r="I82" s="857">
        <f ca="1">SUM(I10:I59)</f>
        <v>331452</v>
      </c>
      <c r="J82" s="857">
        <f t="shared" ref="J82:R82" ca="1" si="16">SUM(J10:J59)</f>
        <v>125890</v>
      </c>
      <c r="K82" s="857">
        <f t="shared" ca="1" si="16"/>
        <v>114364</v>
      </c>
      <c r="L82" s="857">
        <f t="shared" ca="1" si="16"/>
        <v>453232</v>
      </c>
      <c r="M82" s="857">
        <f t="shared" ca="1" si="16"/>
        <v>1024928</v>
      </c>
      <c r="O82" s="857">
        <f t="shared" ref="O82" ca="1" si="17">SUM(O10:O59)</f>
        <v>378649</v>
      </c>
      <c r="P82" s="1414">
        <f ca="1">SUM(H82:O82)</f>
        <v>3774529</v>
      </c>
      <c r="Q82" s="857">
        <f t="shared" ca="1" si="16"/>
        <v>0</v>
      </c>
      <c r="R82" s="857">
        <f t="shared" ca="1" si="16"/>
        <v>0</v>
      </c>
      <c r="S82" s="922"/>
      <c r="T82" s="857">
        <f ca="1">SUM(T10:T59)</f>
        <v>1236429.4000000001</v>
      </c>
      <c r="U82" s="913"/>
      <c r="V82" s="912"/>
      <c r="AK82" s="857">
        <f ca="1">SUM(AK10:AK59)</f>
        <v>335903</v>
      </c>
      <c r="AL82" s="857">
        <f t="shared" ref="AL82" ca="1" si="18">SUM(AL10:AL59)</f>
        <v>3452537</v>
      </c>
      <c r="AM82" s="857">
        <f ca="1">SUM(AM10:AM59)</f>
        <v>1098065</v>
      </c>
      <c r="AN82" s="857">
        <f ca="1">SUM(AN10:AN59)</f>
        <v>11686089</v>
      </c>
    </row>
    <row r="83" spans="1:40" s="114" customFormat="1">
      <c r="A83" s="145"/>
      <c r="B83" s="145"/>
      <c r="C83" s="145"/>
      <c r="D83" s="145"/>
      <c r="I83" s="857"/>
      <c r="J83" s="857"/>
      <c r="K83" s="857"/>
      <c r="L83" s="857"/>
      <c r="M83" s="857"/>
      <c r="O83" s="857"/>
      <c r="P83" s="1415"/>
      <c r="Q83" s="857"/>
      <c r="R83" s="857"/>
      <c r="S83" s="68"/>
      <c r="T83" s="857"/>
      <c r="V83" s="913"/>
      <c r="AK83" s="857"/>
      <c r="AL83" s="857"/>
      <c r="AM83" s="857"/>
      <c r="AN83" s="857"/>
    </row>
    <row r="84" spans="1:40" s="114" customFormat="1">
      <c r="A84" s="145"/>
      <c r="B84" s="145"/>
      <c r="C84" s="145"/>
      <c r="D84" s="145"/>
      <c r="P84" s="1415"/>
      <c r="S84" s="68"/>
      <c r="V84" s="913"/>
    </row>
    <row r="85" spans="1:40" s="114" customFormat="1">
      <c r="A85" s="145"/>
      <c r="B85" s="145"/>
      <c r="C85" s="145"/>
      <c r="D85" s="145"/>
      <c r="E85" s="1500" t="s">
        <v>1348</v>
      </c>
      <c r="H85" s="1466">
        <v>1346014</v>
      </c>
      <c r="I85" s="1466">
        <v>331452</v>
      </c>
      <c r="J85" s="1466">
        <v>125890</v>
      </c>
      <c r="K85" s="1466">
        <v>114364</v>
      </c>
      <c r="L85" s="1466">
        <v>453232</v>
      </c>
      <c r="M85" s="1466">
        <v>1024928</v>
      </c>
      <c r="N85" s="146"/>
      <c r="O85" s="1466">
        <v>378649</v>
      </c>
      <c r="P85" s="1467">
        <v>3774529</v>
      </c>
      <c r="Q85" s="1466">
        <v>0</v>
      </c>
      <c r="R85" s="1466">
        <v>0</v>
      </c>
      <c r="S85" s="1468"/>
      <c r="T85" s="1466">
        <v>1236429.4000000001</v>
      </c>
      <c r="V85" s="912"/>
      <c r="AK85" s="114">
        <v>306210</v>
      </c>
      <c r="AL85" s="114">
        <v>3193510</v>
      </c>
      <c r="AM85" s="114">
        <v>848699</v>
      </c>
      <c r="AN85" s="114">
        <v>8896830</v>
      </c>
    </row>
    <row r="86" spans="1:40" s="114" customFormat="1">
      <c r="A86" s="145"/>
      <c r="B86" s="145"/>
      <c r="C86" s="145"/>
      <c r="D86" s="145"/>
      <c r="E86" s="1499">
        <v>44553</v>
      </c>
      <c r="P86" s="1415"/>
      <c r="S86" s="68"/>
      <c r="V86" s="913"/>
    </row>
    <row r="87" spans="1:40" s="114" customFormat="1">
      <c r="A87" s="145"/>
      <c r="B87" s="145"/>
      <c r="C87" s="145"/>
      <c r="D87" s="145"/>
      <c r="H87" s="153">
        <f>H85-H82</f>
        <v>0</v>
      </c>
      <c r="I87" s="153">
        <f t="shared" ref="I87:V87" ca="1" si="19">I85-I82</f>
        <v>0</v>
      </c>
      <c r="J87" s="153">
        <f t="shared" ca="1" si="19"/>
        <v>0</v>
      </c>
      <c r="K87" s="153">
        <f t="shared" ca="1" si="19"/>
        <v>0</v>
      </c>
      <c r="L87" s="153">
        <f t="shared" ca="1" si="19"/>
        <v>0</v>
      </c>
      <c r="M87" s="153">
        <f t="shared" ca="1" si="19"/>
        <v>0</v>
      </c>
      <c r="O87" s="153">
        <f t="shared" ref="O87" ca="1" si="20">O85-O82</f>
        <v>0</v>
      </c>
      <c r="P87" s="1414">
        <f ca="1">SUM(H87:O87)</f>
        <v>0</v>
      </c>
      <c r="Q87" s="153">
        <f t="shared" ca="1" si="19"/>
        <v>0</v>
      </c>
      <c r="R87" s="153">
        <f t="shared" ca="1" si="19"/>
        <v>0</v>
      </c>
      <c r="S87" s="153">
        <f t="shared" si="19"/>
        <v>0</v>
      </c>
      <c r="T87" s="153">
        <f ca="1">T85-T82</f>
        <v>0</v>
      </c>
      <c r="U87" s="153">
        <f t="shared" si="19"/>
        <v>0</v>
      </c>
      <c r="V87" s="913">
        <f t="shared" si="19"/>
        <v>0</v>
      </c>
      <c r="AK87" s="153">
        <f t="shared" ref="AK87:AL87" ca="1" si="21">AK85-AK82</f>
        <v>-29693</v>
      </c>
      <c r="AL87" s="153">
        <f t="shared" ca="1" si="21"/>
        <v>-259027</v>
      </c>
      <c r="AM87" s="153">
        <f ca="1">AM85-AM82</f>
        <v>-249366</v>
      </c>
      <c r="AN87" s="153">
        <f ca="1">AN85-AN82</f>
        <v>-2789259</v>
      </c>
    </row>
    <row r="88" spans="1:40" s="114" customFormat="1">
      <c r="A88" s="145"/>
      <c r="B88" s="145"/>
      <c r="C88" s="145"/>
      <c r="D88" s="145"/>
      <c r="E88" s="114" t="s">
        <v>2272</v>
      </c>
      <c r="S88" s="68"/>
    </row>
    <row r="89" spans="1:40" s="114" customFormat="1">
      <c r="A89" s="145"/>
      <c r="B89" s="145"/>
      <c r="C89" s="145"/>
      <c r="D89" s="145"/>
      <c r="E89" s="1499">
        <v>44553</v>
      </c>
      <c r="Q89" s="891"/>
      <c r="R89" s="891"/>
      <c r="S89" s="891"/>
      <c r="T89" s="891"/>
    </row>
    <row r="90" spans="1:40" s="114" customFormat="1">
      <c r="A90" s="145"/>
      <c r="B90" s="145"/>
      <c r="C90" s="145"/>
      <c r="D90" s="145"/>
      <c r="S90" s="68"/>
    </row>
    <row r="91" spans="1:40" s="114" customFormat="1">
      <c r="A91" s="145"/>
      <c r="B91" s="145"/>
      <c r="C91" s="145"/>
      <c r="D91" s="145"/>
      <c r="S91" s="68"/>
    </row>
    <row r="92" spans="1:40" s="114" customFormat="1">
      <c r="A92" s="145"/>
      <c r="B92" s="145"/>
      <c r="C92" s="145"/>
      <c r="D92" s="145"/>
      <c r="S92" s="68"/>
    </row>
    <row r="93" spans="1:40" s="114" customFormat="1">
      <c r="A93" s="145"/>
      <c r="B93" s="145"/>
      <c r="C93" s="145"/>
      <c r="D93" s="145"/>
      <c r="S93" s="68"/>
    </row>
    <row r="94" spans="1:40" s="114" customFormat="1">
      <c r="A94" s="145"/>
      <c r="B94" s="145"/>
      <c r="C94" s="145"/>
      <c r="D94" s="145"/>
      <c r="S94" s="68"/>
    </row>
    <row r="95" spans="1:40" s="114" customFormat="1">
      <c r="A95" s="145"/>
      <c r="B95" s="145"/>
      <c r="C95" s="145"/>
      <c r="D95" s="145"/>
      <c r="S95" s="68"/>
    </row>
    <row r="96" spans="1:40" s="114" customFormat="1">
      <c r="A96" s="145"/>
      <c r="B96" s="145"/>
      <c r="C96" s="145"/>
      <c r="D96" s="145"/>
      <c r="S96" s="68"/>
    </row>
    <row r="97" spans="1:19" s="114" customFormat="1">
      <c r="A97" s="145"/>
      <c r="B97" s="145"/>
      <c r="C97" s="145"/>
      <c r="D97" s="145"/>
      <c r="S97" s="68"/>
    </row>
    <row r="98" spans="1:19" s="114" customFormat="1">
      <c r="A98" s="145"/>
      <c r="B98" s="145"/>
      <c r="C98" s="145"/>
      <c r="D98" s="145"/>
      <c r="S98" s="68"/>
    </row>
    <row r="99" spans="1:19" s="114" customFormat="1">
      <c r="A99" s="145"/>
      <c r="B99" s="145"/>
      <c r="C99" s="145"/>
      <c r="D99" s="145"/>
      <c r="S99" s="68"/>
    </row>
    <row r="100" spans="1:19" s="114" customFormat="1">
      <c r="A100" s="145"/>
      <c r="B100" s="145"/>
      <c r="C100" s="145"/>
      <c r="D100" s="145"/>
      <c r="S100" s="68"/>
    </row>
    <row r="101" spans="1:19" s="114" customFormat="1">
      <c r="A101" s="145"/>
      <c r="B101" s="145"/>
      <c r="C101" s="145"/>
      <c r="D101" s="145"/>
      <c r="S101" s="68"/>
    </row>
    <row r="102" spans="1:19" s="114" customFormat="1">
      <c r="A102" s="145"/>
      <c r="B102" s="145"/>
      <c r="C102" s="145"/>
      <c r="D102" s="145"/>
      <c r="S102" s="68"/>
    </row>
    <row r="103" spans="1:19" s="114" customFormat="1">
      <c r="A103" s="145"/>
      <c r="B103" s="145"/>
      <c r="C103" s="145"/>
      <c r="D103" s="145"/>
      <c r="S103" s="68"/>
    </row>
    <row r="104" spans="1:19" s="114" customFormat="1">
      <c r="A104" s="145"/>
      <c r="B104" s="145"/>
      <c r="C104" s="145"/>
      <c r="D104" s="145"/>
      <c r="S104" s="68"/>
    </row>
    <row r="105" spans="1:19" s="114" customFormat="1">
      <c r="A105" s="145"/>
      <c r="B105" s="145"/>
      <c r="C105" s="145"/>
      <c r="D105" s="145"/>
      <c r="S105" s="68"/>
    </row>
    <row r="106" spans="1:19" s="114" customFormat="1">
      <c r="A106" s="145"/>
      <c r="B106" s="145"/>
      <c r="C106" s="145"/>
      <c r="D106" s="145"/>
      <c r="S106" s="68"/>
    </row>
    <row r="107" spans="1:19" s="114" customFormat="1">
      <c r="A107" s="145"/>
      <c r="B107" s="145"/>
      <c r="C107" s="145"/>
      <c r="D107" s="145"/>
      <c r="S107" s="68"/>
    </row>
    <row r="108" spans="1:19" s="114" customFormat="1">
      <c r="A108" s="145"/>
      <c r="B108" s="145"/>
      <c r="C108" s="145"/>
      <c r="D108" s="145"/>
      <c r="S108" s="68"/>
    </row>
    <row r="109" spans="1:19" s="114" customFormat="1">
      <c r="A109" s="145"/>
      <c r="B109" s="145"/>
      <c r="C109" s="145"/>
      <c r="D109" s="145"/>
      <c r="S109" s="68"/>
    </row>
    <row r="110" spans="1:19" s="114" customFormat="1">
      <c r="A110" s="145"/>
      <c r="B110" s="145"/>
      <c r="C110" s="145"/>
      <c r="D110" s="145"/>
      <c r="S110" s="68"/>
    </row>
    <row r="111" spans="1:19" s="114" customFormat="1">
      <c r="A111" s="145"/>
      <c r="B111" s="145"/>
      <c r="C111" s="145"/>
      <c r="D111" s="145"/>
      <c r="S111" s="68"/>
    </row>
    <row r="112" spans="1:19" s="114" customFormat="1">
      <c r="A112" s="145"/>
      <c r="B112" s="145"/>
      <c r="C112" s="145"/>
      <c r="D112" s="145"/>
      <c r="S112" s="68"/>
    </row>
    <row r="113" spans="1:19" s="114" customFormat="1">
      <c r="A113" s="145"/>
      <c r="B113" s="145"/>
      <c r="C113" s="145"/>
      <c r="D113" s="145"/>
      <c r="S113" s="68"/>
    </row>
    <row r="114" spans="1:19" s="114" customFormat="1">
      <c r="A114" s="145"/>
      <c r="B114" s="145"/>
      <c r="C114" s="145"/>
      <c r="D114" s="145"/>
      <c r="S114" s="68"/>
    </row>
    <row r="115" spans="1:19" s="114" customFormat="1">
      <c r="A115" s="145"/>
      <c r="B115" s="145"/>
      <c r="C115" s="145"/>
      <c r="D115" s="145"/>
      <c r="S115" s="68"/>
    </row>
    <row r="116" spans="1:19" s="114" customFormat="1">
      <c r="A116" s="145"/>
      <c r="B116" s="145"/>
      <c r="C116" s="145"/>
      <c r="D116" s="145"/>
      <c r="S116" s="68"/>
    </row>
    <row r="117" spans="1:19" s="114" customFormat="1">
      <c r="A117" s="145"/>
      <c r="B117" s="145"/>
      <c r="C117" s="145"/>
      <c r="D117" s="145"/>
      <c r="S117" s="68"/>
    </row>
    <row r="118" spans="1:19" s="114" customFormat="1">
      <c r="A118" s="145"/>
      <c r="B118" s="145"/>
      <c r="C118" s="145"/>
      <c r="D118" s="145"/>
      <c r="S118" s="68"/>
    </row>
    <row r="119" spans="1:19" s="114" customFormat="1">
      <c r="A119" s="145"/>
      <c r="B119" s="145"/>
      <c r="C119" s="145"/>
      <c r="D119" s="145"/>
      <c r="S119" s="68"/>
    </row>
    <row r="120" spans="1:19" s="114" customFormat="1">
      <c r="A120" s="145"/>
      <c r="B120" s="145"/>
      <c r="C120" s="145"/>
      <c r="D120" s="145"/>
      <c r="S120" s="68"/>
    </row>
    <row r="121" spans="1:19" s="114" customFormat="1">
      <c r="A121" s="145"/>
      <c r="B121" s="145"/>
      <c r="C121" s="145"/>
      <c r="D121" s="145"/>
      <c r="S121" s="68"/>
    </row>
    <row r="122" spans="1:19" s="114" customFormat="1">
      <c r="A122" s="145"/>
      <c r="B122" s="145"/>
      <c r="C122" s="145"/>
      <c r="D122" s="145"/>
      <c r="S122" s="68"/>
    </row>
    <row r="123" spans="1:19" s="114" customFormat="1">
      <c r="A123" s="145"/>
      <c r="B123" s="145"/>
      <c r="C123" s="145"/>
      <c r="D123" s="145"/>
      <c r="S123" s="68"/>
    </row>
    <row r="124" spans="1:19" s="114" customFormat="1">
      <c r="A124" s="145"/>
      <c r="B124" s="145"/>
      <c r="C124" s="145"/>
      <c r="D124" s="145"/>
      <c r="S124" s="68"/>
    </row>
    <row r="125" spans="1:19" s="114" customFormat="1">
      <c r="A125" s="145"/>
      <c r="B125" s="145"/>
      <c r="C125" s="145"/>
      <c r="D125" s="145"/>
      <c r="S125" s="68"/>
    </row>
    <row r="126" spans="1:19" s="114" customFormat="1">
      <c r="A126" s="145"/>
      <c r="B126" s="145"/>
      <c r="C126" s="145"/>
      <c r="D126" s="145"/>
      <c r="S126" s="68"/>
    </row>
    <row r="127" spans="1:19" s="114" customFormat="1">
      <c r="A127" s="145"/>
      <c r="B127" s="145"/>
      <c r="C127" s="145"/>
      <c r="D127" s="145"/>
      <c r="S127" s="68"/>
    </row>
    <row r="128" spans="1:19" s="114" customFormat="1">
      <c r="A128" s="145"/>
      <c r="B128" s="145"/>
      <c r="C128" s="145"/>
      <c r="D128" s="145"/>
      <c r="S128" s="68"/>
    </row>
    <row r="129" spans="1:19" s="114" customFormat="1">
      <c r="A129" s="145"/>
      <c r="B129" s="145"/>
      <c r="C129" s="145"/>
      <c r="D129" s="145"/>
      <c r="S129" s="68"/>
    </row>
    <row r="130" spans="1:19" s="114" customFormat="1">
      <c r="A130" s="145"/>
      <c r="B130" s="145"/>
      <c r="C130" s="145"/>
      <c r="D130" s="145"/>
      <c r="S130" s="68"/>
    </row>
    <row r="131" spans="1:19" s="114" customFormat="1">
      <c r="A131" s="145"/>
      <c r="B131" s="145"/>
      <c r="C131" s="145"/>
      <c r="D131" s="145"/>
      <c r="S131" s="68"/>
    </row>
    <row r="132" spans="1:19" s="114" customFormat="1">
      <c r="A132" s="145"/>
      <c r="B132" s="145"/>
      <c r="C132" s="145"/>
      <c r="D132" s="145"/>
      <c r="S132" s="68"/>
    </row>
    <row r="133" spans="1:19" s="114" customFormat="1">
      <c r="A133" s="145"/>
      <c r="B133" s="145"/>
      <c r="C133" s="145"/>
      <c r="D133" s="145"/>
      <c r="S133" s="68"/>
    </row>
    <row r="134" spans="1:19" s="114" customFormat="1">
      <c r="A134" s="145"/>
      <c r="B134" s="145"/>
      <c r="C134" s="145"/>
      <c r="D134" s="145"/>
      <c r="S134" s="68"/>
    </row>
    <row r="135" spans="1:19" s="114" customFormat="1">
      <c r="A135" s="145"/>
      <c r="B135" s="145"/>
      <c r="C135" s="145"/>
      <c r="D135" s="145"/>
      <c r="S135" s="68"/>
    </row>
    <row r="136" spans="1:19" s="114" customFormat="1">
      <c r="A136" s="145"/>
      <c r="B136" s="145"/>
      <c r="C136" s="145"/>
      <c r="D136" s="145"/>
      <c r="S136" s="68"/>
    </row>
    <row r="137" spans="1:19" s="114" customFormat="1">
      <c r="A137" s="145"/>
      <c r="B137" s="145"/>
      <c r="C137" s="145"/>
      <c r="D137" s="145"/>
      <c r="S137" s="68"/>
    </row>
    <row r="138" spans="1:19" s="114" customFormat="1">
      <c r="A138" s="145"/>
      <c r="B138" s="145"/>
      <c r="C138" s="145"/>
      <c r="D138" s="145"/>
      <c r="S138" s="68"/>
    </row>
    <row r="139" spans="1:19" s="114" customFormat="1">
      <c r="A139" s="145"/>
      <c r="B139" s="145"/>
      <c r="C139" s="145"/>
      <c r="D139" s="145"/>
      <c r="S139" s="68"/>
    </row>
    <row r="140" spans="1:19" s="114" customFormat="1">
      <c r="A140" s="145"/>
      <c r="B140" s="145"/>
      <c r="C140" s="145"/>
      <c r="D140" s="145"/>
      <c r="S140" s="68"/>
    </row>
    <row r="141" spans="1:19" s="114" customFormat="1">
      <c r="A141" s="145"/>
      <c r="B141" s="145"/>
      <c r="C141" s="145"/>
      <c r="D141" s="145"/>
      <c r="S141" s="68"/>
    </row>
    <row r="142" spans="1:19" s="114" customFormat="1">
      <c r="A142" s="145"/>
      <c r="B142" s="145"/>
      <c r="C142" s="145"/>
      <c r="D142" s="145"/>
      <c r="S142" s="68"/>
    </row>
    <row r="143" spans="1:19" s="114" customFormat="1">
      <c r="A143" s="145"/>
      <c r="B143" s="145"/>
      <c r="C143" s="145"/>
      <c r="D143" s="145"/>
      <c r="S143" s="68"/>
    </row>
    <row r="144" spans="1:19" s="114" customFormat="1">
      <c r="A144" s="145"/>
      <c r="B144" s="145"/>
      <c r="C144" s="145"/>
      <c r="D144" s="145"/>
      <c r="S144" s="68"/>
    </row>
    <row r="145" spans="1:19" s="114" customFormat="1">
      <c r="A145" s="145"/>
      <c r="B145" s="145"/>
      <c r="C145" s="145"/>
      <c r="D145" s="145"/>
      <c r="S145" s="68"/>
    </row>
    <row r="146" spans="1:19" s="114" customFormat="1">
      <c r="A146" s="145"/>
      <c r="B146" s="145"/>
      <c r="C146" s="145"/>
      <c r="D146" s="145"/>
      <c r="S146" s="68"/>
    </row>
    <row r="147" spans="1:19" s="114" customFormat="1">
      <c r="A147" s="145"/>
      <c r="B147" s="145"/>
      <c r="C147" s="145"/>
      <c r="D147" s="145"/>
      <c r="S147" s="68"/>
    </row>
    <row r="148" spans="1:19" s="114" customFormat="1">
      <c r="A148" s="145"/>
      <c r="B148" s="145"/>
      <c r="C148" s="145"/>
      <c r="D148" s="145"/>
      <c r="S148" s="68"/>
    </row>
    <row r="149" spans="1:19" s="114" customFormat="1">
      <c r="A149" s="145"/>
      <c r="B149" s="145"/>
      <c r="C149" s="145"/>
      <c r="D149" s="145"/>
      <c r="S149" s="68"/>
    </row>
    <row r="150" spans="1:19" s="114" customFormat="1">
      <c r="A150" s="145"/>
      <c r="B150" s="145"/>
      <c r="C150" s="145"/>
      <c r="D150" s="145"/>
      <c r="S150" s="68"/>
    </row>
    <row r="151" spans="1:19" s="114" customFormat="1">
      <c r="A151" s="145"/>
      <c r="B151" s="145"/>
      <c r="C151" s="145"/>
      <c r="D151" s="145"/>
      <c r="S151" s="68"/>
    </row>
    <row r="152" spans="1:19" s="114" customFormat="1">
      <c r="A152" s="145"/>
      <c r="B152" s="145"/>
      <c r="C152" s="145"/>
      <c r="D152" s="145"/>
      <c r="S152" s="68"/>
    </row>
    <row r="153" spans="1:19" s="114" customFormat="1">
      <c r="A153" s="145"/>
      <c r="B153" s="145"/>
      <c r="C153" s="145"/>
      <c r="D153" s="145"/>
      <c r="S153" s="68"/>
    </row>
    <row r="154" spans="1:19" s="114" customFormat="1">
      <c r="A154" s="145"/>
      <c r="B154" s="145"/>
      <c r="C154" s="145"/>
      <c r="D154" s="145"/>
      <c r="S154" s="68"/>
    </row>
    <row r="155" spans="1:19" s="114" customFormat="1">
      <c r="A155" s="145"/>
      <c r="B155" s="145"/>
      <c r="C155" s="145"/>
      <c r="D155" s="145"/>
      <c r="S155" s="68"/>
    </row>
    <row r="156" spans="1:19" s="114" customFormat="1">
      <c r="A156" s="145"/>
      <c r="B156" s="145"/>
      <c r="C156" s="145"/>
      <c r="D156" s="145"/>
      <c r="S156" s="68"/>
    </row>
    <row r="157" spans="1:19" s="114" customFormat="1">
      <c r="A157" s="145"/>
      <c r="B157" s="145"/>
      <c r="C157" s="145"/>
      <c r="D157" s="145"/>
      <c r="S157" s="68"/>
    </row>
    <row r="158" spans="1:19" s="114" customFormat="1">
      <c r="A158" s="145"/>
      <c r="B158" s="145"/>
      <c r="C158" s="145"/>
      <c r="D158" s="145"/>
      <c r="S158" s="68"/>
    </row>
    <row r="159" spans="1:19" s="114" customFormat="1">
      <c r="A159" s="145"/>
      <c r="B159" s="145"/>
      <c r="C159" s="145"/>
      <c r="D159" s="145"/>
      <c r="S159" s="68"/>
    </row>
    <row r="160" spans="1:19" s="114" customFormat="1">
      <c r="A160" s="145"/>
      <c r="B160" s="145"/>
      <c r="C160" s="145"/>
      <c r="D160" s="145"/>
      <c r="S160" s="68"/>
    </row>
    <row r="161" spans="1:19" s="114" customFormat="1">
      <c r="A161" s="145"/>
      <c r="B161" s="145"/>
      <c r="C161" s="145"/>
      <c r="D161" s="145"/>
      <c r="S161" s="68"/>
    </row>
    <row r="162" spans="1:19" s="114" customFormat="1">
      <c r="A162" s="145"/>
      <c r="B162" s="145"/>
      <c r="C162" s="145"/>
      <c r="D162" s="145"/>
      <c r="S162" s="68"/>
    </row>
    <row r="163" spans="1:19" s="114" customFormat="1">
      <c r="A163" s="145"/>
      <c r="B163" s="145"/>
      <c r="C163" s="145"/>
      <c r="D163" s="145"/>
      <c r="S163" s="68"/>
    </row>
    <row r="164" spans="1:19" s="114" customFormat="1">
      <c r="A164" s="145"/>
      <c r="B164" s="145"/>
      <c r="C164" s="145"/>
      <c r="D164" s="145"/>
      <c r="S164" s="68"/>
    </row>
    <row r="165" spans="1:19" s="114" customFormat="1">
      <c r="A165" s="145"/>
      <c r="B165" s="145"/>
      <c r="C165" s="145"/>
      <c r="D165" s="145"/>
      <c r="S165" s="68"/>
    </row>
    <row r="166" spans="1:19" s="114" customFormat="1">
      <c r="A166" s="145"/>
      <c r="B166" s="145"/>
      <c r="C166" s="145"/>
      <c r="D166" s="145"/>
      <c r="S166" s="68"/>
    </row>
    <row r="167" spans="1:19" s="114" customFormat="1">
      <c r="A167" s="145"/>
      <c r="B167" s="145"/>
      <c r="C167" s="145"/>
      <c r="D167" s="145"/>
      <c r="S167" s="68"/>
    </row>
    <row r="168" spans="1:19" s="114" customFormat="1">
      <c r="A168" s="145"/>
      <c r="B168" s="145"/>
      <c r="C168" s="145"/>
      <c r="D168" s="145"/>
      <c r="S168" s="68"/>
    </row>
    <row r="169" spans="1:19" s="114" customFormat="1">
      <c r="A169" s="145"/>
      <c r="B169" s="145"/>
      <c r="C169" s="145"/>
      <c r="D169" s="145"/>
      <c r="S169" s="68"/>
    </row>
    <row r="170" spans="1:19" s="114" customFormat="1">
      <c r="A170" s="145"/>
      <c r="B170" s="145"/>
      <c r="C170" s="145"/>
      <c r="D170" s="145"/>
      <c r="S170" s="68"/>
    </row>
    <row r="171" spans="1:19" s="114" customFormat="1">
      <c r="A171" s="145"/>
      <c r="B171" s="145"/>
      <c r="C171" s="145"/>
      <c r="D171" s="145"/>
      <c r="S171" s="68"/>
    </row>
    <row r="172" spans="1:19" s="114" customFormat="1">
      <c r="A172" s="145"/>
      <c r="B172" s="145"/>
      <c r="C172" s="145"/>
      <c r="D172" s="145"/>
      <c r="S172" s="68"/>
    </row>
    <row r="173" spans="1:19" s="114" customFormat="1">
      <c r="A173" s="145"/>
      <c r="B173" s="145"/>
      <c r="C173" s="145"/>
      <c r="D173" s="145"/>
      <c r="S173" s="68"/>
    </row>
    <row r="174" spans="1:19" s="114" customFormat="1">
      <c r="A174" s="145"/>
      <c r="B174" s="145"/>
      <c r="C174" s="145"/>
      <c r="D174" s="145"/>
      <c r="S174" s="68"/>
    </row>
    <row r="175" spans="1:19" s="114" customFormat="1">
      <c r="A175" s="145"/>
      <c r="B175" s="145"/>
      <c r="C175" s="145"/>
      <c r="D175" s="145"/>
      <c r="S175" s="68"/>
    </row>
    <row r="176" spans="1:19" s="114" customFormat="1">
      <c r="A176" s="145"/>
      <c r="B176" s="145"/>
      <c r="C176" s="145"/>
      <c r="D176" s="145"/>
      <c r="S176" s="68"/>
    </row>
    <row r="177" spans="1:19" s="114" customFormat="1">
      <c r="A177" s="145"/>
      <c r="B177" s="145"/>
      <c r="C177" s="145"/>
      <c r="D177" s="145"/>
      <c r="S177" s="68"/>
    </row>
    <row r="178" spans="1:19" s="114" customFormat="1">
      <c r="A178" s="145"/>
      <c r="B178" s="145"/>
      <c r="C178" s="145"/>
      <c r="D178" s="145"/>
      <c r="S178" s="68"/>
    </row>
    <row r="179" spans="1:19" s="114" customFormat="1">
      <c r="A179" s="145"/>
      <c r="B179" s="145"/>
      <c r="C179" s="145"/>
      <c r="D179" s="145"/>
      <c r="S179" s="68"/>
    </row>
    <row r="180" spans="1:19" s="114" customFormat="1">
      <c r="A180" s="145"/>
      <c r="B180" s="145"/>
      <c r="C180" s="145"/>
      <c r="D180" s="145"/>
      <c r="S180" s="68"/>
    </row>
    <row r="181" spans="1:19" s="114" customFormat="1">
      <c r="A181" s="145"/>
      <c r="B181" s="145"/>
      <c r="C181" s="145"/>
      <c r="D181" s="145"/>
      <c r="S181" s="68"/>
    </row>
    <row r="182" spans="1:19" s="114" customFormat="1">
      <c r="A182" s="145"/>
      <c r="B182" s="145"/>
      <c r="C182" s="145"/>
      <c r="D182" s="145"/>
      <c r="S182" s="68"/>
    </row>
    <row r="183" spans="1:19" s="114" customFormat="1">
      <c r="A183" s="145"/>
      <c r="B183" s="145"/>
      <c r="C183" s="145"/>
      <c r="D183" s="145"/>
      <c r="S183" s="68"/>
    </row>
    <row r="184" spans="1:19" s="114" customFormat="1">
      <c r="A184" s="145"/>
      <c r="B184" s="145"/>
      <c r="C184" s="145"/>
      <c r="D184" s="145"/>
      <c r="S184" s="68"/>
    </row>
    <row r="185" spans="1:19" s="114" customFormat="1">
      <c r="A185" s="145"/>
      <c r="B185" s="145"/>
      <c r="C185" s="145"/>
      <c r="D185" s="145"/>
      <c r="S185" s="68"/>
    </row>
    <row r="186" spans="1:19" s="114" customFormat="1">
      <c r="A186" s="145"/>
      <c r="B186" s="145"/>
      <c r="C186" s="145"/>
      <c r="D186" s="145"/>
      <c r="S186" s="68"/>
    </row>
    <row r="187" spans="1:19" s="114" customFormat="1">
      <c r="A187" s="145"/>
      <c r="B187" s="145"/>
      <c r="C187" s="145"/>
      <c r="D187" s="145"/>
      <c r="S187" s="68"/>
    </row>
    <row r="188" spans="1:19" s="114" customFormat="1">
      <c r="A188" s="145"/>
      <c r="B188" s="145"/>
      <c r="C188" s="145"/>
      <c r="D188" s="145"/>
      <c r="S188" s="68"/>
    </row>
    <row r="189" spans="1:19" s="114" customFormat="1">
      <c r="A189" s="145"/>
      <c r="B189" s="145"/>
      <c r="C189" s="145"/>
      <c r="D189" s="145"/>
      <c r="S189" s="68"/>
    </row>
    <row r="190" spans="1:19" s="114" customFormat="1">
      <c r="A190" s="145"/>
      <c r="B190" s="145"/>
      <c r="C190" s="145"/>
      <c r="D190" s="145"/>
      <c r="S190" s="68"/>
    </row>
    <row r="191" spans="1:19" s="114" customFormat="1">
      <c r="A191" s="145"/>
      <c r="B191" s="145"/>
      <c r="C191" s="145"/>
      <c r="D191" s="145"/>
      <c r="S191" s="68"/>
    </row>
    <row r="192" spans="1:19" s="114" customFormat="1">
      <c r="A192" s="145"/>
      <c r="B192" s="145"/>
      <c r="C192" s="145"/>
      <c r="D192" s="145"/>
      <c r="S192" s="68"/>
    </row>
    <row r="193" spans="1:19" s="114" customFormat="1">
      <c r="A193" s="145"/>
      <c r="B193" s="145"/>
      <c r="C193" s="145"/>
      <c r="D193" s="145"/>
      <c r="S193" s="68"/>
    </row>
    <row r="194" spans="1:19" s="114" customFormat="1">
      <c r="A194" s="145"/>
      <c r="B194" s="145"/>
      <c r="C194" s="145"/>
      <c r="D194" s="145"/>
      <c r="S194" s="68"/>
    </row>
    <row r="195" spans="1:19" s="114" customFormat="1">
      <c r="A195" s="145"/>
      <c r="B195" s="145"/>
      <c r="C195" s="145"/>
      <c r="D195" s="145"/>
      <c r="S195" s="68"/>
    </row>
    <row r="196" spans="1:19" s="114" customFormat="1">
      <c r="A196" s="145"/>
      <c r="B196" s="145"/>
      <c r="C196" s="145"/>
      <c r="D196" s="145"/>
      <c r="S196" s="68"/>
    </row>
    <row r="197" spans="1:19" s="114" customFormat="1">
      <c r="A197" s="145"/>
      <c r="B197" s="145"/>
      <c r="C197" s="145"/>
      <c r="D197" s="145"/>
      <c r="S197" s="68"/>
    </row>
    <row r="198" spans="1:19" s="114" customFormat="1">
      <c r="A198" s="145"/>
      <c r="B198" s="145"/>
      <c r="C198" s="145"/>
      <c r="D198" s="145"/>
      <c r="S198" s="68"/>
    </row>
    <row r="199" spans="1:19" s="114" customFormat="1">
      <c r="A199" s="145"/>
      <c r="B199" s="145"/>
      <c r="C199" s="145"/>
      <c r="D199" s="145"/>
      <c r="S199" s="68"/>
    </row>
    <row r="200" spans="1:19" s="114" customFormat="1">
      <c r="A200" s="145"/>
      <c r="B200" s="145"/>
      <c r="C200" s="145"/>
      <c r="D200" s="145"/>
      <c r="S200" s="68"/>
    </row>
    <row r="201" spans="1:19" s="114" customFormat="1">
      <c r="A201" s="145"/>
      <c r="B201" s="145"/>
      <c r="C201" s="145"/>
      <c r="D201" s="145"/>
      <c r="S201" s="68"/>
    </row>
    <row r="202" spans="1:19" s="114" customFormat="1">
      <c r="A202" s="145"/>
      <c r="B202" s="145"/>
      <c r="C202" s="145"/>
      <c r="D202" s="145"/>
      <c r="S202" s="68"/>
    </row>
    <row r="203" spans="1:19" s="114" customFormat="1">
      <c r="A203" s="145"/>
      <c r="B203" s="145"/>
      <c r="C203" s="145"/>
      <c r="D203" s="145"/>
      <c r="S203" s="68"/>
    </row>
    <row r="204" spans="1:19" s="114" customFormat="1">
      <c r="A204" s="145"/>
      <c r="B204" s="145"/>
      <c r="C204" s="145"/>
      <c r="D204" s="145"/>
      <c r="S204" s="68"/>
    </row>
    <row r="205" spans="1:19" s="114" customFormat="1">
      <c r="A205" s="145"/>
      <c r="B205" s="145"/>
      <c r="C205" s="145"/>
      <c r="D205" s="145"/>
      <c r="S205" s="68"/>
    </row>
    <row r="206" spans="1:19" s="114" customFormat="1">
      <c r="A206" s="145"/>
      <c r="B206" s="145"/>
      <c r="C206" s="145"/>
      <c r="D206" s="145"/>
      <c r="S206" s="68"/>
    </row>
    <row r="207" spans="1:19" s="114" customFormat="1">
      <c r="A207" s="145"/>
      <c r="B207" s="145"/>
      <c r="C207" s="145"/>
      <c r="D207" s="145"/>
      <c r="S207" s="68"/>
    </row>
    <row r="208" spans="1:19" s="114" customFormat="1">
      <c r="A208" s="145"/>
      <c r="B208" s="145"/>
      <c r="C208" s="145"/>
      <c r="D208" s="145"/>
      <c r="S208" s="68"/>
    </row>
    <row r="209" spans="1:19" s="114" customFormat="1">
      <c r="A209" s="145"/>
      <c r="B209" s="145"/>
      <c r="C209" s="145"/>
      <c r="D209" s="145"/>
      <c r="S209" s="68"/>
    </row>
    <row r="210" spans="1:19" s="114" customFormat="1">
      <c r="A210" s="145"/>
      <c r="B210" s="145"/>
      <c r="C210" s="145"/>
      <c r="D210" s="145"/>
      <c r="S210" s="68"/>
    </row>
    <row r="211" spans="1:19" s="114" customFormat="1">
      <c r="A211" s="145"/>
      <c r="B211" s="145"/>
      <c r="C211" s="145"/>
      <c r="D211" s="145"/>
      <c r="S211" s="68"/>
    </row>
    <row r="212" spans="1:19" s="114" customFormat="1">
      <c r="A212" s="145"/>
      <c r="B212" s="145"/>
      <c r="C212" s="145"/>
      <c r="D212" s="145"/>
      <c r="S212" s="68"/>
    </row>
    <row r="213" spans="1:19" s="114" customFormat="1">
      <c r="A213" s="145"/>
      <c r="B213" s="145"/>
      <c r="C213" s="145"/>
      <c r="D213" s="145"/>
      <c r="S213" s="68"/>
    </row>
    <row r="214" spans="1:19" s="114" customFormat="1">
      <c r="A214" s="145"/>
      <c r="B214" s="145"/>
      <c r="C214" s="145"/>
      <c r="D214" s="145"/>
      <c r="S214" s="68"/>
    </row>
    <row r="215" spans="1:19" s="114" customFormat="1">
      <c r="A215" s="145"/>
      <c r="B215" s="145"/>
      <c r="C215" s="145"/>
      <c r="D215" s="145"/>
      <c r="S215" s="68"/>
    </row>
    <row r="216" spans="1:19" s="114" customFormat="1">
      <c r="A216" s="145"/>
      <c r="B216" s="145"/>
      <c r="C216" s="145"/>
      <c r="D216" s="145"/>
      <c r="S216" s="68"/>
    </row>
    <row r="217" spans="1:19" s="114" customFormat="1">
      <c r="A217" s="145"/>
      <c r="B217" s="145"/>
      <c r="C217" s="145"/>
      <c r="D217" s="145"/>
      <c r="S217" s="68"/>
    </row>
    <row r="218" spans="1:19" s="114" customFormat="1">
      <c r="A218" s="145"/>
      <c r="B218" s="145"/>
      <c r="C218" s="145"/>
      <c r="D218" s="145"/>
      <c r="S218" s="68"/>
    </row>
    <row r="219" spans="1:19" s="114" customFormat="1">
      <c r="A219" s="145"/>
      <c r="B219" s="145"/>
      <c r="C219" s="145"/>
      <c r="D219" s="145"/>
      <c r="S219" s="68"/>
    </row>
    <row r="220" spans="1:19" s="114" customFormat="1">
      <c r="A220" s="145"/>
      <c r="B220" s="145"/>
      <c r="C220" s="145"/>
      <c r="D220" s="145"/>
      <c r="S220" s="68"/>
    </row>
    <row r="221" spans="1:19" s="114" customFormat="1">
      <c r="A221" s="145"/>
      <c r="B221" s="145"/>
      <c r="C221" s="145"/>
      <c r="D221" s="145"/>
      <c r="S221" s="68"/>
    </row>
    <row r="222" spans="1:19" s="114" customFormat="1">
      <c r="A222" s="145"/>
      <c r="B222" s="145"/>
      <c r="C222" s="145"/>
      <c r="D222" s="145"/>
      <c r="S222" s="68"/>
    </row>
    <row r="223" spans="1:19" s="114" customFormat="1">
      <c r="A223" s="145"/>
      <c r="B223" s="145"/>
      <c r="C223" s="145"/>
      <c r="D223" s="145"/>
      <c r="S223" s="68"/>
    </row>
    <row r="224" spans="1:19" s="114" customFormat="1">
      <c r="A224" s="145"/>
      <c r="B224" s="145"/>
      <c r="C224" s="145"/>
      <c r="D224" s="145"/>
      <c r="S224" s="68"/>
    </row>
    <row r="225" spans="1:19" s="114" customFormat="1">
      <c r="A225" s="145"/>
      <c r="B225" s="145"/>
      <c r="C225" s="145"/>
      <c r="D225" s="145"/>
      <c r="S225" s="68"/>
    </row>
    <row r="226" spans="1:19" s="114" customFormat="1">
      <c r="A226" s="145"/>
      <c r="B226" s="145"/>
      <c r="C226" s="145"/>
      <c r="D226" s="145"/>
      <c r="S226" s="68"/>
    </row>
    <row r="227" spans="1:19" s="114" customFormat="1">
      <c r="A227" s="145"/>
      <c r="B227" s="145"/>
      <c r="C227" s="145"/>
      <c r="D227" s="145"/>
      <c r="S227" s="68"/>
    </row>
    <row r="228" spans="1:19" s="114" customFormat="1">
      <c r="A228" s="145"/>
      <c r="B228" s="145"/>
      <c r="C228" s="145"/>
      <c r="D228" s="145"/>
      <c r="S228" s="68"/>
    </row>
    <row r="229" spans="1:19" s="114" customFormat="1">
      <c r="A229" s="145"/>
      <c r="B229" s="145"/>
      <c r="C229" s="145"/>
      <c r="D229" s="145"/>
      <c r="S229" s="68"/>
    </row>
    <row r="230" spans="1:19" s="114" customFormat="1">
      <c r="A230" s="145"/>
      <c r="B230" s="145"/>
      <c r="C230" s="145"/>
      <c r="D230" s="145"/>
      <c r="S230" s="68"/>
    </row>
    <row r="231" spans="1:19" s="114" customFormat="1">
      <c r="A231" s="145"/>
      <c r="B231" s="145"/>
      <c r="C231" s="145"/>
      <c r="D231" s="145"/>
      <c r="S231" s="68"/>
    </row>
    <row r="232" spans="1:19" s="114" customFormat="1">
      <c r="A232" s="145"/>
      <c r="B232" s="145"/>
      <c r="C232" s="145"/>
      <c r="D232" s="145"/>
      <c r="S232" s="68"/>
    </row>
    <row r="233" spans="1:19" s="114" customFormat="1">
      <c r="A233" s="145"/>
      <c r="B233" s="145"/>
      <c r="C233" s="145"/>
      <c r="D233" s="145"/>
      <c r="S233" s="68"/>
    </row>
    <row r="234" spans="1:19" s="114" customFormat="1">
      <c r="A234" s="145"/>
      <c r="B234" s="145"/>
      <c r="C234" s="145"/>
      <c r="D234" s="145"/>
      <c r="S234" s="68"/>
    </row>
    <row r="235" spans="1:19" s="114" customFormat="1">
      <c r="A235" s="145"/>
      <c r="B235" s="145"/>
      <c r="C235" s="145"/>
      <c r="D235" s="145"/>
      <c r="S235" s="68"/>
    </row>
    <row r="236" spans="1:19" s="114" customFormat="1">
      <c r="A236" s="145"/>
      <c r="B236" s="145"/>
      <c r="C236" s="145"/>
      <c r="D236" s="145"/>
      <c r="S236" s="68"/>
    </row>
    <row r="237" spans="1:19" s="114" customFormat="1">
      <c r="A237" s="145"/>
      <c r="B237" s="145"/>
      <c r="C237" s="145"/>
      <c r="D237" s="145"/>
      <c r="S237" s="68"/>
    </row>
    <row r="238" spans="1:19" s="114" customFormat="1">
      <c r="A238" s="145"/>
      <c r="B238" s="145"/>
      <c r="C238" s="145"/>
      <c r="D238" s="145"/>
      <c r="S238" s="68"/>
    </row>
    <row r="239" spans="1:19" s="114" customFormat="1">
      <c r="A239" s="145"/>
      <c r="B239" s="145"/>
      <c r="C239" s="145"/>
      <c r="D239" s="145"/>
      <c r="S239" s="68"/>
    </row>
    <row r="240" spans="1:19" s="114" customFormat="1">
      <c r="A240" s="145"/>
      <c r="B240" s="145"/>
      <c r="C240" s="145"/>
      <c r="D240" s="145"/>
      <c r="S240" s="68"/>
    </row>
    <row r="241" spans="1:19" s="114" customFormat="1">
      <c r="A241" s="145"/>
      <c r="B241" s="145"/>
      <c r="C241" s="145"/>
      <c r="D241" s="145"/>
      <c r="S241" s="68"/>
    </row>
    <row r="242" spans="1:19" s="114" customFormat="1">
      <c r="A242" s="145"/>
      <c r="B242" s="145"/>
      <c r="C242" s="145"/>
      <c r="D242" s="145"/>
      <c r="S242" s="68"/>
    </row>
    <row r="243" spans="1:19" s="114" customFormat="1">
      <c r="A243" s="145"/>
      <c r="B243" s="145"/>
      <c r="C243" s="145"/>
      <c r="D243" s="145"/>
      <c r="S243" s="68"/>
    </row>
    <row r="244" spans="1:19" s="114" customFormat="1">
      <c r="A244" s="145"/>
      <c r="B244" s="145"/>
      <c r="C244" s="145"/>
      <c r="D244" s="145"/>
      <c r="S244" s="68"/>
    </row>
    <row r="245" spans="1:19" s="114" customFormat="1">
      <c r="A245" s="145"/>
      <c r="B245" s="145"/>
      <c r="C245" s="145"/>
      <c r="D245" s="145"/>
      <c r="S245" s="68"/>
    </row>
    <row r="246" spans="1:19" s="114" customFormat="1">
      <c r="A246" s="145"/>
      <c r="B246" s="145"/>
      <c r="C246" s="145"/>
      <c r="D246" s="145"/>
      <c r="S246" s="68"/>
    </row>
    <row r="247" spans="1:19" s="114" customFormat="1">
      <c r="A247" s="145"/>
      <c r="B247" s="145"/>
      <c r="C247" s="145"/>
      <c r="D247" s="145"/>
      <c r="S247" s="68"/>
    </row>
    <row r="248" spans="1:19" s="114" customFormat="1">
      <c r="A248" s="145"/>
      <c r="B248" s="145"/>
      <c r="C248" s="145"/>
      <c r="D248" s="145"/>
      <c r="S248" s="68"/>
    </row>
    <row r="249" spans="1:19" s="114" customFormat="1">
      <c r="A249" s="145"/>
      <c r="B249" s="145"/>
      <c r="C249" s="145"/>
      <c r="D249" s="145"/>
      <c r="S249" s="68"/>
    </row>
    <row r="250" spans="1:19" s="114" customFormat="1">
      <c r="A250" s="145"/>
      <c r="B250" s="145"/>
      <c r="C250" s="145"/>
      <c r="D250" s="145"/>
      <c r="S250" s="68"/>
    </row>
    <row r="251" spans="1:19" s="114" customFormat="1">
      <c r="A251" s="145"/>
      <c r="B251" s="145"/>
      <c r="C251" s="145"/>
      <c r="D251" s="145"/>
      <c r="S251" s="68"/>
    </row>
    <row r="252" spans="1:19" s="114" customFormat="1">
      <c r="A252" s="145"/>
      <c r="B252" s="145"/>
      <c r="C252" s="145"/>
      <c r="D252" s="145"/>
      <c r="S252" s="68"/>
    </row>
    <row r="253" spans="1:19" s="114" customFormat="1">
      <c r="A253" s="145"/>
      <c r="B253" s="145"/>
      <c r="C253" s="145"/>
      <c r="D253" s="145"/>
      <c r="S253" s="68"/>
    </row>
    <row r="254" spans="1:19" s="114" customFormat="1">
      <c r="A254" s="145"/>
      <c r="B254" s="145"/>
      <c r="C254" s="145"/>
      <c r="D254" s="145"/>
      <c r="S254" s="68"/>
    </row>
    <row r="255" spans="1:19" s="114" customFormat="1">
      <c r="A255" s="145"/>
      <c r="B255" s="145"/>
      <c r="C255" s="145"/>
      <c r="D255" s="145"/>
      <c r="S255" s="68"/>
    </row>
    <row r="256" spans="1:19" s="114" customFormat="1">
      <c r="A256" s="145"/>
      <c r="B256" s="145"/>
      <c r="C256" s="145"/>
      <c r="D256" s="145"/>
      <c r="S256" s="68"/>
    </row>
    <row r="257" spans="1:19" s="114" customFormat="1">
      <c r="A257" s="145"/>
      <c r="B257" s="145"/>
      <c r="C257" s="145"/>
      <c r="D257" s="145"/>
      <c r="S257" s="68"/>
    </row>
    <row r="258" spans="1:19" s="114" customFormat="1">
      <c r="A258" s="145"/>
      <c r="B258" s="145"/>
      <c r="C258" s="145"/>
      <c r="D258" s="145"/>
      <c r="S258" s="68"/>
    </row>
    <row r="259" spans="1:19" s="114" customFormat="1">
      <c r="A259" s="145"/>
      <c r="B259" s="145"/>
      <c r="C259" s="145"/>
      <c r="D259" s="145"/>
      <c r="S259" s="68"/>
    </row>
    <row r="260" spans="1:19" s="114" customFormat="1">
      <c r="A260" s="145"/>
      <c r="B260" s="145"/>
      <c r="C260" s="145"/>
      <c r="D260" s="145"/>
      <c r="S260" s="68"/>
    </row>
    <row r="261" spans="1:19" s="114" customFormat="1">
      <c r="A261" s="145"/>
      <c r="B261" s="145"/>
      <c r="C261" s="145"/>
      <c r="D261" s="145"/>
      <c r="S261" s="68"/>
    </row>
    <row r="262" spans="1:19" s="114" customFormat="1">
      <c r="A262" s="145"/>
      <c r="B262" s="145"/>
      <c r="C262" s="145"/>
      <c r="D262" s="145"/>
      <c r="S262" s="68"/>
    </row>
    <row r="263" spans="1:19" s="114" customFormat="1">
      <c r="A263" s="145"/>
      <c r="B263" s="145"/>
      <c r="C263" s="145"/>
      <c r="D263" s="145"/>
      <c r="S263" s="68"/>
    </row>
    <row r="264" spans="1:19" s="114" customFormat="1">
      <c r="A264" s="145"/>
      <c r="B264" s="145"/>
      <c r="C264" s="145"/>
      <c r="D264" s="145"/>
      <c r="S264" s="68"/>
    </row>
    <row r="265" spans="1:19" s="114" customFormat="1">
      <c r="A265" s="145"/>
      <c r="B265" s="145"/>
      <c r="C265" s="145"/>
      <c r="D265" s="145"/>
      <c r="S265" s="68"/>
    </row>
    <row r="266" spans="1:19" s="114" customFormat="1">
      <c r="A266" s="145"/>
      <c r="B266" s="145"/>
      <c r="C266" s="145"/>
      <c r="D266" s="145"/>
      <c r="S266" s="68"/>
    </row>
    <row r="267" spans="1:19" s="114" customFormat="1">
      <c r="A267" s="145"/>
      <c r="B267" s="145"/>
      <c r="C267" s="145"/>
      <c r="D267" s="145"/>
      <c r="S267" s="68"/>
    </row>
    <row r="268" spans="1:19" s="114" customFormat="1">
      <c r="A268" s="145"/>
      <c r="B268" s="145"/>
      <c r="C268" s="145"/>
      <c r="D268" s="145"/>
      <c r="S268" s="68"/>
    </row>
    <row r="269" spans="1:19" s="114" customFormat="1">
      <c r="A269" s="145"/>
      <c r="B269" s="145"/>
      <c r="C269" s="145"/>
      <c r="D269" s="145"/>
      <c r="S269" s="68"/>
    </row>
    <row r="270" spans="1:19" s="114" customFormat="1">
      <c r="A270" s="145"/>
      <c r="B270" s="145"/>
      <c r="C270" s="145"/>
      <c r="D270" s="145"/>
      <c r="S270" s="68"/>
    </row>
    <row r="271" spans="1:19" s="114" customFormat="1">
      <c r="A271" s="145"/>
      <c r="B271" s="145"/>
      <c r="C271" s="145"/>
      <c r="D271" s="145"/>
      <c r="S271" s="68"/>
    </row>
    <row r="272" spans="1:19" s="114" customFormat="1">
      <c r="A272" s="145"/>
      <c r="B272" s="145"/>
      <c r="C272" s="145"/>
      <c r="D272" s="145"/>
      <c r="S272" s="68"/>
    </row>
    <row r="273" spans="1:19" s="114" customFormat="1">
      <c r="A273" s="145"/>
      <c r="B273" s="145"/>
      <c r="C273" s="145"/>
      <c r="D273" s="145"/>
      <c r="S273" s="68"/>
    </row>
    <row r="274" spans="1:19" s="114" customFormat="1">
      <c r="A274" s="145"/>
      <c r="B274" s="145"/>
      <c r="C274" s="145"/>
      <c r="D274" s="145"/>
      <c r="S274" s="68"/>
    </row>
    <row r="275" spans="1:19" s="114" customFormat="1">
      <c r="A275" s="145"/>
      <c r="B275" s="145"/>
      <c r="C275" s="145"/>
      <c r="D275" s="145"/>
      <c r="S275" s="68"/>
    </row>
    <row r="276" spans="1:19" s="114" customFormat="1">
      <c r="A276" s="145"/>
      <c r="B276" s="145"/>
      <c r="C276" s="145"/>
      <c r="D276" s="145"/>
      <c r="S276" s="68"/>
    </row>
    <row r="277" spans="1:19" s="114" customFormat="1">
      <c r="A277" s="145"/>
      <c r="B277" s="145"/>
      <c r="C277" s="145"/>
      <c r="D277" s="145"/>
      <c r="S277" s="68"/>
    </row>
    <row r="278" spans="1:19" s="114" customFormat="1">
      <c r="A278" s="145"/>
      <c r="B278" s="145"/>
      <c r="C278" s="145"/>
      <c r="D278" s="145"/>
      <c r="S278" s="68"/>
    </row>
    <row r="279" spans="1:19" s="114" customFormat="1">
      <c r="A279" s="145"/>
      <c r="B279" s="145"/>
      <c r="C279" s="145"/>
      <c r="D279" s="145"/>
      <c r="S279" s="68"/>
    </row>
    <row r="280" spans="1:19" s="114" customFormat="1">
      <c r="A280" s="145"/>
      <c r="B280" s="145"/>
      <c r="C280" s="145"/>
      <c r="D280" s="145"/>
      <c r="S280" s="68"/>
    </row>
    <row r="281" spans="1:19" s="114" customFormat="1">
      <c r="A281" s="145"/>
      <c r="B281" s="145"/>
      <c r="C281" s="145"/>
      <c r="D281" s="145"/>
      <c r="S281" s="68"/>
    </row>
    <row r="282" spans="1:19" s="114" customFormat="1">
      <c r="A282" s="145"/>
      <c r="B282" s="145"/>
      <c r="C282" s="145"/>
      <c r="D282" s="145"/>
      <c r="S282" s="68"/>
    </row>
    <row r="283" spans="1:19" s="114" customFormat="1">
      <c r="A283" s="145"/>
      <c r="B283" s="145"/>
      <c r="C283" s="145"/>
      <c r="D283" s="145"/>
      <c r="S283" s="68"/>
    </row>
    <row r="284" spans="1:19" s="114" customFormat="1">
      <c r="A284" s="145"/>
      <c r="B284" s="145"/>
      <c r="C284" s="145"/>
      <c r="D284" s="145"/>
      <c r="S284" s="68"/>
    </row>
    <row r="285" spans="1:19" s="114" customFormat="1">
      <c r="A285" s="145"/>
      <c r="B285" s="145"/>
      <c r="C285" s="145"/>
      <c r="D285" s="145"/>
      <c r="S285" s="68"/>
    </row>
    <row r="286" spans="1:19" s="114" customFormat="1">
      <c r="A286" s="145"/>
      <c r="B286" s="145"/>
      <c r="C286" s="145"/>
      <c r="D286" s="145"/>
      <c r="S286" s="68"/>
    </row>
    <row r="287" spans="1:19" s="114" customFormat="1">
      <c r="A287" s="145"/>
      <c r="B287" s="145"/>
      <c r="C287" s="145"/>
      <c r="D287" s="145"/>
      <c r="S287" s="68"/>
    </row>
    <row r="288" spans="1:19" s="114" customFormat="1">
      <c r="A288" s="145"/>
      <c r="B288" s="145"/>
      <c r="C288" s="145"/>
      <c r="D288" s="145"/>
      <c r="S288" s="68"/>
    </row>
    <row r="289" spans="1:19" s="114" customFormat="1">
      <c r="A289" s="145"/>
      <c r="B289" s="145"/>
      <c r="C289" s="145"/>
      <c r="D289" s="145"/>
      <c r="S289" s="68"/>
    </row>
    <row r="290" spans="1:19" s="114" customFormat="1">
      <c r="A290" s="145"/>
      <c r="B290" s="145"/>
      <c r="C290" s="145"/>
      <c r="D290" s="145"/>
      <c r="S290" s="68"/>
    </row>
    <row r="291" spans="1:19" s="114" customFormat="1">
      <c r="A291" s="145"/>
      <c r="B291" s="145"/>
      <c r="C291" s="145"/>
      <c r="D291" s="145"/>
      <c r="S291" s="68"/>
    </row>
    <row r="292" spans="1:19" s="114" customFormat="1">
      <c r="A292" s="145"/>
      <c r="B292" s="145"/>
      <c r="C292" s="145"/>
      <c r="D292" s="145"/>
      <c r="S292" s="68"/>
    </row>
    <row r="293" spans="1:19" s="114" customFormat="1">
      <c r="A293" s="145"/>
      <c r="B293" s="145"/>
      <c r="C293" s="145"/>
      <c r="D293" s="145"/>
      <c r="S293" s="68"/>
    </row>
    <row r="294" spans="1:19" s="114" customFormat="1">
      <c r="A294" s="145"/>
      <c r="B294" s="145"/>
      <c r="C294" s="145"/>
      <c r="D294" s="145"/>
      <c r="S294" s="68"/>
    </row>
    <row r="295" spans="1:19" s="114" customFormat="1">
      <c r="A295" s="145"/>
      <c r="B295" s="145"/>
      <c r="C295" s="145"/>
      <c r="D295" s="145"/>
      <c r="S295" s="68"/>
    </row>
    <row r="296" spans="1:19" s="114" customFormat="1">
      <c r="A296" s="145"/>
      <c r="B296" s="145"/>
      <c r="C296" s="145"/>
      <c r="D296" s="145"/>
      <c r="S296" s="68"/>
    </row>
    <row r="297" spans="1:19" s="114" customFormat="1">
      <c r="A297" s="145"/>
      <c r="B297" s="145"/>
      <c r="C297" s="145"/>
      <c r="D297" s="145"/>
      <c r="S297" s="68"/>
    </row>
    <row r="298" spans="1:19" s="114" customFormat="1">
      <c r="A298" s="145"/>
      <c r="B298" s="145"/>
      <c r="C298" s="145"/>
      <c r="D298" s="145"/>
      <c r="S298" s="68"/>
    </row>
    <row r="299" spans="1:19" s="114" customFormat="1">
      <c r="A299" s="145"/>
      <c r="B299" s="145"/>
      <c r="C299" s="145"/>
      <c r="D299" s="145"/>
      <c r="S299" s="68"/>
    </row>
    <row r="300" spans="1:19" s="114" customFormat="1">
      <c r="A300" s="145"/>
      <c r="B300" s="145"/>
      <c r="C300" s="145"/>
      <c r="D300" s="145"/>
      <c r="S300" s="68"/>
    </row>
    <row r="301" spans="1:19" s="114" customFormat="1">
      <c r="A301" s="145"/>
      <c r="B301" s="145"/>
      <c r="C301" s="145"/>
      <c r="D301" s="145"/>
      <c r="S301" s="68"/>
    </row>
    <row r="302" spans="1:19" s="114" customFormat="1">
      <c r="A302" s="145"/>
      <c r="B302" s="145"/>
      <c r="C302" s="145"/>
      <c r="D302" s="145"/>
      <c r="S302" s="68"/>
    </row>
    <row r="303" spans="1:19" s="114" customFormat="1">
      <c r="A303" s="145"/>
      <c r="B303" s="145"/>
      <c r="C303" s="145"/>
      <c r="D303" s="145"/>
      <c r="S303" s="68"/>
    </row>
    <row r="304" spans="1:19" s="114" customFormat="1">
      <c r="A304" s="145"/>
      <c r="B304" s="145"/>
      <c r="C304" s="145"/>
      <c r="D304" s="145"/>
      <c r="S304" s="68"/>
    </row>
    <row r="305" spans="1:19" s="114" customFormat="1">
      <c r="A305" s="145"/>
      <c r="B305" s="145"/>
      <c r="C305" s="145"/>
      <c r="D305" s="145"/>
      <c r="S305" s="68"/>
    </row>
    <row r="306" spans="1:19" s="114" customFormat="1">
      <c r="A306" s="145"/>
      <c r="B306" s="145"/>
      <c r="C306" s="145"/>
      <c r="D306" s="145"/>
      <c r="S306" s="68"/>
    </row>
    <row r="307" spans="1:19" s="114" customFormat="1">
      <c r="A307" s="145"/>
      <c r="B307" s="145"/>
      <c r="C307" s="145"/>
      <c r="D307" s="145"/>
      <c r="S307" s="68"/>
    </row>
    <row r="308" spans="1:19" s="114" customFormat="1">
      <c r="A308" s="145"/>
      <c r="B308" s="145"/>
      <c r="C308" s="145"/>
      <c r="D308" s="145"/>
      <c r="S308" s="68"/>
    </row>
    <row r="309" spans="1:19" s="114" customFormat="1">
      <c r="A309" s="145"/>
      <c r="B309" s="145"/>
      <c r="C309" s="145"/>
      <c r="D309" s="145"/>
      <c r="S309" s="68"/>
    </row>
    <row r="310" spans="1:19" s="114" customFormat="1">
      <c r="A310" s="145"/>
      <c r="B310" s="145"/>
      <c r="C310" s="145"/>
      <c r="D310" s="145"/>
      <c r="S310" s="68"/>
    </row>
    <row r="311" spans="1:19" s="114" customFormat="1">
      <c r="A311" s="145"/>
      <c r="B311" s="145"/>
      <c r="C311" s="145"/>
      <c r="D311" s="145"/>
      <c r="S311" s="68"/>
    </row>
    <row r="312" spans="1:19" s="114" customFormat="1">
      <c r="A312" s="145"/>
      <c r="B312" s="145"/>
      <c r="C312" s="145"/>
      <c r="D312" s="145"/>
      <c r="S312" s="68"/>
    </row>
    <row r="313" spans="1:19" s="114" customFormat="1">
      <c r="A313" s="145"/>
      <c r="B313" s="145"/>
      <c r="C313" s="145"/>
      <c r="D313" s="145"/>
      <c r="S313" s="68"/>
    </row>
    <row r="314" spans="1:19" s="114" customFormat="1">
      <c r="A314" s="145"/>
      <c r="B314" s="145"/>
      <c r="C314" s="145"/>
      <c r="D314" s="145"/>
      <c r="S314" s="68"/>
    </row>
    <row r="315" spans="1:19" s="114" customFormat="1">
      <c r="A315" s="145"/>
      <c r="B315" s="145"/>
      <c r="C315" s="145"/>
      <c r="D315" s="145"/>
      <c r="S315" s="68"/>
    </row>
    <row r="316" spans="1:19" s="114" customFormat="1">
      <c r="A316" s="145"/>
      <c r="B316" s="145"/>
      <c r="C316" s="145"/>
      <c r="D316" s="145"/>
      <c r="S316" s="68"/>
    </row>
    <row r="317" spans="1:19" s="114" customFormat="1">
      <c r="A317" s="145"/>
      <c r="B317" s="145"/>
      <c r="C317" s="145"/>
      <c r="D317" s="145"/>
      <c r="S317" s="68"/>
    </row>
    <row r="318" spans="1:19" s="114" customFormat="1">
      <c r="A318" s="145"/>
      <c r="B318" s="145"/>
      <c r="C318" s="145"/>
      <c r="D318" s="145"/>
      <c r="S318" s="68"/>
    </row>
    <row r="319" spans="1:19" s="114" customFormat="1">
      <c r="A319" s="145"/>
      <c r="B319" s="145"/>
      <c r="C319" s="145"/>
      <c r="D319" s="145"/>
      <c r="S319" s="68"/>
    </row>
    <row r="320" spans="1:19" s="114" customFormat="1">
      <c r="A320" s="145"/>
      <c r="B320" s="145"/>
      <c r="C320" s="145"/>
      <c r="D320" s="145"/>
      <c r="S320" s="68"/>
    </row>
    <row r="321" spans="1:19" s="114" customFormat="1">
      <c r="A321" s="145"/>
      <c r="B321" s="145"/>
      <c r="C321" s="145"/>
      <c r="D321" s="145"/>
      <c r="S321" s="68"/>
    </row>
    <row r="322" spans="1:19" s="114" customFormat="1">
      <c r="A322" s="145"/>
      <c r="B322" s="145"/>
      <c r="C322" s="145"/>
      <c r="D322" s="145"/>
      <c r="S322" s="68"/>
    </row>
    <row r="323" spans="1:19" s="114" customFormat="1">
      <c r="A323" s="145"/>
      <c r="B323" s="145"/>
      <c r="C323" s="145"/>
      <c r="D323" s="145"/>
      <c r="S323" s="68"/>
    </row>
    <row r="324" spans="1:19" s="114" customFormat="1">
      <c r="A324" s="145"/>
      <c r="B324" s="145"/>
      <c r="C324" s="145"/>
      <c r="D324" s="145"/>
      <c r="S324" s="68"/>
    </row>
    <row r="325" spans="1:19" s="114" customFormat="1">
      <c r="A325" s="145"/>
      <c r="B325" s="145"/>
      <c r="C325" s="145"/>
      <c r="D325" s="145"/>
      <c r="S325" s="68"/>
    </row>
    <row r="326" spans="1:19" s="114" customFormat="1">
      <c r="A326" s="145"/>
      <c r="B326" s="145"/>
      <c r="C326" s="145"/>
      <c r="D326" s="145"/>
      <c r="S326" s="68"/>
    </row>
    <row r="327" spans="1:19" s="114" customFormat="1">
      <c r="A327" s="145"/>
      <c r="B327" s="145"/>
      <c r="C327" s="145"/>
      <c r="D327" s="145"/>
      <c r="S327" s="68"/>
    </row>
    <row r="328" spans="1:19" s="114" customFormat="1">
      <c r="A328" s="145"/>
      <c r="B328" s="145"/>
      <c r="C328" s="145"/>
      <c r="D328" s="145"/>
      <c r="S328" s="68"/>
    </row>
    <row r="329" spans="1:19" s="114" customFormat="1">
      <c r="A329" s="145"/>
      <c r="B329" s="145"/>
      <c r="C329" s="145"/>
      <c r="D329" s="145"/>
      <c r="S329" s="68"/>
    </row>
    <row r="330" spans="1:19" s="114" customFormat="1">
      <c r="A330" s="145"/>
      <c r="B330" s="145"/>
      <c r="C330" s="145"/>
      <c r="D330" s="145"/>
      <c r="S330" s="68"/>
    </row>
    <row r="331" spans="1:19" s="114" customFormat="1">
      <c r="A331" s="145"/>
      <c r="B331" s="145"/>
      <c r="C331" s="145"/>
      <c r="D331" s="145"/>
      <c r="S331" s="68"/>
    </row>
    <row r="332" spans="1:19" s="114" customFormat="1">
      <c r="A332" s="145"/>
      <c r="B332" s="145"/>
      <c r="C332" s="145"/>
      <c r="D332" s="145"/>
      <c r="S332" s="68"/>
    </row>
    <row r="333" spans="1:19" s="114" customFormat="1">
      <c r="A333" s="145"/>
      <c r="B333" s="145"/>
      <c r="C333" s="145"/>
      <c r="D333" s="145"/>
      <c r="S333" s="68"/>
    </row>
    <row r="334" spans="1:19" s="114" customFormat="1">
      <c r="A334" s="145"/>
      <c r="B334" s="145"/>
      <c r="C334" s="145"/>
      <c r="D334" s="145"/>
      <c r="S334" s="68"/>
    </row>
    <row r="335" spans="1:19" s="114" customFormat="1">
      <c r="A335" s="145"/>
      <c r="B335" s="145"/>
      <c r="C335" s="145"/>
      <c r="D335" s="145"/>
      <c r="S335" s="68"/>
    </row>
    <row r="336" spans="1:19" s="114" customFormat="1">
      <c r="A336" s="145"/>
      <c r="B336" s="145"/>
      <c r="C336" s="145"/>
      <c r="D336" s="145"/>
      <c r="S336" s="68"/>
    </row>
    <row r="337" spans="1:19" s="114" customFormat="1">
      <c r="A337" s="145"/>
      <c r="B337" s="145"/>
      <c r="C337" s="145"/>
      <c r="D337" s="145"/>
      <c r="S337" s="68"/>
    </row>
    <row r="338" spans="1:19" s="114" customFormat="1">
      <c r="A338" s="145"/>
      <c r="B338" s="145"/>
      <c r="C338" s="145"/>
      <c r="D338" s="145"/>
      <c r="S338" s="68"/>
    </row>
    <row r="339" spans="1:19" s="114" customFormat="1">
      <c r="A339" s="145"/>
      <c r="B339" s="145"/>
      <c r="C339" s="145"/>
      <c r="D339" s="145"/>
      <c r="S339" s="68"/>
    </row>
    <row r="340" spans="1:19" s="114" customFormat="1">
      <c r="A340" s="145"/>
      <c r="B340" s="145"/>
      <c r="C340" s="145"/>
      <c r="D340" s="145"/>
      <c r="S340" s="68"/>
    </row>
    <row r="341" spans="1:19" s="114" customFormat="1">
      <c r="A341" s="145"/>
      <c r="B341" s="145"/>
      <c r="C341" s="145"/>
      <c r="D341" s="145"/>
      <c r="S341" s="68"/>
    </row>
    <row r="342" spans="1:19" s="114" customFormat="1">
      <c r="A342" s="145"/>
      <c r="B342" s="145"/>
      <c r="C342" s="145"/>
      <c r="D342" s="145"/>
      <c r="S342" s="68"/>
    </row>
    <row r="343" spans="1:19" s="114" customFormat="1">
      <c r="A343" s="145"/>
      <c r="B343" s="145"/>
      <c r="C343" s="145"/>
      <c r="D343" s="145"/>
      <c r="S343" s="68"/>
    </row>
    <row r="344" spans="1:19" s="114" customFormat="1">
      <c r="A344" s="145"/>
      <c r="B344" s="145"/>
      <c r="C344" s="145"/>
      <c r="D344" s="145"/>
      <c r="S344" s="68"/>
    </row>
    <row r="345" spans="1:19" s="114" customFormat="1">
      <c r="A345" s="145"/>
      <c r="B345" s="145"/>
      <c r="C345" s="145"/>
      <c r="D345" s="145"/>
      <c r="S345" s="68"/>
    </row>
    <row r="346" spans="1:19" s="114" customFormat="1">
      <c r="A346" s="145"/>
      <c r="B346" s="145"/>
      <c r="C346" s="145"/>
      <c r="D346" s="145"/>
      <c r="S346" s="68"/>
    </row>
    <row r="347" spans="1:19" s="114" customFormat="1">
      <c r="A347" s="145"/>
      <c r="B347" s="145"/>
      <c r="C347" s="145"/>
      <c r="D347" s="145"/>
      <c r="S347" s="68"/>
    </row>
    <row r="348" spans="1:19" s="114" customFormat="1">
      <c r="A348" s="145"/>
      <c r="B348" s="145"/>
      <c r="C348" s="145"/>
      <c r="D348" s="145"/>
      <c r="S348" s="68"/>
    </row>
    <row r="349" spans="1:19" s="114" customFormat="1">
      <c r="A349" s="145"/>
      <c r="B349" s="145"/>
      <c r="C349" s="145"/>
      <c r="D349" s="145"/>
      <c r="S349" s="68"/>
    </row>
    <row r="350" spans="1:19" s="114" customFormat="1">
      <c r="A350" s="145"/>
      <c r="B350" s="145"/>
      <c r="C350" s="145"/>
      <c r="D350" s="145"/>
      <c r="S350" s="68"/>
    </row>
    <row r="351" spans="1:19" s="114" customFormat="1">
      <c r="A351" s="145"/>
      <c r="B351" s="145"/>
      <c r="C351" s="145"/>
      <c r="D351" s="145"/>
      <c r="S351" s="68"/>
    </row>
    <row r="352" spans="1:19" s="114" customFormat="1">
      <c r="A352" s="145"/>
      <c r="B352" s="145"/>
      <c r="C352" s="145"/>
      <c r="D352" s="145"/>
      <c r="S352" s="68"/>
    </row>
    <row r="353" spans="1:19" s="114" customFormat="1">
      <c r="A353" s="145"/>
      <c r="B353" s="145"/>
      <c r="C353" s="145"/>
      <c r="D353" s="145"/>
      <c r="S353" s="68"/>
    </row>
    <row r="354" spans="1:19" s="114" customFormat="1">
      <c r="A354" s="145"/>
      <c r="B354" s="145"/>
      <c r="C354" s="145"/>
      <c r="D354" s="145"/>
      <c r="S354" s="68"/>
    </row>
    <row r="355" spans="1:19" s="114" customFormat="1">
      <c r="A355" s="145"/>
      <c r="B355" s="145"/>
      <c r="C355" s="145"/>
      <c r="D355" s="145"/>
      <c r="S355" s="68"/>
    </row>
    <row r="356" spans="1:19" s="114" customFormat="1">
      <c r="A356" s="145"/>
      <c r="B356" s="145"/>
      <c r="C356" s="145"/>
      <c r="D356" s="145"/>
      <c r="S356" s="68"/>
    </row>
    <row r="357" spans="1:19" s="114" customFormat="1">
      <c r="A357" s="145"/>
      <c r="B357" s="145"/>
      <c r="C357" s="145"/>
      <c r="D357" s="145"/>
      <c r="S357" s="68"/>
    </row>
    <row r="358" spans="1:19" s="114" customFormat="1">
      <c r="A358" s="145"/>
      <c r="B358" s="145"/>
      <c r="C358" s="145"/>
      <c r="D358" s="145"/>
      <c r="S358" s="68"/>
    </row>
    <row r="359" spans="1:19" s="114" customFormat="1">
      <c r="A359" s="145"/>
      <c r="B359" s="145"/>
      <c r="C359" s="145"/>
      <c r="D359" s="145"/>
      <c r="S359" s="68"/>
    </row>
    <row r="360" spans="1:19" s="114" customFormat="1">
      <c r="A360" s="145"/>
      <c r="B360" s="145"/>
      <c r="C360" s="145"/>
      <c r="D360" s="145"/>
      <c r="S360" s="68"/>
    </row>
    <row r="361" spans="1:19" s="114" customFormat="1">
      <c r="A361" s="145"/>
      <c r="B361" s="145"/>
      <c r="C361" s="145"/>
      <c r="D361" s="145"/>
      <c r="S361" s="68"/>
    </row>
    <row r="362" spans="1:19" s="114" customFormat="1">
      <c r="A362" s="145"/>
      <c r="B362" s="145"/>
      <c r="C362" s="145"/>
      <c r="D362" s="145"/>
      <c r="S362" s="68"/>
    </row>
    <row r="363" spans="1:19" s="114" customFormat="1">
      <c r="A363" s="145"/>
      <c r="B363" s="145"/>
      <c r="C363" s="145"/>
      <c r="D363" s="145"/>
      <c r="S363" s="68"/>
    </row>
    <row r="364" spans="1:19" s="114" customFormat="1">
      <c r="A364" s="145"/>
      <c r="B364" s="145"/>
      <c r="C364" s="145"/>
      <c r="D364" s="145"/>
      <c r="S364" s="68"/>
    </row>
    <row r="365" spans="1:19" s="114" customFormat="1">
      <c r="A365" s="145"/>
      <c r="B365" s="145"/>
      <c r="C365" s="145"/>
      <c r="D365" s="145"/>
      <c r="S365" s="68"/>
    </row>
    <row r="366" spans="1:19" s="114" customFormat="1">
      <c r="A366" s="145"/>
      <c r="B366" s="145"/>
      <c r="C366" s="145"/>
      <c r="D366" s="145"/>
      <c r="S366" s="68"/>
    </row>
    <row r="367" spans="1:19" s="114" customFormat="1">
      <c r="A367" s="145"/>
      <c r="B367" s="145"/>
      <c r="C367" s="145"/>
      <c r="D367" s="145"/>
      <c r="S367" s="68"/>
    </row>
    <row r="368" spans="1:19" s="114" customFormat="1">
      <c r="A368" s="145"/>
      <c r="B368" s="145"/>
      <c r="C368" s="145"/>
      <c r="D368" s="145"/>
      <c r="S368" s="68"/>
    </row>
    <row r="369" spans="1:19" s="114" customFormat="1">
      <c r="A369" s="145"/>
      <c r="B369" s="145"/>
      <c r="C369" s="145"/>
      <c r="D369" s="145"/>
      <c r="S369" s="68"/>
    </row>
    <row r="370" spans="1:19" s="114" customFormat="1">
      <c r="A370" s="145"/>
      <c r="B370" s="145"/>
      <c r="C370" s="145"/>
      <c r="D370" s="145"/>
      <c r="S370" s="68"/>
    </row>
    <row r="371" spans="1:19" s="114" customFormat="1">
      <c r="A371" s="145"/>
      <c r="B371" s="145"/>
      <c r="C371" s="145"/>
      <c r="D371" s="145"/>
      <c r="S371" s="68"/>
    </row>
    <row r="372" spans="1:19" s="114" customFormat="1">
      <c r="A372" s="145"/>
      <c r="B372" s="145"/>
      <c r="C372" s="145"/>
      <c r="D372" s="145"/>
      <c r="S372" s="68"/>
    </row>
    <row r="373" spans="1:19" s="114" customFormat="1">
      <c r="A373" s="145"/>
      <c r="B373" s="145"/>
      <c r="C373" s="145"/>
      <c r="D373" s="145"/>
      <c r="S373" s="68"/>
    </row>
    <row r="374" spans="1:19" s="114" customFormat="1">
      <c r="A374" s="145"/>
      <c r="B374" s="145"/>
      <c r="C374" s="145"/>
      <c r="D374" s="145"/>
      <c r="S374" s="68"/>
    </row>
    <row r="375" spans="1:19" s="114" customFormat="1">
      <c r="A375" s="145"/>
      <c r="B375" s="145"/>
      <c r="C375" s="145"/>
      <c r="D375" s="145"/>
      <c r="S375" s="68"/>
    </row>
    <row r="376" spans="1:19" s="114" customFormat="1">
      <c r="A376" s="145"/>
      <c r="B376" s="145"/>
      <c r="C376" s="145"/>
      <c r="D376" s="145"/>
      <c r="S376" s="68"/>
    </row>
    <row r="377" spans="1:19" s="114" customFormat="1">
      <c r="A377" s="145"/>
      <c r="B377" s="145"/>
      <c r="C377" s="145"/>
      <c r="D377" s="145"/>
      <c r="S377" s="68"/>
    </row>
    <row r="378" spans="1:19" s="114" customFormat="1">
      <c r="A378" s="145"/>
      <c r="B378" s="145"/>
      <c r="C378" s="145"/>
      <c r="D378" s="145"/>
      <c r="S378" s="68"/>
    </row>
    <row r="379" spans="1:19" s="114" customFormat="1">
      <c r="A379" s="145"/>
      <c r="B379" s="145"/>
      <c r="C379" s="145"/>
      <c r="D379" s="145"/>
      <c r="S379" s="68"/>
    </row>
    <row r="380" spans="1:19" s="114" customFormat="1">
      <c r="A380" s="145"/>
      <c r="B380" s="145"/>
      <c r="C380" s="145"/>
      <c r="D380" s="145"/>
      <c r="S380" s="68"/>
    </row>
    <row r="381" spans="1:19" s="114" customFormat="1">
      <c r="A381" s="145"/>
      <c r="B381" s="145"/>
      <c r="C381" s="145"/>
      <c r="D381" s="145"/>
      <c r="S381" s="68"/>
    </row>
    <row r="382" spans="1:19" s="114" customFormat="1">
      <c r="A382" s="145"/>
      <c r="B382" s="145"/>
      <c r="C382" s="145"/>
      <c r="D382" s="145"/>
      <c r="S382" s="68"/>
    </row>
    <row r="383" spans="1:19" s="114" customFormat="1">
      <c r="A383" s="145"/>
      <c r="B383" s="145"/>
      <c r="C383" s="145"/>
      <c r="D383" s="145"/>
      <c r="S383" s="68"/>
    </row>
    <row r="384" spans="1:19" s="114" customFormat="1">
      <c r="A384" s="145"/>
      <c r="B384" s="145"/>
      <c r="C384" s="145"/>
      <c r="D384" s="145"/>
      <c r="S384" s="68"/>
    </row>
    <row r="385" spans="1:19" s="114" customFormat="1">
      <c r="A385" s="145"/>
      <c r="B385" s="145"/>
      <c r="C385" s="145"/>
      <c r="D385" s="145"/>
      <c r="S385" s="68"/>
    </row>
    <row r="386" spans="1:19" s="114" customFormat="1">
      <c r="A386" s="145"/>
      <c r="B386" s="145"/>
      <c r="C386" s="145"/>
      <c r="D386" s="145"/>
      <c r="S386" s="68"/>
    </row>
    <row r="387" spans="1:19" s="114" customFormat="1">
      <c r="A387" s="145"/>
      <c r="B387" s="145"/>
      <c r="C387" s="145"/>
      <c r="D387" s="145"/>
      <c r="S387" s="68"/>
    </row>
    <row r="388" spans="1:19" s="114" customFormat="1">
      <c r="A388" s="145"/>
      <c r="B388" s="145"/>
      <c r="C388" s="145"/>
      <c r="D388" s="145"/>
      <c r="S388" s="68"/>
    </row>
    <row r="389" spans="1:19" s="114" customFormat="1">
      <c r="A389" s="145"/>
      <c r="B389" s="145"/>
      <c r="C389" s="145"/>
      <c r="D389" s="145"/>
      <c r="S389" s="68"/>
    </row>
    <row r="390" spans="1:19" s="114" customFormat="1">
      <c r="A390" s="145"/>
      <c r="B390" s="145"/>
      <c r="C390" s="145"/>
      <c r="D390" s="145"/>
      <c r="S390" s="68"/>
    </row>
    <row r="391" spans="1:19" s="114" customFormat="1">
      <c r="A391" s="145"/>
      <c r="B391" s="145"/>
      <c r="C391" s="145"/>
      <c r="D391" s="145"/>
      <c r="S391" s="68"/>
    </row>
    <row r="392" spans="1:19" s="114" customFormat="1">
      <c r="A392" s="145"/>
      <c r="B392" s="145"/>
      <c r="C392" s="145"/>
      <c r="D392" s="145"/>
      <c r="S392" s="68"/>
    </row>
    <row r="393" spans="1:19" s="114" customFormat="1">
      <c r="A393" s="145"/>
      <c r="B393" s="145"/>
      <c r="C393" s="145"/>
      <c r="D393" s="145"/>
      <c r="S393" s="68"/>
    </row>
    <row r="394" spans="1:19" s="114" customFormat="1">
      <c r="A394" s="145"/>
      <c r="B394" s="145"/>
      <c r="C394" s="145"/>
      <c r="D394" s="145"/>
      <c r="S394" s="68"/>
    </row>
    <row r="395" spans="1:19" s="114" customFormat="1">
      <c r="A395" s="145"/>
      <c r="B395" s="145"/>
      <c r="C395" s="145"/>
      <c r="D395" s="145"/>
      <c r="S395" s="68"/>
    </row>
    <row r="396" spans="1:19" s="114" customFormat="1">
      <c r="A396" s="145"/>
      <c r="B396" s="145"/>
      <c r="C396" s="145"/>
      <c r="D396" s="145"/>
      <c r="S396" s="68"/>
    </row>
    <row r="397" spans="1:19" s="114" customFormat="1">
      <c r="A397" s="145"/>
      <c r="B397" s="145"/>
      <c r="C397" s="145"/>
      <c r="D397" s="145"/>
      <c r="S397" s="68"/>
    </row>
    <row r="398" spans="1:19" s="114" customFormat="1">
      <c r="A398" s="145"/>
      <c r="B398" s="145"/>
      <c r="C398" s="145"/>
      <c r="D398" s="145"/>
      <c r="S398" s="68"/>
    </row>
    <row r="399" spans="1:19" s="114" customFormat="1">
      <c r="A399" s="145"/>
      <c r="B399" s="145"/>
      <c r="C399" s="145"/>
      <c r="D399" s="145"/>
      <c r="S399" s="68"/>
    </row>
    <row r="400" spans="1:19" s="114" customFormat="1">
      <c r="A400" s="145"/>
      <c r="B400" s="145"/>
      <c r="C400" s="145"/>
      <c r="D400" s="145"/>
      <c r="S400" s="68"/>
    </row>
    <row r="401" spans="1:19" s="114" customFormat="1">
      <c r="A401" s="145"/>
      <c r="B401" s="145"/>
      <c r="C401" s="145"/>
      <c r="D401" s="145"/>
      <c r="S401" s="68"/>
    </row>
    <row r="402" spans="1:19" s="114" customFormat="1">
      <c r="A402" s="145"/>
      <c r="B402" s="145"/>
      <c r="C402" s="145"/>
      <c r="D402" s="145"/>
      <c r="S402" s="68"/>
    </row>
    <row r="403" spans="1:19" s="114" customFormat="1">
      <c r="A403" s="145"/>
      <c r="B403" s="145"/>
      <c r="C403" s="145"/>
      <c r="D403" s="145"/>
      <c r="S403" s="68"/>
    </row>
    <row r="404" spans="1:19" s="114" customFormat="1">
      <c r="A404" s="145"/>
      <c r="B404" s="145"/>
      <c r="C404" s="145"/>
      <c r="D404" s="145"/>
      <c r="S404" s="68"/>
    </row>
    <row r="405" spans="1:19" s="114" customFormat="1">
      <c r="A405" s="145"/>
      <c r="B405" s="145"/>
      <c r="C405" s="145"/>
      <c r="D405" s="145"/>
      <c r="S405" s="68"/>
    </row>
    <row r="406" spans="1:19" s="114" customFormat="1">
      <c r="A406" s="145"/>
      <c r="B406" s="145"/>
      <c r="C406" s="145"/>
      <c r="D406" s="145"/>
      <c r="S406" s="68"/>
    </row>
    <row r="407" spans="1:19" s="114" customFormat="1">
      <c r="A407" s="145"/>
      <c r="B407" s="145"/>
      <c r="C407" s="145"/>
      <c r="D407" s="145"/>
      <c r="S407" s="68"/>
    </row>
    <row r="408" spans="1:19" s="114" customFormat="1">
      <c r="A408" s="145"/>
      <c r="B408" s="145"/>
      <c r="C408" s="145"/>
      <c r="D408" s="145"/>
      <c r="S408" s="68"/>
    </row>
    <row r="409" spans="1:19" s="114" customFormat="1">
      <c r="A409" s="145"/>
      <c r="B409" s="145"/>
      <c r="C409" s="145"/>
      <c r="D409" s="145"/>
      <c r="S409" s="68"/>
    </row>
    <row r="410" spans="1:19" s="114" customFormat="1">
      <c r="A410" s="145"/>
      <c r="B410" s="145"/>
      <c r="C410" s="145"/>
      <c r="D410" s="145"/>
      <c r="S410" s="68"/>
    </row>
    <row r="411" spans="1:19" s="114" customFormat="1">
      <c r="A411" s="145"/>
      <c r="B411" s="145"/>
      <c r="C411" s="145"/>
      <c r="D411" s="145"/>
      <c r="S411" s="68"/>
    </row>
    <row r="412" spans="1:19" s="114" customFormat="1">
      <c r="A412" s="145"/>
      <c r="B412" s="145"/>
      <c r="C412" s="145"/>
      <c r="D412" s="145"/>
      <c r="S412" s="68"/>
    </row>
    <row r="413" spans="1:19" s="114" customFormat="1">
      <c r="A413" s="145"/>
      <c r="B413" s="145"/>
      <c r="C413" s="145"/>
      <c r="D413" s="145"/>
      <c r="S413" s="68"/>
    </row>
    <row r="414" spans="1:19" s="114" customFormat="1">
      <c r="A414" s="145"/>
      <c r="B414" s="145"/>
      <c r="C414" s="145"/>
      <c r="D414" s="145"/>
      <c r="S414" s="68"/>
    </row>
    <row r="415" spans="1:19" s="114" customFormat="1">
      <c r="A415" s="145"/>
      <c r="B415" s="145"/>
      <c r="C415" s="145"/>
      <c r="D415" s="145"/>
      <c r="S415" s="68"/>
    </row>
    <row r="416" spans="1:19" s="114" customFormat="1">
      <c r="A416" s="145"/>
      <c r="B416" s="145"/>
      <c r="C416" s="145"/>
      <c r="D416" s="145"/>
      <c r="S416" s="68"/>
    </row>
    <row r="417" spans="1:19" s="114" customFormat="1">
      <c r="A417" s="145"/>
      <c r="B417" s="145"/>
      <c r="C417" s="145"/>
      <c r="D417" s="145"/>
      <c r="S417" s="68"/>
    </row>
    <row r="418" spans="1:19" s="114" customFormat="1">
      <c r="A418" s="145"/>
      <c r="B418" s="145"/>
      <c r="C418" s="145"/>
      <c r="D418" s="145"/>
      <c r="S418" s="68"/>
    </row>
    <row r="419" spans="1:19" s="114" customFormat="1">
      <c r="A419" s="145"/>
      <c r="B419" s="145"/>
      <c r="C419" s="145"/>
      <c r="D419" s="145"/>
      <c r="S419" s="68"/>
    </row>
    <row r="420" spans="1:19" s="114" customFormat="1">
      <c r="A420" s="145"/>
      <c r="B420" s="145"/>
      <c r="C420" s="145"/>
      <c r="D420" s="145"/>
      <c r="S420" s="68"/>
    </row>
    <row r="421" spans="1:19" s="114" customFormat="1">
      <c r="A421" s="145"/>
      <c r="B421" s="145"/>
      <c r="C421" s="145"/>
      <c r="D421" s="145"/>
      <c r="S421" s="68"/>
    </row>
    <row r="422" spans="1:19" s="114" customFormat="1">
      <c r="A422" s="145"/>
      <c r="B422" s="145"/>
      <c r="C422" s="145"/>
      <c r="D422" s="145"/>
      <c r="S422" s="68"/>
    </row>
    <row r="423" spans="1:19" s="114" customFormat="1">
      <c r="A423" s="145"/>
      <c r="B423" s="145"/>
      <c r="C423" s="145"/>
      <c r="D423" s="145"/>
      <c r="S423" s="68"/>
    </row>
    <row r="424" spans="1:19" s="114" customFormat="1">
      <c r="A424" s="145"/>
      <c r="B424" s="145"/>
      <c r="C424" s="145"/>
      <c r="D424" s="145"/>
      <c r="S424" s="68"/>
    </row>
    <row r="425" spans="1:19" s="114" customFormat="1">
      <c r="A425" s="145"/>
      <c r="B425" s="145"/>
      <c r="C425" s="145"/>
      <c r="D425" s="145"/>
      <c r="S425" s="68"/>
    </row>
    <row r="426" spans="1:19" s="114" customFormat="1">
      <c r="A426" s="145"/>
      <c r="B426" s="145"/>
      <c r="C426" s="145"/>
      <c r="D426" s="145"/>
      <c r="S426" s="68"/>
    </row>
    <row r="427" spans="1:19" s="114" customFormat="1">
      <c r="A427" s="145"/>
      <c r="B427" s="145"/>
      <c r="C427" s="145"/>
      <c r="D427" s="145"/>
      <c r="S427" s="68"/>
    </row>
    <row r="428" spans="1:19" s="114" customFormat="1">
      <c r="A428" s="145"/>
      <c r="B428" s="145"/>
      <c r="C428" s="145"/>
      <c r="D428" s="145"/>
      <c r="S428" s="68"/>
    </row>
    <row r="429" spans="1:19" s="114" customFormat="1">
      <c r="A429" s="145"/>
      <c r="B429" s="145"/>
      <c r="C429" s="145"/>
      <c r="D429" s="145"/>
      <c r="S429" s="68"/>
    </row>
    <row r="430" spans="1:19" s="114" customFormat="1">
      <c r="A430" s="145"/>
      <c r="B430" s="145"/>
      <c r="C430" s="145"/>
      <c r="D430" s="145"/>
      <c r="S430" s="68"/>
    </row>
    <row r="431" spans="1:19" s="114" customFormat="1">
      <c r="A431" s="145"/>
      <c r="B431" s="145"/>
      <c r="C431" s="145"/>
      <c r="D431" s="145"/>
      <c r="S431" s="68"/>
    </row>
    <row r="432" spans="1:19" s="114" customFormat="1">
      <c r="A432" s="145"/>
      <c r="B432" s="145"/>
      <c r="C432" s="145"/>
      <c r="D432" s="145"/>
      <c r="S432" s="68"/>
    </row>
    <row r="433" spans="1:19" s="114" customFormat="1">
      <c r="A433" s="145"/>
      <c r="B433" s="145"/>
      <c r="C433" s="145"/>
      <c r="D433" s="145"/>
      <c r="S433" s="68"/>
    </row>
    <row r="434" spans="1:19" s="114" customFormat="1">
      <c r="A434" s="145"/>
      <c r="B434" s="145"/>
      <c r="C434" s="145"/>
      <c r="D434" s="145"/>
      <c r="S434" s="68"/>
    </row>
    <row r="435" spans="1:19" s="114" customFormat="1">
      <c r="A435" s="145"/>
      <c r="B435" s="145"/>
      <c r="C435" s="145"/>
      <c r="D435" s="145"/>
      <c r="S435" s="68"/>
    </row>
    <row r="436" spans="1:19" s="114" customFormat="1">
      <c r="A436" s="145"/>
      <c r="B436" s="145"/>
      <c r="C436" s="145"/>
      <c r="D436" s="145"/>
      <c r="S436" s="68"/>
    </row>
    <row r="437" spans="1:19" s="114" customFormat="1">
      <c r="A437" s="145"/>
      <c r="B437" s="145"/>
      <c r="C437" s="145"/>
      <c r="D437" s="145"/>
      <c r="S437" s="68"/>
    </row>
    <row r="438" spans="1:19" s="114" customFormat="1">
      <c r="A438" s="145"/>
      <c r="B438" s="145"/>
      <c r="C438" s="145"/>
      <c r="D438" s="145"/>
      <c r="S438" s="68"/>
    </row>
    <row r="439" spans="1:19" s="114" customFormat="1">
      <c r="A439" s="145"/>
      <c r="B439" s="145"/>
      <c r="C439" s="145"/>
      <c r="D439" s="145"/>
      <c r="S439" s="68"/>
    </row>
    <row r="440" spans="1:19" s="114" customFormat="1">
      <c r="A440" s="145"/>
      <c r="B440" s="145"/>
      <c r="C440" s="145"/>
      <c r="D440" s="145"/>
      <c r="S440" s="68"/>
    </row>
    <row r="441" spans="1:19" s="114" customFormat="1">
      <c r="A441" s="145"/>
      <c r="B441" s="145"/>
      <c r="C441" s="145"/>
      <c r="D441" s="145"/>
      <c r="S441" s="68"/>
    </row>
    <row r="442" spans="1:19" s="114" customFormat="1">
      <c r="A442" s="145"/>
      <c r="B442" s="145"/>
      <c r="C442" s="145"/>
      <c r="D442" s="145"/>
      <c r="S442" s="68"/>
    </row>
    <row r="443" spans="1:19" s="114" customFormat="1">
      <c r="A443" s="145"/>
      <c r="B443" s="145"/>
      <c r="C443" s="145"/>
      <c r="D443" s="145"/>
      <c r="S443" s="68"/>
    </row>
    <row r="444" spans="1:19" s="114" customFormat="1">
      <c r="A444" s="145"/>
      <c r="B444" s="145"/>
      <c r="C444" s="145"/>
      <c r="D444" s="145"/>
      <c r="S444" s="68"/>
    </row>
    <row r="445" spans="1:19" s="114" customFormat="1">
      <c r="A445" s="145"/>
      <c r="B445" s="145"/>
      <c r="C445" s="145"/>
      <c r="D445" s="145"/>
      <c r="S445" s="68"/>
    </row>
    <row r="446" spans="1:19" s="114" customFormat="1">
      <c r="A446" s="145"/>
      <c r="B446" s="145"/>
      <c r="C446" s="145"/>
      <c r="D446" s="145"/>
      <c r="S446" s="68"/>
    </row>
    <row r="447" spans="1:19" s="114" customFormat="1">
      <c r="A447" s="145"/>
      <c r="B447" s="145"/>
      <c r="C447" s="145"/>
      <c r="D447" s="145"/>
      <c r="S447" s="68"/>
    </row>
    <row r="448" spans="1:19" s="114" customFormat="1">
      <c r="A448" s="145"/>
      <c r="B448" s="145"/>
      <c r="C448" s="145"/>
      <c r="D448" s="145"/>
      <c r="S448" s="68"/>
    </row>
    <row r="449" spans="1:19" s="114" customFormat="1">
      <c r="A449" s="145"/>
      <c r="B449" s="145"/>
      <c r="C449" s="145"/>
      <c r="D449" s="145"/>
      <c r="S449" s="68"/>
    </row>
    <row r="450" spans="1:19" s="114" customFormat="1">
      <c r="A450" s="145"/>
      <c r="B450" s="145"/>
      <c r="C450" s="145"/>
      <c r="D450" s="145"/>
      <c r="S450" s="68"/>
    </row>
    <row r="451" spans="1:19" s="114" customFormat="1">
      <c r="A451" s="145"/>
      <c r="B451" s="145"/>
      <c r="C451" s="145"/>
      <c r="D451" s="145"/>
      <c r="S451" s="68"/>
    </row>
    <row r="452" spans="1:19" s="114" customFormat="1">
      <c r="A452" s="145"/>
      <c r="B452" s="145"/>
      <c r="C452" s="145"/>
      <c r="D452" s="145"/>
      <c r="S452" s="68"/>
    </row>
    <row r="453" spans="1:19" s="114" customFormat="1">
      <c r="A453" s="145"/>
      <c r="B453" s="145"/>
      <c r="C453" s="145"/>
      <c r="D453" s="145"/>
      <c r="S453" s="68"/>
    </row>
    <row r="454" spans="1:19" s="114" customFormat="1">
      <c r="A454" s="145"/>
      <c r="B454" s="145"/>
      <c r="C454" s="145"/>
      <c r="D454" s="145"/>
      <c r="S454" s="68"/>
    </row>
    <row r="455" spans="1:19" s="114" customFormat="1">
      <c r="A455" s="145"/>
      <c r="B455" s="145"/>
      <c r="C455" s="145"/>
      <c r="D455" s="145"/>
      <c r="S455" s="68"/>
    </row>
    <row r="456" spans="1:19" s="114" customFormat="1">
      <c r="A456" s="145"/>
      <c r="B456" s="145"/>
      <c r="C456" s="145"/>
      <c r="D456" s="145"/>
      <c r="S456" s="68"/>
    </row>
    <row r="457" spans="1:19" s="114" customFormat="1">
      <c r="A457" s="145"/>
      <c r="B457" s="145"/>
      <c r="C457" s="145"/>
      <c r="D457" s="145"/>
      <c r="S457" s="68"/>
    </row>
    <row r="458" spans="1:19" s="114" customFormat="1">
      <c r="A458" s="145"/>
      <c r="B458" s="145"/>
      <c r="C458" s="145"/>
      <c r="D458" s="145"/>
      <c r="S458" s="68"/>
    </row>
    <row r="459" spans="1:19" s="114" customFormat="1">
      <c r="A459" s="145"/>
      <c r="B459" s="145"/>
      <c r="C459" s="145"/>
      <c r="D459" s="145"/>
      <c r="S459" s="68"/>
    </row>
    <row r="460" spans="1:19" s="114" customFormat="1">
      <c r="A460" s="145"/>
      <c r="B460" s="145"/>
      <c r="C460" s="145"/>
      <c r="D460" s="145"/>
      <c r="S460" s="68"/>
    </row>
    <row r="461" spans="1:19" s="114" customFormat="1">
      <c r="A461" s="145"/>
      <c r="B461" s="145"/>
      <c r="C461" s="145"/>
      <c r="D461" s="145"/>
      <c r="S461" s="68"/>
    </row>
    <row r="462" spans="1:19" s="114" customFormat="1">
      <c r="A462" s="145"/>
      <c r="B462" s="145"/>
      <c r="C462" s="145"/>
      <c r="D462" s="145"/>
      <c r="S462" s="68"/>
    </row>
    <row r="463" spans="1:19" s="114" customFormat="1">
      <c r="A463" s="145"/>
      <c r="B463" s="145"/>
      <c r="C463" s="145"/>
      <c r="D463" s="145"/>
      <c r="S463" s="68"/>
    </row>
    <row r="464" spans="1:19" s="114" customFormat="1">
      <c r="A464" s="145"/>
      <c r="B464" s="145"/>
      <c r="C464" s="145"/>
      <c r="D464" s="145"/>
      <c r="S464" s="68"/>
    </row>
    <row r="465" spans="1:19" s="114" customFormat="1">
      <c r="A465" s="145"/>
      <c r="B465" s="145"/>
      <c r="C465" s="145"/>
      <c r="D465" s="145"/>
      <c r="S465" s="68"/>
    </row>
    <row r="466" spans="1:19" s="114" customFormat="1">
      <c r="A466" s="145"/>
      <c r="B466" s="145"/>
      <c r="C466" s="145"/>
      <c r="D466" s="145"/>
      <c r="S466" s="68"/>
    </row>
    <row r="467" spans="1:19" s="114" customFormat="1">
      <c r="A467" s="145"/>
      <c r="B467" s="145"/>
      <c r="C467" s="145"/>
      <c r="D467" s="145"/>
      <c r="S467" s="68"/>
    </row>
    <row r="468" spans="1:19" s="114" customFormat="1">
      <c r="A468" s="145"/>
      <c r="B468" s="145"/>
      <c r="C468" s="145"/>
      <c r="D468" s="145"/>
      <c r="S468" s="68"/>
    </row>
    <row r="469" spans="1:19" s="114" customFormat="1">
      <c r="A469" s="145"/>
      <c r="B469" s="145"/>
      <c r="C469" s="145"/>
      <c r="D469" s="145"/>
      <c r="S469" s="68"/>
    </row>
    <row r="470" spans="1:19" s="114" customFormat="1">
      <c r="A470" s="145"/>
      <c r="B470" s="145"/>
      <c r="C470" s="145"/>
      <c r="D470" s="145"/>
      <c r="S470" s="68"/>
    </row>
    <row r="471" spans="1:19" s="114" customFormat="1">
      <c r="A471" s="145"/>
      <c r="B471" s="145"/>
      <c r="C471" s="145"/>
      <c r="D471" s="145"/>
      <c r="S471" s="68"/>
    </row>
    <row r="472" spans="1:19" s="114" customFormat="1">
      <c r="A472" s="145"/>
      <c r="B472" s="145"/>
      <c r="C472" s="145"/>
      <c r="D472" s="145"/>
      <c r="S472" s="68"/>
    </row>
    <row r="473" spans="1:19" s="114" customFormat="1">
      <c r="A473" s="145"/>
      <c r="B473" s="145"/>
      <c r="C473" s="145"/>
      <c r="D473" s="145"/>
      <c r="S473" s="68"/>
    </row>
    <row r="474" spans="1:19" s="114" customFormat="1">
      <c r="A474" s="145"/>
      <c r="B474" s="145"/>
      <c r="C474" s="145"/>
      <c r="D474" s="145"/>
      <c r="S474" s="68"/>
    </row>
    <row r="475" spans="1:19" s="114" customFormat="1">
      <c r="A475" s="145"/>
      <c r="B475" s="145"/>
      <c r="C475" s="145"/>
      <c r="D475" s="145"/>
      <c r="S475" s="68"/>
    </row>
    <row r="476" spans="1:19" s="114" customFormat="1">
      <c r="A476" s="145"/>
      <c r="B476" s="145"/>
      <c r="C476" s="145"/>
      <c r="D476" s="145"/>
      <c r="S476" s="68"/>
    </row>
    <row r="477" spans="1:19" s="114" customFormat="1">
      <c r="A477" s="145"/>
      <c r="B477" s="145"/>
      <c r="C477" s="145"/>
      <c r="D477" s="145"/>
      <c r="S477" s="68"/>
    </row>
    <row r="478" spans="1:19" s="114" customFormat="1">
      <c r="A478" s="145"/>
      <c r="B478" s="145"/>
      <c r="C478" s="145"/>
      <c r="D478" s="145"/>
      <c r="S478" s="68"/>
    </row>
    <row r="479" spans="1:19" s="114" customFormat="1">
      <c r="A479" s="145"/>
      <c r="B479" s="145"/>
      <c r="C479" s="145"/>
      <c r="D479" s="145"/>
      <c r="S479" s="68"/>
    </row>
    <row r="480" spans="1:19" s="114" customFormat="1">
      <c r="A480" s="145"/>
      <c r="B480" s="145"/>
      <c r="C480" s="145"/>
      <c r="D480" s="145"/>
      <c r="S480" s="68"/>
    </row>
    <row r="481" spans="1:19" s="114" customFormat="1">
      <c r="A481" s="145"/>
      <c r="B481" s="145"/>
      <c r="C481" s="145"/>
      <c r="D481" s="145"/>
      <c r="S481" s="68"/>
    </row>
    <row r="482" spans="1:19" s="114" customFormat="1">
      <c r="A482" s="145"/>
      <c r="B482" s="145"/>
      <c r="C482" s="145"/>
      <c r="D482" s="145"/>
      <c r="S482" s="68"/>
    </row>
    <row r="483" spans="1:19" s="114" customFormat="1">
      <c r="A483" s="145"/>
      <c r="B483" s="145"/>
      <c r="C483" s="145"/>
      <c r="D483" s="145"/>
      <c r="S483" s="68"/>
    </row>
    <row r="484" spans="1:19" s="114" customFormat="1">
      <c r="A484" s="145"/>
      <c r="B484" s="145"/>
      <c r="C484" s="145"/>
      <c r="D484" s="145"/>
      <c r="S484" s="68"/>
    </row>
    <row r="485" spans="1:19" s="114" customFormat="1">
      <c r="A485" s="145"/>
      <c r="B485" s="145"/>
      <c r="C485" s="145"/>
      <c r="D485" s="145"/>
      <c r="S485" s="68"/>
    </row>
    <row r="486" spans="1:19" s="114" customFormat="1">
      <c r="A486" s="145"/>
      <c r="B486" s="145"/>
      <c r="C486" s="145"/>
      <c r="D486" s="145"/>
      <c r="S486" s="68"/>
    </row>
    <row r="487" spans="1:19" s="114" customFormat="1">
      <c r="A487" s="145"/>
      <c r="B487" s="145"/>
      <c r="C487" s="145"/>
      <c r="D487" s="145"/>
      <c r="S487" s="68"/>
    </row>
    <row r="488" spans="1:19" s="114" customFormat="1">
      <c r="A488" s="145"/>
      <c r="B488" s="145"/>
      <c r="C488" s="145"/>
      <c r="D488" s="145"/>
      <c r="S488" s="68"/>
    </row>
    <row r="489" spans="1:19" s="114" customFormat="1">
      <c r="A489" s="145"/>
      <c r="B489" s="145"/>
      <c r="C489" s="145"/>
      <c r="D489" s="145"/>
      <c r="S489" s="68"/>
    </row>
    <row r="490" spans="1:19" s="114" customFormat="1">
      <c r="A490" s="145"/>
      <c r="B490" s="145"/>
      <c r="C490" s="145"/>
      <c r="D490" s="145"/>
      <c r="S490" s="68"/>
    </row>
    <row r="491" spans="1:19" s="114" customFormat="1">
      <c r="A491" s="145"/>
      <c r="B491" s="145"/>
      <c r="C491" s="145"/>
      <c r="D491" s="145"/>
      <c r="S491" s="68"/>
    </row>
    <row r="492" spans="1:19" s="114" customFormat="1">
      <c r="A492" s="145"/>
      <c r="B492" s="145"/>
      <c r="C492" s="145"/>
      <c r="D492" s="145"/>
      <c r="S492" s="68"/>
    </row>
    <row r="493" spans="1:19" s="114" customFormat="1">
      <c r="A493" s="145"/>
      <c r="B493" s="145"/>
      <c r="C493" s="145"/>
      <c r="D493" s="145"/>
      <c r="S493" s="68"/>
    </row>
    <row r="494" spans="1:19" s="114" customFormat="1">
      <c r="A494" s="145"/>
      <c r="B494" s="145"/>
      <c r="C494" s="145"/>
      <c r="D494" s="145"/>
      <c r="S494" s="68"/>
    </row>
    <row r="495" spans="1:19" s="114" customFormat="1">
      <c r="A495" s="145"/>
      <c r="B495" s="145"/>
      <c r="C495" s="145"/>
      <c r="D495" s="145"/>
      <c r="S495" s="68"/>
    </row>
    <row r="496" spans="1:19" s="114" customFormat="1">
      <c r="A496" s="145"/>
      <c r="B496" s="145"/>
      <c r="C496" s="145"/>
      <c r="D496" s="145"/>
      <c r="S496" s="68"/>
    </row>
    <row r="497" spans="1:19" s="114" customFormat="1">
      <c r="A497" s="145"/>
      <c r="B497" s="145"/>
      <c r="C497" s="145"/>
      <c r="D497" s="145"/>
      <c r="S497" s="68"/>
    </row>
    <row r="498" spans="1:19" s="114" customFormat="1">
      <c r="A498" s="145"/>
      <c r="B498" s="145"/>
      <c r="C498" s="145"/>
      <c r="D498" s="145"/>
      <c r="S498" s="68"/>
    </row>
    <row r="499" spans="1:19" s="114" customFormat="1">
      <c r="A499" s="145"/>
      <c r="B499" s="145"/>
      <c r="C499" s="145"/>
      <c r="D499" s="145"/>
      <c r="S499" s="68"/>
    </row>
    <row r="500" spans="1:19" s="114" customFormat="1">
      <c r="A500" s="145"/>
      <c r="B500" s="145"/>
      <c r="C500" s="145"/>
      <c r="D500" s="145"/>
      <c r="S500" s="68"/>
    </row>
    <row r="501" spans="1:19" s="114" customFormat="1">
      <c r="A501" s="145"/>
      <c r="B501" s="145"/>
      <c r="C501" s="145"/>
      <c r="D501" s="145"/>
      <c r="S501" s="68"/>
    </row>
    <row r="502" spans="1:19" s="114" customFormat="1">
      <c r="A502" s="145"/>
      <c r="B502" s="145"/>
      <c r="C502" s="145"/>
      <c r="D502" s="145"/>
      <c r="S502" s="68"/>
    </row>
    <row r="503" spans="1:19" s="114" customFormat="1">
      <c r="A503" s="145"/>
      <c r="B503" s="145"/>
      <c r="C503" s="145"/>
      <c r="D503" s="145"/>
      <c r="S503" s="68"/>
    </row>
    <row r="504" spans="1:19" s="114" customFormat="1">
      <c r="A504" s="145"/>
      <c r="B504" s="145"/>
      <c r="C504" s="145"/>
      <c r="D504" s="145"/>
      <c r="S504" s="68"/>
    </row>
    <row r="505" spans="1:19" s="114" customFormat="1">
      <c r="A505" s="145"/>
      <c r="B505" s="145"/>
      <c r="C505" s="145"/>
      <c r="D505" s="145"/>
      <c r="S505" s="68"/>
    </row>
    <row r="506" spans="1:19" s="114" customFormat="1">
      <c r="A506" s="145"/>
      <c r="B506" s="145"/>
      <c r="C506" s="145"/>
      <c r="D506" s="145"/>
      <c r="S506" s="68"/>
    </row>
    <row r="507" spans="1:19" s="114" customFormat="1">
      <c r="A507" s="145"/>
      <c r="B507" s="145"/>
      <c r="C507" s="145"/>
      <c r="D507" s="145"/>
      <c r="S507" s="68"/>
    </row>
    <row r="508" spans="1:19" s="114" customFormat="1">
      <c r="A508" s="145"/>
      <c r="B508" s="145"/>
      <c r="C508" s="145"/>
      <c r="D508" s="145"/>
      <c r="S508" s="68"/>
    </row>
    <row r="509" spans="1:19" s="114" customFormat="1">
      <c r="A509" s="145"/>
      <c r="B509" s="145"/>
      <c r="C509" s="145"/>
      <c r="D509" s="145"/>
      <c r="S509" s="68"/>
    </row>
    <row r="510" spans="1:19" s="114" customFormat="1">
      <c r="A510" s="145"/>
      <c r="B510" s="145"/>
      <c r="C510" s="145"/>
      <c r="D510" s="145"/>
      <c r="S510" s="68"/>
    </row>
    <row r="511" spans="1:19" s="114" customFormat="1">
      <c r="A511" s="145"/>
      <c r="B511" s="145"/>
      <c r="C511" s="145"/>
      <c r="D511" s="145"/>
      <c r="S511" s="68"/>
    </row>
    <row r="512" spans="1:19" s="114" customFormat="1">
      <c r="A512" s="145"/>
      <c r="B512" s="145"/>
      <c r="C512" s="145"/>
      <c r="D512" s="145"/>
      <c r="S512" s="68"/>
    </row>
    <row r="513" spans="1:19" s="114" customFormat="1">
      <c r="A513" s="145"/>
      <c r="B513" s="145"/>
      <c r="C513" s="145"/>
      <c r="D513" s="145"/>
      <c r="S513" s="68"/>
    </row>
    <row r="514" spans="1:19" s="114" customFormat="1">
      <c r="A514" s="145"/>
      <c r="B514" s="145"/>
      <c r="C514" s="145"/>
      <c r="D514" s="145"/>
      <c r="S514" s="68"/>
    </row>
    <row r="515" spans="1:19" s="114" customFormat="1">
      <c r="A515" s="145"/>
      <c r="B515" s="145"/>
      <c r="C515" s="145"/>
      <c r="D515" s="145"/>
      <c r="S515" s="68"/>
    </row>
    <row r="516" spans="1:19" s="114" customFormat="1">
      <c r="A516" s="145"/>
      <c r="B516" s="145"/>
      <c r="C516" s="145"/>
      <c r="D516" s="145"/>
      <c r="S516" s="68"/>
    </row>
    <row r="517" spans="1:19" s="114" customFormat="1">
      <c r="A517" s="145"/>
      <c r="B517" s="145"/>
      <c r="C517" s="145"/>
      <c r="D517" s="145"/>
      <c r="S517" s="68"/>
    </row>
    <row r="518" spans="1:19" s="114" customFormat="1">
      <c r="A518" s="145"/>
      <c r="B518" s="145"/>
      <c r="C518" s="145"/>
      <c r="D518" s="145"/>
      <c r="S518" s="68"/>
    </row>
    <row r="519" spans="1:19" s="114" customFormat="1">
      <c r="A519" s="145"/>
      <c r="B519" s="145"/>
      <c r="C519" s="145"/>
      <c r="D519" s="145"/>
      <c r="S519" s="68"/>
    </row>
    <row r="520" spans="1:19" s="114" customFormat="1">
      <c r="A520" s="145"/>
      <c r="B520" s="145"/>
      <c r="C520" s="145"/>
      <c r="D520" s="145"/>
      <c r="S520" s="68"/>
    </row>
    <row r="521" spans="1:19" s="114" customFormat="1">
      <c r="A521" s="145"/>
      <c r="B521" s="145"/>
      <c r="C521" s="145"/>
      <c r="D521" s="145"/>
      <c r="S521" s="68"/>
    </row>
    <row r="522" spans="1:19" s="114" customFormat="1">
      <c r="A522" s="145"/>
      <c r="B522" s="145"/>
      <c r="C522" s="145"/>
      <c r="D522" s="145"/>
      <c r="S522" s="68"/>
    </row>
    <row r="523" spans="1:19" s="114" customFormat="1">
      <c r="A523" s="145"/>
      <c r="B523" s="145"/>
      <c r="C523" s="145"/>
      <c r="D523" s="145"/>
      <c r="S523" s="68"/>
    </row>
    <row r="524" spans="1:19" s="114" customFormat="1">
      <c r="A524" s="145"/>
      <c r="B524" s="145"/>
      <c r="C524" s="145"/>
      <c r="D524" s="145"/>
      <c r="S524" s="68"/>
    </row>
    <row r="525" spans="1:19" s="114" customFormat="1">
      <c r="A525" s="145"/>
      <c r="B525" s="145"/>
      <c r="C525" s="145"/>
      <c r="D525" s="145"/>
      <c r="S525" s="68"/>
    </row>
    <row r="526" spans="1:19" s="114" customFormat="1">
      <c r="A526" s="145"/>
      <c r="B526" s="145"/>
      <c r="C526" s="145"/>
      <c r="D526" s="145"/>
      <c r="S526" s="68"/>
    </row>
    <row r="527" spans="1:19" s="114" customFormat="1">
      <c r="A527" s="145"/>
      <c r="B527" s="145"/>
      <c r="C527" s="145"/>
      <c r="D527" s="145"/>
      <c r="S527" s="68"/>
    </row>
    <row r="528" spans="1:19" s="114" customFormat="1">
      <c r="A528" s="145"/>
      <c r="B528" s="145"/>
      <c r="C528" s="145"/>
      <c r="D528" s="145"/>
      <c r="S528" s="68"/>
    </row>
    <row r="529" spans="1:19" s="114" customFormat="1">
      <c r="A529" s="145"/>
      <c r="B529" s="145"/>
      <c r="C529" s="145"/>
      <c r="D529" s="145"/>
      <c r="S529" s="68"/>
    </row>
    <row r="530" spans="1:19" s="114" customFormat="1">
      <c r="A530" s="145"/>
      <c r="B530" s="145"/>
      <c r="C530" s="145"/>
      <c r="D530" s="145"/>
      <c r="S530" s="68"/>
    </row>
    <row r="531" spans="1:19" s="114" customFormat="1">
      <c r="A531" s="145"/>
      <c r="B531" s="145"/>
      <c r="C531" s="145"/>
      <c r="D531" s="145"/>
      <c r="S531" s="68"/>
    </row>
    <row r="532" spans="1:19" s="114" customFormat="1">
      <c r="A532" s="145"/>
      <c r="B532" s="145"/>
      <c r="C532" s="145"/>
      <c r="D532" s="145"/>
      <c r="S532" s="68"/>
    </row>
    <row r="533" spans="1:19" s="114" customFormat="1">
      <c r="A533" s="145"/>
      <c r="B533" s="145"/>
      <c r="C533" s="145"/>
      <c r="D533" s="145"/>
      <c r="S533" s="68"/>
    </row>
    <row r="534" spans="1:19" s="114" customFormat="1">
      <c r="A534" s="145"/>
      <c r="B534" s="145"/>
      <c r="C534" s="145"/>
      <c r="D534" s="145"/>
      <c r="S534" s="68"/>
    </row>
    <row r="535" spans="1:19" s="114" customFormat="1">
      <c r="A535" s="145"/>
      <c r="B535" s="145"/>
      <c r="C535" s="145"/>
      <c r="D535" s="145"/>
      <c r="S535" s="68"/>
    </row>
    <row r="536" spans="1:19" s="114" customFormat="1">
      <c r="A536" s="145"/>
      <c r="B536" s="145"/>
      <c r="C536" s="145"/>
      <c r="D536" s="145"/>
      <c r="S536" s="68"/>
    </row>
    <row r="537" spans="1:19" s="114" customFormat="1">
      <c r="A537" s="145"/>
      <c r="B537" s="145"/>
      <c r="C537" s="145"/>
      <c r="D537" s="145"/>
      <c r="S537" s="68"/>
    </row>
    <row r="538" spans="1:19" s="114" customFormat="1">
      <c r="A538" s="145"/>
      <c r="B538" s="145"/>
      <c r="C538" s="145"/>
      <c r="D538" s="145"/>
      <c r="S538" s="68"/>
    </row>
    <row r="539" spans="1:19" s="114" customFormat="1">
      <c r="A539" s="145"/>
      <c r="B539" s="145"/>
      <c r="C539" s="145"/>
      <c r="D539" s="145"/>
      <c r="S539" s="68"/>
    </row>
    <row r="540" spans="1:19" s="114" customFormat="1">
      <c r="A540" s="145"/>
      <c r="B540" s="145"/>
      <c r="C540" s="145"/>
      <c r="D540" s="145"/>
      <c r="S540" s="68"/>
    </row>
    <row r="541" spans="1:19" s="114" customFormat="1">
      <c r="A541" s="145"/>
      <c r="B541" s="145"/>
      <c r="C541" s="145"/>
      <c r="D541" s="145"/>
      <c r="S541" s="68"/>
    </row>
    <row r="542" spans="1:19" s="114" customFormat="1">
      <c r="A542" s="145"/>
      <c r="B542" s="145"/>
      <c r="C542" s="145"/>
      <c r="D542" s="145"/>
      <c r="S542" s="68"/>
    </row>
    <row r="543" spans="1:19" s="114" customFormat="1">
      <c r="A543" s="145"/>
      <c r="B543" s="145"/>
      <c r="C543" s="145"/>
      <c r="D543" s="145"/>
      <c r="S543" s="68"/>
    </row>
    <row r="544" spans="1:19" s="114" customFormat="1">
      <c r="A544" s="145"/>
      <c r="B544" s="145"/>
      <c r="C544" s="145"/>
      <c r="D544" s="145"/>
      <c r="S544" s="68"/>
    </row>
    <row r="545" spans="1:19" s="114" customFormat="1">
      <c r="A545" s="145"/>
      <c r="B545" s="145"/>
      <c r="C545" s="145"/>
      <c r="D545" s="145"/>
      <c r="S545" s="68"/>
    </row>
    <row r="546" spans="1:19" s="114" customFormat="1">
      <c r="A546" s="145"/>
      <c r="B546" s="145"/>
      <c r="C546" s="145"/>
      <c r="D546" s="145"/>
      <c r="S546" s="68"/>
    </row>
    <row r="547" spans="1:19" s="114" customFormat="1">
      <c r="A547" s="145"/>
      <c r="B547" s="145"/>
      <c r="C547" s="145"/>
      <c r="D547" s="145"/>
      <c r="S547" s="68"/>
    </row>
    <row r="548" spans="1:19" s="114" customFormat="1">
      <c r="A548" s="145"/>
      <c r="B548" s="145"/>
      <c r="C548" s="145"/>
      <c r="D548" s="145"/>
      <c r="S548" s="68"/>
    </row>
    <row r="549" spans="1:19" s="114" customFormat="1">
      <c r="A549" s="145"/>
      <c r="B549" s="145"/>
      <c r="C549" s="145"/>
      <c r="D549" s="145"/>
      <c r="S549" s="68"/>
    </row>
    <row r="550" spans="1:19" s="114" customFormat="1">
      <c r="A550" s="145"/>
      <c r="B550" s="145"/>
      <c r="C550" s="145"/>
      <c r="D550" s="145"/>
      <c r="S550" s="68"/>
    </row>
    <row r="551" spans="1:19" s="114" customFormat="1">
      <c r="A551" s="145"/>
      <c r="B551" s="145"/>
      <c r="C551" s="145"/>
      <c r="D551" s="145"/>
      <c r="S551" s="68"/>
    </row>
    <row r="552" spans="1:19" s="114" customFormat="1">
      <c r="A552" s="145"/>
      <c r="B552" s="145"/>
      <c r="C552" s="145"/>
      <c r="D552" s="145"/>
      <c r="S552" s="68"/>
    </row>
    <row r="553" spans="1:19" s="114" customFormat="1">
      <c r="A553" s="145"/>
      <c r="B553" s="145"/>
      <c r="C553" s="145"/>
      <c r="D553" s="145"/>
      <c r="S553" s="68"/>
    </row>
    <row r="554" spans="1:19" s="114" customFormat="1">
      <c r="A554" s="145"/>
      <c r="B554" s="145"/>
      <c r="C554" s="145"/>
      <c r="D554" s="145"/>
      <c r="S554" s="68"/>
    </row>
    <row r="555" spans="1:19" s="114" customFormat="1">
      <c r="A555" s="145"/>
      <c r="B555" s="145"/>
      <c r="C555" s="145"/>
      <c r="D555" s="145"/>
      <c r="S555" s="68"/>
    </row>
    <row r="556" spans="1:19" s="114" customFormat="1">
      <c r="A556" s="145"/>
      <c r="B556" s="145"/>
      <c r="C556" s="145"/>
      <c r="D556" s="145"/>
      <c r="S556" s="68"/>
    </row>
    <row r="557" spans="1:19" s="114" customFormat="1">
      <c r="A557" s="145"/>
      <c r="B557" s="145"/>
      <c r="C557" s="145"/>
      <c r="D557" s="145"/>
      <c r="S557" s="68"/>
    </row>
    <row r="558" spans="1:19" s="114" customFormat="1">
      <c r="A558" s="145"/>
      <c r="B558" s="145"/>
      <c r="C558" s="145"/>
      <c r="D558" s="145"/>
      <c r="S558" s="68"/>
    </row>
    <row r="559" spans="1:19" s="114" customFormat="1">
      <c r="A559" s="145"/>
      <c r="B559" s="145"/>
      <c r="C559" s="145"/>
      <c r="D559" s="145"/>
      <c r="S559" s="68"/>
    </row>
    <row r="560" spans="1:19" s="114" customFormat="1">
      <c r="A560" s="145"/>
      <c r="B560" s="145"/>
      <c r="C560" s="145"/>
      <c r="D560" s="145"/>
      <c r="S560" s="68"/>
    </row>
    <row r="561" spans="1:19" s="114" customFormat="1">
      <c r="A561" s="145"/>
      <c r="B561" s="145"/>
      <c r="C561" s="145"/>
      <c r="D561" s="145"/>
      <c r="S561" s="68"/>
    </row>
    <row r="562" spans="1:19" s="114" customFormat="1">
      <c r="A562" s="145"/>
      <c r="B562" s="145"/>
      <c r="C562" s="145"/>
      <c r="D562" s="145"/>
      <c r="S562" s="68"/>
    </row>
    <row r="563" spans="1:19" s="114" customFormat="1">
      <c r="A563" s="145"/>
      <c r="B563" s="145"/>
      <c r="C563" s="145"/>
      <c r="D563" s="145"/>
      <c r="S563" s="68"/>
    </row>
    <row r="564" spans="1:19" s="114" customFormat="1">
      <c r="A564" s="145"/>
      <c r="B564" s="145"/>
      <c r="C564" s="145"/>
      <c r="D564" s="145"/>
      <c r="S564" s="68"/>
    </row>
    <row r="565" spans="1:19" s="114" customFormat="1">
      <c r="A565" s="145"/>
      <c r="B565" s="145"/>
      <c r="C565" s="145"/>
      <c r="D565" s="145"/>
      <c r="S565" s="68"/>
    </row>
    <row r="566" spans="1:19" s="114" customFormat="1">
      <c r="A566" s="145"/>
      <c r="B566" s="145"/>
      <c r="C566" s="145"/>
      <c r="D566" s="145"/>
      <c r="S566" s="68"/>
    </row>
    <row r="567" spans="1:19" s="114" customFormat="1">
      <c r="A567" s="145"/>
      <c r="B567" s="145"/>
      <c r="C567" s="145"/>
      <c r="D567" s="145"/>
      <c r="S567" s="68"/>
    </row>
    <row r="568" spans="1:19" s="114" customFormat="1">
      <c r="A568" s="145"/>
      <c r="B568" s="145"/>
      <c r="C568" s="145"/>
      <c r="D568" s="145"/>
      <c r="S568" s="68"/>
    </row>
    <row r="569" spans="1:19" s="114" customFormat="1">
      <c r="A569" s="145"/>
      <c r="B569" s="145"/>
      <c r="C569" s="145"/>
      <c r="D569" s="145"/>
      <c r="S569" s="68"/>
    </row>
    <row r="570" spans="1:19" s="114" customFormat="1">
      <c r="A570" s="145"/>
      <c r="B570" s="145"/>
      <c r="C570" s="145"/>
      <c r="D570" s="145"/>
      <c r="S570" s="68"/>
    </row>
    <row r="571" spans="1:19" s="114" customFormat="1">
      <c r="A571" s="145"/>
      <c r="B571" s="145"/>
      <c r="C571" s="145"/>
      <c r="D571" s="145"/>
      <c r="S571" s="68"/>
    </row>
    <row r="572" spans="1:19" s="114" customFormat="1">
      <c r="A572" s="145"/>
      <c r="B572" s="145"/>
      <c r="C572" s="145"/>
      <c r="D572" s="145"/>
      <c r="S572" s="68"/>
    </row>
    <row r="573" spans="1:19" s="114" customFormat="1">
      <c r="A573" s="145"/>
      <c r="B573" s="145"/>
      <c r="C573" s="145"/>
      <c r="D573" s="145"/>
      <c r="S573" s="68"/>
    </row>
    <row r="574" spans="1:19" s="114" customFormat="1">
      <c r="A574" s="145"/>
      <c r="B574" s="145"/>
      <c r="C574" s="145"/>
      <c r="D574" s="145"/>
      <c r="S574" s="68"/>
    </row>
    <row r="575" spans="1:19" s="114" customFormat="1">
      <c r="A575" s="145"/>
      <c r="B575" s="145"/>
      <c r="C575" s="145"/>
      <c r="D575" s="145"/>
      <c r="S575" s="68"/>
    </row>
    <row r="576" spans="1:19" s="114" customFormat="1">
      <c r="A576" s="145"/>
      <c r="B576" s="145"/>
      <c r="C576" s="145"/>
      <c r="D576" s="145"/>
      <c r="S576" s="68"/>
    </row>
    <row r="577" spans="1:19" s="114" customFormat="1">
      <c r="A577" s="145"/>
      <c r="B577" s="145"/>
      <c r="C577" s="145"/>
      <c r="D577" s="145"/>
      <c r="S577" s="68"/>
    </row>
    <row r="578" spans="1:19" s="114" customFormat="1">
      <c r="A578" s="145"/>
      <c r="B578" s="145"/>
      <c r="C578" s="145"/>
      <c r="D578" s="145"/>
      <c r="S578" s="68"/>
    </row>
    <row r="579" spans="1:19" s="114" customFormat="1">
      <c r="A579" s="145"/>
      <c r="B579" s="145"/>
      <c r="C579" s="145"/>
      <c r="D579" s="145"/>
      <c r="S579" s="68"/>
    </row>
    <row r="580" spans="1:19" s="114" customFormat="1">
      <c r="A580" s="145"/>
      <c r="B580" s="145"/>
      <c r="C580" s="145"/>
      <c r="D580" s="145"/>
      <c r="S580" s="68"/>
    </row>
    <row r="581" spans="1:19" s="114" customFormat="1">
      <c r="A581" s="145"/>
      <c r="B581" s="145"/>
      <c r="C581" s="145"/>
      <c r="D581" s="145"/>
      <c r="S581" s="68"/>
    </row>
    <row r="582" spans="1:19" s="114" customFormat="1">
      <c r="A582" s="145"/>
      <c r="B582" s="145"/>
      <c r="C582" s="145"/>
      <c r="D582" s="145"/>
      <c r="S582" s="68"/>
    </row>
    <row r="583" spans="1:19" s="114" customFormat="1">
      <c r="A583" s="145"/>
      <c r="B583" s="145"/>
      <c r="C583" s="145"/>
      <c r="D583" s="145"/>
      <c r="S583" s="68"/>
    </row>
    <row r="584" spans="1:19" s="114" customFormat="1">
      <c r="A584" s="145"/>
      <c r="B584" s="145"/>
      <c r="C584" s="145"/>
      <c r="D584" s="145"/>
      <c r="S584" s="68"/>
    </row>
    <row r="585" spans="1:19" s="114" customFormat="1">
      <c r="A585" s="145"/>
      <c r="B585" s="145"/>
      <c r="C585" s="145"/>
      <c r="D585" s="145"/>
      <c r="S585" s="68"/>
    </row>
    <row r="586" spans="1:19" s="114" customFormat="1">
      <c r="A586" s="145"/>
      <c r="B586" s="145"/>
      <c r="C586" s="145"/>
      <c r="D586" s="145"/>
      <c r="S586" s="68"/>
    </row>
    <row r="587" spans="1:19" s="114" customFormat="1">
      <c r="A587" s="145"/>
      <c r="B587" s="145"/>
      <c r="C587" s="145"/>
      <c r="D587" s="145"/>
      <c r="S587" s="68"/>
    </row>
    <row r="588" spans="1:19" s="114" customFormat="1">
      <c r="A588" s="145"/>
      <c r="B588" s="145"/>
      <c r="C588" s="145"/>
      <c r="D588" s="145"/>
      <c r="S588" s="68"/>
    </row>
    <row r="589" spans="1:19" s="114" customFormat="1">
      <c r="A589" s="145"/>
      <c r="B589" s="145"/>
      <c r="C589" s="145"/>
      <c r="D589" s="145"/>
      <c r="S589" s="68"/>
    </row>
    <row r="590" spans="1:19" s="114" customFormat="1">
      <c r="A590" s="145"/>
      <c r="B590" s="145"/>
      <c r="C590" s="145"/>
      <c r="D590" s="145"/>
      <c r="S590" s="68"/>
    </row>
    <row r="591" spans="1:19" s="114" customFormat="1">
      <c r="A591" s="145"/>
      <c r="B591" s="145"/>
      <c r="C591" s="145"/>
      <c r="D591" s="145"/>
      <c r="S591" s="68"/>
    </row>
    <row r="592" spans="1:19" s="114" customFormat="1">
      <c r="A592" s="145"/>
      <c r="B592" s="145"/>
      <c r="C592" s="145"/>
      <c r="D592" s="145"/>
      <c r="S592" s="68"/>
    </row>
    <row r="593" spans="1:19" s="114" customFormat="1">
      <c r="A593" s="145"/>
      <c r="B593" s="145"/>
      <c r="C593" s="145"/>
      <c r="D593" s="145"/>
      <c r="S593" s="68"/>
    </row>
    <row r="594" spans="1:19" s="114" customFormat="1">
      <c r="A594" s="145"/>
      <c r="B594" s="145"/>
      <c r="C594" s="145"/>
      <c r="D594" s="145"/>
      <c r="S594" s="68"/>
    </row>
    <row r="595" spans="1:19" s="114" customFormat="1">
      <c r="A595" s="145"/>
      <c r="B595" s="145"/>
      <c r="C595" s="145"/>
      <c r="D595" s="145"/>
      <c r="S595" s="68"/>
    </row>
    <row r="596" spans="1:19" s="114" customFormat="1">
      <c r="A596" s="145"/>
      <c r="B596" s="145"/>
      <c r="C596" s="145"/>
      <c r="D596" s="145"/>
      <c r="S596" s="68"/>
    </row>
    <row r="597" spans="1:19" s="114" customFormat="1">
      <c r="A597" s="145"/>
      <c r="B597" s="145"/>
      <c r="C597" s="145"/>
      <c r="D597" s="145"/>
      <c r="S597" s="68"/>
    </row>
    <row r="598" spans="1:19" s="114" customFormat="1">
      <c r="A598" s="145"/>
      <c r="B598" s="145"/>
      <c r="C598" s="145"/>
      <c r="D598" s="145"/>
      <c r="S598" s="68"/>
    </row>
    <row r="599" spans="1:19" s="114" customFormat="1">
      <c r="A599" s="145"/>
      <c r="B599" s="145"/>
      <c r="C599" s="145"/>
      <c r="D599" s="145"/>
      <c r="S599" s="68"/>
    </row>
    <row r="600" spans="1:19" s="114" customFormat="1">
      <c r="A600" s="145"/>
      <c r="B600" s="145"/>
      <c r="C600" s="145"/>
      <c r="D600" s="145"/>
      <c r="S600" s="68"/>
    </row>
    <row r="601" spans="1:19" s="114" customFormat="1">
      <c r="A601" s="145"/>
      <c r="B601" s="145"/>
      <c r="C601" s="145"/>
      <c r="D601" s="145"/>
      <c r="S601" s="68"/>
    </row>
    <row r="602" spans="1:19" s="114" customFormat="1">
      <c r="A602" s="145"/>
      <c r="B602" s="145"/>
      <c r="C602" s="145"/>
      <c r="D602" s="145"/>
      <c r="S602" s="68"/>
    </row>
    <row r="603" spans="1:19" s="114" customFormat="1">
      <c r="A603" s="145"/>
      <c r="B603" s="145"/>
      <c r="C603" s="145"/>
      <c r="D603" s="145"/>
      <c r="S603" s="68"/>
    </row>
    <row r="604" spans="1:19" s="114" customFormat="1">
      <c r="A604" s="145"/>
      <c r="B604" s="145"/>
      <c r="C604" s="145"/>
      <c r="D604" s="145"/>
      <c r="S604" s="68"/>
    </row>
    <row r="605" spans="1:19" s="114" customFormat="1">
      <c r="A605" s="145"/>
      <c r="B605" s="145"/>
      <c r="C605" s="145"/>
      <c r="D605" s="145"/>
      <c r="S605" s="68"/>
    </row>
    <row r="606" spans="1:19" s="114" customFormat="1">
      <c r="A606" s="145"/>
      <c r="B606" s="145"/>
      <c r="C606" s="145"/>
      <c r="D606" s="145"/>
      <c r="S606" s="68"/>
    </row>
    <row r="607" spans="1:19" s="114" customFormat="1">
      <c r="A607" s="145"/>
      <c r="B607" s="145"/>
      <c r="C607" s="145"/>
      <c r="D607" s="145"/>
      <c r="S607" s="68"/>
    </row>
    <row r="608" spans="1:19" s="114" customFormat="1">
      <c r="A608" s="145"/>
      <c r="B608" s="145"/>
      <c r="C608" s="145"/>
      <c r="D608" s="145"/>
      <c r="S608" s="68"/>
    </row>
    <row r="609" spans="1:19" s="114" customFormat="1">
      <c r="A609" s="145"/>
      <c r="B609" s="145"/>
      <c r="C609" s="145"/>
      <c r="D609" s="145"/>
      <c r="S609" s="68"/>
    </row>
    <row r="610" spans="1:19" s="114" customFormat="1">
      <c r="A610" s="145"/>
      <c r="B610" s="145"/>
      <c r="C610" s="145"/>
      <c r="D610" s="145"/>
      <c r="S610" s="68"/>
    </row>
    <row r="611" spans="1:19" s="114" customFormat="1">
      <c r="A611" s="145"/>
      <c r="B611" s="145"/>
      <c r="C611" s="145"/>
      <c r="D611" s="145"/>
      <c r="S611" s="68"/>
    </row>
    <row r="612" spans="1:19" s="114" customFormat="1">
      <c r="A612" s="145"/>
      <c r="B612" s="145"/>
      <c r="C612" s="145"/>
      <c r="D612" s="145"/>
      <c r="S612" s="68"/>
    </row>
    <row r="613" spans="1:19" s="114" customFormat="1">
      <c r="A613" s="145"/>
      <c r="B613" s="145"/>
      <c r="C613" s="145"/>
      <c r="D613" s="145"/>
      <c r="S613" s="68"/>
    </row>
    <row r="614" spans="1:19" s="114" customFormat="1">
      <c r="A614" s="145"/>
      <c r="B614" s="145"/>
      <c r="C614" s="145"/>
      <c r="D614" s="145"/>
      <c r="S614" s="68"/>
    </row>
    <row r="615" spans="1:19" s="114" customFormat="1">
      <c r="A615" s="145"/>
      <c r="B615" s="145"/>
      <c r="C615" s="145"/>
      <c r="D615" s="145"/>
      <c r="S615" s="68"/>
    </row>
    <row r="616" spans="1:19" s="114" customFormat="1">
      <c r="A616" s="145"/>
      <c r="B616" s="145"/>
      <c r="C616" s="145"/>
      <c r="D616" s="145"/>
      <c r="S616" s="68"/>
    </row>
    <row r="617" spans="1:19" s="114" customFormat="1">
      <c r="A617" s="145"/>
      <c r="B617" s="145"/>
      <c r="C617" s="145"/>
      <c r="D617" s="145"/>
      <c r="S617" s="68"/>
    </row>
    <row r="618" spans="1:19" s="114" customFormat="1">
      <c r="A618" s="145"/>
      <c r="B618" s="145"/>
      <c r="C618" s="145"/>
      <c r="D618" s="145"/>
      <c r="S618" s="68"/>
    </row>
    <row r="619" spans="1:19" s="114" customFormat="1">
      <c r="A619" s="145"/>
      <c r="B619" s="145"/>
      <c r="C619" s="145"/>
      <c r="D619" s="145"/>
      <c r="S619" s="68"/>
    </row>
    <row r="620" spans="1:19" s="114" customFormat="1">
      <c r="A620" s="145"/>
      <c r="B620" s="145"/>
      <c r="C620" s="145"/>
      <c r="D620" s="145"/>
      <c r="S620" s="68"/>
    </row>
    <row r="621" spans="1:19" s="114" customFormat="1">
      <c r="A621" s="145"/>
      <c r="B621" s="145"/>
      <c r="C621" s="145"/>
      <c r="D621" s="145"/>
      <c r="S621" s="68"/>
    </row>
    <row r="622" spans="1:19" s="114" customFormat="1">
      <c r="A622" s="145"/>
      <c r="B622" s="145"/>
      <c r="C622" s="145"/>
      <c r="D622" s="145"/>
      <c r="S622" s="68"/>
    </row>
    <row r="623" spans="1:19" s="114" customFormat="1">
      <c r="A623" s="145"/>
      <c r="B623" s="145"/>
      <c r="C623" s="145"/>
      <c r="D623" s="145"/>
      <c r="S623" s="68"/>
    </row>
    <row r="624" spans="1:19" s="114" customFormat="1">
      <c r="A624" s="145"/>
      <c r="B624" s="145"/>
      <c r="C624" s="145"/>
      <c r="D624" s="145"/>
      <c r="S624" s="68"/>
    </row>
    <row r="625" spans="1:19" s="114" customFormat="1">
      <c r="A625" s="145"/>
      <c r="B625" s="145"/>
      <c r="C625" s="145"/>
      <c r="D625" s="145"/>
      <c r="S625" s="68"/>
    </row>
    <row r="626" spans="1:19" s="114" customFormat="1">
      <c r="A626" s="145"/>
      <c r="B626" s="145"/>
      <c r="C626" s="145"/>
      <c r="D626" s="145"/>
      <c r="S626" s="68"/>
    </row>
    <row r="627" spans="1:19" s="114" customFormat="1">
      <c r="A627" s="145"/>
      <c r="B627" s="145"/>
      <c r="C627" s="145"/>
      <c r="D627" s="145"/>
      <c r="S627" s="68"/>
    </row>
    <row r="628" spans="1:19" s="114" customFormat="1">
      <c r="A628" s="145"/>
      <c r="B628" s="145"/>
      <c r="C628" s="145"/>
      <c r="D628" s="145"/>
      <c r="S628" s="68"/>
    </row>
    <row r="629" spans="1:19" s="114" customFormat="1">
      <c r="A629" s="145"/>
      <c r="B629" s="145"/>
      <c r="C629" s="145"/>
      <c r="D629" s="145"/>
      <c r="S629" s="68"/>
    </row>
    <row r="630" spans="1:19" s="114" customFormat="1">
      <c r="A630" s="145"/>
      <c r="B630" s="145"/>
      <c r="C630" s="145"/>
      <c r="D630" s="145"/>
      <c r="S630" s="68"/>
    </row>
    <row r="631" spans="1:19" s="114" customFormat="1">
      <c r="A631" s="145"/>
      <c r="B631" s="145"/>
      <c r="C631" s="145"/>
      <c r="D631" s="145"/>
      <c r="S631" s="68"/>
    </row>
    <row r="632" spans="1:19" s="114" customFormat="1">
      <c r="A632" s="145"/>
      <c r="B632" s="145"/>
      <c r="C632" s="145"/>
      <c r="D632" s="145"/>
      <c r="S632" s="68"/>
    </row>
    <row r="633" spans="1:19" s="114" customFormat="1">
      <c r="A633" s="145"/>
      <c r="B633" s="145"/>
      <c r="C633" s="145"/>
      <c r="D633" s="145"/>
      <c r="S633" s="68"/>
    </row>
    <row r="634" spans="1:19" s="114" customFormat="1">
      <c r="A634" s="145"/>
      <c r="B634" s="145"/>
      <c r="C634" s="145"/>
      <c r="D634" s="145"/>
      <c r="S634" s="68"/>
    </row>
    <row r="635" spans="1:19" s="114" customFormat="1">
      <c r="A635" s="145"/>
      <c r="B635" s="145"/>
      <c r="C635" s="145"/>
      <c r="D635" s="145"/>
      <c r="S635" s="68"/>
    </row>
    <row r="636" spans="1:19" s="114" customFormat="1">
      <c r="A636" s="145"/>
      <c r="B636" s="145"/>
      <c r="C636" s="145"/>
      <c r="D636" s="145"/>
      <c r="S636" s="68"/>
    </row>
    <row r="637" spans="1:19" s="114" customFormat="1">
      <c r="A637" s="145"/>
      <c r="B637" s="145"/>
      <c r="C637" s="145"/>
      <c r="D637" s="145"/>
      <c r="S637" s="68"/>
    </row>
    <row r="638" spans="1:19" s="114" customFormat="1">
      <c r="A638" s="145"/>
      <c r="B638" s="145"/>
      <c r="C638" s="145"/>
      <c r="D638" s="145"/>
      <c r="S638" s="68"/>
    </row>
    <row r="639" spans="1:19" s="114" customFormat="1">
      <c r="A639" s="145"/>
      <c r="B639" s="145"/>
      <c r="C639" s="145"/>
      <c r="D639" s="145"/>
      <c r="S639" s="68"/>
    </row>
    <row r="640" spans="1:19" s="114" customFormat="1">
      <c r="A640" s="145"/>
      <c r="B640" s="145"/>
      <c r="C640" s="145"/>
      <c r="D640" s="145"/>
      <c r="S640" s="68"/>
    </row>
    <row r="641" spans="1:19" s="114" customFormat="1">
      <c r="A641" s="145"/>
      <c r="B641" s="145"/>
      <c r="C641" s="145"/>
      <c r="D641" s="145"/>
      <c r="S641" s="68"/>
    </row>
    <row r="642" spans="1:19" s="114" customFormat="1">
      <c r="A642" s="145"/>
      <c r="B642" s="145"/>
      <c r="C642" s="145"/>
      <c r="D642" s="145"/>
      <c r="S642" s="68"/>
    </row>
    <row r="643" spans="1:19" s="114" customFormat="1">
      <c r="A643" s="145"/>
      <c r="B643" s="145"/>
      <c r="C643" s="145"/>
      <c r="D643" s="145"/>
      <c r="S643" s="68"/>
    </row>
    <row r="644" spans="1:19" s="114" customFormat="1">
      <c r="A644" s="145"/>
      <c r="B644" s="145"/>
      <c r="C644" s="145"/>
      <c r="D644" s="145"/>
      <c r="S644" s="68"/>
    </row>
    <row r="645" spans="1:19" s="114" customFormat="1">
      <c r="A645" s="145"/>
      <c r="B645" s="145"/>
      <c r="C645" s="145"/>
      <c r="D645" s="145"/>
      <c r="S645" s="68"/>
    </row>
    <row r="646" spans="1:19" s="114" customFormat="1">
      <c r="A646" s="145"/>
      <c r="B646" s="145"/>
      <c r="C646" s="145"/>
      <c r="D646" s="145"/>
      <c r="S646" s="68"/>
    </row>
    <row r="647" spans="1:19" s="114" customFormat="1">
      <c r="A647" s="145"/>
      <c r="B647" s="145"/>
      <c r="C647" s="145"/>
      <c r="D647" s="145"/>
      <c r="S647" s="68"/>
    </row>
    <row r="648" spans="1:19" s="114" customFormat="1">
      <c r="A648" s="145"/>
      <c r="B648" s="145"/>
      <c r="C648" s="145"/>
      <c r="D648" s="145"/>
      <c r="S648" s="68"/>
    </row>
    <row r="649" spans="1:19" s="114" customFormat="1">
      <c r="A649" s="145"/>
      <c r="B649" s="145"/>
      <c r="C649" s="145"/>
      <c r="D649" s="145"/>
      <c r="S649" s="68"/>
    </row>
    <row r="650" spans="1:19" s="114" customFormat="1">
      <c r="A650" s="145"/>
      <c r="B650" s="145"/>
      <c r="C650" s="145"/>
      <c r="D650" s="145"/>
      <c r="S650" s="68"/>
    </row>
    <row r="651" spans="1:19" s="114" customFormat="1">
      <c r="A651" s="145"/>
      <c r="B651" s="145"/>
      <c r="C651" s="145"/>
      <c r="D651" s="145"/>
      <c r="S651" s="68"/>
    </row>
    <row r="652" spans="1:19" s="114" customFormat="1">
      <c r="A652" s="145"/>
      <c r="B652" s="145"/>
      <c r="C652" s="145"/>
      <c r="D652" s="145"/>
      <c r="S652" s="68"/>
    </row>
    <row r="653" spans="1:19" s="114" customFormat="1">
      <c r="A653" s="145"/>
      <c r="B653" s="145"/>
      <c r="C653" s="145"/>
      <c r="D653" s="145"/>
      <c r="S653" s="68"/>
    </row>
    <row r="654" spans="1:19" s="114" customFormat="1">
      <c r="A654" s="145"/>
      <c r="B654" s="145"/>
      <c r="C654" s="145"/>
      <c r="D654" s="145"/>
      <c r="S654" s="68"/>
    </row>
    <row r="655" spans="1:19" s="114" customFormat="1">
      <c r="A655" s="145"/>
      <c r="B655" s="145"/>
      <c r="C655" s="145"/>
      <c r="D655" s="145"/>
      <c r="S655" s="68"/>
    </row>
    <row r="656" spans="1:19" s="114" customFormat="1">
      <c r="A656" s="145"/>
      <c r="B656" s="145"/>
      <c r="C656" s="145"/>
      <c r="D656" s="145"/>
      <c r="S656" s="68"/>
    </row>
    <row r="657" spans="1:19" s="114" customFormat="1">
      <c r="A657" s="145"/>
      <c r="B657" s="145"/>
      <c r="C657" s="145"/>
      <c r="D657" s="145"/>
      <c r="S657" s="68"/>
    </row>
    <row r="658" spans="1:19" s="114" customFormat="1">
      <c r="A658" s="145"/>
      <c r="B658" s="145"/>
      <c r="C658" s="145"/>
      <c r="D658" s="145"/>
      <c r="S658" s="68"/>
    </row>
    <row r="659" spans="1:19" s="114" customFormat="1">
      <c r="A659" s="145"/>
      <c r="B659" s="145"/>
      <c r="C659" s="145"/>
      <c r="D659" s="145"/>
      <c r="S659" s="68"/>
    </row>
    <row r="660" spans="1:19" s="114" customFormat="1">
      <c r="A660" s="145"/>
      <c r="B660" s="145"/>
      <c r="C660" s="145"/>
      <c r="D660" s="145"/>
      <c r="S660" s="68"/>
    </row>
    <row r="661" spans="1:19" s="114" customFormat="1">
      <c r="A661" s="145"/>
      <c r="B661" s="145"/>
      <c r="C661" s="145"/>
      <c r="D661" s="145"/>
      <c r="S661" s="68"/>
    </row>
    <row r="662" spans="1:19" s="114" customFormat="1">
      <c r="A662" s="145"/>
      <c r="B662" s="145"/>
      <c r="C662" s="145"/>
      <c r="D662" s="145"/>
      <c r="S662" s="68"/>
    </row>
    <row r="663" spans="1:19" s="114" customFormat="1">
      <c r="A663" s="145"/>
      <c r="B663" s="145"/>
      <c r="C663" s="145"/>
      <c r="D663" s="145"/>
      <c r="S663" s="68"/>
    </row>
    <row r="664" spans="1:19" s="114" customFormat="1">
      <c r="A664" s="145"/>
      <c r="B664" s="145"/>
      <c r="C664" s="145"/>
      <c r="D664" s="145"/>
      <c r="S664" s="68"/>
    </row>
    <row r="665" spans="1:19" s="114" customFormat="1">
      <c r="A665" s="145"/>
      <c r="B665" s="145"/>
      <c r="C665" s="145"/>
      <c r="D665" s="145"/>
      <c r="S665" s="68"/>
    </row>
    <row r="666" spans="1:19" s="114" customFormat="1">
      <c r="A666" s="145"/>
      <c r="B666" s="145"/>
      <c r="C666" s="145"/>
      <c r="D666" s="145"/>
      <c r="S666" s="68"/>
    </row>
    <row r="667" spans="1:19" s="114" customFormat="1">
      <c r="A667" s="145"/>
      <c r="B667" s="145"/>
      <c r="C667" s="145"/>
      <c r="D667" s="145"/>
      <c r="S667" s="68"/>
    </row>
    <row r="668" spans="1:19" s="114" customFormat="1">
      <c r="A668" s="145"/>
      <c r="B668" s="145"/>
      <c r="C668" s="145"/>
      <c r="D668" s="145"/>
      <c r="S668" s="68"/>
    </row>
    <row r="669" spans="1:19" s="114" customFormat="1">
      <c r="A669" s="145"/>
      <c r="B669" s="145"/>
      <c r="C669" s="145"/>
      <c r="D669" s="145"/>
      <c r="S669" s="68"/>
    </row>
    <row r="670" spans="1:19" s="114" customFormat="1">
      <c r="A670" s="145"/>
      <c r="B670" s="145"/>
      <c r="C670" s="145"/>
      <c r="D670" s="145"/>
      <c r="S670" s="68"/>
    </row>
    <row r="671" spans="1:19" s="114" customFormat="1">
      <c r="A671" s="145"/>
      <c r="B671" s="145"/>
      <c r="C671" s="145"/>
      <c r="D671" s="145"/>
      <c r="S671" s="68"/>
    </row>
    <row r="672" spans="1:19" s="114" customFormat="1">
      <c r="A672" s="145"/>
      <c r="B672" s="145"/>
      <c r="C672" s="145"/>
      <c r="D672" s="145"/>
      <c r="S672" s="68"/>
    </row>
    <row r="673" spans="1:19" s="114" customFormat="1">
      <c r="A673" s="145"/>
      <c r="B673" s="145"/>
      <c r="C673" s="145"/>
      <c r="D673" s="145"/>
      <c r="S673" s="68"/>
    </row>
    <row r="674" spans="1:19" s="114" customFormat="1">
      <c r="A674" s="145"/>
      <c r="B674" s="145"/>
      <c r="C674" s="145"/>
      <c r="D674" s="145"/>
      <c r="S674" s="68"/>
    </row>
    <row r="675" spans="1:19" s="114" customFormat="1">
      <c r="A675" s="145"/>
      <c r="B675" s="145"/>
      <c r="C675" s="145"/>
      <c r="D675" s="145"/>
      <c r="S675" s="68"/>
    </row>
    <row r="676" spans="1:19" s="114" customFormat="1">
      <c r="A676" s="145"/>
      <c r="B676" s="145"/>
      <c r="C676" s="145"/>
      <c r="D676" s="145"/>
      <c r="S676" s="68"/>
    </row>
    <row r="677" spans="1:19" s="114" customFormat="1">
      <c r="A677" s="145"/>
      <c r="B677" s="145"/>
      <c r="C677" s="145"/>
      <c r="D677" s="145"/>
      <c r="S677" s="68"/>
    </row>
    <row r="678" spans="1:19" s="114" customFormat="1">
      <c r="A678" s="145"/>
      <c r="B678" s="145"/>
      <c r="C678" s="145"/>
      <c r="D678" s="145"/>
      <c r="S678" s="68"/>
    </row>
    <row r="679" spans="1:19" s="114" customFormat="1">
      <c r="A679" s="145"/>
      <c r="B679" s="145"/>
      <c r="C679" s="145"/>
      <c r="D679" s="145"/>
      <c r="S679" s="68"/>
    </row>
    <row r="680" spans="1:19" s="114" customFormat="1">
      <c r="A680" s="145"/>
      <c r="B680" s="145"/>
      <c r="C680" s="145"/>
      <c r="D680" s="145"/>
      <c r="S680" s="68"/>
    </row>
    <row r="681" spans="1:19" s="114" customFormat="1">
      <c r="A681" s="145"/>
      <c r="B681" s="145"/>
      <c r="C681" s="145"/>
      <c r="D681" s="145"/>
      <c r="S681" s="68"/>
    </row>
    <row r="682" spans="1:19" s="114" customFormat="1">
      <c r="A682" s="145"/>
      <c r="B682" s="145"/>
      <c r="C682" s="145"/>
      <c r="D682" s="145"/>
      <c r="S682" s="68"/>
    </row>
    <row r="683" spans="1:19" s="114" customFormat="1">
      <c r="A683" s="145"/>
      <c r="B683" s="145"/>
      <c r="C683" s="145"/>
      <c r="D683" s="145"/>
      <c r="S683" s="68"/>
    </row>
    <row r="684" spans="1:19" s="114" customFormat="1">
      <c r="A684" s="145"/>
      <c r="B684" s="145"/>
      <c r="C684" s="145"/>
      <c r="D684" s="145"/>
      <c r="S684" s="68"/>
    </row>
    <row r="685" spans="1:19" s="114" customFormat="1">
      <c r="A685" s="145"/>
      <c r="B685" s="145"/>
      <c r="C685" s="145"/>
      <c r="D685" s="145"/>
      <c r="S685" s="68"/>
    </row>
    <row r="686" spans="1:19" s="114" customFormat="1">
      <c r="A686" s="145"/>
      <c r="B686" s="145"/>
      <c r="C686" s="145"/>
      <c r="D686" s="145"/>
      <c r="S686" s="68"/>
    </row>
    <row r="687" spans="1:19" s="114" customFormat="1">
      <c r="A687" s="145"/>
      <c r="B687" s="145"/>
      <c r="C687" s="145"/>
      <c r="D687" s="145"/>
      <c r="S687" s="68"/>
    </row>
    <row r="688" spans="1:19" s="114" customFormat="1">
      <c r="A688" s="145"/>
      <c r="B688" s="145"/>
      <c r="C688" s="145"/>
      <c r="D688" s="145"/>
      <c r="S688" s="68"/>
    </row>
    <row r="689" spans="1:19" s="114" customFormat="1">
      <c r="A689" s="145"/>
      <c r="B689" s="145"/>
      <c r="C689" s="145"/>
      <c r="D689" s="145"/>
      <c r="S689" s="68"/>
    </row>
    <row r="690" spans="1:19" s="114" customFormat="1">
      <c r="A690" s="145"/>
      <c r="B690" s="145"/>
      <c r="C690" s="145"/>
      <c r="D690" s="145"/>
      <c r="S690" s="68"/>
    </row>
    <row r="691" spans="1:19" s="114" customFormat="1">
      <c r="A691" s="145"/>
      <c r="B691" s="145"/>
      <c r="C691" s="145"/>
      <c r="D691" s="145"/>
      <c r="S691" s="68"/>
    </row>
    <row r="692" spans="1:19" s="114" customFormat="1">
      <c r="A692" s="145"/>
      <c r="B692" s="145"/>
      <c r="C692" s="145"/>
      <c r="D692" s="145"/>
      <c r="S692" s="68"/>
    </row>
    <row r="693" spans="1:19" s="114" customFormat="1">
      <c r="A693" s="145"/>
      <c r="B693" s="145"/>
      <c r="C693" s="145"/>
      <c r="D693" s="145"/>
      <c r="S693" s="68"/>
    </row>
    <row r="694" spans="1:19" s="114" customFormat="1">
      <c r="A694" s="145"/>
      <c r="B694" s="145"/>
      <c r="C694" s="145"/>
      <c r="D694" s="145"/>
      <c r="S694" s="68"/>
    </row>
    <row r="695" spans="1:19" s="114" customFormat="1">
      <c r="A695" s="145"/>
      <c r="B695" s="145"/>
      <c r="C695" s="145"/>
      <c r="D695" s="145"/>
      <c r="S695" s="68"/>
    </row>
    <row r="696" spans="1:19" s="114" customFormat="1">
      <c r="A696" s="145"/>
      <c r="B696" s="145"/>
      <c r="C696" s="145"/>
      <c r="D696" s="145"/>
      <c r="S696" s="68"/>
    </row>
    <row r="697" spans="1:19" s="114" customFormat="1">
      <c r="A697" s="145"/>
      <c r="B697" s="145"/>
      <c r="C697" s="145"/>
      <c r="D697" s="145"/>
      <c r="S697" s="68"/>
    </row>
    <row r="698" spans="1:19" s="114" customFormat="1">
      <c r="A698" s="145"/>
      <c r="B698" s="145"/>
      <c r="C698" s="145"/>
      <c r="D698" s="145"/>
      <c r="S698" s="68"/>
    </row>
    <row r="699" spans="1:19" s="114" customFormat="1">
      <c r="A699" s="145"/>
      <c r="B699" s="145"/>
      <c r="C699" s="145"/>
      <c r="D699" s="145"/>
      <c r="S699" s="68"/>
    </row>
    <row r="700" spans="1:19" s="114" customFormat="1">
      <c r="A700" s="145"/>
      <c r="B700" s="145"/>
      <c r="C700" s="145"/>
      <c r="D700" s="145"/>
      <c r="S700" s="68"/>
    </row>
    <row r="701" spans="1:19" s="114" customFormat="1">
      <c r="A701" s="145"/>
      <c r="B701" s="145"/>
      <c r="C701" s="145"/>
      <c r="D701" s="145"/>
      <c r="S701" s="68"/>
    </row>
    <row r="702" spans="1:19" s="114" customFormat="1">
      <c r="A702" s="145"/>
      <c r="B702" s="145"/>
      <c r="C702" s="145"/>
      <c r="D702" s="145"/>
      <c r="S702" s="68"/>
    </row>
    <row r="703" spans="1:19" s="114" customFormat="1">
      <c r="A703" s="145"/>
      <c r="B703" s="145"/>
      <c r="C703" s="145"/>
      <c r="D703" s="145"/>
      <c r="S703" s="68"/>
    </row>
    <row r="704" spans="1:19" s="114" customFormat="1">
      <c r="A704" s="145"/>
      <c r="B704" s="145"/>
      <c r="C704" s="145"/>
      <c r="D704" s="145"/>
      <c r="S704" s="68"/>
    </row>
    <row r="705" spans="1:19" s="114" customFormat="1">
      <c r="A705" s="145"/>
      <c r="B705" s="145"/>
      <c r="C705" s="145"/>
      <c r="D705" s="145"/>
      <c r="S705" s="68"/>
    </row>
    <row r="706" spans="1:19" s="114" customFormat="1">
      <c r="A706" s="145"/>
      <c r="B706" s="145"/>
      <c r="C706" s="145"/>
      <c r="D706" s="145"/>
      <c r="S706" s="68"/>
    </row>
    <row r="707" spans="1:19" s="114" customFormat="1">
      <c r="A707" s="145"/>
      <c r="B707" s="145"/>
      <c r="C707" s="145"/>
      <c r="D707" s="145"/>
      <c r="S707" s="68"/>
    </row>
    <row r="708" spans="1:19" s="114" customFormat="1">
      <c r="A708" s="145"/>
      <c r="B708" s="145"/>
      <c r="C708" s="145"/>
      <c r="D708" s="145"/>
      <c r="S708" s="68"/>
    </row>
    <row r="709" spans="1:19" s="114" customFormat="1">
      <c r="A709" s="145"/>
      <c r="B709" s="145"/>
      <c r="C709" s="145"/>
      <c r="D709" s="145"/>
      <c r="S709" s="68"/>
    </row>
    <row r="710" spans="1:19" s="114" customFormat="1">
      <c r="A710" s="145"/>
      <c r="B710" s="145"/>
      <c r="C710" s="145"/>
      <c r="D710" s="145"/>
      <c r="S710" s="68"/>
    </row>
    <row r="711" spans="1:19" s="114" customFormat="1">
      <c r="A711" s="145"/>
      <c r="B711" s="145"/>
      <c r="C711" s="145"/>
      <c r="D711" s="145"/>
      <c r="S711" s="68"/>
    </row>
    <row r="712" spans="1:19" s="114" customFormat="1">
      <c r="A712" s="145"/>
      <c r="B712" s="145"/>
      <c r="C712" s="145"/>
      <c r="D712" s="145"/>
      <c r="S712" s="68"/>
    </row>
    <row r="713" spans="1:19" s="114" customFormat="1">
      <c r="A713" s="145"/>
      <c r="B713" s="145"/>
      <c r="C713" s="145"/>
      <c r="D713" s="145"/>
      <c r="S713" s="68"/>
    </row>
    <row r="714" spans="1:19" s="114" customFormat="1">
      <c r="A714" s="145"/>
      <c r="B714" s="145"/>
      <c r="C714" s="145"/>
      <c r="D714" s="145"/>
      <c r="S714" s="68"/>
    </row>
    <row r="715" spans="1:19" s="114" customFormat="1">
      <c r="A715" s="145"/>
      <c r="B715" s="145"/>
      <c r="C715" s="145"/>
      <c r="D715" s="145"/>
      <c r="S715" s="68"/>
    </row>
    <row r="716" spans="1:19" s="114" customFormat="1">
      <c r="A716" s="145"/>
      <c r="B716" s="145"/>
      <c r="C716" s="145"/>
      <c r="D716" s="145"/>
      <c r="S716" s="68"/>
    </row>
    <row r="717" spans="1:19" s="114" customFormat="1">
      <c r="A717" s="145"/>
      <c r="B717" s="145"/>
      <c r="C717" s="145"/>
      <c r="D717" s="145"/>
      <c r="S717" s="68"/>
    </row>
    <row r="718" spans="1:19" s="114" customFormat="1">
      <c r="A718" s="145"/>
      <c r="B718" s="145"/>
      <c r="C718" s="145"/>
      <c r="D718" s="145"/>
      <c r="S718" s="68"/>
    </row>
    <row r="719" spans="1:19" s="114" customFormat="1">
      <c r="A719" s="145"/>
      <c r="B719" s="145"/>
      <c r="C719" s="145"/>
      <c r="D719" s="145"/>
      <c r="S719" s="68"/>
    </row>
    <row r="720" spans="1:19" s="114" customFormat="1">
      <c r="A720" s="145"/>
      <c r="B720" s="145"/>
      <c r="C720" s="145"/>
      <c r="D720" s="145"/>
      <c r="S720" s="68"/>
    </row>
    <row r="721" spans="1:19" s="114" customFormat="1">
      <c r="A721" s="145"/>
      <c r="B721" s="145"/>
      <c r="C721" s="145"/>
      <c r="D721" s="145"/>
      <c r="S721" s="68"/>
    </row>
    <row r="722" spans="1:19" s="114" customFormat="1">
      <c r="A722" s="145"/>
      <c r="B722" s="145"/>
      <c r="C722" s="145"/>
      <c r="D722" s="145"/>
      <c r="S722" s="68"/>
    </row>
    <row r="723" spans="1:19" s="114" customFormat="1">
      <c r="A723" s="145"/>
      <c r="B723" s="145"/>
      <c r="C723" s="145"/>
      <c r="D723" s="145"/>
      <c r="S723" s="68"/>
    </row>
    <row r="724" spans="1:19" s="114" customFormat="1">
      <c r="A724" s="145"/>
      <c r="B724" s="145"/>
      <c r="C724" s="145"/>
      <c r="D724" s="145"/>
      <c r="S724" s="68"/>
    </row>
    <row r="725" spans="1:19" s="114" customFormat="1">
      <c r="A725" s="145"/>
      <c r="B725" s="145"/>
      <c r="C725" s="145"/>
      <c r="D725" s="145"/>
      <c r="S725" s="68"/>
    </row>
    <row r="726" spans="1:19" s="114" customFormat="1">
      <c r="A726" s="145"/>
      <c r="B726" s="145"/>
      <c r="C726" s="145"/>
      <c r="D726" s="145"/>
      <c r="S726" s="68"/>
    </row>
    <row r="727" spans="1:19" s="114" customFormat="1">
      <c r="A727" s="145"/>
      <c r="B727" s="145"/>
      <c r="C727" s="145"/>
      <c r="D727" s="145"/>
      <c r="S727" s="68"/>
    </row>
    <row r="728" spans="1:19" s="114" customFormat="1">
      <c r="A728" s="145"/>
      <c r="B728" s="145"/>
      <c r="C728" s="145"/>
      <c r="D728" s="145"/>
      <c r="S728" s="68"/>
    </row>
    <row r="729" spans="1:19" s="114" customFormat="1">
      <c r="A729" s="145"/>
      <c r="B729" s="145"/>
      <c r="C729" s="145"/>
      <c r="D729" s="145"/>
      <c r="S729" s="68"/>
    </row>
    <row r="730" spans="1:19" s="114" customFormat="1">
      <c r="A730" s="145"/>
      <c r="B730" s="145"/>
      <c r="C730" s="145"/>
      <c r="D730" s="145"/>
      <c r="S730" s="68"/>
    </row>
    <row r="731" spans="1:19" s="114" customFormat="1">
      <c r="A731" s="145"/>
      <c r="B731" s="145"/>
      <c r="C731" s="145"/>
      <c r="D731" s="145"/>
      <c r="S731" s="68"/>
    </row>
    <row r="732" spans="1:19" s="114" customFormat="1">
      <c r="A732" s="145"/>
      <c r="B732" s="145"/>
      <c r="C732" s="145"/>
      <c r="D732" s="145"/>
      <c r="S732" s="68"/>
    </row>
    <row r="733" spans="1:19" s="114" customFormat="1">
      <c r="A733" s="145"/>
      <c r="B733" s="145"/>
      <c r="C733" s="145"/>
      <c r="D733" s="145"/>
      <c r="S733" s="68"/>
    </row>
    <row r="734" spans="1:19" s="114" customFormat="1">
      <c r="A734" s="145"/>
      <c r="B734" s="145"/>
      <c r="C734" s="145"/>
      <c r="D734" s="145"/>
      <c r="S734" s="68"/>
    </row>
    <row r="735" spans="1:19" s="114" customFormat="1">
      <c r="A735" s="145"/>
      <c r="B735" s="145"/>
      <c r="C735" s="145"/>
      <c r="D735" s="145"/>
      <c r="S735" s="68"/>
    </row>
    <row r="736" spans="1:19" s="114" customFormat="1">
      <c r="A736" s="145"/>
      <c r="B736" s="145"/>
      <c r="C736" s="145"/>
      <c r="D736" s="145"/>
      <c r="S736" s="68"/>
    </row>
    <row r="737" spans="1:19" s="114" customFormat="1">
      <c r="A737" s="145"/>
      <c r="B737" s="145"/>
      <c r="C737" s="145"/>
      <c r="D737" s="145"/>
      <c r="S737" s="68"/>
    </row>
    <row r="738" spans="1:19" s="114" customFormat="1">
      <c r="A738" s="145"/>
      <c r="B738" s="145"/>
      <c r="C738" s="145"/>
      <c r="D738" s="145"/>
      <c r="S738" s="68"/>
    </row>
    <row r="739" spans="1:19" s="114" customFormat="1">
      <c r="A739" s="145"/>
      <c r="B739" s="145"/>
      <c r="C739" s="145"/>
      <c r="D739" s="145"/>
      <c r="S739" s="68"/>
    </row>
    <row r="740" spans="1:19" s="114" customFormat="1">
      <c r="A740" s="145"/>
      <c r="B740" s="145"/>
      <c r="C740" s="145"/>
      <c r="D740" s="145"/>
      <c r="S740" s="68"/>
    </row>
    <row r="741" spans="1:19" s="114" customFormat="1">
      <c r="A741" s="145"/>
      <c r="B741" s="145"/>
      <c r="C741" s="145"/>
      <c r="D741" s="145"/>
      <c r="S741" s="68"/>
    </row>
    <row r="742" spans="1:19" s="114" customFormat="1">
      <c r="A742" s="145"/>
      <c r="B742" s="145"/>
      <c r="C742" s="145"/>
      <c r="D742" s="145"/>
      <c r="S742" s="68"/>
    </row>
    <row r="743" spans="1:19" s="114" customFormat="1">
      <c r="A743" s="145"/>
      <c r="B743" s="145"/>
      <c r="C743" s="145"/>
      <c r="D743" s="145"/>
      <c r="S743" s="68"/>
    </row>
    <row r="744" spans="1:19" s="114" customFormat="1">
      <c r="A744" s="145"/>
      <c r="B744" s="145"/>
      <c r="C744" s="145"/>
      <c r="D744" s="145"/>
      <c r="S744" s="68"/>
    </row>
    <row r="745" spans="1:19" s="114" customFormat="1">
      <c r="A745" s="145"/>
      <c r="B745" s="145"/>
      <c r="C745" s="145"/>
      <c r="D745" s="145"/>
      <c r="S745" s="68"/>
    </row>
    <row r="746" spans="1:19" s="114" customFormat="1">
      <c r="A746" s="145"/>
      <c r="B746" s="145"/>
      <c r="C746" s="145"/>
      <c r="D746" s="145"/>
      <c r="S746" s="68"/>
    </row>
    <row r="747" spans="1:19" s="114" customFormat="1">
      <c r="A747" s="145"/>
      <c r="B747" s="145"/>
      <c r="C747" s="145"/>
      <c r="D747" s="145"/>
      <c r="S747" s="68"/>
    </row>
    <row r="748" spans="1:19" s="114" customFormat="1">
      <c r="A748" s="145"/>
      <c r="B748" s="145"/>
      <c r="C748" s="145"/>
      <c r="D748" s="145"/>
      <c r="S748" s="68"/>
    </row>
    <row r="749" spans="1:19" s="114" customFormat="1">
      <c r="A749" s="145"/>
      <c r="B749" s="145"/>
      <c r="C749" s="145"/>
      <c r="D749" s="145"/>
      <c r="S749" s="68"/>
    </row>
    <row r="750" spans="1:19" s="114" customFormat="1">
      <c r="A750" s="145"/>
      <c r="B750" s="145"/>
      <c r="C750" s="145"/>
      <c r="D750" s="145"/>
      <c r="S750" s="68"/>
    </row>
    <row r="751" spans="1:19" s="114" customFormat="1">
      <c r="A751" s="145"/>
      <c r="B751" s="145"/>
      <c r="C751" s="145"/>
      <c r="D751" s="145"/>
      <c r="S751" s="68"/>
    </row>
    <row r="752" spans="1:19" s="114" customFormat="1">
      <c r="A752" s="145"/>
      <c r="B752" s="145"/>
      <c r="C752" s="145"/>
      <c r="D752" s="145"/>
      <c r="S752" s="68"/>
    </row>
    <row r="753" spans="1:19" s="114" customFormat="1">
      <c r="A753" s="145"/>
      <c r="B753" s="145"/>
      <c r="C753" s="145"/>
      <c r="D753" s="145"/>
      <c r="S753" s="68"/>
    </row>
    <row r="754" spans="1:19" s="114" customFormat="1">
      <c r="A754" s="145"/>
      <c r="B754" s="145"/>
      <c r="C754" s="145"/>
      <c r="D754" s="145"/>
      <c r="S754" s="68"/>
    </row>
    <row r="755" spans="1:19" s="114" customFormat="1">
      <c r="A755" s="145"/>
      <c r="B755" s="145"/>
      <c r="C755" s="145"/>
      <c r="D755" s="145"/>
      <c r="S755" s="68"/>
    </row>
    <row r="756" spans="1:19" s="114" customFormat="1">
      <c r="A756" s="145"/>
      <c r="B756" s="145"/>
      <c r="C756" s="145"/>
      <c r="D756" s="145"/>
      <c r="S756" s="68"/>
    </row>
    <row r="757" spans="1:19" s="114" customFormat="1">
      <c r="A757" s="145"/>
      <c r="B757" s="145"/>
      <c r="C757" s="145"/>
      <c r="D757" s="145"/>
      <c r="S757" s="68"/>
    </row>
    <row r="758" spans="1:19" s="114" customFormat="1">
      <c r="A758" s="145"/>
      <c r="B758" s="145"/>
      <c r="C758" s="145"/>
      <c r="D758" s="145"/>
      <c r="S758" s="68"/>
    </row>
    <row r="759" spans="1:19" s="114" customFormat="1">
      <c r="A759" s="145"/>
      <c r="B759" s="145"/>
      <c r="C759" s="145"/>
      <c r="D759" s="145"/>
      <c r="S759" s="68"/>
    </row>
    <row r="760" spans="1:19" s="114" customFormat="1">
      <c r="A760" s="145"/>
      <c r="B760" s="145"/>
      <c r="C760" s="145"/>
      <c r="D760" s="145"/>
      <c r="S760" s="68"/>
    </row>
    <row r="761" spans="1:19" s="114" customFormat="1">
      <c r="A761" s="145"/>
      <c r="B761" s="145"/>
      <c r="C761" s="145"/>
      <c r="D761" s="145"/>
      <c r="S761" s="68"/>
    </row>
    <row r="762" spans="1:19" s="114" customFormat="1">
      <c r="A762" s="145"/>
      <c r="B762" s="145"/>
      <c r="C762" s="145"/>
      <c r="D762" s="145"/>
      <c r="S762" s="68"/>
    </row>
    <row r="763" spans="1:19" s="114" customFormat="1">
      <c r="A763" s="145"/>
      <c r="B763" s="145"/>
      <c r="C763" s="145"/>
      <c r="D763" s="145"/>
      <c r="S763" s="68"/>
    </row>
    <row r="764" spans="1:19" s="114" customFormat="1">
      <c r="A764" s="145"/>
      <c r="B764" s="145"/>
      <c r="C764" s="145"/>
      <c r="D764" s="145"/>
      <c r="S764" s="68"/>
    </row>
    <row r="765" spans="1:19" s="114" customFormat="1">
      <c r="A765" s="145"/>
      <c r="B765" s="145"/>
      <c r="C765" s="145"/>
      <c r="D765" s="145"/>
      <c r="S765" s="68"/>
    </row>
    <row r="766" spans="1:19" s="114" customFormat="1">
      <c r="A766" s="145"/>
      <c r="B766" s="145"/>
      <c r="C766" s="145"/>
      <c r="D766" s="145"/>
      <c r="S766" s="68"/>
    </row>
    <row r="767" spans="1:19" s="114" customFormat="1">
      <c r="A767" s="145"/>
      <c r="B767" s="145"/>
      <c r="C767" s="145"/>
      <c r="D767" s="145"/>
      <c r="S767" s="68"/>
    </row>
    <row r="768" spans="1:19" s="114" customFormat="1">
      <c r="A768" s="145"/>
      <c r="B768" s="145"/>
      <c r="C768" s="145"/>
      <c r="D768" s="145"/>
      <c r="S768" s="68"/>
    </row>
    <row r="769" spans="1:19" s="114" customFormat="1">
      <c r="A769" s="145"/>
      <c r="B769" s="145"/>
      <c r="C769" s="145"/>
      <c r="D769" s="145"/>
      <c r="S769" s="68"/>
    </row>
    <row r="770" spans="1:19" s="114" customFormat="1">
      <c r="A770" s="145"/>
      <c r="B770" s="145"/>
      <c r="C770" s="145"/>
      <c r="D770" s="145"/>
      <c r="S770" s="68"/>
    </row>
    <row r="771" spans="1:19" s="114" customFormat="1">
      <c r="A771" s="145"/>
      <c r="B771" s="145"/>
      <c r="C771" s="145"/>
      <c r="D771" s="145"/>
      <c r="S771" s="68"/>
    </row>
    <row r="772" spans="1:19" s="114" customFormat="1">
      <c r="A772" s="145"/>
      <c r="B772" s="145"/>
      <c r="C772" s="145"/>
      <c r="D772" s="145"/>
      <c r="S772" s="68"/>
    </row>
    <row r="773" spans="1:19" s="114" customFormat="1">
      <c r="A773" s="145"/>
      <c r="B773" s="145"/>
      <c r="C773" s="145"/>
      <c r="D773" s="145"/>
      <c r="S773" s="68"/>
    </row>
    <row r="774" spans="1:19" s="114" customFormat="1">
      <c r="A774" s="145"/>
      <c r="B774" s="145"/>
      <c r="C774" s="145"/>
      <c r="D774" s="145"/>
      <c r="S774" s="68"/>
    </row>
    <row r="775" spans="1:19" s="114" customFormat="1">
      <c r="A775" s="145"/>
      <c r="B775" s="145"/>
      <c r="C775" s="145"/>
      <c r="D775" s="145"/>
      <c r="S775" s="68"/>
    </row>
    <row r="776" spans="1:19" s="114" customFormat="1">
      <c r="A776" s="145"/>
      <c r="B776" s="145"/>
      <c r="C776" s="145"/>
      <c r="D776" s="145"/>
      <c r="S776" s="68"/>
    </row>
    <row r="777" spans="1:19" s="114" customFormat="1">
      <c r="A777" s="145"/>
      <c r="B777" s="145"/>
      <c r="C777" s="145"/>
      <c r="D777" s="145"/>
      <c r="S777" s="68"/>
    </row>
    <row r="778" spans="1:19" s="114" customFormat="1">
      <c r="A778" s="145"/>
      <c r="B778" s="145"/>
      <c r="C778" s="145"/>
      <c r="D778" s="145"/>
      <c r="S778" s="68"/>
    </row>
    <row r="779" spans="1:19" s="114" customFormat="1">
      <c r="A779" s="145"/>
      <c r="B779" s="145"/>
      <c r="C779" s="145"/>
      <c r="D779" s="145"/>
      <c r="S779" s="68"/>
    </row>
    <row r="780" spans="1:19" s="114" customFormat="1">
      <c r="A780" s="145"/>
      <c r="B780" s="145"/>
      <c r="C780" s="145"/>
      <c r="D780" s="145"/>
      <c r="S780" s="68"/>
    </row>
    <row r="781" spans="1:19" s="114" customFormat="1">
      <c r="A781" s="145"/>
      <c r="B781" s="145"/>
      <c r="C781" s="145"/>
      <c r="D781" s="145"/>
      <c r="S781" s="68"/>
    </row>
    <row r="782" spans="1:19" s="114" customFormat="1">
      <c r="A782" s="145"/>
      <c r="B782" s="145"/>
      <c r="C782" s="145"/>
      <c r="D782" s="145"/>
      <c r="S782" s="68"/>
    </row>
    <row r="783" spans="1:19" s="114" customFormat="1">
      <c r="A783" s="145"/>
      <c r="B783" s="145"/>
      <c r="C783" s="145"/>
      <c r="D783" s="145"/>
      <c r="S783" s="68"/>
    </row>
    <row r="784" spans="1:19" s="114" customFormat="1">
      <c r="A784" s="145"/>
      <c r="B784" s="145"/>
      <c r="C784" s="145"/>
      <c r="D784" s="145"/>
      <c r="S784" s="68"/>
    </row>
    <row r="785" spans="1:19" s="114" customFormat="1">
      <c r="A785" s="145"/>
      <c r="B785" s="145"/>
      <c r="C785" s="145"/>
      <c r="D785" s="145"/>
      <c r="S785" s="68"/>
    </row>
    <row r="786" spans="1:19" s="114" customFormat="1">
      <c r="A786" s="145"/>
      <c r="B786" s="145"/>
      <c r="C786" s="145"/>
      <c r="D786" s="145"/>
      <c r="S786" s="68"/>
    </row>
    <row r="787" spans="1:19" s="114" customFormat="1">
      <c r="A787" s="145"/>
      <c r="B787" s="145"/>
      <c r="C787" s="145"/>
      <c r="D787" s="145"/>
      <c r="S787" s="68"/>
    </row>
    <row r="788" spans="1:19" s="114" customFormat="1">
      <c r="A788" s="145"/>
      <c r="B788" s="145"/>
      <c r="C788" s="145"/>
      <c r="D788" s="145"/>
      <c r="S788" s="68"/>
    </row>
    <row r="789" spans="1:19" s="114" customFormat="1">
      <c r="A789" s="145"/>
      <c r="B789" s="145"/>
      <c r="C789" s="145"/>
      <c r="D789" s="145"/>
      <c r="S789" s="68"/>
    </row>
    <row r="790" spans="1:19" s="114" customFormat="1">
      <c r="A790" s="145"/>
      <c r="B790" s="145"/>
      <c r="C790" s="145"/>
      <c r="D790" s="145"/>
      <c r="S790" s="68"/>
    </row>
    <row r="791" spans="1:19" s="114" customFormat="1">
      <c r="A791" s="145"/>
      <c r="B791" s="145"/>
      <c r="C791" s="145"/>
      <c r="D791" s="145"/>
      <c r="S791" s="68"/>
    </row>
    <row r="792" spans="1:19" s="114" customFormat="1">
      <c r="A792" s="145"/>
      <c r="B792" s="145"/>
      <c r="C792" s="145"/>
      <c r="D792" s="145"/>
      <c r="S792" s="68"/>
    </row>
    <row r="793" spans="1:19" s="114" customFormat="1">
      <c r="A793" s="145"/>
      <c r="B793" s="145"/>
      <c r="C793" s="145"/>
      <c r="D793" s="145"/>
      <c r="S793" s="68"/>
    </row>
    <row r="794" spans="1:19" s="114" customFormat="1">
      <c r="A794" s="145"/>
      <c r="B794" s="145"/>
      <c r="C794" s="145"/>
      <c r="D794" s="145"/>
      <c r="S794" s="68"/>
    </row>
    <row r="795" spans="1:19" s="114" customFormat="1">
      <c r="A795" s="145"/>
      <c r="B795" s="145"/>
      <c r="C795" s="145"/>
      <c r="D795" s="145"/>
      <c r="S795" s="68"/>
    </row>
    <row r="796" spans="1:19" s="114" customFormat="1">
      <c r="A796" s="145"/>
      <c r="B796" s="145"/>
      <c r="C796" s="145"/>
      <c r="D796" s="145"/>
      <c r="S796" s="68"/>
    </row>
    <row r="797" spans="1:19" s="114" customFormat="1">
      <c r="A797" s="145"/>
      <c r="B797" s="145"/>
      <c r="C797" s="145"/>
      <c r="D797" s="145"/>
      <c r="S797" s="68"/>
    </row>
    <row r="798" spans="1:19" s="114" customFormat="1">
      <c r="A798" s="145"/>
      <c r="B798" s="145"/>
      <c r="C798" s="145"/>
      <c r="D798" s="145"/>
      <c r="S798" s="68"/>
    </row>
    <row r="799" spans="1:19" s="114" customFormat="1">
      <c r="A799" s="145"/>
      <c r="B799" s="145"/>
      <c r="C799" s="145"/>
      <c r="D799" s="145"/>
      <c r="S799" s="68"/>
    </row>
    <row r="800" spans="1:19" s="114" customFormat="1">
      <c r="A800" s="145"/>
      <c r="B800" s="145"/>
      <c r="C800" s="145"/>
      <c r="D800" s="145"/>
      <c r="S800" s="68"/>
    </row>
    <row r="801" spans="1:35" s="114" customFormat="1">
      <c r="A801" s="145"/>
      <c r="B801" s="145"/>
      <c r="C801" s="145"/>
      <c r="D801" s="145"/>
      <c r="S801" s="68"/>
    </row>
    <row r="802" spans="1:35" s="114" customFormat="1">
      <c r="A802" s="145"/>
      <c r="B802" s="145"/>
      <c r="C802" s="145"/>
      <c r="D802" s="145"/>
      <c r="S802" s="68"/>
    </row>
    <row r="803" spans="1:35" s="114" customFormat="1">
      <c r="A803" s="145"/>
      <c r="B803" s="145"/>
      <c r="C803" s="145"/>
      <c r="D803" s="145"/>
      <c r="S803" s="68"/>
    </row>
    <row r="804" spans="1:35" s="114" customFormat="1">
      <c r="A804" s="145"/>
      <c r="B804" s="145"/>
      <c r="C804" s="145"/>
      <c r="D804" s="145"/>
      <c r="S804" s="68"/>
    </row>
    <row r="805" spans="1:35" s="114" customFormat="1">
      <c r="A805" s="145"/>
      <c r="B805" s="145"/>
      <c r="C805" s="145"/>
      <c r="D805" s="145"/>
      <c r="S805" s="68"/>
    </row>
    <row r="806" spans="1:35" s="114" customFormat="1">
      <c r="A806" s="145"/>
      <c r="B806" s="145"/>
      <c r="C806" s="145"/>
      <c r="D806" s="145"/>
      <c r="S806" s="68"/>
    </row>
    <row r="807" spans="1:35" s="114" customFormat="1">
      <c r="A807" s="145"/>
      <c r="B807" s="145"/>
      <c r="C807" s="145"/>
      <c r="D807" s="145"/>
      <c r="S807" s="68"/>
    </row>
    <row r="808" spans="1:35" s="114" customFormat="1">
      <c r="A808" s="145"/>
      <c r="B808" s="145"/>
      <c r="C808" s="145"/>
      <c r="D808" s="145"/>
      <c r="S808" s="68"/>
    </row>
    <row r="809" spans="1:35" s="114" customFormat="1">
      <c r="A809" s="145"/>
      <c r="B809" s="145"/>
      <c r="C809" s="145"/>
      <c r="D809" s="145"/>
      <c r="S809" s="68"/>
    </row>
    <row r="810" spans="1:35" s="114" customFormat="1">
      <c r="A810" s="145"/>
      <c r="B810" s="145"/>
      <c r="C810" s="145"/>
      <c r="D810" s="145"/>
      <c r="S810" s="68"/>
    </row>
    <row r="811" spans="1:35" s="114" customFormat="1">
      <c r="A811" s="145"/>
      <c r="B811" s="145"/>
      <c r="C811" s="145"/>
      <c r="D811" s="145"/>
      <c r="S811" s="68"/>
    </row>
    <row r="812" spans="1:35" s="114" customFormat="1">
      <c r="A812" s="145"/>
      <c r="B812" s="145"/>
      <c r="C812" s="145"/>
      <c r="D812" s="145"/>
      <c r="S812" s="68"/>
      <c r="X812" s="53"/>
      <c r="Y812" s="53"/>
      <c r="Z812" s="53"/>
      <c r="AA812" s="53"/>
      <c r="AB812" s="53"/>
    </row>
    <row r="813" spans="1:35" s="114" customFormat="1">
      <c r="A813" s="145"/>
      <c r="B813" s="145"/>
      <c r="C813" s="145"/>
      <c r="D813" s="145"/>
      <c r="S813" s="68"/>
      <c r="X813" s="53"/>
      <c r="Y813" s="53"/>
      <c r="Z813" s="53"/>
      <c r="AA813" s="53"/>
      <c r="AB813" s="53"/>
    </row>
    <row r="814" spans="1:35" s="114" customFormat="1">
      <c r="A814" s="145"/>
      <c r="B814" s="145"/>
      <c r="C814" s="145"/>
      <c r="D814" s="145"/>
      <c r="S814" s="68"/>
      <c r="X814" s="53"/>
      <c r="Y814" s="53"/>
      <c r="Z814" s="53"/>
      <c r="AA814" s="53"/>
      <c r="AB814" s="53"/>
      <c r="AC814" s="53"/>
      <c r="AD814" s="53"/>
      <c r="AE814" s="53"/>
      <c r="AF814" s="53"/>
      <c r="AG814" s="53"/>
      <c r="AH814" s="53"/>
      <c r="AI814" s="53"/>
    </row>
    <row r="815" spans="1:35">
      <c r="G815" s="114"/>
    </row>
    <row r="816" spans="1:35">
      <c r="G816" s="114"/>
    </row>
  </sheetData>
  <sortState xmlns:xlrd2="http://schemas.microsoft.com/office/spreadsheetml/2017/richdata2" ref="A11:AM46">
    <sortCondition ref="H11:H46"/>
  </sortState>
  <mergeCells count="7">
    <mergeCell ref="I5:M5"/>
    <mergeCell ref="U5:V5"/>
    <mergeCell ref="AA62:AB62"/>
    <mergeCell ref="AD6:AF6"/>
    <mergeCell ref="B8:D8"/>
    <mergeCell ref="U6:V6"/>
    <mergeCell ref="Q6:R6"/>
  </mergeCells>
  <hyperlinks>
    <hyperlink ref="M1" location="Index!A1" display="Return to Index" xr:uid="{00000000-0004-0000-1000-000000000000}"/>
  </hyperlinks>
  <printOptions horizontalCentered="1"/>
  <pageMargins left="0.25" right="0.25" top="0.5" bottom="0.5" header="0.5" footer="0.5"/>
  <pageSetup scale="48" fitToHeight="0" orientation="landscape" horizontalDpi="1200" verticalDpi="1200" r:id="rId1"/>
  <headerFooter alignWithMargins="0">
    <oddFooter>&amp;L&amp;8Planning &amp; Accountability&amp;R&amp;8&amp;D</oddFooter>
  </headerFooter>
  <rowBreaks count="1" manualBreakCount="1">
    <brk id="61" max="12" man="1"/>
  </rowBreaks>
  <legacyDrawing r:id="rId2"/>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sheetPr codeName="Sheet23">
    <tabColor indexed="47"/>
    <pageSetUpPr fitToPage="1"/>
  </sheetPr>
  <dimension ref="A1:E165"/>
  <sheetViews>
    <sheetView showGridLines="0" zoomScale="65" zoomScaleNormal="65" zoomScaleSheetLayoutView="65" workbookViewId="0">
      <selection activeCell="C35" sqref="C35"/>
    </sheetView>
  </sheetViews>
  <sheetFormatPr defaultColWidth="9.140625" defaultRowHeight="12.75" customHeight="1"/>
  <cols>
    <col min="1" max="1" width="158.7109375" style="53" customWidth="1"/>
    <col min="2" max="2" width="18.5703125" style="53" customWidth="1"/>
    <col min="3" max="3" width="54.7109375" style="53" customWidth="1"/>
    <col min="4" max="4" width="20.7109375" style="53" customWidth="1"/>
    <col min="5" max="5" width="9.140625" style="679"/>
    <col min="6" max="16384" width="9.140625" style="53"/>
  </cols>
  <sheetData>
    <row r="1" spans="1:5" ht="28.5" thickBot="1">
      <c r="A1" s="159" t="s">
        <v>1377</v>
      </c>
      <c r="B1" s="835" t="s">
        <v>1200</v>
      </c>
      <c r="C1" s="53" t="s">
        <v>1329</v>
      </c>
    </row>
    <row r="2" spans="1:5" ht="27.75">
      <c r="A2" s="54" t="str">
        <f>'Smmy Chrts'!$A$2</f>
        <v>For the Year Ended August 31, 2021</v>
      </c>
      <c r="C2" s="55" t="s">
        <v>63</v>
      </c>
    </row>
    <row r="3" spans="1:5" ht="27.75">
      <c r="A3" s="54" t="str">
        <f>'Smmy Chrts'!$A$3</f>
        <v>Source: FY 2021 Annual Financial Report</v>
      </c>
      <c r="C3" s="53" t="s">
        <v>64</v>
      </c>
    </row>
    <row r="4" spans="1:5" ht="25.5" customHeight="1">
      <c r="A4" s="1344" t="s">
        <v>2127</v>
      </c>
      <c r="B4" s="1344"/>
      <c r="C4" s="1344"/>
    </row>
    <row r="5" spans="1:5" ht="12.75" customHeight="1">
      <c r="C5" s="53" t="s">
        <v>267</v>
      </c>
    </row>
    <row r="7" spans="1:5" ht="12.75" customHeight="1">
      <c r="C7" s="1687" t="s">
        <v>25</v>
      </c>
      <c r="D7" s="1687"/>
    </row>
    <row r="8" spans="1:5" ht="12.75" customHeight="1">
      <c r="C8" s="57"/>
      <c r="D8" s="58"/>
    </row>
    <row r="9" spans="1:5" ht="12.75" customHeight="1">
      <c r="C9" s="59" t="str">
        <f>'AUS Sum'!A9</f>
        <v>State of Texas</v>
      </c>
      <c r="D9" s="60">
        <f>'AUS Sum'!B15</f>
        <v>819917492</v>
      </c>
      <c r="E9" s="680">
        <f>ROUND(D9/$D$14,3)</f>
        <v>0.23699999999999999</v>
      </c>
    </row>
    <row r="10" spans="1:5" ht="12.75" customHeight="1">
      <c r="C10" s="59" t="str">
        <f>'AUS Sum'!A17</f>
        <v>Student &amp; Parent</v>
      </c>
      <c r="D10" s="60">
        <f>'AUS Sum'!B20</f>
        <v>525656028</v>
      </c>
      <c r="E10" s="680">
        <f t="shared" ref="E10:E12" si="0">ROUND(D10/$D$14,3)</f>
        <v>0.152</v>
      </c>
    </row>
    <row r="11" spans="1:5" ht="12.75" customHeight="1">
      <c r="C11" s="59" t="str">
        <f>'AUS Sum'!A22</f>
        <v>Federal Government</v>
      </c>
      <c r="D11" s="60">
        <f>'AUS Sum'!B23</f>
        <v>608859387</v>
      </c>
      <c r="E11" s="680">
        <f t="shared" si="0"/>
        <v>0.17599999999999999</v>
      </c>
    </row>
    <row r="12" spans="1:5" ht="12.75" customHeight="1">
      <c r="C12" s="59" t="str">
        <f>'AUS Sum'!A31</f>
        <v>Institutional Resources</v>
      </c>
      <c r="D12" s="60">
        <f>'AUS Sum'!B38</f>
        <v>1491129807</v>
      </c>
      <c r="E12" s="680">
        <f t="shared" si="0"/>
        <v>0.43099999999999999</v>
      </c>
    </row>
    <row r="13" spans="1:5" ht="12.75" customHeight="1">
      <c r="C13" s="59" t="s">
        <v>2125</v>
      </c>
      <c r="D13" s="60">
        <f>'AUS Sum'!B26+'AUS Sum'!B29</f>
        <v>10966682</v>
      </c>
      <c r="E13" s="680">
        <f>ROUND(D13/$D$14,3)</f>
        <v>3.0000000000000001E-3</v>
      </c>
    </row>
    <row r="14" spans="1:5" ht="12.75" customHeight="1">
      <c r="C14" s="61" t="s">
        <v>68</v>
      </c>
      <c r="D14" s="62">
        <f>SUM(D9:D13)</f>
        <v>3456529396</v>
      </c>
      <c r="E14" s="680">
        <f>SUM(E9:E13)</f>
        <v>0.999</v>
      </c>
    </row>
    <row r="18" spans="1:3" ht="12.75" customHeight="1">
      <c r="B18" s="270"/>
    </row>
    <row r="19" spans="1:3" ht="12.75" customHeight="1">
      <c r="B19" s="270"/>
    </row>
    <row r="20" spans="1:3" ht="12.75" customHeight="1">
      <c r="B20" s="270"/>
      <c r="C20" s="53" t="s">
        <v>88</v>
      </c>
    </row>
    <row r="21" spans="1:3" ht="12.75" customHeight="1">
      <c r="B21" s="270"/>
      <c r="C21" s="53" t="s">
        <v>89</v>
      </c>
    </row>
    <row r="22" spans="1:3" ht="12.75" customHeight="1">
      <c r="B22" s="270"/>
      <c r="C22" s="53" t="s">
        <v>90</v>
      </c>
    </row>
    <row r="23" spans="1:3" ht="12.75" customHeight="1">
      <c r="A23" s="56"/>
      <c r="B23" s="270"/>
      <c r="C23" s="53" t="s">
        <v>91</v>
      </c>
    </row>
    <row r="24" spans="1:3" ht="12.75" customHeight="1">
      <c r="A24" s="56"/>
      <c r="B24" s="270"/>
    </row>
    <row r="25" spans="1:3" ht="12.75" customHeight="1">
      <c r="A25" s="56"/>
      <c r="B25" s="270"/>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3" ht="12.75" customHeight="1">
      <c r="A33" s="56"/>
      <c r="C33" s="1175"/>
    </row>
    <row r="34" spans="1:3" ht="12.75" customHeight="1">
      <c r="A34" s="56"/>
      <c r="C34" s="1175"/>
    </row>
    <row r="35" spans="1:3" ht="12.75" customHeight="1">
      <c r="A35" s="56"/>
    </row>
    <row r="36" spans="1:3" ht="12.75" customHeight="1">
      <c r="A36" s="56"/>
    </row>
    <row r="37" spans="1:3" ht="12.75" customHeight="1">
      <c r="A37" s="56"/>
    </row>
    <row r="38" spans="1:3" ht="12.75" customHeight="1">
      <c r="A38" s="56"/>
    </row>
    <row r="39" spans="1:3" ht="12.75" customHeight="1">
      <c r="A39" s="56"/>
    </row>
    <row r="40" spans="1:3" ht="12.75" customHeight="1">
      <c r="A40" s="56"/>
    </row>
    <row r="41" spans="1:3" ht="12.75" customHeight="1">
      <c r="A41" s="56"/>
    </row>
    <row r="42" spans="1:3" ht="12.75" customHeight="1">
      <c r="A42" s="56"/>
    </row>
    <row r="43" spans="1:3" ht="12.75" customHeight="1">
      <c r="A43" s="56"/>
    </row>
    <row r="44" spans="1:3" ht="12.75" customHeight="1">
      <c r="A44" s="56"/>
    </row>
    <row r="45" spans="1:3" ht="12.75" customHeight="1">
      <c r="A45" s="56"/>
    </row>
    <row r="46" spans="1:3" ht="12.75" customHeight="1">
      <c r="A46" s="56"/>
    </row>
    <row r="47" spans="1:3" ht="12.75" customHeight="1">
      <c r="A47" s="1686" t="str">
        <f>C14&amp;" "&amp;TEXT(D14,"$#,###")</f>
        <v>Total Operating Sources $3,456,529,396</v>
      </c>
    </row>
    <row r="48" spans="1:3" ht="12.75" customHeight="1">
      <c r="A48" s="1686"/>
    </row>
    <row r="49" spans="1:5" ht="12.75" customHeight="1">
      <c r="A49" s="56"/>
    </row>
    <row r="52" spans="1:5" ht="12.75" customHeight="1">
      <c r="C52" s="63" t="s">
        <v>25</v>
      </c>
      <c r="D52" s="58"/>
    </row>
    <row r="54" spans="1:5" ht="12.75" customHeight="1">
      <c r="C54" s="59" t="s">
        <v>1</v>
      </c>
      <c r="D54" s="60">
        <f>'AUS Sum'!B10</f>
        <v>340023735</v>
      </c>
      <c r="E54" s="680">
        <f>ROUND(D54/$D$69,3)</f>
        <v>9.9000000000000005E-2</v>
      </c>
    </row>
    <row r="55" spans="1:5" ht="12.75" customHeight="1">
      <c r="C55" s="59" t="s">
        <v>221</v>
      </c>
      <c r="D55" s="60">
        <f>'AUS Sum'!B11</f>
        <v>62506757</v>
      </c>
      <c r="E55" s="680">
        <f>ROUND(D55/$D$69,3)</f>
        <v>1.7999999999999999E-2</v>
      </c>
    </row>
    <row r="56" spans="1:5" ht="12.75" customHeight="1">
      <c r="C56" s="59"/>
      <c r="D56" s="60"/>
      <c r="E56" s="680"/>
    </row>
    <row r="57" spans="1:5" ht="12.75" customHeight="1">
      <c r="C57" s="59" t="str">
        <f>'AUS Sum'!A13</f>
        <v>Higher Education Fund</v>
      </c>
      <c r="D57" s="60">
        <f>'AUS Sum'!B13</f>
        <v>0</v>
      </c>
      <c r="E57" s="680">
        <f t="shared" ref="E57:E66" si="1">ROUND(D57/$D$69,3)</f>
        <v>0</v>
      </c>
    </row>
    <row r="58" spans="1:5" ht="12.75" customHeight="1">
      <c r="C58" s="1069" t="s">
        <v>41</v>
      </c>
      <c r="D58" s="60">
        <f>'AUS Sum'!B14</f>
        <v>417387000</v>
      </c>
      <c r="E58" s="680">
        <f t="shared" si="1"/>
        <v>0.121</v>
      </c>
    </row>
    <row r="59" spans="1:5" ht="12.75" customHeight="1">
      <c r="C59" s="59" t="s">
        <v>87</v>
      </c>
      <c r="D59" s="60">
        <f>'AUS Sum'!B20</f>
        <v>525656028</v>
      </c>
      <c r="E59" s="680">
        <f t="shared" si="1"/>
        <v>0.153</v>
      </c>
    </row>
    <row r="60" spans="1:5" ht="12.75" customHeight="1">
      <c r="C60" s="64" t="s">
        <v>74</v>
      </c>
      <c r="D60" s="60">
        <f>'AUS Sum'!B23</f>
        <v>608859387</v>
      </c>
      <c r="E60" s="680">
        <f t="shared" si="1"/>
        <v>0.17699999999999999</v>
      </c>
    </row>
    <row r="61" spans="1:5" ht="12.75" customHeight="1">
      <c r="C61" s="59" t="s">
        <v>75</v>
      </c>
      <c r="D61" s="60">
        <f>'AUS Sum'!B32</f>
        <v>556924553</v>
      </c>
      <c r="E61" s="680">
        <f t="shared" si="1"/>
        <v>0.16200000000000001</v>
      </c>
    </row>
    <row r="62" spans="1:5" ht="12.75" customHeight="1">
      <c r="C62" s="59" t="s">
        <v>27</v>
      </c>
      <c r="D62" s="60">
        <f>'AUS Sum'!B33</f>
        <v>38456530</v>
      </c>
      <c r="E62" s="680">
        <f t="shared" si="1"/>
        <v>1.0999999999999999E-2</v>
      </c>
    </row>
    <row r="63" spans="1:5" ht="12.75" customHeight="1">
      <c r="C63" s="59" t="s">
        <v>76</v>
      </c>
      <c r="D63" s="60">
        <f>'AUS Sum'!B34</f>
        <v>440794317</v>
      </c>
      <c r="E63" s="680">
        <f t="shared" si="1"/>
        <v>0.128</v>
      </c>
    </row>
    <row r="64" spans="1:5" ht="12.75" customHeight="1">
      <c r="C64" s="59" t="s">
        <v>77</v>
      </c>
      <c r="D64" s="60">
        <f>'AUS Sum'!B35</f>
        <v>273075190</v>
      </c>
      <c r="E64" s="680">
        <f t="shared" si="1"/>
        <v>7.9000000000000001E-2</v>
      </c>
    </row>
    <row r="65" spans="1:5" ht="12.75" customHeight="1">
      <c r="C65" s="59" t="s">
        <v>220</v>
      </c>
      <c r="D65" s="60">
        <f>'AUS Sum'!B36</f>
        <v>166940890</v>
      </c>
      <c r="E65" s="680">
        <f t="shared" si="1"/>
        <v>4.8000000000000001E-2</v>
      </c>
    </row>
    <row r="66" spans="1:5" ht="12.75" customHeight="1">
      <c r="C66" s="64" t="s">
        <v>52</v>
      </c>
      <c r="D66" s="60">
        <f>'AUS Sum'!B37</f>
        <v>14938327</v>
      </c>
      <c r="E66" s="680">
        <f t="shared" si="1"/>
        <v>4.0000000000000001E-3</v>
      </c>
    </row>
    <row r="67" spans="1:5" ht="12.75" customHeight="1">
      <c r="C67" s="59" t="s">
        <v>2125</v>
      </c>
      <c r="D67" s="60">
        <f>'AUS Sum'!$B$26+'AUS Sum'!$B$29</f>
        <v>10966682</v>
      </c>
      <c r="E67" s="680">
        <f>ROUND(D67/$D$14,3)</f>
        <v>3.0000000000000001E-3</v>
      </c>
    </row>
    <row r="69" spans="1:5" ht="12.75" customHeight="1">
      <c r="C69" s="61" t="s">
        <v>68</v>
      </c>
      <c r="D69" s="62">
        <f>SUM(D54:D66)</f>
        <v>3445562714</v>
      </c>
      <c r="E69" s="681">
        <f>SUM(E54:E66)</f>
        <v>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86" t="str">
        <f>C69&amp;" "&amp;TEXT(D69,"$#,###")</f>
        <v>Total Operating Sources $3,445,562,714</v>
      </c>
    </row>
    <row r="93" spans="1:5" ht="12.75" customHeight="1">
      <c r="A93" s="1686"/>
    </row>
    <row r="94" spans="1:5" ht="12.75" customHeight="1">
      <c r="A94" s="65"/>
    </row>
    <row r="95" spans="1:5" s="68" customFormat="1" ht="12.75" customHeight="1">
      <c r="A95" s="66"/>
      <c r="E95" s="682"/>
    </row>
    <row r="96" spans="1:5" ht="12.75" customHeight="1">
      <c r="A96" s="65"/>
    </row>
    <row r="97" spans="1:5" ht="12.75" customHeight="1">
      <c r="A97" s="65"/>
    </row>
    <row r="98" spans="1:5" ht="12.75" customHeight="1">
      <c r="A98" s="65"/>
    </row>
    <row r="100" spans="1:5" ht="12.75" customHeight="1">
      <c r="C100" s="1687" t="s">
        <v>13</v>
      </c>
      <c r="D100" s="1687"/>
    </row>
    <row r="101" spans="1:5" ht="12.75" customHeight="1">
      <c r="C101" s="1687"/>
      <c r="D101" s="1687"/>
    </row>
    <row r="102" spans="1:5" ht="12.75" customHeight="1">
      <c r="C102" s="69" t="s">
        <v>14</v>
      </c>
      <c r="D102" s="60">
        <f>'AUS Sum'!B42</f>
        <v>683648597</v>
      </c>
      <c r="E102" s="680">
        <f>ROUND(D102/$D$114,3)</f>
        <v>0.24199999999999999</v>
      </c>
    </row>
    <row r="103" spans="1:5" ht="12.75" customHeight="1">
      <c r="C103" s="69" t="s">
        <v>15</v>
      </c>
      <c r="D103" s="60">
        <f>'AUS Sum'!B43</f>
        <v>556581267</v>
      </c>
      <c r="E103" s="680">
        <f t="shared" ref="E103:E112" si="2">ROUND(D103/$D$114,3)</f>
        <v>0.19700000000000001</v>
      </c>
    </row>
    <row r="104" spans="1:5" ht="12.75" customHeight="1">
      <c r="C104" s="69" t="s">
        <v>16</v>
      </c>
      <c r="D104" s="60">
        <f>'AUS Sum'!B44</f>
        <v>98536892</v>
      </c>
      <c r="E104" s="680">
        <f t="shared" si="2"/>
        <v>3.5000000000000003E-2</v>
      </c>
    </row>
    <row r="105" spans="1:5" ht="12.75" customHeight="1">
      <c r="C105" s="69" t="s">
        <v>17</v>
      </c>
      <c r="D105" s="60">
        <f>'AUS Sum'!B46</f>
        <v>344983218</v>
      </c>
      <c r="E105" s="680">
        <f t="shared" si="2"/>
        <v>0.122</v>
      </c>
    </row>
    <row r="106" spans="1:5" ht="12.75" customHeight="1">
      <c r="C106" s="69" t="s">
        <v>18</v>
      </c>
      <c r="D106" s="60">
        <f>'AUS Sum'!B47</f>
        <v>41791895</v>
      </c>
      <c r="E106" s="680">
        <f t="shared" si="2"/>
        <v>1.4999999999999999E-2</v>
      </c>
    </row>
    <row r="107" spans="1:5" ht="12.75" customHeight="1">
      <c r="C107" s="69" t="s">
        <v>19</v>
      </c>
      <c r="D107" s="60">
        <f>'AUS Sum'!B48</f>
        <v>243900007</v>
      </c>
      <c r="E107" s="680">
        <f t="shared" si="2"/>
        <v>8.5999999999999993E-2</v>
      </c>
    </row>
    <row r="108" spans="1:5" ht="12.75" customHeight="1">
      <c r="C108" s="69" t="s">
        <v>78</v>
      </c>
      <c r="D108" s="60">
        <f>'AUS Sum'!B49</f>
        <v>207420808</v>
      </c>
      <c r="E108" s="680">
        <f t="shared" si="2"/>
        <v>7.3999999999999996E-2</v>
      </c>
    </row>
    <row r="109" spans="1:5" ht="12.75" customHeight="1">
      <c r="C109" s="69" t="s">
        <v>79</v>
      </c>
      <c r="D109" s="60">
        <f>'AUS Sum'!B50</f>
        <v>171717116</v>
      </c>
      <c r="E109" s="680">
        <f t="shared" si="2"/>
        <v>6.0999999999999999E-2</v>
      </c>
    </row>
    <row r="110" spans="1:5" ht="12.75" customHeight="1">
      <c r="C110" s="69" t="s">
        <v>22</v>
      </c>
      <c r="D110" s="60">
        <f>'AUS Sum'!B51</f>
        <v>283061822</v>
      </c>
      <c r="E110" s="680">
        <f t="shared" si="2"/>
        <v>0.1</v>
      </c>
    </row>
    <row r="111" spans="1:5" ht="12.75" customHeight="1">
      <c r="C111" s="64" t="s">
        <v>29</v>
      </c>
      <c r="D111" s="60">
        <f>'AUS Sum'!B52</f>
        <v>85832029</v>
      </c>
      <c r="E111" s="680">
        <f t="shared" si="2"/>
        <v>0.03</v>
      </c>
    </row>
    <row r="112" spans="1:5" ht="12.75" customHeight="1">
      <c r="C112" s="64" t="s">
        <v>53</v>
      </c>
      <c r="D112" s="60">
        <f>'AUS Sum'!B53</f>
        <v>1729858</v>
      </c>
      <c r="E112" s="680">
        <f t="shared" si="2"/>
        <v>1E-3</v>
      </c>
    </row>
    <row r="113" spans="3:5" ht="12.75" customHeight="1">
      <c r="C113" s="64" t="s">
        <v>2126</v>
      </c>
      <c r="D113" s="60">
        <f>'AUS Sum'!B45</f>
        <v>102739063</v>
      </c>
      <c r="E113" s="680">
        <f>ROUND(D113/$D$114,3)</f>
        <v>3.5999999999999997E-2</v>
      </c>
    </row>
    <row r="114" spans="3:5" ht="12.75" customHeight="1">
      <c r="C114" s="70" t="s">
        <v>69</v>
      </c>
      <c r="D114" s="62">
        <f>SUM(D102:D113)</f>
        <v>2821942572</v>
      </c>
      <c r="E114" s="681">
        <f>SUM(E102:E113)</f>
        <v>0.99899999999999989</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86" t="str">
        <f>C114&amp;" "&amp;TEXT(D114,"$#,###")</f>
        <v>Total Operating Uses $2,821,942,572</v>
      </c>
    </row>
    <row r="137" spans="1:1" ht="12.75" customHeight="1">
      <c r="A137" s="1686"/>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A9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1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sheetPr transitionEvaluation="1" transitionEntry="1" codeName="Sheet24">
    <tabColor indexed="13"/>
  </sheetPr>
  <dimension ref="A1:AE86"/>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I9" sqref="I9"/>
    </sheetView>
  </sheetViews>
  <sheetFormatPr defaultColWidth="9.140625" defaultRowHeight="12.75"/>
  <cols>
    <col min="1" max="1" width="61.7109375" style="75" customWidth="1"/>
    <col min="2" max="2" width="17.85546875" style="75" customWidth="1"/>
    <col min="3" max="3" width="14.7109375" style="2" customWidth="1"/>
    <col min="4" max="4" width="14" style="261" customWidth="1"/>
    <col min="5" max="5" width="14.8554687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6" ht="17.25" thickTop="1" thickBot="1">
      <c r="A1" s="156" t="str">
        <f>'AUS Chrts'!$A$1</f>
        <v>The University of Texas at Austin -  All Disciplines (A+H+M)</v>
      </c>
      <c r="B1" s="74"/>
      <c r="C1" s="1"/>
      <c r="D1" s="1704" t="s">
        <v>1200</v>
      </c>
      <c r="E1" s="1705"/>
      <c r="F1" s="1757" t="s">
        <v>1196</v>
      </c>
      <c r="G1" s="1706"/>
      <c r="H1" s="1706"/>
      <c r="I1" s="1706"/>
      <c r="J1" s="1707" t="s">
        <v>1197</v>
      </c>
      <c r="K1" s="1695"/>
      <c r="L1" s="1695"/>
      <c r="M1" s="1695"/>
      <c r="N1" s="1695"/>
      <c r="O1" s="1696"/>
    </row>
    <row r="2" spans="1:16" ht="15.75">
      <c r="A2" s="76" t="str">
        <f>'Smmy Chrts'!$A$2</f>
        <v>For the Year Ended August 31, 2021</v>
      </c>
      <c r="B2" s="74"/>
      <c r="C2" s="1"/>
      <c r="D2" s="1175"/>
      <c r="E2" s="37"/>
      <c r="F2" s="37"/>
      <c r="J2" s="37"/>
      <c r="K2" s="37"/>
      <c r="L2" s="37"/>
      <c r="M2" s="37"/>
    </row>
    <row r="3" spans="1:16" ht="15.75">
      <c r="A3" s="76" t="str">
        <f>'Smmy Chrts'!$A$3</f>
        <v>Source: FY 2021 Annual Financial Report</v>
      </c>
      <c r="B3" s="74"/>
      <c r="C3" s="1"/>
      <c r="D3" s="1175"/>
    </row>
    <row r="4" spans="1:16" s="104" customFormat="1" ht="28.5" customHeight="1">
      <c r="A4" s="1762" t="s">
        <v>2127</v>
      </c>
      <c r="B4" s="1762"/>
      <c r="C4" s="1762"/>
      <c r="D4" s="1711" t="s">
        <v>1142</v>
      </c>
      <c r="E4" s="1711" t="s">
        <v>1143</v>
      </c>
      <c r="F4" s="1342"/>
      <c r="G4" s="1343"/>
      <c r="H4" s="1343"/>
      <c r="I4" s="1343"/>
      <c r="J4" s="1343"/>
      <c r="K4" s="1343"/>
      <c r="L4" s="1343"/>
      <c r="M4" s="1343"/>
      <c r="N4" s="1343"/>
      <c r="O4" s="1343"/>
      <c r="P4" s="1343"/>
    </row>
    <row r="5" spans="1:16" ht="14.25" customHeight="1">
      <c r="A5" s="39" t="str">
        <f>'Smmy Chrts'!$C$35</f>
        <v>Summary Worksheet FY 2021</v>
      </c>
      <c r="B5" s="40" t="s">
        <v>86</v>
      </c>
      <c r="C5" s="40" t="s">
        <v>129</v>
      </c>
      <c r="D5" s="1712"/>
      <c r="E5" s="1712"/>
      <c r="F5" s="266"/>
      <c r="G5" s="799" t="s">
        <v>1198</v>
      </c>
      <c r="I5" s="822" t="s">
        <v>2157</v>
      </c>
      <c r="J5" s="792" t="s">
        <v>1144</v>
      </c>
    </row>
    <row r="6" spans="1:16" ht="13.5" customHeight="1">
      <c r="A6" s="78" t="s">
        <v>266</v>
      </c>
      <c r="B6" s="41"/>
      <c r="C6" s="42">
        <f>FTSE!$N$69</f>
        <v>47730.87</v>
      </c>
      <c r="J6" s="712"/>
    </row>
    <row r="7" spans="1:16">
      <c r="I7" s="824" t="s">
        <v>1162</v>
      </c>
      <c r="J7" s="827"/>
    </row>
    <row r="8" spans="1:16">
      <c r="A8" s="81" t="s">
        <v>71</v>
      </c>
      <c r="B8" s="81"/>
      <c r="C8" s="24"/>
      <c r="I8" s="896">
        <f>FTSE!$P$69</f>
        <v>5556.15</v>
      </c>
      <c r="J8" s="712"/>
    </row>
    <row r="9" spans="1:16" ht="12.75" customHeight="1" thickBot="1">
      <c r="A9" s="78" t="s">
        <v>0</v>
      </c>
      <c r="B9" s="82"/>
      <c r="C9" s="7"/>
      <c r="J9" s="712"/>
    </row>
    <row r="10" spans="1:16" ht="12.75" customHeight="1" thickTop="1">
      <c r="A10" s="75" t="s">
        <v>1</v>
      </c>
      <c r="B10" s="83">
        <f>'AUS FGD'!M10</f>
        <v>340023735</v>
      </c>
      <c r="C10" s="83">
        <f>ROUND(B10/$C$6,0)</f>
        <v>7124</v>
      </c>
      <c r="D10" s="512">
        <f>'AUS FGD'!F10</f>
        <v>0</v>
      </c>
      <c r="E10" s="512"/>
      <c r="F10" s="84">
        <f>B10-(SUM(D10:E10))</f>
        <v>340023735</v>
      </c>
      <c r="G10" s="1143" t="s">
        <v>1</v>
      </c>
      <c r="H10" s="1144"/>
      <c r="I10" s="825" t="s">
        <v>1161</v>
      </c>
      <c r="J10" s="713">
        <f>ROUND(F10/$C$6,0)</f>
        <v>7124</v>
      </c>
    </row>
    <row r="11" spans="1:16" ht="12.75" customHeight="1" thickBot="1">
      <c r="A11" s="75" t="s">
        <v>2</v>
      </c>
      <c r="B11" s="86">
        <f>'AUS FGD'!M11</f>
        <v>62506757</v>
      </c>
      <c r="C11" s="87">
        <f t="shared" ref="C11:C14" si="0">ROUND(B11/$C$6,0)</f>
        <v>1310</v>
      </c>
      <c r="D11" s="86">
        <f>'AUS FGD'!F11</f>
        <v>0</v>
      </c>
      <c r="E11" s="74"/>
      <c r="F11" s="606">
        <f t="shared" ref="F11:F14" si="1">B11-(SUM(D11:E11))</f>
        <v>62506757</v>
      </c>
      <c r="G11" s="1148">
        <f>SUM(F10:F11)</f>
        <v>402530492</v>
      </c>
      <c r="H11" s="715"/>
      <c r="I11" s="1373">
        <f>ROUND($G$11/$C$6,0)</f>
        <v>8433</v>
      </c>
      <c r="J11" s="716">
        <f t="shared" ref="J11:J14" si="2">ROUND(F11/$C$6,0)</f>
        <v>1310</v>
      </c>
    </row>
    <row r="12" spans="1:16" ht="12.75" hidden="1" customHeight="1" thickTop="1" thickBot="1">
      <c r="A12" s="75" t="s">
        <v>1410</v>
      </c>
      <c r="B12" s="86"/>
      <c r="C12" s="87"/>
      <c r="D12" s="86"/>
      <c r="E12" s="74"/>
      <c r="F12" s="607"/>
      <c r="J12" s="716"/>
      <c r="O12" s="608"/>
    </row>
    <row r="13" spans="1:16" ht="12.75" customHeight="1" thickTop="1">
      <c r="A13" s="75" t="s">
        <v>1368</v>
      </c>
      <c r="B13" s="86">
        <f>'AUS FGD'!M13</f>
        <v>0</v>
      </c>
      <c r="C13" s="87">
        <f t="shared" si="0"/>
        <v>0</v>
      </c>
      <c r="D13" s="86">
        <f>'AUS FGD'!F13</f>
        <v>0</v>
      </c>
      <c r="E13" s="74"/>
      <c r="F13" s="893">
        <f t="shared" si="1"/>
        <v>0</v>
      </c>
      <c r="G13" s="882" t="s">
        <v>81</v>
      </c>
      <c r="H13" s="894"/>
      <c r="I13" s="826" t="s">
        <v>1163</v>
      </c>
      <c r="J13" s="716">
        <f t="shared" si="2"/>
        <v>0</v>
      </c>
    </row>
    <row r="14" spans="1:16" ht="12.75" customHeight="1" thickBot="1">
      <c r="A14" s="75" t="s">
        <v>49</v>
      </c>
      <c r="B14" s="86">
        <f>'AUS FGD'!M14</f>
        <v>417387000</v>
      </c>
      <c r="C14" s="87">
        <f t="shared" si="0"/>
        <v>8745</v>
      </c>
      <c r="D14" s="86">
        <f>'AUS FGD'!F14</f>
        <v>0</v>
      </c>
      <c r="E14" s="74"/>
      <c r="F14" s="607">
        <f t="shared" si="1"/>
        <v>417387000</v>
      </c>
      <c r="G14" s="800">
        <f>SUM(F13:F14)</f>
        <v>417387000</v>
      </c>
      <c r="H14" s="895"/>
      <c r="I14" s="1377">
        <f>ROUND($G$11/$I$8,0)</f>
        <v>72448</v>
      </c>
      <c r="J14" s="828">
        <f t="shared" si="2"/>
        <v>8745</v>
      </c>
    </row>
    <row r="15" spans="1:16" ht="12.75" customHeight="1" thickTop="1">
      <c r="A15" s="88" t="s">
        <v>3</v>
      </c>
      <c r="B15" s="89">
        <f>SUM(B10:B14)</f>
        <v>819917492</v>
      </c>
      <c r="C15" s="89">
        <f>SUM(C10:C14)</f>
        <v>17179</v>
      </c>
      <c r="D15" s="89">
        <f>SUM(D10:D14)</f>
        <v>0</v>
      </c>
      <c r="E15" s="89">
        <f>SUM(E10:E14)</f>
        <v>0</v>
      </c>
      <c r="F15" s="216">
        <f>SUM(F10:F14)</f>
        <v>819917492</v>
      </c>
      <c r="I15" s="1372"/>
      <c r="J15" s="757">
        <f>SUM(J10:J14)</f>
        <v>17179</v>
      </c>
    </row>
    <row r="16" spans="1:16">
      <c r="B16" s="48"/>
      <c r="C16" s="75"/>
      <c r="J16" s="712"/>
    </row>
    <row r="17" spans="1:16" ht="12.75" customHeight="1">
      <c r="A17" s="78" t="s">
        <v>4</v>
      </c>
      <c r="B17" s="86"/>
      <c r="C17" s="75"/>
      <c r="J17" s="712"/>
    </row>
    <row r="18" spans="1:16">
      <c r="A18" s="75" t="s">
        <v>39</v>
      </c>
      <c r="B18" s="83">
        <f>'AUS FGD'!M29</f>
        <v>455134999</v>
      </c>
      <c r="C18" s="83">
        <f t="shared" ref="C18:C19" si="3">ROUND(B18/$C$6,0)</f>
        <v>9535</v>
      </c>
      <c r="D18" s="512">
        <f>'AUS FGD'!$F$29</f>
        <v>0</v>
      </c>
      <c r="E18" s="512"/>
      <c r="F18" s="512">
        <f t="shared" ref="F18:F19" si="4">B18-(SUM(D18:E18))</f>
        <v>455134999</v>
      </c>
      <c r="G18" s="337"/>
      <c r="H18" s="337"/>
      <c r="I18" s="337"/>
      <c r="J18" s="713">
        <f>ROUND(F18/$C$6,0)</f>
        <v>9535</v>
      </c>
    </row>
    <row r="19" spans="1:16" ht="13.5" thickBot="1">
      <c r="A19" s="75" t="s">
        <v>40</v>
      </c>
      <c r="B19" s="86">
        <f>'AUS FGD'!M42</f>
        <v>70521029</v>
      </c>
      <c r="C19" s="87">
        <f t="shared" si="3"/>
        <v>1477</v>
      </c>
      <c r="D19" s="74">
        <f>'AUS FGD'!$F$42</f>
        <v>34360358</v>
      </c>
      <c r="E19" s="74"/>
      <c r="F19" s="74">
        <f t="shared" si="4"/>
        <v>36160671</v>
      </c>
      <c r="G19" s="337"/>
      <c r="H19" s="337"/>
      <c r="I19" s="337"/>
      <c r="J19" s="716">
        <f>ROUND(F19/$C$6,0)</f>
        <v>758</v>
      </c>
    </row>
    <row r="20" spans="1:16" ht="14.25" thickTop="1" thickBot="1">
      <c r="A20" s="88" t="s">
        <v>5</v>
      </c>
      <c r="B20" s="89">
        <f>SUM(B18:B19)</f>
        <v>525656028</v>
      </c>
      <c r="C20" s="89">
        <f>SUM(C18:C19)</f>
        <v>11012</v>
      </c>
      <c r="D20" s="717">
        <f>SUM(D18:D19)</f>
        <v>34360358</v>
      </c>
      <c r="E20" s="718">
        <f>SUM(E18:E19)</f>
        <v>0</v>
      </c>
      <c r="F20" s="801">
        <f>SUM(F18:F19)</f>
        <v>491295670</v>
      </c>
      <c r="G20" s="720" t="s">
        <v>26</v>
      </c>
      <c r="H20" s="366"/>
      <c r="I20" s="367"/>
      <c r="J20" s="721">
        <f>SUM(J18:J19)</f>
        <v>10293</v>
      </c>
    </row>
    <row r="21" spans="1:16" ht="12.75" customHeight="1" thickTop="1">
      <c r="B21" s="91"/>
      <c r="C21" s="75"/>
      <c r="F21" s="804"/>
      <c r="J21" s="712"/>
    </row>
    <row r="22" spans="1:16" ht="14.25" customHeight="1" thickBot="1">
      <c r="A22" s="78" t="s">
        <v>6</v>
      </c>
      <c r="B22" s="91"/>
      <c r="C22" s="75"/>
      <c r="J22" s="712"/>
    </row>
    <row r="23" spans="1:16" ht="14.25" thickTop="1" thickBot="1">
      <c r="A23" s="88" t="s">
        <v>7</v>
      </c>
      <c r="B23" s="92">
        <f>'AUS FGD'!M47</f>
        <v>608859387</v>
      </c>
      <c r="C23" s="89">
        <f t="shared" ref="C23" si="5">ROUND(B23/$C$6,0)</f>
        <v>12756</v>
      </c>
      <c r="D23" s="717">
        <f>'AUS FGD'!F47</f>
        <v>0</v>
      </c>
      <c r="E23" s="718"/>
      <c r="F23" s="801">
        <f>B23-(SUM(D23:E23))</f>
        <v>608859387</v>
      </c>
      <c r="G23" s="722" t="s">
        <v>74</v>
      </c>
      <c r="H23" s="366"/>
      <c r="I23" s="367"/>
      <c r="J23" s="756">
        <f>ROUND(F23/$C$6,0)</f>
        <v>12756</v>
      </c>
    </row>
    <row r="24" spans="1:16" ht="13.5" thickTop="1">
      <c r="C24" s="75"/>
      <c r="J24" s="712"/>
      <c r="P24" s="75"/>
    </row>
    <row r="25" spans="1:16">
      <c r="A25" s="78" t="s">
        <v>2121</v>
      </c>
      <c r="C25" s="75"/>
      <c r="D25" s="74"/>
      <c r="H25" s="337"/>
      <c r="J25" s="712"/>
      <c r="P25" s="75"/>
    </row>
    <row r="26" spans="1:16">
      <c r="A26" s="88" t="s">
        <v>2122</v>
      </c>
      <c r="B26" s="89">
        <f>'AUS FGD'!M50</f>
        <v>10678165</v>
      </c>
      <c r="C26" s="89">
        <f t="shared" ref="C26" si="6">ROUND(B26/$C$6,0)</f>
        <v>224</v>
      </c>
      <c r="D26" s="89">
        <f>'AUS FGD'!F50</f>
        <v>0</v>
      </c>
      <c r="E26" s="89"/>
      <c r="F26" s="89">
        <f t="shared" ref="F26" si="7">B26-(SUM(D26:E26))</f>
        <v>10678165</v>
      </c>
      <c r="G26" s="367"/>
      <c r="H26" s="367"/>
      <c r="I26" s="337"/>
      <c r="J26" s="713"/>
      <c r="P26" s="75"/>
    </row>
    <row r="27" spans="1:16">
      <c r="C27" s="75"/>
      <c r="D27" s="373"/>
      <c r="E27" s="1329"/>
      <c r="F27" s="367"/>
      <c r="G27" s="367"/>
      <c r="H27" s="367"/>
      <c r="I27" s="337"/>
      <c r="J27" s="716"/>
      <c r="P27" s="75"/>
    </row>
    <row r="28" spans="1:16">
      <c r="A28" s="78" t="s">
        <v>2123</v>
      </c>
      <c r="C28" s="75"/>
      <c r="D28" s="86"/>
      <c r="E28" s="1330"/>
      <c r="F28" s="367"/>
      <c r="G28" s="367"/>
      <c r="H28" s="367"/>
      <c r="I28" s="337"/>
      <c r="J28" s="716"/>
      <c r="P28" s="75"/>
    </row>
    <row r="29" spans="1:16">
      <c r="A29" s="88" t="s">
        <v>2122</v>
      </c>
      <c r="B29" s="89">
        <f>'AUS FGD'!M53</f>
        <v>288517</v>
      </c>
      <c r="C29" s="89">
        <f t="shared" ref="C29" si="8">ROUND(B29/$C$6,0)</f>
        <v>6</v>
      </c>
      <c r="D29" s="89">
        <f>'AUS FGD'!F53</f>
        <v>0</v>
      </c>
      <c r="E29" s="89"/>
      <c r="F29" s="89">
        <f t="shared" ref="F29" si="9">B29-(SUM(D29:E29))</f>
        <v>288517</v>
      </c>
      <c r="G29" s="367"/>
      <c r="H29" s="367"/>
      <c r="I29" s="337"/>
      <c r="J29" s="716"/>
      <c r="P29" s="75"/>
    </row>
    <row r="30" spans="1:16">
      <c r="B30" s="91"/>
      <c r="C30" s="75"/>
      <c r="J30" s="712"/>
    </row>
    <row r="31" spans="1:16">
      <c r="A31" s="78" t="s">
        <v>8</v>
      </c>
      <c r="B31" s="91"/>
      <c r="C31" s="75"/>
      <c r="J31" s="712"/>
    </row>
    <row r="32" spans="1:16">
      <c r="A32" s="75" t="s">
        <v>42</v>
      </c>
      <c r="B32" s="83">
        <f>'AUS FGD'!M56</f>
        <v>556924553</v>
      </c>
      <c r="C32" s="83">
        <f t="shared" ref="C32:C37" si="10">ROUND(B32/$C$6,0)</f>
        <v>11668</v>
      </c>
      <c r="D32" s="512">
        <f>'AUS FGD'!F56</f>
        <v>29517692</v>
      </c>
      <c r="E32" s="512"/>
      <c r="F32" s="512">
        <f t="shared" ref="F32:F37" si="11">B32-(SUM(D32:E32))</f>
        <v>527406861</v>
      </c>
      <c r="G32" s="337"/>
      <c r="H32" s="337"/>
      <c r="I32" s="337"/>
      <c r="J32" s="713">
        <f>ROUND(F32/$C$6,0)</f>
        <v>11050</v>
      </c>
    </row>
    <row r="33" spans="1:31">
      <c r="A33" s="75" t="s">
        <v>9</v>
      </c>
      <c r="B33" s="86">
        <f>'AUS FGD'!M57</f>
        <v>38456530</v>
      </c>
      <c r="C33" s="87">
        <f t="shared" si="10"/>
        <v>806</v>
      </c>
      <c r="D33" s="86">
        <f>'AUS FGD'!F57</f>
        <v>0</v>
      </c>
      <c r="E33" s="74"/>
      <c r="F33" s="74">
        <f t="shared" si="11"/>
        <v>38456530</v>
      </c>
      <c r="G33" s="337"/>
      <c r="H33" s="337"/>
      <c r="I33" s="337"/>
      <c r="J33" s="716">
        <f t="shared" ref="J33:J37" si="12">ROUND(F33/$C$6,0)</f>
        <v>806</v>
      </c>
    </row>
    <row r="34" spans="1:31" ht="13.5" thickBot="1">
      <c r="A34" s="75" t="s">
        <v>10</v>
      </c>
      <c r="B34" s="86">
        <f>'AUS FGD'!M58</f>
        <v>440794317</v>
      </c>
      <c r="C34" s="87">
        <f t="shared" si="10"/>
        <v>9235</v>
      </c>
      <c r="D34" s="86">
        <f>'AUS FGD'!F58</f>
        <v>0</v>
      </c>
      <c r="E34" s="74"/>
      <c r="F34" s="74">
        <f t="shared" si="11"/>
        <v>440794317</v>
      </c>
      <c r="G34" s="337"/>
      <c r="H34" s="337"/>
      <c r="I34" s="337"/>
      <c r="J34" s="716">
        <f t="shared" si="12"/>
        <v>9235</v>
      </c>
    </row>
    <row r="35" spans="1:31" ht="13.5" thickBot="1">
      <c r="A35" s="75" t="s">
        <v>11</v>
      </c>
      <c r="B35" s="86">
        <f>'AUS FGD'!M59</f>
        <v>273075190</v>
      </c>
      <c r="C35" s="87">
        <f t="shared" si="10"/>
        <v>5721</v>
      </c>
      <c r="D35" s="86">
        <f>'AUS FGD'!F59</f>
        <v>0</v>
      </c>
      <c r="E35" s="74"/>
      <c r="F35" s="74">
        <f t="shared" si="11"/>
        <v>273075190</v>
      </c>
      <c r="G35" s="337"/>
      <c r="H35" s="337"/>
      <c r="I35" s="38"/>
      <c r="J35" s="716">
        <f t="shared" si="12"/>
        <v>5721</v>
      </c>
      <c r="K35" s="1694"/>
      <c r="L35" s="1695"/>
      <c r="M35" s="1695"/>
      <c r="N35" s="1695"/>
      <c r="O35" s="1696"/>
    </row>
    <row r="36" spans="1:31" ht="13.5" thickBot="1">
      <c r="A36" s="93" t="s">
        <v>2134</v>
      </c>
      <c r="B36" s="94">
        <f>'AUS FGD'!M60</f>
        <v>166940890</v>
      </c>
      <c r="C36" s="87">
        <f t="shared" si="10"/>
        <v>3498</v>
      </c>
      <c r="D36" s="729">
        <f>B36</f>
        <v>166940890</v>
      </c>
      <c r="E36" s="74"/>
      <c r="F36" s="74">
        <f t="shared" si="11"/>
        <v>0</v>
      </c>
      <c r="G36" s="337"/>
      <c r="H36" s="337"/>
      <c r="J36" s="716">
        <f t="shared" si="12"/>
        <v>0</v>
      </c>
      <c r="K36" s="1694" t="s">
        <v>1070</v>
      </c>
      <c r="L36" s="1695"/>
      <c r="M36" s="1695"/>
      <c r="N36" s="1695"/>
      <c r="O36" s="1696"/>
    </row>
    <row r="37" spans="1:31" ht="13.5" customHeight="1" thickBot="1">
      <c r="A37" s="95" t="s">
        <v>43</v>
      </c>
      <c r="B37" s="86">
        <f>'AUS FGD'!M61</f>
        <v>14938327</v>
      </c>
      <c r="C37" s="87">
        <f t="shared" si="10"/>
        <v>313</v>
      </c>
      <c r="D37" s="86">
        <f>'AUS FGD'!F61</f>
        <v>0</v>
      </c>
      <c r="E37" s="74"/>
      <c r="F37" s="74">
        <f t="shared" si="11"/>
        <v>14938327</v>
      </c>
      <c r="G37" s="35"/>
      <c r="H37" s="35"/>
      <c r="J37" s="716">
        <f t="shared" si="12"/>
        <v>313</v>
      </c>
      <c r="K37" s="1697" t="s">
        <v>1073</v>
      </c>
      <c r="L37" s="1697" t="s">
        <v>1071</v>
      </c>
      <c r="M37" s="1697" t="s">
        <v>1072</v>
      </c>
      <c r="N37" s="1697" t="s">
        <v>1240</v>
      </c>
      <c r="O37" s="1697" t="s">
        <v>1075</v>
      </c>
      <c r="P37" s="35"/>
      <c r="Q37" s="96"/>
      <c r="R37" s="96"/>
      <c r="S37" s="96"/>
      <c r="T37" s="96"/>
      <c r="U37" s="96"/>
      <c r="V37" s="96"/>
      <c r="W37" s="96"/>
      <c r="X37" s="96"/>
      <c r="Y37" s="96"/>
      <c r="Z37" s="96"/>
      <c r="AA37" s="96"/>
      <c r="AB37" s="96"/>
      <c r="AC37" s="96"/>
      <c r="AD37" s="96"/>
      <c r="AE37" s="96"/>
    </row>
    <row r="38" spans="1:31" ht="14.25" customHeight="1" thickTop="1" thickBot="1">
      <c r="A38" s="88" t="s">
        <v>3</v>
      </c>
      <c r="B38" s="89">
        <f>SUM(B32:B37)</f>
        <v>1491129807</v>
      </c>
      <c r="C38" s="89">
        <f>SUM(C32:C37)</f>
        <v>31241</v>
      </c>
      <c r="D38" s="723">
        <f>SUM(D32:D37)</f>
        <v>196458582</v>
      </c>
      <c r="E38" s="723">
        <f>SUM(E32:E37)</f>
        <v>0</v>
      </c>
      <c r="F38" s="802">
        <f>SUM(F32:F37)</f>
        <v>1294671225</v>
      </c>
      <c r="G38" s="1708" t="s">
        <v>8</v>
      </c>
      <c r="H38" s="1709"/>
      <c r="I38" s="783" t="s">
        <v>1166</v>
      </c>
      <c r="J38" s="725">
        <f>SUM(J32:J37)</f>
        <v>27125</v>
      </c>
      <c r="K38" s="1698"/>
      <c r="L38" s="1698"/>
      <c r="M38" s="1698"/>
      <c r="N38" s="1698" t="s">
        <v>1074</v>
      </c>
      <c r="O38" s="1698" t="s">
        <v>1075</v>
      </c>
    </row>
    <row r="39" spans="1:31" ht="14.25" thickTop="1" thickBot="1">
      <c r="A39" s="97" t="s">
        <v>68</v>
      </c>
      <c r="B39" s="52">
        <f>B15+B20+B23+B38+B26+B29</f>
        <v>3456529396</v>
      </c>
      <c r="C39" s="52">
        <f t="shared" ref="C39:E39" si="13">C15+C20+C23+C38+C26+C29</f>
        <v>72418</v>
      </c>
      <c r="D39" s="52">
        <f t="shared" si="13"/>
        <v>230818940</v>
      </c>
      <c r="E39" s="52">
        <f t="shared" si="13"/>
        <v>0</v>
      </c>
      <c r="F39" s="724">
        <f>F15+F20+F23+F38+F26+F29</f>
        <v>3225710456</v>
      </c>
      <c r="G39" s="1758" t="s">
        <v>84</v>
      </c>
      <c r="H39" s="1759"/>
      <c r="I39" s="1375">
        <f>ROUND($G$41/$C$6,0)</f>
        <v>58837</v>
      </c>
      <c r="J39" s="726">
        <f>J15+J20+J23+J38</f>
        <v>67353</v>
      </c>
      <c r="K39" s="1698"/>
      <c r="L39" s="1698"/>
      <c r="M39" s="1698"/>
      <c r="N39" s="1698"/>
      <c r="O39" s="1698"/>
    </row>
    <row r="40" spans="1:31" ht="14.25" thickTop="1" thickBot="1">
      <c r="B40" s="98"/>
      <c r="C40" s="75"/>
      <c r="D40" s="337"/>
      <c r="E40" s="337"/>
      <c r="F40" s="337" t="s">
        <v>1199</v>
      </c>
      <c r="G40" s="787">
        <f>G14*-1</f>
        <v>-417387000</v>
      </c>
      <c r="H40" s="337"/>
      <c r="I40" s="783" t="s">
        <v>1167</v>
      </c>
      <c r="J40" s="727"/>
      <c r="K40" s="1699"/>
      <c r="L40" s="1699"/>
      <c r="M40" s="1699"/>
      <c r="N40" s="1699"/>
      <c r="O40" s="1699"/>
    </row>
    <row r="41" spans="1:31" ht="14.25" thickTop="1" thickBot="1">
      <c r="A41" s="81" t="s">
        <v>72</v>
      </c>
      <c r="B41" s="81"/>
      <c r="C41" s="81"/>
      <c r="D41" s="728"/>
      <c r="E41" s="728"/>
      <c r="F41" s="788" t="s">
        <v>1165</v>
      </c>
      <c r="G41" s="803">
        <f>F39+G40</f>
        <v>2808323456</v>
      </c>
      <c r="I41" s="1376">
        <f>ROUND($G$41/$I$8,0)</f>
        <v>505444</v>
      </c>
      <c r="K41" s="609"/>
      <c r="L41" s="609"/>
      <c r="M41" s="609"/>
      <c r="N41" s="609"/>
      <c r="O41" s="609"/>
    </row>
    <row r="42" spans="1:31" ht="13.5" thickTop="1">
      <c r="A42" s="99" t="s">
        <v>14</v>
      </c>
      <c r="B42" s="83">
        <f>'AUS FGD'!M66</f>
        <v>683648597</v>
      </c>
      <c r="C42" s="83">
        <f t="shared" ref="C42:C53" si="14">ROUND(B42/$C$6,0)</f>
        <v>14323</v>
      </c>
      <c r="D42" s="512">
        <f>'AUS FGD'!F66</f>
        <v>0</v>
      </c>
      <c r="E42" s="512"/>
      <c r="F42" s="512">
        <f t="shared" ref="F42:F53" si="15">B42-(SUM(D42:E42))</f>
        <v>683648597</v>
      </c>
      <c r="G42" s="337"/>
      <c r="H42" s="1378" t="s">
        <v>2158</v>
      </c>
      <c r="I42" s="1379">
        <f>ROUND(F42/$C$6,0)</f>
        <v>14323</v>
      </c>
      <c r="J42" s="337" t="s">
        <v>752</v>
      </c>
      <c r="K42" s="512">
        <f>F42</f>
        <v>683648597</v>
      </c>
      <c r="L42" s="512">
        <f>K42</f>
        <v>683648597</v>
      </c>
      <c r="M42" s="512"/>
      <c r="N42" s="512"/>
      <c r="O42" s="512"/>
    </row>
    <row r="43" spans="1:31">
      <c r="A43" s="99" t="s">
        <v>15</v>
      </c>
      <c r="B43" s="86">
        <f>'AUS FGD'!M67</f>
        <v>556581267</v>
      </c>
      <c r="C43" s="87">
        <f t="shared" si="14"/>
        <v>11661</v>
      </c>
      <c r="D43" s="86">
        <f>'AUS FGD'!F67</f>
        <v>0</v>
      </c>
      <c r="E43" s="74"/>
      <c r="F43" s="74">
        <f t="shared" si="15"/>
        <v>556581267</v>
      </c>
      <c r="G43" s="337"/>
      <c r="H43" s="337"/>
      <c r="J43" s="337" t="s">
        <v>1076</v>
      </c>
      <c r="K43" s="373">
        <f>F43</f>
        <v>556581267</v>
      </c>
      <c r="L43" s="373">
        <f>K43</f>
        <v>556581267</v>
      </c>
      <c r="M43" s="373"/>
      <c r="N43" s="373"/>
      <c r="O43" s="373"/>
    </row>
    <row r="44" spans="1:31">
      <c r="A44" s="99" t="s">
        <v>16</v>
      </c>
      <c r="B44" s="86">
        <f>'AUS FGD'!M68</f>
        <v>98536892</v>
      </c>
      <c r="C44" s="87">
        <f t="shared" si="14"/>
        <v>2064</v>
      </c>
      <c r="D44" s="86">
        <f>'AUS FGD'!F68</f>
        <v>0</v>
      </c>
      <c r="E44" s="86">
        <f>B44-D44</f>
        <v>98536892</v>
      </c>
      <c r="F44" s="74">
        <f t="shared" si="15"/>
        <v>0</v>
      </c>
      <c r="G44" s="337"/>
      <c r="H44" s="337"/>
      <c r="I44" s="337"/>
      <c r="J44" s="337" t="s">
        <v>1077</v>
      </c>
      <c r="K44" s="736"/>
      <c r="L44" s="737"/>
      <c r="M44" s="737" t="s">
        <v>1152</v>
      </c>
      <c r="N44" s="737"/>
      <c r="O44" s="738"/>
    </row>
    <row r="45" spans="1:31">
      <c r="A45" s="407" t="s">
        <v>2123</v>
      </c>
      <c r="B45" s="87">
        <f>'AUS FGD'!M69</f>
        <v>102739063</v>
      </c>
      <c r="C45" s="87">
        <f t="shared" si="14"/>
        <v>2152</v>
      </c>
      <c r="D45" s="373">
        <f>'AUS FGD'!F69</f>
        <v>0</v>
      </c>
      <c r="E45" s="86">
        <f>B45-D45</f>
        <v>102739063</v>
      </c>
      <c r="F45" s="74">
        <f t="shared" ref="F45" si="16">B45-(SUM(D45:E45))</f>
        <v>0</v>
      </c>
      <c r="G45" s="742"/>
      <c r="J45" s="261" t="s">
        <v>2124</v>
      </c>
      <c r="K45" s="1701" t="s">
        <v>1152</v>
      </c>
      <c r="L45" s="1702"/>
      <c r="M45" s="1702"/>
      <c r="N45" s="1702"/>
      <c r="O45" s="1703"/>
      <c r="P45" s="75"/>
    </row>
    <row r="46" spans="1:31">
      <c r="A46" s="99" t="s">
        <v>17</v>
      </c>
      <c r="B46" s="86">
        <f>'AUS FGD'!M70</f>
        <v>344983218</v>
      </c>
      <c r="C46" s="87">
        <f t="shared" si="14"/>
        <v>7228</v>
      </c>
      <c r="D46" s="86">
        <f>'AUS FGD'!F70</f>
        <v>0</v>
      </c>
      <c r="E46" s="74"/>
      <c r="F46" s="74">
        <f t="shared" si="15"/>
        <v>344983218</v>
      </c>
      <c r="G46" s="337"/>
      <c r="H46" s="1378" t="s">
        <v>2159</v>
      </c>
      <c r="I46" s="1379">
        <f>ROUND(F46/$C$6,0)</f>
        <v>7228</v>
      </c>
      <c r="J46" s="337" t="s">
        <v>1078</v>
      </c>
      <c r="K46" s="373">
        <f t="shared" ref="K46:K50" si="17">F46</f>
        <v>344983218</v>
      </c>
      <c r="L46" s="373">
        <f>K46</f>
        <v>344983218</v>
      </c>
      <c r="M46" s="373"/>
      <c r="N46" s="373"/>
      <c r="O46" s="373"/>
    </row>
    <row r="47" spans="1:31">
      <c r="A47" s="99" t="s">
        <v>18</v>
      </c>
      <c r="B47" s="86">
        <f>'AUS FGD'!M71</f>
        <v>41791895</v>
      </c>
      <c r="C47" s="87">
        <f t="shared" si="14"/>
        <v>876</v>
      </c>
      <c r="D47" s="86">
        <f>'AUS FGD'!F71</f>
        <v>0</v>
      </c>
      <c r="E47" s="74"/>
      <c r="F47" s="74">
        <f t="shared" si="15"/>
        <v>41791895</v>
      </c>
      <c r="G47" s="337"/>
      <c r="J47" s="337" t="s">
        <v>1079</v>
      </c>
      <c r="K47" s="373">
        <f t="shared" si="17"/>
        <v>41791895</v>
      </c>
      <c r="L47" s="373"/>
      <c r="M47" s="373">
        <f>K47</f>
        <v>41791895</v>
      </c>
      <c r="N47" s="373"/>
      <c r="O47" s="373"/>
    </row>
    <row r="48" spans="1:31">
      <c r="A48" s="99" t="s">
        <v>19</v>
      </c>
      <c r="B48" s="86">
        <f>'AUS FGD'!M72</f>
        <v>243900007</v>
      </c>
      <c r="C48" s="87">
        <f t="shared" si="14"/>
        <v>5110</v>
      </c>
      <c r="D48" s="86">
        <f>'AUS FGD'!F72</f>
        <v>0</v>
      </c>
      <c r="E48" s="74"/>
      <c r="F48" s="74">
        <f t="shared" si="15"/>
        <v>243900007</v>
      </c>
      <c r="G48" s="337"/>
      <c r="H48" s="1378" t="s">
        <v>2160</v>
      </c>
      <c r="I48" s="1379">
        <f>ROUND(F48/$C$6,0)</f>
        <v>5110</v>
      </c>
      <c r="J48" s="337" t="s">
        <v>757</v>
      </c>
      <c r="K48" s="373">
        <f t="shared" si="17"/>
        <v>243900007</v>
      </c>
      <c r="L48" s="373"/>
      <c r="M48" s="373"/>
      <c r="N48" s="373">
        <f>K48</f>
        <v>243900007</v>
      </c>
      <c r="O48" s="373"/>
    </row>
    <row r="49" spans="1:31">
      <c r="A49" s="99" t="s">
        <v>20</v>
      </c>
      <c r="B49" s="86">
        <f>'AUS FGD'!M73</f>
        <v>207420808</v>
      </c>
      <c r="C49" s="87">
        <f t="shared" si="14"/>
        <v>4346</v>
      </c>
      <c r="D49" s="86">
        <f>'AUS FGD'!F73</f>
        <v>0</v>
      </c>
      <c r="E49" s="74"/>
      <c r="F49" s="74">
        <f t="shared" si="15"/>
        <v>207420808</v>
      </c>
      <c r="G49" s="337"/>
      <c r="J49" s="337" t="s">
        <v>758</v>
      </c>
      <c r="K49" s="373">
        <f t="shared" si="17"/>
        <v>207420808</v>
      </c>
      <c r="L49" s="373"/>
      <c r="M49" s="373"/>
      <c r="N49" s="373">
        <f>K49</f>
        <v>207420808</v>
      </c>
      <c r="O49" s="373"/>
    </row>
    <row r="50" spans="1:31">
      <c r="A50" s="99" t="s">
        <v>21</v>
      </c>
      <c r="B50" s="86">
        <f>'AUS FGD'!M74</f>
        <v>171717116</v>
      </c>
      <c r="C50" s="87">
        <f t="shared" si="14"/>
        <v>3598</v>
      </c>
      <c r="D50" s="86">
        <f>'AUS FGD'!F74</f>
        <v>0</v>
      </c>
      <c r="E50" s="74"/>
      <c r="F50" s="74">
        <f t="shared" si="15"/>
        <v>171717116</v>
      </c>
      <c r="G50" s="337"/>
      <c r="H50" s="337"/>
      <c r="I50" s="337"/>
      <c r="J50" s="337" t="s">
        <v>1145</v>
      </c>
      <c r="K50" s="373">
        <f t="shared" si="17"/>
        <v>171717116</v>
      </c>
      <c r="L50" s="373"/>
      <c r="M50" s="373">
        <f>K50</f>
        <v>171717116</v>
      </c>
      <c r="N50" s="373"/>
      <c r="O50" s="373"/>
    </row>
    <row r="51" spans="1:31">
      <c r="A51" s="99" t="s">
        <v>2135</v>
      </c>
      <c r="B51" s="86">
        <f>'AUS FGD'!M75</f>
        <v>283061822</v>
      </c>
      <c r="C51" s="87">
        <f t="shared" si="14"/>
        <v>5930</v>
      </c>
      <c r="D51" s="729">
        <f>B51</f>
        <v>283061822</v>
      </c>
      <c r="E51" s="74"/>
      <c r="F51" s="74">
        <f t="shared" si="15"/>
        <v>0</v>
      </c>
      <c r="G51" s="337"/>
      <c r="H51" s="337"/>
      <c r="I51" s="337"/>
      <c r="J51" s="337" t="s">
        <v>743</v>
      </c>
      <c r="K51" s="736"/>
      <c r="L51" s="737"/>
      <c r="M51" s="737" t="s">
        <v>1152</v>
      </c>
      <c r="N51" s="737"/>
      <c r="O51" s="738"/>
    </row>
    <row r="52" spans="1:31">
      <c r="A52" s="99" t="s">
        <v>61</v>
      </c>
      <c r="B52" s="86">
        <f>'AUS FGD'!M76</f>
        <v>85832029</v>
      </c>
      <c r="C52" s="87">
        <f t="shared" si="14"/>
        <v>1798</v>
      </c>
      <c r="D52" s="86">
        <f>'AUS FGD'!F76</f>
        <v>758669</v>
      </c>
      <c r="E52" s="74"/>
      <c r="F52" s="74">
        <f t="shared" si="15"/>
        <v>85073360</v>
      </c>
      <c r="G52" s="337"/>
      <c r="H52" s="337"/>
      <c r="I52" s="337"/>
      <c r="J52" s="337" t="s">
        <v>1080</v>
      </c>
      <c r="K52" s="373">
        <f t="shared" ref="K52:K53" si="18">F52</f>
        <v>85073360</v>
      </c>
      <c r="L52" s="373"/>
      <c r="M52" s="373"/>
      <c r="N52" s="373"/>
      <c r="O52" s="373">
        <f>K52</f>
        <v>85073360</v>
      </c>
    </row>
    <row r="53" spans="1:31" ht="13.5" thickBot="1">
      <c r="A53" s="75" t="s">
        <v>50</v>
      </c>
      <c r="B53" s="86">
        <f>'AUS FGD'!M77</f>
        <v>1729858</v>
      </c>
      <c r="C53" s="87">
        <f t="shared" si="14"/>
        <v>36</v>
      </c>
      <c r="D53" s="86">
        <f>'AUS FGD'!F77</f>
        <v>165</v>
      </c>
      <c r="E53" s="74"/>
      <c r="F53" s="74">
        <f t="shared" si="15"/>
        <v>1729693</v>
      </c>
      <c r="G53" s="35"/>
      <c r="H53" s="1378" t="s">
        <v>2161</v>
      </c>
      <c r="I53" s="1379">
        <f>ROUND(SUM(F44+F47+F49+F50+F52+F53+F43)/$C$6,0)</f>
        <v>22298</v>
      </c>
      <c r="J53" s="610" t="s">
        <v>1075</v>
      </c>
      <c r="K53" s="373">
        <f t="shared" si="18"/>
        <v>1729693</v>
      </c>
      <c r="L53" s="611"/>
      <c r="M53" s="611"/>
      <c r="N53" s="611"/>
      <c r="O53" s="373">
        <f>K53</f>
        <v>1729693</v>
      </c>
      <c r="P53" s="35"/>
      <c r="Q53" s="96"/>
      <c r="R53" s="96"/>
      <c r="S53" s="96"/>
      <c r="T53" s="96"/>
      <c r="U53" s="96"/>
      <c r="V53" s="96"/>
      <c r="W53" s="96"/>
      <c r="X53" s="96"/>
      <c r="Y53" s="96"/>
      <c r="Z53" s="96"/>
      <c r="AA53" s="96"/>
      <c r="AB53" s="96"/>
      <c r="AC53" s="96"/>
      <c r="AD53" s="96"/>
      <c r="AE53" s="96"/>
    </row>
    <row r="54" spans="1:31" ht="14.25" customHeight="1" thickTop="1" thickBot="1">
      <c r="A54" s="100" t="s">
        <v>69</v>
      </c>
      <c r="B54" s="45">
        <f>SUM(B42:B53)</f>
        <v>2821942572</v>
      </c>
      <c r="C54" s="45">
        <f>SUM(C42:C53)</f>
        <v>59122</v>
      </c>
      <c r="D54" s="730">
        <f>SUM(D42:D53)</f>
        <v>283820656</v>
      </c>
      <c r="E54" s="731">
        <f>SUM(E42:E53)</f>
        <v>201275955</v>
      </c>
      <c r="F54" s="719">
        <f>SUM(F42:F53)</f>
        <v>2336845961</v>
      </c>
      <c r="G54" s="1688" t="s">
        <v>1176</v>
      </c>
      <c r="H54" s="1689"/>
      <c r="I54" s="785" t="s">
        <v>1164</v>
      </c>
      <c r="J54" s="610" t="s">
        <v>1081</v>
      </c>
      <c r="K54" s="612">
        <f>SUM(K42:K53)</f>
        <v>2336845961</v>
      </c>
      <c r="L54" s="612">
        <f>SUM(L42:L53)</f>
        <v>1585213082</v>
      </c>
      <c r="M54" s="612">
        <f>SUM(M42:M53)</f>
        <v>213509011</v>
      </c>
      <c r="N54" s="612">
        <f>SUM(N42:N53)</f>
        <v>451320815</v>
      </c>
      <c r="O54" s="612">
        <f>SUM(O42:O53)</f>
        <v>86803053</v>
      </c>
    </row>
    <row r="55" spans="1:31" ht="14.25" thickTop="1" thickBot="1">
      <c r="A55" s="93"/>
      <c r="B55" s="98"/>
      <c r="C55" s="75"/>
      <c r="F55" s="613"/>
      <c r="G55" s="1690"/>
      <c r="H55" s="1691"/>
      <c r="I55" s="823">
        <f>ROUND(F54/C6,0)</f>
        <v>48959</v>
      </c>
      <c r="J55" s="1700" t="s">
        <v>1082</v>
      </c>
      <c r="K55" s="611"/>
      <c r="L55" s="611"/>
      <c r="M55" s="611"/>
      <c r="N55" s="611"/>
      <c r="O55" s="611"/>
    </row>
    <row r="56" spans="1:31" ht="13.5" thickBot="1">
      <c r="A56" s="78" t="s">
        <v>23</v>
      </c>
      <c r="B56" s="82"/>
      <c r="C56" s="75"/>
      <c r="F56" s="614"/>
      <c r="G56" s="1690"/>
      <c r="H56" s="1691"/>
      <c r="I56" s="811"/>
      <c r="J56" s="1700"/>
      <c r="K56" s="615">
        <f>ROUND(K54/$C$6,2)</f>
        <v>48958.8</v>
      </c>
      <c r="L56" s="615">
        <f t="shared" ref="L56:O56" si="19">ROUND(L54/$C$6,2)</f>
        <v>33211.49</v>
      </c>
      <c r="M56" s="615">
        <f t="shared" si="19"/>
        <v>4473.18</v>
      </c>
      <c r="N56" s="615">
        <f t="shared" si="19"/>
        <v>9455.5300000000007</v>
      </c>
      <c r="O56" s="615">
        <f t="shared" si="19"/>
        <v>1818.59</v>
      </c>
      <c r="P56" s="35"/>
      <c r="Q56" s="96"/>
      <c r="R56" s="96"/>
      <c r="S56" s="96"/>
      <c r="T56" s="96"/>
      <c r="U56" s="96"/>
      <c r="V56" s="96"/>
      <c r="W56" s="96"/>
      <c r="X56" s="96"/>
      <c r="Y56" s="96"/>
      <c r="Z56" s="96"/>
      <c r="AA56" s="96"/>
      <c r="AB56" s="96"/>
      <c r="AC56" s="96"/>
      <c r="AD56" s="96"/>
      <c r="AE56" s="96"/>
    </row>
    <row r="57" spans="1:31" ht="13.5" thickBot="1">
      <c r="A57" s="75" t="s">
        <v>62</v>
      </c>
      <c r="B57" s="86">
        <f>'AUS FGD'!M81</f>
        <v>-368342747</v>
      </c>
      <c r="C57" s="83">
        <f t="shared" ref="C57:C60" si="20">ROUND(B57/$C$6,0)</f>
        <v>-7717</v>
      </c>
      <c r="D57" s="512">
        <f>'AUS FGD'!F81</f>
        <v>0</v>
      </c>
      <c r="E57" s="512"/>
      <c r="F57" s="732">
        <f t="shared" ref="F57:F60" si="21">B57-(SUM(D57:E57))</f>
        <v>-368342747</v>
      </c>
      <c r="G57" s="1692"/>
      <c r="H57" s="1693"/>
      <c r="I57" s="808"/>
      <c r="J57" s="38"/>
      <c r="K57" s="35"/>
      <c r="L57" s="35"/>
      <c r="M57" s="35"/>
      <c r="N57" s="35"/>
      <c r="O57" s="35"/>
      <c r="P57" s="35"/>
      <c r="Q57" s="96"/>
      <c r="R57" s="96"/>
      <c r="S57" s="96"/>
      <c r="T57" s="96"/>
      <c r="U57" s="96"/>
      <c r="V57" s="96"/>
      <c r="W57" s="96"/>
      <c r="X57" s="96"/>
      <c r="Y57" s="96"/>
      <c r="Z57" s="96"/>
      <c r="AA57" s="96"/>
      <c r="AB57" s="96"/>
      <c r="AC57" s="96"/>
      <c r="AD57" s="96"/>
      <c r="AE57" s="96"/>
    </row>
    <row r="58" spans="1:31" ht="13.5" thickTop="1">
      <c r="A58" s="75" t="s">
        <v>572</v>
      </c>
      <c r="B58" s="86">
        <f>'AUS FGD'!M82</f>
        <v>15887986</v>
      </c>
      <c r="C58" s="87">
        <f t="shared" si="20"/>
        <v>333</v>
      </c>
      <c r="D58" s="91">
        <f>'AUS FGD'!F82</f>
        <v>9643304</v>
      </c>
      <c r="E58" s="82"/>
      <c r="F58" s="74">
        <f t="shared" si="21"/>
        <v>6244682</v>
      </c>
      <c r="G58" s="337"/>
      <c r="J58" s="337"/>
      <c r="K58" s="616"/>
      <c r="L58" s="616"/>
      <c r="M58" s="616"/>
      <c r="N58" s="616"/>
      <c r="O58" s="616"/>
    </row>
    <row r="59" spans="1:31">
      <c r="A59" s="75" t="s">
        <v>51</v>
      </c>
      <c r="B59" s="86">
        <f>'AUS FGD'!M83</f>
        <v>223803726</v>
      </c>
      <c r="C59" s="87">
        <f t="shared" si="20"/>
        <v>4689</v>
      </c>
      <c r="D59" s="91">
        <f>'AUS FGD'!F83</f>
        <v>0</v>
      </c>
      <c r="E59" s="82"/>
      <c r="F59" s="74">
        <f t="shared" si="21"/>
        <v>223803726</v>
      </c>
      <c r="G59" s="337"/>
      <c r="J59" s="733"/>
      <c r="K59" s="733"/>
      <c r="L59" s="733"/>
      <c r="M59" s="733"/>
      <c r="N59" s="733"/>
      <c r="O59" s="733"/>
    </row>
    <row r="60" spans="1:31" ht="12" customHeight="1">
      <c r="A60" s="75" t="s">
        <v>46</v>
      </c>
      <c r="B60" s="86">
        <f>'AUS FGD'!M84</f>
        <v>-105891163</v>
      </c>
      <c r="C60" s="87">
        <f t="shared" si="20"/>
        <v>-2219</v>
      </c>
      <c r="D60" s="91">
        <f>'AUS FGD'!F84</f>
        <v>-28087846</v>
      </c>
      <c r="E60" s="82"/>
      <c r="F60" s="74">
        <f t="shared" si="21"/>
        <v>-77803317</v>
      </c>
      <c r="G60" s="35"/>
      <c r="J60" s="733"/>
      <c r="K60" s="733"/>
      <c r="L60" s="733"/>
      <c r="M60" s="733"/>
      <c r="N60" s="733"/>
      <c r="O60" s="733"/>
      <c r="P60" s="35"/>
      <c r="Q60" s="96"/>
      <c r="R60" s="96"/>
      <c r="S60" s="96"/>
      <c r="T60" s="96"/>
      <c r="U60" s="96"/>
      <c r="V60" s="96"/>
      <c r="W60" s="96"/>
      <c r="X60" s="96"/>
      <c r="Y60" s="96"/>
      <c r="Z60" s="96"/>
      <c r="AA60" s="96"/>
      <c r="AB60" s="96"/>
      <c r="AC60" s="96"/>
      <c r="AD60" s="96"/>
      <c r="AE60" s="96"/>
    </row>
    <row r="61" spans="1:31">
      <c r="A61" s="88" t="s">
        <v>3</v>
      </c>
      <c r="B61" s="89">
        <f>SUM(B57:B60)</f>
        <v>-234542198</v>
      </c>
      <c r="C61" s="89">
        <f>SUM(C57:C60)</f>
        <v>-4914</v>
      </c>
      <c r="D61" s="89">
        <f>SUM(D57:D60)</f>
        <v>-18444542</v>
      </c>
      <c r="E61" s="89">
        <f>SUM(E57:E60)</f>
        <v>0</v>
      </c>
      <c r="F61" s="102">
        <f>SUM(F57:F60)</f>
        <v>-216097656</v>
      </c>
      <c r="G61" s="337"/>
      <c r="H61" s="337"/>
      <c r="I61" s="337"/>
      <c r="J61" s="733"/>
      <c r="K61" s="733"/>
      <c r="L61" s="733"/>
      <c r="M61" s="733"/>
      <c r="N61" s="733"/>
      <c r="O61" s="733"/>
    </row>
    <row r="62" spans="1:31">
      <c r="B62" s="82"/>
      <c r="C62" s="75"/>
    </row>
    <row r="63" spans="1:31">
      <c r="A63" s="78" t="s">
        <v>24</v>
      </c>
      <c r="B63" s="82"/>
      <c r="C63" s="75"/>
      <c r="F63" s="368"/>
      <c r="G63" s="35"/>
      <c r="H63" s="35"/>
      <c r="I63" s="35"/>
      <c r="J63" s="35"/>
      <c r="K63" s="35"/>
      <c r="L63" s="35"/>
      <c r="M63" s="35"/>
      <c r="N63" s="35"/>
      <c r="O63" s="35"/>
      <c r="P63" s="35"/>
      <c r="Q63" s="96"/>
      <c r="R63" s="96"/>
      <c r="S63" s="96"/>
      <c r="T63" s="96"/>
      <c r="U63" s="96"/>
      <c r="V63" s="96"/>
      <c r="W63" s="96"/>
      <c r="X63" s="96"/>
      <c r="Y63" s="96"/>
      <c r="Z63" s="96"/>
      <c r="AA63" s="96"/>
      <c r="AB63" s="96"/>
      <c r="AC63" s="96"/>
      <c r="AD63" s="96"/>
      <c r="AE63" s="96"/>
    </row>
    <row r="64" spans="1:31">
      <c r="A64" s="75" t="s">
        <v>47</v>
      </c>
      <c r="B64" s="86">
        <f>'AUS FGD'!M88</f>
        <v>1284524346</v>
      </c>
      <c r="C64" s="83">
        <f>ROUND(B64/$C$6,0)</f>
        <v>26912</v>
      </c>
      <c r="D64" s="512">
        <f>'AUS FGD'!F88</f>
        <v>-5452872</v>
      </c>
      <c r="E64" s="512"/>
      <c r="F64" s="512">
        <f t="shared" ref="F64:F65" si="22">B64-(SUM(D64:E64))</f>
        <v>1289977218</v>
      </c>
      <c r="G64" s="337"/>
      <c r="H64" s="337"/>
      <c r="I64" s="337"/>
      <c r="J64" s="337"/>
    </row>
    <row r="65" spans="1:31">
      <c r="A65" s="75" t="s">
        <v>48</v>
      </c>
      <c r="B65" s="86">
        <f>'AUS FGD'!M89</f>
        <v>81006331</v>
      </c>
      <c r="C65" s="87">
        <f>ROUND(B65/$C$6,0)</f>
        <v>1697</v>
      </c>
      <c r="D65" s="91">
        <f>'AUS FGD'!F89</f>
        <v>0</v>
      </c>
      <c r="E65" s="82"/>
      <c r="F65" s="74">
        <f t="shared" si="22"/>
        <v>81006331</v>
      </c>
      <c r="G65" s="35"/>
      <c r="H65" s="35"/>
      <c r="I65" s="35"/>
      <c r="J65" s="35"/>
      <c r="K65" s="35"/>
      <c r="L65" s="35"/>
      <c r="M65" s="35"/>
      <c r="N65" s="35"/>
      <c r="O65" s="35"/>
      <c r="P65" s="35"/>
      <c r="Q65" s="96"/>
      <c r="R65" s="96"/>
      <c r="S65" s="96"/>
      <c r="T65" s="96"/>
      <c r="U65" s="96"/>
      <c r="V65" s="96"/>
      <c r="W65" s="96"/>
      <c r="X65" s="96"/>
      <c r="Y65" s="96"/>
      <c r="Z65" s="96"/>
      <c r="AA65" s="96"/>
      <c r="AB65" s="96"/>
      <c r="AC65" s="96"/>
      <c r="AD65" s="96"/>
      <c r="AE65" s="96"/>
    </row>
    <row r="66" spans="1:31" s="93" customFormat="1">
      <c r="A66" s="88" t="s">
        <v>3</v>
      </c>
      <c r="B66" s="89">
        <f>SUM(B64:B65)</f>
        <v>1365530677</v>
      </c>
      <c r="C66" s="89">
        <f>SUM(C64:C65)</f>
        <v>28609</v>
      </c>
      <c r="D66" s="89">
        <f>SUM(D64:D65)</f>
        <v>-5452872</v>
      </c>
      <c r="E66" s="89">
        <f>SUM(E64:E65)</f>
        <v>0</v>
      </c>
      <c r="F66" s="89">
        <f>SUM(F64:F65)</f>
        <v>1370983549</v>
      </c>
      <c r="G66" s="367"/>
      <c r="H66" s="367"/>
      <c r="I66" s="367"/>
      <c r="J66" s="367"/>
      <c r="K66" s="266"/>
      <c r="L66" s="266"/>
      <c r="M66" s="266"/>
      <c r="N66" s="266"/>
      <c r="O66" s="266"/>
      <c r="P66" s="266"/>
    </row>
    <row r="67" spans="1:31">
      <c r="B67" s="82"/>
      <c r="C67" s="75"/>
    </row>
    <row r="68" spans="1:31" ht="13.5" thickBot="1">
      <c r="A68" s="103" t="s">
        <v>573</v>
      </c>
      <c r="B68" s="46">
        <f>B39-B54+B61+B66</f>
        <v>1765575303</v>
      </c>
      <c r="C68" s="46">
        <f>C39-C54+C61+C66</f>
        <v>36991</v>
      </c>
      <c r="D68" s="46">
        <f>D39-D54+D61+D66</f>
        <v>-76899130</v>
      </c>
      <c r="E68" s="46">
        <f>E39-E54+E61+E66</f>
        <v>-201275955</v>
      </c>
      <c r="F68" s="46">
        <f>F39-F54+F61+F66</f>
        <v>2043750388</v>
      </c>
    </row>
    <row r="69" spans="1:31" ht="13.5" thickTop="1"/>
    <row r="70" spans="1:31">
      <c r="C70" s="235"/>
      <c r="D70" s="512"/>
    </row>
    <row r="72" spans="1:31">
      <c r="B72" s="734">
        <f>'AUS FGD'!$M$92</f>
        <v>1765575303</v>
      </c>
      <c r="C72" s="75"/>
      <c r="D72" s="734">
        <f>'AUS FGD'!$F$92</f>
        <v>-9505593</v>
      </c>
      <c r="E72" s="734">
        <f>'AUS FGD'!$M$68*-1</f>
        <v>-98536892</v>
      </c>
      <c r="F72" s="75"/>
    </row>
    <row r="73" spans="1:31">
      <c r="B73" s="734"/>
      <c r="C73" s="75"/>
      <c r="D73" s="734">
        <f>'AUS FGD'!$F$75</f>
        <v>215668285</v>
      </c>
      <c r="E73" s="734">
        <f>+$D$44</f>
        <v>0</v>
      </c>
      <c r="F73" s="734"/>
    </row>
    <row r="74" spans="1:31">
      <c r="B74" s="759"/>
      <c r="C74" s="75"/>
      <c r="D74" s="759">
        <f>-'AUS FGD'!$M$75</f>
        <v>-283061822</v>
      </c>
      <c r="E74" s="759">
        <f>'AUS FGD'!$M$69*-1</f>
        <v>-102739063</v>
      </c>
      <c r="F74" s="734"/>
    </row>
    <row r="75" spans="1:31">
      <c r="B75" s="734">
        <f>SUM(B72:B74)</f>
        <v>1765575303</v>
      </c>
      <c r="C75" s="75"/>
      <c r="D75" s="734">
        <f>SUM(D72:D74)</f>
        <v>-76899130</v>
      </c>
      <c r="E75" s="734">
        <f>SUM(E72:E74)</f>
        <v>-201275955</v>
      </c>
      <c r="F75" s="734">
        <f>B75-D75-E75</f>
        <v>2043750388</v>
      </c>
    </row>
    <row r="76" spans="1:31">
      <c r="B76" s="734"/>
      <c r="C76" s="75"/>
      <c r="D76" s="734">
        <f>'AUS FGD'!F60*-1</f>
        <v>-166940890</v>
      </c>
      <c r="E76" s="734"/>
      <c r="F76" s="734"/>
    </row>
    <row r="77" spans="1:31" ht="12.75" customHeight="1">
      <c r="B77" s="759"/>
      <c r="C77" s="95"/>
      <c r="D77" s="759">
        <f>'AUS FGD'!M60</f>
        <v>166940890</v>
      </c>
      <c r="E77" s="759"/>
      <c r="F77" s="759">
        <f>-D77-D76</f>
        <v>0</v>
      </c>
    </row>
    <row r="78" spans="1:31" ht="12.75" customHeight="1">
      <c r="B78" s="734">
        <f>SUM(B75:B77)</f>
        <v>1765575303</v>
      </c>
      <c r="C78" s="75"/>
      <c r="D78" s="734">
        <f>SUM(D75:D77)</f>
        <v>-76899130</v>
      </c>
      <c r="E78" s="734">
        <f>SUM(E75:E77)</f>
        <v>-201275955</v>
      </c>
      <c r="F78" s="734">
        <f>SUM(F75:F77)</f>
        <v>2043750388</v>
      </c>
    </row>
    <row r="79" spans="1:31" ht="12.75" customHeight="1">
      <c r="B79" s="734"/>
      <c r="C79" s="75"/>
      <c r="D79" s="734"/>
      <c r="E79" s="734"/>
      <c r="F79" s="734"/>
    </row>
    <row r="80" spans="1:31" ht="12.75" customHeight="1">
      <c r="B80" s="512">
        <f>B68-B78</f>
        <v>0</v>
      </c>
      <c r="C80" s="75"/>
      <c r="D80" s="512">
        <f>D68-D78</f>
        <v>0</v>
      </c>
      <c r="E80" s="512">
        <f>E68-E78</f>
        <v>0</v>
      </c>
      <c r="F80" s="512">
        <f>F68-F78</f>
        <v>0</v>
      </c>
    </row>
    <row r="81" spans="3:16" ht="12.75" customHeight="1">
      <c r="C81" s="75"/>
      <c r="F81" s="617" t="str">
        <f>IF(F80=0,"Balanced","Error")</f>
        <v>Balanced</v>
      </c>
    </row>
    <row r="83" spans="3:16" s="85" customFormat="1">
      <c r="C83" s="25"/>
      <c r="D83" s="337"/>
      <c r="E83" s="337"/>
      <c r="F83" s="337"/>
      <c r="G83" s="337"/>
      <c r="H83" s="337"/>
      <c r="I83" s="337"/>
      <c r="J83" s="337"/>
      <c r="K83" s="337"/>
      <c r="L83" s="337"/>
      <c r="M83" s="337"/>
      <c r="N83" s="337"/>
      <c r="O83" s="337"/>
      <c r="P83" s="337"/>
    </row>
    <row r="84" spans="3:16" s="85" customFormat="1">
      <c r="C84" s="25"/>
      <c r="D84" s="337"/>
      <c r="E84" s="337"/>
      <c r="F84" s="337"/>
      <c r="G84" s="337"/>
      <c r="H84" s="337"/>
      <c r="I84" s="337"/>
      <c r="J84" s="337"/>
      <c r="K84" s="337"/>
      <c r="L84" s="337"/>
      <c r="M84" s="337"/>
      <c r="N84" s="337"/>
      <c r="O84" s="337"/>
      <c r="P84" s="337"/>
    </row>
    <row r="86" spans="3:16" s="85" customFormat="1">
      <c r="C86" s="25"/>
      <c r="D86" s="337"/>
      <c r="E86" s="337"/>
      <c r="F86" s="337"/>
      <c r="G86" s="337"/>
      <c r="H86" s="337"/>
      <c r="I86" s="337"/>
      <c r="J86" s="337"/>
      <c r="K86" s="337"/>
      <c r="L86" s="337"/>
      <c r="M86" s="337"/>
      <c r="N86" s="337"/>
      <c r="O86" s="337"/>
      <c r="P86" s="337"/>
    </row>
  </sheetData>
  <mergeCells count="18">
    <mergeCell ref="A4:C4"/>
    <mergeCell ref="G54:H57"/>
    <mergeCell ref="K36:O36"/>
    <mergeCell ref="M37:M40"/>
    <mergeCell ref="G38:H38"/>
    <mergeCell ref="G39:H39"/>
    <mergeCell ref="L37:L40"/>
    <mergeCell ref="K37:K40"/>
    <mergeCell ref="N37:N40"/>
    <mergeCell ref="O37:O40"/>
    <mergeCell ref="J55:J56"/>
    <mergeCell ref="K45:O45"/>
    <mergeCell ref="F1:I1"/>
    <mergeCell ref="J1:O1"/>
    <mergeCell ref="D1:E1"/>
    <mergeCell ref="K35:O35"/>
    <mergeCell ref="D4:D5"/>
    <mergeCell ref="E4:E5"/>
  </mergeCells>
  <hyperlinks>
    <hyperlink ref="D1:E1" location="Index!A1" display="Return to Index" xr:uid="{00000000-0004-0000-AA00-000000000000}"/>
  </hyperlinks>
  <printOptions horizontalCentered="1"/>
  <pageMargins left="0.5" right="0.5" top="0.25" bottom="0.25" header="0" footer="0.25"/>
  <pageSetup scale="85" orientation="portrait" r:id="rId1"/>
  <headerFooter alignWithMargins="0"/>
  <rowBreaks count="1" manualBreakCount="1">
    <brk id="69" max="1" man="1"/>
  </rowBreaks>
  <legacyDrawing r:id="rId2"/>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sheetPr codeName="Sheet25">
    <tabColor indexed="11"/>
    <pageSetUpPr fitToPage="1"/>
  </sheetPr>
  <dimension ref="A1:AJ129"/>
  <sheetViews>
    <sheetView showGridLines="0" zoomScale="75" zoomScaleNormal="75" workbookViewId="0">
      <pane xSplit="2" ySplit="8" topLeftCell="D85" activePane="bottomRight" state="frozen"/>
      <selection activeCell="E74" sqref="E74:F74"/>
      <selection pane="topRight" activeCell="E74" sqref="E74:F74"/>
      <selection pane="bottomLeft" activeCell="E74" sqref="E74:F74"/>
      <selection pane="bottomRight" activeCell="L110" sqref="L110"/>
    </sheetView>
  </sheetViews>
  <sheetFormatPr defaultColWidth="9.140625"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5.14062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4" style="164" customWidth="1"/>
    <col min="15" max="15" width="16.85546875" style="261" customWidth="1"/>
    <col min="16" max="16" width="25.7109375" style="264" customWidth="1"/>
    <col min="17" max="17" width="16.42578125" style="264" customWidth="1"/>
    <col min="18" max="18" width="20.42578125" style="264" customWidth="1"/>
    <col min="19" max="19" width="1.7109375" style="264" customWidth="1"/>
    <col min="20" max="20" width="17.140625" style="264" customWidth="1"/>
    <col min="21" max="21" width="16.85546875" style="264" customWidth="1"/>
    <col min="22" max="23" width="19.28515625" style="264" customWidth="1"/>
    <col min="24" max="24" width="19"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t="13.5" hidden="1" thickBot="1">
      <c r="A1" s="184">
        <v>0</v>
      </c>
      <c r="B1" s="184">
        <v>1</v>
      </c>
      <c r="D1" s="184">
        <v>2</v>
      </c>
      <c r="E1" s="184">
        <v>3</v>
      </c>
      <c r="F1" s="184">
        <v>4</v>
      </c>
      <c r="G1" s="184">
        <v>5</v>
      </c>
      <c r="H1" s="184">
        <v>6</v>
      </c>
      <c r="I1" s="184">
        <v>7</v>
      </c>
      <c r="J1" s="184">
        <v>8</v>
      </c>
      <c r="K1" s="184">
        <v>9</v>
      </c>
      <c r="L1" s="184">
        <v>10</v>
      </c>
      <c r="M1" s="184">
        <v>11</v>
      </c>
      <c r="N1" s="184">
        <v>12</v>
      </c>
      <c r="O1" s="1565"/>
      <c r="P1" s="263"/>
      <c r="Q1" s="263"/>
      <c r="R1" s="263"/>
      <c r="S1" s="263"/>
      <c r="T1" s="263"/>
      <c r="U1" s="263"/>
      <c r="V1" s="263"/>
      <c r="W1" s="263"/>
      <c r="X1" s="263"/>
      <c r="Y1" s="263"/>
      <c r="Z1" s="263"/>
      <c r="AA1" s="263"/>
      <c r="AB1" s="263"/>
    </row>
    <row r="2" spans="1:28" ht="21" thickBot="1">
      <c r="A2" s="184">
        <v>1</v>
      </c>
      <c r="B2" s="1713" t="str">
        <f>'AUS Chrts'!$A$1</f>
        <v>The University of Texas at Austin -  All Disciplines (A+H+M)</v>
      </c>
      <c r="C2" s="1713"/>
      <c r="D2" s="1713"/>
      <c r="E2" s="1713"/>
      <c r="F2" s="1742"/>
      <c r="G2" s="1345"/>
      <c r="H2" s="161"/>
      <c r="I2" s="320" t="str">
        <f>IF($B$2&lt;&gt;Input!$B$50,"Name Mismatch","")</f>
        <v/>
      </c>
      <c r="K2" s="169"/>
      <c r="L2" s="169"/>
      <c r="M2" s="170"/>
      <c r="O2" s="835" t="s">
        <v>1200</v>
      </c>
      <c r="P2" s="36"/>
    </row>
    <row r="3" spans="1:28" ht="20.25">
      <c r="A3" s="184">
        <v>2</v>
      </c>
      <c r="B3" s="1713" t="str">
        <f>'Smmy Chrts'!$A$2</f>
        <v>For the Year Ended August 31, 2021</v>
      </c>
      <c r="C3" s="1713"/>
      <c r="D3" s="1713"/>
      <c r="E3" s="1713"/>
      <c r="F3" s="1742"/>
      <c r="G3" s="1175" t="s">
        <v>1395</v>
      </c>
      <c r="H3" s="161"/>
      <c r="I3" s="169"/>
      <c r="J3" s="168"/>
      <c r="K3" s="169"/>
      <c r="L3" s="169"/>
      <c r="M3" s="170"/>
      <c r="O3" s="74"/>
    </row>
    <row r="4" spans="1:28" ht="20.25">
      <c r="A4" s="184">
        <v>3</v>
      </c>
      <c r="B4" s="1713" t="str">
        <f>'Smmy Chrts'!$A$3</f>
        <v>Source: FY 2021 Annual Financial Report</v>
      </c>
      <c r="C4" s="1713"/>
      <c r="D4" s="1713"/>
      <c r="E4" s="1713"/>
      <c r="F4" s="1742"/>
      <c r="G4" s="1175" t="s">
        <v>1396</v>
      </c>
      <c r="H4" s="161"/>
      <c r="I4" s="169"/>
      <c r="J4" s="168"/>
      <c r="K4" s="169"/>
      <c r="L4" s="169"/>
      <c r="M4" s="170"/>
      <c r="O4" s="74"/>
      <c r="P4" s="1744" t="s">
        <v>93</v>
      </c>
      <c r="Q4" s="1745"/>
      <c r="T4" s="36" t="s">
        <v>250</v>
      </c>
    </row>
    <row r="5" spans="1:28">
      <c r="A5" s="184">
        <v>4</v>
      </c>
      <c r="B5" s="160"/>
      <c r="C5" s="160"/>
      <c r="D5" s="160"/>
      <c r="E5" s="160"/>
      <c r="F5" s="160"/>
      <c r="G5" s="160"/>
      <c r="H5" s="160"/>
      <c r="I5" s="160"/>
      <c r="J5" s="160"/>
      <c r="K5" s="160"/>
      <c r="L5" s="160"/>
      <c r="M5" s="166"/>
      <c r="O5" s="1565"/>
    </row>
    <row r="6" spans="1:28">
      <c r="A6" s="184">
        <v>5</v>
      </c>
      <c r="B6" s="1715" t="str">
        <f>'Smmy Chrts'!$C$32</f>
        <v>Detail Worksheet FY 2021</v>
      </c>
      <c r="C6" s="1715"/>
      <c r="D6" s="1743"/>
      <c r="E6" s="1743"/>
      <c r="F6" s="1743"/>
      <c r="G6" s="1743"/>
      <c r="H6" s="1743"/>
      <c r="I6" s="1743"/>
      <c r="J6" s="1743"/>
      <c r="K6" s="1743"/>
      <c r="L6" s="1743"/>
      <c r="M6" s="1743"/>
      <c r="O6" s="265"/>
    </row>
    <row r="7" spans="1:28">
      <c r="A7" s="184">
        <v>6</v>
      </c>
      <c r="B7" s="172"/>
      <c r="C7" s="172"/>
      <c r="D7" s="160"/>
      <c r="E7" s="160"/>
      <c r="F7" s="160"/>
      <c r="G7" s="160"/>
      <c r="H7" s="160"/>
      <c r="I7" s="160"/>
      <c r="J7" s="160"/>
      <c r="K7" s="160"/>
      <c r="L7" s="160"/>
      <c r="M7" s="173" t="str">
        <f>'Smmy Chrts'!$C$33</f>
        <v>FY 2021</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Input!$M$50</f>
        <v>340023735</v>
      </c>
      <c r="E10" s="372">
        <f>Input!$N$50</f>
        <v>0</v>
      </c>
      <c r="F10" s="372">
        <f>Input!$O$50</f>
        <v>0</v>
      </c>
      <c r="G10" s="372">
        <f>Input!$P$50</f>
        <v>0</v>
      </c>
      <c r="H10" s="372">
        <f>Input!$Q$50</f>
        <v>0</v>
      </c>
      <c r="I10" s="372">
        <f>Input!$R$50</f>
        <v>0</v>
      </c>
      <c r="J10" s="372">
        <f>Input!$S$50</f>
        <v>0</v>
      </c>
      <c r="K10" s="372">
        <f>Input!$T$50</f>
        <v>0</v>
      </c>
      <c r="L10" s="372">
        <f>Input!$U$50</f>
        <v>0</v>
      </c>
      <c r="M10" s="373">
        <f t="shared" ref="M10:M15" si="0">D10+E10+F10+G10+H10+I10+J10+K10+L10</f>
        <v>340023735</v>
      </c>
      <c r="N10" s="160"/>
      <c r="O10" s="271"/>
      <c r="P10" s="1718" t="s">
        <v>575</v>
      </c>
      <c r="U10" s="268"/>
    </row>
    <row r="11" spans="1:28">
      <c r="A11" s="184">
        <v>10</v>
      </c>
      <c r="B11" s="160" t="s">
        <v>2</v>
      </c>
      <c r="C11" s="160"/>
      <c r="D11" s="372">
        <f>Input!$V$50</f>
        <v>33668871</v>
      </c>
      <c r="E11" s="372">
        <f>Input!$W$50</f>
        <v>16612688</v>
      </c>
      <c r="F11" s="372">
        <f>Input!$X$50</f>
        <v>0</v>
      </c>
      <c r="G11" s="372">
        <f>Input!$Y$50</f>
        <v>12225198</v>
      </c>
      <c r="H11" s="372">
        <f>Input!$Z$50</f>
        <v>0</v>
      </c>
      <c r="I11" s="372">
        <f>Input!$AA$50</f>
        <v>0</v>
      </c>
      <c r="J11" s="372">
        <f>Input!$AB$50</f>
        <v>0</v>
      </c>
      <c r="K11" s="372">
        <f>Input!$AC$50</f>
        <v>0</v>
      </c>
      <c r="L11" s="372">
        <f>Input!$AD$50</f>
        <v>0</v>
      </c>
      <c r="M11" s="373">
        <f t="shared" si="0"/>
        <v>62506757</v>
      </c>
      <c r="N11" s="160"/>
      <c r="O11" s="482"/>
      <c r="P11" s="1719"/>
      <c r="U11" s="268"/>
    </row>
    <row r="12" spans="1:28" ht="12.75" hidden="1" customHeight="1">
      <c r="B12" s="171" t="s">
        <v>1410</v>
      </c>
      <c r="C12" s="160"/>
      <c r="D12" s="372"/>
      <c r="E12" s="372"/>
      <c r="F12" s="372"/>
      <c r="G12" s="372"/>
      <c r="H12" s="372"/>
      <c r="I12" s="372"/>
      <c r="J12" s="372"/>
      <c r="K12" s="372"/>
      <c r="L12" s="372"/>
      <c r="M12" s="373"/>
      <c r="N12" s="171"/>
      <c r="O12" s="482"/>
      <c r="P12" s="483"/>
      <c r="U12" s="272"/>
    </row>
    <row r="13" spans="1:28">
      <c r="A13" s="184">
        <v>12</v>
      </c>
      <c r="B13" s="171" t="s">
        <v>1368</v>
      </c>
      <c r="C13" s="160"/>
      <c r="D13" s="372">
        <f>Input!$AN$50</f>
        <v>0</v>
      </c>
      <c r="E13" s="372">
        <f>Input!$AO$50</f>
        <v>0</v>
      </c>
      <c r="F13" s="372">
        <f>Input!$AP$50</f>
        <v>0</v>
      </c>
      <c r="G13" s="372">
        <f>Input!$AQ$50</f>
        <v>0</v>
      </c>
      <c r="H13" s="372">
        <f>Input!$AR$50</f>
        <v>0</v>
      </c>
      <c r="I13" s="372">
        <f>Input!$AS$50</f>
        <v>0</v>
      </c>
      <c r="J13" s="372">
        <f>Input!$AT$50</f>
        <v>0</v>
      </c>
      <c r="K13" s="372">
        <f>Input!$AU$50</f>
        <v>0</v>
      </c>
      <c r="L13" s="372">
        <f>Input!$AV$50</f>
        <v>0</v>
      </c>
      <c r="M13" s="373">
        <f t="shared" si="0"/>
        <v>0</v>
      </c>
      <c r="N13" s="160"/>
      <c r="O13" s="482" t="str">
        <f>IF(P13&lt;&gt;M13,"Out of Balance","Balanced")</f>
        <v>Balanced</v>
      </c>
      <c r="P13" s="484">
        <f>IFERROR(VLOOKUP($B$2,AMTLU,6,FALSE),0)</f>
        <v>0</v>
      </c>
      <c r="U13" s="268"/>
    </row>
    <row r="14" spans="1:28">
      <c r="A14" s="184">
        <v>13</v>
      </c>
      <c r="B14" s="160" t="s">
        <v>49</v>
      </c>
      <c r="C14" s="160"/>
      <c r="D14" s="372">
        <f>Input!$AW$50</f>
        <v>417387000</v>
      </c>
      <c r="E14" s="372">
        <f>Input!$AX$50</f>
        <v>0</v>
      </c>
      <c r="F14" s="372">
        <f>Input!$AY$50</f>
        <v>0</v>
      </c>
      <c r="G14" s="372">
        <f>Input!$AZ$50</f>
        <v>0</v>
      </c>
      <c r="H14" s="372">
        <f>Input!$BA$50</f>
        <v>0</v>
      </c>
      <c r="I14" s="372">
        <f>Input!$BB$50</f>
        <v>0</v>
      </c>
      <c r="J14" s="372">
        <f>Input!$BC$50</f>
        <v>0</v>
      </c>
      <c r="K14" s="372">
        <f>Input!$BD$50</f>
        <v>0</v>
      </c>
      <c r="L14" s="372">
        <f>Input!$BE$50</f>
        <v>0</v>
      </c>
      <c r="M14" s="373">
        <f t="shared" si="0"/>
        <v>417387000</v>
      </c>
      <c r="N14" s="160"/>
      <c r="O14" s="482"/>
      <c r="P14" s="485"/>
    </row>
    <row r="15" spans="1:28" ht="15">
      <c r="A15" s="184">
        <v>14</v>
      </c>
      <c r="B15" s="176" t="s">
        <v>3</v>
      </c>
      <c r="C15" s="176"/>
      <c r="D15" s="374">
        <f t="shared" ref="D15:L15" si="1">SUM(D10:D14)</f>
        <v>791079606</v>
      </c>
      <c r="E15" s="374">
        <f t="shared" si="1"/>
        <v>16612688</v>
      </c>
      <c r="F15" s="374">
        <f t="shared" si="1"/>
        <v>0</v>
      </c>
      <c r="G15" s="374">
        <f t="shared" si="1"/>
        <v>12225198</v>
      </c>
      <c r="H15" s="374">
        <f t="shared" si="1"/>
        <v>0</v>
      </c>
      <c r="I15" s="374">
        <f t="shared" si="1"/>
        <v>0</v>
      </c>
      <c r="J15" s="374">
        <f t="shared" si="1"/>
        <v>0</v>
      </c>
      <c r="K15" s="374">
        <f t="shared" si="1"/>
        <v>0</v>
      </c>
      <c r="L15" s="374">
        <f t="shared" si="1"/>
        <v>0</v>
      </c>
      <c r="M15" s="374">
        <f t="shared" si="0"/>
        <v>819917492</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58" t="s">
        <v>1042</v>
      </c>
      <c r="C18" s="558"/>
      <c r="D18" s="374">
        <f t="shared" ref="D18:L18" si="2">D23-SUM(D19:D22)</f>
        <v>161588545</v>
      </c>
      <c r="E18" s="374">
        <f t="shared" si="2"/>
        <v>525451414</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687039959</v>
      </c>
      <c r="V18" s="327"/>
      <c r="X18" s="330"/>
    </row>
    <row r="19" spans="1:26" s="264" customFormat="1" ht="12.75" customHeight="1" thickTop="1" thickBot="1">
      <c r="A19" s="263"/>
      <c r="B19" s="261" t="s">
        <v>722</v>
      </c>
      <c r="C19" s="261"/>
      <c r="D19" s="372">
        <f>Input!$BF$50</f>
        <v>-47589478</v>
      </c>
      <c r="E19" s="372">
        <f>Input!$BG$50</f>
        <v>-14919675</v>
      </c>
      <c r="F19" s="372">
        <f>Input!$BH$50</f>
        <v>0</v>
      </c>
      <c r="G19" s="372">
        <f>Input!$BI$50</f>
        <v>0</v>
      </c>
      <c r="H19" s="372">
        <f>Input!$BJ$50</f>
        <v>0</v>
      </c>
      <c r="I19" s="372">
        <f>Input!$BK$50</f>
        <v>0</v>
      </c>
      <c r="J19" s="372">
        <f>Input!$BL$50</f>
        <v>0</v>
      </c>
      <c r="K19" s="372">
        <f>Input!$BM$50</f>
        <v>0</v>
      </c>
      <c r="L19" s="372">
        <f>Input!$BN$50</f>
        <v>0</v>
      </c>
      <c r="M19" s="373">
        <f t="shared" si="3"/>
        <v>-62509153</v>
      </c>
      <c r="O19" s="1732" t="s">
        <v>1294</v>
      </c>
      <c r="P19" s="1733"/>
      <c r="Q19" s="1733"/>
      <c r="R19" s="1734"/>
      <c r="T19" s="1735" t="s">
        <v>1043</v>
      </c>
      <c r="U19" s="1736"/>
      <c r="V19" s="1736"/>
      <c r="W19" s="1736"/>
      <c r="X19" s="1737"/>
    </row>
    <row r="20" spans="1:26" s="264" customFormat="1" ht="12.75" customHeight="1" thickTop="1">
      <c r="A20" s="263"/>
      <c r="B20" s="261" t="s">
        <v>723</v>
      </c>
      <c r="C20" s="261"/>
      <c r="D20" s="372">
        <f>Input!$BO$50</f>
        <v>0</v>
      </c>
      <c r="E20" s="372">
        <f>Input!$BP$50</f>
        <v>0</v>
      </c>
      <c r="F20" s="372">
        <f>Input!$BQ$50</f>
        <v>0</v>
      </c>
      <c r="G20" s="372">
        <f>Input!$BR$50</f>
        <v>0</v>
      </c>
      <c r="H20" s="372">
        <f>Input!$BS$50</f>
        <v>0</v>
      </c>
      <c r="I20" s="372">
        <f>Input!$BT$50</f>
        <v>0</v>
      </c>
      <c r="J20" s="372">
        <f>Input!$BU$50</f>
        <v>0</v>
      </c>
      <c r="K20" s="372">
        <f>Input!$BV$50</f>
        <v>0</v>
      </c>
      <c r="L20" s="372">
        <f>Input!$BW$50</f>
        <v>0</v>
      </c>
      <c r="M20" s="373">
        <f t="shared" si="3"/>
        <v>0</v>
      </c>
      <c r="O20" s="421" t="s">
        <v>288</v>
      </c>
      <c r="P20" s="422"/>
      <c r="Q20" s="414"/>
      <c r="R20" s="559"/>
      <c r="T20" s="560" t="s">
        <v>1044</v>
      </c>
      <c r="U20" s="266"/>
      <c r="V20" s="266"/>
      <c r="X20" s="425"/>
    </row>
    <row r="21" spans="1:26" s="264" customFormat="1">
      <c r="A21" s="263"/>
      <c r="B21" s="261" t="s">
        <v>724</v>
      </c>
      <c r="C21" s="261"/>
      <c r="D21" s="372">
        <f>Input!$BX$50</f>
        <v>0</v>
      </c>
      <c r="E21" s="372">
        <f>Input!$BY$50</f>
        <v>0</v>
      </c>
      <c r="F21" s="372">
        <f>Input!$BZ$50</f>
        <v>0</v>
      </c>
      <c r="G21" s="372">
        <f>Input!$CA$50</f>
        <v>0</v>
      </c>
      <c r="H21" s="372">
        <f>Input!$CB$50</f>
        <v>0</v>
      </c>
      <c r="I21" s="372">
        <f>Input!$CC$50</f>
        <v>0</v>
      </c>
      <c r="J21" s="372">
        <f>Input!$CD$50</f>
        <v>0</v>
      </c>
      <c r="K21" s="372">
        <f>Input!$CE$50</f>
        <v>0</v>
      </c>
      <c r="L21" s="372">
        <f>Input!$CF$50</f>
        <v>0</v>
      </c>
      <c r="M21" s="373">
        <f t="shared" si="3"/>
        <v>0</v>
      </c>
      <c r="O21" s="434"/>
      <c r="R21" s="561"/>
      <c r="T21" s="650" t="s">
        <v>1045</v>
      </c>
      <c r="U21" s="266"/>
      <c r="V21" s="266"/>
      <c r="W21" s="651">
        <f>M44</f>
        <v>525656028</v>
      </c>
      <c r="X21" s="425"/>
      <c r="Z21" s="330"/>
    </row>
    <row r="22" spans="1:26" s="264" customFormat="1">
      <c r="A22" s="263"/>
      <c r="B22" s="261" t="s">
        <v>725</v>
      </c>
      <c r="C22" s="261"/>
      <c r="D22" s="372">
        <f>Input!$CG$50</f>
        <v>0</v>
      </c>
      <c r="E22" s="372">
        <f>Input!$CH$50</f>
        <v>0</v>
      </c>
      <c r="F22" s="372">
        <f>Input!$CI$50</f>
        <v>0</v>
      </c>
      <c r="G22" s="372">
        <f>Input!$CJ$50</f>
        <v>0</v>
      </c>
      <c r="H22" s="372">
        <f>Input!$CK$50</f>
        <v>0</v>
      </c>
      <c r="I22" s="372">
        <f>Input!$CL$50</f>
        <v>0</v>
      </c>
      <c r="J22" s="372">
        <f>Input!$CM$50</f>
        <v>0</v>
      </c>
      <c r="K22" s="372">
        <f>Input!$CN$50</f>
        <v>0</v>
      </c>
      <c r="L22" s="372">
        <f>Input!$CO$50</f>
        <v>0</v>
      </c>
      <c r="M22" s="373">
        <f t="shared" si="3"/>
        <v>0</v>
      </c>
      <c r="N22" s="270"/>
      <c r="O22" s="434" t="s">
        <v>1046</v>
      </c>
      <c r="P22" s="276"/>
      <c r="Q22" s="424">
        <f>M23</f>
        <v>624530806</v>
      </c>
      <c r="R22" s="562"/>
      <c r="T22" s="650" t="s">
        <v>1047</v>
      </c>
      <c r="U22" s="266"/>
      <c r="V22" s="266"/>
      <c r="W22" s="652">
        <f>R30*-1</f>
        <v>192479493</v>
      </c>
      <c r="X22" s="425"/>
    </row>
    <row r="23" spans="1:26" s="264" customFormat="1" ht="12.75" customHeight="1">
      <c r="A23" s="263"/>
      <c r="B23" s="558" t="s">
        <v>726</v>
      </c>
      <c r="C23" s="563"/>
      <c r="D23" s="564">
        <f>Input!$CP$50</f>
        <v>113999067</v>
      </c>
      <c r="E23" s="564">
        <f>Input!$CQ$50</f>
        <v>510531739</v>
      </c>
      <c r="F23" s="564">
        <f>Input!$CR$50</f>
        <v>0</v>
      </c>
      <c r="G23" s="564">
        <f>Input!$CS$50</f>
        <v>0</v>
      </c>
      <c r="H23" s="564">
        <f>Input!$CT$50</f>
        <v>0</v>
      </c>
      <c r="I23" s="564">
        <f>Input!$CU$50</f>
        <v>0</v>
      </c>
      <c r="J23" s="564">
        <f>Input!$CV$50</f>
        <v>0</v>
      </c>
      <c r="K23" s="564">
        <f>Input!$CW$50</f>
        <v>0</v>
      </c>
      <c r="L23" s="564">
        <f>Input!$CX$50</f>
        <v>0</v>
      </c>
      <c r="M23" s="565">
        <f t="shared" si="3"/>
        <v>624530806</v>
      </c>
      <c r="O23" s="434"/>
      <c r="P23" s="276"/>
      <c r="Q23" s="424"/>
      <c r="R23" s="562"/>
      <c r="T23" s="560" t="s">
        <v>1230</v>
      </c>
      <c r="U23" s="266"/>
      <c r="V23" s="266"/>
      <c r="W23" s="276"/>
      <c r="X23" s="425">
        <f>SUM(W21:W22)</f>
        <v>718135521</v>
      </c>
      <c r="Z23" s="330"/>
    </row>
    <row r="24" spans="1:26" s="264" customFormat="1" ht="12.75" customHeight="1">
      <c r="A24" s="263"/>
      <c r="B24" s="261" t="s">
        <v>727</v>
      </c>
      <c r="C24" s="566"/>
      <c r="D24" s="372">
        <f>Input!$CY$50</f>
        <v>0</v>
      </c>
      <c r="E24" s="372">
        <f>Input!$CZ$50</f>
        <v>0</v>
      </c>
      <c r="F24" s="372">
        <f>Input!$DA$50</f>
        <v>0</v>
      </c>
      <c r="G24" s="372">
        <f>Input!$DB$50</f>
        <v>0</v>
      </c>
      <c r="H24" s="372">
        <f>Input!$DC$50</f>
        <v>0</v>
      </c>
      <c r="I24" s="372">
        <f>Input!$DD$50</f>
        <v>0</v>
      </c>
      <c r="J24" s="372">
        <f>Input!$DE$50</f>
        <v>0</v>
      </c>
      <c r="K24" s="372">
        <f>Input!$DF$50</f>
        <v>0</v>
      </c>
      <c r="L24" s="372">
        <f>Input!$DG$50</f>
        <v>0</v>
      </c>
      <c r="M24" s="567">
        <f t="shared" si="3"/>
        <v>0</v>
      </c>
      <c r="O24" s="417" t="s">
        <v>1048</v>
      </c>
      <c r="P24" s="276"/>
      <c r="Q24" s="327"/>
      <c r="R24" s="646">
        <f>SUM(M24:M28)</f>
        <v>-169395807</v>
      </c>
      <c r="T24" s="560"/>
      <c r="U24" s="266"/>
      <c r="V24" s="266"/>
      <c r="X24" s="425"/>
      <c r="Z24" s="330"/>
    </row>
    <row r="25" spans="1:26" s="264" customFormat="1" ht="12.75" customHeight="1">
      <c r="A25" s="263"/>
      <c r="B25" s="261" t="s">
        <v>728</v>
      </c>
      <c r="C25" s="566"/>
      <c r="D25" s="372">
        <f>Input!DH6</f>
        <v>0</v>
      </c>
      <c r="E25" s="372">
        <f>Input!$DI$50</f>
        <v>0</v>
      </c>
      <c r="F25" s="372">
        <f>Input!$DJ$50</f>
        <v>0</v>
      </c>
      <c r="G25" s="372">
        <f>Input!$DK$50</f>
        <v>0</v>
      </c>
      <c r="H25" s="372">
        <f>Input!$DL$50</f>
        <v>0</v>
      </c>
      <c r="I25" s="372">
        <f>Input!$DM$50</f>
        <v>0</v>
      </c>
      <c r="J25" s="372">
        <f>Input!$DN$50</f>
        <v>0</v>
      </c>
      <c r="K25" s="372">
        <f>Input!$DO$50</f>
        <v>0</v>
      </c>
      <c r="L25" s="372">
        <f>Input!$DP$50</f>
        <v>0</v>
      </c>
      <c r="M25" s="567">
        <f t="shared" si="3"/>
        <v>0</v>
      </c>
      <c r="O25" s="434"/>
      <c r="P25" s="276"/>
      <c r="Q25" s="327"/>
      <c r="R25" s="646"/>
      <c r="T25" s="568" t="s">
        <v>1103</v>
      </c>
      <c r="U25" s="569"/>
      <c r="V25" s="569"/>
      <c r="W25" s="653">
        <f>(M26+M39)*-1</f>
        <v>19782424</v>
      </c>
      <c r="X25" s="425"/>
      <c r="Z25" s="330"/>
    </row>
    <row r="26" spans="1:26" s="264" customFormat="1" ht="12.75" customHeight="1">
      <c r="A26" s="263"/>
      <c r="B26" s="261" t="s">
        <v>729</v>
      </c>
      <c r="C26" s="566"/>
      <c r="D26" s="372">
        <f>Input!$DQ$50</f>
        <v>-2153425</v>
      </c>
      <c r="E26" s="372">
        <f>Input!$DR$50</f>
        <v>-16439042</v>
      </c>
      <c r="F26" s="372">
        <f>Input!$DS$50</f>
        <v>0</v>
      </c>
      <c r="G26" s="372">
        <f>Input!$DT$50</f>
        <v>0</v>
      </c>
      <c r="H26" s="372">
        <f>Input!$DU$50</f>
        <v>0</v>
      </c>
      <c r="I26" s="372">
        <f>Input!$DV$50</f>
        <v>0</v>
      </c>
      <c r="J26" s="372">
        <f>Input!$DW$50</f>
        <v>0</v>
      </c>
      <c r="K26" s="372">
        <f>Input!$DX$50</f>
        <v>0</v>
      </c>
      <c r="L26" s="372">
        <f>Input!$DY$50</f>
        <v>0</v>
      </c>
      <c r="M26" s="567">
        <f t="shared" si="3"/>
        <v>-18592467</v>
      </c>
      <c r="O26" s="434" t="s">
        <v>1049</v>
      </c>
      <c r="P26" s="276"/>
      <c r="Q26" s="427">
        <f>M36</f>
        <v>93604715</v>
      </c>
      <c r="R26" s="570"/>
      <c r="T26" s="560" t="s">
        <v>1104</v>
      </c>
      <c r="U26" s="266"/>
      <c r="V26" s="266"/>
      <c r="W26" s="571">
        <f>(M21+M34)*-1</f>
        <v>0</v>
      </c>
      <c r="X26" s="425"/>
      <c r="Z26" s="330"/>
    </row>
    <row r="27" spans="1:26" s="264" customFormat="1">
      <c r="A27" s="263"/>
      <c r="B27" s="261" t="s">
        <v>730</v>
      </c>
      <c r="C27" s="566"/>
      <c r="D27" s="372">
        <f>Input!$DZ$50</f>
        <v>0</v>
      </c>
      <c r="E27" s="372">
        <f>Input!$EA$50</f>
        <v>0</v>
      </c>
      <c r="F27" s="372">
        <f>Input!$EB$50</f>
        <v>0</v>
      </c>
      <c r="G27" s="372">
        <f>Input!$EC$50</f>
        <v>0</v>
      </c>
      <c r="H27" s="372">
        <f>Input!$ED$50</f>
        <v>0</v>
      </c>
      <c r="I27" s="372">
        <f>Input!$EE$50</f>
        <v>0</v>
      </c>
      <c r="J27" s="372">
        <f>Input!$EF$50</f>
        <v>0</v>
      </c>
      <c r="K27" s="372">
        <f>Input!$EG$50</f>
        <v>0</v>
      </c>
      <c r="L27" s="372">
        <f>Input!EH6</f>
        <v>0</v>
      </c>
      <c r="M27" s="567">
        <f t="shared" si="3"/>
        <v>0</v>
      </c>
      <c r="O27" s="434"/>
      <c r="P27" s="276"/>
      <c r="Q27" s="427"/>
      <c r="R27" s="570"/>
      <c r="T27" s="650" t="s">
        <v>1105</v>
      </c>
      <c r="U27" s="584"/>
      <c r="V27" s="584"/>
      <c r="W27" s="654">
        <f>SUM(W25:W26)</f>
        <v>19782424</v>
      </c>
      <c r="X27" s="655"/>
    </row>
    <row r="28" spans="1:26" s="264" customFormat="1">
      <c r="A28" s="263"/>
      <c r="B28" s="261" t="s">
        <v>2133</v>
      </c>
      <c r="C28" s="566"/>
      <c r="D28" s="372">
        <f>Input!$EI$50</f>
        <v>-29147511</v>
      </c>
      <c r="E28" s="372">
        <f>Input!$EJ$50</f>
        <v>-121655829</v>
      </c>
      <c r="F28" s="372">
        <f>Input!$EK$50</f>
        <v>0</v>
      </c>
      <c r="G28" s="372">
        <f>Input!$EL$50</f>
        <v>0</v>
      </c>
      <c r="H28" s="372">
        <f>Input!$EM$50</f>
        <v>0</v>
      </c>
      <c r="I28" s="372">
        <f>Input!$EN$50</f>
        <v>0</v>
      </c>
      <c r="J28" s="372">
        <f>Input!$EO$50</f>
        <v>0</v>
      </c>
      <c r="K28" s="372">
        <f>Input!$EP$50</f>
        <v>0</v>
      </c>
      <c r="L28" s="372">
        <f>Input!$EQ$50</f>
        <v>0</v>
      </c>
      <c r="M28" s="567">
        <f t="shared" si="3"/>
        <v>-150803340</v>
      </c>
      <c r="O28" s="417" t="s">
        <v>1050</v>
      </c>
      <c r="Q28" s="429"/>
      <c r="R28" s="646">
        <f>SUM(M37:M41)</f>
        <v>-23083686</v>
      </c>
      <c r="T28" s="560" t="s">
        <v>1106</v>
      </c>
      <c r="U28" s="266"/>
      <c r="V28" s="266"/>
      <c r="W28" s="425">
        <f>(M27+M40)*-1</f>
        <v>0</v>
      </c>
      <c r="X28" s="655"/>
      <c r="Z28" s="330"/>
    </row>
    <row r="29" spans="1:26" s="264" customFormat="1" ht="12" customHeight="1">
      <c r="A29" s="263"/>
      <c r="B29" s="575" t="s">
        <v>39</v>
      </c>
      <c r="C29" s="563"/>
      <c r="D29" s="374">
        <f t="shared" ref="D29:L29" si="4">SUM(D23:D28)</f>
        <v>82698131</v>
      </c>
      <c r="E29" s="374">
        <f t="shared" si="4"/>
        <v>372436868</v>
      </c>
      <c r="F29" s="374">
        <f t="shared" si="4"/>
        <v>0</v>
      </c>
      <c r="G29" s="374">
        <f t="shared" si="4"/>
        <v>0</v>
      </c>
      <c r="H29" s="374">
        <f t="shared" si="4"/>
        <v>0</v>
      </c>
      <c r="I29" s="374">
        <f t="shared" si="4"/>
        <v>0</v>
      </c>
      <c r="J29" s="374">
        <f t="shared" si="4"/>
        <v>0</v>
      </c>
      <c r="K29" s="374">
        <f t="shared" si="4"/>
        <v>0</v>
      </c>
      <c r="L29" s="374">
        <f t="shared" si="4"/>
        <v>0</v>
      </c>
      <c r="M29" s="374">
        <f t="shared" si="3"/>
        <v>455134999</v>
      </c>
      <c r="O29" s="417"/>
      <c r="Q29" s="429"/>
      <c r="R29" s="576"/>
      <c r="T29" s="560" t="s">
        <v>1107</v>
      </c>
      <c r="U29" s="266"/>
      <c r="V29" s="266"/>
      <c r="W29" s="571">
        <f>(M22+M35)*-1</f>
        <v>0</v>
      </c>
      <c r="X29" s="655"/>
    </row>
    <row r="30" spans="1:26" s="264" customFormat="1" ht="16.5" customHeight="1">
      <c r="A30" s="263"/>
      <c r="B30" s="261"/>
      <c r="C30" s="566"/>
      <c r="D30" s="566"/>
      <c r="E30" s="566"/>
      <c r="F30" s="566"/>
      <c r="G30" s="566"/>
      <c r="H30" s="566"/>
      <c r="I30" s="566"/>
      <c r="J30" s="566"/>
      <c r="K30" s="566"/>
      <c r="L30" s="566"/>
      <c r="M30" s="567"/>
      <c r="O30" s="431" t="s">
        <v>289</v>
      </c>
      <c r="P30" s="432"/>
      <c r="Q30" s="433">
        <f>Q26+Q22</f>
        <v>718135521</v>
      </c>
      <c r="R30" s="647">
        <f>R28+R24</f>
        <v>-192479493</v>
      </c>
      <c r="T30" s="650" t="s">
        <v>1108</v>
      </c>
      <c r="U30" s="584"/>
      <c r="V30" s="584"/>
      <c r="W30" s="654">
        <f>SUM(W28:W29)</f>
        <v>0</v>
      </c>
      <c r="X30" s="655"/>
    </row>
    <row r="31" spans="1:26" s="264" customFormat="1" ht="12.75" customHeight="1">
      <c r="A31" s="263"/>
      <c r="B31" s="558" t="s">
        <v>1052</v>
      </c>
      <c r="C31" s="558"/>
      <c r="D31" s="374">
        <f t="shared" ref="D31:L31" si="5">D36-SUM(D32:D35)</f>
        <v>137021</v>
      </c>
      <c r="E31" s="374">
        <f t="shared" si="5"/>
        <v>48901496</v>
      </c>
      <c r="F31" s="374">
        <f t="shared" si="5"/>
        <v>44566198</v>
      </c>
      <c r="G31" s="374">
        <f t="shared" si="5"/>
        <v>0</v>
      </c>
      <c r="H31" s="374">
        <f t="shared" si="5"/>
        <v>0</v>
      </c>
      <c r="I31" s="374">
        <f t="shared" si="5"/>
        <v>0</v>
      </c>
      <c r="J31" s="374">
        <f t="shared" si="5"/>
        <v>0</v>
      </c>
      <c r="K31" s="374">
        <f t="shared" si="5"/>
        <v>0</v>
      </c>
      <c r="L31" s="374">
        <f t="shared" si="5"/>
        <v>0</v>
      </c>
      <c r="M31" s="374">
        <f t="shared" ref="M31:M42" si="6">D31+E31+F31+G31+H31+I31+J31+K31+L31</f>
        <v>93604715</v>
      </c>
      <c r="O31" s="434" t="s">
        <v>290</v>
      </c>
      <c r="P31" s="276"/>
      <c r="Q31" s="335"/>
      <c r="R31" s="562"/>
      <c r="T31" s="572" t="s">
        <v>1109</v>
      </c>
      <c r="U31" s="573"/>
      <c r="V31" s="573"/>
      <c r="W31" s="574">
        <f>W27+W30</f>
        <v>19782424</v>
      </c>
      <c r="X31" s="425"/>
      <c r="Z31" s="330"/>
    </row>
    <row r="32" spans="1:26" s="264" customFormat="1" ht="12.75" customHeight="1">
      <c r="A32" s="263"/>
      <c r="B32" s="261" t="s">
        <v>722</v>
      </c>
      <c r="C32" s="261"/>
      <c r="D32" s="372">
        <f>Input!$ER$50</f>
        <v>0</v>
      </c>
      <c r="E32" s="372">
        <f>Input!$ES$50</f>
        <v>0</v>
      </c>
      <c r="F32" s="372">
        <f>Input!$ET$50</f>
        <v>0</v>
      </c>
      <c r="G32" s="372">
        <f>Input!$EU$50</f>
        <v>0</v>
      </c>
      <c r="H32" s="372">
        <f>Input!$EV$50</f>
        <v>0</v>
      </c>
      <c r="I32" s="372">
        <f>Input!$EW$50</f>
        <v>0</v>
      </c>
      <c r="J32" s="372">
        <f>Input!$EX$50</f>
        <v>0</v>
      </c>
      <c r="K32" s="372">
        <f>Input!$EY$50</f>
        <v>0</v>
      </c>
      <c r="L32" s="372">
        <f>Input!$EZ$50</f>
        <v>0</v>
      </c>
      <c r="M32" s="567">
        <f t="shared" si="6"/>
        <v>0</v>
      </c>
      <c r="O32" s="415" t="s">
        <v>1295</v>
      </c>
      <c r="P32" s="416"/>
      <c r="Q32" s="577">
        <f>Input!$SQ$50</f>
        <v>718135521</v>
      </c>
      <c r="R32" s="578"/>
      <c r="T32" s="560"/>
      <c r="U32" s="266"/>
      <c r="V32" s="266"/>
      <c r="X32" s="425"/>
      <c r="Z32" s="330"/>
    </row>
    <row r="33" spans="1:36" s="264" customFormat="1">
      <c r="A33" s="263"/>
      <c r="B33" s="261" t="s">
        <v>723</v>
      </c>
      <c r="C33" s="261"/>
      <c r="D33" s="372">
        <f>Input!$FA$50</f>
        <v>0</v>
      </c>
      <c r="E33" s="372">
        <f>Input!$FB$50</f>
        <v>0</v>
      </c>
      <c r="F33" s="372">
        <f>Input!$FC$50</f>
        <v>0</v>
      </c>
      <c r="G33" s="372">
        <f>Input!$FD$50</f>
        <v>0</v>
      </c>
      <c r="H33" s="372">
        <f>Input!$FE$50</f>
        <v>0</v>
      </c>
      <c r="I33" s="372">
        <f>Input!$FF$50</f>
        <v>0</v>
      </c>
      <c r="J33" s="372">
        <f>Input!$FG$50</f>
        <v>0</v>
      </c>
      <c r="K33" s="372">
        <f>Input!$FH$50</f>
        <v>0</v>
      </c>
      <c r="L33" s="372">
        <f>Input!$FI$50</f>
        <v>0</v>
      </c>
      <c r="M33" s="567">
        <f t="shared" si="6"/>
        <v>0</v>
      </c>
      <c r="O33" s="415"/>
      <c r="P33" s="416"/>
      <c r="Q33" s="327"/>
      <c r="R33" s="578"/>
      <c r="T33" s="560" t="s">
        <v>1051</v>
      </c>
      <c r="U33" s="266"/>
      <c r="V33" s="266"/>
      <c r="W33" s="334">
        <f>(M19+M32)*-1</f>
        <v>62509153</v>
      </c>
      <c r="X33" s="425"/>
    </row>
    <row r="34" spans="1:36" s="264" customFormat="1">
      <c r="A34" s="263"/>
      <c r="B34" s="261" t="s">
        <v>724</v>
      </c>
      <c r="C34" s="261"/>
      <c r="D34" s="372">
        <f>Input!$FJ$50</f>
        <v>0</v>
      </c>
      <c r="E34" s="372">
        <f>Input!$FK$50</f>
        <v>0</v>
      </c>
      <c r="F34" s="372">
        <f>Input!$FL$50</f>
        <v>0</v>
      </c>
      <c r="G34" s="372">
        <f>Input!$FM$50</f>
        <v>0</v>
      </c>
      <c r="H34" s="372">
        <f>Input!$FN$50</f>
        <v>0</v>
      </c>
      <c r="I34" s="372">
        <f>Input!$FO$50</f>
        <v>0</v>
      </c>
      <c r="J34" s="372">
        <f>Input!$FP$50</f>
        <v>0</v>
      </c>
      <c r="K34" s="372">
        <f>Input!$FQ$50</f>
        <v>0</v>
      </c>
      <c r="L34" s="372">
        <f>Input!$FR$50</f>
        <v>0</v>
      </c>
      <c r="M34" s="567">
        <f t="shared" si="6"/>
        <v>0</v>
      </c>
      <c r="O34" s="435" t="s">
        <v>1296</v>
      </c>
      <c r="P34" s="436"/>
      <c r="Q34" s="264" t="s">
        <v>291</v>
      </c>
      <c r="R34" s="648">
        <f>Input!$SR$50</f>
        <v>-192479493</v>
      </c>
      <c r="T34" s="560" t="s">
        <v>1110</v>
      </c>
      <c r="U34" s="266"/>
      <c r="V34" s="266"/>
      <c r="W34" s="430">
        <f>(M24+M37)*-1</f>
        <v>0</v>
      </c>
      <c r="X34" s="425"/>
    </row>
    <row r="35" spans="1:36" s="264" customFormat="1" ht="13.5" thickBot="1">
      <c r="A35" s="263"/>
      <c r="B35" s="261" t="s">
        <v>725</v>
      </c>
      <c r="C35" s="261"/>
      <c r="D35" s="372">
        <f>Input!$FS$50</f>
        <v>0</v>
      </c>
      <c r="E35" s="372">
        <f>Input!$FT$50</f>
        <v>0</v>
      </c>
      <c r="F35" s="372">
        <f>Input!$FU$50</f>
        <v>0</v>
      </c>
      <c r="G35" s="372">
        <f>Input!$FV$50</f>
        <v>0</v>
      </c>
      <c r="H35" s="372">
        <f>Input!$FW$50</f>
        <v>0</v>
      </c>
      <c r="I35" s="372">
        <f>Input!$FX$50</f>
        <v>0</v>
      </c>
      <c r="J35" s="372">
        <f>Input!$FY$50</f>
        <v>0</v>
      </c>
      <c r="K35" s="372">
        <f>Input!$FZ$50</f>
        <v>0</v>
      </c>
      <c r="L35" s="372">
        <f>Input!$GA$50</f>
        <v>0</v>
      </c>
      <c r="M35" s="567">
        <f t="shared" si="6"/>
        <v>0</v>
      </c>
      <c r="O35" s="418" t="s">
        <v>286</v>
      </c>
      <c r="P35" s="419"/>
      <c r="Q35" s="420">
        <f>Q30-Q32</f>
        <v>0</v>
      </c>
      <c r="R35" s="649">
        <f>R30-R34</f>
        <v>0</v>
      </c>
      <c r="T35" s="650" t="s">
        <v>1111</v>
      </c>
      <c r="U35" s="584"/>
      <c r="V35" s="584"/>
      <c r="W35" s="656">
        <f>SUM(W33:W34)</f>
        <v>62509153</v>
      </c>
      <c r="X35" s="655"/>
    </row>
    <row r="36" spans="1:36" s="264" customFormat="1" ht="13.5" thickTop="1">
      <c r="A36" s="263"/>
      <c r="B36" s="558" t="s">
        <v>732</v>
      </c>
      <c r="C36" s="563"/>
      <c r="D36" s="564">
        <f>Input!$GB$50</f>
        <v>137021</v>
      </c>
      <c r="E36" s="564">
        <f>Input!$GC$50</f>
        <v>48901496</v>
      </c>
      <c r="F36" s="564">
        <f>Input!$GD$50</f>
        <v>44566198</v>
      </c>
      <c r="G36" s="564">
        <f>Input!$GE$50</f>
        <v>0</v>
      </c>
      <c r="H36" s="564">
        <f>Input!$GF$50</f>
        <v>0</v>
      </c>
      <c r="I36" s="564">
        <f>Input!$GG$50</f>
        <v>0</v>
      </c>
      <c r="J36" s="564">
        <f>Input!$GH$50</f>
        <v>0</v>
      </c>
      <c r="K36" s="564">
        <f>Input!$GI$50</f>
        <v>0</v>
      </c>
      <c r="L36" s="564">
        <f>Input!$GJ$50</f>
        <v>0</v>
      </c>
      <c r="M36" s="565">
        <f t="shared" si="6"/>
        <v>93604715</v>
      </c>
      <c r="O36" s="261"/>
      <c r="Q36" s="412" t="str">
        <f>IF(Q30&lt;&gt;Q32,"Out of Balance","Balanced")</f>
        <v>Balanced</v>
      </c>
      <c r="R36" s="412" t="str">
        <f>IF(R30&lt;&gt;R34,"Out of Balance","Balanced")</f>
        <v>Balanced</v>
      </c>
      <c r="T36" s="560" t="s">
        <v>1053</v>
      </c>
      <c r="U36" s="266"/>
      <c r="V36" s="266"/>
      <c r="W36" s="334">
        <f>(M20+M33)*-1</f>
        <v>0</v>
      </c>
      <c r="X36" s="425"/>
    </row>
    <row r="37" spans="1:36" s="264" customFormat="1">
      <c r="A37" s="263"/>
      <c r="B37" s="261" t="s">
        <v>727</v>
      </c>
      <c r="C37" s="566"/>
      <c r="D37" s="372">
        <f>Input!$GK$50</f>
        <v>0</v>
      </c>
      <c r="E37" s="372">
        <f>Input!$GL$50</f>
        <v>0</v>
      </c>
      <c r="F37" s="372">
        <f>Input!$GM$50</f>
        <v>0</v>
      </c>
      <c r="G37" s="372">
        <f>Input!$GN$50</f>
        <v>0</v>
      </c>
      <c r="H37" s="372">
        <f>Input!$GO$50</f>
        <v>0</v>
      </c>
      <c r="I37" s="372">
        <f>Input!$GP$50</f>
        <v>0</v>
      </c>
      <c r="J37" s="372">
        <f>Input!$GQ$50</f>
        <v>0</v>
      </c>
      <c r="K37" s="372">
        <f>Input!$GR$50</f>
        <v>0</v>
      </c>
      <c r="L37" s="372">
        <f>Input!$GS$50</f>
        <v>0</v>
      </c>
      <c r="M37" s="567">
        <f t="shared" si="6"/>
        <v>0</v>
      </c>
      <c r="O37" s="261"/>
      <c r="T37" s="560" t="s">
        <v>1112</v>
      </c>
      <c r="U37" s="266"/>
      <c r="V37" s="266"/>
      <c r="W37" s="430">
        <f>(M25+M38)*-1</f>
        <v>0</v>
      </c>
      <c r="X37" s="655"/>
    </row>
    <row r="38" spans="1:36" s="264" customFormat="1">
      <c r="A38" s="263"/>
      <c r="B38" s="261" t="s">
        <v>728</v>
      </c>
      <c r="C38" s="566"/>
      <c r="D38" s="372">
        <f>Input!$GT$50</f>
        <v>0</v>
      </c>
      <c r="E38" s="372">
        <f>Input!$GU$50</f>
        <v>0</v>
      </c>
      <c r="F38" s="372">
        <f>Input!$GV$50</f>
        <v>0</v>
      </c>
      <c r="G38" s="372">
        <f>Input!$GW$50</f>
        <v>0</v>
      </c>
      <c r="H38" s="372">
        <f>Input!$GX$50</f>
        <v>0</v>
      </c>
      <c r="I38" s="372">
        <f>Input!$GY$50</f>
        <v>0</v>
      </c>
      <c r="J38" s="372">
        <f>Input!$GZ$50</f>
        <v>0</v>
      </c>
      <c r="K38" s="372">
        <f>Input!$HA$50</f>
        <v>0</v>
      </c>
      <c r="L38" s="372">
        <f>Input!$HB$50</f>
        <v>0</v>
      </c>
      <c r="M38" s="567">
        <f t="shared" si="6"/>
        <v>0</v>
      </c>
      <c r="O38" s="261"/>
      <c r="T38" s="650" t="s">
        <v>1113</v>
      </c>
      <c r="U38" s="584"/>
      <c r="V38" s="584"/>
      <c r="W38" s="656">
        <f>SUM(W36:W37)</f>
        <v>0</v>
      </c>
      <c r="X38" s="425"/>
    </row>
    <row r="39" spans="1:36" s="264" customFormat="1">
      <c r="A39" s="263"/>
      <c r="B39" s="261" t="s">
        <v>729</v>
      </c>
      <c r="C39" s="566"/>
      <c r="D39" s="372">
        <f>Input!$HC$50</f>
        <v>0</v>
      </c>
      <c r="E39" s="372">
        <f>Input!$HD$50</f>
        <v>-1189957</v>
      </c>
      <c r="F39" s="372">
        <f>Input!$HE$50</f>
        <v>0</v>
      </c>
      <c r="G39" s="372">
        <f>Input!$HF$50</f>
        <v>0</v>
      </c>
      <c r="H39" s="372">
        <f>Input!$HG$50</f>
        <v>0</v>
      </c>
      <c r="I39" s="372">
        <f>Input!$HH$50</f>
        <v>0</v>
      </c>
      <c r="J39" s="372">
        <f>Input!$HI$50</f>
        <v>0</v>
      </c>
      <c r="K39" s="372">
        <f>Input!$HJ$50</f>
        <v>0</v>
      </c>
      <c r="L39" s="372">
        <f>Input!$HK$50</f>
        <v>0</v>
      </c>
      <c r="M39" s="567">
        <f t="shared" si="6"/>
        <v>-1189957</v>
      </c>
      <c r="O39" s="261"/>
      <c r="T39" s="560" t="s">
        <v>1054</v>
      </c>
      <c r="U39" s="266"/>
      <c r="V39" s="266"/>
      <c r="W39" s="334"/>
      <c r="X39" s="425">
        <f>W38+W35</f>
        <v>62509153</v>
      </c>
    </row>
    <row r="40" spans="1:36" s="264" customFormat="1">
      <c r="A40" s="263"/>
      <c r="B40" s="261" t="s">
        <v>730</v>
      </c>
      <c r="C40" s="566"/>
      <c r="D40" s="372">
        <f>Input!$HL$50</f>
        <v>0</v>
      </c>
      <c r="E40" s="372">
        <f>Input!$HM$50</f>
        <v>0</v>
      </c>
      <c r="F40" s="372">
        <f>Input!$HN$50</f>
        <v>0</v>
      </c>
      <c r="G40" s="372">
        <f>Input!$HO$50</f>
        <v>0</v>
      </c>
      <c r="H40" s="372">
        <f>Input!$HP$50</f>
        <v>0</v>
      </c>
      <c r="I40" s="372">
        <f>Input!$HQ$50</f>
        <v>0</v>
      </c>
      <c r="J40" s="372">
        <f>Input!$HR$50</f>
        <v>0</v>
      </c>
      <c r="K40" s="372">
        <f>Input!$HS$50</f>
        <v>0</v>
      </c>
      <c r="L40" s="372">
        <f>Input!$HT$50</f>
        <v>0</v>
      </c>
      <c r="M40" s="567">
        <f t="shared" si="6"/>
        <v>0</v>
      </c>
      <c r="O40" s="261"/>
      <c r="T40" s="560"/>
      <c r="U40" s="261"/>
      <c r="V40" s="261"/>
      <c r="W40" s="261"/>
      <c r="X40" s="655"/>
    </row>
    <row r="41" spans="1:36" s="264" customFormat="1">
      <c r="A41" s="263"/>
      <c r="B41" s="261" t="s">
        <v>2133</v>
      </c>
      <c r="C41" s="566"/>
      <c r="D41" s="372">
        <f>Input!$HU$50</f>
        <v>-35035</v>
      </c>
      <c r="E41" s="372">
        <f>Input!$HV$50</f>
        <v>-11652854</v>
      </c>
      <c r="F41" s="372">
        <f>Input!$HW$50</f>
        <v>-10205840</v>
      </c>
      <c r="G41" s="372">
        <f>Input!$HX$50</f>
        <v>0</v>
      </c>
      <c r="H41" s="372">
        <f>Input!$HY$50</f>
        <v>0</v>
      </c>
      <c r="I41" s="372">
        <f>Input!$HZ$50</f>
        <v>0</v>
      </c>
      <c r="J41" s="372">
        <f>Input!$IA$50</f>
        <v>0</v>
      </c>
      <c r="K41" s="372">
        <f>Input!$IB$50</f>
        <v>0</v>
      </c>
      <c r="L41" s="372">
        <f>Input!$IC$50</f>
        <v>0</v>
      </c>
      <c r="M41" s="567">
        <f t="shared" si="6"/>
        <v>-21893729</v>
      </c>
      <c r="O41"/>
      <c r="P41"/>
      <c r="Q41"/>
      <c r="R41"/>
      <c r="S41"/>
      <c r="T41" s="560" t="s">
        <v>1104</v>
      </c>
      <c r="U41" s="266"/>
      <c r="V41" s="266"/>
      <c r="W41" s="330">
        <f>(M21+M34)*-1</f>
        <v>0</v>
      </c>
      <c r="X41" s="425"/>
    </row>
    <row r="42" spans="1:36" s="264" customFormat="1">
      <c r="A42" s="263"/>
      <c r="B42" s="575" t="s">
        <v>40</v>
      </c>
      <c r="C42" s="563"/>
      <c r="D42" s="374">
        <f t="shared" ref="D42:L42" si="7">SUM(D36:D41)</f>
        <v>101986</v>
      </c>
      <c r="E42" s="374">
        <f t="shared" si="7"/>
        <v>36058685</v>
      </c>
      <c r="F42" s="374">
        <f t="shared" si="7"/>
        <v>34360358</v>
      </c>
      <c r="G42" s="374">
        <f t="shared" si="7"/>
        <v>0</v>
      </c>
      <c r="H42" s="374">
        <f t="shared" si="7"/>
        <v>0</v>
      </c>
      <c r="I42" s="374">
        <f t="shared" si="7"/>
        <v>0</v>
      </c>
      <c r="J42" s="374">
        <f t="shared" si="7"/>
        <v>0</v>
      </c>
      <c r="K42" s="374">
        <f t="shared" si="7"/>
        <v>0</v>
      </c>
      <c r="L42" s="374">
        <f t="shared" si="7"/>
        <v>0</v>
      </c>
      <c r="M42" s="374">
        <f t="shared" si="6"/>
        <v>70521029</v>
      </c>
      <c r="O42"/>
      <c r="P42"/>
      <c r="Q42"/>
      <c r="R42"/>
      <c r="S42"/>
      <c r="T42" s="560" t="s">
        <v>1107</v>
      </c>
      <c r="U42" s="266"/>
      <c r="V42" s="266"/>
      <c r="W42" s="430">
        <f>(M22+M35)*-1</f>
        <v>0</v>
      </c>
      <c r="X42" s="425"/>
    </row>
    <row r="43" spans="1:36" s="264" customFormat="1">
      <c r="A43" s="263"/>
      <c r="B43" s="261"/>
      <c r="C43" s="566"/>
      <c r="D43" s="566"/>
      <c r="E43" s="566"/>
      <c r="F43" s="566"/>
      <c r="G43" s="566"/>
      <c r="H43" s="566"/>
      <c r="I43" s="566"/>
      <c r="J43" s="566"/>
      <c r="K43" s="566"/>
      <c r="L43" s="566"/>
      <c r="M43" s="567"/>
      <c r="O43"/>
      <c r="P43"/>
      <c r="Q43"/>
      <c r="R43"/>
      <c r="S43"/>
      <c r="T43" s="650" t="s">
        <v>1114</v>
      </c>
      <c r="U43" s="584"/>
      <c r="V43" s="584"/>
      <c r="W43" s="656">
        <f>SUM(W41:W42)</f>
        <v>0</v>
      </c>
      <c r="X43" s="655"/>
    </row>
    <row r="44" spans="1:36" s="264" customFormat="1" ht="13.5" customHeight="1">
      <c r="A44" s="263"/>
      <c r="B44" s="575" t="s">
        <v>1055</v>
      </c>
      <c r="C44" s="563"/>
      <c r="D44" s="374">
        <f t="shared" ref="D44:L44" si="8">D42+D29</f>
        <v>82800117</v>
      </c>
      <c r="E44" s="374">
        <f t="shared" si="8"/>
        <v>408495553</v>
      </c>
      <c r="F44" s="374">
        <f t="shared" si="8"/>
        <v>34360358</v>
      </c>
      <c r="G44" s="374">
        <f t="shared" si="8"/>
        <v>0</v>
      </c>
      <c r="H44" s="374">
        <f t="shared" si="8"/>
        <v>0</v>
      </c>
      <c r="I44" s="374">
        <f t="shared" si="8"/>
        <v>0</v>
      </c>
      <c r="J44" s="374">
        <f t="shared" si="8"/>
        <v>0</v>
      </c>
      <c r="K44" s="374">
        <f t="shared" si="8"/>
        <v>0</v>
      </c>
      <c r="L44" s="374">
        <f t="shared" si="8"/>
        <v>0</v>
      </c>
      <c r="M44" s="374">
        <f>D44+E44+F44+G44+H44+I44+J44+K44+L44</f>
        <v>525656028</v>
      </c>
      <c r="O44"/>
      <c r="P44"/>
      <c r="Q44"/>
      <c r="R44"/>
      <c r="S44"/>
      <c r="T44" s="560"/>
      <c r="U44" s="266"/>
      <c r="V44" s="266"/>
      <c r="W44" s="276"/>
      <c r="X44" s="425"/>
    </row>
    <row r="45" spans="1:36">
      <c r="A45" s="184">
        <v>28</v>
      </c>
      <c r="B45" s="160"/>
      <c r="C45" s="160"/>
      <c r="D45" s="373"/>
      <c r="E45" s="373"/>
      <c r="F45" s="373"/>
      <c r="G45" s="373"/>
      <c r="H45" s="373"/>
      <c r="I45" s="373"/>
      <c r="J45" s="373"/>
      <c r="K45" s="373"/>
      <c r="L45" s="373"/>
      <c r="M45" s="373"/>
      <c r="N45" s="160"/>
      <c r="O45"/>
      <c r="P45"/>
      <c r="Q45"/>
      <c r="R45"/>
      <c r="S45"/>
      <c r="T45" s="560" t="s">
        <v>1110</v>
      </c>
      <c r="U45" s="266"/>
      <c r="V45" s="266"/>
      <c r="W45" s="334">
        <f>(M24+M37)*-1</f>
        <v>0</v>
      </c>
      <c r="X45" s="425"/>
    </row>
    <row r="46" spans="1:36">
      <c r="A46" s="184">
        <v>29</v>
      </c>
      <c r="B46" s="172" t="s">
        <v>6</v>
      </c>
      <c r="C46" s="172"/>
      <c r="D46" s="373"/>
      <c r="E46" s="373"/>
      <c r="F46" s="373"/>
      <c r="G46" s="373"/>
      <c r="H46" s="373"/>
      <c r="I46" s="373"/>
      <c r="J46" s="373"/>
      <c r="K46" s="373"/>
      <c r="L46" s="373"/>
      <c r="M46" s="373"/>
      <c r="N46" s="160"/>
      <c r="O46"/>
      <c r="P46"/>
      <c r="Q46"/>
      <c r="R46"/>
      <c r="S46"/>
      <c r="T46" s="560" t="s">
        <v>1112</v>
      </c>
      <c r="U46" s="266"/>
      <c r="V46" s="266"/>
      <c r="W46" s="430">
        <f>(M25+M38)*-1</f>
        <v>0</v>
      </c>
      <c r="X46" s="425"/>
    </row>
    <row r="47" spans="1:36">
      <c r="A47" s="184">
        <v>30</v>
      </c>
      <c r="B47" s="176" t="s">
        <v>7</v>
      </c>
      <c r="C47" s="176"/>
      <c r="D47" s="375">
        <f>Input!$ID$50</f>
        <v>3582075</v>
      </c>
      <c r="E47" s="375">
        <f>Input!$IE$50</f>
        <v>116427262</v>
      </c>
      <c r="F47" s="375">
        <f>Input!$IF$50</f>
        <v>0</v>
      </c>
      <c r="G47" s="375">
        <f>Input!$IG$50</f>
        <v>488850050</v>
      </c>
      <c r="H47" s="375">
        <f>Input!$IH$50</f>
        <v>0</v>
      </c>
      <c r="I47" s="375">
        <f>Input!$II$50</f>
        <v>0</v>
      </c>
      <c r="J47" s="375">
        <f>Input!$IJ$50</f>
        <v>0</v>
      </c>
      <c r="K47" s="375">
        <f>Input!$IK$50</f>
        <v>0</v>
      </c>
      <c r="L47" s="375">
        <f>Input!$IL$50</f>
        <v>0</v>
      </c>
      <c r="M47" s="374">
        <f>D47+E47+F47+G47+H47+I47+J47+K47+L47</f>
        <v>608859387</v>
      </c>
      <c r="N47" s="160"/>
      <c r="O47"/>
      <c r="P47"/>
      <c r="Q47"/>
      <c r="R47"/>
      <c r="S47"/>
      <c r="T47" s="657" t="s">
        <v>1115</v>
      </c>
      <c r="U47" s="27"/>
      <c r="V47" s="27"/>
      <c r="W47" s="656">
        <f>SUM(W45:W46)</f>
        <v>0</v>
      </c>
      <c r="X47" s="655"/>
    </row>
    <row r="48" spans="1:36" s="261" customFormat="1">
      <c r="A48" s="263">
        <v>31</v>
      </c>
      <c r="D48" s="373"/>
      <c r="E48" s="373"/>
      <c r="F48" s="373"/>
      <c r="G48" s="373"/>
      <c r="H48" s="373"/>
      <c r="I48" s="373"/>
      <c r="J48" s="373"/>
      <c r="K48" s="373"/>
      <c r="L48" s="373"/>
      <c r="M48" s="373"/>
      <c r="N48" s="264"/>
      <c r="O48" s="264"/>
      <c r="P48" s="264"/>
      <c r="Q48" s="330"/>
      <c r="R48" s="330"/>
      <c r="S48" s="264"/>
      <c r="T48" s="560"/>
      <c r="X48" s="658">
        <f>W43-W47</f>
        <v>0</v>
      </c>
      <c r="Y48" s="264"/>
      <c r="Z48" s="264"/>
      <c r="AA48" s="264"/>
      <c r="AB48" s="264"/>
      <c r="AC48"/>
      <c r="AD48"/>
      <c r="AE48"/>
      <c r="AF48"/>
      <c r="AG48"/>
      <c r="AH48"/>
      <c r="AI48"/>
      <c r="AJ48"/>
    </row>
    <row r="49" spans="1:28" s="261" customFormat="1">
      <c r="A49" s="263">
        <v>32</v>
      </c>
      <c r="B49" s="5" t="s">
        <v>2121</v>
      </c>
      <c r="C49" s="5"/>
      <c r="D49" s="373"/>
      <c r="E49" s="373"/>
      <c r="F49" s="373"/>
      <c r="G49" s="373"/>
      <c r="H49" s="373"/>
      <c r="I49" s="373"/>
      <c r="J49" s="373"/>
      <c r="K49" s="373"/>
      <c r="L49" s="373"/>
      <c r="M49" s="373"/>
      <c r="O49" s="273"/>
      <c r="P49" s="264"/>
      <c r="Q49" s="264"/>
      <c r="R49" s="264"/>
      <c r="S49" s="264"/>
      <c r="T49" s="579" t="s">
        <v>287</v>
      </c>
      <c r="U49" s="511"/>
      <c r="V49" s="580"/>
      <c r="W49" s="580"/>
      <c r="X49" s="574">
        <f>SUM(X23:X48)</f>
        <v>780644674</v>
      </c>
      <c r="Y49" s="264"/>
      <c r="Z49" s="264"/>
      <c r="AA49" s="264"/>
    </row>
    <row r="50" spans="1:28" s="261" customFormat="1">
      <c r="A50" s="263">
        <v>33</v>
      </c>
      <c r="B50" s="1325" t="s">
        <v>2122</v>
      </c>
      <c r="C50" s="1325"/>
      <c r="D50" s="1326">
        <f>Input!$M$51</f>
        <v>0</v>
      </c>
      <c r="E50" s="1326">
        <f>Input!$N$51</f>
        <v>10678165</v>
      </c>
      <c r="F50" s="1326">
        <f>Input!$O$51</f>
        <v>0</v>
      </c>
      <c r="G50" s="1326">
        <f>Input!$P$51</f>
        <v>0</v>
      </c>
      <c r="H50" s="1326">
        <f>Input!$Q$51</f>
        <v>0</v>
      </c>
      <c r="I50" s="1326">
        <f>Input!$R$51</f>
        <v>0</v>
      </c>
      <c r="J50" s="1326">
        <f>Input!$S$51</f>
        <v>0</v>
      </c>
      <c r="K50" s="1326">
        <f>Input!$T$51</f>
        <v>0</v>
      </c>
      <c r="L50" s="1326">
        <f>Input!$U$51</f>
        <v>0</v>
      </c>
      <c r="M50" s="374">
        <f>D50+E50+F50+G50+H50+I50+J50+K50+L50</f>
        <v>10678165</v>
      </c>
      <c r="O50" s="273"/>
      <c r="P50" s="264"/>
      <c r="Q50" s="264"/>
      <c r="R50" s="264"/>
      <c r="S50" s="264"/>
      <c r="T50" s="264"/>
      <c r="Z50" s="264"/>
      <c r="AA50" s="264"/>
    </row>
    <row r="51" spans="1:28" s="261" customFormat="1">
      <c r="A51" s="263">
        <v>34</v>
      </c>
      <c r="B51" s="266"/>
      <c r="C51" s="266"/>
      <c r="D51" s="329"/>
      <c r="E51" s="329"/>
      <c r="F51" s="329"/>
      <c r="G51" s="329"/>
      <c r="H51" s="329"/>
      <c r="I51" s="329"/>
      <c r="J51" s="329"/>
      <c r="K51" s="329"/>
      <c r="L51" s="329"/>
      <c r="M51" s="329"/>
      <c r="P51" s="264"/>
      <c r="Q51" s="264"/>
      <c r="R51" s="264"/>
      <c r="S51" s="264"/>
      <c r="T51" s="264"/>
      <c r="Z51" s="264"/>
      <c r="AA51" s="264"/>
    </row>
    <row r="52" spans="1:28" s="261" customFormat="1">
      <c r="A52" s="263">
        <v>35</v>
      </c>
      <c r="B52" s="5" t="s">
        <v>2123</v>
      </c>
      <c r="C52" s="5"/>
      <c r="D52" s="373"/>
      <c r="E52" s="373"/>
      <c r="F52" s="373"/>
      <c r="G52" s="373"/>
      <c r="H52" s="373"/>
      <c r="I52" s="373"/>
      <c r="J52" s="373"/>
      <c r="K52" s="373"/>
      <c r="L52" s="373"/>
      <c r="M52" s="373"/>
      <c r="P52" s="264"/>
      <c r="Q52" s="264"/>
      <c r="R52" s="264"/>
      <c r="S52" s="264"/>
      <c r="T52" s="264"/>
      <c r="U52" s="264"/>
      <c r="V52" s="264"/>
      <c r="W52" s="264"/>
      <c r="X52" s="277"/>
      <c r="Y52" s="264"/>
      <c r="Z52" s="264"/>
      <c r="AA52" s="264"/>
    </row>
    <row r="53" spans="1:28" s="261" customFormat="1">
      <c r="A53" s="263">
        <v>36</v>
      </c>
      <c r="B53" s="1325" t="s">
        <v>2122</v>
      </c>
      <c r="C53" s="1325"/>
      <c r="D53" s="1326">
        <f>Input!$V$51</f>
        <v>0</v>
      </c>
      <c r="E53" s="1326">
        <f>Input!$W$51</f>
        <v>288517</v>
      </c>
      <c r="F53" s="1326">
        <f>Input!$X$51</f>
        <v>0</v>
      </c>
      <c r="G53" s="1326">
        <f>Input!$Y$51</f>
        <v>0</v>
      </c>
      <c r="H53" s="1326">
        <f>Input!$Z$51</f>
        <v>0</v>
      </c>
      <c r="I53" s="1326">
        <f>Input!$AA$51</f>
        <v>0</v>
      </c>
      <c r="J53" s="1326">
        <f>Input!$AB$51</f>
        <v>0</v>
      </c>
      <c r="K53" s="1326">
        <f>Input!$AC$51</f>
        <v>0</v>
      </c>
      <c r="L53" s="1326">
        <f>Input!$AD$51</f>
        <v>0</v>
      </c>
      <c r="M53" s="374">
        <f>D53+E53+F53+G53+H53+I53+J53+K53+L53</f>
        <v>288517</v>
      </c>
      <c r="P53" s="264"/>
      <c r="Q53" s="264"/>
      <c r="R53" s="264"/>
      <c r="S53" s="264"/>
      <c r="T53" s="264"/>
      <c r="U53" s="264"/>
      <c r="V53" s="264"/>
      <c r="W53" s="264"/>
      <c r="X53" s="277"/>
      <c r="Y53" s="264"/>
      <c r="Z53" s="264"/>
      <c r="AA53" s="264"/>
    </row>
    <row r="54" spans="1:28">
      <c r="A54" s="184">
        <v>31</v>
      </c>
      <c r="B54" s="160"/>
      <c r="C54" s="160"/>
      <c r="D54" s="373"/>
      <c r="E54" s="373"/>
      <c r="F54" s="373"/>
      <c r="G54" s="373"/>
      <c r="H54" s="373"/>
      <c r="I54" s="373"/>
      <c r="J54" s="373"/>
      <c r="K54" s="373"/>
      <c r="L54" s="373"/>
      <c r="M54" s="373"/>
      <c r="N54" s="160"/>
      <c r="O54"/>
      <c r="P54"/>
      <c r="Q54"/>
      <c r="R54"/>
      <c r="S54"/>
      <c r="X54" s="277"/>
    </row>
    <row r="55" spans="1:28">
      <c r="A55" s="184">
        <v>32</v>
      </c>
      <c r="B55" s="172" t="s">
        <v>8</v>
      </c>
      <c r="C55" s="172"/>
      <c r="D55" s="373"/>
      <c r="E55" s="373"/>
      <c r="F55" s="373"/>
      <c r="G55" s="373"/>
      <c r="H55" s="373"/>
      <c r="I55" s="373"/>
      <c r="J55" s="373"/>
      <c r="K55" s="373"/>
      <c r="L55" s="373"/>
      <c r="M55" s="373"/>
      <c r="N55" s="160"/>
      <c r="O55" s="273"/>
      <c r="X55" s="277"/>
    </row>
    <row r="56" spans="1:28">
      <c r="A56" s="184">
        <v>33</v>
      </c>
      <c r="B56" s="160" t="s">
        <v>42</v>
      </c>
      <c r="C56" s="160"/>
      <c r="D56" s="372">
        <f>Input!$IM$50</f>
        <v>13498767</v>
      </c>
      <c r="E56" s="372">
        <f>Input!$IN$50</f>
        <v>194920067</v>
      </c>
      <c r="F56" s="372">
        <f>Input!$IO$50</f>
        <v>29517692</v>
      </c>
      <c r="G56" s="372">
        <f>Input!$IP$50</f>
        <v>261529299</v>
      </c>
      <c r="H56" s="372">
        <f>Input!$IQ$50</f>
        <v>4304168</v>
      </c>
      <c r="I56" s="372">
        <f>Input!$IR$50</f>
        <v>373099</v>
      </c>
      <c r="J56" s="372">
        <f>Input!$IS$50</f>
        <v>52781461</v>
      </c>
      <c r="K56" s="372">
        <f>Input!$IT$50</f>
        <v>0</v>
      </c>
      <c r="L56" s="372">
        <f>Input!$IU$50</f>
        <v>0</v>
      </c>
      <c r="M56" s="373">
        <f t="shared" ref="M56:M62" si="9">D56+E56+F56+G56+H56+I56+J56+K56+L56</f>
        <v>556924553</v>
      </c>
      <c r="N56" s="160"/>
      <c r="O56" s="273"/>
      <c r="U56" s="275"/>
    </row>
    <row r="57" spans="1:28">
      <c r="A57" s="184">
        <v>34</v>
      </c>
      <c r="B57" s="160" t="s">
        <v>9</v>
      </c>
      <c r="C57" s="160"/>
      <c r="D57" s="372">
        <f>Input!$IV$50</f>
        <v>0</v>
      </c>
      <c r="E57" s="372">
        <f>Input!$IW$50</f>
        <v>35364338</v>
      </c>
      <c r="F57" s="372">
        <f>Input!$IX$50</f>
        <v>0</v>
      </c>
      <c r="G57" s="372">
        <f>Input!$IY$50</f>
        <v>3092192</v>
      </c>
      <c r="H57" s="372">
        <f>Input!$IZ$50</f>
        <v>0</v>
      </c>
      <c r="I57" s="372">
        <f>Input!$JA$50</f>
        <v>0</v>
      </c>
      <c r="J57" s="372">
        <f>Input!$JB$50</f>
        <v>0</v>
      </c>
      <c r="K57" s="372">
        <f>Input!$JC$50</f>
        <v>0</v>
      </c>
      <c r="L57" s="372">
        <f>Input!$JD$50</f>
        <v>0</v>
      </c>
      <c r="M57" s="376">
        <f t="shared" si="9"/>
        <v>38456530</v>
      </c>
      <c r="N57" s="160"/>
      <c r="Y57" s="277"/>
    </row>
    <row r="58" spans="1:28">
      <c r="A58" s="184">
        <v>35</v>
      </c>
      <c r="B58" s="160" t="s">
        <v>10</v>
      </c>
      <c r="C58" s="160"/>
      <c r="D58" s="372">
        <f>Input!$JE$50</f>
        <v>0</v>
      </c>
      <c r="E58" s="372">
        <f>Input!$JF$50</f>
        <v>94861083</v>
      </c>
      <c r="F58" s="372">
        <f>Input!$JG$50</f>
        <v>0</v>
      </c>
      <c r="G58" s="372">
        <f>Input!$JH$50</f>
        <v>345933234</v>
      </c>
      <c r="H58" s="372">
        <f>Input!$JI$50</f>
        <v>0</v>
      </c>
      <c r="I58" s="372">
        <f>Input!$JJ$50</f>
        <v>0</v>
      </c>
      <c r="J58" s="372">
        <f>Input!$JK$50</f>
        <v>0</v>
      </c>
      <c r="K58" s="372">
        <f>Input!$JL$50</f>
        <v>0</v>
      </c>
      <c r="L58" s="372">
        <f>Input!$JM$50</f>
        <v>0</v>
      </c>
      <c r="M58" s="373">
        <f t="shared" si="9"/>
        <v>440794317</v>
      </c>
      <c r="N58" s="160"/>
      <c r="O58" s="273"/>
      <c r="P58" s="278"/>
    </row>
    <row r="59" spans="1:28">
      <c r="A59" s="184">
        <v>36</v>
      </c>
      <c r="B59" s="160" t="s">
        <v>11</v>
      </c>
      <c r="C59" s="160"/>
      <c r="D59" s="372">
        <f>Input!$JN$50</f>
        <v>1600</v>
      </c>
      <c r="E59" s="372">
        <f>Input!$JO$50</f>
        <v>246418887</v>
      </c>
      <c r="F59" s="372">
        <f>Input!$JP$50</f>
        <v>0</v>
      </c>
      <c r="G59" s="372">
        <f>Input!$JQ$50</f>
        <v>26654703</v>
      </c>
      <c r="H59" s="372">
        <f>Input!$JR$50</f>
        <v>0</v>
      </c>
      <c r="I59" s="372">
        <f>Input!$JS$50</f>
        <v>0</v>
      </c>
      <c r="J59" s="372">
        <f>Input!$JT$50</f>
        <v>0</v>
      </c>
      <c r="K59" s="372">
        <f>Input!$JU$50</f>
        <v>0</v>
      </c>
      <c r="L59" s="372">
        <f>Input!$JV$50</f>
        <v>0</v>
      </c>
      <c r="M59" s="373">
        <f t="shared" si="9"/>
        <v>273075190</v>
      </c>
      <c r="N59" s="160"/>
      <c r="O59" s="273"/>
    </row>
    <row r="60" spans="1:28" ht="13.5" thickBot="1">
      <c r="A60" s="184">
        <v>37</v>
      </c>
      <c r="B60" s="177" t="s">
        <v>2134</v>
      </c>
      <c r="C60" s="177"/>
      <c r="D60" s="372">
        <f>Input!$JW$50</f>
        <v>0</v>
      </c>
      <c r="E60" s="372">
        <f>Input!$JX$50</f>
        <v>0</v>
      </c>
      <c r="F60" s="372">
        <f>Input!$JY$50</f>
        <v>166940890</v>
      </c>
      <c r="G60" s="372">
        <f>Input!$JZ$50</f>
        <v>0</v>
      </c>
      <c r="H60" s="372">
        <f>Input!$KA$50</f>
        <v>0</v>
      </c>
      <c r="I60" s="372">
        <f>Input!$KB$50</f>
        <v>0</v>
      </c>
      <c r="J60" s="372">
        <f>Input!$KC$50</f>
        <v>0</v>
      </c>
      <c r="K60" s="372">
        <f>Input!$KD$50</f>
        <v>0</v>
      </c>
      <c r="L60" s="372">
        <f>Input!$KE$50</f>
        <v>0</v>
      </c>
      <c r="M60" s="373">
        <f t="shared" si="9"/>
        <v>166940890</v>
      </c>
      <c r="N60" s="160"/>
      <c r="O60" s="273"/>
    </row>
    <row r="61" spans="1:28" ht="14.25" thickTop="1" thickBot="1">
      <c r="A61" s="184">
        <v>38</v>
      </c>
      <c r="B61" s="160" t="s">
        <v>43</v>
      </c>
      <c r="C61" s="160"/>
      <c r="D61" s="372">
        <f>Input!$KF$50</f>
        <v>185748</v>
      </c>
      <c r="E61" s="372">
        <f>Input!$KG$50</f>
        <v>18933333</v>
      </c>
      <c r="F61" s="372">
        <f>Input!$KH$50</f>
        <v>0</v>
      </c>
      <c r="G61" s="372">
        <f>Input!$KI$50</f>
        <v>0</v>
      </c>
      <c r="H61" s="372">
        <f>Input!$KJ$50</f>
        <v>1244118</v>
      </c>
      <c r="I61" s="372">
        <f>Input!$KK$50</f>
        <v>0</v>
      </c>
      <c r="J61" s="372">
        <f>Input!$KL$50</f>
        <v>0</v>
      </c>
      <c r="K61" s="372">
        <f>Input!$KM$50</f>
        <v>0</v>
      </c>
      <c r="L61" s="372">
        <f>Input!$KN$50</f>
        <v>-5424872</v>
      </c>
      <c r="M61" s="373">
        <f t="shared" si="9"/>
        <v>14938327</v>
      </c>
      <c r="N61" s="160"/>
      <c r="O61" s="1616" t="s">
        <v>251</v>
      </c>
      <c r="P61" s="1617"/>
      <c r="Q61" s="1617"/>
      <c r="R61" s="1618"/>
      <c r="S61" s="437"/>
      <c r="T61" s="1619" t="s">
        <v>252</v>
      </c>
      <c r="U61" s="1620"/>
      <c r="V61" s="1620"/>
      <c r="W61" s="1620"/>
      <c r="X61" s="1621"/>
      <c r="Y61" s="320"/>
      <c r="Z61" s="1749" t="s">
        <v>1301</v>
      </c>
      <c r="AA61" s="1750"/>
      <c r="AB61" s="1751"/>
    </row>
    <row r="62" spans="1:28" ht="13.5" customHeight="1" thickTop="1">
      <c r="A62" s="184">
        <v>39</v>
      </c>
      <c r="B62" s="176" t="s">
        <v>3</v>
      </c>
      <c r="C62" s="176"/>
      <c r="D62" s="374">
        <f>SUM(D56:D61)</f>
        <v>13686115</v>
      </c>
      <c r="E62" s="374">
        <f t="shared" ref="E62:L62" si="10">SUM(E56:E61)</f>
        <v>590497708</v>
      </c>
      <c r="F62" s="374">
        <f t="shared" si="10"/>
        <v>196458582</v>
      </c>
      <c r="G62" s="374">
        <f t="shared" si="10"/>
        <v>637209428</v>
      </c>
      <c r="H62" s="374">
        <f t="shared" si="10"/>
        <v>5548286</v>
      </c>
      <c r="I62" s="374">
        <f t="shared" si="10"/>
        <v>373099</v>
      </c>
      <c r="J62" s="374">
        <f t="shared" si="10"/>
        <v>52781461</v>
      </c>
      <c r="K62" s="374">
        <f t="shared" si="10"/>
        <v>0</v>
      </c>
      <c r="L62" s="374">
        <f t="shared" si="10"/>
        <v>-5424872</v>
      </c>
      <c r="M62" s="374">
        <f t="shared" si="9"/>
        <v>1491129807</v>
      </c>
      <c r="N62" s="160"/>
      <c r="O62" s="1622" t="s">
        <v>1135</v>
      </c>
      <c r="P62" s="1625" t="s">
        <v>254</v>
      </c>
      <c r="Q62" s="1625" t="s">
        <v>292</v>
      </c>
      <c r="R62" s="1628" t="s">
        <v>1063</v>
      </c>
      <c r="S62" s="280"/>
      <c r="T62" s="1739" t="s">
        <v>1136</v>
      </c>
      <c r="U62" s="1637" t="s">
        <v>254</v>
      </c>
      <c r="V62" s="1634" t="s">
        <v>256</v>
      </c>
      <c r="W62" s="1637" t="s">
        <v>257</v>
      </c>
      <c r="X62" s="1638" t="s">
        <v>1064</v>
      </c>
      <c r="Z62" s="1754" t="s">
        <v>1302</v>
      </c>
      <c r="AA62" s="1747" t="s">
        <v>1303</v>
      </c>
      <c r="AB62" s="1752" t="s">
        <v>238</v>
      </c>
    </row>
    <row r="63" spans="1:28">
      <c r="A63" s="184">
        <v>40</v>
      </c>
      <c r="B63" s="162" t="s">
        <v>68</v>
      </c>
      <c r="C63" s="162"/>
      <c r="D63" s="374">
        <f t="shared" ref="D63:M63" si="11">D15+D44+D47+D62+D50+D53</f>
        <v>891147913</v>
      </c>
      <c r="E63" s="374">
        <f t="shared" si="11"/>
        <v>1142999893</v>
      </c>
      <c r="F63" s="374">
        <f t="shared" si="11"/>
        <v>230818940</v>
      </c>
      <c r="G63" s="374">
        <f t="shared" si="11"/>
        <v>1138284676</v>
      </c>
      <c r="H63" s="374">
        <f t="shared" si="11"/>
        <v>5548286</v>
      </c>
      <c r="I63" s="374">
        <f t="shared" si="11"/>
        <v>373099</v>
      </c>
      <c r="J63" s="374">
        <f t="shared" si="11"/>
        <v>52781461</v>
      </c>
      <c r="K63" s="374">
        <f t="shared" si="11"/>
        <v>0</v>
      </c>
      <c r="L63" s="374">
        <f t="shared" si="11"/>
        <v>-5424872</v>
      </c>
      <c r="M63" s="374">
        <f t="shared" si="11"/>
        <v>3456529396</v>
      </c>
      <c r="N63" s="160"/>
      <c r="O63" s="1623"/>
      <c r="P63" s="1626"/>
      <c r="Q63" s="1626"/>
      <c r="R63" s="1629"/>
      <c r="S63" s="280"/>
      <c r="T63" s="1740"/>
      <c r="U63" s="1626"/>
      <c r="V63" s="1635"/>
      <c r="W63" s="1626"/>
      <c r="X63" s="1639"/>
      <c r="Z63" s="1755"/>
      <c r="AA63" s="1747"/>
      <c r="AB63" s="1752"/>
    </row>
    <row r="64" spans="1:28">
      <c r="A64" s="184">
        <v>41</v>
      </c>
      <c r="B64" s="160"/>
      <c r="C64" s="160"/>
      <c r="D64" s="373"/>
      <c r="E64" s="373"/>
      <c r="F64" s="373"/>
      <c r="G64" s="373"/>
      <c r="H64" s="373"/>
      <c r="I64" s="373"/>
      <c r="J64" s="373"/>
      <c r="K64" s="373"/>
      <c r="L64" s="373"/>
      <c r="M64" s="373"/>
      <c r="N64" s="160"/>
      <c r="O64" s="1623"/>
      <c r="P64" s="1626"/>
      <c r="Q64" s="1626"/>
      <c r="R64" s="1629"/>
      <c r="S64" s="280"/>
      <c r="T64" s="1740"/>
      <c r="U64" s="1626"/>
      <c r="V64" s="1635"/>
      <c r="W64" s="1626"/>
      <c r="X64" s="1639"/>
      <c r="Z64" s="1755"/>
      <c r="AA64" s="1747"/>
      <c r="AB64" s="1752"/>
    </row>
    <row r="65" spans="1:32" ht="14.25" customHeight="1">
      <c r="A65" s="184">
        <v>42</v>
      </c>
      <c r="B65" s="174" t="s">
        <v>72</v>
      </c>
      <c r="C65" s="174"/>
      <c r="D65" s="377"/>
      <c r="E65" s="377"/>
      <c r="F65" s="377"/>
      <c r="G65" s="1746" t="str">
        <f>IF(OR(P112&gt;0,P113&lt;&gt;0,P114&lt;&gt;0),"Do not Enter Cents - Whole Dollars Only","")</f>
        <v/>
      </c>
      <c r="H65" s="1746"/>
      <c r="I65" s="1746"/>
      <c r="J65" s="1746"/>
      <c r="K65" s="1746"/>
      <c r="L65" s="377"/>
      <c r="M65" s="377"/>
      <c r="N65" s="160"/>
      <c r="O65" s="1624"/>
      <c r="P65" s="1627"/>
      <c r="Q65" s="1627"/>
      <c r="R65" s="1630"/>
      <c r="S65" s="280"/>
      <c r="T65" s="1741"/>
      <c r="U65" s="1627"/>
      <c r="V65" s="1636"/>
      <c r="W65" s="1627"/>
      <c r="X65" s="1640"/>
      <c r="Z65" s="1756"/>
      <c r="AA65" s="1748"/>
      <c r="AB65" s="1753"/>
    </row>
    <row r="66" spans="1:32" ht="13.5" thickBot="1">
      <c r="A66" s="184">
        <v>43</v>
      </c>
      <c r="B66" s="160" t="s">
        <v>14</v>
      </c>
      <c r="C66" s="160"/>
      <c r="D66" s="372">
        <f>Input!$KO$50</f>
        <v>487904565</v>
      </c>
      <c r="E66" s="372">
        <f>Input!$KP$50</f>
        <v>133085239</v>
      </c>
      <c r="F66" s="372">
        <f>Input!$KQ$50</f>
        <v>0</v>
      </c>
      <c r="G66" s="372">
        <f>Input!$KR$50</f>
        <v>62658793</v>
      </c>
      <c r="H66" s="372">
        <f>Input!$KS$50</f>
        <v>0</v>
      </c>
      <c r="I66" s="372">
        <f>Input!$KT$50</f>
        <v>0</v>
      </c>
      <c r="J66" s="372">
        <f>Input!$KU$50</f>
        <v>0</v>
      </c>
      <c r="K66" s="372">
        <f>Input!$KV$50</f>
        <v>0</v>
      </c>
      <c r="L66" s="372">
        <f>Input!$KW$50</f>
        <v>0</v>
      </c>
      <c r="M66" s="373">
        <f t="shared" ref="M66:M77" si="12">D66+E66+F66+G66+H66+I66+J66+K66+L66</f>
        <v>683648597</v>
      </c>
      <c r="N66" s="160"/>
      <c r="O66" s="282">
        <f>D66+E66+G66+J66</f>
        <v>683648597</v>
      </c>
      <c r="P66" s="518">
        <f>Input!$SS$50</f>
        <v>4360528</v>
      </c>
      <c r="Q66" s="438" t="s">
        <v>259</v>
      </c>
      <c r="R66" s="284">
        <f>SUM(O66:P66)</f>
        <v>688009125</v>
      </c>
      <c r="S66" s="439"/>
      <c r="T66" s="286">
        <f t="shared" ref="T66:T74" si="13">D66+E66+G66</f>
        <v>683648597</v>
      </c>
      <c r="U66" s="287">
        <f t="shared" ref="U66:U74" si="14">P66</f>
        <v>4360528</v>
      </c>
      <c r="V66" s="289">
        <f>Input!$TC$50</f>
        <v>557129</v>
      </c>
      <c r="W66" s="289">
        <f>Input!$TK$50</f>
        <v>1501173</v>
      </c>
      <c r="X66" s="290">
        <f t="shared" ref="X66:X73" si="15">T66+U66-V66-W66</f>
        <v>685950823</v>
      </c>
      <c r="Z66" s="292" t="s">
        <v>14</v>
      </c>
      <c r="AA66" s="520">
        <f>Input!$TS$50</f>
        <v>683648597</v>
      </c>
      <c r="AB66" s="293">
        <f t="shared" ref="AB66:AB75" si="16">AA66-M66</f>
        <v>0</v>
      </c>
    </row>
    <row r="67" spans="1:32" ht="14.25" thickTop="1" thickBot="1">
      <c r="A67" s="184">
        <v>44</v>
      </c>
      <c r="B67" s="160" t="s">
        <v>15</v>
      </c>
      <c r="C67" s="160"/>
      <c r="D67" s="372">
        <f>Input!$KX$50</f>
        <v>54235527</v>
      </c>
      <c r="E67" s="372">
        <f>Input!$KY$50</f>
        <v>47285878</v>
      </c>
      <c r="F67" s="372">
        <f>Input!$KZ$50</f>
        <v>0</v>
      </c>
      <c r="G67" s="372">
        <f>Input!$LA$50</f>
        <v>455059862</v>
      </c>
      <c r="H67" s="372">
        <f>Input!$LB$50</f>
        <v>0</v>
      </c>
      <c r="I67" s="372">
        <f>Input!$LC$50</f>
        <v>0</v>
      </c>
      <c r="J67" s="372">
        <f>Input!$LD$50</f>
        <v>0</v>
      </c>
      <c r="K67" s="372">
        <f>Input!$LE$50</f>
        <v>0</v>
      </c>
      <c r="L67" s="372">
        <f>Input!$LF$50</f>
        <v>0</v>
      </c>
      <c r="M67" s="373">
        <f t="shared" si="12"/>
        <v>556581267</v>
      </c>
      <c r="N67" s="160"/>
      <c r="O67" s="440">
        <f t="shared" ref="O67:O74" si="17">D67+E67+G67+J67</f>
        <v>556581267</v>
      </c>
      <c r="P67" s="518">
        <f>Input!$ST$50</f>
        <v>50255062</v>
      </c>
      <c r="Q67" s="441" t="s">
        <v>259</v>
      </c>
      <c r="R67" s="295">
        <f>SUM(O67:P67)</f>
        <v>606836329</v>
      </c>
      <c r="S67" s="442"/>
      <c r="T67" s="296">
        <f t="shared" si="13"/>
        <v>556581267</v>
      </c>
      <c r="U67" s="297">
        <f t="shared" si="14"/>
        <v>50255062</v>
      </c>
      <c r="V67" s="299">
        <f>Input!$TD$50</f>
        <v>2818942</v>
      </c>
      <c r="W67" s="299">
        <f>Input!$TL$50</f>
        <v>674575</v>
      </c>
      <c r="X67" s="300">
        <f t="shared" si="15"/>
        <v>603342812</v>
      </c>
      <c r="Z67" s="292" t="s">
        <v>15</v>
      </c>
      <c r="AA67" s="518">
        <f>Input!$TT$50</f>
        <v>556581267</v>
      </c>
      <c r="AB67" s="301">
        <f t="shared" si="16"/>
        <v>0</v>
      </c>
    </row>
    <row r="68" spans="1:32" ht="13.5" thickTop="1">
      <c r="A68" s="184">
        <v>45</v>
      </c>
      <c r="B68" s="160" t="s">
        <v>16</v>
      </c>
      <c r="C68" s="160"/>
      <c r="D68" s="372">
        <f>Input!$LG$50</f>
        <v>3135876</v>
      </c>
      <c r="E68" s="372">
        <f>Input!$LH$50</f>
        <v>46908459</v>
      </c>
      <c r="F68" s="372">
        <f>Input!$LI$50</f>
        <v>0</v>
      </c>
      <c r="G68" s="372">
        <f>Input!$LJ$50</f>
        <v>48492557</v>
      </c>
      <c r="H68" s="372">
        <f>Input!$LK$50</f>
        <v>0</v>
      </c>
      <c r="I68" s="372">
        <f>Input!$LL$50</f>
        <v>0</v>
      </c>
      <c r="J68" s="372">
        <f>Input!$LM$50</f>
        <v>0</v>
      </c>
      <c r="K68" s="372">
        <f>Input!$LN$50</f>
        <v>0</v>
      </c>
      <c r="L68" s="372">
        <f>Input!$LO$50</f>
        <v>0</v>
      </c>
      <c r="M68" s="373">
        <f t="shared" si="12"/>
        <v>98536892</v>
      </c>
      <c r="N68" s="160"/>
      <c r="O68" s="440">
        <f t="shared" si="17"/>
        <v>98536892</v>
      </c>
      <c r="P68" s="518">
        <f>Input!$SU$50</f>
        <v>3071158</v>
      </c>
      <c r="Q68" s="441" t="s">
        <v>259</v>
      </c>
      <c r="R68" s="302" t="s">
        <v>259</v>
      </c>
      <c r="S68" s="442"/>
      <c r="T68" s="296">
        <f t="shared" si="13"/>
        <v>98536892</v>
      </c>
      <c r="U68" s="297">
        <f t="shared" si="14"/>
        <v>3071158</v>
      </c>
      <c r="V68" s="299">
        <f>Input!$TE$50</f>
        <v>563196</v>
      </c>
      <c r="W68" s="299">
        <f>Input!$TM$50</f>
        <v>582410</v>
      </c>
      <c r="X68" s="303">
        <f t="shared" si="15"/>
        <v>100462444</v>
      </c>
      <c r="Z68" s="292" t="s">
        <v>16</v>
      </c>
      <c r="AA68" s="518">
        <f>Input!$TU$50</f>
        <v>98536892</v>
      </c>
      <c r="AB68" s="301">
        <f t="shared" si="16"/>
        <v>0</v>
      </c>
    </row>
    <row r="69" spans="1:32" s="261" customFormat="1">
      <c r="A69" s="263">
        <v>50</v>
      </c>
      <c r="B69" s="1327" t="s">
        <v>2123</v>
      </c>
      <c r="C69" s="1327"/>
      <c r="D69" s="372">
        <f>Input!$AE$51</f>
        <v>4524804</v>
      </c>
      <c r="E69" s="372">
        <f>Input!$AF$51</f>
        <v>89871621</v>
      </c>
      <c r="F69" s="372">
        <f>Input!$AG$51</f>
        <v>0</v>
      </c>
      <c r="G69" s="372">
        <f>Input!$AH$51</f>
        <v>8342638</v>
      </c>
      <c r="H69" s="372">
        <f>Input!$AI$51</f>
        <v>0</v>
      </c>
      <c r="I69" s="372">
        <f>Input!$AJ$51</f>
        <v>0</v>
      </c>
      <c r="J69" s="372">
        <f>Input!$AK$51</f>
        <v>0</v>
      </c>
      <c r="K69" s="372">
        <f>Input!$AL$51</f>
        <v>0</v>
      </c>
      <c r="L69" s="372">
        <f>Input!$AM$51</f>
        <v>0</v>
      </c>
      <c r="M69" s="373">
        <f t="shared" si="12"/>
        <v>102739063</v>
      </c>
      <c r="O69" s="440">
        <f t="shared" ref="O69" si="18">D69+E69+G69</f>
        <v>102739063</v>
      </c>
      <c r="P69" s="299">
        <f>Input!$AN$51</f>
        <v>40056</v>
      </c>
      <c r="Q69" s="441" t="s">
        <v>259</v>
      </c>
      <c r="R69" s="295">
        <f>SUM(O69:P69)</f>
        <v>102779119</v>
      </c>
      <c r="S69" s="1328" t="e">
        <f t="shared" ref="S69" si="19">O69+P69-Q69-R69</f>
        <v>#VALUE!</v>
      </c>
      <c r="T69" s="296">
        <f t="shared" si="13"/>
        <v>102739063</v>
      </c>
      <c r="U69" s="297">
        <f t="shared" si="14"/>
        <v>40056</v>
      </c>
      <c r="V69" s="298">
        <f>Input!$AO$54</f>
        <v>0</v>
      </c>
      <c r="W69" s="299">
        <f>Input!$AP$54</f>
        <v>0</v>
      </c>
      <c r="X69" s="303">
        <f t="shared" si="15"/>
        <v>102779119</v>
      </c>
      <c r="Z69" s="292" t="s">
        <v>2123</v>
      </c>
      <c r="AA69" s="518">
        <f>Input!$AQ$51</f>
        <v>102739063</v>
      </c>
      <c r="AB69" s="301">
        <f t="shared" si="16"/>
        <v>0</v>
      </c>
      <c r="AD69"/>
      <c r="AF69" s="352"/>
    </row>
    <row r="70" spans="1:32">
      <c r="A70" s="184">
        <v>46</v>
      </c>
      <c r="B70" s="160" t="s">
        <v>17</v>
      </c>
      <c r="C70" s="160"/>
      <c r="D70" s="372">
        <f>Input!$LP$50</f>
        <v>116878004</v>
      </c>
      <c r="E70" s="372">
        <f>Input!$LQ$50</f>
        <v>174099884</v>
      </c>
      <c r="F70" s="372">
        <f>Input!$LR$50</f>
        <v>0</v>
      </c>
      <c r="G70" s="372">
        <f>Input!$LS$50</f>
        <v>54005330</v>
      </c>
      <c r="H70" s="372">
        <f>Input!$LT$50</f>
        <v>0</v>
      </c>
      <c r="I70" s="372">
        <f>Input!$LU$50</f>
        <v>0</v>
      </c>
      <c r="J70" s="372">
        <f>Input!$LV$50</f>
        <v>0</v>
      </c>
      <c r="K70" s="372">
        <f>Input!$LW$50</f>
        <v>0</v>
      </c>
      <c r="L70" s="372">
        <f>Input!$LX$50</f>
        <v>0</v>
      </c>
      <c r="M70" s="373">
        <f t="shared" si="12"/>
        <v>344983218</v>
      </c>
      <c r="N70" s="160"/>
      <c r="O70" s="440">
        <f t="shared" si="17"/>
        <v>344983218</v>
      </c>
      <c r="P70" s="518">
        <f>Input!$SV$50</f>
        <v>20230680</v>
      </c>
      <c r="Q70" s="441" t="s">
        <v>259</v>
      </c>
      <c r="R70" s="295">
        <f t="shared" ref="R70:R72" si="20">SUM(O70:P70)</f>
        <v>365213898</v>
      </c>
      <c r="S70" s="442"/>
      <c r="T70" s="296">
        <f t="shared" si="13"/>
        <v>344983218</v>
      </c>
      <c r="U70" s="297">
        <f t="shared" si="14"/>
        <v>20230680</v>
      </c>
      <c r="V70" s="299">
        <f>Input!$TF$50</f>
        <v>0</v>
      </c>
      <c r="W70" s="299">
        <f>Input!$TN$50</f>
        <v>0</v>
      </c>
      <c r="X70" s="303">
        <f t="shared" si="15"/>
        <v>365213898</v>
      </c>
      <c r="Z70" s="292" t="s">
        <v>17</v>
      </c>
      <c r="AA70" s="518">
        <f>Input!$TV$50</f>
        <v>344983218</v>
      </c>
      <c r="AB70" s="301">
        <f t="shared" si="16"/>
        <v>0</v>
      </c>
    </row>
    <row r="71" spans="1:32">
      <c r="A71" s="184">
        <v>47</v>
      </c>
      <c r="B71" s="160" t="s">
        <v>18</v>
      </c>
      <c r="C71" s="160"/>
      <c r="D71" s="372">
        <f>Input!$LY$50</f>
        <v>15136139</v>
      </c>
      <c r="E71" s="372">
        <f>Input!$LZ$50</f>
        <v>26494555</v>
      </c>
      <c r="F71" s="372">
        <f>Input!$MA$50</f>
        <v>0</v>
      </c>
      <c r="G71" s="372">
        <f>Input!$MB$50</f>
        <v>1062128</v>
      </c>
      <c r="H71" s="372">
        <f>Input!$MC$50</f>
        <v>-900927</v>
      </c>
      <c r="I71" s="372">
        <f>Input!$MD$50</f>
        <v>0</v>
      </c>
      <c r="J71" s="372">
        <f>Input!$ME$50</f>
        <v>0</v>
      </c>
      <c r="K71" s="372">
        <f>Input!$MF$50</f>
        <v>0</v>
      </c>
      <c r="L71" s="372">
        <f>Input!$MG$50</f>
        <v>0</v>
      </c>
      <c r="M71" s="373">
        <f t="shared" si="12"/>
        <v>41791895</v>
      </c>
      <c r="N71" s="160"/>
      <c r="O71" s="440">
        <f t="shared" si="17"/>
        <v>42692822</v>
      </c>
      <c r="P71" s="518">
        <f>Input!$SW$50</f>
        <v>24455</v>
      </c>
      <c r="Q71" s="518">
        <f>Input!$TB$50</f>
        <v>-598</v>
      </c>
      <c r="R71" s="295">
        <f>SUM(O71:P71)-Q71</f>
        <v>42717875</v>
      </c>
      <c r="S71" s="442"/>
      <c r="T71" s="296">
        <f t="shared" si="13"/>
        <v>42692822</v>
      </c>
      <c r="U71" s="297">
        <f t="shared" si="14"/>
        <v>24455</v>
      </c>
      <c r="V71" s="299">
        <f>Input!$TG$50</f>
        <v>0</v>
      </c>
      <c r="W71" s="299">
        <f>Input!$TO$50</f>
        <v>0</v>
      </c>
      <c r="X71" s="303">
        <f t="shared" si="15"/>
        <v>42717277</v>
      </c>
      <c r="Z71" s="292" t="s">
        <v>18</v>
      </c>
      <c r="AA71" s="518">
        <f>Input!$TW$50</f>
        <v>41791895</v>
      </c>
      <c r="AB71" s="301">
        <f t="shared" si="16"/>
        <v>0</v>
      </c>
    </row>
    <row r="72" spans="1:32">
      <c r="A72" s="184">
        <v>48</v>
      </c>
      <c r="B72" s="160" t="s">
        <v>19</v>
      </c>
      <c r="C72" s="160"/>
      <c r="D72" s="372">
        <f>Input!$MH$50</f>
        <v>86185983</v>
      </c>
      <c r="E72" s="372">
        <f>Input!$MI$50</f>
        <v>127373610</v>
      </c>
      <c r="F72" s="372">
        <f>Input!$MJ$50</f>
        <v>0</v>
      </c>
      <c r="G72" s="372">
        <f>Input!$MK$50</f>
        <v>30340414</v>
      </c>
      <c r="H72" s="372">
        <f>Input!$ML$50</f>
        <v>0</v>
      </c>
      <c r="I72" s="372">
        <f>Input!$MM$50</f>
        <v>0</v>
      </c>
      <c r="J72" s="372">
        <f>Input!$MN$50</f>
        <v>0</v>
      </c>
      <c r="K72" s="372">
        <f>Input!$MO$50</f>
        <v>0</v>
      </c>
      <c r="L72" s="372">
        <f>Input!$MP$50</f>
        <v>0</v>
      </c>
      <c r="M72" s="373">
        <f t="shared" si="12"/>
        <v>243900007</v>
      </c>
      <c r="N72" s="160"/>
      <c r="O72" s="440">
        <f t="shared" si="17"/>
        <v>243900007</v>
      </c>
      <c r="P72" s="518">
        <f>Input!$SX$50</f>
        <v>6547079</v>
      </c>
      <c r="Q72" s="441" t="s">
        <v>259</v>
      </c>
      <c r="R72" s="295">
        <f t="shared" si="20"/>
        <v>250447086</v>
      </c>
      <c r="S72" s="442"/>
      <c r="T72" s="296">
        <f t="shared" si="13"/>
        <v>243900007</v>
      </c>
      <c r="U72" s="297">
        <f t="shared" si="14"/>
        <v>6547079</v>
      </c>
      <c r="V72" s="299">
        <f>Input!$TH$50</f>
        <v>0</v>
      </c>
      <c r="W72" s="299">
        <f>Input!$TP$50</f>
        <v>0</v>
      </c>
      <c r="X72" s="303">
        <f t="shared" si="15"/>
        <v>250447086</v>
      </c>
      <c r="Z72" s="292" t="s">
        <v>19</v>
      </c>
      <c r="AA72" s="518">
        <f>Input!$TX$50</f>
        <v>243900007</v>
      </c>
      <c r="AB72" s="301">
        <f t="shared" si="16"/>
        <v>0</v>
      </c>
    </row>
    <row r="73" spans="1:32">
      <c r="A73" s="184">
        <v>49</v>
      </c>
      <c r="B73" s="160" t="s">
        <v>20</v>
      </c>
      <c r="C73" s="160"/>
      <c r="D73" s="372">
        <f>Input!$MQ$50</f>
        <v>3796476</v>
      </c>
      <c r="E73" s="372">
        <f>Input!$MR$50</f>
        <v>151232000</v>
      </c>
      <c r="F73" s="372">
        <f>Input!$MS$50</f>
        <v>0</v>
      </c>
      <c r="G73" s="372">
        <f>Input!$MT$50</f>
        <v>1820</v>
      </c>
      <c r="H73" s="372">
        <f>Input!$MU$50</f>
        <v>0</v>
      </c>
      <c r="I73" s="372">
        <f>Input!$MV$50</f>
        <v>0</v>
      </c>
      <c r="J73" s="372">
        <f>Input!$MW$50</f>
        <v>52390512</v>
      </c>
      <c r="K73" s="372">
        <f>Input!$MX$50</f>
        <v>0</v>
      </c>
      <c r="L73" s="372">
        <f>Input!$MY$50</f>
        <v>0</v>
      </c>
      <c r="M73" s="373">
        <f t="shared" si="12"/>
        <v>207420808</v>
      </c>
      <c r="N73" s="160"/>
      <c r="O73" s="440">
        <f t="shared" si="17"/>
        <v>207420808</v>
      </c>
      <c r="P73" s="518">
        <f>Input!$SY$50</f>
        <v>523347</v>
      </c>
      <c r="Q73" s="441" t="s">
        <v>259</v>
      </c>
      <c r="R73" s="304" t="s">
        <v>259</v>
      </c>
      <c r="S73" s="442"/>
      <c r="T73" s="296">
        <f t="shared" si="13"/>
        <v>155030296</v>
      </c>
      <c r="U73" s="297">
        <f t="shared" si="14"/>
        <v>523347</v>
      </c>
      <c r="V73" s="299">
        <f>Input!$TI$50</f>
        <v>0</v>
      </c>
      <c r="W73" s="299">
        <f>Input!$TQ$50</f>
        <v>0</v>
      </c>
      <c r="X73" s="303">
        <f t="shared" si="15"/>
        <v>155553643</v>
      </c>
      <c r="Z73" s="292" t="s">
        <v>260</v>
      </c>
      <c r="AA73" s="518">
        <f>Input!$TY$50</f>
        <v>207420808</v>
      </c>
      <c r="AB73" s="301">
        <f t="shared" si="16"/>
        <v>0</v>
      </c>
    </row>
    <row r="74" spans="1:32" ht="13.5" thickBot="1">
      <c r="A74" s="184">
        <v>50</v>
      </c>
      <c r="B74" s="160" t="s">
        <v>21</v>
      </c>
      <c r="C74" s="160"/>
      <c r="D74" s="372">
        <f>Input!$MZ$50</f>
        <v>56117404</v>
      </c>
      <c r="E74" s="372">
        <f>Input!$NA$50</f>
        <v>49236561</v>
      </c>
      <c r="F74" s="372">
        <f>Input!$NB$50</f>
        <v>0</v>
      </c>
      <c r="G74" s="372">
        <f>Input!$NC$50</f>
        <v>66363151</v>
      </c>
      <c r="H74" s="372">
        <f>Input!$ND$50</f>
        <v>0</v>
      </c>
      <c r="I74" s="372">
        <f>Input!$NE$50</f>
        <v>0</v>
      </c>
      <c r="J74" s="372">
        <f>Input!$NF$50</f>
        <v>0</v>
      </c>
      <c r="K74" s="372">
        <f>Input!$NG$50</f>
        <v>0</v>
      </c>
      <c r="L74" s="372">
        <f>Input!$NH$50</f>
        <v>0</v>
      </c>
      <c r="M74" s="373">
        <f t="shared" si="12"/>
        <v>171717116</v>
      </c>
      <c r="N74" s="160"/>
      <c r="O74" s="440">
        <f t="shared" si="17"/>
        <v>171717116</v>
      </c>
      <c r="P74" s="518">
        <f>Input!$SZ$50</f>
        <v>0</v>
      </c>
      <c r="Q74" s="441" t="s">
        <v>259</v>
      </c>
      <c r="R74" s="304" t="s">
        <v>259</v>
      </c>
      <c r="S74" s="442"/>
      <c r="T74" s="306">
        <f t="shared" si="13"/>
        <v>171717116</v>
      </c>
      <c r="U74" s="307">
        <f t="shared" si="14"/>
        <v>0</v>
      </c>
      <c r="V74" s="308">
        <f>Input!$TJ$50</f>
        <v>0</v>
      </c>
      <c r="W74" s="308">
        <f>Input!$TR$50</f>
        <v>0</v>
      </c>
      <c r="X74" s="303">
        <f>U74+T74-V74-W74</f>
        <v>171717116</v>
      </c>
      <c r="Z74" s="292" t="s">
        <v>21</v>
      </c>
      <c r="AA74" s="518">
        <f>Input!$TZ$50</f>
        <v>171717116</v>
      </c>
      <c r="AB74" s="301">
        <f t="shared" si="16"/>
        <v>0</v>
      </c>
    </row>
    <row r="75" spans="1:32" ht="14.25" thickTop="1" thickBot="1">
      <c r="A75" s="184">
        <v>51</v>
      </c>
      <c r="B75" s="160" t="s">
        <v>2135</v>
      </c>
      <c r="C75" s="160"/>
      <c r="D75" s="372">
        <f>Input!$NI$50</f>
        <v>0</v>
      </c>
      <c r="E75" s="372">
        <f>Input!$NJ$50</f>
        <v>0</v>
      </c>
      <c r="F75" s="372">
        <f>Input!$NK$50</f>
        <v>215668285</v>
      </c>
      <c r="G75" s="372">
        <f>Input!$NL$50</f>
        <v>67393537</v>
      </c>
      <c r="H75" s="372">
        <f>Input!$NM$50</f>
        <v>0</v>
      </c>
      <c r="I75" s="372">
        <f>Input!$NN$50</f>
        <v>0</v>
      </c>
      <c r="J75" s="372">
        <f>Input!$NO$50</f>
        <v>0</v>
      </c>
      <c r="K75" s="372">
        <f>Input!$NP$50</f>
        <v>0</v>
      </c>
      <c r="L75" s="372">
        <f>Input!$NQ$50</f>
        <v>0</v>
      </c>
      <c r="M75" s="373">
        <f t="shared" si="12"/>
        <v>283061822</v>
      </c>
      <c r="N75" s="160"/>
      <c r="O75" s="309" t="s">
        <v>259</v>
      </c>
      <c r="P75" s="519">
        <f>Input!$TA$50</f>
        <v>779664</v>
      </c>
      <c r="Q75" s="444" t="s">
        <v>259</v>
      </c>
      <c r="R75" s="311" t="s">
        <v>259</v>
      </c>
      <c r="S75" s="442"/>
      <c r="T75" s="305"/>
      <c r="U75" s="305"/>
      <c r="V75" s="312" t="s">
        <v>261</v>
      </c>
      <c r="W75" s="313"/>
      <c r="X75" s="314">
        <f>SUM(X66:X74)</f>
        <v>2478184218</v>
      </c>
      <c r="Z75" s="292" t="s">
        <v>22</v>
      </c>
      <c r="AA75" s="518">
        <f>Input!$UA$50</f>
        <v>283061822</v>
      </c>
      <c r="AB75" s="301">
        <f t="shared" si="16"/>
        <v>0</v>
      </c>
    </row>
    <row r="76" spans="1:32" ht="14.25" thickTop="1" thickBot="1">
      <c r="A76" s="184">
        <v>50</v>
      </c>
      <c r="B76" s="161" t="s">
        <v>59</v>
      </c>
      <c r="C76" s="161"/>
      <c r="D76" s="372">
        <f>Input!$NR$50</f>
        <v>9991958</v>
      </c>
      <c r="E76" s="372">
        <f>Input!$NS$50</f>
        <v>23191923</v>
      </c>
      <c r="F76" s="372">
        <f>Input!$NT$50</f>
        <v>758669</v>
      </c>
      <c r="G76" s="372">
        <f>Input!$NU$50</f>
        <v>51889479</v>
      </c>
      <c r="H76" s="372">
        <f>Input!$NV$50</f>
        <v>0</v>
      </c>
      <c r="I76" s="372">
        <f>Input!$NW$50</f>
        <v>0</v>
      </c>
      <c r="J76" s="372">
        <f>Input!$NX$50</f>
        <v>0</v>
      </c>
      <c r="K76" s="372">
        <f>Input!$NY$50</f>
        <v>0</v>
      </c>
      <c r="L76" s="372">
        <f>Input!$NZ$50</f>
        <v>0</v>
      </c>
      <c r="M76" s="373">
        <f t="shared" si="12"/>
        <v>85832029</v>
      </c>
      <c r="N76" s="160"/>
      <c r="O76" s="315"/>
      <c r="P76" s="316">
        <f>SUM(P66:P75)</f>
        <v>85832029</v>
      </c>
      <c r="Q76" s="316">
        <f>SUM(Q71:Q75)</f>
        <v>-598</v>
      </c>
      <c r="R76" s="317">
        <f>SUM(R66:R72)</f>
        <v>2056003432</v>
      </c>
      <c r="S76" s="316"/>
      <c r="T76" s="305"/>
      <c r="U76" s="305"/>
      <c r="V76" s="305"/>
      <c r="W76" s="277"/>
      <c r="X76" s="277"/>
      <c r="Y76" s="277"/>
      <c r="Z76" s="292" t="s">
        <v>285</v>
      </c>
      <c r="AA76" s="445">
        <f>M95*-1</f>
        <v>359826600</v>
      </c>
      <c r="AB76" s="301">
        <f>AA76+M95</f>
        <v>0</v>
      </c>
    </row>
    <row r="77" spans="1:32" ht="14.25" thickTop="1" thickBot="1">
      <c r="A77" s="184">
        <v>53</v>
      </c>
      <c r="B77" s="178" t="s">
        <v>44</v>
      </c>
      <c r="C77" s="178"/>
      <c r="D77" s="378">
        <f>Input!$OA$50</f>
        <v>0</v>
      </c>
      <c r="E77" s="378">
        <f>Input!$OB$50</f>
        <v>786955</v>
      </c>
      <c r="F77" s="378">
        <f>Input!$OC$50</f>
        <v>165</v>
      </c>
      <c r="G77" s="378">
        <f>Input!$OD$50</f>
        <v>17775</v>
      </c>
      <c r="H77" s="378">
        <f>Input!$OE$50</f>
        <v>21853</v>
      </c>
      <c r="I77" s="378">
        <f>Input!$OF$50</f>
        <v>0</v>
      </c>
      <c r="J77" s="378">
        <f>Input!$OG$50</f>
        <v>0</v>
      </c>
      <c r="K77" s="378">
        <f>Input!$OH$50</f>
        <v>0</v>
      </c>
      <c r="L77" s="378">
        <f>Input!$OI$50</f>
        <v>903110</v>
      </c>
      <c r="M77" s="373">
        <f t="shared" si="12"/>
        <v>1729858</v>
      </c>
      <c r="N77" s="160"/>
      <c r="O77" s="320"/>
      <c r="P77" s="516" t="str">
        <f>IF(P76&lt;&gt;M76,"Out of Balance","Balanced")</f>
        <v>Balanced</v>
      </c>
      <c r="Q77" s="318"/>
      <c r="R77" s="305"/>
      <c r="S77" s="305"/>
      <c r="T77" s="305"/>
      <c r="U77" s="277"/>
      <c r="V77" s="1738" t="str">
        <f>IF(X75-INT(X75)&lt;&gt;0,"Whole Dollars Only","")</f>
        <v/>
      </c>
      <c r="W77" s="1738"/>
      <c r="X77" s="1566"/>
      <c r="Y77" s="319"/>
      <c r="Z77" s="410" t="s">
        <v>262</v>
      </c>
      <c r="AA77" s="446" t="s">
        <v>259</v>
      </c>
      <c r="AB77" s="411">
        <f>M97</f>
        <v>0</v>
      </c>
    </row>
    <row r="78" spans="1:32" ht="13.5" thickTop="1">
      <c r="A78" s="184">
        <v>54</v>
      </c>
      <c r="B78" s="162" t="s">
        <v>69</v>
      </c>
      <c r="C78" s="162"/>
      <c r="D78" s="374">
        <f t="shared" ref="D78:M78" si="21">SUM(D66:D77)</f>
        <v>837906736</v>
      </c>
      <c r="E78" s="374">
        <f t="shared" si="21"/>
        <v>869566685</v>
      </c>
      <c r="F78" s="374">
        <f t="shared" si="21"/>
        <v>216427119</v>
      </c>
      <c r="G78" s="374">
        <f t="shared" si="21"/>
        <v>845627484</v>
      </c>
      <c r="H78" s="374">
        <f t="shared" si="21"/>
        <v>-879074</v>
      </c>
      <c r="I78" s="374">
        <f t="shared" si="21"/>
        <v>0</v>
      </c>
      <c r="J78" s="374">
        <f t="shared" si="21"/>
        <v>52390512</v>
      </c>
      <c r="K78" s="374">
        <f t="shared" si="21"/>
        <v>0</v>
      </c>
      <c r="L78" s="374">
        <f t="shared" si="21"/>
        <v>903110</v>
      </c>
      <c r="M78" s="374">
        <f t="shared" si="21"/>
        <v>2821942572</v>
      </c>
      <c r="N78" s="160"/>
      <c r="O78" s="322"/>
      <c r="P78" s="1738" t="str">
        <f>IF(P76-INT(P76)&lt;&gt;0,"Whole Dollars Only","")</f>
        <v/>
      </c>
      <c r="Q78" s="1738"/>
      <c r="R78" s="323"/>
      <c r="S78" s="323"/>
      <c r="T78" s="323"/>
      <c r="U78" s="291"/>
      <c r="V78" s="324"/>
      <c r="W78" s="321"/>
      <c r="X78" s="321"/>
      <c r="Y78" s="321"/>
      <c r="Z78" s="318"/>
      <c r="AA78" s="325">
        <f>SUM(AA66:AA77)</f>
        <v>3094207285</v>
      </c>
      <c r="AB78" s="326">
        <f>SUM(AB66:AB77)</f>
        <v>0</v>
      </c>
    </row>
    <row r="79" spans="1:32">
      <c r="A79" s="184">
        <v>55</v>
      </c>
      <c r="B79" s="160"/>
      <c r="C79" s="160"/>
      <c r="D79" s="373"/>
      <c r="E79" s="373"/>
      <c r="F79" s="373"/>
      <c r="G79" s="373"/>
      <c r="H79" s="373"/>
      <c r="I79" s="373"/>
      <c r="J79" s="373"/>
      <c r="K79" s="373"/>
      <c r="L79" s="373"/>
      <c r="M79" s="373"/>
      <c r="N79" s="160"/>
      <c r="O79" s="285"/>
      <c r="P79" s="318"/>
      <c r="Q79" s="321"/>
      <c r="R79" s="318"/>
      <c r="S79" s="318"/>
      <c r="T79" s="318"/>
      <c r="U79" s="327"/>
      <c r="V79" s="276"/>
      <c r="W79" s="328"/>
      <c r="X79" s="328"/>
      <c r="Y79" s="318"/>
      <c r="Z79" s="318"/>
      <c r="AA79" s="318"/>
      <c r="AB79" s="412" t="str">
        <f>IF(AB78&lt;&gt;0,"Out of Balance","Balanced")</f>
        <v>Balanced</v>
      </c>
    </row>
    <row r="80" spans="1:32">
      <c r="A80" s="184">
        <v>56</v>
      </c>
      <c r="B80" s="172" t="s">
        <v>23</v>
      </c>
      <c r="C80" s="172"/>
      <c r="D80" s="373"/>
      <c r="E80" s="373"/>
      <c r="F80" s="373"/>
      <c r="G80" s="373"/>
      <c r="H80" s="373"/>
      <c r="I80" s="373"/>
      <c r="J80" s="373"/>
      <c r="K80" s="373"/>
      <c r="L80" s="373"/>
      <c r="M80" s="373"/>
      <c r="N80" s="160"/>
      <c r="O80" s="329"/>
      <c r="Q80" s="330"/>
      <c r="R80" s="321"/>
      <c r="S80" s="321"/>
      <c r="T80" s="321"/>
      <c r="U80" s="327"/>
      <c r="V80" s="276"/>
      <c r="W80" s="331"/>
      <c r="X80" s="331"/>
      <c r="Y80" s="321"/>
      <c r="Z80" s="321"/>
      <c r="AA80" s="318"/>
      <c r="AB80" s="332"/>
    </row>
    <row r="81" spans="1:28" ht="13.5" thickBot="1">
      <c r="A81" s="184">
        <v>57</v>
      </c>
      <c r="B81" s="160" t="s">
        <v>60</v>
      </c>
      <c r="C81" s="160"/>
      <c r="D81" s="372">
        <f>Input!$OJ$50</f>
        <v>0</v>
      </c>
      <c r="E81" s="372">
        <f>Input!$OK$50</f>
        <v>0</v>
      </c>
      <c r="F81" s="372">
        <f>Input!$OL$50</f>
        <v>0</v>
      </c>
      <c r="G81" s="372">
        <f>Input!$OM$50</f>
        <v>0</v>
      </c>
      <c r="H81" s="372">
        <f>Input!$ON$50</f>
        <v>0</v>
      </c>
      <c r="I81" s="372">
        <f>Input!$OO$50</f>
        <v>0</v>
      </c>
      <c r="J81" s="372">
        <f>Input!$OP$50</f>
        <v>-368342747</v>
      </c>
      <c r="K81" s="372">
        <f>Input!$OQ$50</f>
        <v>0</v>
      </c>
      <c r="L81" s="372">
        <f>Input!$OR$50</f>
        <v>0</v>
      </c>
      <c r="M81" s="373">
        <f>D81+E81+F81+G81+H81+I81+J81+K81+L81</f>
        <v>-368342747</v>
      </c>
      <c r="N81" s="160"/>
      <c r="O81" s="329"/>
      <c r="Q81" s="330"/>
      <c r="R81" s="321"/>
      <c r="S81" s="321"/>
      <c r="T81" s="321"/>
      <c r="U81" s="327"/>
      <c r="V81" s="276"/>
      <c r="W81" s="331"/>
      <c r="X81" s="331"/>
      <c r="Y81" s="321"/>
      <c r="Z81" s="333"/>
      <c r="AA81" s="318"/>
      <c r="AB81" s="332"/>
    </row>
    <row r="82" spans="1:28" ht="14.25" thickTop="1" thickBot="1">
      <c r="A82" s="184">
        <v>58</v>
      </c>
      <c r="B82" s="171" t="s">
        <v>572</v>
      </c>
      <c r="C82" s="171"/>
      <c r="D82" s="372">
        <f>Input!$OS$50</f>
        <v>-5112531</v>
      </c>
      <c r="E82" s="372">
        <f>Input!$OT$50</f>
        <v>-31300040</v>
      </c>
      <c r="F82" s="372">
        <f>Input!$OU$50</f>
        <v>9643304</v>
      </c>
      <c r="G82" s="372">
        <f>Input!$OV$50</f>
        <v>-72128367</v>
      </c>
      <c r="H82" s="372">
        <f>Input!$OW$50</f>
        <v>-1538052</v>
      </c>
      <c r="I82" s="372">
        <f>Input!$OX$50</f>
        <v>21139955</v>
      </c>
      <c r="J82" s="372">
        <f>Input!$OY$50</f>
        <v>95807968</v>
      </c>
      <c r="K82" s="372">
        <f>Input!$OZ$50</f>
        <v>0</v>
      </c>
      <c r="L82" s="372">
        <f>Input!$PA$50</f>
        <v>-624251</v>
      </c>
      <c r="M82" s="373">
        <f>D82+E82+F82+G82+H82+I82+J82+K82+L82</f>
        <v>15887986</v>
      </c>
      <c r="N82" s="160"/>
      <c r="O82" s="1723" t="str">
        <f>IF(M92&lt;0,"Footnote 11 is N/A - No Data Entry Required","Footnote 11")</f>
        <v>Footnote 11</v>
      </c>
      <c r="P82" s="1724"/>
      <c r="Q82" s="1724"/>
      <c r="R82" s="1725"/>
      <c r="S82" s="330"/>
      <c r="T82" s="330"/>
      <c r="U82" s="327"/>
      <c r="V82" s="276"/>
      <c r="W82" s="331"/>
      <c r="X82" s="331"/>
      <c r="Y82" s="328"/>
      <c r="Z82" s="328"/>
      <c r="AA82" s="276"/>
      <c r="AB82" s="276" t="s">
        <v>293</v>
      </c>
    </row>
    <row r="83" spans="1:28" ht="13.5" thickTop="1">
      <c r="A83" s="184">
        <v>59</v>
      </c>
      <c r="B83" s="160" t="s">
        <v>45</v>
      </c>
      <c r="C83" s="160"/>
      <c r="D83" s="372">
        <f>Input!$PB$50</f>
        <v>0</v>
      </c>
      <c r="E83" s="372">
        <f>Input!$PC$50</f>
        <v>0</v>
      </c>
      <c r="F83" s="372">
        <f>Input!$PD$50</f>
        <v>0</v>
      </c>
      <c r="G83" s="372">
        <f>Input!$PE$50</f>
        <v>0</v>
      </c>
      <c r="H83" s="372">
        <f>Input!$PF$50</f>
        <v>0</v>
      </c>
      <c r="I83" s="372">
        <f>Input!$PG$50</f>
        <v>0</v>
      </c>
      <c r="J83" s="372">
        <f>Input!$PH$50</f>
        <v>223803726</v>
      </c>
      <c r="K83" s="372">
        <f>Input!$PI$50</f>
        <v>0</v>
      </c>
      <c r="L83" s="372">
        <f>Input!$PJ$50</f>
        <v>0</v>
      </c>
      <c r="M83" s="373">
        <f>D83+E83+F83+G83+H83+I83+J83+K83+L83</f>
        <v>223803726</v>
      </c>
      <c r="N83" s="160"/>
      <c r="O83" s="487" t="s">
        <v>583</v>
      </c>
      <c r="P83" s="488"/>
      <c r="Q83" s="489"/>
      <c r="R83" s="490">
        <f>IF($M$92&lt;0,"N/A",$M$92)</f>
        <v>1765575303</v>
      </c>
      <c r="S83" s="330"/>
      <c r="T83" s="330"/>
      <c r="U83" s="327"/>
      <c r="V83" s="276"/>
      <c r="W83" s="331"/>
      <c r="X83" s="331"/>
      <c r="Y83" s="331"/>
      <c r="Z83" s="331"/>
      <c r="AA83" s="276"/>
      <c r="AB83" s="276"/>
    </row>
    <row r="84" spans="1:28">
      <c r="A84" s="184">
        <v>60</v>
      </c>
      <c r="B84" s="160" t="s">
        <v>46</v>
      </c>
      <c r="C84" s="160"/>
      <c r="D84" s="372">
        <f>Input!$PK$50</f>
        <v>-30627776</v>
      </c>
      <c r="E84" s="372">
        <f>Input!$PL$50</f>
        <v>-39467924</v>
      </c>
      <c r="F84" s="372">
        <f>Input!$PM$50</f>
        <v>-28087846</v>
      </c>
      <c r="G84" s="372">
        <f>Input!$PN$50</f>
        <v>-7516922</v>
      </c>
      <c r="H84" s="372">
        <f>Input!$PO$50</f>
        <v>0</v>
      </c>
      <c r="I84" s="372">
        <f>Input!$PP$50</f>
        <v>0</v>
      </c>
      <c r="J84" s="372">
        <f>Input!$PQ$50</f>
        <v>-190695</v>
      </c>
      <c r="K84" s="372">
        <f>Input!$PR$50</f>
        <v>0</v>
      </c>
      <c r="L84" s="372">
        <f>Input!$PS$50</f>
        <v>0</v>
      </c>
      <c r="M84" s="373">
        <f>D84+E84+F84+G84+H84+I84+J84+K84+L84</f>
        <v>-105891163</v>
      </c>
      <c r="N84" s="160"/>
      <c r="O84" s="491" t="s">
        <v>584</v>
      </c>
      <c r="P84" s="334"/>
      <c r="Q84" s="334"/>
      <c r="R84" s="521">
        <f>Input!$UB$50</f>
        <v>400044626</v>
      </c>
      <c r="S84" s="330"/>
      <c r="T84" s="330"/>
      <c r="U84" s="327"/>
      <c r="V84" s="276"/>
      <c r="W84" s="331"/>
      <c r="X84" s="331"/>
      <c r="Y84" s="331"/>
      <c r="Z84" s="331"/>
      <c r="AA84" s="276"/>
      <c r="AB84" s="276"/>
    </row>
    <row r="85" spans="1:28">
      <c r="A85" s="184">
        <v>61</v>
      </c>
      <c r="B85" s="162" t="s">
        <v>3</v>
      </c>
      <c r="C85" s="162"/>
      <c r="D85" s="374">
        <f t="shared" ref="D85:L85" si="22">SUM(D81:D84)</f>
        <v>-35740307</v>
      </c>
      <c r="E85" s="374">
        <f t="shared" si="22"/>
        <v>-70767964</v>
      </c>
      <c r="F85" s="374">
        <f t="shared" si="22"/>
        <v>-18444542</v>
      </c>
      <c r="G85" s="374">
        <f t="shared" si="22"/>
        <v>-79645289</v>
      </c>
      <c r="H85" s="374">
        <f t="shared" si="22"/>
        <v>-1538052</v>
      </c>
      <c r="I85" s="374">
        <f t="shared" si="22"/>
        <v>21139955</v>
      </c>
      <c r="J85" s="374">
        <f t="shared" si="22"/>
        <v>-48921748</v>
      </c>
      <c r="K85" s="374">
        <f t="shared" si="22"/>
        <v>0</v>
      </c>
      <c r="L85" s="374">
        <f t="shared" si="22"/>
        <v>-624251</v>
      </c>
      <c r="M85" s="374">
        <f>D85+E85+F85+G85+H85+I85+J85+K85+L85</f>
        <v>-234542198</v>
      </c>
      <c r="N85" s="160"/>
      <c r="O85" s="491" t="s">
        <v>585</v>
      </c>
      <c r="P85" s="276"/>
      <c r="Q85" s="334"/>
      <c r="R85" s="492">
        <f>IF($M$92&lt;0,"",$R$83-$R$84)</f>
        <v>1365530677</v>
      </c>
      <c r="S85" s="330"/>
      <c r="T85" s="330"/>
      <c r="U85" s="327"/>
      <c r="V85" s="276"/>
      <c r="W85" s="331"/>
      <c r="X85" s="331"/>
      <c r="Y85" s="331"/>
      <c r="Z85" s="331"/>
      <c r="AA85" s="276"/>
      <c r="AB85" s="276"/>
    </row>
    <row r="86" spans="1:28">
      <c r="A86" s="184">
        <v>62</v>
      </c>
      <c r="B86" s="160"/>
      <c r="C86" s="160"/>
      <c r="D86" s="373"/>
      <c r="E86" s="373"/>
      <c r="F86" s="373"/>
      <c r="G86" s="373"/>
      <c r="H86" s="373"/>
      <c r="I86" s="373"/>
      <c r="J86" s="373"/>
      <c r="K86" s="373"/>
      <c r="L86" s="373"/>
      <c r="M86" s="373"/>
      <c r="N86" s="160"/>
      <c r="O86" s="493"/>
      <c r="P86" s="276"/>
      <c r="Q86" s="334"/>
      <c r="R86" s="494"/>
      <c r="S86" s="330"/>
      <c r="T86" s="330"/>
      <c r="U86" s="327"/>
      <c r="V86" s="276"/>
      <c r="W86" s="331"/>
      <c r="X86" s="331"/>
      <c r="Y86" s="331"/>
      <c r="Z86" s="331"/>
      <c r="AA86" s="276"/>
      <c r="AB86" s="276"/>
    </row>
    <row r="87" spans="1:28">
      <c r="A87" s="184">
        <v>63</v>
      </c>
      <c r="B87" s="172" t="s">
        <v>24</v>
      </c>
      <c r="C87" s="172"/>
      <c r="D87" s="373"/>
      <c r="E87" s="373"/>
      <c r="F87" s="373"/>
      <c r="G87" s="373"/>
      <c r="H87" s="373"/>
      <c r="I87" s="373"/>
      <c r="J87" s="373"/>
      <c r="K87" s="373"/>
      <c r="L87" s="373"/>
      <c r="M87" s="373"/>
      <c r="N87" s="160"/>
      <c r="O87" s="495" t="s">
        <v>586</v>
      </c>
      <c r="P87" s="276"/>
      <c r="Q87" s="334"/>
      <c r="R87" s="521">
        <f>Input!$UC$50</f>
        <v>1284524346</v>
      </c>
      <c r="S87" s="330"/>
      <c r="T87" s="330"/>
      <c r="U87" s="334"/>
      <c r="V87" s="276"/>
      <c r="W87" s="328"/>
      <c r="X87" s="328"/>
      <c r="Y87" s="331"/>
      <c r="Z87" s="331"/>
      <c r="AA87" s="276"/>
      <c r="AB87" s="276"/>
    </row>
    <row r="88" spans="1:28">
      <c r="A88" s="184">
        <v>64</v>
      </c>
      <c r="B88" s="160" t="s">
        <v>47</v>
      </c>
      <c r="C88" s="160"/>
      <c r="D88" s="372">
        <f>Input!$PT$50</f>
        <v>8841424</v>
      </c>
      <c r="E88" s="372">
        <f>Input!$PU$50</f>
        <v>33878254</v>
      </c>
      <c r="F88" s="372">
        <f>Input!$PV$50</f>
        <v>-5452872</v>
      </c>
      <c r="G88" s="372">
        <f>Input!$PW$50</f>
        <v>15482504</v>
      </c>
      <c r="H88" s="372">
        <f>Input!$PX$50</f>
        <v>602215</v>
      </c>
      <c r="I88" s="372">
        <f>Input!$PY$50</f>
        <v>1221572845</v>
      </c>
      <c r="J88" s="372">
        <f>Input!$PZ$50</f>
        <v>9599976</v>
      </c>
      <c r="K88" s="372">
        <f>Input!$QA$50</f>
        <v>0</v>
      </c>
      <c r="L88" s="372">
        <f>Input!$QB$50</f>
        <v>0</v>
      </c>
      <c r="M88" s="373">
        <f>D88+E88+F88+G88+H88+I88+J88+K88+L88</f>
        <v>1284524346</v>
      </c>
      <c r="N88" s="160"/>
      <c r="O88" s="496" t="s">
        <v>587</v>
      </c>
      <c r="P88" s="276"/>
      <c r="Q88" s="276"/>
      <c r="R88" s="497"/>
      <c r="S88" s="330"/>
      <c r="T88" s="330"/>
      <c r="W88" s="276"/>
      <c r="X88" s="276"/>
      <c r="Y88" s="331"/>
      <c r="Z88" s="331"/>
      <c r="AA88" s="276"/>
      <c r="AB88" s="276"/>
    </row>
    <row r="89" spans="1:28">
      <c r="A89" s="184">
        <v>65</v>
      </c>
      <c r="B89" s="160" t="s">
        <v>48</v>
      </c>
      <c r="C89" s="160"/>
      <c r="D89" s="372">
        <f>Input!$QC$50</f>
        <v>0</v>
      </c>
      <c r="E89" s="372">
        <f>Input!$QD$50</f>
        <v>0</v>
      </c>
      <c r="F89" s="372">
        <f>Input!$QE$50</f>
        <v>0</v>
      </c>
      <c r="G89" s="372">
        <f>Input!$QF$50</f>
        <v>0</v>
      </c>
      <c r="H89" s="372">
        <f>Input!$QG$50</f>
        <v>0</v>
      </c>
      <c r="I89" s="372">
        <f>Input!$QH$50</f>
        <v>81006331</v>
      </c>
      <c r="J89" s="372">
        <f>Input!$QI$50</f>
        <v>0</v>
      </c>
      <c r="K89" s="372">
        <f>Input!$QJ$50</f>
        <v>0</v>
      </c>
      <c r="L89" s="372">
        <f>Input!$QK$50</f>
        <v>0</v>
      </c>
      <c r="M89" s="373">
        <f>D89+E89+F89+G89+H89+I89+J89+K89+L89</f>
        <v>81006331</v>
      </c>
      <c r="N89" s="160"/>
      <c r="O89" s="498" t="s">
        <v>588</v>
      </c>
      <c r="P89" s="276"/>
      <c r="Q89" s="276"/>
      <c r="R89" s="492">
        <f>IFERROR($R$85-$R$87,"")</f>
        <v>81006331</v>
      </c>
      <c r="Y89" s="331"/>
      <c r="Z89" s="401"/>
      <c r="AA89" s="268"/>
      <c r="AB89" s="268"/>
    </row>
    <row r="90" spans="1:28">
      <c r="A90" s="184">
        <v>66</v>
      </c>
      <c r="B90" s="162" t="s">
        <v>3</v>
      </c>
      <c r="C90" s="162"/>
      <c r="D90" s="374">
        <f t="shared" ref="D90:L90" si="23">SUM(D88:D89)</f>
        <v>8841424</v>
      </c>
      <c r="E90" s="374">
        <f t="shared" si="23"/>
        <v>33878254</v>
      </c>
      <c r="F90" s="374">
        <f t="shared" si="23"/>
        <v>-5452872</v>
      </c>
      <c r="G90" s="374">
        <f t="shared" si="23"/>
        <v>15482504</v>
      </c>
      <c r="H90" s="374">
        <f t="shared" si="23"/>
        <v>602215</v>
      </c>
      <c r="I90" s="374">
        <f t="shared" si="23"/>
        <v>1302579176</v>
      </c>
      <c r="J90" s="374">
        <f t="shared" si="23"/>
        <v>9599976</v>
      </c>
      <c r="K90" s="374">
        <f t="shared" si="23"/>
        <v>0</v>
      </c>
      <c r="L90" s="374">
        <f t="shared" si="23"/>
        <v>0</v>
      </c>
      <c r="M90" s="374">
        <f>D90+E90+F90+G90+H90+I90+J90+K90+L90</f>
        <v>1365530677</v>
      </c>
      <c r="N90" s="160"/>
      <c r="O90" s="493"/>
      <c r="P90" s="276"/>
      <c r="Q90" s="276"/>
      <c r="R90" s="497"/>
      <c r="Y90" s="163"/>
      <c r="Z90" s="447"/>
      <c r="AA90" s="439"/>
      <c r="AB90" s="448"/>
    </row>
    <row r="91" spans="1:28" ht="13.5" thickBot="1">
      <c r="A91" s="184">
        <v>67</v>
      </c>
      <c r="B91" s="160"/>
      <c r="C91" s="160"/>
      <c r="D91" s="373"/>
      <c r="E91" s="373"/>
      <c r="F91" s="373"/>
      <c r="G91" s="373"/>
      <c r="H91" s="373"/>
      <c r="I91" s="373"/>
      <c r="J91" s="373"/>
      <c r="K91" s="373"/>
      <c r="L91" s="373"/>
      <c r="M91" s="373"/>
      <c r="N91" s="160"/>
      <c r="O91" s="499" t="s">
        <v>589</v>
      </c>
      <c r="P91" s="500"/>
      <c r="Q91" s="500"/>
      <c r="R91" s="501">
        <f>IFERROR((R89+R87)-R85,"")</f>
        <v>0</v>
      </c>
      <c r="Y91" s="268"/>
      <c r="Z91" s="447"/>
      <c r="AA91" s="439"/>
      <c r="AB91" s="449"/>
    </row>
    <row r="92" spans="1:28" ht="13.5" thickTop="1">
      <c r="A92" s="184">
        <v>68</v>
      </c>
      <c r="B92" s="162" t="s">
        <v>574</v>
      </c>
      <c r="C92" s="162"/>
      <c r="D92" s="374">
        <f t="shared" ref="D92:L92" si="24">D63-D78+D85+D90</f>
        <v>26342294</v>
      </c>
      <c r="E92" s="374">
        <f t="shared" si="24"/>
        <v>236543498</v>
      </c>
      <c r="F92" s="374">
        <f t="shared" si="24"/>
        <v>-9505593</v>
      </c>
      <c r="G92" s="374">
        <f t="shared" si="24"/>
        <v>228494407</v>
      </c>
      <c r="H92" s="374">
        <f t="shared" si="24"/>
        <v>5491523</v>
      </c>
      <c r="I92" s="374">
        <f t="shared" si="24"/>
        <v>1324092230</v>
      </c>
      <c r="J92" s="374">
        <f t="shared" si="24"/>
        <v>-38930823</v>
      </c>
      <c r="K92" s="374">
        <f t="shared" si="24"/>
        <v>0</v>
      </c>
      <c r="L92" s="374">
        <f t="shared" si="24"/>
        <v>-6952233</v>
      </c>
      <c r="M92" s="374">
        <f>D92+E92+F92+G92+H92+I92+J92+K92+L92</f>
        <v>1765575303</v>
      </c>
      <c r="N92" s="160"/>
      <c r="Y92" s="268"/>
      <c r="Z92" s="447"/>
      <c r="AA92" s="439"/>
      <c r="AB92" s="449"/>
    </row>
    <row r="93" spans="1:28">
      <c r="A93" s="184">
        <v>69</v>
      </c>
      <c r="B93" s="163"/>
      <c r="C93" s="163"/>
      <c r="D93" s="329"/>
      <c r="E93" s="329"/>
      <c r="F93" s="329"/>
      <c r="G93" s="329"/>
      <c r="H93" s="329"/>
      <c r="I93" s="329"/>
      <c r="J93" s="329"/>
      <c r="K93" s="329"/>
      <c r="L93" s="329"/>
      <c r="M93" s="329"/>
      <c r="N93" s="160"/>
      <c r="Y93" s="268"/>
      <c r="Z93" s="447"/>
      <c r="AA93" s="439"/>
      <c r="AB93" s="449"/>
    </row>
    <row r="94" spans="1:28">
      <c r="A94" s="184">
        <v>70</v>
      </c>
      <c r="B94" s="161" t="s">
        <v>65</v>
      </c>
      <c r="C94" s="161"/>
      <c r="D94" s="372">
        <f>Input!$QL$50</f>
        <v>0</v>
      </c>
      <c r="E94" s="372">
        <f>Input!$QM$50</f>
        <v>0</v>
      </c>
      <c r="F94" s="372">
        <f>Input!$QN$50</f>
        <v>0</v>
      </c>
      <c r="G94" s="372">
        <f>Input!$QO$50</f>
        <v>0</v>
      </c>
      <c r="H94" s="372">
        <f>Input!$QP$50</f>
        <v>0</v>
      </c>
      <c r="I94" s="372">
        <f>Input!$QQ$50</f>
        <v>0</v>
      </c>
      <c r="J94" s="372">
        <f>Input!$QR$50</f>
        <v>0</v>
      </c>
      <c r="K94" s="372">
        <f>Input!$QS$50</f>
        <v>0</v>
      </c>
      <c r="L94" s="372">
        <f>Input!$QT$50</f>
        <v>0</v>
      </c>
      <c r="M94" s="329">
        <f>D94+E94+F94+G94+H94+I94+J94+K94+L94</f>
        <v>0</v>
      </c>
      <c r="N94" s="160"/>
      <c r="Y94" s="268"/>
      <c r="Z94" s="447"/>
      <c r="AA94" s="439"/>
      <c r="AB94" s="449"/>
    </row>
    <row r="95" spans="1:28">
      <c r="A95" s="184">
        <v>72</v>
      </c>
      <c r="B95" s="160" t="s">
        <v>66</v>
      </c>
      <c r="C95" s="160"/>
      <c r="D95" s="372">
        <f>Input!$QU$50</f>
        <v>0</v>
      </c>
      <c r="E95" s="372">
        <f>Input!$QV$50</f>
        <v>0</v>
      </c>
      <c r="F95" s="372">
        <f>Input!$QW$50</f>
        <v>0</v>
      </c>
      <c r="G95" s="372">
        <f>Input!$QX$50</f>
        <v>0</v>
      </c>
      <c r="H95" s="372">
        <f>Input!$QY$50</f>
        <v>0</v>
      </c>
      <c r="I95" s="372">
        <f>Input!$QZ$50</f>
        <v>0</v>
      </c>
      <c r="J95" s="372">
        <f>Input!$RA$50</f>
        <v>0</v>
      </c>
      <c r="K95" s="372">
        <f>Input!$RB$50</f>
        <v>0</v>
      </c>
      <c r="L95" s="372">
        <f>Input!$RC$50</f>
        <v>-359826600</v>
      </c>
      <c r="M95" s="373">
        <f>D95+E95+F95+G95+H95+I95+J95+K95+L95</f>
        <v>-359826600</v>
      </c>
      <c r="N95" s="160"/>
      <c r="O95" s="270"/>
      <c r="P95" s="335"/>
      <c r="Y95" s="268"/>
      <c r="Z95" s="447"/>
      <c r="AA95" s="439"/>
      <c r="AB95" s="449"/>
    </row>
    <row r="96" spans="1:28" s="264" customFormat="1">
      <c r="A96" s="263"/>
      <c r="B96" s="171" t="s">
        <v>216</v>
      </c>
      <c r="C96" s="171"/>
      <c r="D96" s="372">
        <f>Input!$RD$50</f>
        <v>0</v>
      </c>
      <c r="E96" s="372">
        <f>Input!$RE$50</f>
        <v>0</v>
      </c>
      <c r="F96" s="372">
        <f>Input!$RF$50</f>
        <v>0</v>
      </c>
      <c r="G96" s="372">
        <f>Input!$RG$50</f>
        <v>0</v>
      </c>
      <c r="H96" s="372">
        <f>Input!$RH$50</f>
        <v>0</v>
      </c>
      <c r="I96" s="372">
        <f>Input!$RI$50</f>
        <v>0</v>
      </c>
      <c r="J96" s="372">
        <f>Input!$RJ$50</f>
        <v>0</v>
      </c>
      <c r="K96" s="372">
        <f>Input!$RK$50</f>
        <v>0</v>
      </c>
      <c r="L96" s="372">
        <f>Input!$RL$50</f>
        <v>0</v>
      </c>
      <c r="M96" s="373">
        <f t="shared" ref="M96:M98" si="25">D96+E96+F96+G96+H96+I96+J96+K96+L96</f>
        <v>0</v>
      </c>
      <c r="N96" s="160"/>
      <c r="O96" s="1726" t="s">
        <v>1355</v>
      </c>
      <c r="P96" s="1727"/>
      <c r="Q96" s="1727"/>
      <c r="R96" s="1727"/>
      <c r="S96" s="1727"/>
      <c r="T96" s="1727"/>
      <c r="U96" s="1728"/>
      <c r="Y96" s="268"/>
      <c r="Z96" s="447"/>
      <c r="AA96" s="439"/>
      <c r="AB96" s="449"/>
    </row>
    <row r="97" spans="1:28" s="264" customFormat="1">
      <c r="A97" s="263"/>
      <c r="B97" s="171" t="s">
        <v>105</v>
      </c>
      <c r="C97" s="171"/>
      <c r="D97" s="372">
        <f>Input!$RM$50</f>
        <v>0</v>
      </c>
      <c r="E97" s="372">
        <f>Input!$RN$50</f>
        <v>0</v>
      </c>
      <c r="F97" s="372">
        <f>Input!$RO$50</f>
        <v>0</v>
      </c>
      <c r="G97" s="372">
        <f>Input!$RP$50</f>
        <v>0</v>
      </c>
      <c r="H97" s="372">
        <f>Input!$RQ$50</f>
        <v>0</v>
      </c>
      <c r="I97" s="372">
        <f>Input!$RR$50</f>
        <v>0</v>
      </c>
      <c r="J97" s="372">
        <f>Input!$RS$50</f>
        <v>0</v>
      </c>
      <c r="K97" s="372">
        <f>Input!$RT$50</f>
        <v>0</v>
      </c>
      <c r="L97" s="372">
        <f>Input!$RU$50</f>
        <v>0</v>
      </c>
      <c r="M97" s="373">
        <f t="shared" si="25"/>
        <v>0</v>
      </c>
      <c r="N97" s="160"/>
      <c r="O97" s="502" t="s">
        <v>590</v>
      </c>
      <c r="P97" s="423"/>
      <c r="Q97" s="502" t="s">
        <v>591</v>
      </c>
      <c r="R97" s="423"/>
      <c r="S97" s="503"/>
      <c r="T97" s="502" t="s">
        <v>592</v>
      </c>
      <c r="U97" s="423"/>
      <c r="Y97" s="268"/>
      <c r="Z97" s="447"/>
      <c r="AA97" s="439"/>
      <c r="AB97" s="449"/>
    </row>
    <row r="98" spans="1:28" s="264" customFormat="1">
      <c r="A98" s="263"/>
      <c r="B98" s="171" t="s">
        <v>128</v>
      </c>
      <c r="C98" s="171"/>
      <c r="D98" s="372">
        <f>Input!$RV$50</f>
        <v>0</v>
      </c>
      <c r="E98" s="372">
        <f>Input!$RW$50</f>
        <v>0</v>
      </c>
      <c r="F98" s="372">
        <f>Input!$RX$50</f>
        <v>0</v>
      </c>
      <c r="G98" s="372">
        <f>Input!$RY$50</f>
        <v>0</v>
      </c>
      <c r="H98" s="372">
        <f>Input!$RZ$50</f>
        <v>0</v>
      </c>
      <c r="I98" s="372">
        <f>Input!$SA$50</f>
        <v>0</v>
      </c>
      <c r="J98" s="372">
        <f>Input!$SB$50</f>
        <v>0</v>
      </c>
      <c r="K98" s="372">
        <f>Input!$SC$50</f>
        <v>0</v>
      </c>
      <c r="L98" s="372">
        <f>Input!$SD$50</f>
        <v>13671247</v>
      </c>
      <c r="M98" s="373">
        <f t="shared" si="25"/>
        <v>13671247</v>
      </c>
      <c r="N98" s="160"/>
      <c r="O98" s="504"/>
      <c r="P98" s="505"/>
      <c r="Q98" s="504"/>
      <c r="R98" s="426"/>
      <c r="S98" s="276"/>
      <c r="T98" s="506"/>
      <c r="U98" s="426"/>
      <c r="Y98" s="268"/>
      <c r="Z98" s="447"/>
      <c r="AA98" s="439"/>
      <c r="AB98" s="449"/>
    </row>
    <row r="99" spans="1:28" s="264" customFormat="1">
      <c r="A99" s="263"/>
      <c r="B99" s="160" t="s">
        <v>67</v>
      </c>
      <c r="C99" s="160"/>
      <c r="D99" s="372">
        <f>Input!$SE$50</f>
        <v>0</v>
      </c>
      <c r="E99" s="372">
        <f>Input!$SF$50</f>
        <v>0</v>
      </c>
      <c r="F99" s="372">
        <f>Input!$SG$50</f>
        <v>0</v>
      </c>
      <c r="G99" s="372">
        <f>Input!$SH$50</f>
        <v>0</v>
      </c>
      <c r="H99" s="372">
        <f>Input!$SI$50</f>
        <v>0</v>
      </c>
      <c r="I99" s="372">
        <f>Input!$SJ$50</f>
        <v>0</v>
      </c>
      <c r="J99" s="372">
        <f>Input!$SK$50</f>
        <v>0</v>
      </c>
      <c r="K99" s="372">
        <f>Input!$SL$50</f>
        <v>0</v>
      </c>
      <c r="L99" s="372">
        <f>Input!$SM$50</f>
        <v>454174776</v>
      </c>
      <c r="M99" s="373">
        <f>D99+E99+F99+G99+H99+I99+J99+K99+L99</f>
        <v>454174776</v>
      </c>
      <c r="N99" s="160"/>
      <c r="O99" s="1729" t="str">
        <f>Input!UF$50</f>
        <v>Marcy Lowther</v>
      </c>
      <c r="P99" s="1730"/>
      <c r="Q99" s="1729" t="str">
        <f>Input!$UG$50</f>
        <v>512-471-2808</v>
      </c>
      <c r="R99" s="1730"/>
      <c r="S99" s="276"/>
      <c r="T99" s="1731" t="str">
        <f>HYPERLINK("Mailto:"&amp;Input!$UH$50,Input!$UH$50)</f>
        <v>mlowther@austin.utexas.edu</v>
      </c>
      <c r="U99" s="1730"/>
      <c r="Y99" s="268"/>
      <c r="Z99" s="447"/>
      <c r="AA99" s="442"/>
      <c r="AB99" s="449"/>
    </row>
    <row r="100" spans="1:28" ht="13.5" thickBot="1">
      <c r="B100" s="179" t="s">
        <v>58</v>
      </c>
      <c r="C100" s="179"/>
      <c r="D100" s="380">
        <f t="shared" ref="D100:K100" si="26">SUM(D92:D99)</f>
        <v>26342294</v>
      </c>
      <c r="E100" s="380">
        <f t="shared" si="26"/>
        <v>236543498</v>
      </c>
      <c r="F100" s="380">
        <f t="shared" si="26"/>
        <v>-9505593</v>
      </c>
      <c r="G100" s="380">
        <f t="shared" si="26"/>
        <v>228494407</v>
      </c>
      <c r="H100" s="380">
        <f t="shared" si="26"/>
        <v>5491523</v>
      </c>
      <c r="I100" s="380">
        <f t="shared" si="26"/>
        <v>1324092230</v>
      </c>
      <c r="J100" s="380">
        <f t="shared" si="26"/>
        <v>-38930823</v>
      </c>
      <c r="K100" s="380">
        <f t="shared" si="26"/>
        <v>0</v>
      </c>
      <c r="L100" s="380">
        <f>SUM(L92:L99)</f>
        <v>101067190</v>
      </c>
      <c r="M100" s="380">
        <f>D100+E100+F100+G100+H100+I100+J100+K100+L100</f>
        <v>1873594726</v>
      </c>
      <c r="N100" s="160"/>
      <c r="O100" s="506"/>
      <c r="P100" s="507"/>
      <c r="Q100" s="276"/>
      <c r="R100" s="276"/>
      <c r="S100" s="276"/>
      <c r="T100" s="507"/>
      <c r="U100" s="508"/>
      <c r="Y100" s="268"/>
      <c r="Z100" s="447"/>
      <c r="AA100" s="442"/>
      <c r="AB100" s="449"/>
    </row>
    <row r="101" spans="1:28" ht="13.5" thickTop="1">
      <c r="C101" s="160"/>
      <c r="D101" s="165"/>
      <c r="E101" s="165"/>
      <c r="F101" s="165"/>
      <c r="G101" s="165"/>
      <c r="H101" s="165"/>
      <c r="I101" s="165"/>
      <c r="J101" s="165"/>
      <c r="K101" s="165"/>
      <c r="L101" s="165"/>
      <c r="M101" s="180"/>
      <c r="N101" s="160"/>
      <c r="O101" s="1720" t="s">
        <v>593</v>
      </c>
      <c r="P101" s="1721"/>
      <c r="Q101" s="1721"/>
      <c r="R101" s="1721"/>
      <c r="S101" s="1721"/>
      <c r="T101" s="1721"/>
      <c r="U101" s="1722"/>
      <c r="Y101" s="268"/>
      <c r="Z101" s="451"/>
      <c r="AA101" s="442"/>
      <c r="AB101" s="449"/>
    </row>
    <row r="102" spans="1:28">
      <c r="B102" s="171" t="s">
        <v>1369</v>
      </c>
      <c r="C102" s="169"/>
      <c r="D102" s="165"/>
      <c r="E102" s="165"/>
      <c r="F102" s="165"/>
      <c r="G102" s="165"/>
      <c r="H102" s="165"/>
      <c r="I102" s="165"/>
      <c r="J102" s="165"/>
      <c r="K102" s="165"/>
      <c r="L102" s="165"/>
      <c r="M102" s="180"/>
      <c r="N102" s="160"/>
      <c r="O102" s="1720"/>
      <c r="P102" s="1721"/>
      <c r="Q102" s="1721"/>
      <c r="R102" s="1721"/>
      <c r="S102" s="1721"/>
      <c r="T102" s="1721"/>
      <c r="U102" s="1722"/>
      <c r="Y102" s="268"/>
      <c r="Z102" s="452"/>
      <c r="AA102" s="453"/>
      <c r="AB102" s="454"/>
    </row>
    <row r="103" spans="1:28">
      <c r="B103" s="169" t="s">
        <v>80</v>
      </c>
      <c r="C103" s="160"/>
      <c r="D103" s="165"/>
      <c r="E103" s="165"/>
      <c r="F103" s="165"/>
      <c r="G103" s="165"/>
      <c r="H103" s="165"/>
      <c r="I103" s="165"/>
      <c r="J103" s="165"/>
      <c r="K103" s="165"/>
      <c r="L103" s="165"/>
      <c r="M103" s="180"/>
      <c r="N103" s="160"/>
      <c r="O103" s="509"/>
      <c r="P103" s="510"/>
      <c r="Q103" s="511"/>
      <c r="R103" s="511"/>
      <c r="S103" s="511"/>
      <c r="T103" s="510"/>
      <c r="U103" s="428"/>
      <c r="V103" s="336"/>
      <c r="W103" s="336"/>
      <c r="X103" s="336"/>
      <c r="Y103" s="268"/>
      <c r="Z103" s="268"/>
      <c r="AA103" s="268"/>
      <c r="AB103" s="268"/>
    </row>
    <row r="104" spans="1:28">
      <c r="B104" s="261" t="s">
        <v>1297</v>
      </c>
      <c r="C104" s="160"/>
      <c r="D104" s="165"/>
      <c r="E104" s="165"/>
      <c r="F104" s="165"/>
      <c r="G104" s="165"/>
      <c r="H104" s="165"/>
      <c r="I104" s="165"/>
      <c r="J104" s="165"/>
      <c r="K104" s="165"/>
      <c r="L104" s="165"/>
      <c r="M104" s="180"/>
      <c r="N104" s="160"/>
      <c r="O104" s="337"/>
      <c r="P104" s="336"/>
      <c r="Q104" s="336"/>
      <c r="U104" s="336"/>
      <c r="V104" s="336"/>
      <c r="W104" s="336"/>
      <c r="X104" s="336"/>
      <c r="Y104" s="268"/>
    </row>
    <row r="105" spans="1:28">
      <c r="B105" s="160"/>
      <c r="C105" s="160"/>
      <c r="D105" s="165"/>
      <c r="E105" s="165"/>
      <c r="F105" s="165"/>
      <c r="G105" s="165"/>
      <c r="H105" s="165"/>
      <c r="I105" s="165"/>
      <c r="J105" s="165"/>
      <c r="K105" s="165"/>
      <c r="L105" s="165"/>
      <c r="M105" s="180"/>
      <c r="N105" s="160"/>
      <c r="O105" s="75"/>
      <c r="P105" s="336"/>
      <c r="Q105" s="336"/>
    </row>
    <row r="106" spans="1:28">
      <c r="B106" s="160"/>
      <c r="C106" s="160"/>
      <c r="D106" s="160"/>
      <c r="E106" s="160"/>
      <c r="F106" s="160"/>
      <c r="G106" s="160"/>
      <c r="H106" s="160"/>
      <c r="I106" s="160"/>
      <c r="J106" s="160"/>
      <c r="K106" s="160"/>
      <c r="L106" s="160"/>
      <c r="M106" s="181" t="s">
        <v>93</v>
      </c>
      <c r="N106" s="160"/>
      <c r="O106" s="338"/>
      <c r="R106" s="336"/>
      <c r="S106" s="336"/>
      <c r="Y106" s="336"/>
      <c r="Z106" s="336"/>
      <c r="AA106" s="336"/>
      <c r="AB106" s="336"/>
    </row>
    <row r="107" spans="1:28">
      <c r="B107" s="261" t="s">
        <v>1298</v>
      </c>
      <c r="C107" s="160"/>
      <c r="D107" s="160"/>
      <c r="E107" s="160"/>
      <c r="F107" s="160"/>
      <c r="G107" s="160"/>
      <c r="H107" s="160"/>
      <c r="I107" s="160"/>
      <c r="J107" s="160"/>
      <c r="K107" s="160"/>
      <c r="L107" s="160"/>
      <c r="M107" s="372">
        <f>Input!$SN$50</f>
        <v>1873594726</v>
      </c>
      <c r="N107" s="160"/>
      <c r="O107" s="338"/>
      <c r="R107" s="336"/>
      <c r="S107" s="336"/>
      <c r="T107" s="336"/>
      <c r="Y107" s="336"/>
      <c r="Z107" s="336"/>
      <c r="AA107" s="336"/>
      <c r="AB107" s="336"/>
    </row>
    <row r="108" spans="1:28">
      <c r="B108" s="160" t="s">
        <v>92</v>
      </c>
      <c r="C108" s="160"/>
      <c r="D108" s="182"/>
      <c r="E108" s="182"/>
      <c r="F108" s="182"/>
      <c r="G108" s="182"/>
      <c r="H108" s="182"/>
      <c r="I108" s="182"/>
      <c r="J108" s="182"/>
      <c r="K108" s="182"/>
      <c r="L108" s="183"/>
      <c r="M108" s="342">
        <f>M100-M107</f>
        <v>0</v>
      </c>
      <c r="N108" s="160"/>
      <c r="O108" s="339"/>
    </row>
    <row r="109" spans="1:28">
      <c r="B109" s="160"/>
      <c r="C109" s="160"/>
      <c r="D109" s="182"/>
      <c r="E109" s="182"/>
      <c r="F109" s="182"/>
      <c r="G109" s="182"/>
      <c r="H109" s="182"/>
      <c r="I109" s="182"/>
      <c r="J109" s="182"/>
      <c r="K109" s="182"/>
      <c r="L109" s="513" t="str">
        <f>IF($L$125&lt;&gt;((Input!$F$50)+(Input!$F$51)),"Out of Balance","Balanced")</f>
        <v>Balanced</v>
      </c>
      <c r="M109" s="517" t="str">
        <f>IF(M107&lt;&gt;M100,"Out of Balance","Balanced")</f>
        <v>Balanced</v>
      </c>
      <c r="N109" s="160"/>
      <c r="O109" s="339"/>
    </row>
    <row r="110" spans="1:28">
      <c r="B110" s="160"/>
      <c r="C110" s="160"/>
      <c r="D110" s="160"/>
      <c r="E110" s="160"/>
      <c r="F110" s="160"/>
      <c r="G110" s="160"/>
      <c r="H110" s="160"/>
      <c r="I110" s="160"/>
      <c r="J110" s="160"/>
      <c r="K110" s="160"/>
      <c r="L110" s="160"/>
      <c r="M110" s="160"/>
      <c r="N110" s="160"/>
      <c r="O110" s="75"/>
    </row>
    <row r="111" spans="1:28">
      <c r="B111" s="160"/>
      <c r="C111" s="160"/>
      <c r="D111" s="160"/>
      <c r="E111" s="160"/>
      <c r="F111" s="160"/>
      <c r="G111" s="160"/>
      <c r="H111" s="160"/>
      <c r="I111" s="160"/>
      <c r="J111" s="160"/>
      <c r="K111" s="160"/>
      <c r="L111" s="160"/>
      <c r="M111" s="160"/>
      <c r="N111" s="160"/>
      <c r="O111" s="75"/>
    </row>
    <row r="112" spans="1:28">
      <c r="B112" s="261"/>
      <c r="C112" s="261"/>
      <c r="D112" s="373">
        <f>SUM(D$10:D$14)+SUM(D$19:D$28)+SUM(D$32:D$41)+D$47+SUM(D$56:D$61)+SUM(D$66:D$77)+SUM(D$81:D$84)+SUM(D$88:D$89)+SUM(D$94:D$99)+D$50+D$53</f>
        <v>1654566288</v>
      </c>
      <c r="E112" s="373">
        <f t="shared" ref="E112:L112" si="27">SUM(E$10:E$14)+SUM(E$19:E$28)+SUM(E$32:E$41)+E$47+SUM(E$56:E$61)+SUM(E$66:E$77)+SUM(E$81:E$84)+SUM(E$88:E$89)+SUM(E$94:E$99)+E$50+E$53</f>
        <v>1960757193</v>
      </c>
      <c r="F112" s="373">
        <f t="shared" si="27"/>
        <v>423348645</v>
      </c>
      <c r="G112" s="373">
        <f t="shared" si="27"/>
        <v>1919749375</v>
      </c>
      <c r="H112" s="373">
        <f t="shared" si="27"/>
        <v>3733375</v>
      </c>
      <c r="I112" s="373">
        <f t="shared" si="27"/>
        <v>1324092230</v>
      </c>
      <c r="J112" s="373">
        <f t="shared" si="27"/>
        <v>65850201</v>
      </c>
      <c r="K112" s="373">
        <f t="shared" si="27"/>
        <v>0</v>
      </c>
      <c r="L112" s="373">
        <f t="shared" si="27"/>
        <v>102873410</v>
      </c>
      <c r="M112" s="373"/>
      <c r="N112" s="264"/>
      <c r="O112" s="373"/>
      <c r="P112" s="450">
        <f>M18-INT(M18)</f>
        <v>0</v>
      </c>
    </row>
    <row r="113" spans="2:16">
      <c r="B113" s="261"/>
      <c r="C113" s="261"/>
      <c r="D113" s="261"/>
      <c r="E113" s="261"/>
      <c r="F113" s="261"/>
      <c r="G113" s="261"/>
      <c r="H113" s="261"/>
      <c r="I113" s="261"/>
      <c r="J113" s="261"/>
      <c r="K113" s="261"/>
      <c r="L113" s="373">
        <f>SUM($D$112:$L$112)</f>
        <v>7454970717</v>
      </c>
      <c r="M113" s="261"/>
      <c r="N113" s="264"/>
      <c r="O113" s="373"/>
      <c r="P113" s="450">
        <f>M31-INT(M31)</f>
        <v>0</v>
      </c>
    </row>
    <row r="114" spans="2:16">
      <c r="B114" s="261"/>
      <c r="C114" s="261"/>
      <c r="D114" s="261"/>
      <c r="E114" s="261"/>
      <c r="F114" s="261"/>
      <c r="G114" s="261"/>
      <c r="H114" s="261"/>
      <c r="I114" s="261"/>
      <c r="J114" s="261" t="s">
        <v>1299</v>
      </c>
      <c r="K114" s="261"/>
      <c r="L114" s="373">
        <f>$M$107</f>
        <v>1873594726</v>
      </c>
      <c r="M114" s="261"/>
      <c r="N114" s="264"/>
      <c r="O114" s="373"/>
      <c r="P114" s="450">
        <f>M100-INT(M100)</f>
        <v>0</v>
      </c>
    </row>
    <row r="115" spans="2:16">
      <c r="B115" s="261"/>
      <c r="C115" s="261"/>
      <c r="D115" s="261"/>
      <c r="E115" s="261"/>
      <c r="F115" s="261"/>
      <c r="G115" s="261"/>
      <c r="H115" s="261"/>
      <c r="I115" s="261"/>
      <c r="J115" s="261" t="s">
        <v>1300</v>
      </c>
      <c r="K115" s="261"/>
      <c r="L115" s="512">
        <f>$Q$32</f>
        <v>718135521</v>
      </c>
      <c r="M115" s="261"/>
      <c r="N115" s="264"/>
      <c r="O115" s="373"/>
    </row>
    <row r="116" spans="2:16">
      <c r="B116" s="261"/>
      <c r="C116" s="261"/>
      <c r="D116" s="261"/>
      <c r="E116" s="261"/>
      <c r="F116" s="261"/>
      <c r="G116" s="261"/>
      <c r="H116" s="261"/>
      <c r="I116" s="261"/>
      <c r="J116" s="261" t="s">
        <v>1300</v>
      </c>
      <c r="K116" s="261"/>
      <c r="L116" s="512">
        <f>$R$34</f>
        <v>-192479493</v>
      </c>
      <c r="M116" s="261"/>
      <c r="N116" s="264"/>
      <c r="O116" s="373"/>
    </row>
    <row r="117" spans="2:16">
      <c r="B117" s="261"/>
      <c r="C117" s="261"/>
      <c r="D117" s="261"/>
      <c r="E117" s="261"/>
      <c r="F117" s="261"/>
      <c r="G117" s="261"/>
      <c r="H117" s="261"/>
      <c r="I117" s="261"/>
      <c r="J117" s="261" t="s">
        <v>29</v>
      </c>
      <c r="K117" s="261"/>
      <c r="L117" s="512">
        <f>SUM($P$66:$P$75)</f>
        <v>85832029</v>
      </c>
      <c r="M117" s="261"/>
      <c r="N117" s="264"/>
      <c r="O117" s="373"/>
    </row>
    <row r="118" spans="2:16">
      <c r="B118" s="261"/>
      <c r="C118" s="261"/>
      <c r="D118" s="261"/>
      <c r="E118" s="261"/>
      <c r="F118" s="261"/>
      <c r="G118" s="261"/>
      <c r="H118" s="261"/>
      <c r="I118" s="261"/>
      <c r="J118" s="261" t="s">
        <v>594</v>
      </c>
      <c r="K118" s="261"/>
      <c r="L118" s="373">
        <f>$Q$71</f>
        <v>-598</v>
      </c>
      <c r="M118" s="261"/>
      <c r="N118" s="264"/>
      <c r="O118" s="373"/>
    </row>
    <row r="119" spans="2:16">
      <c r="B119" s="261"/>
      <c r="C119" s="261"/>
      <c r="D119" s="261"/>
      <c r="E119" s="261"/>
      <c r="F119" s="261"/>
      <c r="G119" s="261"/>
      <c r="H119" s="261"/>
      <c r="I119" s="261"/>
      <c r="J119" s="261" t="s">
        <v>595</v>
      </c>
      <c r="K119" s="261"/>
      <c r="L119" s="512">
        <f>SUM($V$66:$V$74)</f>
        <v>3939267</v>
      </c>
      <c r="M119" s="261"/>
      <c r="N119" s="264"/>
      <c r="O119" s="373"/>
    </row>
    <row r="120" spans="2:16">
      <c r="B120" s="261"/>
      <c r="C120" s="261"/>
      <c r="D120" s="261"/>
      <c r="E120" s="261"/>
      <c r="F120" s="261"/>
      <c r="G120" s="261"/>
      <c r="H120" s="261"/>
      <c r="I120" s="261"/>
      <c r="J120" s="261" t="s">
        <v>596</v>
      </c>
      <c r="K120" s="261"/>
      <c r="L120" s="512">
        <f>SUM($W$66:$W$74)</f>
        <v>2758158</v>
      </c>
      <c r="M120" s="261"/>
      <c r="N120" s="264"/>
      <c r="O120" s="373"/>
    </row>
    <row r="121" spans="2:16">
      <c r="B121" s="261"/>
      <c r="C121" s="261"/>
      <c r="D121" s="261"/>
      <c r="E121" s="261"/>
      <c r="F121" s="261"/>
      <c r="G121" s="261"/>
      <c r="H121" s="261"/>
      <c r="I121" s="261"/>
      <c r="J121" s="261" t="s">
        <v>258</v>
      </c>
      <c r="K121" s="261"/>
      <c r="L121" s="512">
        <f>SUM($AA$66:$AA$75)</f>
        <v>2734380685</v>
      </c>
      <c r="M121" s="261"/>
      <c r="N121" s="264"/>
      <c r="O121" s="373"/>
    </row>
    <row r="122" spans="2:16">
      <c r="B122" s="261"/>
      <c r="C122" s="261"/>
      <c r="D122" s="261"/>
      <c r="E122" s="261"/>
      <c r="F122" s="261"/>
      <c r="G122" s="261"/>
      <c r="H122" s="261"/>
      <c r="I122" s="261"/>
      <c r="J122" s="261" t="s">
        <v>597</v>
      </c>
      <c r="K122" s="261"/>
      <c r="L122" s="512">
        <f>$R$84</f>
        <v>400044626</v>
      </c>
      <c r="M122" s="261"/>
      <c r="N122" s="264"/>
      <c r="O122" s="373"/>
    </row>
    <row r="123" spans="2:16">
      <c r="B123" s="261"/>
      <c r="C123" s="261"/>
      <c r="D123" s="261"/>
      <c r="E123" s="261"/>
      <c r="F123" s="261"/>
      <c r="G123" s="261"/>
      <c r="H123" s="261"/>
      <c r="I123" s="261"/>
      <c r="J123" s="261" t="s">
        <v>597</v>
      </c>
      <c r="K123" s="261"/>
      <c r="L123" s="512">
        <f>$R$87</f>
        <v>1284524346</v>
      </c>
      <c r="M123" s="261"/>
      <c r="N123" s="264"/>
      <c r="O123" s="373"/>
    </row>
    <row r="124" spans="2:16">
      <c r="B124" s="261"/>
      <c r="C124" s="261"/>
      <c r="D124" s="261"/>
      <c r="E124" s="261"/>
      <c r="F124" s="261"/>
      <c r="G124" s="261"/>
      <c r="H124" s="261"/>
      <c r="I124" s="261"/>
      <c r="J124" s="261" t="s">
        <v>1231</v>
      </c>
      <c r="K124" s="261"/>
      <c r="L124" s="1008">
        <f>Input!E50</f>
        <v>3658</v>
      </c>
      <c r="M124" s="261"/>
      <c r="N124" s="264"/>
      <c r="O124" s="373"/>
    </row>
    <row r="125" spans="2:16">
      <c r="B125" s="261"/>
      <c r="C125" s="261"/>
      <c r="D125" s="261"/>
      <c r="E125" s="261"/>
      <c r="F125" s="261"/>
      <c r="G125" s="261"/>
      <c r="H125" s="261"/>
      <c r="I125" s="261"/>
      <c r="J125" s="261"/>
      <c r="K125" s="261"/>
      <c r="L125" s="373">
        <f>SUM(L113:L124)</f>
        <v>14365703642</v>
      </c>
      <c r="M125" s="261"/>
      <c r="N125" s="264"/>
    </row>
    <row r="126" spans="2:16">
      <c r="B126" s="261"/>
      <c r="C126" s="261"/>
      <c r="D126" s="261"/>
      <c r="E126" s="261"/>
      <c r="F126" s="261"/>
      <c r="G126" s="261"/>
      <c r="H126" s="261"/>
      <c r="I126" s="261"/>
      <c r="J126" s="261"/>
      <c r="K126" s="261"/>
      <c r="L126" s="261"/>
      <c r="M126" s="261"/>
      <c r="N126" s="264"/>
    </row>
    <row r="127" spans="2:16">
      <c r="B127" s="261"/>
      <c r="C127" s="261"/>
      <c r="D127" s="261"/>
      <c r="E127" s="261"/>
      <c r="F127" s="261"/>
      <c r="G127" s="261"/>
      <c r="H127" s="261"/>
      <c r="I127" s="261"/>
      <c r="J127" s="160"/>
      <c r="K127" s="160"/>
      <c r="L127" s="160"/>
      <c r="M127" s="261"/>
      <c r="N127" s="264"/>
    </row>
    <row r="128" spans="2:16">
      <c r="B128" s="261"/>
      <c r="C128" s="261"/>
      <c r="D128" s="261"/>
      <c r="E128" s="261"/>
      <c r="F128" s="261"/>
      <c r="G128" s="261"/>
      <c r="H128" s="261"/>
      <c r="I128" s="261"/>
      <c r="J128" s="160"/>
      <c r="K128" s="160"/>
      <c r="L128" s="160"/>
      <c r="M128" s="261"/>
      <c r="N128" s="264"/>
    </row>
    <row r="129" spans="2:14">
      <c r="B129" s="261"/>
      <c r="C129" s="261"/>
      <c r="D129" s="373"/>
      <c r="E129" s="261"/>
      <c r="F129" s="261"/>
      <c r="G129" s="261"/>
      <c r="H129" s="261"/>
      <c r="I129" s="261"/>
      <c r="J129" s="160"/>
      <c r="K129" s="160"/>
      <c r="L129" s="160"/>
      <c r="M129" s="261"/>
      <c r="N129" s="264"/>
    </row>
  </sheetData>
  <mergeCells count="32">
    <mergeCell ref="V62:V65"/>
    <mergeCell ref="W62:W65"/>
    <mergeCell ref="G65:K65"/>
    <mergeCell ref="AA62:AA65"/>
    <mergeCell ref="Z61:AB61"/>
    <mergeCell ref="R62:R65"/>
    <mergeCell ref="O61:R61"/>
    <mergeCell ref="T61:X61"/>
    <mergeCell ref="X62:X65"/>
    <mergeCell ref="AB62:AB65"/>
    <mergeCell ref="Z62:Z65"/>
    <mergeCell ref="B2:F2"/>
    <mergeCell ref="B3:F3"/>
    <mergeCell ref="B4:F4"/>
    <mergeCell ref="B6:M6"/>
    <mergeCell ref="P4:Q4"/>
    <mergeCell ref="P10:P11"/>
    <mergeCell ref="O101:U102"/>
    <mergeCell ref="O82:R82"/>
    <mergeCell ref="O96:U96"/>
    <mergeCell ref="O99:P99"/>
    <mergeCell ref="Q99:R99"/>
    <mergeCell ref="T99:U99"/>
    <mergeCell ref="O19:R19"/>
    <mergeCell ref="T19:X19"/>
    <mergeCell ref="P78:Q78"/>
    <mergeCell ref="O62:O65"/>
    <mergeCell ref="P62:P65"/>
    <mergeCell ref="Q62:Q65"/>
    <mergeCell ref="V77:W77"/>
    <mergeCell ref="T62:T65"/>
    <mergeCell ref="U62:U65"/>
  </mergeCells>
  <conditionalFormatting sqref="U94:X95 O95:Q95">
    <cfRule type="cellIs" dxfId="138" priority="39" stopIfTrue="1" operator="notEqual">
      <formula>#REF!</formula>
    </cfRule>
  </conditionalFormatting>
  <conditionalFormatting sqref="P77">
    <cfRule type="expression" dxfId="137" priority="38">
      <formula>$P$76&lt;&gt;$M$76</formula>
    </cfRule>
  </conditionalFormatting>
  <conditionalFormatting sqref="AB79">
    <cfRule type="expression" dxfId="136" priority="37">
      <formula>$AB$78&lt;&gt;0</formula>
    </cfRule>
  </conditionalFormatting>
  <conditionalFormatting sqref="P78">
    <cfRule type="expression" dxfId="135" priority="36">
      <formula>P76-INT(P76)</formula>
    </cfRule>
  </conditionalFormatting>
  <conditionalFormatting sqref="V77">
    <cfRule type="expression" dxfId="134" priority="35">
      <formula>X75-INT(X75)</formula>
    </cfRule>
  </conditionalFormatting>
  <conditionalFormatting sqref="O12">
    <cfRule type="expression" dxfId="133" priority="34">
      <formula>$P$12&lt;&gt;$M$12</formula>
    </cfRule>
  </conditionalFormatting>
  <conditionalFormatting sqref="U94:U95 O95:Q95">
    <cfRule type="cellIs" dxfId="132" priority="33" stopIfTrue="1" operator="notEqual">
      <formula>#REF!</formula>
    </cfRule>
  </conditionalFormatting>
  <conditionalFormatting sqref="R91">
    <cfRule type="expression" priority="31" stopIfTrue="1">
      <formula>$M$92&lt;0</formula>
    </cfRule>
    <cfRule type="expression" dxfId="131" priority="32">
      <formula>$S$92&lt;&gt;0</formula>
    </cfRule>
  </conditionalFormatting>
  <conditionalFormatting sqref="R87 R84">
    <cfRule type="expression" dxfId="130" priority="29" stopIfTrue="1">
      <formula>$M$92&gt;=0</formula>
    </cfRule>
    <cfRule type="expression" priority="30">
      <formula>$M$92&lt;0</formula>
    </cfRule>
  </conditionalFormatting>
  <conditionalFormatting sqref="U94:U95 O95:Q95">
    <cfRule type="cellIs" dxfId="129" priority="28" stopIfTrue="1" operator="notEqual">
      <formula>#REF!</formula>
    </cfRule>
  </conditionalFormatting>
  <conditionalFormatting sqref="O13">
    <cfRule type="expression" dxfId="128" priority="27">
      <formula>$P$13&lt;&gt;$M$13</formula>
    </cfRule>
  </conditionalFormatting>
  <conditionalFormatting sqref="U94:U95 O95:Q95">
    <cfRule type="cellIs" dxfId="127" priority="26" stopIfTrue="1" operator="notEqual">
      <formula>#REF!</formula>
    </cfRule>
  </conditionalFormatting>
  <conditionalFormatting sqref="Q36">
    <cfRule type="expression" dxfId="126" priority="25">
      <formula>#REF!&lt;&gt;#REF!</formula>
    </cfRule>
  </conditionalFormatting>
  <conditionalFormatting sqref="R35">
    <cfRule type="expression" dxfId="125" priority="24">
      <formula>#REF!&lt;&gt;0</formula>
    </cfRule>
  </conditionalFormatting>
  <conditionalFormatting sqref="Q35">
    <cfRule type="expression" dxfId="124" priority="23">
      <formula>#REF!&lt;&gt;0</formula>
    </cfRule>
  </conditionalFormatting>
  <conditionalFormatting sqref="R36">
    <cfRule type="expression" dxfId="123" priority="22">
      <formula>#REF!&lt;&gt;#REF!</formula>
    </cfRule>
  </conditionalFormatting>
  <conditionalFormatting sqref="D100:M105 T101:T102 R97:S102 U94:X100 T97:T99 Y97:Y102 O95:O99 P95:Q100">
    <cfRule type="cellIs" dxfId="122" priority="21" stopIfTrue="1" operator="notEqual">
      <formula>#REF!</formula>
    </cfRule>
  </conditionalFormatting>
  <conditionalFormatting sqref="P77">
    <cfRule type="expression" dxfId="121" priority="20">
      <formula>$P$76&lt;&gt;$M$76</formula>
    </cfRule>
  </conditionalFormatting>
  <conditionalFormatting sqref="AB79">
    <cfRule type="expression" dxfId="120" priority="19">
      <formula>$AB$78&lt;&gt;0</formula>
    </cfRule>
  </conditionalFormatting>
  <conditionalFormatting sqref="P78">
    <cfRule type="expression" dxfId="119" priority="18">
      <formula>P76-INT(P76)</formula>
    </cfRule>
  </conditionalFormatting>
  <conditionalFormatting sqref="V77">
    <cfRule type="expression" dxfId="118" priority="17">
      <formula>X75-INT(X75)</formula>
    </cfRule>
  </conditionalFormatting>
  <conditionalFormatting sqref="O12">
    <cfRule type="expression" dxfId="117" priority="16">
      <formula>$P$12&lt;&gt;$M$12</formula>
    </cfRule>
  </conditionalFormatting>
  <conditionalFormatting sqref="T101:T102 R97:S102 U94:U100 T97:T99 O95:O99 P95:Q100">
    <cfRule type="cellIs" dxfId="116" priority="15" stopIfTrue="1" operator="notEqual">
      <formula>#REF!</formula>
    </cfRule>
  </conditionalFormatting>
  <conditionalFormatting sqref="R91">
    <cfRule type="expression" priority="13" stopIfTrue="1">
      <formula>$M$92&lt;0</formula>
    </cfRule>
    <cfRule type="expression" dxfId="115" priority="14">
      <formula>$S$92&lt;&gt;0</formula>
    </cfRule>
  </conditionalFormatting>
  <conditionalFormatting sqref="R87">
    <cfRule type="expression" dxfId="114" priority="11" stopIfTrue="1">
      <formula>$M$92&gt;=0</formula>
    </cfRule>
    <cfRule type="expression" priority="12">
      <formula>$M$92&lt;0</formula>
    </cfRule>
  </conditionalFormatting>
  <conditionalFormatting sqref="U94:U95 R96:U99 O95:Q99">
    <cfRule type="cellIs" dxfId="113" priority="10" stopIfTrue="1" operator="notEqual">
      <formula>#REF!</formula>
    </cfRule>
  </conditionalFormatting>
  <conditionalFormatting sqref="M108">
    <cfRule type="expression" dxfId="112" priority="9">
      <formula>$M$108&lt;&gt;0</formula>
    </cfRule>
  </conditionalFormatting>
  <conditionalFormatting sqref="M109">
    <cfRule type="expression" dxfId="111" priority="8">
      <formula>$M$100&lt;&gt;$M$107</formula>
    </cfRule>
  </conditionalFormatting>
  <conditionalFormatting sqref="U94:U99 R97:T99 O95:Q99">
    <cfRule type="cellIs" dxfId="110" priority="7" stopIfTrue="1" operator="notEqual">
      <formula>#REF!</formula>
    </cfRule>
  </conditionalFormatting>
  <conditionalFormatting sqref="T96:U96 Q98 T97 O96:O97 P96:Q96 R96:S98">
    <cfRule type="cellIs" dxfId="109" priority="6" stopIfTrue="1" operator="notEqual">
      <formula>#REF!</formula>
    </cfRule>
  </conditionalFormatting>
  <conditionalFormatting sqref="Q36">
    <cfRule type="expression" dxfId="108" priority="5">
      <formula>#REF!&lt;&gt;#REF!</formula>
    </cfRule>
  </conditionalFormatting>
  <conditionalFormatting sqref="R35">
    <cfRule type="expression" dxfId="107" priority="4">
      <formula>#REF!&lt;&gt;0</formula>
    </cfRule>
  </conditionalFormatting>
  <conditionalFormatting sqref="Q35">
    <cfRule type="expression" dxfId="106" priority="3">
      <formula>#REF!&lt;&gt;0</formula>
    </cfRule>
  </conditionalFormatting>
  <conditionalFormatting sqref="R36">
    <cfRule type="expression" dxfId="105" priority="2">
      <formula>#REF!&lt;&gt;#REF!</formula>
    </cfRule>
  </conditionalFormatting>
  <conditionalFormatting sqref="G65:K65">
    <cfRule type="expression" dxfId="104" priority="1">
      <formula>OR($P$112&gt;0,$P$113&lt;&gt;0,$P$114&lt;&gt;0)</formula>
    </cfRule>
  </conditionalFormatting>
  <hyperlinks>
    <hyperlink ref="O2" location="Index!A1" display="Return to Index" xr:uid="{1B06A46D-F8F0-4B04-BD83-2C5858FE58F2}"/>
  </hyperlinks>
  <printOptions horizontalCentered="1"/>
  <pageMargins left="0.5" right="0.5" top="0.25" bottom="0.25" header="0" footer="0.25"/>
  <pageSetup scale="43" orientation="landscape" r:id="rId1"/>
  <headerFooter alignWithMargins="0"/>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sheetPr codeName="Sheet26"/>
  <dimension ref="A1:G30"/>
  <sheetViews>
    <sheetView showGridLines="0" zoomScale="80" zoomScaleNormal="80" workbookViewId="0">
      <selection activeCell="E74" sqref="E74:F74"/>
    </sheetView>
  </sheetViews>
  <sheetFormatPr defaultColWidth="9.140625" defaultRowHeight="12.75"/>
  <cols>
    <col min="1" max="1" width="7" style="53" customWidth="1"/>
    <col min="2" max="2" width="93.140625" style="53" customWidth="1"/>
    <col min="3" max="3" width="20" style="53" customWidth="1"/>
    <col min="4" max="9" width="9.140625" style="53"/>
    <col min="10" max="10" width="14.28515625" style="53" customWidth="1"/>
    <col min="11" max="16384" width="9.140625" style="53"/>
  </cols>
  <sheetData>
    <row r="1" spans="2:6" ht="18.75" thickBot="1">
      <c r="B1" s="466" t="str">
        <f>'AUS Chrts'!$A$1</f>
        <v>The University of Texas at Austin -  All Disciplines (A+H+M)</v>
      </c>
      <c r="C1" s="835" t="s">
        <v>1200</v>
      </c>
    </row>
    <row r="2" spans="2:6">
      <c r="B2" s="393" t="str">
        <f>'Smmy Chrts'!$A$2</f>
        <v>For the Year Ended August 31, 2021</v>
      </c>
    </row>
    <row r="3" spans="2:6">
      <c r="B3" s="393" t="str">
        <f>'Smmy Chrts'!$A$3</f>
        <v>Source: FY 2021 Annual Financial Report</v>
      </c>
    </row>
    <row r="5" spans="2:6" customFormat="1">
      <c r="B5" s="529" t="s">
        <v>705</v>
      </c>
    </row>
    <row r="6" spans="2:6" customFormat="1">
      <c r="B6" s="530"/>
    </row>
    <row r="7" spans="2:6" customFormat="1" ht="226.5" customHeight="1">
      <c r="B7" s="531" t="s">
        <v>706</v>
      </c>
      <c r="C7" s="532"/>
    </row>
    <row r="8" spans="2:6" customFormat="1" ht="263.25" customHeight="1">
      <c r="B8" s="531" t="s">
        <v>707</v>
      </c>
    </row>
    <row r="9" spans="2:6" ht="64.5" customHeight="1">
      <c r="B9" s="533" t="str">
        <f>IF('AUS FGD'!$R$83="N/A","FN11.  N/A",$B$20&amp;$B$21&amp;$B$22&amp;$B$23&amp;$B$24&amp;$B$25&amp;$B$26&amp;$B$27&amp;$B$28&amp;$B$29&amp;$B$30)</f>
        <v>FN11: Of the net increase of $1,765,575,303 approximately $400.0 million represents revenues received but not yet expended. This income is fully committed to program expenditures and capital disbursements. The remaining $1,365.5 million represents non-expendable funds from unrealized gains and additions to permanent endowments of approximately $1,284.5 million and $81.0 million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TEXT(IF('AUS FGD'!$M$92&lt;0,"N/A",'AUS FGD'!$M$92),"$* #,##0;$* (#,##0)")</f>
        <v>$1,765,575,303</v>
      </c>
      <c r="C21" s="480"/>
      <c r="D21" s="480"/>
      <c r="E21" s="480"/>
      <c r="G21" s="105"/>
    </row>
    <row r="22" spans="1:7">
      <c r="B22" s="105" t="s">
        <v>682</v>
      </c>
    </row>
    <row r="23" spans="1:7">
      <c r="A23" s="53">
        <v>61</v>
      </c>
      <c r="B23" s="515" t="str">
        <f>IF(ABS('AUS FGD'!$R$84)&gt;=1000000,TEXT('AUS FGD'!$R$84/1000000,"$* #,##0.0;$* (#,##0.0)")&amp;" million",IF(ABS('AUS FGD'!$R$84)&lt;1000,TEXT('AUS FGD'!$R$84,"$* #,##0;$* (#,##0)"),TEXT('AUS FGD'!$R$84/1000,"$* #,##0;$* (#,##0)")&amp;" thousand"))</f>
        <v>$400.0 million</v>
      </c>
      <c r="C23" s="515"/>
      <c r="E23" s="515"/>
    </row>
    <row r="24" spans="1:7">
      <c r="B24" s="105" t="s">
        <v>708</v>
      </c>
    </row>
    <row r="25" spans="1:7">
      <c r="A25" s="53">
        <v>62</v>
      </c>
      <c r="B25" s="515" t="str">
        <f>IF(ABS('AUS FGD'!$R$85)&gt;=1000000,TEXT('AUS FGD'!$R$85/1000000,"$* #,##0.0;$* (#,##0.0)")&amp;" million",IF(ABS('AUS FGD'!$R$85)&lt;1000,TEXT('AUS FGD'!$R$85,"$* #,##0;$* (#,##0)"),TEXT('AUS FGD'!$R$85/1000,"$* #,##0;$* (#,##0)")&amp;" thousand"))</f>
        <v>$1,365.5 million</v>
      </c>
      <c r="C25" s="515"/>
      <c r="E25" s="515"/>
    </row>
    <row r="26" spans="1:7">
      <c r="B26" s="105" t="s">
        <v>683</v>
      </c>
    </row>
    <row r="27" spans="1:7">
      <c r="A27" s="53">
        <v>64</v>
      </c>
      <c r="B27" s="515" t="str">
        <f>IF(ABS('AUS FGD'!$R$87)&gt;=1000000,TEXT('AUS FGD'!$R$87/1000000,"$* #,##0.0;$* (#,##0.0)")&amp;" million",IF(ABS('AUS FGD'!$R$87)&lt;1000,TEXT('AUS FGD'!$R$87,"$* #,##0;$* (#,##0)"),TEXT('AUS FGD'!$R$87/1000,"$* #,##0;$* (#,##0)")&amp;" thousand"))</f>
        <v>$1,284.5 million</v>
      </c>
      <c r="C27" s="515"/>
      <c r="E27" s="515"/>
    </row>
    <row r="28" spans="1:7">
      <c r="B28" s="105" t="s">
        <v>684</v>
      </c>
    </row>
    <row r="29" spans="1:7">
      <c r="A29" s="53">
        <v>66</v>
      </c>
      <c r="B29" s="515" t="str">
        <f>IF(ABS('AUS FGD'!$R$89)&gt;=1000000,TEXT('AUS FGD'!$R$89/1000000,"$* #,##0.0;$* (#,##0.0)")&amp;" million",IF(ABS('AUS FGD'!$R$89)&lt;1000,TEXT('AUS FGD'!$R$89,"$* #,##0;$* (#,##0)"),TEXT('AUS FGD'!$R$89/1000,"$* #,##0;$* (#,##0)")&amp;" thousand"))</f>
        <v>$81.0 million</v>
      </c>
      <c r="C29" s="515"/>
      <c r="E29" s="515"/>
    </row>
    <row r="30" spans="1:7">
      <c r="B30" s="105" t="s">
        <v>709</v>
      </c>
    </row>
  </sheetData>
  <hyperlinks>
    <hyperlink ref="C1" location="Index!A1" display="Return to Index" xr:uid="{00000000-0004-0000-AC00-000000000000}"/>
  </hyperlinks>
  <pageMargins left="0.25" right="0.25" top="0.25" bottom="0.25" header="0" footer="0.25"/>
  <pageSetup orientation="portrait" r:id="rId1"/>
  <headerFooter alignWithMargins="0"/>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sheetPr>
    <tabColor indexed="47"/>
    <pageSetUpPr fitToPage="1"/>
  </sheetPr>
  <dimension ref="A1:E165"/>
  <sheetViews>
    <sheetView showGridLines="0" zoomScale="65" zoomScaleNormal="65" zoomScaleSheetLayoutView="65" workbookViewId="0">
      <selection activeCell="B85" sqref="B85"/>
    </sheetView>
  </sheetViews>
  <sheetFormatPr defaultColWidth="9.140625" defaultRowHeight="12.75" customHeight="1"/>
  <cols>
    <col min="1" max="1" width="158.7109375" style="53" customWidth="1"/>
    <col min="2" max="2" width="18.5703125" style="53" customWidth="1"/>
    <col min="3" max="3" width="54.7109375" style="53" customWidth="1"/>
    <col min="4" max="4" width="20.7109375" style="53" customWidth="1"/>
    <col min="5" max="5" width="9.140625" style="679"/>
    <col min="6" max="16384" width="9.140625" style="53"/>
  </cols>
  <sheetData>
    <row r="1" spans="1:5" ht="28.5" thickBot="1">
      <c r="A1" s="159" t="s">
        <v>1378</v>
      </c>
      <c r="B1" s="835" t="s">
        <v>1200</v>
      </c>
      <c r="C1" s="53" t="s">
        <v>1329</v>
      </c>
    </row>
    <row r="2" spans="1:5" ht="27.75">
      <c r="A2" s="54" t="str">
        <f>'Smmy Chrts'!$A$2</f>
        <v>For the Year Ended August 31, 2021</v>
      </c>
      <c r="C2" s="55" t="s">
        <v>63</v>
      </c>
    </row>
    <row r="3" spans="1:5" ht="27.75">
      <c r="A3" s="54" t="str">
        <f>'Smmy Chrts'!$A$3</f>
        <v>Source: FY 2021 Annual Financial Report</v>
      </c>
      <c r="C3" s="53" t="s">
        <v>64</v>
      </c>
    </row>
    <row r="4" spans="1:5" ht="26.25" customHeight="1">
      <c r="A4" s="1344" t="s">
        <v>2127</v>
      </c>
      <c r="C4" s="53" t="s">
        <v>267</v>
      </c>
    </row>
    <row r="5" spans="1:5" ht="12.75" customHeight="1">
      <c r="C5" s="53" t="s">
        <v>268</v>
      </c>
    </row>
    <row r="7" spans="1:5" ht="12.75" customHeight="1">
      <c r="C7" s="1687" t="s">
        <v>25</v>
      </c>
      <c r="D7" s="1687"/>
    </row>
    <row r="8" spans="1:5" ht="12.75" customHeight="1">
      <c r="C8" s="57"/>
      <c r="D8" s="58"/>
    </row>
    <row r="9" spans="1:5" ht="12.75" customHeight="1">
      <c r="C9" s="59" t="str">
        <f>'RGV Sum'!A9</f>
        <v>State of Texas</v>
      </c>
      <c r="D9" s="60">
        <f>'RGV Sum'!B15</f>
        <v>197753983</v>
      </c>
      <c r="E9" s="680">
        <f>ROUND(D9/$D$14,3)</f>
        <v>0.26</v>
      </c>
    </row>
    <row r="10" spans="1:5" ht="12.75" customHeight="1">
      <c r="C10" s="59" t="str">
        <f>'RGV Sum'!A17</f>
        <v>Student &amp; Parent</v>
      </c>
      <c r="D10" s="60">
        <f>'RGV Sum'!B20</f>
        <v>144723131</v>
      </c>
      <c r="E10" s="680">
        <f t="shared" ref="E10:E12" si="0">ROUND(D10/$D$14,3)</f>
        <v>0.19</v>
      </c>
    </row>
    <row r="11" spans="1:5" ht="12.75" customHeight="1">
      <c r="C11" s="59" t="str">
        <f>'RGV Sum'!A22</f>
        <v>Federal Government</v>
      </c>
      <c r="D11" s="60">
        <f>'RGV Sum'!B23</f>
        <v>256183509</v>
      </c>
      <c r="E11" s="680">
        <f t="shared" si="0"/>
        <v>0.33600000000000002</v>
      </c>
    </row>
    <row r="12" spans="1:5" ht="12.75" customHeight="1">
      <c r="C12" s="59" t="str">
        <f>'RGV Sum'!A31</f>
        <v>Institutional Resources</v>
      </c>
      <c r="D12" s="60">
        <f>'RGV Sum'!B38</f>
        <v>142986925</v>
      </c>
      <c r="E12" s="680">
        <f t="shared" si="0"/>
        <v>0.188</v>
      </c>
    </row>
    <row r="13" spans="1:5" ht="12.75" customHeight="1">
      <c r="C13" s="59" t="s">
        <v>2125</v>
      </c>
      <c r="D13" s="60">
        <f>'RGV Sum'!$B$26+'RGV Sum'!$B$29</f>
        <v>20318634</v>
      </c>
      <c r="E13" s="680">
        <f>ROUND(D13/$D$14,3)</f>
        <v>2.7E-2</v>
      </c>
    </row>
    <row r="14" spans="1:5" ht="12.75" customHeight="1">
      <c r="C14" s="61" t="s">
        <v>68</v>
      </c>
      <c r="D14" s="62">
        <f>SUM(D9:D13)</f>
        <v>761966182</v>
      </c>
      <c r="E14" s="680">
        <f>SUM(E9:E13)</f>
        <v>1.0009999999999999</v>
      </c>
    </row>
    <row r="18" spans="1:3" ht="12.75" customHeight="1">
      <c r="B18" s="270"/>
    </row>
    <row r="19" spans="1:3" ht="12.75" customHeight="1">
      <c r="B19" s="270"/>
    </row>
    <row r="20" spans="1:3" ht="12.75" customHeight="1">
      <c r="B20" s="270"/>
      <c r="C20" s="53" t="s">
        <v>88</v>
      </c>
    </row>
    <row r="21" spans="1:3" ht="12.75" customHeight="1">
      <c r="B21" s="270"/>
      <c r="C21" s="53" t="s">
        <v>89</v>
      </c>
    </row>
    <row r="22" spans="1:3" ht="12.75" customHeight="1">
      <c r="B22" s="270"/>
      <c r="C22" s="53" t="s">
        <v>90</v>
      </c>
    </row>
    <row r="23" spans="1:3" ht="12.75" customHeight="1">
      <c r="A23" s="56"/>
      <c r="B23" s="270"/>
      <c r="C23" s="53" t="s">
        <v>91</v>
      </c>
    </row>
    <row r="24" spans="1:3" ht="12.75" customHeight="1">
      <c r="A24" s="56"/>
      <c r="B24" s="270"/>
    </row>
    <row r="25" spans="1:3" ht="12.75" customHeight="1">
      <c r="A25" s="56"/>
      <c r="B25" s="270"/>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3" ht="12.75" customHeight="1">
      <c r="A33" s="56"/>
      <c r="C33" s="1175"/>
    </row>
    <row r="34" spans="1:3" ht="12.75" customHeight="1">
      <c r="A34" s="56"/>
      <c r="C34" s="1175"/>
    </row>
    <row r="35" spans="1:3" ht="12.75" customHeight="1">
      <c r="A35" s="56"/>
    </row>
    <row r="36" spans="1:3" ht="12.75" customHeight="1">
      <c r="A36" s="56"/>
    </row>
    <row r="37" spans="1:3" ht="12.75" customHeight="1">
      <c r="A37" s="56"/>
    </row>
    <row r="38" spans="1:3" ht="12.75" customHeight="1">
      <c r="A38" s="56"/>
    </row>
    <row r="39" spans="1:3" ht="12.75" customHeight="1">
      <c r="A39" s="56"/>
    </row>
    <row r="40" spans="1:3" ht="12.75" customHeight="1">
      <c r="A40" s="56"/>
    </row>
    <row r="41" spans="1:3" ht="12.75" customHeight="1">
      <c r="A41" s="56"/>
    </row>
    <row r="42" spans="1:3" ht="12.75" customHeight="1">
      <c r="A42" s="56"/>
    </row>
    <row r="43" spans="1:3" ht="12.75" customHeight="1">
      <c r="A43" s="56"/>
    </row>
    <row r="44" spans="1:3" ht="12.75" customHeight="1">
      <c r="A44" s="56"/>
    </row>
    <row r="45" spans="1:3" ht="12.75" customHeight="1">
      <c r="A45" s="56"/>
    </row>
    <row r="46" spans="1:3" ht="12.75" customHeight="1">
      <c r="A46" s="56"/>
    </row>
    <row r="47" spans="1:3" ht="12.75" customHeight="1">
      <c r="A47" s="1686" t="str">
        <f>C14&amp;" "&amp;TEXT(D14,"$#,###")</f>
        <v>Total Operating Sources $761,966,182</v>
      </c>
    </row>
    <row r="48" spans="1:3" ht="12.75" customHeight="1">
      <c r="A48" s="1686"/>
    </row>
    <row r="49" spans="1:5" ht="12.75" customHeight="1">
      <c r="A49" s="56"/>
    </row>
    <row r="52" spans="1:5" ht="12.75" customHeight="1">
      <c r="C52" s="1073" t="s">
        <v>25</v>
      </c>
      <c r="D52" s="58"/>
    </row>
    <row r="54" spans="1:5" ht="12.75" customHeight="1">
      <c r="C54" s="59" t="s">
        <v>1</v>
      </c>
      <c r="D54" s="60">
        <f>'RGV Sum'!B10</f>
        <v>150506095</v>
      </c>
      <c r="E54" s="680">
        <f>ROUND(D54/$D$68,3)</f>
        <v>0.20300000000000001</v>
      </c>
    </row>
    <row r="55" spans="1:5" ht="12.75" customHeight="1">
      <c r="C55" s="59" t="s">
        <v>221</v>
      </c>
      <c r="D55" s="60">
        <f>'RGV Sum'!B11</f>
        <v>47247888</v>
      </c>
      <c r="E55" s="680">
        <f>ROUND(D55/$D$68,3)</f>
        <v>6.4000000000000001E-2</v>
      </c>
    </row>
    <row r="56" spans="1:5" ht="12.75" customHeight="1">
      <c r="C56" s="59"/>
      <c r="D56" s="60"/>
      <c r="E56" s="680"/>
    </row>
    <row r="57" spans="1:5" ht="12.75" customHeight="1">
      <c r="C57" s="59" t="str">
        <f>'RGV Sum'!A13</f>
        <v>Higher Education Fund</v>
      </c>
      <c r="D57" s="60">
        <f>'RGV Sum'!B13</f>
        <v>0</v>
      </c>
      <c r="E57" s="680">
        <f t="shared" ref="E57:E66" si="1">ROUND(D57/$D$68,3)</f>
        <v>0</v>
      </c>
    </row>
    <row r="58" spans="1:5" ht="12.75" customHeight="1">
      <c r="C58" s="1069" t="s">
        <v>41</v>
      </c>
      <c r="D58" s="60">
        <f>'RGV Sum'!B14</f>
        <v>0</v>
      </c>
      <c r="E58" s="680">
        <f t="shared" si="1"/>
        <v>0</v>
      </c>
    </row>
    <row r="59" spans="1:5" ht="12.75" customHeight="1">
      <c r="C59" s="59" t="s">
        <v>87</v>
      </c>
      <c r="D59" s="60">
        <f>'RGV Sum'!B20</f>
        <v>144723131</v>
      </c>
      <c r="E59" s="680">
        <f t="shared" si="1"/>
        <v>0.19500000000000001</v>
      </c>
    </row>
    <row r="60" spans="1:5" ht="12.75" customHeight="1">
      <c r="C60" s="64" t="s">
        <v>74</v>
      </c>
      <c r="D60" s="60">
        <f>'RGV Sum'!B23</f>
        <v>256183509</v>
      </c>
      <c r="E60" s="680">
        <f t="shared" si="1"/>
        <v>0.34499999999999997</v>
      </c>
    </row>
    <row r="61" spans="1:5" ht="12.75" customHeight="1">
      <c r="C61" s="59" t="s">
        <v>75</v>
      </c>
      <c r="D61" s="60">
        <f>'RGV Sum'!B32</f>
        <v>9542669</v>
      </c>
      <c r="E61" s="680">
        <f t="shared" si="1"/>
        <v>1.2999999999999999E-2</v>
      </c>
    </row>
    <row r="62" spans="1:5" ht="12.75" customHeight="1">
      <c r="C62" s="59" t="s">
        <v>27</v>
      </c>
      <c r="D62" s="60">
        <f>'RGV Sum'!B33</f>
        <v>31122746</v>
      </c>
      <c r="E62" s="680">
        <f t="shared" si="1"/>
        <v>4.2000000000000003E-2</v>
      </c>
    </row>
    <row r="63" spans="1:5" ht="12.75" customHeight="1">
      <c r="C63" s="59" t="s">
        <v>76</v>
      </c>
      <c r="D63" s="60">
        <f>'RGV Sum'!B34</f>
        <v>60033342</v>
      </c>
      <c r="E63" s="680">
        <f t="shared" si="1"/>
        <v>8.1000000000000003E-2</v>
      </c>
    </row>
    <row r="64" spans="1:5" ht="12.75" customHeight="1">
      <c r="C64" s="59" t="s">
        <v>77</v>
      </c>
      <c r="D64" s="60">
        <f>'RGV Sum'!B35</f>
        <v>7375716</v>
      </c>
      <c r="E64" s="680">
        <f t="shared" si="1"/>
        <v>0.01</v>
      </c>
    </row>
    <row r="65" spans="1:5" ht="12.75" customHeight="1">
      <c r="C65" s="59" t="s">
        <v>220</v>
      </c>
      <c r="D65" s="60">
        <f>'RGV Sum'!B36</f>
        <v>4036238</v>
      </c>
      <c r="E65" s="680">
        <f t="shared" si="1"/>
        <v>5.0000000000000001E-3</v>
      </c>
    </row>
    <row r="66" spans="1:5" ht="12.75" customHeight="1">
      <c r="C66" s="64" t="s">
        <v>52</v>
      </c>
      <c r="D66" s="60">
        <f>'RGV Sum'!B37</f>
        <v>30876214</v>
      </c>
      <c r="E66" s="680">
        <f t="shared" si="1"/>
        <v>4.2000000000000003E-2</v>
      </c>
    </row>
    <row r="67" spans="1:5" ht="12.75" customHeight="1">
      <c r="C67" s="59" t="s">
        <v>2125</v>
      </c>
      <c r="D67" s="60">
        <f>'RGV Sum'!$B$26+'RGV Sum'!$B$29</f>
        <v>20318634</v>
      </c>
      <c r="E67" s="680">
        <f>ROUND(D67/$D$14,3)</f>
        <v>2.7E-2</v>
      </c>
    </row>
    <row r="68" spans="1:5" ht="12.75" customHeight="1">
      <c r="C68" s="61" t="s">
        <v>68</v>
      </c>
      <c r="D68" s="62">
        <f>SUM(D54:D66)</f>
        <v>741647548</v>
      </c>
      <c r="E68" s="681">
        <f>SUM(E54:E66)</f>
        <v>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86" t="str">
        <f>C68&amp;" "&amp;TEXT(D68,"$#,###")</f>
        <v>Total Operating Sources $741,647,548</v>
      </c>
    </row>
    <row r="93" spans="1:5" ht="12.75" customHeight="1">
      <c r="A93" s="1686"/>
    </row>
    <row r="94" spans="1:5" ht="12.75" customHeight="1">
      <c r="A94" s="65"/>
    </row>
    <row r="95" spans="1:5" s="68" customFormat="1" ht="12.75" customHeight="1">
      <c r="A95" s="66"/>
      <c r="E95" s="682"/>
    </row>
    <row r="96" spans="1:5" ht="12.75" customHeight="1">
      <c r="A96" s="65"/>
    </row>
    <row r="97" spans="1:5" ht="12.75" customHeight="1">
      <c r="A97" s="65"/>
    </row>
    <row r="98" spans="1:5" ht="12.75" customHeight="1">
      <c r="A98" s="65"/>
    </row>
    <row r="100" spans="1:5" ht="12.75" customHeight="1">
      <c r="C100" s="1687" t="s">
        <v>13</v>
      </c>
      <c r="D100" s="1687"/>
    </row>
    <row r="101" spans="1:5" ht="12.75" customHeight="1">
      <c r="C101" s="1687"/>
      <c r="D101" s="1687"/>
    </row>
    <row r="102" spans="1:5" ht="12.75" customHeight="1">
      <c r="C102" s="69" t="s">
        <v>14</v>
      </c>
      <c r="D102" s="60">
        <f>'RGV Sum'!B42</f>
        <v>177873376</v>
      </c>
      <c r="E102" s="680">
        <f>ROUND(D102/$D$114,3)</f>
        <v>0.28399999999999997</v>
      </c>
    </row>
    <row r="103" spans="1:5" ht="12.75" customHeight="1">
      <c r="C103" s="69" t="s">
        <v>15</v>
      </c>
      <c r="D103" s="60">
        <f>'RGV Sum'!B43</f>
        <v>45995903</v>
      </c>
      <c r="E103" s="680">
        <f t="shared" ref="E103:E112" si="2">ROUND(D103/$D$114,3)</f>
        <v>7.3999999999999996E-2</v>
      </c>
    </row>
    <row r="104" spans="1:5" ht="12.75" customHeight="1">
      <c r="C104" s="69" t="s">
        <v>16</v>
      </c>
      <c r="D104" s="60">
        <f>'RGV Sum'!B44</f>
        <v>13560326</v>
      </c>
      <c r="E104" s="680">
        <f t="shared" si="2"/>
        <v>2.1999999999999999E-2</v>
      </c>
    </row>
    <row r="105" spans="1:5" ht="12.75" customHeight="1">
      <c r="C105" s="69" t="s">
        <v>17</v>
      </c>
      <c r="D105" s="60">
        <f>'RGV Sum'!B46</f>
        <v>63345006</v>
      </c>
      <c r="E105" s="680">
        <f t="shared" si="2"/>
        <v>0.10100000000000001</v>
      </c>
    </row>
    <row r="106" spans="1:5" ht="12.75" customHeight="1">
      <c r="C106" s="69" t="s">
        <v>18</v>
      </c>
      <c r="D106" s="60">
        <f>'RGV Sum'!B47</f>
        <v>42706686</v>
      </c>
      <c r="E106" s="680">
        <f t="shared" si="2"/>
        <v>6.8000000000000005E-2</v>
      </c>
    </row>
    <row r="107" spans="1:5" ht="12.75" customHeight="1">
      <c r="C107" s="69" t="s">
        <v>19</v>
      </c>
      <c r="D107" s="60">
        <f>'RGV Sum'!B48</f>
        <v>37604861</v>
      </c>
      <c r="E107" s="680">
        <f t="shared" si="2"/>
        <v>0.06</v>
      </c>
    </row>
    <row r="108" spans="1:5" ht="12.75" customHeight="1">
      <c r="C108" s="69" t="s">
        <v>78</v>
      </c>
      <c r="D108" s="60">
        <f>'RGV Sum'!B49</f>
        <v>39683753</v>
      </c>
      <c r="E108" s="680">
        <f t="shared" si="2"/>
        <v>6.3E-2</v>
      </c>
    </row>
    <row r="109" spans="1:5" ht="12.75" customHeight="1">
      <c r="C109" s="69" t="s">
        <v>79</v>
      </c>
      <c r="D109" s="60">
        <f>'RGV Sum'!B50</f>
        <v>117100565</v>
      </c>
      <c r="E109" s="680">
        <f t="shared" si="2"/>
        <v>0.187</v>
      </c>
    </row>
    <row r="110" spans="1:5" ht="12.75" customHeight="1">
      <c r="C110" s="69" t="s">
        <v>22</v>
      </c>
      <c r="D110" s="60">
        <f>'RGV Sum'!B51</f>
        <v>25258572</v>
      </c>
      <c r="E110" s="680">
        <f t="shared" si="2"/>
        <v>0.04</v>
      </c>
    </row>
    <row r="111" spans="1:5" ht="12.75" customHeight="1">
      <c r="C111" s="64" t="s">
        <v>29</v>
      </c>
      <c r="D111" s="60">
        <f>'RGV Sum'!B52</f>
        <v>13339919</v>
      </c>
      <c r="E111" s="680">
        <f t="shared" si="2"/>
        <v>2.1000000000000001E-2</v>
      </c>
    </row>
    <row r="112" spans="1:5" ht="12.75" customHeight="1">
      <c r="C112" s="64" t="s">
        <v>53</v>
      </c>
      <c r="D112" s="60">
        <f>'RGV Sum'!B53</f>
        <v>0</v>
      </c>
      <c r="E112" s="680">
        <f t="shared" si="2"/>
        <v>0</v>
      </c>
    </row>
    <row r="113" spans="3:5" ht="12.75" customHeight="1">
      <c r="C113" s="64" t="s">
        <v>2126</v>
      </c>
      <c r="D113" s="60">
        <f>'RGV Sum'!B45</f>
        <v>48964416</v>
      </c>
      <c r="E113" s="680">
        <f>ROUND(D113/$D$114,3)</f>
        <v>7.8E-2</v>
      </c>
    </row>
    <row r="114" spans="3:5" ht="12.75" customHeight="1">
      <c r="C114" s="70" t="s">
        <v>69</v>
      </c>
      <c r="D114" s="62">
        <f>SUM(D102:D113)</f>
        <v>625433383</v>
      </c>
      <c r="E114" s="681">
        <f>SUM(E102:E113)</f>
        <v>0.998</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86" t="str">
        <f>C114&amp;" "&amp;TEXT(D114,"$#,###")</f>
        <v>Total Operating Uses $625,433,383</v>
      </c>
    </row>
    <row r="137" spans="1:1" ht="12.75" customHeight="1">
      <c r="A137" s="1686"/>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136:A137"/>
    <mergeCell ref="C7:D7"/>
    <mergeCell ref="A47:A48"/>
    <mergeCell ref="A92:A93"/>
    <mergeCell ref="C100:D100"/>
    <mergeCell ref="C101:D101"/>
  </mergeCells>
  <hyperlinks>
    <hyperlink ref="B1" location="Index!A1" display="Return to Index" xr:uid="{00000000-0004-0000-AD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1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sheetPr transitionEvaluation="1" transitionEntry="1">
    <tabColor indexed="13"/>
  </sheetPr>
  <dimension ref="A1:AE86"/>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I9" sqref="I9"/>
    </sheetView>
  </sheetViews>
  <sheetFormatPr defaultColWidth="9.140625" defaultRowHeight="12.75"/>
  <cols>
    <col min="1" max="1" width="61.7109375" style="75" customWidth="1"/>
    <col min="2" max="2" width="17.85546875" style="75" customWidth="1"/>
    <col min="3" max="3" width="14.7109375" style="2" customWidth="1"/>
    <col min="4" max="4" width="14" style="261" customWidth="1"/>
    <col min="5" max="5" width="1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'RGV Chrts'!$A$1</f>
        <v>The University of Texas RGV - All Disciplines (A+H+M)</v>
      </c>
      <c r="B1" s="74"/>
      <c r="C1" s="1"/>
      <c r="D1" s="1704" t="s">
        <v>1200</v>
      </c>
      <c r="E1" s="1705"/>
      <c r="F1" s="1757" t="s">
        <v>1196</v>
      </c>
      <c r="G1" s="1706"/>
      <c r="H1" s="1706"/>
      <c r="I1" s="1706"/>
      <c r="J1" s="1707" t="s">
        <v>1197</v>
      </c>
      <c r="K1" s="1695"/>
      <c r="L1" s="1695"/>
      <c r="M1" s="1695"/>
      <c r="N1" s="1695"/>
      <c r="O1" s="1696"/>
    </row>
    <row r="2" spans="1:15" ht="15.75">
      <c r="A2" s="76" t="str">
        <f>'Smmy Chrts'!$A$2</f>
        <v>For the Year Ended August 31, 2021</v>
      </c>
      <c r="B2" s="74"/>
      <c r="C2" s="1"/>
      <c r="D2" s="1175"/>
      <c r="E2" s="37"/>
      <c r="F2" s="37"/>
      <c r="J2" s="37"/>
      <c r="K2" s="37"/>
      <c r="L2" s="37"/>
      <c r="M2" s="37"/>
    </row>
    <row r="3" spans="1:15" ht="15.75">
      <c r="A3" s="76" t="str">
        <f>'Smmy Chrts'!$A$3</f>
        <v>Source: FY 2021 Annual Financial Report</v>
      </c>
      <c r="B3" s="74"/>
      <c r="C3" s="1"/>
      <c r="D3" s="1175"/>
    </row>
    <row r="4" spans="1:15" ht="28.5" customHeight="1">
      <c r="A4" s="1762" t="s">
        <v>2127</v>
      </c>
      <c r="B4" s="1762"/>
      <c r="C4" s="1762"/>
      <c r="D4" s="1711" t="s">
        <v>1142</v>
      </c>
      <c r="E4" s="1711" t="s">
        <v>1143</v>
      </c>
      <c r="F4" s="266"/>
    </row>
    <row r="5" spans="1:15" ht="14.25" customHeight="1">
      <c r="A5" s="39" t="str">
        <f>'Smmy Chrts'!$C$35</f>
        <v>Summary Worksheet FY 2021</v>
      </c>
      <c r="B5" s="40" t="s">
        <v>86</v>
      </c>
      <c r="C5" s="40" t="s">
        <v>129</v>
      </c>
      <c r="D5" s="1712"/>
      <c r="E5" s="1712"/>
      <c r="F5" s="266"/>
      <c r="G5" s="799" t="s">
        <v>1198</v>
      </c>
      <c r="I5" s="822" t="s">
        <v>2157</v>
      </c>
      <c r="J5" s="792" t="s">
        <v>1144</v>
      </c>
    </row>
    <row r="6" spans="1:15" ht="13.5" customHeight="1">
      <c r="A6" s="78" t="s">
        <v>266</v>
      </c>
      <c r="B6" s="41"/>
      <c r="C6" s="42">
        <f>FTSE!$N$68</f>
        <v>28586.37</v>
      </c>
      <c r="J6" s="712"/>
    </row>
    <row r="7" spans="1:15">
      <c r="I7" s="824" t="s">
        <v>1162</v>
      </c>
      <c r="J7" s="827"/>
    </row>
    <row r="8" spans="1:15">
      <c r="A8" s="81" t="s">
        <v>71</v>
      </c>
      <c r="B8" s="81"/>
      <c r="C8" s="24"/>
      <c r="I8" s="896">
        <f>FTSE!$P$68</f>
        <v>1956.25</v>
      </c>
      <c r="J8" s="712"/>
    </row>
    <row r="9" spans="1:15" ht="12.75" customHeight="1" thickBot="1">
      <c r="A9" s="78" t="s">
        <v>0</v>
      </c>
      <c r="B9" s="82"/>
      <c r="C9" s="7"/>
      <c r="J9" s="712"/>
    </row>
    <row r="10" spans="1:15" ht="12.75" customHeight="1" thickTop="1">
      <c r="A10" s="75" t="s">
        <v>1</v>
      </c>
      <c r="B10" s="83">
        <f>'RGV FGD'!M10</f>
        <v>150506095</v>
      </c>
      <c r="C10" s="83">
        <f>ROUND(B10/$C$6,0)</f>
        <v>5265</v>
      </c>
      <c r="D10" s="512">
        <f>'RGV FGD'!F10</f>
        <v>0</v>
      </c>
      <c r="E10" s="512"/>
      <c r="F10" s="84">
        <f>B10-(SUM(D10:E10))</f>
        <v>150506095</v>
      </c>
      <c r="G10" s="1143" t="s">
        <v>1</v>
      </c>
      <c r="H10" s="1144"/>
      <c r="I10" s="825" t="s">
        <v>1161</v>
      </c>
      <c r="J10" s="713">
        <f>ROUND(F10/$C$6,0)</f>
        <v>5265</v>
      </c>
    </row>
    <row r="11" spans="1:15" ht="12.75" customHeight="1" thickBot="1">
      <c r="A11" s="75" t="s">
        <v>2</v>
      </c>
      <c r="B11" s="86">
        <f>'RGV FGD'!M11</f>
        <v>47247888</v>
      </c>
      <c r="C11" s="87">
        <f t="shared" ref="C11:C14" si="0">ROUND(B11/$C$6,0)</f>
        <v>1653</v>
      </c>
      <c r="D11" s="86">
        <f>'RGV FGD'!F11</f>
        <v>0</v>
      </c>
      <c r="E11" s="74"/>
      <c r="F11" s="606">
        <f t="shared" ref="F11:F14" si="1">B11-(SUM(D11:E11))</f>
        <v>47247888</v>
      </c>
      <c r="G11" s="1148">
        <f>SUM(F10:F11)</f>
        <v>197753983</v>
      </c>
      <c r="H11" s="715"/>
      <c r="I11" s="1373">
        <f>ROUND($G$11/$C$6,0)</f>
        <v>6918</v>
      </c>
      <c r="J11" s="716">
        <f t="shared" ref="J11:J14" si="2">ROUND(F11/$C$6,0)</f>
        <v>1653</v>
      </c>
    </row>
    <row r="12" spans="1:15" ht="12.75" hidden="1" customHeight="1" thickTop="1" thickBot="1">
      <c r="A12" s="75" t="s">
        <v>1410</v>
      </c>
      <c r="B12" s="86"/>
      <c r="C12" s="87"/>
      <c r="D12" s="86"/>
      <c r="E12" s="74"/>
      <c r="F12" s="607"/>
      <c r="J12" s="716"/>
      <c r="O12" s="608"/>
    </row>
    <row r="13" spans="1:15" ht="12.75" customHeight="1" thickTop="1">
      <c r="A13" s="75" t="s">
        <v>1368</v>
      </c>
      <c r="B13" s="86">
        <f>'RGV FGD'!M13</f>
        <v>0</v>
      </c>
      <c r="C13" s="87">
        <f t="shared" si="0"/>
        <v>0</v>
      </c>
      <c r="D13" s="86">
        <f>'RGV FGD'!F13</f>
        <v>0</v>
      </c>
      <c r="E13" s="74"/>
      <c r="F13" s="893">
        <f t="shared" si="1"/>
        <v>0</v>
      </c>
      <c r="G13" s="1075" t="s">
        <v>81</v>
      </c>
      <c r="H13" s="894"/>
      <c r="I13" s="826" t="s">
        <v>1163</v>
      </c>
      <c r="J13" s="716">
        <f t="shared" si="2"/>
        <v>0</v>
      </c>
    </row>
    <row r="14" spans="1:15" ht="12.75" customHeight="1" thickBot="1">
      <c r="A14" s="75" t="s">
        <v>49</v>
      </c>
      <c r="B14" s="86">
        <f>'RGV FGD'!M14</f>
        <v>0</v>
      </c>
      <c r="C14" s="87">
        <f t="shared" si="0"/>
        <v>0</v>
      </c>
      <c r="D14" s="86">
        <f>'RGV FGD'!F14</f>
        <v>0</v>
      </c>
      <c r="E14" s="74"/>
      <c r="F14" s="607">
        <f t="shared" si="1"/>
        <v>0</v>
      </c>
      <c r="G14" s="800">
        <f>SUM(F13:F14)</f>
        <v>0</v>
      </c>
      <c r="H14" s="895"/>
      <c r="I14" s="1377">
        <f>ROUND($G$11/$I$8,0)</f>
        <v>101088</v>
      </c>
      <c r="J14" s="828">
        <f t="shared" si="2"/>
        <v>0</v>
      </c>
    </row>
    <row r="15" spans="1:15" ht="12.75" customHeight="1" thickTop="1">
      <c r="A15" s="88" t="s">
        <v>3</v>
      </c>
      <c r="B15" s="89">
        <f>SUM(B10:B14)</f>
        <v>197753983</v>
      </c>
      <c r="C15" s="89">
        <f>SUM(C10:C14)</f>
        <v>6918</v>
      </c>
      <c r="D15" s="89">
        <f>SUM(D10:D14)</f>
        <v>0</v>
      </c>
      <c r="E15" s="89">
        <f>SUM(E10:E14)</f>
        <v>0</v>
      </c>
      <c r="F15" s="216">
        <f>SUM(F10:F14)</f>
        <v>197753983</v>
      </c>
      <c r="I15" s="1372"/>
      <c r="J15" s="757">
        <f>SUM(J10:J14)</f>
        <v>6918</v>
      </c>
    </row>
    <row r="16" spans="1:15">
      <c r="B16" s="48"/>
      <c r="C16" s="75"/>
      <c r="J16" s="712"/>
    </row>
    <row r="17" spans="1:16" ht="12.75" customHeight="1">
      <c r="A17" s="78" t="s">
        <v>4</v>
      </c>
      <c r="B17" s="86"/>
      <c r="C17" s="75"/>
      <c r="J17" s="712"/>
    </row>
    <row r="18" spans="1:16">
      <c r="A18" s="75" t="s">
        <v>39</v>
      </c>
      <c r="B18" s="83">
        <f>'RGV FGD'!M29</f>
        <v>101315495</v>
      </c>
      <c r="C18" s="83">
        <f t="shared" ref="C18:C19" si="3">ROUND(B18/$C$6,0)</f>
        <v>3544</v>
      </c>
      <c r="D18" s="512">
        <f>'RGV FGD'!$F$29</f>
        <v>0</v>
      </c>
      <c r="E18" s="512"/>
      <c r="F18" s="512">
        <f t="shared" ref="F18:F19" si="4">B18-(SUM(D18:E18))</f>
        <v>101315495</v>
      </c>
      <c r="G18" s="337"/>
      <c r="H18" s="337"/>
      <c r="I18" s="337"/>
      <c r="J18" s="713">
        <f>ROUND(F18/$C$6,0)</f>
        <v>3544</v>
      </c>
    </row>
    <row r="19" spans="1:16" ht="13.5" thickBot="1">
      <c r="A19" s="75" t="s">
        <v>40</v>
      </c>
      <c r="B19" s="86">
        <f>'RGV FGD'!M42</f>
        <v>43407636</v>
      </c>
      <c r="C19" s="87">
        <f t="shared" si="3"/>
        <v>1518</v>
      </c>
      <c r="D19" s="74">
        <f>'RGV FGD'!$F$42</f>
        <v>12117743</v>
      </c>
      <c r="E19" s="74"/>
      <c r="F19" s="74">
        <f t="shared" si="4"/>
        <v>31289893</v>
      </c>
      <c r="G19" s="337"/>
      <c r="H19" s="337"/>
      <c r="I19" s="337"/>
      <c r="J19" s="716">
        <f>ROUND(F19/$C$6,0)</f>
        <v>1095</v>
      </c>
    </row>
    <row r="20" spans="1:16" ht="14.25" thickTop="1" thickBot="1">
      <c r="A20" s="88" t="s">
        <v>5</v>
      </c>
      <c r="B20" s="89">
        <f>SUM(B18:B19)</f>
        <v>144723131</v>
      </c>
      <c r="C20" s="89">
        <f>SUM(C18:C19)</f>
        <v>5062</v>
      </c>
      <c r="D20" s="717">
        <f>SUM(D18:D19)</f>
        <v>12117743</v>
      </c>
      <c r="E20" s="718">
        <f>SUM(E18:E19)</f>
        <v>0</v>
      </c>
      <c r="F20" s="801">
        <f>SUM(F18:F19)</f>
        <v>132605388</v>
      </c>
      <c r="G20" s="720" t="s">
        <v>26</v>
      </c>
      <c r="H20" s="366"/>
      <c r="I20" s="367"/>
      <c r="J20" s="721">
        <f>SUM(J18:J19)</f>
        <v>4639</v>
      </c>
    </row>
    <row r="21" spans="1:16" ht="12.75" customHeight="1" thickTop="1">
      <c r="B21" s="91"/>
      <c r="C21" s="75"/>
      <c r="F21" s="804"/>
      <c r="J21" s="712"/>
    </row>
    <row r="22" spans="1:16" ht="14.25" customHeight="1" thickBot="1">
      <c r="A22" s="78" t="s">
        <v>6</v>
      </c>
      <c r="B22" s="91"/>
      <c r="C22" s="75"/>
      <c r="J22" s="712"/>
    </row>
    <row r="23" spans="1:16" ht="14.25" thickTop="1" thickBot="1">
      <c r="A23" s="88" t="s">
        <v>7</v>
      </c>
      <c r="B23" s="92">
        <f>'RGV FGD'!M47</f>
        <v>256183509</v>
      </c>
      <c r="C23" s="89">
        <f t="shared" ref="C23" si="5">ROUND(B23/$C$6,0)</f>
        <v>8962</v>
      </c>
      <c r="D23" s="717">
        <f>'RGV FGD'!F47</f>
        <v>0</v>
      </c>
      <c r="E23" s="718"/>
      <c r="F23" s="801">
        <f>B23-(SUM(D23:E23))</f>
        <v>256183509</v>
      </c>
      <c r="G23" s="722" t="s">
        <v>74</v>
      </c>
      <c r="H23" s="366"/>
      <c r="I23" s="367"/>
      <c r="J23" s="756">
        <f>ROUND(F23/$C$6,0)</f>
        <v>8962</v>
      </c>
    </row>
    <row r="24" spans="1:16" ht="13.5" thickTop="1">
      <c r="C24" s="75"/>
      <c r="J24" s="712"/>
      <c r="P24" s="75"/>
    </row>
    <row r="25" spans="1:16">
      <c r="A25" s="78" t="s">
        <v>2121</v>
      </c>
      <c r="C25" s="75"/>
      <c r="D25" s="74"/>
      <c r="H25" s="337"/>
      <c r="J25" s="712"/>
      <c r="P25" s="75"/>
    </row>
    <row r="26" spans="1:16">
      <c r="A26" s="88" t="s">
        <v>2122</v>
      </c>
      <c r="B26" s="89">
        <f>'RGV FGD'!M50</f>
        <v>20318634</v>
      </c>
      <c r="C26" s="89">
        <f t="shared" ref="C26" si="6">ROUND(B26/$C$6,0)</f>
        <v>711</v>
      </c>
      <c r="D26" s="89">
        <f>'RGV FGD'!F50</f>
        <v>0</v>
      </c>
      <c r="E26" s="89"/>
      <c r="F26" s="89">
        <f t="shared" ref="F26" si="7">B26-(SUM(D26:E26))</f>
        <v>20318634</v>
      </c>
      <c r="G26" s="367"/>
      <c r="H26" s="367"/>
      <c r="I26" s="337"/>
      <c r="J26" s="713"/>
      <c r="P26" s="75"/>
    </row>
    <row r="27" spans="1:16">
      <c r="C27" s="75"/>
      <c r="D27" s="373"/>
      <c r="E27" s="1329"/>
      <c r="F27" s="367"/>
      <c r="G27" s="367"/>
      <c r="H27" s="367"/>
      <c r="I27" s="337"/>
      <c r="J27" s="716"/>
      <c r="P27" s="75"/>
    </row>
    <row r="28" spans="1:16">
      <c r="A28" s="78" t="s">
        <v>2123</v>
      </c>
      <c r="C28" s="75"/>
      <c r="D28" s="86"/>
      <c r="E28" s="1330"/>
      <c r="F28" s="367"/>
      <c r="G28" s="367"/>
      <c r="H28" s="367"/>
      <c r="I28" s="337"/>
      <c r="J28" s="716"/>
      <c r="P28" s="75"/>
    </row>
    <row r="29" spans="1:16">
      <c r="A29" s="88" t="s">
        <v>2122</v>
      </c>
      <c r="B29" s="89">
        <f>'RGV FGD'!M53</f>
        <v>0</v>
      </c>
      <c r="C29" s="89">
        <f t="shared" ref="C29" si="8">ROUND(B29/$C$6,0)</f>
        <v>0</v>
      </c>
      <c r="D29" s="89">
        <f>'RGV FGD'!F53</f>
        <v>0</v>
      </c>
      <c r="E29" s="89"/>
      <c r="F29" s="89">
        <f t="shared" ref="F29" si="9">B29-(SUM(D29:E29))</f>
        <v>0</v>
      </c>
      <c r="G29" s="367"/>
      <c r="H29" s="367"/>
      <c r="I29" s="337"/>
      <c r="J29" s="716"/>
      <c r="P29" s="75"/>
    </row>
    <row r="30" spans="1:16">
      <c r="B30" s="91"/>
      <c r="C30" s="75"/>
      <c r="J30" s="712"/>
    </row>
    <row r="31" spans="1:16">
      <c r="A31" s="78" t="s">
        <v>8</v>
      </c>
      <c r="B31" s="91"/>
      <c r="C31" s="75"/>
      <c r="J31" s="712"/>
    </row>
    <row r="32" spans="1:16">
      <c r="A32" s="75" t="s">
        <v>42</v>
      </c>
      <c r="B32" s="83">
        <f>'RGV FGD'!M56</f>
        <v>9542669</v>
      </c>
      <c r="C32" s="83">
        <f t="shared" ref="C32:C37" si="10">ROUND(B32/$C$6,0)</f>
        <v>334</v>
      </c>
      <c r="D32" s="512">
        <f>'RGV FGD'!F56</f>
        <v>551986</v>
      </c>
      <c r="E32" s="512"/>
      <c r="F32" s="512">
        <f t="shared" ref="F32:F37" si="11">B32-(SUM(D32:E32))</f>
        <v>8990683</v>
      </c>
      <c r="G32" s="337"/>
      <c r="H32" s="337"/>
      <c r="I32" s="337"/>
      <c r="J32" s="713">
        <f>ROUND(F32/$C$6,0)</f>
        <v>315</v>
      </c>
    </row>
    <row r="33" spans="1:31">
      <c r="A33" s="75" t="s">
        <v>9</v>
      </c>
      <c r="B33" s="86">
        <f>'RGV FGD'!M57</f>
        <v>31122746</v>
      </c>
      <c r="C33" s="87">
        <f t="shared" si="10"/>
        <v>1089</v>
      </c>
      <c r="D33" s="86">
        <f>'RGV FGD'!F57</f>
        <v>0</v>
      </c>
      <c r="E33" s="74"/>
      <c r="F33" s="74">
        <f t="shared" si="11"/>
        <v>31122746</v>
      </c>
      <c r="G33" s="337"/>
      <c r="H33" s="337"/>
      <c r="I33" s="337"/>
      <c r="J33" s="716">
        <f t="shared" ref="J33:J37" si="12">ROUND(F33/$C$6,0)</f>
        <v>1089</v>
      </c>
    </row>
    <row r="34" spans="1:31" ht="13.5" thickBot="1">
      <c r="A34" s="75" t="s">
        <v>10</v>
      </c>
      <c r="B34" s="86">
        <f>'RGV FGD'!M58</f>
        <v>60033342</v>
      </c>
      <c r="C34" s="87">
        <f t="shared" si="10"/>
        <v>2100</v>
      </c>
      <c r="D34" s="86">
        <f>'RGV FGD'!F58</f>
        <v>100000</v>
      </c>
      <c r="E34" s="74"/>
      <c r="F34" s="74">
        <f t="shared" si="11"/>
        <v>59933342</v>
      </c>
      <c r="G34" s="337"/>
      <c r="H34" s="337"/>
      <c r="I34" s="337"/>
      <c r="J34" s="716">
        <f t="shared" si="12"/>
        <v>2097</v>
      </c>
    </row>
    <row r="35" spans="1:31" ht="13.5" thickBot="1">
      <c r="A35" s="75" t="s">
        <v>11</v>
      </c>
      <c r="B35" s="86">
        <f>'RGV FGD'!M59</f>
        <v>7375716</v>
      </c>
      <c r="C35" s="87">
        <f t="shared" si="10"/>
        <v>258</v>
      </c>
      <c r="D35" s="86">
        <f>'RGV FGD'!F59</f>
        <v>0</v>
      </c>
      <c r="E35" s="74"/>
      <c r="F35" s="74">
        <f t="shared" si="11"/>
        <v>7375716</v>
      </c>
      <c r="G35" s="337"/>
      <c r="H35" s="337"/>
      <c r="I35" s="38"/>
      <c r="J35" s="716">
        <f t="shared" si="12"/>
        <v>258</v>
      </c>
      <c r="K35" s="1694"/>
      <c r="L35" s="1695"/>
      <c r="M35" s="1695"/>
      <c r="N35" s="1695"/>
      <c r="O35" s="1696"/>
    </row>
    <row r="36" spans="1:31" ht="13.5" thickBot="1">
      <c r="A36" s="93" t="s">
        <v>2134</v>
      </c>
      <c r="B36" s="94">
        <f>'RGV FGD'!M60</f>
        <v>4036238</v>
      </c>
      <c r="C36" s="87">
        <f t="shared" si="10"/>
        <v>141</v>
      </c>
      <c r="D36" s="729">
        <f>B36</f>
        <v>4036238</v>
      </c>
      <c r="E36" s="74"/>
      <c r="F36" s="74">
        <f t="shared" si="11"/>
        <v>0</v>
      </c>
      <c r="G36" s="337"/>
      <c r="H36" s="337"/>
      <c r="J36" s="716">
        <f t="shared" si="12"/>
        <v>0</v>
      </c>
      <c r="K36" s="1694" t="s">
        <v>1070</v>
      </c>
      <c r="L36" s="1695"/>
      <c r="M36" s="1695"/>
      <c r="N36" s="1695"/>
      <c r="O36" s="1696"/>
    </row>
    <row r="37" spans="1:31" ht="13.5" customHeight="1" thickBot="1">
      <c r="A37" s="95" t="s">
        <v>43</v>
      </c>
      <c r="B37" s="86">
        <f>'RGV FGD'!M61</f>
        <v>30876214</v>
      </c>
      <c r="C37" s="87">
        <f t="shared" si="10"/>
        <v>1080</v>
      </c>
      <c r="D37" s="86">
        <f>'RGV FGD'!F61</f>
        <v>0</v>
      </c>
      <c r="E37" s="74"/>
      <c r="F37" s="74">
        <f t="shared" si="11"/>
        <v>30876214</v>
      </c>
      <c r="G37" s="35"/>
      <c r="H37" s="35"/>
      <c r="J37" s="716">
        <f t="shared" si="12"/>
        <v>1080</v>
      </c>
      <c r="K37" s="1697" t="s">
        <v>1073</v>
      </c>
      <c r="L37" s="1697" t="s">
        <v>1071</v>
      </c>
      <c r="M37" s="1697" t="s">
        <v>1072</v>
      </c>
      <c r="N37" s="1697" t="s">
        <v>1240</v>
      </c>
      <c r="O37" s="1697" t="s">
        <v>1075</v>
      </c>
      <c r="P37" s="35"/>
      <c r="Q37" s="96"/>
      <c r="R37" s="96"/>
      <c r="S37" s="96"/>
      <c r="T37" s="96"/>
      <c r="U37" s="96"/>
      <c r="V37" s="96"/>
      <c r="W37" s="96"/>
      <c r="X37" s="96"/>
      <c r="Y37" s="96"/>
      <c r="Z37" s="96"/>
      <c r="AA37" s="96"/>
      <c r="AB37" s="96"/>
      <c r="AC37" s="96"/>
      <c r="AD37" s="96"/>
      <c r="AE37" s="96"/>
    </row>
    <row r="38" spans="1:31" ht="14.25" customHeight="1" thickTop="1" thickBot="1">
      <c r="A38" s="88" t="s">
        <v>3</v>
      </c>
      <c r="B38" s="89">
        <f>SUM(B32:B37)</f>
        <v>142986925</v>
      </c>
      <c r="C38" s="89">
        <f>SUM(C32:C37)</f>
        <v>5002</v>
      </c>
      <c r="D38" s="723">
        <f>SUM(D32:D37)</f>
        <v>4688224</v>
      </c>
      <c r="E38" s="723">
        <f>SUM(E32:E37)</f>
        <v>0</v>
      </c>
      <c r="F38" s="802">
        <f>SUM(F32:F37)</f>
        <v>138298701</v>
      </c>
      <c r="G38" s="1708" t="s">
        <v>8</v>
      </c>
      <c r="H38" s="1709"/>
      <c r="I38" s="783" t="s">
        <v>1166</v>
      </c>
      <c r="J38" s="725">
        <f>SUM(J32:J37)</f>
        <v>4839</v>
      </c>
      <c r="K38" s="1698"/>
      <c r="L38" s="1698"/>
      <c r="M38" s="1698"/>
      <c r="N38" s="1698" t="s">
        <v>1074</v>
      </c>
      <c r="O38" s="1698" t="s">
        <v>1075</v>
      </c>
    </row>
    <row r="39" spans="1:31" ht="14.25" thickTop="1" thickBot="1">
      <c r="A39" s="97" t="s">
        <v>68</v>
      </c>
      <c r="B39" s="52">
        <f>B15+B20+B23+B38+B26+B29</f>
        <v>761966182</v>
      </c>
      <c r="C39" s="52">
        <f>C15+C20+C23+C38+C26+C29</f>
        <v>26655</v>
      </c>
      <c r="D39" s="52">
        <f>D15+D20+D23+D38+D26+D29</f>
        <v>16805967</v>
      </c>
      <c r="E39" s="52">
        <f>E15+E20+E23+E38+E26+E29</f>
        <v>0</v>
      </c>
      <c r="F39" s="724">
        <f>F15+F20+F23+F38+F26+F29</f>
        <v>745160215</v>
      </c>
      <c r="G39" s="1758" t="s">
        <v>84</v>
      </c>
      <c r="H39" s="1759"/>
      <c r="I39" s="1375">
        <f>ROUND($G$41/$C$6,0)</f>
        <v>26067</v>
      </c>
      <c r="J39" s="726">
        <f>J15+J20+J23+J38</f>
        <v>25358</v>
      </c>
      <c r="K39" s="1698"/>
      <c r="L39" s="1698"/>
      <c r="M39" s="1698"/>
      <c r="N39" s="1698"/>
      <c r="O39" s="1698"/>
    </row>
    <row r="40" spans="1:31" ht="14.25" thickTop="1" thickBot="1">
      <c r="B40" s="98"/>
      <c r="C40" s="75"/>
      <c r="D40" s="337"/>
      <c r="E40" s="337"/>
      <c r="F40" s="337" t="s">
        <v>1199</v>
      </c>
      <c r="G40" s="787">
        <f>G14*-1</f>
        <v>0</v>
      </c>
      <c r="H40" s="337"/>
      <c r="I40" s="783" t="s">
        <v>1167</v>
      </c>
      <c r="J40" s="727"/>
      <c r="K40" s="1699"/>
      <c r="L40" s="1699"/>
      <c r="M40" s="1699"/>
      <c r="N40" s="1699"/>
      <c r="O40" s="1699"/>
    </row>
    <row r="41" spans="1:31" ht="14.25" thickTop="1" thickBot="1">
      <c r="A41" s="81" t="s">
        <v>72</v>
      </c>
      <c r="B41" s="81"/>
      <c r="C41" s="81"/>
      <c r="D41" s="728"/>
      <c r="E41" s="728"/>
      <c r="F41" s="788" t="s">
        <v>1165</v>
      </c>
      <c r="G41" s="803">
        <f>F39+G40</f>
        <v>745160215</v>
      </c>
      <c r="I41" s="1376">
        <f>ROUND($G$41/$I$8,0)</f>
        <v>380913</v>
      </c>
      <c r="K41" s="609"/>
      <c r="L41" s="609"/>
      <c r="M41" s="609"/>
      <c r="N41" s="609"/>
      <c r="O41" s="609"/>
    </row>
    <row r="42" spans="1:31" ht="13.5" thickTop="1">
      <c r="A42" s="99" t="s">
        <v>14</v>
      </c>
      <c r="B42" s="83">
        <f>'RGV FGD'!M66</f>
        <v>177873376</v>
      </c>
      <c r="C42" s="83">
        <f t="shared" ref="C42:C53" si="13">ROUND(B42/$C$6,0)</f>
        <v>6222</v>
      </c>
      <c r="D42" s="512">
        <f>'RGV FGD'!F66</f>
        <v>0</v>
      </c>
      <c r="E42" s="512"/>
      <c r="F42" s="512">
        <f t="shared" ref="F42:F53" si="14">B42-(SUM(D42:E42))</f>
        <v>177873376</v>
      </c>
      <c r="G42" s="337"/>
      <c r="H42" s="1378" t="s">
        <v>2158</v>
      </c>
      <c r="I42" s="1379">
        <f>ROUND(F42/$C$6,0)</f>
        <v>6222</v>
      </c>
      <c r="J42" s="337" t="s">
        <v>752</v>
      </c>
      <c r="K42" s="512">
        <f>F42</f>
        <v>177873376</v>
      </c>
      <c r="L42" s="512">
        <f>K42</f>
        <v>177873376</v>
      </c>
      <c r="M42" s="512"/>
      <c r="N42" s="512"/>
      <c r="O42" s="512"/>
    </row>
    <row r="43" spans="1:31">
      <c r="A43" s="99" t="s">
        <v>15</v>
      </c>
      <c r="B43" s="86">
        <f>'RGV FGD'!M67</f>
        <v>45995903</v>
      </c>
      <c r="C43" s="87">
        <f t="shared" si="13"/>
        <v>1609</v>
      </c>
      <c r="D43" s="86">
        <f>'RGV FGD'!F67</f>
        <v>0</v>
      </c>
      <c r="E43" s="74"/>
      <c r="F43" s="74">
        <f t="shared" si="14"/>
        <v>45995903</v>
      </c>
      <c r="G43" s="337"/>
      <c r="H43" s="337"/>
      <c r="J43" s="337" t="s">
        <v>1076</v>
      </c>
      <c r="K43" s="373">
        <f>F43</f>
        <v>45995903</v>
      </c>
      <c r="L43" s="373">
        <f>K43</f>
        <v>45995903</v>
      </c>
      <c r="M43" s="373"/>
      <c r="N43" s="373"/>
      <c r="O43" s="373"/>
    </row>
    <row r="44" spans="1:31">
      <c r="A44" s="99" t="s">
        <v>16</v>
      </c>
      <c r="B44" s="86">
        <f>'RGV FGD'!M68</f>
        <v>13560326</v>
      </c>
      <c r="C44" s="87">
        <f t="shared" si="13"/>
        <v>474</v>
      </c>
      <c r="D44" s="86">
        <f>'RGV FGD'!F68</f>
        <v>0</v>
      </c>
      <c r="E44" s="86">
        <f>B44-D44</f>
        <v>13560326</v>
      </c>
      <c r="F44" s="74">
        <f t="shared" si="14"/>
        <v>0</v>
      </c>
      <c r="G44" s="337"/>
      <c r="H44" s="337"/>
      <c r="I44" s="337"/>
      <c r="J44" s="337" t="s">
        <v>1077</v>
      </c>
      <c r="K44" s="736"/>
      <c r="L44" s="737"/>
      <c r="M44" s="737" t="s">
        <v>1152</v>
      </c>
      <c r="N44" s="737"/>
      <c r="O44" s="738"/>
    </row>
    <row r="45" spans="1:31">
      <c r="A45" s="407" t="s">
        <v>2123</v>
      </c>
      <c r="B45" s="87">
        <f>'RGV FGD'!M69</f>
        <v>48964416</v>
      </c>
      <c r="C45" s="87">
        <f t="shared" si="13"/>
        <v>1713</v>
      </c>
      <c r="D45" s="373">
        <f>'RGV FGD'!F69</f>
        <v>0</v>
      </c>
      <c r="E45" s="86">
        <f>B45-D45</f>
        <v>48964416</v>
      </c>
      <c r="F45" s="74">
        <f t="shared" ref="F45" si="15">B45-(SUM(D45:E45))</f>
        <v>0</v>
      </c>
      <c r="G45" s="742"/>
      <c r="J45" s="261" t="s">
        <v>2124</v>
      </c>
      <c r="K45" s="1701" t="s">
        <v>1152</v>
      </c>
      <c r="L45" s="1702"/>
      <c r="M45" s="1702"/>
      <c r="N45" s="1702"/>
      <c r="O45" s="1703"/>
      <c r="P45" s="75"/>
    </row>
    <row r="46" spans="1:31">
      <c r="A46" s="99" t="s">
        <v>17</v>
      </c>
      <c r="B46" s="86">
        <f>'RGV FGD'!M70</f>
        <v>63345006</v>
      </c>
      <c r="C46" s="87">
        <f t="shared" si="13"/>
        <v>2216</v>
      </c>
      <c r="D46" s="86">
        <f>'RGV FGD'!F70</f>
        <v>0</v>
      </c>
      <c r="E46" s="74"/>
      <c r="F46" s="74">
        <f t="shared" si="14"/>
        <v>63345006</v>
      </c>
      <c r="G46" s="337"/>
      <c r="H46" s="1378" t="s">
        <v>2159</v>
      </c>
      <c r="I46" s="1379">
        <f>ROUND(F46/$C$6,0)</f>
        <v>2216</v>
      </c>
      <c r="J46" s="337" t="s">
        <v>1078</v>
      </c>
      <c r="K46" s="373">
        <f t="shared" ref="K46:K50" si="16">F46</f>
        <v>63345006</v>
      </c>
      <c r="L46" s="373">
        <f>K46</f>
        <v>63345006</v>
      </c>
      <c r="M46" s="373"/>
      <c r="N46" s="373"/>
      <c r="O46" s="373"/>
    </row>
    <row r="47" spans="1:31">
      <c r="A47" s="99" t="s">
        <v>18</v>
      </c>
      <c r="B47" s="86">
        <f>'RGV FGD'!M71</f>
        <v>42706686</v>
      </c>
      <c r="C47" s="87">
        <f t="shared" si="13"/>
        <v>1494</v>
      </c>
      <c r="D47" s="86">
        <f>'RGV FGD'!F71</f>
        <v>0</v>
      </c>
      <c r="E47" s="74"/>
      <c r="F47" s="74">
        <f t="shared" si="14"/>
        <v>42706686</v>
      </c>
      <c r="G47" s="337"/>
      <c r="J47" s="337" t="s">
        <v>1079</v>
      </c>
      <c r="K47" s="373">
        <f t="shared" si="16"/>
        <v>42706686</v>
      </c>
      <c r="L47" s="373"/>
      <c r="M47" s="373">
        <f>K47</f>
        <v>42706686</v>
      </c>
      <c r="N47" s="373"/>
      <c r="O47" s="373"/>
    </row>
    <row r="48" spans="1:31">
      <c r="A48" s="99" t="s">
        <v>19</v>
      </c>
      <c r="B48" s="86">
        <f>'RGV FGD'!M72</f>
        <v>37604861</v>
      </c>
      <c r="C48" s="87">
        <f t="shared" si="13"/>
        <v>1315</v>
      </c>
      <c r="D48" s="86">
        <f>'RGV FGD'!F72</f>
        <v>0</v>
      </c>
      <c r="E48" s="74"/>
      <c r="F48" s="74">
        <f t="shared" si="14"/>
        <v>37604861</v>
      </c>
      <c r="G48" s="337"/>
      <c r="H48" s="1378" t="s">
        <v>2160</v>
      </c>
      <c r="I48" s="1379">
        <f>ROUND(F48/$C$6,0)</f>
        <v>1315</v>
      </c>
      <c r="J48" s="337" t="s">
        <v>757</v>
      </c>
      <c r="K48" s="373">
        <f t="shared" si="16"/>
        <v>37604861</v>
      </c>
      <c r="L48" s="373"/>
      <c r="M48" s="373"/>
      <c r="N48" s="373">
        <f>K48</f>
        <v>37604861</v>
      </c>
      <c r="O48" s="373"/>
    </row>
    <row r="49" spans="1:31">
      <c r="A49" s="99" t="s">
        <v>20</v>
      </c>
      <c r="B49" s="86">
        <f>'RGV FGD'!M73</f>
        <v>39683753</v>
      </c>
      <c r="C49" s="87">
        <f t="shared" si="13"/>
        <v>1388</v>
      </c>
      <c r="D49" s="86">
        <f>'RGV FGD'!F73</f>
        <v>0</v>
      </c>
      <c r="E49" s="74"/>
      <c r="F49" s="74">
        <f t="shared" si="14"/>
        <v>39683753</v>
      </c>
      <c r="G49" s="337"/>
      <c r="J49" s="337" t="s">
        <v>758</v>
      </c>
      <c r="K49" s="373">
        <f t="shared" si="16"/>
        <v>39683753</v>
      </c>
      <c r="L49" s="373"/>
      <c r="M49" s="373"/>
      <c r="N49" s="373">
        <f>K49</f>
        <v>39683753</v>
      </c>
      <c r="O49" s="373"/>
    </row>
    <row r="50" spans="1:31">
      <c r="A50" s="99" t="s">
        <v>21</v>
      </c>
      <c r="B50" s="86">
        <f>'RGV FGD'!M74</f>
        <v>117100565</v>
      </c>
      <c r="C50" s="87">
        <f t="shared" si="13"/>
        <v>4096</v>
      </c>
      <c r="D50" s="86">
        <f>'RGV FGD'!F74</f>
        <v>0</v>
      </c>
      <c r="E50" s="74"/>
      <c r="F50" s="74">
        <f t="shared" si="14"/>
        <v>117100565</v>
      </c>
      <c r="G50" s="337"/>
      <c r="H50" s="337"/>
      <c r="I50" s="337"/>
      <c r="J50" s="337" t="s">
        <v>1145</v>
      </c>
      <c r="K50" s="373">
        <f t="shared" si="16"/>
        <v>117100565</v>
      </c>
      <c r="L50" s="373"/>
      <c r="M50" s="373">
        <f>K50</f>
        <v>117100565</v>
      </c>
      <c r="N50" s="373"/>
      <c r="O50" s="373"/>
    </row>
    <row r="51" spans="1:31">
      <c r="A51" s="99" t="s">
        <v>2135</v>
      </c>
      <c r="B51" s="86">
        <f>'RGV FGD'!M75</f>
        <v>25258572</v>
      </c>
      <c r="C51" s="87">
        <f t="shared" si="13"/>
        <v>884</v>
      </c>
      <c r="D51" s="729">
        <f>B51</f>
        <v>25258572</v>
      </c>
      <c r="E51" s="74"/>
      <c r="F51" s="74">
        <f t="shared" si="14"/>
        <v>0</v>
      </c>
      <c r="G51" s="337"/>
      <c r="H51" s="337"/>
      <c r="I51" s="337"/>
      <c r="J51" s="337" t="s">
        <v>743</v>
      </c>
      <c r="K51" s="736"/>
      <c r="L51" s="737"/>
      <c r="M51" s="737" t="s">
        <v>1152</v>
      </c>
      <c r="N51" s="737"/>
      <c r="O51" s="738"/>
    </row>
    <row r="52" spans="1:31">
      <c r="A52" s="99" t="s">
        <v>61</v>
      </c>
      <c r="B52" s="86">
        <f>'RGV FGD'!M76</f>
        <v>13339919</v>
      </c>
      <c r="C52" s="87">
        <f t="shared" si="13"/>
        <v>467</v>
      </c>
      <c r="D52" s="86">
        <f>'RGV FGD'!F76</f>
        <v>27998</v>
      </c>
      <c r="E52" s="74"/>
      <c r="F52" s="74">
        <f t="shared" si="14"/>
        <v>13311921</v>
      </c>
      <c r="G52" s="337"/>
      <c r="H52" s="337"/>
      <c r="I52" s="337"/>
      <c r="J52" s="337" t="s">
        <v>1080</v>
      </c>
      <c r="K52" s="373">
        <f t="shared" ref="K52:K53" si="17">F52</f>
        <v>13311921</v>
      </c>
      <c r="L52" s="373"/>
      <c r="M52" s="373"/>
      <c r="N52" s="373"/>
      <c r="O52" s="373">
        <f>K52</f>
        <v>13311921</v>
      </c>
    </row>
    <row r="53" spans="1:31" ht="13.5" thickBot="1">
      <c r="A53" s="75" t="s">
        <v>50</v>
      </c>
      <c r="B53" s="86">
        <f>'RGV FGD'!M77</f>
        <v>0</v>
      </c>
      <c r="C53" s="87">
        <f t="shared" si="13"/>
        <v>0</v>
      </c>
      <c r="D53" s="86">
        <f>'RGV FGD'!F77</f>
        <v>0</v>
      </c>
      <c r="E53" s="74"/>
      <c r="F53" s="74">
        <f t="shared" si="14"/>
        <v>0</v>
      </c>
      <c r="G53" s="35"/>
      <c r="H53" s="1378" t="s">
        <v>2161</v>
      </c>
      <c r="I53" s="1379">
        <f>ROUND(SUM(F44+F47+F49+F50+F52+F53+F43)/$C$6,0)</f>
        <v>9053</v>
      </c>
      <c r="J53" s="610" t="s">
        <v>1075</v>
      </c>
      <c r="K53" s="373">
        <f t="shared" si="17"/>
        <v>0</v>
      </c>
      <c r="L53" s="611"/>
      <c r="M53" s="611"/>
      <c r="N53" s="611"/>
      <c r="O53" s="373">
        <f>K53</f>
        <v>0</v>
      </c>
      <c r="P53" s="35"/>
      <c r="Q53" s="96"/>
      <c r="R53" s="96"/>
      <c r="S53" s="96"/>
      <c r="T53" s="96"/>
      <c r="U53" s="96"/>
      <c r="V53" s="96"/>
      <c r="W53" s="96"/>
      <c r="X53" s="96"/>
      <c r="Y53" s="96"/>
      <c r="Z53" s="96"/>
      <c r="AA53" s="96"/>
      <c r="AB53" s="96"/>
      <c r="AC53" s="96"/>
      <c r="AD53" s="96"/>
      <c r="AE53" s="96"/>
    </row>
    <row r="54" spans="1:31" ht="14.25" customHeight="1" thickTop="1" thickBot="1">
      <c r="A54" s="100" t="s">
        <v>69</v>
      </c>
      <c r="B54" s="45">
        <f>SUM(B42:B53)</f>
        <v>625433383</v>
      </c>
      <c r="C54" s="45">
        <f>SUM(C42:C53)</f>
        <v>21878</v>
      </c>
      <c r="D54" s="730">
        <f>SUM(D42:D53)</f>
        <v>25286570</v>
      </c>
      <c r="E54" s="731">
        <f>SUM(E42:E53)</f>
        <v>62524742</v>
      </c>
      <c r="F54" s="719">
        <f>SUM(F42:F53)</f>
        <v>537622071</v>
      </c>
      <c r="G54" s="1688" t="s">
        <v>1176</v>
      </c>
      <c r="H54" s="1689"/>
      <c r="I54" s="785" t="s">
        <v>1164</v>
      </c>
      <c r="J54" s="610" t="s">
        <v>1081</v>
      </c>
      <c r="K54" s="612">
        <f>SUM(K42:K53)</f>
        <v>537622071</v>
      </c>
      <c r="L54" s="612">
        <f>SUM(L42:L53)</f>
        <v>287214285</v>
      </c>
      <c r="M54" s="612">
        <f>SUM(M42:M53)</f>
        <v>159807251</v>
      </c>
      <c r="N54" s="612">
        <f>SUM(N42:N53)</f>
        <v>77288614</v>
      </c>
      <c r="O54" s="612">
        <f>SUM(O42:O53)</f>
        <v>13311921</v>
      </c>
    </row>
    <row r="55" spans="1:31" ht="14.25" thickTop="1" thickBot="1">
      <c r="A55" s="93"/>
      <c r="B55" s="98"/>
      <c r="C55" s="75"/>
      <c r="F55" s="613"/>
      <c r="G55" s="1690"/>
      <c r="H55" s="1691"/>
      <c r="I55" s="823">
        <f>ROUND(F54/C6,0)</f>
        <v>18807</v>
      </c>
      <c r="J55" s="1700" t="s">
        <v>1082</v>
      </c>
      <c r="K55" s="611"/>
      <c r="L55" s="611"/>
      <c r="M55" s="611"/>
      <c r="N55" s="611"/>
      <c r="O55" s="611"/>
    </row>
    <row r="56" spans="1:31" ht="13.5" thickBot="1">
      <c r="A56" s="78" t="s">
        <v>23</v>
      </c>
      <c r="B56" s="82"/>
      <c r="C56" s="75"/>
      <c r="F56" s="614"/>
      <c r="G56" s="1690"/>
      <c r="H56" s="1691"/>
      <c r="I56" s="1074"/>
      <c r="J56" s="1700"/>
      <c r="K56" s="615">
        <f>ROUND(K54/$C$6,2)</f>
        <v>18806.939999999999</v>
      </c>
      <c r="L56" s="615">
        <f t="shared" ref="L56:O56" si="18">ROUND(L54/$C$6,2)</f>
        <v>10047.25</v>
      </c>
      <c r="M56" s="615">
        <f t="shared" si="18"/>
        <v>5590.33</v>
      </c>
      <c r="N56" s="615">
        <f t="shared" si="18"/>
        <v>2703.69</v>
      </c>
      <c r="O56" s="615">
        <f t="shared" si="18"/>
        <v>465.67</v>
      </c>
      <c r="P56" s="35"/>
      <c r="Q56" s="96"/>
      <c r="R56" s="96"/>
      <c r="S56" s="96"/>
      <c r="T56" s="96"/>
      <c r="U56" s="96"/>
      <c r="V56" s="96"/>
      <c r="W56" s="96"/>
      <c r="X56" s="96"/>
      <c r="Y56" s="96"/>
      <c r="Z56" s="96"/>
      <c r="AA56" s="96"/>
      <c r="AB56" s="96"/>
      <c r="AC56" s="96"/>
      <c r="AD56" s="96"/>
      <c r="AE56" s="96"/>
    </row>
    <row r="57" spans="1:31" ht="13.5" thickBot="1">
      <c r="A57" s="75" t="s">
        <v>62</v>
      </c>
      <c r="B57" s="86">
        <f>'RGV FGD'!M81</f>
        <v>-49323529</v>
      </c>
      <c r="C57" s="83">
        <f t="shared" ref="C57:C60" si="19">ROUND(B57/$C$6,0)</f>
        <v>-1725</v>
      </c>
      <c r="D57" s="512">
        <f>'RGV FGD'!F81</f>
        <v>0</v>
      </c>
      <c r="E57" s="512"/>
      <c r="F57" s="732">
        <f t="shared" ref="F57:F60" si="20">B57-(SUM(D57:E57))</f>
        <v>-49323529</v>
      </c>
      <c r="G57" s="1692"/>
      <c r="H57" s="1693"/>
      <c r="I57" s="1074"/>
      <c r="J57" s="38"/>
      <c r="K57" s="35"/>
      <c r="L57" s="35"/>
      <c r="M57" s="35"/>
      <c r="N57" s="35"/>
      <c r="O57" s="35"/>
      <c r="P57" s="35"/>
      <c r="Q57" s="96"/>
      <c r="R57" s="96"/>
      <c r="S57" s="96"/>
      <c r="T57" s="96"/>
      <c r="U57" s="96"/>
      <c r="V57" s="96"/>
      <c r="W57" s="96"/>
      <c r="X57" s="96"/>
      <c r="Y57" s="96"/>
      <c r="Z57" s="96"/>
      <c r="AA57" s="96"/>
      <c r="AB57" s="96"/>
      <c r="AC57" s="96"/>
      <c r="AD57" s="96"/>
      <c r="AE57" s="96"/>
    </row>
    <row r="58" spans="1:31" ht="13.5" thickTop="1">
      <c r="A58" s="75" t="s">
        <v>572</v>
      </c>
      <c r="B58" s="86">
        <f>'RGV FGD'!M82</f>
        <v>9208022</v>
      </c>
      <c r="C58" s="87">
        <f t="shared" si="19"/>
        <v>322</v>
      </c>
      <c r="D58" s="91">
        <f>'RGV FGD'!F82</f>
        <v>12734911</v>
      </c>
      <c r="E58" s="82"/>
      <c r="F58" s="74">
        <f t="shared" si="20"/>
        <v>-3526889</v>
      </c>
      <c r="G58" s="337"/>
      <c r="J58" s="337"/>
      <c r="K58" s="616"/>
      <c r="L58" s="616"/>
      <c r="M58" s="616"/>
      <c r="N58" s="616"/>
      <c r="O58" s="616"/>
    </row>
    <row r="59" spans="1:31">
      <c r="A59" s="75" t="s">
        <v>51</v>
      </c>
      <c r="B59" s="86">
        <f>'RGV FGD'!M83</f>
        <v>34597718</v>
      </c>
      <c r="C59" s="87">
        <f t="shared" si="19"/>
        <v>1210</v>
      </c>
      <c r="D59" s="91">
        <f>'RGV FGD'!F83</f>
        <v>0</v>
      </c>
      <c r="E59" s="82"/>
      <c r="F59" s="74">
        <f t="shared" si="20"/>
        <v>34597718</v>
      </c>
      <c r="G59" s="337"/>
      <c r="J59" s="733"/>
      <c r="K59" s="733"/>
      <c r="L59" s="733"/>
      <c r="M59" s="733"/>
      <c r="N59" s="733"/>
      <c r="O59" s="733"/>
    </row>
    <row r="60" spans="1:31" ht="12" customHeight="1">
      <c r="A60" s="75" t="s">
        <v>46</v>
      </c>
      <c r="B60" s="86">
        <f>'RGV FGD'!M84</f>
        <v>-20217586</v>
      </c>
      <c r="C60" s="87">
        <f t="shared" si="19"/>
        <v>-707</v>
      </c>
      <c r="D60" s="91">
        <f>'RGV FGD'!F84</f>
        <v>-1452840</v>
      </c>
      <c r="E60" s="82"/>
      <c r="F60" s="74">
        <f t="shared" si="20"/>
        <v>-18764746</v>
      </c>
      <c r="G60" s="35"/>
      <c r="J60" s="733"/>
      <c r="K60" s="733"/>
      <c r="L60" s="733"/>
      <c r="M60" s="733"/>
      <c r="N60" s="733"/>
      <c r="O60" s="733"/>
      <c r="P60" s="35"/>
      <c r="Q60" s="96"/>
      <c r="R60" s="96"/>
      <c r="S60" s="96"/>
      <c r="T60" s="96"/>
      <c r="U60" s="96"/>
      <c r="V60" s="96"/>
      <c r="W60" s="96"/>
      <c r="X60" s="96"/>
      <c r="Y60" s="96"/>
      <c r="Z60" s="96"/>
      <c r="AA60" s="96"/>
      <c r="AB60" s="96"/>
      <c r="AC60" s="96"/>
      <c r="AD60" s="96"/>
      <c r="AE60" s="96"/>
    </row>
    <row r="61" spans="1:31">
      <c r="A61" s="88" t="s">
        <v>3</v>
      </c>
      <c r="B61" s="89">
        <f>SUM(B57:B60)</f>
        <v>-25735375</v>
      </c>
      <c r="C61" s="89">
        <f>SUM(C57:C60)</f>
        <v>-900</v>
      </c>
      <c r="D61" s="89">
        <f>SUM(D57:D60)</f>
        <v>11282071</v>
      </c>
      <c r="E61" s="89">
        <f>SUM(E57:E60)</f>
        <v>0</v>
      </c>
      <c r="F61" s="102">
        <f>SUM(F57:F60)</f>
        <v>-37017446</v>
      </c>
      <c r="G61" s="337"/>
      <c r="H61" s="337"/>
      <c r="I61" s="337"/>
      <c r="J61" s="733"/>
      <c r="K61" s="733"/>
      <c r="L61" s="733"/>
      <c r="M61" s="733"/>
      <c r="N61" s="733"/>
      <c r="O61" s="733"/>
    </row>
    <row r="62" spans="1:31">
      <c r="B62" s="82"/>
      <c r="C62" s="75"/>
    </row>
    <row r="63" spans="1:31">
      <c r="A63" s="78" t="s">
        <v>24</v>
      </c>
      <c r="B63" s="82"/>
      <c r="C63" s="75"/>
      <c r="F63" s="368"/>
      <c r="G63" s="35"/>
      <c r="H63" s="35"/>
      <c r="I63" s="35"/>
      <c r="J63" s="35"/>
      <c r="K63" s="35"/>
      <c r="L63" s="35"/>
      <c r="M63" s="35"/>
      <c r="N63" s="35"/>
      <c r="O63" s="35"/>
      <c r="P63" s="35"/>
      <c r="Q63" s="96"/>
      <c r="R63" s="96"/>
      <c r="S63" s="96"/>
      <c r="T63" s="96"/>
      <c r="U63" s="96"/>
      <c r="V63" s="96"/>
      <c r="W63" s="96"/>
      <c r="X63" s="96"/>
      <c r="Y63" s="96"/>
      <c r="Z63" s="96"/>
      <c r="AA63" s="96"/>
      <c r="AB63" s="96"/>
      <c r="AC63" s="96"/>
      <c r="AD63" s="96"/>
      <c r="AE63" s="96"/>
    </row>
    <row r="64" spans="1:31">
      <c r="A64" s="75" t="s">
        <v>47</v>
      </c>
      <c r="B64" s="86">
        <f>'RGV FGD'!M88</f>
        <v>33294824</v>
      </c>
      <c r="C64" s="83">
        <f>ROUND(B64/$C$6,0)</f>
        <v>1165</v>
      </c>
      <c r="D64" s="512">
        <f>'RGV FGD'!F88</f>
        <v>1767447</v>
      </c>
      <c r="E64" s="512"/>
      <c r="F64" s="512">
        <f t="shared" ref="F64:F65" si="21">B64-(SUM(D64:E64))</f>
        <v>31527377</v>
      </c>
      <c r="G64" s="337"/>
      <c r="H64" s="337"/>
      <c r="I64" s="337"/>
      <c r="J64" s="337"/>
    </row>
    <row r="65" spans="1:31">
      <c r="A65" s="75" t="s">
        <v>48</v>
      </c>
      <c r="B65" s="86">
        <f>'RGV FGD'!M89</f>
        <v>5251830</v>
      </c>
      <c r="C65" s="87">
        <f>ROUND(B65/$C$6,0)</f>
        <v>184</v>
      </c>
      <c r="D65" s="91">
        <f>'RGV FGD'!F89</f>
        <v>0</v>
      </c>
      <c r="E65" s="82"/>
      <c r="F65" s="74">
        <f t="shared" si="21"/>
        <v>5251830</v>
      </c>
      <c r="G65" s="35"/>
      <c r="H65" s="35"/>
      <c r="I65" s="35"/>
      <c r="J65" s="35"/>
      <c r="K65" s="35"/>
      <c r="L65" s="35"/>
      <c r="M65" s="35"/>
      <c r="N65" s="35"/>
      <c r="O65" s="35"/>
      <c r="P65" s="35"/>
      <c r="Q65" s="96"/>
      <c r="R65" s="96"/>
      <c r="S65" s="96"/>
      <c r="T65" s="96"/>
      <c r="U65" s="96"/>
      <c r="V65" s="96"/>
      <c r="W65" s="96"/>
      <c r="X65" s="96"/>
      <c r="Y65" s="96"/>
      <c r="Z65" s="96"/>
      <c r="AA65" s="96"/>
      <c r="AB65" s="96"/>
      <c r="AC65" s="96"/>
      <c r="AD65" s="96"/>
      <c r="AE65" s="96"/>
    </row>
    <row r="66" spans="1:31" s="93" customFormat="1">
      <c r="A66" s="88" t="s">
        <v>3</v>
      </c>
      <c r="B66" s="89">
        <f>SUM(B64:B65)</f>
        <v>38546654</v>
      </c>
      <c r="C66" s="89">
        <f>SUM(C64:C65)</f>
        <v>1349</v>
      </c>
      <c r="D66" s="89">
        <f>SUM(D64:D65)</f>
        <v>1767447</v>
      </c>
      <c r="E66" s="89">
        <f>SUM(E64:E65)</f>
        <v>0</v>
      </c>
      <c r="F66" s="89">
        <f>SUM(F64:F65)</f>
        <v>36779207</v>
      </c>
      <c r="G66" s="367"/>
      <c r="H66" s="367"/>
      <c r="I66" s="367"/>
      <c r="J66" s="367"/>
      <c r="K66" s="266"/>
      <c r="L66" s="266"/>
      <c r="M66" s="266"/>
      <c r="N66" s="266"/>
      <c r="O66" s="266"/>
      <c r="P66" s="266"/>
    </row>
    <row r="67" spans="1:31">
      <c r="B67" s="82"/>
      <c r="C67" s="75"/>
    </row>
    <row r="68" spans="1:31" ht="13.5" thickBot="1">
      <c r="A68" s="103" t="s">
        <v>573</v>
      </c>
      <c r="B68" s="46">
        <f>B39-B54+B61+B66</f>
        <v>149344078</v>
      </c>
      <c r="C68" s="46">
        <f>C39-C54+C61+C66</f>
        <v>5226</v>
      </c>
      <c r="D68" s="46">
        <f>D39-D54+D61+D66</f>
        <v>4568915</v>
      </c>
      <c r="E68" s="46">
        <f>E39-E54+E61+E66</f>
        <v>-62524742</v>
      </c>
      <c r="F68" s="46">
        <f>F39-F54+F61+F66</f>
        <v>207299905</v>
      </c>
    </row>
    <row r="69" spans="1:31" ht="13.5" thickTop="1"/>
    <row r="70" spans="1:31">
      <c r="C70" s="235"/>
      <c r="D70" s="512"/>
    </row>
    <row r="72" spans="1:31">
      <c r="B72" s="734">
        <f>'RGV FGD'!$M$92</f>
        <v>149344078</v>
      </c>
      <c r="C72" s="75"/>
      <c r="D72" s="734">
        <f>'RGV FGD'!$F$92</f>
        <v>6232230</v>
      </c>
      <c r="E72" s="734">
        <f>'RGV FGD'!$M$68*-1</f>
        <v>-13560326</v>
      </c>
      <c r="F72" s="75"/>
    </row>
    <row r="73" spans="1:31">
      <c r="B73" s="734"/>
      <c r="C73" s="75"/>
      <c r="D73" s="734">
        <f>'RGV FGD'!$F$75</f>
        <v>23595257</v>
      </c>
      <c r="E73" s="734">
        <f>+$D$44</f>
        <v>0</v>
      </c>
      <c r="F73" s="734"/>
    </row>
    <row r="74" spans="1:31">
      <c r="B74" s="759"/>
      <c r="C74" s="75"/>
      <c r="D74" s="759">
        <f>-'RGV FGD'!$M$75</f>
        <v>-25258572</v>
      </c>
      <c r="E74" s="759">
        <f>'RGV FGD'!$M$69*-1</f>
        <v>-48964416</v>
      </c>
      <c r="F74" s="734"/>
    </row>
    <row r="75" spans="1:31">
      <c r="B75" s="734">
        <f>SUM(B72:B74)</f>
        <v>149344078</v>
      </c>
      <c r="C75" s="75"/>
      <c r="D75" s="734">
        <f>SUM(D72:D74)</f>
        <v>4568915</v>
      </c>
      <c r="E75" s="734">
        <f>SUM(E72:E74)</f>
        <v>-62524742</v>
      </c>
      <c r="F75" s="734">
        <f>B75-D75-E75</f>
        <v>207299905</v>
      </c>
    </row>
    <row r="76" spans="1:31">
      <c r="B76" s="734"/>
      <c r="C76" s="75"/>
      <c r="D76" s="734">
        <f>'RGV FGD'!F60*-1</f>
        <v>-4036238</v>
      </c>
      <c r="E76" s="734"/>
      <c r="F76" s="734"/>
    </row>
    <row r="77" spans="1:31" ht="12.75" customHeight="1">
      <c r="B77" s="759"/>
      <c r="C77" s="95"/>
      <c r="D77" s="759">
        <f>'RGV FGD'!M60</f>
        <v>4036238</v>
      </c>
      <c r="E77" s="759"/>
      <c r="F77" s="759">
        <f>-D77-D76</f>
        <v>0</v>
      </c>
    </row>
    <row r="78" spans="1:31" ht="12.75" customHeight="1">
      <c r="B78" s="734">
        <f>SUM(B75:B77)</f>
        <v>149344078</v>
      </c>
      <c r="C78" s="75"/>
      <c r="D78" s="734">
        <f>SUM(D75:D77)</f>
        <v>4568915</v>
      </c>
      <c r="E78" s="734">
        <f>SUM(E75:E77)</f>
        <v>-62524742</v>
      </c>
      <c r="F78" s="734">
        <f>SUM(F75:F77)</f>
        <v>207299905</v>
      </c>
    </row>
    <row r="79" spans="1:31" ht="12.75" customHeight="1">
      <c r="B79" s="734"/>
      <c r="C79" s="75"/>
      <c r="D79" s="734"/>
      <c r="E79" s="734"/>
      <c r="F79" s="734"/>
    </row>
    <row r="80" spans="1:31" ht="12.75" customHeight="1">
      <c r="B80" s="512">
        <f>B68-B78</f>
        <v>0</v>
      </c>
      <c r="C80" s="75"/>
      <c r="D80" s="512">
        <f>D68-D78</f>
        <v>0</v>
      </c>
      <c r="E80" s="512">
        <f>E68-E78</f>
        <v>0</v>
      </c>
      <c r="F80" s="512">
        <f>F68-F78</f>
        <v>0</v>
      </c>
    </row>
    <row r="81" spans="3:16" ht="12.75" customHeight="1">
      <c r="C81" s="75"/>
      <c r="F81" s="617" t="str">
        <f>IF(F80=0,"Balanced","Error")</f>
        <v>Balanced</v>
      </c>
    </row>
    <row r="83" spans="3:16" s="85" customFormat="1">
      <c r="C83" s="25"/>
      <c r="D83" s="337"/>
      <c r="E83" s="337"/>
      <c r="F83" s="337"/>
      <c r="G83" s="337"/>
      <c r="H83" s="337"/>
      <c r="I83" s="337"/>
      <c r="J83" s="337"/>
      <c r="K83" s="337"/>
      <c r="L83" s="337"/>
      <c r="M83" s="337"/>
      <c r="N83" s="337"/>
      <c r="O83" s="337"/>
      <c r="P83" s="337"/>
    </row>
    <row r="84" spans="3:16" s="85" customFormat="1">
      <c r="C84" s="25"/>
      <c r="D84" s="337"/>
      <c r="E84" s="337"/>
      <c r="F84" s="337"/>
      <c r="G84" s="337"/>
      <c r="H84" s="337"/>
      <c r="I84" s="337"/>
      <c r="J84" s="337"/>
      <c r="K84" s="337"/>
      <c r="L84" s="337"/>
      <c r="M84" s="337"/>
      <c r="N84" s="337"/>
      <c r="O84" s="337"/>
      <c r="P84" s="337"/>
    </row>
    <row r="86" spans="3:16" s="85" customFormat="1">
      <c r="C86" s="25"/>
      <c r="D86" s="337"/>
      <c r="E86" s="337"/>
      <c r="F86" s="337"/>
      <c r="G86" s="337"/>
      <c r="H86" s="337"/>
      <c r="I86" s="337"/>
      <c r="J86" s="337"/>
      <c r="K86" s="337"/>
      <c r="L86" s="337"/>
      <c r="M86" s="337"/>
      <c r="N86" s="337"/>
      <c r="O86" s="337"/>
      <c r="P86" s="337"/>
    </row>
  </sheetData>
  <mergeCells count="18">
    <mergeCell ref="A4:C4"/>
    <mergeCell ref="D1:E1"/>
    <mergeCell ref="F1:I1"/>
    <mergeCell ref="J1:O1"/>
    <mergeCell ref="D4:D5"/>
    <mergeCell ref="E4:E5"/>
    <mergeCell ref="G38:H38"/>
    <mergeCell ref="G39:H39"/>
    <mergeCell ref="G54:H57"/>
    <mergeCell ref="J55:J56"/>
    <mergeCell ref="K35:O35"/>
    <mergeCell ref="K36:O36"/>
    <mergeCell ref="K37:K40"/>
    <mergeCell ref="L37:L40"/>
    <mergeCell ref="M37:M40"/>
    <mergeCell ref="N37:N40"/>
    <mergeCell ref="O37:O40"/>
    <mergeCell ref="K45:O45"/>
  </mergeCells>
  <hyperlinks>
    <hyperlink ref="D1:E1" location="Index!A1" display="Return to Index" xr:uid="{00000000-0004-0000-AE00-000000000000}"/>
  </hyperlinks>
  <printOptions horizontalCentered="1"/>
  <pageMargins left="0.5" right="0.5" top="0.25" bottom="0.25" header="0" footer="0.25"/>
  <pageSetup scale="85" orientation="portrait" r:id="rId1"/>
  <headerFooter alignWithMargins="0"/>
  <rowBreaks count="1" manualBreakCount="1">
    <brk id="69" max="1" man="1"/>
  </rowBreaks>
  <legacyDrawing r:id="rId2"/>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sheetPr>
    <tabColor indexed="11"/>
    <pageSetUpPr fitToPage="1"/>
  </sheetPr>
  <dimension ref="A1:AJ129"/>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J16" sqref="J16"/>
    </sheetView>
  </sheetViews>
  <sheetFormatPr defaultColWidth="9.140625"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5.14062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4" style="164" customWidth="1"/>
    <col min="15" max="15" width="16.85546875" style="261" customWidth="1"/>
    <col min="16" max="16" width="25.7109375" style="264" customWidth="1"/>
    <col min="17" max="17" width="16.42578125" style="264" customWidth="1"/>
    <col min="18" max="18" width="18" style="264" customWidth="1"/>
    <col min="19" max="19" width="1.7109375" style="264" customWidth="1"/>
    <col min="20" max="20" width="17.140625" style="264" customWidth="1"/>
    <col min="21" max="21" width="16.85546875" style="264" customWidth="1"/>
    <col min="22" max="23" width="19.28515625" style="264" customWidth="1"/>
    <col min="24" max="24" width="19"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t="13.5" hidden="1" thickBot="1">
      <c r="A1" s="184">
        <v>0</v>
      </c>
      <c r="B1" s="184">
        <v>1</v>
      </c>
      <c r="D1" s="184">
        <v>2</v>
      </c>
      <c r="E1" s="184">
        <v>3</v>
      </c>
      <c r="F1" s="184">
        <v>4</v>
      </c>
      <c r="G1" s="184">
        <v>5</v>
      </c>
      <c r="H1" s="184">
        <v>6</v>
      </c>
      <c r="I1" s="184">
        <v>7</v>
      </c>
      <c r="J1" s="184">
        <v>8</v>
      </c>
      <c r="K1" s="184">
        <v>9</v>
      </c>
      <c r="L1" s="184">
        <v>10</v>
      </c>
      <c r="M1" s="184">
        <v>11</v>
      </c>
      <c r="N1" s="184">
        <v>12</v>
      </c>
      <c r="O1" s="1072"/>
      <c r="P1" s="263"/>
      <c r="Q1" s="263"/>
      <c r="R1" s="263"/>
      <c r="S1" s="263"/>
      <c r="T1" s="263"/>
      <c r="U1" s="263"/>
      <c r="V1" s="263"/>
      <c r="W1" s="263"/>
      <c r="X1" s="263"/>
      <c r="Y1" s="263"/>
      <c r="Z1" s="263"/>
      <c r="AA1" s="263"/>
      <c r="AB1" s="263"/>
    </row>
    <row r="2" spans="1:28" ht="21" thickBot="1">
      <c r="A2" s="184">
        <v>1</v>
      </c>
      <c r="B2" s="1713" t="str">
        <f>'RGV Chrts'!$A$1</f>
        <v>The University of Texas RGV - All Disciplines (A+H+M)</v>
      </c>
      <c r="C2" s="1713"/>
      <c r="D2" s="1713"/>
      <c r="E2" s="1713"/>
      <c r="F2" s="1742"/>
      <c r="G2" s="1345"/>
      <c r="H2" s="161"/>
      <c r="I2" s="320" t="str">
        <f>IF($B$2&lt;&gt;Input!$B$52,"Name Mismatch","")</f>
        <v/>
      </c>
      <c r="K2" s="169"/>
      <c r="L2" s="169"/>
      <c r="M2" s="170"/>
      <c r="O2" s="835" t="s">
        <v>1200</v>
      </c>
      <c r="P2" s="36"/>
    </row>
    <row r="3" spans="1:28" ht="20.25">
      <c r="A3" s="184">
        <v>2</v>
      </c>
      <c r="B3" s="1713" t="str">
        <f>'Smmy Chrts'!$A$2</f>
        <v>For the Year Ended August 31, 2021</v>
      </c>
      <c r="C3" s="1713"/>
      <c r="D3" s="1713"/>
      <c r="E3" s="1713"/>
      <c r="F3" s="1742"/>
      <c r="G3" s="1175" t="s">
        <v>1395</v>
      </c>
      <c r="H3" s="161"/>
      <c r="I3" s="169"/>
      <c r="J3" s="168"/>
      <c r="K3" s="169"/>
      <c r="L3" s="169"/>
      <c r="M3" s="170"/>
      <c r="O3" s="74"/>
    </row>
    <row r="4" spans="1:28" ht="20.25">
      <c r="A4" s="184">
        <v>3</v>
      </c>
      <c r="B4" s="1713" t="str">
        <f>'Smmy Chrts'!$A$3</f>
        <v>Source: FY 2021 Annual Financial Report</v>
      </c>
      <c r="C4" s="1713"/>
      <c r="D4" s="1713"/>
      <c r="E4" s="1713"/>
      <c r="F4" s="1742"/>
      <c r="G4" s="1175" t="s">
        <v>1396</v>
      </c>
      <c r="H4" s="161"/>
      <c r="I4" s="169"/>
      <c r="J4" s="168"/>
      <c r="K4" s="169"/>
      <c r="L4" s="169"/>
      <c r="M4" s="170"/>
      <c r="O4" s="74"/>
      <c r="P4" s="1744" t="s">
        <v>93</v>
      </c>
      <c r="Q4" s="1745"/>
      <c r="T4" s="36" t="s">
        <v>250</v>
      </c>
    </row>
    <row r="5" spans="1:28">
      <c r="A5" s="184">
        <v>4</v>
      </c>
      <c r="B5" s="160"/>
      <c r="C5" s="160"/>
      <c r="D5" s="160"/>
      <c r="E5" s="160"/>
      <c r="F5" s="160"/>
      <c r="G5" s="160"/>
      <c r="H5" s="160"/>
      <c r="I5" s="160"/>
      <c r="J5" s="160"/>
      <c r="K5" s="160"/>
      <c r="L5" s="160"/>
      <c r="M5" s="166"/>
      <c r="O5" s="1072"/>
    </row>
    <row r="6" spans="1:28">
      <c r="A6" s="184">
        <v>5</v>
      </c>
      <c r="B6" s="1715" t="str">
        <f>'Smmy Chrts'!$C$32</f>
        <v>Detail Worksheet FY 2021</v>
      </c>
      <c r="C6" s="1715"/>
      <c r="D6" s="1743"/>
      <c r="E6" s="1743"/>
      <c r="F6" s="1743"/>
      <c r="G6" s="1743"/>
      <c r="H6" s="1743"/>
      <c r="I6" s="1743"/>
      <c r="J6" s="1743"/>
      <c r="K6" s="1743"/>
      <c r="L6" s="1743"/>
      <c r="M6" s="1743"/>
      <c r="O6" s="265"/>
    </row>
    <row r="7" spans="1:28">
      <c r="A7" s="184">
        <v>6</v>
      </c>
      <c r="B7" s="172"/>
      <c r="C7" s="172"/>
      <c r="D7" s="160"/>
      <c r="E7" s="160"/>
      <c r="F7" s="160"/>
      <c r="G7" s="160"/>
      <c r="H7" s="160"/>
      <c r="I7" s="160"/>
      <c r="J7" s="160"/>
      <c r="K7" s="160"/>
      <c r="L7" s="160"/>
      <c r="M7" s="173" t="str">
        <f>'Smmy Chrts'!$C$33</f>
        <v>FY 2021</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Input!$M$52</f>
        <v>150506095</v>
      </c>
      <c r="E10" s="372">
        <f>Input!$N$52</f>
        <v>0</v>
      </c>
      <c r="F10" s="372">
        <f>Input!$O$52</f>
        <v>0</v>
      </c>
      <c r="G10" s="372">
        <f>Input!$P$52</f>
        <v>0</v>
      </c>
      <c r="H10" s="372">
        <f>Input!$Q$52</f>
        <v>0</v>
      </c>
      <c r="I10" s="372">
        <f>Input!$R$52</f>
        <v>0</v>
      </c>
      <c r="J10" s="372">
        <f>Input!$S$52</f>
        <v>0</v>
      </c>
      <c r="K10" s="372">
        <f>Input!$T$52</f>
        <v>0</v>
      </c>
      <c r="L10" s="372">
        <f>Input!$U$52</f>
        <v>0</v>
      </c>
      <c r="M10" s="373">
        <f t="shared" ref="M10:M15" si="0">D10+E10+F10+G10+H10+I10+J10+K10+L10</f>
        <v>150506095</v>
      </c>
      <c r="N10" s="160"/>
      <c r="O10" s="271"/>
      <c r="P10" s="1718" t="s">
        <v>575</v>
      </c>
      <c r="U10" s="268"/>
    </row>
    <row r="11" spans="1:28">
      <c r="A11" s="184">
        <v>10</v>
      </c>
      <c r="B11" s="160" t="s">
        <v>2</v>
      </c>
      <c r="C11" s="160"/>
      <c r="D11" s="372">
        <f>Input!$V$52</f>
        <v>43339683</v>
      </c>
      <c r="E11" s="372">
        <f>Input!$W$52</f>
        <v>2171900</v>
      </c>
      <c r="F11" s="372">
        <f>Input!$X$52</f>
        <v>0</v>
      </c>
      <c r="G11" s="372">
        <f>Input!$Y$52</f>
        <v>1736305</v>
      </c>
      <c r="H11" s="372">
        <f>Input!$Z$52</f>
        <v>0</v>
      </c>
      <c r="I11" s="372">
        <f>Input!$AA$52</f>
        <v>0</v>
      </c>
      <c r="J11" s="372">
        <f>Input!$AB$52</f>
        <v>0</v>
      </c>
      <c r="K11" s="372">
        <f>Input!$AC$52</f>
        <v>0</v>
      </c>
      <c r="L11" s="372">
        <f>Input!$AD$52</f>
        <v>0</v>
      </c>
      <c r="M11" s="373">
        <f t="shared" si="0"/>
        <v>47247888</v>
      </c>
      <c r="N11" s="160"/>
      <c r="O11" s="482"/>
      <c r="P11" s="1719"/>
      <c r="U11" s="268"/>
    </row>
    <row r="12" spans="1:28" ht="12.75" hidden="1" customHeight="1">
      <c r="B12" s="171" t="s">
        <v>1410</v>
      </c>
      <c r="C12" s="160"/>
      <c r="D12" s="372"/>
      <c r="E12" s="372"/>
      <c r="F12" s="372"/>
      <c r="G12" s="372"/>
      <c r="H12" s="372"/>
      <c r="I12" s="372"/>
      <c r="J12" s="372"/>
      <c r="K12" s="372"/>
      <c r="L12" s="372"/>
      <c r="M12" s="373"/>
      <c r="N12" s="171"/>
      <c r="O12" s="482"/>
      <c r="P12" s="483"/>
      <c r="U12" s="272"/>
    </row>
    <row r="13" spans="1:28">
      <c r="A13" s="184">
        <v>12</v>
      </c>
      <c r="B13" s="171" t="s">
        <v>1368</v>
      </c>
      <c r="C13" s="160"/>
      <c r="D13" s="372">
        <f>Input!$AN$52</f>
        <v>0</v>
      </c>
      <c r="E13" s="372">
        <f>Input!$AO$52</f>
        <v>0</v>
      </c>
      <c r="F13" s="372">
        <f>Input!$AP$52</f>
        <v>0</v>
      </c>
      <c r="G13" s="372">
        <f>Input!$AQ$52</f>
        <v>0</v>
      </c>
      <c r="H13" s="372">
        <f>Input!$AR$52</f>
        <v>0</v>
      </c>
      <c r="I13" s="372">
        <f>Input!$AS$52</f>
        <v>0</v>
      </c>
      <c r="J13" s="372">
        <f>Input!$AT$52</f>
        <v>0</v>
      </c>
      <c r="K13" s="372">
        <f>Input!$AU$52</f>
        <v>0</v>
      </c>
      <c r="L13" s="372">
        <f>Input!$AV$52</f>
        <v>0</v>
      </c>
      <c r="M13" s="373">
        <f t="shared" si="0"/>
        <v>0</v>
      </c>
      <c r="N13" s="160"/>
      <c r="O13" s="482" t="str">
        <f>IF(P13&lt;&gt;M13,"Out of Balance","Balanced")</f>
        <v>Balanced</v>
      </c>
      <c r="P13" s="484">
        <f>IFERROR(VLOOKUP($B$2,AMTLU,6,FALSE),0)</f>
        <v>0</v>
      </c>
      <c r="U13" s="268"/>
    </row>
    <row r="14" spans="1:28">
      <c r="A14" s="184">
        <v>13</v>
      </c>
      <c r="B14" s="160" t="s">
        <v>49</v>
      </c>
      <c r="C14" s="160"/>
      <c r="D14" s="372">
        <f>Input!$AW$52</f>
        <v>0</v>
      </c>
      <c r="E14" s="372">
        <f>Input!$AX$52</f>
        <v>0</v>
      </c>
      <c r="F14" s="372">
        <f>Input!$AY$52</f>
        <v>0</v>
      </c>
      <c r="G14" s="372">
        <f>Input!$AZ$52</f>
        <v>0</v>
      </c>
      <c r="H14" s="372">
        <f>Input!$BA$52</f>
        <v>0</v>
      </c>
      <c r="I14" s="372">
        <f>Input!$BB$52</f>
        <v>0</v>
      </c>
      <c r="J14" s="372">
        <f>Input!$BC$52</f>
        <v>0</v>
      </c>
      <c r="K14" s="372">
        <f>Input!$BD$52</f>
        <v>0</v>
      </c>
      <c r="L14" s="372">
        <f>Input!$BE$52</f>
        <v>0</v>
      </c>
      <c r="M14" s="373">
        <f t="shared" si="0"/>
        <v>0</v>
      </c>
      <c r="N14" s="160"/>
      <c r="O14" s="482"/>
      <c r="P14" s="485"/>
    </row>
    <row r="15" spans="1:28" ht="15">
      <c r="A15" s="184">
        <v>14</v>
      </c>
      <c r="B15" s="176" t="s">
        <v>3</v>
      </c>
      <c r="C15" s="176"/>
      <c r="D15" s="374">
        <f t="shared" ref="D15:L15" si="1">SUM(D10:D14)</f>
        <v>193845778</v>
      </c>
      <c r="E15" s="374">
        <f t="shared" si="1"/>
        <v>2171900</v>
      </c>
      <c r="F15" s="374">
        <f t="shared" si="1"/>
        <v>0</v>
      </c>
      <c r="G15" s="374">
        <f t="shared" si="1"/>
        <v>1736305</v>
      </c>
      <c r="H15" s="374">
        <f t="shared" si="1"/>
        <v>0</v>
      </c>
      <c r="I15" s="374">
        <f t="shared" si="1"/>
        <v>0</v>
      </c>
      <c r="J15" s="374">
        <f t="shared" si="1"/>
        <v>0</v>
      </c>
      <c r="K15" s="374">
        <f t="shared" si="1"/>
        <v>0</v>
      </c>
      <c r="L15" s="374">
        <f t="shared" si="1"/>
        <v>0</v>
      </c>
      <c r="M15" s="374">
        <f t="shared" si="0"/>
        <v>197753983</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58" t="s">
        <v>1042</v>
      </c>
      <c r="C18" s="558"/>
      <c r="D18" s="374">
        <f t="shared" ref="D18:L18" si="2">D23-SUM(D19:D22)</f>
        <v>61773212</v>
      </c>
      <c r="E18" s="374">
        <f t="shared" si="2"/>
        <v>173477526</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235250738</v>
      </c>
      <c r="V18" s="327"/>
      <c r="X18" s="330"/>
    </row>
    <row r="19" spans="1:26" s="264" customFormat="1" ht="12.75" customHeight="1" thickTop="1" thickBot="1">
      <c r="A19" s="263"/>
      <c r="B19" s="261" t="s">
        <v>722</v>
      </c>
      <c r="C19" s="261"/>
      <c r="D19" s="372">
        <f>Input!$BF$52</f>
        <v>-8083538</v>
      </c>
      <c r="E19" s="372">
        <f>Input!$BG$52</f>
        <v>0</v>
      </c>
      <c r="F19" s="372">
        <f>Input!$BH$52</f>
        <v>0</v>
      </c>
      <c r="G19" s="372">
        <f>Input!$BI$52</f>
        <v>0</v>
      </c>
      <c r="H19" s="372">
        <f>Input!$BJ$52</f>
        <v>0</v>
      </c>
      <c r="I19" s="372">
        <f>Input!$BK$52</f>
        <v>0</v>
      </c>
      <c r="J19" s="372">
        <f>Input!$BL$52</f>
        <v>0</v>
      </c>
      <c r="K19" s="372">
        <f>Input!$BM$52</f>
        <v>0</v>
      </c>
      <c r="L19" s="372">
        <f>Input!$BN$52</f>
        <v>0</v>
      </c>
      <c r="M19" s="373">
        <f t="shared" si="3"/>
        <v>-8083538</v>
      </c>
      <c r="O19" s="1732" t="s">
        <v>1294</v>
      </c>
      <c r="P19" s="1733"/>
      <c r="Q19" s="1733"/>
      <c r="R19" s="1734"/>
      <c r="T19" s="1735" t="s">
        <v>1043</v>
      </c>
      <c r="U19" s="1736"/>
      <c r="V19" s="1736"/>
      <c r="W19" s="1736"/>
      <c r="X19" s="1737"/>
    </row>
    <row r="20" spans="1:26" s="264" customFormat="1" ht="12.75" customHeight="1" thickTop="1">
      <c r="A20" s="263"/>
      <c r="B20" s="261" t="s">
        <v>723</v>
      </c>
      <c r="C20" s="261"/>
      <c r="D20" s="372">
        <f>Input!$BO$52</f>
        <v>0</v>
      </c>
      <c r="E20" s="372">
        <f>Input!$BP$52</f>
        <v>-5458</v>
      </c>
      <c r="F20" s="372">
        <f>Input!$BQ$52</f>
        <v>0</v>
      </c>
      <c r="G20" s="372">
        <f>Input!$BR$52</f>
        <v>0</v>
      </c>
      <c r="H20" s="372">
        <f>Input!$BS$52</f>
        <v>0</v>
      </c>
      <c r="I20" s="372">
        <f>Input!$BT$52</f>
        <v>0</v>
      </c>
      <c r="J20" s="372">
        <f>Input!$BU$52</f>
        <v>0</v>
      </c>
      <c r="K20" s="372">
        <f>Input!$BV$52</f>
        <v>0</v>
      </c>
      <c r="L20" s="372">
        <f>Input!$BW$52</f>
        <v>0</v>
      </c>
      <c r="M20" s="373">
        <f t="shared" si="3"/>
        <v>-5458</v>
      </c>
      <c r="O20" s="421" t="s">
        <v>288</v>
      </c>
      <c r="P20" s="422"/>
      <c r="Q20" s="414"/>
      <c r="R20" s="559"/>
      <c r="T20" s="560" t="s">
        <v>1044</v>
      </c>
      <c r="U20" s="266"/>
      <c r="V20" s="266"/>
      <c r="X20" s="425"/>
    </row>
    <row r="21" spans="1:26" s="264" customFormat="1">
      <c r="A21" s="263"/>
      <c r="B21" s="261" t="s">
        <v>724</v>
      </c>
      <c r="C21" s="261"/>
      <c r="D21" s="372">
        <f>Input!$BX$52</f>
        <v>0</v>
      </c>
      <c r="E21" s="372">
        <f>Input!$BY$52</f>
        <v>0</v>
      </c>
      <c r="F21" s="372">
        <f>Input!$BZ$52</f>
        <v>0</v>
      </c>
      <c r="G21" s="372">
        <f>Input!$CA$52</f>
        <v>0</v>
      </c>
      <c r="H21" s="372">
        <f>Input!$CB$52</f>
        <v>0</v>
      </c>
      <c r="I21" s="372">
        <f>Input!$CC$52</f>
        <v>0</v>
      </c>
      <c r="J21" s="372">
        <f>Input!$CD$52</f>
        <v>0</v>
      </c>
      <c r="K21" s="372">
        <f>Input!$CE$52</f>
        <v>0</v>
      </c>
      <c r="L21" s="372">
        <f>Input!$CF$52</f>
        <v>0</v>
      </c>
      <c r="M21" s="373">
        <f t="shared" si="3"/>
        <v>0</v>
      </c>
      <c r="O21" s="434"/>
      <c r="R21" s="561"/>
      <c r="T21" s="650" t="s">
        <v>1045</v>
      </c>
      <c r="U21" s="266"/>
      <c r="V21" s="266"/>
      <c r="W21" s="651">
        <f>M44</f>
        <v>144723131</v>
      </c>
      <c r="X21" s="425"/>
      <c r="Z21" s="330"/>
    </row>
    <row r="22" spans="1:26" s="264" customFormat="1">
      <c r="A22" s="263"/>
      <c r="B22" s="261" t="s">
        <v>725</v>
      </c>
      <c r="C22" s="261"/>
      <c r="D22" s="372">
        <f>Input!$CG$52</f>
        <v>0</v>
      </c>
      <c r="E22" s="372">
        <f>Input!$CH$52</f>
        <v>0</v>
      </c>
      <c r="F22" s="372">
        <f>Input!$CI$52</f>
        <v>0</v>
      </c>
      <c r="G22" s="372">
        <f>Input!$CJ$52</f>
        <v>0</v>
      </c>
      <c r="H22" s="372">
        <f>Input!$CK$52</f>
        <v>0</v>
      </c>
      <c r="I22" s="372">
        <f>Input!$CL$52</f>
        <v>0</v>
      </c>
      <c r="J22" s="372">
        <f>Input!$CM$52</f>
        <v>0</v>
      </c>
      <c r="K22" s="372">
        <f>Input!$CN$52</f>
        <v>0</v>
      </c>
      <c r="L22" s="372">
        <f>Input!$CO$52</f>
        <v>0</v>
      </c>
      <c r="M22" s="373">
        <f t="shared" si="3"/>
        <v>0</v>
      </c>
      <c r="N22" s="270"/>
      <c r="O22" s="434" t="s">
        <v>1046</v>
      </c>
      <c r="P22" s="276"/>
      <c r="Q22" s="424">
        <f>M23</f>
        <v>227161742</v>
      </c>
      <c r="R22" s="562"/>
      <c r="T22" s="650" t="s">
        <v>1047</v>
      </c>
      <c r="U22" s="266"/>
      <c r="V22" s="266"/>
      <c r="W22" s="652">
        <f>R30*-1</f>
        <v>137495626</v>
      </c>
      <c r="X22" s="425"/>
    </row>
    <row r="23" spans="1:26" s="264" customFormat="1" ht="12.75" customHeight="1">
      <c r="A23" s="263"/>
      <c r="B23" s="558" t="s">
        <v>726</v>
      </c>
      <c r="C23" s="563"/>
      <c r="D23" s="564">
        <f>Input!$CP$52</f>
        <v>53689674</v>
      </c>
      <c r="E23" s="564">
        <f>Input!$CQ$52</f>
        <v>173472068</v>
      </c>
      <c r="F23" s="564">
        <f>Input!$CR$52</f>
        <v>0</v>
      </c>
      <c r="G23" s="564">
        <f>Input!$CS$52</f>
        <v>0</v>
      </c>
      <c r="H23" s="564">
        <f>Input!$CT$52</f>
        <v>0</v>
      </c>
      <c r="I23" s="564">
        <f>Input!$CU$52</f>
        <v>0</v>
      </c>
      <c r="J23" s="564">
        <f>Input!$CV$52</f>
        <v>0</v>
      </c>
      <c r="K23" s="564">
        <f>Input!$CW$52</f>
        <v>0</v>
      </c>
      <c r="L23" s="564">
        <f>Input!$CX$52</f>
        <v>0</v>
      </c>
      <c r="M23" s="565">
        <f t="shared" si="3"/>
        <v>227161742</v>
      </c>
      <c r="O23" s="434"/>
      <c r="P23" s="276"/>
      <c r="Q23" s="424"/>
      <c r="R23" s="562"/>
      <c r="T23" s="560" t="s">
        <v>1230</v>
      </c>
      <c r="U23" s="266"/>
      <c r="V23" s="266"/>
      <c r="W23" s="276"/>
      <c r="X23" s="425">
        <f>SUM(W21:W22)</f>
        <v>282218757</v>
      </c>
      <c r="Z23" s="330"/>
    </row>
    <row r="24" spans="1:26" s="264" customFormat="1" ht="12.75" customHeight="1">
      <c r="A24" s="263"/>
      <c r="B24" s="261" t="s">
        <v>727</v>
      </c>
      <c r="C24" s="566"/>
      <c r="D24" s="372">
        <f>Input!$CY$52</f>
        <v>0</v>
      </c>
      <c r="E24" s="372">
        <f>Input!$CZ$52</f>
        <v>0</v>
      </c>
      <c r="F24" s="372">
        <f>Input!$DA$52</f>
        <v>0</v>
      </c>
      <c r="G24" s="372">
        <f>Input!$DB$52</f>
        <v>0</v>
      </c>
      <c r="H24" s="372">
        <f>Input!$DC$52</f>
        <v>0</v>
      </c>
      <c r="I24" s="372">
        <f>Input!$DD$52</f>
        <v>0</v>
      </c>
      <c r="J24" s="372">
        <f>Input!$DE$52</f>
        <v>0</v>
      </c>
      <c r="K24" s="372">
        <f>Input!$DF$52</f>
        <v>0</v>
      </c>
      <c r="L24" s="372">
        <f>Input!$DG$52</f>
        <v>0</v>
      </c>
      <c r="M24" s="567">
        <f t="shared" si="3"/>
        <v>0</v>
      </c>
      <c r="O24" s="417" t="s">
        <v>1048</v>
      </c>
      <c r="P24" s="276"/>
      <c r="Q24" s="327"/>
      <c r="R24" s="646">
        <f>SUM(M24:M28)</f>
        <v>-125846247</v>
      </c>
      <c r="T24" s="560"/>
      <c r="U24" s="266"/>
      <c r="V24" s="266"/>
      <c r="X24" s="425"/>
      <c r="Z24" s="330"/>
    </row>
    <row r="25" spans="1:26" s="264" customFormat="1" ht="12.75" customHeight="1">
      <c r="A25" s="263"/>
      <c r="B25" s="261" t="s">
        <v>728</v>
      </c>
      <c r="C25" s="566"/>
      <c r="D25" s="372">
        <f>Input!DH6</f>
        <v>0</v>
      </c>
      <c r="E25" s="372">
        <f>Input!$DI$52</f>
        <v>0</v>
      </c>
      <c r="F25" s="372">
        <f>Input!$DJ$52</f>
        <v>0</v>
      </c>
      <c r="G25" s="372">
        <f>Input!$DK$52</f>
        <v>0</v>
      </c>
      <c r="H25" s="372">
        <f>Input!$DL$52</f>
        <v>0</v>
      </c>
      <c r="I25" s="372">
        <f>Input!$DM$52</f>
        <v>0</v>
      </c>
      <c r="J25" s="372">
        <f>Input!$DN$52</f>
        <v>0</v>
      </c>
      <c r="K25" s="372">
        <f>Input!$DO$52</f>
        <v>0</v>
      </c>
      <c r="L25" s="372">
        <f>Input!$DP$52</f>
        <v>0</v>
      </c>
      <c r="M25" s="567">
        <f t="shared" si="3"/>
        <v>0</v>
      </c>
      <c r="O25" s="434"/>
      <c r="P25" s="276"/>
      <c r="Q25" s="327"/>
      <c r="R25" s="646"/>
      <c r="T25" s="568" t="s">
        <v>1103</v>
      </c>
      <c r="U25" s="569"/>
      <c r="V25" s="569"/>
      <c r="W25" s="653">
        <f>(M26+M39)*-1</f>
        <v>9122053</v>
      </c>
      <c r="X25" s="425"/>
      <c r="Z25" s="330"/>
    </row>
    <row r="26" spans="1:26" s="264" customFormat="1" ht="12.75" customHeight="1">
      <c r="A26" s="263"/>
      <c r="B26" s="261" t="s">
        <v>729</v>
      </c>
      <c r="C26" s="566"/>
      <c r="D26" s="372">
        <f>Input!$DQ$52</f>
        <v>-3160046</v>
      </c>
      <c r="E26" s="372">
        <f>Input!$DR$52</f>
        <v>-4969663</v>
      </c>
      <c r="F26" s="372">
        <f>Input!$DS$52</f>
        <v>0</v>
      </c>
      <c r="G26" s="372">
        <f>Input!$DT$52</f>
        <v>0</v>
      </c>
      <c r="H26" s="372">
        <f>Input!$DU$52</f>
        <v>0</v>
      </c>
      <c r="I26" s="372">
        <f>Input!$DV$52</f>
        <v>0</v>
      </c>
      <c r="J26" s="372">
        <f>Input!$DW$52</f>
        <v>0</v>
      </c>
      <c r="K26" s="372">
        <f>Input!$DX$52</f>
        <v>0</v>
      </c>
      <c r="L26" s="372">
        <f>Input!$DY$52</f>
        <v>0</v>
      </c>
      <c r="M26" s="567">
        <f t="shared" si="3"/>
        <v>-8129709</v>
      </c>
      <c r="O26" s="434" t="s">
        <v>1049</v>
      </c>
      <c r="P26" s="276"/>
      <c r="Q26" s="427">
        <f>M36</f>
        <v>55057015</v>
      </c>
      <c r="R26" s="570"/>
      <c r="T26" s="560" t="s">
        <v>1104</v>
      </c>
      <c r="U26" s="266"/>
      <c r="V26" s="266"/>
      <c r="W26" s="571">
        <f>(M21+M34)*-1</f>
        <v>0</v>
      </c>
      <c r="X26" s="425"/>
      <c r="Z26" s="330"/>
    </row>
    <row r="27" spans="1:26" s="264" customFormat="1">
      <c r="A27" s="263"/>
      <c r="B27" s="261" t="s">
        <v>730</v>
      </c>
      <c r="C27" s="566"/>
      <c r="D27" s="372">
        <f>Input!$DZ$52</f>
        <v>0</v>
      </c>
      <c r="E27" s="372">
        <f>Input!$EA$52</f>
        <v>0</v>
      </c>
      <c r="F27" s="372">
        <f>Input!$EB$52</f>
        <v>0</v>
      </c>
      <c r="G27" s="372">
        <f>Input!$EC$52</f>
        <v>0</v>
      </c>
      <c r="H27" s="372">
        <f>Input!$ED$52</f>
        <v>0</v>
      </c>
      <c r="I27" s="372">
        <f>Input!$EE$52</f>
        <v>0</v>
      </c>
      <c r="J27" s="372">
        <f>Input!$EF$52</f>
        <v>0</v>
      </c>
      <c r="K27" s="372">
        <f>Input!$EG$52</f>
        <v>0</v>
      </c>
      <c r="L27" s="372">
        <f>Input!EH6</f>
        <v>0</v>
      </c>
      <c r="M27" s="567">
        <f t="shared" si="3"/>
        <v>0</v>
      </c>
      <c r="O27" s="434"/>
      <c r="P27" s="276"/>
      <c r="Q27" s="427"/>
      <c r="R27" s="570"/>
      <c r="T27" s="650" t="s">
        <v>1105</v>
      </c>
      <c r="U27" s="584"/>
      <c r="V27" s="584"/>
      <c r="W27" s="654">
        <f>SUM(W25:W26)</f>
        <v>9122053</v>
      </c>
      <c r="X27" s="655"/>
    </row>
    <row r="28" spans="1:26" s="264" customFormat="1">
      <c r="A28" s="263"/>
      <c r="B28" s="261" t="s">
        <v>2133</v>
      </c>
      <c r="C28" s="566"/>
      <c r="D28" s="372">
        <f>Input!$EI$52</f>
        <v>-24272401</v>
      </c>
      <c r="E28" s="372">
        <f>Input!$EJ$52</f>
        <v>-93444137</v>
      </c>
      <c r="F28" s="372">
        <f>Input!$EK$52</f>
        <v>0</v>
      </c>
      <c r="G28" s="372">
        <f>Input!$EL$52</f>
        <v>0</v>
      </c>
      <c r="H28" s="372">
        <f>Input!$EM$52</f>
        <v>0</v>
      </c>
      <c r="I28" s="372">
        <f>Input!$EN$52</f>
        <v>0</v>
      </c>
      <c r="J28" s="372">
        <f>Input!$EO$52</f>
        <v>0</v>
      </c>
      <c r="K28" s="372">
        <f>Input!$EP$52</f>
        <v>0</v>
      </c>
      <c r="L28" s="372">
        <f>Input!$EQ$52</f>
        <v>0</v>
      </c>
      <c r="M28" s="567">
        <f t="shared" si="3"/>
        <v>-117716538</v>
      </c>
      <c r="O28" s="417" t="s">
        <v>1050</v>
      </c>
      <c r="Q28" s="429"/>
      <c r="R28" s="646">
        <f>SUM(M37:M41)</f>
        <v>-11649379</v>
      </c>
      <c r="T28" s="560" t="s">
        <v>1106</v>
      </c>
      <c r="U28" s="266"/>
      <c r="V28" s="266"/>
      <c r="W28" s="425">
        <f>(M27+M40)*-1</f>
        <v>0</v>
      </c>
      <c r="X28" s="655"/>
      <c r="Z28" s="330"/>
    </row>
    <row r="29" spans="1:26" s="264" customFormat="1" ht="12" customHeight="1">
      <c r="A29" s="263"/>
      <c r="B29" s="575" t="s">
        <v>39</v>
      </c>
      <c r="C29" s="563"/>
      <c r="D29" s="374">
        <f t="shared" ref="D29:L29" si="4">SUM(D23:D28)</f>
        <v>26257227</v>
      </c>
      <c r="E29" s="374">
        <f t="shared" si="4"/>
        <v>75058268</v>
      </c>
      <c r="F29" s="374">
        <f t="shared" si="4"/>
        <v>0</v>
      </c>
      <c r="G29" s="374">
        <f t="shared" si="4"/>
        <v>0</v>
      </c>
      <c r="H29" s="374">
        <f t="shared" si="4"/>
        <v>0</v>
      </c>
      <c r="I29" s="374">
        <f t="shared" si="4"/>
        <v>0</v>
      </c>
      <c r="J29" s="374">
        <f t="shared" si="4"/>
        <v>0</v>
      </c>
      <c r="K29" s="374">
        <f t="shared" si="4"/>
        <v>0</v>
      </c>
      <c r="L29" s="374">
        <f t="shared" si="4"/>
        <v>0</v>
      </c>
      <c r="M29" s="374">
        <f t="shared" si="3"/>
        <v>101315495</v>
      </c>
      <c r="O29" s="417"/>
      <c r="Q29" s="429"/>
      <c r="R29" s="576"/>
      <c r="T29" s="560" t="s">
        <v>1107</v>
      </c>
      <c r="U29" s="266"/>
      <c r="V29" s="266"/>
      <c r="W29" s="571">
        <f>(M22+M35)*-1</f>
        <v>0</v>
      </c>
      <c r="X29" s="655"/>
    </row>
    <row r="30" spans="1:26" s="264" customFormat="1" ht="16.5" customHeight="1">
      <c r="A30" s="263"/>
      <c r="B30" s="261"/>
      <c r="C30" s="566"/>
      <c r="D30" s="566"/>
      <c r="E30" s="566"/>
      <c r="F30" s="566"/>
      <c r="G30" s="566"/>
      <c r="H30" s="566"/>
      <c r="I30" s="566"/>
      <c r="J30" s="566"/>
      <c r="K30" s="566"/>
      <c r="L30" s="566"/>
      <c r="M30" s="567"/>
      <c r="O30" s="431" t="s">
        <v>289</v>
      </c>
      <c r="P30" s="432"/>
      <c r="Q30" s="433">
        <f>Q26+Q22</f>
        <v>282218757</v>
      </c>
      <c r="R30" s="647">
        <f>R28+R24</f>
        <v>-137495626</v>
      </c>
      <c r="T30" s="650" t="s">
        <v>1108</v>
      </c>
      <c r="U30" s="584"/>
      <c r="V30" s="584"/>
      <c r="W30" s="654">
        <f>SUM(W28:W29)</f>
        <v>0</v>
      </c>
      <c r="X30" s="655"/>
    </row>
    <row r="31" spans="1:26" s="264" customFormat="1" ht="12.75" customHeight="1">
      <c r="A31" s="263"/>
      <c r="B31" s="558" t="s">
        <v>1052</v>
      </c>
      <c r="C31" s="558"/>
      <c r="D31" s="374">
        <f t="shared" ref="D31:L31" si="5">D36-SUM(D32:D35)</f>
        <v>2744958</v>
      </c>
      <c r="E31" s="374">
        <f t="shared" si="5"/>
        <v>28544935</v>
      </c>
      <c r="F31" s="374">
        <f t="shared" si="5"/>
        <v>23767122</v>
      </c>
      <c r="G31" s="374">
        <f t="shared" si="5"/>
        <v>0</v>
      </c>
      <c r="H31" s="374">
        <f t="shared" si="5"/>
        <v>0</v>
      </c>
      <c r="I31" s="374">
        <f t="shared" si="5"/>
        <v>0</v>
      </c>
      <c r="J31" s="374">
        <f t="shared" si="5"/>
        <v>0</v>
      </c>
      <c r="K31" s="374">
        <f t="shared" si="5"/>
        <v>0</v>
      </c>
      <c r="L31" s="374">
        <f t="shared" si="5"/>
        <v>0</v>
      </c>
      <c r="M31" s="374">
        <f t="shared" ref="M31:M42" si="6">D31+E31+F31+G31+H31+I31+J31+K31+L31</f>
        <v>55057015</v>
      </c>
      <c r="O31" s="434" t="s">
        <v>290</v>
      </c>
      <c r="P31" s="276"/>
      <c r="Q31" s="335"/>
      <c r="R31" s="562"/>
      <c r="T31" s="572" t="s">
        <v>1109</v>
      </c>
      <c r="U31" s="573"/>
      <c r="V31" s="573"/>
      <c r="W31" s="574">
        <f>W27+W30</f>
        <v>9122053</v>
      </c>
      <c r="X31" s="425"/>
      <c r="Z31" s="330"/>
    </row>
    <row r="32" spans="1:26" s="264" customFormat="1" ht="12.75" customHeight="1">
      <c r="A32" s="263"/>
      <c r="B32" s="261" t="s">
        <v>722</v>
      </c>
      <c r="C32" s="261"/>
      <c r="D32" s="372">
        <f>Input!$ER$52</f>
        <v>0</v>
      </c>
      <c r="E32" s="372">
        <f>Input!$ES$52</f>
        <v>0</v>
      </c>
      <c r="F32" s="372">
        <f>Input!$ET$52</f>
        <v>0</v>
      </c>
      <c r="G32" s="372">
        <f>Input!$EU$52</f>
        <v>0</v>
      </c>
      <c r="H32" s="372">
        <f>Input!$EV$52</f>
        <v>0</v>
      </c>
      <c r="I32" s="372">
        <f>Input!$EW$52</f>
        <v>0</v>
      </c>
      <c r="J32" s="372">
        <f>Input!$EX$52</f>
        <v>0</v>
      </c>
      <c r="K32" s="372">
        <f>Input!$EY$52</f>
        <v>0</v>
      </c>
      <c r="L32" s="372">
        <f>Input!$EZ$52</f>
        <v>0</v>
      </c>
      <c r="M32" s="567">
        <f t="shared" si="6"/>
        <v>0</v>
      </c>
      <c r="O32" s="415" t="s">
        <v>1295</v>
      </c>
      <c r="P32" s="416"/>
      <c r="Q32" s="577">
        <f>Input!$SQ$52</f>
        <v>282218757</v>
      </c>
      <c r="R32" s="578"/>
      <c r="T32" s="560"/>
      <c r="U32" s="266"/>
      <c r="V32" s="266"/>
      <c r="X32" s="425"/>
      <c r="Z32" s="330"/>
    </row>
    <row r="33" spans="1:36" s="264" customFormat="1">
      <c r="A33" s="263"/>
      <c r="B33" s="261" t="s">
        <v>723</v>
      </c>
      <c r="C33" s="261"/>
      <c r="D33" s="372">
        <f>Input!$FA$52</f>
        <v>0</v>
      </c>
      <c r="E33" s="372">
        <f>Input!$FB$52</f>
        <v>0</v>
      </c>
      <c r="F33" s="372">
        <f>Input!$FC$52</f>
        <v>0</v>
      </c>
      <c r="G33" s="372">
        <f>Input!$FD$52</f>
        <v>0</v>
      </c>
      <c r="H33" s="372">
        <f>Input!$FE$52</f>
        <v>0</v>
      </c>
      <c r="I33" s="372">
        <f>Input!$FF$52</f>
        <v>0</v>
      </c>
      <c r="J33" s="372">
        <f>Input!$FG$52</f>
        <v>0</v>
      </c>
      <c r="K33" s="372">
        <f>Input!$FH$52</f>
        <v>0</v>
      </c>
      <c r="L33" s="372">
        <f>Input!$FI$52</f>
        <v>0</v>
      </c>
      <c r="M33" s="567">
        <f t="shared" si="6"/>
        <v>0</v>
      </c>
      <c r="O33" s="415"/>
      <c r="P33" s="416"/>
      <c r="Q33" s="327"/>
      <c r="R33" s="578"/>
      <c r="T33" s="560" t="s">
        <v>1051</v>
      </c>
      <c r="U33" s="266"/>
      <c r="V33" s="266"/>
      <c r="W33" s="334">
        <f>(M19+M32)*-1</f>
        <v>8083538</v>
      </c>
      <c r="X33" s="425"/>
    </row>
    <row r="34" spans="1:36" s="264" customFormat="1">
      <c r="A34" s="263"/>
      <c r="B34" s="261" t="s">
        <v>724</v>
      </c>
      <c r="C34" s="261"/>
      <c r="D34" s="372">
        <f>Input!$FJ$52</f>
        <v>0</v>
      </c>
      <c r="E34" s="372">
        <f>Input!$FK$52</f>
        <v>0</v>
      </c>
      <c r="F34" s="372">
        <f>Input!$FL$52</f>
        <v>0</v>
      </c>
      <c r="G34" s="372">
        <f>Input!$FM$52</f>
        <v>0</v>
      </c>
      <c r="H34" s="372">
        <f>Input!$FN$52</f>
        <v>0</v>
      </c>
      <c r="I34" s="372">
        <f>Input!$FO$52</f>
        <v>0</v>
      </c>
      <c r="J34" s="372">
        <f>Input!$FP$52</f>
        <v>0</v>
      </c>
      <c r="K34" s="372">
        <f>Input!$FQ$52</f>
        <v>0</v>
      </c>
      <c r="L34" s="372">
        <f>Input!$FR$52</f>
        <v>0</v>
      </c>
      <c r="M34" s="567">
        <f t="shared" si="6"/>
        <v>0</v>
      </c>
      <c r="O34" s="435" t="s">
        <v>1296</v>
      </c>
      <c r="P34" s="436"/>
      <c r="Q34" s="264" t="s">
        <v>291</v>
      </c>
      <c r="R34" s="648">
        <f>Input!$SR$52</f>
        <v>-137495626</v>
      </c>
      <c r="T34" s="560" t="s">
        <v>1110</v>
      </c>
      <c r="U34" s="266"/>
      <c r="V34" s="266"/>
      <c r="W34" s="430">
        <f>(M24+M37)*-1</f>
        <v>0</v>
      </c>
      <c r="X34" s="425"/>
    </row>
    <row r="35" spans="1:36" s="264" customFormat="1" ht="13.5" thickBot="1">
      <c r="A35" s="263"/>
      <c r="B35" s="261" t="s">
        <v>725</v>
      </c>
      <c r="C35" s="261"/>
      <c r="D35" s="372">
        <f>Input!$FS$52</f>
        <v>0</v>
      </c>
      <c r="E35" s="372">
        <f>Input!$FT$52</f>
        <v>0</v>
      </c>
      <c r="F35" s="372">
        <f>Input!$FU$52</f>
        <v>0</v>
      </c>
      <c r="G35" s="372">
        <f>Input!$FV$52</f>
        <v>0</v>
      </c>
      <c r="H35" s="372">
        <f>Input!$FW$52</f>
        <v>0</v>
      </c>
      <c r="I35" s="372">
        <f>Input!$FX$52</f>
        <v>0</v>
      </c>
      <c r="J35" s="372">
        <f>Input!$FY$52</f>
        <v>0</v>
      </c>
      <c r="K35" s="372">
        <f>Input!$FZ$52</f>
        <v>0</v>
      </c>
      <c r="L35" s="372">
        <f>Input!$GA$52</f>
        <v>0</v>
      </c>
      <c r="M35" s="567">
        <f t="shared" si="6"/>
        <v>0</v>
      </c>
      <c r="O35" s="418" t="s">
        <v>286</v>
      </c>
      <c r="P35" s="419"/>
      <c r="Q35" s="420">
        <f>Q30-Q32</f>
        <v>0</v>
      </c>
      <c r="R35" s="649">
        <f>R30-R34</f>
        <v>0</v>
      </c>
      <c r="T35" s="650" t="s">
        <v>1111</v>
      </c>
      <c r="U35" s="584"/>
      <c r="V35" s="584"/>
      <c r="W35" s="656">
        <f>SUM(W33:W34)</f>
        <v>8083538</v>
      </c>
      <c r="X35" s="655"/>
    </row>
    <row r="36" spans="1:36" s="264" customFormat="1" ht="13.5" thickTop="1">
      <c r="A36" s="263"/>
      <c r="B36" s="558" t="s">
        <v>732</v>
      </c>
      <c r="C36" s="563"/>
      <c r="D36" s="564">
        <f>Input!$GB$52</f>
        <v>2744958</v>
      </c>
      <c r="E36" s="564">
        <f>Input!$GC$52</f>
        <v>28544935</v>
      </c>
      <c r="F36" s="564">
        <f>Input!$GD$52</f>
        <v>23767122</v>
      </c>
      <c r="G36" s="564">
        <f>Input!$GE$52</f>
        <v>0</v>
      </c>
      <c r="H36" s="564">
        <f>Input!$GF$52</f>
        <v>0</v>
      </c>
      <c r="I36" s="564">
        <f>Input!$GG$52</f>
        <v>0</v>
      </c>
      <c r="J36" s="564">
        <f>Input!$GH$52</f>
        <v>0</v>
      </c>
      <c r="K36" s="564">
        <f>Input!$GI$52</f>
        <v>0</v>
      </c>
      <c r="L36" s="564">
        <f>Input!$GJ$52</f>
        <v>0</v>
      </c>
      <c r="M36" s="565">
        <f t="shared" si="6"/>
        <v>55057015</v>
      </c>
      <c r="O36" s="261"/>
      <c r="Q36" s="412" t="str">
        <f>IF(Q30&lt;&gt;Q32,"Out of Balance","Balanced")</f>
        <v>Balanced</v>
      </c>
      <c r="R36" s="412" t="str">
        <f>IF(R30&lt;&gt;R34,"Out of Balance","Balanced")</f>
        <v>Balanced</v>
      </c>
      <c r="T36" s="560" t="s">
        <v>1053</v>
      </c>
      <c r="U36" s="266"/>
      <c r="V36" s="266"/>
      <c r="W36" s="334">
        <f>(M20+M33)*-1</f>
        <v>5458</v>
      </c>
      <c r="X36" s="425"/>
    </row>
    <row r="37" spans="1:36" s="264" customFormat="1">
      <c r="A37" s="263"/>
      <c r="B37" s="261" t="s">
        <v>727</v>
      </c>
      <c r="C37" s="566"/>
      <c r="D37" s="372">
        <f>Input!$GK$52</f>
        <v>0</v>
      </c>
      <c r="E37" s="372">
        <f>Input!$GL$52</f>
        <v>0</v>
      </c>
      <c r="F37" s="372">
        <f>Input!$GM$52</f>
        <v>0</v>
      </c>
      <c r="G37" s="372">
        <f>Input!$GN$52</f>
        <v>0</v>
      </c>
      <c r="H37" s="372">
        <f>Input!$GO$52</f>
        <v>0</v>
      </c>
      <c r="I37" s="372">
        <f>Input!$GP$52</f>
        <v>0</v>
      </c>
      <c r="J37" s="372">
        <f>Input!$GQ$52</f>
        <v>0</v>
      </c>
      <c r="K37" s="372">
        <f>Input!$GR$52</f>
        <v>0</v>
      </c>
      <c r="L37" s="372">
        <f>Input!$GS$52</f>
        <v>0</v>
      </c>
      <c r="M37" s="567">
        <f t="shared" si="6"/>
        <v>0</v>
      </c>
      <c r="O37" s="261"/>
      <c r="T37" s="560" t="s">
        <v>1112</v>
      </c>
      <c r="U37" s="266"/>
      <c r="V37" s="266"/>
      <c r="W37" s="430">
        <f>(M25+M38)*-1</f>
        <v>0</v>
      </c>
      <c r="X37" s="655"/>
    </row>
    <row r="38" spans="1:36" s="264" customFormat="1">
      <c r="A38" s="263"/>
      <c r="B38" s="261" t="s">
        <v>728</v>
      </c>
      <c r="C38" s="566"/>
      <c r="D38" s="372">
        <f>Input!$GT$52</f>
        <v>0</v>
      </c>
      <c r="E38" s="372">
        <f>Input!$GU$52</f>
        <v>0</v>
      </c>
      <c r="F38" s="372">
        <f>Input!$GV$52</f>
        <v>0</v>
      </c>
      <c r="G38" s="372">
        <f>Input!$GW$52</f>
        <v>0</v>
      </c>
      <c r="H38" s="372">
        <f>Input!$GX$52</f>
        <v>0</v>
      </c>
      <c r="I38" s="372">
        <f>Input!$GY$52</f>
        <v>0</v>
      </c>
      <c r="J38" s="372">
        <f>Input!$GZ$52</f>
        <v>0</v>
      </c>
      <c r="K38" s="372">
        <f>Input!$HA$52</f>
        <v>0</v>
      </c>
      <c r="L38" s="372">
        <f>Input!$HB$52</f>
        <v>0</v>
      </c>
      <c r="M38" s="567">
        <f t="shared" si="6"/>
        <v>0</v>
      </c>
      <c r="O38" s="261"/>
      <c r="T38" s="650" t="s">
        <v>1113</v>
      </c>
      <c r="U38" s="584"/>
      <c r="V38" s="584"/>
      <c r="W38" s="656">
        <f>SUM(W36:W37)</f>
        <v>5458</v>
      </c>
      <c r="X38" s="425"/>
    </row>
    <row r="39" spans="1:36" s="264" customFormat="1">
      <c r="A39" s="263"/>
      <c r="B39" s="261" t="s">
        <v>729</v>
      </c>
      <c r="C39" s="566"/>
      <c r="D39" s="372">
        <f>Input!$HC$52</f>
        <v>0</v>
      </c>
      <c r="E39" s="372">
        <f>Input!$HD$52</f>
        <v>0</v>
      </c>
      <c r="F39" s="372">
        <f>Input!$HE$52</f>
        <v>-992344</v>
      </c>
      <c r="G39" s="372">
        <f>Input!$HF$52</f>
        <v>0</v>
      </c>
      <c r="H39" s="372">
        <f>Input!$HG$52</f>
        <v>0</v>
      </c>
      <c r="I39" s="372">
        <f>Input!$HH$52</f>
        <v>0</v>
      </c>
      <c r="J39" s="372">
        <f>Input!$HI$52</f>
        <v>0</v>
      </c>
      <c r="K39" s="372">
        <f>Input!$HJ$52</f>
        <v>0</v>
      </c>
      <c r="L39" s="372">
        <f>Input!$HK$52</f>
        <v>0</v>
      </c>
      <c r="M39" s="567">
        <f t="shared" si="6"/>
        <v>-992344</v>
      </c>
      <c r="O39" s="261"/>
      <c r="T39" s="560" t="s">
        <v>1054</v>
      </c>
      <c r="U39" s="266"/>
      <c r="V39" s="266"/>
      <c r="W39" s="334"/>
      <c r="X39" s="425">
        <f>W38+W35</f>
        <v>8088996</v>
      </c>
    </row>
    <row r="40" spans="1:36" s="264" customFormat="1">
      <c r="A40" s="263"/>
      <c r="B40" s="261" t="s">
        <v>730</v>
      </c>
      <c r="C40" s="566"/>
      <c r="D40" s="372">
        <f>Input!$HL$52</f>
        <v>0</v>
      </c>
      <c r="E40" s="372">
        <f>Input!$HM$52</f>
        <v>0</v>
      </c>
      <c r="F40" s="372">
        <f>Input!$HN$52</f>
        <v>0</v>
      </c>
      <c r="G40" s="372">
        <f>Input!$HO$52</f>
        <v>0</v>
      </c>
      <c r="H40" s="372">
        <f>Input!$HP$52</f>
        <v>0</v>
      </c>
      <c r="I40" s="372">
        <f>Input!$HQ$52</f>
        <v>0</v>
      </c>
      <c r="J40" s="372">
        <f>Input!$HR$52</f>
        <v>0</v>
      </c>
      <c r="K40" s="372">
        <f>Input!$HS$52</f>
        <v>0</v>
      </c>
      <c r="L40" s="372">
        <f>Input!$HT$52</f>
        <v>0</v>
      </c>
      <c r="M40" s="567">
        <f t="shared" si="6"/>
        <v>0</v>
      </c>
      <c r="O40" s="261"/>
      <c r="T40" s="560"/>
      <c r="U40" s="261"/>
      <c r="V40" s="261"/>
      <c r="W40" s="261"/>
      <c r="X40" s="655"/>
    </row>
    <row r="41" spans="1:36" s="264" customFormat="1">
      <c r="A41" s="263"/>
      <c r="B41" s="261" t="s">
        <v>2133</v>
      </c>
      <c r="C41" s="566"/>
      <c r="D41" s="372">
        <f>Input!$HU$52</f>
        <v>0</v>
      </c>
      <c r="E41" s="372">
        <f>Input!$HV$52</f>
        <v>0</v>
      </c>
      <c r="F41" s="372">
        <f>Input!$HW$52</f>
        <v>-10657035</v>
      </c>
      <c r="G41" s="372">
        <f>Input!$HX$52</f>
        <v>0</v>
      </c>
      <c r="H41" s="372">
        <f>Input!$HY$52</f>
        <v>0</v>
      </c>
      <c r="I41" s="372">
        <f>Input!$HZ$52</f>
        <v>0</v>
      </c>
      <c r="J41" s="372">
        <f>Input!$IA$52</f>
        <v>0</v>
      </c>
      <c r="K41" s="372">
        <f>Input!$IB$52</f>
        <v>0</v>
      </c>
      <c r="L41" s="372">
        <f>Input!$IC$52</f>
        <v>0</v>
      </c>
      <c r="M41" s="567">
        <f t="shared" si="6"/>
        <v>-10657035</v>
      </c>
      <c r="O41"/>
      <c r="P41"/>
      <c r="Q41"/>
      <c r="R41"/>
      <c r="S41"/>
      <c r="T41" s="560" t="s">
        <v>1104</v>
      </c>
      <c r="U41" s="266"/>
      <c r="V41" s="266"/>
      <c r="W41" s="330">
        <f>(M21+M34)*-1</f>
        <v>0</v>
      </c>
      <c r="X41" s="425"/>
    </row>
    <row r="42" spans="1:36" s="264" customFormat="1">
      <c r="A42" s="263"/>
      <c r="B42" s="575" t="s">
        <v>40</v>
      </c>
      <c r="C42" s="563"/>
      <c r="D42" s="374">
        <f t="shared" ref="D42:L42" si="7">SUM(D36:D41)</f>
        <v>2744958</v>
      </c>
      <c r="E42" s="374">
        <f t="shared" si="7"/>
        <v>28544935</v>
      </c>
      <c r="F42" s="374">
        <f t="shared" si="7"/>
        <v>12117743</v>
      </c>
      <c r="G42" s="374">
        <f t="shared" si="7"/>
        <v>0</v>
      </c>
      <c r="H42" s="374">
        <f t="shared" si="7"/>
        <v>0</v>
      </c>
      <c r="I42" s="374">
        <f t="shared" si="7"/>
        <v>0</v>
      </c>
      <c r="J42" s="374">
        <f t="shared" si="7"/>
        <v>0</v>
      </c>
      <c r="K42" s="374">
        <f t="shared" si="7"/>
        <v>0</v>
      </c>
      <c r="L42" s="374">
        <f t="shared" si="7"/>
        <v>0</v>
      </c>
      <c r="M42" s="374">
        <f t="shared" si="6"/>
        <v>43407636</v>
      </c>
      <c r="O42"/>
      <c r="P42"/>
      <c r="Q42"/>
      <c r="R42"/>
      <c r="S42"/>
      <c r="T42" s="560" t="s">
        <v>1107</v>
      </c>
      <c r="U42" s="266"/>
      <c r="V42" s="266"/>
      <c r="W42" s="430">
        <f>(M22+M35)*-1</f>
        <v>0</v>
      </c>
      <c r="X42" s="425"/>
    </row>
    <row r="43" spans="1:36" s="264" customFormat="1">
      <c r="A43" s="263"/>
      <c r="B43" s="261"/>
      <c r="C43" s="566"/>
      <c r="D43" s="566"/>
      <c r="E43" s="566"/>
      <c r="F43" s="566"/>
      <c r="G43" s="566"/>
      <c r="H43" s="566"/>
      <c r="I43" s="566"/>
      <c r="J43" s="566"/>
      <c r="K43" s="566"/>
      <c r="L43" s="566"/>
      <c r="M43" s="567"/>
      <c r="O43"/>
      <c r="P43"/>
      <c r="Q43"/>
      <c r="R43"/>
      <c r="S43"/>
      <c r="T43" s="650" t="s">
        <v>1114</v>
      </c>
      <c r="U43" s="584"/>
      <c r="V43" s="584"/>
      <c r="W43" s="656">
        <f>SUM(W41:W42)</f>
        <v>0</v>
      </c>
      <c r="X43" s="655"/>
    </row>
    <row r="44" spans="1:36" s="264" customFormat="1" ht="13.5" customHeight="1">
      <c r="A44" s="263"/>
      <c r="B44" s="575" t="s">
        <v>1055</v>
      </c>
      <c r="C44" s="563"/>
      <c r="D44" s="374">
        <f t="shared" ref="D44:L44" si="8">D42+D29</f>
        <v>29002185</v>
      </c>
      <c r="E44" s="374">
        <f t="shared" si="8"/>
        <v>103603203</v>
      </c>
      <c r="F44" s="374">
        <f t="shared" si="8"/>
        <v>12117743</v>
      </c>
      <c r="G44" s="374">
        <f t="shared" si="8"/>
        <v>0</v>
      </c>
      <c r="H44" s="374">
        <f t="shared" si="8"/>
        <v>0</v>
      </c>
      <c r="I44" s="374">
        <f t="shared" si="8"/>
        <v>0</v>
      </c>
      <c r="J44" s="374">
        <f t="shared" si="8"/>
        <v>0</v>
      </c>
      <c r="K44" s="374">
        <f t="shared" si="8"/>
        <v>0</v>
      </c>
      <c r="L44" s="374">
        <f t="shared" si="8"/>
        <v>0</v>
      </c>
      <c r="M44" s="374">
        <f>D44+E44+F44+G44+H44+I44+J44+K44+L44</f>
        <v>144723131</v>
      </c>
      <c r="O44"/>
      <c r="P44"/>
      <c r="Q44"/>
      <c r="R44"/>
      <c r="S44"/>
      <c r="T44" s="560"/>
      <c r="U44" s="266"/>
      <c r="V44" s="266"/>
      <c r="W44" s="276"/>
      <c r="X44" s="425"/>
    </row>
    <row r="45" spans="1:36">
      <c r="A45" s="184">
        <v>28</v>
      </c>
      <c r="B45" s="160"/>
      <c r="C45" s="160"/>
      <c r="D45" s="373"/>
      <c r="E45" s="373"/>
      <c r="F45" s="373"/>
      <c r="G45" s="373"/>
      <c r="H45" s="373"/>
      <c r="I45" s="373"/>
      <c r="J45" s="373"/>
      <c r="K45" s="373"/>
      <c r="L45" s="373"/>
      <c r="M45" s="373"/>
      <c r="N45" s="160"/>
      <c r="O45"/>
      <c r="P45"/>
      <c r="Q45"/>
      <c r="R45"/>
      <c r="S45"/>
      <c r="T45" s="560" t="s">
        <v>1110</v>
      </c>
      <c r="U45" s="266"/>
      <c r="V45" s="266"/>
      <c r="W45" s="334">
        <f>(M24+M37)*-1</f>
        <v>0</v>
      </c>
      <c r="X45" s="425"/>
    </row>
    <row r="46" spans="1:36">
      <c r="A46" s="184">
        <v>29</v>
      </c>
      <c r="B46" s="172" t="s">
        <v>6</v>
      </c>
      <c r="C46" s="172"/>
      <c r="D46" s="373"/>
      <c r="E46" s="373"/>
      <c r="F46" s="373"/>
      <c r="G46" s="373"/>
      <c r="H46" s="373"/>
      <c r="I46" s="373"/>
      <c r="J46" s="373"/>
      <c r="K46" s="373"/>
      <c r="L46" s="373"/>
      <c r="M46" s="373"/>
      <c r="N46" s="160"/>
      <c r="O46"/>
      <c r="P46"/>
      <c r="Q46"/>
      <c r="R46"/>
      <c r="S46"/>
      <c r="T46" s="560" t="s">
        <v>1112</v>
      </c>
      <c r="U46" s="266"/>
      <c r="V46" s="266"/>
      <c r="W46" s="430">
        <f>(M25+M38)*-1</f>
        <v>0</v>
      </c>
      <c r="X46" s="425"/>
    </row>
    <row r="47" spans="1:36">
      <c r="A47" s="184">
        <v>30</v>
      </c>
      <c r="B47" s="176" t="s">
        <v>7</v>
      </c>
      <c r="C47" s="176"/>
      <c r="D47" s="375">
        <f>Input!$ID$52</f>
        <v>7698367</v>
      </c>
      <c r="E47" s="375">
        <f>Input!$IE$52</f>
        <v>5768186</v>
      </c>
      <c r="F47" s="375">
        <f>Input!$IF$52</f>
        <v>0</v>
      </c>
      <c r="G47" s="375">
        <f>Input!$IG$52</f>
        <v>242716956</v>
      </c>
      <c r="H47" s="375">
        <f>Input!$IH$52</f>
        <v>0</v>
      </c>
      <c r="I47" s="375">
        <f>Input!$II$52</f>
        <v>0</v>
      </c>
      <c r="J47" s="375">
        <f>Input!$IJ$52</f>
        <v>0</v>
      </c>
      <c r="K47" s="375">
        <f>Input!$IK$52</f>
        <v>0</v>
      </c>
      <c r="L47" s="375">
        <f>Input!$IL$52</f>
        <v>0</v>
      </c>
      <c r="M47" s="374">
        <f>D47+E47+F47+G47+H47+I47+J47+K47+L47</f>
        <v>256183509</v>
      </c>
      <c r="N47" s="160"/>
      <c r="O47"/>
      <c r="P47"/>
      <c r="Q47"/>
      <c r="R47"/>
      <c r="S47"/>
      <c r="T47" s="657" t="s">
        <v>1115</v>
      </c>
      <c r="U47" s="27"/>
      <c r="V47" s="27"/>
      <c r="W47" s="656">
        <f>SUM(W45:W46)</f>
        <v>0</v>
      </c>
      <c r="X47" s="655"/>
    </row>
    <row r="48" spans="1:36" s="261" customFormat="1">
      <c r="A48" s="263">
        <v>31</v>
      </c>
      <c r="D48" s="373"/>
      <c r="E48" s="373"/>
      <c r="F48" s="373"/>
      <c r="G48" s="373"/>
      <c r="H48" s="373"/>
      <c r="I48" s="373"/>
      <c r="J48" s="373"/>
      <c r="K48" s="373"/>
      <c r="L48" s="373"/>
      <c r="M48" s="373"/>
      <c r="N48" s="264"/>
      <c r="O48" s="264"/>
      <c r="P48" s="264"/>
      <c r="Q48" s="330"/>
      <c r="R48" s="330"/>
      <c r="S48" s="264"/>
      <c r="T48" s="560"/>
      <c r="X48" s="658">
        <f>W43-W47</f>
        <v>0</v>
      </c>
      <c r="Y48" s="264"/>
      <c r="Z48" s="264"/>
      <c r="AA48" s="264"/>
      <c r="AB48" s="264"/>
      <c r="AC48"/>
      <c r="AD48"/>
      <c r="AE48"/>
      <c r="AF48"/>
      <c r="AG48"/>
      <c r="AH48"/>
      <c r="AI48"/>
      <c r="AJ48"/>
    </row>
    <row r="49" spans="1:28" s="261" customFormat="1">
      <c r="A49" s="263">
        <v>32</v>
      </c>
      <c r="B49" s="5" t="s">
        <v>2121</v>
      </c>
      <c r="C49" s="5"/>
      <c r="D49" s="373"/>
      <c r="E49" s="373"/>
      <c r="F49" s="373"/>
      <c r="G49" s="373"/>
      <c r="H49" s="373"/>
      <c r="I49" s="373"/>
      <c r="J49" s="373"/>
      <c r="K49" s="373"/>
      <c r="L49" s="373"/>
      <c r="M49" s="373"/>
      <c r="O49" s="273"/>
      <c r="P49" s="264"/>
      <c r="Q49" s="264"/>
      <c r="R49" s="264"/>
      <c r="S49" s="264"/>
      <c r="T49" s="579" t="s">
        <v>287</v>
      </c>
      <c r="U49" s="511"/>
      <c r="V49" s="580"/>
      <c r="W49" s="580"/>
      <c r="X49" s="574">
        <f>SUM(X23:X48)</f>
        <v>290307753</v>
      </c>
      <c r="Y49" s="264"/>
      <c r="Z49" s="264"/>
      <c r="AA49" s="264"/>
    </row>
    <row r="50" spans="1:28" s="261" customFormat="1">
      <c r="A50" s="263">
        <v>33</v>
      </c>
      <c r="B50" s="1325" t="s">
        <v>2122</v>
      </c>
      <c r="C50" s="1325"/>
      <c r="D50" s="1326">
        <f>Input!$M$53</f>
        <v>0</v>
      </c>
      <c r="E50" s="1326">
        <f>Input!$N$53</f>
        <v>20318634</v>
      </c>
      <c r="F50" s="1326">
        <f>Input!$O$53</f>
        <v>0</v>
      </c>
      <c r="G50" s="1326">
        <f>Input!$P$53</f>
        <v>0</v>
      </c>
      <c r="H50" s="1326">
        <f>Input!$Q$53</f>
        <v>0</v>
      </c>
      <c r="I50" s="1326">
        <f>Input!$R$53</f>
        <v>0</v>
      </c>
      <c r="J50" s="1326">
        <f>Input!$S$53</f>
        <v>0</v>
      </c>
      <c r="K50" s="1326">
        <f>Input!$T$53</f>
        <v>0</v>
      </c>
      <c r="L50" s="1326">
        <f>Input!$U$53</f>
        <v>0</v>
      </c>
      <c r="M50" s="374">
        <f>D50+E50+F50+G50+H50+I50+J50+K50+L50</f>
        <v>20318634</v>
      </c>
      <c r="O50" s="273"/>
      <c r="P50" s="264"/>
      <c r="Q50" s="264"/>
      <c r="R50" s="264"/>
      <c r="S50" s="264"/>
      <c r="T50" s="264"/>
      <c r="Z50" s="264"/>
      <c r="AA50" s="264"/>
    </row>
    <row r="51" spans="1:28" s="261" customFormat="1">
      <c r="A51" s="263">
        <v>34</v>
      </c>
      <c r="B51" s="266"/>
      <c r="C51" s="266"/>
      <c r="D51" s="329"/>
      <c r="E51" s="329"/>
      <c r="F51" s="329"/>
      <c r="G51" s="329"/>
      <c r="H51" s="329"/>
      <c r="I51" s="329"/>
      <c r="J51" s="329"/>
      <c r="K51" s="329"/>
      <c r="L51" s="329"/>
      <c r="M51" s="329"/>
      <c r="P51" s="264"/>
      <c r="Q51" s="264"/>
      <c r="R51" s="264"/>
      <c r="S51" s="264"/>
      <c r="T51" s="264"/>
      <c r="Z51" s="264"/>
      <c r="AA51" s="264"/>
    </row>
    <row r="52" spans="1:28" s="261" customFormat="1">
      <c r="A52" s="263">
        <v>35</v>
      </c>
      <c r="B52" s="5" t="s">
        <v>2123</v>
      </c>
      <c r="C52" s="5"/>
      <c r="D52" s="373"/>
      <c r="E52" s="373"/>
      <c r="F52" s="373"/>
      <c r="G52" s="373"/>
      <c r="H52" s="373"/>
      <c r="I52" s="373"/>
      <c r="J52" s="373"/>
      <c r="K52" s="373"/>
      <c r="L52" s="373"/>
      <c r="M52" s="373"/>
      <c r="P52" s="264"/>
      <c r="Q52" s="264"/>
      <c r="R52" s="264"/>
      <c r="S52" s="264"/>
      <c r="T52" s="264"/>
      <c r="U52" s="264"/>
      <c r="V52" s="264"/>
      <c r="W52" s="264"/>
      <c r="X52" s="277"/>
      <c r="Y52" s="264"/>
      <c r="Z52" s="264"/>
      <c r="AA52" s="264"/>
    </row>
    <row r="53" spans="1:28" s="261" customFormat="1">
      <c r="A53" s="263">
        <v>36</v>
      </c>
      <c r="B53" s="1325" t="s">
        <v>2122</v>
      </c>
      <c r="C53" s="1325"/>
      <c r="D53" s="1326">
        <f>Input!$V$53</f>
        <v>0</v>
      </c>
      <c r="E53" s="1326">
        <f>Input!$W$53</f>
        <v>0</v>
      </c>
      <c r="F53" s="1326">
        <f>Input!$X$53</f>
        <v>0</v>
      </c>
      <c r="G53" s="1326">
        <f>Input!$Y$53</f>
        <v>0</v>
      </c>
      <c r="H53" s="1326">
        <f>Input!$Z$53</f>
        <v>0</v>
      </c>
      <c r="I53" s="1326">
        <f>Input!$AA$53</f>
        <v>0</v>
      </c>
      <c r="J53" s="1326">
        <f>Input!$AB$53</f>
        <v>0</v>
      </c>
      <c r="K53" s="1326">
        <f>Input!$AC$53</f>
        <v>0</v>
      </c>
      <c r="L53" s="1326">
        <f>Input!$AD$53</f>
        <v>0</v>
      </c>
      <c r="M53" s="374">
        <f>D53+E53+F53+G53+H53+I53+J53+K53+L53</f>
        <v>0</v>
      </c>
      <c r="P53" s="264"/>
      <c r="Q53" s="264"/>
      <c r="R53" s="264"/>
      <c r="S53" s="264"/>
      <c r="T53" s="264"/>
      <c r="U53" s="264"/>
      <c r="V53" s="264"/>
      <c r="W53" s="264"/>
      <c r="X53" s="277"/>
      <c r="Y53" s="264"/>
      <c r="Z53" s="264"/>
      <c r="AA53" s="264"/>
    </row>
    <row r="54" spans="1:28">
      <c r="A54" s="184">
        <v>31</v>
      </c>
      <c r="B54" s="160"/>
      <c r="C54" s="160"/>
      <c r="D54" s="373"/>
      <c r="E54" s="373"/>
      <c r="F54" s="373"/>
      <c r="G54" s="373"/>
      <c r="H54" s="373"/>
      <c r="I54" s="373"/>
      <c r="J54" s="373"/>
      <c r="K54" s="373"/>
      <c r="L54" s="373"/>
      <c r="M54" s="373"/>
      <c r="N54" s="160"/>
      <c r="O54"/>
      <c r="P54"/>
      <c r="Q54"/>
      <c r="R54"/>
      <c r="S54"/>
      <c r="X54" s="277"/>
    </row>
    <row r="55" spans="1:28">
      <c r="A55" s="184">
        <v>32</v>
      </c>
      <c r="B55" s="172" t="s">
        <v>8</v>
      </c>
      <c r="C55" s="172"/>
      <c r="D55" s="373"/>
      <c r="E55" s="373"/>
      <c r="F55" s="373"/>
      <c r="G55" s="373"/>
      <c r="H55" s="373"/>
      <c r="I55" s="373"/>
      <c r="J55" s="373"/>
      <c r="K55" s="373"/>
      <c r="L55" s="373"/>
      <c r="M55" s="373"/>
      <c r="N55" s="160"/>
      <c r="O55" s="273"/>
      <c r="X55" s="277"/>
    </row>
    <row r="56" spans="1:28">
      <c r="A56" s="184">
        <v>33</v>
      </c>
      <c r="B56" s="160" t="s">
        <v>42</v>
      </c>
      <c r="C56" s="160"/>
      <c r="D56" s="372">
        <f>Input!$IM$52</f>
        <v>199759</v>
      </c>
      <c r="E56" s="372">
        <f>Input!$IN$52</f>
        <v>6221890</v>
      </c>
      <c r="F56" s="372">
        <f>Input!$IO$52</f>
        <v>551986</v>
      </c>
      <c r="G56" s="372">
        <f>Input!$IP$52</f>
        <v>2290245</v>
      </c>
      <c r="H56" s="372">
        <f>Input!$IQ$52</f>
        <v>28490</v>
      </c>
      <c r="I56" s="372">
        <f>Input!$IR$52</f>
        <v>38535</v>
      </c>
      <c r="J56" s="372">
        <f>Input!$IS$52</f>
        <v>211764</v>
      </c>
      <c r="K56" s="372">
        <f>Input!$IT$52</f>
        <v>0</v>
      </c>
      <c r="L56" s="372">
        <f>Input!$IU$52</f>
        <v>0</v>
      </c>
      <c r="M56" s="373">
        <f t="shared" ref="M56:M62" si="9">D56+E56+F56+G56+H56+I56+J56+K56+L56</f>
        <v>9542669</v>
      </c>
      <c r="N56" s="160"/>
      <c r="O56" s="273"/>
      <c r="U56" s="275"/>
    </row>
    <row r="57" spans="1:28">
      <c r="A57" s="184">
        <v>34</v>
      </c>
      <c r="B57" s="160" t="s">
        <v>9</v>
      </c>
      <c r="C57" s="160"/>
      <c r="D57" s="372">
        <f>Input!$IV$52</f>
        <v>0</v>
      </c>
      <c r="E57" s="372">
        <f>Input!$IW$52</f>
        <v>30879827</v>
      </c>
      <c r="F57" s="372">
        <f>Input!$IX$52</f>
        <v>0</v>
      </c>
      <c r="G57" s="372">
        <f>Input!$IY$52</f>
        <v>242919</v>
      </c>
      <c r="H57" s="372">
        <f>Input!$IZ$52</f>
        <v>0</v>
      </c>
      <c r="I57" s="372">
        <f>Input!$JA$52</f>
        <v>0</v>
      </c>
      <c r="J57" s="372">
        <f>Input!$JB$52</f>
        <v>0</v>
      </c>
      <c r="K57" s="372">
        <f>Input!$JC$52</f>
        <v>0</v>
      </c>
      <c r="L57" s="372">
        <f>Input!$JD$52</f>
        <v>0</v>
      </c>
      <c r="M57" s="376">
        <f t="shared" si="9"/>
        <v>31122746</v>
      </c>
      <c r="N57" s="160"/>
      <c r="Y57" s="277"/>
    </row>
    <row r="58" spans="1:28">
      <c r="A58" s="184">
        <v>35</v>
      </c>
      <c r="B58" s="160" t="s">
        <v>10</v>
      </c>
      <c r="C58" s="160"/>
      <c r="D58" s="372">
        <f>Input!$JE$52</f>
        <v>0</v>
      </c>
      <c r="E58" s="372">
        <f>Input!$JF$52</f>
        <v>42631989</v>
      </c>
      <c r="F58" s="372">
        <f>Input!$JG$52</f>
        <v>100000</v>
      </c>
      <c r="G58" s="372">
        <f>Input!$JH$52</f>
        <v>17301353</v>
      </c>
      <c r="H58" s="372">
        <f>Input!$JI$52</f>
        <v>0</v>
      </c>
      <c r="I58" s="372">
        <f>Input!$JJ$52</f>
        <v>0</v>
      </c>
      <c r="J58" s="372">
        <f>Input!$JK$52</f>
        <v>0</v>
      </c>
      <c r="K58" s="372">
        <f>Input!$JL$52</f>
        <v>0</v>
      </c>
      <c r="L58" s="372">
        <f>Input!$JM$52</f>
        <v>0</v>
      </c>
      <c r="M58" s="373">
        <f t="shared" si="9"/>
        <v>60033342</v>
      </c>
      <c r="N58" s="160"/>
      <c r="O58" s="273"/>
      <c r="P58" s="278"/>
    </row>
    <row r="59" spans="1:28">
      <c r="A59" s="184">
        <v>36</v>
      </c>
      <c r="B59" s="160" t="s">
        <v>11</v>
      </c>
      <c r="C59" s="160"/>
      <c r="D59" s="372">
        <f>Input!$JN$52</f>
        <v>0</v>
      </c>
      <c r="E59" s="372">
        <f>Input!$JO$52</f>
        <v>4947182</v>
      </c>
      <c r="F59" s="372">
        <f>Input!$JP$52</f>
        <v>0</v>
      </c>
      <c r="G59" s="372">
        <f>Input!$JQ$52</f>
        <v>2428534</v>
      </c>
      <c r="H59" s="372">
        <f>Input!$JR$52</f>
        <v>0</v>
      </c>
      <c r="I59" s="372">
        <f>Input!$JS$52</f>
        <v>0</v>
      </c>
      <c r="J59" s="372">
        <f>Input!$JT$52</f>
        <v>0</v>
      </c>
      <c r="K59" s="372">
        <f>Input!$JU$52</f>
        <v>0</v>
      </c>
      <c r="L59" s="372">
        <f>Input!$JV$52</f>
        <v>0</v>
      </c>
      <c r="M59" s="373">
        <f t="shared" si="9"/>
        <v>7375716</v>
      </c>
      <c r="N59" s="160"/>
      <c r="O59" s="273"/>
    </row>
    <row r="60" spans="1:28" ht="13.5" thickBot="1">
      <c r="A60" s="184">
        <v>37</v>
      </c>
      <c r="B60" s="177" t="s">
        <v>2134</v>
      </c>
      <c r="C60" s="177"/>
      <c r="D60" s="372">
        <f>Input!$JW$52</f>
        <v>0</v>
      </c>
      <c r="E60" s="372">
        <f>Input!$JX$52</f>
        <v>0</v>
      </c>
      <c r="F60" s="372">
        <f>Input!$JY$52</f>
        <v>4036238</v>
      </c>
      <c r="G60" s="372">
        <f>Input!$JZ$52</f>
        <v>0</v>
      </c>
      <c r="H60" s="372">
        <f>Input!$KA$52</f>
        <v>0</v>
      </c>
      <c r="I60" s="372">
        <f>Input!$KB$52</f>
        <v>0</v>
      </c>
      <c r="J60" s="372">
        <f>Input!$KC$52</f>
        <v>0</v>
      </c>
      <c r="K60" s="372">
        <f>Input!$KD$52</f>
        <v>0</v>
      </c>
      <c r="L60" s="372">
        <f>Input!$KE$52</f>
        <v>0</v>
      </c>
      <c r="M60" s="373">
        <f t="shared" si="9"/>
        <v>4036238</v>
      </c>
      <c r="N60" s="160"/>
      <c r="O60" s="273"/>
    </row>
    <row r="61" spans="1:28" ht="14.25" thickTop="1" thickBot="1">
      <c r="A61" s="184">
        <v>38</v>
      </c>
      <c r="B61" s="160" t="s">
        <v>43</v>
      </c>
      <c r="C61" s="160"/>
      <c r="D61" s="372">
        <f>Input!$KF$52</f>
        <v>332331</v>
      </c>
      <c r="E61" s="372">
        <f>Input!$KG$52</f>
        <v>29444629</v>
      </c>
      <c r="F61" s="372">
        <f>Input!$KH$52</f>
        <v>0</v>
      </c>
      <c r="G61" s="372">
        <f>Input!$KI$52</f>
        <v>641124</v>
      </c>
      <c r="H61" s="372">
        <f>Input!$KJ$52</f>
        <v>581801</v>
      </c>
      <c r="I61" s="372">
        <f>Input!$KK$52</f>
        <v>0</v>
      </c>
      <c r="J61" s="372">
        <f>Input!$KL$52</f>
        <v>0</v>
      </c>
      <c r="K61" s="372">
        <f>Input!$KM$52</f>
        <v>0</v>
      </c>
      <c r="L61" s="372">
        <f>Input!$KN$52</f>
        <v>-123671</v>
      </c>
      <c r="M61" s="373">
        <f t="shared" si="9"/>
        <v>30876214</v>
      </c>
      <c r="N61" s="160"/>
      <c r="O61" s="1616" t="s">
        <v>251</v>
      </c>
      <c r="P61" s="1617"/>
      <c r="Q61" s="1617"/>
      <c r="R61" s="1618"/>
      <c r="S61" s="437"/>
      <c r="T61" s="1619" t="s">
        <v>252</v>
      </c>
      <c r="U61" s="1620"/>
      <c r="V61" s="1620"/>
      <c r="W61" s="1620"/>
      <c r="X61" s="1621"/>
      <c r="Y61" s="320"/>
      <c r="Z61" s="1749" t="s">
        <v>1301</v>
      </c>
      <c r="AA61" s="1750"/>
      <c r="AB61" s="1751"/>
    </row>
    <row r="62" spans="1:28" ht="13.5" customHeight="1" thickTop="1">
      <c r="A62" s="184">
        <v>39</v>
      </c>
      <c r="B62" s="176" t="s">
        <v>3</v>
      </c>
      <c r="C62" s="176"/>
      <c r="D62" s="374">
        <f>SUM(D56:D61)</f>
        <v>532090</v>
      </c>
      <c r="E62" s="374">
        <f t="shared" ref="E62:L62" si="10">SUM(E56:E61)</f>
        <v>114125517</v>
      </c>
      <c r="F62" s="374">
        <f t="shared" si="10"/>
        <v>4688224</v>
      </c>
      <c r="G62" s="374">
        <f t="shared" si="10"/>
        <v>22904175</v>
      </c>
      <c r="H62" s="374">
        <f t="shared" si="10"/>
        <v>610291</v>
      </c>
      <c r="I62" s="374">
        <f t="shared" si="10"/>
        <v>38535</v>
      </c>
      <c r="J62" s="374">
        <f t="shared" si="10"/>
        <v>211764</v>
      </c>
      <c r="K62" s="374">
        <f t="shared" si="10"/>
        <v>0</v>
      </c>
      <c r="L62" s="374">
        <f t="shared" si="10"/>
        <v>-123671</v>
      </c>
      <c r="M62" s="374">
        <f t="shared" si="9"/>
        <v>142986925</v>
      </c>
      <c r="N62" s="160"/>
      <c r="O62" s="1622" t="s">
        <v>1135</v>
      </c>
      <c r="P62" s="1625" t="s">
        <v>254</v>
      </c>
      <c r="Q62" s="1625" t="s">
        <v>292</v>
      </c>
      <c r="R62" s="1628" t="s">
        <v>1063</v>
      </c>
      <c r="S62" s="280"/>
      <c r="T62" s="1739" t="s">
        <v>1136</v>
      </c>
      <c r="U62" s="1637" t="s">
        <v>254</v>
      </c>
      <c r="V62" s="1634" t="s">
        <v>256</v>
      </c>
      <c r="W62" s="1637" t="s">
        <v>257</v>
      </c>
      <c r="X62" s="1638" t="s">
        <v>1064</v>
      </c>
      <c r="Z62" s="1754" t="s">
        <v>1302</v>
      </c>
      <c r="AA62" s="1747" t="s">
        <v>1303</v>
      </c>
      <c r="AB62" s="1752" t="s">
        <v>238</v>
      </c>
    </row>
    <row r="63" spans="1:28">
      <c r="A63" s="184">
        <v>40</v>
      </c>
      <c r="B63" s="162" t="s">
        <v>68</v>
      </c>
      <c r="C63" s="162"/>
      <c r="D63" s="374">
        <f t="shared" ref="D63:M63" si="11">D15+D44+D47+D62+D50+D53</f>
        <v>231078420</v>
      </c>
      <c r="E63" s="374">
        <f t="shared" si="11"/>
        <v>245987440</v>
      </c>
      <c r="F63" s="374">
        <f t="shared" si="11"/>
        <v>16805967</v>
      </c>
      <c r="G63" s="374">
        <f t="shared" si="11"/>
        <v>267357436</v>
      </c>
      <c r="H63" s="374">
        <f t="shared" si="11"/>
        <v>610291</v>
      </c>
      <c r="I63" s="374">
        <f t="shared" si="11"/>
        <v>38535</v>
      </c>
      <c r="J63" s="374">
        <f t="shared" si="11"/>
        <v>211764</v>
      </c>
      <c r="K63" s="374">
        <f t="shared" si="11"/>
        <v>0</v>
      </c>
      <c r="L63" s="374">
        <f t="shared" si="11"/>
        <v>-123671</v>
      </c>
      <c r="M63" s="374">
        <f t="shared" si="11"/>
        <v>761966182</v>
      </c>
      <c r="N63" s="160"/>
      <c r="O63" s="1623"/>
      <c r="P63" s="1626"/>
      <c r="Q63" s="1626"/>
      <c r="R63" s="1629"/>
      <c r="S63" s="280"/>
      <c r="T63" s="1740"/>
      <c r="U63" s="1626"/>
      <c r="V63" s="1635"/>
      <c r="W63" s="1626"/>
      <c r="X63" s="1639"/>
      <c r="Z63" s="1755"/>
      <c r="AA63" s="1747"/>
      <c r="AB63" s="1752"/>
    </row>
    <row r="64" spans="1:28">
      <c r="A64" s="184">
        <v>41</v>
      </c>
      <c r="B64" s="160"/>
      <c r="C64" s="160"/>
      <c r="D64" s="373"/>
      <c r="E64" s="373"/>
      <c r="F64" s="373"/>
      <c r="G64" s="373"/>
      <c r="H64" s="373"/>
      <c r="I64" s="373"/>
      <c r="J64" s="373"/>
      <c r="K64" s="373"/>
      <c r="L64" s="373"/>
      <c r="M64" s="373"/>
      <c r="N64" s="160"/>
      <c r="O64" s="1623"/>
      <c r="P64" s="1626"/>
      <c r="Q64" s="1626"/>
      <c r="R64" s="1629"/>
      <c r="S64" s="280"/>
      <c r="T64" s="1740"/>
      <c r="U64" s="1626"/>
      <c r="V64" s="1635"/>
      <c r="W64" s="1626"/>
      <c r="X64" s="1639"/>
      <c r="Z64" s="1755"/>
      <c r="AA64" s="1747"/>
      <c r="AB64" s="1752"/>
    </row>
    <row r="65" spans="1:32" ht="14.25" customHeight="1">
      <c r="A65" s="184">
        <v>42</v>
      </c>
      <c r="B65" s="174" t="s">
        <v>72</v>
      </c>
      <c r="C65" s="174"/>
      <c r="D65" s="377"/>
      <c r="E65" s="377"/>
      <c r="F65" s="377"/>
      <c r="G65" s="1746" t="str">
        <f>IF(OR(P112&gt;0,P113&lt;&gt;0,P114&lt;&gt;0),"Do not Enter Cents - Whole Dollars Only","")</f>
        <v/>
      </c>
      <c r="H65" s="1746"/>
      <c r="I65" s="1746"/>
      <c r="J65" s="1746"/>
      <c r="K65" s="1746"/>
      <c r="L65" s="377"/>
      <c r="M65" s="377"/>
      <c r="N65" s="160"/>
      <c r="O65" s="1624"/>
      <c r="P65" s="1627"/>
      <c r="Q65" s="1627"/>
      <c r="R65" s="1630"/>
      <c r="S65" s="280"/>
      <c r="T65" s="1741"/>
      <c r="U65" s="1627"/>
      <c r="V65" s="1636"/>
      <c r="W65" s="1627"/>
      <c r="X65" s="1640"/>
      <c r="Z65" s="1756"/>
      <c r="AA65" s="1748"/>
      <c r="AB65" s="1753"/>
    </row>
    <row r="66" spans="1:32" ht="13.5" thickBot="1">
      <c r="A66" s="184">
        <v>43</v>
      </c>
      <c r="B66" s="160" t="s">
        <v>14</v>
      </c>
      <c r="C66" s="160"/>
      <c r="D66" s="372">
        <f>Input!$KO$52</f>
        <v>129046996</v>
      </c>
      <c r="E66" s="372">
        <f>Input!$KP$52</f>
        <v>35894317</v>
      </c>
      <c r="F66" s="372">
        <f>Input!$KQ$52</f>
        <v>0</v>
      </c>
      <c r="G66" s="372">
        <f>Input!$KR$52</f>
        <v>12932063</v>
      </c>
      <c r="H66" s="372">
        <f>Input!$KS$52</f>
        <v>0</v>
      </c>
      <c r="I66" s="372">
        <f>Input!$KT$52</f>
        <v>0</v>
      </c>
      <c r="J66" s="372">
        <f>Input!$KU$52</f>
        <v>0</v>
      </c>
      <c r="K66" s="372">
        <f>Input!$KV$52</f>
        <v>0</v>
      </c>
      <c r="L66" s="372">
        <f>Input!$KW$52</f>
        <v>0</v>
      </c>
      <c r="M66" s="373">
        <f t="shared" ref="M66:M77" si="12">D66+E66+F66+G66+H66+I66+J66+K66+L66</f>
        <v>177873376</v>
      </c>
      <c r="N66" s="160"/>
      <c r="O66" s="282">
        <f>D66+E66+G66+J66</f>
        <v>177873376</v>
      </c>
      <c r="P66" s="518">
        <f>Input!$SS$52</f>
        <v>246829</v>
      </c>
      <c r="Q66" s="438" t="s">
        <v>259</v>
      </c>
      <c r="R66" s="284">
        <f>SUM(O66:P66)</f>
        <v>178120205</v>
      </c>
      <c r="S66" s="439"/>
      <c r="T66" s="286">
        <f t="shared" ref="T66:T74" si="13">D66+E66+G66</f>
        <v>177873376</v>
      </c>
      <c r="U66" s="287">
        <f t="shared" ref="U66:U74" si="14">P66</f>
        <v>246829</v>
      </c>
      <c r="V66" s="289">
        <f>Input!$TC$52</f>
        <v>3157</v>
      </c>
      <c r="W66" s="289">
        <f>Input!$TK$52</f>
        <v>0</v>
      </c>
      <c r="X66" s="290">
        <f t="shared" ref="X66:X73" si="15">T66+U66-V66-W66</f>
        <v>178117048</v>
      </c>
      <c r="Z66" s="292" t="s">
        <v>14</v>
      </c>
      <c r="AA66" s="520">
        <f>Input!$TS$52</f>
        <v>177873376</v>
      </c>
      <c r="AB66" s="293">
        <f t="shared" ref="AB66:AB75" si="16">AA66-M66</f>
        <v>0</v>
      </c>
    </row>
    <row r="67" spans="1:32" ht="14.25" thickTop="1" thickBot="1">
      <c r="A67" s="184">
        <v>44</v>
      </c>
      <c r="B67" s="160" t="s">
        <v>15</v>
      </c>
      <c r="C67" s="160"/>
      <c r="D67" s="372">
        <f>Input!$KX$52</f>
        <v>5002830</v>
      </c>
      <c r="E67" s="372">
        <f>Input!$KY$52</f>
        <v>23866798</v>
      </c>
      <c r="F67" s="372">
        <f>Input!$KZ$52</f>
        <v>0</v>
      </c>
      <c r="G67" s="372">
        <f>Input!$LA$52</f>
        <v>17126275</v>
      </c>
      <c r="H67" s="372">
        <f>Input!$LB$52</f>
        <v>0</v>
      </c>
      <c r="I67" s="372">
        <f>Input!$LC$52</f>
        <v>0</v>
      </c>
      <c r="J67" s="372">
        <f>Input!$LD$52</f>
        <v>0</v>
      </c>
      <c r="K67" s="372">
        <f>Input!$LE$52</f>
        <v>0</v>
      </c>
      <c r="L67" s="372">
        <f>Input!$LF$52</f>
        <v>0</v>
      </c>
      <c r="M67" s="373">
        <f t="shared" si="12"/>
        <v>45995903</v>
      </c>
      <c r="N67" s="160"/>
      <c r="O67" s="440">
        <f t="shared" ref="O67:O74" si="17">D67+E67+G67+J67</f>
        <v>45995903</v>
      </c>
      <c r="P67" s="518">
        <f>Input!$ST$52</f>
        <v>5121837</v>
      </c>
      <c r="Q67" s="441" t="s">
        <v>259</v>
      </c>
      <c r="R67" s="295">
        <f>SUM(O67:P67)</f>
        <v>51117740</v>
      </c>
      <c r="S67" s="442"/>
      <c r="T67" s="296">
        <f t="shared" si="13"/>
        <v>45995903</v>
      </c>
      <c r="U67" s="297">
        <f t="shared" si="14"/>
        <v>5121837</v>
      </c>
      <c r="V67" s="299">
        <f>Input!$TD$52</f>
        <v>947334</v>
      </c>
      <c r="W67" s="299">
        <f>Input!$TL$52</f>
        <v>0</v>
      </c>
      <c r="X67" s="300">
        <f t="shared" si="15"/>
        <v>50170406</v>
      </c>
      <c r="Z67" s="292" t="s">
        <v>15</v>
      </c>
      <c r="AA67" s="518">
        <f>Input!$TT$52</f>
        <v>45995903</v>
      </c>
      <c r="AB67" s="301">
        <f t="shared" si="16"/>
        <v>0</v>
      </c>
    </row>
    <row r="68" spans="1:32" ht="13.5" thickTop="1">
      <c r="A68" s="184">
        <v>45</v>
      </c>
      <c r="B68" s="160" t="s">
        <v>16</v>
      </c>
      <c r="C68" s="160"/>
      <c r="D68" s="372">
        <f>Input!$LG$52</f>
        <v>2453395</v>
      </c>
      <c r="E68" s="372">
        <f>Input!$LH$52</f>
        <v>525375</v>
      </c>
      <c r="F68" s="372">
        <f>Input!$LI$52</f>
        <v>0</v>
      </c>
      <c r="G68" s="372">
        <f>Input!$LJ$52</f>
        <v>10581556</v>
      </c>
      <c r="H68" s="372">
        <f>Input!$LK$52</f>
        <v>0</v>
      </c>
      <c r="I68" s="372">
        <f>Input!$LL$52</f>
        <v>0</v>
      </c>
      <c r="J68" s="372">
        <f>Input!$LM$52</f>
        <v>0</v>
      </c>
      <c r="K68" s="372">
        <f>Input!$LN$52</f>
        <v>0</v>
      </c>
      <c r="L68" s="372">
        <f>Input!$LO$52</f>
        <v>0</v>
      </c>
      <c r="M68" s="373">
        <f t="shared" si="12"/>
        <v>13560326</v>
      </c>
      <c r="N68" s="160"/>
      <c r="O68" s="440">
        <f t="shared" si="17"/>
        <v>13560326</v>
      </c>
      <c r="P68" s="518">
        <f>Input!$SU$52</f>
        <v>561319</v>
      </c>
      <c r="Q68" s="441" t="s">
        <v>259</v>
      </c>
      <c r="R68" s="302" t="s">
        <v>259</v>
      </c>
      <c r="S68" s="442"/>
      <c r="T68" s="296">
        <f t="shared" si="13"/>
        <v>13560326</v>
      </c>
      <c r="U68" s="297">
        <f t="shared" si="14"/>
        <v>561319</v>
      </c>
      <c r="V68" s="299">
        <f>Input!$TE$52</f>
        <v>0</v>
      </c>
      <c r="W68" s="299">
        <f>Input!$TM$52</f>
        <v>0</v>
      </c>
      <c r="X68" s="303">
        <f t="shared" si="15"/>
        <v>14121645</v>
      </c>
      <c r="Z68" s="292" t="s">
        <v>16</v>
      </c>
      <c r="AA68" s="518">
        <f>Input!$TU$52</f>
        <v>13560326</v>
      </c>
      <c r="AB68" s="301">
        <f t="shared" si="16"/>
        <v>0</v>
      </c>
    </row>
    <row r="69" spans="1:32" s="261" customFormat="1">
      <c r="A69" s="263">
        <v>52</v>
      </c>
      <c r="B69" s="1327" t="s">
        <v>2123</v>
      </c>
      <c r="C69" s="1327"/>
      <c r="D69" s="372">
        <f>Input!$AE$53</f>
        <v>11986502</v>
      </c>
      <c r="E69" s="372">
        <f>Input!$AF$53</f>
        <v>37095167</v>
      </c>
      <c r="F69" s="372">
        <f>Input!$AG$53</f>
        <v>0</v>
      </c>
      <c r="G69" s="372">
        <f>Input!$AH$53</f>
        <v>-117253</v>
      </c>
      <c r="H69" s="372">
        <f>Input!$AI$53</f>
        <v>0</v>
      </c>
      <c r="I69" s="372">
        <f>Input!$AJ$53</f>
        <v>0</v>
      </c>
      <c r="J69" s="372">
        <f>Input!$AK$53</f>
        <v>0</v>
      </c>
      <c r="K69" s="372">
        <f>Input!$AL$53</f>
        <v>0</v>
      </c>
      <c r="L69" s="372">
        <f>Input!$AM$53</f>
        <v>0</v>
      </c>
      <c r="M69" s="373">
        <f t="shared" si="12"/>
        <v>48964416</v>
      </c>
      <c r="O69" s="440">
        <f t="shared" ref="O69" si="18">D69+E69+G69</f>
        <v>48964416</v>
      </c>
      <c r="P69" s="299">
        <f>Input!$AN$53</f>
        <v>88681</v>
      </c>
      <c r="Q69" s="441" t="s">
        <v>259</v>
      </c>
      <c r="R69" s="295">
        <f>SUM(O69:P69)</f>
        <v>49053097</v>
      </c>
      <c r="S69" s="1328" t="e">
        <f t="shared" ref="S69" si="19">O69+P69-Q69-R69</f>
        <v>#VALUE!</v>
      </c>
      <c r="T69" s="296">
        <f t="shared" si="13"/>
        <v>48964416</v>
      </c>
      <c r="U69" s="297">
        <f t="shared" si="14"/>
        <v>88681</v>
      </c>
      <c r="V69" s="298">
        <f>Input!$AO$54</f>
        <v>0</v>
      </c>
      <c r="W69" s="299">
        <f>Input!$AP$54</f>
        <v>0</v>
      </c>
      <c r="X69" s="303">
        <f t="shared" si="15"/>
        <v>49053097</v>
      </c>
      <c r="Z69" s="292" t="s">
        <v>2123</v>
      </c>
      <c r="AA69" s="518">
        <f>Input!$AQ$53</f>
        <v>48964416</v>
      </c>
      <c r="AB69" s="301">
        <f t="shared" si="16"/>
        <v>0</v>
      </c>
      <c r="AD69"/>
      <c r="AF69" s="352"/>
    </row>
    <row r="70" spans="1:32">
      <c r="A70" s="184">
        <v>46</v>
      </c>
      <c r="B70" s="160" t="s">
        <v>17</v>
      </c>
      <c r="C70" s="160"/>
      <c r="D70" s="372">
        <f>Input!$LP$52</f>
        <v>25120974</v>
      </c>
      <c r="E70" s="372">
        <f>Input!$LQ$52</f>
        <v>31984571</v>
      </c>
      <c r="F70" s="372">
        <f>Input!$LR$52</f>
        <v>0</v>
      </c>
      <c r="G70" s="372">
        <f>Input!$LS$52</f>
        <v>6239461</v>
      </c>
      <c r="H70" s="372">
        <f>Input!$LT$52</f>
        <v>0</v>
      </c>
      <c r="I70" s="372">
        <f>Input!$LU$52</f>
        <v>0</v>
      </c>
      <c r="J70" s="372">
        <f>Input!$LV$52</f>
        <v>0</v>
      </c>
      <c r="K70" s="372">
        <f>Input!$LW$52</f>
        <v>0</v>
      </c>
      <c r="L70" s="372">
        <f>Input!$LX$52</f>
        <v>0</v>
      </c>
      <c r="M70" s="373">
        <f t="shared" si="12"/>
        <v>63345006</v>
      </c>
      <c r="N70" s="160"/>
      <c r="O70" s="440">
        <f t="shared" si="17"/>
        <v>63345006</v>
      </c>
      <c r="P70" s="518">
        <f>Input!$SV$52</f>
        <v>6627272</v>
      </c>
      <c r="Q70" s="441" t="s">
        <v>259</v>
      </c>
      <c r="R70" s="295">
        <f t="shared" ref="R70:R72" si="20">SUM(O70:P70)</f>
        <v>69972278</v>
      </c>
      <c r="S70" s="442"/>
      <c r="T70" s="296">
        <f t="shared" si="13"/>
        <v>63345006</v>
      </c>
      <c r="U70" s="297">
        <f t="shared" si="14"/>
        <v>6627272</v>
      </c>
      <c r="V70" s="299">
        <f>Input!$TF$52</f>
        <v>0</v>
      </c>
      <c r="W70" s="299">
        <f>Input!$TN$52</f>
        <v>0</v>
      </c>
      <c r="X70" s="303">
        <f t="shared" si="15"/>
        <v>69972278</v>
      </c>
      <c r="Z70" s="292" t="s">
        <v>17</v>
      </c>
      <c r="AA70" s="518">
        <f>Input!$TV$52</f>
        <v>63345006</v>
      </c>
      <c r="AB70" s="301">
        <f t="shared" si="16"/>
        <v>0</v>
      </c>
    </row>
    <row r="71" spans="1:32">
      <c r="A71" s="184">
        <v>47</v>
      </c>
      <c r="B71" s="160" t="s">
        <v>18</v>
      </c>
      <c r="C71" s="160"/>
      <c r="D71" s="372">
        <f>Input!$LY$52</f>
        <v>9941288</v>
      </c>
      <c r="E71" s="372">
        <f>Input!$LZ$52</f>
        <v>13198836</v>
      </c>
      <c r="F71" s="372">
        <f>Input!$MA$52</f>
        <v>0</v>
      </c>
      <c r="G71" s="372">
        <f>Input!$MB$52</f>
        <v>20106225</v>
      </c>
      <c r="H71" s="372">
        <f>Input!$MC$52</f>
        <v>-539663</v>
      </c>
      <c r="I71" s="372">
        <f>Input!$MD$52</f>
        <v>0</v>
      </c>
      <c r="J71" s="372">
        <f>Input!$ME$52</f>
        <v>0</v>
      </c>
      <c r="K71" s="372">
        <f>Input!$MF$52</f>
        <v>0</v>
      </c>
      <c r="L71" s="372">
        <f>Input!$MG$52</f>
        <v>0</v>
      </c>
      <c r="M71" s="373">
        <f t="shared" si="12"/>
        <v>42706686</v>
      </c>
      <c r="N71" s="160"/>
      <c r="O71" s="440">
        <f t="shared" si="17"/>
        <v>43246349</v>
      </c>
      <c r="P71" s="518">
        <f>Input!$SW$52</f>
        <v>20760</v>
      </c>
      <c r="Q71" s="518">
        <f>Input!$TB$52</f>
        <v>0</v>
      </c>
      <c r="R71" s="295">
        <f>SUM(O71:P71)-Q71</f>
        <v>43267109</v>
      </c>
      <c r="S71" s="442"/>
      <c r="T71" s="296">
        <f t="shared" si="13"/>
        <v>43246349</v>
      </c>
      <c r="U71" s="297">
        <f t="shared" si="14"/>
        <v>20760</v>
      </c>
      <c r="V71" s="299">
        <f>Input!$TG$52</f>
        <v>0</v>
      </c>
      <c r="W71" s="299">
        <f>Input!$TO$52</f>
        <v>0</v>
      </c>
      <c r="X71" s="303">
        <f t="shared" si="15"/>
        <v>43267109</v>
      </c>
      <c r="Z71" s="292" t="s">
        <v>18</v>
      </c>
      <c r="AA71" s="518">
        <f>Input!$TW$52</f>
        <v>42706686</v>
      </c>
      <c r="AB71" s="301">
        <f t="shared" si="16"/>
        <v>0</v>
      </c>
    </row>
    <row r="72" spans="1:32">
      <c r="A72" s="184">
        <v>48</v>
      </c>
      <c r="B72" s="160" t="s">
        <v>19</v>
      </c>
      <c r="C72" s="160"/>
      <c r="D72" s="372">
        <f>Input!$MH$52</f>
        <v>14312885</v>
      </c>
      <c r="E72" s="372">
        <f>Input!$MI$52</f>
        <v>22658074</v>
      </c>
      <c r="F72" s="372">
        <f>Input!$MJ$52</f>
        <v>0</v>
      </c>
      <c r="G72" s="372">
        <f>Input!$MK$52</f>
        <v>633902</v>
      </c>
      <c r="H72" s="372">
        <f>Input!$ML$52</f>
        <v>0</v>
      </c>
      <c r="I72" s="372">
        <f>Input!$MM$52</f>
        <v>0</v>
      </c>
      <c r="J72" s="372">
        <f>Input!$MN$52</f>
        <v>0</v>
      </c>
      <c r="K72" s="372">
        <f>Input!$MO$52</f>
        <v>0</v>
      </c>
      <c r="L72" s="372">
        <f>Input!$MP$52</f>
        <v>0</v>
      </c>
      <c r="M72" s="373">
        <f t="shared" si="12"/>
        <v>37604861</v>
      </c>
      <c r="N72" s="160"/>
      <c r="O72" s="440">
        <f t="shared" si="17"/>
        <v>37604861</v>
      </c>
      <c r="P72" s="518">
        <f>Input!$SX$52</f>
        <v>237483</v>
      </c>
      <c r="Q72" s="441" t="s">
        <v>259</v>
      </c>
      <c r="R72" s="295">
        <f t="shared" si="20"/>
        <v>37842344</v>
      </c>
      <c r="S72" s="442"/>
      <c r="T72" s="296">
        <f t="shared" si="13"/>
        <v>37604861</v>
      </c>
      <c r="U72" s="297">
        <f t="shared" si="14"/>
        <v>237483</v>
      </c>
      <c r="V72" s="299">
        <f>Input!$TH$52</f>
        <v>0</v>
      </c>
      <c r="W72" s="299">
        <f>Input!$TP$52</f>
        <v>0</v>
      </c>
      <c r="X72" s="303">
        <f t="shared" si="15"/>
        <v>37842344</v>
      </c>
      <c r="Z72" s="292" t="s">
        <v>19</v>
      </c>
      <c r="AA72" s="518">
        <f>Input!$TX$52</f>
        <v>37604861</v>
      </c>
      <c r="AB72" s="301">
        <f t="shared" si="16"/>
        <v>0</v>
      </c>
    </row>
    <row r="73" spans="1:32">
      <c r="A73" s="184">
        <v>49</v>
      </c>
      <c r="B73" s="160" t="s">
        <v>20</v>
      </c>
      <c r="C73" s="160"/>
      <c r="D73" s="372">
        <f>Input!$MQ$52</f>
        <v>11635597</v>
      </c>
      <c r="E73" s="372">
        <f>Input!$MR$52</f>
        <v>24796004</v>
      </c>
      <c r="F73" s="372">
        <f>Input!$MS$52</f>
        <v>0</v>
      </c>
      <c r="G73" s="372">
        <f>Input!$MT$52</f>
        <v>62670</v>
      </c>
      <c r="H73" s="372">
        <f>Input!$MU$52</f>
        <v>0</v>
      </c>
      <c r="I73" s="372">
        <f>Input!$MV$52</f>
        <v>0</v>
      </c>
      <c r="J73" s="372">
        <f>Input!$MW$52</f>
        <v>3189482</v>
      </c>
      <c r="K73" s="372">
        <f>Input!$MX$52</f>
        <v>0</v>
      </c>
      <c r="L73" s="372">
        <f>Input!$MY$52</f>
        <v>0</v>
      </c>
      <c r="M73" s="373">
        <f t="shared" si="12"/>
        <v>39683753</v>
      </c>
      <c r="N73" s="160"/>
      <c r="O73" s="440">
        <f t="shared" si="17"/>
        <v>39683753</v>
      </c>
      <c r="P73" s="518">
        <f>Input!$SY$52</f>
        <v>401341</v>
      </c>
      <c r="Q73" s="441" t="s">
        <v>259</v>
      </c>
      <c r="R73" s="304" t="s">
        <v>259</v>
      </c>
      <c r="S73" s="442"/>
      <c r="T73" s="296">
        <f t="shared" si="13"/>
        <v>36494271</v>
      </c>
      <c r="U73" s="297">
        <f t="shared" si="14"/>
        <v>401341</v>
      </c>
      <c r="V73" s="299">
        <f>Input!$TI$52</f>
        <v>0</v>
      </c>
      <c r="W73" s="299">
        <f>Input!$TQ$52</f>
        <v>0</v>
      </c>
      <c r="X73" s="303">
        <f t="shared" si="15"/>
        <v>36895612</v>
      </c>
      <c r="Z73" s="292" t="s">
        <v>260</v>
      </c>
      <c r="AA73" s="518">
        <f>Input!$TY$52</f>
        <v>39683753</v>
      </c>
      <c r="AB73" s="301">
        <f t="shared" si="16"/>
        <v>0</v>
      </c>
    </row>
    <row r="74" spans="1:32" ht="13.5" thickBot="1">
      <c r="A74" s="184">
        <v>50</v>
      </c>
      <c r="B74" s="160" t="s">
        <v>21</v>
      </c>
      <c r="C74" s="160"/>
      <c r="D74" s="372">
        <f>Input!$MZ$52</f>
        <v>13625931</v>
      </c>
      <c r="E74" s="372">
        <f>Input!$NA$52</f>
        <v>1621656</v>
      </c>
      <c r="F74" s="372">
        <f>Input!$NB$52</f>
        <v>0</v>
      </c>
      <c r="G74" s="372">
        <f>Input!$NC$52</f>
        <v>101852978</v>
      </c>
      <c r="H74" s="372">
        <f>Input!$ND$52</f>
        <v>0</v>
      </c>
      <c r="I74" s="372">
        <f>Input!$NE$52</f>
        <v>0</v>
      </c>
      <c r="J74" s="372">
        <f>Input!$NF$52</f>
        <v>0</v>
      </c>
      <c r="K74" s="372">
        <f>Input!$NG$52</f>
        <v>0</v>
      </c>
      <c r="L74" s="372">
        <f>Input!$NH$52</f>
        <v>0</v>
      </c>
      <c r="M74" s="373">
        <f t="shared" si="12"/>
        <v>117100565</v>
      </c>
      <c r="N74" s="160"/>
      <c r="O74" s="440">
        <f t="shared" si="17"/>
        <v>117100565</v>
      </c>
      <c r="P74" s="518">
        <f>Input!$SZ$52</f>
        <v>6399</v>
      </c>
      <c r="Q74" s="441" t="s">
        <v>259</v>
      </c>
      <c r="R74" s="304" t="s">
        <v>259</v>
      </c>
      <c r="S74" s="442"/>
      <c r="T74" s="306">
        <f t="shared" si="13"/>
        <v>117100565</v>
      </c>
      <c r="U74" s="307">
        <f t="shared" si="14"/>
        <v>6399</v>
      </c>
      <c r="V74" s="308">
        <f>Input!$TJ$52</f>
        <v>0</v>
      </c>
      <c r="W74" s="308">
        <f>Input!$TR$52</f>
        <v>0</v>
      </c>
      <c r="X74" s="303">
        <f>U74+T74-V74-W74</f>
        <v>117106964</v>
      </c>
      <c r="Z74" s="292" t="s">
        <v>21</v>
      </c>
      <c r="AA74" s="518">
        <f>Input!$TZ$52</f>
        <v>117100565</v>
      </c>
      <c r="AB74" s="301">
        <f t="shared" si="16"/>
        <v>0</v>
      </c>
    </row>
    <row r="75" spans="1:32" ht="14.25" thickTop="1" thickBot="1">
      <c r="A75" s="184">
        <v>51</v>
      </c>
      <c r="B75" s="160" t="s">
        <v>2135</v>
      </c>
      <c r="C75" s="160"/>
      <c r="D75" s="372">
        <f>Input!$NI$52</f>
        <v>0</v>
      </c>
      <c r="E75" s="372">
        <f>Input!$NJ$52</f>
        <v>1490634</v>
      </c>
      <c r="F75" s="372">
        <f>Input!$NK$52</f>
        <v>23595257</v>
      </c>
      <c r="G75" s="372">
        <f>Input!$NL$52</f>
        <v>172681</v>
      </c>
      <c r="H75" s="372">
        <f>Input!$NM$52</f>
        <v>0</v>
      </c>
      <c r="I75" s="372">
        <f>Input!$NN$52</f>
        <v>0</v>
      </c>
      <c r="J75" s="372">
        <f>Input!$NO$52</f>
        <v>0</v>
      </c>
      <c r="K75" s="372">
        <f>Input!$NP$52</f>
        <v>0</v>
      </c>
      <c r="L75" s="372">
        <f>Input!$NQ$52</f>
        <v>0</v>
      </c>
      <c r="M75" s="373">
        <f t="shared" si="12"/>
        <v>25258572</v>
      </c>
      <c r="N75" s="160"/>
      <c r="O75" s="309" t="s">
        <v>259</v>
      </c>
      <c r="P75" s="519">
        <f>Input!$TA$52</f>
        <v>27998</v>
      </c>
      <c r="Q75" s="444" t="s">
        <v>259</v>
      </c>
      <c r="R75" s="311" t="s">
        <v>259</v>
      </c>
      <c r="S75" s="442"/>
      <c r="T75" s="305"/>
      <c r="U75" s="305"/>
      <c r="V75" s="312" t="s">
        <v>261</v>
      </c>
      <c r="W75" s="313"/>
      <c r="X75" s="314">
        <f>SUM(X66:X74)</f>
        <v>596546503</v>
      </c>
      <c r="Z75" s="292" t="s">
        <v>22</v>
      </c>
      <c r="AA75" s="518">
        <f>Input!$UA$52</f>
        <v>25258572</v>
      </c>
      <c r="AB75" s="301">
        <f t="shared" si="16"/>
        <v>0</v>
      </c>
    </row>
    <row r="76" spans="1:32" ht="14.25" thickTop="1" thickBot="1">
      <c r="A76" s="184">
        <v>52</v>
      </c>
      <c r="B76" s="161" t="s">
        <v>59</v>
      </c>
      <c r="C76" s="161"/>
      <c r="D76" s="372">
        <f>Input!$NR$52</f>
        <v>211846</v>
      </c>
      <c r="E76" s="372">
        <f>Input!$NS$52</f>
        <v>5929372</v>
      </c>
      <c r="F76" s="372">
        <f>Input!$NT$52</f>
        <v>27998</v>
      </c>
      <c r="G76" s="372">
        <f>Input!$NU$52</f>
        <v>7170703</v>
      </c>
      <c r="H76" s="372">
        <f>Input!$NV$52</f>
        <v>0</v>
      </c>
      <c r="I76" s="372">
        <f>Input!$NW$52</f>
        <v>0</v>
      </c>
      <c r="J76" s="372">
        <f>Input!$NX$52</f>
        <v>0</v>
      </c>
      <c r="K76" s="372">
        <f>Input!$NY$52</f>
        <v>0</v>
      </c>
      <c r="L76" s="372">
        <f>Input!$NZ$52</f>
        <v>0</v>
      </c>
      <c r="M76" s="373">
        <f t="shared" si="12"/>
        <v>13339919</v>
      </c>
      <c r="N76" s="160"/>
      <c r="O76" s="315"/>
      <c r="P76" s="316">
        <f>SUM(P66:P75)</f>
        <v>13339919</v>
      </c>
      <c r="Q76" s="316">
        <f>SUM(Q71:Q75)</f>
        <v>0</v>
      </c>
      <c r="R76" s="317">
        <f>SUM(R66:R72)</f>
        <v>429372773</v>
      </c>
      <c r="S76" s="316"/>
      <c r="T76" s="305"/>
      <c r="U76" s="305"/>
      <c r="V76" s="305"/>
      <c r="W76" s="277"/>
      <c r="X76" s="277"/>
      <c r="Y76" s="277"/>
      <c r="Z76" s="292" t="s">
        <v>285</v>
      </c>
      <c r="AA76" s="445">
        <f>M95*-1</f>
        <v>51895679</v>
      </c>
      <c r="AB76" s="301">
        <f>AA76+M95</f>
        <v>0</v>
      </c>
    </row>
    <row r="77" spans="1:32" ht="14.25" thickTop="1" thickBot="1">
      <c r="A77" s="184">
        <v>53</v>
      </c>
      <c r="B77" s="178" t="s">
        <v>44</v>
      </c>
      <c r="C77" s="178"/>
      <c r="D77" s="378">
        <f>Input!$OA$52</f>
        <v>0</v>
      </c>
      <c r="E77" s="378">
        <f>Input!$OB$52</f>
        <v>0</v>
      </c>
      <c r="F77" s="378">
        <f>Input!$OC$52</f>
        <v>0</v>
      </c>
      <c r="G77" s="378">
        <f>Input!$OD$52</f>
        <v>0</v>
      </c>
      <c r="H77" s="378">
        <f>Input!$OE$52</f>
        <v>0</v>
      </c>
      <c r="I77" s="378">
        <f>Input!$OF$52</f>
        <v>0</v>
      </c>
      <c r="J77" s="378">
        <f>Input!$OG$52</f>
        <v>0</v>
      </c>
      <c r="K77" s="378">
        <f>Input!$OH$52</f>
        <v>0</v>
      </c>
      <c r="L77" s="378">
        <f>Input!$OI$52</f>
        <v>0</v>
      </c>
      <c r="M77" s="373">
        <f t="shared" si="12"/>
        <v>0</v>
      </c>
      <c r="N77" s="160"/>
      <c r="O77" s="320"/>
      <c r="P77" s="516" t="str">
        <f>IF(P76&lt;&gt;M76,"Out of Balance","Balanced")</f>
        <v>Balanced</v>
      </c>
      <c r="Q77" s="318"/>
      <c r="R77" s="305"/>
      <c r="S77" s="305"/>
      <c r="T77" s="305"/>
      <c r="U77" s="277"/>
      <c r="V77" s="1738" t="str">
        <f>IF(X75-INT(X75)&lt;&gt;0,"Whole Dollars Only","")</f>
        <v/>
      </c>
      <c r="W77" s="1738"/>
      <c r="X77" s="1076"/>
      <c r="Y77" s="319"/>
      <c r="Z77" s="410" t="s">
        <v>262</v>
      </c>
      <c r="AA77" s="446" t="s">
        <v>259</v>
      </c>
      <c r="AB77" s="411">
        <f>M97</f>
        <v>0</v>
      </c>
    </row>
    <row r="78" spans="1:32" ht="13.5" thickTop="1">
      <c r="A78" s="184">
        <v>54</v>
      </c>
      <c r="B78" s="162" t="s">
        <v>69</v>
      </c>
      <c r="C78" s="162"/>
      <c r="D78" s="374">
        <f t="shared" ref="D78:M78" si="21">SUM(D66:D77)</f>
        <v>223338244</v>
      </c>
      <c r="E78" s="374">
        <f t="shared" si="21"/>
        <v>199060804</v>
      </c>
      <c r="F78" s="374">
        <f t="shared" si="21"/>
        <v>23623255</v>
      </c>
      <c r="G78" s="374">
        <f t="shared" si="21"/>
        <v>176761261</v>
      </c>
      <c r="H78" s="374">
        <f t="shared" si="21"/>
        <v>-539663</v>
      </c>
      <c r="I78" s="374">
        <f t="shared" si="21"/>
        <v>0</v>
      </c>
      <c r="J78" s="374">
        <f t="shared" si="21"/>
        <v>3189482</v>
      </c>
      <c r="K78" s="374">
        <f t="shared" si="21"/>
        <v>0</v>
      </c>
      <c r="L78" s="374">
        <f t="shared" si="21"/>
        <v>0</v>
      </c>
      <c r="M78" s="374">
        <f t="shared" si="21"/>
        <v>625433383</v>
      </c>
      <c r="N78" s="160"/>
      <c r="O78" s="322"/>
      <c r="P78" s="1738" t="str">
        <f>IF(P76-INT(P76)&lt;&gt;0,"Whole Dollars Only","")</f>
        <v/>
      </c>
      <c r="Q78" s="1738"/>
      <c r="R78" s="323"/>
      <c r="S78" s="323"/>
      <c r="T78" s="323"/>
      <c r="U78" s="291"/>
      <c r="V78" s="324"/>
      <c r="W78" s="321"/>
      <c r="X78" s="321"/>
      <c r="Y78" s="321"/>
      <c r="Z78" s="318"/>
      <c r="AA78" s="325">
        <f>SUM(AA66:AA77)</f>
        <v>663989143</v>
      </c>
      <c r="AB78" s="326">
        <f>SUM(AB66:AB77)</f>
        <v>0</v>
      </c>
    </row>
    <row r="79" spans="1:32">
      <c r="A79" s="184">
        <v>55</v>
      </c>
      <c r="B79" s="160"/>
      <c r="C79" s="160"/>
      <c r="D79" s="373"/>
      <c r="E79" s="373"/>
      <c r="F79" s="373"/>
      <c r="G79" s="373"/>
      <c r="H79" s="373"/>
      <c r="I79" s="373"/>
      <c r="J79" s="373"/>
      <c r="K79" s="373"/>
      <c r="L79" s="373"/>
      <c r="M79" s="373"/>
      <c r="N79" s="160"/>
      <c r="O79" s="285"/>
      <c r="P79" s="318"/>
      <c r="Q79" s="321"/>
      <c r="R79" s="318"/>
      <c r="S79" s="318"/>
      <c r="T79" s="318"/>
      <c r="U79" s="327"/>
      <c r="V79" s="276"/>
      <c r="W79" s="328"/>
      <c r="X79" s="328"/>
      <c r="Y79" s="318"/>
      <c r="Z79" s="318"/>
      <c r="AA79" s="318"/>
      <c r="AB79" s="412" t="str">
        <f>IF(AB78&lt;&gt;0,"Out of Balance","Balanced")</f>
        <v>Balanced</v>
      </c>
    </row>
    <row r="80" spans="1:32">
      <c r="A80" s="184">
        <v>56</v>
      </c>
      <c r="B80" s="172" t="s">
        <v>23</v>
      </c>
      <c r="C80" s="172"/>
      <c r="D80" s="373"/>
      <c r="E80" s="373"/>
      <c r="F80" s="373"/>
      <c r="G80" s="373"/>
      <c r="H80" s="373"/>
      <c r="I80" s="373"/>
      <c r="J80" s="373"/>
      <c r="K80" s="373"/>
      <c r="L80" s="373"/>
      <c r="M80" s="373"/>
      <c r="N80" s="160"/>
      <c r="O80" s="329"/>
      <c r="Q80" s="330"/>
      <c r="R80" s="321"/>
      <c r="S80" s="321"/>
      <c r="T80" s="321"/>
      <c r="U80" s="327"/>
      <c r="V80" s="276"/>
      <c r="W80" s="331"/>
      <c r="X80" s="331"/>
      <c r="Y80" s="321"/>
      <c r="Z80" s="321"/>
      <c r="AA80" s="318"/>
      <c r="AB80" s="332"/>
    </row>
    <row r="81" spans="1:28" ht="13.5" thickBot="1">
      <c r="A81" s="184">
        <v>57</v>
      </c>
      <c r="B81" s="160" t="s">
        <v>60</v>
      </c>
      <c r="C81" s="160"/>
      <c r="D81" s="372">
        <f>Input!$OJ$52</f>
        <v>0</v>
      </c>
      <c r="E81" s="372">
        <f>Input!$OK$52</f>
        <v>0</v>
      </c>
      <c r="F81" s="372">
        <f>Input!$OL$52</f>
        <v>0</v>
      </c>
      <c r="G81" s="372">
        <f>Input!$OM$52</f>
        <v>0</v>
      </c>
      <c r="H81" s="372">
        <f>Input!$ON$52</f>
        <v>0</v>
      </c>
      <c r="I81" s="372">
        <f>Input!$OO$52</f>
        <v>0</v>
      </c>
      <c r="J81" s="372">
        <f>Input!$OP$52</f>
        <v>-49323529</v>
      </c>
      <c r="K81" s="372">
        <f>Input!$OQ$52</f>
        <v>0</v>
      </c>
      <c r="L81" s="372">
        <f>Input!$OR$52</f>
        <v>0</v>
      </c>
      <c r="M81" s="373">
        <f>D81+E81+F81+G81+H81+I81+J81+K81+L81</f>
        <v>-49323529</v>
      </c>
      <c r="N81" s="160"/>
      <c r="O81" s="329"/>
      <c r="Q81" s="330"/>
      <c r="R81" s="321"/>
      <c r="S81" s="321"/>
      <c r="T81" s="321"/>
      <c r="U81" s="327"/>
      <c r="V81" s="276"/>
      <c r="W81" s="331"/>
      <c r="X81" s="331"/>
      <c r="Y81" s="321"/>
      <c r="Z81" s="333"/>
      <c r="AA81" s="318"/>
      <c r="AB81" s="332"/>
    </row>
    <row r="82" spans="1:28" ht="14.25" thickTop="1" thickBot="1">
      <c r="A82" s="184">
        <v>58</v>
      </c>
      <c r="B82" s="171" t="s">
        <v>572</v>
      </c>
      <c r="C82" s="171"/>
      <c r="D82" s="372">
        <f>Input!$OS$52</f>
        <v>9922515</v>
      </c>
      <c r="E82" s="372">
        <f>Input!$OT$52</f>
        <v>20304778</v>
      </c>
      <c r="F82" s="372">
        <f>Input!$OU$52</f>
        <v>12734911</v>
      </c>
      <c r="G82" s="372">
        <f>Input!$OV$52</f>
        <v>-91429228</v>
      </c>
      <c r="H82" s="372">
        <f>Input!$OW$52</f>
        <v>753982</v>
      </c>
      <c r="I82" s="372">
        <f>Input!$OX$52</f>
        <v>40063416</v>
      </c>
      <c r="J82" s="372">
        <f>Input!$OY$52</f>
        <v>16841153</v>
      </c>
      <c r="K82" s="372">
        <f>Input!$OZ$52</f>
        <v>0</v>
      </c>
      <c r="L82" s="372">
        <f>Input!$PA$52</f>
        <v>16495</v>
      </c>
      <c r="M82" s="373">
        <f>D82+E82+F82+G82+H82+I82+J82+K82+L82</f>
        <v>9208022</v>
      </c>
      <c r="N82" s="160"/>
      <c r="O82" s="1723" t="str">
        <f>IF(M92&lt;0,"Footnote 11 is N/A - No Data Entry Required","Footnote 11")</f>
        <v>Footnote 11</v>
      </c>
      <c r="P82" s="1724"/>
      <c r="Q82" s="1724"/>
      <c r="R82" s="1725"/>
      <c r="S82" s="330"/>
      <c r="T82" s="330"/>
      <c r="U82" s="327"/>
      <c r="V82" s="276"/>
      <c r="W82" s="331"/>
      <c r="X82" s="331"/>
      <c r="Y82" s="328"/>
      <c r="Z82" s="328"/>
      <c r="AA82" s="276"/>
      <c r="AB82" s="276" t="s">
        <v>293</v>
      </c>
    </row>
    <row r="83" spans="1:28" ht="13.5" thickTop="1">
      <c r="A83" s="184">
        <v>59</v>
      </c>
      <c r="B83" s="160" t="s">
        <v>45</v>
      </c>
      <c r="C83" s="160"/>
      <c r="D83" s="372">
        <f>Input!$PB$52</f>
        <v>0</v>
      </c>
      <c r="E83" s="372">
        <f>Input!$PC$52</f>
        <v>0</v>
      </c>
      <c r="F83" s="372">
        <f>Input!$PD$52</f>
        <v>0</v>
      </c>
      <c r="G83" s="372">
        <f>Input!$PE$52</f>
        <v>0</v>
      </c>
      <c r="H83" s="372">
        <f>Input!$PF$52</f>
        <v>0</v>
      </c>
      <c r="I83" s="372">
        <f>Input!$PG$52</f>
        <v>0</v>
      </c>
      <c r="J83" s="372">
        <f>Input!$PH$52</f>
        <v>34597718</v>
      </c>
      <c r="K83" s="372">
        <f>Input!$PI$52</f>
        <v>0</v>
      </c>
      <c r="L83" s="372">
        <f>Input!$PJ$52</f>
        <v>0</v>
      </c>
      <c r="M83" s="373">
        <f>D83+E83+F83+G83+H83+I83+J83+K83+L83</f>
        <v>34597718</v>
      </c>
      <c r="N83" s="160"/>
      <c r="O83" s="487" t="s">
        <v>583</v>
      </c>
      <c r="P83" s="488"/>
      <c r="Q83" s="489"/>
      <c r="R83" s="490">
        <f>IF($M$92&lt;0,"N/A",$M$92)</f>
        <v>149344078</v>
      </c>
      <c r="S83" s="330"/>
      <c r="T83" s="330"/>
      <c r="U83" s="327"/>
      <c r="V83" s="276"/>
      <c r="W83" s="331"/>
      <c r="X83" s="331"/>
      <c r="Y83" s="331"/>
      <c r="Z83" s="331"/>
      <c r="AA83" s="276"/>
      <c r="AB83" s="276"/>
    </row>
    <row r="84" spans="1:28">
      <c r="A84" s="184">
        <v>60</v>
      </c>
      <c r="B84" s="160" t="s">
        <v>46</v>
      </c>
      <c r="C84" s="160"/>
      <c r="D84" s="372">
        <f>Input!$PK$52</f>
        <v>-18020350</v>
      </c>
      <c r="E84" s="372">
        <f>Input!$PL$52</f>
        <v>-744396</v>
      </c>
      <c r="F84" s="372">
        <f>Input!$PM$52</f>
        <v>-1452840</v>
      </c>
      <c r="G84" s="372">
        <f>Input!$PN$52</f>
        <v>0</v>
      </c>
      <c r="H84" s="372">
        <f>Input!$PO$52</f>
        <v>0</v>
      </c>
      <c r="I84" s="372">
        <f>Input!$PP$52</f>
        <v>0</v>
      </c>
      <c r="J84" s="372">
        <f>Input!$PQ$52</f>
        <v>0</v>
      </c>
      <c r="K84" s="372">
        <f>Input!$PR$52</f>
        <v>0</v>
      </c>
      <c r="L84" s="372">
        <f>Input!$PS$52</f>
        <v>0</v>
      </c>
      <c r="M84" s="373">
        <f>D84+E84+F84+G84+H84+I84+J84+K84+L84</f>
        <v>-20217586</v>
      </c>
      <c r="N84" s="160"/>
      <c r="O84" s="491" t="s">
        <v>584</v>
      </c>
      <c r="P84" s="334"/>
      <c r="Q84" s="334"/>
      <c r="R84" s="521">
        <f>Input!$UB$52</f>
        <v>110797424</v>
      </c>
      <c r="S84" s="330"/>
      <c r="T84" s="330"/>
      <c r="U84" s="327"/>
      <c r="V84" s="276"/>
      <c r="W84" s="331"/>
      <c r="X84" s="331"/>
      <c r="Y84" s="331"/>
      <c r="Z84" s="331"/>
      <c r="AA84" s="276"/>
      <c r="AB84" s="276"/>
    </row>
    <row r="85" spans="1:28">
      <c r="A85" s="184">
        <v>61</v>
      </c>
      <c r="B85" s="162" t="s">
        <v>3</v>
      </c>
      <c r="C85" s="162"/>
      <c r="D85" s="374">
        <f t="shared" ref="D85:L85" si="22">SUM(D81:D84)</f>
        <v>-8097835</v>
      </c>
      <c r="E85" s="374">
        <f t="shared" si="22"/>
        <v>19560382</v>
      </c>
      <c r="F85" s="374">
        <f t="shared" si="22"/>
        <v>11282071</v>
      </c>
      <c r="G85" s="374">
        <f t="shared" si="22"/>
        <v>-91429228</v>
      </c>
      <c r="H85" s="374">
        <f t="shared" si="22"/>
        <v>753982</v>
      </c>
      <c r="I85" s="374">
        <f t="shared" si="22"/>
        <v>40063416</v>
      </c>
      <c r="J85" s="374">
        <f t="shared" si="22"/>
        <v>2115342</v>
      </c>
      <c r="K85" s="374">
        <f t="shared" si="22"/>
        <v>0</v>
      </c>
      <c r="L85" s="374">
        <f t="shared" si="22"/>
        <v>16495</v>
      </c>
      <c r="M85" s="374">
        <f>D85+E85+F85+G85+H85+I85+J85+K85+L85</f>
        <v>-25735375</v>
      </c>
      <c r="N85" s="160"/>
      <c r="O85" s="491" t="s">
        <v>585</v>
      </c>
      <c r="P85" s="276"/>
      <c r="Q85" s="334"/>
      <c r="R85" s="492">
        <f>IF($M$92&lt;0,"",$R$83-$R$84)</f>
        <v>38546654</v>
      </c>
      <c r="S85" s="330"/>
      <c r="T85" s="330"/>
      <c r="U85" s="327"/>
      <c r="V85" s="276"/>
      <c r="W85" s="331"/>
      <c r="X85" s="331"/>
      <c r="Y85" s="331"/>
      <c r="Z85" s="331"/>
      <c r="AA85" s="276"/>
      <c r="AB85" s="276"/>
    </row>
    <row r="86" spans="1:28">
      <c r="A86" s="184">
        <v>62</v>
      </c>
      <c r="B86" s="160"/>
      <c r="C86" s="160"/>
      <c r="D86" s="373"/>
      <c r="E86" s="373"/>
      <c r="F86" s="373"/>
      <c r="G86" s="373"/>
      <c r="H86" s="373"/>
      <c r="I86" s="373"/>
      <c r="J86" s="373"/>
      <c r="K86" s="373"/>
      <c r="L86" s="373"/>
      <c r="M86" s="373"/>
      <c r="N86" s="160"/>
      <c r="O86" s="493"/>
      <c r="P86" s="276"/>
      <c r="Q86" s="334"/>
      <c r="R86" s="494"/>
      <c r="S86" s="330"/>
      <c r="T86" s="330"/>
      <c r="U86" s="327"/>
      <c r="V86" s="276"/>
      <c r="W86" s="331"/>
      <c r="X86" s="331"/>
      <c r="Y86" s="331"/>
      <c r="Z86" s="331"/>
      <c r="AA86" s="276"/>
      <c r="AB86" s="276"/>
    </row>
    <row r="87" spans="1:28">
      <c r="A87" s="184">
        <v>63</v>
      </c>
      <c r="B87" s="172" t="s">
        <v>24</v>
      </c>
      <c r="C87" s="172"/>
      <c r="D87" s="373"/>
      <c r="E87" s="373"/>
      <c r="F87" s="373"/>
      <c r="G87" s="373"/>
      <c r="H87" s="373"/>
      <c r="I87" s="373"/>
      <c r="J87" s="373"/>
      <c r="K87" s="373"/>
      <c r="L87" s="373"/>
      <c r="M87" s="373"/>
      <c r="N87" s="160"/>
      <c r="O87" s="495" t="s">
        <v>586</v>
      </c>
      <c r="P87" s="276"/>
      <c r="Q87" s="334"/>
      <c r="R87" s="521">
        <f>Input!$UC$52</f>
        <v>33294824</v>
      </c>
      <c r="S87" s="330"/>
      <c r="T87" s="330"/>
      <c r="U87" s="334"/>
      <c r="V87" s="276"/>
      <c r="W87" s="328"/>
      <c r="X87" s="328"/>
      <c r="Y87" s="331"/>
      <c r="Z87" s="331"/>
      <c r="AA87" s="276"/>
      <c r="AB87" s="276"/>
    </row>
    <row r="88" spans="1:28">
      <c r="A88" s="184">
        <v>64</v>
      </c>
      <c r="B88" s="160" t="s">
        <v>47</v>
      </c>
      <c r="C88" s="160"/>
      <c r="D88" s="372">
        <f>Input!$PT$52</f>
        <v>0</v>
      </c>
      <c r="E88" s="372">
        <f>Input!$PU$52</f>
        <v>10545330</v>
      </c>
      <c r="F88" s="372">
        <f>Input!$PV$52</f>
        <v>1767447</v>
      </c>
      <c r="G88" s="372">
        <f>Input!$PW$52</f>
        <v>257414</v>
      </c>
      <c r="H88" s="372">
        <f>Input!$PX$52</f>
        <v>91225</v>
      </c>
      <c r="I88" s="372">
        <f>Input!$PY$52</f>
        <v>19955342</v>
      </c>
      <c r="J88" s="372">
        <f>Input!$PZ$52</f>
        <v>678066</v>
      </c>
      <c r="K88" s="372">
        <f>Input!$QA$52</f>
        <v>0</v>
      </c>
      <c r="L88" s="372">
        <f>Input!$QB$52</f>
        <v>0</v>
      </c>
      <c r="M88" s="373">
        <f>D88+E88+F88+G88+H88+I88+J88+K88+L88</f>
        <v>33294824</v>
      </c>
      <c r="N88" s="160"/>
      <c r="O88" s="496" t="s">
        <v>587</v>
      </c>
      <c r="P88" s="276"/>
      <c r="Q88" s="276"/>
      <c r="R88" s="497"/>
      <c r="S88" s="330"/>
      <c r="T88" s="330"/>
      <c r="W88" s="276"/>
      <c r="X88" s="276"/>
      <c r="Y88" s="331"/>
      <c r="Z88" s="331"/>
      <c r="AA88" s="276"/>
      <c r="AB88" s="276"/>
    </row>
    <row r="89" spans="1:28">
      <c r="A89" s="184">
        <v>65</v>
      </c>
      <c r="B89" s="160" t="s">
        <v>48</v>
      </c>
      <c r="C89" s="160"/>
      <c r="D89" s="372">
        <f>Input!$QC$52</f>
        <v>0</v>
      </c>
      <c r="E89" s="372">
        <f>Input!$QD$52</f>
        <v>0</v>
      </c>
      <c r="F89" s="372">
        <f>Input!$QE$52</f>
        <v>0</v>
      </c>
      <c r="G89" s="372">
        <f>Input!$QF$52</f>
        <v>0</v>
      </c>
      <c r="H89" s="372">
        <f>Input!$QG$52</f>
        <v>0</v>
      </c>
      <c r="I89" s="372">
        <f>Input!$QH$52</f>
        <v>5251830</v>
      </c>
      <c r="J89" s="372">
        <f>Input!$QI$52</f>
        <v>0</v>
      </c>
      <c r="K89" s="372">
        <f>Input!$QJ$52</f>
        <v>0</v>
      </c>
      <c r="L89" s="372">
        <f>Input!$QK$52</f>
        <v>0</v>
      </c>
      <c r="M89" s="373">
        <f>D89+E89+F89+G89+H89+I89+J89+K89+L89</f>
        <v>5251830</v>
      </c>
      <c r="N89" s="160"/>
      <c r="O89" s="498" t="s">
        <v>588</v>
      </c>
      <c r="P89" s="276"/>
      <c r="Q89" s="276"/>
      <c r="R89" s="492">
        <f>IFERROR($R$85-$R$87,"")</f>
        <v>5251830</v>
      </c>
      <c r="Y89" s="331"/>
      <c r="Z89" s="401"/>
      <c r="AA89" s="268"/>
      <c r="AB89" s="268"/>
    </row>
    <row r="90" spans="1:28">
      <c r="A90" s="184">
        <v>66</v>
      </c>
      <c r="B90" s="162" t="s">
        <v>3</v>
      </c>
      <c r="C90" s="162"/>
      <c r="D90" s="374">
        <f t="shared" ref="D90:L90" si="23">SUM(D88:D89)</f>
        <v>0</v>
      </c>
      <c r="E90" s="374">
        <f t="shared" si="23"/>
        <v>10545330</v>
      </c>
      <c r="F90" s="374">
        <f t="shared" si="23"/>
        <v>1767447</v>
      </c>
      <c r="G90" s="374">
        <f t="shared" si="23"/>
        <v>257414</v>
      </c>
      <c r="H90" s="374">
        <f t="shared" si="23"/>
        <v>91225</v>
      </c>
      <c r="I90" s="374">
        <f t="shared" si="23"/>
        <v>25207172</v>
      </c>
      <c r="J90" s="374">
        <f t="shared" si="23"/>
        <v>678066</v>
      </c>
      <c r="K90" s="374">
        <f t="shared" si="23"/>
        <v>0</v>
      </c>
      <c r="L90" s="374">
        <f t="shared" si="23"/>
        <v>0</v>
      </c>
      <c r="M90" s="374">
        <f>D90+E90+F90+G90+H90+I90+J90+K90+L90</f>
        <v>38546654</v>
      </c>
      <c r="N90" s="160"/>
      <c r="O90" s="493"/>
      <c r="P90" s="276"/>
      <c r="Q90" s="276"/>
      <c r="R90" s="497"/>
      <c r="Y90" s="163"/>
      <c r="Z90" s="447"/>
      <c r="AA90" s="439"/>
      <c r="AB90" s="448"/>
    </row>
    <row r="91" spans="1:28" ht="13.5" thickBot="1">
      <c r="A91" s="184">
        <v>67</v>
      </c>
      <c r="B91" s="160"/>
      <c r="C91" s="160"/>
      <c r="D91" s="373"/>
      <c r="E91" s="373"/>
      <c r="F91" s="373"/>
      <c r="G91" s="373"/>
      <c r="H91" s="373"/>
      <c r="I91" s="373"/>
      <c r="J91" s="373"/>
      <c r="K91" s="373"/>
      <c r="L91" s="373"/>
      <c r="M91" s="373"/>
      <c r="N91" s="160"/>
      <c r="O91" s="499" t="s">
        <v>589</v>
      </c>
      <c r="P91" s="500"/>
      <c r="Q91" s="500"/>
      <c r="R91" s="501">
        <f>IFERROR((R89+R87)-R85,"")</f>
        <v>0</v>
      </c>
      <c r="Y91" s="268"/>
      <c r="Z91" s="447"/>
      <c r="AA91" s="439"/>
      <c r="AB91" s="449"/>
    </row>
    <row r="92" spans="1:28" ht="13.5" thickTop="1">
      <c r="A92" s="184">
        <v>68</v>
      </c>
      <c r="B92" s="162" t="s">
        <v>574</v>
      </c>
      <c r="C92" s="162"/>
      <c r="D92" s="374">
        <f t="shared" ref="D92:L92" si="24">D63-D78+D85+D90</f>
        <v>-357659</v>
      </c>
      <c r="E92" s="374">
        <f t="shared" si="24"/>
        <v>77032348</v>
      </c>
      <c r="F92" s="374">
        <f t="shared" si="24"/>
        <v>6232230</v>
      </c>
      <c r="G92" s="374">
        <f t="shared" si="24"/>
        <v>-575639</v>
      </c>
      <c r="H92" s="374">
        <f t="shared" si="24"/>
        <v>1995161</v>
      </c>
      <c r="I92" s="374">
        <f t="shared" si="24"/>
        <v>65309123</v>
      </c>
      <c r="J92" s="374">
        <f t="shared" si="24"/>
        <v>-184310</v>
      </c>
      <c r="K92" s="374">
        <f t="shared" si="24"/>
        <v>0</v>
      </c>
      <c r="L92" s="374">
        <f t="shared" si="24"/>
        <v>-107176</v>
      </c>
      <c r="M92" s="374">
        <f>D92+E92+F92+G92+H92+I92+J92+K92+L92</f>
        <v>149344078</v>
      </c>
      <c r="N92" s="160"/>
      <c r="Y92" s="268"/>
      <c r="Z92" s="447"/>
      <c r="AA92" s="439"/>
      <c r="AB92" s="449"/>
    </row>
    <row r="93" spans="1:28">
      <c r="A93" s="184">
        <v>69</v>
      </c>
      <c r="B93" s="163"/>
      <c r="C93" s="163"/>
      <c r="D93" s="329"/>
      <c r="E93" s="329"/>
      <c r="F93" s="329"/>
      <c r="G93" s="329"/>
      <c r="H93" s="329"/>
      <c r="I93" s="329"/>
      <c r="J93" s="329"/>
      <c r="K93" s="329"/>
      <c r="L93" s="329"/>
      <c r="M93" s="329"/>
      <c r="N93" s="160"/>
      <c r="Y93" s="268"/>
      <c r="Z93" s="447"/>
      <c r="AA93" s="439"/>
      <c r="AB93" s="449"/>
    </row>
    <row r="94" spans="1:28">
      <c r="A94" s="184">
        <v>70</v>
      </c>
      <c r="B94" s="161" t="s">
        <v>65</v>
      </c>
      <c r="C94" s="161"/>
      <c r="D94" s="372">
        <f>Input!$QL$52</f>
        <v>0</v>
      </c>
      <c r="E94" s="372">
        <f>Input!$QM$52</f>
        <v>0</v>
      </c>
      <c r="F94" s="372">
        <f>Input!$QN$52</f>
        <v>0</v>
      </c>
      <c r="G94" s="372">
        <f>Input!$QO$52</f>
        <v>0</v>
      </c>
      <c r="H94" s="372">
        <f>Input!$QP$52</f>
        <v>0</v>
      </c>
      <c r="I94" s="372">
        <f>Input!$QQ$52</f>
        <v>0</v>
      </c>
      <c r="J94" s="372">
        <f>Input!$QR$52</f>
        <v>0</v>
      </c>
      <c r="K94" s="372">
        <f>Input!$QS$52</f>
        <v>0</v>
      </c>
      <c r="L94" s="372">
        <f>Input!$QT$52</f>
        <v>0</v>
      </c>
      <c r="M94" s="329">
        <f>D94+E94+F94+G94+H94+I94+J94+K94+L94</f>
        <v>0</v>
      </c>
      <c r="N94" s="160"/>
      <c r="Y94" s="268"/>
      <c r="Z94" s="447"/>
      <c r="AA94" s="439"/>
      <c r="AB94" s="449"/>
    </row>
    <row r="95" spans="1:28">
      <c r="A95" s="184">
        <v>72</v>
      </c>
      <c r="B95" s="160" t="s">
        <v>66</v>
      </c>
      <c r="C95" s="160"/>
      <c r="D95" s="372">
        <f>Input!$QU$52</f>
        <v>0</v>
      </c>
      <c r="E95" s="372">
        <f>Input!$QV$52</f>
        <v>0</v>
      </c>
      <c r="F95" s="372">
        <f>Input!$QW$52</f>
        <v>0</v>
      </c>
      <c r="G95" s="372">
        <f>Input!$QX$52</f>
        <v>0</v>
      </c>
      <c r="H95" s="372">
        <f>Input!$QY$52</f>
        <v>0</v>
      </c>
      <c r="I95" s="372">
        <f>Input!$QZ$52</f>
        <v>0</v>
      </c>
      <c r="J95" s="372">
        <f>Input!$RA$52</f>
        <v>0</v>
      </c>
      <c r="K95" s="372">
        <f>Input!$RB$52</f>
        <v>0</v>
      </c>
      <c r="L95" s="372">
        <f>Input!$RC$52</f>
        <v>-51895679</v>
      </c>
      <c r="M95" s="373">
        <f>D95+E95+F95+G95+H95+I95+J95+K95+L95</f>
        <v>-51895679</v>
      </c>
      <c r="N95" s="160"/>
      <c r="O95" s="270"/>
      <c r="P95" s="335"/>
      <c r="Y95" s="268"/>
      <c r="Z95" s="447"/>
      <c r="AA95" s="439"/>
      <c r="AB95" s="449"/>
    </row>
    <row r="96" spans="1:28" s="264" customFormat="1">
      <c r="A96" s="263"/>
      <c r="B96" s="171" t="s">
        <v>216</v>
      </c>
      <c r="C96" s="171"/>
      <c r="D96" s="372">
        <f>Input!$RD$52</f>
        <v>0</v>
      </c>
      <c r="E96" s="372">
        <f>Input!$RE$52</f>
        <v>0</v>
      </c>
      <c r="F96" s="372">
        <f>Input!$RF$52</f>
        <v>0</v>
      </c>
      <c r="G96" s="372">
        <f>Input!$RG$52</f>
        <v>0</v>
      </c>
      <c r="H96" s="372">
        <f>Input!$RH$52</f>
        <v>0</v>
      </c>
      <c r="I96" s="372">
        <f>Input!$RI$52</f>
        <v>0</v>
      </c>
      <c r="J96" s="372">
        <f>Input!$RJ$52</f>
        <v>0</v>
      </c>
      <c r="K96" s="372">
        <f>Input!$RK$52</f>
        <v>0</v>
      </c>
      <c r="L96" s="372">
        <f>Input!$RL$52</f>
        <v>0</v>
      </c>
      <c r="M96" s="373">
        <f t="shared" ref="M96:M98" si="25">D96+E96+F96+G96+H96+I96+J96+K96+L96</f>
        <v>0</v>
      </c>
      <c r="N96" s="160"/>
      <c r="O96" s="1726" t="s">
        <v>1355</v>
      </c>
      <c r="P96" s="1727"/>
      <c r="Q96" s="1727"/>
      <c r="R96" s="1727"/>
      <c r="S96" s="1727"/>
      <c r="T96" s="1727"/>
      <c r="U96" s="1728"/>
      <c r="Y96" s="268"/>
      <c r="Z96" s="447"/>
      <c r="AA96" s="439"/>
      <c r="AB96" s="449"/>
    </row>
    <row r="97" spans="1:28" s="264" customFormat="1">
      <c r="A97" s="263"/>
      <c r="B97" s="171" t="s">
        <v>105</v>
      </c>
      <c r="C97" s="171"/>
      <c r="D97" s="372">
        <f>Input!$RM$52</f>
        <v>0</v>
      </c>
      <c r="E97" s="372">
        <f>Input!$RN$52</f>
        <v>0</v>
      </c>
      <c r="F97" s="372">
        <f>Input!$RO$52</f>
        <v>0</v>
      </c>
      <c r="G97" s="372">
        <f>Input!$RP$52</f>
        <v>0</v>
      </c>
      <c r="H97" s="372">
        <f>Input!$RQ$52</f>
        <v>0</v>
      </c>
      <c r="I97" s="372">
        <f>Input!$RR$52</f>
        <v>0</v>
      </c>
      <c r="J97" s="372">
        <f>Input!$RS$52</f>
        <v>0</v>
      </c>
      <c r="K97" s="372">
        <f>Input!$RT$52</f>
        <v>0</v>
      </c>
      <c r="L97" s="372">
        <f>Input!$RU$52</f>
        <v>0</v>
      </c>
      <c r="M97" s="373">
        <f t="shared" si="25"/>
        <v>0</v>
      </c>
      <c r="N97" s="160"/>
      <c r="O97" s="502" t="s">
        <v>590</v>
      </c>
      <c r="P97" s="423"/>
      <c r="Q97" s="502" t="s">
        <v>591</v>
      </c>
      <c r="R97" s="423"/>
      <c r="S97" s="503"/>
      <c r="T97" s="502" t="s">
        <v>592</v>
      </c>
      <c r="U97" s="423"/>
      <c r="Y97" s="268"/>
      <c r="Z97" s="447"/>
      <c r="AA97" s="439"/>
      <c r="AB97" s="449"/>
    </row>
    <row r="98" spans="1:28" s="264" customFormat="1">
      <c r="A98" s="263"/>
      <c r="B98" s="171" t="s">
        <v>128</v>
      </c>
      <c r="C98" s="171"/>
      <c r="D98" s="372">
        <f>Input!$RV$52</f>
        <v>0</v>
      </c>
      <c r="E98" s="372">
        <f>Input!$RW$52</f>
        <v>0</v>
      </c>
      <c r="F98" s="372">
        <f>Input!$RX$52</f>
        <v>0</v>
      </c>
      <c r="G98" s="372">
        <f>Input!$RY$52</f>
        <v>0</v>
      </c>
      <c r="H98" s="372">
        <f>Input!$RZ$52</f>
        <v>0</v>
      </c>
      <c r="I98" s="372">
        <f>Input!$SA$52</f>
        <v>0</v>
      </c>
      <c r="J98" s="372">
        <f>Input!$SB$52</f>
        <v>0</v>
      </c>
      <c r="K98" s="372">
        <f>Input!$SC$52</f>
        <v>0</v>
      </c>
      <c r="L98" s="372">
        <f>Input!$SD$52</f>
        <v>-54186</v>
      </c>
      <c r="M98" s="373">
        <f t="shared" si="25"/>
        <v>-54186</v>
      </c>
      <c r="N98" s="160"/>
      <c r="O98" s="504"/>
      <c r="P98" s="505"/>
      <c r="Q98" s="504"/>
      <c r="R98" s="426"/>
      <c r="S98" s="276"/>
      <c r="T98" s="506"/>
      <c r="U98" s="426"/>
      <c r="Y98" s="268"/>
      <c r="Z98" s="447"/>
      <c r="AA98" s="439"/>
      <c r="AB98" s="449"/>
    </row>
    <row r="99" spans="1:28" s="264" customFormat="1">
      <c r="A99" s="263"/>
      <c r="B99" s="160" t="s">
        <v>67</v>
      </c>
      <c r="C99" s="160"/>
      <c r="D99" s="372">
        <f>Input!$SE$52</f>
        <v>0</v>
      </c>
      <c r="E99" s="372">
        <f>Input!$SF$52</f>
        <v>0</v>
      </c>
      <c r="F99" s="372">
        <f>Input!$SG$52</f>
        <v>0</v>
      </c>
      <c r="G99" s="372">
        <f>Input!$SH$52</f>
        <v>0</v>
      </c>
      <c r="H99" s="372">
        <f>Input!$SI$52</f>
        <v>0</v>
      </c>
      <c r="I99" s="372">
        <f>Input!$SJ$52</f>
        <v>0</v>
      </c>
      <c r="J99" s="372">
        <f>Input!$SK$52</f>
        <v>0</v>
      </c>
      <c r="K99" s="372">
        <f>Input!$SL$52</f>
        <v>0</v>
      </c>
      <c r="L99" s="372">
        <f>Input!$SM$52</f>
        <v>62663449</v>
      </c>
      <c r="M99" s="373">
        <f>D99+E99+F99+G99+H99+I99+J99+K99+L99</f>
        <v>62663449</v>
      </c>
      <c r="N99" s="160"/>
      <c r="O99" s="1729" t="str">
        <f>Input!UF$52</f>
        <v>Lilia M. St. Clair</v>
      </c>
      <c r="P99" s="1730"/>
      <c r="Q99" s="1729" t="str">
        <f>Input!$UG$52</f>
        <v>956-665-7906</v>
      </c>
      <c r="R99" s="1730"/>
      <c r="S99" s="276"/>
      <c r="T99" s="1731" t="str">
        <f>HYPERLINK("Mailto:"&amp;Input!$UH$52,Input!$UH$52)</f>
        <v>lilia.stclair@utrgv.edu</v>
      </c>
      <c r="U99" s="1730"/>
      <c r="Y99" s="268"/>
      <c r="Z99" s="447"/>
      <c r="AA99" s="442"/>
      <c r="AB99" s="449"/>
    </row>
    <row r="100" spans="1:28" ht="13.5" thickBot="1">
      <c r="B100" s="179" t="s">
        <v>58</v>
      </c>
      <c r="C100" s="179"/>
      <c r="D100" s="380">
        <f t="shared" ref="D100:K100" si="26">SUM(D92:D99)</f>
        <v>-357659</v>
      </c>
      <c r="E100" s="380">
        <f t="shared" si="26"/>
        <v>77032348</v>
      </c>
      <c r="F100" s="380">
        <f t="shared" si="26"/>
        <v>6232230</v>
      </c>
      <c r="G100" s="380">
        <f t="shared" si="26"/>
        <v>-575639</v>
      </c>
      <c r="H100" s="380">
        <f t="shared" si="26"/>
        <v>1995161</v>
      </c>
      <c r="I100" s="380">
        <f t="shared" si="26"/>
        <v>65309123</v>
      </c>
      <c r="J100" s="380">
        <f t="shared" si="26"/>
        <v>-184310</v>
      </c>
      <c r="K100" s="380">
        <f t="shared" si="26"/>
        <v>0</v>
      </c>
      <c r="L100" s="380">
        <f>SUM(L92:L99)</f>
        <v>10606408</v>
      </c>
      <c r="M100" s="380">
        <f>D100+E100+F100+G100+H100+I100+J100+K100+L100</f>
        <v>160057662</v>
      </c>
      <c r="N100" s="160"/>
      <c r="O100" s="506"/>
      <c r="P100" s="507"/>
      <c r="Q100" s="276"/>
      <c r="R100" s="276"/>
      <c r="S100" s="276"/>
      <c r="T100" s="507"/>
      <c r="U100" s="508"/>
      <c r="Y100" s="268"/>
      <c r="Z100" s="447"/>
      <c r="AA100" s="442"/>
      <c r="AB100" s="449"/>
    </row>
    <row r="101" spans="1:28" ht="13.5" thickTop="1">
      <c r="C101" s="160"/>
      <c r="D101" s="165"/>
      <c r="E101" s="165"/>
      <c r="F101" s="165"/>
      <c r="G101" s="165"/>
      <c r="H101" s="165"/>
      <c r="I101" s="165"/>
      <c r="J101" s="165"/>
      <c r="K101" s="165"/>
      <c r="L101" s="165"/>
      <c r="M101" s="180"/>
      <c r="N101" s="160"/>
      <c r="O101" s="1720" t="s">
        <v>593</v>
      </c>
      <c r="P101" s="1721"/>
      <c r="Q101" s="1721"/>
      <c r="R101" s="1721"/>
      <c r="S101" s="1721"/>
      <c r="T101" s="1721"/>
      <c r="U101" s="1722"/>
      <c r="Y101" s="268"/>
      <c r="Z101" s="451"/>
      <c r="AA101" s="442"/>
      <c r="AB101" s="449"/>
    </row>
    <row r="102" spans="1:28">
      <c r="B102" s="171" t="s">
        <v>1369</v>
      </c>
      <c r="C102" s="169"/>
      <c r="D102" s="165"/>
      <c r="E102" s="165"/>
      <c r="F102" s="165"/>
      <c r="G102" s="165"/>
      <c r="H102" s="165"/>
      <c r="I102" s="165"/>
      <c r="J102" s="165"/>
      <c r="K102" s="165"/>
      <c r="L102" s="165"/>
      <c r="M102" s="180"/>
      <c r="N102" s="160"/>
      <c r="O102" s="1720"/>
      <c r="P102" s="1721"/>
      <c r="Q102" s="1721"/>
      <c r="R102" s="1721"/>
      <c r="S102" s="1721"/>
      <c r="T102" s="1721"/>
      <c r="U102" s="1722"/>
      <c r="Y102" s="268"/>
      <c r="Z102" s="452"/>
      <c r="AA102" s="453"/>
      <c r="AB102" s="454"/>
    </row>
    <row r="103" spans="1:28">
      <c r="B103" s="169" t="s">
        <v>80</v>
      </c>
      <c r="C103" s="160"/>
      <c r="D103" s="165"/>
      <c r="E103" s="165"/>
      <c r="F103" s="165"/>
      <c r="G103" s="165"/>
      <c r="H103" s="165"/>
      <c r="I103" s="165"/>
      <c r="J103" s="165"/>
      <c r="K103" s="165"/>
      <c r="L103" s="165"/>
      <c r="M103" s="180"/>
      <c r="N103" s="160"/>
      <c r="O103" s="509"/>
      <c r="P103" s="510"/>
      <c r="Q103" s="511"/>
      <c r="R103" s="511"/>
      <c r="S103" s="511"/>
      <c r="T103" s="510"/>
      <c r="U103" s="428"/>
      <c r="V103" s="336"/>
      <c r="W103" s="336"/>
      <c r="X103" s="336"/>
      <c r="Y103" s="268"/>
      <c r="Z103" s="268"/>
      <c r="AA103" s="268"/>
      <c r="AB103" s="268"/>
    </row>
    <row r="104" spans="1:28">
      <c r="B104" s="261" t="s">
        <v>1297</v>
      </c>
      <c r="C104" s="160"/>
      <c r="D104" s="165"/>
      <c r="E104" s="165"/>
      <c r="F104" s="165"/>
      <c r="G104" s="165"/>
      <c r="H104" s="165"/>
      <c r="I104" s="165"/>
      <c r="J104" s="165"/>
      <c r="K104" s="165"/>
      <c r="L104" s="165"/>
      <c r="M104" s="180"/>
      <c r="N104" s="160"/>
      <c r="O104" s="337"/>
      <c r="P104" s="336"/>
      <c r="Q104" s="336"/>
      <c r="U104" s="336"/>
      <c r="V104" s="336"/>
      <c r="W104" s="336"/>
      <c r="X104" s="336"/>
      <c r="Y104" s="268"/>
    </row>
    <row r="105" spans="1:28">
      <c r="B105" s="160"/>
      <c r="C105" s="160"/>
      <c r="D105" s="165"/>
      <c r="E105" s="165"/>
      <c r="F105" s="165"/>
      <c r="G105" s="165"/>
      <c r="H105" s="165"/>
      <c r="I105" s="165"/>
      <c r="J105" s="165"/>
      <c r="K105" s="165"/>
      <c r="L105" s="165"/>
      <c r="M105" s="180"/>
      <c r="N105" s="160"/>
      <c r="O105" s="75"/>
      <c r="P105" s="336"/>
      <c r="Q105" s="336"/>
    </row>
    <row r="106" spans="1:28">
      <c r="B106" s="160"/>
      <c r="C106" s="160"/>
      <c r="D106" s="160"/>
      <c r="E106" s="160"/>
      <c r="F106" s="160"/>
      <c r="G106" s="160"/>
      <c r="H106" s="160"/>
      <c r="I106" s="160"/>
      <c r="J106" s="160"/>
      <c r="K106" s="160"/>
      <c r="L106" s="160"/>
      <c r="M106" s="181" t="s">
        <v>93</v>
      </c>
      <c r="N106" s="160"/>
      <c r="O106" s="338"/>
      <c r="R106" s="336"/>
      <c r="S106" s="336"/>
      <c r="Y106" s="336"/>
      <c r="Z106" s="336"/>
      <c r="AA106" s="336"/>
      <c r="AB106" s="336"/>
    </row>
    <row r="107" spans="1:28">
      <c r="B107" s="261" t="s">
        <v>1298</v>
      </c>
      <c r="C107" s="160"/>
      <c r="D107" s="160"/>
      <c r="E107" s="160"/>
      <c r="F107" s="160"/>
      <c r="G107" s="160"/>
      <c r="H107" s="160"/>
      <c r="I107" s="160"/>
      <c r="J107" s="160"/>
      <c r="K107" s="160"/>
      <c r="L107" s="160"/>
      <c r="M107" s="372">
        <f>Input!$SN$52</f>
        <v>160057662</v>
      </c>
      <c r="N107" s="160"/>
      <c r="O107" s="338"/>
      <c r="R107" s="336"/>
      <c r="S107" s="336"/>
      <c r="T107" s="336"/>
      <c r="Y107" s="336"/>
      <c r="Z107" s="336"/>
      <c r="AA107" s="336"/>
      <c r="AB107" s="336"/>
    </row>
    <row r="108" spans="1:28">
      <c r="B108" s="160" t="s">
        <v>92</v>
      </c>
      <c r="C108" s="160"/>
      <c r="D108" s="182"/>
      <c r="E108" s="182"/>
      <c r="F108" s="182"/>
      <c r="G108" s="182"/>
      <c r="H108" s="182"/>
      <c r="I108" s="182"/>
      <c r="J108" s="182"/>
      <c r="K108" s="182"/>
      <c r="L108" s="183"/>
      <c r="M108" s="342">
        <f>M100-M107</f>
        <v>0</v>
      </c>
      <c r="N108" s="160"/>
      <c r="O108" s="339"/>
    </row>
    <row r="109" spans="1:28">
      <c r="B109" s="160"/>
      <c r="C109" s="160"/>
      <c r="D109" s="182"/>
      <c r="E109" s="182"/>
      <c r="F109" s="182"/>
      <c r="G109" s="182"/>
      <c r="H109" s="182"/>
      <c r="I109" s="182"/>
      <c r="J109" s="182"/>
      <c r="K109" s="182"/>
      <c r="L109" s="513" t="str">
        <f>IF($L$125&lt;&gt;((Input!$F$52)+(Input!$F$53)),"Out of Balance","Balanced")</f>
        <v>Balanced</v>
      </c>
      <c r="M109" s="517" t="str">
        <f>IF(M107&lt;&gt;M100,"Out of Balance","Balanced")</f>
        <v>Balanced</v>
      </c>
      <c r="N109" s="160"/>
      <c r="O109" s="339"/>
    </row>
    <row r="110" spans="1:28">
      <c r="B110" s="160"/>
      <c r="C110" s="160"/>
      <c r="D110" s="160"/>
      <c r="E110" s="160"/>
      <c r="F110" s="160"/>
      <c r="G110" s="160"/>
      <c r="H110" s="160"/>
      <c r="I110" s="160"/>
      <c r="J110" s="160"/>
      <c r="K110" s="160"/>
      <c r="L110" s="160"/>
      <c r="M110" s="160"/>
      <c r="N110" s="160"/>
      <c r="O110" s="75"/>
    </row>
    <row r="111" spans="1:28">
      <c r="B111" s="160"/>
      <c r="C111" s="160"/>
      <c r="D111" s="160"/>
      <c r="E111" s="160"/>
      <c r="F111" s="160"/>
      <c r="G111" s="160"/>
      <c r="H111" s="160"/>
      <c r="I111" s="160"/>
      <c r="J111" s="160"/>
      <c r="K111" s="160"/>
      <c r="L111" s="160"/>
      <c r="M111" s="160"/>
      <c r="N111" s="160"/>
      <c r="O111" s="75"/>
    </row>
    <row r="112" spans="1:28">
      <c r="B112" s="261"/>
      <c r="C112" s="261"/>
      <c r="D112" s="373">
        <f>SUM(D$10:D$14)+SUM(D$19:D$28)+SUM(D$32:D$41)+D$47+SUM(D$56:D$61)+SUM(D$66:D$77)+SUM(D$81:D$84)+SUM(D$88:D$89)+SUM(D$94:D$99)+D$50+D$53</f>
        <v>438235291</v>
      </c>
      <c r="E112" s="373">
        <f t="shared" ref="E112:L112" si="27">SUM(E$10:E$14)+SUM(E$19:E$28)+SUM(E$32:E$41)+E$47+SUM(E$56:E$61)+SUM(E$66:E$77)+SUM(E$81:E$84)+SUM(E$88:E$89)+SUM(E$94:E$99)+E$50+E$53</f>
        <v>475148498</v>
      </c>
      <c r="F112" s="373">
        <f t="shared" si="27"/>
        <v>53478740</v>
      </c>
      <c r="G112" s="373">
        <f t="shared" si="27"/>
        <v>352946883</v>
      </c>
      <c r="H112" s="373">
        <f t="shared" si="27"/>
        <v>915835</v>
      </c>
      <c r="I112" s="373">
        <f t="shared" si="27"/>
        <v>65309123</v>
      </c>
      <c r="J112" s="373">
        <f t="shared" si="27"/>
        <v>6194654</v>
      </c>
      <c r="K112" s="373">
        <f t="shared" si="27"/>
        <v>0</v>
      </c>
      <c r="L112" s="373">
        <f t="shared" si="27"/>
        <v>10606408</v>
      </c>
      <c r="M112" s="373"/>
      <c r="N112" s="264"/>
      <c r="O112" s="373"/>
      <c r="P112" s="450">
        <f>M18-INT(M18)</f>
        <v>0</v>
      </c>
    </row>
    <row r="113" spans="2:16">
      <c r="B113" s="261"/>
      <c r="C113" s="261"/>
      <c r="D113" s="261"/>
      <c r="E113" s="261"/>
      <c r="F113" s="261"/>
      <c r="G113" s="261"/>
      <c r="H113" s="261"/>
      <c r="I113" s="261"/>
      <c r="J113" s="261"/>
      <c r="K113" s="261"/>
      <c r="L113" s="373">
        <f>SUM($D$112:$L$112)</f>
        <v>1402835432</v>
      </c>
      <c r="M113" s="261"/>
      <c r="N113" s="264"/>
      <c r="O113" s="373"/>
      <c r="P113" s="450">
        <f>M31-INT(M31)</f>
        <v>0</v>
      </c>
    </row>
    <row r="114" spans="2:16">
      <c r="B114" s="261"/>
      <c r="C114" s="261"/>
      <c r="D114" s="261"/>
      <c r="E114" s="261"/>
      <c r="F114" s="261"/>
      <c r="G114" s="261"/>
      <c r="H114" s="261"/>
      <c r="I114" s="261"/>
      <c r="J114" s="261" t="s">
        <v>1299</v>
      </c>
      <c r="K114" s="261"/>
      <c r="L114" s="373">
        <f>$M$107</f>
        <v>160057662</v>
      </c>
      <c r="M114" s="261"/>
      <c r="N114" s="264"/>
      <c r="O114" s="373"/>
      <c r="P114" s="450">
        <f>M100-INT(M100)</f>
        <v>0</v>
      </c>
    </row>
    <row r="115" spans="2:16">
      <c r="B115" s="261"/>
      <c r="C115" s="261"/>
      <c r="D115" s="261"/>
      <c r="E115" s="261"/>
      <c r="F115" s="261"/>
      <c r="G115" s="261"/>
      <c r="H115" s="261"/>
      <c r="I115" s="261"/>
      <c r="J115" s="261" t="s">
        <v>1300</v>
      </c>
      <c r="K115" s="261"/>
      <c r="L115" s="512">
        <f>$Q$32</f>
        <v>282218757</v>
      </c>
      <c r="M115" s="261"/>
      <c r="N115" s="264"/>
      <c r="O115" s="373"/>
    </row>
    <row r="116" spans="2:16">
      <c r="B116" s="261"/>
      <c r="C116" s="261"/>
      <c r="D116" s="261"/>
      <c r="E116" s="261"/>
      <c r="F116" s="261"/>
      <c r="G116" s="261"/>
      <c r="H116" s="261"/>
      <c r="I116" s="261"/>
      <c r="J116" s="261" t="s">
        <v>1300</v>
      </c>
      <c r="K116" s="261"/>
      <c r="L116" s="512">
        <f>$R$34</f>
        <v>-137495626</v>
      </c>
      <c r="M116" s="261"/>
      <c r="N116" s="264"/>
      <c r="O116" s="373"/>
    </row>
    <row r="117" spans="2:16">
      <c r="B117" s="261"/>
      <c r="C117" s="261"/>
      <c r="D117" s="261"/>
      <c r="E117" s="261"/>
      <c r="F117" s="261"/>
      <c r="G117" s="261"/>
      <c r="H117" s="261"/>
      <c r="I117" s="261"/>
      <c r="J117" s="261" t="s">
        <v>29</v>
      </c>
      <c r="K117" s="261"/>
      <c r="L117" s="512">
        <f>SUM($P$66:$P$75)</f>
        <v>13339919</v>
      </c>
      <c r="M117" s="261"/>
      <c r="N117" s="264"/>
      <c r="O117" s="373"/>
    </row>
    <row r="118" spans="2:16">
      <c r="B118" s="261"/>
      <c r="C118" s="261"/>
      <c r="D118" s="261"/>
      <c r="E118" s="261"/>
      <c r="F118" s="261"/>
      <c r="G118" s="261"/>
      <c r="H118" s="261"/>
      <c r="I118" s="261"/>
      <c r="J118" s="261" t="s">
        <v>594</v>
      </c>
      <c r="K118" s="261"/>
      <c r="L118" s="373">
        <f>$Q$71</f>
        <v>0</v>
      </c>
      <c r="M118" s="261"/>
      <c r="N118" s="264"/>
      <c r="O118" s="373"/>
    </row>
    <row r="119" spans="2:16">
      <c r="B119" s="261"/>
      <c r="C119" s="261"/>
      <c r="D119" s="261"/>
      <c r="E119" s="261"/>
      <c r="F119" s="261"/>
      <c r="G119" s="261"/>
      <c r="H119" s="261"/>
      <c r="I119" s="261"/>
      <c r="J119" s="261" t="s">
        <v>595</v>
      </c>
      <c r="K119" s="261"/>
      <c r="L119" s="512">
        <f>SUM($V$66:$V$74)</f>
        <v>950491</v>
      </c>
      <c r="M119" s="261"/>
      <c r="N119" s="264"/>
      <c r="O119" s="373"/>
    </row>
    <row r="120" spans="2:16">
      <c r="B120" s="261"/>
      <c r="C120" s="261"/>
      <c r="D120" s="261"/>
      <c r="E120" s="261"/>
      <c r="F120" s="261"/>
      <c r="G120" s="261"/>
      <c r="H120" s="261"/>
      <c r="I120" s="261"/>
      <c r="J120" s="261" t="s">
        <v>596</v>
      </c>
      <c r="K120" s="261"/>
      <c r="L120" s="512">
        <f>SUM($W$66:$W$74)</f>
        <v>0</v>
      </c>
      <c r="M120" s="261"/>
      <c r="N120" s="264"/>
      <c r="O120" s="373"/>
    </row>
    <row r="121" spans="2:16">
      <c r="B121" s="261"/>
      <c r="C121" s="261"/>
      <c r="D121" s="261"/>
      <c r="E121" s="261"/>
      <c r="F121" s="261"/>
      <c r="G121" s="261"/>
      <c r="H121" s="261"/>
      <c r="I121" s="261"/>
      <c r="J121" s="261" t="s">
        <v>258</v>
      </c>
      <c r="K121" s="261"/>
      <c r="L121" s="512">
        <f>SUM($AA$66:$AA$75)</f>
        <v>612093464</v>
      </c>
      <c r="M121" s="261"/>
      <c r="N121" s="264"/>
      <c r="O121" s="373"/>
    </row>
    <row r="122" spans="2:16">
      <c r="B122" s="261"/>
      <c r="C122" s="261"/>
      <c r="D122" s="261"/>
      <c r="E122" s="261"/>
      <c r="F122" s="261"/>
      <c r="G122" s="261"/>
      <c r="H122" s="261"/>
      <c r="I122" s="261"/>
      <c r="J122" s="261" t="s">
        <v>597</v>
      </c>
      <c r="K122" s="261"/>
      <c r="L122" s="512">
        <f>$R$84</f>
        <v>110797424</v>
      </c>
      <c r="M122" s="261"/>
      <c r="N122" s="264"/>
      <c r="O122" s="373"/>
    </row>
    <row r="123" spans="2:16">
      <c r="B123" s="261"/>
      <c r="C123" s="261"/>
      <c r="D123" s="261"/>
      <c r="E123" s="261"/>
      <c r="F123" s="261"/>
      <c r="G123" s="261"/>
      <c r="H123" s="261"/>
      <c r="I123" s="261"/>
      <c r="J123" s="261" t="s">
        <v>597</v>
      </c>
      <c r="K123" s="261"/>
      <c r="L123" s="512">
        <f>$R$87</f>
        <v>33294824</v>
      </c>
      <c r="M123" s="261"/>
      <c r="N123" s="264"/>
      <c r="O123" s="373"/>
    </row>
    <row r="124" spans="2:16">
      <c r="B124" s="261"/>
      <c r="C124" s="261"/>
      <c r="D124" s="261"/>
      <c r="E124" s="261"/>
      <c r="F124" s="261"/>
      <c r="G124" s="261"/>
      <c r="H124" s="261"/>
      <c r="I124" s="261"/>
      <c r="J124" s="261" t="s">
        <v>1231</v>
      </c>
      <c r="K124" s="261"/>
      <c r="L124" s="1008">
        <f>Input!E52</f>
        <v>3599</v>
      </c>
      <c r="M124" s="261"/>
      <c r="N124" s="264"/>
      <c r="O124" s="373"/>
    </row>
    <row r="125" spans="2:16">
      <c r="B125" s="261"/>
      <c r="C125" s="261"/>
      <c r="D125" s="261"/>
      <c r="E125" s="261"/>
      <c r="F125" s="261"/>
      <c r="G125" s="261"/>
      <c r="H125" s="261"/>
      <c r="I125" s="261"/>
      <c r="J125" s="261"/>
      <c r="K125" s="261"/>
      <c r="L125" s="373">
        <f>SUM(L113:L124)</f>
        <v>2478095946</v>
      </c>
      <c r="M125" s="261"/>
      <c r="N125" s="264"/>
    </row>
    <row r="126" spans="2:16">
      <c r="B126" s="261"/>
      <c r="C126" s="261"/>
      <c r="D126" s="261"/>
      <c r="E126" s="261"/>
      <c r="F126" s="261"/>
      <c r="G126" s="261"/>
      <c r="H126" s="261"/>
      <c r="I126" s="261"/>
      <c r="J126" s="261"/>
      <c r="K126" s="261"/>
      <c r="L126" s="261"/>
      <c r="M126" s="261"/>
      <c r="N126" s="264"/>
    </row>
    <row r="127" spans="2:16">
      <c r="B127" s="261"/>
      <c r="C127" s="261"/>
      <c r="D127" s="261"/>
      <c r="E127" s="261"/>
      <c r="F127" s="261"/>
      <c r="G127" s="261"/>
      <c r="H127" s="261"/>
      <c r="I127" s="261"/>
      <c r="J127" s="160"/>
      <c r="K127" s="160"/>
      <c r="L127" s="160"/>
      <c r="M127" s="261"/>
      <c r="N127" s="264"/>
    </row>
    <row r="128" spans="2:16">
      <c r="B128" s="261"/>
      <c r="C128" s="261"/>
      <c r="D128" s="261"/>
      <c r="E128" s="261"/>
      <c r="F128" s="261"/>
      <c r="G128" s="261"/>
      <c r="H128" s="261"/>
      <c r="I128" s="261"/>
      <c r="J128" s="160"/>
      <c r="K128" s="160"/>
      <c r="L128" s="160"/>
      <c r="M128" s="261"/>
      <c r="N128" s="264"/>
    </row>
    <row r="129" spans="2:14">
      <c r="B129" s="261"/>
      <c r="C129" s="261"/>
      <c r="D129" s="373"/>
      <c r="E129" s="261"/>
      <c r="F129" s="261"/>
      <c r="G129" s="261"/>
      <c r="H129" s="261"/>
      <c r="I129" s="261"/>
      <c r="J129" s="160"/>
      <c r="K129" s="160"/>
      <c r="L129" s="160"/>
      <c r="M129" s="261"/>
      <c r="N129" s="264"/>
    </row>
  </sheetData>
  <mergeCells count="32">
    <mergeCell ref="B2:F2"/>
    <mergeCell ref="B3:F3"/>
    <mergeCell ref="B4:F4"/>
    <mergeCell ref="P4:Q4"/>
    <mergeCell ref="B6:M6"/>
    <mergeCell ref="O19:R19"/>
    <mergeCell ref="T19:X19"/>
    <mergeCell ref="O61:R61"/>
    <mergeCell ref="T61:X61"/>
    <mergeCell ref="P10:P11"/>
    <mergeCell ref="Z61:AB61"/>
    <mergeCell ref="O62:O65"/>
    <mergeCell ref="P62:P65"/>
    <mergeCell ref="Q62:Q65"/>
    <mergeCell ref="R62:R65"/>
    <mergeCell ref="T62:T65"/>
    <mergeCell ref="U62:U65"/>
    <mergeCell ref="V62:V65"/>
    <mergeCell ref="W62:W65"/>
    <mergeCell ref="X62:X65"/>
    <mergeCell ref="O101:U102"/>
    <mergeCell ref="Z62:Z65"/>
    <mergeCell ref="AA62:AA65"/>
    <mergeCell ref="AB62:AB65"/>
    <mergeCell ref="G65:K65"/>
    <mergeCell ref="V77:W77"/>
    <mergeCell ref="P78:Q78"/>
    <mergeCell ref="O82:R82"/>
    <mergeCell ref="O96:U96"/>
    <mergeCell ref="O99:P99"/>
    <mergeCell ref="Q99:R99"/>
    <mergeCell ref="T99:U99"/>
  </mergeCells>
  <conditionalFormatting sqref="U94:X95 O95:Q95">
    <cfRule type="cellIs" dxfId="103" priority="39" stopIfTrue="1" operator="notEqual">
      <formula>#REF!</formula>
    </cfRule>
  </conditionalFormatting>
  <conditionalFormatting sqref="P77">
    <cfRule type="expression" dxfId="102" priority="38">
      <formula>$P$76&lt;&gt;$M$76</formula>
    </cfRule>
  </conditionalFormatting>
  <conditionalFormatting sqref="AB79">
    <cfRule type="expression" dxfId="101" priority="37">
      <formula>$AB$78&lt;&gt;0</formula>
    </cfRule>
  </conditionalFormatting>
  <conditionalFormatting sqref="P78">
    <cfRule type="expression" dxfId="100" priority="36">
      <formula>P76-INT(P76)</formula>
    </cfRule>
  </conditionalFormatting>
  <conditionalFormatting sqref="V77">
    <cfRule type="expression" dxfId="99" priority="35">
      <formula>X75-INT(X75)</formula>
    </cfRule>
  </conditionalFormatting>
  <conditionalFormatting sqref="O12">
    <cfRule type="expression" dxfId="98" priority="34">
      <formula>$P$12&lt;&gt;$M$12</formula>
    </cfRule>
  </conditionalFormatting>
  <conditionalFormatting sqref="U94:U95 O95:Q95">
    <cfRule type="cellIs" dxfId="97" priority="33" stopIfTrue="1" operator="notEqual">
      <formula>#REF!</formula>
    </cfRule>
  </conditionalFormatting>
  <conditionalFormatting sqref="R91">
    <cfRule type="expression" priority="31" stopIfTrue="1">
      <formula>$M$92&lt;0</formula>
    </cfRule>
    <cfRule type="expression" dxfId="96" priority="32">
      <formula>$S$92&lt;&gt;0</formula>
    </cfRule>
  </conditionalFormatting>
  <conditionalFormatting sqref="R87 R84">
    <cfRule type="expression" dxfId="95" priority="29" stopIfTrue="1">
      <formula>$M$92&gt;=0</formula>
    </cfRule>
    <cfRule type="expression" priority="30">
      <formula>$M$92&lt;0</formula>
    </cfRule>
  </conditionalFormatting>
  <conditionalFormatting sqref="U94:U95 O95:Q95">
    <cfRule type="cellIs" dxfId="94" priority="28" stopIfTrue="1" operator="notEqual">
      <formula>#REF!</formula>
    </cfRule>
  </conditionalFormatting>
  <conditionalFormatting sqref="O13">
    <cfRule type="expression" dxfId="93" priority="27">
      <formula>$P$13&lt;&gt;$M$13</formula>
    </cfRule>
  </conditionalFormatting>
  <conditionalFormatting sqref="U94:U95 O95:Q95">
    <cfRule type="cellIs" dxfId="92" priority="26" stopIfTrue="1" operator="notEqual">
      <formula>#REF!</formula>
    </cfRule>
  </conditionalFormatting>
  <conditionalFormatting sqref="Q36">
    <cfRule type="expression" dxfId="91" priority="25">
      <formula>#REF!&lt;&gt;#REF!</formula>
    </cfRule>
  </conditionalFormatting>
  <conditionalFormatting sqref="R35">
    <cfRule type="expression" dxfId="90" priority="24">
      <formula>#REF!&lt;&gt;0</formula>
    </cfRule>
  </conditionalFormatting>
  <conditionalFormatting sqref="Q35">
    <cfRule type="expression" dxfId="89" priority="23">
      <formula>#REF!&lt;&gt;0</formula>
    </cfRule>
  </conditionalFormatting>
  <conditionalFormatting sqref="R36">
    <cfRule type="expression" dxfId="88" priority="22">
      <formula>#REF!&lt;&gt;#REF!</formula>
    </cfRule>
  </conditionalFormatting>
  <conditionalFormatting sqref="D100:M105 T101:T102 R97:S102 U94:X100 T97:T99 Y97:Y102 O95:O99 P95:Q100">
    <cfRule type="cellIs" dxfId="87" priority="21" stopIfTrue="1" operator="notEqual">
      <formula>#REF!</formula>
    </cfRule>
  </conditionalFormatting>
  <conditionalFormatting sqref="P77">
    <cfRule type="expression" dxfId="86" priority="20">
      <formula>$P$76&lt;&gt;$M$76</formula>
    </cfRule>
  </conditionalFormatting>
  <conditionalFormatting sqref="AB79">
    <cfRule type="expression" dxfId="85" priority="19">
      <formula>$AB$78&lt;&gt;0</formula>
    </cfRule>
  </conditionalFormatting>
  <conditionalFormatting sqref="P78">
    <cfRule type="expression" dxfId="84" priority="18">
      <formula>P76-INT(P76)</formula>
    </cfRule>
  </conditionalFormatting>
  <conditionalFormatting sqref="V77">
    <cfRule type="expression" dxfId="83" priority="17">
      <formula>X75-INT(X75)</formula>
    </cfRule>
  </conditionalFormatting>
  <conditionalFormatting sqref="O12">
    <cfRule type="expression" dxfId="82" priority="16">
      <formula>$P$12&lt;&gt;$M$12</formula>
    </cfRule>
  </conditionalFormatting>
  <conditionalFormatting sqref="T101:T102 R97:S102 U94:U100 T97:T99 O95:O99 P95:Q100">
    <cfRule type="cellIs" dxfId="81" priority="15" stopIfTrue="1" operator="notEqual">
      <formula>#REF!</formula>
    </cfRule>
  </conditionalFormatting>
  <conditionalFormatting sqref="R91">
    <cfRule type="expression" priority="13" stopIfTrue="1">
      <formula>$M$92&lt;0</formula>
    </cfRule>
    <cfRule type="expression" dxfId="80" priority="14">
      <formula>$S$92&lt;&gt;0</formula>
    </cfRule>
  </conditionalFormatting>
  <conditionalFormatting sqref="R87">
    <cfRule type="expression" dxfId="79" priority="11" stopIfTrue="1">
      <formula>$M$92&gt;=0</formula>
    </cfRule>
    <cfRule type="expression" priority="12">
      <formula>$M$92&lt;0</formula>
    </cfRule>
  </conditionalFormatting>
  <conditionalFormatting sqref="U94:U95 R96:U99 O95:Q99">
    <cfRule type="cellIs" dxfId="78" priority="10" stopIfTrue="1" operator="notEqual">
      <formula>#REF!</formula>
    </cfRule>
  </conditionalFormatting>
  <conditionalFormatting sqref="M108">
    <cfRule type="expression" dxfId="77" priority="9">
      <formula>$M$108&lt;&gt;0</formula>
    </cfRule>
  </conditionalFormatting>
  <conditionalFormatting sqref="M109">
    <cfRule type="expression" dxfId="76" priority="8">
      <formula>$M$100&lt;&gt;$M$107</formula>
    </cfRule>
  </conditionalFormatting>
  <conditionalFormatting sqref="U94:U99 R97:T99 O95:Q99">
    <cfRule type="cellIs" dxfId="75" priority="7" stopIfTrue="1" operator="notEqual">
      <formula>#REF!</formula>
    </cfRule>
  </conditionalFormatting>
  <conditionalFormatting sqref="T96:U96 Q98 T97 O96:O97 P96:Q96 R96:S98">
    <cfRule type="cellIs" dxfId="74" priority="6" stopIfTrue="1" operator="notEqual">
      <formula>#REF!</formula>
    </cfRule>
  </conditionalFormatting>
  <conditionalFormatting sqref="Q36">
    <cfRule type="expression" dxfId="73" priority="5">
      <formula>#REF!&lt;&gt;#REF!</formula>
    </cfRule>
  </conditionalFormatting>
  <conditionalFormatting sqref="R35">
    <cfRule type="expression" dxfId="72" priority="4">
      <formula>#REF!&lt;&gt;0</formula>
    </cfRule>
  </conditionalFormatting>
  <conditionalFormatting sqref="Q35">
    <cfRule type="expression" dxfId="71" priority="3">
      <formula>#REF!&lt;&gt;0</formula>
    </cfRule>
  </conditionalFormatting>
  <conditionalFormatting sqref="R36">
    <cfRule type="expression" dxfId="70" priority="2">
      <formula>#REF!&lt;&gt;#REF!</formula>
    </cfRule>
  </conditionalFormatting>
  <conditionalFormatting sqref="G65:K65">
    <cfRule type="expression" dxfId="69" priority="1">
      <formula>OR($P$112&gt;0,$P$113&lt;&gt;0,$P$114&lt;&gt;0)</formula>
    </cfRule>
  </conditionalFormatting>
  <hyperlinks>
    <hyperlink ref="O2" location="Index!A1" display="Return to Index" xr:uid="{00000000-0004-0000-AF00-000000000000}"/>
  </hyperlinks>
  <printOptions horizontalCentered="1"/>
  <pageMargins left="0.5" right="0.5" top="0.25" bottom="0.25" header="0" footer="0.25"/>
  <pageSetup scale="10" orientation="landscape" r:id="rId1"/>
  <headerFooter alignWithMargins="0"/>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dimension ref="A1:G30"/>
  <sheetViews>
    <sheetView showGridLines="0" zoomScale="80" zoomScaleNormal="80" workbookViewId="0">
      <selection activeCell="E74" sqref="E74:F74"/>
    </sheetView>
  </sheetViews>
  <sheetFormatPr defaultColWidth="9.140625" defaultRowHeight="12.75"/>
  <cols>
    <col min="1" max="1" width="7" style="53" customWidth="1"/>
    <col min="2" max="2" width="93.140625" style="53" customWidth="1"/>
    <col min="3" max="3" width="20" style="53" customWidth="1"/>
    <col min="4" max="9" width="9.140625" style="53"/>
    <col min="10" max="10" width="14.28515625" style="53" customWidth="1"/>
    <col min="11" max="16384" width="9.140625" style="53"/>
  </cols>
  <sheetData>
    <row r="1" spans="2:6" ht="18.75" thickBot="1">
      <c r="B1" s="466" t="str">
        <f>'RGV Chrts'!$A$1</f>
        <v>The University of Texas RGV - All Disciplines (A+H+M)</v>
      </c>
      <c r="C1" s="835" t="s">
        <v>1200</v>
      </c>
    </row>
    <row r="2" spans="2:6">
      <c r="B2" s="393" t="str">
        <f>'Smmy Chrts'!$A$2</f>
        <v>For the Year Ended August 31, 2021</v>
      </c>
    </row>
    <row r="3" spans="2:6">
      <c r="B3" s="393" t="str">
        <f>'Smmy Chrts'!$A$3</f>
        <v>Source: FY 2021 Annual Financial Report</v>
      </c>
    </row>
    <row r="5" spans="2:6" customFormat="1">
      <c r="B5" s="529" t="s">
        <v>705</v>
      </c>
    </row>
    <row r="6" spans="2:6" customFormat="1">
      <c r="B6" s="530"/>
    </row>
    <row r="7" spans="2:6" customFormat="1" ht="226.5" customHeight="1">
      <c r="B7" s="531" t="s">
        <v>706</v>
      </c>
      <c r="C7" s="532"/>
    </row>
    <row r="8" spans="2:6" customFormat="1" ht="263.25" customHeight="1">
      <c r="B8" s="531" t="s">
        <v>707</v>
      </c>
    </row>
    <row r="9" spans="2:6" ht="64.5" customHeight="1">
      <c r="B9" s="533" t="str">
        <f>IF('RGV FGD'!$R$83="N/A","FN11.  N/A",$B$20&amp;$B$21&amp;$B$22&amp;$B$23&amp;$B$24&amp;$B$25&amp;$B$26&amp;$B$27&amp;$B$28&amp;$B$29&amp;$B$30)</f>
        <v>FN11: Of the net increase of $149,344,078 approximately $110.8 million represents revenues received but not yet expended. This income is fully committed to program expenditures and capital disbursements. The remaining $38.5 million represents non-expendable funds from unrealized gains and additions to permanent endowments of approximately $33.3 million and $5.3 million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TEXT(IF('RGV FGD'!$M$92&lt;0,"N/A",'RGV FGD'!$M$92),"$* #,##0;$* (#,##0)")</f>
        <v>$149,344,078</v>
      </c>
      <c r="C21" s="480"/>
      <c r="D21" s="480"/>
      <c r="E21" s="480"/>
      <c r="G21" s="105"/>
    </row>
    <row r="22" spans="1:7">
      <c r="B22" s="105" t="s">
        <v>682</v>
      </c>
    </row>
    <row r="23" spans="1:7">
      <c r="A23" s="53">
        <v>61</v>
      </c>
      <c r="B23" s="515" t="str">
        <f>IF(ABS('RGV FGD'!$R$84)&gt;=1000000,TEXT('RGV FGD'!$R$84/1000000,"$* #,##0.0;$* (#,##0.0)")&amp;" million",IF(ABS('RGV FGD'!$R$84)&lt;1000,TEXT('RGV FGD'!$R$84,"$* #,##0;$* (#,##0)"),TEXT('RGV FGD'!$R$84/1000,"$* #,##0;$* (#,##0)")&amp;" thousand"))</f>
        <v>$110.8 million</v>
      </c>
      <c r="C23" s="515"/>
      <c r="E23" s="515"/>
    </row>
    <row r="24" spans="1:7">
      <c r="B24" s="105" t="s">
        <v>708</v>
      </c>
    </row>
    <row r="25" spans="1:7">
      <c r="A25" s="53">
        <v>62</v>
      </c>
      <c r="B25" s="515" t="str">
        <f>IF(ABS('RGV FGD'!$R$85)&gt;=1000000,TEXT('RGV FGD'!$R$85/1000000,"$* #,##0.0;$* (#,##0.0)")&amp;" million",IF(ABS('RGV FGD'!$R$85)&lt;1000,TEXT('RGV FGD'!$R$85,"$* #,##0;$* (#,##0)"),TEXT('RGV FGD'!$R$85/1000,"$* #,##0;$* (#,##0)")&amp;" thousand"))</f>
        <v>$38.5 million</v>
      </c>
      <c r="C25" s="515"/>
      <c r="E25" s="515"/>
    </row>
    <row r="26" spans="1:7">
      <c r="B26" s="105" t="s">
        <v>683</v>
      </c>
    </row>
    <row r="27" spans="1:7">
      <c r="A27" s="53">
        <v>64</v>
      </c>
      <c r="B27" s="515" t="str">
        <f>IF(ABS('RGV FGD'!$R$87)&gt;=1000000,TEXT('RGV FGD'!$R$87/1000000,"$* #,##0.0;$* (#,##0.0)")&amp;" million",IF(ABS('RGV FGD'!$R$87)&lt;1000,TEXT('RGV FGD'!$R$87,"$* #,##0;$* (#,##0)"),TEXT('RGV FGD'!$R$87/1000,"$* #,##0;$* (#,##0)")&amp;" thousand"))</f>
        <v>$33.3 million</v>
      </c>
      <c r="C27" s="515"/>
      <c r="E27" s="515"/>
    </row>
    <row r="28" spans="1:7">
      <c r="B28" s="105" t="s">
        <v>684</v>
      </c>
    </row>
    <row r="29" spans="1:7">
      <c r="A29" s="53">
        <v>66</v>
      </c>
      <c r="B29" s="515" t="str">
        <f>IF(ABS('RGV FGD'!$R$89)&gt;=1000000,TEXT('RGV FGD'!$R$89/1000000,"$* #,##0.0;$* (#,##0.0)")&amp;" million",IF(ABS('RGV FGD'!$R$89)&lt;1000,TEXT('RGV FGD'!$R$89,"$* #,##0;$* (#,##0)"),TEXT('RGV FGD'!$R$89/1000,"$* #,##0;$* (#,##0)")&amp;" thousand"))</f>
        <v>$5.3 million</v>
      </c>
      <c r="C29" s="515"/>
      <c r="E29" s="515"/>
    </row>
    <row r="30" spans="1:7">
      <c r="B30" s="105" t="s">
        <v>709</v>
      </c>
    </row>
  </sheetData>
  <hyperlinks>
    <hyperlink ref="C1" location="Index!A1" display="Return to Index" xr:uid="{00000000-0004-0000-B000-000000000000}"/>
  </hyperlinks>
  <pageMargins left="0.25" right="0.25" top="0.25" bottom="0.25" header="0" footer="0.25"/>
  <pageSetup orientation="portrait" r:id="rId1"/>
  <headerFooter alignWithMargins="0"/>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sheetPr>
    <tabColor indexed="47"/>
    <pageSetUpPr fitToPage="1"/>
  </sheetPr>
  <dimension ref="A1:E165"/>
  <sheetViews>
    <sheetView showGridLines="0" zoomScale="65" zoomScaleNormal="65" zoomScaleSheetLayoutView="65" workbookViewId="0">
      <selection activeCell="B31" sqref="B31"/>
    </sheetView>
  </sheetViews>
  <sheetFormatPr defaultColWidth="9.140625" defaultRowHeight="12.75" customHeight="1"/>
  <cols>
    <col min="1" max="1" width="158.7109375" style="53" customWidth="1"/>
    <col min="2" max="2" width="18.5703125" style="53" customWidth="1"/>
    <col min="3" max="3" width="54.7109375" style="53" customWidth="1"/>
    <col min="4" max="4" width="20.7109375" style="53" customWidth="1"/>
    <col min="5" max="5" width="9.140625" style="679"/>
    <col min="6" max="16384" width="9.140625" style="53"/>
  </cols>
  <sheetData>
    <row r="1" spans="1:5" ht="28.5" thickBot="1">
      <c r="A1" s="159" t="s">
        <v>2243</v>
      </c>
      <c r="B1" s="835" t="s">
        <v>1200</v>
      </c>
      <c r="C1" s="53" t="s">
        <v>1329</v>
      </c>
    </row>
    <row r="2" spans="1:5" ht="27.75">
      <c r="A2" s="54" t="str">
        <f>'Smmy Chrts'!$A$2</f>
        <v>For the Year Ended August 31, 2021</v>
      </c>
      <c r="C2" s="55" t="s">
        <v>63</v>
      </c>
    </row>
    <row r="3" spans="1:5" ht="27.75">
      <c r="A3" s="54" t="str">
        <f>'Smmy Chrts'!$A$3</f>
        <v>Source: FY 2021 Annual Financial Report</v>
      </c>
      <c r="C3" s="53" t="s">
        <v>64</v>
      </c>
    </row>
    <row r="4" spans="1:5" ht="26.25" customHeight="1">
      <c r="A4" s="1344" t="s">
        <v>2127</v>
      </c>
      <c r="C4" s="53" t="s">
        <v>267</v>
      </c>
    </row>
    <row r="5" spans="1:5" ht="12.75" customHeight="1">
      <c r="C5" s="53" t="s">
        <v>268</v>
      </c>
    </row>
    <row r="7" spans="1:5" ht="12.75" customHeight="1">
      <c r="C7" s="1687" t="s">
        <v>25</v>
      </c>
      <c r="D7" s="1687"/>
    </row>
    <row r="8" spans="1:5" ht="12.75" customHeight="1">
      <c r="C8" s="57"/>
      <c r="D8" s="58"/>
    </row>
    <row r="9" spans="1:5" ht="12.75" customHeight="1">
      <c r="C9" s="59" t="str">
        <f>'UH Sum'!A9</f>
        <v>State of Texas</v>
      </c>
      <c r="D9" s="60">
        <f>'UH Sum'!B15</f>
        <v>303577526</v>
      </c>
      <c r="E9" s="680">
        <f>ROUND(D9/$D$14,3)</f>
        <v>0.217</v>
      </c>
    </row>
    <row r="10" spans="1:5" ht="12.75" customHeight="1">
      <c r="C10" s="59" t="str">
        <f>'UH Sum'!A17</f>
        <v>Student &amp; Parent</v>
      </c>
      <c r="D10" s="60">
        <f>'UH Sum'!B20</f>
        <v>401004973</v>
      </c>
      <c r="E10" s="680">
        <f t="shared" ref="E10:E12" si="0">ROUND(D10/$D$14,3)</f>
        <v>0.28699999999999998</v>
      </c>
    </row>
    <row r="11" spans="1:5" ht="12.75" customHeight="1">
      <c r="C11" s="59" t="str">
        <f>'UH Sum'!A22</f>
        <v>Federal Government</v>
      </c>
      <c r="D11" s="60">
        <f>'UH Sum'!B23</f>
        <v>263800382</v>
      </c>
      <c r="E11" s="680">
        <f t="shared" si="0"/>
        <v>0.189</v>
      </c>
    </row>
    <row r="12" spans="1:5" ht="12.75" customHeight="1">
      <c r="C12" s="59" t="str">
        <f>'UH Sum'!A31</f>
        <v>Institutional Resources</v>
      </c>
      <c r="D12" s="60">
        <f>'UH Sum'!B38</f>
        <v>429176819</v>
      </c>
      <c r="E12" s="680">
        <f t="shared" si="0"/>
        <v>0.307</v>
      </c>
    </row>
    <row r="13" spans="1:5" ht="12.75" customHeight="1">
      <c r="C13" s="59" t="s">
        <v>2125</v>
      </c>
      <c r="D13" s="60">
        <f>'UH Sum'!$B$26+'UH Sum'!$B$29</f>
        <v>0</v>
      </c>
      <c r="E13" s="680">
        <f>ROUND(D13/$D$14,3)</f>
        <v>0</v>
      </c>
    </row>
    <row r="14" spans="1:5" ht="12.75" customHeight="1">
      <c r="C14" s="61" t="s">
        <v>68</v>
      </c>
      <c r="D14" s="62">
        <f>SUM(D9:D13)</f>
        <v>1397559700</v>
      </c>
      <c r="E14" s="680">
        <f>SUM(E9:E13)</f>
        <v>1</v>
      </c>
    </row>
    <row r="18" spans="1:3" ht="12.75" customHeight="1">
      <c r="B18" s="270"/>
    </row>
    <row r="19" spans="1:3" ht="12.75" customHeight="1">
      <c r="B19" s="270"/>
    </row>
    <row r="20" spans="1:3" ht="12.75" customHeight="1">
      <c r="B20" s="270"/>
      <c r="C20" s="53" t="s">
        <v>88</v>
      </c>
    </row>
    <row r="21" spans="1:3" ht="12.75" customHeight="1">
      <c r="B21" s="270"/>
      <c r="C21" s="53" t="s">
        <v>89</v>
      </c>
    </row>
    <row r="22" spans="1:3" ht="12.75" customHeight="1">
      <c r="B22" s="270"/>
      <c r="C22" s="53" t="s">
        <v>90</v>
      </c>
    </row>
    <row r="23" spans="1:3" ht="12.75" customHeight="1">
      <c r="A23" s="56"/>
      <c r="B23" s="270"/>
      <c r="C23" s="53" t="s">
        <v>91</v>
      </c>
    </row>
    <row r="24" spans="1:3" ht="12.75" customHeight="1">
      <c r="A24" s="56"/>
      <c r="B24" s="270"/>
    </row>
    <row r="25" spans="1:3" ht="12.75" customHeight="1">
      <c r="A25" s="56"/>
      <c r="B25" s="270"/>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3" ht="12.75" customHeight="1">
      <c r="A33" s="56"/>
      <c r="C33" s="1175"/>
    </row>
    <row r="34" spans="1:3" ht="12.75" customHeight="1">
      <c r="A34" s="56"/>
      <c r="C34" s="1175"/>
    </row>
    <row r="35" spans="1:3" ht="12.75" customHeight="1">
      <c r="A35" s="56"/>
    </row>
    <row r="36" spans="1:3" ht="12.75" customHeight="1">
      <c r="A36" s="56"/>
    </row>
    <row r="37" spans="1:3" ht="12.75" customHeight="1">
      <c r="A37" s="56"/>
    </row>
    <row r="38" spans="1:3" ht="12.75" customHeight="1">
      <c r="A38" s="56"/>
    </row>
    <row r="39" spans="1:3" ht="12.75" customHeight="1">
      <c r="A39" s="56"/>
    </row>
    <row r="40" spans="1:3" ht="12.75" customHeight="1">
      <c r="A40" s="56"/>
    </row>
    <row r="41" spans="1:3" ht="12.75" customHeight="1">
      <c r="A41" s="56"/>
    </row>
    <row r="42" spans="1:3" ht="12.75" customHeight="1">
      <c r="A42" s="56"/>
    </row>
    <row r="43" spans="1:3" ht="12.75" customHeight="1">
      <c r="A43" s="56"/>
    </row>
    <row r="44" spans="1:3" ht="12.75" customHeight="1">
      <c r="A44" s="56"/>
    </row>
    <row r="45" spans="1:3" ht="12.75" customHeight="1">
      <c r="A45" s="56"/>
    </row>
    <row r="46" spans="1:3" ht="12.75" customHeight="1">
      <c r="A46" s="56"/>
    </row>
    <row r="47" spans="1:3" ht="12.75" customHeight="1">
      <c r="A47" s="1686" t="str">
        <f>C14&amp;" "&amp;TEXT(D14,"$#,###")</f>
        <v>Total Operating Sources $1,397,559,700</v>
      </c>
    </row>
    <row r="48" spans="1:3" ht="12.75" customHeight="1">
      <c r="A48" s="1686"/>
    </row>
    <row r="49" spans="1:5" ht="12.75" customHeight="1">
      <c r="A49" s="56"/>
    </row>
    <row r="52" spans="1:5" ht="12.75" customHeight="1">
      <c r="C52" s="1529" t="s">
        <v>25</v>
      </c>
      <c r="D52" s="58"/>
    </row>
    <row r="54" spans="1:5" ht="12.75" customHeight="1">
      <c r="C54" s="59" t="s">
        <v>1</v>
      </c>
      <c r="D54" s="60">
        <f>'UH Sum'!B10</f>
        <v>204365435</v>
      </c>
      <c r="E54" s="680">
        <f>ROUND(D54/$D$68,3)</f>
        <v>0.14599999999999999</v>
      </c>
    </row>
    <row r="55" spans="1:5" ht="12.75" customHeight="1">
      <c r="C55" s="59" t="s">
        <v>221</v>
      </c>
      <c r="D55" s="60">
        <f>'UH Sum'!B11</f>
        <v>44698087</v>
      </c>
      <c r="E55" s="680">
        <f>ROUND(D55/$D$68,3)</f>
        <v>3.2000000000000001E-2</v>
      </c>
    </row>
    <row r="56" spans="1:5" ht="12.75" customHeight="1">
      <c r="C56" s="59"/>
      <c r="D56" s="60"/>
      <c r="E56" s="680"/>
    </row>
    <row r="57" spans="1:5" ht="12.75" customHeight="1">
      <c r="C57" s="59" t="str">
        <f>'UH Sum'!A13</f>
        <v>Higher Education Fund</v>
      </c>
      <c r="D57" s="60">
        <f>'UH Sum'!B13</f>
        <v>54514004</v>
      </c>
      <c r="E57" s="680">
        <f t="shared" ref="E57:E66" si="1">ROUND(D57/$D$68,3)</f>
        <v>3.9E-2</v>
      </c>
    </row>
    <row r="58" spans="1:5" ht="12.75" customHeight="1">
      <c r="C58" s="1069" t="s">
        <v>41</v>
      </c>
      <c r="D58" s="60">
        <f>'UH Sum'!B14</f>
        <v>0</v>
      </c>
      <c r="E58" s="680">
        <f t="shared" si="1"/>
        <v>0</v>
      </c>
    </row>
    <row r="59" spans="1:5" ht="12.75" customHeight="1">
      <c r="C59" s="59" t="s">
        <v>87</v>
      </c>
      <c r="D59" s="60">
        <f>'UH Sum'!B20</f>
        <v>401004973</v>
      </c>
      <c r="E59" s="680">
        <f t="shared" si="1"/>
        <v>0.28699999999999998</v>
      </c>
    </row>
    <row r="60" spans="1:5" ht="12.75" customHeight="1">
      <c r="C60" s="64" t="s">
        <v>74</v>
      </c>
      <c r="D60" s="60">
        <f>'UH Sum'!B23</f>
        <v>263800382</v>
      </c>
      <c r="E60" s="680">
        <f t="shared" si="1"/>
        <v>0.189</v>
      </c>
    </row>
    <row r="61" spans="1:5" ht="12.75" customHeight="1">
      <c r="C61" s="59" t="s">
        <v>75</v>
      </c>
      <c r="D61" s="60">
        <f>'UH Sum'!B32</f>
        <v>90328703</v>
      </c>
      <c r="E61" s="680">
        <f t="shared" si="1"/>
        <v>6.5000000000000002E-2</v>
      </c>
    </row>
    <row r="62" spans="1:5" ht="12.75" customHeight="1">
      <c r="C62" s="59" t="s">
        <v>27</v>
      </c>
      <c r="D62" s="60">
        <f>'UH Sum'!B33</f>
        <v>11634678</v>
      </c>
      <c r="E62" s="680">
        <f t="shared" si="1"/>
        <v>8.0000000000000002E-3</v>
      </c>
    </row>
    <row r="63" spans="1:5" ht="12.75" customHeight="1">
      <c r="C63" s="59" t="s">
        <v>76</v>
      </c>
      <c r="D63" s="60">
        <f>'UH Sum'!B34</f>
        <v>77222683</v>
      </c>
      <c r="E63" s="680">
        <f t="shared" si="1"/>
        <v>5.5E-2</v>
      </c>
    </row>
    <row r="64" spans="1:5" ht="12.75" customHeight="1">
      <c r="C64" s="59" t="s">
        <v>77</v>
      </c>
      <c r="D64" s="60">
        <f>'UH Sum'!B35</f>
        <v>91229161</v>
      </c>
      <c r="E64" s="680">
        <f t="shared" si="1"/>
        <v>6.5000000000000002E-2</v>
      </c>
    </row>
    <row r="65" spans="1:5" ht="12.75" customHeight="1">
      <c r="C65" s="59" t="s">
        <v>220</v>
      </c>
      <c r="D65" s="60">
        <f>'UH Sum'!B36</f>
        <v>47444235</v>
      </c>
      <c r="E65" s="680">
        <f t="shared" si="1"/>
        <v>3.4000000000000002E-2</v>
      </c>
    </row>
    <row r="66" spans="1:5" ht="12.75" customHeight="1">
      <c r="C66" s="64" t="s">
        <v>52</v>
      </c>
      <c r="D66" s="60">
        <f>'UH Sum'!B37</f>
        <v>111317359</v>
      </c>
      <c r="E66" s="680">
        <f t="shared" si="1"/>
        <v>0.08</v>
      </c>
    </row>
    <row r="67" spans="1:5" ht="12.75" customHeight="1">
      <c r="C67" s="59" t="s">
        <v>2125</v>
      </c>
      <c r="D67" s="60">
        <f>'UH Sum'!$B$26+'UH Sum'!$B$29</f>
        <v>0</v>
      </c>
      <c r="E67" s="680">
        <f>ROUND(D67/$D$14,3)</f>
        <v>0</v>
      </c>
    </row>
    <row r="68" spans="1:5" ht="12.75" customHeight="1">
      <c r="C68" s="61" t="s">
        <v>68</v>
      </c>
      <c r="D68" s="62">
        <f>SUM(D54:D66)</f>
        <v>1397559700</v>
      </c>
      <c r="E68" s="681">
        <f>SUM(E54:E66)</f>
        <v>1.0000000000000002</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86" t="str">
        <f>C68&amp;" "&amp;TEXT(D68,"$#,###")</f>
        <v>Total Operating Sources $1,397,559,700</v>
      </c>
    </row>
    <row r="93" spans="1:5" ht="12.75" customHeight="1">
      <c r="A93" s="1686"/>
    </row>
    <row r="94" spans="1:5" ht="12.75" customHeight="1">
      <c r="A94" s="65"/>
    </row>
    <row r="95" spans="1:5" s="68" customFormat="1" ht="12.75" customHeight="1">
      <c r="A95" s="66"/>
      <c r="E95" s="682"/>
    </row>
    <row r="96" spans="1:5" ht="12.75" customHeight="1">
      <c r="A96" s="65"/>
    </row>
    <row r="97" spans="1:5" ht="12.75" customHeight="1">
      <c r="A97" s="65"/>
    </row>
    <row r="98" spans="1:5" ht="12.75" customHeight="1">
      <c r="A98" s="65"/>
    </row>
    <row r="100" spans="1:5" ht="12.75" customHeight="1">
      <c r="C100" s="1687" t="s">
        <v>13</v>
      </c>
      <c r="D100" s="1687"/>
    </row>
    <row r="101" spans="1:5" ht="12.75" customHeight="1">
      <c r="C101" s="1687"/>
      <c r="D101" s="1687"/>
    </row>
    <row r="102" spans="1:5" ht="12.75" customHeight="1">
      <c r="C102" s="69" t="s">
        <v>14</v>
      </c>
      <c r="D102" s="60">
        <f>'UH Sum'!B42</f>
        <v>262309225</v>
      </c>
      <c r="E102" s="680">
        <f>ROUND(D102/$D$114,3)</f>
        <v>0.218</v>
      </c>
    </row>
    <row r="103" spans="1:5" ht="12.75" customHeight="1">
      <c r="C103" s="69" t="s">
        <v>15</v>
      </c>
      <c r="D103" s="60">
        <f>'UH Sum'!B43</f>
        <v>169415339</v>
      </c>
      <c r="E103" s="680">
        <f t="shared" ref="E103:E112" si="2">ROUND(D103/$D$114,3)</f>
        <v>0.14000000000000001</v>
      </c>
    </row>
    <row r="104" spans="1:5" ht="12.75" customHeight="1">
      <c r="C104" s="69" t="s">
        <v>16</v>
      </c>
      <c r="D104" s="60">
        <f>'UH Sum'!B44</f>
        <v>35946861</v>
      </c>
      <c r="E104" s="680">
        <f t="shared" si="2"/>
        <v>0.03</v>
      </c>
    </row>
    <row r="105" spans="1:5" ht="12.75" customHeight="1">
      <c r="C105" s="69" t="s">
        <v>17</v>
      </c>
      <c r="D105" s="60">
        <f>'UH Sum'!B46</f>
        <v>184519734</v>
      </c>
      <c r="E105" s="680">
        <f t="shared" si="2"/>
        <v>0.153</v>
      </c>
    </row>
    <row r="106" spans="1:5" ht="12.75" customHeight="1">
      <c r="C106" s="69" t="s">
        <v>18</v>
      </c>
      <c r="D106" s="60">
        <f>'UH Sum'!B47</f>
        <v>38192008</v>
      </c>
      <c r="E106" s="680">
        <f t="shared" si="2"/>
        <v>3.2000000000000001E-2</v>
      </c>
    </row>
    <row r="107" spans="1:5" ht="12.75" customHeight="1">
      <c r="C107" s="69" t="s">
        <v>19</v>
      </c>
      <c r="D107" s="60">
        <f>'UH Sum'!B48</f>
        <v>85618321</v>
      </c>
      <c r="E107" s="680">
        <f t="shared" si="2"/>
        <v>7.0999999999999994E-2</v>
      </c>
    </row>
    <row r="108" spans="1:5" ht="12.75" customHeight="1">
      <c r="C108" s="69" t="s">
        <v>78</v>
      </c>
      <c r="D108" s="60">
        <f>'UH Sum'!B49</f>
        <v>59357962</v>
      </c>
      <c r="E108" s="680">
        <f t="shared" si="2"/>
        <v>4.9000000000000002E-2</v>
      </c>
    </row>
    <row r="109" spans="1:5" ht="12.75" customHeight="1">
      <c r="C109" s="69" t="s">
        <v>79</v>
      </c>
      <c r="D109" s="60">
        <f>'UH Sum'!B50</f>
        <v>78730722</v>
      </c>
      <c r="E109" s="680">
        <f t="shared" si="2"/>
        <v>6.5000000000000002E-2</v>
      </c>
    </row>
    <row r="110" spans="1:5" ht="12.75" customHeight="1">
      <c r="C110" s="69" t="s">
        <v>22</v>
      </c>
      <c r="D110" s="60">
        <f>'UH Sum'!B51</f>
        <v>134076794</v>
      </c>
      <c r="E110" s="680">
        <f t="shared" si="2"/>
        <v>0.111</v>
      </c>
    </row>
    <row r="111" spans="1:5" ht="12.75" customHeight="1">
      <c r="C111" s="64" t="s">
        <v>29</v>
      </c>
      <c r="D111" s="60">
        <f>'UH Sum'!B52</f>
        <v>13525296</v>
      </c>
      <c r="E111" s="680">
        <f t="shared" si="2"/>
        <v>1.0999999999999999E-2</v>
      </c>
    </row>
    <row r="112" spans="1:5" ht="12.75" customHeight="1">
      <c r="C112" s="64" t="s">
        <v>53</v>
      </c>
      <c r="D112" s="60">
        <f>'UH Sum'!B53</f>
        <v>144285294</v>
      </c>
      <c r="E112" s="680">
        <f t="shared" si="2"/>
        <v>0.12</v>
      </c>
    </row>
    <row r="113" spans="3:5" ht="12.75" customHeight="1">
      <c r="C113" s="64" t="s">
        <v>2126</v>
      </c>
      <c r="D113" s="60">
        <f>'UH Sum'!B45</f>
        <v>0</v>
      </c>
      <c r="E113" s="680">
        <f>ROUND(D113/$D$114,3)</f>
        <v>0</v>
      </c>
    </row>
    <row r="114" spans="3:5" ht="12.75" customHeight="1">
      <c r="C114" s="70" t="s">
        <v>69</v>
      </c>
      <c r="D114" s="62">
        <f>SUM(D102:D113)</f>
        <v>1205977556</v>
      </c>
      <c r="E114" s="681">
        <f>SUM(E102:E113)</f>
        <v>1</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86" t="str">
        <f>C114&amp;" "&amp;TEXT(D114,"$#,###")</f>
        <v>Total Operating Uses $1,205,977,556</v>
      </c>
    </row>
    <row r="137" spans="1:1" ht="12.75" customHeight="1">
      <c r="A137" s="1686"/>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136:A137"/>
    <mergeCell ref="C7:D7"/>
    <mergeCell ref="A47:A48"/>
    <mergeCell ref="A92:A93"/>
    <mergeCell ref="C100:D100"/>
    <mergeCell ref="C101:D101"/>
  </mergeCells>
  <hyperlinks>
    <hyperlink ref="B1" location="Index!A1" display="Return to Index" xr:uid="{00000000-0004-0000-B1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1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sheetPr transitionEvaluation="1" transitionEntry="1">
    <tabColor indexed="13"/>
  </sheetPr>
  <dimension ref="A1:AE86"/>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I9" sqref="I9"/>
    </sheetView>
  </sheetViews>
  <sheetFormatPr defaultColWidth="9.140625" defaultRowHeight="12.75"/>
  <cols>
    <col min="1" max="1" width="61.7109375" style="75" customWidth="1"/>
    <col min="2" max="2" width="17.85546875" style="75" customWidth="1"/>
    <col min="3" max="3" width="14.7109375" style="2" customWidth="1"/>
    <col min="4" max="4" width="14" style="261" customWidth="1"/>
    <col min="5" max="5" width="1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'UH Chrts'!$A$1</f>
        <v>University of Houston -  All Disciplines (A+H+M)</v>
      </c>
      <c r="B1" s="74"/>
      <c r="C1" s="1"/>
      <c r="D1" s="1704" t="s">
        <v>1200</v>
      </c>
      <c r="E1" s="1705"/>
      <c r="F1" s="1757" t="s">
        <v>1196</v>
      </c>
      <c r="G1" s="1706"/>
      <c r="H1" s="1706"/>
      <c r="I1" s="1706"/>
      <c r="J1" s="1707" t="s">
        <v>1197</v>
      </c>
      <c r="K1" s="1695"/>
      <c r="L1" s="1695"/>
      <c r="M1" s="1695"/>
      <c r="N1" s="1695"/>
      <c r="O1" s="1696"/>
    </row>
    <row r="2" spans="1:15" ht="15.75">
      <c r="A2" s="76" t="str">
        <f>'Smmy Chrts'!$A$2</f>
        <v>For the Year Ended August 31, 2021</v>
      </c>
      <c r="B2" s="74"/>
      <c r="C2" s="1"/>
      <c r="D2" s="1175"/>
      <c r="E2" s="37"/>
      <c r="F2" s="37"/>
      <c r="J2" s="37"/>
      <c r="K2" s="37"/>
      <c r="L2" s="37"/>
      <c r="M2" s="37"/>
    </row>
    <row r="3" spans="1:15" ht="15.75">
      <c r="A3" s="76" t="str">
        <f>'Smmy Chrts'!$A$3</f>
        <v>Source: FY 2021 Annual Financial Report</v>
      </c>
      <c r="B3" s="74"/>
      <c r="C3" s="1"/>
      <c r="D3" s="1175"/>
    </row>
    <row r="4" spans="1:15" ht="28.5" customHeight="1">
      <c r="A4" s="1762" t="s">
        <v>2127</v>
      </c>
      <c r="B4" s="1762"/>
      <c r="C4" s="1762"/>
      <c r="D4" s="1711" t="s">
        <v>1142</v>
      </c>
      <c r="E4" s="1711" t="s">
        <v>1143</v>
      </c>
      <c r="F4" s="266"/>
    </row>
    <row r="5" spans="1:15" ht="14.25" customHeight="1">
      <c r="A5" s="39" t="str">
        <f>'Smmy Chrts'!$C$35</f>
        <v>Summary Worksheet FY 2021</v>
      </c>
      <c r="B5" s="40" t="s">
        <v>86</v>
      </c>
      <c r="C5" s="40" t="s">
        <v>129</v>
      </c>
      <c r="D5" s="1712"/>
      <c r="E5" s="1712"/>
      <c r="F5" s="266"/>
      <c r="G5" s="799" t="s">
        <v>1198</v>
      </c>
      <c r="I5" s="822" t="s">
        <v>2157</v>
      </c>
      <c r="J5" s="792" t="s">
        <v>1144</v>
      </c>
    </row>
    <row r="6" spans="1:15" ht="13.5" customHeight="1">
      <c r="A6" s="78" t="s">
        <v>266</v>
      </c>
      <c r="B6" s="41"/>
      <c r="C6" s="42">
        <f>FTSE!$N$70</f>
        <v>40310.42</v>
      </c>
      <c r="J6" s="712"/>
    </row>
    <row r="7" spans="1:15">
      <c r="I7" s="824" t="s">
        <v>1162</v>
      </c>
      <c r="J7" s="827"/>
    </row>
    <row r="8" spans="1:15">
      <c r="A8" s="81" t="s">
        <v>71</v>
      </c>
      <c r="B8" s="81"/>
      <c r="C8" s="24"/>
      <c r="I8" s="896">
        <f>FTSE!$P$70</f>
        <v>3533.3999999999996</v>
      </c>
      <c r="J8" s="712"/>
    </row>
    <row r="9" spans="1:15" ht="12.75" customHeight="1" thickBot="1">
      <c r="A9" s="78" t="s">
        <v>0</v>
      </c>
      <c r="B9" s="82"/>
      <c r="C9" s="7"/>
      <c r="J9" s="712"/>
    </row>
    <row r="10" spans="1:15" ht="12.75" customHeight="1" thickTop="1">
      <c r="A10" s="75" t="s">
        <v>1</v>
      </c>
      <c r="B10" s="83">
        <f>'UH FGD'!M10</f>
        <v>204365435</v>
      </c>
      <c r="C10" s="83">
        <f>ROUND(B10/$C$6,0)</f>
        <v>5070</v>
      </c>
      <c r="D10" s="512">
        <f>'UH FGD'!F10</f>
        <v>0</v>
      </c>
      <c r="E10" s="512"/>
      <c r="F10" s="84">
        <f>B10-(SUM(D10:E10))</f>
        <v>204365435</v>
      </c>
      <c r="G10" s="1531" t="s">
        <v>1</v>
      </c>
      <c r="H10" s="1144"/>
      <c r="I10" s="825" t="s">
        <v>1161</v>
      </c>
      <c r="J10" s="713">
        <f>ROUND(F10/$C$6,0)</f>
        <v>5070</v>
      </c>
    </row>
    <row r="11" spans="1:15" ht="12.75" customHeight="1" thickBot="1">
      <c r="A11" s="75" t="s">
        <v>2</v>
      </c>
      <c r="B11" s="86">
        <f>'UH FGD'!M11</f>
        <v>44698087</v>
      </c>
      <c r="C11" s="87">
        <f t="shared" ref="C11:C14" si="0">ROUND(B11/$C$6,0)</f>
        <v>1109</v>
      </c>
      <c r="D11" s="86">
        <f>'UH FGD'!F11</f>
        <v>0</v>
      </c>
      <c r="E11" s="74"/>
      <c r="F11" s="606">
        <f t="shared" ref="F11:F14" si="1">B11-(SUM(D11:E11))</f>
        <v>44698087</v>
      </c>
      <c r="G11" s="1148">
        <f>SUM(F10:F11)</f>
        <v>249063522</v>
      </c>
      <c r="H11" s="715"/>
      <c r="I11" s="1373">
        <f>ROUND($G$11/$C$6,0)</f>
        <v>6179</v>
      </c>
      <c r="J11" s="716">
        <f t="shared" ref="J11:J14" si="2">ROUND(F11/$C$6,0)</f>
        <v>1109</v>
      </c>
    </row>
    <row r="12" spans="1:15" ht="12.75" hidden="1" customHeight="1" thickTop="1" thickBot="1">
      <c r="A12" s="75" t="s">
        <v>1410</v>
      </c>
      <c r="B12" s="86"/>
      <c r="C12" s="87"/>
      <c r="D12" s="86"/>
      <c r="E12" s="74"/>
      <c r="F12" s="607"/>
      <c r="J12" s="716"/>
      <c r="O12" s="608"/>
    </row>
    <row r="13" spans="1:15" ht="12.75" customHeight="1" thickTop="1">
      <c r="A13" s="75" t="s">
        <v>1368</v>
      </c>
      <c r="B13" s="86">
        <f>'UH FGD'!M13</f>
        <v>54514004</v>
      </c>
      <c r="C13" s="87">
        <f t="shared" si="0"/>
        <v>1352</v>
      </c>
      <c r="D13" s="86">
        <f>'UH FGD'!F13</f>
        <v>0</v>
      </c>
      <c r="E13" s="74"/>
      <c r="F13" s="893">
        <f t="shared" si="1"/>
        <v>54514004</v>
      </c>
      <c r="G13" s="1531" t="s">
        <v>81</v>
      </c>
      <c r="H13" s="894"/>
      <c r="I13" s="826" t="s">
        <v>1163</v>
      </c>
      <c r="J13" s="716">
        <f t="shared" si="2"/>
        <v>1352</v>
      </c>
    </row>
    <row r="14" spans="1:15" ht="12.75" customHeight="1" thickBot="1">
      <c r="A14" s="75" t="s">
        <v>49</v>
      </c>
      <c r="B14" s="86">
        <f>'UH FGD'!M14</f>
        <v>0</v>
      </c>
      <c r="C14" s="87">
        <f t="shared" si="0"/>
        <v>0</v>
      </c>
      <c r="D14" s="86">
        <f>'UH FGD'!F14</f>
        <v>0</v>
      </c>
      <c r="E14" s="74"/>
      <c r="F14" s="607">
        <f t="shared" si="1"/>
        <v>0</v>
      </c>
      <c r="G14" s="800">
        <f>SUM(F13:F14)</f>
        <v>54514004</v>
      </c>
      <c r="H14" s="895"/>
      <c r="I14" s="1377">
        <f>ROUND($G$11/$I$8,0)</f>
        <v>70488</v>
      </c>
      <c r="J14" s="828">
        <f t="shared" si="2"/>
        <v>0</v>
      </c>
    </row>
    <row r="15" spans="1:15" ht="12.75" customHeight="1" thickTop="1">
      <c r="A15" s="88" t="s">
        <v>3</v>
      </c>
      <c r="B15" s="89">
        <f>SUM(B10:B14)</f>
        <v>303577526</v>
      </c>
      <c r="C15" s="89">
        <f>SUM(C10:C14)</f>
        <v>7531</v>
      </c>
      <c r="D15" s="89">
        <f>SUM(D10:D14)</f>
        <v>0</v>
      </c>
      <c r="E15" s="89">
        <f>SUM(E10:E14)</f>
        <v>0</v>
      </c>
      <c r="F15" s="216">
        <f>SUM(F10:F14)</f>
        <v>303577526</v>
      </c>
      <c r="I15" s="1530"/>
      <c r="J15" s="757">
        <f>SUM(J10:J14)</f>
        <v>7531</v>
      </c>
    </row>
    <row r="16" spans="1:15">
      <c r="B16" s="48"/>
      <c r="C16" s="75"/>
      <c r="J16" s="712"/>
    </row>
    <row r="17" spans="1:16" ht="12.75" customHeight="1">
      <c r="A17" s="78" t="s">
        <v>4</v>
      </c>
      <c r="B17" s="86"/>
      <c r="C17" s="75"/>
      <c r="J17" s="712"/>
    </row>
    <row r="18" spans="1:16">
      <c r="A18" s="75" t="s">
        <v>39</v>
      </c>
      <c r="B18" s="83">
        <f>'UH FGD'!M29</f>
        <v>290691642</v>
      </c>
      <c r="C18" s="83">
        <f t="shared" ref="C18:C19" si="3">ROUND(B18/$C$6,0)</f>
        <v>7211</v>
      </c>
      <c r="D18" s="512">
        <f>'UH FGD'!$F$29</f>
        <v>0</v>
      </c>
      <c r="E18" s="512"/>
      <c r="F18" s="512">
        <f t="shared" ref="F18:F19" si="4">B18-(SUM(D18:E18))</f>
        <v>290691642</v>
      </c>
      <c r="G18" s="337"/>
      <c r="H18" s="337"/>
      <c r="I18" s="337"/>
      <c r="J18" s="713">
        <f>ROUND(F18/$C$6,0)</f>
        <v>7211</v>
      </c>
    </row>
    <row r="19" spans="1:16" ht="13.5" thickBot="1">
      <c r="A19" s="75" t="s">
        <v>40</v>
      </c>
      <c r="B19" s="86">
        <f>'UH FGD'!M42</f>
        <v>110313331</v>
      </c>
      <c r="C19" s="87">
        <f t="shared" si="3"/>
        <v>2737</v>
      </c>
      <c r="D19" s="74">
        <f>'UH FGD'!$F$42</f>
        <v>21335029</v>
      </c>
      <c r="E19" s="74"/>
      <c r="F19" s="74">
        <f t="shared" si="4"/>
        <v>88978302</v>
      </c>
      <c r="G19" s="337"/>
      <c r="H19" s="337"/>
      <c r="I19" s="337"/>
      <c r="J19" s="716">
        <f>ROUND(F19/$C$6,0)</f>
        <v>2207</v>
      </c>
    </row>
    <row r="20" spans="1:16" ht="14.25" thickTop="1" thickBot="1">
      <c r="A20" s="88" t="s">
        <v>5</v>
      </c>
      <c r="B20" s="89">
        <f>SUM(B18:B19)</f>
        <v>401004973</v>
      </c>
      <c r="C20" s="89">
        <f>SUM(C18:C19)</f>
        <v>9948</v>
      </c>
      <c r="D20" s="717">
        <f>SUM(D18:D19)</f>
        <v>21335029</v>
      </c>
      <c r="E20" s="718">
        <f>SUM(E18:E19)</f>
        <v>0</v>
      </c>
      <c r="F20" s="801">
        <f>SUM(F18:F19)</f>
        <v>379669944</v>
      </c>
      <c r="G20" s="720" t="s">
        <v>26</v>
      </c>
      <c r="H20" s="366"/>
      <c r="I20" s="367"/>
      <c r="J20" s="721">
        <f>SUM(J18:J19)</f>
        <v>9418</v>
      </c>
    </row>
    <row r="21" spans="1:16" ht="12.75" customHeight="1" thickTop="1">
      <c r="B21" s="91"/>
      <c r="C21" s="75"/>
      <c r="F21" s="804"/>
      <c r="J21" s="712"/>
    </row>
    <row r="22" spans="1:16" ht="14.25" customHeight="1" thickBot="1">
      <c r="A22" s="78" t="s">
        <v>6</v>
      </c>
      <c r="B22" s="91"/>
      <c r="C22" s="75"/>
      <c r="J22" s="712"/>
    </row>
    <row r="23" spans="1:16" ht="14.25" thickTop="1" thickBot="1">
      <c r="A23" s="88" t="s">
        <v>7</v>
      </c>
      <c r="B23" s="92">
        <f>'UH FGD'!M47</f>
        <v>263800382</v>
      </c>
      <c r="C23" s="89">
        <f t="shared" ref="C23" si="5">ROUND(B23/$C$6,0)</f>
        <v>6544</v>
      </c>
      <c r="D23" s="717">
        <f>'UH FGD'!F47</f>
        <v>0</v>
      </c>
      <c r="E23" s="718"/>
      <c r="F23" s="801">
        <f>B23-(SUM(D23:E23))</f>
        <v>263800382</v>
      </c>
      <c r="G23" s="722" t="s">
        <v>74</v>
      </c>
      <c r="H23" s="366"/>
      <c r="I23" s="367"/>
      <c r="J23" s="756">
        <f>ROUND(F23/$C$6,0)</f>
        <v>6544</v>
      </c>
    </row>
    <row r="24" spans="1:16" ht="13.5" thickTop="1">
      <c r="C24" s="75"/>
      <c r="J24" s="712"/>
      <c r="P24" s="75"/>
    </row>
    <row r="25" spans="1:16">
      <c r="A25" s="78" t="s">
        <v>2121</v>
      </c>
      <c r="C25" s="75"/>
      <c r="D25" s="74"/>
      <c r="H25" s="337"/>
      <c r="J25" s="712"/>
      <c r="P25" s="75"/>
    </row>
    <row r="26" spans="1:16">
      <c r="A26" s="88" t="s">
        <v>2122</v>
      </c>
      <c r="B26" s="89">
        <f>'UH FGD'!M50</f>
        <v>0</v>
      </c>
      <c r="C26" s="89">
        <f t="shared" ref="C26" si="6">ROUND(B26/$C$6,0)</f>
        <v>0</v>
      </c>
      <c r="D26" s="89">
        <f>'UH FGD'!F50</f>
        <v>0</v>
      </c>
      <c r="E26" s="89"/>
      <c r="F26" s="89">
        <f t="shared" ref="F26" si="7">B26-(SUM(D26:E26))</f>
        <v>0</v>
      </c>
      <c r="G26" s="367"/>
      <c r="H26" s="367"/>
      <c r="I26" s="337"/>
      <c r="J26" s="713"/>
      <c r="P26" s="75"/>
    </row>
    <row r="27" spans="1:16">
      <c r="C27" s="75"/>
      <c r="D27" s="373"/>
      <c r="E27" s="1329"/>
      <c r="F27" s="367"/>
      <c r="G27" s="367"/>
      <c r="H27" s="367"/>
      <c r="I27" s="337"/>
      <c r="J27" s="716"/>
      <c r="P27" s="75"/>
    </row>
    <row r="28" spans="1:16">
      <c r="A28" s="78" t="s">
        <v>2123</v>
      </c>
      <c r="C28" s="75"/>
      <c r="D28" s="86"/>
      <c r="E28" s="1330"/>
      <c r="F28" s="367"/>
      <c r="G28" s="367"/>
      <c r="H28" s="367"/>
      <c r="I28" s="337"/>
      <c r="J28" s="716"/>
      <c r="P28" s="75"/>
    </row>
    <row r="29" spans="1:16">
      <c r="A29" s="88" t="s">
        <v>2122</v>
      </c>
      <c r="B29" s="89">
        <f>'UH FGD'!M53</f>
        <v>0</v>
      </c>
      <c r="C29" s="89">
        <f t="shared" ref="C29" si="8">ROUND(B29/$C$6,0)</f>
        <v>0</v>
      </c>
      <c r="D29" s="89">
        <f>'UH FGD'!F53</f>
        <v>0</v>
      </c>
      <c r="E29" s="89"/>
      <c r="F29" s="89">
        <f t="shared" ref="F29" si="9">B29-(SUM(D29:E29))</f>
        <v>0</v>
      </c>
      <c r="G29" s="367"/>
      <c r="H29" s="367"/>
      <c r="I29" s="337"/>
      <c r="J29" s="716"/>
      <c r="P29" s="75"/>
    </row>
    <row r="30" spans="1:16">
      <c r="B30" s="91"/>
      <c r="C30" s="75"/>
      <c r="J30" s="712"/>
    </row>
    <row r="31" spans="1:16">
      <c r="A31" s="78" t="s">
        <v>8</v>
      </c>
      <c r="B31" s="91"/>
      <c r="C31" s="75"/>
      <c r="J31" s="712"/>
    </row>
    <row r="32" spans="1:16">
      <c r="A32" s="75" t="s">
        <v>42</v>
      </c>
      <c r="B32" s="83">
        <f>'UH FGD'!M56</f>
        <v>90328703</v>
      </c>
      <c r="C32" s="83">
        <f t="shared" ref="C32:C37" si="10">ROUND(B32/$C$6,0)</f>
        <v>2241</v>
      </c>
      <c r="D32" s="512">
        <f>'UH FGD'!F56</f>
        <v>0</v>
      </c>
      <c r="E32" s="512"/>
      <c r="F32" s="512">
        <f t="shared" ref="F32:F37" si="11">B32-(SUM(D32:E32))</f>
        <v>90328703</v>
      </c>
      <c r="G32" s="337"/>
      <c r="H32" s="337"/>
      <c r="I32" s="337"/>
      <c r="J32" s="713">
        <f>ROUND(F32/$C$6,0)</f>
        <v>2241</v>
      </c>
    </row>
    <row r="33" spans="1:31">
      <c r="A33" s="75" t="s">
        <v>9</v>
      </c>
      <c r="B33" s="86">
        <f>'UH FGD'!M57</f>
        <v>11634678</v>
      </c>
      <c r="C33" s="87">
        <f t="shared" si="10"/>
        <v>289</v>
      </c>
      <c r="D33" s="86">
        <f>'UH FGD'!F57</f>
        <v>0</v>
      </c>
      <c r="E33" s="74"/>
      <c r="F33" s="74">
        <f t="shared" si="11"/>
        <v>11634678</v>
      </c>
      <c r="G33" s="337"/>
      <c r="H33" s="337"/>
      <c r="I33" s="337"/>
      <c r="J33" s="716">
        <f t="shared" ref="J33:J37" si="12">ROUND(F33/$C$6,0)</f>
        <v>289</v>
      </c>
    </row>
    <row r="34" spans="1:31" ht="13.5" thickBot="1">
      <c r="A34" s="75" t="s">
        <v>10</v>
      </c>
      <c r="B34" s="86">
        <f>'UH FGD'!M58</f>
        <v>77222683</v>
      </c>
      <c r="C34" s="87">
        <f t="shared" si="10"/>
        <v>1916</v>
      </c>
      <c r="D34" s="86">
        <f>'UH FGD'!F58</f>
        <v>0</v>
      </c>
      <c r="E34" s="74"/>
      <c r="F34" s="74">
        <f t="shared" si="11"/>
        <v>77222683</v>
      </c>
      <c r="G34" s="337"/>
      <c r="H34" s="337"/>
      <c r="I34" s="337"/>
      <c r="J34" s="716">
        <f t="shared" si="12"/>
        <v>1916</v>
      </c>
    </row>
    <row r="35" spans="1:31" ht="13.5" thickBot="1">
      <c r="A35" s="75" t="s">
        <v>11</v>
      </c>
      <c r="B35" s="86">
        <f>'UH FGD'!M59</f>
        <v>91229161</v>
      </c>
      <c r="C35" s="87">
        <f t="shared" si="10"/>
        <v>2263</v>
      </c>
      <c r="D35" s="86">
        <f>'UH FGD'!F59</f>
        <v>0</v>
      </c>
      <c r="E35" s="74"/>
      <c r="F35" s="74">
        <f t="shared" si="11"/>
        <v>91229161</v>
      </c>
      <c r="G35" s="337"/>
      <c r="H35" s="337"/>
      <c r="I35" s="38"/>
      <c r="J35" s="716">
        <f t="shared" si="12"/>
        <v>2263</v>
      </c>
      <c r="K35" s="1694"/>
      <c r="L35" s="1695"/>
      <c r="M35" s="1695"/>
      <c r="N35" s="1695"/>
      <c r="O35" s="1696"/>
    </row>
    <row r="36" spans="1:31" ht="13.5" thickBot="1">
      <c r="A36" s="93" t="s">
        <v>2134</v>
      </c>
      <c r="B36" s="94">
        <f>'UH FGD'!M60</f>
        <v>47444235</v>
      </c>
      <c r="C36" s="87">
        <f t="shared" si="10"/>
        <v>1177</v>
      </c>
      <c r="D36" s="729">
        <f>B36</f>
        <v>47444235</v>
      </c>
      <c r="E36" s="74"/>
      <c r="F36" s="74">
        <f t="shared" si="11"/>
        <v>0</v>
      </c>
      <c r="G36" s="337"/>
      <c r="H36" s="337"/>
      <c r="J36" s="716">
        <f t="shared" si="12"/>
        <v>0</v>
      </c>
      <c r="K36" s="1694" t="s">
        <v>1070</v>
      </c>
      <c r="L36" s="1695"/>
      <c r="M36" s="1695"/>
      <c r="N36" s="1695"/>
      <c r="O36" s="1696"/>
    </row>
    <row r="37" spans="1:31" ht="13.5" customHeight="1" thickBot="1">
      <c r="A37" s="95" t="s">
        <v>43</v>
      </c>
      <c r="B37" s="86">
        <f>'UH FGD'!M61</f>
        <v>111317359</v>
      </c>
      <c r="C37" s="87">
        <f t="shared" si="10"/>
        <v>2762</v>
      </c>
      <c r="D37" s="86">
        <f>'UH FGD'!F61</f>
        <v>34212062</v>
      </c>
      <c r="E37" s="74"/>
      <c r="F37" s="74">
        <f t="shared" si="11"/>
        <v>77105297</v>
      </c>
      <c r="G37" s="35"/>
      <c r="H37" s="35"/>
      <c r="J37" s="716">
        <f t="shared" si="12"/>
        <v>1913</v>
      </c>
      <c r="K37" s="1697" t="s">
        <v>1073</v>
      </c>
      <c r="L37" s="1697" t="s">
        <v>1071</v>
      </c>
      <c r="M37" s="1697" t="s">
        <v>1072</v>
      </c>
      <c r="N37" s="1697" t="s">
        <v>1240</v>
      </c>
      <c r="O37" s="1697" t="s">
        <v>1075</v>
      </c>
      <c r="P37" s="35"/>
      <c r="Q37" s="96"/>
      <c r="R37" s="96"/>
      <c r="S37" s="96"/>
      <c r="T37" s="96"/>
      <c r="U37" s="96"/>
      <c r="V37" s="96"/>
      <c r="W37" s="96"/>
      <c r="X37" s="96"/>
      <c r="Y37" s="96"/>
      <c r="Z37" s="96"/>
      <c r="AA37" s="96"/>
      <c r="AB37" s="96"/>
      <c r="AC37" s="96"/>
      <c r="AD37" s="96"/>
      <c r="AE37" s="96"/>
    </row>
    <row r="38" spans="1:31" ht="14.25" customHeight="1" thickTop="1" thickBot="1">
      <c r="A38" s="88" t="s">
        <v>3</v>
      </c>
      <c r="B38" s="89">
        <f>SUM(B32:B37)</f>
        <v>429176819</v>
      </c>
      <c r="C38" s="89">
        <f>SUM(C32:C37)</f>
        <v>10648</v>
      </c>
      <c r="D38" s="723">
        <f>SUM(D32:D37)</f>
        <v>81656297</v>
      </c>
      <c r="E38" s="723">
        <f>SUM(E32:E37)</f>
        <v>0</v>
      </c>
      <c r="F38" s="802">
        <f>SUM(F32:F37)</f>
        <v>347520522</v>
      </c>
      <c r="G38" s="1708" t="s">
        <v>8</v>
      </c>
      <c r="H38" s="1709"/>
      <c r="I38" s="783" t="s">
        <v>1166</v>
      </c>
      <c r="J38" s="725">
        <f>SUM(J32:J37)</f>
        <v>8622</v>
      </c>
      <c r="K38" s="1698"/>
      <c r="L38" s="1698"/>
      <c r="M38" s="1698"/>
      <c r="N38" s="1698" t="s">
        <v>1074</v>
      </c>
      <c r="O38" s="1698" t="s">
        <v>1075</v>
      </c>
    </row>
    <row r="39" spans="1:31" ht="14.25" thickTop="1" thickBot="1">
      <c r="A39" s="97" t="s">
        <v>68</v>
      </c>
      <c r="B39" s="52">
        <f>B15+B20+B23+B38+B26+B29</f>
        <v>1397559700</v>
      </c>
      <c r="C39" s="52">
        <f>C15+C20+C23+C38+C26+C29</f>
        <v>34671</v>
      </c>
      <c r="D39" s="52">
        <f>D15+D20+D23+D38+D26+D29</f>
        <v>102991326</v>
      </c>
      <c r="E39" s="52">
        <f>E15+E20+E23+E38+E26+E29</f>
        <v>0</v>
      </c>
      <c r="F39" s="724">
        <f>F15+F20+F23+F38+F26+F29</f>
        <v>1294568374</v>
      </c>
      <c r="G39" s="1758" t="s">
        <v>84</v>
      </c>
      <c r="H39" s="1759"/>
      <c r="I39" s="1375">
        <f>ROUND($G$41/$C$6,0)</f>
        <v>30763</v>
      </c>
      <c r="J39" s="726">
        <f>J15+J20+J23+J38</f>
        <v>32115</v>
      </c>
      <c r="K39" s="1698"/>
      <c r="L39" s="1698"/>
      <c r="M39" s="1698"/>
      <c r="N39" s="1698"/>
      <c r="O39" s="1698"/>
    </row>
    <row r="40" spans="1:31" ht="14.25" thickTop="1" thickBot="1">
      <c r="B40" s="98"/>
      <c r="C40" s="75"/>
      <c r="D40" s="337"/>
      <c r="E40" s="337"/>
      <c r="F40" s="337" t="s">
        <v>1199</v>
      </c>
      <c r="G40" s="787">
        <f>G14*-1</f>
        <v>-54514004</v>
      </c>
      <c r="H40" s="337"/>
      <c r="I40" s="783" t="s">
        <v>1167</v>
      </c>
      <c r="J40" s="727"/>
      <c r="K40" s="1699"/>
      <c r="L40" s="1699"/>
      <c r="M40" s="1699"/>
      <c r="N40" s="1699"/>
      <c r="O40" s="1699"/>
    </row>
    <row r="41" spans="1:31" ht="14.25" thickTop="1" thickBot="1">
      <c r="A41" s="81" t="s">
        <v>72</v>
      </c>
      <c r="B41" s="81"/>
      <c r="C41" s="81"/>
      <c r="D41" s="728"/>
      <c r="E41" s="728"/>
      <c r="F41" s="788" t="s">
        <v>1165</v>
      </c>
      <c r="G41" s="803">
        <f>F39+G40</f>
        <v>1240054370</v>
      </c>
      <c r="I41" s="1376" t="str">
        <f>IFERROR("",ROUND($G$41/$I$8,0))</f>
        <v/>
      </c>
      <c r="K41" s="609"/>
      <c r="L41" s="609"/>
      <c r="M41" s="609"/>
      <c r="N41" s="609"/>
      <c r="O41" s="609"/>
    </row>
    <row r="42" spans="1:31" ht="13.5" thickTop="1">
      <c r="A42" s="99" t="s">
        <v>14</v>
      </c>
      <c r="B42" s="83">
        <f>'UH FGD'!M66</f>
        <v>262309225</v>
      </c>
      <c r="C42" s="83">
        <f t="shared" ref="C42:C53" si="13">ROUND(B42/$C$6,0)</f>
        <v>6507</v>
      </c>
      <c r="D42" s="512">
        <f>'UH FGD'!F66</f>
        <v>0</v>
      </c>
      <c r="E42" s="512"/>
      <c r="F42" s="512">
        <f t="shared" ref="F42:F53" si="14">B42-(SUM(D42:E42))</f>
        <v>262309225</v>
      </c>
      <c r="G42" s="337"/>
      <c r="H42" s="1378" t="s">
        <v>2158</v>
      </c>
      <c r="I42" s="1379">
        <f>ROUND(F42/$C$6,0)</f>
        <v>6507</v>
      </c>
      <c r="J42" s="337" t="s">
        <v>752</v>
      </c>
      <c r="K42" s="512">
        <f>F42</f>
        <v>262309225</v>
      </c>
      <c r="L42" s="512">
        <f>K42</f>
        <v>262309225</v>
      </c>
      <c r="M42" s="512"/>
      <c r="N42" s="512"/>
      <c r="O42" s="512"/>
    </row>
    <row r="43" spans="1:31">
      <c r="A43" s="99" t="s">
        <v>15</v>
      </c>
      <c r="B43" s="86">
        <f>'UH FGD'!M67</f>
        <v>169415339</v>
      </c>
      <c r="C43" s="87">
        <f t="shared" si="13"/>
        <v>4203</v>
      </c>
      <c r="D43" s="86">
        <f>'UH FGD'!F67</f>
        <v>0</v>
      </c>
      <c r="E43" s="74"/>
      <c r="F43" s="74">
        <f t="shared" si="14"/>
        <v>169415339</v>
      </c>
      <c r="G43" s="337"/>
      <c r="H43" s="337"/>
      <c r="J43" s="337" t="s">
        <v>1076</v>
      </c>
      <c r="K43" s="373">
        <f>F43</f>
        <v>169415339</v>
      </c>
      <c r="L43" s="373">
        <f>K43</f>
        <v>169415339</v>
      </c>
      <c r="M43" s="373"/>
      <c r="N43" s="373"/>
      <c r="O43" s="373"/>
    </row>
    <row r="44" spans="1:31">
      <c r="A44" s="99" t="s">
        <v>16</v>
      </c>
      <c r="B44" s="86">
        <f>'UH FGD'!M68</f>
        <v>35946861</v>
      </c>
      <c r="C44" s="87">
        <f t="shared" si="13"/>
        <v>892</v>
      </c>
      <c r="D44" s="86">
        <f>'UH FGD'!F68</f>
        <v>0</v>
      </c>
      <c r="E44" s="86">
        <f>B44-D44</f>
        <v>35946861</v>
      </c>
      <c r="F44" s="74">
        <f t="shared" si="14"/>
        <v>0</v>
      </c>
      <c r="G44" s="337"/>
      <c r="H44" s="337"/>
      <c r="I44" s="337"/>
      <c r="J44" s="337" t="s">
        <v>1077</v>
      </c>
      <c r="K44" s="736"/>
      <c r="L44" s="737"/>
      <c r="M44" s="737" t="s">
        <v>1152</v>
      </c>
      <c r="N44" s="737"/>
      <c r="O44" s="738"/>
    </row>
    <row r="45" spans="1:31">
      <c r="A45" s="407" t="s">
        <v>2123</v>
      </c>
      <c r="B45" s="87">
        <f>'UH FGD'!M69</f>
        <v>0</v>
      </c>
      <c r="C45" s="87">
        <f t="shared" si="13"/>
        <v>0</v>
      </c>
      <c r="D45" s="373">
        <f>'UH FGD'!F69</f>
        <v>0</v>
      </c>
      <c r="E45" s="86">
        <f>B45-D45</f>
        <v>0</v>
      </c>
      <c r="F45" s="74">
        <f t="shared" ref="F45" si="15">B45-(SUM(D45:E45))</f>
        <v>0</v>
      </c>
      <c r="G45" s="742"/>
      <c r="J45" s="261" t="s">
        <v>2124</v>
      </c>
      <c r="K45" s="1701" t="s">
        <v>1152</v>
      </c>
      <c r="L45" s="1702"/>
      <c r="M45" s="1702"/>
      <c r="N45" s="1702"/>
      <c r="O45" s="1703"/>
      <c r="P45" s="75"/>
    </row>
    <row r="46" spans="1:31">
      <c r="A46" s="99" t="s">
        <v>17</v>
      </c>
      <c r="B46" s="86">
        <f>'UH FGD'!M70</f>
        <v>184519734</v>
      </c>
      <c r="C46" s="87">
        <f t="shared" si="13"/>
        <v>4577</v>
      </c>
      <c r="D46" s="86">
        <f>'UH FGD'!F70</f>
        <v>0</v>
      </c>
      <c r="E46" s="74"/>
      <c r="F46" s="74">
        <f t="shared" si="14"/>
        <v>184519734</v>
      </c>
      <c r="G46" s="337"/>
      <c r="H46" s="1378" t="s">
        <v>2159</v>
      </c>
      <c r="I46" s="1379">
        <f>ROUND(F46/$C$6,0)</f>
        <v>4577</v>
      </c>
      <c r="J46" s="337" t="s">
        <v>1078</v>
      </c>
      <c r="K46" s="373">
        <f t="shared" ref="K46:K50" si="16">F46</f>
        <v>184519734</v>
      </c>
      <c r="L46" s="373">
        <f>K46</f>
        <v>184519734</v>
      </c>
      <c r="M46" s="373"/>
      <c r="N46" s="373"/>
      <c r="O46" s="373"/>
    </row>
    <row r="47" spans="1:31">
      <c r="A47" s="99" t="s">
        <v>18</v>
      </c>
      <c r="B47" s="86">
        <f>'UH FGD'!M71</f>
        <v>38192008</v>
      </c>
      <c r="C47" s="87">
        <f t="shared" si="13"/>
        <v>947</v>
      </c>
      <c r="D47" s="86">
        <f>'UH FGD'!F71</f>
        <v>0</v>
      </c>
      <c r="E47" s="74"/>
      <c r="F47" s="74">
        <f t="shared" si="14"/>
        <v>38192008</v>
      </c>
      <c r="G47" s="337"/>
      <c r="J47" s="337" t="s">
        <v>1079</v>
      </c>
      <c r="K47" s="373">
        <f t="shared" si="16"/>
        <v>38192008</v>
      </c>
      <c r="L47" s="373"/>
      <c r="M47" s="373">
        <f>K47</f>
        <v>38192008</v>
      </c>
      <c r="N47" s="373"/>
      <c r="O47" s="373"/>
    </row>
    <row r="48" spans="1:31">
      <c r="A48" s="99" t="s">
        <v>19</v>
      </c>
      <c r="B48" s="86">
        <f>'UH FGD'!M72</f>
        <v>85618321</v>
      </c>
      <c r="C48" s="87">
        <f t="shared" si="13"/>
        <v>2124</v>
      </c>
      <c r="D48" s="86">
        <f>'UH FGD'!F72</f>
        <v>0</v>
      </c>
      <c r="E48" s="74"/>
      <c r="F48" s="74">
        <f t="shared" si="14"/>
        <v>85618321</v>
      </c>
      <c r="G48" s="337"/>
      <c r="H48" s="1378" t="s">
        <v>2160</v>
      </c>
      <c r="I48" s="1379">
        <f>ROUND(F48/$C$6,0)</f>
        <v>2124</v>
      </c>
      <c r="J48" s="337" t="s">
        <v>757</v>
      </c>
      <c r="K48" s="373">
        <f t="shared" si="16"/>
        <v>85618321</v>
      </c>
      <c r="L48" s="373"/>
      <c r="M48" s="373"/>
      <c r="N48" s="373">
        <f>K48</f>
        <v>85618321</v>
      </c>
      <c r="O48" s="373"/>
    </row>
    <row r="49" spans="1:31">
      <c r="A49" s="99" t="s">
        <v>20</v>
      </c>
      <c r="B49" s="86">
        <f>'UH FGD'!M73</f>
        <v>59357962</v>
      </c>
      <c r="C49" s="87">
        <f t="shared" si="13"/>
        <v>1473</v>
      </c>
      <c r="D49" s="86">
        <f>'UH FGD'!F73</f>
        <v>0</v>
      </c>
      <c r="E49" s="74"/>
      <c r="F49" s="74">
        <f t="shared" si="14"/>
        <v>59357962</v>
      </c>
      <c r="G49" s="337"/>
      <c r="J49" s="337" t="s">
        <v>758</v>
      </c>
      <c r="K49" s="373">
        <f t="shared" si="16"/>
        <v>59357962</v>
      </c>
      <c r="L49" s="373"/>
      <c r="M49" s="373"/>
      <c r="N49" s="373">
        <f>K49</f>
        <v>59357962</v>
      </c>
      <c r="O49" s="373"/>
    </row>
    <row r="50" spans="1:31">
      <c r="A50" s="99" t="s">
        <v>21</v>
      </c>
      <c r="B50" s="86">
        <f>'UH FGD'!M74</f>
        <v>78730722</v>
      </c>
      <c r="C50" s="87">
        <f t="shared" si="13"/>
        <v>1953</v>
      </c>
      <c r="D50" s="86">
        <f>'UH FGD'!F74</f>
        <v>0</v>
      </c>
      <c r="E50" s="74"/>
      <c r="F50" s="74">
        <f t="shared" si="14"/>
        <v>78730722</v>
      </c>
      <c r="G50" s="337"/>
      <c r="H50" s="337"/>
      <c r="I50" s="337"/>
      <c r="J50" s="337" t="s">
        <v>1145</v>
      </c>
      <c r="K50" s="373">
        <f t="shared" si="16"/>
        <v>78730722</v>
      </c>
      <c r="L50" s="373"/>
      <c r="M50" s="373">
        <f>K50</f>
        <v>78730722</v>
      </c>
      <c r="N50" s="373"/>
      <c r="O50" s="373"/>
    </row>
    <row r="51" spans="1:31">
      <c r="A51" s="99" t="s">
        <v>2135</v>
      </c>
      <c r="B51" s="86">
        <f>'UH FGD'!M75</f>
        <v>134076794</v>
      </c>
      <c r="C51" s="87">
        <f t="shared" si="13"/>
        <v>3326</v>
      </c>
      <c r="D51" s="729">
        <f>B51</f>
        <v>134076794</v>
      </c>
      <c r="E51" s="74"/>
      <c r="F51" s="74">
        <f t="shared" si="14"/>
        <v>0</v>
      </c>
      <c r="G51" s="337"/>
      <c r="H51" s="337"/>
      <c r="I51" s="337"/>
      <c r="J51" s="337" t="s">
        <v>743</v>
      </c>
      <c r="K51" s="736"/>
      <c r="L51" s="737"/>
      <c r="M51" s="737" t="s">
        <v>1152</v>
      </c>
      <c r="N51" s="737"/>
      <c r="O51" s="738"/>
    </row>
    <row r="52" spans="1:31">
      <c r="A52" s="99" t="s">
        <v>61</v>
      </c>
      <c r="B52" s="86">
        <f>'UH FGD'!M76</f>
        <v>13525296</v>
      </c>
      <c r="C52" s="87">
        <f t="shared" si="13"/>
        <v>336</v>
      </c>
      <c r="D52" s="86">
        <f>'UH FGD'!F76</f>
        <v>183264</v>
      </c>
      <c r="E52" s="74"/>
      <c r="F52" s="74">
        <f t="shared" si="14"/>
        <v>13342032</v>
      </c>
      <c r="G52" s="337"/>
      <c r="H52" s="337"/>
      <c r="I52" s="337"/>
      <c r="J52" s="337" t="s">
        <v>1080</v>
      </c>
      <c r="K52" s="373">
        <f t="shared" ref="K52:K53" si="17">F52</f>
        <v>13342032</v>
      </c>
      <c r="L52" s="373"/>
      <c r="M52" s="373"/>
      <c r="N52" s="373"/>
      <c r="O52" s="373">
        <f>K52</f>
        <v>13342032</v>
      </c>
    </row>
    <row r="53" spans="1:31" ht="13.5" thickBot="1">
      <c r="A53" s="75" t="s">
        <v>50</v>
      </c>
      <c r="B53" s="86">
        <f>'UH FGD'!M77</f>
        <v>144285294</v>
      </c>
      <c r="C53" s="87">
        <f t="shared" si="13"/>
        <v>3579</v>
      </c>
      <c r="D53" s="86">
        <f>'UH FGD'!F77</f>
        <v>68030</v>
      </c>
      <c r="E53" s="74"/>
      <c r="F53" s="74">
        <f t="shared" si="14"/>
        <v>144217264</v>
      </c>
      <c r="G53" s="35"/>
      <c r="H53" s="1378" t="s">
        <v>2161</v>
      </c>
      <c r="I53" s="1379">
        <f>ROUND(SUM(F44+F47+F49+F50+F52+F53+F43)/$C$6,0)</f>
        <v>12484</v>
      </c>
      <c r="J53" s="610" t="s">
        <v>1075</v>
      </c>
      <c r="K53" s="373">
        <f t="shared" si="17"/>
        <v>144217264</v>
      </c>
      <c r="L53" s="611"/>
      <c r="M53" s="611"/>
      <c r="N53" s="611"/>
      <c r="O53" s="373">
        <f>K53</f>
        <v>144217264</v>
      </c>
      <c r="P53" s="35"/>
      <c r="Q53" s="96"/>
      <c r="R53" s="96"/>
      <c r="S53" s="96"/>
      <c r="T53" s="96"/>
      <c r="U53" s="96"/>
      <c r="V53" s="96"/>
      <c r="W53" s="96"/>
      <c r="X53" s="96"/>
      <c r="Y53" s="96"/>
      <c r="Z53" s="96"/>
      <c r="AA53" s="96"/>
      <c r="AB53" s="96"/>
      <c r="AC53" s="96"/>
      <c r="AD53" s="96"/>
      <c r="AE53" s="96"/>
    </row>
    <row r="54" spans="1:31" ht="14.25" customHeight="1" thickTop="1" thickBot="1">
      <c r="A54" s="100" t="s">
        <v>69</v>
      </c>
      <c r="B54" s="45">
        <f>SUM(B42:B53)</f>
        <v>1205977556</v>
      </c>
      <c r="C54" s="45">
        <f>SUM(C42:C53)</f>
        <v>29917</v>
      </c>
      <c r="D54" s="730">
        <f>SUM(D42:D53)</f>
        <v>134328088</v>
      </c>
      <c r="E54" s="731">
        <f>SUM(E42:E53)</f>
        <v>35946861</v>
      </c>
      <c r="F54" s="719">
        <f>SUM(F42:F53)</f>
        <v>1035702607</v>
      </c>
      <c r="G54" s="1688" t="s">
        <v>1176</v>
      </c>
      <c r="H54" s="1689"/>
      <c r="I54" s="785" t="s">
        <v>1164</v>
      </c>
      <c r="J54" s="610" t="s">
        <v>1081</v>
      </c>
      <c r="K54" s="612">
        <f>SUM(K42:K53)</f>
        <v>1035702607</v>
      </c>
      <c r="L54" s="612">
        <f>SUM(L42:L53)</f>
        <v>616244298</v>
      </c>
      <c r="M54" s="612">
        <f>SUM(M42:M53)</f>
        <v>116922730</v>
      </c>
      <c r="N54" s="612">
        <f>SUM(N42:N53)</f>
        <v>144976283</v>
      </c>
      <c r="O54" s="612">
        <f>SUM(O42:O53)</f>
        <v>157559296</v>
      </c>
    </row>
    <row r="55" spans="1:31" ht="14.25" thickTop="1" thickBot="1">
      <c r="A55" s="93"/>
      <c r="B55" s="98"/>
      <c r="C55" s="75"/>
      <c r="F55" s="613"/>
      <c r="G55" s="1690"/>
      <c r="H55" s="1691"/>
      <c r="I55" s="823">
        <f>ROUND(F54/C6,0)</f>
        <v>25693</v>
      </c>
      <c r="J55" s="1700" t="s">
        <v>1082</v>
      </c>
      <c r="K55" s="611"/>
      <c r="L55" s="611"/>
      <c r="M55" s="611"/>
      <c r="N55" s="611"/>
      <c r="O55" s="611"/>
    </row>
    <row r="56" spans="1:31" ht="13.5" thickBot="1">
      <c r="A56" s="78" t="s">
        <v>23</v>
      </c>
      <c r="B56" s="82"/>
      <c r="C56" s="75"/>
      <c r="F56" s="614"/>
      <c r="G56" s="1690"/>
      <c r="H56" s="1691"/>
      <c r="I56" s="1530"/>
      <c r="J56" s="1700"/>
      <c r="K56" s="615">
        <f>ROUND(K54/$C$6,2)</f>
        <v>25693.17</v>
      </c>
      <c r="L56" s="615">
        <f t="shared" ref="L56:O56" si="18">ROUND(L54/$C$6,2)</f>
        <v>15287.47</v>
      </c>
      <c r="M56" s="615">
        <f t="shared" si="18"/>
        <v>2900.56</v>
      </c>
      <c r="N56" s="615">
        <f t="shared" si="18"/>
        <v>3596.5</v>
      </c>
      <c r="O56" s="615">
        <f t="shared" si="18"/>
        <v>3908.65</v>
      </c>
      <c r="P56" s="35"/>
      <c r="Q56" s="96"/>
      <c r="R56" s="96"/>
      <c r="S56" s="96"/>
      <c r="T56" s="96"/>
      <c r="U56" s="96"/>
      <c r="V56" s="96"/>
      <c r="W56" s="96"/>
      <c r="X56" s="96"/>
      <c r="Y56" s="96"/>
      <c r="Z56" s="96"/>
      <c r="AA56" s="96"/>
      <c r="AB56" s="96"/>
      <c r="AC56" s="96"/>
      <c r="AD56" s="96"/>
      <c r="AE56" s="96"/>
    </row>
    <row r="57" spans="1:31" ht="13.5" thickBot="1">
      <c r="A57" s="75" t="s">
        <v>62</v>
      </c>
      <c r="B57" s="86">
        <f>'UH FGD'!M81</f>
        <v>143289196</v>
      </c>
      <c r="C57" s="83">
        <f t="shared" ref="C57:C60" si="19">ROUND(B57/$C$6,0)</f>
        <v>3555</v>
      </c>
      <c r="D57" s="512">
        <f>'UH FGD'!F81</f>
        <v>0</v>
      </c>
      <c r="E57" s="512"/>
      <c r="F57" s="732">
        <f t="shared" ref="F57:F60" si="20">B57-(SUM(D57:E57))</f>
        <v>143289196</v>
      </c>
      <c r="G57" s="1692"/>
      <c r="H57" s="1693"/>
      <c r="I57" s="1530"/>
      <c r="J57" s="38"/>
      <c r="K57" s="35"/>
      <c r="L57" s="35"/>
      <c r="M57" s="35"/>
      <c r="N57" s="35"/>
      <c r="O57" s="35"/>
      <c r="P57" s="35"/>
      <c r="Q57" s="96"/>
      <c r="R57" s="96"/>
      <c r="S57" s="96"/>
      <c r="T57" s="96"/>
      <c r="U57" s="96"/>
      <c r="V57" s="96"/>
      <c r="W57" s="96"/>
      <c r="X57" s="96"/>
      <c r="Y57" s="96"/>
      <c r="Z57" s="96"/>
      <c r="AA57" s="96"/>
      <c r="AB57" s="96"/>
      <c r="AC57" s="96"/>
      <c r="AD57" s="96"/>
      <c r="AE57" s="96"/>
    </row>
    <row r="58" spans="1:31" ht="13.5" thickTop="1">
      <c r="A58" s="75" t="s">
        <v>572</v>
      </c>
      <c r="B58" s="86">
        <f>'UH FGD'!M82</f>
        <v>227575974</v>
      </c>
      <c r="C58" s="87">
        <f t="shared" si="19"/>
        <v>5646</v>
      </c>
      <c r="D58" s="91">
        <f>'UH FGD'!F82</f>
        <v>-6679305</v>
      </c>
      <c r="E58" s="82"/>
      <c r="F58" s="74">
        <f t="shared" si="20"/>
        <v>234255279</v>
      </c>
      <c r="G58" s="337"/>
      <c r="J58" s="337"/>
      <c r="K58" s="616"/>
      <c r="L58" s="616"/>
      <c r="M58" s="616"/>
      <c r="N58" s="616"/>
      <c r="O58" s="616"/>
    </row>
    <row r="59" spans="1:31">
      <c r="A59" s="75" t="s">
        <v>51</v>
      </c>
      <c r="B59" s="86">
        <f>'UH FGD'!M83</f>
        <v>48101000</v>
      </c>
      <c r="C59" s="87">
        <f t="shared" si="19"/>
        <v>1193</v>
      </c>
      <c r="D59" s="91">
        <f>'UH FGD'!F83</f>
        <v>0</v>
      </c>
      <c r="E59" s="82"/>
      <c r="F59" s="74">
        <f t="shared" si="20"/>
        <v>48101000</v>
      </c>
      <c r="G59" s="337"/>
      <c r="J59" s="733"/>
      <c r="K59" s="733"/>
      <c r="L59" s="733"/>
      <c r="M59" s="733"/>
      <c r="N59" s="733"/>
      <c r="O59" s="733"/>
    </row>
    <row r="60" spans="1:31" ht="12" customHeight="1">
      <c r="A60" s="75" t="s">
        <v>46</v>
      </c>
      <c r="B60" s="86">
        <f>'UH FGD'!M84</f>
        <v>-145875990</v>
      </c>
      <c r="C60" s="87">
        <f t="shared" si="19"/>
        <v>-3619</v>
      </c>
      <c r="D60" s="91">
        <f>'UH FGD'!F84</f>
        <v>0</v>
      </c>
      <c r="E60" s="82"/>
      <c r="F60" s="74">
        <f t="shared" si="20"/>
        <v>-145875990</v>
      </c>
      <c r="G60" s="35"/>
      <c r="J60" s="733"/>
      <c r="K60" s="733"/>
      <c r="L60" s="733"/>
      <c r="M60" s="733"/>
      <c r="N60" s="733"/>
      <c r="O60" s="733"/>
      <c r="P60" s="35"/>
      <c r="Q60" s="96"/>
      <c r="R60" s="96"/>
      <c r="S60" s="96"/>
      <c r="T60" s="96"/>
      <c r="U60" s="96"/>
      <c r="V60" s="96"/>
      <c r="W60" s="96"/>
      <c r="X60" s="96"/>
      <c r="Y60" s="96"/>
      <c r="Z60" s="96"/>
      <c r="AA60" s="96"/>
      <c r="AB60" s="96"/>
      <c r="AC60" s="96"/>
      <c r="AD60" s="96"/>
      <c r="AE60" s="96"/>
    </row>
    <row r="61" spans="1:31">
      <c r="A61" s="88" t="s">
        <v>3</v>
      </c>
      <c r="B61" s="89">
        <f>SUM(B57:B60)</f>
        <v>273090180</v>
      </c>
      <c r="C61" s="89">
        <f>SUM(C57:C60)</f>
        <v>6775</v>
      </c>
      <c r="D61" s="89">
        <f>SUM(D57:D60)</f>
        <v>-6679305</v>
      </c>
      <c r="E61" s="89">
        <f>SUM(E57:E60)</f>
        <v>0</v>
      </c>
      <c r="F61" s="102">
        <f>SUM(F57:F60)</f>
        <v>279769485</v>
      </c>
      <c r="G61" s="337"/>
      <c r="H61" s="337"/>
      <c r="I61" s="337"/>
      <c r="J61" s="733"/>
      <c r="K61" s="733"/>
      <c r="L61" s="733"/>
      <c r="M61" s="733"/>
      <c r="N61" s="733"/>
      <c r="O61" s="733"/>
    </row>
    <row r="62" spans="1:31">
      <c r="B62" s="82"/>
      <c r="C62" s="75"/>
    </row>
    <row r="63" spans="1:31">
      <c r="A63" s="78" t="s">
        <v>24</v>
      </c>
      <c r="B63" s="82"/>
      <c r="C63" s="75"/>
      <c r="F63" s="368"/>
      <c r="G63" s="35"/>
      <c r="H63" s="35"/>
      <c r="I63" s="35"/>
      <c r="J63" s="35"/>
      <c r="K63" s="35"/>
      <c r="L63" s="35"/>
      <c r="M63" s="35"/>
      <c r="N63" s="35"/>
      <c r="O63" s="35"/>
      <c r="P63" s="35"/>
      <c r="Q63" s="96"/>
      <c r="R63" s="96"/>
      <c r="S63" s="96"/>
      <c r="T63" s="96"/>
      <c r="U63" s="96"/>
      <c r="V63" s="96"/>
      <c r="W63" s="96"/>
      <c r="X63" s="96"/>
      <c r="Y63" s="96"/>
      <c r="Z63" s="96"/>
      <c r="AA63" s="96"/>
      <c r="AB63" s="96"/>
      <c r="AC63" s="96"/>
      <c r="AD63" s="96"/>
      <c r="AE63" s="96"/>
    </row>
    <row r="64" spans="1:31">
      <c r="A64" s="75" t="s">
        <v>47</v>
      </c>
      <c r="B64" s="86">
        <f>'UH FGD'!M88</f>
        <v>116975717</v>
      </c>
      <c r="C64" s="83">
        <f>ROUND(B64/$C$6,0)</f>
        <v>2902</v>
      </c>
      <c r="D64" s="512">
        <f>'UH FGD'!F88</f>
        <v>0</v>
      </c>
      <c r="E64" s="512"/>
      <c r="F64" s="512">
        <f t="shared" ref="F64:F65" si="21">B64-(SUM(D64:E64))</f>
        <v>116975717</v>
      </c>
      <c r="G64" s="337"/>
      <c r="H64" s="337"/>
      <c r="I64" s="337"/>
      <c r="J64" s="337"/>
    </row>
    <row r="65" spans="1:31">
      <c r="A65" s="75" t="s">
        <v>48</v>
      </c>
      <c r="B65" s="86">
        <f>'UH FGD'!M89</f>
        <v>29671553</v>
      </c>
      <c r="C65" s="87">
        <f>ROUND(B65/$C$6,0)</f>
        <v>736</v>
      </c>
      <c r="D65" s="91">
        <f>'UH FGD'!F89</f>
        <v>0</v>
      </c>
      <c r="E65" s="82"/>
      <c r="F65" s="74">
        <f t="shared" si="21"/>
        <v>29671553</v>
      </c>
      <c r="G65" s="35"/>
      <c r="H65" s="35"/>
      <c r="I65" s="35"/>
      <c r="J65" s="35"/>
      <c r="K65" s="35"/>
      <c r="L65" s="35"/>
      <c r="M65" s="35"/>
      <c r="N65" s="35"/>
      <c r="O65" s="35"/>
      <c r="P65" s="35"/>
      <c r="Q65" s="96"/>
      <c r="R65" s="96"/>
      <c r="S65" s="96"/>
      <c r="T65" s="96"/>
      <c r="U65" s="96"/>
      <c r="V65" s="96"/>
      <c r="W65" s="96"/>
      <c r="X65" s="96"/>
      <c r="Y65" s="96"/>
      <c r="Z65" s="96"/>
      <c r="AA65" s="96"/>
      <c r="AB65" s="96"/>
      <c r="AC65" s="96"/>
      <c r="AD65" s="96"/>
      <c r="AE65" s="96"/>
    </row>
    <row r="66" spans="1:31" s="93" customFormat="1">
      <c r="A66" s="88" t="s">
        <v>3</v>
      </c>
      <c r="B66" s="89">
        <f>SUM(B64:B65)</f>
        <v>146647270</v>
      </c>
      <c r="C66" s="89">
        <f>SUM(C64:C65)</f>
        <v>3638</v>
      </c>
      <c r="D66" s="89">
        <f>SUM(D64:D65)</f>
        <v>0</v>
      </c>
      <c r="E66" s="89">
        <f>SUM(E64:E65)</f>
        <v>0</v>
      </c>
      <c r="F66" s="89">
        <f>SUM(F64:F65)</f>
        <v>146647270</v>
      </c>
      <c r="G66" s="367"/>
      <c r="H66" s="367"/>
      <c r="I66" s="367"/>
      <c r="J66" s="367"/>
      <c r="K66" s="266"/>
      <c r="L66" s="266"/>
      <c r="M66" s="266"/>
      <c r="N66" s="266"/>
      <c r="O66" s="266"/>
      <c r="P66" s="266"/>
    </row>
    <row r="67" spans="1:31">
      <c r="B67" s="82"/>
      <c r="C67" s="75"/>
    </row>
    <row r="68" spans="1:31" ht="13.5" thickBot="1">
      <c r="A68" s="103" t="s">
        <v>573</v>
      </c>
      <c r="B68" s="46">
        <f>B39-B54+B61+B66</f>
        <v>611319594</v>
      </c>
      <c r="C68" s="46">
        <f>C39-C54+C61+C66</f>
        <v>15167</v>
      </c>
      <c r="D68" s="46">
        <f>D39-D54+D61+D66</f>
        <v>-38016067</v>
      </c>
      <c r="E68" s="46">
        <f>E39-E54+E61+E66</f>
        <v>-35946861</v>
      </c>
      <c r="F68" s="46">
        <f>F39-F54+F61+F66</f>
        <v>685282522</v>
      </c>
    </row>
    <row r="69" spans="1:31" ht="13.5" thickTop="1"/>
    <row r="70" spans="1:31">
      <c r="C70" s="235"/>
      <c r="D70" s="512"/>
    </row>
    <row r="72" spans="1:31">
      <c r="B72" s="734">
        <f>'UH FGD'!$M$92</f>
        <v>611319594</v>
      </c>
      <c r="C72" s="75"/>
      <c r="D72" s="734">
        <f>'UH FGD'!$F$92</f>
        <v>-3036643</v>
      </c>
      <c r="E72" s="734">
        <f>'UH FGD'!$M$68*-1</f>
        <v>-35946861</v>
      </c>
      <c r="F72" s="75"/>
    </row>
    <row r="73" spans="1:31">
      <c r="B73" s="734"/>
      <c r="C73" s="75"/>
      <c r="D73" s="734">
        <f>'UH FGD'!$F$75</f>
        <v>99097370</v>
      </c>
      <c r="E73" s="734">
        <f>+$D$44</f>
        <v>0</v>
      </c>
      <c r="F73" s="734"/>
    </row>
    <row r="74" spans="1:31">
      <c r="B74" s="759"/>
      <c r="C74" s="75"/>
      <c r="D74" s="759">
        <f>-'UH FGD'!$M$75</f>
        <v>-134076794</v>
      </c>
      <c r="E74" s="759">
        <f>'UH FGD'!$M$69*-1</f>
        <v>0</v>
      </c>
      <c r="F74" s="734"/>
    </row>
    <row r="75" spans="1:31">
      <c r="B75" s="734">
        <f>SUM(B72:B74)</f>
        <v>611319594</v>
      </c>
      <c r="C75" s="75"/>
      <c r="D75" s="734">
        <f>SUM(D72:D74)</f>
        <v>-38016067</v>
      </c>
      <c r="E75" s="734">
        <f>SUM(E72:E74)</f>
        <v>-35946861</v>
      </c>
      <c r="F75" s="734">
        <f>B75-D75-E75</f>
        <v>685282522</v>
      </c>
    </row>
    <row r="76" spans="1:31">
      <c r="B76" s="734"/>
      <c r="C76" s="75"/>
      <c r="D76" s="734">
        <f>'UH FGD'!F60*-1</f>
        <v>-47444235</v>
      </c>
      <c r="E76" s="734"/>
      <c r="F76" s="734"/>
    </row>
    <row r="77" spans="1:31" ht="12.75" customHeight="1">
      <c r="B77" s="759"/>
      <c r="C77" s="95"/>
      <c r="D77" s="759">
        <f>'UH FGD'!M60</f>
        <v>47444235</v>
      </c>
      <c r="E77" s="759"/>
      <c r="F77" s="759">
        <f>-D77-D76</f>
        <v>0</v>
      </c>
    </row>
    <row r="78" spans="1:31" ht="12.75" customHeight="1">
      <c r="B78" s="734">
        <f>SUM(B75:B77)</f>
        <v>611319594</v>
      </c>
      <c r="C78" s="75"/>
      <c r="D78" s="734">
        <f>SUM(D75:D77)</f>
        <v>-38016067</v>
      </c>
      <c r="E78" s="734">
        <f>SUM(E75:E77)</f>
        <v>-35946861</v>
      </c>
      <c r="F78" s="734">
        <f>SUM(F75:F77)</f>
        <v>685282522</v>
      </c>
    </row>
    <row r="79" spans="1:31" ht="12.75" customHeight="1">
      <c r="B79" s="734"/>
      <c r="C79" s="75"/>
      <c r="D79" s="734"/>
      <c r="E79" s="734"/>
      <c r="F79" s="734"/>
    </row>
    <row r="80" spans="1:31" ht="12.75" customHeight="1">
      <c r="B80" s="512">
        <f>B68-B78</f>
        <v>0</v>
      </c>
      <c r="C80" s="75"/>
      <c r="D80" s="512">
        <f>D68-D78</f>
        <v>0</v>
      </c>
      <c r="E80" s="512">
        <f>E68-E78</f>
        <v>0</v>
      </c>
      <c r="F80" s="512">
        <f>F68-F78</f>
        <v>0</v>
      </c>
    </row>
    <row r="81" spans="3:16" ht="12.75" customHeight="1">
      <c r="C81" s="75"/>
      <c r="F81" s="617" t="str">
        <f>IF(F80=0,"Balanced","Error")</f>
        <v>Balanced</v>
      </c>
    </row>
    <row r="83" spans="3:16" s="85" customFormat="1">
      <c r="C83" s="25"/>
      <c r="D83" s="337"/>
      <c r="E83" s="337"/>
      <c r="F83" s="337"/>
      <c r="G83" s="337"/>
      <c r="H83" s="337"/>
      <c r="I83" s="337"/>
      <c r="J83" s="337"/>
      <c r="K83" s="337"/>
      <c r="L83" s="337"/>
      <c r="M83" s="337"/>
      <c r="N83" s="337"/>
      <c r="O83" s="337"/>
      <c r="P83" s="337"/>
    </row>
    <row r="84" spans="3:16" s="85" customFormat="1">
      <c r="C84" s="25"/>
      <c r="D84" s="337"/>
      <c r="E84" s="337"/>
      <c r="F84" s="337"/>
      <c r="G84" s="337"/>
      <c r="H84" s="337"/>
      <c r="I84" s="337"/>
      <c r="J84" s="337"/>
      <c r="K84" s="337"/>
      <c r="L84" s="337"/>
      <c r="M84" s="337"/>
      <c r="N84" s="337"/>
      <c r="O84" s="337"/>
      <c r="P84" s="337"/>
    </row>
    <row r="86" spans="3:16" s="85" customFormat="1">
      <c r="C86" s="25"/>
      <c r="D86" s="337"/>
      <c r="E86" s="337"/>
      <c r="F86" s="337"/>
      <c r="G86" s="337"/>
      <c r="H86" s="337"/>
      <c r="I86" s="337"/>
      <c r="J86" s="337"/>
      <c r="K86" s="337"/>
      <c r="L86" s="337"/>
      <c r="M86" s="337"/>
      <c r="N86" s="337"/>
      <c r="O86" s="337"/>
      <c r="P86" s="337"/>
    </row>
  </sheetData>
  <mergeCells count="18">
    <mergeCell ref="D1:E1"/>
    <mergeCell ref="F1:I1"/>
    <mergeCell ref="J1:O1"/>
    <mergeCell ref="A4:C4"/>
    <mergeCell ref="D4:D5"/>
    <mergeCell ref="E4:E5"/>
    <mergeCell ref="K35:O35"/>
    <mergeCell ref="K36:O36"/>
    <mergeCell ref="K37:K40"/>
    <mergeCell ref="L37:L40"/>
    <mergeCell ref="M37:M40"/>
    <mergeCell ref="N37:N40"/>
    <mergeCell ref="O37:O40"/>
    <mergeCell ref="G38:H38"/>
    <mergeCell ref="G39:H39"/>
    <mergeCell ref="K45:O45"/>
    <mergeCell ref="G54:H57"/>
    <mergeCell ref="J55:J56"/>
  </mergeCells>
  <hyperlinks>
    <hyperlink ref="D1:E1" location="Index!A1" display="Return to Index" xr:uid="{00000000-0004-0000-B200-000000000000}"/>
  </hyperlinks>
  <printOptions horizontalCentered="1"/>
  <pageMargins left="0.5" right="0.5" top="0.25" bottom="0.25" header="0" footer="0.25"/>
  <pageSetup scale="85" orientation="portrait" r:id="rId1"/>
  <headerFooter alignWithMargins="0"/>
  <rowBreaks count="1" manualBreakCount="1">
    <brk id="69" max="1"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indexed="41"/>
  </sheetPr>
  <dimension ref="A1:AC807"/>
  <sheetViews>
    <sheetView showGridLines="0" zoomScale="85" zoomScaleNormal="85" workbookViewId="0">
      <pane xSplit="6" ySplit="9" topLeftCell="G10" activePane="bottomRight" state="frozen"/>
      <selection activeCell="AA56" sqref="AA56"/>
      <selection pane="topRight" activeCell="AA56" sqref="AA56"/>
      <selection pane="bottomLeft" activeCell="AA56" sqref="AA56"/>
      <selection pane="bottomRight" activeCell="E7" sqref="E7"/>
    </sheetView>
  </sheetViews>
  <sheetFormatPr defaultColWidth="9.140625" defaultRowHeight="12.75" outlineLevelRow="1"/>
  <cols>
    <col min="1" max="1" width="7.28515625" style="480" customWidth="1"/>
    <col min="2" max="2" width="5" style="480" customWidth="1"/>
    <col min="3" max="3" width="13" style="480" customWidth="1"/>
    <col min="4" max="5" width="9.140625" style="53"/>
    <col min="6" max="6" width="25.140625" style="53" customWidth="1"/>
    <col min="7" max="7" width="13.5703125" style="53" customWidth="1"/>
    <col min="8" max="8" width="21.7109375" style="154" customWidth="1"/>
    <col min="9" max="9" width="16" style="53" customWidth="1"/>
    <col min="10" max="10" width="14.85546875" style="154" customWidth="1"/>
    <col min="11" max="11" width="16" style="154" customWidth="1"/>
    <col min="12" max="12" width="14.7109375" style="154" customWidth="1"/>
    <col min="13" max="13" width="16.42578125" style="53" customWidth="1"/>
    <col min="14" max="14" width="18" style="154" customWidth="1"/>
    <col min="15" max="15" width="16.140625" style="53" customWidth="1"/>
    <col min="16" max="16" width="15.42578125" style="53" customWidth="1"/>
    <col min="17" max="17" width="20.140625" style="117" customWidth="1"/>
    <col min="18" max="18" width="15.42578125" style="53" customWidth="1"/>
    <col min="19" max="19" width="17.42578125" style="53" customWidth="1"/>
    <col min="20" max="20" width="16.5703125" style="53" customWidth="1"/>
    <col min="21" max="21" width="17.140625" style="53" customWidth="1"/>
    <col min="22" max="22" width="16.5703125" style="53" customWidth="1"/>
    <col min="23" max="23" width="4" style="53" customWidth="1"/>
    <col min="24" max="24" width="19.42578125" style="53" customWidth="1"/>
    <col min="25" max="25" width="16.5703125" style="53" customWidth="1"/>
    <col min="26" max="26" width="26.85546875" style="53" customWidth="1"/>
    <col min="27" max="28" width="9.140625" style="53"/>
    <col min="29" max="29" width="18.85546875" style="53" customWidth="1"/>
    <col min="30" max="16384" width="9.140625" style="53"/>
  </cols>
  <sheetData>
    <row r="1" spans="1:29">
      <c r="H1" s="114"/>
      <c r="I1" s="587" t="s">
        <v>131</v>
      </c>
      <c r="J1" s="114"/>
      <c r="K1" s="116"/>
      <c r="L1" s="343"/>
      <c r="N1" s="114"/>
      <c r="O1" s="114"/>
    </row>
    <row r="2" spans="1:29">
      <c r="H2" s="114"/>
      <c r="I2" s="587" t="s">
        <v>1394</v>
      </c>
      <c r="J2" s="114"/>
      <c r="K2" s="114"/>
      <c r="L2" s="114"/>
      <c r="M2" s="114"/>
      <c r="N2" s="114"/>
      <c r="O2" s="114"/>
    </row>
    <row r="3" spans="1:29">
      <c r="D3" s="215" t="s">
        <v>241</v>
      </c>
      <c r="H3" s="114"/>
      <c r="I3" s="587"/>
      <c r="J3" s="114"/>
      <c r="K3" s="114"/>
      <c r="L3" s="114"/>
      <c r="M3" s="114"/>
      <c r="N3" s="114"/>
      <c r="O3" s="114"/>
    </row>
    <row r="4" spans="1:29">
      <c r="H4" s="813" t="s">
        <v>1192</v>
      </c>
      <c r="I4" s="587"/>
      <c r="J4" s="114"/>
      <c r="K4" s="114"/>
      <c r="L4" s="114"/>
      <c r="M4" s="114"/>
      <c r="N4" s="114"/>
      <c r="O4" s="114"/>
      <c r="S4" s="618" t="s">
        <v>1083</v>
      </c>
      <c r="T4" s="618"/>
    </row>
    <row r="5" spans="1:29">
      <c r="D5" s="480" t="s">
        <v>1127</v>
      </c>
      <c r="H5" s="114"/>
      <c r="I5" s="587"/>
      <c r="J5" s="114"/>
      <c r="K5" s="114"/>
      <c r="L5" s="114"/>
      <c r="M5" s="114"/>
      <c r="N5" s="114"/>
      <c r="O5" s="114"/>
    </row>
    <row r="6" spans="1:29">
      <c r="D6" s="480" t="s">
        <v>1128</v>
      </c>
      <c r="E6" s="480" t="s">
        <v>1393</v>
      </c>
      <c r="G6" s="480"/>
      <c r="H6" s="145" t="s">
        <v>1126</v>
      </c>
      <c r="I6" s="480"/>
      <c r="J6" s="145" t="s">
        <v>1126</v>
      </c>
      <c r="K6" s="145" t="s">
        <v>1126</v>
      </c>
      <c r="L6" s="145" t="s">
        <v>1126</v>
      </c>
      <c r="M6" s="114"/>
      <c r="N6" s="114"/>
      <c r="O6" s="114"/>
      <c r="R6" s="53" t="s">
        <v>1277</v>
      </c>
    </row>
    <row r="7" spans="1:29">
      <c r="D7" s="480" t="s">
        <v>1129</v>
      </c>
      <c r="H7" s="114"/>
      <c r="J7" s="587"/>
      <c r="K7" s="114"/>
      <c r="L7" s="114"/>
      <c r="M7" s="114"/>
      <c r="N7" s="114"/>
      <c r="O7" s="114"/>
      <c r="S7" s="1679" t="s">
        <v>1331</v>
      </c>
      <c r="T7" s="1679"/>
      <c r="U7" s="1679"/>
      <c r="V7" s="1679"/>
      <c r="X7" s="1649" t="s">
        <v>1084</v>
      </c>
      <c r="Y7" s="1650"/>
      <c r="Z7" s="1651"/>
    </row>
    <row r="8" spans="1:29" ht="48" customHeight="1">
      <c r="D8" s="480"/>
      <c r="F8" s="776" t="s">
        <v>1156</v>
      </c>
      <c r="G8" s="775" t="s">
        <v>1155</v>
      </c>
      <c r="H8" s="765" t="s">
        <v>1154</v>
      </c>
      <c r="J8" s="761"/>
      <c r="K8" s="114"/>
      <c r="L8" s="114"/>
      <c r="M8" s="114"/>
      <c r="N8" s="775" t="s">
        <v>1157</v>
      </c>
      <c r="O8" s="765" t="s">
        <v>1158</v>
      </c>
      <c r="S8" s="762"/>
      <c r="T8" s="762"/>
      <c r="U8" s="762"/>
      <c r="V8" s="762"/>
      <c r="X8" s="763"/>
      <c r="Y8" s="763"/>
      <c r="Z8" s="763"/>
    </row>
    <row r="9" spans="1:29" s="123" customFormat="1" ht="61.5" customHeight="1">
      <c r="A9" s="670" t="s">
        <v>1123</v>
      </c>
      <c r="B9" s="1664" t="s">
        <v>1134</v>
      </c>
      <c r="C9" s="1664"/>
      <c r="D9" s="118" t="s">
        <v>132</v>
      </c>
      <c r="E9" s="118" t="s">
        <v>133</v>
      </c>
      <c r="F9" s="118"/>
      <c r="G9" s="118" t="s">
        <v>264</v>
      </c>
      <c r="H9" s="119" t="s">
        <v>1</v>
      </c>
      <c r="I9" s="120" t="s">
        <v>81</v>
      </c>
      <c r="J9" s="119" t="s">
        <v>134</v>
      </c>
      <c r="K9" s="119" t="s">
        <v>82</v>
      </c>
      <c r="L9" s="121" t="s">
        <v>83</v>
      </c>
      <c r="M9" s="120" t="s">
        <v>84</v>
      </c>
      <c r="N9" s="121" t="s">
        <v>135</v>
      </c>
      <c r="O9" s="106" t="s">
        <v>136</v>
      </c>
      <c r="P9" s="118" t="s">
        <v>137</v>
      </c>
      <c r="Q9" s="122" t="s">
        <v>138</v>
      </c>
      <c r="R9" s="619" t="s">
        <v>1085</v>
      </c>
      <c r="S9" s="620" t="s">
        <v>1086</v>
      </c>
      <c r="T9" s="620" t="s">
        <v>1087</v>
      </c>
      <c r="U9" s="620" t="s">
        <v>1088</v>
      </c>
      <c r="V9" s="620" t="s">
        <v>1089</v>
      </c>
      <c r="W9" s="621"/>
      <c r="X9" s="587" t="s">
        <v>299</v>
      </c>
      <c r="Y9" s="158" t="s">
        <v>703</v>
      </c>
      <c r="Z9" s="587" t="s">
        <v>704</v>
      </c>
      <c r="AC9" s="121" t="s">
        <v>1075</v>
      </c>
    </row>
    <row r="10" spans="1:29" ht="15.75" customHeight="1">
      <c r="A10" s="480">
        <v>320</v>
      </c>
      <c r="B10" s="678">
        <v>5</v>
      </c>
      <c r="C10" s="68" t="s">
        <v>696</v>
      </c>
      <c r="D10" s="1000">
        <v>3541</v>
      </c>
      <c r="E10" s="124" t="str">
        <f t="shared" ref="E10:E46" si="0">$E$6</f>
        <v>FY 16</v>
      </c>
      <c r="F10" s="53" t="s">
        <v>140</v>
      </c>
      <c r="G10" s="356">
        <f>'ASU Sum'!$C$6</f>
        <v>7617.63</v>
      </c>
      <c r="H10" s="125">
        <f>'ASU Sum'!$G$11</f>
        <v>42521327</v>
      </c>
      <c r="I10" s="126">
        <f>'ASU Sum'!$G$14</f>
        <v>6792999</v>
      </c>
      <c r="J10" s="125">
        <f>'ASU Sum'!$F$20</f>
        <v>38091980</v>
      </c>
      <c r="K10" s="125">
        <f>'ASU Sum'!$F$23</f>
        <v>32115992</v>
      </c>
      <c r="L10" s="125">
        <f>'ASU Sum'!$F$32</f>
        <v>29301046</v>
      </c>
      <c r="M10" s="126">
        <f t="shared" ref="M10:M46" si="1">SUM(H10:L10)</f>
        <v>148823344</v>
      </c>
      <c r="N10" s="125">
        <f t="shared" ref="N10:N46" si="2">M10-I10</f>
        <v>142030345</v>
      </c>
      <c r="O10" s="126">
        <f>'ASU Sum'!$F$47</f>
        <v>107218929</v>
      </c>
      <c r="P10" s="127">
        <f t="shared" ref="P10:P46" si="3">N10-O10</f>
        <v>34811416</v>
      </c>
      <c r="Q10" s="128">
        <f t="shared" ref="Q10:Q47" si="4">P10/N10</f>
        <v>0.2450984400551868</v>
      </c>
      <c r="R10" s="622"/>
      <c r="S10" s="623"/>
      <c r="T10" s="623"/>
      <c r="U10" s="623"/>
      <c r="V10" s="624"/>
      <c r="X10" s="528" t="str">
        <f>'ASU FGD'!$O$92</f>
        <v>Janet Coleman</v>
      </c>
      <c r="Y10" s="528" t="str">
        <f>'ASU FGD'!$Q$92</f>
        <v>325-942-2014</v>
      </c>
      <c r="Z10" s="528" t="str">
        <f>'ASU FGD'!$T$92</f>
        <v>janet.coleman@angelo.edu</v>
      </c>
      <c r="AC10" s="125">
        <f>'ASU Sum'!$F$31</f>
        <v>4504378</v>
      </c>
    </row>
    <row r="11" spans="1:29">
      <c r="A11" s="480">
        <v>210</v>
      </c>
      <c r="B11" s="678">
        <v>3</v>
      </c>
      <c r="C11" s="68" t="s">
        <v>697</v>
      </c>
      <c r="D11" s="1000">
        <v>3565</v>
      </c>
      <c r="E11" s="124" t="str">
        <f t="shared" si="0"/>
        <v>FY 16</v>
      </c>
      <c r="F11" s="53" t="s">
        <v>142</v>
      </c>
      <c r="G11" s="356">
        <f>'TAMUC Sum'!$C$6</f>
        <v>9311.4500000000007</v>
      </c>
      <c r="H11" s="129">
        <f>'TAMUC Sum'!$G$11</f>
        <v>59088127</v>
      </c>
      <c r="I11" s="130">
        <f>'TAMUC Sum'!$G$14</f>
        <v>11123859</v>
      </c>
      <c r="J11" s="129">
        <f>'TAMUC Sum'!$F$20</f>
        <v>66300947</v>
      </c>
      <c r="K11" s="129">
        <f>'TAMUC Sum'!$F$23</f>
        <v>44440614</v>
      </c>
      <c r="L11" s="129">
        <f>'TAMUC Sum'!$F$32</f>
        <v>21968593</v>
      </c>
      <c r="M11" s="130">
        <f t="shared" si="1"/>
        <v>202922140</v>
      </c>
      <c r="N11" s="129">
        <f t="shared" si="2"/>
        <v>191798281</v>
      </c>
      <c r="O11" s="130">
        <f>'TAMUC Sum'!$F$47</f>
        <v>147779129</v>
      </c>
      <c r="P11" s="131">
        <f t="shared" si="3"/>
        <v>44019152</v>
      </c>
      <c r="Q11" s="128">
        <f t="shared" si="4"/>
        <v>0.22950754183245262</v>
      </c>
      <c r="R11" s="625"/>
      <c r="S11" s="626"/>
      <c r="T11" s="626"/>
      <c r="U11" s="626"/>
      <c r="V11" s="627"/>
      <c r="X11" s="528" t="str">
        <f>'TAMUC FGD'!$O$92</f>
        <v>Chris Arrington</v>
      </c>
      <c r="Y11" s="528" t="str">
        <f>'TAMUC FGD'!$Q$92</f>
        <v>979-458-9151</v>
      </c>
      <c r="Z11" s="528" t="str">
        <f>'TAMUC FGD'!$T$92</f>
        <v>carrington@tamus.edu</v>
      </c>
      <c r="AC11" s="129">
        <f>'TAMUC Sum'!$F$31</f>
        <v>4154383</v>
      </c>
    </row>
    <row r="12" spans="1:29">
      <c r="A12" s="480">
        <v>270</v>
      </c>
      <c r="B12" s="678">
        <v>4</v>
      </c>
      <c r="C12" s="68" t="s">
        <v>1132</v>
      </c>
      <c r="D12" s="1000">
        <v>3581</v>
      </c>
      <c r="E12" s="124" t="str">
        <f t="shared" si="0"/>
        <v>FY 16</v>
      </c>
      <c r="F12" s="53" t="s">
        <v>144</v>
      </c>
      <c r="G12" s="356">
        <f>'LU Sum'!$C$6</f>
        <v>13516.8</v>
      </c>
      <c r="H12" s="129">
        <f>'LU Sum'!$G$11</f>
        <v>65928426</v>
      </c>
      <c r="I12" s="130">
        <f>'LU Sum'!$G$14</f>
        <v>13141181</v>
      </c>
      <c r="J12" s="129">
        <f>'LU Sum'!$F$20</f>
        <v>105644394</v>
      </c>
      <c r="K12" s="129">
        <f>'LU Sum'!$F$23</f>
        <v>52209570</v>
      </c>
      <c r="L12" s="129">
        <f>'LU Sum'!$F$32</f>
        <v>10524840</v>
      </c>
      <c r="M12" s="130">
        <f t="shared" si="1"/>
        <v>247448411</v>
      </c>
      <c r="N12" s="129">
        <f t="shared" si="2"/>
        <v>234307230</v>
      </c>
      <c r="O12" s="130">
        <f>'LU Sum'!$F$47</f>
        <v>212455057</v>
      </c>
      <c r="P12" s="131">
        <f t="shared" si="3"/>
        <v>21852173</v>
      </c>
      <c r="Q12" s="128">
        <f t="shared" si="4"/>
        <v>9.3262905288923434E-2</v>
      </c>
      <c r="R12" s="625"/>
      <c r="S12" s="626"/>
      <c r="T12" s="626"/>
      <c r="U12" s="626"/>
      <c r="V12" s="627"/>
      <c r="X12" s="528" t="str">
        <f>'LU FGD'!$O$92</f>
        <v>Cynthia Brown</v>
      </c>
      <c r="Y12" s="528" t="str">
        <f>'LU FGD'!$Q$92</f>
        <v>409-880-7925</v>
      </c>
      <c r="Z12" s="528" t="str">
        <f>'LU FGD'!$T$92</f>
        <v>clbrown@lamar.edu</v>
      </c>
      <c r="AC12" s="129">
        <f>'LU Sum'!$F$31</f>
        <v>631331</v>
      </c>
    </row>
    <row r="13" spans="1:29">
      <c r="A13" s="480">
        <v>340</v>
      </c>
      <c r="B13" s="678">
        <v>5</v>
      </c>
      <c r="C13" s="68" t="s">
        <v>696</v>
      </c>
      <c r="D13" s="1000">
        <v>3592</v>
      </c>
      <c r="E13" s="124" t="str">
        <f t="shared" si="0"/>
        <v>FY 16</v>
      </c>
      <c r="F13" s="53" t="s">
        <v>146</v>
      </c>
      <c r="G13" s="356">
        <f>'MidWST Sum'!$C$6</f>
        <v>4322.33</v>
      </c>
      <c r="H13" s="129">
        <f>'MidWST Sum'!$G$11</f>
        <v>30715397</v>
      </c>
      <c r="I13" s="130">
        <f>'MidWST Sum'!$G$14</f>
        <v>4933200</v>
      </c>
      <c r="J13" s="129">
        <f>'MidWST Sum'!$F$20</f>
        <v>33535775</v>
      </c>
      <c r="K13" s="129">
        <f>'MidWST Sum'!$F$23</f>
        <v>23356845</v>
      </c>
      <c r="L13" s="129">
        <f>'MidWST Sum'!$F$32</f>
        <v>12012630</v>
      </c>
      <c r="M13" s="130">
        <f t="shared" si="1"/>
        <v>104553847</v>
      </c>
      <c r="N13" s="129">
        <f t="shared" si="2"/>
        <v>99620647</v>
      </c>
      <c r="O13" s="130">
        <f>'MidWST Sum'!$F$47</f>
        <v>102102209</v>
      </c>
      <c r="P13" s="131">
        <f t="shared" si="3"/>
        <v>-2481562</v>
      </c>
      <c r="Q13" s="128">
        <f t="shared" si="4"/>
        <v>-2.4910117277194554E-2</v>
      </c>
      <c r="R13" s="625"/>
      <c r="S13" s="626"/>
      <c r="T13" s="626"/>
      <c r="U13" s="626"/>
      <c r="V13" s="627"/>
      <c r="X13" s="528" t="str">
        <f>'MidWST FGD'!$O$92</f>
        <v>Chris Stovall</v>
      </c>
      <c r="Y13" s="528" t="str">
        <f>'MidWST FGD'!$Q$92</f>
        <v>(940) 397-4273</v>
      </c>
      <c r="Z13" s="528" t="str">
        <f>'MidWST FGD'!$T$92</f>
        <v>chris.stovall@msutexas.edu</v>
      </c>
      <c r="AC13" s="129">
        <f>'MidWST Sum'!$F$31</f>
        <v>1814399</v>
      </c>
    </row>
    <row r="14" spans="1:29">
      <c r="A14" s="480">
        <v>330</v>
      </c>
      <c r="B14" s="678">
        <v>2</v>
      </c>
      <c r="C14" s="68" t="s">
        <v>1133</v>
      </c>
      <c r="D14" s="1000">
        <v>3594</v>
      </c>
      <c r="E14" s="124" t="str">
        <f t="shared" si="0"/>
        <v>FY 16</v>
      </c>
      <c r="F14" s="53" t="s">
        <v>148</v>
      </c>
      <c r="G14" s="356">
        <f>'UNT Sum'!$C$6</f>
        <v>34726.76</v>
      </c>
      <c r="H14" s="129">
        <f>'UNT Sum'!$G$11</f>
        <v>166646513</v>
      </c>
      <c r="I14" s="130">
        <f>'UNT Sum'!$G$14</f>
        <v>37346563</v>
      </c>
      <c r="J14" s="129">
        <f>'UNT Sum'!$F$20</f>
        <v>346350615</v>
      </c>
      <c r="K14" s="129">
        <f>'UNT Sum'!$F$23</f>
        <v>165506817</v>
      </c>
      <c r="L14" s="129">
        <f>'UNT Sum'!$F$32</f>
        <v>52940722</v>
      </c>
      <c r="M14" s="130">
        <f t="shared" si="1"/>
        <v>768791230</v>
      </c>
      <c r="N14" s="129">
        <f t="shared" si="2"/>
        <v>731444667</v>
      </c>
      <c r="O14" s="130">
        <f>'UNT Sum'!$F$47</f>
        <v>652412876</v>
      </c>
      <c r="P14" s="131">
        <f t="shared" si="3"/>
        <v>79031791</v>
      </c>
      <c r="Q14" s="128">
        <f t="shared" si="4"/>
        <v>0.10804889907003724</v>
      </c>
      <c r="R14" s="625"/>
      <c r="S14" s="626"/>
      <c r="T14" s="626"/>
      <c r="U14" s="626"/>
      <c r="V14" s="627"/>
      <c r="X14" s="528" t="str">
        <f>'UNT FGD'!$O$92</f>
        <v>Leydi Carter</v>
      </c>
      <c r="Y14" s="528" t="str">
        <f>'UNT FGD'!$Q$92</f>
        <v>(940) 369-5089</v>
      </c>
      <c r="Z14" s="528" t="str">
        <f>'UNT FGD'!$T$92</f>
        <v>Leydi.Carter@untsystem.edu</v>
      </c>
      <c r="AC14" s="129">
        <f>'UNT Sum'!$F$31</f>
        <v>1641340</v>
      </c>
    </row>
    <row r="15" spans="1:29">
      <c r="A15" s="480">
        <v>80</v>
      </c>
      <c r="B15" s="678">
        <v>4</v>
      </c>
      <c r="C15" s="68" t="s">
        <v>1132</v>
      </c>
      <c r="D15" s="1000">
        <v>3599</v>
      </c>
      <c r="E15" s="124" t="str">
        <f t="shared" si="0"/>
        <v>FY 16</v>
      </c>
      <c r="F15" s="53" t="s">
        <v>150</v>
      </c>
      <c r="G15" s="356">
        <f>'AUS Sum'!$C$6</f>
        <v>47730.87</v>
      </c>
      <c r="H15" s="129">
        <f>'AUS Sum'!$G$11</f>
        <v>402530492</v>
      </c>
      <c r="I15" s="130">
        <f>'AUS Sum'!$G$14</f>
        <v>417387000</v>
      </c>
      <c r="J15" s="129">
        <f>'AUS Sum'!$F$20</f>
        <v>491295670</v>
      </c>
      <c r="K15" s="129">
        <f>'AUS Sum'!$F$23</f>
        <v>608859387</v>
      </c>
      <c r="L15" s="129">
        <f>'AUS Sum'!$F$38</f>
        <v>1294671225</v>
      </c>
      <c r="M15" s="130">
        <f t="shared" si="1"/>
        <v>3214743774</v>
      </c>
      <c r="N15" s="129">
        <f t="shared" si="2"/>
        <v>2797356774</v>
      </c>
      <c r="O15" s="130">
        <f>'AUS Sum'!$F$54</f>
        <v>2336845961</v>
      </c>
      <c r="P15" s="131">
        <f t="shared" si="3"/>
        <v>460510813</v>
      </c>
      <c r="Q15" s="128">
        <f t="shared" si="4"/>
        <v>0.16462355366330544</v>
      </c>
      <c r="R15" s="625"/>
      <c r="S15" s="626"/>
      <c r="T15" s="626"/>
      <c r="U15" s="626"/>
      <c r="V15" s="627"/>
      <c r="X15" s="528" t="str">
        <f>'AUS FGD'!$O$99</f>
        <v>Marcy Lowther</v>
      </c>
      <c r="Y15" s="528" t="str">
        <f>'AUS FGD'!$Q$99</f>
        <v>512-471-2808</v>
      </c>
      <c r="Z15" s="528" t="str">
        <f>'AUS FGD'!$T$99</f>
        <v>mlowther@austin.utexas.edu</v>
      </c>
      <c r="AC15" s="129">
        <f>'AUS Sum'!$F$37</f>
        <v>14938327</v>
      </c>
    </row>
    <row r="16" spans="1:29">
      <c r="A16" s="480">
        <v>280</v>
      </c>
      <c r="B16" s="678">
        <v>3</v>
      </c>
      <c r="C16" s="68" t="s">
        <v>697</v>
      </c>
      <c r="D16" s="1000">
        <v>3606</v>
      </c>
      <c r="E16" s="124" t="str">
        <f t="shared" si="0"/>
        <v>FY 16</v>
      </c>
      <c r="F16" s="53" t="s">
        <v>152</v>
      </c>
      <c r="G16" s="356">
        <f>'shsu1 Sum'!$C$6</f>
        <v>17594.09</v>
      </c>
      <c r="H16" s="129">
        <f>'shsu1 Sum'!$G$11</f>
        <v>89104525</v>
      </c>
      <c r="I16" s="130">
        <f>'shsu1 Sum'!$G$14</f>
        <v>18236811</v>
      </c>
      <c r="J16" s="129">
        <f>'shsu1 Sum'!$F$20</f>
        <v>166246272</v>
      </c>
      <c r="K16" s="129">
        <f>'shsu1 Sum'!$F$23</f>
        <v>75908436</v>
      </c>
      <c r="L16" s="129">
        <f>'shsu1 Sum'!$F$32</f>
        <v>38239276</v>
      </c>
      <c r="M16" s="130">
        <f t="shared" si="1"/>
        <v>387735320</v>
      </c>
      <c r="N16" s="129">
        <f t="shared" si="2"/>
        <v>369498509</v>
      </c>
      <c r="O16" s="130">
        <f>'shsu1 Sum'!$F$47</f>
        <v>290520867</v>
      </c>
      <c r="P16" s="131">
        <f t="shared" si="3"/>
        <v>78977642</v>
      </c>
      <c r="Q16" s="128">
        <f t="shared" si="4"/>
        <v>0.21374278941948316</v>
      </c>
      <c r="R16" s="625"/>
      <c r="S16" s="626"/>
      <c r="T16" s="626"/>
      <c r="U16" s="626"/>
      <c r="V16" s="627"/>
      <c r="X16" s="528" t="str">
        <f>'shsu1 FGD'!$O$92</f>
        <v>Amanda Withers</v>
      </c>
      <c r="Y16" s="528" t="str">
        <f>'shsu1 FGD'!$Q$92</f>
        <v>936-294-2289</v>
      </c>
      <c r="Z16" s="528" t="str">
        <f>'shsu1 FGD'!$T$92</f>
        <v>withers@shsu.edu</v>
      </c>
      <c r="AC16" s="129">
        <f>'shsu1 Sum'!$F$31</f>
        <v>4486932</v>
      </c>
    </row>
    <row r="17" spans="1:29">
      <c r="A17" s="480">
        <v>290</v>
      </c>
      <c r="B17" s="678">
        <v>2</v>
      </c>
      <c r="C17" s="68" t="s">
        <v>1133</v>
      </c>
      <c r="D17" s="1000">
        <v>3615</v>
      </c>
      <c r="E17" s="124" t="str">
        <f t="shared" si="0"/>
        <v>FY 16</v>
      </c>
      <c r="F17" s="53" t="s">
        <v>154</v>
      </c>
      <c r="G17" s="356">
        <f>'TXST Sum'!$C$6</f>
        <v>31295.23</v>
      </c>
      <c r="H17" s="129">
        <f>'TXST Sum'!$G$11</f>
        <v>169236332</v>
      </c>
      <c r="I17" s="130">
        <f>'TXST Sum'!$G$14</f>
        <v>37606478</v>
      </c>
      <c r="J17" s="129">
        <f>'TXST Sum'!$F$20</f>
        <v>242535976</v>
      </c>
      <c r="K17" s="129">
        <f>'TXST Sum'!$F$23</f>
        <v>142660412</v>
      </c>
      <c r="L17" s="129">
        <f>'TXST Sum'!$F$32</f>
        <v>47790018</v>
      </c>
      <c r="M17" s="130">
        <f t="shared" si="1"/>
        <v>639829216</v>
      </c>
      <c r="N17" s="129">
        <f t="shared" si="2"/>
        <v>602222738</v>
      </c>
      <c r="O17" s="130">
        <f>'TXST Sum'!$F$47</f>
        <v>505102367</v>
      </c>
      <c r="P17" s="131">
        <f t="shared" si="3"/>
        <v>97120371</v>
      </c>
      <c r="Q17" s="128">
        <f t="shared" si="4"/>
        <v>0.16126985062460394</v>
      </c>
      <c r="R17" s="625"/>
      <c r="S17" s="626"/>
      <c r="T17" s="626"/>
      <c r="U17" s="626"/>
      <c r="V17" s="627"/>
      <c r="X17" s="528" t="str">
        <f>'TXST FGD'!$O$92</f>
        <v>Cindy Haley</v>
      </c>
      <c r="Y17" s="528" t="str">
        <f>'TXST FGD'!$Q$92</f>
        <v>512-245-2087</v>
      </c>
      <c r="Z17" s="528" t="str">
        <f>'TXST FGD'!$T$92</f>
        <v>cindy.haley@txstate.edu</v>
      </c>
      <c r="AC17" s="129">
        <f>'TXST Sum'!$F$31</f>
        <v>2794487</v>
      </c>
    </row>
    <row r="18" spans="1:29">
      <c r="A18" s="480">
        <v>350</v>
      </c>
      <c r="B18" s="678">
        <v>4</v>
      </c>
      <c r="C18" s="68" t="s">
        <v>1132</v>
      </c>
      <c r="D18" s="1000">
        <v>3624</v>
      </c>
      <c r="E18" s="124" t="str">
        <f t="shared" si="0"/>
        <v>FY 16</v>
      </c>
      <c r="F18" s="53" t="s">
        <v>156</v>
      </c>
      <c r="G18" s="356">
        <f>'SFA Sum'!$C$6</f>
        <v>10368.98</v>
      </c>
      <c r="H18" s="129">
        <f>'SFA Sum'!$G$11</f>
        <v>58896073</v>
      </c>
      <c r="I18" s="130">
        <f>'SFA Sum'!$G$14</f>
        <v>11277793</v>
      </c>
      <c r="J18" s="129">
        <f>'SFA Sum'!$F$20</f>
        <v>76274030</v>
      </c>
      <c r="K18" s="129">
        <f>'SFA Sum'!$F$23</f>
        <v>74490644</v>
      </c>
      <c r="L18" s="129">
        <f>'SFA Sum'!$F$32</f>
        <v>23367611</v>
      </c>
      <c r="M18" s="130">
        <f t="shared" si="1"/>
        <v>244306151</v>
      </c>
      <c r="N18" s="129">
        <f t="shared" si="2"/>
        <v>233028358</v>
      </c>
      <c r="O18" s="130">
        <f>'SFA Sum'!$F$47</f>
        <v>210099364</v>
      </c>
      <c r="P18" s="131">
        <f t="shared" si="3"/>
        <v>22928994</v>
      </c>
      <c r="Q18" s="128">
        <f t="shared" si="4"/>
        <v>9.8395724008835006E-2</v>
      </c>
      <c r="R18" s="625"/>
      <c r="S18" s="626"/>
      <c r="T18" s="626"/>
      <c r="U18" s="626"/>
      <c r="V18" s="627"/>
      <c r="X18" s="528" t="str">
        <f>'SFA FGD'!$O$92</f>
        <v>Dannette Sales</v>
      </c>
      <c r="Y18" s="528" t="str">
        <f>'SFA FGD'!$Q$92</f>
        <v>(936) 468-2354</v>
      </c>
      <c r="Z18" s="528" t="str">
        <f>'SFA FGD'!$T$92</f>
        <v>salesdl@sfasu.edu</v>
      </c>
      <c r="AC18" s="129">
        <f>'SFA Sum'!$F$31</f>
        <v>1379042</v>
      </c>
    </row>
    <row r="19" spans="1:29">
      <c r="A19" s="480">
        <v>300</v>
      </c>
      <c r="B19" s="678">
        <v>5</v>
      </c>
      <c r="C19" s="68" t="s">
        <v>696</v>
      </c>
      <c r="D19" s="1000">
        <v>3625</v>
      </c>
      <c r="E19" s="124" t="str">
        <f t="shared" si="0"/>
        <v>FY 16</v>
      </c>
      <c r="F19" s="53" t="s">
        <v>158</v>
      </c>
      <c r="G19" s="356">
        <f>'SRSU Sum'!$C$6</f>
        <v>1712.5099999999998</v>
      </c>
      <c r="H19" s="129">
        <f>'SRSU Sum'!$G$11</f>
        <v>21061496</v>
      </c>
      <c r="I19" s="130">
        <f>'SRSU Sum'!$G$14</f>
        <v>2624613</v>
      </c>
      <c r="J19" s="129">
        <f>'SRSU Sum'!$F$20</f>
        <v>9678587</v>
      </c>
      <c r="K19" s="129">
        <f>'SRSU Sum'!$F$23</f>
        <v>13524396</v>
      </c>
      <c r="L19" s="129">
        <f>'SRSU Sum'!$F$32</f>
        <v>10559203</v>
      </c>
      <c r="M19" s="130">
        <f t="shared" si="1"/>
        <v>57448295</v>
      </c>
      <c r="N19" s="129">
        <f t="shared" si="2"/>
        <v>54823682</v>
      </c>
      <c r="O19" s="130">
        <f>'SRSU Sum'!$F$47</f>
        <v>44838893</v>
      </c>
      <c r="P19" s="131">
        <f t="shared" si="3"/>
        <v>9984789</v>
      </c>
      <c r="Q19" s="128">
        <f t="shared" si="4"/>
        <v>0.18212547271086243</v>
      </c>
      <c r="R19" s="625"/>
      <c r="S19" s="626"/>
      <c r="T19" s="626"/>
      <c r="U19" s="626"/>
      <c r="V19" s="627"/>
      <c r="X19" s="528" t="str">
        <f>'SRSU FGD'!$O$92</f>
        <v>Bonnie Albright</v>
      </c>
      <c r="Y19" s="528" t="str">
        <f>'SRSU FGD'!$Q$92</f>
        <v>432-837-8078</v>
      </c>
      <c r="Z19" s="528" t="str">
        <f>'SRSU FGD'!$T$92</f>
        <v>bonnie.albright@sulross.edu</v>
      </c>
      <c r="AC19" s="129">
        <f>'SRSU Sum'!$F$31</f>
        <v>657794</v>
      </c>
    </row>
    <row r="20" spans="1:29">
      <c r="A20" s="480">
        <v>150</v>
      </c>
      <c r="B20" s="678">
        <v>4</v>
      </c>
      <c r="C20" s="68" t="s">
        <v>1132</v>
      </c>
      <c r="D20" s="1000">
        <v>3630</v>
      </c>
      <c r="E20" s="124" t="str">
        <f t="shared" si="0"/>
        <v>FY 16</v>
      </c>
      <c r="F20" s="53" t="s">
        <v>160</v>
      </c>
      <c r="G20" s="356">
        <f>'PVAMU Sum'!$C$6</f>
        <v>8069.33</v>
      </c>
      <c r="H20" s="129">
        <f>'PVAMU Sum'!$G$11</f>
        <v>68769239</v>
      </c>
      <c r="I20" s="130">
        <f>'PVAMU Sum'!$G$14</f>
        <v>26604505</v>
      </c>
      <c r="J20" s="129">
        <f>'PVAMU Sum'!$F$20</f>
        <v>53291516</v>
      </c>
      <c r="K20" s="129">
        <f>'PVAMU Sum'!$F$23</f>
        <v>104828664</v>
      </c>
      <c r="L20" s="129">
        <f>'PVAMU Sum'!$F$32</f>
        <v>45876159</v>
      </c>
      <c r="M20" s="130">
        <f t="shared" si="1"/>
        <v>299370083</v>
      </c>
      <c r="N20" s="129">
        <f t="shared" si="2"/>
        <v>272765578</v>
      </c>
      <c r="O20" s="130">
        <f>'PVAMU Sum'!$F$47</f>
        <v>232578381</v>
      </c>
      <c r="P20" s="131">
        <f t="shared" si="3"/>
        <v>40187197</v>
      </c>
      <c r="Q20" s="128">
        <f t="shared" si="4"/>
        <v>0.14733236244347517</v>
      </c>
      <c r="R20" s="625"/>
      <c r="S20" s="626"/>
      <c r="T20" s="626"/>
      <c r="U20" s="626"/>
      <c r="V20" s="627"/>
      <c r="X20" s="528" t="str">
        <f>'PVAMU FGD'!$O$92</f>
        <v>Chris Arrington</v>
      </c>
      <c r="Y20" s="528" t="str">
        <f>'PVAMU FGD'!$Q$92</f>
        <v>979-458-9151</v>
      </c>
      <c r="Z20" s="528" t="str">
        <f>'PVAMU FGD'!$T$92</f>
        <v>carrington@tamus.edu</v>
      </c>
      <c r="AC20" s="129">
        <f>'PVAMU Sum'!$F$31</f>
        <v>2379868</v>
      </c>
    </row>
    <row r="21" spans="1:29">
      <c r="A21" s="480">
        <v>160</v>
      </c>
      <c r="B21" s="678">
        <v>4</v>
      </c>
      <c r="C21" s="68" t="s">
        <v>1132</v>
      </c>
      <c r="D21" s="1000">
        <v>3631</v>
      </c>
      <c r="E21" s="124" t="str">
        <f t="shared" si="0"/>
        <v>FY 16</v>
      </c>
      <c r="F21" s="53" t="s">
        <v>162</v>
      </c>
      <c r="G21" s="356">
        <f>'TARLST Sum'!$C$6</f>
        <v>11555.57</v>
      </c>
      <c r="H21" s="129">
        <f>'TARLST Sum'!$G$11</f>
        <v>62943792</v>
      </c>
      <c r="I21" s="130">
        <f>'TARLST Sum'!$G$14</f>
        <v>0</v>
      </c>
      <c r="J21" s="129">
        <f>'TARLST Sum'!$F$20</f>
        <v>83273755</v>
      </c>
      <c r="K21" s="129">
        <f>'TARLST Sum'!$F$23</f>
        <v>57260009</v>
      </c>
      <c r="L21" s="129">
        <f>'TARLST Sum'!$F$32</f>
        <v>24545541</v>
      </c>
      <c r="M21" s="130">
        <f t="shared" si="1"/>
        <v>228023097</v>
      </c>
      <c r="N21" s="129">
        <f t="shared" si="2"/>
        <v>228023097</v>
      </c>
      <c r="O21" s="130">
        <f>'TARLST Sum'!$F$47</f>
        <v>169958553</v>
      </c>
      <c r="P21" s="131">
        <f t="shared" si="3"/>
        <v>58064544</v>
      </c>
      <c r="Q21" s="128">
        <f t="shared" si="4"/>
        <v>0.2546432565995716</v>
      </c>
      <c r="R21" s="625"/>
      <c r="S21" s="626"/>
      <c r="T21" s="626"/>
      <c r="U21" s="626"/>
      <c r="V21" s="627"/>
      <c r="X21" s="528" t="str">
        <f>'TARLST FGD'!$O$92</f>
        <v>Chris Arrington</v>
      </c>
      <c r="Y21" s="528" t="str">
        <f>'TARLST FGD'!$Q$92</f>
        <v>254-968-1643</v>
      </c>
      <c r="Z21" s="528" t="str">
        <f>'TARLST FGD'!$T$92</f>
        <v>fincher@tarleton.edu</v>
      </c>
      <c r="AC21" s="129">
        <f>'TARLST Sum'!$F$31</f>
        <v>1706538</v>
      </c>
    </row>
    <row r="22" spans="1:29">
      <c r="A22" s="480">
        <v>130</v>
      </c>
      <c r="B22" s="678">
        <v>1</v>
      </c>
      <c r="C22" s="68" t="s">
        <v>15</v>
      </c>
      <c r="D22" s="1000">
        <v>3632</v>
      </c>
      <c r="E22" s="124" t="str">
        <f t="shared" si="0"/>
        <v>FY 16</v>
      </c>
      <c r="F22" s="53" t="s">
        <v>164</v>
      </c>
      <c r="G22" s="356">
        <f>'TAMU Sum'!$C$6</f>
        <v>58149.98</v>
      </c>
      <c r="H22" s="129">
        <f>'TAMU Sum'!$G$11</f>
        <v>449121506</v>
      </c>
      <c r="I22" s="130">
        <f>'TAMU Sum'!$G$14</f>
        <v>201614294</v>
      </c>
      <c r="J22" s="129">
        <f>'TAMU Sum'!$F$20</f>
        <v>647717317</v>
      </c>
      <c r="K22" s="129">
        <f>'TAMU Sum'!$F$23</f>
        <v>272642791</v>
      </c>
      <c r="L22" s="129">
        <f>'TAMU Sum'!$F$32</f>
        <v>502902844</v>
      </c>
      <c r="M22" s="130">
        <f t="shared" si="1"/>
        <v>2073998752</v>
      </c>
      <c r="N22" s="129">
        <f t="shared" si="2"/>
        <v>1872384458</v>
      </c>
      <c r="O22" s="130">
        <f>'TAMU Sum'!$F$47</f>
        <v>1659298353</v>
      </c>
      <c r="P22" s="131">
        <f t="shared" si="3"/>
        <v>213086105</v>
      </c>
      <c r="Q22" s="128">
        <f t="shared" si="4"/>
        <v>0.11380467515074834</v>
      </c>
      <c r="R22" s="628"/>
      <c r="S22" s="629"/>
      <c r="T22" s="629"/>
      <c r="U22" s="629"/>
      <c r="V22" s="630"/>
      <c r="X22" s="528" t="str">
        <f>'TAMU FGD'!$O$92</f>
        <v>Chris Arrington</v>
      </c>
      <c r="Y22" s="528" t="str">
        <f>'TAMU FGD'!$Q$92</f>
        <v>979-458-9151</v>
      </c>
      <c r="Z22" s="528" t="str">
        <f>'TAMU FGD'!$T$92</f>
        <v>carrington@tamus.edu</v>
      </c>
      <c r="AC22" s="129">
        <f>'TAMU Sum'!$F$31</f>
        <v>53933530</v>
      </c>
    </row>
    <row r="23" spans="1:29">
      <c r="A23" s="480">
        <v>180</v>
      </c>
      <c r="B23" s="678">
        <v>3</v>
      </c>
      <c r="C23" s="68" t="s">
        <v>697</v>
      </c>
      <c r="D23" s="1000">
        <v>3639</v>
      </c>
      <c r="E23" s="124" t="str">
        <f t="shared" si="0"/>
        <v>FY 16</v>
      </c>
      <c r="F23" s="53" t="s">
        <v>166</v>
      </c>
      <c r="G23" s="356">
        <f>'TAMUK Sum'!$C$6</f>
        <v>5616.08</v>
      </c>
      <c r="H23" s="129">
        <f>'TAMUK Sum'!$G$11</f>
        <v>53624257</v>
      </c>
      <c r="I23" s="130">
        <f>'TAMUK Sum'!$G$14</f>
        <v>8858060</v>
      </c>
      <c r="J23" s="129">
        <f>'TAMUK Sum'!$F$20</f>
        <v>34165807</v>
      </c>
      <c r="K23" s="129">
        <f>'TAMUK Sum'!$F$23</f>
        <v>47273104</v>
      </c>
      <c r="L23" s="129">
        <f>'TAMUK Sum'!$F$32</f>
        <v>21535946</v>
      </c>
      <c r="M23" s="130">
        <f t="shared" si="1"/>
        <v>165457174</v>
      </c>
      <c r="N23" s="129">
        <f t="shared" si="2"/>
        <v>156599114</v>
      </c>
      <c r="O23" s="130">
        <f>'TAMUK Sum'!$F$47</f>
        <v>131686216</v>
      </c>
      <c r="P23" s="131">
        <f t="shared" si="3"/>
        <v>24912898</v>
      </c>
      <c r="Q23" s="128">
        <f t="shared" si="4"/>
        <v>0.15908709419645886</v>
      </c>
      <c r="R23" s="625"/>
      <c r="S23" s="626"/>
      <c r="T23" s="626"/>
      <c r="U23" s="626"/>
      <c r="V23" s="627"/>
      <c r="X23" s="528" t="str">
        <f>'TAMUK FGD'!$O$92</f>
        <v>Chris Arrington</v>
      </c>
      <c r="Y23" s="528" t="str">
        <f>'TAMUK FGD'!$Q$92</f>
        <v>979-458-9151</v>
      </c>
      <c r="Z23" s="528" t="str">
        <f>'TAMUK FGD'!$T$92</f>
        <v>carrington@tamus.edu</v>
      </c>
      <c r="AC23" s="129">
        <f>'TAMUK Sum'!$F$31</f>
        <v>3513091</v>
      </c>
    </row>
    <row r="24" spans="1:29">
      <c r="A24" s="480">
        <v>360</v>
      </c>
      <c r="B24" s="678">
        <v>3</v>
      </c>
      <c r="C24" s="68" t="s">
        <v>697</v>
      </c>
      <c r="D24" s="1000">
        <v>3642</v>
      </c>
      <c r="E24" s="124" t="str">
        <f t="shared" si="0"/>
        <v>FY 16</v>
      </c>
      <c r="F24" s="53" t="s">
        <v>168</v>
      </c>
      <c r="G24" s="356">
        <f>'TSU Sum'!$C$6</f>
        <v>6445.64</v>
      </c>
      <c r="H24" s="129">
        <f>'TSU Sum'!$G$11</f>
        <v>67848348</v>
      </c>
      <c r="I24" s="130">
        <f>'TSU Sum'!$G$14</f>
        <v>11719335</v>
      </c>
      <c r="J24" s="129">
        <f>'TSU Sum'!$F$20</f>
        <v>48520382</v>
      </c>
      <c r="K24" s="129">
        <f>'TSU Sum'!$F$23</f>
        <v>89345091</v>
      </c>
      <c r="L24" s="129">
        <f>'TSU Sum'!$F$32</f>
        <v>24711981</v>
      </c>
      <c r="M24" s="130">
        <f t="shared" si="1"/>
        <v>242145137</v>
      </c>
      <c r="N24" s="129">
        <f t="shared" si="2"/>
        <v>230425802</v>
      </c>
      <c r="O24" s="130">
        <f>'TSU Sum'!$F$47</f>
        <v>210975330</v>
      </c>
      <c r="P24" s="131">
        <f t="shared" si="3"/>
        <v>19450472</v>
      </c>
      <c r="Q24" s="128">
        <f t="shared" si="4"/>
        <v>8.4410998382898103E-2</v>
      </c>
      <c r="R24" s="625"/>
      <c r="S24" s="626"/>
      <c r="T24" s="626"/>
      <c r="U24" s="626"/>
      <c r="V24" s="627"/>
      <c r="X24" s="528" t="str">
        <f>'TSU FGD'!$O$92</f>
        <v>Bobbie Phelps</v>
      </c>
      <c r="Y24" s="528" t="str">
        <f>'TSU FGD'!$Q$92</f>
        <v>713-313-6890</v>
      </c>
      <c r="Z24" s="528" t="str">
        <f>'TSU FGD'!$T$92</f>
        <v>bobbie.phelps@tsu.edu</v>
      </c>
      <c r="AC24" s="129">
        <f>'TSU Sum'!$F$31</f>
        <v>18537721</v>
      </c>
    </row>
    <row r="25" spans="1:29">
      <c r="A25" s="480">
        <v>310</v>
      </c>
      <c r="B25" s="678">
        <v>2</v>
      </c>
      <c r="C25" s="68" t="s">
        <v>1133</v>
      </c>
      <c r="D25" s="1000">
        <v>3644</v>
      </c>
      <c r="E25" s="124" t="str">
        <f t="shared" si="0"/>
        <v>FY 16</v>
      </c>
      <c r="F25" s="53" t="s">
        <v>170</v>
      </c>
      <c r="G25" s="356">
        <f>'TTU Sum'!$C$6</f>
        <v>36035.31</v>
      </c>
      <c r="H25" s="129">
        <f>'TTU Sum'!$G$11</f>
        <v>213747640</v>
      </c>
      <c r="I25" s="130">
        <f>'TTU Sum'!$G$14</f>
        <v>49874746</v>
      </c>
      <c r="J25" s="129">
        <f>'TTU Sum'!$F$20</f>
        <v>352858285</v>
      </c>
      <c r="K25" s="129">
        <f>'TTU Sum'!$F$23</f>
        <v>126847258</v>
      </c>
      <c r="L25" s="129">
        <f>'TTU Sum'!$F$32</f>
        <v>144537946</v>
      </c>
      <c r="M25" s="130">
        <f t="shared" si="1"/>
        <v>887865875</v>
      </c>
      <c r="N25" s="129">
        <f t="shared" si="2"/>
        <v>837991129</v>
      </c>
      <c r="O25" s="130">
        <f>'TTU Sum'!$F$47</f>
        <v>699948011</v>
      </c>
      <c r="P25" s="131">
        <f t="shared" si="3"/>
        <v>138043118</v>
      </c>
      <c r="Q25" s="128">
        <f t="shared" si="4"/>
        <v>0.16473100158557885</v>
      </c>
      <c r="R25" s="625"/>
      <c r="S25" s="626"/>
      <c r="T25" s="626"/>
      <c r="U25" s="626"/>
      <c r="V25" s="627"/>
      <c r="X25" s="528" t="str">
        <f>'TTU FGD'!$O$92</f>
        <v>Lori Eppler</v>
      </c>
      <c r="Y25" s="528" t="str">
        <f>'TTU FGD'!$Q$92</f>
        <v>806-834-4640</v>
      </c>
      <c r="Z25" s="528" t="str">
        <f>'TTU FGD'!$T$92</f>
        <v>lori.eppler@ttu.edu</v>
      </c>
      <c r="AC25" s="129">
        <f>'TTU Sum'!$F$31</f>
        <v>3619409</v>
      </c>
    </row>
    <row r="26" spans="1:29">
      <c r="A26" s="480">
        <v>370</v>
      </c>
      <c r="B26" s="678">
        <v>3</v>
      </c>
      <c r="C26" s="68" t="s">
        <v>697</v>
      </c>
      <c r="D26" s="1001">
        <v>3646</v>
      </c>
      <c r="E26" s="124" t="str">
        <f t="shared" si="0"/>
        <v>FY 16</v>
      </c>
      <c r="F26" s="53" t="s">
        <v>172</v>
      </c>
      <c r="G26" s="356">
        <f>'TWU Sum'!$C$6</f>
        <v>13026.58</v>
      </c>
      <c r="H26" s="129">
        <f>'TWU Sum'!$G$11</f>
        <v>81290161</v>
      </c>
      <c r="I26" s="130">
        <f>'TWU Sum'!$G$14</f>
        <v>14554133</v>
      </c>
      <c r="J26" s="129">
        <f>'TWU Sum'!$F$20</f>
        <v>89161334</v>
      </c>
      <c r="K26" s="129">
        <f>'TWU Sum'!$F$23</f>
        <v>42101935</v>
      </c>
      <c r="L26" s="129">
        <f>'TWU Sum'!$F$32</f>
        <v>17745550</v>
      </c>
      <c r="M26" s="130">
        <f t="shared" si="1"/>
        <v>244853113</v>
      </c>
      <c r="N26" s="129">
        <f t="shared" si="2"/>
        <v>230298980</v>
      </c>
      <c r="O26" s="130">
        <f>'TWU Sum'!$F$47</f>
        <v>192023159</v>
      </c>
      <c r="P26" s="131">
        <f t="shared" si="3"/>
        <v>38275821</v>
      </c>
      <c r="Q26" s="128">
        <f t="shared" si="4"/>
        <v>0.16620056675891487</v>
      </c>
      <c r="R26" s="625"/>
      <c r="S26" s="626"/>
      <c r="T26" s="626"/>
      <c r="U26" s="626"/>
      <c r="V26" s="627"/>
      <c r="X26" s="528" t="str">
        <f>'TWU FGD'!$O$92</f>
        <v>June Orth</v>
      </c>
      <c r="Y26" s="528" t="str">
        <f>'TWU FGD'!$Q$92</f>
        <v>940-898-3522</v>
      </c>
      <c r="Z26" s="528" t="str">
        <f>'TWU FGD'!$T$92</f>
        <v>borth@twu.edu</v>
      </c>
      <c r="AC26" s="129">
        <f>'TWU Sum'!$F$31</f>
        <v>2966824</v>
      </c>
    </row>
    <row r="27" spans="1:29">
      <c r="A27" s="480">
        <v>230</v>
      </c>
      <c r="B27" s="678">
        <v>2</v>
      </c>
      <c r="C27" s="68" t="s">
        <v>1133</v>
      </c>
      <c r="D27" s="1000">
        <v>3652</v>
      </c>
      <c r="E27" s="124" t="str">
        <f t="shared" si="0"/>
        <v>FY 16</v>
      </c>
      <c r="F27" s="53" t="s">
        <v>174</v>
      </c>
      <c r="G27" s="356">
        <f>'UH1 Sum'!$C$6</f>
        <v>40310.42</v>
      </c>
      <c r="H27" s="129">
        <f>'UH1 Sum'!$G$11</f>
        <v>249063522</v>
      </c>
      <c r="I27" s="130">
        <f>'UH1 Sum'!$G$14</f>
        <v>54514004</v>
      </c>
      <c r="J27" s="129">
        <f>'UH1 Sum'!$F$20</f>
        <v>379222889</v>
      </c>
      <c r="K27" s="129">
        <f>'UH1 Sum'!$F$23</f>
        <v>263368751</v>
      </c>
      <c r="L27" s="129">
        <f>'UH1 Sum'!$F$32</f>
        <v>342523259</v>
      </c>
      <c r="M27" s="130">
        <f t="shared" si="1"/>
        <v>1288692425</v>
      </c>
      <c r="N27" s="129">
        <f t="shared" si="2"/>
        <v>1234178421</v>
      </c>
      <c r="O27" s="130">
        <f>'UH1 Sum'!$F$47</f>
        <v>1021938080</v>
      </c>
      <c r="P27" s="131">
        <f t="shared" si="3"/>
        <v>212240341</v>
      </c>
      <c r="Q27" s="128">
        <f t="shared" si="4"/>
        <v>0.1719689287939673</v>
      </c>
      <c r="R27" s="625"/>
      <c r="S27" s="626"/>
      <c r="T27" s="626"/>
      <c r="U27" s="626"/>
      <c r="V27" s="627"/>
      <c r="X27" s="528" t="str">
        <f>'UH1 FGD'!$O$92</f>
        <v>CHARLOTTE HOTZ</v>
      </c>
      <c r="Y27" s="528" t="str">
        <f>'UH1 FGD'!$Q$92</f>
        <v>713.743.5296</v>
      </c>
      <c r="Z27" s="528" t="str">
        <f>'UH1 FGD'!$T$92</f>
        <v>cahotz@uh.edu</v>
      </c>
      <c r="AC27" s="129">
        <f>'UH1 Sum'!$F$31</f>
        <v>75956905</v>
      </c>
    </row>
    <row r="28" spans="1:29">
      <c r="A28" s="480">
        <v>40</v>
      </c>
      <c r="B28" s="678">
        <v>2</v>
      </c>
      <c r="C28" s="68" t="s">
        <v>1133</v>
      </c>
      <c r="D28" s="1000">
        <v>3656</v>
      </c>
      <c r="E28" s="124" t="str">
        <f t="shared" si="0"/>
        <v>FY 16</v>
      </c>
      <c r="F28" s="53" t="s">
        <v>176</v>
      </c>
      <c r="G28" s="356">
        <f>'ARL Sum'!$C$6</f>
        <v>34362.15</v>
      </c>
      <c r="H28" s="129">
        <f>'ARL Sum'!$G$11</f>
        <v>160771184</v>
      </c>
      <c r="I28" s="130">
        <f>'ARL Sum'!$G$14</f>
        <v>0</v>
      </c>
      <c r="J28" s="129">
        <f>'ARL Sum'!$F$20</f>
        <v>333494337</v>
      </c>
      <c r="K28" s="129">
        <f>'ARL Sum'!$F$23</f>
        <v>176364560</v>
      </c>
      <c r="L28" s="129">
        <f>'ARL Sum'!$F$32</f>
        <v>87762572</v>
      </c>
      <c r="M28" s="130">
        <f t="shared" si="1"/>
        <v>758392653</v>
      </c>
      <c r="N28" s="129">
        <f t="shared" si="2"/>
        <v>758392653</v>
      </c>
      <c r="O28" s="130">
        <f>'ARL Sum'!$F$47</f>
        <v>632323183</v>
      </c>
      <c r="P28" s="131">
        <f t="shared" si="3"/>
        <v>126069470</v>
      </c>
      <c r="Q28" s="128">
        <f t="shared" si="4"/>
        <v>0.16623245162160083</v>
      </c>
      <c r="R28" s="625"/>
      <c r="S28" s="626"/>
      <c r="T28" s="626"/>
      <c r="U28" s="626"/>
      <c r="V28" s="627"/>
      <c r="X28" s="528" t="str">
        <f>'ARL FGD'!$O$92</f>
        <v>Ting Chen</v>
      </c>
      <c r="Y28" s="528" t="str">
        <f>'ARL FGD'!$Q$92</f>
        <v>817-272-7489</v>
      </c>
      <c r="Z28" s="528" t="str">
        <f>'ARL FGD'!$T$92</f>
        <v>ting.chen@uta.edu</v>
      </c>
      <c r="AC28" s="129">
        <f>'ARL Sum'!$F$31</f>
        <v>7536894</v>
      </c>
    </row>
    <row r="29" spans="1:29" s="764" customFormat="1">
      <c r="A29" s="766">
        <v>50</v>
      </c>
      <c r="B29" s="766">
        <v>1</v>
      </c>
      <c r="C29" s="764" t="s">
        <v>15</v>
      </c>
      <c r="D29" s="1000">
        <v>3658</v>
      </c>
      <c r="E29" s="767" t="str">
        <f t="shared" si="0"/>
        <v>FY 16</v>
      </c>
      <c r="F29" s="764" t="s">
        <v>178</v>
      </c>
      <c r="G29" s="356">
        <f>'AUS1 Sum'!$C$6</f>
        <v>47534.87</v>
      </c>
      <c r="H29" s="812">
        <f>'AUS1 Sum'!$G$11</f>
        <v>387382636</v>
      </c>
      <c r="I29" s="768">
        <f>'AUS1 Sum'!$G$14</f>
        <v>392376810</v>
      </c>
      <c r="J29" s="812">
        <f>'AUS1 Sum'!$F$20</f>
        <v>487004378</v>
      </c>
      <c r="K29" s="812">
        <f>'AUS1 Sum'!$F$23</f>
        <v>599352881</v>
      </c>
      <c r="L29" s="812">
        <f>'AUS1 Sum'!$F$32</f>
        <v>1142386227</v>
      </c>
      <c r="M29" s="768">
        <f t="shared" si="1"/>
        <v>3008502932</v>
      </c>
      <c r="N29" s="812">
        <f t="shared" si="2"/>
        <v>2616126122</v>
      </c>
      <c r="O29" s="768">
        <f>'AUS1 Sum'!$F$47</f>
        <v>2218082915</v>
      </c>
      <c r="P29" s="769">
        <f t="shared" si="3"/>
        <v>398043207</v>
      </c>
      <c r="Q29" s="770">
        <f t="shared" si="4"/>
        <v>0.15214985380586327</v>
      </c>
      <c r="R29" s="771"/>
      <c r="S29" s="772"/>
      <c r="T29" s="772"/>
      <c r="U29" s="772"/>
      <c r="V29" s="773"/>
      <c r="X29" s="774" t="str">
        <f>'AUS1 FGD'!$O$92</f>
        <v>Marcy Lowther</v>
      </c>
      <c r="Y29" s="774" t="str">
        <f>'AUS1 FGD'!$Q$92</f>
        <v>512-471-2808</v>
      </c>
      <c r="Z29" s="774" t="str">
        <f>'AUS1 FGD'!$T$92</f>
        <v>mlowther@austin.utexas.edu</v>
      </c>
      <c r="AC29" s="768">
        <f>'AUS1 Sum'!$F$31</f>
        <v>11934988</v>
      </c>
    </row>
    <row r="30" spans="1:29">
      <c r="A30" s="480">
        <v>70</v>
      </c>
      <c r="B30" s="678">
        <v>2</v>
      </c>
      <c r="C30" s="68" t="s">
        <v>1133</v>
      </c>
      <c r="D30" s="1000">
        <v>3661</v>
      </c>
      <c r="E30" s="124" t="str">
        <f t="shared" si="0"/>
        <v>FY 16</v>
      </c>
      <c r="F30" s="53" t="s">
        <v>180</v>
      </c>
      <c r="G30" s="353">
        <f>'E-P Sum'!$C$6</f>
        <v>19488.8</v>
      </c>
      <c r="H30" s="129">
        <f>'E-P Sum'!$G$11</f>
        <v>133335593</v>
      </c>
      <c r="I30" s="130">
        <f>'E-P Sum'!$G$14</f>
        <v>0</v>
      </c>
      <c r="J30" s="129">
        <f>'E-P Sum'!$F$20</f>
        <v>140269683</v>
      </c>
      <c r="K30" s="129">
        <f>'E-P Sum'!$F$23</f>
        <v>206524165</v>
      </c>
      <c r="L30" s="129">
        <f>'E-P Sum'!$F$32</f>
        <v>39635683</v>
      </c>
      <c r="M30" s="130">
        <f t="shared" si="1"/>
        <v>519765124</v>
      </c>
      <c r="N30" s="129">
        <f t="shared" si="2"/>
        <v>519765124</v>
      </c>
      <c r="O30" s="130">
        <f>'E-P Sum'!$F$47</f>
        <v>434514629</v>
      </c>
      <c r="P30" s="131">
        <f t="shared" si="3"/>
        <v>85250495</v>
      </c>
      <c r="Q30" s="128">
        <f t="shared" si="4"/>
        <v>0.164017343726202</v>
      </c>
      <c r="R30" s="625"/>
      <c r="S30" s="626"/>
      <c r="T30" s="626"/>
      <c r="U30" s="626"/>
      <c r="V30" s="627"/>
      <c r="X30" s="528" t="str">
        <f>'E-P FGD'!$O$92</f>
        <v>Daniel Dominguez</v>
      </c>
      <c r="Y30" s="528" t="str">
        <f>'E-P FGD'!$Q$92</f>
        <v>(915)747-5083</v>
      </c>
      <c r="Z30" s="528" t="str">
        <f>'E-P FGD'!$T$92</f>
        <v>drdominguez@utep.edu</v>
      </c>
      <c r="AC30" s="129">
        <f>'E-P Sum'!$F$31</f>
        <v>420707</v>
      </c>
    </row>
    <row r="31" spans="1:29">
      <c r="A31" s="480">
        <v>200</v>
      </c>
      <c r="B31" s="678">
        <v>4</v>
      </c>
      <c r="C31" s="68" t="s">
        <v>1132</v>
      </c>
      <c r="D31" s="1001">
        <v>3665</v>
      </c>
      <c r="E31" s="124" t="str">
        <f t="shared" si="0"/>
        <v>FY 16</v>
      </c>
      <c r="F31" s="53" t="s">
        <v>182</v>
      </c>
      <c r="G31" s="353">
        <f>'WTAMU Sum'!$C$6</f>
        <v>7724.93</v>
      </c>
      <c r="H31" s="129">
        <f>'WTAMU Sum'!$G$11</f>
        <v>47050495</v>
      </c>
      <c r="I31" s="130">
        <f>'WTAMU Sum'!$G$14</f>
        <v>7446495</v>
      </c>
      <c r="J31" s="129">
        <f>'WTAMU Sum'!$F$20</f>
        <v>51617523</v>
      </c>
      <c r="K31" s="129">
        <f>'WTAMU Sum'!$F$23</f>
        <v>34173176</v>
      </c>
      <c r="L31" s="129">
        <f>'WTAMU Sum'!$F$32</f>
        <v>27961999</v>
      </c>
      <c r="M31" s="130">
        <f t="shared" si="1"/>
        <v>168249688</v>
      </c>
      <c r="N31" s="129">
        <f t="shared" si="2"/>
        <v>160803193</v>
      </c>
      <c r="O31" s="130">
        <f>'WTAMU Sum'!$F$47</f>
        <v>131224879</v>
      </c>
      <c r="P31" s="131">
        <f t="shared" si="3"/>
        <v>29578314</v>
      </c>
      <c r="Q31" s="128">
        <f t="shared" si="4"/>
        <v>0.18394108629422551</v>
      </c>
      <c r="R31" s="625"/>
      <c r="S31" s="626"/>
      <c r="T31" s="626"/>
      <c r="U31" s="626"/>
      <c r="V31" s="627"/>
      <c r="X31" s="528" t="str">
        <f>'WTAMU FGD'!$O$92</f>
        <v>Chris Arrington</v>
      </c>
      <c r="Y31" s="528" t="str">
        <f>'WTAMU FGD'!$Q$92</f>
        <v>979-458-9151</v>
      </c>
      <c r="Z31" s="528" t="str">
        <f>'WTAMU FGD'!$T$92</f>
        <v>carrington@tamus.edu</v>
      </c>
      <c r="AC31" s="129">
        <f>'WTAMU Sum'!$F$31</f>
        <v>817186</v>
      </c>
    </row>
    <row r="32" spans="1:29">
      <c r="A32" s="480">
        <v>190</v>
      </c>
      <c r="B32" s="678">
        <v>4</v>
      </c>
      <c r="C32" s="68" t="s">
        <v>1132</v>
      </c>
      <c r="D32" s="1000">
        <v>9651</v>
      </c>
      <c r="E32" s="124" t="str">
        <f t="shared" si="0"/>
        <v>FY 16</v>
      </c>
      <c r="F32" s="53" t="s">
        <v>184</v>
      </c>
      <c r="G32" s="353">
        <f>'TAMIU Sum'!$C$6</f>
        <v>6962.28</v>
      </c>
      <c r="H32" s="129">
        <f>'TAMIU Sum'!$G$11</f>
        <v>49132692</v>
      </c>
      <c r="I32" s="130">
        <f>'TAMIU Sum'!$G$14</f>
        <v>7462394</v>
      </c>
      <c r="J32" s="129">
        <f>'TAMIU Sum'!$F$20</f>
        <v>31387596</v>
      </c>
      <c r="K32" s="129">
        <f>'TAMIU Sum'!$F$23</f>
        <v>51758469</v>
      </c>
      <c r="L32" s="129">
        <f>'TAMIU Sum'!$F$32</f>
        <v>13244911</v>
      </c>
      <c r="M32" s="130">
        <f t="shared" si="1"/>
        <v>152986062</v>
      </c>
      <c r="N32" s="129">
        <f t="shared" si="2"/>
        <v>145523668</v>
      </c>
      <c r="O32" s="130">
        <f>'TAMIU Sum'!$F$47</f>
        <v>118299395</v>
      </c>
      <c r="P32" s="131">
        <f t="shared" si="3"/>
        <v>27224273</v>
      </c>
      <c r="Q32" s="128">
        <f t="shared" si="4"/>
        <v>0.1870779741478204</v>
      </c>
      <c r="R32" s="625"/>
      <c r="S32" s="626"/>
      <c r="T32" s="626"/>
      <c r="U32" s="626"/>
      <c r="V32" s="627"/>
      <c r="X32" s="528" t="str">
        <f>'TAMIU FGD'!$O$92</f>
        <v>Chris Arrington</v>
      </c>
      <c r="Y32" s="528" t="str">
        <f>'TAMIU FGD'!$Q$92</f>
        <v>979-458-9151</v>
      </c>
      <c r="Z32" s="528" t="str">
        <f>'TAMIU FGD'!$T$92</f>
        <v>carrington@tamus.edu</v>
      </c>
      <c r="AC32" s="129">
        <f>'TAMIU Sum'!$F$31</f>
        <v>3370400</v>
      </c>
    </row>
    <row r="33" spans="1:29">
      <c r="A33" s="480">
        <v>60</v>
      </c>
      <c r="B33" s="678">
        <v>2</v>
      </c>
      <c r="C33" s="68" t="s">
        <v>1133</v>
      </c>
      <c r="D33" s="1000">
        <v>9741</v>
      </c>
      <c r="E33" s="124" t="str">
        <f t="shared" si="0"/>
        <v>FY 16</v>
      </c>
      <c r="F33" s="53" t="s">
        <v>186</v>
      </c>
      <c r="G33" s="353">
        <f>'DAL Sum'!$C$6</f>
        <v>24167.85</v>
      </c>
      <c r="H33" s="129">
        <f>'DAL Sum'!$G$11</f>
        <v>129433047</v>
      </c>
      <c r="I33" s="130">
        <f>'DAL Sum'!$G$14</f>
        <v>0</v>
      </c>
      <c r="J33" s="129">
        <f>'DAL Sum'!$F$20</f>
        <v>279071910</v>
      </c>
      <c r="K33" s="129">
        <f>'DAL Sum'!$F$23</f>
        <v>143175656</v>
      </c>
      <c r="L33" s="129">
        <f>'DAL Sum'!$F$32</f>
        <v>105282603</v>
      </c>
      <c r="M33" s="130">
        <f t="shared" si="1"/>
        <v>656963216</v>
      </c>
      <c r="N33" s="129">
        <f t="shared" si="2"/>
        <v>656963216</v>
      </c>
      <c r="O33" s="130">
        <f>'DAL Sum'!$F$47</f>
        <v>540278128</v>
      </c>
      <c r="P33" s="131">
        <f t="shared" si="3"/>
        <v>116685088</v>
      </c>
      <c r="Q33" s="128">
        <f t="shared" si="4"/>
        <v>0.17761281782327368</v>
      </c>
      <c r="R33" s="625"/>
      <c r="S33" s="626"/>
      <c r="T33" s="626"/>
      <c r="U33" s="626"/>
      <c r="V33" s="627"/>
      <c r="X33" s="528" t="str">
        <f>'DAL FGD'!$O$92</f>
        <v>Cindy Milligan</v>
      </c>
      <c r="Y33" s="528" t="str">
        <f>'DAL FGD'!$Q$92</f>
        <v>(972) 883-2632</v>
      </c>
      <c r="Z33" s="528" t="str">
        <f>'DAL FGD'!$T$92</f>
        <v>cxm133830@utdallas.edu</v>
      </c>
      <c r="AC33" s="129">
        <f>'DAL Sum'!$F$31</f>
        <v>8766445</v>
      </c>
    </row>
    <row r="34" spans="1:29">
      <c r="A34" s="480">
        <v>100</v>
      </c>
      <c r="B34" s="678">
        <v>5</v>
      </c>
      <c r="C34" s="68" t="s">
        <v>696</v>
      </c>
      <c r="D34" s="1000">
        <v>9930</v>
      </c>
      <c r="E34" s="124" t="str">
        <f t="shared" si="0"/>
        <v>FY 16</v>
      </c>
      <c r="F34" s="53" t="s">
        <v>188</v>
      </c>
      <c r="G34" s="353">
        <f>'P-B Sum'!$C$6</f>
        <v>4255.68</v>
      </c>
      <c r="H34" s="129">
        <f>'P-B Sum'!$G$11</f>
        <v>43016478</v>
      </c>
      <c r="I34" s="130">
        <f>'P-B Sum'!$G$14</f>
        <v>0</v>
      </c>
      <c r="J34" s="129">
        <f>'P-B Sum'!$F$20</f>
        <v>29564335</v>
      </c>
      <c r="K34" s="129">
        <f>'P-B Sum'!$F$23</f>
        <v>22084960</v>
      </c>
      <c r="L34" s="129">
        <f>'P-B Sum'!$F$32</f>
        <v>11154898</v>
      </c>
      <c r="M34" s="130">
        <f t="shared" si="1"/>
        <v>105820671</v>
      </c>
      <c r="N34" s="129">
        <f t="shared" si="2"/>
        <v>105820671</v>
      </c>
      <c r="O34" s="130">
        <f>'P-B Sum'!$F$47</f>
        <v>86037546</v>
      </c>
      <c r="P34" s="131">
        <f t="shared" si="3"/>
        <v>19783125</v>
      </c>
      <c r="Q34" s="128">
        <f t="shared" si="4"/>
        <v>0.18694953276189299</v>
      </c>
      <c r="R34" s="625"/>
      <c r="S34" s="626"/>
      <c r="T34" s="626"/>
      <c r="U34" s="626"/>
      <c r="V34" s="627"/>
      <c r="X34" s="528" t="str">
        <f>'P-B FGD'!$O$92</f>
        <v>Jana Juarez</v>
      </c>
      <c r="Y34" s="528" t="str">
        <f>'P-B FGD'!$Q$92</f>
        <v>432-552-2717</v>
      </c>
      <c r="Z34" s="528" t="str">
        <f>'P-B FGD'!$T$92</f>
        <v>juarez_j@utpb.edu</v>
      </c>
      <c r="AC34" s="129">
        <f>'P-B Sum'!$F$31</f>
        <v>291033</v>
      </c>
    </row>
    <row r="35" spans="1:29">
      <c r="A35" s="480">
        <v>110</v>
      </c>
      <c r="B35" s="678">
        <v>2</v>
      </c>
      <c r="C35" s="68" t="s">
        <v>1133</v>
      </c>
      <c r="D35" s="1000">
        <v>10115</v>
      </c>
      <c r="E35" s="124" t="str">
        <f t="shared" si="0"/>
        <v>FY 16</v>
      </c>
      <c r="F35" s="53" t="s">
        <v>190</v>
      </c>
      <c r="G35" s="353">
        <f>'S-A Sum'!$C$6</f>
        <v>28396.57</v>
      </c>
      <c r="H35" s="129">
        <f>'S-A Sum'!$G$11</f>
        <v>162176413</v>
      </c>
      <c r="I35" s="130">
        <f>'S-A Sum'!$G$14</f>
        <v>0</v>
      </c>
      <c r="J35" s="129">
        <f>'S-A Sum'!$F$20</f>
        <v>228192154</v>
      </c>
      <c r="K35" s="129">
        <f>'S-A Sum'!$F$23</f>
        <v>200914830</v>
      </c>
      <c r="L35" s="129">
        <f>'S-A Sum'!$F$32</f>
        <v>134488033</v>
      </c>
      <c r="M35" s="130">
        <f t="shared" si="1"/>
        <v>725771430</v>
      </c>
      <c r="N35" s="129">
        <f t="shared" si="2"/>
        <v>725771430</v>
      </c>
      <c r="O35" s="130">
        <f>'S-A Sum'!$F$47</f>
        <v>533976278</v>
      </c>
      <c r="P35" s="131">
        <f t="shared" si="3"/>
        <v>191795152</v>
      </c>
      <c r="Q35" s="128">
        <f t="shared" si="4"/>
        <v>0.26426384957038057</v>
      </c>
      <c r="R35" s="625"/>
      <c r="S35" s="626"/>
      <c r="T35" s="626"/>
      <c r="U35" s="626"/>
      <c r="V35" s="627"/>
      <c r="X35" s="528" t="str">
        <f>'S-A FGD'!$O$92</f>
        <v>Sheri Hardison</v>
      </c>
      <c r="Y35" s="528" t="str">
        <f>'S-A FGD'!$Q$92</f>
        <v>210-458-6774</v>
      </c>
      <c r="Z35" s="528" t="str">
        <f>'S-A FGD'!$T$92</f>
        <v>sheri.hardison@utsa.edu</v>
      </c>
      <c r="AC35" s="129">
        <f>'S-A Sum'!$F$31</f>
        <v>2818175</v>
      </c>
    </row>
    <row r="36" spans="1:29">
      <c r="A36" s="480">
        <v>140</v>
      </c>
      <c r="B36" s="678">
        <v>5</v>
      </c>
      <c r="C36" s="68" t="s">
        <v>696</v>
      </c>
      <c r="D36" s="1000">
        <v>10298</v>
      </c>
      <c r="E36" s="124" t="str">
        <f t="shared" si="0"/>
        <v>FY 16</v>
      </c>
      <c r="F36" s="53" t="s">
        <v>192</v>
      </c>
      <c r="G36" s="353">
        <f>'TAMUG Sum'!$C$6</f>
        <v>1732.87</v>
      </c>
      <c r="H36" s="129">
        <f>'TAMUG Sum'!$G$11</f>
        <v>71006415</v>
      </c>
      <c r="I36" s="130">
        <f>'TAMUG Sum'!$G$14</f>
        <v>0</v>
      </c>
      <c r="J36" s="129">
        <f>'TAMUG Sum'!$F$20</f>
        <v>21292132</v>
      </c>
      <c r="K36" s="129">
        <f>'TAMUG Sum'!$F$23</f>
        <v>10245867</v>
      </c>
      <c r="L36" s="129">
        <f>'TAMUG Sum'!$F$32</f>
        <v>10934036</v>
      </c>
      <c r="M36" s="130">
        <f t="shared" si="1"/>
        <v>113478450</v>
      </c>
      <c r="N36" s="129">
        <f t="shared" si="2"/>
        <v>113478450</v>
      </c>
      <c r="O36" s="130">
        <f>'TAMUG Sum'!$F$47</f>
        <v>54145037</v>
      </c>
      <c r="P36" s="131">
        <f t="shared" si="3"/>
        <v>59333413</v>
      </c>
      <c r="Q36" s="128">
        <f t="shared" si="4"/>
        <v>0.52286062243536102</v>
      </c>
      <c r="R36" s="625"/>
      <c r="S36" s="626"/>
      <c r="T36" s="626"/>
      <c r="U36" s="626"/>
      <c r="V36" s="627"/>
      <c r="X36" s="528" t="str">
        <f>'TAMUG FGD'!$O$92</f>
        <v>Chris Arrington</v>
      </c>
      <c r="Y36" s="528" t="str">
        <f>'TAMUG FGD'!$Q$92</f>
        <v>979-458-9151</v>
      </c>
      <c r="Z36" s="528" t="str">
        <f>'TAMUG FGD'!$T$92</f>
        <v>carrington@tamus.edu</v>
      </c>
      <c r="AC36" s="129">
        <f>'TAMUG Sum'!$F$31</f>
        <v>845351</v>
      </c>
    </row>
    <row r="37" spans="1:29">
      <c r="A37" s="480">
        <v>170</v>
      </c>
      <c r="B37" s="678">
        <v>3</v>
      </c>
      <c r="C37" s="68" t="s">
        <v>697</v>
      </c>
      <c r="D37" s="1000">
        <v>11161</v>
      </c>
      <c r="E37" s="124" t="str">
        <f t="shared" si="0"/>
        <v>FY 16</v>
      </c>
      <c r="F37" s="53" t="s">
        <v>194</v>
      </c>
      <c r="G37" s="353">
        <f>'TAMUCC Sum'!$C$6</f>
        <v>9336.2800000000007</v>
      </c>
      <c r="H37" s="129">
        <f>'TAMUCC Sum'!$G$11</f>
        <v>69246907</v>
      </c>
      <c r="I37" s="130">
        <f>'TAMUCC Sum'!$G$14</f>
        <v>11478824</v>
      </c>
      <c r="J37" s="129">
        <f>'TAMUCC Sum'!$F$20</f>
        <v>67622717</v>
      </c>
      <c r="K37" s="129">
        <f>'TAMUCC Sum'!$F$23</f>
        <v>64668767</v>
      </c>
      <c r="L37" s="129">
        <f>'TAMUCC Sum'!$F$32</f>
        <v>24477960</v>
      </c>
      <c r="M37" s="130">
        <f t="shared" si="1"/>
        <v>237495175</v>
      </c>
      <c r="N37" s="129">
        <f t="shared" si="2"/>
        <v>226016351</v>
      </c>
      <c r="O37" s="130">
        <f>'TAMUCC Sum'!$F$47</f>
        <v>210573070</v>
      </c>
      <c r="P37" s="131">
        <f t="shared" si="3"/>
        <v>15443281</v>
      </c>
      <c r="Q37" s="128">
        <f t="shared" si="4"/>
        <v>6.8328158257895247E-2</v>
      </c>
      <c r="R37" s="625"/>
      <c r="S37" s="626"/>
      <c r="T37" s="626"/>
      <c r="U37" s="626"/>
      <c r="V37" s="627"/>
      <c r="X37" s="528" t="str">
        <f>'TAMUCC FGD'!$O$92</f>
        <v>Chris Arrington</v>
      </c>
      <c r="Y37" s="528" t="str">
        <f>'TAMUCC FGD'!$Q$92</f>
        <v>979-458-9151</v>
      </c>
      <c r="Z37" s="528" t="str">
        <f>'TAMUCC FGD'!$T$92</f>
        <v>carrington@tamus.edu</v>
      </c>
      <c r="AC37" s="129">
        <f>'TAMUCC Sum'!$F$31</f>
        <v>3040090</v>
      </c>
    </row>
    <row r="38" spans="1:29">
      <c r="A38" s="480">
        <v>120</v>
      </c>
      <c r="B38" s="678">
        <v>5</v>
      </c>
      <c r="C38" s="68" t="s">
        <v>696</v>
      </c>
      <c r="D38" s="1000">
        <v>11163</v>
      </c>
      <c r="E38" s="124" t="str">
        <f t="shared" si="0"/>
        <v>FY 16</v>
      </c>
      <c r="F38" s="53" t="s">
        <v>196</v>
      </c>
      <c r="G38" s="353">
        <f>'TYL Sum'!$C$6</f>
        <v>7607.2</v>
      </c>
      <c r="H38" s="129">
        <f>'TYL Sum'!$G$11</f>
        <v>52855515</v>
      </c>
      <c r="I38" s="130">
        <f>'TYL Sum'!$G$14</f>
        <v>0</v>
      </c>
      <c r="J38" s="129">
        <f>'TYL Sum'!$F$20</f>
        <v>52273469</v>
      </c>
      <c r="K38" s="129">
        <f>'TYL Sum'!$F$23</f>
        <v>23208570</v>
      </c>
      <c r="L38" s="129">
        <f>'TYL Sum'!$F$32</f>
        <v>22692456</v>
      </c>
      <c r="M38" s="130">
        <f t="shared" si="1"/>
        <v>151030010</v>
      </c>
      <c r="N38" s="129">
        <f t="shared" si="2"/>
        <v>151030010</v>
      </c>
      <c r="O38" s="130">
        <f>'TYL Sum'!$F$47</f>
        <v>133883539</v>
      </c>
      <c r="P38" s="131">
        <f t="shared" si="3"/>
        <v>17146471</v>
      </c>
      <c r="Q38" s="128">
        <f t="shared" si="4"/>
        <v>0.11353022488709363</v>
      </c>
      <c r="R38" s="625"/>
      <c r="S38" s="626"/>
      <c r="T38" s="626"/>
      <c r="U38" s="626"/>
      <c r="V38" s="627"/>
      <c r="X38" s="528" t="str">
        <f>'TYL FGD'!$O$92</f>
        <v>Brenda Golemon</v>
      </c>
      <c r="Y38" s="528" t="str">
        <f>'TYL FGD'!$Q$92</f>
        <v>903-566-7319</v>
      </c>
      <c r="Z38" s="528" t="str">
        <f>'TYL FGD'!$T$92</f>
        <v>bgolemon@gmail.com</v>
      </c>
      <c r="AC38" s="129">
        <f>'TYL Sum'!$F$31</f>
        <v>580105</v>
      </c>
    </row>
    <row r="39" spans="1:29">
      <c r="A39" s="480">
        <v>240</v>
      </c>
      <c r="B39" s="678">
        <v>5</v>
      </c>
      <c r="C39" s="68" t="s">
        <v>696</v>
      </c>
      <c r="D39" s="1000">
        <v>11711</v>
      </c>
      <c r="E39" s="124" t="str">
        <f t="shared" si="0"/>
        <v>FY 16</v>
      </c>
      <c r="F39" s="53" t="s">
        <v>198</v>
      </c>
      <c r="G39" s="353">
        <f>'UHCL Sum'!$C$6</f>
        <v>6762.63</v>
      </c>
      <c r="H39" s="129">
        <f>'UHCL Sum'!$G$11</f>
        <v>39325155</v>
      </c>
      <c r="I39" s="130">
        <f>'UHCL Sum'!$G$14</f>
        <v>7726043</v>
      </c>
      <c r="J39" s="129">
        <f>'UHCL Sum'!$F$20</f>
        <v>51356468</v>
      </c>
      <c r="K39" s="129">
        <f>'UHCL Sum'!$F$23</f>
        <v>37552981</v>
      </c>
      <c r="L39" s="129">
        <f>'UHCL Sum'!$F$32</f>
        <v>10467074</v>
      </c>
      <c r="M39" s="130">
        <f t="shared" si="1"/>
        <v>146427721</v>
      </c>
      <c r="N39" s="129">
        <f t="shared" si="2"/>
        <v>138701678</v>
      </c>
      <c r="O39" s="130">
        <f>'UHCL Sum'!$F$47</f>
        <v>144407978</v>
      </c>
      <c r="P39" s="131">
        <f t="shared" si="3"/>
        <v>-5706300</v>
      </c>
      <c r="Q39" s="128">
        <f t="shared" si="4"/>
        <v>-4.1140814460802699E-2</v>
      </c>
      <c r="R39" s="625"/>
      <c r="S39" s="626"/>
      <c r="T39" s="626"/>
      <c r="U39" s="626"/>
      <c r="V39" s="627"/>
      <c r="X39" s="528" t="str">
        <f>'UHCL FGD'!$O$92</f>
        <v>Mila Bautista</v>
      </c>
      <c r="Y39" s="528" t="str">
        <f>'UHCL FGD'!$Q$92</f>
        <v>281-283-2129</v>
      </c>
      <c r="Z39" s="528" t="str">
        <f>'UHCL FGD'!$T$92</f>
        <v>BautistaM@uhcl.edu</v>
      </c>
      <c r="AC39" s="129">
        <f>'UHCL Sum'!$F$31</f>
        <v>3749631</v>
      </c>
    </row>
    <row r="40" spans="1:29">
      <c r="A40" s="480">
        <v>250</v>
      </c>
      <c r="B40" s="678">
        <v>5</v>
      </c>
      <c r="C40" s="68" t="s">
        <v>696</v>
      </c>
      <c r="D40" s="1000">
        <v>12826</v>
      </c>
      <c r="E40" s="124" t="str">
        <f t="shared" si="0"/>
        <v>FY 16</v>
      </c>
      <c r="F40" s="53" t="s">
        <v>200</v>
      </c>
      <c r="G40" s="353">
        <f>'UHD Sum'!$C$6</f>
        <v>11193.03</v>
      </c>
      <c r="H40" s="129">
        <f>'UHD Sum'!$G$11</f>
        <v>38889927</v>
      </c>
      <c r="I40" s="130">
        <f>'UHD Sum'!$G$14</f>
        <v>10828344</v>
      </c>
      <c r="J40" s="129">
        <f>'UHD Sum'!$F$20</f>
        <v>65776567</v>
      </c>
      <c r="K40" s="129">
        <f>'UHD Sum'!$F$23</f>
        <v>63925563</v>
      </c>
      <c r="L40" s="129">
        <f>'UHD Sum'!$F$32</f>
        <v>15179933</v>
      </c>
      <c r="M40" s="130">
        <f t="shared" si="1"/>
        <v>194600334</v>
      </c>
      <c r="N40" s="129">
        <f t="shared" si="2"/>
        <v>183771990</v>
      </c>
      <c r="O40" s="130">
        <f>'UHD Sum'!$F$47</f>
        <v>167150445</v>
      </c>
      <c r="P40" s="131">
        <f t="shared" si="3"/>
        <v>16621545</v>
      </c>
      <c r="Q40" s="128">
        <f t="shared" si="4"/>
        <v>9.0446563701029742E-2</v>
      </c>
      <c r="R40" s="625"/>
      <c r="S40" s="626"/>
      <c r="T40" s="626"/>
      <c r="U40" s="626"/>
      <c r="V40" s="627"/>
      <c r="X40" s="528" t="str">
        <f>'UHD FGD'!$O$92</f>
        <v>Alice Tsai</v>
      </c>
      <c r="Y40" s="528" t="str">
        <f>'UHD FGD'!$Q$92</f>
        <v>713-221-8098</v>
      </c>
      <c r="Z40" s="528" t="str">
        <f>'UHD FGD'!$T$92</f>
        <v>Tsaia@uhd.edu</v>
      </c>
      <c r="AC40" s="129">
        <f>'UHD Sum'!$F$31</f>
        <v>4249764</v>
      </c>
    </row>
    <row r="41" spans="1:29">
      <c r="A41" s="480">
        <v>260</v>
      </c>
      <c r="B41" s="678">
        <v>5</v>
      </c>
      <c r="C41" s="68" t="s">
        <v>696</v>
      </c>
      <c r="D41" s="1000">
        <v>13231</v>
      </c>
      <c r="E41" s="124" t="str">
        <f t="shared" si="0"/>
        <v>FY 16</v>
      </c>
      <c r="F41" s="53" t="s">
        <v>202</v>
      </c>
      <c r="G41" s="353">
        <f>'UHV Sum'!$C$6</f>
        <v>3604.5</v>
      </c>
      <c r="H41" s="129">
        <f>'UHV Sum'!$G$11</f>
        <v>19867941</v>
      </c>
      <c r="I41" s="130">
        <f>'UHV Sum'!$G$14</f>
        <v>3542817</v>
      </c>
      <c r="J41" s="129">
        <f>'UHV Sum'!$F$20</f>
        <v>23365242</v>
      </c>
      <c r="K41" s="129">
        <f>'UHV Sum'!$F$23</f>
        <v>15650731</v>
      </c>
      <c r="L41" s="129">
        <f>'UHV Sum'!$F$32</f>
        <v>4844551</v>
      </c>
      <c r="M41" s="130">
        <f t="shared" si="1"/>
        <v>67271282</v>
      </c>
      <c r="N41" s="129">
        <f t="shared" si="2"/>
        <v>63728465</v>
      </c>
      <c r="O41" s="130">
        <f>'UHV Sum'!$F$47</f>
        <v>60977241</v>
      </c>
      <c r="P41" s="131">
        <f t="shared" si="3"/>
        <v>2751224</v>
      </c>
      <c r="Q41" s="128">
        <f t="shared" si="4"/>
        <v>4.3171038247979139E-2</v>
      </c>
      <c r="R41" s="625"/>
      <c r="S41" s="626"/>
      <c r="T41" s="626"/>
      <c r="U41" s="626"/>
      <c r="V41" s="627"/>
      <c r="X41" s="528" t="str">
        <f>'UHV FGD'!$O$92</f>
        <v>June Nelson</v>
      </c>
      <c r="Y41" s="528" t="str">
        <f>'UHV FGD'!$Q$92</f>
        <v>361-570-4873</v>
      </c>
      <c r="Z41" s="528" t="str">
        <f>'UHV FGD'!$T$92</f>
        <v>nelsonj@uhv.edu</v>
      </c>
      <c r="AC41" s="129">
        <f>'UHV Sum'!$F$31</f>
        <v>919114</v>
      </c>
    </row>
    <row r="42" spans="1:29">
      <c r="A42" s="480">
        <v>220</v>
      </c>
      <c r="B42" s="678">
        <v>5</v>
      </c>
      <c r="C42" s="68" t="s">
        <v>696</v>
      </c>
      <c r="D42" s="1000">
        <v>29269</v>
      </c>
      <c r="E42" s="124" t="str">
        <f t="shared" si="0"/>
        <v>FY 16</v>
      </c>
      <c r="F42" s="53" t="s">
        <v>204</v>
      </c>
      <c r="G42" s="353">
        <f>'TAMUT Sum'!$C$6</f>
        <v>1651.54</v>
      </c>
      <c r="H42" s="129">
        <f>'TAMUT Sum'!$G$11</f>
        <v>26526760</v>
      </c>
      <c r="I42" s="130">
        <f>'TAMUT Sum'!$G$14</f>
        <v>2050273</v>
      </c>
      <c r="J42" s="129">
        <f>'TAMUT Sum'!$F$20</f>
        <v>10626119</v>
      </c>
      <c r="K42" s="129">
        <f>'TAMUT Sum'!$F$23</f>
        <v>9745130</v>
      </c>
      <c r="L42" s="129">
        <f>'TAMUT Sum'!$F$32</f>
        <v>4366618</v>
      </c>
      <c r="M42" s="130">
        <f t="shared" si="1"/>
        <v>53314900</v>
      </c>
      <c r="N42" s="129">
        <f t="shared" si="2"/>
        <v>51264627</v>
      </c>
      <c r="O42" s="130">
        <f>'TAMUT Sum'!$F$47</f>
        <v>39046434</v>
      </c>
      <c r="P42" s="131">
        <f t="shared" si="3"/>
        <v>12218193</v>
      </c>
      <c r="Q42" s="128">
        <f t="shared" si="4"/>
        <v>0.23833574366980179</v>
      </c>
      <c r="R42" s="625"/>
      <c r="S42" s="626"/>
      <c r="T42" s="626"/>
      <c r="U42" s="626"/>
      <c r="V42" s="627"/>
      <c r="X42" s="528" t="str">
        <f>'TAMUT FGD'!$O$92</f>
        <v>Chris Arrington</v>
      </c>
      <c r="Y42" s="528" t="str">
        <f>'TAMUT FGD'!$Q$92</f>
        <v>979-458-9151</v>
      </c>
      <c r="Z42" s="528" t="str">
        <f>'TAMUT FGD'!$T$92</f>
        <v>carrington@tamus.edu</v>
      </c>
      <c r="AC42" s="129">
        <f>'TAMUT Sum'!$F$31</f>
        <v>900641</v>
      </c>
    </row>
    <row r="43" spans="1:29">
      <c r="A43" s="480">
        <v>90</v>
      </c>
      <c r="B43" s="678">
        <v>5</v>
      </c>
      <c r="C43" s="68" t="s">
        <v>696</v>
      </c>
      <c r="D43" s="1000">
        <v>30646</v>
      </c>
      <c r="E43" s="124" t="str">
        <f t="shared" si="0"/>
        <v>FY 16</v>
      </c>
      <c r="F43" s="53" t="s">
        <v>1159</v>
      </c>
      <c r="G43" s="353">
        <f>'RGV1 Sum'!$C$6</f>
        <v>28382.37</v>
      </c>
      <c r="H43" s="129">
        <f>'RGV1 Sum'!$G$11</f>
        <v>152832944</v>
      </c>
      <c r="I43" s="130">
        <f>'RGV1 Sum'!$G$14</f>
        <v>0</v>
      </c>
      <c r="J43" s="129">
        <f>'RGV1 Sum'!$F$20</f>
        <v>127994340</v>
      </c>
      <c r="K43" s="129">
        <f>'RGV1 Sum'!$F$23</f>
        <v>246799186</v>
      </c>
      <c r="L43" s="129">
        <f>'RGV1 Sum'!$F$32</f>
        <v>72972468</v>
      </c>
      <c r="M43" s="130">
        <f t="shared" si="1"/>
        <v>600598938</v>
      </c>
      <c r="N43" s="129">
        <f t="shared" si="2"/>
        <v>600598938</v>
      </c>
      <c r="O43" s="130">
        <f>'RGV1 Sum'!$F$47</f>
        <v>455207294</v>
      </c>
      <c r="P43" s="131">
        <f t="shared" si="3"/>
        <v>145391644</v>
      </c>
      <c r="Q43" s="128">
        <f t="shared" si="4"/>
        <v>0.24207775738691034</v>
      </c>
      <c r="R43" s="625"/>
      <c r="S43" s="626"/>
      <c r="T43" s="626"/>
      <c r="U43" s="626"/>
      <c r="V43" s="627"/>
      <c r="W43" s="56"/>
      <c r="X43" s="528" t="str">
        <f>'RGV1 FGD'!$O$92</f>
        <v>Lilia M. St. Clair</v>
      </c>
      <c r="Y43" s="528" t="str">
        <f>'RGV1 FGD'!$Q$92</f>
        <v>956-665-7906</v>
      </c>
      <c r="Z43" s="528" t="str">
        <f>'RGV1 FGD'!$T$92</f>
        <v>lilia.stclair@utrgv.edu</v>
      </c>
      <c r="AC43" s="129">
        <f>'RGV1 Sum'!$F$31</f>
        <v>10614945</v>
      </c>
    </row>
    <row r="44" spans="1:29">
      <c r="A44" s="480">
        <v>223</v>
      </c>
      <c r="B44" s="678">
        <v>4</v>
      </c>
      <c r="C44" s="68" t="s">
        <v>1132</v>
      </c>
      <c r="D44" s="1000">
        <v>42295</v>
      </c>
      <c r="E44" s="124" t="str">
        <f t="shared" si="0"/>
        <v>FY 16</v>
      </c>
      <c r="F44" s="53" t="s">
        <v>278</v>
      </c>
      <c r="G44" s="356">
        <f>'TAMUCT Sum'!$C$6</f>
        <v>1606.96</v>
      </c>
      <c r="H44" s="129">
        <f>'TAMUCT Sum'!$G$11</f>
        <v>18794464</v>
      </c>
      <c r="I44" s="130">
        <f>'TAMUCT Sum'!$G$14</f>
        <v>0</v>
      </c>
      <c r="J44" s="129">
        <f>'TAMUCT Sum'!$F$20</f>
        <v>12660399</v>
      </c>
      <c r="K44" s="129">
        <f>'TAMUCT Sum'!$F$23</f>
        <v>8130294</v>
      </c>
      <c r="L44" s="129">
        <f>'TAMUCT Sum'!$F$32</f>
        <v>2067999</v>
      </c>
      <c r="M44" s="130">
        <f t="shared" si="1"/>
        <v>41653156</v>
      </c>
      <c r="N44" s="129">
        <f t="shared" si="2"/>
        <v>41653156</v>
      </c>
      <c r="O44" s="130">
        <f>'TAMUCT Sum'!$F$47</f>
        <v>35224978</v>
      </c>
      <c r="P44" s="131">
        <f t="shared" si="3"/>
        <v>6428178</v>
      </c>
      <c r="Q44" s="128">
        <f t="shared" si="4"/>
        <v>0.15432631323302368</v>
      </c>
      <c r="R44" s="625"/>
      <c r="S44" s="626"/>
      <c r="T44" s="626"/>
      <c r="U44" s="626"/>
      <c r="V44" s="627"/>
      <c r="X44" s="528" t="str">
        <f>'TAMUCT FGD'!$O$92</f>
        <v>Chris Arrington</v>
      </c>
      <c r="Y44" s="528" t="str">
        <f>'TAMUCT FGD'!$Q$92</f>
        <v>979-458-9151</v>
      </c>
      <c r="Z44" s="528" t="str">
        <f>'TAMUCT FGD'!$T$92</f>
        <v>fincher@tarleton.edu</v>
      </c>
      <c r="AC44" s="129">
        <f>'TAMUCT Sum'!$F$31</f>
        <v>162294</v>
      </c>
    </row>
    <row r="45" spans="1:29">
      <c r="A45" s="480">
        <v>226</v>
      </c>
      <c r="B45" s="678">
        <v>4</v>
      </c>
      <c r="C45" s="68" t="s">
        <v>1132</v>
      </c>
      <c r="D45" s="1001">
        <v>42421</v>
      </c>
      <c r="E45" s="124" t="str">
        <f t="shared" si="0"/>
        <v>FY 16</v>
      </c>
      <c r="F45" s="53" t="s">
        <v>279</v>
      </c>
      <c r="G45" s="356">
        <f>'TAMUSA Sum'!$C$6</f>
        <v>4763.3599999999997</v>
      </c>
      <c r="H45" s="129">
        <f>'TAMUSA Sum'!$G$11</f>
        <v>38086689</v>
      </c>
      <c r="I45" s="130">
        <f>'TAMUSA Sum'!$G$14</f>
        <v>0</v>
      </c>
      <c r="J45" s="129">
        <f>'TAMUSA Sum'!$F$20</f>
        <v>29070862</v>
      </c>
      <c r="K45" s="129">
        <f>'TAMUSA Sum'!$F$23</f>
        <v>35360842</v>
      </c>
      <c r="L45" s="129">
        <f>'TAMUSA Sum'!$F$32</f>
        <v>7316614</v>
      </c>
      <c r="M45" s="130">
        <f t="shared" si="1"/>
        <v>109835007</v>
      </c>
      <c r="N45" s="129">
        <f t="shared" si="2"/>
        <v>109835007</v>
      </c>
      <c r="O45" s="130">
        <f>'TAMUSA Sum'!$F$47</f>
        <v>98230382</v>
      </c>
      <c r="P45" s="131">
        <f t="shared" si="3"/>
        <v>11604625</v>
      </c>
      <c r="Q45" s="128">
        <f t="shared" si="4"/>
        <v>0.10565506678576531</v>
      </c>
      <c r="R45" s="625"/>
      <c r="S45" s="626"/>
      <c r="T45" s="626"/>
      <c r="U45" s="626"/>
      <c r="V45" s="627"/>
      <c r="X45" s="528" t="str">
        <f>'TAMUSA FGD'!$O$92</f>
        <v>Chris Arrington</v>
      </c>
      <c r="Y45" s="528" t="str">
        <f>'TAMUSA FGD'!$Q$92</f>
        <v>979-458-9151</v>
      </c>
      <c r="Z45" s="528" t="str">
        <f>'TAMUSA FGD'!$T$92</f>
        <v>carrington@tamus.edu</v>
      </c>
      <c r="AC45" s="129">
        <f>'TAMUSA Sum'!$F$31</f>
        <v>160466</v>
      </c>
    </row>
    <row r="46" spans="1:29">
      <c r="A46" s="480">
        <v>333</v>
      </c>
      <c r="B46" s="678">
        <v>4</v>
      </c>
      <c r="C46" s="68" t="s">
        <v>1132</v>
      </c>
      <c r="D46" s="1002">
        <v>103639</v>
      </c>
      <c r="E46" s="124" t="str">
        <f t="shared" si="0"/>
        <v>FY 16</v>
      </c>
      <c r="F46" s="133" t="s">
        <v>276</v>
      </c>
      <c r="G46" s="631">
        <f>'UNTD Sum'!$C$6</f>
        <v>3464.14</v>
      </c>
      <c r="H46" s="134">
        <f>'UNTD Sum'!$G$11</f>
        <v>30073544</v>
      </c>
      <c r="I46" s="135">
        <f>'UNTD Sum'!$G$14</f>
        <v>3354441</v>
      </c>
      <c r="J46" s="134">
        <f>'UNTD Sum'!$F$20</f>
        <v>30361512</v>
      </c>
      <c r="K46" s="134">
        <f>'UNTD Sum'!$F$23</f>
        <v>22473380</v>
      </c>
      <c r="L46" s="134">
        <f>'UNTD Sum'!$F$32</f>
        <v>3634709</v>
      </c>
      <c r="M46" s="135">
        <f t="shared" si="1"/>
        <v>89897586</v>
      </c>
      <c r="N46" s="134">
        <f t="shared" si="2"/>
        <v>86543145</v>
      </c>
      <c r="O46" s="135">
        <f>'UNTD Sum'!$F$47</f>
        <v>65433377</v>
      </c>
      <c r="P46" s="136">
        <f t="shared" si="3"/>
        <v>21109768</v>
      </c>
      <c r="Q46" s="137">
        <f t="shared" si="4"/>
        <v>0.24392189583588625</v>
      </c>
      <c r="R46" s="632"/>
      <c r="S46" s="633"/>
      <c r="T46" s="633"/>
      <c r="U46" s="633"/>
      <c r="V46" s="634"/>
      <c r="X46" s="528" t="str">
        <f>'UNTD FGD'!$O$92</f>
        <v>Gia Doss</v>
      </c>
      <c r="Y46" s="528">
        <f>'UNTD FGD'!$Q$92</f>
        <v>0</v>
      </c>
      <c r="Z46" s="528" t="str">
        <f>'UNTD FGD'!$T$92</f>
        <v>Gia.Doss@untsystem.edu</v>
      </c>
      <c r="AC46" s="134">
        <f>'UNTD Sum'!$F$31</f>
        <v>392019</v>
      </c>
    </row>
    <row r="47" spans="1:29" ht="13.5" thickBot="1">
      <c r="A47" s="139"/>
      <c r="B47" s="139"/>
      <c r="C47" s="139"/>
      <c r="D47" s="138"/>
      <c r="E47" s="139">
        <f>COUNTA(E10:E46)</f>
        <v>37</v>
      </c>
      <c r="F47" s="140" t="s">
        <v>207</v>
      </c>
      <c r="G47" s="341">
        <f t="shared" ref="G47:O47" si="5">SUM(G10:G46)</f>
        <v>610403.56999999995</v>
      </c>
      <c r="H47" s="46">
        <f t="shared" si="5"/>
        <v>4021941972</v>
      </c>
      <c r="I47" s="141">
        <f t="shared" si="5"/>
        <v>1374476015</v>
      </c>
      <c r="J47" s="46">
        <f t="shared" si="5"/>
        <v>5337167274</v>
      </c>
      <c r="K47" s="46">
        <f t="shared" si="5"/>
        <v>4208850724</v>
      </c>
      <c r="L47" s="46">
        <f t="shared" si="5"/>
        <v>4406625734</v>
      </c>
      <c r="M47" s="141">
        <f t="shared" si="5"/>
        <v>19349061719</v>
      </c>
      <c r="N47" s="46">
        <f t="shared" si="5"/>
        <v>17974585704</v>
      </c>
      <c r="O47" s="141">
        <f t="shared" si="5"/>
        <v>15086798463</v>
      </c>
      <c r="P47" s="141">
        <f>SUM(P10:P46)</f>
        <v>2887787241</v>
      </c>
      <c r="Q47" s="143">
        <f t="shared" si="4"/>
        <v>0.16065946044905849</v>
      </c>
      <c r="R47" s="141">
        <f t="shared" ref="R47:V47" si="6">SUM(R10:R46)</f>
        <v>0</v>
      </c>
      <c r="S47" s="141">
        <f t="shared" si="6"/>
        <v>0</v>
      </c>
      <c r="T47" s="141">
        <f t="shared" si="6"/>
        <v>0</v>
      </c>
      <c r="U47" s="141">
        <f t="shared" si="6"/>
        <v>0</v>
      </c>
      <c r="V47" s="141">
        <f t="shared" si="6"/>
        <v>0</v>
      </c>
      <c r="X47" s="114"/>
      <c r="Y47" s="114"/>
      <c r="Z47" s="114"/>
      <c r="AC47" s="46">
        <f t="shared" ref="AC47" si="7">SUM(AC10:AC46)</f>
        <v>261186547</v>
      </c>
    </row>
    <row r="48" spans="1:29" s="114" customFormat="1" ht="13.5" thickTop="1">
      <c r="A48" s="145"/>
      <c r="B48" s="145"/>
      <c r="C48" s="145"/>
      <c r="G48" s="354"/>
      <c r="I48" s="152">
        <f>I47+H47</f>
        <v>5396417987</v>
      </c>
      <c r="Q48" s="144"/>
    </row>
    <row r="49" spans="1:24" s="114" customFormat="1">
      <c r="A49" s="145"/>
      <c r="B49" s="145"/>
      <c r="C49" s="145"/>
      <c r="F49" s="114" t="s">
        <v>1138</v>
      </c>
      <c r="G49" s="354"/>
      <c r="M49" s="114">
        <f>M47/G47</f>
        <v>31698.801694426529</v>
      </c>
      <c r="Q49" s="144"/>
    </row>
    <row r="50" spans="1:24" s="114" customFormat="1">
      <c r="A50" s="145"/>
      <c r="B50" s="145"/>
      <c r="C50" s="145"/>
      <c r="F50" s="114" t="s">
        <v>1137</v>
      </c>
      <c r="G50" s="354"/>
      <c r="Q50" s="144"/>
    </row>
    <row r="51" spans="1:24" s="114" customFormat="1">
      <c r="A51" s="145"/>
      <c r="B51" s="145"/>
      <c r="C51" s="145"/>
      <c r="E51" s="114" t="s">
        <v>282</v>
      </c>
      <c r="H51" s="77" t="s">
        <v>208</v>
      </c>
      <c r="I51" s="77" t="s">
        <v>208</v>
      </c>
      <c r="J51" s="77" t="s">
        <v>208</v>
      </c>
      <c r="K51" s="145"/>
      <c r="L51" s="77" t="s">
        <v>208</v>
      </c>
      <c r="M51" s="145"/>
      <c r="Q51" s="144"/>
    </row>
    <row r="52" spans="1:24" s="114" customFormat="1" ht="38.25" outlineLevel="1">
      <c r="A52" s="145"/>
      <c r="B52" s="145"/>
      <c r="C52" s="145"/>
      <c r="F52" s="146" t="s">
        <v>209</v>
      </c>
      <c r="G52" s="146"/>
      <c r="H52" s="147" t="s">
        <v>1</v>
      </c>
      <c r="I52" s="148" t="s">
        <v>28</v>
      </c>
      <c r="J52" s="148" t="s">
        <v>39</v>
      </c>
      <c r="K52" s="148" t="s">
        <v>7</v>
      </c>
      <c r="L52" s="148" t="s">
        <v>42</v>
      </c>
      <c r="M52" s="149" t="s">
        <v>68</v>
      </c>
      <c r="O52" s="753" t="s">
        <v>1149</v>
      </c>
      <c r="Q52" s="144"/>
      <c r="T52" s="635" t="s">
        <v>1</v>
      </c>
      <c r="U52" s="635" t="s">
        <v>1090</v>
      </c>
    </row>
    <row r="53" spans="1:24" s="114" customFormat="1" ht="51" outlineLevel="1">
      <c r="A53" s="145"/>
      <c r="B53" s="145"/>
      <c r="C53" s="145"/>
      <c r="H53" s="147" t="s">
        <v>2</v>
      </c>
      <c r="I53" s="148" t="s">
        <v>49</v>
      </c>
      <c r="J53" s="148" t="s">
        <v>40</v>
      </c>
      <c r="K53" s="150"/>
      <c r="L53" s="148" t="s">
        <v>9</v>
      </c>
      <c r="M53" s="150"/>
      <c r="O53" s="754" t="s">
        <v>1150</v>
      </c>
      <c r="Q53" s="144"/>
      <c r="T53" s="636" t="s">
        <v>1091</v>
      </c>
      <c r="U53" s="636" t="s">
        <v>1092</v>
      </c>
    </row>
    <row r="54" spans="1:24" s="114" customFormat="1" ht="38.25" outlineLevel="1">
      <c r="A54" s="145"/>
      <c r="B54" s="145"/>
      <c r="C54" s="145"/>
      <c r="H54" s="147" t="s">
        <v>130</v>
      </c>
      <c r="I54" s="150"/>
      <c r="J54" s="754" t="s">
        <v>1142</v>
      </c>
      <c r="K54" s="150"/>
      <c r="L54" s="148" t="s">
        <v>10</v>
      </c>
      <c r="M54" s="150"/>
      <c r="Q54" s="144"/>
    </row>
    <row r="55" spans="1:24" s="114" customFormat="1" ht="25.5" outlineLevel="1">
      <c r="A55" s="145"/>
      <c r="B55" s="145"/>
      <c r="C55" s="145"/>
      <c r="L55" s="148" t="s">
        <v>11</v>
      </c>
      <c r="Q55" s="144"/>
    </row>
    <row r="56" spans="1:24" s="114" customFormat="1" ht="38.25" outlineLevel="1">
      <c r="A56" s="145"/>
      <c r="B56" s="145"/>
      <c r="C56" s="145"/>
      <c r="L56" s="755" t="s">
        <v>711</v>
      </c>
      <c r="Q56" s="144"/>
    </row>
    <row r="57" spans="1:24" s="114" customFormat="1" ht="25.5" outlineLevel="1">
      <c r="A57" s="145"/>
      <c r="B57" s="145"/>
      <c r="C57" s="145"/>
      <c r="H57" s="587" t="s">
        <v>210</v>
      </c>
      <c r="L57" s="148" t="s">
        <v>43</v>
      </c>
      <c r="Q57" s="144"/>
    </row>
    <row r="58" spans="1:24" s="114" customFormat="1" outlineLevel="1">
      <c r="A58" s="145"/>
      <c r="B58" s="145"/>
      <c r="C58" s="145"/>
      <c r="H58" s="151" t="s">
        <v>211</v>
      </c>
      <c r="Q58" s="144"/>
    </row>
    <row r="59" spans="1:24" s="114" customFormat="1" outlineLevel="1">
      <c r="A59" s="145"/>
      <c r="B59" s="145"/>
      <c r="C59" s="145"/>
      <c r="H59" s="151" t="s">
        <v>1153</v>
      </c>
      <c r="Q59" s="144"/>
    </row>
    <row r="60" spans="1:24" s="114" customFormat="1" outlineLevel="1">
      <c r="A60" s="145"/>
      <c r="B60" s="145"/>
      <c r="C60" s="145"/>
      <c r="H60" s="151" t="s">
        <v>213</v>
      </c>
      <c r="Q60" s="144"/>
    </row>
    <row r="61" spans="1:24" s="114" customFormat="1" outlineLevel="1">
      <c r="A61" s="145"/>
      <c r="B61" s="145"/>
      <c r="C61" s="145"/>
      <c r="H61" s="151" t="s">
        <v>214</v>
      </c>
      <c r="Q61" s="144"/>
    </row>
    <row r="62" spans="1:24" s="114" customFormat="1">
      <c r="A62" s="145"/>
      <c r="B62" s="145"/>
      <c r="C62" s="145"/>
      <c r="Q62" s="144"/>
      <c r="X62" s="144"/>
    </row>
    <row r="63" spans="1:24" s="114" customFormat="1">
      <c r="A63" s="145"/>
      <c r="B63" s="145"/>
      <c r="C63" s="145"/>
      <c r="Q63" s="144"/>
    </row>
    <row r="64" spans="1:24" s="114" customFormat="1">
      <c r="A64" s="145"/>
      <c r="B64" s="145"/>
      <c r="C64" s="145"/>
      <c r="G64" s="665" t="str">
        <f>IF(G47&lt;&gt;'Smmy Sum'!C42,"Error","Balanced")</f>
        <v>Error</v>
      </c>
      <c r="H64" s="665" t="str">
        <f>IF(H47&lt;&gt;'Smmy Sum'!$G$47,"Error","Balanced")</f>
        <v>Error</v>
      </c>
      <c r="I64" s="665" t="str">
        <f>IF(I47&lt;&gt;'Smmy Sum'!$G$50,"Error","Balanced")</f>
        <v>Error</v>
      </c>
      <c r="J64" s="665" t="str">
        <f>IF(J47&lt;&gt;'Smmy Sum'!$F$56,"Error","Balanced")</f>
        <v>Error</v>
      </c>
      <c r="K64" s="665" t="str">
        <f>IF(K47&lt;&gt;'Smmy Sum'!$F$59,"Error","Balanced")</f>
        <v>Error</v>
      </c>
      <c r="L64" s="665" t="str">
        <f>IF(L47&lt;&gt;'Smmy Sum'!$F$68,"Error","Balanced")</f>
        <v>Error</v>
      </c>
      <c r="M64" s="665" t="str">
        <f>IF(M47&lt;&gt;'Smmy Sum'!$F$69,"Error","Balanced")</f>
        <v>Error</v>
      </c>
      <c r="O64" s="665" t="str">
        <f>IF(O47&lt;&gt;'Smmy Sum'!$F$83,"Error","Balanced")</f>
        <v>Error</v>
      </c>
      <c r="Q64" s="144"/>
    </row>
    <row r="65" spans="1:22" s="114" customFormat="1">
      <c r="A65" s="145"/>
      <c r="B65" s="145"/>
      <c r="C65" s="145"/>
      <c r="Q65" s="144"/>
    </row>
    <row r="66" spans="1:22" s="114" customFormat="1">
      <c r="A66" s="145"/>
      <c r="B66" s="145"/>
      <c r="C66" s="145"/>
      <c r="G66" s="145" t="s">
        <v>1151</v>
      </c>
      <c r="H66" s="145" t="s">
        <v>419</v>
      </c>
      <c r="I66" s="145" t="s">
        <v>421</v>
      </c>
      <c r="J66" s="145" t="s">
        <v>403</v>
      </c>
      <c r="K66" s="145" t="s">
        <v>404</v>
      </c>
      <c r="L66" s="145" t="s">
        <v>814</v>
      </c>
      <c r="M66" s="145"/>
      <c r="N66" s="145"/>
      <c r="O66" s="145" t="s">
        <v>620</v>
      </c>
      <c r="Q66" s="144"/>
    </row>
    <row r="67" spans="1:22" s="114" customFormat="1">
      <c r="A67" s="145"/>
      <c r="B67" s="145"/>
      <c r="C67" s="145"/>
      <c r="Q67" s="144"/>
    </row>
    <row r="68" spans="1:22" s="114" customFormat="1">
      <c r="A68" s="145"/>
      <c r="B68" s="145"/>
      <c r="C68" s="145"/>
      <c r="Q68" s="144"/>
    </row>
    <row r="69" spans="1:22" s="114" customFormat="1">
      <c r="A69" s="145"/>
      <c r="B69" s="145"/>
      <c r="C69" s="145"/>
      <c r="Q69" s="144"/>
    </row>
    <row r="70" spans="1:22" s="114" customFormat="1" ht="13.5" thickBot="1">
      <c r="A70" s="145"/>
      <c r="B70" s="145"/>
      <c r="C70" s="145"/>
      <c r="E70" s="114" t="s">
        <v>1348</v>
      </c>
      <c r="G70" s="341"/>
      <c r="H70" s="46"/>
      <c r="I70" s="141"/>
      <c r="J70" s="46"/>
      <c r="K70" s="46"/>
      <c r="L70" s="46"/>
      <c r="M70" s="141"/>
      <c r="N70" s="46"/>
      <c r="O70" s="141"/>
      <c r="P70" s="141"/>
      <c r="Q70" s="143"/>
      <c r="R70" s="141"/>
      <c r="S70" s="141"/>
      <c r="T70" s="141"/>
      <c r="U70" s="141"/>
      <c r="V70" s="141"/>
    </row>
    <row r="71" spans="1:22" s="114" customFormat="1" ht="13.5" thickTop="1">
      <c r="A71" s="145"/>
      <c r="B71" s="145"/>
      <c r="C71" s="145"/>
      <c r="Q71" s="144"/>
    </row>
    <row r="72" spans="1:22" s="114" customFormat="1">
      <c r="A72" s="145"/>
      <c r="B72" s="145"/>
      <c r="C72" s="145"/>
      <c r="G72" s="711">
        <f>G70-G47</f>
        <v>-610403.56999999995</v>
      </c>
      <c r="H72" s="711">
        <f t="shared" ref="H72:V72" si="8">H70-H47</f>
        <v>-4021941972</v>
      </c>
      <c r="I72" s="711">
        <f t="shared" si="8"/>
        <v>-1374476015</v>
      </c>
      <c r="J72" s="711">
        <f t="shared" si="8"/>
        <v>-5337167274</v>
      </c>
      <c r="K72" s="711">
        <f t="shared" si="8"/>
        <v>-4208850724</v>
      </c>
      <c r="L72" s="711">
        <f t="shared" si="8"/>
        <v>-4406625734</v>
      </c>
      <c r="M72" s="711">
        <f t="shared" si="8"/>
        <v>-19349061719</v>
      </c>
      <c r="N72" s="711">
        <f t="shared" si="8"/>
        <v>-17974585704</v>
      </c>
      <c r="O72" s="711">
        <f t="shared" si="8"/>
        <v>-15086798463</v>
      </c>
      <c r="P72" s="711">
        <f t="shared" si="8"/>
        <v>-2887787241</v>
      </c>
      <c r="Q72" s="711">
        <f t="shared" si="8"/>
        <v>-0.16065946044905849</v>
      </c>
      <c r="R72" s="711">
        <f t="shared" si="8"/>
        <v>0</v>
      </c>
      <c r="S72" s="711">
        <f t="shared" si="8"/>
        <v>0</v>
      </c>
      <c r="T72" s="711">
        <f t="shared" si="8"/>
        <v>0</v>
      </c>
      <c r="U72" s="711">
        <f t="shared" si="8"/>
        <v>0</v>
      </c>
      <c r="V72" s="711">
        <f t="shared" si="8"/>
        <v>0</v>
      </c>
    </row>
    <row r="73" spans="1:22" s="114" customFormat="1">
      <c r="A73" s="145"/>
      <c r="B73" s="145"/>
      <c r="C73" s="145"/>
      <c r="Q73" s="144"/>
    </row>
    <row r="74" spans="1:22" s="114" customFormat="1">
      <c r="A74" s="145"/>
      <c r="B74" s="145"/>
      <c r="C74" s="145"/>
      <c r="Q74" s="144"/>
    </row>
    <row r="75" spans="1:22" s="114" customFormat="1">
      <c r="A75" s="145"/>
      <c r="B75" s="145"/>
      <c r="C75" s="145"/>
      <c r="Q75" s="144"/>
    </row>
    <row r="76" spans="1:22" s="114" customFormat="1">
      <c r="A76" s="145"/>
      <c r="B76" s="145"/>
      <c r="C76" s="145"/>
      <c r="Q76" s="144"/>
    </row>
    <row r="77" spans="1:22" s="114" customFormat="1">
      <c r="A77" s="145"/>
      <c r="B77" s="145"/>
      <c r="C77" s="145"/>
      <c r="Q77" s="144"/>
    </row>
    <row r="78" spans="1:22" s="114" customFormat="1">
      <c r="A78" s="145"/>
      <c r="B78" s="145"/>
      <c r="C78" s="145"/>
      <c r="Q78" s="144"/>
    </row>
    <row r="79" spans="1:22" s="114" customFormat="1">
      <c r="A79" s="145"/>
      <c r="B79" s="145"/>
      <c r="C79" s="145"/>
      <c r="Q79" s="144"/>
    </row>
    <row r="80" spans="1:22" s="114" customFormat="1">
      <c r="A80" s="145"/>
      <c r="B80" s="145"/>
      <c r="C80" s="145"/>
      <c r="Q80" s="144"/>
    </row>
    <row r="81" spans="1:17" s="114" customFormat="1">
      <c r="A81" s="145"/>
      <c r="B81" s="145"/>
      <c r="C81" s="145"/>
      <c r="Q81" s="144"/>
    </row>
    <row r="82" spans="1:17" s="114" customFormat="1">
      <c r="A82" s="145"/>
      <c r="B82" s="145"/>
      <c r="C82" s="145"/>
      <c r="Q82" s="144"/>
    </row>
    <row r="83" spans="1:17" s="114" customFormat="1">
      <c r="A83" s="145"/>
      <c r="B83" s="145"/>
      <c r="C83" s="145"/>
      <c r="Q83" s="144"/>
    </row>
    <row r="84" spans="1:17" s="114" customFormat="1">
      <c r="A84" s="145"/>
      <c r="B84" s="145"/>
      <c r="C84" s="145"/>
      <c r="Q84" s="144"/>
    </row>
    <row r="85" spans="1:17" s="114" customFormat="1">
      <c r="A85" s="145"/>
      <c r="B85" s="145"/>
      <c r="C85" s="145"/>
      <c r="Q85" s="144"/>
    </row>
    <row r="86" spans="1:17" s="114" customFormat="1">
      <c r="A86" s="145"/>
      <c r="B86" s="145"/>
      <c r="C86" s="145"/>
      <c r="Q86" s="144"/>
    </row>
    <row r="87" spans="1:17" s="114" customFormat="1">
      <c r="A87" s="145"/>
      <c r="B87" s="145"/>
      <c r="C87" s="145"/>
      <c r="Q87" s="144"/>
    </row>
    <row r="88" spans="1:17" s="114" customFormat="1">
      <c r="A88" s="145"/>
      <c r="B88" s="145"/>
      <c r="C88" s="145"/>
      <c r="Q88" s="144"/>
    </row>
    <row r="89" spans="1:17" s="114" customFormat="1">
      <c r="A89" s="145"/>
      <c r="B89" s="145"/>
      <c r="C89" s="145"/>
      <c r="Q89" s="144"/>
    </row>
    <row r="90" spans="1:17" s="114" customFormat="1">
      <c r="A90" s="145"/>
      <c r="B90" s="145"/>
      <c r="C90" s="145"/>
      <c r="Q90" s="144"/>
    </row>
    <row r="91" spans="1:17" s="114" customFormat="1">
      <c r="A91" s="145"/>
      <c r="B91" s="145"/>
      <c r="C91" s="145"/>
      <c r="Q91" s="144"/>
    </row>
    <row r="92" spans="1:17" s="114" customFormat="1">
      <c r="A92" s="145"/>
      <c r="B92" s="145"/>
      <c r="C92" s="145"/>
      <c r="Q92" s="144"/>
    </row>
    <row r="93" spans="1:17" s="114" customFormat="1">
      <c r="A93" s="145"/>
      <c r="B93" s="145"/>
      <c r="C93" s="145"/>
      <c r="Q93" s="144"/>
    </row>
    <row r="94" spans="1:17" s="114" customFormat="1">
      <c r="A94" s="145"/>
      <c r="B94" s="145"/>
      <c r="C94" s="145"/>
      <c r="Q94" s="144"/>
    </row>
    <row r="95" spans="1:17" s="114" customFormat="1">
      <c r="A95" s="145"/>
      <c r="B95" s="145"/>
      <c r="C95" s="145"/>
      <c r="Q95" s="144"/>
    </row>
    <row r="96" spans="1:17" s="114" customFormat="1">
      <c r="A96" s="145"/>
      <c r="B96" s="145"/>
      <c r="C96" s="145"/>
      <c r="Q96" s="144"/>
    </row>
    <row r="97" spans="1:17" s="114" customFormat="1">
      <c r="A97" s="145"/>
      <c r="B97" s="145"/>
      <c r="C97" s="145"/>
      <c r="Q97" s="144"/>
    </row>
    <row r="98" spans="1:17" s="114" customFormat="1">
      <c r="A98" s="145"/>
      <c r="B98" s="145"/>
      <c r="C98" s="145"/>
      <c r="Q98" s="144"/>
    </row>
    <row r="99" spans="1:17" s="114" customFormat="1">
      <c r="A99" s="145"/>
      <c r="B99" s="145"/>
      <c r="C99" s="145"/>
      <c r="Q99" s="144"/>
    </row>
    <row r="100" spans="1:17" s="114" customFormat="1">
      <c r="A100" s="145"/>
      <c r="B100" s="145"/>
      <c r="C100" s="145"/>
      <c r="Q100" s="144"/>
    </row>
    <row r="101" spans="1:17" s="114" customFormat="1">
      <c r="A101" s="145"/>
      <c r="B101" s="145"/>
      <c r="C101" s="145"/>
      <c r="Q101" s="144"/>
    </row>
    <row r="102" spans="1:17" s="114" customFormat="1">
      <c r="A102" s="145"/>
      <c r="B102" s="145"/>
      <c r="C102" s="145"/>
      <c r="Q102" s="144"/>
    </row>
    <row r="103" spans="1:17" s="114" customFormat="1">
      <c r="A103" s="145"/>
      <c r="B103" s="145"/>
      <c r="C103" s="145"/>
      <c r="Q103" s="144"/>
    </row>
    <row r="104" spans="1:17" s="114" customFormat="1">
      <c r="A104" s="145"/>
      <c r="B104" s="145"/>
      <c r="C104" s="145"/>
      <c r="Q104" s="144"/>
    </row>
    <row r="105" spans="1:17" s="114" customFormat="1">
      <c r="A105" s="145"/>
      <c r="B105" s="145"/>
      <c r="C105" s="145"/>
      <c r="Q105" s="144"/>
    </row>
    <row r="106" spans="1:17" s="114" customFormat="1">
      <c r="A106" s="145"/>
      <c r="B106" s="145"/>
      <c r="C106" s="145"/>
      <c r="Q106" s="144"/>
    </row>
    <row r="107" spans="1:17" s="114" customFormat="1">
      <c r="A107" s="145"/>
      <c r="B107" s="145"/>
      <c r="C107" s="145"/>
      <c r="Q107" s="144"/>
    </row>
    <row r="108" spans="1:17" s="114" customFormat="1">
      <c r="A108" s="145"/>
      <c r="B108" s="145"/>
      <c r="C108" s="145"/>
      <c r="Q108" s="144"/>
    </row>
    <row r="109" spans="1:17" s="114" customFormat="1">
      <c r="A109" s="145"/>
      <c r="B109" s="145"/>
      <c r="C109" s="145"/>
      <c r="Q109" s="144"/>
    </row>
    <row r="110" spans="1:17" s="114" customFormat="1">
      <c r="A110" s="145"/>
      <c r="B110" s="145"/>
      <c r="C110" s="145"/>
      <c r="Q110" s="144"/>
    </row>
    <row r="111" spans="1:17" s="114" customFormat="1">
      <c r="A111" s="145"/>
      <c r="B111" s="145"/>
      <c r="C111" s="145"/>
      <c r="Q111" s="144"/>
    </row>
    <row r="112" spans="1:17" s="114" customFormat="1">
      <c r="A112" s="145"/>
      <c r="B112" s="145"/>
      <c r="C112" s="145"/>
      <c r="Q112" s="144"/>
    </row>
    <row r="113" spans="1:17" s="114" customFormat="1">
      <c r="A113" s="145"/>
      <c r="B113" s="145"/>
      <c r="C113" s="145"/>
      <c r="Q113" s="144"/>
    </row>
    <row r="114" spans="1:17" s="114" customFormat="1">
      <c r="A114" s="145"/>
      <c r="B114" s="145"/>
      <c r="C114" s="145"/>
      <c r="Q114" s="144"/>
    </row>
    <row r="115" spans="1:17" s="114" customFormat="1">
      <c r="A115" s="145"/>
      <c r="B115" s="145"/>
      <c r="C115" s="145"/>
      <c r="Q115" s="144"/>
    </row>
    <row r="116" spans="1:17" s="114" customFormat="1">
      <c r="A116" s="145"/>
      <c r="B116" s="145"/>
      <c r="C116" s="145"/>
      <c r="Q116" s="144"/>
    </row>
    <row r="117" spans="1:17" s="114" customFormat="1">
      <c r="A117" s="145"/>
      <c r="B117" s="145"/>
      <c r="C117" s="145"/>
      <c r="Q117" s="144"/>
    </row>
    <row r="118" spans="1:17" s="114" customFormat="1">
      <c r="A118" s="145"/>
      <c r="B118" s="145"/>
      <c r="C118" s="145"/>
      <c r="Q118" s="144"/>
    </row>
    <row r="119" spans="1:17" s="114" customFormat="1">
      <c r="A119" s="145"/>
      <c r="B119" s="145"/>
      <c r="C119" s="145"/>
      <c r="Q119" s="144"/>
    </row>
    <row r="120" spans="1:17" s="114" customFormat="1">
      <c r="A120" s="145"/>
      <c r="B120" s="145"/>
      <c r="C120" s="145"/>
      <c r="Q120" s="144"/>
    </row>
    <row r="121" spans="1:17" s="114" customFormat="1">
      <c r="A121" s="145"/>
      <c r="B121" s="145"/>
      <c r="C121" s="145"/>
      <c r="Q121" s="144"/>
    </row>
    <row r="122" spans="1:17" s="114" customFormat="1">
      <c r="A122" s="145"/>
      <c r="B122" s="145"/>
      <c r="C122" s="145"/>
      <c r="Q122" s="144"/>
    </row>
    <row r="123" spans="1:17" s="114" customFormat="1">
      <c r="A123" s="145"/>
      <c r="B123" s="145"/>
      <c r="C123" s="145"/>
      <c r="Q123" s="144"/>
    </row>
    <row r="124" spans="1:17" s="114" customFormat="1">
      <c r="A124" s="145"/>
      <c r="B124" s="145"/>
      <c r="C124" s="145"/>
      <c r="Q124" s="144"/>
    </row>
    <row r="125" spans="1:17" s="114" customFormat="1">
      <c r="A125" s="145"/>
      <c r="B125" s="145"/>
      <c r="C125" s="145"/>
      <c r="Q125" s="144"/>
    </row>
    <row r="126" spans="1:17" s="114" customFormat="1">
      <c r="A126" s="145"/>
      <c r="B126" s="145"/>
      <c r="C126" s="145"/>
      <c r="Q126" s="144"/>
    </row>
    <row r="127" spans="1:17" s="114" customFormat="1">
      <c r="A127" s="145"/>
      <c r="B127" s="145"/>
      <c r="C127" s="145"/>
      <c r="Q127" s="144"/>
    </row>
    <row r="128" spans="1:17" s="114" customFormat="1">
      <c r="A128" s="145"/>
      <c r="B128" s="145"/>
      <c r="C128" s="145"/>
      <c r="Q128" s="144"/>
    </row>
    <row r="129" spans="1:17" s="114" customFormat="1">
      <c r="A129" s="145"/>
      <c r="B129" s="145"/>
      <c r="C129" s="145"/>
      <c r="Q129" s="144"/>
    </row>
    <row r="130" spans="1:17" s="114" customFormat="1">
      <c r="A130" s="145"/>
      <c r="B130" s="145"/>
      <c r="C130" s="145"/>
      <c r="Q130" s="144"/>
    </row>
    <row r="131" spans="1:17" s="114" customFormat="1">
      <c r="A131" s="145"/>
      <c r="B131" s="145"/>
      <c r="C131" s="145"/>
      <c r="Q131" s="144"/>
    </row>
    <row r="132" spans="1:17" s="114" customFormat="1">
      <c r="A132" s="145"/>
      <c r="B132" s="145"/>
      <c r="C132" s="145"/>
      <c r="Q132" s="144"/>
    </row>
    <row r="133" spans="1:17" s="114" customFormat="1">
      <c r="A133" s="145"/>
      <c r="B133" s="145"/>
      <c r="C133" s="145"/>
      <c r="Q133" s="144"/>
    </row>
    <row r="134" spans="1:17" s="114" customFormat="1">
      <c r="A134" s="145"/>
      <c r="B134" s="145"/>
      <c r="C134" s="145"/>
      <c r="Q134" s="144"/>
    </row>
    <row r="135" spans="1:17" s="114" customFormat="1">
      <c r="A135" s="145"/>
      <c r="B135" s="145"/>
      <c r="C135" s="145"/>
      <c r="Q135" s="144"/>
    </row>
    <row r="136" spans="1:17" s="114" customFormat="1">
      <c r="A136" s="145"/>
      <c r="B136" s="145"/>
      <c r="C136" s="145"/>
      <c r="Q136" s="144"/>
    </row>
    <row r="137" spans="1:17" s="114" customFormat="1">
      <c r="A137" s="145"/>
      <c r="B137" s="145"/>
      <c r="C137" s="145"/>
      <c r="Q137" s="144"/>
    </row>
    <row r="138" spans="1:17" s="114" customFormat="1">
      <c r="A138" s="145"/>
      <c r="B138" s="145"/>
      <c r="C138" s="145"/>
      <c r="Q138" s="144"/>
    </row>
    <row r="139" spans="1:17" s="114" customFormat="1">
      <c r="A139" s="145"/>
      <c r="B139" s="145"/>
      <c r="C139" s="145"/>
      <c r="Q139" s="144"/>
    </row>
    <row r="140" spans="1:17" s="114" customFormat="1">
      <c r="A140" s="145"/>
      <c r="B140" s="145"/>
      <c r="C140" s="145"/>
      <c r="Q140" s="144"/>
    </row>
    <row r="141" spans="1:17" s="114" customFormat="1">
      <c r="A141" s="145"/>
      <c r="B141" s="145"/>
      <c r="C141" s="145"/>
      <c r="Q141" s="144"/>
    </row>
    <row r="142" spans="1:17" s="114" customFormat="1">
      <c r="A142" s="145"/>
      <c r="B142" s="145"/>
      <c r="C142" s="145"/>
      <c r="Q142" s="144"/>
    </row>
    <row r="143" spans="1:17" s="114" customFormat="1">
      <c r="A143" s="145"/>
      <c r="B143" s="145"/>
      <c r="C143" s="145"/>
      <c r="Q143" s="144"/>
    </row>
    <row r="144" spans="1:17" s="114" customFormat="1">
      <c r="A144" s="145"/>
      <c r="B144" s="145"/>
      <c r="C144" s="145"/>
      <c r="Q144" s="144"/>
    </row>
    <row r="145" spans="1:17" s="114" customFormat="1">
      <c r="A145" s="145"/>
      <c r="B145" s="145"/>
      <c r="C145" s="145"/>
      <c r="Q145" s="144"/>
    </row>
    <row r="146" spans="1:17" s="114" customFormat="1">
      <c r="A146" s="145"/>
      <c r="B146" s="145"/>
      <c r="C146" s="145"/>
      <c r="Q146" s="144"/>
    </row>
    <row r="147" spans="1:17" s="114" customFormat="1">
      <c r="A147" s="145"/>
      <c r="B147" s="145"/>
      <c r="C147" s="145"/>
      <c r="Q147" s="144"/>
    </row>
    <row r="148" spans="1:17" s="114" customFormat="1">
      <c r="A148" s="145"/>
      <c r="B148" s="145"/>
      <c r="C148" s="145"/>
      <c r="Q148" s="144"/>
    </row>
    <row r="149" spans="1:17" s="114" customFormat="1">
      <c r="A149" s="145"/>
      <c r="B149" s="145"/>
      <c r="C149" s="145"/>
      <c r="Q149" s="144"/>
    </row>
    <row r="150" spans="1:17" s="114" customFormat="1">
      <c r="A150" s="145"/>
      <c r="B150" s="145"/>
      <c r="C150" s="145"/>
      <c r="Q150" s="144"/>
    </row>
    <row r="151" spans="1:17" s="114" customFormat="1">
      <c r="A151" s="145"/>
      <c r="B151" s="145"/>
      <c r="C151" s="145"/>
      <c r="Q151" s="144"/>
    </row>
    <row r="152" spans="1:17" s="114" customFormat="1">
      <c r="A152" s="145"/>
      <c r="B152" s="145"/>
      <c r="C152" s="145"/>
      <c r="Q152" s="144"/>
    </row>
    <row r="153" spans="1:17" s="114" customFormat="1">
      <c r="A153" s="145"/>
      <c r="B153" s="145"/>
      <c r="C153" s="145"/>
      <c r="Q153" s="144"/>
    </row>
    <row r="154" spans="1:17" s="114" customFormat="1">
      <c r="A154" s="145"/>
      <c r="B154" s="145"/>
      <c r="C154" s="145"/>
      <c r="Q154" s="144"/>
    </row>
    <row r="155" spans="1:17" s="114" customFormat="1">
      <c r="A155" s="145"/>
      <c r="B155" s="145"/>
      <c r="C155" s="145"/>
      <c r="Q155" s="144"/>
    </row>
    <row r="156" spans="1:17" s="114" customFormat="1">
      <c r="A156" s="145"/>
      <c r="B156" s="145"/>
      <c r="C156" s="145"/>
      <c r="Q156" s="144"/>
    </row>
    <row r="157" spans="1:17" s="114" customFormat="1">
      <c r="A157" s="145"/>
      <c r="B157" s="145"/>
      <c r="C157" s="145"/>
      <c r="Q157" s="144"/>
    </row>
    <row r="158" spans="1:17" s="114" customFormat="1">
      <c r="A158" s="145"/>
      <c r="B158" s="145"/>
      <c r="C158" s="145"/>
      <c r="Q158" s="144"/>
    </row>
    <row r="159" spans="1:17" s="114" customFormat="1">
      <c r="A159" s="145"/>
      <c r="B159" s="145"/>
      <c r="C159" s="145"/>
      <c r="Q159" s="144"/>
    </row>
    <row r="160" spans="1:17" s="114" customFormat="1">
      <c r="A160" s="145"/>
      <c r="B160" s="145"/>
      <c r="C160" s="145"/>
      <c r="Q160" s="144"/>
    </row>
    <row r="161" spans="1:17" s="114" customFormat="1">
      <c r="A161" s="145"/>
      <c r="B161" s="145"/>
      <c r="C161" s="145"/>
      <c r="Q161" s="144"/>
    </row>
    <row r="162" spans="1:17" s="114" customFormat="1">
      <c r="A162" s="145"/>
      <c r="B162" s="145"/>
      <c r="C162" s="145"/>
      <c r="Q162" s="144"/>
    </row>
    <row r="163" spans="1:17" s="114" customFormat="1">
      <c r="A163" s="145"/>
      <c r="B163" s="145"/>
      <c r="C163" s="145"/>
      <c r="Q163" s="144"/>
    </row>
    <row r="164" spans="1:17" s="114" customFormat="1">
      <c r="A164" s="145"/>
      <c r="B164" s="145"/>
      <c r="C164" s="145"/>
      <c r="Q164" s="144"/>
    </row>
    <row r="165" spans="1:17" s="114" customFormat="1">
      <c r="A165" s="145"/>
      <c r="B165" s="145"/>
      <c r="C165" s="145"/>
      <c r="Q165" s="144"/>
    </row>
    <row r="166" spans="1:17" s="114" customFormat="1">
      <c r="A166" s="145"/>
      <c r="B166" s="145"/>
      <c r="C166" s="145"/>
      <c r="Q166" s="144"/>
    </row>
    <row r="167" spans="1:17" s="114" customFormat="1">
      <c r="A167" s="145"/>
      <c r="B167" s="145"/>
      <c r="C167" s="145"/>
      <c r="Q167" s="144"/>
    </row>
    <row r="168" spans="1:17" s="114" customFormat="1">
      <c r="A168" s="145"/>
      <c r="B168" s="145"/>
      <c r="C168" s="145"/>
      <c r="Q168" s="144"/>
    </row>
    <row r="169" spans="1:17" s="114" customFormat="1">
      <c r="A169" s="145"/>
      <c r="B169" s="145"/>
      <c r="C169" s="145"/>
      <c r="Q169" s="144"/>
    </row>
    <row r="170" spans="1:17" s="114" customFormat="1">
      <c r="A170" s="145"/>
      <c r="B170" s="145"/>
      <c r="C170" s="145"/>
      <c r="Q170" s="144"/>
    </row>
    <row r="171" spans="1:17" s="114" customFormat="1">
      <c r="A171" s="145"/>
      <c r="B171" s="145"/>
      <c r="C171" s="145"/>
      <c r="Q171" s="144"/>
    </row>
    <row r="172" spans="1:17" s="114" customFormat="1">
      <c r="A172" s="145"/>
      <c r="B172" s="145"/>
      <c r="C172" s="145"/>
      <c r="Q172" s="144"/>
    </row>
    <row r="173" spans="1:17" s="114" customFormat="1">
      <c r="A173" s="145"/>
      <c r="B173" s="145"/>
      <c r="C173" s="145"/>
      <c r="Q173" s="144"/>
    </row>
    <row r="174" spans="1:17" s="114" customFormat="1">
      <c r="A174" s="145"/>
      <c r="B174" s="145"/>
      <c r="C174" s="145"/>
      <c r="Q174" s="144"/>
    </row>
    <row r="175" spans="1:17" s="114" customFormat="1">
      <c r="A175" s="145"/>
      <c r="B175" s="145"/>
      <c r="C175" s="145"/>
      <c r="Q175" s="144"/>
    </row>
    <row r="176" spans="1:17" s="114" customFormat="1">
      <c r="A176" s="145"/>
      <c r="B176" s="145"/>
      <c r="C176" s="145"/>
      <c r="Q176" s="144"/>
    </row>
    <row r="177" spans="1:17" s="114" customFormat="1">
      <c r="A177" s="145"/>
      <c r="B177" s="145"/>
      <c r="C177" s="145"/>
      <c r="Q177" s="144"/>
    </row>
    <row r="178" spans="1:17" s="114" customFormat="1">
      <c r="A178" s="145"/>
      <c r="B178" s="145"/>
      <c r="C178" s="145"/>
      <c r="Q178" s="144"/>
    </row>
    <row r="179" spans="1:17" s="114" customFormat="1">
      <c r="A179" s="145"/>
      <c r="B179" s="145"/>
      <c r="C179" s="145"/>
      <c r="Q179" s="144"/>
    </row>
    <row r="180" spans="1:17" s="114" customFormat="1">
      <c r="A180" s="145"/>
      <c r="B180" s="145"/>
      <c r="C180" s="145"/>
      <c r="Q180" s="144"/>
    </row>
    <row r="181" spans="1:17" s="114" customFormat="1">
      <c r="A181" s="145"/>
      <c r="B181" s="145"/>
      <c r="C181" s="145"/>
      <c r="Q181" s="144"/>
    </row>
    <row r="182" spans="1:17" s="114" customFormat="1">
      <c r="A182" s="145"/>
      <c r="B182" s="145"/>
      <c r="C182" s="145"/>
      <c r="Q182" s="144"/>
    </row>
    <row r="183" spans="1:17" s="114" customFormat="1">
      <c r="A183" s="145"/>
      <c r="B183" s="145"/>
      <c r="C183" s="145"/>
      <c r="Q183" s="144"/>
    </row>
    <row r="184" spans="1:17" s="114" customFormat="1">
      <c r="A184" s="145"/>
      <c r="B184" s="145"/>
      <c r="C184" s="145"/>
      <c r="Q184" s="144"/>
    </row>
    <row r="185" spans="1:17" s="114" customFormat="1">
      <c r="A185" s="145"/>
      <c r="B185" s="145"/>
      <c r="C185" s="145"/>
      <c r="Q185" s="144"/>
    </row>
    <row r="186" spans="1:17" s="114" customFormat="1">
      <c r="A186" s="145"/>
      <c r="B186" s="145"/>
      <c r="C186" s="145"/>
      <c r="Q186" s="144"/>
    </row>
    <row r="187" spans="1:17" s="114" customFormat="1">
      <c r="A187" s="145"/>
      <c r="B187" s="145"/>
      <c r="C187" s="145"/>
      <c r="Q187" s="144"/>
    </row>
    <row r="188" spans="1:17" s="114" customFormat="1">
      <c r="A188" s="145"/>
      <c r="B188" s="145"/>
      <c r="C188" s="145"/>
      <c r="Q188" s="144"/>
    </row>
    <row r="189" spans="1:17" s="114" customFormat="1">
      <c r="A189" s="145"/>
      <c r="B189" s="145"/>
      <c r="C189" s="145"/>
      <c r="Q189" s="144"/>
    </row>
    <row r="190" spans="1:17" s="114" customFormat="1">
      <c r="A190" s="145"/>
      <c r="B190" s="145"/>
      <c r="C190" s="145"/>
      <c r="Q190" s="144"/>
    </row>
    <row r="191" spans="1:17" s="114" customFormat="1">
      <c r="A191" s="145"/>
      <c r="B191" s="145"/>
      <c r="C191" s="145"/>
      <c r="Q191" s="144"/>
    </row>
    <row r="192" spans="1:17" s="114" customFormat="1">
      <c r="A192" s="145"/>
      <c r="B192" s="145"/>
      <c r="C192" s="145"/>
      <c r="Q192" s="144"/>
    </row>
    <row r="193" spans="1:17" s="114" customFormat="1">
      <c r="A193" s="145"/>
      <c r="B193" s="145"/>
      <c r="C193" s="145"/>
      <c r="Q193" s="144"/>
    </row>
    <row r="194" spans="1:17" s="114" customFormat="1">
      <c r="A194" s="145"/>
      <c r="B194" s="145"/>
      <c r="C194" s="145"/>
      <c r="Q194" s="144"/>
    </row>
    <row r="195" spans="1:17" s="114" customFormat="1">
      <c r="A195" s="145"/>
      <c r="B195" s="145"/>
      <c r="C195" s="145"/>
      <c r="Q195" s="144"/>
    </row>
    <row r="196" spans="1:17" s="114" customFormat="1">
      <c r="A196" s="145"/>
      <c r="B196" s="145"/>
      <c r="C196" s="145"/>
      <c r="Q196" s="144"/>
    </row>
    <row r="197" spans="1:17" s="114" customFormat="1">
      <c r="A197" s="145"/>
      <c r="B197" s="145"/>
      <c r="C197" s="145"/>
      <c r="Q197" s="144"/>
    </row>
    <row r="198" spans="1:17" s="114" customFormat="1">
      <c r="A198" s="145"/>
      <c r="B198" s="145"/>
      <c r="C198" s="145"/>
      <c r="Q198" s="144"/>
    </row>
    <row r="199" spans="1:17" s="114" customFormat="1">
      <c r="A199" s="145"/>
      <c r="B199" s="145"/>
      <c r="C199" s="145"/>
      <c r="Q199" s="144"/>
    </row>
    <row r="200" spans="1:17" s="114" customFormat="1">
      <c r="A200" s="145"/>
      <c r="B200" s="145"/>
      <c r="C200" s="145"/>
      <c r="Q200" s="144"/>
    </row>
    <row r="201" spans="1:17" s="114" customFormat="1">
      <c r="A201" s="145"/>
      <c r="B201" s="145"/>
      <c r="C201" s="145"/>
      <c r="Q201" s="144"/>
    </row>
    <row r="202" spans="1:17" s="114" customFormat="1">
      <c r="A202" s="145"/>
      <c r="B202" s="145"/>
      <c r="C202" s="145"/>
      <c r="Q202" s="144"/>
    </row>
    <row r="203" spans="1:17" s="114" customFormat="1">
      <c r="A203" s="145"/>
      <c r="B203" s="145"/>
      <c r="C203" s="145"/>
      <c r="Q203" s="144"/>
    </row>
    <row r="204" spans="1:17" s="114" customFormat="1">
      <c r="A204" s="145"/>
      <c r="B204" s="145"/>
      <c r="C204" s="145"/>
      <c r="Q204" s="144"/>
    </row>
    <row r="205" spans="1:17" s="114" customFormat="1">
      <c r="A205" s="145"/>
      <c r="B205" s="145"/>
      <c r="C205" s="145"/>
      <c r="Q205" s="144"/>
    </row>
    <row r="206" spans="1:17" s="114" customFormat="1">
      <c r="A206" s="145"/>
      <c r="B206" s="145"/>
      <c r="C206" s="145"/>
      <c r="Q206" s="144"/>
    </row>
    <row r="207" spans="1:17" s="114" customFormat="1">
      <c r="A207" s="145"/>
      <c r="B207" s="145"/>
      <c r="C207" s="145"/>
      <c r="Q207" s="144"/>
    </row>
    <row r="208" spans="1:17" s="114" customFormat="1">
      <c r="A208" s="145"/>
      <c r="B208" s="145"/>
      <c r="C208" s="145"/>
      <c r="Q208" s="144"/>
    </row>
    <row r="209" spans="1:17" s="114" customFormat="1">
      <c r="A209" s="145"/>
      <c r="B209" s="145"/>
      <c r="C209" s="145"/>
      <c r="Q209" s="144"/>
    </row>
    <row r="210" spans="1:17" s="114" customFormat="1">
      <c r="A210" s="145"/>
      <c r="B210" s="145"/>
      <c r="C210" s="145"/>
      <c r="Q210" s="144"/>
    </row>
    <row r="211" spans="1:17" s="114" customFormat="1">
      <c r="A211" s="145"/>
      <c r="B211" s="145"/>
      <c r="C211" s="145"/>
      <c r="Q211" s="144"/>
    </row>
    <row r="212" spans="1:17" s="114" customFormat="1">
      <c r="A212" s="145"/>
      <c r="B212" s="145"/>
      <c r="C212" s="145"/>
      <c r="Q212" s="144"/>
    </row>
    <row r="213" spans="1:17" s="114" customFormat="1">
      <c r="A213" s="145"/>
      <c r="B213" s="145"/>
      <c r="C213" s="145"/>
      <c r="Q213" s="144"/>
    </row>
    <row r="214" spans="1:17" s="114" customFormat="1">
      <c r="A214" s="145"/>
      <c r="B214" s="145"/>
      <c r="C214" s="145"/>
      <c r="Q214" s="144"/>
    </row>
    <row r="215" spans="1:17" s="114" customFormat="1">
      <c r="A215" s="145"/>
      <c r="B215" s="145"/>
      <c r="C215" s="145"/>
      <c r="Q215" s="144"/>
    </row>
    <row r="216" spans="1:17" s="114" customFormat="1">
      <c r="A216" s="145"/>
      <c r="B216" s="145"/>
      <c r="C216" s="145"/>
      <c r="Q216" s="144"/>
    </row>
    <row r="217" spans="1:17" s="114" customFormat="1">
      <c r="A217" s="145"/>
      <c r="B217" s="145"/>
      <c r="C217" s="145"/>
      <c r="Q217" s="144"/>
    </row>
    <row r="218" spans="1:17" s="114" customFormat="1">
      <c r="A218" s="145"/>
      <c r="B218" s="145"/>
      <c r="C218" s="145"/>
      <c r="Q218" s="144"/>
    </row>
    <row r="219" spans="1:17" s="114" customFormat="1">
      <c r="A219" s="145"/>
      <c r="B219" s="145"/>
      <c r="C219" s="145"/>
      <c r="Q219" s="144"/>
    </row>
    <row r="220" spans="1:17" s="114" customFormat="1">
      <c r="A220" s="145"/>
      <c r="B220" s="145"/>
      <c r="C220" s="145"/>
      <c r="Q220" s="144"/>
    </row>
    <row r="221" spans="1:17" s="114" customFormat="1">
      <c r="A221" s="145"/>
      <c r="B221" s="145"/>
      <c r="C221" s="145"/>
      <c r="Q221" s="144"/>
    </row>
    <row r="222" spans="1:17" s="114" customFormat="1">
      <c r="A222" s="145"/>
      <c r="B222" s="145"/>
      <c r="C222" s="145"/>
      <c r="Q222" s="144"/>
    </row>
    <row r="223" spans="1:17" s="114" customFormat="1">
      <c r="A223" s="145"/>
      <c r="B223" s="145"/>
      <c r="C223" s="145"/>
      <c r="Q223" s="144"/>
    </row>
    <row r="224" spans="1:17" s="114" customFormat="1">
      <c r="A224" s="145"/>
      <c r="B224" s="145"/>
      <c r="C224" s="145"/>
      <c r="Q224" s="144"/>
    </row>
    <row r="225" spans="1:17" s="114" customFormat="1">
      <c r="A225" s="145"/>
      <c r="B225" s="145"/>
      <c r="C225" s="145"/>
      <c r="Q225" s="144"/>
    </row>
    <row r="226" spans="1:17" s="114" customFormat="1">
      <c r="A226" s="145"/>
      <c r="B226" s="145"/>
      <c r="C226" s="145"/>
      <c r="Q226" s="144"/>
    </row>
    <row r="227" spans="1:17" s="114" customFormat="1">
      <c r="A227" s="145"/>
      <c r="B227" s="145"/>
      <c r="C227" s="145"/>
      <c r="Q227" s="144"/>
    </row>
    <row r="228" spans="1:17" s="114" customFormat="1">
      <c r="A228" s="145"/>
      <c r="B228" s="145"/>
      <c r="C228" s="145"/>
      <c r="Q228" s="144"/>
    </row>
    <row r="229" spans="1:17" s="114" customFormat="1">
      <c r="A229" s="145"/>
      <c r="B229" s="145"/>
      <c r="C229" s="145"/>
      <c r="Q229" s="144"/>
    </row>
    <row r="230" spans="1:17" s="114" customFormat="1">
      <c r="A230" s="145"/>
      <c r="B230" s="145"/>
      <c r="C230" s="145"/>
      <c r="Q230" s="144"/>
    </row>
    <row r="231" spans="1:17" s="114" customFormat="1">
      <c r="A231" s="145"/>
      <c r="B231" s="145"/>
      <c r="C231" s="145"/>
      <c r="Q231" s="144"/>
    </row>
    <row r="232" spans="1:17" s="114" customFormat="1">
      <c r="A232" s="145"/>
      <c r="B232" s="145"/>
      <c r="C232" s="145"/>
      <c r="Q232" s="144"/>
    </row>
    <row r="233" spans="1:17" s="114" customFormat="1">
      <c r="A233" s="145"/>
      <c r="B233" s="145"/>
      <c r="C233" s="145"/>
      <c r="Q233" s="144"/>
    </row>
    <row r="234" spans="1:17" s="114" customFormat="1">
      <c r="A234" s="145"/>
      <c r="B234" s="145"/>
      <c r="C234" s="145"/>
      <c r="Q234" s="144"/>
    </row>
    <row r="235" spans="1:17" s="114" customFormat="1">
      <c r="A235" s="145"/>
      <c r="B235" s="145"/>
      <c r="C235" s="145"/>
      <c r="Q235" s="144"/>
    </row>
    <row r="236" spans="1:17" s="114" customFormat="1">
      <c r="A236" s="145"/>
      <c r="B236" s="145"/>
      <c r="C236" s="145"/>
      <c r="Q236" s="144"/>
    </row>
    <row r="237" spans="1:17" s="114" customFormat="1">
      <c r="A237" s="145"/>
      <c r="B237" s="145"/>
      <c r="C237" s="145"/>
      <c r="Q237" s="144"/>
    </row>
    <row r="238" spans="1:17" s="114" customFormat="1">
      <c r="A238" s="145"/>
      <c r="B238" s="145"/>
      <c r="C238" s="145"/>
      <c r="Q238" s="144"/>
    </row>
    <row r="239" spans="1:17" s="114" customFormat="1">
      <c r="A239" s="145"/>
      <c r="B239" s="145"/>
      <c r="C239" s="145"/>
      <c r="Q239" s="144"/>
    </row>
    <row r="240" spans="1:17" s="114" customFormat="1">
      <c r="A240" s="145"/>
      <c r="B240" s="145"/>
      <c r="C240" s="145"/>
      <c r="Q240" s="144"/>
    </row>
    <row r="241" spans="1:17" s="114" customFormat="1">
      <c r="A241" s="145"/>
      <c r="B241" s="145"/>
      <c r="C241" s="145"/>
      <c r="Q241" s="144"/>
    </row>
    <row r="242" spans="1:17" s="114" customFormat="1">
      <c r="A242" s="145"/>
      <c r="B242" s="145"/>
      <c r="C242" s="145"/>
      <c r="Q242" s="144"/>
    </row>
    <row r="243" spans="1:17" s="114" customFormat="1">
      <c r="A243" s="145"/>
      <c r="B243" s="145"/>
      <c r="C243" s="145"/>
      <c r="Q243" s="144"/>
    </row>
    <row r="244" spans="1:17" s="114" customFormat="1">
      <c r="A244" s="145"/>
      <c r="B244" s="145"/>
      <c r="C244" s="145"/>
      <c r="Q244" s="144"/>
    </row>
    <row r="245" spans="1:17" s="114" customFormat="1">
      <c r="A245" s="145"/>
      <c r="B245" s="145"/>
      <c r="C245" s="145"/>
      <c r="Q245" s="144"/>
    </row>
    <row r="246" spans="1:17" s="114" customFormat="1">
      <c r="A246" s="145"/>
      <c r="B246" s="145"/>
      <c r="C246" s="145"/>
      <c r="Q246" s="144"/>
    </row>
    <row r="247" spans="1:17" s="114" customFormat="1">
      <c r="A247" s="145"/>
      <c r="B247" s="145"/>
      <c r="C247" s="145"/>
      <c r="Q247" s="144"/>
    </row>
    <row r="248" spans="1:17" s="114" customFormat="1">
      <c r="A248" s="145"/>
      <c r="B248" s="145"/>
      <c r="C248" s="145"/>
      <c r="Q248" s="144"/>
    </row>
    <row r="249" spans="1:17" s="114" customFormat="1">
      <c r="A249" s="145"/>
      <c r="B249" s="145"/>
      <c r="C249" s="145"/>
      <c r="Q249" s="144"/>
    </row>
    <row r="250" spans="1:17" s="114" customFormat="1">
      <c r="A250" s="145"/>
      <c r="B250" s="145"/>
      <c r="C250" s="145"/>
      <c r="Q250" s="144"/>
    </row>
    <row r="251" spans="1:17" s="114" customFormat="1">
      <c r="A251" s="145"/>
      <c r="B251" s="145"/>
      <c r="C251" s="145"/>
      <c r="Q251" s="144"/>
    </row>
    <row r="252" spans="1:17" s="114" customFormat="1">
      <c r="A252" s="145"/>
      <c r="B252" s="145"/>
      <c r="C252" s="145"/>
      <c r="Q252" s="144"/>
    </row>
    <row r="253" spans="1:17" s="114" customFormat="1">
      <c r="A253" s="145"/>
      <c r="B253" s="145"/>
      <c r="C253" s="145"/>
      <c r="Q253" s="144"/>
    </row>
    <row r="254" spans="1:17" s="114" customFormat="1">
      <c r="A254" s="145"/>
      <c r="B254" s="145"/>
      <c r="C254" s="145"/>
      <c r="Q254" s="144"/>
    </row>
    <row r="255" spans="1:17" s="114" customFormat="1">
      <c r="A255" s="145"/>
      <c r="B255" s="145"/>
      <c r="C255" s="145"/>
      <c r="Q255" s="144"/>
    </row>
    <row r="256" spans="1:17" s="114" customFormat="1">
      <c r="A256" s="145"/>
      <c r="B256" s="145"/>
      <c r="C256" s="145"/>
      <c r="Q256" s="144"/>
    </row>
    <row r="257" spans="1:17" s="114" customFormat="1">
      <c r="A257" s="145"/>
      <c r="B257" s="145"/>
      <c r="C257" s="145"/>
      <c r="Q257" s="144"/>
    </row>
    <row r="258" spans="1:17" s="114" customFormat="1">
      <c r="A258" s="145"/>
      <c r="B258" s="145"/>
      <c r="C258" s="145"/>
      <c r="Q258" s="144"/>
    </row>
    <row r="259" spans="1:17" s="114" customFormat="1">
      <c r="A259" s="145"/>
      <c r="B259" s="145"/>
      <c r="C259" s="145"/>
      <c r="Q259" s="144"/>
    </row>
    <row r="260" spans="1:17" s="114" customFormat="1">
      <c r="A260" s="145"/>
      <c r="B260" s="145"/>
      <c r="C260" s="145"/>
      <c r="Q260" s="144"/>
    </row>
    <row r="261" spans="1:17" s="114" customFormat="1">
      <c r="A261" s="145"/>
      <c r="B261" s="145"/>
      <c r="C261" s="145"/>
      <c r="Q261" s="144"/>
    </row>
    <row r="262" spans="1:17" s="114" customFormat="1">
      <c r="A262" s="145"/>
      <c r="B262" s="145"/>
      <c r="C262" s="145"/>
      <c r="Q262" s="144"/>
    </row>
    <row r="263" spans="1:17" s="114" customFormat="1">
      <c r="A263" s="145"/>
      <c r="B263" s="145"/>
      <c r="C263" s="145"/>
      <c r="Q263" s="144"/>
    </row>
    <row r="264" spans="1:17" s="114" customFormat="1">
      <c r="A264" s="145"/>
      <c r="B264" s="145"/>
      <c r="C264" s="145"/>
      <c r="Q264" s="144"/>
    </row>
    <row r="265" spans="1:17" s="114" customFormat="1">
      <c r="A265" s="145"/>
      <c r="B265" s="145"/>
      <c r="C265" s="145"/>
      <c r="Q265" s="144"/>
    </row>
    <row r="266" spans="1:17" s="114" customFormat="1">
      <c r="A266" s="145"/>
      <c r="B266" s="145"/>
      <c r="C266" s="145"/>
      <c r="Q266" s="144"/>
    </row>
    <row r="267" spans="1:17" s="114" customFormat="1">
      <c r="A267" s="145"/>
      <c r="B267" s="145"/>
      <c r="C267" s="145"/>
      <c r="Q267" s="144"/>
    </row>
    <row r="268" spans="1:17" s="114" customFormat="1">
      <c r="A268" s="145"/>
      <c r="B268" s="145"/>
      <c r="C268" s="145"/>
      <c r="Q268" s="144"/>
    </row>
    <row r="269" spans="1:17" s="114" customFormat="1">
      <c r="A269" s="145"/>
      <c r="B269" s="145"/>
      <c r="C269" s="145"/>
      <c r="Q269" s="144"/>
    </row>
    <row r="270" spans="1:17" s="114" customFormat="1">
      <c r="A270" s="145"/>
      <c r="B270" s="145"/>
      <c r="C270" s="145"/>
      <c r="Q270" s="144"/>
    </row>
    <row r="271" spans="1:17" s="114" customFormat="1">
      <c r="A271" s="145"/>
      <c r="B271" s="145"/>
      <c r="C271" s="145"/>
      <c r="Q271" s="144"/>
    </row>
    <row r="272" spans="1:17" s="114" customFormat="1">
      <c r="A272" s="145"/>
      <c r="B272" s="145"/>
      <c r="C272" s="145"/>
      <c r="Q272" s="144"/>
    </row>
    <row r="273" spans="1:17" s="114" customFormat="1">
      <c r="A273" s="145"/>
      <c r="B273" s="145"/>
      <c r="C273" s="145"/>
      <c r="Q273" s="144"/>
    </row>
    <row r="274" spans="1:17" s="114" customFormat="1">
      <c r="A274" s="145"/>
      <c r="B274" s="145"/>
      <c r="C274" s="145"/>
      <c r="Q274" s="144"/>
    </row>
    <row r="275" spans="1:17" s="114" customFormat="1">
      <c r="A275" s="145"/>
      <c r="B275" s="145"/>
      <c r="C275" s="145"/>
      <c r="Q275" s="144"/>
    </row>
    <row r="276" spans="1:17" s="114" customFormat="1">
      <c r="A276" s="145"/>
      <c r="B276" s="145"/>
      <c r="C276" s="145"/>
      <c r="Q276" s="144"/>
    </row>
    <row r="277" spans="1:17" s="114" customFormat="1">
      <c r="A277" s="145"/>
      <c r="B277" s="145"/>
      <c r="C277" s="145"/>
      <c r="Q277" s="144"/>
    </row>
    <row r="278" spans="1:17" s="114" customFormat="1">
      <c r="A278" s="145"/>
      <c r="B278" s="145"/>
      <c r="C278" s="145"/>
      <c r="Q278" s="144"/>
    </row>
    <row r="279" spans="1:17" s="114" customFormat="1">
      <c r="A279" s="145"/>
      <c r="B279" s="145"/>
      <c r="C279" s="145"/>
      <c r="Q279" s="144"/>
    </row>
    <row r="280" spans="1:17" s="114" customFormat="1">
      <c r="A280" s="145"/>
      <c r="B280" s="145"/>
      <c r="C280" s="145"/>
      <c r="Q280" s="144"/>
    </row>
    <row r="281" spans="1:17" s="114" customFormat="1">
      <c r="A281" s="145"/>
      <c r="B281" s="145"/>
      <c r="C281" s="145"/>
      <c r="Q281" s="144"/>
    </row>
    <row r="282" spans="1:17" s="114" customFormat="1">
      <c r="A282" s="145"/>
      <c r="B282" s="145"/>
      <c r="C282" s="145"/>
      <c r="Q282" s="144"/>
    </row>
    <row r="283" spans="1:17" s="114" customFormat="1">
      <c r="A283" s="145"/>
      <c r="B283" s="145"/>
      <c r="C283" s="145"/>
      <c r="Q283" s="144"/>
    </row>
    <row r="284" spans="1:17" s="114" customFormat="1">
      <c r="A284" s="145"/>
      <c r="B284" s="145"/>
      <c r="C284" s="145"/>
      <c r="Q284" s="144"/>
    </row>
    <row r="285" spans="1:17" s="114" customFormat="1">
      <c r="A285" s="145"/>
      <c r="B285" s="145"/>
      <c r="C285" s="145"/>
      <c r="Q285" s="144"/>
    </row>
    <row r="286" spans="1:17" s="114" customFormat="1">
      <c r="A286" s="145"/>
      <c r="B286" s="145"/>
      <c r="C286" s="145"/>
      <c r="Q286" s="144"/>
    </row>
    <row r="287" spans="1:17" s="114" customFormat="1">
      <c r="A287" s="145"/>
      <c r="B287" s="145"/>
      <c r="C287" s="145"/>
      <c r="Q287" s="144"/>
    </row>
    <row r="288" spans="1:17" s="114" customFormat="1">
      <c r="A288" s="145"/>
      <c r="B288" s="145"/>
      <c r="C288" s="145"/>
      <c r="Q288" s="144"/>
    </row>
    <row r="289" spans="1:17" s="114" customFormat="1">
      <c r="A289" s="145"/>
      <c r="B289" s="145"/>
      <c r="C289" s="145"/>
      <c r="Q289" s="144"/>
    </row>
    <row r="290" spans="1:17" s="114" customFormat="1">
      <c r="A290" s="145"/>
      <c r="B290" s="145"/>
      <c r="C290" s="145"/>
      <c r="Q290" s="144"/>
    </row>
    <row r="291" spans="1:17" s="114" customFormat="1">
      <c r="A291" s="145"/>
      <c r="B291" s="145"/>
      <c r="C291" s="145"/>
      <c r="Q291" s="144"/>
    </row>
    <row r="292" spans="1:17" s="114" customFormat="1">
      <c r="A292" s="145"/>
      <c r="B292" s="145"/>
      <c r="C292" s="145"/>
      <c r="Q292" s="144"/>
    </row>
    <row r="293" spans="1:17" s="114" customFormat="1">
      <c r="A293" s="145"/>
      <c r="B293" s="145"/>
      <c r="C293" s="145"/>
      <c r="Q293" s="144"/>
    </row>
    <row r="294" spans="1:17" s="114" customFormat="1">
      <c r="A294" s="145"/>
      <c r="B294" s="145"/>
      <c r="C294" s="145"/>
      <c r="Q294" s="144"/>
    </row>
    <row r="295" spans="1:17" s="114" customFormat="1">
      <c r="A295" s="145"/>
      <c r="B295" s="145"/>
      <c r="C295" s="145"/>
      <c r="Q295" s="144"/>
    </row>
    <row r="296" spans="1:17" s="114" customFormat="1">
      <c r="A296" s="145"/>
      <c r="B296" s="145"/>
      <c r="C296" s="145"/>
      <c r="Q296" s="144"/>
    </row>
    <row r="297" spans="1:17" s="114" customFormat="1">
      <c r="A297" s="145"/>
      <c r="B297" s="145"/>
      <c r="C297" s="145"/>
      <c r="Q297" s="144"/>
    </row>
    <row r="298" spans="1:17" s="114" customFormat="1">
      <c r="A298" s="145"/>
      <c r="B298" s="145"/>
      <c r="C298" s="145"/>
      <c r="Q298" s="144"/>
    </row>
    <row r="299" spans="1:17" s="114" customFormat="1">
      <c r="A299" s="145"/>
      <c r="B299" s="145"/>
      <c r="C299" s="145"/>
      <c r="Q299" s="144"/>
    </row>
    <row r="300" spans="1:17" s="114" customFormat="1">
      <c r="A300" s="145"/>
      <c r="B300" s="145"/>
      <c r="C300" s="145"/>
      <c r="Q300" s="144"/>
    </row>
    <row r="301" spans="1:17" s="114" customFormat="1">
      <c r="A301" s="145"/>
      <c r="B301" s="145"/>
      <c r="C301" s="145"/>
      <c r="Q301" s="144"/>
    </row>
    <row r="302" spans="1:17" s="114" customFormat="1">
      <c r="A302" s="145"/>
      <c r="B302" s="145"/>
      <c r="C302" s="145"/>
      <c r="Q302" s="144"/>
    </row>
    <row r="303" spans="1:17" s="114" customFormat="1">
      <c r="A303" s="145"/>
      <c r="B303" s="145"/>
      <c r="C303" s="145"/>
      <c r="Q303" s="144"/>
    </row>
    <row r="304" spans="1:17" s="114" customFormat="1">
      <c r="A304" s="145"/>
      <c r="B304" s="145"/>
      <c r="C304" s="145"/>
      <c r="Q304" s="144"/>
    </row>
    <row r="305" spans="1:17" s="114" customFormat="1">
      <c r="A305" s="145"/>
      <c r="B305" s="145"/>
      <c r="C305" s="145"/>
      <c r="Q305" s="144"/>
    </row>
    <row r="306" spans="1:17" s="114" customFormat="1">
      <c r="A306" s="145"/>
      <c r="B306" s="145"/>
      <c r="C306" s="145"/>
      <c r="Q306" s="144"/>
    </row>
    <row r="307" spans="1:17" s="114" customFormat="1">
      <c r="A307" s="145"/>
      <c r="B307" s="145"/>
      <c r="C307" s="145"/>
      <c r="Q307" s="144"/>
    </row>
    <row r="308" spans="1:17" s="114" customFormat="1">
      <c r="A308" s="145"/>
      <c r="B308" s="145"/>
      <c r="C308" s="145"/>
      <c r="Q308" s="144"/>
    </row>
    <row r="309" spans="1:17" s="114" customFormat="1">
      <c r="A309" s="145"/>
      <c r="B309" s="145"/>
      <c r="C309" s="145"/>
      <c r="Q309" s="144"/>
    </row>
    <row r="310" spans="1:17" s="114" customFormat="1">
      <c r="A310" s="145"/>
      <c r="B310" s="145"/>
      <c r="C310" s="145"/>
      <c r="Q310" s="144"/>
    </row>
    <row r="311" spans="1:17" s="114" customFormat="1">
      <c r="A311" s="145"/>
      <c r="B311" s="145"/>
      <c r="C311" s="145"/>
      <c r="Q311" s="144"/>
    </row>
    <row r="312" spans="1:17" s="114" customFormat="1">
      <c r="A312" s="145"/>
      <c r="B312" s="145"/>
      <c r="C312" s="145"/>
      <c r="Q312" s="144"/>
    </row>
    <row r="313" spans="1:17" s="114" customFormat="1">
      <c r="A313" s="145"/>
      <c r="B313" s="145"/>
      <c r="C313" s="145"/>
      <c r="Q313" s="144"/>
    </row>
    <row r="314" spans="1:17" s="114" customFormat="1">
      <c r="A314" s="145"/>
      <c r="B314" s="145"/>
      <c r="C314" s="145"/>
      <c r="Q314" s="144"/>
    </row>
    <row r="315" spans="1:17" s="114" customFormat="1">
      <c r="A315" s="145"/>
      <c r="B315" s="145"/>
      <c r="C315" s="145"/>
      <c r="Q315" s="144"/>
    </row>
    <row r="316" spans="1:17" s="114" customFormat="1">
      <c r="A316" s="145"/>
      <c r="B316" s="145"/>
      <c r="C316" s="145"/>
      <c r="Q316" s="144"/>
    </row>
    <row r="317" spans="1:17" s="114" customFormat="1">
      <c r="A317" s="145"/>
      <c r="B317" s="145"/>
      <c r="C317" s="145"/>
      <c r="Q317" s="144"/>
    </row>
    <row r="318" spans="1:17" s="114" customFormat="1">
      <c r="A318" s="145"/>
      <c r="B318" s="145"/>
      <c r="C318" s="145"/>
      <c r="Q318" s="144"/>
    </row>
    <row r="319" spans="1:17" s="114" customFormat="1">
      <c r="A319" s="145"/>
      <c r="B319" s="145"/>
      <c r="C319" s="145"/>
      <c r="Q319" s="144"/>
    </row>
    <row r="320" spans="1:17" s="114" customFormat="1">
      <c r="A320" s="145"/>
      <c r="B320" s="145"/>
      <c r="C320" s="145"/>
      <c r="Q320" s="144"/>
    </row>
    <row r="321" spans="1:17" s="114" customFormat="1">
      <c r="A321" s="145"/>
      <c r="B321" s="145"/>
      <c r="C321" s="145"/>
      <c r="Q321" s="144"/>
    </row>
    <row r="322" spans="1:17" s="114" customFormat="1">
      <c r="A322" s="145"/>
      <c r="B322" s="145"/>
      <c r="C322" s="145"/>
      <c r="Q322" s="144"/>
    </row>
    <row r="323" spans="1:17" s="114" customFormat="1">
      <c r="A323" s="145"/>
      <c r="B323" s="145"/>
      <c r="C323" s="145"/>
      <c r="Q323" s="144"/>
    </row>
    <row r="324" spans="1:17" s="114" customFormat="1">
      <c r="A324" s="145"/>
      <c r="B324" s="145"/>
      <c r="C324" s="145"/>
      <c r="Q324" s="144"/>
    </row>
    <row r="325" spans="1:17" s="114" customFormat="1">
      <c r="A325" s="145"/>
      <c r="B325" s="145"/>
      <c r="C325" s="145"/>
      <c r="Q325" s="144"/>
    </row>
    <row r="326" spans="1:17" s="114" customFormat="1">
      <c r="A326" s="145"/>
      <c r="B326" s="145"/>
      <c r="C326" s="145"/>
      <c r="Q326" s="144"/>
    </row>
    <row r="327" spans="1:17" s="114" customFormat="1">
      <c r="A327" s="145"/>
      <c r="B327" s="145"/>
      <c r="C327" s="145"/>
      <c r="Q327" s="144"/>
    </row>
    <row r="328" spans="1:17" s="114" customFormat="1">
      <c r="A328" s="145"/>
      <c r="B328" s="145"/>
      <c r="C328" s="145"/>
      <c r="Q328" s="144"/>
    </row>
    <row r="329" spans="1:17" s="114" customFormat="1">
      <c r="A329" s="145"/>
      <c r="B329" s="145"/>
      <c r="C329" s="145"/>
      <c r="Q329" s="144"/>
    </row>
    <row r="330" spans="1:17" s="114" customFormat="1">
      <c r="A330" s="145"/>
      <c r="B330" s="145"/>
      <c r="C330" s="145"/>
      <c r="Q330" s="144"/>
    </row>
    <row r="331" spans="1:17" s="114" customFormat="1">
      <c r="A331" s="145"/>
      <c r="B331" s="145"/>
      <c r="C331" s="145"/>
      <c r="Q331" s="144"/>
    </row>
    <row r="332" spans="1:17" s="114" customFormat="1">
      <c r="A332" s="145"/>
      <c r="B332" s="145"/>
      <c r="C332" s="145"/>
      <c r="Q332" s="144"/>
    </row>
    <row r="333" spans="1:17" s="114" customFormat="1">
      <c r="A333" s="145"/>
      <c r="B333" s="145"/>
      <c r="C333" s="145"/>
      <c r="Q333" s="144"/>
    </row>
    <row r="334" spans="1:17" s="114" customFormat="1">
      <c r="A334" s="145"/>
      <c r="B334" s="145"/>
      <c r="C334" s="145"/>
      <c r="Q334" s="144"/>
    </row>
    <row r="335" spans="1:17" s="114" customFormat="1">
      <c r="A335" s="145"/>
      <c r="B335" s="145"/>
      <c r="C335" s="145"/>
      <c r="Q335" s="144"/>
    </row>
    <row r="336" spans="1:17" s="114" customFormat="1">
      <c r="A336" s="145"/>
      <c r="B336" s="145"/>
      <c r="C336" s="145"/>
      <c r="Q336" s="144"/>
    </row>
    <row r="337" spans="1:17" s="114" customFormat="1">
      <c r="A337" s="145"/>
      <c r="B337" s="145"/>
      <c r="C337" s="145"/>
      <c r="Q337" s="144"/>
    </row>
    <row r="338" spans="1:17" s="114" customFormat="1">
      <c r="A338" s="145"/>
      <c r="B338" s="145"/>
      <c r="C338" s="145"/>
      <c r="Q338" s="144"/>
    </row>
    <row r="339" spans="1:17" s="114" customFormat="1">
      <c r="A339" s="145"/>
      <c r="B339" s="145"/>
      <c r="C339" s="145"/>
      <c r="Q339" s="144"/>
    </row>
    <row r="340" spans="1:17" s="114" customFormat="1">
      <c r="A340" s="145"/>
      <c r="B340" s="145"/>
      <c r="C340" s="145"/>
      <c r="Q340" s="144"/>
    </row>
    <row r="341" spans="1:17" s="114" customFormat="1">
      <c r="A341" s="145"/>
      <c r="B341" s="145"/>
      <c r="C341" s="145"/>
      <c r="Q341" s="144"/>
    </row>
    <row r="342" spans="1:17" s="114" customFormat="1">
      <c r="A342" s="145"/>
      <c r="B342" s="145"/>
      <c r="C342" s="145"/>
      <c r="Q342" s="144"/>
    </row>
    <row r="343" spans="1:17" s="114" customFormat="1">
      <c r="A343" s="145"/>
      <c r="B343" s="145"/>
      <c r="C343" s="145"/>
      <c r="Q343" s="144"/>
    </row>
    <row r="344" spans="1:17" s="114" customFormat="1">
      <c r="A344" s="145"/>
      <c r="B344" s="145"/>
      <c r="C344" s="145"/>
      <c r="Q344" s="144"/>
    </row>
    <row r="345" spans="1:17" s="114" customFormat="1">
      <c r="A345" s="145"/>
      <c r="B345" s="145"/>
      <c r="C345" s="145"/>
      <c r="Q345" s="144"/>
    </row>
    <row r="346" spans="1:17" s="114" customFormat="1">
      <c r="A346" s="145"/>
      <c r="B346" s="145"/>
      <c r="C346" s="145"/>
      <c r="Q346" s="144"/>
    </row>
    <row r="347" spans="1:17" s="114" customFormat="1">
      <c r="A347" s="145"/>
      <c r="B347" s="145"/>
      <c r="C347" s="145"/>
      <c r="Q347" s="144"/>
    </row>
    <row r="348" spans="1:17" s="114" customFormat="1">
      <c r="A348" s="145"/>
      <c r="B348" s="145"/>
      <c r="C348" s="145"/>
      <c r="Q348" s="144"/>
    </row>
    <row r="349" spans="1:17" s="114" customFormat="1">
      <c r="A349" s="145"/>
      <c r="B349" s="145"/>
      <c r="C349" s="145"/>
      <c r="Q349" s="144"/>
    </row>
    <row r="350" spans="1:17" s="114" customFormat="1">
      <c r="A350" s="145"/>
      <c r="B350" s="145"/>
      <c r="C350" s="145"/>
      <c r="Q350" s="144"/>
    </row>
    <row r="351" spans="1:17" s="114" customFormat="1">
      <c r="A351" s="145"/>
      <c r="B351" s="145"/>
      <c r="C351" s="145"/>
      <c r="Q351" s="144"/>
    </row>
    <row r="352" spans="1:17" s="114" customFormat="1">
      <c r="A352" s="145"/>
      <c r="B352" s="145"/>
      <c r="C352" s="145"/>
      <c r="Q352" s="144"/>
    </row>
    <row r="353" spans="1:17" s="114" customFormat="1">
      <c r="A353" s="145"/>
      <c r="B353" s="145"/>
      <c r="C353" s="145"/>
      <c r="Q353" s="144"/>
    </row>
    <row r="354" spans="1:17" s="114" customFormat="1">
      <c r="A354" s="145"/>
      <c r="B354" s="145"/>
      <c r="C354" s="145"/>
      <c r="Q354" s="144"/>
    </row>
    <row r="355" spans="1:17" s="114" customFormat="1">
      <c r="A355" s="145"/>
      <c r="B355" s="145"/>
      <c r="C355" s="145"/>
      <c r="Q355" s="144"/>
    </row>
    <row r="356" spans="1:17" s="114" customFormat="1">
      <c r="A356" s="145"/>
      <c r="B356" s="145"/>
      <c r="C356" s="145"/>
      <c r="Q356" s="144"/>
    </row>
    <row r="357" spans="1:17" s="114" customFormat="1">
      <c r="A357" s="145"/>
      <c r="B357" s="145"/>
      <c r="C357" s="145"/>
      <c r="Q357" s="144"/>
    </row>
    <row r="358" spans="1:17" s="114" customFormat="1">
      <c r="A358" s="145"/>
      <c r="B358" s="145"/>
      <c r="C358" s="145"/>
      <c r="Q358" s="144"/>
    </row>
    <row r="359" spans="1:17" s="114" customFormat="1">
      <c r="A359" s="145"/>
      <c r="B359" s="145"/>
      <c r="C359" s="145"/>
      <c r="Q359" s="144"/>
    </row>
    <row r="360" spans="1:17" s="114" customFormat="1">
      <c r="A360" s="145"/>
      <c r="B360" s="145"/>
      <c r="C360" s="145"/>
      <c r="Q360" s="144"/>
    </row>
    <row r="361" spans="1:17" s="114" customFormat="1">
      <c r="A361" s="145"/>
      <c r="B361" s="145"/>
      <c r="C361" s="145"/>
      <c r="Q361" s="144"/>
    </row>
    <row r="362" spans="1:17" s="114" customFormat="1">
      <c r="A362" s="145"/>
      <c r="B362" s="145"/>
      <c r="C362" s="145"/>
      <c r="Q362" s="144"/>
    </row>
    <row r="363" spans="1:17" s="114" customFormat="1">
      <c r="A363" s="145"/>
      <c r="B363" s="145"/>
      <c r="C363" s="145"/>
      <c r="Q363" s="144"/>
    </row>
    <row r="364" spans="1:17" s="114" customFormat="1">
      <c r="A364" s="145"/>
      <c r="B364" s="145"/>
      <c r="C364" s="145"/>
      <c r="Q364" s="144"/>
    </row>
    <row r="365" spans="1:17" s="114" customFormat="1">
      <c r="A365" s="145"/>
      <c r="B365" s="145"/>
      <c r="C365" s="145"/>
      <c r="Q365" s="144"/>
    </row>
    <row r="366" spans="1:17" s="114" customFormat="1">
      <c r="A366" s="145"/>
      <c r="B366" s="145"/>
      <c r="C366" s="145"/>
      <c r="Q366" s="144"/>
    </row>
    <row r="367" spans="1:17" s="114" customFormat="1">
      <c r="A367" s="145"/>
      <c r="B367" s="145"/>
      <c r="C367" s="145"/>
      <c r="Q367" s="144"/>
    </row>
    <row r="368" spans="1:17" s="114" customFormat="1">
      <c r="A368" s="145"/>
      <c r="B368" s="145"/>
      <c r="C368" s="145"/>
      <c r="Q368" s="144"/>
    </row>
    <row r="369" spans="1:17" s="114" customFormat="1">
      <c r="A369" s="145"/>
      <c r="B369" s="145"/>
      <c r="C369" s="145"/>
      <c r="Q369" s="144"/>
    </row>
    <row r="370" spans="1:17" s="114" customFormat="1">
      <c r="A370" s="145"/>
      <c r="B370" s="145"/>
      <c r="C370" s="145"/>
      <c r="Q370" s="144"/>
    </row>
    <row r="371" spans="1:17" s="114" customFormat="1">
      <c r="A371" s="145"/>
      <c r="B371" s="145"/>
      <c r="C371" s="145"/>
      <c r="Q371" s="144"/>
    </row>
    <row r="372" spans="1:17" s="114" customFormat="1">
      <c r="A372" s="145"/>
      <c r="B372" s="145"/>
      <c r="C372" s="145"/>
      <c r="Q372" s="144"/>
    </row>
    <row r="373" spans="1:17" s="114" customFormat="1">
      <c r="A373" s="145"/>
      <c r="B373" s="145"/>
      <c r="C373" s="145"/>
      <c r="Q373" s="144"/>
    </row>
    <row r="374" spans="1:17" s="114" customFormat="1">
      <c r="A374" s="145"/>
      <c r="B374" s="145"/>
      <c r="C374" s="145"/>
      <c r="Q374" s="144"/>
    </row>
    <row r="375" spans="1:17" s="114" customFormat="1">
      <c r="A375" s="145"/>
      <c r="B375" s="145"/>
      <c r="C375" s="145"/>
      <c r="Q375" s="144"/>
    </row>
    <row r="376" spans="1:17" s="114" customFormat="1">
      <c r="A376" s="145"/>
      <c r="B376" s="145"/>
      <c r="C376" s="145"/>
      <c r="Q376" s="144"/>
    </row>
    <row r="377" spans="1:17" s="114" customFormat="1">
      <c r="A377" s="145"/>
      <c r="B377" s="145"/>
      <c r="C377" s="145"/>
      <c r="Q377" s="144"/>
    </row>
    <row r="378" spans="1:17" s="114" customFormat="1">
      <c r="A378" s="145"/>
      <c r="B378" s="145"/>
      <c r="C378" s="145"/>
      <c r="Q378" s="144"/>
    </row>
    <row r="379" spans="1:17" s="114" customFormat="1">
      <c r="A379" s="145"/>
      <c r="B379" s="145"/>
      <c r="C379" s="145"/>
      <c r="Q379" s="144"/>
    </row>
    <row r="380" spans="1:17" s="114" customFormat="1">
      <c r="A380" s="145"/>
      <c r="B380" s="145"/>
      <c r="C380" s="145"/>
      <c r="Q380" s="144"/>
    </row>
    <row r="381" spans="1:17" s="114" customFormat="1">
      <c r="A381" s="145"/>
      <c r="B381" s="145"/>
      <c r="C381" s="145"/>
      <c r="Q381" s="144"/>
    </row>
    <row r="382" spans="1:17" s="114" customFormat="1">
      <c r="A382" s="145"/>
      <c r="B382" s="145"/>
      <c r="C382" s="145"/>
      <c r="Q382" s="144"/>
    </row>
    <row r="383" spans="1:17" s="114" customFormat="1">
      <c r="A383" s="145"/>
      <c r="B383" s="145"/>
      <c r="C383" s="145"/>
      <c r="Q383" s="144"/>
    </row>
    <row r="384" spans="1:17" s="114" customFormat="1">
      <c r="A384" s="145"/>
      <c r="B384" s="145"/>
      <c r="C384" s="145"/>
      <c r="Q384" s="144"/>
    </row>
    <row r="385" spans="1:17" s="114" customFormat="1">
      <c r="A385" s="145"/>
      <c r="B385" s="145"/>
      <c r="C385" s="145"/>
      <c r="Q385" s="144"/>
    </row>
    <row r="386" spans="1:17" s="114" customFormat="1">
      <c r="A386" s="145"/>
      <c r="B386" s="145"/>
      <c r="C386" s="145"/>
      <c r="Q386" s="144"/>
    </row>
    <row r="387" spans="1:17" s="114" customFormat="1">
      <c r="A387" s="145"/>
      <c r="B387" s="145"/>
      <c r="C387" s="145"/>
      <c r="Q387" s="144"/>
    </row>
    <row r="388" spans="1:17" s="114" customFormat="1">
      <c r="A388" s="145"/>
      <c r="B388" s="145"/>
      <c r="C388" s="145"/>
      <c r="Q388" s="144"/>
    </row>
    <row r="389" spans="1:17" s="114" customFormat="1">
      <c r="A389" s="145"/>
      <c r="B389" s="145"/>
      <c r="C389" s="145"/>
      <c r="Q389" s="144"/>
    </row>
    <row r="390" spans="1:17" s="114" customFormat="1">
      <c r="A390" s="145"/>
      <c r="B390" s="145"/>
      <c r="C390" s="145"/>
      <c r="Q390" s="144"/>
    </row>
    <row r="391" spans="1:17" s="114" customFormat="1">
      <c r="A391" s="145"/>
      <c r="B391" s="145"/>
      <c r="C391" s="145"/>
      <c r="Q391" s="144"/>
    </row>
    <row r="392" spans="1:17" s="114" customFormat="1">
      <c r="A392" s="145"/>
      <c r="B392" s="145"/>
      <c r="C392" s="145"/>
      <c r="Q392" s="144"/>
    </row>
    <row r="393" spans="1:17" s="114" customFormat="1">
      <c r="A393" s="145"/>
      <c r="B393" s="145"/>
      <c r="C393" s="145"/>
      <c r="Q393" s="144"/>
    </row>
    <row r="394" spans="1:17" s="114" customFormat="1">
      <c r="A394" s="145"/>
      <c r="B394" s="145"/>
      <c r="C394" s="145"/>
      <c r="Q394" s="144"/>
    </row>
    <row r="395" spans="1:17" s="114" customFormat="1">
      <c r="A395" s="145"/>
      <c r="B395" s="145"/>
      <c r="C395" s="145"/>
      <c r="Q395" s="144"/>
    </row>
    <row r="396" spans="1:17" s="114" customFormat="1">
      <c r="A396" s="145"/>
      <c r="B396" s="145"/>
      <c r="C396" s="145"/>
      <c r="Q396" s="144"/>
    </row>
    <row r="397" spans="1:17" s="114" customFormat="1">
      <c r="A397" s="145"/>
      <c r="B397" s="145"/>
      <c r="C397" s="145"/>
      <c r="Q397" s="144"/>
    </row>
    <row r="398" spans="1:17" s="114" customFormat="1">
      <c r="A398" s="145"/>
      <c r="B398" s="145"/>
      <c r="C398" s="145"/>
      <c r="Q398" s="144"/>
    </row>
    <row r="399" spans="1:17" s="114" customFormat="1">
      <c r="A399" s="145"/>
      <c r="B399" s="145"/>
      <c r="C399" s="145"/>
      <c r="Q399" s="144"/>
    </row>
    <row r="400" spans="1:17" s="114" customFormat="1">
      <c r="A400" s="145"/>
      <c r="B400" s="145"/>
      <c r="C400" s="145"/>
      <c r="Q400" s="144"/>
    </row>
    <row r="401" spans="1:17" s="114" customFormat="1">
      <c r="A401" s="145"/>
      <c r="B401" s="145"/>
      <c r="C401" s="145"/>
      <c r="Q401" s="144"/>
    </row>
    <row r="402" spans="1:17" s="114" customFormat="1">
      <c r="A402" s="145"/>
      <c r="B402" s="145"/>
      <c r="C402" s="145"/>
      <c r="Q402" s="144"/>
    </row>
    <row r="403" spans="1:17" s="114" customFormat="1">
      <c r="A403" s="145"/>
      <c r="B403" s="145"/>
      <c r="C403" s="145"/>
      <c r="Q403" s="144"/>
    </row>
    <row r="404" spans="1:17" s="114" customFormat="1">
      <c r="A404" s="145"/>
      <c r="B404" s="145"/>
      <c r="C404" s="145"/>
      <c r="Q404" s="144"/>
    </row>
    <row r="405" spans="1:17" s="114" customFormat="1">
      <c r="A405" s="145"/>
      <c r="B405" s="145"/>
      <c r="C405" s="145"/>
      <c r="Q405" s="144"/>
    </row>
    <row r="406" spans="1:17" s="114" customFormat="1">
      <c r="A406" s="145"/>
      <c r="B406" s="145"/>
      <c r="C406" s="145"/>
      <c r="Q406" s="144"/>
    </row>
    <row r="407" spans="1:17" s="114" customFormat="1">
      <c r="A407" s="145"/>
      <c r="B407" s="145"/>
      <c r="C407" s="145"/>
      <c r="Q407" s="144"/>
    </row>
    <row r="408" spans="1:17" s="114" customFormat="1">
      <c r="A408" s="145"/>
      <c r="B408" s="145"/>
      <c r="C408" s="145"/>
      <c r="Q408" s="144"/>
    </row>
    <row r="409" spans="1:17" s="114" customFormat="1">
      <c r="A409" s="145"/>
      <c r="B409" s="145"/>
      <c r="C409" s="145"/>
      <c r="Q409" s="144"/>
    </row>
    <row r="410" spans="1:17" s="114" customFormat="1">
      <c r="A410" s="145"/>
      <c r="B410" s="145"/>
      <c r="C410" s="145"/>
      <c r="Q410" s="144"/>
    </row>
    <row r="411" spans="1:17" s="114" customFormat="1">
      <c r="A411" s="145"/>
      <c r="B411" s="145"/>
      <c r="C411" s="145"/>
      <c r="Q411" s="144"/>
    </row>
    <row r="412" spans="1:17" s="114" customFormat="1">
      <c r="A412" s="145"/>
      <c r="B412" s="145"/>
      <c r="C412" s="145"/>
      <c r="Q412" s="144"/>
    </row>
    <row r="413" spans="1:17" s="114" customFormat="1">
      <c r="A413" s="145"/>
      <c r="B413" s="145"/>
      <c r="C413" s="145"/>
      <c r="Q413" s="144"/>
    </row>
    <row r="414" spans="1:17" s="114" customFormat="1">
      <c r="A414" s="145"/>
      <c r="B414" s="145"/>
      <c r="C414" s="145"/>
      <c r="Q414" s="144"/>
    </row>
    <row r="415" spans="1:17" s="114" customFormat="1">
      <c r="A415" s="145"/>
      <c r="B415" s="145"/>
      <c r="C415" s="145"/>
      <c r="Q415" s="144"/>
    </row>
    <row r="416" spans="1:17" s="114" customFormat="1">
      <c r="A416" s="145"/>
      <c r="B416" s="145"/>
      <c r="C416" s="145"/>
      <c r="Q416" s="144"/>
    </row>
    <row r="417" spans="1:17" s="114" customFormat="1">
      <c r="A417" s="145"/>
      <c r="B417" s="145"/>
      <c r="C417" s="145"/>
      <c r="Q417" s="144"/>
    </row>
    <row r="418" spans="1:17" s="114" customFormat="1">
      <c r="A418" s="145"/>
      <c r="B418" s="145"/>
      <c r="C418" s="145"/>
      <c r="Q418" s="144"/>
    </row>
    <row r="419" spans="1:17" s="114" customFormat="1">
      <c r="A419" s="145"/>
      <c r="B419" s="145"/>
      <c r="C419" s="145"/>
      <c r="Q419" s="144"/>
    </row>
    <row r="420" spans="1:17" s="114" customFormat="1">
      <c r="A420" s="145"/>
      <c r="B420" s="145"/>
      <c r="C420" s="145"/>
      <c r="Q420" s="144"/>
    </row>
    <row r="421" spans="1:17" s="114" customFormat="1">
      <c r="A421" s="145"/>
      <c r="B421" s="145"/>
      <c r="C421" s="145"/>
      <c r="Q421" s="144"/>
    </row>
    <row r="422" spans="1:17" s="114" customFormat="1">
      <c r="A422" s="145"/>
      <c r="B422" s="145"/>
      <c r="C422" s="145"/>
      <c r="Q422" s="144"/>
    </row>
    <row r="423" spans="1:17" s="114" customFormat="1">
      <c r="A423" s="145"/>
      <c r="B423" s="145"/>
      <c r="C423" s="145"/>
      <c r="Q423" s="144"/>
    </row>
    <row r="424" spans="1:17" s="114" customFormat="1">
      <c r="A424" s="145"/>
      <c r="B424" s="145"/>
      <c r="C424" s="145"/>
      <c r="Q424" s="144"/>
    </row>
    <row r="425" spans="1:17" s="114" customFormat="1">
      <c r="A425" s="145"/>
      <c r="B425" s="145"/>
      <c r="C425" s="145"/>
      <c r="Q425" s="144"/>
    </row>
    <row r="426" spans="1:17" s="114" customFormat="1">
      <c r="A426" s="145"/>
      <c r="B426" s="145"/>
      <c r="C426" s="145"/>
      <c r="Q426" s="144"/>
    </row>
    <row r="427" spans="1:17" s="114" customFormat="1">
      <c r="A427" s="145"/>
      <c r="B427" s="145"/>
      <c r="C427" s="145"/>
      <c r="Q427" s="144"/>
    </row>
    <row r="428" spans="1:17" s="114" customFormat="1">
      <c r="A428" s="145"/>
      <c r="B428" s="145"/>
      <c r="C428" s="145"/>
      <c r="Q428" s="144"/>
    </row>
    <row r="429" spans="1:17" s="114" customFormat="1">
      <c r="A429" s="145"/>
      <c r="B429" s="145"/>
      <c r="C429" s="145"/>
      <c r="Q429" s="144"/>
    </row>
    <row r="430" spans="1:17" s="114" customFormat="1">
      <c r="A430" s="145"/>
      <c r="B430" s="145"/>
      <c r="C430" s="145"/>
      <c r="Q430" s="144"/>
    </row>
    <row r="431" spans="1:17" s="114" customFormat="1">
      <c r="A431" s="145"/>
      <c r="B431" s="145"/>
      <c r="C431" s="145"/>
      <c r="Q431" s="144"/>
    </row>
    <row r="432" spans="1:17" s="114" customFormat="1">
      <c r="A432" s="145"/>
      <c r="B432" s="145"/>
      <c r="C432" s="145"/>
      <c r="Q432" s="144"/>
    </row>
    <row r="433" spans="1:17" s="114" customFormat="1">
      <c r="A433" s="145"/>
      <c r="B433" s="145"/>
      <c r="C433" s="145"/>
      <c r="Q433" s="144"/>
    </row>
    <row r="434" spans="1:17" s="114" customFormat="1">
      <c r="A434" s="145"/>
      <c r="B434" s="145"/>
      <c r="C434" s="145"/>
      <c r="Q434" s="144"/>
    </row>
    <row r="435" spans="1:17" s="114" customFormat="1">
      <c r="A435" s="145"/>
      <c r="B435" s="145"/>
      <c r="C435" s="145"/>
      <c r="Q435" s="144"/>
    </row>
    <row r="436" spans="1:17" s="114" customFormat="1">
      <c r="A436" s="145"/>
      <c r="B436" s="145"/>
      <c r="C436" s="145"/>
      <c r="Q436" s="144"/>
    </row>
    <row r="437" spans="1:17" s="114" customFormat="1">
      <c r="A437" s="145"/>
      <c r="B437" s="145"/>
      <c r="C437" s="145"/>
      <c r="Q437" s="144"/>
    </row>
    <row r="438" spans="1:17" s="114" customFormat="1">
      <c r="A438" s="145"/>
      <c r="B438" s="145"/>
      <c r="C438" s="145"/>
      <c r="Q438" s="144"/>
    </row>
    <row r="439" spans="1:17" s="114" customFormat="1">
      <c r="A439" s="145"/>
      <c r="B439" s="145"/>
      <c r="C439" s="145"/>
      <c r="Q439" s="144"/>
    </row>
    <row r="440" spans="1:17" s="114" customFormat="1">
      <c r="A440" s="145"/>
      <c r="B440" s="145"/>
      <c r="C440" s="145"/>
      <c r="Q440" s="144"/>
    </row>
    <row r="441" spans="1:17" s="114" customFormat="1">
      <c r="A441" s="145"/>
      <c r="B441" s="145"/>
      <c r="C441" s="145"/>
      <c r="Q441" s="144"/>
    </row>
    <row r="442" spans="1:17" s="114" customFormat="1">
      <c r="A442" s="145"/>
      <c r="B442" s="145"/>
      <c r="C442" s="145"/>
      <c r="Q442" s="144"/>
    </row>
    <row r="443" spans="1:17" s="114" customFormat="1">
      <c r="A443" s="145"/>
      <c r="B443" s="145"/>
      <c r="C443" s="145"/>
      <c r="Q443" s="144"/>
    </row>
    <row r="444" spans="1:17" s="114" customFormat="1">
      <c r="A444" s="145"/>
      <c r="B444" s="145"/>
      <c r="C444" s="145"/>
      <c r="Q444" s="144"/>
    </row>
    <row r="445" spans="1:17" s="114" customFormat="1">
      <c r="A445" s="145"/>
      <c r="B445" s="145"/>
      <c r="C445" s="145"/>
      <c r="Q445" s="144"/>
    </row>
    <row r="446" spans="1:17" s="114" customFormat="1">
      <c r="A446" s="145"/>
      <c r="B446" s="145"/>
      <c r="C446" s="145"/>
      <c r="Q446" s="144"/>
    </row>
    <row r="447" spans="1:17" s="114" customFormat="1">
      <c r="A447" s="145"/>
      <c r="B447" s="145"/>
      <c r="C447" s="145"/>
      <c r="Q447" s="144"/>
    </row>
    <row r="448" spans="1:17" s="114" customFormat="1">
      <c r="A448" s="145"/>
      <c r="B448" s="145"/>
      <c r="C448" s="145"/>
      <c r="Q448" s="144"/>
    </row>
    <row r="449" spans="1:17" s="114" customFormat="1">
      <c r="A449" s="145"/>
      <c r="B449" s="145"/>
      <c r="C449" s="145"/>
      <c r="Q449" s="144"/>
    </row>
    <row r="450" spans="1:17" s="114" customFormat="1">
      <c r="A450" s="145"/>
      <c r="B450" s="145"/>
      <c r="C450" s="145"/>
      <c r="Q450" s="144"/>
    </row>
    <row r="451" spans="1:17" s="114" customFormat="1">
      <c r="A451" s="145"/>
      <c r="B451" s="145"/>
      <c r="C451" s="145"/>
      <c r="Q451" s="144"/>
    </row>
    <row r="452" spans="1:17" s="114" customFormat="1">
      <c r="A452" s="145"/>
      <c r="B452" s="145"/>
      <c r="C452" s="145"/>
      <c r="Q452" s="144"/>
    </row>
    <row r="453" spans="1:17" s="114" customFormat="1">
      <c r="A453" s="145"/>
      <c r="B453" s="145"/>
      <c r="C453" s="145"/>
      <c r="Q453" s="144"/>
    </row>
    <row r="454" spans="1:17" s="114" customFormat="1">
      <c r="A454" s="145"/>
      <c r="B454" s="145"/>
      <c r="C454" s="145"/>
      <c r="Q454" s="144"/>
    </row>
    <row r="455" spans="1:17" s="114" customFormat="1">
      <c r="A455" s="145"/>
      <c r="B455" s="145"/>
      <c r="C455" s="145"/>
      <c r="Q455" s="144"/>
    </row>
    <row r="456" spans="1:17" s="114" customFormat="1">
      <c r="A456" s="145"/>
      <c r="B456" s="145"/>
      <c r="C456" s="145"/>
      <c r="Q456" s="144"/>
    </row>
    <row r="457" spans="1:17" s="114" customFormat="1">
      <c r="A457" s="145"/>
      <c r="B457" s="145"/>
      <c r="C457" s="145"/>
      <c r="Q457" s="144"/>
    </row>
    <row r="458" spans="1:17" s="114" customFormat="1">
      <c r="A458" s="145"/>
      <c r="B458" s="145"/>
      <c r="C458" s="145"/>
      <c r="Q458" s="144"/>
    </row>
    <row r="459" spans="1:17" s="114" customFormat="1">
      <c r="A459" s="145"/>
      <c r="B459" s="145"/>
      <c r="C459" s="145"/>
      <c r="Q459" s="144"/>
    </row>
    <row r="460" spans="1:17" s="114" customFormat="1">
      <c r="A460" s="145"/>
      <c r="B460" s="145"/>
      <c r="C460" s="145"/>
      <c r="Q460" s="144"/>
    </row>
    <row r="461" spans="1:17" s="114" customFormat="1">
      <c r="A461" s="145"/>
      <c r="B461" s="145"/>
      <c r="C461" s="145"/>
      <c r="Q461" s="144"/>
    </row>
    <row r="462" spans="1:17" s="114" customFormat="1">
      <c r="A462" s="145"/>
      <c r="B462" s="145"/>
      <c r="C462" s="145"/>
      <c r="Q462" s="144"/>
    </row>
    <row r="463" spans="1:17" s="114" customFormat="1">
      <c r="A463" s="145"/>
      <c r="B463" s="145"/>
      <c r="C463" s="145"/>
      <c r="Q463" s="144"/>
    </row>
    <row r="464" spans="1:17" s="114" customFormat="1">
      <c r="A464" s="145"/>
      <c r="B464" s="145"/>
      <c r="C464" s="145"/>
      <c r="Q464" s="144"/>
    </row>
    <row r="465" spans="1:17" s="114" customFormat="1">
      <c r="A465" s="145"/>
      <c r="B465" s="145"/>
      <c r="C465" s="145"/>
      <c r="Q465" s="144"/>
    </row>
    <row r="466" spans="1:17" s="114" customFormat="1">
      <c r="A466" s="145"/>
      <c r="B466" s="145"/>
      <c r="C466" s="145"/>
      <c r="Q466" s="144"/>
    </row>
    <row r="467" spans="1:17" s="114" customFormat="1">
      <c r="A467" s="145"/>
      <c r="B467" s="145"/>
      <c r="C467" s="145"/>
      <c r="Q467" s="144"/>
    </row>
    <row r="468" spans="1:17" s="114" customFormat="1">
      <c r="A468" s="145"/>
      <c r="B468" s="145"/>
      <c r="C468" s="145"/>
      <c r="Q468" s="144"/>
    </row>
    <row r="469" spans="1:17" s="114" customFormat="1">
      <c r="A469" s="145"/>
      <c r="B469" s="145"/>
      <c r="C469" s="145"/>
      <c r="Q469" s="144"/>
    </row>
    <row r="470" spans="1:17" s="114" customFormat="1">
      <c r="A470" s="145"/>
      <c r="B470" s="145"/>
      <c r="C470" s="145"/>
      <c r="Q470" s="144"/>
    </row>
    <row r="471" spans="1:17" s="114" customFormat="1">
      <c r="A471" s="145"/>
      <c r="B471" s="145"/>
      <c r="C471" s="145"/>
      <c r="Q471" s="144"/>
    </row>
    <row r="472" spans="1:17" s="114" customFormat="1">
      <c r="A472" s="145"/>
      <c r="B472" s="145"/>
      <c r="C472" s="145"/>
      <c r="Q472" s="144"/>
    </row>
    <row r="473" spans="1:17" s="114" customFormat="1">
      <c r="A473" s="145"/>
      <c r="B473" s="145"/>
      <c r="C473" s="145"/>
      <c r="Q473" s="144"/>
    </row>
    <row r="474" spans="1:17" s="114" customFormat="1">
      <c r="A474" s="145"/>
      <c r="B474" s="145"/>
      <c r="C474" s="145"/>
      <c r="Q474" s="144"/>
    </row>
    <row r="475" spans="1:17" s="114" customFormat="1">
      <c r="A475" s="145"/>
      <c r="B475" s="145"/>
      <c r="C475" s="145"/>
      <c r="Q475" s="144"/>
    </row>
    <row r="476" spans="1:17" s="114" customFormat="1">
      <c r="A476" s="145"/>
      <c r="B476" s="145"/>
      <c r="C476" s="145"/>
      <c r="Q476" s="144"/>
    </row>
    <row r="477" spans="1:17" s="114" customFormat="1">
      <c r="A477" s="145"/>
      <c r="B477" s="145"/>
      <c r="C477" s="145"/>
      <c r="Q477" s="144"/>
    </row>
    <row r="478" spans="1:17" s="114" customFormat="1">
      <c r="A478" s="145"/>
      <c r="B478" s="145"/>
      <c r="C478" s="145"/>
      <c r="Q478" s="144"/>
    </row>
    <row r="479" spans="1:17" s="114" customFormat="1">
      <c r="A479" s="145"/>
      <c r="B479" s="145"/>
      <c r="C479" s="145"/>
      <c r="Q479" s="144"/>
    </row>
    <row r="480" spans="1:17" s="114" customFormat="1">
      <c r="A480" s="145"/>
      <c r="B480" s="145"/>
      <c r="C480" s="145"/>
      <c r="Q480" s="144"/>
    </row>
    <row r="481" spans="1:17" s="114" customFormat="1">
      <c r="A481" s="145"/>
      <c r="B481" s="145"/>
      <c r="C481" s="145"/>
      <c r="Q481" s="144"/>
    </row>
    <row r="482" spans="1:17" s="114" customFormat="1">
      <c r="A482" s="145"/>
      <c r="B482" s="145"/>
      <c r="C482" s="145"/>
      <c r="Q482" s="144"/>
    </row>
    <row r="483" spans="1:17" s="114" customFormat="1">
      <c r="A483" s="145"/>
      <c r="B483" s="145"/>
      <c r="C483" s="145"/>
      <c r="Q483" s="144"/>
    </row>
    <row r="484" spans="1:17" s="114" customFormat="1">
      <c r="A484" s="145"/>
      <c r="B484" s="145"/>
      <c r="C484" s="145"/>
      <c r="Q484" s="144"/>
    </row>
    <row r="485" spans="1:17" s="114" customFormat="1">
      <c r="A485" s="145"/>
      <c r="B485" s="145"/>
      <c r="C485" s="145"/>
      <c r="Q485" s="144"/>
    </row>
    <row r="486" spans="1:17" s="114" customFormat="1">
      <c r="A486" s="145"/>
      <c r="B486" s="145"/>
      <c r="C486" s="145"/>
      <c r="Q486" s="144"/>
    </row>
    <row r="487" spans="1:17" s="114" customFormat="1">
      <c r="A487" s="145"/>
      <c r="B487" s="145"/>
      <c r="C487" s="145"/>
      <c r="Q487" s="144"/>
    </row>
    <row r="488" spans="1:17" s="114" customFormat="1">
      <c r="A488" s="145"/>
      <c r="B488" s="145"/>
      <c r="C488" s="145"/>
      <c r="Q488" s="144"/>
    </row>
    <row r="489" spans="1:17" s="114" customFormat="1">
      <c r="A489" s="145"/>
      <c r="B489" s="145"/>
      <c r="C489" s="145"/>
      <c r="Q489" s="144"/>
    </row>
    <row r="490" spans="1:17" s="114" customFormat="1">
      <c r="A490" s="145"/>
      <c r="B490" s="145"/>
      <c r="C490" s="145"/>
      <c r="Q490" s="144"/>
    </row>
    <row r="491" spans="1:17" s="114" customFormat="1">
      <c r="A491" s="145"/>
      <c r="B491" s="145"/>
      <c r="C491" s="145"/>
      <c r="Q491" s="144"/>
    </row>
    <row r="492" spans="1:17" s="114" customFormat="1">
      <c r="A492" s="145"/>
      <c r="B492" s="145"/>
      <c r="C492" s="145"/>
      <c r="Q492" s="144"/>
    </row>
    <row r="493" spans="1:17" s="114" customFormat="1">
      <c r="A493" s="145"/>
      <c r="B493" s="145"/>
      <c r="C493" s="145"/>
      <c r="Q493" s="144"/>
    </row>
    <row r="494" spans="1:17" s="114" customFormat="1">
      <c r="A494" s="145"/>
      <c r="B494" s="145"/>
      <c r="C494" s="145"/>
      <c r="Q494" s="144"/>
    </row>
    <row r="495" spans="1:17" s="114" customFormat="1">
      <c r="A495" s="145"/>
      <c r="B495" s="145"/>
      <c r="C495" s="145"/>
      <c r="Q495" s="144"/>
    </row>
    <row r="496" spans="1:17" s="114" customFormat="1">
      <c r="A496" s="145"/>
      <c r="B496" s="145"/>
      <c r="C496" s="145"/>
      <c r="Q496" s="144"/>
    </row>
    <row r="497" spans="1:17" s="114" customFormat="1">
      <c r="A497" s="145"/>
      <c r="B497" s="145"/>
      <c r="C497" s="145"/>
      <c r="Q497" s="144"/>
    </row>
    <row r="498" spans="1:17" s="114" customFormat="1">
      <c r="A498" s="145"/>
      <c r="B498" s="145"/>
      <c r="C498" s="145"/>
      <c r="Q498" s="144"/>
    </row>
    <row r="499" spans="1:17" s="114" customFormat="1">
      <c r="A499" s="145"/>
      <c r="B499" s="145"/>
      <c r="C499" s="145"/>
      <c r="Q499" s="144"/>
    </row>
    <row r="500" spans="1:17" s="114" customFormat="1">
      <c r="A500" s="145"/>
      <c r="B500" s="145"/>
      <c r="C500" s="145"/>
      <c r="Q500" s="144"/>
    </row>
    <row r="501" spans="1:17" s="114" customFormat="1">
      <c r="A501" s="145"/>
      <c r="B501" s="145"/>
      <c r="C501" s="145"/>
      <c r="Q501" s="144"/>
    </row>
    <row r="502" spans="1:17" s="114" customFormat="1">
      <c r="A502" s="145"/>
      <c r="B502" s="145"/>
      <c r="C502" s="145"/>
      <c r="Q502" s="144"/>
    </row>
    <row r="503" spans="1:17" s="114" customFormat="1">
      <c r="A503" s="145"/>
      <c r="B503" s="145"/>
      <c r="C503" s="145"/>
      <c r="Q503" s="144"/>
    </row>
    <row r="504" spans="1:17" s="114" customFormat="1">
      <c r="A504" s="145"/>
      <c r="B504" s="145"/>
      <c r="C504" s="145"/>
      <c r="Q504" s="144"/>
    </row>
    <row r="505" spans="1:17" s="114" customFormat="1">
      <c r="A505" s="145"/>
      <c r="B505" s="145"/>
      <c r="C505" s="145"/>
      <c r="Q505" s="144"/>
    </row>
    <row r="506" spans="1:17" s="114" customFormat="1">
      <c r="A506" s="145"/>
      <c r="B506" s="145"/>
      <c r="C506" s="145"/>
      <c r="Q506" s="144"/>
    </row>
    <row r="507" spans="1:17" s="114" customFormat="1">
      <c r="A507" s="145"/>
      <c r="B507" s="145"/>
      <c r="C507" s="145"/>
      <c r="Q507" s="144"/>
    </row>
    <row r="508" spans="1:17" s="114" customFormat="1">
      <c r="A508" s="145"/>
      <c r="B508" s="145"/>
      <c r="C508" s="145"/>
      <c r="Q508" s="144"/>
    </row>
    <row r="509" spans="1:17" s="114" customFormat="1">
      <c r="A509" s="145"/>
      <c r="B509" s="145"/>
      <c r="C509" s="145"/>
      <c r="Q509" s="144"/>
    </row>
    <row r="510" spans="1:17" s="114" customFormat="1">
      <c r="A510" s="145"/>
      <c r="B510" s="145"/>
      <c r="C510" s="145"/>
      <c r="Q510" s="144"/>
    </row>
    <row r="511" spans="1:17" s="114" customFormat="1">
      <c r="A511" s="145"/>
      <c r="B511" s="145"/>
      <c r="C511" s="145"/>
      <c r="Q511" s="144"/>
    </row>
    <row r="512" spans="1:17" s="114" customFormat="1">
      <c r="A512" s="145"/>
      <c r="B512" s="145"/>
      <c r="C512" s="145"/>
      <c r="Q512" s="144"/>
    </row>
    <row r="513" spans="1:17" s="114" customFormat="1">
      <c r="A513" s="145"/>
      <c r="B513" s="145"/>
      <c r="C513" s="145"/>
      <c r="Q513" s="144"/>
    </row>
    <row r="514" spans="1:17" s="114" customFormat="1">
      <c r="A514" s="145"/>
      <c r="B514" s="145"/>
      <c r="C514" s="145"/>
      <c r="Q514" s="144"/>
    </row>
    <row r="515" spans="1:17" s="114" customFormat="1">
      <c r="A515" s="145"/>
      <c r="B515" s="145"/>
      <c r="C515" s="145"/>
      <c r="Q515" s="144"/>
    </row>
    <row r="516" spans="1:17" s="114" customFormat="1">
      <c r="A516" s="145"/>
      <c r="B516" s="145"/>
      <c r="C516" s="145"/>
      <c r="Q516" s="144"/>
    </row>
    <row r="517" spans="1:17" s="114" customFormat="1">
      <c r="A517" s="145"/>
      <c r="B517" s="145"/>
      <c r="C517" s="145"/>
      <c r="Q517" s="144"/>
    </row>
    <row r="518" spans="1:17" s="114" customFormat="1">
      <c r="A518" s="145"/>
      <c r="B518" s="145"/>
      <c r="C518" s="145"/>
      <c r="Q518" s="144"/>
    </row>
    <row r="519" spans="1:17" s="114" customFormat="1">
      <c r="A519" s="145"/>
      <c r="B519" s="145"/>
      <c r="C519" s="145"/>
      <c r="Q519" s="144"/>
    </row>
    <row r="520" spans="1:17" s="114" customFormat="1">
      <c r="A520" s="145"/>
      <c r="B520" s="145"/>
      <c r="C520" s="145"/>
      <c r="Q520" s="144"/>
    </row>
    <row r="521" spans="1:17" s="114" customFormat="1">
      <c r="A521" s="145"/>
      <c r="B521" s="145"/>
      <c r="C521" s="145"/>
      <c r="Q521" s="144"/>
    </row>
    <row r="522" spans="1:17" s="114" customFormat="1">
      <c r="A522" s="145"/>
      <c r="B522" s="145"/>
      <c r="C522" s="145"/>
      <c r="Q522" s="144"/>
    </row>
    <row r="523" spans="1:17" s="114" customFormat="1">
      <c r="A523" s="145"/>
      <c r="B523" s="145"/>
      <c r="C523" s="145"/>
      <c r="Q523" s="144"/>
    </row>
    <row r="524" spans="1:17" s="114" customFormat="1">
      <c r="A524" s="145"/>
      <c r="B524" s="145"/>
      <c r="C524" s="145"/>
      <c r="Q524" s="144"/>
    </row>
    <row r="525" spans="1:17" s="114" customFormat="1">
      <c r="A525" s="145"/>
      <c r="B525" s="145"/>
      <c r="C525" s="145"/>
      <c r="Q525" s="144"/>
    </row>
    <row r="526" spans="1:17" s="114" customFormat="1">
      <c r="A526" s="145"/>
      <c r="B526" s="145"/>
      <c r="C526" s="145"/>
      <c r="Q526" s="144"/>
    </row>
    <row r="527" spans="1:17" s="114" customFormat="1">
      <c r="A527" s="145"/>
      <c r="B527" s="145"/>
      <c r="C527" s="145"/>
      <c r="Q527" s="144"/>
    </row>
    <row r="528" spans="1:17" s="114" customFormat="1">
      <c r="A528" s="145"/>
      <c r="B528" s="145"/>
      <c r="C528" s="145"/>
      <c r="Q528" s="144"/>
    </row>
    <row r="529" spans="1:17" s="114" customFormat="1">
      <c r="A529" s="145"/>
      <c r="B529" s="145"/>
      <c r="C529" s="145"/>
      <c r="Q529" s="144"/>
    </row>
    <row r="530" spans="1:17" s="114" customFormat="1">
      <c r="A530" s="145"/>
      <c r="B530" s="145"/>
      <c r="C530" s="145"/>
      <c r="Q530" s="144"/>
    </row>
    <row r="531" spans="1:17" s="114" customFormat="1">
      <c r="A531" s="145"/>
      <c r="B531" s="145"/>
      <c r="C531" s="145"/>
      <c r="Q531" s="144"/>
    </row>
    <row r="532" spans="1:17" s="114" customFormat="1">
      <c r="A532" s="145"/>
      <c r="B532" s="145"/>
      <c r="C532" s="145"/>
      <c r="Q532" s="144"/>
    </row>
    <row r="533" spans="1:17" s="114" customFormat="1">
      <c r="A533" s="145"/>
      <c r="B533" s="145"/>
      <c r="C533" s="145"/>
      <c r="Q533" s="144"/>
    </row>
    <row r="534" spans="1:17" s="114" customFormat="1">
      <c r="A534" s="145"/>
      <c r="B534" s="145"/>
      <c r="C534" s="145"/>
      <c r="Q534" s="144"/>
    </row>
    <row r="535" spans="1:17" s="114" customFormat="1">
      <c r="A535" s="145"/>
      <c r="B535" s="145"/>
      <c r="C535" s="145"/>
      <c r="Q535" s="144"/>
    </row>
    <row r="536" spans="1:17" s="114" customFormat="1">
      <c r="A536" s="145"/>
      <c r="B536" s="145"/>
      <c r="C536" s="145"/>
      <c r="Q536" s="144"/>
    </row>
    <row r="537" spans="1:17" s="114" customFormat="1">
      <c r="A537" s="145"/>
      <c r="B537" s="145"/>
      <c r="C537" s="145"/>
      <c r="Q537" s="144"/>
    </row>
    <row r="538" spans="1:17" s="114" customFormat="1">
      <c r="A538" s="145"/>
      <c r="B538" s="145"/>
      <c r="C538" s="145"/>
      <c r="Q538" s="144"/>
    </row>
    <row r="539" spans="1:17" s="114" customFormat="1">
      <c r="A539" s="145"/>
      <c r="B539" s="145"/>
      <c r="C539" s="145"/>
      <c r="Q539" s="144"/>
    </row>
    <row r="540" spans="1:17" s="114" customFormat="1">
      <c r="A540" s="145"/>
      <c r="B540" s="145"/>
      <c r="C540" s="145"/>
      <c r="Q540" s="144"/>
    </row>
    <row r="541" spans="1:17" s="114" customFormat="1">
      <c r="A541" s="145"/>
      <c r="B541" s="145"/>
      <c r="C541" s="145"/>
      <c r="Q541" s="144"/>
    </row>
    <row r="542" spans="1:17" s="114" customFormat="1">
      <c r="A542" s="145"/>
      <c r="B542" s="145"/>
      <c r="C542" s="145"/>
      <c r="Q542" s="144"/>
    </row>
    <row r="543" spans="1:17" s="114" customFormat="1">
      <c r="A543" s="145"/>
      <c r="B543" s="145"/>
      <c r="C543" s="145"/>
      <c r="Q543" s="144"/>
    </row>
    <row r="544" spans="1:17" s="114" customFormat="1">
      <c r="A544" s="145"/>
      <c r="B544" s="145"/>
      <c r="C544" s="145"/>
      <c r="Q544" s="144"/>
    </row>
    <row r="545" spans="1:17" s="114" customFormat="1">
      <c r="A545" s="145"/>
      <c r="B545" s="145"/>
      <c r="C545" s="145"/>
      <c r="Q545" s="144"/>
    </row>
    <row r="546" spans="1:17" s="114" customFormat="1">
      <c r="A546" s="145"/>
      <c r="B546" s="145"/>
      <c r="C546" s="145"/>
      <c r="Q546" s="144"/>
    </row>
    <row r="547" spans="1:17" s="114" customFormat="1">
      <c r="A547" s="145"/>
      <c r="B547" s="145"/>
      <c r="C547" s="145"/>
      <c r="Q547" s="144"/>
    </row>
    <row r="548" spans="1:17" s="114" customFormat="1">
      <c r="A548" s="145"/>
      <c r="B548" s="145"/>
      <c r="C548" s="145"/>
      <c r="Q548" s="144"/>
    </row>
    <row r="549" spans="1:17" s="114" customFormat="1">
      <c r="A549" s="145"/>
      <c r="B549" s="145"/>
      <c r="C549" s="145"/>
      <c r="Q549" s="144"/>
    </row>
    <row r="550" spans="1:17" s="114" customFormat="1">
      <c r="A550" s="145"/>
      <c r="B550" s="145"/>
      <c r="C550" s="145"/>
      <c r="Q550" s="144"/>
    </row>
    <row r="551" spans="1:17" s="114" customFormat="1">
      <c r="A551" s="145"/>
      <c r="B551" s="145"/>
      <c r="C551" s="145"/>
      <c r="Q551" s="144"/>
    </row>
    <row r="552" spans="1:17" s="114" customFormat="1">
      <c r="A552" s="145"/>
      <c r="B552" s="145"/>
      <c r="C552" s="145"/>
      <c r="Q552" s="144"/>
    </row>
    <row r="553" spans="1:17" s="114" customFormat="1">
      <c r="A553" s="145"/>
      <c r="B553" s="145"/>
      <c r="C553" s="145"/>
      <c r="Q553" s="144"/>
    </row>
    <row r="554" spans="1:17" s="114" customFormat="1">
      <c r="A554" s="145"/>
      <c r="B554" s="145"/>
      <c r="C554" s="145"/>
      <c r="Q554" s="144"/>
    </row>
    <row r="555" spans="1:17" s="114" customFormat="1">
      <c r="A555" s="145"/>
      <c r="B555" s="145"/>
      <c r="C555" s="145"/>
      <c r="Q555" s="144"/>
    </row>
    <row r="556" spans="1:17" s="114" customFormat="1">
      <c r="A556" s="145"/>
      <c r="B556" s="145"/>
      <c r="C556" s="145"/>
      <c r="Q556" s="144"/>
    </row>
    <row r="557" spans="1:17" s="114" customFormat="1">
      <c r="A557" s="145"/>
      <c r="B557" s="145"/>
      <c r="C557" s="145"/>
      <c r="Q557" s="144"/>
    </row>
    <row r="558" spans="1:17" s="114" customFormat="1">
      <c r="A558" s="145"/>
      <c r="B558" s="145"/>
      <c r="C558" s="145"/>
      <c r="Q558" s="144"/>
    </row>
    <row r="559" spans="1:17" s="114" customFormat="1">
      <c r="A559" s="145"/>
      <c r="B559" s="145"/>
      <c r="C559" s="145"/>
      <c r="Q559" s="144"/>
    </row>
    <row r="560" spans="1:17" s="114" customFormat="1">
      <c r="A560" s="145"/>
      <c r="B560" s="145"/>
      <c r="C560" s="145"/>
      <c r="Q560" s="144"/>
    </row>
    <row r="561" spans="1:17" s="114" customFormat="1">
      <c r="A561" s="145"/>
      <c r="B561" s="145"/>
      <c r="C561" s="145"/>
      <c r="Q561" s="144"/>
    </row>
    <row r="562" spans="1:17" s="114" customFormat="1">
      <c r="A562" s="145"/>
      <c r="B562" s="145"/>
      <c r="C562" s="145"/>
      <c r="Q562" s="144"/>
    </row>
    <row r="563" spans="1:17" s="114" customFormat="1">
      <c r="A563" s="145"/>
      <c r="B563" s="145"/>
      <c r="C563" s="145"/>
      <c r="Q563" s="144"/>
    </row>
    <row r="564" spans="1:17" s="114" customFormat="1">
      <c r="A564" s="145"/>
      <c r="B564" s="145"/>
      <c r="C564" s="145"/>
      <c r="Q564" s="144"/>
    </row>
    <row r="565" spans="1:17" s="114" customFormat="1">
      <c r="A565" s="145"/>
      <c r="B565" s="145"/>
      <c r="C565" s="145"/>
      <c r="Q565" s="144"/>
    </row>
    <row r="566" spans="1:17" s="114" customFormat="1">
      <c r="A566" s="145"/>
      <c r="B566" s="145"/>
      <c r="C566" s="145"/>
      <c r="Q566" s="144"/>
    </row>
    <row r="567" spans="1:17" s="114" customFormat="1">
      <c r="A567" s="145"/>
      <c r="B567" s="145"/>
      <c r="C567" s="145"/>
      <c r="Q567" s="144"/>
    </row>
    <row r="568" spans="1:17" s="114" customFormat="1">
      <c r="A568" s="145"/>
      <c r="B568" s="145"/>
      <c r="C568" s="145"/>
      <c r="Q568" s="144"/>
    </row>
    <row r="569" spans="1:17" s="114" customFormat="1">
      <c r="A569" s="145"/>
      <c r="B569" s="145"/>
      <c r="C569" s="145"/>
      <c r="Q569" s="144"/>
    </row>
    <row r="570" spans="1:17" s="114" customFormat="1">
      <c r="A570" s="145"/>
      <c r="B570" s="145"/>
      <c r="C570" s="145"/>
      <c r="Q570" s="144"/>
    </row>
    <row r="571" spans="1:17" s="114" customFormat="1">
      <c r="A571" s="145"/>
      <c r="B571" s="145"/>
      <c r="C571" s="145"/>
      <c r="Q571" s="144"/>
    </row>
    <row r="572" spans="1:17" s="114" customFormat="1">
      <c r="A572" s="145"/>
      <c r="B572" s="145"/>
      <c r="C572" s="145"/>
      <c r="Q572" s="144"/>
    </row>
    <row r="573" spans="1:17" s="114" customFormat="1">
      <c r="A573" s="145"/>
      <c r="B573" s="145"/>
      <c r="C573" s="145"/>
      <c r="Q573" s="144"/>
    </row>
    <row r="574" spans="1:17" s="114" customFormat="1">
      <c r="A574" s="145"/>
      <c r="B574" s="145"/>
      <c r="C574" s="145"/>
      <c r="Q574" s="144"/>
    </row>
    <row r="575" spans="1:17" s="114" customFormat="1">
      <c r="A575" s="145"/>
      <c r="B575" s="145"/>
      <c r="C575" s="145"/>
      <c r="Q575" s="144"/>
    </row>
    <row r="576" spans="1:17" s="114" customFormat="1">
      <c r="A576" s="145"/>
      <c r="B576" s="145"/>
      <c r="C576" s="145"/>
      <c r="Q576" s="144"/>
    </row>
    <row r="577" spans="1:17" s="114" customFormat="1">
      <c r="A577" s="145"/>
      <c r="B577" s="145"/>
      <c r="C577" s="145"/>
      <c r="Q577" s="144"/>
    </row>
    <row r="578" spans="1:17" s="114" customFormat="1">
      <c r="A578" s="145"/>
      <c r="B578" s="145"/>
      <c r="C578" s="145"/>
      <c r="Q578" s="144"/>
    </row>
    <row r="579" spans="1:17" s="114" customFormat="1">
      <c r="A579" s="145"/>
      <c r="B579" s="145"/>
      <c r="C579" s="145"/>
      <c r="Q579" s="144"/>
    </row>
    <row r="580" spans="1:17" s="114" customFormat="1">
      <c r="A580" s="145"/>
      <c r="B580" s="145"/>
      <c r="C580" s="145"/>
      <c r="Q580" s="144"/>
    </row>
    <row r="581" spans="1:17" s="114" customFormat="1">
      <c r="A581" s="145"/>
      <c r="B581" s="145"/>
      <c r="C581" s="145"/>
      <c r="Q581" s="144"/>
    </row>
    <row r="582" spans="1:17" s="114" customFormat="1">
      <c r="A582" s="145"/>
      <c r="B582" s="145"/>
      <c r="C582" s="145"/>
      <c r="Q582" s="144"/>
    </row>
    <row r="583" spans="1:17" s="114" customFormat="1">
      <c r="A583" s="145"/>
      <c r="B583" s="145"/>
      <c r="C583" s="145"/>
      <c r="Q583" s="144"/>
    </row>
    <row r="584" spans="1:17" s="114" customFormat="1">
      <c r="A584" s="145"/>
      <c r="B584" s="145"/>
      <c r="C584" s="145"/>
      <c r="Q584" s="144"/>
    </row>
    <row r="585" spans="1:17" s="114" customFormat="1">
      <c r="A585" s="145"/>
      <c r="B585" s="145"/>
      <c r="C585" s="145"/>
      <c r="Q585" s="144"/>
    </row>
    <row r="586" spans="1:17" s="114" customFormat="1">
      <c r="A586" s="145"/>
      <c r="B586" s="145"/>
      <c r="C586" s="145"/>
      <c r="Q586" s="144"/>
    </row>
    <row r="587" spans="1:17" s="114" customFormat="1">
      <c r="A587" s="145"/>
      <c r="B587" s="145"/>
      <c r="C587" s="145"/>
      <c r="Q587" s="144"/>
    </row>
    <row r="588" spans="1:17" s="114" customFormat="1">
      <c r="A588" s="145"/>
      <c r="B588" s="145"/>
      <c r="C588" s="145"/>
      <c r="Q588" s="144"/>
    </row>
    <row r="589" spans="1:17" s="114" customFormat="1">
      <c r="A589" s="145"/>
      <c r="B589" s="145"/>
      <c r="C589" s="145"/>
      <c r="Q589" s="144"/>
    </row>
    <row r="590" spans="1:17" s="114" customFormat="1">
      <c r="A590" s="145"/>
      <c r="B590" s="145"/>
      <c r="C590" s="145"/>
      <c r="Q590" s="144"/>
    </row>
    <row r="591" spans="1:17" s="114" customFormat="1">
      <c r="A591" s="145"/>
      <c r="B591" s="145"/>
      <c r="C591" s="145"/>
      <c r="Q591" s="144"/>
    </row>
    <row r="592" spans="1:17" s="114" customFormat="1">
      <c r="A592" s="145"/>
      <c r="B592" s="145"/>
      <c r="C592" s="145"/>
      <c r="Q592" s="144"/>
    </row>
    <row r="593" spans="1:17" s="114" customFormat="1">
      <c r="A593" s="145"/>
      <c r="B593" s="145"/>
      <c r="C593" s="145"/>
      <c r="Q593" s="144"/>
    </row>
    <row r="594" spans="1:17" s="114" customFormat="1">
      <c r="A594" s="145"/>
      <c r="B594" s="145"/>
      <c r="C594" s="145"/>
      <c r="Q594" s="144"/>
    </row>
    <row r="595" spans="1:17" s="114" customFormat="1">
      <c r="A595" s="145"/>
      <c r="B595" s="145"/>
      <c r="C595" s="145"/>
      <c r="Q595" s="144"/>
    </row>
    <row r="596" spans="1:17" s="114" customFormat="1">
      <c r="A596" s="145"/>
      <c r="B596" s="145"/>
      <c r="C596" s="145"/>
      <c r="Q596" s="144"/>
    </row>
    <row r="597" spans="1:17" s="114" customFormat="1">
      <c r="A597" s="145"/>
      <c r="B597" s="145"/>
      <c r="C597" s="145"/>
      <c r="Q597" s="144"/>
    </row>
    <row r="598" spans="1:17" s="114" customFormat="1">
      <c r="A598" s="145"/>
      <c r="B598" s="145"/>
      <c r="C598" s="145"/>
      <c r="Q598" s="144"/>
    </row>
    <row r="599" spans="1:17" s="114" customFormat="1">
      <c r="A599" s="145"/>
      <c r="B599" s="145"/>
      <c r="C599" s="145"/>
      <c r="Q599" s="144"/>
    </row>
    <row r="600" spans="1:17" s="114" customFormat="1">
      <c r="A600" s="145"/>
      <c r="B600" s="145"/>
      <c r="C600" s="145"/>
      <c r="Q600" s="144"/>
    </row>
    <row r="601" spans="1:17" s="114" customFormat="1">
      <c r="A601" s="145"/>
      <c r="B601" s="145"/>
      <c r="C601" s="145"/>
      <c r="Q601" s="144"/>
    </row>
    <row r="602" spans="1:17" s="114" customFormat="1">
      <c r="A602" s="145"/>
      <c r="B602" s="145"/>
      <c r="C602" s="145"/>
      <c r="Q602" s="144"/>
    </row>
    <row r="603" spans="1:17" s="114" customFormat="1">
      <c r="A603" s="145"/>
      <c r="B603" s="145"/>
      <c r="C603" s="145"/>
      <c r="Q603" s="144"/>
    </row>
    <row r="604" spans="1:17" s="114" customFormat="1">
      <c r="A604" s="145"/>
      <c r="B604" s="145"/>
      <c r="C604" s="145"/>
      <c r="Q604" s="144"/>
    </row>
    <row r="605" spans="1:17" s="114" customFormat="1">
      <c r="A605" s="145"/>
      <c r="B605" s="145"/>
      <c r="C605" s="145"/>
      <c r="Q605" s="144"/>
    </row>
    <row r="606" spans="1:17" s="114" customFormat="1">
      <c r="A606" s="145"/>
      <c r="B606" s="145"/>
      <c r="C606" s="145"/>
      <c r="Q606" s="144"/>
    </row>
    <row r="607" spans="1:17" s="114" customFormat="1">
      <c r="A607" s="145"/>
      <c r="B607" s="145"/>
      <c r="C607" s="145"/>
      <c r="Q607" s="144"/>
    </row>
    <row r="608" spans="1:17" s="114" customFormat="1">
      <c r="A608" s="145"/>
      <c r="B608" s="145"/>
      <c r="C608" s="145"/>
      <c r="Q608" s="144"/>
    </row>
    <row r="609" spans="1:17" s="114" customFormat="1">
      <c r="A609" s="145"/>
      <c r="B609" s="145"/>
      <c r="C609" s="145"/>
      <c r="Q609" s="144"/>
    </row>
    <row r="610" spans="1:17" s="114" customFormat="1">
      <c r="A610" s="145"/>
      <c r="B610" s="145"/>
      <c r="C610" s="145"/>
      <c r="Q610" s="144"/>
    </row>
    <row r="611" spans="1:17" s="114" customFormat="1">
      <c r="A611" s="145"/>
      <c r="B611" s="145"/>
      <c r="C611" s="145"/>
      <c r="Q611" s="144"/>
    </row>
    <row r="612" spans="1:17" s="114" customFormat="1">
      <c r="A612" s="145"/>
      <c r="B612" s="145"/>
      <c r="C612" s="145"/>
      <c r="Q612" s="144"/>
    </row>
    <row r="613" spans="1:17" s="114" customFormat="1">
      <c r="A613" s="145"/>
      <c r="B613" s="145"/>
      <c r="C613" s="145"/>
      <c r="Q613" s="144"/>
    </row>
    <row r="614" spans="1:17" s="114" customFormat="1">
      <c r="A614" s="145"/>
      <c r="B614" s="145"/>
      <c r="C614" s="145"/>
      <c r="Q614" s="144"/>
    </row>
    <row r="615" spans="1:17" s="114" customFormat="1">
      <c r="A615" s="145"/>
      <c r="B615" s="145"/>
      <c r="C615" s="145"/>
      <c r="Q615" s="144"/>
    </row>
    <row r="616" spans="1:17" s="114" customFormat="1">
      <c r="A616" s="145"/>
      <c r="B616" s="145"/>
      <c r="C616" s="145"/>
      <c r="Q616" s="144"/>
    </row>
    <row r="617" spans="1:17" s="114" customFormat="1">
      <c r="A617" s="145"/>
      <c r="B617" s="145"/>
      <c r="C617" s="145"/>
      <c r="Q617" s="144"/>
    </row>
    <row r="618" spans="1:17" s="114" customFormat="1">
      <c r="A618" s="145"/>
      <c r="B618" s="145"/>
      <c r="C618" s="145"/>
      <c r="Q618" s="144"/>
    </row>
    <row r="619" spans="1:17" s="114" customFormat="1">
      <c r="A619" s="145"/>
      <c r="B619" s="145"/>
      <c r="C619" s="145"/>
      <c r="Q619" s="144"/>
    </row>
    <row r="620" spans="1:17" s="114" customFormat="1">
      <c r="A620" s="145"/>
      <c r="B620" s="145"/>
      <c r="C620" s="145"/>
      <c r="Q620" s="144"/>
    </row>
    <row r="621" spans="1:17" s="114" customFormat="1">
      <c r="A621" s="145"/>
      <c r="B621" s="145"/>
      <c r="C621" s="145"/>
      <c r="Q621" s="144"/>
    </row>
    <row r="622" spans="1:17" s="114" customFormat="1">
      <c r="A622" s="145"/>
      <c r="B622" s="145"/>
      <c r="C622" s="145"/>
      <c r="Q622" s="144"/>
    </row>
    <row r="623" spans="1:17" s="114" customFormat="1">
      <c r="A623" s="145"/>
      <c r="B623" s="145"/>
      <c r="C623" s="145"/>
      <c r="Q623" s="144"/>
    </row>
    <row r="624" spans="1:17" s="114" customFormat="1">
      <c r="A624" s="145"/>
      <c r="B624" s="145"/>
      <c r="C624" s="145"/>
      <c r="Q624" s="144"/>
    </row>
    <row r="625" spans="1:17" s="114" customFormat="1">
      <c r="A625" s="145"/>
      <c r="B625" s="145"/>
      <c r="C625" s="145"/>
      <c r="Q625" s="144"/>
    </row>
    <row r="626" spans="1:17" s="114" customFormat="1">
      <c r="A626" s="145"/>
      <c r="B626" s="145"/>
      <c r="C626" s="145"/>
      <c r="Q626" s="144"/>
    </row>
    <row r="627" spans="1:17" s="114" customFormat="1">
      <c r="A627" s="145"/>
      <c r="B627" s="145"/>
      <c r="C627" s="145"/>
      <c r="Q627" s="144"/>
    </row>
    <row r="628" spans="1:17" s="114" customFormat="1">
      <c r="A628" s="145"/>
      <c r="B628" s="145"/>
      <c r="C628" s="145"/>
      <c r="Q628" s="144"/>
    </row>
    <row r="629" spans="1:17" s="114" customFormat="1">
      <c r="A629" s="145"/>
      <c r="B629" s="145"/>
      <c r="C629" s="145"/>
      <c r="Q629" s="144"/>
    </row>
    <row r="630" spans="1:17" s="114" customFormat="1">
      <c r="A630" s="145"/>
      <c r="B630" s="145"/>
      <c r="C630" s="145"/>
      <c r="Q630" s="144"/>
    </row>
    <row r="631" spans="1:17" s="114" customFormat="1">
      <c r="A631" s="145"/>
      <c r="B631" s="145"/>
      <c r="C631" s="145"/>
      <c r="Q631" s="144"/>
    </row>
    <row r="632" spans="1:17" s="114" customFormat="1">
      <c r="A632" s="145"/>
      <c r="B632" s="145"/>
      <c r="C632" s="145"/>
      <c r="Q632" s="144"/>
    </row>
    <row r="633" spans="1:17" s="114" customFormat="1">
      <c r="A633" s="145"/>
      <c r="B633" s="145"/>
      <c r="C633" s="145"/>
      <c r="Q633" s="144"/>
    </row>
    <row r="634" spans="1:17" s="114" customFormat="1">
      <c r="A634" s="145"/>
      <c r="B634" s="145"/>
      <c r="C634" s="145"/>
      <c r="Q634" s="144"/>
    </row>
    <row r="635" spans="1:17" s="114" customFormat="1">
      <c r="A635" s="145"/>
      <c r="B635" s="145"/>
      <c r="C635" s="145"/>
      <c r="Q635" s="144"/>
    </row>
    <row r="636" spans="1:17" s="114" customFormat="1">
      <c r="A636" s="145"/>
      <c r="B636" s="145"/>
      <c r="C636" s="145"/>
      <c r="Q636" s="144"/>
    </row>
    <row r="637" spans="1:17" s="114" customFormat="1">
      <c r="A637" s="145"/>
      <c r="B637" s="145"/>
      <c r="C637" s="145"/>
      <c r="Q637" s="144"/>
    </row>
    <row r="638" spans="1:17" s="114" customFormat="1">
      <c r="A638" s="145"/>
      <c r="B638" s="145"/>
      <c r="C638" s="145"/>
      <c r="Q638" s="144"/>
    </row>
    <row r="639" spans="1:17" s="114" customFormat="1">
      <c r="A639" s="145"/>
      <c r="B639" s="145"/>
      <c r="C639" s="145"/>
      <c r="Q639" s="144"/>
    </row>
    <row r="640" spans="1:17" s="114" customFormat="1">
      <c r="A640" s="145"/>
      <c r="B640" s="145"/>
      <c r="C640" s="145"/>
      <c r="Q640" s="144"/>
    </row>
    <row r="641" spans="1:17" s="114" customFormat="1">
      <c r="A641" s="145"/>
      <c r="B641" s="145"/>
      <c r="C641" s="145"/>
      <c r="Q641" s="144"/>
    </row>
    <row r="642" spans="1:17" s="114" customFormat="1">
      <c r="A642" s="145"/>
      <c r="B642" s="145"/>
      <c r="C642" s="145"/>
      <c r="Q642" s="144"/>
    </row>
    <row r="643" spans="1:17" s="114" customFormat="1">
      <c r="A643" s="145"/>
      <c r="B643" s="145"/>
      <c r="C643" s="145"/>
      <c r="Q643" s="144"/>
    </row>
    <row r="644" spans="1:17" s="114" customFormat="1">
      <c r="A644" s="145"/>
      <c r="B644" s="145"/>
      <c r="C644" s="145"/>
      <c r="Q644" s="144"/>
    </row>
    <row r="645" spans="1:17" s="114" customFormat="1">
      <c r="A645" s="145"/>
      <c r="B645" s="145"/>
      <c r="C645" s="145"/>
      <c r="Q645" s="144"/>
    </row>
    <row r="646" spans="1:17" s="114" customFormat="1">
      <c r="A646" s="145"/>
      <c r="B646" s="145"/>
      <c r="C646" s="145"/>
      <c r="Q646" s="144"/>
    </row>
    <row r="647" spans="1:17" s="114" customFormat="1">
      <c r="A647" s="145"/>
      <c r="B647" s="145"/>
      <c r="C647" s="145"/>
      <c r="Q647" s="144"/>
    </row>
    <row r="648" spans="1:17" s="114" customFormat="1">
      <c r="A648" s="145"/>
      <c r="B648" s="145"/>
      <c r="C648" s="145"/>
      <c r="Q648" s="144"/>
    </row>
    <row r="649" spans="1:17" s="114" customFormat="1">
      <c r="A649" s="145"/>
      <c r="B649" s="145"/>
      <c r="C649" s="145"/>
      <c r="Q649" s="144"/>
    </row>
    <row r="650" spans="1:17" s="114" customFormat="1">
      <c r="A650" s="145"/>
      <c r="B650" s="145"/>
      <c r="C650" s="145"/>
      <c r="Q650" s="144"/>
    </row>
    <row r="651" spans="1:17" s="114" customFormat="1">
      <c r="A651" s="145"/>
      <c r="B651" s="145"/>
      <c r="C651" s="145"/>
      <c r="Q651" s="144"/>
    </row>
    <row r="652" spans="1:17" s="114" customFormat="1">
      <c r="A652" s="145"/>
      <c r="B652" s="145"/>
      <c r="C652" s="145"/>
      <c r="Q652" s="144"/>
    </row>
    <row r="653" spans="1:17" s="114" customFormat="1">
      <c r="A653" s="145"/>
      <c r="B653" s="145"/>
      <c r="C653" s="145"/>
      <c r="Q653" s="144"/>
    </row>
    <row r="654" spans="1:17" s="114" customFormat="1">
      <c r="A654" s="145"/>
      <c r="B654" s="145"/>
      <c r="C654" s="145"/>
      <c r="Q654" s="144"/>
    </row>
    <row r="655" spans="1:17" s="114" customFormat="1">
      <c r="A655" s="145"/>
      <c r="B655" s="145"/>
      <c r="C655" s="145"/>
      <c r="Q655" s="144"/>
    </row>
    <row r="656" spans="1:17" s="114" customFormat="1">
      <c r="A656" s="145"/>
      <c r="B656" s="145"/>
      <c r="C656" s="145"/>
      <c r="Q656" s="144"/>
    </row>
    <row r="657" spans="1:17" s="114" customFormat="1">
      <c r="A657" s="145"/>
      <c r="B657" s="145"/>
      <c r="C657" s="145"/>
      <c r="Q657" s="144"/>
    </row>
    <row r="658" spans="1:17" s="114" customFormat="1">
      <c r="A658" s="145"/>
      <c r="B658" s="145"/>
      <c r="C658" s="145"/>
      <c r="Q658" s="144"/>
    </row>
    <row r="659" spans="1:17" s="114" customFormat="1">
      <c r="A659" s="145"/>
      <c r="B659" s="145"/>
      <c r="C659" s="145"/>
      <c r="Q659" s="144"/>
    </row>
    <row r="660" spans="1:17" s="114" customFormat="1">
      <c r="A660" s="145"/>
      <c r="B660" s="145"/>
      <c r="C660" s="145"/>
      <c r="Q660" s="144"/>
    </row>
    <row r="661" spans="1:17" s="114" customFormat="1">
      <c r="A661" s="145"/>
      <c r="B661" s="145"/>
      <c r="C661" s="145"/>
      <c r="Q661" s="144"/>
    </row>
    <row r="662" spans="1:17" s="114" customFormat="1">
      <c r="A662" s="145"/>
      <c r="B662" s="145"/>
      <c r="C662" s="145"/>
      <c r="Q662" s="144"/>
    </row>
    <row r="663" spans="1:17" s="114" customFormat="1">
      <c r="A663" s="145"/>
      <c r="B663" s="145"/>
      <c r="C663" s="145"/>
      <c r="Q663" s="144"/>
    </row>
    <row r="664" spans="1:17" s="114" customFormat="1">
      <c r="A664" s="145"/>
      <c r="B664" s="145"/>
      <c r="C664" s="145"/>
      <c r="Q664" s="144"/>
    </row>
    <row r="665" spans="1:17" s="114" customFormat="1">
      <c r="A665" s="145"/>
      <c r="B665" s="145"/>
      <c r="C665" s="145"/>
      <c r="Q665" s="144"/>
    </row>
    <row r="666" spans="1:17" s="114" customFormat="1">
      <c r="A666" s="145"/>
      <c r="B666" s="145"/>
      <c r="C666" s="145"/>
      <c r="Q666" s="144"/>
    </row>
    <row r="667" spans="1:17" s="114" customFormat="1">
      <c r="A667" s="145"/>
      <c r="B667" s="145"/>
      <c r="C667" s="145"/>
      <c r="Q667" s="144"/>
    </row>
    <row r="668" spans="1:17" s="114" customFormat="1">
      <c r="A668" s="145"/>
      <c r="B668" s="145"/>
      <c r="C668" s="145"/>
      <c r="Q668" s="144"/>
    </row>
    <row r="669" spans="1:17" s="114" customFormat="1">
      <c r="A669" s="145"/>
      <c r="B669" s="145"/>
      <c r="C669" s="145"/>
      <c r="Q669" s="144"/>
    </row>
    <row r="670" spans="1:17" s="114" customFormat="1">
      <c r="A670" s="145"/>
      <c r="B670" s="145"/>
      <c r="C670" s="145"/>
      <c r="Q670" s="144"/>
    </row>
    <row r="671" spans="1:17" s="114" customFormat="1">
      <c r="A671" s="145"/>
      <c r="B671" s="145"/>
      <c r="C671" s="145"/>
      <c r="Q671" s="144"/>
    </row>
    <row r="672" spans="1:17" s="114" customFormat="1">
      <c r="A672" s="145"/>
      <c r="B672" s="145"/>
      <c r="C672" s="145"/>
      <c r="Q672" s="144"/>
    </row>
    <row r="673" spans="1:17" s="114" customFormat="1">
      <c r="A673" s="145"/>
      <c r="B673" s="145"/>
      <c r="C673" s="145"/>
      <c r="Q673" s="144"/>
    </row>
    <row r="674" spans="1:17" s="114" customFormat="1">
      <c r="A674" s="145"/>
      <c r="B674" s="145"/>
      <c r="C674" s="145"/>
      <c r="Q674" s="144"/>
    </row>
    <row r="675" spans="1:17" s="114" customFormat="1">
      <c r="A675" s="145"/>
      <c r="B675" s="145"/>
      <c r="C675" s="145"/>
      <c r="Q675" s="144"/>
    </row>
    <row r="676" spans="1:17" s="114" customFormat="1">
      <c r="A676" s="145"/>
      <c r="B676" s="145"/>
      <c r="C676" s="145"/>
      <c r="Q676" s="144"/>
    </row>
    <row r="677" spans="1:17" s="114" customFormat="1">
      <c r="A677" s="145"/>
      <c r="B677" s="145"/>
      <c r="C677" s="145"/>
      <c r="Q677" s="144"/>
    </row>
    <row r="678" spans="1:17" s="114" customFormat="1">
      <c r="A678" s="145"/>
      <c r="B678" s="145"/>
      <c r="C678" s="145"/>
      <c r="Q678" s="144"/>
    </row>
    <row r="679" spans="1:17" s="114" customFormat="1">
      <c r="A679" s="145"/>
      <c r="B679" s="145"/>
      <c r="C679" s="145"/>
      <c r="Q679" s="144"/>
    </row>
    <row r="680" spans="1:17" s="114" customFormat="1">
      <c r="A680" s="145"/>
      <c r="B680" s="145"/>
      <c r="C680" s="145"/>
      <c r="Q680" s="144"/>
    </row>
    <row r="681" spans="1:17" s="114" customFormat="1">
      <c r="A681" s="145"/>
      <c r="B681" s="145"/>
      <c r="C681" s="145"/>
      <c r="Q681" s="144"/>
    </row>
    <row r="682" spans="1:17" s="114" customFormat="1">
      <c r="A682" s="145"/>
      <c r="B682" s="145"/>
      <c r="C682" s="145"/>
      <c r="Q682" s="144"/>
    </row>
    <row r="683" spans="1:17" s="114" customFormat="1">
      <c r="A683" s="145"/>
      <c r="B683" s="145"/>
      <c r="C683" s="145"/>
      <c r="Q683" s="144"/>
    </row>
    <row r="684" spans="1:17" s="114" customFormat="1">
      <c r="A684" s="145"/>
      <c r="B684" s="145"/>
      <c r="C684" s="145"/>
      <c r="Q684" s="144"/>
    </row>
    <row r="685" spans="1:17" s="114" customFormat="1">
      <c r="A685" s="145"/>
      <c r="B685" s="145"/>
      <c r="C685" s="145"/>
      <c r="Q685" s="144"/>
    </row>
    <row r="686" spans="1:17" s="114" customFormat="1">
      <c r="A686" s="145"/>
      <c r="B686" s="145"/>
      <c r="C686" s="145"/>
      <c r="Q686" s="144"/>
    </row>
    <row r="687" spans="1:17" s="114" customFormat="1">
      <c r="A687" s="145"/>
      <c r="B687" s="145"/>
      <c r="C687" s="145"/>
      <c r="Q687" s="144"/>
    </row>
    <row r="688" spans="1:17" s="114" customFormat="1">
      <c r="A688" s="145"/>
      <c r="B688" s="145"/>
      <c r="C688" s="145"/>
      <c r="Q688" s="144"/>
    </row>
    <row r="689" spans="1:17" s="114" customFormat="1">
      <c r="A689" s="145"/>
      <c r="B689" s="145"/>
      <c r="C689" s="145"/>
      <c r="Q689" s="144"/>
    </row>
    <row r="690" spans="1:17" s="114" customFormat="1">
      <c r="A690" s="145"/>
      <c r="B690" s="145"/>
      <c r="C690" s="145"/>
      <c r="Q690" s="144"/>
    </row>
    <row r="691" spans="1:17" s="114" customFormat="1">
      <c r="A691" s="145"/>
      <c r="B691" s="145"/>
      <c r="C691" s="145"/>
      <c r="Q691" s="144"/>
    </row>
    <row r="692" spans="1:17" s="114" customFormat="1">
      <c r="A692" s="145"/>
      <c r="B692" s="145"/>
      <c r="C692" s="145"/>
      <c r="Q692" s="144"/>
    </row>
    <row r="693" spans="1:17" s="114" customFormat="1">
      <c r="A693" s="145"/>
      <c r="B693" s="145"/>
      <c r="C693" s="145"/>
      <c r="Q693" s="144"/>
    </row>
    <row r="694" spans="1:17" s="114" customFormat="1">
      <c r="A694" s="145"/>
      <c r="B694" s="145"/>
      <c r="C694" s="145"/>
      <c r="Q694" s="144"/>
    </row>
    <row r="695" spans="1:17" s="114" customFormat="1">
      <c r="A695" s="145"/>
      <c r="B695" s="145"/>
      <c r="C695" s="145"/>
      <c r="Q695" s="144"/>
    </row>
    <row r="696" spans="1:17" s="114" customFormat="1">
      <c r="A696" s="145"/>
      <c r="B696" s="145"/>
      <c r="C696" s="145"/>
      <c r="Q696" s="144"/>
    </row>
    <row r="697" spans="1:17" s="114" customFormat="1">
      <c r="A697" s="145"/>
      <c r="B697" s="145"/>
      <c r="C697" s="145"/>
      <c r="Q697" s="144"/>
    </row>
    <row r="698" spans="1:17" s="114" customFormat="1">
      <c r="A698" s="145"/>
      <c r="B698" s="145"/>
      <c r="C698" s="145"/>
      <c r="Q698" s="144"/>
    </row>
    <row r="699" spans="1:17" s="114" customFormat="1">
      <c r="A699" s="145"/>
      <c r="B699" s="145"/>
      <c r="C699" s="145"/>
      <c r="Q699" s="144"/>
    </row>
    <row r="700" spans="1:17" s="114" customFormat="1">
      <c r="A700" s="145"/>
      <c r="B700" s="145"/>
      <c r="C700" s="145"/>
      <c r="Q700" s="144"/>
    </row>
    <row r="701" spans="1:17" s="114" customFormat="1">
      <c r="A701" s="145"/>
      <c r="B701" s="145"/>
      <c r="C701" s="145"/>
      <c r="Q701" s="144"/>
    </row>
    <row r="702" spans="1:17" s="114" customFormat="1">
      <c r="A702" s="145"/>
      <c r="B702" s="145"/>
      <c r="C702" s="145"/>
      <c r="Q702" s="144"/>
    </row>
    <row r="703" spans="1:17" s="114" customFormat="1">
      <c r="A703" s="145"/>
      <c r="B703" s="145"/>
      <c r="C703" s="145"/>
      <c r="Q703" s="144"/>
    </row>
    <row r="704" spans="1:17" s="114" customFormat="1">
      <c r="A704" s="145"/>
      <c r="B704" s="145"/>
      <c r="C704" s="145"/>
      <c r="Q704" s="144"/>
    </row>
    <row r="705" spans="1:17" s="114" customFormat="1">
      <c r="A705" s="145"/>
      <c r="B705" s="145"/>
      <c r="C705" s="145"/>
      <c r="Q705" s="144"/>
    </row>
    <row r="706" spans="1:17" s="114" customFormat="1">
      <c r="A706" s="145"/>
      <c r="B706" s="145"/>
      <c r="C706" s="145"/>
      <c r="Q706" s="144"/>
    </row>
    <row r="707" spans="1:17" s="114" customFormat="1">
      <c r="A707" s="145"/>
      <c r="B707" s="145"/>
      <c r="C707" s="145"/>
      <c r="Q707" s="144"/>
    </row>
    <row r="708" spans="1:17" s="114" customFormat="1">
      <c r="A708" s="145"/>
      <c r="B708" s="145"/>
      <c r="C708" s="145"/>
      <c r="Q708" s="144"/>
    </row>
    <row r="709" spans="1:17" s="114" customFormat="1">
      <c r="A709" s="145"/>
      <c r="B709" s="145"/>
      <c r="C709" s="145"/>
      <c r="Q709" s="144"/>
    </row>
    <row r="710" spans="1:17" s="114" customFormat="1">
      <c r="A710" s="145"/>
      <c r="B710" s="145"/>
      <c r="C710" s="145"/>
      <c r="Q710" s="144"/>
    </row>
    <row r="711" spans="1:17" s="114" customFormat="1">
      <c r="A711" s="145"/>
      <c r="B711" s="145"/>
      <c r="C711" s="145"/>
      <c r="Q711" s="144"/>
    </row>
    <row r="712" spans="1:17" s="114" customFormat="1">
      <c r="A712" s="145"/>
      <c r="B712" s="145"/>
      <c r="C712" s="145"/>
      <c r="Q712" s="144"/>
    </row>
    <row r="713" spans="1:17" s="114" customFormat="1">
      <c r="A713" s="145"/>
      <c r="B713" s="145"/>
      <c r="C713" s="145"/>
      <c r="Q713" s="144"/>
    </row>
    <row r="714" spans="1:17" s="114" customFormat="1">
      <c r="A714" s="145"/>
      <c r="B714" s="145"/>
      <c r="C714" s="145"/>
      <c r="Q714" s="144"/>
    </row>
    <row r="715" spans="1:17" s="114" customFormat="1">
      <c r="A715" s="145"/>
      <c r="B715" s="145"/>
      <c r="C715" s="145"/>
      <c r="Q715" s="144"/>
    </row>
    <row r="716" spans="1:17" s="114" customFormat="1">
      <c r="A716" s="145"/>
      <c r="B716" s="145"/>
      <c r="C716" s="145"/>
      <c r="Q716" s="144"/>
    </row>
    <row r="717" spans="1:17" s="114" customFormat="1">
      <c r="A717" s="145"/>
      <c r="B717" s="145"/>
      <c r="C717" s="145"/>
      <c r="Q717" s="144"/>
    </row>
    <row r="718" spans="1:17" s="114" customFormat="1">
      <c r="A718" s="145"/>
      <c r="B718" s="145"/>
      <c r="C718" s="145"/>
      <c r="Q718" s="144"/>
    </row>
    <row r="719" spans="1:17" s="114" customFormat="1">
      <c r="A719" s="145"/>
      <c r="B719" s="145"/>
      <c r="C719" s="145"/>
      <c r="Q719" s="144"/>
    </row>
    <row r="720" spans="1:17" s="114" customFormat="1">
      <c r="A720" s="145"/>
      <c r="B720" s="145"/>
      <c r="C720" s="145"/>
      <c r="Q720" s="144"/>
    </row>
    <row r="721" spans="1:17" s="114" customFormat="1">
      <c r="A721" s="145"/>
      <c r="B721" s="145"/>
      <c r="C721" s="145"/>
      <c r="Q721" s="144"/>
    </row>
    <row r="722" spans="1:17" s="114" customFormat="1">
      <c r="A722" s="145"/>
      <c r="B722" s="145"/>
      <c r="C722" s="145"/>
      <c r="Q722" s="144"/>
    </row>
    <row r="723" spans="1:17" s="114" customFormat="1">
      <c r="A723" s="145"/>
      <c r="B723" s="145"/>
      <c r="C723" s="145"/>
      <c r="Q723" s="144"/>
    </row>
    <row r="724" spans="1:17" s="114" customFormat="1">
      <c r="A724" s="145"/>
      <c r="B724" s="145"/>
      <c r="C724" s="145"/>
      <c r="Q724" s="144"/>
    </row>
    <row r="725" spans="1:17" s="114" customFormat="1">
      <c r="A725" s="145"/>
      <c r="B725" s="145"/>
      <c r="C725" s="145"/>
      <c r="Q725" s="144"/>
    </row>
    <row r="726" spans="1:17" s="114" customFormat="1">
      <c r="A726" s="145"/>
      <c r="B726" s="145"/>
      <c r="C726" s="145"/>
      <c r="Q726" s="144"/>
    </row>
    <row r="727" spans="1:17" s="114" customFormat="1">
      <c r="A727" s="145"/>
      <c r="B727" s="145"/>
      <c r="C727" s="145"/>
      <c r="Q727" s="144"/>
    </row>
    <row r="728" spans="1:17" s="114" customFormat="1">
      <c r="A728" s="145"/>
      <c r="B728" s="145"/>
      <c r="C728" s="145"/>
      <c r="Q728" s="144"/>
    </row>
    <row r="729" spans="1:17" s="114" customFormat="1">
      <c r="A729" s="145"/>
      <c r="B729" s="145"/>
      <c r="C729" s="145"/>
      <c r="Q729" s="144"/>
    </row>
    <row r="730" spans="1:17" s="114" customFormat="1">
      <c r="A730" s="145"/>
      <c r="B730" s="145"/>
      <c r="C730" s="145"/>
      <c r="Q730" s="144"/>
    </row>
    <row r="731" spans="1:17" s="114" customFormat="1">
      <c r="A731" s="145"/>
      <c r="B731" s="145"/>
      <c r="C731" s="145"/>
      <c r="Q731" s="144"/>
    </row>
    <row r="732" spans="1:17" s="114" customFormat="1">
      <c r="A732" s="145"/>
      <c r="B732" s="145"/>
      <c r="C732" s="145"/>
      <c r="Q732" s="144"/>
    </row>
    <row r="733" spans="1:17" s="114" customFormat="1">
      <c r="A733" s="145"/>
      <c r="B733" s="145"/>
      <c r="C733" s="145"/>
      <c r="Q733" s="144"/>
    </row>
    <row r="734" spans="1:17" s="114" customFormat="1">
      <c r="A734" s="145"/>
      <c r="B734" s="145"/>
      <c r="C734" s="145"/>
      <c r="Q734" s="144"/>
    </row>
    <row r="735" spans="1:17" s="114" customFormat="1">
      <c r="A735" s="145"/>
      <c r="B735" s="145"/>
      <c r="C735" s="145"/>
      <c r="Q735" s="144"/>
    </row>
    <row r="736" spans="1:17" s="114" customFormat="1">
      <c r="A736" s="145"/>
      <c r="B736" s="145"/>
      <c r="C736" s="145"/>
      <c r="Q736" s="144"/>
    </row>
    <row r="737" spans="1:17" s="114" customFormat="1">
      <c r="A737" s="145"/>
      <c r="B737" s="145"/>
      <c r="C737" s="145"/>
      <c r="Q737" s="144"/>
    </row>
    <row r="738" spans="1:17" s="114" customFormat="1">
      <c r="A738" s="145"/>
      <c r="B738" s="145"/>
      <c r="C738" s="145"/>
      <c r="Q738" s="144"/>
    </row>
    <row r="739" spans="1:17" s="114" customFormat="1">
      <c r="A739" s="145"/>
      <c r="B739" s="145"/>
      <c r="C739" s="145"/>
      <c r="Q739" s="144"/>
    </row>
    <row r="740" spans="1:17" s="114" customFormat="1">
      <c r="A740" s="145"/>
      <c r="B740" s="145"/>
      <c r="C740" s="145"/>
      <c r="Q740" s="144"/>
    </row>
    <row r="741" spans="1:17" s="114" customFormat="1">
      <c r="A741" s="145"/>
      <c r="B741" s="145"/>
      <c r="C741" s="145"/>
      <c r="Q741" s="144"/>
    </row>
    <row r="742" spans="1:17" s="114" customFormat="1">
      <c r="A742" s="145"/>
      <c r="B742" s="145"/>
      <c r="C742" s="145"/>
      <c r="Q742" s="144"/>
    </row>
    <row r="743" spans="1:17" s="114" customFormat="1">
      <c r="A743" s="145"/>
      <c r="B743" s="145"/>
      <c r="C743" s="145"/>
      <c r="Q743" s="144"/>
    </row>
    <row r="744" spans="1:17" s="114" customFormat="1">
      <c r="A744" s="145"/>
      <c r="B744" s="145"/>
      <c r="C744" s="145"/>
      <c r="Q744" s="144"/>
    </row>
    <row r="745" spans="1:17" s="114" customFormat="1">
      <c r="A745" s="145"/>
      <c r="B745" s="145"/>
      <c r="C745" s="145"/>
      <c r="Q745" s="144"/>
    </row>
    <row r="746" spans="1:17" s="114" customFormat="1">
      <c r="A746" s="145"/>
      <c r="B746" s="145"/>
      <c r="C746" s="145"/>
      <c r="Q746" s="144"/>
    </row>
    <row r="747" spans="1:17" s="114" customFormat="1">
      <c r="A747" s="145"/>
      <c r="B747" s="145"/>
      <c r="C747" s="145"/>
      <c r="Q747" s="144"/>
    </row>
    <row r="748" spans="1:17" s="114" customFormat="1">
      <c r="A748" s="145"/>
      <c r="B748" s="145"/>
      <c r="C748" s="145"/>
      <c r="Q748" s="144"/>
    </row>
    <row r="749" spans="1:17" s="114" customFormat="1">
      <c r="A749" s="145"/>
      <c r="B749" s="145"/>
      <c r="C749" s="145"/>
      <c r="Q749" s="144"/>
    </row>
    <row r="750" spans="1:17" s="114" customFormat="1">
      <c r="A750" s="145"/>
      <c r="B750" s="145"/>
      <c r="C750" s="145"/>
      <c r="Q750" s="144"/>
    </row>
    <row r="751" spans="1:17" s="114" customFormat="1">
      <c r="A751" s="145"/>
      <c r="B751" s="145"/>
      <c r="C751" s="145"/>
      <c r="Q751" s="144"/>
    </row>
    <row r="752" spans="1:17" s="114" customFormat="1">
      <c r="A752" s="145"/>
      <c r="B752" s="145"/>
      <c r="C752" s="145"/>
      <c r="Q752" s="144"/>
    </row>
    <row r="753" spans="1:17" s="114" customFormat="1">
      <c r="A753" s="145"/>
      <c r="B753" s="145"/>
      <c r="C753" s="145"/>
      <c r="Q753" s="144"/>
    </row>
    <row r="754" spans="1:17" s="114" customFormat="1">
      <c r="A754" s="145"/>
      <c r="B754" s="145"/>
      <c r="C754" s="145"/>
      <c r="Q754" s="144"/>
    </row>
    <row r="755" spans="1:17" s="114" customFormat="1">
      <c r="A755" s="145"/>
      <c r="B755" s="145"/>
      <c r="C755" s="145"/>
      <c r="Q755" s="144"/>
    </row>
    <row r="756" spans="1:17" s="114" customFormat="1">
      <c r="A756" s="145"/>
      <c r="B756" s="145"/>
      <c r="C756" s="145"/>
      <c r="Q756" s="144"/>
    </row>
    <row r="757" spans="1:17" s="114" customFormat="1">
      <c r="A757" s="145"/>
      <c r="B757" s="145"/>
      <c r="C757" s="145"/>
      <c r="Q757" s="144"/>
    </row>
    <row r="758" spans="1:17" s="114" customFormat="1">
      <c r="A758" s="145"/>
      <c r="B758" s="145"/>
      <c r="C758" s="145"/>
      <c r="Q758" s="144"/>
    </row>
    <row r="759" spans="1:17" s="114" customFormat="1">
      <c r="A759" s="145"/>
      <c r="B759" s="145"/>
      <c r="C759" s="145"/>
      <c r="Q759" s="144"/>
    </row>
    <row r="760" spans="1:17" s="114" customFormat="1">
      <c r="A760" s="145"/>
      <c r="B760" s="145"/>
      <c r="C760" s="145"/>
      <c r="Q760" s="144"/>
    </row>
    <row r="761" spans="1:17" s="114" customFormat="1">
      <c r="A761" s="145"/>
      <c r="B761" s="145"/>
      <c r="C761" s="145"/>
      <c r="Q761" s="144"/>
    </row>
    <row r="762" spans="1:17" s="114" customFormat="1">
      <c r="A762" s="145"/>
      <c r="B762" s="145"/>
      <c r="C762" s="145"/>
      <c r="Q762" s="144"/>
    </row>
    <row r="763" spans="1:17" s="114" customFormat="1">
      <c r="A763" s="145"/>
      <c r="B763" s="145"/>
      <c r="C763" s="145"/>
      <c r="Q763" s="144"/>
    </row>
    <row r="764" spans="1:17" s="114" customFormat="1">
      <c r="A764" s="145"/>
      <c r="B764" s="145"/>
      <c r="C764" s="145"/>
      <c r="Q764" s="144"/>
    </row>
    <row r="765" spans="1:17" s="114" customFormat="1">
      <c r="A765" s="145"/>
      <c r="B765" s="145"/>
      <c r="C765" s="145"/>
      <c r="Q765" s="144"/>
    </row>
    <row r="766" spans="1:17" s="114" customFormat="1">
      <c r="A766" s="145"/>
      <c r="B766" s="145"/>
      <c r="C766" s="145"/>
      <c r="Q766" s="144"/>
    </row>
    <row r="767" spans="1:17" s="114" customFormat="1">
      <c r="A767" s="145"/>
      <c r="B767" s="145"/>
      <c r="C767" s="145"/>
      <c r="Q767" s="144"/>
    </row>
    <row r="768" spans="1:17" s="114" customFormat="1">
      <c r="A768" s="145"/>
      <c r="B768" s="145"/>
      <c r="C768" s="145"/>
      <c r="Q768" s="144"/>
    </row>
    <row r="769" spans="1:17" s="114" customFormat="1">
      <c r="A769" s="145"/>
      <c r="B769" s="145"/>
      <c r="C769" s="145"/>
      <c r="Q769" s="144"/>
    </row>
    <row r="770" spans="1:17" s="114" customFormat="1">
      <c r="A770" s="145"/>
      <c r="B770" s="145"/>
      <c r="C770" s="145"/>
      <c r="Q770" s="144"/>
    </row>
    <row r="771" spans="1:17" s="114" customFormat="1">
      <c r="A771" s="145"/>
      <c r="B771" s="145"/>
      <c r="C771" s="145"/>
      <c r="Q771" s="144"/>
    </row>
    <row r="772" spans="1:17" s="114" customFormat="1">
      <c r="A772" s="145"/>
      <c r="B772" s="145"/>
      <c r="C772" s="145"/>
      <c r="Q772" s="144"/>
    </row>
    <row r="773" spans="1:17" s="114" customFormat="1">
      <c r="A773" s="145"/>
      <c r="B773" s="145"/>
      <c r="C773" s="145"/>
      <c r="Q773" s="144"/>
    </row>
    <row r="774" spans="1:17" s="114" customFormat="1">
      <c r="A774" s="145"/>
      <c r="B774" s="145"/>
      <c r="C774" s="145"/>
      <c r="Q774" s="144"/>
    </row>
    <row r="775" spans="1:17" s="114" customFormat="1">
      <c r="A775" s="145"/>
      <c r="B775" s="145"/>
      <c r="C775" s="145"/>
      <c r="Q775" s="144"/>
    </row>
    <row r="776" spans="1:17" s="114" customFormat="1">
      <c r="A776" s="145"/>
      <c r="B776" s="145"/>
      <c r="C776" s="145"/>
      <c r="Q776" s="144"/>
    </row>
    <row r="777" spans="1:17" s="114" customFormat="1">
      <c r="A777" s="145"/>
      <c r="B777" s="145"/>
      <c r="C777" s="145"/>
      <c r="Q777" s="144"/>
    </row>
    <row r="778" spans="1:17" s="114" customFormat="1">
      <c r="A778" s="145"/>
      <c r="B778" s="145"/>
      <c r="C778" s="145"/>
      <c r="Q778" s="144"/>
    </row>
    <row r="779" spans="1:17" s="114" customFormat="1">
      <c r="A779" s="145"/>
      <c r="B779" s="145"/>
      <c r="C779" s="145"/>
      <c r="Q779" s="144"/>
    </row>
    <row r="780" spans="1:17" s="114" customFormat="1">
      <c r="A780" s="145"/>
      <c r="B780" s="145"/>
      <c r="C780" s="145"/>
      <c r="Q780" s="144"/>
    </row>
    <row r="781" spans="1:17" s="114" customFormat="1">
      <c r="A781" s="145"/>
      <c r="B781" s="145"/>
      <c r="C781" s="145"/>
      <c r="Q781" s="144"/>
    </row>
    <row r="782" spans="1:17" s="114" customFormat="1">
      <c r="A782" s="145"/>
      <c r="B782" s="145"/>
      <c r="C782" s="145"/>
      <c r="Q782" s="144"/>
    </row>
    <row r="783" spans="1:17" s="114" customFormat="1">
      <c r="A783" s="145"/>
      <c r="B783" s="145"/>
      <c r="C783" s="145"/>
      <c r="Q783" s="144"/>
    </row>
    <row r="784" spans="1:17" s="114" customFormat="1">
      <c r="A784" s="145"/>
      <c r="B784" s="145"/>
      <c r="C784" s="145"/>
      <c r="Q784" s="144"/>
    </row>
    <row r="785" spans="1:17" s="114" customFormat="1">
      <c r="A785" s="145"/>
      <c r="B785" s="145"/>
      <c r="C785" s="145"/>
      <c r="Q785" s="144"/>
    </row>
    <row r="786" spans="1:17" s="114" customFormat="1">
      <c r="A786" s="145"/>
      <c r="B786" s="145"/>
      <c r="C786" s="145"/>
      <c r="Q786" s="144"/>
    </row>
    <row r="787" spans="1:17" s="114" customFormat="1">
      <c r="A787" s="145"/>
      <c r="B787" s="145"/>
      <c r="C787" s="145"/>
      <c r="Q787" s="144"/>
    </row>
    <row r="788" spans="1:17" s="114" customFormat="1">
      <c r="A788" s="145"/>
      <c r="B788" s="145"/>
      <c r="C788" s="145"/>
      <c r="Q788" s="144"/>
    </row>
    <row r="789" spans="1:17" s="114" customFormat="1">
      <c r="A789" s="145"/>
      <c r="B789" s="145"/>
      <c r="C789" s="145"/>
      <c r="Q789" s="144"/>
    </row>
    <row r="790" spans="1:17" s="114" customFormat="1">
      <c r="A790" s="145"/>
      <c r="B790" s="145"/>
      <c r="C790" s="145"/>
      <c r="Q790" s="144"/>
    </row>
    <row r="791" spans="1:17" s="114" customFormat="1">
      <c r="A791" s="145"/>
      <c r="B791" s="145"/>
      <c r="C791" s="145"/>
      <c r="Q791" s="144"/>
    </row>
    <row r="792" spans="1:17" s="114" customFormat="1">
      <c r="A792" s="145"/>
      <c r="B792" s="145"/>
      <c r="C792" s="145"/>
      <c r="Q792" s="144"/>
    </row>
    <row r="793" spans="1:17" s="114" customFormat="1">
      <c r="A793" s="145"/>
      <c r="B793" s="145"/>
      <c r="C793" s="145"/>
      <c r="Q793" s="144"/>
    </row>
    <row r="794" spans="1:17" s="114" customFormat="1">
      <c r="A794" s="145"/>
      <c r="B794" s="145"/>
      <c r="C794" s="145"/>
      <c r="Q794" s="144"/>
    </row>
    <row r="795" spans="1:17" s="114" customFormat="1">
      <c r="A795" s="145"/>
      <c r="B795" s="145"/>
      <c r="C795" s="145"/>
      <c r="Q795" s="144"/>
    </row>
    <row r="796" spans="1:17" s="114" customFormat="1">
      <c r="A796" s="145"/>
      <c r="B796" s="145"/>
      <c r="C796" s="145"/>
      <c r="Q796" s="144"/>
    </row>
    <row r="797" spans="1:17" s="114" customFormat="1">
      <c r="A797" s="145"/>
      <c r="B797" s="145"/>
      <c r="C797" s="145"/>
      <c r="Q797" s="144"/>
    </row>
    <row r="798" spans="1:17" s="114" customFormat="1">
      <c r="A798" s="145"/>
      <c r="B798" s="145"/>
      <c r="C798" s="145"/>
      <c r="Q798" s="144"/>
    </row>
    <row r="799" spans="1:17" s="114" customFormat="1">
      <c r="A799" s="145"/>
      <c r="B799" s="145"/>
      <c r="C799" s="145"/>
      <c r="Q799" s="144"/>
    </row>
    <row r="800" spans="1:17" s="114" customFormat="1">
      <c r="A800" s="145"/>
      <c r="B800" s="145"/>
      <c r="C800" s="145"/>
      <c r="Q800" s="144"/>
    </row>
    <row r="801" spans="1:26" s="114" customFormat="1">
      <c r="A801" s="145"/>
      <c r="B801" s="145"/>
      <c r="C801" s="145"/>
      <c r="Q801" s="144"/>
    </row>
    <row r="802" spans="1:26" s="114" customFormat="1">
      <c r="A802" s="145"/>
      <c r="B802" s="145"/>
      <c r="C802" s="145"/>
      <c r="Q802" s="144"/>
    </row>
    <row r="803" spans="1:26" s="114" customFormat="1">
      <c r="A803" s="145"/>
      <c r="B803" s="145"/>
      <c r="C803" s="145"/>
      <c r="Q803" s="144"/>
    </row>
    <row r="804" spans="1:26" s="114" customFormat="1">
      <c r="A804" s="145"/>
      <c r="B804" s="145"/>
      <c r="C804" s="145"/>
      <c r="Q804" s="144"/>
    </row>
    <row r="805" spans="1:26" s="114" customFormat="1">
      <c r="A805" s="145"/>
      <c r="B805" s="145"/>
      <c r="C805" s="145"/>
      <c r="Q805" s="144"/>
    </row>
    <row r="806" spans="1:26" s="114" customFormat="1">
      <c r="A806" s="145"/>
      <c r="B806" s="145"/>
      <c r="C806" s="145"/>
      <c r="Q806" s="144"/>
    </row>
    <row r="807" spans="1:26" s="114" customFormat="1">
      <c r="A807" s="145"/>
      <c r="B807" s="145"/>
      <c r="C807" s="145"/>
      <c r="Q807" s="144"/>
      <c r="X807" s="53"/>
      <c r="Y807" s="53"/>
      <c r="Z807" s="53"/>
    </row>
  </sheetData>
  <mergeCells count="3">
    <mergeCell ref="S7:V7"/>
    <mergeCell ref="X7:Z7"/>
    <mergeCell ref="B9:C9"/>
  </mergeCells>
  <printOptions horizontalCentered="1"/>
  <pageMargins left="0.25" right="0.25" top="0.5" bottom="0.5" header="0.5" footer="0.5"/>
  <pageSetup scale="86" orientation="landscape" horizontalDpi="1200" verticalDpi="1200" r:id="rId1"/>
  <headerFooter alignWithMargins="0">
    <oddFooter>&amp;L&amp;8Planning &amp; Accountability&amp;R&amp;8&amp;D</oddFooter>
  </headerFooter>
  <rowBreaks count="1" manualBreakCount="1">
    <brk id="50" min="3" max="18" man="1"/>
  </rowBreaks>
  <colBreaks count="1" manualBreakCount="1">
    <brk id="13" max="51" man="1"/>
  </colBreaks>
  <ignoredErrors>
    <ignoredError sqref="I64" formula="1"/>
  </ignoredErrors>
  <drawing r:id="rId2"/>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sheetPr>
    <tabColor indexed="11"/>
    <pageSetUpPr fitToPage="1"/>
  </sheetPr>
  <dimension ref="A1:AJ129"/>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5.140625" style="164" customWidth="1"/>
    <col min="9" max="9" width="17.42578125" style="164" customWidth="1"/>
    <col min="10" max="10" width="15.5703125" style="164" customWidth="1"/>
    <col min="11" max="11" width="16" style="164" customWidth="1"/>
    <col min="12" max="12" width="17.140625" style="164" customWidth="1"/>
    <col min="13" max="13" width="21.140625" style="164" customWidth="1"/>
    <col min="14" max="14" width="4" style="164" customWidth="1"/>
    <col min="15" max="15" width="16.85546875" style="261" customWidth="1"/>
    <col min="16" max="16" width="25.7109375" style="264" customWidth="1"/>
    <col min="17" max="17" width="16.42578125" style="264" customWidth="1"/>
    <col min="18" max="18" width="18" style="264" customWidth="1"/>
    <col min="19" max="19" width="1.7109375" style="264" customWidth="1"/>
    <col min="20" max="20" width="17.140625" style="264" customWidth="1"/>
    <col min="21" max="21" width="16.85546875" style="264" customWidth="1"/>
    <col min="22" max="23" width="19.28515625" style="264" customWidth="1"/>
    <col min="24" max="24" width="19"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t="13.5" hidden="1" thickBot="1">
      <c r="A1" s="184">
        <v>0</v>
      </c>
      <c r="B1" s="184">
        <v>1</v>
      </c>
      <c r="D1" s="184">
        <v>2</v>
      </c>
      <c r="E1" s="184">
        <v>3</v>
      </c>
      <c r="F1" s="184">
        <v>4</v>
      </c>
      <c r="G1" s="184">
        <v>5</v>
      </c>
      <c r="H1" s="184">
        <v>6</v>
      </c>
      <c r="I1" s="184">
        <v>7</v>
      </c>
      <c r="J1" s="184">
        <v>8</v>
      </c>
      <c r="K1" s="184">
        <v>9</v>
      </c>
      <c r="L1" s="184">
        <v>10</v>
      </c>
      <c r="M1" s="184">
        <v>11</v>
      </c>
      <c r="N1" s="184">
        <v>12</v>
      </c>
      <c r="O1" s="1528"/>
      <c r="P1" s="263"/>
      <c r="Q1" s="263"/>
      <c r="R1" s="263"/>
      <c r="S1" s="263"/>
      <c r="T1" s="263"/>
      <c r="U1" s="263"/>
      <c r="V1" s="263"/>
      <c r="W1" s="263"/>
      <c r="X1" s="263"/>
      <c r="Y1" s="263"/>
      <c r="Z1" s="263"/>
      <c r="AA1" s="263"/>
      <c r="AB1" s="263"/>
    </row>
    <row r="2" spans="1:28" ht="21" thickBot="1">
      <c r="A2" s="184">
        <v>1</v>
      </c>
      <c r="B2" s="1713" t="str">
        <f>'UH Chrts'!$A$1</f>
        <v>University of Houston -  All Disciplines (A+H+M)</v>
      </c>
      <c r="C2" s="1713"/>
      <c r="D2" s="1713"/>
      <c r="E2" s="1713"/>
      <c r="F2" s="1742"/>
      <c r="G2" s="1345"/>
      <c r="H2" s="161"/>
      <c r="I2" s="320" t="str">
        <f>IF($B$2&lt;&gt;Input!$B$56,"Name Mismatch","")</f>
        <v/>
      </c>
      <c r="K2" s="169"/>
      <c r="L2" s="169"/>
      <c r="M2" s="170"/>
      <c r="O2" s="835" t="s">
        <v>1200</v>
      </c>
      <c r="P2" s="36"/>
    </row>
    <row r="3" spans="1:28" ht="20.25">
      <c r="A3" s="184">
        <v>2</v>
      </c>
      <c r="B3" s="1713" t="str">
        <f>'Smmy Chrts'!$A$2</f>
        <v>For the Year Ended August 31, 2021</v>
      </c>
      <c r="C3" s="1713"/>
      <c r="D3" s="1713"/>
      <c r="E3" s="1713"/>
      <c r="F3" s="1742"/>
      <c r="G3" s="1175" t="s">
        <v>1395</v>
      </c>
      <c r="H3" s="161"/>
      <c r="I3" s="169"/>
      <c r="J3" s="168"/>
      <c r="K3" s="169"/>
      <c r="L3" s="169"/>
      <c r="M3" s="170"/>
      <c r="O3" s="74"/>
    </row>
    <row r="4" spans="1:28" ht="20.25">
      <c r="A4" s="184">
        <v>3</v>
      </c>
      <c r="B4" s="1713" t="str">
        <f>'Smmy Chrts'!$A$3</f>
        <v>Source: FY 2021 Annual Financial Report</v>
      </c>
      <c r="C4" s="1713"/>
      <c r="D4" s="1713"/>
      <c r="E4" s="1713"/>
      <c r="F4" s="1742"/>
      <c r="G4" s="1175" t="s">
        <v>1396</v>
      </c>
      <c r="H4" s="161"/>
      <c r="I4" s="169"/>
      <c r="J4" s="168"/>
      <c r="K4" s="169"/>
      <c r="L4" s="169"/>
      <c r="M4" s="170"/>
      <c r="O4" s="74"/>
      <c r="P4" s="1744" t="s">
        <v>93</v>
      </c>
      <c r="Q4" s="1745"/>
      <c r="T4" s="36" t="s">
        <v>250</v>
      </c>
    </row>
    <row r="5" spans="1:28">
      <c r="A5" s="184">
        <v>4</v>
      </c>
      <c r="B5" s="160"/>
      <c r="C5" s="160"/>
      <c r="D5" s="160"/>
      <c r="E5" s="160"/>
      <c r="F5" s="160"/>
      <c r="G5" s="160"/>
      <c r="H5" s="160"/>
      <c r="I5" s="160"/>
      <c r="J5" s="160"/>
      <c r="K5" s="160"/>
      <c r="L5" s="160"/>
      <c r="M5" s="166"/>
      <c r="O5" s="1528"/>
    </row>
    <row r="6" spans="1:28">
      <c r="A6" s="184">
        <v>5</v>
      </c>
      <c r="B6" s="1715" t="str">
        <f>'Smmy Chrts'!$C$32</f>
        <v>Detail Worksheet FY 2021</v>
      </c>
      <c r="C6" s="1715"/>
      <c r="D6" s="1743"/>
      <c r="E6" s="1743"/>
      <c r="F6" s="1743"/>
      <c r="G6" s="1743"/>
      <c r="H6" s="1743"/>
      <c r="I6" s="1743"/>
      <c r="J6" s="1743"/>
      <c r="K6" s="1743"/>
      <c r="L6" s="1743"/>
      <c r="M6" s="1743"/>
      <c r="O6" s="265"/>
    </row>
    <row r="7" spans="1:28">
      <c r="A7" s="184">
        <v>6</v>
      </c>
      <c r="B7" s="172"/>
      <c r="C7" s="172"/>
      <c r="D7" s="160"/>
      <c r="E7" s="160"/>
      <c r="F7" s="160"/>
      <c r="G7" s="160"/>
      <c r="H7" s="160"/>
      <c r="I7" s="160"/>
      <c r="J7" s="160"/>
      <c r="K7" s="160"/>
      <c r="L7" s="160"/>
      <c r="M7" s="173" t="str">
        <f>'Smmy Chrts'!$C$33</f>
        <v>FY 2021</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Input!$M$56</f>
        <v>204365435</v>
      </c>
      <c r="E10" s="372">
        <f>Input!$N$56</f>
        <v>0</v>
      </c>
      <c r="F10" s="372">
        <f>Input!$O$56</f>
        <v>0</v>
      </c>
      <c r="G10" s="372">
        <f>Input!$P$56</f>
        <v>0</v>
      </c>
      <c r="H10" s="372">
        <f>Input!$Q$56</f>
        <v>0</v>
      </c>
      <c r="I10" s="372">
        <f>Input!$R$56</f>
        <v>0</v>
      </c>
      <c r="J10" s="372">
        <f>Input!$S$56</f>
        <v>0</v>
      </c>
      <c r="K10" s="372">
        <f>Input!$T$56</f>
        <v>0</v>
      </c>
      <c r="L10" s="372">
        <f>Input!$U$56</f>
        <v>0</v>
      </c>
      <c r="M10" s="373">
        <f t="shared" ref="M10:M15" si="0">D10+E10+F10+G10+H10+I10+J10+K10+L10</f>
        <v>204365435</v>
      </c>
      <c r="N10" s="160"/>
      <c r="O10" s="271"/>
      <c r="P10" s="1718" t="s">
        <v>575</v>
      </c>
      <c r="U10" s="268"/>
    </row>
    <row r="11" spans="1:28">
      <c r="A11" s="184">
        <v>10</v>
      </c>
      <c r="B11" s="160" t="s">
        <v>2</v>
      </c>
      <c r="C11" s="160"/>
      <c r="D11" s="372">
        <f>Input!$V$56</f>
        <v>264519</v>
      </c>
      <c r="E11" s="372">
        <f>Input!$W$56</f>
        <v>0</v>
      </c>
      <c r="F11" s="372">
        <f>Input!$X$56</f>
        <v>0</v>
      </c>
      <c r="G11" s="372">
        <f>Input!$Y$56</f>
        <v>44433568</v>
      </c>
      <c r="H11" s="372">
        <f>Input!$Z$56</f>
        <v>0</v>
      </c>
      <c r="I11" s="372">
        <f>Input!$AA$56</f>
        <v>0</v>
      </c>
      <c r="J11" s="372">
        <f>Input!$AB$56</f>
        <v>0</v>
      </c>
      <c r="K11" s="372">
        <f>Input!$AC$56</f>
        <v>0</v>
      </c>
      <c r="L11" s="372">
        <f>Input!$AD$56</f>
        <v>0</v>
      </c>
      <c r="M11" s="373">
        <f t="shared" si="0"/>
        <v>44698087</v>
      </c>
      <c r="N11" s="160"/>
      <c r="O11" s="482"/>
      <c r="P11" s="1719"/>
      <c r="U11" s="268"/>
    </row>
    <row r="12" spans="1:28" ht="12.75" hidden="1" customHeight="1">
      <c r="B12" s="171" t="s">
        <v>1410</v>
      </c>
      <c r="C12" s="160"/>
      <c r="D12" s="372"/>
      <c r="E12" s="372"/>
      <c r="F12" s="372"/>
      <c r="G12" s="372"/>
      <c r="H12" s="372"/>
      <c r="I12" s="372"/>
      <c r="J12" s="372"/>
      <c r="K12" s="372"/>
      <c r="L12" s="372"/>
      <c r="M12" s="373"/>
      <c r="N12" s="171"/>
      <c r="O12" s="482"/>
      <c r="P12" s="483"/>
      <c r="U12" s="272"/>
    </row>
    <row r="13" spans="1:28">
      <c r="A13" s="184">
        <v>12</v>
      </c>
      <c r="B13" s="171" t="s">
        <v>1368</v>
      </c>
      <c r="C13" s="160"/>
      <c r="D13" s="372">
        <f>Input!$AN$56</f>
        <v>54514004</v>
      </c>
      <c r="E13" s="372">
        <f>Input!$AO$56</f>
        <v>0</v>
      </c>
      <c r="F13" s="372">
        <f>Input!$AP$56</f>
        <v>0</v>
      </c>
      <c r="G13" s="372">
        <f>Input!$AQ$56</f>
        <v>0</v>
      </c>
      <c r="H13" s="372">
        <f>Input!$AR$56</f>
        <v>0</v>
      </c>
      <c r="I13" s="372">
        <f>Input!$AS$56</f>
        <v>0</v>
      </c>
      <c r="J13" s="372">
        <f>Input!$AT$56</f>
        <v>0</v>
      </c>
      <c r="K13" s="372">
        <f>Input!$AU$56</f>
        <v>0</v>
      </c>
      <c r="L13" s="372">
        <f>Input!$AV$56</f>
        <v>0</v>
      </c>
      <c r="M13" s="373">
        <f t="shared" si="0"/>
        <v>54514004</v>
      </c>
      <c r="N13" s="160"/>
      <c r="O13" s="270"/>
      <c r="P13" s="484">
        <f>M13</f>
        <v>54514004</v>
      </c>
      <c r="U13" s="268"/>
    </row>
    <row r="14" spans="1:28">
      <c r="A14" s="184">
        <v>13</v>
      </c>
      <c r="B14" s="160" t="s">
        <v>49</v>
      </c>
      <c r="C14" s="160"/>
      <c r="D14" s="372">
        <f>Input!$AW$56</f>
        <v>0</v>
      </c>
      <c r="E14" s="372">
        <f>Input!$AX$56</f>
        <v>0</v>
      </c>
      <c r="F14" s="372">
        <f>Input!$AY$56</f>
        <v>0</v>
      </c>
      <c r="G14" s="372">
        <f>Input!$AZ$56</f>
        <v>0</v>
      </c>
      <c r="H14" s="372">
        <f>Input!$BA$56</f>
        <v>0</v>
      </c>
      <c r="I14" s="372">
        <f>Input!$BB$56</f>
        <v>0</v>
      </c>
      <c r="J14" s="372">
        <f>Input!$BC$56</f>
        <v>0</v>
      </c>
      <c r="K14" s="372">
        <f>Input!$BD$56</f>
        <v>0</v>
      </c>
      <c r="L14" s="372">
        <f>Input!$BE$56</f>
        <v>0</v>
      </c>
      <c r="M14" s="373">
        <f t="shared" si="0"/>
        <v>0</v>
      </c>
      <c r="N14" s="160"/>
      <c r="O14" s="482"/>
      <c r="P14" s="485"/>
    </row>
    <row r="15" spans="1:28" ht="15">
      <c r="A15" s="184">
        <v>14</v>
      </c>
      <c r="B15" s="176" t="s">
        <v>3</v>
      </c>
      <c r="C15" s="176"/>
      <c r="D15" s="374">
        <f t="shared" ref="D15:L15" si="1">SUM(D10:D14)</f>
        <v>259143958</v>
      </c>
      <c r="E15" s="374">
        <f t="shared" si="1"/>
        <v>0</v>
      </c>
      <c r="F15" s="374">
        <f t="shared" si="1"/>
        <v>0</v>
      </c>
      <c r="G15" s="374">
        <f t="shared" si="1"/>
        <v>44433568</v>
      </c>
      <c r="H15" s="374">
        <f t="shared" si="1"/>
        <v>0</v>
      </c>
      <c r="I15" s="374">
        <f t="shared" si="1"/>
        <v>0</v>
      </c>
      <c r="J15" s="374">
        <f t="shared" si="1"/>
        <v>0</v>
      </c>
      <c r="K15" s="374">
        <f t="shared" si="1"/>
        <v>0</v>
      </c>
      <c r="L15" s="374">
        <f t="shared" si="1"/>
        <v>0</v>
      </c>
      <c r="M15" s="374">
        <f t="shared" si="0"/>
        <v>303577526</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58" t="s">
        <v>1042</v>
      </c>
      <c r="C18" s="558"/>
      <c r="D18" s="374">
        <f t="shared" ref="D18:L18" si="2">D23-SUM(D19:D22)</f>
        <v>111863944</v>
      </c>
      <c r="E18" s="374">
        <f t="shared" si="2"/>
        <v>328387566</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440251510</v>
      </c>
      <c r="V18" s="327"/>
      <c r="X18" s="330"/>
    </row>
    <row r="19" spans="1:26" s="264" customFormat="1" ht="12.75" customHeight="1" thickTop="1" thickBot="1">
      <c r="A19" s="263"/>
      <c r="B19" s="261" t="s">
        <v>722</v>
      </c>
      <c r="C19" s="261"/>
      <c r="D19" s="372">
        <f>Input!$BF$56</f>
        <v>-25020117</v>
      </c>
      <c r="E19" s="372">
        <f>Input!$BG$56</f>
        <v>-6174155</v>
      </c>
      <c r="F19" s="372">
        <f>Input!$BH$56</f>
        <v>0</v>
      </c>
      <c r="G19" s="372">
        <f>Input!$BI$56</f>
        <v>0</v>
      </c>
      <c r="H19" s="372">
        <f>Input!$BJ$56</f>
        <v>0</v>
      </c>
      <c r="I19" s="372">
        <f>Input!$BK$56</f>
        <v>0</v>
      </c>
      <c r="J19" s="372">
        <f>Input!$BL$56</f>
        <v>0</v>
      </c>
      <c r="K19" s="372">
        <f>Input!$BM$56</f>
        <v>0</v>
      </c>
      <c r="L19" s="372">
        <f>Input!$BN$56</f>
        <v>0</v>
      </c>
      <c r="M19" s="373">
        <f t="shared" si="3"/>
        <v>-31194272</v>
      </c>
      <c r="O19" s="1732" t="s">
        <v>1294</v>
      </c>
      <c r="P19" s="1733"/>
      <c r="Q19" s="1733"/>
      <c r="R19" s="1734"/>
      <c r="T19" s="1735" t="s">
        <v>1043</v>
      </c>
      <c r="U19" s="1736"/>
      <c r="V19" s="1736"/>
      <c r="W19" s="1736"/>
      <c r="X19" s="1737"/>
    </row>
    <row r="20" spans="1:26" s="264" customFormat="1" ht="12.75" customHeight="1" thickTop="1">
      <c r="A20" s="263"/>
      <c r="B20" s="261" t="s">
        <v>723</v>
      </c>
      <c r="C20" s="261"/>
      <c r="D20" s="372">
        <f>Input!$BO$56</f>
        <v>0</v>
      </c>
      <c r="E20" s="372">
        <f>Input!$BP$56</f>
        <v>0</v>
      </c>
      <c r="F20" s="372">
        <f>Input!$BQ$56</f>
        <v>0</v>
      </c>
      <c r="G20" s="372">
        <f>Input!$BR$56</f>
        <v>0</v>
      </c>
      <c r="H20" s="372">
        <f>Input!$BS$56</f>
        <v>0</v>
      </c>
      <c r="I20" s="372">
        <f>Input!$BT$56</f>
        <v>0</v>
      </c>
      <c r="J20" s="372">
        <f>Input!$BU$56</f>
        <v>0</v>
      </c>
      <c r="K20" s="372">
        <f>Input!$BV$56</f>
        <v>0</v>
      </c>
      <c r="L20" s="372">
        <f>Input!$BW$56</f>
        <v>0</v>
      </c>
      <c r="M20" s="373">
        <f t="shared" si="3"/>
        <v>0</v>
      </c>
      <c r="O20" s="421" t="s">
        <v>288</v>
      </c>
      <c r="P20" s="422"/>
      <c r="Q20" s="414"/>
      <c r="R20" s="559"/>
      <c r="T20" s="560" t="s">
        <v>1044</v>
      </c>
      <c r="U20" s="266"/>
      <c r="V20" s="266"/>
      <c r="X20" s="425"/>
    </row>
    <row r="21" spans="1:26" s="264" customFormat="1">
      <c r="A21" s="263"/>
      <c r="B21" s="261" t="s">
        <v>724</v>
      </c>
      <c r="C21" s="261"/>
      <c r="D21" s="372">
        <f>Input!$BX$56</f>
        <v>0</v>
      </c>
      <c r="E21" s="372">
        <f>Input!$BY$56</f>
        <v>0</v>
      </c>
      <c r="F21" s="372">
        <f>Input!$BZ$56</f>
        <v>0</v>
      </c>
      <c r="G21" s="372">
        <f>Input!$CA$56</f>
        <v>0</v>
      </c>
      <c r="H21" s="372">
        <f>Input!$CB$56</f>
        <v>0</v>
      </c>
      <c r="I21" s="372">
        <f>Input!$CC$56</f>
        <v>0</v>
      </c>
      <c r="J21" s="372">
        <f>Input!$CD$56</f>
        <v>0</v>
      </c>
      <c r="K21" s="372">
        <f>Input!$CE$56</f>
        <v>0</v>
      </c>
      <c r="L21" s="372">
        <f>Input!$CF$56</f>
        <v>0</v>
      </c>
      <c r="M21" s="373">
        <f t="shared" si="3"/>
        <v>0</v>
      </c>
      <c r="O21" s="434"/>
      <c r="R21" s="561"/>
      <c r="T21" s="650" t="s">
        <v>1045</v>
      </c>
      <c r="U21" s="266"/>
      <c r="V21" s="266"/>
      <c r="W21" s="651">
        <f>M44</f>
        <v>401004973</v>
      </c>
      <c r="X21" s="425"/>
      <c r="Z21" s="330"/>
    </row>
    <row r="22" spans="1:26" s="264" customFormat="1">
      <c r="A22" s="263"/>
      <c r="B22" s="261" t="s">
        <v>725</v>
      </c>
      <c r="C22" s="261"/>
      <c r="D22" s="372">
        <f>Input!$CG$56</f>
        <v>0</v>
      </c>
      <c r="E22" s="372">
        <f>Input!$CH$56</f>
        <v>0</v>
      </c>
      <c r="F22" s="372">
        <f>Input!$CI$56</f>
        <v>0</v>
      </c>
      <c r="G22" s="372">
        <f>Input!$CJ$56</f>
        <v>0</v>
      </c>
      <c r="H22" s="372">
        <f>Input!$CK$56</f>
        <v>0</v>
      </c>
      <c r="I22" s="372">
        <f>Input!$CL$56</f>
        <v>0</v>
      </c>
      <c r="J22" s="372">
        <f>Input!$CM$56</f>
        <v>0</v>
      </c>
      <c r="K22" s="372">
        <f>Input!$CN$56</f>
        <v>0</v>
      </c>
      <c r="L22" s="372">
        <f>Input!$CO$56</f>
        <v>0</v>
      </c>
      <c r="M22" s="373">
        <f t="shared" si="3"/>
        <v>0</v>
      </c>
      <c r="N22" s="270"/>
      <c r="O22" s="434" t="s">
        <v>1046</v>
      </c>
      <c r="P22" s="276"/>
      <c r="Q22" s="424">
        <f>M23</f>
        <v>409057238</v>
      </c>
      <c r="R22" s="562"/>
      <c r="T22" s="650" t="s">
        <v>1047</v>
      </c>
      <c r="U22" s="266"/>
      <c r="V22" s="266"/>
      <c r="W22" s="652">
        <f>R30*-1</f>
        <v>163095484</v>
      </c>
      <c r="X22" s="425"/>
    </row>
    <row r="23" spans="1:26" s="264" customFormat="1" ht="12.75" customHeight="1">
      <c r="A23" s="263"/>
      <c r="B23" s="558" t="s">
        <v>726</v>
      </c>
      <c r="C23" s="563"/>
      <c r="D23" s="564">
        <f>Input!$CP$56</f>
        <v>86843827</v>
      </c>
      <c r="E23" s="564">
        <f>Input!$CQ$56</f>
        <v>322213411</v>
      </c>
      <c r="F23" s="564">
        <f>Input!$CR$56</f>
        <v>0</v>
      </c>
      <c r="G23" s="564">
        <f>Input!$CS$56</f>
        <v>0</v>
      </c>
      <c r="H23" s="564">
        <f>Input!$CT$56</f>
        <v>0</v>
      </c>
      <c r="I23" s="564">
        <f>Input!$CU$56</f>
        <v>0</v>
      </c>
      <c r="J23" s="564">
        <f>Input!$CV$56</f>
        <v>0</v>
      </c>
      <c r="K23" s="564">
        <f>Input!$CW$56</f>
        <v>0</v>
      </c>
      <c r="L23" s="564">
        <f>Input!$CX$56</f>
        <v>0</v>
      </c>
      <c r="M23" s="565">
        <f t="shared" si="3"/>
        <v>409057238</v>
      </c>
      <c r="O23" s="434"/>
      <c r="P23" s="276"/>
      <c r="Q23" s="424"/>
      <c r="R23" s="562"/>
      <c r="T23" s="560" t="s">
        <v>1230</v>
      </c>
      <c r="U23" s="266"/>
      <c r="V23" s="266"/>
      <c r="W23" s="276"/>
      <c r="X23" s="425">
        <f>SUM(W21:W22)</f>
        <v>564100457</v>
      </c>
      <c r="Z23" s="330"/>
    </row>
    <row r="24" spans="1:26" s="264" customFormat="1" ht="12.75" customHeight="1">
      <c r="A24" s="263"/>
      <c r="B24" s="261" t="s">
        <v>727</v>
      </c>
      <c r="C24" s="566"/>
      <c r="D24" s="372">
        <f>Input!$CY$56</f>
        <v>0</v>
      </c>
      <c r="E24" s="372">
        <f>Input!$CZ$56</f>
        <v>0</v>
      </c>
      <c r="F24" s="372">
        <f>Input!$DA$56</f>
        <v>0</v>
      </c>
      <c r="G24" s="372">
        <f>Input!$DB$56</f>
        <v>0</v>
      </c>
      <c r="H24" s="372">
        <f>Input!$DC$56</f>
        <v>0</v>
      </c>
      <c r="I24" s="372">
        <f>Input!$DD$56</f>
        <v>0</v>
      </c>
      <c r="J24" s="372">
        <f>Input!$DE$56</f>
        <v>0</v>
      </c>
      <c r="K24" s="372">
        <f>Input!$DF$56</f>
        <v>0</v>
      </c>
      <c r="L24" s="372">
        <f>Input!$DG$56</f>
        <v>0</v>
      </c>
      <c r="M24" s="567">
        <f t="shared" si="3"/>
        <v>0</v>
      </c>
      <c r="O24" s="417" t="s">
        <v>1048</v>
      </c>
      <c r="P24" s="276"/>
      <c r="Q24" s="327"/>
      <c r="R24" s="646">
        <f>SUM(M24:M28)</f>
        <v>-118365596</v>
      </c>
      <c r="T24" s="560"/>
      <c r="U24" s="266"/>
      <c r="V24" s="266"/>
      <c r="X24" s="425"/>
      <c r="Z24" s="330"/>
    </row>
    <row r="25" spans="1:26" s="264" customFormat="1" ht="12.75" customHeight="1">
      <c r="A25" s="263"/>
      <c r="B25" s="261" t="s">
        <v>728</v>
      </c>
      <c r="C25" s="566"/>
      <c r="D25" s="372">
        <f>Input!DH6</f>
        <v>0</v>
      </c>
      <c r="E25" s="372">
        <f>Input!$DI$56</f>
        <v>0</v>
      </c>
      <c r="F25" s="372">
        <f>Input!$DJ$56</f>
        <v>0</v>
      </c>
      <c r="G25" s="372">
        <f>Input!$DK$56</f>
        <v>0</v>
      </c>
      <c r="H25" s="372">
        <f>Input!$DL$56</f>
        <v>0</v>
      </c>
      <c r="I25" s="372">
        <f>Input!$DM$56</f>
        <v>0</v>
      </c>
      <c r="J25" s="372">
        <f>Input!$DN$56</f>
        <v>0</v>
      </c>
      <c r="K25" s="372">
        <f>Input!$DO$56</f>
        <v>0</v>
      </c>
      <c r="L25" s="372">
        <f>Input!$DP$56</f>
        <v>0</v>
      </c>
      <c r="M25" s="567">
        <f t="shared" si="3"/>
        <v>0</v>
      </c>
      <c r="O25" s="434"/>
      <c r="P25" s="276"/>
      <c r="Q25" s="327"/>
      <c r="R25" s="646"/>
      <c r="T25" s="568" t="s">
        <v>1103</v>
      </c>
      <c r="U25" s="569"/>
      <c r="V25" s="569"/>
      <c r="W25" s="653">
        <f>(M26+M39)*-1</f>
        <v>14424607</v>
      </c>
      <c r="X25" s="425"/>
      <c r="Z25" s="330"/>
    </row>
    <row r="26" spans="1:26" s="264" customFormat="1" ht="12.75" customHeight="1">
      <c r="A26" s="263"/>
      <c r="B26" s="261" t="s">
        <v>729</v>
      </c>
      <c r="C26" s="566"/>
      <c r="D26" s="372">
        <f>Input!$DQ$56</f>
        <v>-2520916</v>
      </c>
      <c r="E26" s="372">
        <f>Input!$DR$56</f>
        <v>-8475373</v>
      </c>
      <c r="F26" s="372">
        <f>Input!$DS$56</f>
        <v>0</v>
      </c>
      <c r="G26" s="372">
        <f>Input!$DT$56</f>
        <v>0</v>
      </c>
      <c r="H26" s="372">
        <f>Input!$DU$56</f>
        <v>0</v>
      </c>
      <c r="I26" s="372">
        <f>Input!$DV$56</f>
        <v>0</v>
      </c>
      <c r="J26" s="372">
        <f>Input!$DW$56</f>
        <v>0</v>
      </c>
      <c r="K26" s="372">
        <f>Input!$DX$56</f>
        <v>0</v>
      </c>
      <c r="L26" s="372">
        <f>Input!$DY$56</f>
        <v>0</v>
      </c>
      <c r="M26" s="567">
        <f t="shared" si="3"/>
        <v>-10996289</v>
      </c>
      <c r="O26" s="434" t="s">
        <v>1049</v>
      </c>
      <c r="P26" s="276"/>
      <c r="Q26" s="427">
        <f>M36</f>
        <v>155043219</v>
      </c>
      <c r="R26" s="570"/>
      <c r="T26" s="560" t="s">
        <v>1104</v>
      </c>
      <c r="U26" s="266"/>
      <c r="V26" s="266"/>
      <c r="W26" s="571">
        <f>(M21+M34)*-1</f>
        <v>0</v>
      </c>
      <c r="X26" s="425"/>
      <c r="Z26" s="330"/>
    </row>
    <row r="27" spans="1:26" s="264" customFormat="1">
      <c r="A27" s="263"/>
      <c r="B27" s="261" t="s">
        <v>730</v>
      </c>
      <c r="C27" s="566"/>
      <c r="D27" s="372">
        <f>Input!$DZ$56</f>
        <v>0</v>
      </c>
      <c r="E27" s="372">
        <f>Input!$EA$56</f>
        <v>0</v>
      </c>
      <c r="F27" s="372">
        <f>Input!$EB$56</f>
        <v>0</v>
      </c>
      <c r="G27" s="372">
        <f>Input!$EC$56</f>
        <v>0</v>
      </c>
      <c r="H27" s="372">
        <f>Input!$ED$56</f>
        <v>0</v>
      </c>
      <c r="I27" s="372">
        <f>Input!$EE$56</f>
        <v>0</v>
      </c>
      <c r="J27" s="372">
        <f>Input!$EF$56</f>
        <v>0</v>
      </c>
      <c r="K27" s="372">
        <f>Input!$EG$56</f>
        <v>0</v>
      </c>
      <c r="L27" s="372">
        <f>Input!EH6</f>
        <v>0</v>
      </c>
      <c r="M27" s="567">
        <f t="shared" si="3"/>
        <v>0</v>
      </c>
      <c r="O27" s="434"/>
      <c r="P27" s="276"/>
      <c r="Q27" s="427"/>
      <c r="R27" s="570"/>
      <c r="T27" s="650" t="s">
        <v>1105</v>
      </c>
      <c r="U27" s="584"/>
      <c r="V27" s="584"/>
      <c r="W27" s="654">
        <f>SUM(W25:W26)</f>
        <v>14424607</v>
      </c>
      <c r="X27" s="655"/>
    </row>
    <row r="28" spans="1:26" s="264" customFormat="1">
      <c r="A28" s="263"/>
      <c r="B28" s="261" t="s">
        <v>2133</v>
      </c>
      <c r="C28" s="566"/>
      <c r="D28" s="372">
        <f>Input!$EI$56</f>
        <v>-22639776</v>
      </c>
      <c r="E28" s="372">
        <f>Input!$EJ$56</f>
        <v>-84729531</v>
      </c>
      <c r="F28" s="372">
        <f>Input!$EK$56</f>
        <v>0</v>
      </c>
      <c r="G28" s="372">
        <f>Input!$EL$56</f>
        <v>0</v>
      </c>
      <c r="H28" s="372">
        <f>Input!$EM$56</f>
        <v>0</v>
      </c>
      <c r="I28" s="372">
        <f>Input!$EN$56</f>
        <v>0</v>
      </c>
      <c r="J28" s="372">
        <f>Input!$EO$56</f>
        <v>0</v>
      </c>
      <c r="K28" s="372">
        <f>Input!$EP$56</f>
        <v>0</v>
      </c>
      <c r="L28" s="372">
        <f>Input!$EQ$56</f>
        <v>0</v>
      </c>
      <c r="M28" s="567">
        <f t="shared" si="3"/>
        <v>-107369307</v>
      </c>
      <c r="O28" s="417" t="s">
        <v>1050</v>
      </c>
      <c r="Q28" s="429"/>
      <c r="R28" s="646">
        <f>SUM(M37:M41)</f>
        <v>-44729888</v>
      </c>
      <c r="T28" s="560" t="s">
        <v>1106</v>
      </c>
      <c r="U28" s="266"/>
      <c r="V28" s="266"/>
      <c r="W28" s="425">
        <f>(M27+M40)*-1</f>
        <v>0</v>
      </c>
      <c r="X28" s="655"/>
      <c r="Z28" s="330"/>
    </row>
    <row r="29" spans="1:26" s="264" customFormat="1" ht="12" customHeight="1">
      <c r="A29" s="263"/>
      <c r="B29" s="575" t="s">
        <v>39</v>
      </c>
      <c r="C29" s="563"/>
      <c r="D29" s="374">
        <f t="shared" ref="D29:L29" si="4">SUM(D23:D28)</f>
        <v>61683135</v>
      </c>
      <c r="E29" s="374">
        <f t="shared" si="4"/>
        <v>229008507</v>
      </c>
      <c r="F29" s="374">
        <f t="shared" si="4"/>
        <v>0</v>
      </c>
      <c r="G29" s="374">
        <f t="shared" si="4"/>
        <v>0</v>
      </c>
      <c r="H29" s="374">
        <f t="shared" si="4"/>
        <v>0</v>
      </c>
      <c r="I29" s="374">
        <f t="shared" si="4"/>
        <v>0</v>
      </c>
      <c r="J29" s="374">
        <f t="shared" si="4"/>
        <v>0</v>
      </c>
      <c r="K29" s="374">
        <f t="shared" si="4"/>
        <v>0</v>
      </c>
      <c r="L29" s="374">
        <f t="shared" si="4"/>
        <v>0</v>
      </c>
      <c r="M29" s="374">
        <f t="shared" si="3"/>
        <v>290691642</v>
      </c>
      <c r="O29" s="417"/>
      <c r="Q29" s="429"/>
      <c r="R29" s="576"/>
      <c r="T29" s="560" t="s">
        <v>1107</v>
      </c>
      <c r="U29" s="266"/>
      <c r="V29" s="266"/>
      <c r="W29" s="571">
        <f>(M22+M35)*-1</f>
        <v>0</v>
      </c>
      <c r="X29" s="655"/>
    </row>
    <row r="30" spans="1:26" s="264" customFormat="1" ht="16.5" customHeight="1">
      <c r="A30" s="263"/>
      <c r="B30" s="261"/>
      <c r="C30" s="566"/>
      <c r="D30" s="566"/>
      <c r="E30" s="566"/>
      <c r="F30" s="566"/>
      <c r="G30" s="566"/>
      <c r="H30" s="566"/>
      <c r="I30" s="566"/>
      <c r="J30" s="566"/>
      <c r="K30" s="566"/>
      <c r="L30" s="566"/>
      <c r="M30" s="567"/>
      <c r="O30" s="431" t="s">
        <v>289</v>
      </c>
      <c r="P30" s="432"/>
      <c r="Q30" s="433">
        <f>Q26+Q22</f>
        <v>564100457</v>
      </c>
      <c r="R30" s="647">
        <f>R28+R24</f>
        <v>-163095484</v>
      </c>
      <c r="T30" s="650" t="s">
        <v>1108</v>
      </c>
      <c r="U30" s="584"/>
      <c r="V30" s="584"/>
      <c r="W30" s="654">
        <f>SUM(W28:W29)</f>
        <v>0</v>
      </c>
      <c r="X30" s="655"/>
    </row>
    <row r="31" spans="1:26" s="264" customFormat="1" ht="12.75" customHeight="1">
      <c r="A31" s="263"/>
      <c r="B31" s="558" t="s">
        <v>1052</v>
      </c>
      <c r="C31" s="558"/>
      <c r="D31" s="374">
        <f t="shared" ref="D31:L31" si="5">D36-SUM(D32:D35)</f>
        <v>374369</v>
      </c>
      <c r="E31" s="374">
        <f t="shared" si="5"/>
        <v>124662298</v>
      </c>
      <c r="F31" s="374">
        <f t="shared" si="5"/>
        <v>30007974</v>
      </c>
      <c r="G31" s="374">
        <f t="shared" si="5"/>
        <v>0</v>
      </c>
      <c r="H31" s="374">
        <f t="shared" si="5"/>
        <v>0</v>
      </c>
      <c r="I31" s="374">
        <f t="shared" si="5"/>
        <v>0</v>
      </c>
      <c r="J31" s="374">
        <f t="shared" si="5"/>
        <v>0</v>
      </c>
      <c r="K31" s="374">
        <f t="shared" si="5"/>
        <v>0</v>
      </c>
      <c r="L31" s="374">
        <f t="shared" si="5"/>
        <v>0</v>
      </c>
      <c r="M31" s="374">
        <f t="shared" ref="M31:M42" si="6">D31+E31+F31+G31+H31+I31+J31+K31+L31</f>
        <v>155044641</v>
      </c>
      <c r="O31" s="434" t="s">
        <v>290</v>
      </c>
      <c r="P31" s="276"/>
      <c r="Q31" s="335"/>
      <c r="R31" s="562"/>
      <c r="T31" s="572" t="s">
        <v>1109</v>
      </c>
      <c r="U31" s="573"/>
      <c r="V31" s="573"/>
      <c r="W31" s="574">
        <f>W27+W30</f>
        <v>14424607</v>
      </c>
      <c r="X31" s="425"/>
      <c r="Z31" s="330"/>
    </row>
    <row r="32" spans="1:26" s="264" customFormat="1" ht="12.75" customHeight="1">
      <c r="A32" s="263"/>
      <c r="B32" s="261" t="s">
        <v>722</v>
      </c>
      <c r="C32" s="261"/>
      <c r="D32" s="372">
        <f>Input!$ER$56</f>
        <v>-4</v>
      </c>
      <c r="E32" s="372">
        <f>Input!$ES$56</f>
        <v>-914</v>
      </c>
      <c r="F32" s="372">
        <f>Input!$ET$56</f>
        <v>-504</v>
      </c>
      <c r="G32" s="372">
        <f>Input!$EU$56</f>
        <v>0</v>
      </c>
      <c r="H32" s="372">
        <f>Input!$EV$56</f>
        <v>0</v>
      </c>
      <c r="I32" s="372">
        <f>Input!$EW$56</f>
        <v>0</v>
      </c>
      <c r="J32" s="372">
        <f>Input!$EX$56</f>
        <v>0</v>
      </c>
      <c r="K32" s="372">
        <f>Input!$EY$56</f>
        <v>0</v>
      </c>
      <c r="L32" s="372">
        <f>Input!$EZ$56</f>
        <v>0</v>
      </c>
      <c r="M32" s="567">
        <f t="shared" si="6"/>
        <v>-1422</v>
      </c>
      <c r="O32" s="415" t="s">
        <v>1295</v>
      </c>
      <c r="P32" s="416"/>
      <c r="Q32" s="577">
        <f>Input!$SQ$56</f>
        <v>564100457</v>
      </c>
      <c r="R32" s="578"/>
      <c r="T32" s="560"/>
      <c r="U32" s="266"/>
      <c r="V32" s="266"/>
      <c r="X32" s="425"/>
      <c r="Z32" s="330"/>
    </row>
    <row r="33" spans="1:36" s="264" customFormat="1">
      <c r="A33" s="263"/>
      <c r="B33" s="261" t="s">
        <v>723</v>
      </c>
      <c r="C33" s="261"/>
      <c r="D33" s="372">
        <f>Input!$FA$56</f>
        <v>0</v>
      </c>
      <c r="E33" s="372">
        <f>Input!$FB$56</f>
        <v>0</v>
      </c>
      <c r="F33" s="372">
        <f>Input!$FC$56</f>
        <v>0</v>
      </c>
      <c r="G33" s="372">
        <f>Input!$FD$56</f>
        <v>0</v>
      </c>
      <c r="H33" s="372">
        <f>Input!$FE$56</f>
        <v>0</v>
      </c>
      <c r="I33" s="372">
        <f>Input!$FF$56</f>
        <v>0</v>
      </c>
      <c r="J33" s="372">
        <f>Input!$FG$56</f>
        <v>0</v>
      </c>
      <c r="K33" s="372">
        <f>Input!$FH$56</f>
        <v>0</v>
      </c>
      <c r="L33" s="372">
        <f>Input!$FI$56</f>
        <v>0</v>
      </c>
      <c r="M33" s="567">
        <f t="shared" si="6"/>
        <v>0</v>
      </c>
      <c r="O33" s="415"/>
      <c r="P33" s="416"/>
      <c r="Q33" s="327"/>
      <c r="R33" s="578"/>
      <c r="T33" s="560" t="s">
        <v>1051</v>
      </c>
      <c r="U33" s="266"/>
      <c r="V33" s="266"/>
      <c r="W33" s="334">
        <f>(M19+M32)*-1</f>
        <v>31195694</v>
      </c>
      <c r="X33" s="425"/>
    </row>
    <row r="34" spans="1:36" s="264" customFormat="1">
      <c r="A34" s="263"/>
      <c r="B34" s="261" t="s">
        <v>724</v>
      </c>
      <c r="C34" s="261"/>
      <c r="D34" s="372">
        <f>Input!$FJ$56</f>
        <v>0</v>
      </c>
      <c r="E34" s="372">
        <f>Input!$FK$56</f>
        <v>0</v>
      </c>
      <c r="F34" s="372">
        <f>Input!$FL$56</f>
        <v>0</v>
      </c>
      <c r="G34" s="372">
        <f>Input!$FM$56</f>
        <v>0</v>
      </c>
      <c r="H34" s="372">
        <f>Input!$FN$56</f>
        <v>0</v>
      </c>
      <c r="I34" s="372">
        <f>Input!$FO$56</f>
        <v>0</v>
      </c>
      <c r="J34" s="372">
        <f>Input!$FP$56</f>
        <v>0</v>
      </c>
      <c r="K34" s="372">
        <f>Input!$FQ$56</f>
        <v>0</v>
      </c>
      <c r="L34" s="372">
        <f>Input!$FR$56</f>
        <v>0</v>
      </c>
      <c r="M34" s="567">
        <f t="shared" si="6"/>
        <v>0</v>
      </c>
      <c r="O34" s="435" t="s">
        <v>1296</v>
      </c>
      <c r="P34" s="436"/>
      <c r="Q34" s="264" t="s">
        <v>291</v>
      </c>
      <c r="R34" s="648">
        <f>Input!$SR$56</f>
        <v>-163095484</v>
      </c>
      <c r="T34" s="560" t="s">
        <v>1110</v>
      </c>
      <c r="U34" s="266"/>
      <c r="V34" s="266"/>
      <c r="W34" s="430">
        <f>(M24+M37)*-1</f>
        <v>0</v>
      </c>
      <c r="X34" s="425"/>
    </row>
    <row r="35" spans="1:36" s="264" customFormat="1" ht="13.5" thickBot="1">
      <c r="A35" s="263"/>
      <c r="B35" s="261" t="s">
        <v>725</v>
      </c>
      <c r="C35" s="261"/>
      <c r="D35" s="372">
        <f>Input!$FS$56</f>
        <v>0</v>
      </c>
      <c r="E35" s="372">
        <f>Input!$FT$56</f>
        <v>0</v>
      </c>
      <c r="F35" s="372">
        <f>Input!$FU$56</f>
        <v>0</v>
      </c>
      <c r="G35" s="372">
        <f>Input!$FV$56</f>
        <v>0</v>
      </c>
      <c r="H35" s="372">
        <f>Input!$FW$56</f>
        <v>0</v>
      </c>
      <c r="I35" s="372">
        <f>Input!$FX$56</f>
        <v>0</v>
      </c>
      <c r="J35" s="372">
        <f>Input!$FY$56</f>
        <v>0</v>
      </c>
      <c r="K35" s="372">
        <f>Input!$FZ$56</f>
        <v>0</v>
      </c>
      <c r="L35" s="372">
        <f>Input!$GA$56</f>
        <v>0</v>
      </c>
      <c r="M35" s="567">
        <f t="shared" si="6"/>
        <v>0</v>
      </c>
      <c r="O35" s="418" t="s">
        <v>286</v>
      </c>
      <c r="P35" s="419"/>
      <c r="Q35" s="420">
        <f>Q30-Q32</f>
        <v>0</v>
      </c>
      <c r="R35" s="649">
        <f>R30-R34</f>
        <v>0</v>
      </c>
      <c r="T35" s="650" t="s">
        <v>1111</v>
      </c>
      <c r="U35" s="584"/>
      <c r="V35" s="584"/>
      <c r="W35" s="656">
        <f>SUM(W33:W34)</f>
        <v>31195694</v>
      </c>
      <c r="X35" s="655"/>
    </row>
    <row r="36" spans="1:36" s="264" customFormat="1" ht="13.5" thickTop="1">
      <c r="A36" s="263"/>
      <c r="B36" s="558" t="s">
        <v>732</v>
      </c>
      <c r="C36" s="563"/>
      <c r="D36" s="564">
        <f>Input!$GB$56</f>
        <v>374365</v>
      </c>
      <c r="E36" s="564">
        <f>Input!$GC$56</f>
        <v>124661384</v>
      </c>
      <c r="F36" s="564">
        <f>Input!$GD$56</f>
        <v>30007470</v>
      </c>
      <c r="G36" s="564">
        <f>Input!$GE$56</f>
        <v>0</v>
      </c>
      <c r="H36" s="564">
        <f>Input!$GF$56</f>
        <v>0</v>
      </c>
      <c r="I36" s="564">
        <f>Input!$GG$56</f>
        <v>0</v>
      </c>
      <c r="J36" s="564">
        <f>Input!$GH$56</f>
        <v>0</v>
      </c>
      <c r="K36" s="564">
        <f>Input!$GI$56</f>
        <v>0</v>
      </c>
      <c r="L36" s="564">
        <f>Input!$GJ$56</f>
        <v>0</v>
      </c>
      <c r="M36" s="565">
        <f t="shared" si="6"/>
        <v>155043219</v>
      </c>
      <c r="O36" s="261"/>
      <c r="Q36" s="412" t="str">
        <f>IF(Q30&lt;&gt;Q32,"Out of Balance","Balanced")</f>
        <v>Balanced</v>
      </c>
      <c r="R36" s="412" t="str">
        <f>IF(R30&lt;&gt;R34,"Out of Balance","Balanced")</f>
        <v>Balanced</v>
      </c>
      <c r="T36" s="560" t="s">
        <v>1053</v>
      </c>
      <c r="U36" s="266"/>
      <c r="V36" s="266"/>
      <c r="W36" s="334">
        <f>(M20+M33)*-1</f>
        <v>0</v>
      </c>
      <c r="X36" s="425"/>
    </row>
    <row r="37" spans="1:36" s="264" customFormat="1">
      <c r="A37" s="263"/>
      <c r="B37" s="261" t="s">
        <v>727</v>
      </c>
      <c r="C37" s="566"/>
      <c r="D37" s="372">
        <f>Input!$GK$56</f>
        <v>0</v>
      </c>
      <c r="E37" s="372">
        <f>Input!$GL$56</f>
        <v>0</v>
      </c>
      <c r="F37" s="372">
        <f>Input!$GM$56</f>
        <v>0</v>
      </c>
      <c r="G37" s="372">
        <f>Input!$GN$56</f>
        <v>0</v>
      </c>
      <c r="H37" s="372">
        <f>Input!$GO$56</f>
        <v>0</v>
      </c>
      <c r="I37" s="372">
        <f>Input!$GP$56</f>
        <v>0</v>
      </c>
      <c r="J37" s="372">
        <f>Input!$GQ$56</f>
        <v>0</v>
      </c>
      <c r="K37" s="372">
        <f>Input!$GR$56</f>
        <v>0</v>
      </c>
      <c r="L37" s="372">
        <f>Input!$GS$56</f>
        <v>0</v>
      </c>
      <c r="M37" s="567">
        <f t="shared" si="6"/>
        <v>0</v>
      </c>
      <c r="O37" s="261"/>
      <c r="T37" s="560" t="s">
        <v>1112</v>
      </c>
      <c r="U37" s="266"/>
      <c r="V37" s="266"/>
      <c r="W37" s="430">
        <f>(M25+M38)*-1</f>
        <v>0</v>
      </c>
      <c r="X37" s="655"/>
    </row>
    <row r="38" spans="1:36" s="264" customFormat="1">
      <c r="A38" s="263"/>
      <c r="B38" s="261" t="s">
        <v>728</v>
      </c>
      <c r="C38" s="566"/>
      <c r="D38" s="372">
        <f>Input!$GT$56</f>
        <v>0</v>
      </c>
      <c r="E38" s="372">
        <f>Input!$GU$56</f>
        <v>0</v>
      </c>
      <c r="F38" s="372">
        <f>Input!$GV$56</f>
        <v>0</v>
      </c>
      <c r="G38" s="372">
        <f>Input!$GW$56</f>
        <v>0</v>
      </c>
      <c r="H38" s="372">
        <f>Input!$GX$56</f>
        <v>0</v>
      </c>
      <c r="I38" s="372">
        <f>Input!$GY$56</f>
        <v>0</v>
      </c>
      <c r="J38" s="372">
        <f>Input!$GZ$56</f>
        <v>0</v>
      </c>
      <c r="K38" s="372">
        <f>Input!$HA$56</f>
        <v>0</v>
      </c>
      <c r="L38" s="372">
        <f>Input!$HB$56</f>
        <v>0</v>
      </c>
      <c r="M38" s="567">
        <f t="shared" si="6"/>
        <v>0</v>
      </c>
      <c r="O38" s="261"/>
      <c r="T38" s="650" t="s">
        <v>1113</v>
      </c>
      <c r="U38" s="584"/>
      <c r="V38" s="584"/>
      <c r="W38" s="656">
        <f>SUM(W36:W37)</f>
        <v>0</v>
      </c>
      <c r="X38" s="425"/>
    </row>
    <row r="39" spans="1:36" s="264" customFormat="1">
      <c r="A39" s="263"/>
      <c r="B39" s="261" t="s">
        <v>729</v>
      </c>
      <c r="C39" s="566"/>
      <c r="D39" s="372">
        <f>Input!$HC$56</f>
        <v>-2821</v>
      </c>
      <c r="E39" s="372">
        <f>Input!$HD$56</f>
        <v>-3176447</v>
      </c>
      <c r="F39" s="372">
        <f>Input!$HE$56</f>
        <v>-249050</v>
      </c>
      <c r="G39" s="372">
        <f>Input!$HF$56</f>
        <v>0</v>
      </c>
      <c r="H39" s="372">
        <f>Input!$HG$56</f>
        <v>0</v>
      </c>
      <c r="I39" s="372">
        <f>Input!$HH$56</f>
        <v>0</v>
      </c>
      <c r="J39" s="372">
        <f>Input!$HI$56</f>
        <v>0</v>
      </c>
      <c r="K39" s="372">
        <f>Input!$HJ$56</f>
        <v>0</v>
      </c>
      <c r="L39" s="372">
        <f>Input!$HK$56</f>
        <v>0</v>
      </c>
      <c r="M39" s="567">
        <f t="shared" si="6"/>
        <v>-3428318</v>
      </c>
      <c r="O39" s="261"/>
      <c r="T39" s="560" t="s">
        <v>1054</v>
      </c>
      <c r="U39" s="266"/>
      <c r="V39" s="266"/>
      <c r="W39" s="334"/>
      <c r="X39" s="425">
        <f>W38+W35</f>
        <v>31195694</v>
      </c>
    </row>
    <row r="40" spans="1:36" s="264" customFormat="1">
      <c r="A40" s="263"/>
      <c r="B40" s="261" t="s">
        <v>730</v>
      </c>
      <c r="C40" s="566"/>
      <c r="D40" s="372">
        <f>Input!$HL$56</f>
        <v>0</v>
      </c>
      <c r="E40" s="372">
        <f>Input!$HM$56</f>
        <v>0</v>
      </c>
      <c r="F40" s="372">
        <f>Input!$HN$56</f>
        <v>0</v>
      </c>
      <c r="G40" s="372">
        <f>Input!$HO$56</f>
        <v>0</v>
      </c>
      <c r="H40" s="372">
        <f>Input!$HP$56</f>
        <v>0</v>
      </c>
      <c r="I40" s="372">
        <f>Input!$HQ$56</f>
        <v>0</v>
      </c>
      <c r="J40" s="372">
        <f>Input!$HR$56</f>
        <v>0</v>
      </c>
      <c r="K40" s="372">
        <f>Input!$HS$56</f>
        <v>0</v>
      </c>
      <c r="L40" s="372">
        <f>Input!$HT$56</f>
        <v>0</v>
      </c>
      <c r="M40" s="567">
        <f t="shared" si="6"/>
        <v>0</v>
      </c>
      <c r="O40" s="261"/>
      <c r="T40" s="560"/>
      <c r="U40" s="261"/>
      <c r="V40" s="261"/>
      <c r="W40" s="261"/>
      <c r="X40" s="655"/>
    </row>
    <row r="41" spans="1:36" s="264" customFormat="1">
      <c r="A41" s="263"/>
      <c r="B41" s="261" t="s">
        <v>2133</v>
      </c>
      <c r="C41" s="566"/>
      <c r="D41" s="372">
        <f>Input!$HU$56</f>
        <v>-97543</v>
      </c>
      <c r="E41" s="372">
        <f>Input!$HV$56</f>
        <v>-32780636</v>
      </c>
      <c r="F41" s="372">
        <f>Input!$HW$56</f>
        <v>-8423391</v>
      </c>
      <c r="G41" s="372">
        <f>Input!$HX$56</f>
        <v>0</v>
      </c>
      <c r="H41" s="372">
        <f>Input!$HY$56</f>
        <v>0</v>
      </c>
      <c r="I41" s="372">
        <f>Input!$HZ$56</f>
        <v>0</v>
      </c>
      <c r="J41" s="372">
        <f>Input!$IA$56</f>
        <v>0</v>
      </c>
      <c r="K41" s="372">
        <f>Input!$IB$56</f>
        <v>0</v>
      </c>
      <c r="L41" s="372">
        <f>Input!$IC$56</f>
        <v>0</v>
      </c>
      <c r="M41" s="567">
        <f t="shared" si="6"/>
        <v>-41301570</v>
      </c>
      <c r="O41"/>
      <c r="P41"/>
      <c r="Q41"/>
      <c r="R41"/>
      <c r="S41"/>
      <c r="T41" s="560" t="s">
        <v>1104</v>
      </c>
      <c r="U41" s="266"/>
      <c r="V41" s="266"/>
      <c r="W41" s="330">
        <f>(M21+M34)*-1</f>
        <v>0</v>
      </c>
      <c r="X41" s="425"/>
    </row>
    <row r="42" spans="1:36" s="264" customFormat="1">
      <c r="A42" s="263"/>
      <c r="B42" s="575" t="s">
        <v>40</v>
      </c>
      <c r="C42" s="563"/>
      <c r="D42" s="374">
        <f t="shared" ref="D42:L42" si="7">SUM(D36:D41)</f>
        <v>274001</v>
      </c>
      <c r="E42" s="374">
        <f t="shared" si="7"/>
        <v>88704301</v>
      </c>
      <c r="F42" s="374">
        <f t="shared" si="7"/>
        <v>21335029</v>
      </c>
      <c r="G42" s="374">
        <f t="shared" si="7"/>
        <v>0</v>
      </c>
      <c r="H42" s="374">
        <f t="shared" si="7"/>
        <v>0</v>
      </c>
      <c r="I42" s="374">
        <f t="shared" si="7"/>
        <v>0</v>
      </c>
      <c r="J42" s="374">
        <f t="shared" si="7"/>
        <v>0</v>
      </c>
      <c r="K42" s="374">
        <f t="shared" si="7"/>
        <v>0</v>
      </c>
      <c r="L42" s="374">
        <f t="shared" si="7"/>
        <v>0</v>
      </c>
      <c r="M42" s="374">
        <f t="shared" si="6"/>
        <v>110313331</v>
      </c>
      <c r="O42"/>
      <c r="P42"/>
      <c r="Q42"/>
      <c r="R42"/>
      <c r="S42"/>
      <c r="T42" s="560" t="s">
        <v>1107</v>
      </c>
      <c r="U42" s="266"/>
      <c r="V42" s="266"/>
      <c r="W42" s="430">
        <f>(M22+M35)*-1</f>
        <v>0</v>
      </c>
      <c r="X42" s="425"/>
    </row>
    <row r="43" spans="1:36" s="264" customFormat="1">
      <c r="A43" s="263"/>
      <c r="B43" s="261"/>
      <c r="C43" s="566"/>
      <c r="D43" s="566"/>
      <c r="E43" s="566"/>
      <c r="F43" s="566"/>
      <c r="G43" s="566"/>
      <c r="H43" s="566"/>
      <c r="I43" s="566"/>
      <c r="J43" s="566"/>
      <c r="K43" s="566"/>
      <c r="L43" s="566"/>
      <c r="M43" s="567"/>
      <c r="O43"/>
      <c r="P43"/>
      <c r="Q43"/>
      <c r="R43"/>
      <c r="S43"/>
      <c r="T43" s="650" t="s">
        <v>1114</v>
      </c>
      <c r="U43" s="584"/>
      <c r="V43" s="584"/>
      <c r="W43" s="656">
        <f>SUM(W41:W42)</f>
        <v>0</v>
      </c>
      <c r="X43" s="655"/>
    </row>
    <row r="44" spans="1:36" s="264" customFormat="1" ht="13.5" customHeight="1">
      <c r="A44" s="263"/>
      <c r="B44" s="575" t="s">
        <v>1055</v>
      </c>
      <c r="C44" s="563"/>
      <c r="D44" s="374">
        <f t="shared" ref="D44:L44" si="8">D42+D29</f>
        <v>61957136</v>
      </c>
      <c r="E44" s="374">
        <f t="shared" si="8"/>
        <v>317712808</v>
      </c>
      <c r="F44" s="374">
        <f t="shared" si="8"/>
        <v>21335029</v>
      </c>
      <c r="G44" s="374">
        <f t="shared" si="8"/>
        <v>0</v>
      </c>
      <c r="H44" s="374">
        <f t="shared" si="8"/>
        <v>0</v>
      </c>
      <c r="I44" s="374">
        <f t="shared" si="8"/>
        <v>0</v>
      </c>
      <c r="J44" s="374">
        <f t="shared" si="8"/>
        <v>0</v>
      </c>
      <c r="K44" s="374">
        <f t="shared" si="8"/>
        <v>0</v>
      </c>
      <c r="L44" s="374">
        <f t="shared" si="8"/>
        <v>0</v>
      </c>
      <c r="M44" s="374">
        <f>D44+E44+F44+G44+H44+I44+J44+K44+L44</f>
        <v>401004973</v>
      </c>
      <c r="O44"/>
      <c r="P44"/>
      <c r="Q44"/>
      <c r="R44"/>
      <c r="S44"/>
      <c r="T44" s="560"/>
      <c r="U44" s="266"/>
      <c r="V44" s="266"/>
      <c r="W44" s="276"/>
      <c r="X44" s="425"/>
    </row>
    <row r="45" spans="1:36">
      <c r="A45" s="184">
        <v>28</v>
      </c>
      <c r="B45" s="160"/>
      <c r="C45" s="160"/>
      <c r="D45" s="373"/>
      <c r="E45" s="373"/>
      <c r="F45" s="373"/>
      <c r="G45" s="373"/>
      <c r="H45" s="373"/>
      <c r="I45" s="373"/>
      <c r="J45" s="373"/>
      <c r="K45" s="373"/>
      <c r="L45" s="373"/>
      <c r="M45" s="373"/>
      <c r="N45" s="160"/>
      <c r="O45"/>
      <c r="P45"/>
      <c r="Q45"/>
      <c r="R45"/>
      <c r="S45"/>
      <c r="T45" s="560" t="s">
        <v>1110</v>
      </c>
      <c r="U45" s="266"/>
      <c r="V45" s="266"/>
      <c r="W45" s="334">
        <f>(M24+M37)*-1</f>
        <v>0</v>
      </c>
      <c r="X45" s="425"/>
    </row>
    <row r="46" spans="1:36">
      <c r="A46" s="184">
        <v>29</v>
      </c>
      <c r="B46" s="172" t="s">
        <v>6</v>
      </c>
      <c r="C46" s="172"/>
      <c r="D46" s="373"/>
      <c r="E46" s="373"/>
      <c r="F46" s="373"/>
      <c r="G46" s="373"/>
      <c r="H46" s="373"/>
      <c r="I46" s="373"/>
      <c r="J46" s="373"/>
      <c r="K46" s="373"/>
      <c r="L46" s="373"/>
      <c r="M46" s="373"/>
      <c r="N46" s="160"/>
      <c r="O46"/>
      <c r="P46"/>
      <c r="Q46"/>
      <c r="R46"/>
      <c r="S46"/>
      <c r="T46" s="560" t="s">
        <v>1112</v>
      </c>
      <c r="U46" s="266"/>
      <c r="V46" s="266"/>
      <c r="W46" s="430">
        <f>(M25+M38)*-1</f>
        <v>0</v>
      </c>
      <c r="X46" s="425"/>
    </row>
    <row r="47" spans="1:36">
      <c r="A47" s="184">
        <v>30</v>
      </c>
      <c r="B47" s="176" t="s">
        <v>7</v>
      </c>
      <c r="C47" s="176"/>
      <c r="D47" s="375">
        <f>Input!$ID$56</f>
        <v>6273088</v>
      </c>
      <c r="E47" s="375">
        <f>Input!$IE$56</f>
        <v>22112</v>
      </c>
      <c r="F47" s="375">
        <f>Input!$IF$56</f>
        <v>0</v>
      </c>
      <c r="G47" s="375">
        <f>Input!$IG$56</f>
        <v>257433724</v>
      </c>
      <c r="H47" s="375">
        <f>Input!$IH$56</f>
        <v>71458</v>
      </c>
      <c r="I47" s="375">
        <f>Input!$II$56</f>
        <v>0</v>
      </c>
      <c r="J47" s="375">
        <f>Input!$IJ$56</f>
        <v>0</v>
      </c>
      <c r="K47" s="375">
        <f>Input!$IK$56</f>
        <v>0</v>
      </c>
      <c r="L47" s="375">
        <f>Input!$IL$56</f>
        <v>0</v>
      </c>
      <c r="M47" s="374">
        <f>D47+E47+F47+G47+H47+I47+J47+K47+L47</f>
        <v>263800382</v>
      </c>
      <c r="N47" s="160"/>
      <c r="O47"/>
      <c r="P47"/>
      <c r="Q47"/>
      <c r="R47"/>
      <c r="S47"/>
      <c r="T47" s="657" t="s">
        <v>1115</v>
      </c>
      <c r="U47" s="27"/>
      <c r="V47" s="27"/>
      <c r="W47" s="656">
        <f>SUM(W45:W46)</f>
        <v>0</v>
      </c>
      <c r="X47" s="655"/>
    </row>
    <row r="48" spans="1:36" s="261" customFormat="1">
      <c r="A48" s="263">
        <v>31</v>
      </c>
      <c r="D48" s="373"/>
      <c r="E48" s="373"/>
      <c r="F48" s="373"/>
      <c r="G48" s="373"/>
      <c r="H48" s="373"/>
      <c r="I48" s="373"/>
      <c r="J48" s="373"/>
      <c r="K48" s="373"/>
      <c r="L48" s="373"/>
      <c r="M48" s="373"/>
      <c r="N48" s="264"/>
      <c r="O48" s="264"/>
      <c r="P48" s="264"/>
      <c r="Q48" s="330"/>
      <c r="R48" s="330"/>
      <c r="S48" s="264"/>
      <c r="T48" s="560"/>
      <c r="X48" s="658">
        <f>W43-W47</f>
        <v>0</v>
      </c>
      <c r="Y48" s="264"/>
      <c r="Z48" s="264"/>
      <c r="AA48" s="264"/>
      <c r="AB48" s="264"/>
      <c r="AC48"/>
      <c r="AD48"/>
      <c r="AE48"/>
      <c r="AF48"/>
      <c r="AG48"/>
      <c r="AH48"/>
      <c r="AI48"/>
      <c r="AJ48"/>
    </row>
    <row r="49" spans="1:28" s="261" customFormat="1">
      <c r="A49" s="263">
        <v>32</v>
      </c>
      <c r="B49" s="5" t="s">
        <v>2121</v>
      </c>
      <c r="C49" s="5"/>
      <c r="D49" s="373"/>
      <c r="E49" s="373"/>
      <c r="F49" s="373"/>
      <c r="G49" s="373"/>
      <c r="H49" s="373"/>
      <c r="I49" s="373"/>
      <c r="J49" s="373"/>
      <c r="K49" s="373"/>
      <c r="L49" s="373"/>
      <c r="M49" s="373"/>
      <c r="O49" s="273"/>
      <c r="P49" s="264"/>
      <c r="Q49" s="264"/>
      <c r="R49" s="264"/>
      <c r="S49" s="264"/>
      <c r="T49" s="579" t="s">
        <v>287</v>
      </c>
      <c r="U49" s="511"/>
      <c r="V49" s="580"/>
      <c r="W49" s="580"/>
      <c r="X49" s="574">
        <f>SUM(X23:X48)</f>
        <v>595296151</v>
      </c>
      <c r="Y49" s="264"/>
      <c r="Z49" s="264"/>
      <c r="AA49" s="264"/>
    </row>
    <row r="50" spans="1:28" s="261" customFormat="1">
      <c r="A50" s="263">
        <v>33</v>
      </c>
      <c r="B50" s="1325" t="s">
        <v>2122</v>
      </c>
      <c r="C50" s="1325"/>
      <c r="D50" s="1326">
        <f>Input!$M$58</f>
        <v>0</v>
      </c>
      <c r="E50" s="1326">
        <f>Input!$N$58</f>
        <v>0</v>
      </c>
      <c r="F50" s="1326">
        <f>Input!$O$58</f>
        <v>0</v>
      </c>
      <c r="G50" s="1326">
        <f>Input!$P$58</f>
        <v>0</v>
      </c>
      <c r="H50" s="1326">
        <f>Input!$Q$58</f>
        <v>0</v>
      </c>
      <c r="I50" s="1326">
        <f>Input!$R$58</f>
        <v>0</v>
      </c>
      <c r="J50" s="1326">
        <f>Input!$S$58</f>
        <v>0</v>
      </c>
      <c r="K50" s="1326">
        <f>Input!$T$58</f>
        <v>0</v>
      </c>
      <c r="L50" s="1326">
        <f>Input!$U$58</f>
        <v>0</v>
      </c>
      <c r="M50" s="374">
        <f>D50+E50+F50+G50+H50+I50+J50+K50+L50</f>
        <v>0</v>
      </c>
      <c r="O50" s="273"/>
      <c r="P50" s="264"/>
      <c r="Q50" s="264"/>
      <c r="R50" s="264"/>
      <c r="S50" s="264"/>
      <c r="T50" s="264"/>
      <c r="Z50" s="264"/>
      <c r="AA50" s="264"/>
    </row>
    <row r="51" spans="1:28" s="261" customFormat="1">
      <c r="A51" s="263">
        <v>34</v>
      </c>
      <c r="B51" s="266"/>
      <c r="C51" s="266"/>
      <c r="D51" s="329"/>
      <c r="E51" s="329"/>
      <c r="F51" s="329"/>
      <c r="G51" s="329"/>
      <c r="H51" s="329"/>
      <c r="I51" s="329"/>
      <c r="J51" s="329"/>
      <c r="K51" s="329"/>
      <c r="L51" s="329"/>
      <c r="M51" s="329"/>
      <c r="P51" s="264"/>
      <c r="Q51" s="264"/>
      <c r="R51" s="264"/>
      <c r="S51" s="264"/>
      <c r="T51" s="264"/>
      <c r="Z51" s="264"/>
      <c r="AA51" s="264"/>
    </row>
    <row r="52" spans="1:28" s="261" customFormat="1">
      <c r="A52" s="263">
        <v>35</v>
      </c>
      <c r="B52" s="5" t="s">
        <v>2123</v>
      </c>
      <c r="C52" s="5"/>
      <c r="D52" s="373"/>
      <c r="E52" s="373"/>
      <c r="F52" s="373"/>
      <c r="G52" s="373"/>
      <c r="H52" s="373"/>
      <c r="I52" s="373"/>
      <c r="J52" s="373"/>
      <c r="K52" s="373"/>
      <c r="L52" s="373"/>
      <c r="M52" s="373"/>
      <c r="P52" s="264"/>
      <c r="Q52" s="264"/>
      <c r="R52" s="264"/>
      <c r="S52" s="264"/>
      <c r="T52" s="264"/>
      <c r="U52" s="264"/>
      <c r="V52" s="264"/>
      <c r="W52" s="264"/>
      <c r="X52" s="277"/>
      <c r="Y52" s="264"/>
      <c r="Z52" s="264"/>
      <c r="AA52" s="264"/>
    </row>
    <row r="53" spans="1:28" s="261" customFormat="1">
      <c r="A53" s="263">
        <v>36</v>
      </c>
      <c r="B53" s="1325" t="s">
        <v>2122</v>
      </c>
      <c r="C53" s="1325"/>
      <c r="D53" s="1326">
        <f>Input!$V$58</f>
        <v>0</v>
      </c>
      <c r="E53" s="1326">
        <f>Input!$W$58</f>
        <v>0</v>
      </c>
      <c r="F53" s="1326">
        <f>Input!$X$58</f>
        <v>0</v>
      </c>
      <c r="G53" s="1326">
        <f>Input!$Y$58</f>
        <v>0</v>
      </c>
      <c r="H53" s="1326">
        <f>Input!$Z$58</f>
        <v>0</v>
      </c>
      <c r="I53" s="1326">
        <f>Input!$AA$58</f>
        <v>0</v>
      </c>
      <c r="J53" s="1326">
        <f>Input!$AB$58</f>
        <v>0</v>
      </c>
      <c r="K53" s="1326">
        <f>Input!$AC$58</f>
        <v>0</v>
      </c>
      <c r="L53" s="1326">
        <f>Input!$AD$58</f>
        <v>0</v>
      </c>
      <c r="M53" s="374">
        <f>D53+E53+F53+G53+H53+I53+J53+K53+L53</f>
        <v>0</v>
      </c>
      <c r="P53" s="264"/>
      <c r="Q53" s="264"/>
      <c r="R53" s="264"/>
      <c r="S53" s="264"/>
      <c r="T53" s="264"/>
      <c r="U53" s="264"/>
      <c r="V53" s="264"/>
      <c r="W53" s="264"/>
      <c r="X53" s="277"/>
      <c r="Y53" s="264"/>
      <c r="Z53" s="264"/>
      <c r="AA53" s="264"/>
    </row>
    <row r="54" spans="1:28">
      <c r="A54" s="184">
        <v>31</v>
      </c>
      <c r="B54" s="160"/>
      <c r="C54" s="160"/>
      <c r="D54" s="373"/>
      <c r="E54" s="373"/>
      <c r="F54" s="373"/>
      <c r="G54" s="373"/>
      <c r="H54" s="373"/>
      <c r="I54" s="373"/>
      <c r="J54" s="373"/>
      <c r="K54" s="373"/>
      <c r="L54" s="373"/>
      <c r="M54" s="373"/>
      <c r="N54" s="160"/>
      <c r="O54"/>
      <c r="P54"/>
      <c r="Q54"/>
      <c r="R54"/>
      <c r="S54"/>
      <c r="X54" s="277"/>
    </row>
    <row r="55" spans="1:28">
      <c r="A55" s="184">
        <v>32</v>
      </c>
      <c r="B55" s="172" t="s">
        <v>8</v>
      </c>
      <c r="C55" s="172"/>
      <c r="D55" s="373"/>
      <c r="E55" s="373"/>
      <c r="F55" s="373"/>
      <c r="G55" s="373"/>
      <c r="H55" s="373"/>
      <c r="I55" s="373"/>
      <c r="J55" s="373"/>
      <c r="K55" s="373"/>
      <c r="L55" s="373"/>
      <c r="M55" s="373"/>
      <c r="N55" s="160"/>
      <c r="O55" s="273"/>
      <c r="X55" s="277"/>
    </row>
    <row r="56" spans="1:28">
      <c r="A56" s="184">
        <v>33</v>
      </c>
      <c r="B56" s="160" t="s">
        <v>42</v>
      </c>
      <c r="C56" s="160"/>
      <c r="D56" s="372">
        <f>Input!$IM$56</f>
        <v>1687756</v>
      </c>
      <c r="E56" s="372">
        <f>Input!$IN$56</f>
        <v>7508407</v>
      </c>
      <c r="F56" s="372">
        <f>Input!$IO$56</f>
        <v>0</v>
      </c>
      <c r="G56" s="372">
        <f>Input!$IP$56</f>
        <v>26202</v>
      </c>
      <c r="H56" s="372">
        <f>Input!$IQ$56</f>
        <v>42997</v>
      </c>
      <c r="I56" s="372">
        <f>Input!$IR$56</f>
        <v>80786262</v>
      </c>
      <c r="J56" s="372">
        <f>Input!$IS$56</f>
        <v>276921</v>
      </c>
      <c r="K56" s="372">
        <f>Input!$IT$56</f>
        <v>158</v>
      </c>
      <c r="L56" s="372">
        <f>Input!$IU$56</f>
        <v>0</v>
      </c>
      <c r="M56" s="373">
        <f t="shared" ref="M56:M62" si="9">D56+E56+F56+G56+H56+I56+J56+K56+L56</f>
        <v>90328703</v>
      </c>
      <c r="N56" s="160"/>
      <c r="O56" s="273"/>
      <c r="U56" s="275"/>
    </row>
    <row r="57" spans="1:28">
      <c r="A57" s="184">
        <v>34</v>
      </c>
      <c r="B57" s="160" t="s">
        <v>9</v>
      </c>
      <c r="C57" s="160"/>
      <c r="D57" s="372">
        <f>Input!$IV$56</f>
        <v>0</v>
      </c>
      <c r="E57" s="372">
        <f>Input!$IW$56</f>
        <v>11544843</v>
      </c>
      <c r="F57" s="372">
        <f>Input!$IX$56</f>
        <v>0</v>
      </c>
      <c r="G57" s="372">
        <f>Input!$IY$56</f>
        <v>89835</v>
      </c>
      <c r="H57" s="372">
        <f>Input!$IZ$56</f>
        <v>0</v>
      </c>
      <c r="I57" s="372">
        <f>Input!$JA$56</f>
        <v>0</v>
      </c>
      <c r="J57" s="372">
        <f>Input!$JB$56</f>
        <v>0</v>
      </c>
      <c r="K57" s="372">
        <f>Input!$JC$56</f>
        <v>0</v>
      </c>
      <c r="L57" s="372">
        <f>Input!$JD$56</f>
        <v>0</v>
      </c>
      <c r="M57" s="376">
        <f t="shared" si="9"/>
        <v>11634678</v>
      </c>
      <c r="N57" s="160"/>
      <c r="Y57" s="277"/>
    </row>
    <row r="58" spans="1:28">
      <c r="A58" s="184">
        <v>35</v>
      </c>
      <c r="B58" s="160" t="s">
        <v>10</v>
      </c>
      <c r="C58" s="160"/>
      <c r="D58" s="372">
        <f>Input!$JE$56</f>
        <v>-6274088</v>
      </c>
      <c r="E58" s="372">
        <f>Input!$JF$56</f>
        <v>1235995</v>
      </c>
      <c r="F58" s="372">
        <f>Input!$JG$56</f>
        <v>0</v>
      </c>
      <c r="G58" s="372">
        <f>Input!$JH$56</f>
        <v>82236427</v>
      </c>
      <c r="H58" s="372">
        <f>Input!$JI$56</f>
        <v>0</v>
      </c>
      <c r="I58" s="372">
        <f>Input!$JJ$56</f>
        <v>24349</v>
      </c>
      <c r="J58" s="372">
        <f>Input!$JK$56</f>
        <v>0</v>
      </c>
      <c r="K58" s="372">
        <f>Input!$JL$56</f>
        <v>0</v>
      </c>
      <c r="L58" s="372">
        <f>Input!$JM$56</f>
        <v>0</v>
      </c>
      <c r="M58" s="373">
        <f t="shared" si="9"/>
        <v>77222683</v>
      </c>
      <c r="N58" s="160"/>
      <c r="O58" s="273"/>
      <c r="P58" s="278"/>
    </row>
    <row r="59" spans="1:28">
      <c r="A59" s="184">
        <v>36</v>
      </c>
      <c r="B59" s="160" t="s">
        <v>11</v>
      </c>
      <c r="C59" s="160"/>
      <c r="D59" s="372">
        <f>Input!$JN$56</f>
        <v>1680</v>
      </c>
      <c r="E59" s="372">
        <f>Input!$JO$56</f>
        <v>90969900</v>
      </c>
      <c r="F59" s="372">
        <f>Input!$JP$56</f>
        <v>0</v>
      </c>
      <c r="G59" s="372">
        <f>Input!$JQ$56</f>
        <v>257581</v>
      </c>
      <c r="H59" s="372">
        <f>Input!$JR$56</f>
        <v>0</v>
      </c>
      <c r="I59" s="372">
        <f>Input!$JS$56</f>
        <v>0</v>
      </c>
      <c r="J59" s="372">
        <f>Input!$JT$56</f>
        <v>0</v>
      </c>
      <c r="K59" s="372">
        <f>Input!$JU$56</f>
        <v>0</v>
      </c>
      <c r="L59" s="372">
        <f>Input!$JV$56</f>
        <v>0</v>
      </c>
      <c r="M59" s="373">
        <f t="shared" si="9"/>
        <v>91229161</v>
      </c>
      <c r="N59" s="160"/>
      <c r="O59" s="273"/>
    </row>
    <row r="60" spans="1:28" ht="13.5" thickBot="1">
      <c r="A60" s="184">
        <v>37</v>
      </c>
      <c r="B60" s="177" t="s">
        <v>2134</v>
      </c>
      <c r="C60" s="177"/>
      <c r="D60" s="372">
        <f>Input!$JW$56</f>
        <v>0</v>
      </c>
      <c r="E60" s="372">
        <f>Input!$JX$56</f>
        <v>0</v>
      </c>
      <c r="F60" s="372">
        <f>Input!$JY$56</f>
        <v>47444235</v>
      </c>
      <c r="G60" s="372">
        <f>Input!$JZ$56</f>
        <v>0</v>
      </c>
      <c r="H60" s="372">
        <f>Input!$KA$56</f>
        <v>0</v>
      </c>
      <c r="I60" s="372">
        <f>Input!$KB$56</f>
        <v>0</v>
      </c>
      <c r="J60" s="372">
        <f>Input!$KC$56</f>
        <v>0</v>
      </c>
      <c r="K60" s="372">
        <f>Input!$KD$56</f>
        <v>0</v>
      </c>
      <c r="L60" s="372">
        <f>Input!$KE$56</f>
        <v>0</v>
      </c>
      <c r="M60" s="373">
        <f t="shared" si="9"/>
        <v>47444235</v>
      </c>
      <c r="N60" s="160"/>
      <c r="O60" s="273"/>
    </row>
    <row r="61" spans="1:28" ht="14.25" thickTop="1" thickBot="1">
      <c r="A61" s="184">
        <v>38</v>
      </c>
      <c r="B61" s="160" t="s">
        <v>43</v>
      </c>
      <c r="C61" s="160"/>
      <c r="D61" s="372">
        <f>Input!$KF$56</f>
        <v>0</v>
      </c>
      <c r="E61" s="372">
        <f>Input!$KG$56</f>
        <v>57624149</v>
      </c>
      <c r="F61" s="372">
        <f>Input!$KH$56</f>
        <v>34212062</v>
      </c>
      <c r="G61" s="372">
        <f>Input!$KI$56</f>
        <v>19481148</v>
      </c>
      <c r="H61" s="372">
        <f>Input!$KJ$56</f>
        <v>0</v>
      </c>
      <c r="I61" s="372">
        <f>Input!$KK$56</f>
        <v>0</v>
      </c>
      <c r="J61" s="372">
        <f>Input!$KL$56</f>
        <v>0</v>
      </c>
      <c r="K61" s="372">
        <f>Input!$KM$56</f>
        <v>0</v>
      </c>
      <c r="L61" s="372">
        <f>Input!$KN$56</f>
        <v>0</v>
      </c>
      <c r="M61" s="373">
        <f t="shared" si="9"/>
        <v>111317359</v>
      </c>
      <c r="N61" s="160"/>
      <c r="O61" s="1616" t="s">
        <v>251</v>
      </c>
      <c r="P61" s="1617"/>
      <c r="Q61" s="1617"/>
      <c r="R61" s="1618"/>
      <c r="S61" s="437"/>
      <c r="T61" s="1619" t="s">
        <v>252</v>
      </c>
      <c r="U61" s="1620"/>
      <c r="V61" s="1620"/>
      <c r="W61" s="1620"/>
      <c r="X61" s="1621"/>
      <c r="Y61" s="320"/>
      <c r="Z61" s="1749" t="s">
        <v>1301</v>
      </c>
      <c r="AA61" s="1750"/>
      <c r="AB61" s="1751"/>
    </row>
    <row r="62" spans="1:28" ht="13.5" customHeight="1" thickTop="1">
      <c r="A62" s="184">
        <v>39</v>
      </c>
      <c r="B62" s="176" t="s">
        <v>3</v>
      </c>
      <c r="C62" s="176"/>
      <c r="D62" s="374">
        <f>SUM(D56:D61)</f>
        <v>-4584652</v>
      </c>
      <c r="E62" s="374">
        <f t="shared" ref="E62:L62" si="10">SUM(E56:E61)</f>
        <v>168883294</v>
      </c>
      <c r="F62" s="374">
        <f t="shared" si="10"/>
        <v>81656297</v>
      </c>
      <c r="G62" s="374">
        <f t="shared" si="10"/>
        <v>102091193</v>
      </c>
      <c r="H62" s="374">
        <f t="shared" si="10"/>
        <v>42997</v>
      </c>
      <c r="I62" s="374">
        <f t="shared" si="10"/>
        <v>80810611</v>
      </c>
      <c r="J62" s="374">
        <f t="shared" si="10"/>
        <v>276921</v>
      </c>
      <c r="K62" s="374">
        <f t="shared" si="10"/>
        <v>158</v>
      </c>
      <c r="L62" s="374">
        <f t="shared" si="10"/>
        <v>0</v>
      </c>
      <c r="M62" s="374">
        <f t="shared" si="9"/>
        <v>429176819</v>
      </c>
      <c r="N62" s="160"/>
      <c r="O62" s="1622" t="s">
        <v>1135</v>
      </c>
      <c r="P62" s="1625" t="s">
        <v>254</v>
      </c>
      <c r="Q62" s="1625" t="s">
        <v>292</v>
      </c>
      <c r="R62" s="1628" t="s">
        <v>1063</v>
      </c>
      <c r="S62" s="280"/>
      <c r="T62" s="1739" t="s">
        <v>1136</v>
      </c>
      <c r="U62" s="1637" t="s">
        <v>254</v>
      </c>
      <c r="V62" s="1634" t="s">
        <v>256</v>
      </c>
      <c r="W62" s="1637" t="s">
        <v>257</v>
      </c>
      <c r="X62" s="1638" t="s">
        <v>1064</v>
      </c>
      <c r="Z62" s="1754" t="s">
        <v>1302</v>
      </c>
      <c r="AA62" s="1747" t="s">
        <v>1303</v>
      </c>
      <c r="AB62" s="1752" t="s">
        <v>238</v>
      </c>
    </row>
    <row r="63" spans="1:28">
      <c r="A63" s="184">
        <v>40</v>
      </c>
      <c r="B63" s="162" t="s">
        <v>68</v>
      </c>
      <c r="C63" s="162"/>
      <c r="D63" s="374">
        <f t="shared" ref="D63:M63" si="11">D15+D44+D47+D62+D50+D53</f>
        <v>322789530</v>
      </c>
      <c r="E63" s="374">
        <f t="shared" si="11"/>
        <v>486618214</v>
      </c>
      <c r="F63" s="374">
        <f t="shared" si="11"/>
        <v>102991326</v>
      </c>
      <c r="G63" s="374">
        <f t="shared" si="11"/>
        <v>403958485</v>
      </c>
      <c r="H63" s="374">
        <f t="shared" si="11"/>
        <v>114455</v>
      </c>
      <c r="I63" s="374">
        <f t="shared" si="11"/>
        <v>80810611</v>
      </c>
      <c r="J63" s="374">
        <f t="shared" si="11"/>
        <v>276921</v>
      </c>
      <c r="K63" s="374">
        <f t="shared" si="11"/>
        <v>158</v>
      </c>
      <c r="L63" s="374">
        <f t="shared" si="11"/>
        <v>0</v>
      </c>
      <c r="M63" s="374">
        <f t="shared" si="11"/>
        <v>1397559700</v>
      </c>
      <c r="N63" s="160"/>
      <c r="O63" s="1623"/>
      <c r="P63" s="1626"/>
      <c r="Q63" s="1626"/>
      <c r="R63" s="1629"/>
      <c r="S63" s="280"/>
      <c r="T63" s="1740"/>
      <c r="U63" s="1626"/>
      <c r="V63" s="1635"/>
      <c r="W63" s="1626"/>
      <c r="X63" s="1639"/>
      <c r="Z63" s="1755"/>
      <c r="AA63" s="1747"/>
      <c r="AB63" s="1752"/>
    </row>
    <row r="64" spans="1:28">
      <c r="A64" s="184">
        <v>41</v>
      </c>
      <c r="B64" s="160"/>
      <c r="C64" s="160"/>
      <c r="D64" s="373"/>
      <c r="E64" s="373"/>
      <c r="F64" s="373"/>
      <c r="G64" s="373"/>
      <c r="H64" s="373"/>
      <c r="I64" s="373"/>
      <c r="J64" s="373"/>
      <c r="K64" s="373"/>
      <c r="L64" s="373"/>
      <c r="M64" s="373"/>
      <c r="N64" s="160"/>
      <c r="O64" s="1623"/>
      <c r="P64" s="1626"/>
      <c r="Q64" s="1626"/>
      <c r="R64" s="1629"/>
      <c r="S64" s="280"/>
      <c r="T64" s="1740"/>
      <c r="U64" s="1626"/>
      <c r="V64" s="1635"/>
      <c r="W64" s="1626"/>
      <c r="X64" s="1639"/>
      <c r="Z64" s="1755"/>
      <c r="AA64" s="1747"/>
      <c r="AB64" s="1752"/>
    </row>
    <row r="65" spans="1:32" ht="14.25" customHeight="1">
      <c r="A65" s="184">
        <v>42</v>
      </c>
      <c r="B65" s="174" t="s">
        <v>72</v>
      </c>
      <c r="C65" s="174"/>
      <c r="D65" s="377"/>
      <c r="E65" s="377"/>
      <c r="F65" s="377"/>
      <c r="G65" s="1746" t="str">
        <f>IF(OR(P112&gt;0,P113&lt;&gt;0,P114&lt;&gt;0),"Do not Enter Cents - Whole Dollars Only","")</f>
        <v/>
      </c>
      <c r="H65" s="1746"/>
      <c r="I65" s="1746"/>
      <c r="J65" s="1746"/>
      <c r="K65" s="1746"/>
      <c r="L65" s="377"/>
      <c r="M65" s="377"/>
      <c r="N65" s="160"/>
      <c r="O65" s="1624"/>
      <c r="P65" s="1627"/>
      <c r="Q65" s="1627"/>
      <c r="R65" s="1630"/>
      <c r="S65" s="280"/>
      <c r="T65" s="1741"/>
      <c r="U65" s="1627"/>
      <c r="V65" s="1636"/>
      <c r="W65" s="1627"/>
      <c r="X65" s="1640"/>
      <c r="Z65" s="1756"/>
      <c r="AA65" s="1748"/>
      <c r="AB65" s="1753"/>
    </row>
    <row r="66" spans="1:32" ht="13.5" thickBot="1">
      <c r="A66" s="184">
        <v>43</v>
      </c>
      <c r="B66" s="160" t="s">
        <v>14</v>
      </c>
      <c r="C66" s="160"/>
      <c r="D66" s="372">
        <f>Input!$KO$56</f>
        <v>162229762</v>
      </c>
      <c r="E66" s="372">
        <f>Input!$KP$56</f>
        <v>95225094</v>
      </c>
      <c r="F66" s="372">
        <f>Input!$KQ$56</f>
        <v>0</v>
      </c>
      <c r="G66" s="372">
        <f>Input!$KR$56</f>
        <v>4854369</v>
      </c>
      <c r="H66" s="372">
        <f>Input!$KS$56</f>
        <v>0</v>
      </c>
      <c r="I66" s="372">
        <f>Input!$KT$56</f>
        <v>0</v>
      </c>
      <c r="J66" s="372">
        <f>Input!$KU$56</f>
        <v>0</v>
      </c>
      <c r="K66" s="372">
        <f>Input!$KV$56</f>
        <v>0</v>
      </c>
      <c r="L66" s="372">
        <f>Input!$KW$56</f>
        <v>0</v>
      </c>
      <c r="M66" s="373">
        <f t="shared" ref="M66:M77" si="12">D66+E66+F66+G66+H66+I66+J66+K66+L66</f>
        <v>262309225</v>
      </c>
      <c r="N66" s="160"/>
      <c r="O66" s="282">
        <f>D66+E66+G66+J66</f>
        <v>262309225</v>
      </c>
      <c r="P66" s="518">
        <f>Input!$SS$56</f>
        <v>143828</v>
      </c>
      <c r="Q66" s="438" t="s">
        <v>259</v>
      </c>
      <c r="R66" s="284">
        <f>SUM(O66:P66)</f>
        <v>262453053</v>
      </c>
      <c r="S66" s="439"/>
      <c r="T66" s="286">
        <f t="shared" ref="T66:T74" si="13">D66+E66+G66</f>
        <v>262309225</v>
      </c>
      <c r="U66" s="287">
        <f t="shared" ref="U66:U74" si="14">P66</f>
        <v>143828</v>
      </c>
      <c r="V66" s="289">
        <f>Input!$TC$56</f>
        <v>0</v>
      </c>
      <c r="W66" s="289">
        <f>Input!$TK$56</f>
        <v>0</v>
      </c>
      <c r="X66" s="290">
        <f t="shared" ref="X66:X73" si="15">T66+U66-V66-W66</f>
        <v>262453053</v>
      </c>
      <c r="Z66" s="292" t="s">
        <v>14</v>
      </c>
      <c r="AA66" s="520">
        <f>Input!$TS$56</f>
        <v>262309225</v>
      </c>
      <c r="AB66" s="293">
        <f t="shared" ref="AB66:AB75" si="16">AA66-M66</f>
        <v>0</v>
      </c>
    </row>
    <row r="67" spans="1:32" ht="14.25" thickTop="1" thickBot="1">
      <c r="A67" s="184">
        <v>44</v>
      </c>
      <c r="B67" s="160" t="s">
        <v>15</v>
      </c>
      <c r="C67" s="160"/>
      <c r="D67" s="372">
        <f>Input!$KX$56</f>
        <v>17911797</v>
      </c>
      <c r="E67" s="372">
        <f>Input!$KY$56</f>
        <v>46191424</v>
      </c>
      <c r="F67" s="372">
        <f>Input!$KZ$56</f>
        <v>0</v>
      </c>
      <c r="G67" s="372">
        <f>Input!$LA$56</f>
        <v>105312118</v>
      </c>
      <c r="H67" s="372">
        <f>Input!$LB$56</f>
        <v>0</v>
      </c>
      <c r="I67" s="372">
        <f>Input!$LC$56</f>
        <v>0</v>
      </c>
      <c r="J67" s="372">
        <f>Input!$LD$56</f>
        <v>0</v>
      </c>
      <c r="K67" s="372">
        <f>Input!$LE$56</f>
        <v>0</v>
      </c>
      <c r="L67" s="372">
        <f>Input!$LF$56</f>
        <v>0</v>
      </c>
      <c r="M67" s="373">
        <f t="shared" si="12"/>
        <v>169415339</v>
      </c>
      <c r="N67" s="160"/>
      <c r="O67" s="440">
        <f t="shared" ref="O67:O74" si="17">D67+E67+G67+J67</f>
        <v>169415339</v>
      </c>
      <c r="P67" s="518">
        <f>Input!$ST$56</f>
        <v>10173606</v>
      </c>
      <c r="Q67" s="441" t="s">
        <v>259</v>
      </c>
      <c r="R67" s="295">
        <f>SUM(O67:P67)</f>
        <v>179588945</v>
      </c>
      <c r="S67" s="442"/>
      <c r="T67" s="296">
        <f t="shared" si="13"/>
        <v>169415339</v>
      </c>
      <c r="U67" s="297">
        <f t="shared" si="14"/>
        <v>10173606</v>
      </c>
      <c r="V67" s="299">
        <f>Input!$TD$56</f>
        <v>0</v>
      </c>
      <c r="W67" s="299">
        <f>Input!$TL$56</f>
        <v>120392</v>
      </c>
      <c r="X67" s="300">
        <f t="shared" si="15"/>
        <v>179468553</v>
      </c>
      <c r="Z67" s="292" t="s">
        <v>15</v>
      </c>
      <c r="AA67" s="518">
        <f>Input!$TT$56</f>
        <v>169415339</v>
      </c>
      <c r="AB67" s="301">
        <f t="shared" si="16"/>
        <v>0</v>
      </c>
    </row>
    <row r="68" spans="1:32" ht="13.5" thickTop="1">
      <c r="A68" s="184">
        <v>45</v>
      </c>
      <c r="B68" s="160" t="s">
        <v>16</v>
      </c>
      <c r="C68" s="160"/>
      <c r="D68" s="372">
        <f>Input!$LG$56</f>
        <v>2871893</v>
      </c>
      <c r="E68" s="372">
        <f>Input!$LH$56</f>
        <v>12302619</v>
      </c>
      <c r="F68" s="372">
        <f>Input!$LI$56</f>
        <v>0</v>
      </c>
      <c r="G68" s="372">
        <f>Input!$LJ$56</f>
        <v>20772349</v>
      </c>
      <c r="H68" s="372">
        <f>Input!$LK$56</f>
        <v>0</v>
      </c>
      <c r="I68" s="372">
        <f>Input!$LL$56</f>
        <v>0</v>
      </c>
      <c r="J68" s="372">
        <f>Input!$LM$56</f>
        <v>0</v>
      </c>
      <c r="K68" s="372">
        <f>Input!$LN$56</f>
        <v>0</v>
      </c>
      <c r="L68" s="372">
        <f>Input!$LO$56</f>
        <v>0</v>
      </c>
      <c r="M68" s="373">
        <f t="shared" si="12"/>
        <v>35946861</v>
      </c>
      <c r="N68" s="160"/>
      <c r="O68" s="440">
        <f t="shared" si="17"/>
        <v>35946861</v>
      </c>
      <c r="P68" s="518">
        <f>Input!$SU$56</f>
        <v>-263669</v>
      </c>
      <c r="Q68" s="441" t="s">
        <v>259</v>
      </c>
      <c r="R68" s="302" t="s">
        <v>259</v>
      </c>
      <c r="S68" s="442"/>
      <c r="T68" s="296">
        <f t="shared" si="13"/>
        <v>35946861</v>
      </c>
      <c r="U68" s="297">
        <f t="shared" si="14"/>
        <v>-263669</v>
      </c>
      <c r="V68" s="299">
        <f>Input!$TE$56</f>
        <v>0</v>
      </c>
      <c r="W68" s="299">
        <f>Input!$TM$56</f>
        <v>0</v>
      </c>
      <c r="X68" s="303">
        <f t="shared" si="15"/>
        <v>35683192</v>
      </c>
      <c r="Z68" s="292" t="s">
        <v>16</v>
      </c>
      <c r="AA68" s="518">
        <f>Input!$TU$56</f>
        <v>35946861</v>
      </c>
      <c r="AB68" s="301">
        <f t="shared" si="16"/>
        <v>0</v>
      </c>
    </row>
    <row r="69" spans="1:32" s="261" customFormat="1">
      <c r="A69" s="263">
        <v>52</v>
      </c>
      <c r="B69" s="1327" t="s">
        <v>2123</v>
      </c>
      <c r="C69" s="1327"/>
      <c r="D69" s="372">
        <f>Input!$AE$58</f>
        <v>0</v>
      </c>
      <c r="E69" s="372">
        <f>Input!$AF$58</f>
        <v>0</v>
      </c>
      <c r="F69" s="372">
        <f>Input!$AG$58</f>
        <v>0</v>
      </c>
      <c r="G69" s="372">
        <f>Input!$AH$58</f>
        <v>0</v>
      </c>
      <c r="H69" s="372">
        <f>Input!$AI$58</f>
        <v>0</v>
      </c>
      <c r="I69" s="372">
        <f>Input!$AJ$58</f>
        <v>0</v>
      </c>
      <c r="J69" s="372">
        <f>Input!$AK$58</f>
        <v>0</v>
      </c>
      <c r="K69" s="372">
        <f>Input!$AL$58</f>
        <v>0</v>
      </c>
      <c r="L69" s="372">
        <f>Input!$AM$58</f>
        <v>0</v>
      </c>
      <c r="M69" s="373">
        <f t="shared" si="12"/>
        <v>0</v>
      </c>
      <c r="O69" s="440">
        <f t="shared" ref="O69" si="18">D69+E69+G69</f>
        <v>0</v>
      </c>
      <c r="P69" s="299">
        <f>Input!$AN$54</f>
        <v>0</v>
      </c>
      <c r="Q69" s="441" t="s">
        <v>259</v>
      </c>
      <c r="R69" s="295">
        <f>SUM(O69:P69)</f>
        <v>0</v>
      </c>
      <c r="S69" s="1328" t="e">
        <f t="shared" ref="S69" si="19">O69+P69-Q69-R69</f>
        <v>#VALUE!</v>
      </c>
      <c r="T69" s="296">
        <f t="shared" si="13"/>
        <v>0</v>
      </c>
      <c r="U69" s="297">
        <f t="shared" si="14"/>
        <v>0</v>
      </c>
      <c r="V69" s="298">
        <f>Input!$AO$54</f>
        <v>0</v>
      </c>
      <c r="W69" s="299">
        <f>Input!$AP$54</f>
        <v>0</v>
      </c>
      <c r="X69" s="303">
        <f t="shared" si="15"/>
        <v>0</v>
      </c>
      <c r="Z69" s="292" t="s">
        <v>2123</v>
      </c>
      <c r="AA69" s="518">
        <f>Input!$AQ$58</f>
        <v>0</v>
      </c>
      <c r="AB69" s="301">
        <f t="shared" si="16"/>
        <v>0</v>
      </c>
      <c r="AD69"/>
      <c r="AF69" s="352"/>
    </row>
    <row r="70" spans="1:32">
      <c r="A70" s="184">
        <v>46</v>
      </c>
      <c r="B70" s="160" t="s">
        <v>17</v>
      </c>
      <c r="C70" s="160"/>
      <c r="D70" s="372">
        <f>Input!$LP$56</f>
        <v>48274350</v>
      </c>
      <c r="E70" s="372">
        <f>Input!$LQ$56</f>
        <v>98680979</v>
      </c>
      <c r="F70" s="372">
        <f>Input!$LR$56</f>
        <v>0</v>
      </c>
      <c r="G70" s="372">
        <f>Input!$LS$56</f>
        <v>37564405</v>
      </c>
      <c r="H70" s="372">
        <f>Input!$LT$56</f>
        <v>0</v>
      </c>
      <c r="I70" s="372">
        <f>Input!$LU$56</f>
        <v>0</v>
      </c>
      <c r="J70" s="372">
        <f>Input!$LV$56</f>
        <v>0</v>
      </c>
      <c r="K70" s="372">
        <f>Input!$LW$56</f>
        <v>0</v>
      </c>
      <c r="L70" s="372">
        <f>Input!$LX$56</f>
        <v>0</v>
      </c>
      <c r="M70" s="373">
        <f t="shared" si="12"/>
        <v>184519734</v>
      </c>
      <c r="N70" s="160"/>
      <c r="O70" s="440">
        <f t="shared" si="17"/>
        <v>184519734</v>
      </c>
      <c r="P70" s="518">
        <f>Input!$SV$56</f>
        <v>2793216</v>
      </c>
      <c r="Q70" s="441" t="s">
        <v>259</v>
      </c>
      <c r="R70" s="295">
        <f t="shared" ref="R70:R72" si="20">SUM(O70:P70)</f>
        <v>187312950</v>
      </c>
      <c r="S70" s="442"/>
      <c r="T70" s="296">
        <f t="shared" si="13"/>
        <v>184519734</v>
      </c>
      <c r="U70" s="297">
        <f t="shared" si="14"/>
        <v>2793216</v>
      </c>
      <c r="V70" s="299">
        <f>Input!$TF$56</f>
        <v>0</v>
      </c>
      <c r="W70" s="299">
        <f>Input!$TN$56</f>
        <v>0</v>
      </c>
      <c r="X70" s="303">
        <f t="shared" si="15"/>
        <v>187312950</v>
      </c>
      <c r="Z70" s="292" t="s">
        <v>17</v>
      </c>
      <c r="AA70" s="518">
        <f>Input!$TV$56</f>
        <v>184519734</v>
      </c>
      <c r="AB70" s="301">
        <f t="shared" si="16"/>
        <v>0</v>
      </c>
    </row>
    <row r="71" spans="1:32">
      <c r="A71" s="184">
        <v>47</v>
      </c>
      <c r="B71" s="160" t="s">
        <v>18</v>
      </c>
      <c r="C71" s="160"/>
      <c r="D71" s="372">
        <f>Input!$LY$56</f>
        <v>7172274</v>
      </c>
      <c r="E71" s="372">
        <f>Input!$LZ$56</f>
        <v>20926775</v>
      </c>
      <c r="F71" s="372">
        <f>Input!$MA$56</f>
        <v>0</v>
      </c>
      <c r="G71" s="372">
        <f>Input!$MB$56</f>
        <v>10092959</v>
      </c>
      <c r="H71" s="372">
        <f>Input!$MC$56</f>
        <v>0</v>
      </c>
      <c r="I71" s="372">
        <f>Input!$MD$56</f>
        <v>0</v>
      </c>
      <c r="J71" s="372">
        <f>Input!$ME$56</f>
        <v>0</v>
      </c>
      <c r="K71" s="372">
        <f>Input!$MF$56</f>
        <v>0</v>
      </c>
      <c r="L71" s="372">
        <f>Input!$MG$56</f>
        <v>0</v>
      </c>
      <c r="M71" s="373">
        <f t="shared" si="12"/>
        <v>38192008</v>
      </c>
      <c r="N71" s="160"/>
      <c r="O71" s="440">
        <f t="shared" si="17"/>
        <v>38192008</v>
      </c>
      <c r="P71" s="518">
        <f>Input!$SW$56</f>
        <v>21097</v>
      </c>
      <c r="Q71" s="518">
        <f>Input!$TB$56</f>
        <v>311761</v>
      </c>
      <c r="R71" s="295">
        <f>SUM(O71:P71)-Q71</f>
        <v>37901344</v>
      </c>
      <c r="S71" s="442"/>
      <c r="T71" s="296">
        <f t="shared" si="13"/>
        <v>38192008</v>
      </c>
      <c r="U71" s="297">
        <f t="shared" si="14"/>
        <v>21097</v>
      </c>
      <c r="V71" s="299">
        <f>Input!$TG$56</f>
        <v>0</v>
      </c>
      <c r="W71" s="299">
        <f>Input!$TO$56</f>
        <v>0</v>
      </c>
      <c r="X71" s="303">
        <f t="shared" si="15"/>
        <v>38213105</v>
      </c>
      <c r="Z71" s="292" t="s">
        <v>18</v>
      </c>
      <c r="AA71" s="518">
        <f>Input!$TW$56</f>
        <v>38192008</v>
      </c>
      <c r="AB71" s="301">
        <f t="shared" si="16"/>
        <v>0</v>
      </c>
    </row>
    <row r="72" spans="1:32">
      <c r="A72" s="184">
        <v>48</v>
      </c>
      <c r="B72" s="160" t="s">
        <v>19</v>
      </c>
      <c r="C72" s="160"/>
      <c r="D72" s="372">
        <f>Input!$MH$56</f>
        <v>11281170</v>
      </c>
      <c r="E72" s="372">
        <f>Input!$MI$56</f>
        <v>73557160</v>
      </c>
      <c r="F72" s="372">
        <f>Input!$MJ$56</f>
        <v>0</v>
      </c>
      <c r="G72" s="372">
        <f>Input!$MK$56</f>
        <v>779991</v>
      </c>
      <c r="H72" s="372">
        <f>Input!$ML$56</f>
        <v>0</v>
      </c>
      <c r="I72" s="372">
        <f>Input!$MM$56</f>
        <v>0</v>
      </c>
      <c r="J72" s="372">
        <f>Input!$MN$56</f>
        <v>0</v>
      </c>
      <c r="K72" s="372">
        <f>Input!$MO$56</f>
        <v>0</v>
      </c>
      <c r="L72" s="372">
        <f>Input!$MP$56</f>
        <v>0</v>
      </c>
      <c r="M72" s="373">
        <f t="shared" si="12"/>
        <v>85618321</v>
      </c>
      <c r="N72" s="160"/>
      <c r="O72" s="440">
        <f t="shared" si="17"/>
        <v>85618321</v>
      </c>
      <c r="P72" s="518">
        <f>Input!$SX$56</f>
        <v>285334</v>
      </c>
      <c r="Q72" s="441" t="s">
        <v>259</v>
      </c>
      <c r="R72" s="295">
        <f t="shared" si="20"/>
        <v>85903655</v>
      </c>
      <c r="S72" s="442"/>
      <c r="T72" s="296">
        <f t="shared" si="13"/>
        <v>85618321</v>
      </c>
      <c r="U72" s="297">
        <f t="shared" si="14"/>
        <v>285334</v>
      </c>
      <c r="V72" s="299">
        <f>Input!$TH$56</f>
        <v>0</v>
      </c>
      <c r="W72" s="299">
        <f>Input!$TP$56</f>
        <v>0</v>
      </c>
      <c r="X72" s="303">
        <f t="shared" si="15"/>
        <v>85903655</v>
      </c>
      <c r="Z72" s="292" t="s">
        <v>19</v>
      </c>
      <c r="AA72" s="518">
        <f>Input!$TX$56</f>
        <v>85618321</v>
      </c>
      <c r="AB72" s="301">
        <f t="shared" si="16"/>
        <v>0</v>
      </c>
    </row>
    <row r="73" spans="1:32">
      <c r="A73" s="184">
        <v>49</v>
      </c>
      <c r="B73" s="160" t="s">
        <v>20</v>
      </c>
      <c r="C73" s="160"/>
      <c r="D73" s="372">
        <f>Input!$MQ$56</f>
        <v>20082479</v>
      </c>
      <c r="E73" s="372">
        <f>Input!$MR$56</f>
        <v>26962386</v>
      </c>
      <c r="F73" s="372">
        <f>Input!$MS$56</f>
        <v>0</v>
      </c>
      <c r="G73" s="372">
        <f>Input!$MT$56</f>
        <v>12313097</v>
      </c>
      <c r="H73" s="372">
        <f>Input!$MU$56</f>
        <v>0</v>
      </c>
      <c r="I73" s="372">
        <f>Input!$MV$56</f>
        <v>0</v>
      </c>
      <c r="J73" s="372">
        <f>Input!$MW$56</f>
        <v>0</v>
      </c>
      <c r="K73" s="372">
        <f>Input!$MX$56</f>
        <v>0</v>
      </c>
      <c r="L73" s="372">
        <f>Input!$MY$56</f>
        <v>0</v>
      </c>
      <c r="M73" s="373">
        <f t="shared" si="12"/>
        <v>59357962</v>
      </c>
      <c r="N73" s="160"/>
      <c r="O73" s="440">
        <f t="shared" si="17"/>
        <v>59357962</v>
      </c>
      <c r="P73" s="518">
        <f>Input!$SY$56</f>
        <v>188620</v>
      </c>
      <c r="Q73" s="441" t="s">
        <v>259</v>
      </c>
      <c r="R73" s="304" t="s">
        <v>259</v>
      </c>
      <c r="S73" s="442"/>
      <c r="T73" s="296">
        <f t="shared" si="13"/>
        <v>59357962</v>
      </c>
      <c r="U73" s="297">
        <f t="shared" si="14"/>
        <v>188620</v>
      </c>
      <c r="V73" s="299">
        <f>Input!$TI$56</f>
        <v>0</v>
      </c>
      <c r="W73" s="299">
        <f>Input!$TQ$56</f>
        <v>0</v>
      </c>
      <c r="X73" s="303">
        <f t="shared" si="15"/>
        <v>59546582</v>
      </c>
      <c r="Z73" s="292" t="s">
        <v>260</v>
      </c>
      <c r="AA73" s="518">
        <f>Input!$TY$56</f>
        <v>59357962</v>
      </c>
      <c r="AB73" s="301">
        <f t="shared" si="16"/>
        <v>0</v>
      </c>
    </row>
    <row r="74" spans="1:32" ht="13.5" thickBot="1">
      <c r="A74" s="184">
        <v>50</v>
      </c>
      <c r="B74" s="160" t="s">
        <v>21</v>
      </c>
      <c r="C74" s="160"/>
      <c r="D74" s="372">
        <f>Input!$MZ$56</f>
        <v>-3113055</v>
      </c>
      <c r="E74" s="372">
        <f>Input!$NA$56</f>
        <v>28418559</v>
      </c>
      <c r="F74" s="372">
        <f>Input!$NB$56</f>
        <v>0</v>
      </c>
      <c r="G74" s="372">
        <f>Input!$NC$56</f>
        <v>53425218</v>
      </c>
      <c r="H74" s="372">
        <f>Input!$ND$56</f>
        <v>0</v>
      </c>
      <c r="I74" s="372">
        <f>Input!$NE$56</f>
        <v>0</v>
      </c>
      <c r="J74" s="372">
        <f>Input!$NF$56</f>
        <v>0</v>
      </c>
      <c r="K74" s="372">
        <f>Input!$NG$56</f>
        <v>0</v>
      </c>
      <c r="L74" s="372">
        <f>Input!$NH$56</f>
        <v>0</v>
      </c>
      <c r="M74" s="373">
        <f t="shared" si="12"/>
        <v>78730722</v>
      </c>
      <c r="N74" s="160"/>
      <c r="O74" s="440">
        <f t="shared" si="17"/>
        <v>78730722</v>
      </c>
      <c r="P74" s="518">
        <f>Input!$SZ$56</f>
        <v>0</v>
      </c>
      <c r="Q74" s="441" t="s">
        <v>259</v>
      </c>
      <c r="R74" s="304" t="s">
        <v>259</v>
      </c>
      <c r="S74" s="442"/>
      <c r="T74" s="306">
        <f t="shared" si="13"/>
        <v>78730722</v>
      </c>
      <c r="U74" s="307">
        <f t="shared" si="14"/>
        <v>0</v>
      </c>
      <c r="V74" s="308">
        <f>Input!$TJ$56</f>
        <v>0</v>
      </c>
      <c r="W74" s="308">
        <f>Input!$TR$56</f>
        <v>0</v>
      </c>
      <c r="X74" s="303">
        <f>U74+T74-V74-W74</f>
        <v>78730722</v>
      </c>
      <c r="Z74" s="292" t="s">
        <v>21</v>
      </c>
      <c r="AA74" s="518">
        <f>Input!$TZ$56</f>
        <v>78730722</v>
      </c>
      <c r="AB74" s="301">
        <f t="shared" si="16"/>
        <v>0</v>
      </c>
    </row>
    <row r="75" spans="1:32" ht="14.25" thickTop="1" thickBot="1">
      <c r="A75" s="184">
        <v>51</v>
      </c>
      <c r="B75" s="160" t="s">
        <v>2135</v>
      </c>
      <c r="C75" s="160"/>
      <c r="D75" s="372">
        <f>Input!$NI$56</f>
        <v>0</v>
      </c>
      <c r="E75" s="372">
        <f>Input!$NJ$56</f>
        <v>0</v>
      </c>
      <c r="F75" s="372">
        <f>Input!$NK$56</f>
        <v>99097370</v>
      </c>
      <c r="G75" s="372">
        <f>Input!$NL$56</f>
        <v>34979424</v>
      </c>
      <c r="H75" s="372">
        <f>Input!$NM$56</f>
        <v>0</v>
      </c>
      <c r="I75" s="372">
        <f>Input!$NN$56</f>
        <v>0</v>
      </c>
      <c r="J75" s="372">
        <f>Input!$NO$56</f>
        <v>0</v>
      </c>
      <c r="K75" s="372">
        <f>Input!$NP$56</f>
        <v>0</v>
      </c>
      <c r="L75" s="372">
        <f>Input!$NQ$56</f>
        <v>0</v>
      </c>
      <c r="M75" s="373">
        <f t="shared" si="12"/>
        <v>134076794</v>
      </c>
      <c r="N75" s="160"/>
      <c r="O75" s="309" t="s">
        <v>259</v>
      </c>
      <c r="P75" s="519">
        <f>Input!$TA$56</f>
        <v>183264</v>
      </c>
      <c r="Q75" s="444" t="s">
        <v>259</v>
      </c>
      <c r="R75" s="311" t="s">
        <v>259</v>
      </c>
      <c r="S75" s="442"/>
      <c r="T75" s="305"/>
      <c r="U75" s="305"/>
      <c r="V75" s="312" t="s">
        <v>261</v>
      </c>
      <c r="W75" s="313"/>
      <c r="X75" s="314">
        <f>SUM(X66:X74)</f>
        <v>927311812</v>
      </c>
      <c r="Z75" s="292" t="s">
        <v>22</v>
      </c>
      <c r="AA75" s="518">
        <f>Input!$UA$56</f>
        <v>134076794</v>
      </c>
      <c r="AB75" s="301">
        <f t="shared" si="16"/>
        <v>0</v>
      </c>
    </row>
    <row r="76" spans="1:32" ht="14.25" thickTop="1" thickBot="1">
      <c r="A76" s="184">
        <v>52</v>
      </c>
      <c r="B76" s="161" t="s">
        <v>59</v>
      </c>
      <c r="C76" s="161"/>
      <c r="D76" s="372">
        <f>Input!$NR$56</f>
        <v>6100784</v>
      </c>
      <c r="E76" s="372">
        <f>Input!$NS$56</f>
        <v>3664448</v>
      </c>
      <c r="F76" s="372">
        <f>Input!$NT$56</f>
        <v>183264</v>
      </c>
      <c r="G76" s="372">
        <f>Input!$NU$56</f>
        <v>3576800</v>
      </c>
      <c r="H76" s="372">
        <f>Input!$NV$56</f>
        <v>0</v>
      </c>
      <c r="I76" s="372">
        <f>Input!$NW$56</f>
        <v>0</v>
      </c>
      <c r="J76" s="372">
        <f>Input!$NX$56</f>
        <v>0</v>
      </c>
      <c r="K76" s="372">
        <f>Input!$NY$56</f>
        <v>0</v>
      </c>
      <c r="L76" s="372">
        <f>Input!$NZ$56</f>
        <v>0</v>
      </c>
      <c r="M76" s="373">
        <f t="shared" si="12"/>
        <v>13525296</v>
      </c>
      <c r="N76" s="160"/>
      <c r="O76" s="315"/>
      <c r="P76" s="316">
        <f>SUM(P66:P75)</f>
        <v>13525296</v>
      </c>
      <c r="Q76" s="316">
        <f>SUM(Q71:Q75)</f>
        <v>311761</v>
      </c>
      <c r="R76" s="317">
        <f>SUM(R66:R72)</f>
        <v>753159947</v>
      </c>
      <c r="S76" s="316"/>
      <c r="T76" s="305"/>
      <c r="U76" s="305"/>
      <c r="V76" s="305"/>
      <c r="W76" s="277"/>
      <c r="X76" s="277"/>
      <c r="Y76" s="277"/>
      <c r="Z76" s="292" t="s">
        <v>285</v>
      </c>
      <c r="AA76" s="445">
        <f>M95*-1</f>
        <v>91094771</v>
      </c>
      <c r="AB76" s="301">
        <f>AA76+M95</f>
        <v>0</v>
      </c>
    </row>
    <row r="77" spans="1:32" ht="14.25" thickTop="1" thickBot="1">
      <c r="A77" s="184">
        <v>53</v>
      </c>
      <c r="B77" s="178" t="s">
        <v>44</v>
      </c>
      <c r="C77" s="178"/>
      <c r="D77" s="378">
        <f>Input!$OA$56</f>
        <v>4007816</v>
      </c>
      <c r="E77" s="378">
        <f>Input!$OB$56</f>
        <v>0</v>
      </c>
      <c r="F77" s="378">
        <f>Input!$OC$56</f>
        <v>68030</v>
      </c>
      <c r="G77" s="378">
        <f>Input!$OD$56</f>
        <v>0</v>
      </c>
      <c r="H77" s="378">
        <f>Input!$OE$56</f>
        <v>67713</v>
      </c>
      <c r="I77" s="378">
        <f>Input!$OF$56</f>
        <v>21805891</v>
      </c>
      <c r="J77" s="378">
        <f>Input!$OG$56</f>
        <v>118335844</v>
      </c>
      <c r="K77" s="378">
        <f>Input!$OH$56</f>
        <v>0</v>
      </c>
      <c r="L77" s="378">
        <f>Input!$OI$56</f>
        <v>0</v>
      </c>
      <c r="M77" s="373">
        <f t="shared" si="12"/>
        <v>144285294</v>
      </c>
      <c r="N77" s="160"/>
      <c r="O77" s="320"/>
      <c r="P77" s="516" t="str">
        <f>IF(P76&lt;&gt;M76,"Out of Balance","Balanced")</f>
        <v>Balanced</v>
      </c>
      <c r="Q77" s="318"/>
      <c r="R77" s="305"/>
      <c r="S77" s="305"/>
      <c r="T77" s="305"/>
      <c r="U77" s="277"/>
      <c r="V77" s="1738" t="str">
        <f>IF(X75-INT(X75)&lt;&gt;0,"Whole Dollars Only","")</f>
        <v/>
      </c>
      <c r="W77" s="1738"/>
      <c r="X77" s="1532"/>
      <c r="Y77" s="319"/>
      <c r="Z77" s="410" t="s">
        <v>262</v>
      </c>
      <c r="AA77" s="446" t="s">
        <v>259</v>
      </c>
      <c r="AB77" s="411">
        <f>M97</f>
        <v>0</v>
      </c>
    </row>
    <row r="78" spans="1:32" ht="13.5" thickTop="1">
      <c r="A78" s="184">
        <v>54</v>
      </c>
      <c r="B78" s="162" t="s">
        <v>69</v>
      </c>
      <c r="C78" s="162"/>
      <c r="D78" s="374">
        <f t="shared" ref="D78:M78" si="21">SUM(D66:D77)</f>
        <v>276819270</v>
      </c>
      <c r="E78" s="374">
        <f t="shared" si="21"/>
        <v>405929444</v>
      </c>
      <c r="F78" s="374">
        <f t="shared" si="21"/>
        <v>99348664</v>
      </c>
      <c r="G78" s="374">
        <f t="shared" si="21"/>
        <v>283670730</v>
      </c>
      <c r="H78" s="374">
        <f t="shared" si="21"/>
        <v>67713</v>
      </c>
      <c r="I78" s="374">
        <f t="shared" si="21"/>
        <v>21805891</v>
      </c>
      <c r="J78" s="374">
        <f t="shared" si="21"/>
        <v>118335844</v>
      </c>
      <c r="K78" s="374">
        <f t="shared" si="21"/>
        <v>0</v>
      </c>
      <c r="L78" s="374">
        <f t="shared" si="21"/>
        <v>0</v>
      </c>
      <c r="M78" s="374">
        <f t="shared" si="21"/>
        <v>1205977556</v>
      </c>
      <c r="N78" s="160"/>
      <c r="O78" s="322"/>
      <c r="P78" s="1738" t="str">
        <f>IF(P76-INT(P76)&lt;&gt;0,"Whole Dollars Only","")</f>
        <v/>
      </c>
      <c r="Q78" s="1738"/>
      <c r="R78" s="323"/>
      <c r="S78" s="323"/>
      <c r="T78" s="323"/>
      <c r="U78" s="291"/>
      <c r="V78" s="324"/>
      <c r="W78" s="321"/>
      <c r="X78" s="321"/>
      <c r="Y78" s="321"/>
      <c r="Z78" s="318"/>
      <c r="AA78" s="325">
        <f>SUM(AA66:AA77)</f>
        <v>1139261737</v>
      </c>
      <c r="AB78" s="326">
        <f>SUM(AB66:AB77)</f>
        <v>0</v>
      </c>
    </row>
    <row r="79" spans="1:32">
      <c r="A79" s="184">
        <v>55</v>
      </c>
      <c r="B79" s="160"/>
      <c r="C79" s="160"/>
      <c r="D79" s="373"/>
      <c r="E79" s="373"/>
      <c r="F79" s="373"/>
      <c r="G79" s="373"/>
      <c r="H79" s="373"/>
      <c r="I79" s="373"/>
      <c r="J79" s="373"/>
      <c r="K79" s="373"/>
      <c r="L79" s="373"/>
      <c r="M79" s="373"/>
      <c r="N79" s="160"/>
      <c r="O79" s="285"/>
      <c r="P79" s="318"/>
      <c r="Q79" s="321"/>
      <c r="R79" s="318"/>
      <c r="S79" s="318"/>
      <c r="T79" s="318"/>
      <c r="U79" s="327"/>
      <c r="V79" s="276"/>
      <c r="W79" s="328"/>
      <c r="X79" s="328"/>
      <c r="Y79" s="318"/>
      <c r="Z79" s="318"/>
      <c r="AA79" s="318"/>
      <c r="AB79" s="412" t="str">
        <f>IF(AB78&lt;&gt;0,"Out of Balance","Balanced")</f>
        <v>Balanced</v>
      </c>
    </row>
    <row r="80" spans="1:32">
      <c r="A80" s="184">
        <v>56</v>
      </c>
      <c r="B80" s="172" t="s">
        <v>23</v>
      </c>
      <c r="C80" s="172"/>
      <c r="D80" s="373"/>
      <c r="E80" s="373"/>
      <c r="F80" s="373"/>
      <c r="G80" s="373"/>
      <c r="H80" s="373"/>
      <c r="I80" s="373"/>
      <c r="J80" s="373"/>
      <c r="K80" s="373"/>
      <c r="L80" s="373"/>
      <c r="M80" s="373"/>
      <c r="N80" s="160"/>
      <c r="O80" s="329"/>
      <c r="Q80" s="330"/>
      <c r="R80" s="321"/>
      <c r="S80" s="321"/>
      <c r="T80" s="321"/>
      <c r="U80" s="327"/>
      <c r="V80" s="276"/>
      <c r="W80" s="331"/>
      <c r="X80" s="331"/>
      <c r="Y80" s="321"/>
      <c r="Z80" s="321"/>
      <c r="AA80" s="318"/>
      <c r="AB80" s="332"/>
    </row>
    <row r="81" spans="1:28" ht="13.5" thickBot="1">
      <c r="A81" s="184">
        <v>57</v>
      </c>
      <c r="B81" s="160" t="s">
        <v>60</v>
      </c>
      <c r="C81" s="160"/>
      <c r="D81" s="372">
        <f>Input!$OJ$56</f>
        <v>0</v>
      </c>
      <c r="E81" s="372">
        <f>Input!$OK$56</f>
        <v>0</v>
      </c>
      <c r="F81" s="372">
        <f>Input!$OL$56</f>
        <v>0</v>
      </c>
      <c r="G81" s="372">
        <f>Input!$OM$56</f>
        <v>0</v>
      </c>
      <c r="H81" s="372">
        <f>Input!$ON$56</f>
        <v>0</v>
      </c>
      <c r="I81" s="372">
        <f>Input!$OO$56</f>
        <v>0</v>
      </c>
      <c r="J81" s="372">
        <f>Input!$OP$56</f>
        <v>143289196</v>
      </c>
      <c r="K81" s="372">
        <f>Input!$OQ$56</f>
        <v>0</v>
      </c>
      <c r="L81" s="372">
        <f>Input!$OR$56</f>
        <v>0</v>
      </c>
      <c r="M81" s="373">
        <f>D81+E81+F81+G81+H81+I81+J81+K81+L81</f>
        <v>143289196</v>
      </c>
      <c r="N81" s="160"/>
      <c r="O81" s="329"/>
      <c r="Q81" s="330"/>
      <c r="R81" s="321"/>
      <c r="S81" s="321"/>
      <c r="T81" s="321"/>
      <c r="U81" s="327"/>
      <c r="V81" s="276"/>
      <c r="W81" s="331"/>
      <c r="X81" s="331"/>
      <c r="Y81" s="321"/>
      <c r="Z81" s="333"/>
      <c r="AA81" s="318"/>
      <c r="AB81" s="332"/>
    </row>
    <row r="82" spans="1:28" ht="14.25" thickTop="1" thickBot="1">
      <c r="A82" s="184">
        <v>58</v>
      </c>
      <c r="B82" s="171" t="s">
        <v>572</v>
      </c>
      <c r="C82" s="171"/>
      <c r="D82" s="372">
        <f>Input!$OS$56</f>
        <v>-67832770</v>
      </c>
      <c r="E82" s="372">
        <f>Input!$OT$56</f>
        <v>27804237</v>
      </c>
      <c r="F82" s="372">
        <f>Input!$OU$56</f>
        <v>-6679305</v>
      </c>
      <c r="G82" s="372">
        <f>Input!$OV$56</f>
        <v>-107070855</v>
      </c>
      <c r="H82" s="372">
        <f>Input!$OW$56</f>
        <v>0</v>
      </c>
      <c r="I82" s="372">
        <f>Input!$OX$56</f>
        <v>-2015890</v>
      </c>
      <c r="J82" s="372">
        <f>Input!$OY$56</f>
        <v>70803301</v>
      </c>
      <c r="K82" s="372">
        <f>Input!$OZ$56</f>
        <v>143940333</v>
      </c>
      <c r="L82" s="372">
        <f>Input!$PA$56</f>
        <v>168626923</v>
      </c>
      <c r="M82" s="373">
        <f>D82+E82+F82+G82+H82+I82+J82+K82+L82</f>
        <v>227575974</v>
      </c>
      <c r="N82" s="160"/>
      <c r="O82" s="1723" t="str">
        <f>IF(M92&lt;0,"Footnote 11 is N/A - No Data Entry Required","Footnote 11")</f>
        <v>Footnote 11</v>
      </c>
      <c r="P82" s="1724"/>
      <c r="Q82" s="1724"/>
      <c r="R82" s="1725"/>
      <c r="S82" s="330"/>
      <c r="T82" s="330"/>
      <c r="U82" s="327"/>
      <c r="V82" s="276"/>
      <c r="W82" s="331"/>
      <c r="X82" s="331"/>
      <c r="Y82" s="328"/>
      <c r="Z82" s="328"/>
      <c r="AA82" s="276"/>
      <c r="AB82" s="276" t="s">
        <v>293</v>
      </c>
    </row>
    <row r="83" spans="1:28" ht="13.5" thickTop="1">
      <c r="A83" s="184">
        <v>59</v>
      </c>
      <c r="B83" s="160" t="s">
        <v>45</v>
      </c>
      <c r="C83" s="160"/>
      <c r="D83" s="372">
        <f>Input!$PB$56</f>
        <v>0</v>
      </c>
      <c r="E83" s="372">
        <f>Input!$PC$56</f>
        <v>0</v>
      </c>
      <c r="F83" s="372">
        <f>Input!$PD$56</f>
        <v>0</v>
      </c>
      <c r="G83" s="372">
        <f>Input!$PE$56</f>
        <v>0</v>
      </c>
      <c r="H83" s="372">
        <f>Input!$PF$56</f>
        <v>0</v>
      </c>
      <c r="I83" s="372">
        <f>Input!$PG$56</f>
        <v>0</v>
      </c>
      <c r="J83" s="372">
        <f>Input!$PH$56</f>
        <v>48101000</v>
      </c>
      <c r="K83" s="372">
        <f>Input!$PI$56</f>
        <v>0</v>
      </c>
      <c r="L83" s="372">
        <f>Input!$PJ$56</f>
        <v>0</v>
      </c>
      <c r="M83" s="373">
        <f>D83+E83+F83+G83+H83+I83+J83+K83+L83</f>
        <v>48101000</v>
      </c>
      <c r="N83" s="160"/>
      <c r="O83" s="487" t="s">
        <v>583</v>
      </c>
      <c r="P83" s="488"/>
      <c r="Q83" s="489"/>
      <c r="R83" s="490">
        <f>IF($M$92&lt;0,"N/A",$M$92)</f>
        <v>611319594</v>
      </c>
      <c r="S83" s="330"/>
      <c r="T83" s="330"/>
      <c r="U83" s="327"/>
      <c r="V83" s="276"/>
      <c r="W83" s="331"/>
      <c r="X83" s="331"/>
      <c r="Y83" s="331"/>
      <c r="Z83" s="331"/>
      <c r="AA83" s="276"/>
      <c r="AB83" s="276"/>
    </row>
    <row r="84" spans="1:28">
      <c r="A84" s="184">
        <v>60</v>
      </c>
      <c r="B84" s="160" t="s">
        <v>46</v>
      </c>
      <c r="C84" s="160"/>
      <c r="D84" s="372">
        <f>Input!$PK$56</f>
        <v>0</v>
      </c>
      <c r="E84" s="372">
        <f>Input!$PL$56</f>
        <v>0</v>
      </c>
      <c r="F84" s="372">
        <f>Input!$PM$56</f>
        <v>0</v>
      </c>
      <c r="G84" s="372">
        <f>Input!$PN$56</f>
        <v>0</v>
      </c>
      <c r="H84" s="372">
        <f>Input!$PO$56</f>
        <v>0</v>
      </c>
      <c r="I84" s="372">
        <f>Input!$PP$56</f>
        <v>0</v>
      </c>
      <c r="J84" s="372">
        <f>Input!$PQ$56</f>
        <v>0</v>
      </c>
      <c r="K84" s="372">
        <f>Input!$PR$56</f>
        <v>-145875990</v>
      </c>
      <c r="L84" s="372">
        <f>Input!$PS$56</f>
        <v>0</v>
      </c>
      <c r="M84" s="373">
        <f>D84+E84+F84+G84+H84+I84+J84+K84+L84</f>
        <v>-145875990</v>
      </c>
      <c r="N84" s="160"/>
      <c r="O84" s="491" t="s">
        <v>584</v>
      </c>
      <c r="P84" s="334"/>
      <c r="Q84" s="334"/>
      <c r="R84" s="521">
        <f>Input!$UB$56</f>
        <v>464672324</v>
      </c>
      <c r="S84" s="330"/>
      <c r="T84" s="330"/>
      <c r="U84" s="327"/>
      <c r="V84" s="276"/>
      <c r="W84" s="331"/>
      <c r="X84" s="331"/>
      <c r="Y84" s="331"/>
      <c r="Z84" s="331"/>
      <c r="AA84" s="276"/>
      <c r="AB84" s="276"/>
    </row>
    <row r="85" spans="1:28">
      <c r="A85" s="184">
        <v>61</v>
      </c>
      <c r="B85" s="162" t="s">
        <v>3</v>
      </c>
      <c r="C85" s="162"/>
      <c r="D85" s="374">
        <f t="shared" ref="D85:L85" si="22">SUM(D81:D84)</f>
        <v>-67832770</v>
      </c>
      <c r="E85" s="374">
        <f t="shared" si="22"/>
        <v>27804237</v>
      </c>
      <c r="F85" s="374">
        <f t="shared" si="22"/>
        <v>-6679305</v>
      </c>
      <c r="G85" s="374">
        <f t="shared" si="22"/>
        <v>-107070855</v>
      </c>
      <c r="H85" s="374">
        <f t="shared" si="22"/>
        <v>0</v>
      </c>
      <c r="I85" s="374">
        <f t="shared" si="22"/>
        <v>-2015890</v>
      </c>
      <c r="J85" s="374">
        <f t="shared" si="22"/>
        <v>262193497</v>
      </c>
      <c r="K85" s="374">
        <f t="shared" si="22"/>
        <v>-1935657</v>
      </c>
      <c r="L85" s="374">
        <f t="shared" si="22"/>
        <v>168626923</v>
      </c>
      <c r="M85" s="374">
        <f>D85+E85+F85+G85+H85+I85+J85+K85+L85</f>
        <v>273090180</v>
      </c>
      <c r="N85" s="160"/>
      <c r="O85" s="491" t="s">
        <v>585</v>
      </c>
      <c r="P85" s="276"/>
      <c r="Q85" s="334"/>
      <c r="R85" s="492">
        <f>IF($M$92&lt;0,"",$R$83-$R$84)</f>
        <v>146647270</v>
      </c>
      <c r="S85" s="330"/>
      <c r="T85" s="330"/>
      <c r="U85" s="327"/>
      <c r="V85" s="276"/>
      <c r="W85" s="331"/>
      <c r="X85" s="331"/>
      <c r="Y85" s="331"/>
      <c r="Z85" s="331"/>
      <c r="AA85" s="276"/>
      <c r="AB85" s="276"/>
    </row>
    <row r="86" spans="1:28">
      <c r="A86" s="184">
        <v>62</v>
      </c>
      <c r="B86" s="160"/>
      <c r="C86" s="160"/>
      <c r="D86" s="373"/>
      <c r="E86" s="373"/>
      <c r="F86" s="373"/>
      <c r="G86" s="373"/>
      <c r="H86" s="373"/>
      <c r="I86" s="373"/>
      <c r="J86" s="373"/>
      <c r="K86" s="373"/>
      <c r="L86" s="373"/>
      <c r="M86" s="373"/>
      <c r="N86" s="160"/>
      <c r="O86" s="493"/>
      <c r="P86" s="276"/>
      <c r="Q86" s="334"/>
      <c r="R86" s="494"/>
      <c r="S86" s="330"/>
      <c r="T86" s="330"/>
      <c r="U86" s="327"/>
      <c r="V86" s="276"/>
      <c r="W86" s="331"/>
      <c r="X86" s="331"/>
      <c r="Y86" s="331"/>
      <c r="Z86" s="331"/>
      <c r="AA86" s="276"/>
      <c r="AB86" s="276"/>
    </row>
    <row r="87" spans="1:28">
      <c r="A87" s="184">
        <v>63</v>
      </c>
      <c r="B87" s="172" t="s">
        <v>24</v>
      </c>
      <c r="C87" s="172"/>
      <c r="D87" s="373"/>
      <c r="E87" s="373"/>
      <c r="F87" s="373"/>
      <c r="G87" s="373"/>
      <c r="H87" s="373"/>
      <c r="I87" s="373"/>
      <c r="J87" s="373"/>
      <c r="K87" s="373"/>
      <c r="L87" s="373"/>
      <c r="M87" s="373"/>
      <c r="N87" s="160"/>
      <c r="O87" s="495" t="s">
        <v>586</v>
      </c>
      <c r="P87" s="276"/>
      <c r="Q87" s="334"/>
      <c r="R87" s="521">
        <f>Input!$UC$56</f>
        <v>116975717</v>
      </c>
      <c r="S87" s="330"/>
      <c r="T87" s="330"/>
      <c r="U87" s="334"/>
      <c r="V87" s="276"/>
      <c r="W87" s="328"/>
      <c r="X87" s="328"/>
      <c r="Y87" s="331"/>
      <c r="Z87" s="331"/>
      <c r="AA87" s="276"/>
      <c r="AB87" s="276"/>
    </row>
    <row r="88" spans="1:28">
      <c r="A88" s="184">
        <v>64</v>
      </c>
      <c r="B88" s="160" t="s">
        <v>47</v>
      </c>
      <c r="C88" s="160"/>
      <c r="D88" s="372">
        <f>Input!$PT$56</f>
        <v>0</v>
      </c>
      <c r="E88" s="372">
        <f>Input!$PU$56</f>
        <v>-4254641</v>
      </c>
      <c r="F88" s="372">
        <f>Input!$PV$56</f>
        <v>0</v>
      </c>
      <c r="G88" s="372">
        <f>Input!$PW$56</f>
        <v>0</v>
      </c>
      <c r="H88" s="372">
        <f>Input!$PX$56</f>
        <v>0</v>
      </c>
      <c r="I88" s="372">
        <f>Input!$PY$56</f>
        <v>121230358</v>
      </c>
      <c r="J88" s="372">
        <f>Input!$PZ$56</f>
        <v>0</v>
      </c>
      <c r="K88" s="372">
        <f>Input!$QA$56</f>
        <v>0</v>
      </c>
      <c r="L88" s="372">
        <f>Input!$QB$56</f>
        <v>0</v>
      </c>
      <c r="M88" s="373">
        <f>D88+E88+F88+G88+H88+I88+J88+K88+L88</f>
        <v>116975717</v>
      </c>
      <c r="N88" s="160"/>
      <c r="O88" s="496" t="s">
        <v>587</v>
      </c>
      <c r="P88" s="276"/>
      <c r="Q88" s="276"/>
      <c r="R88" s="497"/>
      <c r="S88" s="330"/>
      <c r="T88" s="330"/>
      <c r="W88" s="276"/>
      <c r="X88" s="276"/>
      <c r="Y88" s="331"/>
      <c r="Z88" s="331"/>
      <c r="AA88" s="276"/>
      <c r="AB88" s="276"/>
    </row>
    <row r="89" spans="1:28">
      <c r="A89" s="184">
        <v>65</v>
      </c>
      <c r="B89" s="160" t="s">
        <v>48</v>
      </c>
      <c r="C89" s="160"/>
      <c r="D89" s="372">
        <f>Input!$QC$56</f>
        <v>0</v>
      </c>
      <c r="E89" s="372">
        <f>Input!$QD$56</f>
        <v>0</v>
      </c>
      <c r="F89" s="372">
        <f>Input!$QE$56</f>
        <v>0</v>
      </c>
      <c r="G89" s="372">
        <f>Input!$QF$56</f>
        <v>0</v>
      </c>
      <c r="H89" s="372">
        <f>Input!$QG$56</f>
        <v>0</v>
      </c>
      <c r="I89" s="372">
        <f>Input!$QH$56</f>
        <v>29671553</v>
      </c>
      <c r="J89" s="372">
        <f>Input!$QI$56</f>
        <v>0</v>
      </c>
      <c r="K89" s="372">
        <f>Input!$QJ$56</f>
        <v>0</v>
      </c>
      <c r="L89" s="372">
        <f>Input!$QK$56</f>
        <v>0</v>
      </c>
      <c r="M89" s="373">
        <f>D89+E89+F89+G89+H89+I89+J89+K89+L89</f>
        <v>29671553</v>
      </c>
      <c r="N89" s="160"/>
      <c r="O89" s="498" t="s">
        <v>588</v>
      </c>
      <c r="P89" s="276"/>
      <c r="Q89" s="276"/>
      <c r="R89" s="492">
        <f>IFERROR($R$85-$R$87,"")</f>
        <v>29671553</v>
      </c>
      <c r="Y89" s="331"/>
      <c r="Z89" s="401"/>
      <c r="AA89" s="268"/>
      <c r="AB89" s="268"/>
    </row>
    <row r="90" spans="1:28">
      <c r="A90" s="184">
        <v>66</v>
      </c>
      <c r="B90" s="162" t="s">
        <v>3</v>
      </c>
      <c r="C90" s="162"/>
      <c r="D90" s="374">
        <f t="shared" ref="D90:L90" si="23">SUM(D88:D89)</f>
        <v>0</v>
      </c>
      <c r="E90" s="374">
        <f t="shared" si="23"/>
        <v>-4254641</v>
      </c>
      <c r="F90" s="374">
        <f t="shared" si="23"/>
        <v>0</v>
      </c>
      <c r="G90" s="374">
        <f t="shared" si="23"/>
        <v>0</v>
      </c>
      <c r="H90" s="374">
        <f t="shared" si="23"/>
        <v>0</v>
      </c>
      <c r="I90" s="374">
        <f t="shared" si="23"/>
        <v>150901911</v>
      </c>
      <c r="J90" s="374">
        <f t="shared" si="23"/>
        <v>0</v>
      </c>
      <c r="K90" s="374">
        <f t="shared" si="23"/>
        <v>0</v>
      </c>
      <c r="L90" s="374">
        <f t="shared" si="23"/>
        <v>0</v>
      </c>
      <c r="M90" s="374">
        <f>D90+E90+F90+G90+H90+I90+J90+K90+L90</f>
        <v>146647270</v>
      </c>
      <c r="N90" s="160"/>
      <c r="O90" s="493"/>
      <c r="P90" s="276"/>
      <c r="Q90" s="276"/>
      <c r="R90" s="497"/>
      <c r="Y90" s="163"/>
      <c r="Z90" s="447"/>
      <c r="AA90" s="439"/>
      <c r="AB90" s="448"/>
    </row>
    <row r="91" spans="1:28" ht="13.5" thickBot="1">
      <c r="A91" s="184">
        <v>67</v>
      </c>
      <c r="B91" s="160"/>
      <c r="C91" s="160"/>
      <c r="D91" s="373"/>
      <c r="E91" s="373"/>
      <c r="F91" s="373"/>
      <c r="G91" s="373"/>
      <c r="H91" s="373"/>
      <c r="I91" s="373"/>
      <c r="J91" s="373"/>
      <c r="K91" s="373"/>
      <c r="L91" s="373"/>
      <c r="M91" s="373"/>
      <c r="N91" s="160"/>
      <c r="O91" s="499" t="s">
        <v>589</v>
      </c>
      <c r="P91" s="500"/>
      <c r="Q91" s="500"/>
      <c r="R91" s="501">
        <f>IFERROR((R89+R87)-R85,"")</f>
        <v>0</v>
      </c>
      <c r="Y91" s="268"/>
      <c r="Z91" s="447"/>
      <c r="AA91" s="439"/>
      <c r="AB91" s="449"/>
    </row>
    <row r="92" spans="1:28" ht="13.5" thickTop="1">
      <c r="A92" s="184">
        <v>68</v>
      </c>
      <c r="B92" s="162" t="s">
        <v>574</v>
      </c>
      <c r="C92" s="162"/>
      <c r="D92" s="374">
        <f t="shared" ref="D92:L92" si="24">D63-D78+D85+D90</f>
        <v>-21862510</v>
      </c>
      <c r="E92" s="374">
        <f t="shared" si="24"/>
        <v>104238366</v>
      </c>
      <c r="F92" s="374">
        <f t="shared" si="24"/>
        <v>-3036643</v>
      </c>
      <c r="G92" s="374">
        <f t="shared" si="24"/>
        <v>13216900</v>
      </c>
      <c r="H92" s="374">
        <f t="shared" si="24"/>
        <v>46742</v>
      </c>
      <c r="I92" s="374">
        <f t="shared" si="24"/>
        <v>207890741</v>
      </c>
      <c r="J92" s="374">
        <f t="shared" si="24"/>
        <v>144134574</v>
      </c>
      <c r="K92" s="374">
        <f t="shared" si="24"/>
        <v>-1935499</v>
      </c>
      <c r="L92" s="374">
        <f t="shared" si="24"/>
        <v>168626923</v>
      </c>
      <c r="M92" s="374">
        <f>D92+E92+F92+G92+H92+I92+J92+K92+L92</f>
        <v>611319594</v>
      </c>
      <c r="N92" s="160"/>
      <c r="Y92" s="268"/>
      <c r="Z92" s="447"/>
      <c r="AA92" s="439"/>
      <c r="AB92" s="449"/>
    </row>
    <row r="93" spans="1:28">
      <c r="A93" s="184">
        <v>69</v>
      </c>
      <c r="B93" s="163"/>
      <c r="C93" s="163"/>
      <c r="D93" s="329"/>
      <c r="E93" s="329"/>
      <c r="F93" s="329"/>
      <c r="G93" s="329"/>
      <c r="H93" s="329"/>
      <c r="I93" s="329"/>
      <c r="J93" s="329"/>
      <c r="K93" s="329"/>
      <c r="L93" s="329"/>
      <c r="M93" s="329"/>
      <c r="N93" s="160"/>
      <c r="Y93" s="268"/>
      <c r="Z93" s="447"/>
      <c r="AA93" s="439"/>
      <c r="AB93" s="449"/>
    </row>
    <row r="94" spans="1:28">
      <c r="A94" s="184">
        <v>70</v>
      </c>
      <c r="B94" s="161" t="s">
        <v>65</v>
      </c>
      <c r="C94" s="161"/>
      <c r="D94" s="372">
        <f>Input!$QL$56</f>
        <v>0</v>
      </c>
      <c r="E94" s="372">
        <f>Input!$QM$56</f>
        <v>0</v>
      </c>
      <c r="F94" s="372">
        <f>Input!$QN$56</f>
        <v>0</v>
      </c>
      <c r="G94" s="372">
        <f>Input!$QO$56</f>
        <v>0</v>
      </c>
      <c r="H94" s="372">
        <f>Input!$QP$56</f>
        <v>0</v>
      </c>
      <c r="I94" s="372">
        <f>Input!$QQ$56</f>
        <v>0</v>
      </c>
      <c r="J94" s="372">
        <f>Input!$QR$56</f>
        <v>-48101000</v>
      </c>
      <c r="K94" s="372">
        <f>Input!$QS$56</f>
        <v>0</v>
      </c>
      <c r="L94" s="372">
        <f>Input!$QT$56</f>
        <v>0</v>
      </c>
      <c r="M94" s="329">
        <f>D94+E94+F94+G94+H94+I94+J94+K94+L94</f>
        <v>-48101000</v>
      </c>
      <c r="N94" s="160"/>
      <c r="Y94" s="268"/>
      <c r="Z94" s="447"/>
      <c r="AA94" s="439"/>
      <c r="AB94" s="449"/>
    </row>
    <row r="95" spans="1:28">
      <c r="A95" s="184">
        <v>72</v>
      </c>
      <c r="B95" s="160" t="s">
        <v>66</v>
      </c>
      <c r="C95" s="160"/>
      <c r="D95" s="372">
        <f>Input!$QU$56</f>
        <v>0</v>
      </c>
      <c r="E95" s="372">
        <f>Input!$QV$56</f>
        <v>0</v>
      </c>
      <c r="F95" s="372">
        <f>Input!$QW$56</f>
        <v>0</v>
      </c>
      <c r="G95" s="372">
        <f>Input!$QX$56</f>
        <v>0</v>
      </c>
      <c r="H95" s="372">
        <f>Input!$QY$56</f>
        <v>0</v>
      </c>
      <c r="I95" s="372">
        <f>Input!$QZ$56</f>
        <v>0</v>
      </c>
      <c r="J95" s="372">
        <f>Input!$RA$56</f>
        <v>0</v>
      </c>
      <c r="K95" s="372">
        <f>Input!$RB$56</f>
        <v>0</v>
      </c>
      <c r="L95" s="372">
        <f>Input!$RC$56</f>
        <v>-91094771</v>
      </c>
      <c r="M95" s="373">
        <f>D95+E95+F95+G95+H95+I95+J95+K95+L95</f>
        <v>-91094771</v>
      </c>
      <c r="N95" s="160"/>
      <c r="O95" s="270"/>
      <c r="P95" s="335"/>
      <c r="Y95" s="268"/>
      <c r="Z95" s="447"/>
      <c r="AA95" s="439"/>
      <c r="AB95" s="449"/>
    </row>
    <row r="96" spans="1:28" s="264" customFormat="1">
      <c r="A96" s="263"/>
      <c r="B96" s="171" t="s">
        <v>216</v>
      </c>
      <c r="C96" s="171"/>
      <c r="D96" s="372">
        <f>Input!$RD$56</f>
        <v>0</v>
      </c>
      <c r="E96" s="372">
        <f>Input!$RE$56</f>
        <v>0</v>
      </c>
      <c r="F96" s="372">
        <f>Input!$RF$56</f>
        <v>0</v>
      </c>
      <c r="G96" s="372">
        <f>Input!$RG$56</f>
        <v>0</v>
      </c>
      <c r="H96" s="372">
        <f>Input!$RH$56</f>
        <v>0</v>
      </c>
      <c r="I96" s="372">
        <f>Input!$RI$56</f>
        <v>0</v>
      </c>
      <c r="J96" s="372">
        <f>Input!$RJ$56</f>
        <v>0</v>
      </c>
      <c r="K96" s="372">
        <f>Input!$RK$56</f>
        <v>0</v>
      </c>
      <c r="L96" s="372">
        <f>Input!$RL$56</f>
        <v>0</v>
      </c>
      <c r="M96" s="373">
        <f t="shared" ref="M96:M98" si="25">D96+E96+F96+G96+H96+I96+J96+K96+L96</f>
        <v>0</v>
      </c>
      <c r="N96" s="160"/>
      <c r="O96" s="1726" t="s">
        <v>1355</v>
      </c>
      <c r="P96" s="1727"/>
      <c r="Q96" s="1727"/>
      <c r="R96" s="1727"/>
      <c r="S96" s="1727"/>
      <c r="T96" s="1727"/>
      <c r="U96" s="1728"/>
      <c r="Y96" s="268"/>
      <c r="Z96" s="447"/>
      <c r="AA96" s="439"/>
      <c r="AB96" s="449"/>
    </row>
    <row r="97" spans="1:28" s="264" customFormat="1">
      <c r="A97" s="263"/>
      <c r="B97" s="171" t="s">
        <v>105</v>
      </c>
      <c r="C97" s="171"/>
      <c r="D97" s="372">
        <f>Input!$RM$56</f>
        <v>0</v>
      </c>
      <c r="E97" s="372">
        <f>Input!$RN$56</f>
        <v>0</v>
      </c>
      <c r="F97" s="372">
        <f>Input!$RO$56</f>
        <v>0</v>
      </c>
      <c r="G97" s="372">
        <f>Input!$RP$56</f>
        <v>0</v>
      </c>
      <c r="H97" s="372">
        <f>Input!$RQ$56</f>
        <v>0</v>
      </c>
      <c r="I97" s="372">
        <f>Input!$RR$56</f>
        <v>0</v>
      </c>
      <c r="J97" s="372">
        <f>Input!$RS$56</f>
        <v>0</v>
      </c>
      <c r="K97" s="372">
        <f>Input!$RT$56</f>
        <v>0</v>
      </c>
      <c r="L97" s="372">
        <f>Input!$RU$56</f>
        <v>0</v>
      </c>
      <c r="M97" s="373">
        <f t="shared" si="25"/>
        <v>0</v>
      </c>
      <c r="N97" s="160"/>
      <c r="O97" s="502" t="s">
        <v>590</v>
      </c>
      <c r="P97" s="423"/>
      <c r="Q97" s="502" t="s">
        <v>591</v>
      </c>
      <c r="R97" s="423"/>
      <c r="S97" s="503"/>
      <c r="T97" s="502" t="s">
        <v>592</v>
      </c>
      <c r="U97" s="423"/>
      <c r="Y97" s="268"/>
      <c r="Z97" s="447"/>
      <c r="AA97" s="439"/>
      <c r="AB97" s="449"/>
    </row>
    <row r="98" spans="1:28" s="264" customFormat="1">
      <c r="A98" s="263"/>
      <c r="B98" s="171" t="s">
        <v>128</v>
      </c>
      <c r="C98" s="171"/>
      <c r="D98" s="372">
        <f>Input!$RV$56</f>
        <v>0</v>
      </c>
      <c r="E98" s="372">
        <f>Input!$RW$56</f>
        <v>0</v>
      </c>
      <c r="F98" s="372">
        <f>Input!$RX$56</f>
        <v>0</v>
      </c>
      <c r="G98" s="372">
        <f>Input!$RY$56</f>
        <v>0</v>
      </c>
      <c r="H98" s="372">
        <f>Input!$RZ$56</f>
        <v>0</v>
      </c>
      <c r="I98" s="372">
        <f>Input!$SA$56</f>
        <v>0</v>
      </c>
      <c r="J98" s="372">
        <f>Input!$SB$56</f>
        <v>0</v>
      </c>
      <c r="K98" s="372">
        <f>Input!$SC$56</f>
        <v>0</v>
      </c>
      <c r="L98" s="372">
        <f>Input!$SD$56</f>
        <v>121400</v>
      </c>
      <c r="M98" s="373">
        <f t="shared" si="25"/>
        <v>121400</v>
      </c>
      <c r="N98" s="160"/>
      <c r="O98" s="504"/>
      <c r="P98" s="505"/>
      <c r="Q98" s="504"/>
      <c r="R98" s="426"/>
      <c r="S98" s="276"/>
      <c r="T98" s="506"/>
      <c r="U98" s="426"/>
      <c r="Y98" s="268"/>
      <c r="Z98" s="447"/>
      <c r="AA98" s="439"/>
      <c r="AB98" s="449"/>
    </row>
    <row r="99" spans="1:28" s="264" customFormat="1">
      <c r="A99" s="263"/>
      <c r="B99" s="160" t="s">
        <v>67</v>
      </c>
      <c r="C99" s="160"/>
      <c r="D99" s="372">
        <f>Input!$SE$56</f>
        <v>6100784</v>
      </c>
      <c r="E99" s="372">
        <f>Input!$SF$56</f>
        <v>3664448</v>
      </c>
      <c r="F99" s="372">
        <f>Input!$SG$56</f>
        <v>183264</v>
      </c>
      <c r="G99" s="372">
        <f>Input!$SH$56</f>
        <v>3576800</v>
      </c>
      <c r="H99" s="372">
        <f>Input!$SI$56</f>
        <v>0</v>
      </c>
      <c r="I99" s="372">
        <f>Input!$SJ$56</f>
        <v>0</v>
      </c>
      <c r="J99" s="372">
        <f>Input!$SK$56</f>
        <v>-143289196</v>
      </c>
      <c r="K99" s="372">
        <f>Input!$SL$56</f>
        <v>0</v>
      </c>
      <c r="L99" s="372">
        <f>Input!$SM$56</f>
        <v>0</v>
      </c>
      <c r="M99" s="373">
        <f>D99+E99+F99+G99+H99+I99+J99+K99+L99</f>
        <v>-129763900</v>
      </c>
      <c r="N99" s="160"/>
      <c r="O99" s="1729" t="str">
        <f>Input!UF$56</f>
        <v>CHARLOTTE HOTZ</v>
      </c>
      <c r="P99" s="1730"/>
      <c r="Q99" s="1729" t="str">
        <f>Input!$UG$56</f>
        <v>713.743.5296</v>
      </c>
      <c r="R99" s="1730"/>
      <c r="S99" s="276"/>
      <c r="T99" s="1731" t="str">
        <f>HYPERLINK("Mailto:"&amp;Input!$UH$56,Input!$UH$56)</f>
        <v>cahotz@uh.edu</v>
      </c>
      <c r="U99" s="1730"/>
      <c r="Y99" s="268"/>
      <c r="Z99" s="447"/>
      <c r="AA99" s="442"/>
      <c r="AB99" s="449"/>
    </row>
    <row r="100" spans="1:28" ht="13.5" thickBot="1">
      <c r="B100" s="179" t="s">
        <v>58</v>
      </c>
      <c r="C100" s="179"/>
      <c r="D100" s="380">
        <f t="shared" ref="D100:K100" si="26">SUM(D92:D99)</f>
        <v>-15761726</v>
      </c>
      <c r="E100" s="380">
        <f t="shared" si="26"/>
        <v>107902814</v>
      </c>
      <c r="F100" s="380">
        <f t="shared" si="26"/>
        <v>-2853379</v>
      </c>
      <c r="G100" s="380">
        <f t="shared" si="26"/>
        <v>16793700</v>
      </c>
      <c r="H100" s="380">
        <f t="shared" si="26"/>
        <v>46742</v>
      </c>
      <c r="I100" s="380">
        <f t="shared" si="26"/>
        <v>207890741</v>
      </c>
      <c r="J100" s="380">
        <f t="shared" si="26"/>
        <v>-47255622</v>
      </c>
      <c r="K100" s="380">
        <f t="shared" si="26"/>
        <v>-1935499</v>
      </c>
      <c r="L100" s="380">
        <f>SUM(L92:L99)</f>
        <v>77653552</v>
      </c>
      <c r="M100" s="380">
        <f>D100+E100+F100+G100+H100+I100+J100+K100+L100</f>
        <v>342481323</v>
      </c>
      <c r="N100" s="160"/>
      <c r="O100" s="506"/>
      <c r="P100" s="507"/>
      <c r="Q100" s="276"/>
      <c r="R100" s="276"/>
      <c r="S100" s="276"/>
      <c r="T100" s="507"/>
      <c r="U100" s="508"/>
      <c r="Y100" s="268"/>
      <c r="Z100" s="447"/>
      <c r="AA100" s="442"/>
      <c r="AB100" s="449"/>
    </row>
    <row r="101" spans="1:28" ht="13.5" thickTop="1">
      <c r="C101" s="160"/>
      <c r="D101" s="165"/>
      <c r="E101" s="165"/>
      <c r="F101" s="165"/>
      <c r="G101" s="165"/>
      <c r="H101" s="165"/>
      <c r="I101" s="165"/>
      <c r="J101" s="165"/>
      <c r="K101" s="165"/>
      <c r="L101" s="165"/>
      <c r="M101" s="180"/>
      <c r="N101" s="160"/>
      <c r="O101" s="1720" t="s">
        <v>593</v>
      </c>
      <c r="P101" s="1721"/>
      <c r="Q101" s="1721"/>
      <c r="R101" s="1721"/>
      <c r="S101" s="1721"/>
      <c r="T101" s="1721"/>
      <c r="U101" s="1722"/>
      <c r="Y101" s="268"/>
      <c r="Z101" s="451"/>
      <c r="AA101" s="442"/>
      <c r="AB101" s="449"/>
    </row>
    <row r="102" spans="1:28">
      <c r="B102" s="171" t="s">
        <v>1369</v>
      </c>
      <c r="C102" s="169"/>
      <c r="D102" s="165"/>
      <c r="E102" s="165"/>
      <c r="F102" s="165"/>
      <c r="G102" s="165"/>
      <c r="H102" s="165"/>
      <c r="I102" s="165"/>
      <c r="J102" s="165"/>
      <c r="K102" s="165"/>
      <c r="L102" s="165"/>
      <c r="M102" s="180"/>
      <c r="N102" s="160"/>
      <c r="O102" s="1720"/>
      <c r="P102" s="1721"/>
      <c r="Q102" s="1721"/>
      <c r="R102" s="1721"/>
      <c r="S102" s="1721"/>
      <c r="T102" s="1721"/>
      <c r="U102" s="1722"/>
      <c r="Y102" s="268"/>
      <c r="Z102" s="452"/>
      <c r="AA102" s="453"/>
      <c r="AB102" s="454"/>
    </row>
    <row r="103" spans="1:28">
      <c r="B103" s="169" t="s">
        <v>80</v>
      </c>
      <c r="C103" s="160"/>
      <c r="D103" s="165"/>
      <c r="E103" s="165"/>
      <c r="F103" s="165"/>
      <c r="G103" s="165"/>
      <c r="H103" s="165"/>
      <c r="I103" s="165"/>
      <c r="J103" s="165"/>
      <c r="K103" s="165"/>
      <c r="L103" s="165"/>
      <c r="M103" s="180"/>
      <c r="N103" s="160"/>
      <c r="O103" s="509"/>
      <c r="P103" s="510"/>
      <c r="Q103" s="511"/>
      <c r="R103" s="511"/>
      <c r="S103" s="511"/>
      <c r="T103" s="510"/>
      <c r="U103" s="428"/>
      <c r="V103" s="336"/>
      <c r="W103" s="336"/>
      <c r="X103" s="336"/>
      <c r="Y103" s="268"/>
      <c r="Z103" s="268"/>
      <c r="AA103" s="268"/>
      <c r="AB103" s="268"/>
    </row>
    <row r="104" spans="1:28">
      <c r="B104" s="261" t="s">
        <v>1297</v>
      </c>
      <c r="C104" s="160"/>
      <c r="D104" s="165"/>
      <c r="E104" s="165"/>
      <c r="F104" s="165"/>
      <c r="G104" s="165"/>
      <c r="H104" s="165"/>
      <c r="I104" s="165"/>
      <c r="J104" s="165"/>
      <c r="K104" s="165"/>
      <c r="L104" s="165"/>
      <c r="M104" s="180"/>
      <c r="N104" s="160"/>
      <c r="O104" s="337"/>
      <c r="P104" s="336"/>
      <c r="Q104" s="336"/>
      <c r="U104" s="336"/>
      <c r="V104" s="336"/>
      <c r="W104" s="336"/>
      <c r="X104" s="336"/>
      <c r="Y104" s="268"/>
    </row>
    <row r="105" spans="1:28">
      <c r="B105" s="160"/>
      <c r="C105" s="160"/>
      <c r="D105" s="165"/>
      <c r="E105" s="165"/>
      <c r="F105" s="165"/>
      <c r="G105" s="165"/>
      <c r="H105" s="165"/>
      <c r="I105" s="165"/>
      <c r="J105" s="165"/>
      <c r="K105" s="165"/>
      <c r="L105" s="165"/>
      <c r="M105" s="180"/>
      <c r="N105" s="160"/>
      <c r="O105" s="75"/>
      <c r="P105" s="336"/>
      <c r="Q105" s="336"/>
    </row>
    <row r="106" spans="1:28">
      <c r="B106" s="160"/>
      <c r="C106" s="160"/>
      <c r="D106" s="160"/>
      <c r="E106" s="160"/>
      <c r="F106" s="160"/>
      <c r="G106" s="160"/>
      <c r="H106" s="160"/>
      <c r="I106" s="160"/>
      <c r="J106" s="160"/>
      <c r="K106" s="160"/>
      <c r="L106" s="160"/>
      <c r="M106" s="181" t="s">
        <v>93</v>
      </c>
      <c r="N106" s="160"/>
      <c r="O106" s="338"/>
      <c r="R106" s="336"/>
      <c r="S106" s="336"/>
      <c r="Y106" s="336"/>
      <c r="Z106" s="336"/>
      <c r="AA106" s="336"/>
      <c r="AB106" s="336"/>
    </row>
    <row r="107" spans="1:28">
      <c r="B107" s="261" t="s">
        <v>1298</v>
      </c>
      <c r="C107" s="160"/>
      <c r="D107" s="160"/>
      <c r="E107" s="160"/>
      <c r="F107" s="160"/>
      <c r="G107" s="160"/>
      <c r="H107" s="160"/>
      <c r="I107" s="160"/>
      <c r="J107" s="160"/>
      <c r="K107" s="160"/>
      <c r="L107" s="160"/>
      <c r="M107" s="372">
        <f>Input!$SN$56</f>
        <v>342481323</v>
      </c>
      <c r="N107" s="160"/>
      <c r="O107" s="338"/>
      <c r="R107" s="336"/>
      <c r="S107" s="336"/>
      <c r="T107" s="336"/>
      <c r="Y107" s="336"/>
      <c r="Z107" s="336"/>
      <c r="AA107" s="336"/>
      <c r="AB107" s="336"/>
    </row>
    <row r="108" spans="1:28">
      <c r="B108" s="160" t="s">
        <v>92</v>
      </c>
      <c r="C108" s="160"/>
      <c r="D108" s="182"/>
      <c r="E108" s="182"/>
      <c r="F108" s="182"/>
      <c r="G108" s="182"/>
      <c r="H108" s="182"/>
      <c r="I108" s="182"/>
      <c r="J108" s="182"/>
      <c r="K108" s="182"/>
      <c r="L108" s="183"/>
      <c r="M108" s="342">
        <f>M100-M107</f>
        <v>0</v>
      </c>
      <c r="N108" s="160"/>
      <c r="O108" s="339"/>
    </row>
    <row r="109" spans="1:28">
      <c r="B109" s="160"/>
      <c r="C109" s="160"/>
      <c r="D109" s="182"/>
      <c r="E109" s="182"/>
      <c r="F109" s="182"/>
      <c r="G109" s="182"/>
      <c r="H109" s="182"/>
      <c r="I109" s="182"/>
      <c r="J109" s="182"/>
      <c r="K109" s="182"/>
      <c r="L109" s="513" t="str">
        <f>IF($L$125&lt;&gt;((Input!$F$56)+(Input!$F$58)),"Out of Balance","Balanced")</f>
        <v>Balanced</v>
      </c>
      <c r="M109" s="517" t="str">
        <f>IF(M107&lt;&gt;M100,"Out of Balance","Balanced")</f>
        <v>Balanced</v>
      </c>
      <c r="N109" s="160"/>
      <c r="O109" s="339"/>
    </row>
    <row r="110" spans="1:28">
      <c r="B110" s="160"/>
      <c r="C110" s="160"/>
      <c r="D110" s="160"/>
      <c r="E110" s="160"/>
      <c r="F110" s="160"/>
      <c r="G110" s="160"/>
      <c r="H110" s="160"/>
      <c r="I110" s="160"/>
      <c r="J110" s="160"/>
      <c r="K110" s="160"/>
      <c r="L110" s="160"/>
      <c r="M110" s="160"/>
      <c r="N110" s="160"/>
      <c r="O110" s="75"/>
    </row>
    <row r="111" spans="1:28">
      <c r="B111" s="160"/>
      <c r="C111" s="160"/>
      <c r="D111" s="160"/>
      <c r="E111" s="160"/>
      <c r="F111" s="160"/>
      <c r="G111" s="160"/>
      <c r="H111" s="160"/>
      <c r="I111" s="160"/>
      <c r="J111" s="160"/>
      <c r="K111" s="160"/>
      <c r="L111" s="160"/>
      <c r="M111" s="160"/>
      <c r="N111" s="160"/>
      <c r="O111" s="75"/>
    </row>
    <row r="112" spans="1:28">
      <c r="B112" s="261"/>
      <c r="C112" s="261"/>
      <c r="D112" s="373">
        <f>SUM(D$10:D$14)+SUM(D$19:D$28)+SUM(D$32:D$41)+D$47+SUM(D$56:D$61)+SUM(D$66:D$77)+SUM(D$81:D$84)+SUM(D$88:D$89)+SUM(D$94:D$99)+D$50+D$53</f>
        <v>512856693</v>
      </c>
      <c r="E112" s="373">
        <f t="shared" ref="E112:L112" si="27">SUM(E$10:E$14)+SUM(E$19:E$28)+SUM(E$32:E$41)+E$47+SUM(E$56:E$61)+SUM(E$66:E$77)+SUM(E$81:E$84)+SUM(E$88:E$89)+SUM(E$94:E$99)+E$50+E$53</f>
        <v>913586633</v>
      </c>
      <c r="F112" s="373">
        <f t="shared" si="27"/>
        <v>195843445</v>
      </c>
      <c r="G112" s="373">
        <f t="shared" si="27"/>
        <v>584135160</v>
      </c>
      <c r="H112" s="373">
        <f t="shared" si="27"/>
        <v>182168</v>
      </c>
      <c r="I112" s="373">
        <f t="shared" si="27"/>
        <v>251502523</v>
      </c>
      <c r="J112" s="373">
        <f t="shared" si="27"/>
        <v>189416066</v>
      </c>
      <c r="K112" s="373">
        <f t="shared" si="27"/>
        <v>-1935499</v>
      </c>
      <c r="L112" s="373">
        <f t="shared" si="27"/>
        <v>77653552</v>
      </c>
      <c r="M112" s="373"/>
      <c r="N112" s="264"/>
      <c r="O112" s="373"/>
      <c r="P112" s="450">
        <f>M18-INT(M18)</f>
        <v>0</v>
      </c>
    </row>
    <row r="113" spans="2:16">
      <c r="B113" s="261"/>
      <c r="C113" s="261"/>
      <c r="D113" s="261"/>
      <c r="E113" s="261"/>
      <c r="F113" s="261"/>
      <c r="G113" s="261"/>
      <c r="H113" s="261"/>
      <c r="I113" s="261"/>
      <c r="J113" s="261"/>
      <c r="K113" s="261"/>
      <c r="L113" s="373">
        <f>SUM($D$112:$L$112)</f>
        <v>2723240741</v>
      </c>
      <c r="M113" s="261"/>
      <c r="N113" s="264"/>
      <c r="O113" s="373"/>
      <c r="P113" s="450">
        <f>M31-INT(M31)</f>
        <v>0</v>
      </c>
    </row>
    <row r="114" spans="2:16">
      <c r="B114" s="261"/>
      <c r="C114" s="261"/>
      <c r="D114" s="261"/>
      <c r="E114" s="261"/>
      <c r="F114" s="261"/>
      <c r="G114" s="261"/>
      <c r="H114" s="261"/>
      <c r="I114" s="261"/>
      <c r="J114" s="261" t="s">
        <v>1299</v>
      </c>
      <c r="K114" s="261"/>
      <c r="L114" s="373">
        <f>$M$107</f>
        <v>342481323</v>
      </c>
      <c r="M114" s="261"/>
      <c r="N114" s="264"/>
      <c r="O114" s="373"/>
      <c r="P114" s="450">
        <f>M100-INT(M100)</f>
        <v>0</v>
      </c>
    </row>
    <row r="115" spans="2:16">
      <c r="B115" s="261"/>
      <c r="C115" s="261"/>
      <c r="D115" s="261"/>
      <c r="E115" s="261"/>
      <c r="F115" s="261"/>
      <c r="G115" s="261"/>
      <c r="H115" s="261"/>
      <c r="I115" s="261"/>
      <c r="J115" s="261" t="s">
        <v>1300</v>
      </c>
      <c r="K115" s="261"/>
      <c r="L115" s="512">
        <f>$Q$32</f>
        <v>564100457</v>
      </c>
      <c r="M115" s="261"/>
      <c r="N115" s="264"/>
      <c r="O115" s="373"/>
    </row>
    <row r="116" spans="2:16">
      <c r="B116" s="261"/>
      <c r="C116" s="261"/>
      <c r="D116" s="261"/>
      <c r="E116" s="261"/>
      <c r="F116" s="261"/>
      <c r="G116" s="261"/>
      <c r="H116" s="261"/>
      <c r="I116" s="261"/>
      <c r="J116" s="261" t="s">
        <v>1300</v>
      </c>
      <c r="K116" s="261"/>
      <c r="L116" s="512">
        <f>$R$34</f>
        <v>-163095484</v>
      </c>
      <c r="M116" s="261"/>
      <c r="N116" s="264"/>
      <c r="O116" s="373"/>
    </row>
    <row r="117" spans="2:16">
      <c r="B117" s="261"/>
      <c r="C117" s="261"/>
      <c r="D117" s="261"/>
      <c r="E117" s="261"/>
      <c r="F117" s="261"/>
      <c r="G117" s="261"/>
      <c r="H117" s="261"/>
      <c r="I117" s="261"/>
      <c r="J117" s="261" t="s">
        <v>29</v>
      </c>
      <c r="K117" s="261"/>
      <c r="L117" s="512">
        <f>SUM($P$66:$P$75)</f>
        <v>13525296</v>
      </c>
      <c r="M117" s="261"/>
      <c r="N117" s="264"/>
      <c r="O117" s="373"/>
    </row>
    <row r="118" spans="2:16">
      <c r="B118" s="261"/>
      <c r="C118" s="261"/>
      <c r="D118" s="261"/>
      <c r="E118" s="261"/>
      <c r="F118" s="261"/>
      <c r="G118" s="261"/>
      <c r="H118" s="261"/>
      <c r="I118" s="261"/>
      <c r="J118" s="261" t="s">
        <v>594</v>
      </c>
      <c r="K118" s="261"/>
      <c r="L118" s="373">
        <f>$Q$71</f>
        <v>311761</v>
      </c>
      <c r="M118" s="261"/>
      <c r="N118" s="264"/>
      <c r="O118" s="373"/>
    </row>
    <row r="119" spans="2:16">
      <c r="B119" s="261"/>
      <c r="C119" s="261"/>
      <c r="D119" s="261"/>
      <c r="E119" s="261"/>
      <c r="F119" s="261"/>
      <c r="G119" s="261"/>
      <c r="H119" s="261"/>
      <c r="I119" s="261"/>
      <c r="J119" s="261" t="s">
        <v>595</v>
      </c>
      <c r="K119" s="261"/>
      <c r="L119" s="512">
        <f>SUM($V$66:$V$74)</f>
        <v>0</v>
      </c>
      <c r="M119" s="261"/>
      <c r="N119" s="264"/>
      <c r="O119" s="373"/>
    </row>
    <row r="120" spans="2:16">
      <c r="B120" s="261"/>
      <c r="C120" s="261"/>
      <c r="D120" s="261"/>
      <c r="E120" s="261"/>
      <c r="F120" s="261"/>
      <c r="G120" s="261"/>
      <c r="H120" s="261"/>
      <c r="I120" s="261"/>
      <c r="J120" s="261" t="s">
        <v>596</v>
      </c>
      <c r="K120" s="261"/>
      <c r="L120" s="512">
        <f>SUM($W$66:$W$74)</f>
        <v>120392</v>
      </c>
      <c r="M120" s="261"/>
      <c r="N120" s="264"/>
      <c r="O120" s="373"/>
    </row>
    <row r="121" spans="2:16">
      <c r="B121" s="261"/>
      <c r="C121" s="261"/>
      <c r="D121" s="261"/>
      <c r="E121" s="261"/>
      <c r="F121" s="261"/>
      <c r="G121" s="261"/>
      <c r="H121" s="261"/>
      <c r="I121" s="261"/>
      <c r="J121" s="261" t="s">
        <v>258</v>
      </c>
      <c r="K121" s="261"/>
      <c r="L121" s="512">
        <f>SUM($AA$66:$AA$75)</f>
        <v>1048166966</v>
      </c>
      <c r="M121" s="261"/>
      <c r="N121" s="264"/>
      <c r="O121" s="373"/>
    </row>
    <row r="122" spans="2:16">
      <c r="B122" s="261"/>
      <c r="C122" s="261"/>
      <c r="D122" s="261"/>
      <c r="E122" s="261"/>
      <c r="F122" s="261"/>
      <c r="G122" s="261"/>
      <c r="H122" s="261"/>
      <c r="I122" s="261"/>
      <c r="J122" s="261" t="s">
        <v>597</v>
      </c>
      <c r="K122" s="261"/>
      <c r="L122" s="512">
        <f>$R$84</f>
        <v>464672324</v>
      </c>
      <c r="M122" s="261"/>
      <c r="N122" s="264"/>
      <c r="O122" s="373"/>
    </row>
    <row r="123" spans="2:16">
      <c r="B123" s="261"/>
      <c r="C123" s="261"/>
      <c r="D123" s="261"/>
      <c r="E123" s="261"/>
      <c r="F123" s="261"/>
      <c r="G123" s="261"/>
      <c r="H123" s="261"/>
      <c r="I123" s="261"/>
      <c r="J123" s="261" t="s">
        <v>597</v>
      </c>
      <c r="K123" s="261"/>
      <c r="L123" s="512">
        <f>$R$87</f>
        <v>116975717</v>
      </c>
      <c r="M123" s="261"/>
      <c r="N123" s="264"/>
      <c r="O123" s="373"/>
    </row>
    <row r="124" spans="2:16">
      <c r="B124" s="261"/>
      <c r="C124" s="261"/>
      <c r="D124" s="261"/>
      <c r="E124" s="261"/>
      <c r="F124" s="261"/>
      <c r="G124" s="261"/>
      <c r="H124" s="261"/>
      <c r="I124" s="261"/>
      <c r="J124" s="261" t="s">
        <v>1231</v>
      </c>
      <c r="K124" s="261"/>
      <c r="L124" s="1008">
        <f>Input!E56</f>
        <v>3652</v>
      </c>
      <c r="M124" s="261"/>
      <c r="N124" s="264"/>
      <c r="O124" s="373"/>
    </row>
    <row r="125" spans="2:16">
      <c r="B125" s="261"/>
      <c r="C125" s="261"/>
      <c r="D125" s="261"/>
      <c r="E125" s="261"/>
      <c r="F125" s="261"/>
      <c r="G125" s="261"/>
      <c r="H125" s="261"/>
      <c r="I125" s="261"/>
      <c r="J125" s="261"/>
      <c r="K125" s="261"/>
      <c r="L125" s="373">
        <f>SUM(L113:L124)</f>
        <v>5110503145</v>
      </c>
      <c r="M125" s="261"/>
      <c r="N125" s="264"/>
    </row>
    <row r="126" spans="2:16">
      <c r="B126" s="261"/>
      <c r="C126" s="261"/>
      <c r="D126" s="261"/>
      <c r="E126" s="261"/>
      <c r="F126" s="261"/>
      <c r="G126" s="261"/>
      <c r="H126" s="261"/>
      <c r="I126" s="261"/>
      <c r="J126" s="261"/>
      <c r="K126" s="261"/>
      <c r="L126" s="261"/>
      <c r="M126" s="261"/>
      <c r="N126" s="264"/>
    </row>
    <row r="127" spans="2:16">
      <c r="B127" s="261"/>
      <c r="C127" s="261"/>
      <c r="D127" s="261"/>
      <c r="E127" s="261"/>
      <c r="F127" s="261"/>
      <c r="G127" s="261"/>
      <c r="H127" s="261"/>
      <c r="I127" s="261"/>
      <c r="J127" s="160"/>
      <c r="K127" s="160"/>
      <c r="L127" s="160"/>
      <c r="M127" s="261"/>
      <c r="N127" s="264"/>
    </row>
    <row r="128" spans="2:16">
      <c r="B128" s="261"/>
      <c r="C128" s="261"/>
      <c r="D128" s="261"/>
      <c r="E128" s="261"/>
      <c r="F128" s="261"/>
      <c r="G128" s="261"/>
      <c r="H128" s="261"/>
      <c r="I128" s="261"/>
      <c r="J128" s="160"/>
      <c r="K128" s="160"/>
      <c r="L128" s="160"/>
      <c r="M128" s="261"/>
      <c r="N128" s="264"/>
    </row>
    <row r="129" spans="2:14">
      <c r="B129" s="261"/>
      <c r="C129" s="261"/>
      <c r="D129" s="373"/>
      <c r="E129" s="261"/>
      <c r="F129" s="261"/>
      <c r="G129" s="261"/>
      <c r="H129" s="261"/>
      <c r="I129" s="261"/>
      <c r="J129" s="160"/>
      <c r="K129" s="160"/>
      <c r="L129" s="160"/>
      <c r="M129" s="261"/>
      <c r="N129" s="264"/>
    </row>
  </sheetData>
  <mergeCells count="32">
    <mergeCell ref="P10:P11"/>
    <mergeCell ref="B2:F2"/>
    <mergeCell ref="B3:F3"/>
    <mergeCell ref="B4:F4"/>
    <mergeCell ref="P4:Q4"/>
    <mergeCell ref="B6:M6"/>
    <mergeCell ref="O19:R19"/>
    <mergeCell ref="T19:X19"/>
    <mergeCell ref="O61:R61"/>
    <mergeCell ref="T61:X61"/>
    <mergeCell ref="Z61:AB61"/>
    <mergeCell ref="G65:K65"/>
    <mergeCell ref="V77:W77"/>
    <mergeCell ref="P78:Q78"/>
    <mergeCell ref="O82:R82"/>
    <mergeCell ref="O96:U96"/>
    <mergeCell ref="U62:U65"/>
    <mergeCell ref="V62:V65"/>
    <mergeCell ref="W62:W65"/>
    <mergeCell ref="O62:O65"/>
    <mergeCell ref="P62:P65"/>
    <mergeCell ref="Q62:Q65"/>
    <mergeCell ref="R62:R65"/>
    <mergeCell ref="T62:T65"/>
    <mergeCell ref="O99:P99"/>
    <mergeCell ref="Q99:R99"/>
    <mergeCell ref="T99:U99"/>
    <mergeCell ref="O101:U102"/>
    <mergeCell ref="AB62:AB65"/>
    <mergeCell ref="X62:X65"/>
    <mergeCell ref="Z62:Z65"/>
    <mergeCell ref="AA62:AA65"/>
  </mergeCells>
  <conditionalFormatting sqref="U94:X95 O95:Q95">
    <cfRule type="cellIs" dxfId="68" priority="39" stopIfTrue="1" operator="notEqual">
      <formula>#REF!</formula>
    </cfRule>
  </conditionalFormatting>
  <conditionalFormatting sqref="P77">
    <cfRule type="expression" dxfId="67" priority="38">
      <formula>$P$76&lt;&gt;$M$76</formula>
    </cfRule>
  </conditionalFormatting>
  <conditionalFormatting sqref="AB79">
    <cfRule type="expression" dxfId="66" priority="37">
      <formula>$AB$78&lt;&gt;0</formula>
    </cfRule>
  </conditionalFormatting>
  <conditionalFormatting sqref="P78">
    <cfRule type="expression" dxfId="65" priority="36">
      <formula>P76-INT(P76)</formula>
    </cfRule>
  </conditionalFormatting>
  <conditionalFormatting sqref="V77">
    <cfRule type="expression" dxfId="64" priority="35">
      <formula>X75-INT(X75)</formula>
    </cfRule>
  </conditionalFormatting>
  <conditionalFormatting sqref="O12">
    <cfRule type="expression" dxfId="63" priority="34">
      <formula>$P$12&lt;&gt;$M$12</formula>
    </cfRule>
  </conditionalFormatting>
  <conditionalFormatting sqref="U94:U95 O95:Q95">
    <cfRule type="cellIs" dxfId="62" priority="33" stopIfTrue="1" operator="notEqual">
      <formula>#REF!</formula>
    </cfRule>
  </conditionalFormatting>
  <conditionalFormatting sqref="R91">
    <cfRule type="expression" priority="31" stopIfTrue="1">
      <formula>$M$92&lt;0</formula>
    </cfRule>
    <cfRule type="expression" dxfId="61" priority="32">
      <formula>$S$92&lt;&gt;0</formula>
    </cfRule>
  </conditionalFormatting>
  <conditionalFormatting sqref="R87 R84">
    <cfRule type="expression" dxfId="60" priority="29" stopIfTrue="1">
      <formula>$M$92&gt;=0</formula>
    </cfRule>
    <cfRule type="expression" priority="30">
      <formula>$M$92&lt;0</formula>
    </cfRule>
  </conditionalFormatting>
  <conditionalFormatting sqref="U94:U95 O95:Q95">
    <cfRule type="cellIs" dxfId="59" priority="28" stopIfTrue="1" operator="notEqual">
      <formula>#REF!</formula>
    </cfRule>
  </conditionalFormatting>
  <conditionalFormatting sqref="U94:U95 O95:Q95">
    <cfRule type="cellIs" dxfId="58" priority="26" stopIfTrue="1" operator="notEqual">
      <formula>#REF!</formula>
    </cfRule>
  </conditionalFormatting>
  <conditionalFormatting sqref="Q36">
    <cfRule type="expression" dxfId="57" priority="25">
      <formula>#REF!&lt;&gt;#REF!</formula>
    </cfRule>
  </conditionalFormatting>
  <conditionalFormatting sqref="R35">
    <cfRule type="expression" dxfId="56" priority="24">
      <formula>#REF!&lt;&gt;0</formula>
    </cfRule>
  </conditionalFormatting>
  <conditionalFormatting sqref="Q35">
    <cfRule type="expression" dxfId="55" priority="23">
      <formula>#REF!&lt;&gt;0</formula>
    </cfRule>
  </conditionalFormatting>
  <conditionalFormatting sqref="R36">
    <cfRule type="expression" dxfId="54" priority="22">
      <formula>#REF!&lt;&gt;#REF!</formula>
    </cfRule>
  </conditionalFormatting>
  <conditionalFormatting sqref="D100:M105 T101:T102 R97:S102 U94:X100 T97:T99 Y97:Y102 O95:O99 P95:Q100">
    <cfRule type="cellIs" dxfId="53" priority="21" stopIfTrue="1" operator="notEqual">
      <formula>#REF!</formula>
    </cfRule>
  </conditionalFormatting>
  <conditionalFormatting sqref="P77">
    <cfRule type="expression" dxfId="52" priority="20">
      <formula>$P$76&lt;&gt;$M$76</formula>
    </cfRule>
  </conditionalFormatting>
  <conditionalFormatting sqref="AB79">
    <cfRule type="expression" dxfId="51" priority="19">
      <formula>$AB$78&lt;&gt;0</formula>
    </cfRule>
  </conditionalFormatting>
  <conditionalFormatting sqref="P78">
    <cfRule type="expression" dxfId="50" priority="18">
      <formula>P76-INT(P76)</formula>
    </cfRule>
  </conditionalFormatting>
  <conditionalFormatting sqref="V77">
    <cfRule type="expression" dxfId="49" priority="17">
      <formula>X75-INT(X75)</formula>
    </cfRule>
  </conditionalFormatting>
  <conditionalFormatting sqref="O12">
    <cfRule type="expression" dxfId="48" priority="16">
      <formula>$P$12&lt;&gt;$M$12</formula>
    </cfRule>
  </conditionalFormatting>
  <conditionalFormatting sqref="T101:T102 R97:S102 U94:U100 T97:T99 O95:O99 P95:Q100">
    <cfRule type="cellIs" dxfId="47" priority="15" stopIfTrue="1" operator="notEqual">
      <formula>#REF!</formula>
    </cfRule>
  </conditionalFormatting>
  <conditionalFormatting sqref="R91">
    <cfRule type="expression" priority="13" stopIfTrue="1">
      <formula>$M$92&lt;0</formula>
    </cfRule>
    <cfRule type="expression" dxfId="46" priority="14">
      <formula>$S$92&lt;&gt;0</formula>
    </cfRule>
  </conditionalFormatting>
  <conditionalFormatting sqref="R87">
    <cfRule type="expression" dxfId="45" priority="11" stopIfTrue="1">
      <formula>$M$92&gt;=0</formula>
    </cfRule>
    <cfRule type="expression" priority="12">
      <formula>$M$92&lt;0</formula>
    </cfRule>
  </conditionalFormatting>
  <conditionalFormatting sqref="U94:U95 R96:U99 O95:Q99">
    <cfRule type="cellIs" dxfId="44" priority="10" stopIfTrue="1" operator="notEqual">
      <formula>#REF!</formula>
    </cfRule>
  </conditionalFormatting>
  <conditionalFormatting sqref="M108">
    <cfRule type="expression" dxfId="43" priority="9">
      <formula>$M$108&lt;&gt;0</formula>
    </cfRule>
  </conditionalFormatting>
  <conditionalFormatting sqref="M109">
    <cfRule type="expression" dxfId="42" priority="8">
      <formula>$M$100&lt;&gt;$M$107</formula>
    </cfRule>
  </conditionalFormatting>
  <conditionalFormatting sqref="U94:U99 R97:T99 O95:Q99">
    <cfRule type="cellIs" dxfId="41" priority="7" stopIfTrue="1" operator="notEqual">
      <formula>#REF!</formula>
    </cfRule>
  </conditionalFormatting>
  <conditionalFormatting sqref="T96:U96 Q98 T97 O96:O97 P96:Q96 R96:S98">
    <cfRule type="cellIs" dxfId="40" priority="6" stopIfTrue="1" operator="notEqual">
      <formula>#REF!</formula>
    </cfRule>
  </conditionalFormatting>
  <conditionalFormatting sqref="Q36">
    <cfRule type="expression" dxfId="39" priority="5">
      <formula>#REF!&lt;&gt;#REF!</formula>
    </cfRule>
  </conditionalFormatting>
  <conditionalFormatting sqref="R35">
    <cfRule type="expression" dxfId="38" priority="4">
      <formula>#REF!&lt;&gt;0</formula>
    </cfRule>
  </conditionalFormatting>
  <conditionalFormatting sqref="Q35">
    <cfRule type="expression" dxfId="37" priority="3">
      <formula>#REF!&lt;&gt;0</formula>
    </cfRule>
  </conditionalFormatting>
  <conditionalFormatting sqref="R36">
    <cfRule type="expression" dxfId="36" priority="2">
      <formula>#REF!&lt;&gt;#REF!</formula>
    </cfRule>
  </conditionalFormatting>
  <conditionalFormatting sqref="G65:K65">
    <cfRule type="expression" dxfId="35" priority="1">
      <formula>OR($P$112&gt;0,$P$113&lt;&gt;0,$P$114&lt;&gt;0)</formula>
    </cfRule>
  </conditionalFormatting>
  <hyperlinks>
    <hyperlink ref="O2" location="Index!A1" display="Return to Index" xr:uid="{00000000-0004-0000-B300-000000000000}"/>
  </hyperlinks>
  <printOptions horizontalCentered="1"/>
  <pageMargins left="0.5" right="0.5" top="0.25" bottom="0.25" header="0" footer="0.25"/>
  <pageSetup scale="10" orientation="landscape" r:id="rId1"/>
  <headerFooter alignWithMargins="0"/>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dimension ref="A1:G30"/>
  <sheetViews>
    <sheetView showGridLines="0" zoomScale="80" zoomScaleNormal="80" workbookViewId="0">
      <selection activeCell="E74" sqref="E74:F74"/>
    </sheetView>
  </sheetViews>
  <sheetFormatPr defaultColWidth="9.140625" defaultRowHeight="12.75"/>
  <cols>
    <col min="1" max="1" width="7" style="53" customWidth="1"/>
    <col min="2" max="2" width="93.140625" style="53" customWidth="1"/>
    <col min="3" max="3" width="20" style="53" customWidth="1"/>
    <col min="4" max="9" width="9.140625" style="53"/>
    <col min="10" max="10" width="14.28515625" style="53" customWidth="1"/>
    <col min="11" max="16384" width="9.140625" style="53"/>
  </cols>
  <sheetData>
    <row r="1" spans="2:6" ht="18.75" thickBot="1">
      <c r="B1" s="466" t="str">
        <f>'UH Chrts'!$A$1</f>
        <v>University of Houston -  All Disciplines (A+H+M)</v>
      </c>
      <c r="C1" s="835" t="s">
        <v>1200</v>
      </c>
    </row>
    <row r="2" spans="2:6">
      <c r="B2" s="393" t="str">
        <f>'Smmy Chrts'!$A$2</f>
        <v>For the Year Ended August 31, 2021</v>
      </c>
    </row>
    <row r="3" spans="2:6">
      <c r="B3" s="393" t="str">
        <f>'Smmy Chrts'!$A$3</f>
        <v>Source: FY 2021 Annual Financial Report</v>
      </c>
    </row>
    <row r="5" spans="2:6" customFormat="1">
      <c r="B5" s="529" t="s">
        <v>705</v>
      </c>
    </row>
    <row r="6" spans="2:6" customFormat="1">
      <c r="B6" s="530"/>
    </row>
    <row r="7" spans="2:6" customFormat="1" ht="226.5" customHeight="1">
      <c r="B7" s="531" t="s">
        <v>706</v>
      </c>
      <c r="C7" s="532"/>
    </row>
    <row r="8" spans="2:6" customFormat="1" ht="263.25" customHeight="1">
      <c r="B8" s="531" t="s">
        <v>707</v>
      </c>
    </row>
    <row r="9" spans="2:6" ht="64.5" customHeight="1">
      <c r="B9" s="533" t="str">
        <f>IF('UH FGD'!$R$83="N/A","FN11.  N/A",$B$20&amp;$B$21&amp;$B$22&amp;$B$23&amp;$B$24&amp;$B$25&amp;$B$26&amp;$B$27&amp;$B$28&amp;$B$29&amp;$B$30)</f>
        <v>FN11: Of the net increase of $611,319,594 approximately $464.7 million represents revenues received but not yet expended. This income is fully committed to program expenditures and capital disbursements. The remaining $146.6 million represents non-expendable funds from unrealized gains and additions to permanent endowments of approximately $117.0 million and $29.7 million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TEXT(IF('UH FGD'!$M$92&lt;0,"N/A",'UH FGD'!$M$92),"$* #,##0;$* (#,##0)")</f>
        <v>$611,319,594</v>
      </c>
      <c r="C21" s="480"/>
      <c r="D21" s="480"/>
      <c r="E21" s="480"/>
      <c r="G21" s="105"/>
    </row>
    <row r="22" spans="1:7">
      <c r="B22" s="105" t="s">
        <v>682</v>
      </c>
    </row>
    <row r="23" spans="1:7">
      <c r="A23" s="53">
        <v>61</v>
      </c>
      <c r="B23" s="515" t="str">
        <f>IF(ABS('UH FGD'!$R$84)&gt;=1000000,TEXT('UH FGD'!$R$84/1000000,"$* #,##0.0;$* (#,##0.0)")&amp;" million",IF(ABS('UH FGD'!$R$84)&lt;1000,TEXT('UH FGD'!$R$84,"$* #,##0;$* (#,##0)"),TEXT('UH FGD'!$R$84/1000,"$* #,##0;$* (#,##0)")&amp;" thousand"))</f>
        <v>$464.7 million</v>
      </c>
      <c r="C23" s="515"/>
      <c r="E23" s="515"/>
    </row>
    <row r="24" spans="1:7">
      <c r="B24" s="105" t="s">
        <v>708</v>
      </c>
    </row>
    <row r="25" spans="1:7">
      <c r="A25" s="53">
        <v>62</v>
      </c>
      <c r="B25" s="515" t="str">
        <f>IF(ABS('UH FGD'!$R$85)&gt;=1000000,TEXT('UH FGD'!$R$85/1000000,"$* #,##0.0;$* (#,##0.0)")&amp;" million",IF(ABS('UH FGD'!$R$85)&lt;1000,TEXT('UH FGD'!$R$85,"$* #,##0;$* (#,##0)"),TEXT('UH FGD'!$R$85/1000,"$* #,##0;$* (#,##0)")&amp;" thousand"))</f>
        <v>$146.6 million</v>
      </c>
      <c r="C25" s="515"/>
      <c r="E25" s="515"/>
    </row>
    <row r="26" spans="1:7">
      <c r="B26" s="105" t="s">
        <v>683</v>
      </c>
    </row>
    <row r="27" spans="1:7">
      <c r="A27" s="53">
        <v>64</v>
      </c>
      <c r="B27" s="515" t="str">
        <f>IF(ABS('UH FGD'!$R$87)&gt;=1000000,TEXT('UH FGD'!$R$87/1000000,"$* #,##0.0;$* (#,##0.0)")&amp;" million",IF(ABS('UH FGD'!$R$87)&lt;1000,TEXT('UH FGD'!$R$87,"$* #,##0;$* (#,##0)"),TEXT('UH FGD'!$R$87/1000,"$* #,##0;$* (#,##0)")&amp;" thousand"))</f>
        <v>$117.0 million</v>
      </c>
      <c r="C27" s="515"/>
      <c r="E27" s="515"/>
    </row>
    <row r="28" spans="1:7">
      <c r="B28" s="105" t="s">
        <v>684</v>
      </c>
    </row>
    <row r="29" spans="1:7">
      <c r="A29" s="53">
        <v>66</v>
      </c>
      <c r="B29" s="515" t="str">
        <f>IF(ABS('UH FGD'!$R$89)&gt;=1000000,TEXT('UH FGD'!$R$89/1000000,"$* #,##0.0;$* (#,##0.0)")&amp;" million",IF(ABS('UH FGD'!$R$89)&lt;1000,TEXT('UH FGD'!$R$89,"$* #,##0;$* (#,##0)"),TEXT('UH FGD'!$R$89/1000,"$* #,##0;$* (#,##0)")&amp;" thousand"))</f>
        <v>$29.7 million</v>
      </c>
      <c r="C29" s="515"/>
      <c r="E29" s="515"/>
    </row>
    <row r="30" spans="1:7">
      <c r="B30" s="105" t="s">
        <v>709</v>
      </c>
    </row>
  </sheetData>
  <hyperlinks>
    <hyperlink ref="C1" location="Index!A1" display="Return to Index" xr:uid="{00000000-0004-0000-B400-000000000000}"/>
  </hyperlinks>
  <pageMargins left="0.25" right="0.25" top="0.25" bottom="0.25" header="0" footer="0.25"/>
  <pageSetup orientation="portrait" r:id="rId1"/>
  <headerFooter alignWithMargins="0"/>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sheetPr>
    <tabColor indexed="47"/>
    <pageSetUpPr fitToPage="1"/>
  </sheetPr>
  <dimension ref="A1:E165"/>
  <sheetViews>
    <sheetView showGridLines="0" zoomScale="65" zoomScaleNormal="65" zoomScaleSheetLayoutView="65" workbookViewId="0">
      <selection activeCell="C78" sqref="C78"/>
    </sheetView>
  </sheetViews>
  <sheetFormatPr defaultColWidth="9.140625" defaultRowHeight="12.75" customHeight="1"/>
  <cols>
    <col min="1" max="1" width="158.7109375" style="53" customWidth="1"/>
    <col min="2" max="2" width="18.5703125" style="53" customWidth="1"/>
    <col min="3" max="3" width="54.7109375" style="53" customWidth="1"/>
    <col min="4" max="4" width="20.7109375" style="53" customWidth="1"/>
    <col min="5" max="5" width="9.140625" style="679"/>
    <col min="6" max="16384" width="9.140625" style="53"/>
  </cols>
  <sheetData>
    <row r="1" spans="1:5" ht="28.5" thickBot="1">
      <c r="A1" s="159" t="s">
        <v>2246</v>
      </c>
      <c r="B1" s="835" t="s">
        <v>1200</v>
      </c>
      <c r="C1" s="53" t="s">
        <v>1329</v>
      </c>
    </row>
    <row r="2" spans="1:5" ht="27.75">
      <c r="A2" s="54" t="str">
        <f>'Smmy Chrts'!$A$2</f>
        <v>For the Year Ended August 31, 2021</v>
      </c>
      <c r="C2" s="55" t="s">
        <v>63</v>
      </c>
    </row>
    <row r="3" spans="1:5" ht="27.75">
      <c r="A3" s="54" t="str">
        <f>'Smmy Chrts'!$A$3</f>
        <v>Source: FY 2021 Annual Financial Report</v>
      </c>
      <c r="C3" s="53" t="s">
        <v>64</v>
      </c>
    </row>
    <row r="4" spans="1:5" ht="26.25" customHeight="1">
      <c r="A4" s="1344" t="s">
        <v>2127</v>
      </c>
      <c r="C4" s="53" t="s">
        <v>267</v>
      </c>
    </row>
    <row r="5" spans="1:5" ht="12.75" customHeight="1">
      <c r="C5" s="53" t="s">
        <v>268</v>
      </c>
    </row>
    <row r="7" spans="1:5" ht="12.75" customHeight="1">
      <c r="C7" s="1687" t="s">
        <v>25</v>
      </c>
      <c r="D7" s="1687"/>
    </row>
    <row r="8" spans="1:5" ht="12.75" customHeight="1">
      <c r="C8" s="57"/>
      <c r="D8" s="58"/>
    </row>
    <row r="9" spans="1:5" ht="12.75" customHeight="1">
      <c r="C9" s="59" t="str">
        <f>'UH Sum'!A9</f>
        <v>State of Texas</v>
      </c>
      <c r="D9" s="60">
        <f>'UH Sum'!B15</f>
        <v>303577526</v>
      </c>
      <c r="E9" s="680">
        <f>ROUND(D9/$D$14,3)</f>
        <v>0.217</v>
      </c>
    </row>
    <row r="10" spans="1:5" ht="12.75" customHeight="1">
      <c r="C10" s="59" t="str">
        <f>'UH Sum'!A17</f>
        <v>Student &amp; Parent</v>
      </c>
      <c r="D10" s="60">
        <f>'UH Sum'!B20</f>
        <v>401004973</v>
      </c>
      <c r="E10" s="680">
        <f t="shared" ref="E10:E12" si="0">ROUND(D10/$D$14,3)</f>
        <v>0.28699999999999998</v>
      </c>
    </row>
    <row r="11" spans="1:5" ht="12.75" customHeight="1">
      <c r="C11" s="59" t="str">
        <f>'UH Sum'!A22</f>
        <v>Federal Government</v>
      </c>
      <c r="D11" s="60">
        <f>'UH Sum'!B23</f>
        <v>263800382</v>
      </c>
      <c r="E11" s="680">
        <f t="shared" si="0"/>
        <v>0.189</v>
      </c>
    </row>
    <row r="12" spans="1:5" ht="12.75" customHeight="1">
      <c r="C12" s="59" t="str">
        <f>'UH Sum'!A31</f>
        <v>Institutional Resources</v>
      </c>
      <c r="D12" s="60">
        <f>'UH Sum'!B38</f>
        <v>429176819</v>
      </c>
      <c r="E12" s="680">
        <f t="shared" si="0"/>
        <v>0.307</v>
      </c>
    </row>
    <row r="13" spans="1:5" ht="12.75" customHeight="1">
      <c r="C13" s="59" t="s">
        <v>2125</v>
      </c>
      <c r="D13" s="60">
        <f>'UH Sum'!$B$26+'UH Sum'!$B$29</f>
        <v>0</v>
      </c>
      <c r="E13" s="680">
        <f>ROUND(D13/$D$14,3)</f>
        <v>0</v>
      </c>
    </row>
    <row r="14" spans="1:5" ht="12.75" customHeight="1">
      <c r="C14" s="61" t="s">
        <v>68</v>
      </c>
      <c r="D14" s="62">
        <f>SUM(D9:D13)</f>
        <v>1397559700</v>
      </c>
      <c r="E14" s="680">
        <f>SUM(E9:E13)</f>
        <v>1</v>
      </c>
    </row>
    <row r="18" spans="1:3" ht="12.75" customHeight="1">
      <c r="B18" s="270"/>
    </row>
    <row r="19" spans="1:3" ht="12.75" customHeight="1">
      <c r="B19" s="270"/>
    </row>
    <row r="20" spans="1:3" ht="12.75" customHeight="1">
      <c r="B20" s="270"/>
      <c r="C20" s="53" t="s">
        <v>88</v>
      </c>
    </row>
    <row r="21" spans="1:3" ht="12.75" customHeight="1">
      <c r="B21" s="270"/>
      <c r="C21" s="53" t="s">
        <v>89</v>
      </c>
    </row>
    <row r="22" spans="1:3" ht="12.75" customHeight="1">
      <c r="B22" s="270"/>
      <c r="C22" s="53" t="s">
        <v>90</v>
      </c>
    </row>
    <row r="23" spans="1:3" ht="12.75" customHeight="1">
      <c r="A23" s="56"/>
      <c r="B23" s="270"/>
      <c r="C23" s="53" t="s">
        <v>91</v>
      </c>
    </row>
    <row r="24" spans="1:3" ht="12.75" customHeight="1">
      <c r="A24" s="56"/>
      <c r="B24" s="270"/>
    </row>
    <row r="25" spans="1:3" ht="12.75" customHeight="1">
      <c r="A25" s="56"/>
      <c r="B25" s="270"/>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3" ht="12.75" customHeight="1">
      <c r="A33" s="56"/>
      <c r="C33" s="1175"/>
    </row>
    <row r="34" spans="1:3" ht="12.75" customHeight="1">
      <c r="A34" s="56"/>
      <c r="C34" s="1175"/>
    </row>
    <row r="35" spans="1:3" ht="12.75" customHeight="1">
      <c r="A35" s="56"/>
    </row>
    <row r="36" spans="1:3" ht="12.75" customHeight="1">
      <c r="A36" s="56"/>
    </row>
    <row r="37" spans="1:3" ht="12.75" customHeight="1">
      <c r="A37" s="56"/>
    </row>
    <row r="38" spans="1:3" ht="12.75" customHeight="1">
      <c r="A38" s="56"/>
    </row>
    <row r="39" spans="1:3" ht="12.75" customHeight="1">
      <c r="A39" s="56"/>
    </row>
    <row r="40" spans="1:3" ht="12.75" customHeight="1">
      <c r="A40" s="56"/>
    </row>
    <row r="41" spans="1:3" ht="12.75" customHeight="1">
      <c r="A41" s="56"/>
    </row>
    <row r="42" spans="1:3" ht="12.75" customHeight="1">
      <c r="A42" s="56"/>
    </row>
    <row r="43" spans="1:3" ht="12.75" customHeight="1">
      <c r="A43" s="56"/>
    </row>
    <row r="44" spans="1:3" ht="12.75" customHeight="1">
      <c r="A44" s="56"/>
    </row>
    <row r="45" spans="1:3" ht="12.75" customHeight="1">
      <c r="A45" s="56"/>
    </row>
    <row r="46" spans="1:3" ht="12.75" customHeight="1">
      <c r="A46" s="56"/>
    </row>
    <row r="47" spans="1:3" ht="12.75" customHeight="1">
      <c r="A47" s="1686" t="str">
        <f>C14&amp;" "&amp;TEXT(D14,"$#,###")</f>
        <v>Total Operating Sources $1,397,559,700</v>
      </c>
    </row>
    <row r="48" spans="1:3" ht="12.75" customHeight="1">
      <c r="A48" s="1686"/>
    </row>
    <row r="49" spans="1:5" ht="12.75" customHeight="1">
      <c r="A49" s="56"/>
    </row>
    <row r="52" spans="1:5" ht="12.75" customHeight="1">
      <c r="C52" s="1544" t="s">
        <v>25</v>
      </c>
      <c r="D52" s="58"/>
    </row>
    <row r="54" spans="1:5" ht="12.75" customHeight="1">
      <c r="C54" s="59" t="s">
        <v>1</v>
      </c>
      <c r="D54" s="60">
        <f>'UH Sum'!B10</f>
        <v>204365435</v>
      </c>
      <c r="E54" s="680">
        <f>ROUND(D54/$D$68,3)</f>
        <v>0.14599999999999999</v>
      </c>
    </row>
    <row r="55" spans="1:5" ht="12.75" customHeight="1">
      <c r="C55" s="59" t="s">
        <v>221</v>
      </c>
      <c r="D55" s="60">
        <f>'UH Sum'!B11</f>
        <v>44698087</v>
      </c>
      <c r="E55" s="680">
        <f>ROUND(D55/$D$68,3)</f>
        <v>3.2000000000000001E-2</v>
      </c>
    </row>
    <row r="56" spans="1:5" ht="12.75" customHeight="1">
      <c r="C56" s="59"/>
      <c r="D56" s="60"/>
      <c r="E56" s="680"/>
    </row>
    <row r="57" spans="1:5" ht="12.75" customHeight="1">
      <c r="C57" s="59" t="str">
        <f>'UH Sum'!A13</f>
        <v>Higher Education Fund</v>
      </c>
      <c r="D57" s="60">
        <f>'UH Sum'!B13</f>
        <v>54514004</v>
      </c>
      <c r="E57" s="680">
        <f t="shared" ref="E57:E66" si="1">ROUND(D57/$D$68,3)</f>
        <v>3.9E-2</v>
      </c>
    </row>
    <row r="58" spans="1:5" ht="12.75" customHeight="1">
      <c r="C58" s="1069" t="s">
        <v>41</v>
      </c>
      <c r="D58" s="60">
        <f>'UH Sum'!B14</f>
        <v>0</v>
      </c>
      <c r="E58" s="680">
        <f t="shared" si="1"/>
        <v>0</v>
      </c>
    </row>
    <row r="59" spans="1:5" ht="12.75" customHeight="1">
      <c r="C59" s="59" t="s">
        <v>87</v>
      </c>
      <c r="D59" s="60">
        <f>'UH Sum'!B20</f>
        <v>401004973</v>
      </c>
      <c r="E59" s="680">
        <f t="shared" si="1"/>
        <v>0.28699999999999998</v>
      </c>
    </row>
    <row r="60" spans="1:5" ht="12.75" customHeight="1">
      <c r="C60" s="64" t="s">
        <v>74</v>
      </c>
      <c r="D60" s="60">
        <f>'UH Sum'!B23</f>
        <v>263800382</v>
      </c>
      <c r="E60" s="680">
        <f t="shared" si="1"/>
        <v>0.189</v>
      </c>
    </row>
    <row r="61" spans="1:5" ht="12.75" customHeight="1">
      <c r="C61" s="59" t="s">
        <v>75</v>
      </c>
      <c r="D61" s="60">
        <f>'UH Sum'!B32</f>
        <v>90328703</v>
      </c>
      <c r="E61" s="680">
        <f t="shared" si="1"/>
        <v>6.5000000000000002E-2</v>
      </c>
    </row>
    <row r="62" spans="1:5" ht="12.75" customHeight="1">
      <c r="C62" s="59" t="s">
        <v>27</v>
      </c>
      <c r="D62" s="60">
        <f>'UH Sum'!B33</f>
        <v>11634678</v>
      </c>
      <c r="E62" s="680">
        <f t="shared" si="1"/>
        <v>8.0000000000000002E-3</v>
      </c>
    </row>
    <row r="63" spans="1:5" ht="12.75" customHeight="1">
      <c r="C63" s="59" t="s">
        <v>76</v>
      </c>
      <c r="D63" s="60">
        <f>'UH Sum'!B34</f>
        <v>77222683</v>
      </c>
      <c r="E63" s="680">
        <f t="shared" si="1"/>
        <v>5.5E-2</v>
      </c>
    </row>
    <row r="64" spans="1:5" ht="12.75" customHeight="1">
      <c r="C64" s="59" t="s">
        <v>77</v>
      </c>
      <c r="D64" s="60">
        <f>'UH Sum'!B35</f>
        <v>91229161</v>
      </c>
      <c r="E64" s="680">
        <f t="shared" si="1"/>
        <v>6.5000000000000002E-2</v>
      </c>
    </row>
    <row r="65" spans="1:5" ht="12.75" customHeight="1">
      <c r="C65" s="59" t="s">
        <v>220</v>
      </c>
      <c r="D65" s="60">
        <f>'UH Sum'!B36</f>
        <v>47444235</v>
      </c>
      <c r="E65" s="680">
        <f t="shared" si="1"/>
        <v>3.4000000000000002E-2</v>
      </c>
    </row>
    <row r="66" spans="1:5" ht="12.75" customHeight="1">
      <c r="C66" s="64" t="s">
        <v>52</v>
      </c>
      <c r="D66" s="60">
        <f>'UH Sum'!B37</f>
        <v>111317359</v>
      </c>
      <c r="E66" s="680">
        <f t="shared" si="1"/>
        <v>0.08</v>
      </c>
    </row>
    <row r="67" spans="1:5" ht="12.75" customHeight="1">
      <c r="C67" s="59" t="s">
        <v>2125</v>
      </c>
      <c r="D67" s="60">
        <f>'UH Sum'!$B$26+'UH Sum'!$B$29</f>
        <v>0</v>
      </c>
      <c r="E67" s="680">
        <f>ROUND(D67/$D$14,3)</f>
        <v>0</v>
      </c>
    </row>
    <row r="68" spans="1:5" ht="12.75" customHeight="1">
      <c r="C68" s="61" t="s">
        <v>68</v>
      </c>
      <c r="D68" s="62">
        <f>SUM(D54:D66)</f>
        <v>1397559700</v>
      </c>
      <c r="E68" s="681">
        <f>SUM(E54:E66)</f>
        <v>1.0000000000000002</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86" t="str">
        <f>C68&amp;" "&amp;TEXT(D68,"$#,###")</f>
        <v>Total Operating Sources $1,397,559,700</v>
      </c>
    </row>
    <row r="93" spans="1:5" ht="12.75" customHeight="1">
      <c r="A93" s="1686"/>
    </row>
    <row r="94" spans="1:5" ht="12.75" customHeight="1">
      <c r="A94" s="65"/>
    </row>
    <row r="95" spans="1:5" s="68" customFormat="1" ht="12.75" customHeight="1">
      <c r="A95" s="66"/>
      <c r="E95" s="682"/>
    </row>
    <row r="96" spans="1:5" ht="12.75" customHeight="1">
      <c r="A96" s="65"/>
    </row>
    <row r="97" spans="1:5" ht="12.75" customHeight="1">
      <c r="A97" s="65"/>
    </row>
    <row r="98" spans="1:5" ht="12.75" customHeight="1">
      <c r="A98" s="65"/>
    </row>
    <row r="100" spans="1:5" ht="12.75" customHeight="1">
      <c r="C100" s="1687" t="s">
        <v>13</v>
      </c>
      <c r="D100" s="1687"/>
    </row>
    <row r="101" spans="1:5" ht="12.75" customHeight="1">
      <c r="C101" s="1687"/>
      <c r="D101" s="1687"/>
    </row>
    <row r="102" spans="1:5" ht="12.75" customHeight="1">
      <c r="C102" s="69" t="s">
        <v>14</v>
      </c>
      <c r="D102" s="60">
        <f>'UH Sum'!B42</f>
        <v>262309225</v>
      </c>
      <c r="E102" s="680">
        <f>ROUND(D102/$D$114,3)</f>
        <v>0.218</v>
      </c>
    </row>
    <row r="103" spans="1:5" ht="12.75" customHeight="1">
      <c r="C103" s="69" t="s">
        <v>15</v>
      </c>
      <c r="D103" s="60">
        <f>'UH Sum'!B43</f>
        <v>169415339</v>
      </c>
      <c r="E103" s="680">
        <f t="shared" ref="E103:E112" si="2">ROUND(D103/$D$114,3)</f>
        <v>0.14000000000000001</v>
      </c>
    </row>
    <row r="104" spans="1:5" ht="12.75" customHeight="1">
      <c r="C104" s="69" t="s">
        <v>16</v>
      </c>
      <c r="D104" s="60">
        <f>'UH Sum'!B44</f>
        <v>35946861</v>
      </c>
      <c r="E104" s="680">
        <f t="shared" si="2"/>
        <v>0.03</v>
      </c>
    </row>
    <row r="105" spans="1:5" ht="12.75" customHeight="1">
      <c r="C105" s="69" t="s">
        <v>17</v>
      </c>
      <c r="D105" s="60">
        <f>'UH Sum'!B46</f>
        <v>184519734</v>
      </c>
      <c r="E105" s="680">
        <f t="shared" si="2"/>
        <v>0.153</v>
      </c>
    </row>
    <row r="106" spans="1:5" ht="12.75" customHeight="1">
      <c r="C106" s="69" t="s">
        <v>18</v>
      </c>
      <c r="D106" s="60">
        <f>'UH Sum'!B47</f>
        <v>38192008</v>
      </c>
      <c r="E106" s="680">
        <f t="shared" si="2"/>
        <v>3.2000000000000001E-2</v>
      </c>
    </row>
    <row r="107" spans="1:5" ht="12.75" customHeight="1">
      <c r="C107" s="69" t="s">
        <v>19</v>
      </c>
      <c r="D107" s="60">
        <f>'UH Sum'!B48</f>
        <v>85618321</v>
      </c>
      <c r="E107" s="680">
        <f t="shared" si="2"/>
        <v>7.0999999999999994E-2</v>
      </c>
    </row>
    <row r="108" spans="1:5" ht="12.75" customHeight="1">
      <c r="C108" s="69" t="s">
        <v>78</v>
      </c>
      <c r="D108" s="60">
        <f>'UH Sum'!B49</f>
        <v>59357962</v>
      </c>
      <c r="E108" s="680">
        <f t="shared" si="2"/>
        <v>4.9000000000000002E-2</v>
      </c>
    </row>
    <row r="109" spans="1:5" ht="12.75" customHeight="1">
      <c r="C109" s="69" t="s">
        <v>79</v>
      </c>
      <c r="D109" s="60">
        <f>'UH Sum'!B50</f>
        <v>78730722</v>
      </c>
      <c r="E109" s="680">
        <f t="shared" si="2"/>
        <v>6.5000000000000002E-2</v>
      </c>
    </row>
    <row r="110" spans="1:5" ht="12.75" customHeight="1">
      <c r="C110" s="69" t="s">
        <v>22</v>
      </c>
      <c r="D110" s="60">
        <f>'UH Sum'!B51</f>
        <v>134076794</v>
      </c>
      <c r="E110" s="680">
        <f t="shared" si="2"/>
        <v>0.111</v>
      </c>
    </row>
    <row r="111" spans="1:5" ht="12.75" customHeight="1">
      <c r="C111" s="64" t="s">
        <v>29</v>
      </c>
      <c r="D111" s="60">
        <f>'UH Sum'!B52</f>
        <v>13525296</v>
      </c>
      <c r="E111" s="680">
        <f t="shared" si="2"/>
        <v>1.0999999999999999E-2</v>
      </c>
    </row>
    <row r="112" spans="1:5" ht="12.75" customHeight="1">
      <c r="C112" s="64" t="s">
        <v>53</v>
      </c>
      <c r="D112" s="60">
        <f>'UH Sum'!B53</f>
        <v>144285294</v>
      </c>
      <c r="E112" s="680">
        <f t="shared" si="2"/>
        <v>0.12</v>
      </c>
    </row>
    <row r="113" spans="3:5" ht="12.75" customHeight="1">
      <c r="C113" s="64" t="s">
        <v>2126</v>
      </c>
      <c r="D113" s="60">
        <f>'UH Sum'!B45</f>
        <v>0</v>
      </c>
      <c r="E113" s="680">
        <f>ROUND(D113/$D$114,3)</f>
        <v>0</v>
      </c>
    </row>
    <row r="114" spans="3:5" ht="12.75" customHeight="1">
      <c r="C114" s="70" t="s">
        <v>69</v>
      </c>
      <c r="D114" s="62">
        <f>SUM(D102:D113)</f>
        <v>1205977556</v>
      </c>
      <c r="E114" s="681">
        <f>SUM(E102:E113)</f>
        <v>1</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86" t="str">
        <f>C114&amp;" "&amp;TEXT(D114,"$#,###")</f>
        <v>Total Operating Uses $1,205,977,556</v>
      </c>
    </row>
    <row r="137" spans="1:1" ht="12.75" customHeight="1">
      <c r="A137" s="1686"/>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136:A137"/>
    <mergeCell ref="C7:D7"/>
    <mergeCell ref="A47:A48"/>
    <mergeCell ref="A92:A93"/>
    <mergeCell ref="C100:D100"/>
    <mergeCell ref="C101:D101"/>
  </mergeCells>
  <hyperlinks>
    <hyperlink ref="B1" location="Index!A1" display="Return to Index" xr:uid="{00000000-0004-0000-B5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1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sheetPr transitionEvaluation="1" transitionEntry="1">
    <tabColor indexed="13"/>
  </sheetPr>
  <dimension ref="A1:AE86"/>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I9" sqref="I9"/>
    </sheetView>
  </sheetViews>
  <sheetFormatPr defaultColWidth="9.140625" defaultRowHeight="12.75"/>
  <cols>
    <col min="1" max="1" width="61.7109375" style="75" customWidth="1"/>
    <col min="2" max="2" width="17.85546875" style="75" customWidth="1"/>
    <col min="3" max="3" width="14.7109375" style="2" customWidth="1"/>
    <col min="4" max="4" width="14" style="261" customWidth="1"/>
    <col min="5" max="5" width="1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'Shsu Chrts'!$A$1</f>
        <v>Sam Houston State University -  All Disciplines (A+H+NF)</v>
      </c>
      <c r="B1" s="74"/>
      <c r="C1" s="1"/>
      <c r="D1" s="1704" t="s">
        <v>1200</v>
      </c>
      <c r="E1" s="1705"/>
      <c r="F1" s="1757" t="s">
        <v>1196</v>
      </c>
      <c r="G1" s="1706"/>
      <c r="H1" s="1706"/>
      <c r="I1" s="1706"/>
      <c r="J1" s="1707" t="s">
        <v>1197</v>
      </c>
      <c r="K1" s="1695"/>
      <c r="L1" s="1695"/>
      <c r="M1" s="1695"/>
      <c r="N1" s="1695"/>
      <c r="O1" s="1696"/>
    </row>
    <row r="2" spans="1:15" ht="15.75">
      <c r="A2" s="76" t="str">
        <f>'Smmy Chrts'!$A$2</f>
        <v>For the Year Ended August 31, 2021</v>
      </c>
      <c r="B2" s="74"/>
      <c r="C2" s="1"/>
      <c r="D2" s="1175"/>
      <c r="E2" s="37"/>
      <c r="F2" s="37"/>
      <c r="J2" s="37"/>
      <c r="K2" s="37"/>
      <c r="L2" s="37"/>
      <c r="M2" s="37"/>
    </row>
    <row r="3" spans="1:15" ht="15.75">
      <c r="A3" s="76" t="str">
        <f>'Smmy Chrts'!$A$3</f>
        <v>Source: FY 2021 Annual Financial Report</v>
      </c>
      <c r="B3" s="74"/>
      <c r="C3" s="1"/>
      <c r="D3" s="1175"/>
    </row>
    <row r="4" spans="1:15" ht="28.5" customHeight="1">
      <c r="A4" s="1762" t="s">
        <v>2127</v>
      </c>
      <c r="B4" s="1762"/>
      <c r="C4" s="1762"/>
      <c r="D4" s="1711" t="s">
        <v>1142</v>
      </c>
      <c r="E4" s="1711" t="s">
        <v>1143</v>
      </c>
      <c r="F4" s="266"/>
    </row>
    <row r="5" spans="1:15" ht="14.25" customHeight="1">
      <c r="A5" s="39" t="str">
        <f>'Smmy Chrts'!$C$35</f>
        <v>Summary Worksheet FY 2021</v>
      </c>
      <c r="B5" s="40" t="s">
        <v>86</v>
      </c>
      <c r="C5" s="40" t="s">
        <v>129</v>
      </c>
      <c r="D5" s="1712"/>
      <c r="E5" s="1712"/>
      <c r="F5" s="266"/>
      <c r="G5" s="799" t="s">
        <v>1198</v>
      </c>
      <c r="I5" s="822" t="s">
        <v>2157</v>
      </c>
      <c r="J5" s="792" t="s">
        <v>1144</v>
      </c>
    </row>
    <row r="6" spans="1:15" ht="13.5" customHeight="1">
      <c r="A6" s="78" t="s">
        <v>266</v>
      </c>
      <c r="B6" s="41"/>
      <c r="C6" s="42">
        <f>FTSE!$N$71</f>
        <v>17594.09</v>
      </c>
      <c r="J6" s="712"/>
    </row>
    <row r="7" spans="1:15">
      <c r="I7" s="824" t="s">
        <v>1162</v>
      </c>
      <c r="J7" s="827"/>
    </row>
    <row r="8" spans="1:15">
      <c r="A8" s="81" t="s">
        <v>71</v>
      </c>
      <c r="B8" s="81"/>
      <c r="C8" s="24"/>
      <c r="I8" s="896">
        <f>FTSE!$P$71</f>
        <v>1473.12</v>
      </c>
      <c r="J8" s="712"/>
    </row>
    <row r="9" spans="1:15" ht="12.75" customHeight="1" thickBot="1">
      <c r="A9" s="78" t="s">
        <v>0</v>
      </c>
      <c r="B9" s="82"/>
      <c r="C9" s="7"/>
      <c r="J9" s="712"/>
    </row>
    <row r="10" spans="1:15" ht="12.75" customHeight="1" thickTop="1">
      <c r="A10" s="75" t="s">
        <v>1</v>
      </c>
      <c r="B10" s="83">
        <f>'Shsu FGD'!M10</f>
        <v>69852319</v>
      </c>
      <c r="C10" s="83">
        <f>ROUND(B10/$C$6,0)</f>
        <v>3970</v>
      </c>
      <c r="D10" s="512">
        <f>'Shsu FGD'!F10</f>
        <v>0</v>
      </c>
      <c r="E10" s="512"/>
      <c r="F10" s="84">
        <f>B10-(SUM(D10:E10))</f>
        <v>69852319</v>
      </c>
      <c r="G10" s="1545" t="s">
        <v>1</v>
      </c>
      <c r="H10" s="1144"/>
      <c r="I10" s="825" t="s">
        <v>1161</v>
      </c>
      <c r="J10" s="713">
        <f>ROUND(F10/$C$6,0)</f>
        <v>3970</v>
      </c>
    </row>
    <row r="11" spans="1:15" ht="12.75" customHeight="1" thickBot="1">
      <c r="A11" s="75" t="s">
        <v>2</v>
      </c>
      <c r="B11" s="86">
        <f>'Shsu FGD'!M11</f>
        <v>20264665</v>
      </c>
      <c r="C11" s="87">
        <f t="shared" ref="C11:C14" si="0">ROUND(B11/$C$6,0)</f>
        <v>1152</v>
      </c>
      <c r="D11" s="86">
        <f>'Shsu FGD'!F11</f>
        <v>0</v>
      </c>
      <c r="E11" s="74"/>
      <c r="F11" s="606">
        <f t="shared" ref="F11:F14" si="1">B11-(SUM(D11:E11))</f>
        <v>20264665</v>
      </c>
      <c r="G11" s="1148">
        <f>SUM(F10:F11)</f>
        <v>90116984</v>
      </c>
      <c r="H11" s="715"/>
      <c r="I11" s="1373">
        <f>ROUND($G$11/$C$6,0)</f>
        <v>5122</v>
      </c>
      <c r="J11" s="716">
        <f t="shared" ref="J11:J14" si="2">ROUND(F11/$C$6,0)</f>
        <v>1152</v>
      </c>
    </row>
    <row r="12" spans="1:15" ht="12.75" hidden="1" customHeight="1" thickTop="1" thickBot="1">
      <c r="A12" s="75" t="s">
        <v>1410</v>
      </c>
      <c r="B12" s="86"/>
      <c r="C12" s="87"/>
      <c r="D12" s="86"/>
      <c r="E12" s="74"/>
      <c r="F12" s="607"/>
      <c r="J12" s="716"/>
      <c r="O12" s="608"/>
    </row>
    <row r="13" spans="1:15" ht="12.75" customHeight="1" thickTop="1">
      <c r="A13" s="75" t="s">
        <v>1368</v>
      </c>
      <c r="B13" s="86">
        <f>'Shsu FGD'!M13</f>
        <v>18236811</v>
      </c>
      <c r="C13" s="87">
        <f t="shared" si="0"/>
        <v>1037</v>
      </c>
      <c r="D13" s="86">
        <f>'Shsu FGD'!F13</f>
        <v>0</v>
      </c>
      <c r="E13" s="74"/>
      <c r="F13" s="893">
        <f t="shared" si="1"/>
        <v>18236811</v>
      </c>
      <c r="G13" s="1545" t="s">
        <v>81</v>
      </c>
      <c r="H13" s="894"/>
      <c r="I13" s="826" t="s">
        <v>1163</v>
      </c>
      <c r="J13" s="716">
        <f t="shared" si="2"/>
        <v>1037</v>
      </c>
    </row>
    <row r="14" spans="1:15" ht="12.75" customHeight="1" thickBot="1">
      <c r="A14" s="75" t="s">
        <v>49</v>
      </c>
      <c r="B14" s="86">
        <f>'Shsu FGD'!M14</f>
        <v>0</v>
      </c>
      <c r="C14" s="87">
        <f t="shared" si="0"/>
        <v>0</v>
      </c>
      <c r="D14" s="86">
        <f>'Shsu FGD'!F14</f>
        <v>0</v>
      </c>
      <c r="E14" s="74"/>
      <c r="F14" s="607">
        <f t="shared" si="1"/>
        <v>0</v>
      </c>
      <c r="G14" s="800">
        <f>SUM(F13:F14)</f>
        <v>18236811</v>
      </c>
      <c r="H14" s="895"/>
      <c r="I14" s="1377">
        <f>ROUND($G$11/$I$8,0)</f>
        <v>61174</v>
      </c>
      <c r="J14" s="828">
        <f t="shared" si="2"/>
        <v>0</v>
      </c>
    </row>
    <row r="15" spans="1:15" ht="12.75" customHeight="1" thickTop="1">
      <c r="A15" s="88" t="s">
        <v>3</v>
      </c>
      <c r="B15" s="89">
        <f>SUM(B10:B14)</f>
        <v>108353795</v>
      </c>
      <c r="C15" s="89">
        <f>SUM(C10:C14)</f>
        <v>6159</v>
      </c>
      <c r="D15" s="89">
        <f>SUM(D10:D14)</f>
        <v>0</v>
      </c>
      <c r="E15" s="89">
        <f>SUM(E10:E14)</f>
        <v>0</v>
      </c>
      <c r="F15" s="216">
        <f>SUM(F10:F14)</f>
        <v>108353795</v>
      </c>
      <c r="I15" s="1546"/>
      <c r="J15" s="757">
        <f>SUM(J10:J14)</f>
        <v>6159</v>
      </c>
    </row>
    <row r="16" spans="1:15">
      <c r="B16" s="48"/>
      <c r="C16" s="75"/>
      <c r="J16" s="712"/>
    </row>
    <row r="17" spans="1:16" ht="12.75" customHeight="1">
      <c r="A17" s="78" t="s">
        <v>4</v>
      </c>
      <c r="B17" s="86"/>
      <c r="C17" s="75"/>
      <c r="J17" s="712"/>
    </row>
    <row r="18" spans="1:16">
      <c r="A18" s="75" t="s">
        <v>39</v>
      </c>
      <c r="B18" s="83">
        <f>'Shsu FGD'!M29</f>
        <v>93063840</v>
      </c>
      <c r="C18" s="83">
        <f t="shared" ref="C18:C19" si="3">ROUND(B18/$C$6,0)</f>
        <v>5289</v>
      </c>
      <c r="D18" s="512">
        <f>'Shsu FGD'!$F$29</f>
        <v>0</v>
      </c>
      <c r="E18" s="512"/>
      <c r="F18" s="512">
        <f t="shared" ref="F18:F19" si="4">B18-(SUM(D18:E18))</f>
        <v>93063840</v>
      </c>
      <c r="G18" s="337"/>
      <c r="H18" s="337"/>
      <c r="I18" s="337"/>
      <c r="J18" s="713">
        <f>ROUND(F18/$C$6,0)</f>
        <v>5289</v>
      </c>
    </row>
    <row r="19" spans="1:16" ht="13.5" thickBot="1">
      <c r="A19" s="75" t="s">
        <v>40</v>
      </c>
      <c r="B19" s="86">
        <f>'Shsu FGD'!M42</f>
        <v>87900407</v>
      </c>
      <c r="C19" s="87">
        <f t="shared" si="3"/>
        <v>4996</v>
      </c>
      <c r="D19" s="74">
        <f>'Shsu FGD'!$F$42</f>
        <v>10620475</v>
      </c>
      <c r="E19" s="74"/>
      <c r="F19" s="74">
        <f t="shared" si="4"/>
        <v>77279932</v>
      </c>
      <c r="G19" s="337"/>
      <c r="H19" s="337"/>
      <c r="I19" s="337"/>
      <c r="J19" s="716">
        <f>ROUND(F19/$C$6,0)</f>
        <v>4392</v>
      </c>
    </row>
    <row r="20" spans="1:16" ht="14.25" thickTop="1" thickBot="1">
      <c r="A20" s="88" t="s">
        <v>5</v>
      </c>
      <c r="B20" s="89">
        <f>SUM(B18:B19)</f>
        <v>180964247</v>
      </c>
      <c r="C20" s="89">
        <f>SUM(C18:C19)</f>
        <v>10285</v>
      </c>
      <c r="D20" s="717">
        <f>SUM(D18:D19)</f>
        <v>10620475</v>
      </c>
      <c r="E20" s="718">
        <f>SUM(E18:E19)</f>
        <v>0</v>
      </c>
      <c r="F20" s="801">
        <f>SUM(F18:F19)</f>
        <v>170343772</v>
      </c>
      <c r="G20" s="720" t="s">
        <v>26</v>
      </c>
      <c r="H20" s="366"/>
      <c r="I20" s="367"/>
      <c r="J20" s="721">
        <f>SUM(J18:J19)</f>
        <v>9681</v>
      </c>
    </row>
    <row r="21" spans="1:16" ht="12.75" customHeight="1" thickTop="1">
      <c r="B21" s="91"/>
      <c r="C21" s="75"/>
      <c r="F21" s="804"/>
      <c r="J21" s="712"/>
    </row>
    <row r="22" spans="1:16" ht="14.25" customHeight="1" thickBot="1">
      <c r="A22" s="78" t="s">
        <v>6</v>
      </c>
      <c r="B22" s="91"/>
      <c r="C22" s="75"/>
      <c r="J22" s="712"/>
    </row>
    <row r="23" spans="1:16" ht="14.25" thickTop="1" thickBot="1">
      <c r="A23" s="88" t="s">
        <v>7</v>
      </c>
      <c r="B23" s="92">
        <f>'Shsu FGD'!M47</f>
        <v>76077865</v>
      </c>
      <c r="C23" s="89">
        <f t="shared" ref="C23" si="5">ROUND(B23/$C$6,0)</f>
        <v>4324</v>
      </c>
      <c r="D23" s="717">
        <f>'Shsu FGD'!F47</f>
        <v>0</v>
      </c>
      <c r="E23" s="718"/>
      <c r="F23" s="801">
        <f>B23-(SUM(D23:E23))</f>
        <v>76077865</v>
      </c>
      <c r="G23" s="722" t="s">
        <v>74</v>
      </c>
      <c r="H23" s="366"/>
      <c r="I23" s="367"/>
      <c r="J23" s="756">
        <f>ROUND(F23/$C$6,0)</f>
        <v>4324</v>
      </c>
    </row>
    <row r="24" spans="1:16" ht="13.5" thickTop="1">
      <c r="C24" s="75"/>
      <c r="J24" s="712"/>
      <c r="P24" s="75"/>
    </row>
    <row r="25" spans="1:16">
      <c r="A25" s="78" t="s">
        <v>2121</v>
      </c>
      <c r="C25" s="75"/>
      <c r="D25" s="74"/>
      <c r="H25" s="337"/>
      <c r="J25" s="712"/>
      <c r="P25" s="75"/>
    </row>
    <row r="26" spans="1:16">
      <c r="A26" s="88" t="s">
        <v>2122</v>
      </c>
      <c r="B26" s="89">
        <f>'Shsu FGD'!M50</f>
        <v>0</v>
      </c>
      <c r="C26" s="89">
        <f t="shared" ref="C26" si="6">ROUND(B26/$C$6,0)</f>
        <v>0</v>
      </c>
      <c r="D26" s="89">
        <f>'Shsu FGD'!F50</f>
        <v>0</v>
      </c>
      <c r="E26" s="89"/>
      <c r="F26" s="89">
        <f t="shared" ref="F26" si="7">B26-(SUM(D26:E26))</f>
        <v>0</v>
      </c>
      <c r="G26" s="367"/>
      <c r="H26" s="367"/>
      <c r="I26" s="337"/>
      <c r="J26" s="713"/>
      <c r="P26" s="75"/>
    </row>
    <row r="27" spans="1:16">
      <c r="C27" s="75"/>
      <c r="D27" s="373"/>
      <c r="E27" s="1329"/>
      <c r="F27" s="367"/>
      <c r="G27" s="367"/>
      <c r="H27" s="367"/>
      <c r="I27" s="337"/>
      <c r="J27" s="716"/>
      <c r="P27" s="75"/>
    </row>
    <row r="28" spans="1:16">
      <c r="A28" s="78" t="s">
        <v>2123</v>
      </c>
      <c r="C28" s="75"/>
      <c r="D28" s="86"/>
      <c r="E28" s="1330"/>
      <c r="F28" s="367"/>
      <c r="G28" s="367"/>
      <c r="H28" s="367"/>
      <c r="I28" s="337"/>
      <c r="J28" s="716"/>
      <c r="P28" s="75"/>
    </row>
    <row r="29" spans="1:16">
      <c r="A29" s="88" t="s">
        <v>2122</v>
      </c>
      <c r="B29" s="89">
        <f>'Shsu FGD'!M53</f>
        <v>0</v>
      </c>
      <c r="C29" s="89">
        <f t="shared" ref="C29" si="8">ROUND(B29/$C$6,0)</f>
        <v>0</v>
      </c>
      <c r="D29" s="89">
        <f>'Shsu FGD'!F53</f>
        <v>0</v>
      </c>
      <c r="E29" s="89"/>
      <c r="F29" s="89">
        <f t="shared" ref="F29" si="9">B29-(SUM(D29:E29))</f>
        <v>0</v>
      </c>
      <c r="G29" s="367"/>
      <c r="H29" s="367"/>
      <c r="I29" s="337"/>
      <c r="J29" s="716"/>
      <c r="P29" s="75"/>
    </row>
    <row r="30" spans="1:16">
      <c r="B30" s="91"/>
      <c r="C30" s="75"/>
      <c r="J30" s="712"/>
    </row>
    <row r="31" spans="1:16">
      <c r="A31" s="78" t="s">
        <v>8</v>
      </c>
      <c r="B31" s="91"/>
      <c r="C31" s="75"/>
      <c r="J31" s="712"/>
    </row>
    <row r="32" spans="1:16">
      <c r="A32" s="75" t="s">
        <v>42</v>
      </c>
      <c r="B32" s="83">
        <f>'Shsu FGD'!M56</f>
        <v>21852651</v>
      </c>
      <c r="C32" s="83">
        <f t="shared" ref="C32:C37" si="10">ROUND(B32/$C$6,0)</f>
        <v>1242</v>
      </c>
      <c r="D32" s="512">
        <f>'Shsu FGD'!F56</f>
        <v>0</v>
      </c>
      <c r="E32" s="512"/>
      <c r="F32" s="512">
        <f t="shared" ref="F32:F37" si="11">B32-(SUM(D32:E32))</f>
        <v>21852651</v>
      </c>
      <c r="G32" s="337"/>
      <c r="H32" s="337"/>
      <c r="I32" s="337"/>
      <c r="J32" s="713">
        <f>ROUND(F32/$C$6,0)</f>
        <v>1242</v>
      </c>
    </row>
    <row r="33" spans="1:31">
      <c r="A33" s="75" t="s">
        <v>9</v>
      </c>
      <c r="B33" s="86">
        <f>'Shsu FGD'!M57</f>
        <v>4694576</v>
      </c>
      <c r="C33" s="87">
        <f t="shared" si="10"/>
        <v>267</v>
      </c>
      <c r="D33" s="86">
        <f>'Shsu FGD'!F57</f>
        <v>0</v>
      </c>
      <c r="E33" s="74"/>
      <c r="F33" s="74">
        <f t="shared" si="11"/>
        <v>4694576</v>
      </c>
      <c r="G33" s="337"/>
      <c r="H33" s="337"/>
      <c r="I33" s="337"/>
      <c r="J33" s="716">
        <f t="shared" ref="J33:J37" si="12">ROUND(F33/$C$6,0)</f>
        <v>267</v>
      </c>
    </row>
    <row r="34" spans="1:31" ht="13.5" thickBot="1">
      <c r="A34" s="75" t="s">
        <v>10</v>
      </c>
      <c r="B34" s="86">
        <f>'Shsu FGD'!M58</f>
        <v>3795720</v>
      </c>
      <c r="C34" s="87">
        <f t="shared" si="10"/>
        <v>216</v>
      </c>
      <c r="D34" s="86">
        <f>'Shsu FGD'!F58</f>
        <v>5382</v>
      </c>
      <c r="E34" s="74"/>
      <c r="F34" s="74">
        <f t="shared" si="11"/>
        <v>3790338</v>
      </c>
      <c r="G34" s="337"/>
      <c r="H34" s="337"/>
      <c r="I34" s="337"/>
      <c r="J34" s="716">
        <f t="shared" si="12"/>
        <v>215</v>
      </c>
    </row>
    <row r="35" spans="1:31" ht="13.5" thickBot="1">
      <c r="A35" s="75" t="s">
        <v>11</v>
      </c>
      <c r="B35" s="86">
        <f>'Shsu FGD'!M59</f>
        <v>3821513</v>
      </c>
      <c r="C35" s="87">
        <f t="shared" si="10"/>
        <v>217</v>
      </c>
      <c r="D35" s="86">
        <f>'Shsu FGD'!F59</f>
        <v>167824</v>
      </c>
      <c r="E35" s="74"/>
      <c r="F35" s="74">
        <f t="shared" si="11"/>
        <v>3653689</v>
      </c>
      <c r="G35" s="337"/>
      <c r="H35" s="337"/>
      <c r="I35" s="38"/>
      <c r="J35" s="716">
        <f t="shared" si="12"/>
        <v>208</v>
      </c>
      <c r="K35" s="1694"/>
      <c r="L35" s="1695"/>
      <c r="M35" s="1695"/>
      <c r="N35" s="1695"/>
      <c r="O35" s="1696"/>
    </row>
    <row r="36" spans="1:31" ht="13.5" thickBot="1">
      <c r="A36" s="93" t="s">
        <v>2134</v>
      </c>
      <c r="B36" s="94">
        <f>'Shsu FGD'!M60</f>
        <v>32415131</v>
      </c>
      <c r="C36" s="87">
        <f t="shared" si="10"/>
        <v>1842</v>
      </c>
      <c r="D36" s="729">
        <f>B36</f>
        <v>32415131</v>
      </c>
      <c r="E36" s="74"/>
      <c r="F36" s="74">
        <f t="shared" si="11"/>
        <v>0</v>
      </c>
      <c r="G36" s="337"/>
      <c r="H36" s="337"/>
      <c r="J36" s="716">
        <f t="shared" si="12"/>
        <v>0</v>
      </c>
      <c r="K36" s="1694" t="s">
        <v>1070</v>
      </c>
      <c r="L36" s="1695"/>
      <c r="M36" s="1695"/>
      <c r="N36" s="1695"/>
      <c r="O36" s="1696"/>
    </row>
    <row r="37" spans="1:31" ht="13.5" customHeight="1" thickBot="1">
      <c r="A37" s="95" t="s">
        <v>43</v>
      </c>
      <c r="B37" s="86">
        <f>'Shsu FGD'!M61</f>
        <v>5893212</v>
      </c>
      <c r="C37" s="87">
        <f t="shared" si="10"/>
        <v>335</v>
      </c>
      <c r="D37" s="86">
        <f>'Shsu FGD'!F61</f>
        <v>1348389</v>
      </c>
      <c r="E37" s="74"/>
      <c r="F37" s="74">
        <f t="shared" si="11"/>
        <v>4544823</v>
      </c>
      <c r="G37" s="35"/>
      <c r="H37" s="35"/>
      <c r="J37" s="716">
        <f t="shared" si="12"/>
        <v>258</v>
      </c>
      <c r="K37" s="1697" t="s">
        <v>1073</v>
      </c>
      <c r="L37" s="1697" t="s">
        <v>1071</v>
      </c>
      <c r="M37" s="1697" t="s">
        <v>1072</v>
      </c>
      <c r="N37" s="1697" t="s">
        <v>1240</v>
      </c>
      <c r="O37" s="1697" t="s">
        <v>1075</v>
      </c>
      <c r="P37" s="35"/>
      <c r="Q37" s="96"/>
      <c r="R37" s="96"/>
      <c r="S37" s="96"/>
      <c r="T37" s="96"/>
      <c r="U37" s="96"/>
      <c r="V37" s="96"/>
      <c r="W37" s="96"/>
      <c r="X37" s="96"/>
      <c r="Y37" s="96"/>
      <c r="Z37" s="96"/>
      <c r="AA37" s="96"/>
      <c r="AB37" s="96"/>
      <c r="AC37" s="96"/>
      <c r="AD37" s="96"/>
      <c r="AE37" s="96"/>
    </row>
    <row r="38" spans="1:31" ht="14.25" customHeight="1" thickTop="1" thickBot="1">
      <c r="A38" s="88" t="s">
        <v>3</v>
      </c>
      <c r="B38" s="89">
        <f>SUM(B32:B37)</f>
        <v>72472803</v>
      </c>
      <c r="C38" s="89">
        <f>SUM(C32:C37)</f>
        <v>4119</v>
      </c>
      <c r="D38" s="723">
        <f>SUM(D32:D37)</f>
        <v>33936726</v>
      </c>
      <c r="E38" s="723">
        <f>SUM(E32:E37)</f>
        <v>0</v>
      </c>
      <c r="F38" s="802">
        <f>SUM(F32:F37)</f>
        <v>38536077</v>
      </c>
      <c r="G38" s="1708" t="s">
        <v>8</v>
      </c>
      <c r="H38" s="1709"/>
      <c r="I38" s="783" t="s">
        <v>1166</v>
      </c>
      <c r="J38" s="725">
        <f>SUM(J32:J37)</f>
        <v>2190</v>
      </c>
      <c r="K38" s="1698"/>
      <c r="L38" s="1698"/>
      <c r="M38" s="1698"/>
      <c r="N38" s="1698" t="s">
        <v>1074</v>
      </c>
      <c r="O38" s="1698" t="s">
        <v>1075</v>
      </c>
    </row>
    <row r="39" spans="1:31" ht="14.25" thickTop="1" thickBot="1">
      <c r="A39" s="97" t="s">
        <v>68</v>
      </c>
      <c r="B39" s="52">
        <f>B15+B20+B23+B38+B26+B29</f>
        <v>437868710</v>
      </c>
      <c r="C39" s="52">
        <f>C15+C20+C23+C38+C26+C29</f>
        <v>24887</v>
      </c>
      <c r="D39" s="52">
        <f>D15+D20+D23+D38+D26+D29</f>
        <v>44557201</v>
      </c>
      <c r="E39" s="52">
        <f>E15+E20+E23+E38+E26+E29</f>
        <v>0</v>
      </c>
      <c r="F39" s="724">
        <f>F15+F20+F23+F38+F26+F29</f>
        <v>393311509</v>
      </c>
      <c r="G39" s="1758" t="s">
        <v>84</v>
      </c>
      <c r="H39" s="1759"/>
      <c r="I39" s="1375">
        <f>ROUND($G$41/$C$6,0)</f>
        <v>21318</v>
      </c>
      <c r="J39" s="726">
        <f>J15+J20+J23+J38</f>
        <v>22354</v>
      </c>
      <c r="K39" s="1698"/>
      <c r="L39" s="1698"/>
      <c r="M39" s="1698"/>
      <c r="N39" s="1698"/>
      <c r="O39" s="1698"/>
    </row>
    <row r="40" spans="1:31" ht="14.25" thickTop="1" thickBot="1">
      <c r="B40" s="98"/>
      <c r="C40" s="75"/>
      <c r="D40" s="337"/>
      <c r="E40" s="337"/>
      <c r="F40" s="337" t="s">
        <v>1199</v>
      </c>
      <c r="G40" s="787">
        <f>G14*-1</f>
        <v>-18236811</v>
      </c>
      <c r="H40" s="337"/>
      <c r="I40" s="783" t="s">
        <v>1167</v>
      </c>
      <c r="J40" s="727"/>
      <c r="K40" s="1699"/>
      <c r="L40" s="1699"/>
      <c r="M40" s="1699"/>
      <c r="N40" s="1699"/>
      <c r="O40" s="1699"/>
    </row>
    <row r="41" spans="1:31" ht="14.25" thickTop="1" thickBot="1">
      <c r="A41" s="81" t="s">
        <v>72</v>
      </c>
      <c r="B41" s="81"/>
      <c r="C41" s="81"/>
      <c r="D41" s="728"/>
      <c r="E41" s="728"/>
      <c r="F41" s="788" t="s">
        <v>1165</v>
      </c>
      <c r="G41" s="803">
        <f>F39+G40</f>
        <v>375074698</v>
      </c>
      <c r="I41" s="1376" t="str">
        <f>IFERROR("",ROUND($G$41/$I$8,0))</f>
        <v/>
      </c>
      <c r="K41" s="609"/>
      <c r="L41" s="609"/>
      <c r="M41" s="609"/>
      <c r="N41" s="609"/>
      <c r="O41" s="609"/>
    </row>
    <row r="42" spans="1:31" ht="13.5" thickTop="1">
      <c r="A42" s="99" t="s">
        <v>14</v>
      </c>
      <c r="B42" s="83">
        <f>'Shsu FGD'!M66</f>
        <v>110390676</v>
      </c>
      <c r="C42" s="83">
        <f t="shared" ref="C42:C53" si="13">ROUND(B42/$C$6,0)</f>
        <v>6274</v>
      </c>
      <c r="D42" s="512">
        <f>'Shsu FGD'!F66</f>
        <v>0</v>
      </c>
      <c r="E42" s="512"/>
      <c r="F42" s="512">
        <f t="shared" ref="F42:F53" si="14">B42-(SUM(D42:E42))</f>
        <v>110390676</v>
      </c>
      <c r="G42" s="337"/>
      <c r="H42" s="1378" t="s">
        <v>2158</v>
      </c>
      <c r="I42" s="1379">
        <f>ROUND(F42/$C$6,0)</f>
        <v>6274</v>
      </c>
      <c r="J42" s="337" t="s">
        <v>752</v>
      </c>
      <c r="K42" s="512">
        <f>F42</f>
        <v>110390676</v>
      </c>
      <c r="L42" s="512">
        <f>K42</f>
        <v>110390676</v>
      </c>
      <c r="M42" s="512"/>
      <c r="N42" s="512"/>
      <c r="O42" s="512"/>
    </row>
    <row r="43" spans="1:31">
      <c r="A43" s="99" t="s">
        <v>15</v>
      </c>
      <c r="B43" s="86">
        <f>'Shsu FGD'!M67</f>
        <v>10711223</v>
      </c>
      <c r="C43" s="87">
        <f t="shared" si="13"/>
        <v>609</v>
      </c>
      <c r="D43" s="86">
        <f>'Shsu FGD'!F67</f>
        <v>0</v>
      </c>
      <c r="E43" s="74"/>
      <c r="F43" s="74">
        <f t="shared" si="14"/>
        <v>10711223</v>
      </c>
      <c r="G43" s="337"/>
      <c r="H43" s="337"/>
      <c r="J43" s="337" t="s">
        <v>1076</v>
      </c>
      <c r="K43" s="373">
        <f>F43</f>
        <v>10711223</v>
      </c>
      <c r="L43" s="373">
        <f>K43</f>
        <v>10711223</v>
      </c>
      <c r="M43" s="373"/>
      <c r="N43" s="373"/>
      <c r="O43" s="373"/>
    </row>
    <row r="44" spans="1:31">
      <c r="A44" s="99" t="s">
        <v>16</v>
      </c>
      <c r="B44" s="86">
        <f>'Shsu FGD'!M68</f>
        <v>16145883</v>
      </c>
      <c r="C44" s="87">
        <f t="shared" si="13"/>
        <v>918</v>
      </c>
      <c r="D44" s="86">
        <f>'Shsu FGD'!F68</f>
        <v>1802</v>
      </c>
      <c r="E44" s="86">
        <f>B44-D44</f>
        <v>16144081</v>
      </c>
      <c r="F44" s="74">
        <f t="shared" si="14"/>
        <v>0</v>
      </c>
      <c r="G44" s="337"/>
      <c r="H44" s="337"/>
      <c r="I44" s="337"/>
      <c r="J44" s="337" t="s">
        <v>1077</v>
      </c>
      <c r="K44" s="736"/>
      <c r="L44" s="737"/>
      <c r="M44" s="737" t="s">
        <v>1152</v>
      </c>
      <c r="N44" s="737"/>
      <c r="O44" s="738"/>
    </row>
    <row r="45" spans="1:31">
      <c r="A45" s="407" t="s">
        <v>2123</v>
      </c>
      <c r="B45" s="87">
        <f>'Shsu FGD'!M69</f>
        <v>1017526</v>
      </c>
      <c r="C45" s="87">
        <f t="shared" si="13"/>
        <v>58</v>
      </c>
      <c r="D45" s="373">
        <f>'Shsu FGD'!F69</f>
        <v>0</v>
      </c>
      <c r="E45" s="86"/>
      <c r="F45" s="74">
        <f t="shared" ref="F45" si="15">B45-(SUM(D45:E45))</f>
        <v>1017526</v>
      </c>
      <c r="G45" s="742"/>
      <c r="J45" s="261" t="s">
        <v>2124</v>
      </c>
      <c r="K45" s="1701" t="s">
        <v>1152</v>
      </c>
      <c r="L45" s="1702"/>
      <c r="M45" s="1702"/>
      <c r="N45" s="1702"/>
      <c r="O45" s="1703"/>
      <c r="P45" s="75"/>
    </row>
    <row r="46" spans="1:31">
      <c r="A46" s="99" t="s">
        <v>17</v>
      </c>
      <c r="B46" s="86">
        <f>'Shsu FGD'!M70</f>
        <v>48998922</v>
      </c>
      <c r="C46" s="87">
        <f t="shared" si="13"/>
        <v>2785</v>
      </c>
      <c r="D46" s="86">
        <f>'Shsu FGD'!F70</f>
        <v>0</v>
      </c>
      <c r="E46" s="74"/>
      <c r="F46" s="74">
        <f t="shared" si="14"/>
        <v>48998922</v>
      </c>
      <c r="G46" s="337"/>
      <c r="H46" s="1378" t="s">
        <v>2159</v>
      </c>
      <c r="I46" s="1379">
        <f>ROUND(F46/$C$6,0)</f>
        <v>2785</v>
      </c>
      <c r="J46" s="337" t="s">
        <v>1078</v>
      </c>
      <c r="K46" s="373">
        <f t="shared" ref="K46:K50" si="16">F46</f>
        <v>48998922</v>
      </c>
      <c r="L46" s="373">
        <f>K46</f>
        <v>48998922</v>
      </c>
      <c r="M46" s="373"/>
      <c r="N46" s="373"/>
      <c r="O46" s="373"/>
    </row>
    <row r="47" spans="1:31">
      <c r="A47" s="99" t="s">
        <v>18</v>
      </c>
      <c r="B47" s="86">
        <f>'Shsu FGD'!M71</f>
        <v>29339079</v>
      </c>
      <c r="C47" s="87">
        <f t="shared" si="13"/>
        <v>1668</v>
      </c>
      <c r="D47" s="86">
        <f>'Shsu FGD'!F71</f>
        <v>0</v>
      </c>
      <c r="E47" s="74"/>
      <c r="F47" s="74">
        <f t="shared" si="14"/>
        <v>29339079</v>
      </c>
      <c r="G47" s="337"/>
      <c r="J47" s="337" t="s">
        <v>1079</v>
      </c>
      <c r="K47" s="373">
        <f t="shared" si="16"/>
        <v>29339079</v>
      </c>
      <c r="L47" s="373"/>
      <c r="M47" s="373">
        <f>K47</f>
        <v>29339079</v>
      </c>
      <c r="N47" s="373"/>
      <c r="O47" s="373"/>
    </row>
    <row r="48" spans="1:31">
      <c r="A48" s="99" t="s">
        <v>19</v>
      </c>
      <c r="B48" s="86">
        <f>'Shsu FGD'!M72</f>
        <v>24667200</v>
      </c>
      <c r="C48" s="87">
        <f t="shared" si="13"/>
        <v>1402</v>
      </c>
      <c r="D48" s="86">
        <f>'Shsu FGD'!F72</f>
        <v>0</v>
      </c>
      <c r="E48" s="74"/>
      <c r="F48" s="74">
        <f t="shared" si="14"/>
        <v>24667200</v>
      </c>
      <c r="G48" s="337"/>
      <c r="H48" s="1378" t="s">
        <v>2160</v>
      </c>
      <c r="I48" s="1379">
        <f>ROUND(F48/$C$6,0)</f>
        <v>1402</v>
      </c>
      <c r="J48" s="337" t="s">
        <v>757</v>
      </c>
      <c r="K48" s="373">
        <f t="shared" si="16"/>
        <v>24667200</v>
      </c>
      <c r="L48" s="373"/>
      <c r="M48" s="373"/>
      <c r="N48" s="373">
        <f>K48</f>
        <v>24667200</v>
      </c>
      <c r="O48" s="373"/>
    </row>
    <row r="49" spans="1:31">
      <c r="A49" s="99" t="s">
        <v>20</v>
      </c>
      <c r="B49" s="86">
        <f>'Shsu FGD'!M73</f>
        <v>24792021</v>
      </c>
      <c r="C49" s="87">
        <f t="shared" si="13"/>
        <v>1409</v>
      </c>
      <c r="D49" s="86">
        <f>'Shsu FGD'!F73</f>
        <v>0</v>
      </c>
      <c r="E49" s="74"/>
      <c r="F49" s="74">
        <f t="shared" si="14"/>
        <v>24792021</v>
      </c>
      <c r="G49" s="337"/>
      <c r="J49" s="337" t="s">
        <v>758</v>
      </c>
      <c r="K49" s="373">
        <f t="shared" si="16"/>
        <v>24792021</v>
      </c>
      <c r="L49" s="373"/>
      <c r="M49" s="373"/>
      <c r="N49" s="373">
        <f>K49</f>
        <v>24792021</v>
      </c>
      <c r="O49" s="373"/>
    </row>
    <row r="50" spans="1:31">
      <c r="A50" s="99" t="s">
        <v>21</v>
      </c>
      <c r="B50" s="86">
        <f>'Shsu FGD'!M74</f>
        <v>50731128</v>
      </c>
      <c r="C50" s="87">
        <f t="shared" si="13"/>
        <v>2883</v>
      </c>
      <c r="D50" s="86">
        <f>'Shsu FGD'!F74</f>
        <v>0</v>
      </c>
      <c r="E50" s="74"/>
      <c r="F50" s="74">
        <f t="shared" si="14"/>
        <v>50731128</v>
      </c>
      <c r="G50" s="337"/>
      <c r="H50" s="337"/>
      <c r="I50" s="337"/>
      <c r="J50" s="337" t="s">
        <v>1145</v>
      </c>
      <c r="K50" s="373">
        <f t="shared" si="16"/>
        <v>50731128</v>
      </c>
      <c r="L50" s="373"/>
      <c r="M50" s="373">
        <f>K50</f>
        <v>50731128</v>
      </c>
      <c r="N50" s="373"/>
      <c r="O50" s="373"/>
    </row>
    <row r="51" spans="1:31">
      <c r="A51" s="99" t="s">
        <v>2135</v>
      </c>
      <c r="B51" s="86">
        <f>'Shsu FGD'!M75</f>
        <v>43777054</v>
      </c>
      <c r="C51" s="87">
        <f t="shared" si="13"/>
        <v>2488</v>
      </c>
      <c r="D51" s="729">
        <f>B51</f>
        <v>43777054</v>
      </c>
      <c r="E51" s="74"/>
      <c r="F51" s="74">
        <f t="shared" si="14"/>
        <v>0</v>
      </c>
      <c r="G51" s="337"/>
      <c r="H51" s="337"/>
      <c r="I51" s="337"/>
      <c r="J51" s="337" t="s">
        <v>743</v>
      </c>
      <c r="K51" s="736"/>
      <c r="L51" s="737"/>
      <c r="M51" s="737" t="s">
        <v>1152</v>
      </c>
      <c r="N51" s="737"/>
      <c r="O51" s="738"/>
    </row>
    <row r="52" spans="1:31">
      <c r="A52" s="99" t="s">
        <v>61</v>
      </c>
      <c r="B52" s="86">
        <f>'Shsu FGD'!M76</f>
        <v>4732547</v>
      </c>
      <c r="C52" s="87">
        <f t="shared" si="13"/>
        <v>269</v>
      </c>
      <c r="D52" s="86">
        <f>'Shsu FGD'!F76</f>
        <v>107282</v>
      </c>
      <c r="E52" s="74"/>
      <c r="F52" s="74">
        <f t="shared" si="14"/>
        <v>4625265</v>
      </c>
      <c r="G52" s="337"/>
      <c r="H52" s="337"/>
      <c r="I52" s="337"/>
      <c r="J52" s="337" t="s">
        <v>1080</v>
      </c>
      <c r="K52" s="373">
        <f t="shared" ref="K52:K53" si="17">F52</f>
        <v>4625265</v>
      </c>
      <c r="L52" s="373"/>
      <c r="M52" s="373"/>
      <c r="N52" s="373"/>
      <c r="O52" s="373">
        <f>K52</f>
        <v>4625265</v>
      </c>
    </row>
    <row r="53" spans="1:31" ht="13.5" thickBot="1">
      <c r="A53" s="75" t="s">
        <v>50</v>
      </c>
      <c r="B53" s="86">
        <f>'Shsu FGD'!M77</f>
        <v>349762</v>
      </c>
      <c r="C53" s="87">
        <f t="shared" si="13"/>
        <v>20</v>
      </c>
      <c r="D53" s="86">
        <f>'Shsu FGD'!F77</f>
        <v>0</v>
      </c>
      <c r="E53" s="74"/>
      <c r="F53" s="74">
        <f t="shared" si="14"/>
        <v>349762</v>
      </c>
      <c r="G53" s="35"/>
      <c r="H53" s="1378" t="s">
        <v>2161</v>
      </c>
      <c r="I53" s="1379">
        <f>ROUND(SUM(F44+F47+F49+F50+F52+F53+F43)/$C$6,0)</f>
        <v>6852</v>
      </c>
      <c r="J53" s="610" t="s">
        <v>1075</v>
      </c>
      <c r="K53" s="373">
        <f t="shared" si="17"/>
        <v>349762</v>
      </c>
      <c r="L53" s="611"/>
      <c r="M53" s="611"/>
      <c r="N53" s="611"/>
      <c r="O53" s="373">
        <f>K53</f>
        <v>349762</v>
      </c>
      <c r="P53" s="35"/>
      <c r="Q53" s="96"/>
      <c r="R53" s="96"/>
      <c r="S53" s="96"/>
      <c r="T53" s="96"/>
      <c r="U53" s="96"/>
      <c r="V53" s="96"/>
      <c r="W53" s="96"/>
      <c r="X53" s="96"/>
      <c r="Y53" s="96"/>
      <c r="Z53" s="96"/>
      <c r="AA53" s="96"/>
      <c r="AB53" s="96"/>
      <c r="AC53" s="96"/>
      <c r="AD53" s="96"/>
      <c r="AE53" s="96"/>
    </row>
    <row r="54" spans="1:31" ht="14.25" customHeight="1" thickTop="1" thickBot="1">
      <c r="A54" s="100" t="s">
        <v>69</v>
      </c>
      <c r="B54" s="45">
        <f>SUM(B42:B53)</f>
        <v>365653021</v>
      </c>
      <c r="C54" s="45">
        <f>SUM(C42:C53)</f>
        <v>20783</v>
      </c>
      <c r="D54" s="730">
        <f>SUM(D42:D53)</f>
        <v>43886138</v>
      </c>
      <c r="E54" s="731">
        <f>SUM(E42:E53)</f>
        <v>16144081</v>
      </c>
      <c r="F54" s="719">
        <f>SUM(F42:F53)</f>
        <v>305622802</v>
      </c>
      <c r="G54" s="1688" t="s">
        <v>1176</v>
      </c>
      <c r="H54" s="1689"/>
      <c r="I54" s="785" t="s">
        <v>1164</v>
      </c>
      <c r="J54" s="610" t="s">
        <v>1081</v>
      </c>
      <c r="K54" s="612">
        <f>SUM(K42:K53)</f>
        <v>304605276</v>
      </c>
      <c r="L54" s="612">
        <f>SUM(L42:L53)</f>
        <v>170100821</v>
      </c>
      <c r="M54" s="612">
        <f>SUM(M42:M53)</f>
        <v>80070207</v>
      </c>
      <c r="N54" s="612">
        <f>SUM(N42:N53)</f>
        <v>49459221</v>
      </c>
      <c r="O54" s="612">
        <f>SUM(O42:O53)</f>
        <v>4975027</v>
      </c>
    </row>
    <row r="55" spans="1:31" ht="14.25" thickTop="1" thickBot="1">
      <c r="A55" s="93"/>
      <c r="B55" s="98"/>
      <c r="C55" s="75"/>
      <c r="F55" s="613"/>
      <c r="G55" s="1690"/>
      <c r="H55" s="1691"/>
      <c r="I55" s="823">
        <f>ROUND(F54/C6,0)</f>
        <v>17371</v>
      </c>
      <c r="J55" s="1700" t="s">
        <v>1082</v>
      </c>
      <c r="K55" s="611"/>
      <c r="L55" s="611"/>
      <c r="M55" s="611"/>
      <c r="N55" s="611"/>
      <c r="O55" s="611"/>
    </row>
    <row r="56" spans="1:31" ht="13.5" thickBot="1">
      <c r="A56" s="78" t="s">
        <v>23</v>
      </c>
      <c r="B56" s="82"/>
      <c r="C56" s="75"/>
      <c r="F56" s="614"/>
      <c r="G56" s="1690"/>
      <c r="H56" s="1691"/>
      <c r="I56" s="1546"/>
      <c r="J56" s="1700"/>
      <c r="K56" s="615">
        <f>ROUND(K54/$C$6,2)</f>
        <v>17312.93</v>
      </c>
      <c r="L56" s="615">
        <f t="shared" ref="L56:O56" si="18">ROUND(L54/$C$6,2)</f>
        <v>9668.07</v>
      </c>
      <c r="M56" s="615">
        <f t="shared" si="18"/>
        <v>4550.97</v>
      </c>
      <c r="N56" s="615">
        <f t="shared" si="18"/>
        <v>2811.13</v>
      </c>
      <c r="O56" s="615">
        <f t="shared" si="18"/>
        <v>282.77</v>
      </c>
      <c r="P56" s="35"/>
      <c r="Q56" s="96"/>
      <c r="R56" s="96"/>
      <c r="S56" s="96"/>
      <c r="T56" s="96"/>
      <c r="U56" s="96"/>
      <c r="V56" s="96"/>
      <c r="W56" s="96"/>
      <c r="X56" s="96"/>
      <c r="Y56" s="96"/>
      <c r="Z56" s="96"/>
      <c r="AA56" s="96"/>
      <c r="AB56" s="96"/>
      <c r="AC56" s="96"/>
      <c r="AD56" s="96"/>
      <c r="AE56" s="96"/>
    </row>
    <row r="57" spans="1:31" ht="13.5" thickBot="1">
      <c r="A57" s="75" t="s">
        <v>62</v>
      </c>
      <c r="B57" s="86">
        <f>'Shsu FGD'!M81</f>
        <v>-53780567</v>
      </c>
      <c r="C57" s="83">
        <f t="shared" ref="C57:C60" si="19">ROUND(B57/$C$6,0)</f>
        <v>-3057</v>
      </c>
      <c r="D57" s="512">
        <f>'Shsu FGD'!F81</f>
        <v>0</v>
      </c>
      <c r="E57" s="512"/>
      <c r="F57" s="732">
        <f t="shared" ref="F57:F60" si="20">B57-(SUM(D57:E57))</f>
        <v>-53780567</v>
      </c>
      <c r="G57" s="1692"/>
      <c r="H57" s="1693"/>
      <c r="I57" s="1546"/>
      <c r="J57" s="38"/>
      <c r="K57" s="35"/>
      <c r="L57" s="35"/>
      <c r="M57" s="35"/>
      <c r="N57" s="35"/>
      <c r="O57" s="35"/>
      <c r="P57" s="35"/>
      <c r="Q57" s="96"/>
      <c r="R57" s="96"/>
      <c r="S57" s="96"/>
      <c r="T57" s="96"/>
      <c r="U57" s="96"/>
      <c r="V57" s="96"/>
      <c r="W57" s="96"/>
      <c r="X57" s="96"/>
      <c r="Y57" s="96"/>
      <c r="Z57" s="96"/>
      <c r="AA57" s="96"/>
      <c r="AB57" s="96"/>
      <c r="AC57" s="96"/>
      <c r="AD57" s="96"/>
      <c r="AE57" s="96"/>
    </row>
    <row r="58" spans="1:31" ht="13.5" thickTop="1">
      <c r="A58" s="75" t="s">
        <v>572</v>
      </c>
      <c r="B58" s="86">
        <f>'Shsu FGD'!M82</f>
        <v>-5365404</v>
      </c>
      <c r="C58" s="87">
        <f t="shared" si="19"/>
        <v>-305</v>
      </c>
      <c r="D58" s="91">
        <f>'Shsu FGD'!F82</f>
        <v>100000</v>
      </c>
      <c r="E58" s="82"/>
      <c r="F58" s="74">
        <f t="shared" si="20"/>
        <v>-5465404</v>
      </c>
      <c r="G58" s="337"/>
      <c r="J58" s="337"/>
      <c r="K58" s="616"/>
      <c r="L58" s="616"/>
      <c r="M58" s="616"/>
      <c r="N58" s="616"/>
      <c r="O58" s="616"/>
    </row>
    <row r="59" spans="1:31">
      <c r="A59" s="75" t="s">
        <v>51</v>
      </c>
      <c r="B59" s="86">
        <f>'Shsu FGD'!M83</f>
        <v>0</v>
      </c>
      <c r="C59" s="87">
        <f t="shared" si="19"/>
        <v>0</v>
      </c>
      <c r="D59" s="91">
        <f>'Shsu FGD'!F83</f>
        <v>0</v>
      </c>
      <c r="E59" s="82"/>
      <c r="F59" s="74">
        <f t="shared" si="20"/>
        <v>0</v>
      </c>
      <c r="G59" s="337"/>
      <c r="J59" s="733"/>
      <c r="K59" s="733"/>
      <c r="L59" s="733"/>
      <c r="M59" s="733"/>
      <c r="N59" s="733"/>
      <c r="O59" s="733"/>
    </row>
    <row r="60" spans="1:31" ht="12" customHeight="1">
      <c r="A60" s="75" t="s">
        <v>46</v>
      </c>
      <c r="B60" s="86">
        <f>'Shsu FGD'!M84</f>
        <v>0</v>
      </c>
      <c r="C60" s="87">
        <f t="shared" si="19"/>
        <v>0</v>
      </c>
      <c r="D60" s="91">
        <f>'Shsu FGD'!F84</f>
        <v>0</v>
      </c>
      <c r="E60" s="82"/>
      <c r="F60" s="74">
        <f t="shared" si="20"/>
        <v>0</v>
      </c>
      <c r="G60" s="35"/>
      <c r="J60" s="733"/>
      <c r="K60" s="733"/>
      <c r="L60" s="733"/>
      <c r="M60" s="733"/>
      <c r="N60" s="733"/>
      <c r="O60" s="733"/>
      <c r="P60" s="35"/>
      <c r="Q60" s="96"/>
      <c r="R60" s="96"/>
      <c r="S60" s="96"/>
      <c r="T60" s="96"/>
      <c r="U60" s="96"/>
      <c r="V60" s="96"/>
      <c r="W60" s="96"/>
      <c r="X60" s="96"/>
      <c r="Y60" s="96"/>
      <c r="Z60" s="96"/>
      <c r="AA60" s="96"/>
      <c r="AB60" s="96"/>
      <c r="AC60" s="96"/>
      <c r="AD60" s="96"/>
      <c r="AE60" s="96"/>
    </row>
    <row r="61" spans="1:31">
      <c r="A61" s="88" t="s">
        <v>3</v>
      </c>
      <c r="B61" s="89">
        <f>SUM(B57:B60)</f>
        <v>-59145971</v>
      </c>
      <c r="C61" s="89">
        <f>SUM(C57:C60)</f>
        <v>-3362</v>
      </c>
      <c r="D61" s="89">
        <f>SUM(D57:D60)</f>
        <v>100000</v>
      </c>
      <c r="E61" s="89">
        <f>SUM(E57:E60)</f>
        <v>0</v>
      </c>
      <c r="F61" s="102">
        <f>SUM(F57:F60)</f>
        <v>-59245971</v>
      </c>
      <c r="G61" s="337"/>
      <c r="H61" s="337"/>
      <c r="I61" s="337"/>
      <c r="J61" s="733"/>
      <c r="K61" s="733"/>
      <c r="L61" s="733"/>
      <c r="M61" s="733"/>
      <c r="N61" s="733"/>
      <c r="O61" s="733"/>
    </row>
    <row r="62" spans="1:31">
      <c r="B62" s="82"/>
      <c r="C62" s="75"/>
    </row>
    <row r="63" spans="1:31">
      <c r="A63" s="78" t="s">
        <v>24</v>
      </c>
      <c r="B63" s="82"/>
      <c r="C63" s="75"/>
      <c r="F63" s="368"/>
      <c r="G63" s="35"/>
      <c r="H63" s="35"/>
      <c r="I63" s="35"/>
      <c r="J63" s="35"/>
      <c r="K63" s="35"/>
      <c r="L63" s="35"/>
      <c r="M63" s="35"/>
      <c r="N63" s="35"/>
      <c r="O63" s="35"/>
      <c r="P63" s="35"/>
      <c r="Q63" s="96"/>
      <c r="R63" s="96"/>
      <c r="S63" s="96"/>
      <c r="T63" s="96"/>
      <c r="U63" s="96"/>
      <c r="V63" s="96"/>
      <c r="W63" s="96"/>
      <c r="X63" s="96"/>
      <c r="Y63" s="96"/>
      <c r="Z63" s="96"/>
      <c r="AA63" s="96"/>
      <c r="AB63" s="96"/>
      <c r="AC63" s="96"/>
      <c r="AD63" s="96"/>
      <c r="AE63" s="96"/>
    </row>
    <row r="64" spans="1:31">
      <c r="A64" s="75" t="s">
        <v>47</v>
      </c>
      <c r="B64" s="86">
        <f>'Shsu FGD'!M88</f>
        <v>30373778</v>
      </c>
      <c r="C64" s="83">
        <f>ROUND(B64/$C$6,0)</f>
        <v>1726</v>
      </c>
      <c r="D64" s="512">
        <f>'Shsu FGD'!F88</f>
        <v>0</v>
      </c>
      <c r="E64" s="512"/>
      <c r="F64" s="512">
        <f t="shared" ref="F64:F65" si="21">B64-(SUM(D64:E64))</f>
        <v>30373778</v>
      </c>
      <c r="G64" s="337"/>
      <c r="H64" s="337"/>
      <c r="I64" s="337"/>
      <c r="J64" s="337"/>
    </row>
    <row r="65" spans="1:31">
      <c r="A65" s="75" t="s">
        <v>48</v>
      </c>
      <c r="B65" s="86">
        <f>'Shsu FGD'!M89</f>
        <v>2876883</v>
      </c>
      <c r="C65" s="87">
        <f>ROUND(B65/$C$6,0)</f>
        <v>164</v>
      </c>
      <c r="D65" s="91">
        <f>'Shsu FGD'!F89</f>
        <v>0</v>
      </c>
      <c r="E65" s="82"/>
      <c r="F65" s="74">
        <f t="shared" si="21"/>
        <v>2876883</v>
      </c>
      <c r="G65" s="35"/>
      <c r="H65" s="35"/>
      <c r="I65" s="35"/>
      <c r="J65" s="35"/>
      <c r="K65" s="35"/>
      <c r="L65" s="35"/>
      <c r="M65" s="35"/>
      <c r="N65" s="35"/>
      <c r="O65" s="35"/>
      <c r="P65" s="35"/>
      <c r="Q65" s="96"/>
      <c r="R65" s="96"/>
      <c r="S65" s="96"/>
      <c r="T65" s="96"/>
      <c r="U65" s="96"/>
      <c r="V65" s="96"/>
      <c r="W65" s="96"/>
      <c r="X65" s="96"/>
      <c r="Y65" s="96"/>
      <c r="Z65" s="96"/>
      <c r="AA65" s="96"/>
      <c r="AB65" s="96"/>
      <c r="AC65" s="96"/>
      <c r="AD65" s="96"/>
      <c r="AE65" s="96"/>
    </row>
    <row r="66" spans="1:31" s="93" customFormat="1">
      <c r="A66" s="88" t="s">
        <v>3</v>
      </c>
      <c r="B66" s="89">
        <f>SUM(B64:B65)</f>
        <v>33250661</v>
      </c>
      <c r="C66" s="89">
        <f>SUM(C64:C65)</f>
        <v>1890</v>
      </c>
      <c r="D66" s="89">
        <f>SUM(D64:D65)</f>
        <v>0</v>
      </c>
      <c r="E66" s="89">
        <f>SUM(E64:E65)</f>
        <v>0</v>
      </c>
      <c r="F66" s="89">
        <f>SUM(F64:F65)</f>
        <v>33250661</v>
      </c>
      <c r="G66" s="367"/>
      <c r="H66" s="367"/>
      <c r="I66" s="367"/>
      <c r="J66" s="367"/>
      <c r="K66" s="266"/>
      <c r="L66" s="266"/>
      <c r="M66" s="266"/>
      <c r="N66" s="266"/>
      <c r="O66" s="266"/>
      <c r="P66" s="266"/>
    </row>
    <row r="67" spans="1:31">
      <c r="B67" s="82"/>
      <c r="C67" s="75"/>
    </row>
    <row r="68" spans="1:31" ht="13.5" thickBot="1">
      <c r="A68" s="103" t="s">
        <v>573</v>
      </c>
      <c r="B68" s="46">
        <f>B39-B54+B61+B66</f>
        <v>46320379</v>
      </c>
      <c r="C68" s="46">
        <f>C39-C54+C61+C66</f>
        <v>2632</v>
      </c>
      <c r="D68" s="46">
        <f>D39-D54+D61+D66</f>
        <v>771063</v>
      </c>
      <c r="E68" s="46">
        <f>E39-E54+E61+E66</f>
        <v>-16144081</v>
      </c>
      <c r="F68" s="46">
        <f>F39-F54+F61+F66</f>
        <v>61693397</v>
      </c>
    </row>
    <row r="69" spans="1:31" ht="13.5" thickTop="1"/>
    <row r="70" spans="1:31">
      <c r="C70" s="235"/>
      <c r="D70" s="512"/>
    </row>
    <row r="72" spans="1:31">
      <c r="B72" s="734">
        <f>'Shsu FGD'!$M$92</f>
        <v>46320379</v>
      </c>
      <c r="C72" s="75"/>
      <c r="D72" s="734">
        <f>'Shsu FGD'!$F$92</f>
        <v>4473299</v>
      </c>
      <c r="E72" s="734">
        <f>'Shsu FGD'!$M$68*-1</f>
        <v>-16145883</v>
      </c>
      <c r="F72" s="75"/>
    </row>
    <row r="73" spans="1:31">
      <c r="B73" s="734"/>
      <c r="C73" s="75"/>
      <c r="D73" s="734">
        <f>'Shsu FGD'!$F$75</f>
        <v>39457535</v>
      </c>
      <c r="E73" s="734">
        <f>+$D$44</f>
        <v>1802</v>
      </c>
      <c r="F73" s="734"/>
    </row>
    <row r="74" spans="1:31">
      <c r="B74" s="759"/>
      <c r="C74" s="75"/>
      <c r="D74" s="759">
        <f>-'Shsu FGD'!$M$75</f>
        <v>-43777054</v>
      </c>
      <c r="E74" s="759"/>
      <c r="F74" s="734"/>
    </row>
    <row r="75" spans="1:31">
      <c r="B75" s="734">
        <f>SUM(B72:B74)</f>
        <v>46320379</v>
      </c>
      <c r="C75" s="75"/>
      <c r="D75" s="734">
        <f>SUM(D72:D74)</f>
        <v>153780</v>
      </c>
      <c r="E75" s="734">
        <f>SUM(E72:E74)</f>
        <v>-16144081</v>
      </c>
      <c r="F75" s="734">
        <f>B75-D75-E75</f>
        <v>62310680</v>
      </c>
    </row>
    <row r="76" spans="1:31">
      <c r="B76" s="734"/>
      <c r="C76" s="75"/>
      <c r="D76" s="734">
        <f>'Shsu FGD'!F60*-1</f>
        <v>-31797848</v>
      </c>
      <c r="E76" s="734"/>
      <c r="F76" s="734"/>
    </row>
    <row r="77" spans="1:31" ht="12.75" customHeight="1">
      <c r="B77" s="759"/>
      <c r="C77" s="95"/>
      <c r="D77" s="759">
        <f>'Shsu FGD'!M60</f>
        <v>32415131</v>
      </c>
      <c r="E77" s="759"/>
      <c r="F77" s="759">
        <f>-D77-D76</f>
        <v>-617283</v>
      </c>
    </row>
    <row r="78" spans="1:31" ht="12.75" customHeight="1">
      <c r="B78" s="734">
        <f>SUM(B75:B77)</f>
        <v>46320379</v>
      </c>
      <c r="C78" s="75"/>
      <c r="D78" s="734">
        <f>SUM(D75:D77)</f>
        <v>771063</v>
      </c>
      <c r="E78" s="734">
        <f>SUM(E75:E77)</f>
        <v>-16144081</v>
      </c>
      <c r="F78" s="734">
        <f>SUM(F75:F77)</f>
        <v>61693397</v>
      </c>
    </row>
    <row r="79" spans="1:31" ht="12.75" customHeight="1">
      <c r="B79" s="734"/>
      <c r="C79" s="75"/>
      <c r="D79" s="734"/>
      <c r="E79" s="734"/>
      <c r="F79" s="734"/>
    </row>
    <row r="80" spans="1:31" ht="12.75" customHeight="1">
      <c r="B80" s="512">
        <f>B68-B78</f>
        <v>0</v>
      </c>
      <c r="C80" s="75"/>
      <c r="D80" s="512">
        <f>D68-D78</f>
        <v>0</v>
      </c>
      <c r="E80" s="512">
        <f>E68-E78</f>
        <v>0</v>
      </c>
      <c r="F80" s="512">
        <f>F68-F78</f>
        <v>0</v>
      </c>
    </row>
    <row r="81" spans="3:16" ht="12.75" customHeight="1">
      <c r="C81" s="75"/>
      <c r="F81" s="617" t="str">
        <f>IF(F80=0,"Balanced","Error")</f>
        <v>Balanced</v>
      </c>
    </row>
    <row r="83" spans="3:16" s="85" customFormat="1">
      <c r="C83" s="25"/>
      <c r="D83" s="337"/>
      <c r="E83" s="337"/>
      <c r="F83" s="337"/>
      <c r="G83" s="337"/>
      <c r="H83" s="337"/>
      <c r="I83" s="337"/>
      <c r="J83" s="337"/>
      <c r="K83" s="337"/>
      <c r="L83" s="337"/>
      <c r="M83" s="337"/>
      <c r="N83" s="337"/>
      <c r="O83" s="337"/>
      <c r="P83" s="337"/>
    </row>
    <row r="84" spans="3:16" s="85" customFormat="1">
      <c r="C84" s="25"/>
      <c r="D84" s="337"/>
      <c r="E84" s="337"/>
      <c r="F84" s="337"/>
      <c r="G84" s="337"/>
      <c r="H84" s="337"/>
      <c r="I84" s="337"/>
      <c r="J84" s="337"/>
      <c r="K84" s="337"/>
      <c r="L84" s="337"/>
      <c r="M84" s="337"/>
      <c r="N84" s="337"/>
      <c r="O84" s="337"/>
      <c r="P84" s="337"/>
    </row>
    <row r="86" spans="3:16" s="85" customFormat="1">
      <c r="C86" s="25"/>
      <c r="D86" s="337"/>
      <c r="E86" s="337"/>
      <c r="F86" s="337"/>
      <c r="G86" s="337"/>
      <c r="H86" s="337"/>
      <c r="I86" s="337"/>
      <c r="J86" s="337"/>
      <c r="K86" s="337"/>
      <c r="L86" s="337"/>
      <c r="M86" s="337"/>
      <c r="N86" s="337"/>
      <c r="O86" s="337"/>
      <c r="P86" s="337"/>
    </row>
  </sheetData>
  <mergeCells count="18">
    <mergeCell ref="G38:H38"/>
    <mergeCell ref="G39:H39"/>
    <mergeCell ref="K45:O45"/>
    <mergeCell ref="G54:H57"/>
    <mergeCell ref="J55:J56"/>
    <mergeCell ref="K35:O35"/>
    <mergeCell ref="K36:O36"/>
    <mergeCell ref="K37:K40"/>
    <mergeCell ref="L37:L40"/>
    <mergeCell ref="M37:M40"/>
    <mergeCell ref="N37:N40"/>
    <mergeCell ref="O37:O40"/>
    <mergeCell ref="D1:E1"/>
    <mergeCell ref="F1:I1"/>
    <mergeCell ref="J1:O1"/>
    <mergeCell ref="A4:C4"/>
    <mergeCell ref="D4:D5"/>
    <mergeCell ref="E4:E5"/>
  </mergeCells>
  <hyperlinks>
    <hyperlink ref="D1:E1" location="Index!A1" display="Return to Index" xr:uid="{00000000-0004-0000-B600-000000000000}"/>
  </hyperlinks>
  <printOptions horizontalCentered="1"/>
  <pageMargins left="0.5" right="0.5" top="0.25" bottom="0.25" header="0" footer="0.25"/>
  <pageSetup scale="85" orientation="portrait" r:id="rId1"/>
  <headerFooter alignWithMargins="0"/>
  <rowBreaks count="1" manualBreakCount="1">
    <brk id="69" max="1" man="1"/>
  </rowBreaks>
  <legacyDrawing r:id="rId2"/>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sheetPr>
    <tabColor indexed="11"/>
    <pageSetUpPr fitToPage="1"/>
  </sheetPr>
  <dimension ref="A1:AJ129"/>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J52" sqref="J52"/>
    </sheetView>
  </sheetViews>
  <sheetFormatPr defaultColWidth="9.140625"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5.140625" style="164" customWidth="1"/>
    <col min="9" max="9" width="17.42578125" style="164" customWidth="1"/>
    <col min="10" max="10" width="15.5703125" style="164" customWidth="1"/>
    <col min="11" max="11" width="16" style="164" customWidth="1"/>
    <col min="12" max="12" width="17.140625" style="164" customWidth="1"/>
    <col min="13" max="13" width="21.140625" style="164" customWidth="1"/>
    <col min="14" max="14" width="4" style="164" customWidth="1"/>
    <col min="15" max="15" width="16.85546875" style="261" customWidth="1"/>
    <col min="16" max="16" width="25.7109375" style="264" customWidth="1"/>
    <col min="17" max="17" width="16.42578125" style="264" customWidth="1"/>
    <col min="18" max="18" width="18" style="264" customWidth="1"/>
    <col min="19" max="19" width="1.7109375" style="264" customWidth="1"/>
    <col min="20" max="20" width="17.140625" style="264" customWidth="1"/>
    <col min="21" max="21" width="16.85546875" style="264" customWidth="1"/>
    <col min="22" max="23" width="19.28515625" style="264" customWidth="1"/>
    <col min="24" max="24" width="19"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t="13.5" hidden="1" thickBot="1">
      <c r="A1" s="184">
        <v>0</v>
      </c>
      <c r="B1" s="184">
        <v>1</v>
      </c>
      <c r="D1" s="184">
        <v>2</v>
      </c>
      <c r="E1" s="184">
        <v>3</v>
      </c>
      <c r="F1" s="184">
        <v>4</v>
      </c>
      <c r="G1" s="184">
        <v>5</v>
      </c>
      <c r="H1" s="184">
        <v>6</v>
      </c>
      <c r="I1" s="184">
        <v>7</v>
      </c>
      <c r="J1" s="184">
        <v>8</v>
      </c>
      <c r="K1" s="184">
        <v>9</v>
      </c>
      <c r="L1" s="184">
        <v>10</v>
      </c>
      <c r="M1" s="184">
        <v>11</v>
      </c>
      <c r="N1" s="184">
        <v>12</v>
      </c>
      <c r="O1" s="1543"/>
      <c r="P1" s="263"/>
      <c r="Q1" s="263"/>
      <c r="R1" s="263"/>
      <c r="S1" s="263"/>
      <c r="T1" s="263"/>
      <c r="U1" s="263"/>
      <c r="V1" s="263"/>
      <c r="W1" s="263"/>
      <c r="X1" s="263"/>
      <c r="Y1" s="263"/>
      <c r="Z1" s="263"/>
      <c r="AA1" s="263"/>
      <c r="AB1" s="263"/>
    </row>
    <row r="2" spans="1:28" ht="21" thickBot="1">
      <c r="A2" s="184">
        <v>1</v>
      </c>
      <c r="B2" s="1713" t="str">
        <f>'Shsu Chrts'!$A$1</f>
        <v>Sam Houston State University -  All Disciplines (A+H+NF)</v>
      </c>
      <c r="C2" s="1713"/>
      <c r="D2" s="1713"/>
      <c r="E2" s="1713"/>
      <c r="F2" s="1742"/>
      <c r="G2" s="1345"/>
      <c r="H2" s="161"/>
      <c r="I2" s="320" t="str">
        <f>IF($B$2&lt;&gt;Input!$B$60,"Name Mismatch","")</f>
        <v/>
      </c>
      <c r="K2" s="169"/>
      <c r="L2" s="169"/>
      <c r="M2" s="170"/>
      <c r="O2" s="835" t="s">
        <v>1200</v>
      </c>
      <c r="P2" s="36"/>
    </row>
    <row r="3" spans="1:28" ht="20.25">
      <c r="A3" s="184">
        <v>2</v>
      </c>
      <c r="B3" s="1713" t="str">
        <f>'Smmy Chrts'!$A$2</f>
        <v>For the Year Ended August 31, 2021</v>
      </c>
      <c r="C3" s="1713"/>
      <c r="D3" s="1713"/>
      <c r="E3" s="1713"/>
      <c r="F3" s="1742"/>
      <c r="G3" s="1175" t="s">
        <v>1395</v>
      </c>
      <c r="H3" s="161"/>
      <c r="I3" s="169"/>
      <c r="J3" s="168"/>
      <c r="K3" s="169"/>
      <c r="L3" s="169"/>
      <c r="M3" s="170"/>
      <c r="O3" s="74"/>
    </row>
    <row r="4" spans="1:28" ht="20.25">
      <c r="A4" s="184">
        <v>3</v>
      </c>
      <c r="B4" s="1713" t="str">
        <f>'Smmy Chrts'!$A$3</f>
        <v>Source: FY 2021 Annual Financial Report</v>
      </c>
      <c r="C4" s="1713"/>
      <c r="D4" s="1713"/>
      <c r="E4" s="1713"/>
      <c r="F4" s="1742"/>
      <c r="G4" s="1175" t="s">
        <v>1396</v>
      </c>
      <c r="H4" s="161"/>
      <c r="I4" s="169"/>
      <c r="J4" s="168"/>
      <c r="K4" s="169"/>
      <c r="L4" s="169"/>
      <c r="M4" s="170"/>
      <c r="O4" s="74"/>
      <c r="P4" s="1744" t="s">
        <v>93</v>
      </c>
      <c r="Q4" s="1745"/>
      <c r="T4" s="36" t="s">
        <v>250</v>
      </c>
    </row>
    <row r="5" spans="1:28">
      <c r="A5" s="184">
        <v>4</v>
      </c>
      <c r="B5" s="160"/>
      <c r="C5" s="160"/>
      <c r="D5" s="160"/>
      <c r="E5" s="160"/>
      <c r="F5" s="160"/>
      <c r="G5" s="160"/>
      <c r="H5" s="160"/>
      <c r="I5" s="160"/>
      <c r="J5" s="160"/>
      <c r="K5" s="160"/>
      <c r="L5" s="160"/>
      <c r="M5" s="166"/>
      <c r="O5" s="1543"/>
    </row>
    <row r="6" spans="1:28">
      <c r="A6" s="184">
        <v>5</v>
      </c>
      <c r="B6" s="1715" t="str">
        <f>'Smmy Chrts'!$C$32</f>
        <v>Detail Worksheet FY 2021</v>
      </c>
      <c r="C6" s="1715"/>
      <c r="D6" s="1743"/>
      <c r="E6" s="1743"/>
      <c r="F6" s="1743"/>
      <c r="G6" s="1743"/>
      <c r="H6" s="1743"/>
      <c r="I6" s="1743"/>
      <c r="J6" s="1743"/>
      <c r="K6" s="1743"/>
      <c r="L6" s="1743"/>
      <c r="M6" s="1743"/>
      <c r="O6" s="265"/>
    </row>
    <row r="7" spans="1:28">
      <c r="A7" s="184">
        <v>6</v>
      </c>
      <c r="B7" s="172"/>
      <c r="C7" s="172"/>
      <c r="D7" s="160"/>
      <c r="E7" s="160"/>
      <c r="F7" s="160"/>
      <c r="G7" s="160"/>
      <c r="H7" s="160"/>
      <c r="I7" s="160"/>
      <c r="J7" s="160"/>
      <c r="K7" s="160"/>
      <c r="L7" s="160"/>
      <c r="M7" s="173" t="str">
        <f>'Smmy Chrts'!$C$33</f>
        <v>FY 2021</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Input!$M$60</f>
        <v>69852319</v>
      </c>
      <c r="E10" s="372">
        <f>Input!$N$60</f>
        <v>0</v>
      </c>
      <c r="F10" s="372">
        <f>Input!$O$60</f>
        <v>0</v>
      </c>
      <c r="G10" s="372">
        <f>Input!$P$60</f>
        <v>0</v>
      </c>
      <c r="H10" s="372">
        <f>Input!$Q$60</f>
        <v>0</v>
      </c>
      <c r="I10" s="372">
        <f>Input!$R$60</f>
        <v>0</v>
      </c>
      <c r="J10" s="372">
        <f>Input!$S$60</f>
        <v>0</v>
      </c>
      <c r="K10" s="372">
        <f>Input!$T$60</f>
        <v>0</v>
      </c>
      <c r="L10" s="372">
        <f>Input!$U$60</f>
        <v>0</v>
      </c>
      <c r="M10" s="373">
        <f t="shared" ref="M10:M15" si="0">D10+E10+F10+G10+H10+I10+J10+K10+L10</f>
        <v>69852319</v>
      </c>
      <c r="N10" s="160"/>
      <c r="O10" s="271"/>
      <c r="P10" s="1718" t="s">
        <v>575</v>
      </c>
      <c r="U10" s="268"/>
    </row>
    <row r="11" spans="1:28">
      <c r="A11" s="184">
        <v>10</v>
      </c>
      <c r="B11" s="160" t="s">
        <v>2</v>
      </c>
      <c r="C11" s="160"/>
      <c r="D11" s="372">
        <f>Input!$V$60</f>
        <v>0</v>
      </c>
      <c r="E11" s="372">
        <f>Input!$W$60</f>
        <v>0</v>
      </c>
      <c r="F11" s="372">
        <f>Input!$X$60</f>
        <v>0</v>
      </c>
      <c r="G11" s="372">
        <f>Input!$Y$60</f>
        <v>20264665</v>
      </c>
      <c r="H11" s="372">
        <f>Input!$Z$60</f>
        <v>0</v>
      </c>
      <c r="I11" s="372">
        <f>Input!$AA$60</f>
        <v>0</v>
      </c>
      <c r="J11" s="372">
        <f>Input!$AB$60</f>
        <v>0</v>
      </c>
      <c r="K11" s="372">
        <f>Input!$AC$60</f>
        <v>0</v>
      </c>
      <c r="L11" s="372">
        <f>Input!$AD$60</f>
        <v>0</v>
      </c>
      <c r="M11" s="373">
        <f t="shared" si="0"/>
        <v>20264665</v>
      </c>
      <c r="N11" s="160"/>
      <c r="O11" s="482"/>
      <c r="P11" s="1719"/>
      <c r="U11" s="268"/>
    </row>
    <row r="12" spans="1:28" ht="12.75" hidden="1" customHeight="1">
      <c r="B12" s="171" t="s">
        <v>1410</v>
      </c>
      <c r="C12" s="160"/>
      <c r="D12" s="372"/>
      <c r="E12" s="372"/>
      <c r="F12" s="372"/>
      <c r="G12" s="372"/>
      <c r="H12" s="372"/>
      <c r="I12" s="372"/>
      <c r="J12" s="372"/>
      <c r="K12" s="372"/>
      <c r="L12" s="372"/>
      <c r="M12" s="373"/>
      <c r="N12" s="171"/>
      <c r="O12" s="482"/>
      <c r="P12" s="483"/>
      <c r="U12" s="272"/>
    </row>
    <row r="13" spans="1:28">
      <c r="A13" s="184">
        <v>12</v>
      </c>
      <c r="B13" s="171" t="s">
        <v>1368</v>
      </c>
      <c r="C13" s="160"/>
      <c r="D13" s="372">
        <f>Input!$AN$60</f>
        <v>18236811</v>
      </c>
      <c r="E13" s="372">
        <f>Input!$AO$60</f>
        <v>0</v>
      </c>
      <c r="F13" s="372">
        <f>Input!$AP$60</f>
        <v>0</v>
      </c>
      <c r="G13" s="372">
        <f>Input!$AQ$60</f>
        <v>0</v>
      </c>
      <c r="H13" s="372">
        <f>Input!$AR$60</f>
        <v>0</v>
      </c>
      <c r="I13" s="372">
        <f>Input!$AS$60</f>
        <v>0</v>
      </c>
      <c r="J13" s="372">
        <f>Input!$AT$60</f>
        <v>0</v>
      </c>
      <c r="K13" s="372">
        <f>Input!$AU$60</f>
        <v>0</v>
      </c>
      <c r="L13" s="372">
        <f>Input!$AV$60</f>
        <v>0</v>
      </c>
      <c r="M13" s="373">
        <f t="shared" si="0"/>
        <v>18236811</v>
      </c>
      <c r="N13" s="160"/>
      <c r="O13" s="482" t="str">
        <f>IF(P13&lt;&gt;M13,"Out of Balance","Balanced")</f>
        <v>Out of Balance</v>
      </c>
      <c r="P13" s="484">
        <f>IFERROR(VLOOKUP($B$2,AMTLU,6,FALSE),0)</f>
        <v>0</v>
      </c>
      <c r="U13" s="268"/>
    </row>
    <row r="14" spans="1:28">
      <c r="A14" s="184">
        <v>13</v>
      </c>
      <c r="B14" s="160" t="s">
        <v>49</v>
      </c>
      <c r="C14" s="160"/>
      <c r="D14" s="372">
        <f>Input!$AW$60</f>
        <v>0</v>
      </c>
      <c r="E14" s="372">
        <f>Input!$AX$60</f>
        <v>0</v>
      </c>
      <c r="F14" s="372">
        <f>Input!$AY$60</f>
        <v>0</v>
      </c>
      <c r="G14" s="372">
        <f>Input!$AZ$60</f>
        <v>0</v>
      </c>
      <c r="H14" s="372">
        <f>Input!$BA$60</f>
        <v>0</v>
      </c>
      <c r="I14" s="372">
        <f>Input!$BB$60</f>
        <v>0</v>
      </c>
      <c r="J14" s="372">
        <f>Input!$BC$60</f>
        <v>0</v>
      </c>
      <c r="K14" s="372">
        <f>Input!$BD$60</f>
        <v>0</v>
      </c>
      <c r="L14" s="372">
        <f>Input!$BE$60</f>
        <v>0</v>
      </c>
      <c r="M14" s="373">
        <f t="shared" si="0"/>
        <v>0</v>
      </c>
      <c r="N14" s="160"/>
      <c r="O14" s="482"/>
      <c r="P14" s="485"/>
    </row>
    <row r="15" spans="1:28" ht="15">
      <c r="A15" s="184">
        <v>14</v>
      </c>
      <c r="B15" s="176" t="s">
        <v>3</v>
      </c>
      <c r="C15" s="176"/>
      <c r="D15" s="374">
        <f t="shared" ref="D15:L15" si="1">SUM(D10:D14)</f>
        <v>88089130</v>
      </c>
      <c r="E15" s="374">
        <f t="shared" si="1"/>
        <v>0</v>
      </c>
      <c r="F15" s="374">
        <f t="shared" si="1"/>
        <v>0</v>
      </c>
      <c r="G15" s="374">
        <f t="shared" si="1"/>
        <v>20264665</v>
      </c>
      <c r="H15" s="374">
        <f t="shared" si="1"/>
        <v>0</v>
      </c>
      <c r="I15" s="374">
        <f t="shared" si="1"/>
        <v>0</v>
      </c>
      <c r="J15" s="374">
        <f t="shared" si="1"/>
        <v>0</v>
      </c>
      <c r="K15" s="374">
        <f t="shared" si="1"/>
        <v>0</v>
      </c>
      <c r="L15" s="374">
        <f t="shared" si="1"/>
        <v>0</v>
      </c>
      <c r="M15" s="374">
        <f t="shared" si="0"/>
        <v>108353795</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58" t="s">
        <v>1042</v>
      </c>
      <c r="C18" s="558"/>
      <c r="D18" s="374">
        <f t="shared" ref="D18:L18" si="2">D23-SUM(D19:D22)</f>
        <v>39045930</v>
      </c>
      <c r="E18" s="374">
        <f t="shared" si="2"/>
        <v>112188056</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151233986</v>
      </c>
      <c r="V18" s="327"/>
      <c r="X18" s="330"/>
    </row>
    <row r="19" spans="1:26" s="264" customFormat="1" ht="12.75" customHeight="1" thickTop="1" thickBot="1">
      <c r="A19" s="263"/>
      <c r="B19" s="261" t="s">
        <v>722</v>
      </c>
      <c r="C19" s="261"/>
      <c r="D19" s="372">
        <f>Input!$BF$60</f>
        <v>0</v>
      </c>
      <c r="E19" s="372">
        <f>Input!$BG$60</f>
        <v>0</v>
      </c>
      <c r="F19" s="372">
        <f>Input!$BH$60</f>
        <v>0</v>
      </c>
      <c r="G19" s="372">
        <f>Input!$BI$60</f>
        <v>0</v>
      </c>
      <c r="H19" s="372">
        <f>Input!$BJ$60</f>
        <v>0</v>
      </c>
      <c r="I19" s="372">
        <f>Input!$BK$60</f>
        <v>0</v>
      </c>
      <c r="J19" s="372">
        <f>Input!$BL$60</f>
        <v>0</v>
      </c>
      <c r="K19" s="372">
        <f>Input!$BM$60</f>
        <v>0</v>
      </c>
      <c r="L19" s="372">
        <f>Input!$BN$60</f>
        <v>0</v>
      </c>
      <c r="M19" s="373">
        <f t="shared" si="3"/>
        <v>0</v>
      </c>
      <c r="O19" s="1732" t="s">
        <v>1294</v>
      </c>
      <c r="P19" s="1733"/>
      <c r="Q19" s="1733"/>
      <c r="R19" s="1734"/>
      <c r="T19" s="1735" t="s">
        <v>1043</v>
      </c>
      <c r="U19" s="1736"/>
      <c r="V19" s="1736"/>
      <c r="W19" s="1736"/>
      <c r="X19" s="1737"/>
    </row>
    <row r="20" spans="1:26" s="264" customFormat="1" ht="12.75" customHeight="1" thickTop="1">
      <c r="A20" s="263"/>
      <c r="B20" s="261" t="s">
        <v>723</v>
      </c>
      <c r="C20" s="261"/>
      <c r="D20" s="372">
        <f>Input!$BO$60</f>
        <v>0</v>
      </c>
      <c r="E20" s="372">
        <f>Input!$BP$60</f>
        <v>0</v>
      </c>
      <c r="F20" s="372">
        <f>Input!$BQ$60</f>
        <v>0</v>
      </c>
      <c r="G20" s="372">
        <f>Input!$BR$60</f>
        <v>0</v>
      </c>
      <c r="H20" s="372">
        <f>Input!$BS$60</f>
        <v>0</v>
      </c>
      <c r="I20" s="372">
        <f>Input!$BT$60</f>
        <v>0</v>
      </c>
      <c r="J20" s="372">
        <f>Input!$BU$60</f>
        <v>0</v>
      </c>
      <c r="K20" s="372">
        <f>Input!$BV$60</f>
        <v>0</v>
      </c>
      <c r="L20" s="372">
        <f>Input!$BW$60</f>
        <v>0</v>
      </c>
      <c r="M20" s="373">
        <f t="shared" si="3"/>
        <v>0</v>
      </c>
      <c r="O20" s="421" t="s">
        <v>288</v>
      </c>
      <c r="P20" s="422"/>
      <c r="Q20" s="414"/>
      <c r="R20" s="559"/>
      <c r="T20" s="560" t="s">
        <v>1044</v>
      </c>
      <c r="U20" s="266"/>
      <c r="V20" s="266"/>
      <c r="X20" s="425"/>
    </row>
    <row r="21" spans="1:26" s="264" customFormat="1">
      <c r="A21" s="263"/>
      <c r="B21" s="261" t="s">
        <v>724</v>
      </c>
      <c r="C21" s="261"/>
      <c r="D21" s="372">
        <f>Input!$BX$60</f>
        <v>0</v>
      </c>
      <c r="E21" s="372">
        <f>Input!$BY$60</f>
        <v>0</v>
      </c>
      <c r="F21" s="372">
        <f>Input!$BZ$60</f>
        <v>0</v>
      </c>
      <c r="G21" s="372">
        <f>Input!$CA$60</f>
        <v>0</v>
      </c>
      <c r="H21" s="372">
        <f>Input!$CB$60</f>
        <v>0</v>
      </c>
      <c r="I21" s="372">
        <f>Input!$CC$60</f>
        <v>0</v>
      </c>
      <c r="J21" s="372">
        <f>Input!$CD$60</f>
        <v>0</v>
      </c>
      <c r="K21" s="372">
        <f>Input!$CE$60</f>
        <v>0</v>
      </c>
      <c r="L21" s="372">
        <f>Input!$CF$60</f>
        <v>0</v>
      </c>
      <c r="M21" s="373">
        <f t="shared" si="3"/>
        <v>0</v>
      </c>
      <c r="O21" s="434"/>
      <c r="R21" s="561"/>
      <c r="T21" s="650" t="s">
        <v>1045</v>
      </c>
      <c r="U21" s="266"/>
      <c r="V21" s="266"/>
      <c r="W21" s="651">
        <f>M44</f>
        <v>180964247</v>
      </c>
      <c r="X21" s="425"/>
      <c r="Z21" s="330"/>
    </row>
    <row r="22" spans="1:26" s="264" customFormat="1">
      <c r="A22" s="263"/>
      <c r="B22" s="261" t="s">
        <v>725</v>
      </c>
      <c r="C22" s="261"/>
      <c r="D22" s="372">
        <f>Input!$CG$60</f>
        <v>0</v>
      </c>
      <c r="E22" s="372">
        <f>Input!$CH$60</f>
        <v>0</v>
      </c>
      <c r="F22" s="372">
        <f>Input!$CI$60</f>
        <v>0</v>
      </c>
      <c r="G22" s="372">
        <f>Input!$CJ$60</f>
        <v>0</v>
      </c>
      <c r="H22" s="372">
        <f>Input!$CK$60</f>
        <v>0</v>
      </c>
      <c r="I22" s="372">
        <f>Input!$CL$60</f>
        <v>0</v>
      </c>
      <c r="J22" s="372">
        <f>Input!$CM$60</f>
        <v>0</v>
      </c>
      <c r="K22" s="372">
        <f>Input!$CN$60</f>
        <v>0</v>
      </c>
      <c r="L22" s="372">
        <f>Input!$CO$60</f>
        <v>0</v>
      </c>
      <c r="M22" s="373">
        <f t="shared" si="3"/>
        <v>0</v>
      </c>
      <c r="N22" s="270"/>
      <c r="O22" s="434" t="s">
        <v>1046</v>
      </c>
      <c r="P22" s="276"/>
      <c r="Q22" s="424">
        <f>M23</f>
        <v>151233986</v>
      </c>
      <c r="R22" s="562"/>
      <c r="T22" s="650" t="s">
        <v>1047</v>
      </c>
      <c r="U22" s="266"/>
      <c r="V22" s="266"/>
      <c r="W22" s="652">
        <f>R30*-1</f>
        <v>65302118</v>
      </c>
      <c r="X22" s="425"/>
    </row>
    <row r="23" spans="1:26" s="264" customFormat="1" ht="12.75" customHeight="1">
      <c r="A23" s="263"/>
      <c r="B23" s="558" t="s">
        <v>726</v>
      </c>
      <c r="C23" s="563"/>
      <c r="D23" s="564">
        <f>Input!$CP$60</f>
        <v>39045930</v>
      </c>
      <c r="E23" s="564">
        <f>Input!$CQ$60</f>
        <v>112188056</v>
      </c>
      <c r="F23" s="564">
        <f>Input!$CR$60</f>
        <v>0</v>
      </c>
      <c r="G23" s="564">
        <f>Input!$CS$60</f>
        <v>0</v>
      </c>
      <c r="H23" s="564">
        <f>Input!$CT$60</f>
        <v>0</v>
      </c>
      <c r="I23" s="564">
        <f>Input!$CU$60</f>
        <v>0</v>
      </c>
      <c r="J23" s="564">
        <f>Input!$CV$60</f>
        <v>0</v>
      </c>
      <c r="K23" s="564">
        <f>Input!$CW$60</f>
        <v>0</v>
      </c>
      <c r="L23" s="564">
        <f>Input!$CX$60</f>
        <v>0</v>
      </c>
      <c r="M23" s="565">
        <f t="shared" si="3"/>
        <v>151233986</v>
      </c>
      <c r="O23" s="434"/>
      <c r="P23" s="276"/>
      <c r="Q23" s="424"/>
      <c r="R23" s="562"/>
      <c r="T23" s="560" t="s">
        <v>1230</v>
      </c>
      <c r="U23" s="266"/>
      <c r="V23" s="266"/>
      <c r="W23" s="276"/>
      <c r="X23" s="425">
        <f>SUM(W21:W22)</f>
        <v>246266365</v>
      </c>
      <c r="Z23" s="330"/>
    </row>
    <row r="24" spans="1:26" s="264" customFormat="1" ht="12.75" customHeight="1">
      <c r="A24" s="263"/>
      <c r="B24" s="261" t="s">
        <v>727</v>
      </c>
      <c r="C24" s="566"/>
      <c r="D24" s="372">
        <f>Input!$CY$60</f>
        <v>-5049720</v>
      </c>
      <c r="E24" s="372">
        <f>Input!$CZ$60</f>
        <v>-70060</v>
      </c>
      <c r="F24" s="372">
        <f>Input!$DA$60</f>
        <v>0</v>
      </c>
      <c r="G24" s="372">
        <f>Input!$DB$60</f>
        <v>0</v>
      </c>
      <c r="H24" s="372">
        <f>Input!$DC$60</f>
        <v>0</v>
      </c>
      <c r="I24" s="372">
        <f>Input!$DD$60</f>
        <v>0</v>
      </c>
      <c r="J24" s="372">
        <f>Input!$DE$60</f>
        <v>0</v>
      </c>
      <c r="K24" s="372">
        <f>Input!$DF$60</f>
        <v>0</v>
      </c>
      <c r="L24" s="372">
        <f>Input!$DG$60</f>
        <v>0</v>
      </c>
      <c r="M24" s="567">
        <f t="shared" si="3"/>
        <v>-5119780</v>
      </c>
      <c r="O24" s="417" t="s">
        <v>1048</v>
      </c>
      <c r="P24" s="276"/>
      <c r="Q24" s="327"/>
      <c r="R24" s="646">
        <f>SUM(M24:M28)</f>
        <v>-58170146</v>
      </c>
      <c r="T24" s="560"/>
      <c r="U24" s="266"/>
      <c r="V24" s="266"/>
      <c r="X24" s="425"/>
      <c r="Z24" s="330"/>
    </row>
    <row r="25" spans="1:26" s="264" customFormat="1" ht="12.75" customHeight="1">
      <c r="A25" s="263"/>
      <c r="B25" s="261" t="s">
        <v>728</v>
      </c>
      <c r="C25" s="566"/>
      <c r="D25" s="372">
        <f>Input!DH6</f>
        <v>0</v>
      </c>
      <c r="E25" s="372">
        <f>Input!$DI$60</f>
        <v>0</v>
      </c>
      <c r="F25" s="372">
        <f>Input!$DJ$60</f>
        <v>0</v>
      </c>
      <c r="G25" s="372">
        <f>Input!$DK$60</f>
        <v>0</v>
      </c>
      <c r="H25" s="372">
        <f>Input!$DL$60</f>
        <v>0</v>
      </c>
      <c r="I25" s="372">
        <f>Input!$DM$60</f>
        <v>0</v>
      </c>
      <c r="J25" s="372">
        <f>Input!$DN$60</f>
        <v>0</v>
      </c>
      <c r="K25" s="372">
        <f>Input!$DO$60</f>
        <v>0</v>
      </c>
      <c r="L25" s="372">
        <f>Input!$DP$60</f>
        <v>0</v>
      </c>
      <c r="M25" s="567">
        <f t="shared" si="3"/>
        <v>0</v>
      </c>
      <c r="O25" s="434"/>
      <c r="P25" s="276"/>
      <c r="Q25" s="327"/>
      <c r="R25" s="646"/>
      <c r="T25" s="568" t="s">
        <v>1103</v>
      </c>
      <c r="U25" s="569"/>
      <c r="V25" s="569"/>
      <c r="W25" s="653">
        <f>(M26+M39)*-1</f>
        <v>17892700</v>
      </c>
      <c r="X25" s="425"/>
      <c r="Z25" s="330"/>
    </row>
    <row r="26" spans="1:26" s="264" customFormat="1" ht="12.75" customHeight="1">
      <c r="A26" s="263"/>
      <c r="B26" s="261" t="s">
        <v>729</v>
      </c>
      <c r="C26" s="566"/>
      <c r="D26" s="372">
        <f>Input!$DQ$60</f>
        <v>-3784272</v>
      </c>
      <c r="E26" s="372">
        <f>Input!$DR$60</f>
        <v>-6976456</v>
      </c>
      <c r="F26" s="372">
        <f>Input!$DS$60</f>
        <v>0</v>
      </c>
      <c r="G26" s="372">
        <f>Input!$DT$60</f>
        <v>0</v>
      </c>
      <c r="H26" s="372">
        <f>Input!$DU$60</f>
        <v>0</v>
      </c>
      <c r="I26" s="372">
        <f>Input!$DV$60</f>
        <v>0</v>
      </c>
      <c r="J26" s="372">
        <f>Input!$DW$60</f>
        <v>0</v>
      </c>
      <c r="K26" s="372">
        <f>Input!$DX$60</f>
        <v>0</v>
      </c>
      <c r="L26" s="372">
        <f>Input!$DY$60</f>
        <v>0</v>
      </c>
      <c r="M26" s="567">
        <f t="shared" si="3"/>
        <v>-10760728</v>
      </c>
      <c r="O26" s="434" t="s">
        <v>1049</v>
      </c>
      <c r="P26" s="276"/>
      <c r="Q26" s="427">
        <f>M36</f>
        <v>95032379</v>
      </c>
      <c r="R26" s="570"/>
      <c r="T26" s="560" t="s">
        <v>1104</v>
      </c>
      <c r="U26" s="266"/>
      <c r="V26" s="266"/>
      <c r="W26" s="571">
        <f>(M21+M34)*-1</f>
        <v>0</v>
      </c>
      <c r="X26" s="425"/>
      <c r="Z26" s="330"/>
    </row>
    <row r="27" spans="1:26" s="264" customFormat="1">
      <c r="A27" s="263"/>
      <c r="B27" s="261" t="s">
        <v>730</v>
      </c>
      <c r="C27" s="566"/>
      <c r="D27" s="372">
        <f>Input!$DZ$60</f>
        <v>0</v>
      </c>
      <c r="E27" s="372">
        <f>Input!$EA$60</f>
        <v>0</v>
      </c>
      <c r="F27" s="372">
        <f>Input!$EB$60</f>
        <v>0</v>
      </c>
      <c r="G27" s="372">
        <f>Input!$EC$60</f>
        <v>0</v>
      </c>
      <c r="H27" s="372">
        <f>Input!$ED$60</f>
        <v>0</v>
      </c>
      <c r="I27" s="372">
        <f>Input!$EE$60</f>
        <v>0</v>
      </c>
      <c r="J27" s="372">
        <f>Input!$EF$60</f>
        <v>0</v>
      </c>
      <c r="K27" s="372">
        <f>Input!$EG$60</f>
        <v>0</v>
      </c>
      <c r="L27" s="372">
        <f>Input!EH6</f>
        <v>0</v>
      </c>
      <c r="M27" s="567">
        <f t="shared" si="3"/>
        <v>0</v>
      </c>
      <c r="O27" s="434"/>
      <c r="P27" s="276"/>
      <c r="Q27" s="427"/>
      <c r="R27" s="570"/>
      <c r="T27" s="650" t="s">
        <v>1105</v>
      </c>
      <c r="U27" s="584"/>
      <c r="V27" s="584"/>
      <c r="W27" s="654">
        <f>SUM(W25:W26)</f>
        <v>17892700</v>
      </c>
      <c r="X27" s="655"/>
    </row>
    <row r="28" spans="1:26" s="264" customFormat="1">
      <c r="A28" s="263"/>
      <c r="B28" s="261" t="s">
        <v>2133</v>
      </c>
      <c r="C28" s="566"/>
      <c r="D28" s="372">
        <f>Input!$EI$60</f>
        <v>0</v>
      </c>
      <c r="E28" s="372">
        <f>Input!$EJ$60</f>
        <v>-42289638</v>
      </c>
      <c r="F28" s="372">
        <f>Input!$EK$60</f>
        <v>0</v>
      </c>
      <c r="G28" s="372">
        <f>Input!$EL$60</f>
        <v>0</v>
      </c>
      <c r="H28" s="372">
        <f>Input!$EM$60</f>
        <v>0</v>
      </c>
      <c r="I28" s="372">
        <f>Input!$EN$60</f>
        <v>0</v>
      </c>
      <c r="J28" s="372">
        <f>Input!$EO$60</f>
        <v>0</v>
      </c>
      <c r="K28" s="372">
        <f>Input!$EP$60</f>
        <v>0</v>
      </c>
      <c r="L28" s="372">
        <f>Input!$EQ$60</f>
        <v>0</v>
      </c>
      <c r="M28" s="567">
        <f t="shared" si="3"/>
        <v>-42289638</v>
      </c>
      <c r="O28" s="417" t="s">
        <v>1050</v>
      </c>
      <c r="Q28" s="429"/>
      <c r="R28" s="646">
        <f>SUM(M37:M41)</f>
        <v>-7131972</v>
      </c>
      <c r="T28" s="560" t="s">
        <v>1106</v>
      </c>
      <c r="U28" s="266"/>
      <c r="V28" s="266"/>
      <c r="W28" s="425">
        <f>(M27+M40)*-1</f>
        <v>0</v>
      </c>
      <c r="X28" s="655"/>
      <c r="Z28" s="330"/>
    </row>
    <row r="29" spans="1:26" s="264" customFormat="1" ht="12" customHeight="1">
      <c r="A29" s="263"/>
      <c r="B29" s="575" t="s">
        <v>39</v>
      </c>
      <c r="C29" s="563"/>
      <c r="D29" s="374">
        <f t="shared" ref="D29:L29" si="4">SUM(D23:D28)</f>
        <v>30211938</v>
      </c>
      <c r="E29" s="374">
        <f t="shared" si="4"/>
        <v>62851902</v>
      </c>
      <c r="F29" s="374">
        <f t="shared" si="4"/>
        <v>0</v>
      </c>
      <c r="G29" s="374">
        <f t="shared" si="4"/>
        <v>0</v>
      </c>
      <c r="H29" s="374">
        <f t="shared" si="4"/>
        <v>0</v>
      </c>
      <c r="I29" s="374">
        <f t="shared" si="4"/>
        <v>0</v>
      </c>
      <c r="J29" s="374">
        <f t="shared" si="4"/>
        <v>0</v>
      </c>
      <c r="K29" s="374">
        <f t="shared" si="4"/>
        <v>0</v>
      </c>
      <c r="L29" s="374">
        <f t="shared" si="4"/>
        <v>0</v>
      </c>
      <c r="M29" s="374">
        <f t="shared" si="3"/>
        <v>93063840</v>
      </c>
      <c r="O29" s="417"/>
      <c r="Q29" s="429"/>
      <c r="R29" s="576"/>
      <c r="T29" s="560" t="s">
        <v>1107</v>
      </c>
      <c r="U29" s="266"/>
      <c r="V29" s="266"/>
      <c r="W29" s="571">
        <f>(M22+M35)*-1</f>
        <v>0</v>
      </c>
      <c r="X29" s="655"/>
    </row>
    <row r="30" spans="1:26" s="264" customFormat="1" ht="16.5" customHeight="1">
      <c r="A30" s="263"/>
      <c r="B30" s="261"/>
      <c r="C30" s="566"/>
      <c r="D30" s="566"/>
      <c r="E30" s="566"/>
      <c r="F30" s="566"/>
      <c r="G30" s="566"/>
      <c r="H30" s="566"/>
      <c r="I30" s="566"/>
      <c r="J30" s="566"/>
      <c r="K30" s="566"/>
      <c r="L30" s="566"/>
      <c r="M30" s="567"/>
      <c r="O30" s="431" t="s">
        <v>289</v>
      </c>
      <c r="P30" s="432"/>
      <c r="Q30" s="433">
        <f>Q26+Q22</f>
        <v>246266365</v>
      </c>
      <c r="R30" s="647">
        <f>R28+R24</f>
        <v>-65302118</v>
      </c>
      <c r="T30" s="650" t="s">
        <v>1108</v>
      </c>
      <c r="U30" s="584"/>
      <c r="V30" s="584"/>
      <c r="W30" s="654">
        <f>SUM(W28:W29)</f>
        <v>0</v>
      </c>
      <c r="X30" s="655"/>
    </row>
    <row r="31" spans="1:26" s="264" customFormat="1" ht="12.75" customHeight="1">
      <c r="A31" s="263"/>
      <c r="B31" s="558" t="s">
        <v>1052</v>
      </c>
      <c r="C31" s="558"/>
      <c r="D31" s="374">
        <f t="shared" ref="D31:L31" si="5">D36-SUM(D32:D35)</f>
        <v>457509</v>
      </c>
      <c r="E31" s="374">
        <f t="shared" si="5"/>
        <v>83809733</v>
      </c>
      <c r="F31" s="374">
        <f t="shared" si="5"/>
        <v>10765137</v>
      </c>
      <c r="G31" s="374">
        <f t="shared" si="5"/>
        <v>0</v>
      </c>
      <c r="H31" s="374">
        <f t="shared" si="5"/>
        <v>0</v>
      </c>
      <c r="I31" s="374">
        <f t="shared" si="5"/>
        <v>0</v>
      </c>
      <c r="J31" s="374">
        <f t="shared" si="5"/>
        <v>0</v>
      </c>
      <c r="K31" s="374">
        <f t="shared" si="5"/>
        <v>0</v>
      </c>
      <c r="L31" s="374">
        <f t="shared" si="5"/>
        <v>0</v>
      </c>
      <c r="M31" s="374">
        <f t="shared" ref="M31:M42" si="6">D31+E31+F31+G31+H31+I31+J31+K31+L31</f>
        <v>95032379</v>
      </c>
      <c r="O31" s="434" t="s">
        <v>290</v>
      </c>
      <c r="P31" s="276"/>
      <c r="Q31" s="335"/>
      <c r="R31" s="562"/>
      <c r="T31" s="572" t="s">
        <v>1109</v>
      </c>
      <c r="U31" s="573"/>
      <c r="V31" s="573"/>
      <c r="W31" s="574">
        <f>W27+W30</f>
        <v>17892700</v>
      </c>
      <c r="X31" s="425"/>
      <c r="Z31" s="330"/>
    </row>
    <row r="32" spans="1:26" s="264" customFormat="1" ht="12.75" customHeight="1">
      <c r="A32" s="263"/>
      <c r="B32" s="261" t="s">
        <v>722</v>
      </c>
      <c r="C32" s="261"/>
      <c r="D32" s="372">
        <f>Input!$ER$60</f>
        <v>0</v>
      </c>
      <c r="E32" s="372">
        <f>Input!$ES$60</f>
        <v>0</v>
      </c>
      <c r="F32" s="372">
        <f>Input!$ET$60</f>
        <v>0</v>
      </c>
      <c r="G32" s="372">
        <f>Input!$EU$60</f>
        <v>0</v>
      </c>
      <c r="H32" s="372">
        <f>Input!$EV$60</f>
        <v>0</v>
      </c>
      <c r="I32" s="372">
        <f>Input!$EW$60</f>
        <v>0</v>
      </c>
      <c r="J32" s="372">
        <f>Input!$EX$60</f>
        <v>0</v>
      </c>
      <c r="K32" s="372">
        <f>Input!$EY$60</f>
        <v>0</v>
      </c>
      <c r="L32" s="372">
        <f>Input!$EZ$60</f>
        <v>0</v>
      </c>
      <c r="M32" s="567">
        <f t="shared" si="6"/>
        <v>0</v>
      </c>
      <c r="O32" s="415" t="s">
        <v>1295</v>
      </c>
      <c r="P32" s="416"/>
      <c r="Q32" s="577">
        <f>Input!$SQ$60</f>
        <v>246266365</v>
      </c>
      <c r="R32" s="578"/>
      <c r="T32" s="560"/>
      <c r="U32" s="266"/>
      <c r="V32" s="266"/>
      <c r="X32" s="425"/>
      <c r="Z32" s="330"/>
    </row>
    <row r="33" spans="1:36" s="264" customFormat="1">
      <c r="A33" s="263"/>
      <c r="B33" s="261" t="s">
        <v>723</v>
      </c>
      <c r="C33" s="261"/>
      <c r="D33" s="372">
        <f>Input!$FA$60</f>
        <v>0</v>
      </c>
      <c r="E33" s="372">
        <f>Input!$FB$60</f>
        <v>0</v>
      </c>
      <c r="F33" s="372">
        <f>Input!$FC$60</f>
        <v>0</v>
      </c>
      <c r="G33" s="372">
        <f>Input!$FD$60</f>
        <v>0</v>
      </c>
      <c r="H33" s="372">
        <f>Input!$FE$60</f>
        <v>0</v>
      </c>
      <c r="I33" s="372">
        <f>Input!$FF$60</f>
        <v>0</v>
      </c>
      <c r="J33" s="372">
        <f>Input!$FG$60</f>
        <v>0</v>
      </c>
      <c r="K33" s="372">
        <f>Input!$FH$60</f>
        <v>0</v>
      </c>
      <c r="L33" s="372">
        <f>Input!$FI$60</f>
        <v>0</v>
      </c>
      <c r="M33" s="567">
        <f t="shared" si="6"/>
        <v>0</v>
      </c>
      <c r="O33" s="415"/>
      <c r="P33" s="416"/>
      <c r="Q33" s="327"/>
      <c r="R33" s="578"/>
      <c r="T33" s="560" t="s">
        <v>1051</v>
      </c>
      <c r="U33" s="266"/>
      <c r="V33" s="266"/>
      <c r="W33" s="334">
        <f>(M19+M32)*-1</f>
        <v>0</v>
      </c>
      <c r="X33" s="425"/>
    </row>
    <row r="34" spans="1:36" s="264" customFormat="1">
      <c r="A34" s="263"/>
      <c r="B34" s="261" t="s">
        <v>724</v>
      </c>
      <c r="C34" s="261"/>
      <c r="D34" s="372">
        <f>Input!$FJ$60</f>
        <v>0</v>
      </c>
      <c r="E34" s="372">
        <f>Input!$FK$60</f>
        <v>0</v>
      </c>
      <c r="F34" s="372">
        <f>Input!$FL$60</f>
        <v>0</v>
      </c>
      <c r="G34" s="372">
        <f>Input!$FM$60</f>
        <v>0</v>
      </c>
      <c r="H34" s="372">
        <f>Input!$FN$60</f>
        <v>0</v>
      </c>
      <c r="I34" s="372">
        <f>Input!$FO$60</f>
        <v>0</v>
      </c>
      <c r="J34" s="372">
        <f>Input!$FP$60</f>
        <v>0</v>
      </c>
      <c r="K34" s="372">
        <f>Input!$FQ$60</f>
        <v>0</v>
      </c>
      <c r="L34" s="372">
        <f>Input!$FR$60</f>
        <v>0</v>
      </c>
      <c r="M34" s="567">
        <f t="shared" si="6"/>
        <v>0</v>
      </c>
      <c r="O34" s="435" t="s">
        <v>1296</v>
      </c>
      <c r="P34" s="436"/>
      <c r="Q34" s="264" t="s">
        <v>291</v>
      </c>
      <c r="R34" s="648">
        <f>Input!$SR$60</f>
        <v>-65302118</v>
      </c>
      <c r="T34" s="560" t="s">
        <v>1110</v>
      </c>
      <c r="U34" s="266"/>
      <c r="V34" s="266"/>
      <c r="W34" s="430">
        <f>(M24+M37)*-1</f>
        <v>5119780</v>
      </c>
      <c r="X34" s="425"/>
    </row>
    <row r="35" spans="1:36" s="264" customFormat="1" ht="13.5" thickBot="1">
      <c r="A35" s="263"/>
      <c r="B35" s="261" t="s">
        <v>725</v>
      </c>
      <c r="C35" s="261"/>
      <c r="D35" s="372">
        <f>Input!$FS$60</f>
        <v>0</v>
      </c>
      <c r="E35" s="372">
        <f>Input!$FT$60</f>
        <v>0</v>
      </c>
      <c r="F35" s="372">
        <f>Input!$FU$60</f>
        <v>0</v>
      </c>
      <c r="G35" s="372">
        <f>Input!$FV$60</f>
        <v>0</v>
      </c>
      <c r="H35" s="372">
        <f>Input!$FW$60</f>
        <v>0</v>
      </c>
      <c r="I35" s="372">
        <f>Input!$FX$60</f>
        <v>0</v>
      </c>
      <c r="J35" s="372">
        <f>Input!$FY$60</f>
        <v>0</v>
      </c>
      <c r="K35" s="372">
        <f>Input!$FZ$60</f>
        <v>0</v>
      </c>
      <c r="L35" s="372">
        <f>Input!$GA$60</f>
        <v>0</v>
      </c>
      <c r="M35" s="567">
        <f t="shared" si="6"/>
        <v>0</v>
      </c>
      <c r="O35" s="418" t="s">
        <v>286</v>
      </c>
      <c r="P35" s="419"/>
      <c r="Q35" s="420">
        <f>Q30-Q32</f>
        <v>0</v>
      </c>
      <c r="R35" s="649">
        <f>R30-R34</f>
        <v>0</v>
      </c>
      <c r="T35" s="650" t="s">
        <v>1111</v>
      </c>
      <c r="U35" s="584"/>
      <c r="V35" s="584"/>
      <c r="W35" s="656">
        <f>SUM(W33:W34)</f>
        <v>5119780</v>
      </c>
      <c r="X35" s="655"/>
    </row>
    <row r="36" spans="1:36" s="264" customFormat="1" ht="13.5" thickTop="1">
      <c r="A36" s="263"/>
      <c r="B36" s="558" t="s">
        <v>732</v>
      </c>
      <c r="C36" s="563"/>
      <c r="D36" s="564">
        <f>Input!$GB$60</f>
        <v>457509</v>
      </c>
      <c r="E36" s="564">
        <f>Input!$GC$60</f>
        <v>83809733</v>
      </c>
      <c r="F36" s="564">
        <f>Input!$GD$60</f>
        <v>10765137</v>
      </c>
      <c r="G36" s="564">
        <f>Input!$GE$60</f>
        <v>0</v>
      </c>
      <c r="H36" s="564">
        <f>Input!$GF$60</f>
        <v>0</v>
      </c>
      <c r="I36" s="564">
        <f>Input!$GG$60</f>
        <v>0</v>
      </c>
      <c r="J36" s="564">
        <f>Input!$GH$60</f>
        <v>0</v>
      </c>
      <c r="K36" s="564">
        <f>Input!$GI$60</f>
        <v>0</v>
      </c>
      <c r="L36" s="564">
        <f>Input!$GJ$60</f>
        <v>0</v>
      </c>
      <c r="M36" s="565">
        <f t="shared" si="6"/>
        <v>95032379</v>
      </c>
      <c r="O36" s="261"/>
      <c r="Q36" s="412" t="str">
        <f>IF(Q30&lt;&gt;Q32,"Out of Balance","Balanced")</f>
        <v>Balanced</v>
      </c>
      <c r="R36" s="412" t="str">
        <f>IF(R30&lt;&gt;R34,"Out of Balance","Balanced")</f>
        <v>Balanced</v>
      </c>
      <c r="T36" s="560" t="s">
        <v>1053</v>
      </c>
      <c r="U36" s="266"/>
      <c r="V36" s="266"/>
      <c r="W36" s="334">
        <f>(M20+M33)*-1</f>
        <v>0</v>
      </c>
      <c r="X36" s="425"/>
    </row>
    <row r="37" spans="1:36" s="264" customFormat="1">
      <c r="A37" s="263"/>
      <c r="B37" s="261" t="s">
        <v>727</v>
      </c>
      <c r="C37" s="566"/>
      <c r="D37" s="372">
        <f>Input!$GK$60</f>
        <v>0</v>
      </c>
      <c r="E37" s="372">
        <f>Input!$GL$60</f>
        <v>0</v>
      </c>
      <c r="F37" s="372">
        <f>Input!$GM$60</f>
        <v>0</v>
      </c>
      <c r="G37" s="372">
        <f>Input!$GN$60</f>
        <v>0</v>
      </c>
      <c r="H37" s="372">
        <f>Input!$GO$60</f>
        <v>0</v>
      </c>
      <c r="I37" s="372">
        <f>Input!$GP$60</f>
        <v>0</v>
      </c>
      <c r="J37" s="372">
        <f>Input!$GQ$60</f>
        <v>0</v>
      </c>
      <c r="K37" s="372">
        <f>Input!$GR$60</f>
        <v>0</v>
      </c>
      <c r="L37" s="372">
        <f>Input!$GS$60</f>
        <v>0</v>
      </c>
      <c r="M37" s="567">
        <f t="shared" si="6"/>
        <v>0</v>
      </c>
      <c r="O37" s="261"/>
      <c r="T37" s="560" t="s">
        <v>1112</v>
      </c>
      <c r="U37" s="266"/>
      <c r="V37" s="266"/>
      <c r="W37" s="430">
        <f>(M25+M38)*-1</f>
        <v>0</v>
      </c>
      <c r="X37" s="655"/>
    </row>
    <row r="38" spans="1:36" s="264" customFormat="1">
      <c r="A38" s="263"/>
      <c r="B38" s="261" t="s">
        <v>728</v>
      </c>
      <c r="C38" s="566"/>
      <c r="D38" s="372">
        <f>Input!$GT$60</f>
        <v>0</v>
      </c>
      <c r="E38" s="372">
        <f>Input!$GU$60</f>
        <v>0</v>
      </c>
      <c r="F38" s="372">
        <f>Input!$GV$60</f>
        <v>0</v>
      </c>
      <c r="G38" s="372">
        <f>Input!$GW$60</f>
        <v>0</v>
      </c>
      <c r="H38" s="372">
        <f>Input!$GX$60</f>
        <v>0</v>
      </c>
      <c r="I38" s="372">
        <f>Input!$GY$60</f>
        <v>0</v>
      </c>
      <c r="J38" s="372">
        <f>Input!$GZ$60</f>
        <v>0</v>
      </c>
      <c r="K38" s="372">
        <f>Input!$HA$60</f>
        <v>0</v>
      </c>
      <c r="L38" s="372">
        <f>Input!$HB$60</f>
        <v>0</v>
      </c>
      <c r="M38" s="567">
        <f t="shared" si="6"/>
        <v>0</v>
      </c>
      <c r="O38" s="261"/>
      <c r="T38" s="650" t="s">
        <v>1113</v>
      </c>
      <c r="U38" s="584"/>
      <c r="V38" s="584"/>
      <c r="W38" s="656">
        <f>SUM(W36:W37)</f>
        <v>0</v>
      </c>
      <c r="X38" s="425"/>
    </row>
    <row r="39" spans="1:36" s="264" customFormat="1">
      <c r="A39" s="263"/>
      <c r="B39" s="261" t="s">
        <v>729</v>
      </c>
      <c r="C39" s="566"/>
      <c r="D39" s="372">
        <f>Input!$HC$60</f>
        <v>0</v>
      </c>
      <c r="E39" s="372">
        <f>Input!$HD$60</f>
        <v>-6987310</v>
      </c>
      <c r="F39" s="372">
        <f>Input!$HE$60</f>
        <v>-144662</v>
      </c>
      <c r="G39" s="372">
        <f>Input!$HF$60</f>
        <v>0</v>
      </c>
      <c r="H39" s="372">
        <f>Input!$HG$60</f>
        <v>0</v>
      </c>
      <c r="I39" s="372">
        <f>Input!$HH$60</f>
        <v>0</v>
      </c>
      <c r="J39" s="372">
        <f>Input!$HI$60</f>
        <v>0</v>
      </c>
      <c r="K39" s="372">
        <f>Input!$HJ$60</f>
        <v>0</v>
      </c>
      <c r="L39" s="372">
        <f>Input!$HK$60</f>
        <v>0</v>
      </c>
      <c r="M39" s="567">
        <f t="shared" si="6"/>
        <v>-7131972</v>
      </c>
      <c r="O39" s="261"/>
      <c r="T39" s="560" t="s">
        <v>1054</v>
      </c>
      <c r="U39" s="266"/>
      <c r="V39" s="266"/>
      <c r="W39" s="334"/>
      <c r="X39" s="425">
        <f>W38+W35</f>
        <v>5119780</v>
      </c>
    </row>
    <row r="40" spans="1:36" s="264" customFormat="1">
      <c r="A40" s="263"/>
      <c r="B40" s="261" t="s">
        <v>730</v>
      </c>
      <c r="C40" s="566"/>
      <c r="D40" s="372">
        <f>Input!$HL$60</f>
        <v>0</v>
      </c>
      <c r="E40" s="372">
        <f>Input!$HM$60</f>
        <v>0</v>
      </c>
      <c r="F40" s="372">
        <f>Input!$HN$60</f>
        <v>0</v>
      </c>
      <c r="G40" s="372">
        <f>Input!$HO$60</f>
        <v>0</v>
      </c>
      <c r="H40" s="372">
        <f>Input!$HP$60</f>
        <v>0</v>
      </c>
      <c r="I40" s="372">
        <f>Input!$HQ$60</f>
        <v>0</v>
      </c>
      <c r="J40" s="372">
        <f>Input!$HR$60</f>
        <v>0</v>
      </c>
      <c r="K40" s="372">
        <f>Input!$HS$60</f>
        <v>0</v>
      </c>
      <c r="L40" s="372">
        <f>Input!$HT$60</f>
        <v>0</v>
      </c>
      <c r="M40" s="567">
        <f t="shared" si="6"/>
        <v>0</v>
      </c>
      <c r="O40" s="261"/>
      <c r="T40" s="560"/>
      <c r="U40" s="261"/>
      <c r="V40" s="261"/>
      <c r="W40" s="261"/>
      <c r="X40" s="655"/>
    </row>
    <row r="41" spans="1:36" s="264" customFormat="1">
      <c r="A41" s="263"/>
      <c r="B41" s="261" t="s">
        <v>2133</v>
      </c>
      <c r="C41" s="566"/>
      <c r="D41" s="372">
        <f>Input!$HU$60</f>
        <v>0</v>
      </c>
      <c r="E41" s="372">
        <f>Input!$HV$60</f>
        <v>0</v>
      </c>
      <c r="F41" s="372">
        <f>Input!$HW$60</f>
        <v>0</v>
      </c>
      <c r="G41" s="372">
        <f>Input!$HX$60</f>
        <v>0</v>
      </c>
      <c r="H41" s="372">
        <f>Input!$HY$60</f>
        <v>0</v>
      </c>
      <c r="I41" s="372">
        <f>Input!$HZ$60</f>
        <v>0</v>
      </c>
      <c r="J41" s="372">
        <f>Input!$IA$60</f>
        <v>0</v>
      </c>
      <c r="K41" s="372">
        <f>Input!$IB$60</f>
        <v>0</v>
      </c>
      <c r="L41" s="372">
        <f>Input!$IC$60</f>
        <v>0</v>
      </c>
      <c r="M41" s="567">
        <f t="shared" si="6"/>
        <v>0</v>
      </c>
      <c r="O41"/>
      <c r="P41"/>
      <c r="Q41"/>
      <c r="R41"/>
      <c r="S41"/>
      <c r="T41" s="560" t="s">
        <v>1104</v>
      </c>
      <c r="U41" s="266"/>
      <c r="V41" s="266"/>
      <c r="W41" s="330">
        <f>(M21+M34)*-1</f>
        <v>0</v>
      </c>
      <c r="X41" s="425"/>
    </row>
    <row r="42" spans="1:36" s="264" customFormat="1">
      <c r="A42" s="263"/>
      <c r="B42" s="575" t="s">
        <v>40</v>
      </c>
      <c r="C42" s="563"/>
      <c r="D42" s="374">
        <f t="shared" ref="D42:L42" si="7">SUM(D36:D41)</f>
        <v>457509</v>
      </c>
      <c r="E42" s="374">
        <f t="shared" si="7"/>
        <v>76822423</v>
      </c>
      <c r="F42" s="374">
        <f t="shared" si="7"/>
        <v>10620475</v>
      </c>
      <c r="G42" s="374">
        <f t="shared" si="7"/>
        <v>0</v>
      </c>
      <c r="H42" s="374">
        <f t="shared" si="7"/>
        <v>0</v>
      </c>
      <c r="I42" s="374">
        <f t="shared" si="7"/>
        <v>0</v>
      </c>
      <c r="J42" s="374">
        <f t="shared" si="7"/>
        <v>0</v>
      </c>
      <c r="K42" s="374">
        <f t="shared" si="7"/>
        <v>0</v>
      </c>
      <c r="L42" s="374">
        <f t="shared" si="7"/>
        <v>0</v>
      </c>
      <c r="M42" s="374">
        <f t="shared" si="6"/>
        <v>87900407</v>
      </c>
      <c r="O42"/>
      <c r="P42"/>
      <c r="Q42"/>
      <c r="R42"/>
      <c r="S42"/>
      <c r="T42" s="560" t="s">
        <v>1107</v>
      </c>
      <c r="U42" s="266"/>
      <c r="V42" s="266"/>
      <c r="W42" s="430">
        <f>(M22+M35)*-1</f>
        <v>0</v>
      </c>
      <c r="X42" s="425"/>
    </row>
    <row r="43" spans="1:36" s="264" customFormat="1">
      <c r="A43" s="263"/>
      <c r="B43" s="261"/>
      <c r="C43" s="566"/>
      <c r="D43" s="566"/>
      <c r="E43" s="566"/>
      <c r="F43" s="566"/>
      <c r="G43" s="566"/>
      <c r="H43" s="566"/>
      <c r="I43" s="566"/>
      <c r="J43" s="566"/>
      <c r="K43" s="566"/>
      <c r="L43" s="566"/>
      <c r="M43" s="567"/>
      <c r="O43"/>
      <c r="P43"/>
      <c r="Q43"/>
      <c r="R43"/>
      <c r="S43"/>
      <c r="T43" s="650" t="s">
        <v>1114</v>
      </c>
      <c r="U43" s="584"/>
      <c r="V43" s="584"/>
      <c r="W43" s="656">
        <f>SUM(W41:W42)</f>
        <v>0</v>
      </c>
      <c r="X43" s="655"/>
    </row>
    <row r="44" spans="1:36" s="264" customFormat="1" ht="13.5" customHeight="1">
      <c r="A44" s="263"/>
      <c r="B44" s="575" t="s">
        <v>1055</v>
      </c>
      <c r="C44" s="563"/>
      <c r="D44" s="374">
        <f t="shared" ref="D44:L44" si="8">D42+D29</f>
        <v>30669447</v>
      </c>
      <c r="E44" s="374">
        <f t="shared" si="8"/>
        <v>139674325</v>
      </c>
      <c r="F44" s="374">
        <f t="shared" si="8"/>
        <v>10620475</v>
      </c>
      <c r="G44" s="374">
        <f t="shared" si="8"/>
        <v>0</v>
      </c>
      <c r="H44" s="374">
        <f t="shared" si="8"/>
        <v>0</v>
      </c>
      <c r="I44" s="374">
        <f t="shared" si="8"/>
        <v>0</v>
      </c>
      <c r="J44" s="374">
        <f t="shared" si="8"/>
        <v>0</v>
      </c>
      <c r="K44" s="374">
        <f t="shared" si="8"/>
        <v>0</v>
      </c>
      <c r="L44" s="374">
        <f t="shared" si="8"/>
        <v>0</v>
      </c>
      <c r="M44" s="374">
        <f>D44+E44+F44+G44+H44+I44+J44+K44+L44</f>
        <v>180964247</v>
      </c>
      <c r="O44"/>
      <c r="P44"/>
      <c r="Q44"/>
      <c r="R44"/>
      <c r="S44"/>
      <c r="T44" s="560"/>
      <c r="U44" s="266"/>
      <c r="V44" s="266"/>
      <c r="W44" s="276"/>
      <c r="X44" s="425"/>
    </row>
    <row r="45" spans="1:36">
      <c r="A45" s="184">
        <v>28</v>
      </c>
      <c r="B45" s="160"/>
      <c r="C45" s="160"/>
      <c r="D45" s="373"/>
      <c r="E45" s="373"/>
      <c r="F45" s="373"/>
      <c r="G45" s="373"/>
      <c r="H45" s="373"/>
      <c r="I45" s="373"/>
      <c r="J45" s="373"/>
      <c r="K45" s="373"/>
      <c r="L45" s="373"/>
      <c r="M45" s="373"/>
      <c r="N45" s="160"/>
      <c r="O45"/>
      <c r="P45"/>
      <c r="Q45"/>
      <c r="R45"/>
      <c r="S45"/>
      <c r="T45" s="560" t="s">
        <v>1110</v>
      </c>
      <c r="U45" s="266"/>
      <c r="V45" s="266"/>
      <c r="W45" s="334">
        <f>(M24+M37)*-1</f>
        <v>5119780</v>
      </c>
      <c r="X45" s="425"/>
    </row>
    <row r="46" spans="1:36">
      <c r="A46" s="184">
        <v>29</v>
      </c>
      <c r="B46" s="172" t="s">
        <v>6</v>
      </c>
      <c r="C46" s="172"/>
      <c r="D46" s="373"/>
      <c r="E46" s="373"/>
      <c r="F46" s="373"/>
      <c r="G46" s="373"/>
      <c r="H46" s="373"/>
      <c r="I46" s="373"/>
      <c r="J46" s="373"/>
      <c r="K46" s="373"/>
      <c r="L46" s="373"/>
      <c r="M46" s="373"/>
      <c r="N46" s="160"/>
      <c r="O46"/>
      <c r="P46"/>
      <c r="Q46"/>
      <c r="R46"/>
      <c r="S46"/>
      <c r="T46" s="560" t="s">
        <v>1112</v>
      </c>
      <c r="U46" s="266"/>
      <c r="V46" s="266"/>
      <c r="W46" s="430">
        <f>(M25+M38)*-1</f>
        <v>0</v>
      </c>
      <c r="X46" s="425"/>
    </row>
    <row r="47" spans="1:36">
      <c r="A47" s="184">
        <v>30</v>
      </c>
      <c r="B47" s="176" t="s">
        <v>7</v>
      </c>
      <c r="C47" s="176"/>
      <c r="D47" s="375">
        <f>Input!$ID$60</f>
        <v>0</v>
      </c>
      <c r="E47" s="375">
        <f>Input!$IE$60</f>
        <v>0</v>
      </c>
      <c r="F47" s="375">
        <f>Input!$IF$60</f>
        <v>0</v>
      </c>
      <c r="G47" s="375">
        <f>Input!$IG$60</f>
        <v>76077865</v>
      </c>
      <c r="H47" s="375">
        <f>Input!$IH$60</f>
        <v>0</v>
      </c>
      <c r="I47" s="375">
        <f>Input!$II$60</f>
        <v>0</v>
      </c>
      <c r="J47" s="375">
        <f>Input!$IJ$60</f>
        <v>0</v>
      </c>
      <c r="K47" s="375">
        <f>Input!$IK$60</f>
        <v>0</v>
      </c>
      <c r="L47" s="375">
        <f>Input!$IL$60</f>
        <v>0</v>
      </c>
      <c r="M47" s="374">
        <f>D47+E47+F47+G47+H47+I47+J47+K47+L47</f>
        <v>76077865</v>
      </c>
      <c r="N47" s="160"/>
      <c r="O47"/>
      <c r="P47"/>
      <c r="Q47"/>
      <c r="R47"/>
      <c r="S47"/>
      <c r="T47" s="657" t="s">
        <v>1115</v>
      </c>
      <c r="U47" s="27"/>
      <c r="V47" s="27"/>
      <c r="W47" s="656">
        <f>SUM(W45:W46)</f>
        <v>5119780</v>
      </c>
      <c r="X47" s="655"/>
    </row>
    <row r="48" spans="1:36" s="261" customFormat="1">
      <c r="A48" s="263">
        <v>31</v>
      </c>
      <c r="D48" s="373"/>
      <c r="E48" s="373"/>
      <c r="F48" s="373"/>
      <c r="G48" s="373"/>
      <c r="H48" s="373"/>
      <c r="I48" s="373"/>
      <c r="J48" s="373"/>
      <c r="K48" s="373"/>
      <c r="L48" s="373"/>
      <c r="M48" s="373"/>
      <c r="N48" s="264"/>
      <c r="O48" s="264"/>
      <c r="P48" s="264"/>
      <c r="Q48" s="330"/>
      <c r="R48" s="330"/>
      <c r="S48" s="264"/>
      <c r="T48" s="560"/>
      <c r="X48" s="658">
        <f>W43-W47</f>
        <v>-5119780</v>
      </c>
      <c r="Y48" s="264"/>
      <c r="Z48" s="264"/>
      <c r="AA48" s="264"/>
      <c r="AB48" s="264"/>
      <c r="AC48"/>
      <c r="AD48"/>
      <c r="AE48"/>
      <c r="AF48"/>
      <c r="AG48"/>
      <c r="AH48"/>
      <c r="AI48"/>
      <c r="AJ48"/>
    </row>
    <row r="49" spans="1:28" s="261" customFormat="1">
      <c r="A49" s="263">
        <v>32</v>
      </c>
      <c r="B49" s="5" t="s">
        <v>2121</v>
      </c>
      <c r="C49" s="5"/>
      <c r="D49" s="373"/>
      <c r="E49" s="373"/>
      <c r="F49" s="373"/>
      <c r="G49" s="373"/>
      <c r="H49" s="373"/>
      <c r="I49" s="373"/>
      <c r="J49" s="373"/>
      <c r="K49" s="373"/>
      <c r="L49" s="373"/>
      <c r="M49" s="373"/>
      <c r="O49" s="273"/>
      <c r="P49" s="264"/>
      <c r="Q49" s="264"/>
      <c r="R49" s="264"/>
      <c r="S49" s="264"/>
      <c r="T49" s="579" t="s">
        <v>287</v>
      </c>
      <c r="U49" s="511"/>
      <c r="V49" s="580"/>
      <c r="W49" s="580"/>
      <c r="X49" s="574">
        <f>SUM(X23:X48)</f>
        <v>246266365</v>
      </c>
      <c r="Y49" s="264"/>
      <c r="Z49" s="264"/>
      <c r="AA49" s="264"/>
    </row>
    <row r="50" spans="1:28" s="261" customFormat="1">
      <c r="A50" s="263">
        <v>33</v>
      </c>
      <c r="B50" s="1325" t="s">
        <v>2122</v>
      </c>
      <c r="C50" s="1325"/>
      <c r="D50" s="1326">
        <f>Input!$M$61</f>
        <v>0</v>
      </c>
      <c r="E50" s="1326">
        <f>Input!$N$61</f>
        <v>0</v>
      </c>
      <c r="F50" s="1326">
        <f>Input!$O$61</f>
        <v>0</v>
      </c>
      <c r="G50" s="1326">
        <f>Input!$P$61</f>
        <v>0</v>
      </c>
      <c r="H50" s="1326">
        <f>Input!$Q$61</f>
        <v>0</v>
      </c>
      <c r="I50" s="1326">
        <f>Input!$R$61</f>
        <v>0</v>
      </c>
      <c r="J50" s="1326">
        <f>Input!$S$61</f>
        <v>0</v>
      </c>
      <c r="K50" s="1326">
        <f>Input!$T$61</f>
        <v>0</v>
      </c>
      <c r="L50" s="1326">
        <f>Input!$U$61</f>
        <v>0</v>
      </c>
      <c r="M50" s="374">
        <f>D50+E50+F50+G50+H50+I50+J50+K50+L50</f>
        <v>0</v>
      </c>
      <c r="O50" s="273"/>
      <c r="P50" s="264"/>
      <c r="Q50" s="264"/>
      <c r="R50" s="264"/>
      <c r="S50" s="264"/>
      <c r="T50" s="264"/>
      <c r="Z50" s="264"/>
      <c r="AA50" s="264"/>
    </row>
    <row r="51" spans="1:28" s="261" customFormat="1">
      <c r="A51" s="263">
        <v>34</v>
      </c>
      <c r="B51" s="266"/>
      <c r="C51" s="266"/>
      <c r="D51" s="329"/>
      <c r="E51" s="329"/>
      <c r="F51" s="329"/>
      <c r="G51" s="329"/>
      <c r="H51" s="329"/>
      <c r="I51" s="329"/>
      <c r="J51" s="329"/>
      <c r="K51" s="329"/>
      <c r="L51" s="329"/>
      <c r="M51" s="329"/>
      <c r="P51" s="264"/>
      <c r="Q51" s="264"/>
      <c r="R51" s="264"/>
      <c r="S51" s="264"/>
      <c r="T51" s="264"/>
      <c r="Z51" s="264"/>
      <c r="AA51" s="264"/>
    </row>
    <row r="52" spans="1:28" s="261" customFormat="1">
      <c r="A52" s="263">
        <v>35</v>
      </c>
      <c r="B52" s="5" t="s">
        <v>2123</v>
      </c>
      <c r="C52" s="5"/>
      <c r="D52" s="373"/>
      <c r="E52" s="373"/>
      <c r="F52" s="373"/>
      <c r="G52" s="373"/>
      <c r="H52" s="373"/>
      <c r="I52" s="373"/>
      <c r="J52" s="373"/>
      <c r="K52" s="373"/>
      <c r="L52" s="373"/>
      <c r="M52" s="373"/>
      <c r="P52" s="264"/>
      <c r="Q52" s="264"/>
      <c r="R52" s="264"/>
      <c r="S52" s="264"/>
      <c r="T52" s="264"/>
      <c r="U52" s="264"/>
      <c r="V52" s="264"/>
      <c r="W52" s="264"/>
      <c r="X52" s="277"/>
      <c r="Y52" s="264"/>
      <c r="Z52" s="264"/>
      <c r="AA52" s="264"/>
    </row>
    <row r="53" spans="1:28" s="261" customFormat="1">
      <c r="A53" s="263">
        <v>36</v>
      </c>
      <c r="B53" s="1325" t="s">
        <v>2122</v>
      </c>
      <c r="C53" s="1325"/>
      <c r="D53" s="1326">
        <f>Input!$V$61</f>
        <v>0</v>
      </c>
      <c r="E53" s="1326">
        <f>Input!$W$61</f>
        <v>0</v>
      </c>
      <c r="F53" s="1326">
        <f>Input!$X$61</f>
        <v>0</v>
      </c>
      <c r="G53" s="1326">
        <f>Input!$Y$61</f>
        <v>0</v>
      </c>
      <c r="H53" s="1326">
        <f>Input!$Z$61</f>
        <v>0</v>
      </c>
      <c r="I53" s="1326">
        <f>Input!$AA$61</f>
        <v>0</v>
      </c>
      <c r="J53" s="1326">
        <f>Input!$AB$61</f>
        <v>0</v>
      </c>
      <c r="K53" s="1326">
        <f>Input!$AC$61</f>
        <v>0</v>
      </c>
      <c r="L53" s="1326">
        <f>Input!$AD$61</f>
        <v>0</v>
      </c>
      <c r="M53" s="374">
        <f>D53+E53+F53+G53+H53+I53+J53+K53+L53</f>
        <v>0</v>
      </c>
      <c r="P53" s="264"/>
      <c r="Q53" s="264"/>
      <c r="R53" s="264"/>
      <c r="S53" s="264"/>
      <c r="T53" s="264"/>
      <c r="U53" s="264"/>
      <c r="V53" s="264"/>
      <c r="W53" s="264"/>
      <c r="X53" s="277"/>
      <c r="Y53" s="264"/>
      <c r="Z53" s="264"/>
      <c r="AA53" s="264"/>
    </row>
    <row r="54" spans="1:28">
      <c r="A54" s="184">
        <v>31</v>
      </c>
      <c r="B54" s="160"/>
      <c r="C54" s="160"/>
      <c r="D54" s="373"/>
      <c r="E54" s="373"/>
      <c r="F54" s="373"/>
      <c r="G54" s="373"/>
      <c r="H54" s="373"/>
      <c r="I54" s="373"/>
      <c r="J54" s="373"/>
      <c r="K54" s="373"/>
      <c r="L54" s="373"/>
      <c r="M54" s="373"/>
      <c r="N54" s="160"/>
      <c r="O54"/>
      <c r="P54"/>
      <c r="Q54"/>
      <c r="R54"/>
      <c r="S54"/>
      <c r="X54" s="277"/>
    </row>
    <row r="55" spans="1:28">
      <c r="A55" s="184">
        <v>32</v>
      </c>
      <c r="B55" s="172" t="s">
        <v>8</v>
      </c>
      <c r="C55" s="172"/>
      <c r="D55" s="373"/>
      <c r="E55" s="373"/>
      <c r="F55" s="373"/>
      <c r="G55" s="373"/>
      <c r="H55" s="373"/>
      <c r="I55" s="373"/>
      <c r="J55" s="373"/>
      <c r="K55" s="373"/>
      <c r="L55" s="373"/>
      <c r="M55" s="373"/>
      <c r="N55" s="160"/>
      <c r="O55" s="273"/>
      <c r="X55" s="277"/>
    </row>
    <row r="56" spans="1:28">
      <c r="A56" s="184">
        <v>33</v>
      </c>
      <c r="B56" s="160" t="s">
        <v>42</v>
      </c>
      <c r="C56" s="160"/>
      <c r="D56" s="372">
        <f>Input!$IM$60</f>
        <v>0</v>
      </c>
      <c r="E56" s="372">
        <f>Input!$IN$60</f>
        <v>7090794</v>
      </c>
      <c r="F56" s="372">
        <f>Input!$IO$60</f>
        <v>0</v>
      </c>
      <c r="G56" s="372">
        <f>Input!$IP$60</f>
        <v>0</v>
      </c>
      <c r="H56" s="372">
        <f>Input!$IQ$60</f>
        <v>0</v>
      </c>
      <c r="I56" s="372">
        <f>Input!$IR$60</f>
        <v>14761016</v>
      </c>
      <c r="J56" s="372">
        <f>Input!$IS$60</f>
        <v>841</v>
      </c>
      <c r="K56" s="372">
        <f>Input!$IT$60</f>
        <v>0</v>
      </c>
      <c r="L56" s="372">
        <f>Input!$IU$60</f>
        <v>0</v>
      </c>
      <c r="M56" s="373">
        <f t="shared" ref="M56:M62" si="9">D56+E56+F56+G56+H56+I56+J56+K56+L56</f>
        <v>21852651</v>
      </c>
      <c r="N56" s="160"/>
      <c r="O56" s="273"/>
      <c r="U56" s="275"/>
    </row>
    <row r="57" spans="1:28">
      <c r="A57" s="184">
        <v>34</v>
      </c>
      <c r="B57" s="160" t="s">
        <v>9</v>
      </c>
      <c r="C57" s="160"/>
      <c r="D57" s="372">
        <f>Input!$IV$60</f>
        <v>0</v>
      </c>
      <c r="E57" s="372">
        <f>Input!$IW$60</f>
        <v>0</v>
      </c>
      <c r="F57" s="372">
        <f>Input!$IX$60</f>
        <v>0</v>
      </c>
      <c r="G57" s="372">
        <f>Input!$IY$60</f>
        <v>4694576</v>
      </c>
      <c r="H57" s="372">
        <f>Input!$IZ$60</f>
        <v>0</v>
      </c>
      <c r="I57" s="372">
        <f>Input!$JA$60</f>
        <v>0</v>
      </c>
      <c r="J57" s="372">
        <f>Input!$JB$60</f>
        <v>0</v>
      </c>
      <c r="K57" s="372">
        <f>Input!$JC$60</f>
        <v>0</v>
      </c>
      <c r="L57" s="372">
        <f>Input!$JD$60</f>
        <v>0</v>
      </c>
      <c r="M57" s="376">
        <f t="shared" si="9"/>
        <v>4694576</v>
      </c>
      <c r="N57" s="160"/>
      <c r="Y57" s="277"/>
    </row>
    <row r="58" spans="1:28">
      <c r="A58" s="184">
        <v>35</v>
      </c>
      <c r="B58" s="160" t="s">
        <v>10</v>
      </c>
      <c r="C58" s="160"/>
      <c r="D58" s="372">
        <f>Input!$JE$60</f>
        <v>0</v>
      </c>
      <c r="E58" s="372">
        <f>Input!$JF$60</f>
        <v>85228</v>
      </c>
      <c r="F58" s="372">
        <f>Input!$JG$60</f>
        <v>5382</v>
      </c>
      <c r="G58" s="372">
        <f>Input!$JH$60</f>
        <v>3705110</v>
      </c>
      <c r="H58" s="372">
        <f>Input!$JI$60</f>
        <v>0</v>
      </c>
      <c r="I58" s="372">
        <f>Input!$JJ$60</f>
        <v>0</v>
      </c>
      <c r="J58" s="372">
        <f>Input!$JK$60</f>
        <v>0</v>
      </c>
      <c r="K58" s="372">
        <f>Input!$JL$60</f>
        <v>0</v>
      </c>
      <c r="L58" s="372">
        <f>Input!$JM$60</f>
        <v>0</v>
      </c>
      <c r="M58" s="373">
        <f t="shared" si="9"/>
        <v>3795720</v>
      </c>
      <c r="N58" s="160"/>
      <c r="O58" s="273"/>
      <c r="P58" s="278"/>
    </row>
    <row r="59" spans="1:28">
      <c r="A59" s="184">
        <v>36</v>
      </c>
      <c r="B59" s="160" t="s">
        <v>11</v>
      </c>
      <c r="C59" s="160"/>
      <c r="D59" s="372">
        <f>Input!$JN$60</f>
        <v>166799</v>
      </c>
      <c r="E59" s="372">
        <f>Input!$JO$60</f>
        <v>1935023</v>
      </c>
      <c r="F59" s="372">
        <f>Input!$JP$60</f>
        <v>167824</v>
      </c>
      <c r="G59" s="372">
        <f>Input!$JQ$60</f>
        <v>1551867</v>
      </c>
      <c r="H59" s="372">
        <f>Input!$JR$60</f>
        <v>0</v>
      </c>
      <c r="I59" s="372">
        <f>Input!$JS$60</f>
        <v>0</v>
      </c>
      <c r="J59" s="372">
        <f>Input!$JT$60</f>
        <v>0</v>
      </c>
      <c r="K59" s="372">
        <f>Input!$JU$60</f>
        <v>0</v>
      </c>
      <c r="L59" s="372">
        <f>Input!$JV$60</f>
        <v>0</v>
      </c>
      <c r="M59" s="373">
        <f t="shared" si="9"/>
        <v>3821513</v>
      </c>
      <c r="N59" s="160"/>
      <c r="O59" s="273"/>
    </row>
    <row r="60" spans="1:28" ht="13.5" thickBot="1">
      <c r="A60" s="184">
        <v>37</v>
      </c>
      <c r="B60" s="177" t="s">
        <v>2134</v>
      </c>
      <c r="C60" s="177"/>
      <c r="D60" s="372">
        <f>Input!$JW$60</f>
        <v>0</v>
      </c>
      <c r="E60" s="372">
        <f>Input!$JX$60</f>
        <v>20353</v>
      </c>
      <c r="F60" s="372">
        <f>Input!$JY$60</f>
        <v>31797848</v>
      </c>
      <c r="G60" s="372">
        <f>Input!$JZ$60</f>
        <v>596930</v>
      </c>
      <c r="H60" s="372">
        <f>Input!$KA$60</f>
        <v>0</v>
      </c>
      <c r="I60" s="372">
        <f>Input!$KB$60</f>
        <v>0</v>
      </c>
      <c r="J60" s="372">
        <f>Input!$KC$60</f>
        <v>0</v>
      </c>
      <c r="K60" s="372">
        <f>Input!$KD$60</f>
        <v>0</v>
      </c>
      <c r="L60" s="372">
        <f>Input!$KE$60</f>
        <v>0</v>
      </c>
      <c r="M60" s="373">
        <f t="shared" si="9"/>
        <v>32415131</v>
      </c>
      <c r="N60" s="160"/>
      <c r="O60" s="273"/>
    </row>
    <row r="61" spans="1:28" ht="14.25" thickTop="1" thickBot="1">
      <c r="A61" s="184">
        <v>38</v>
      </c>
      <c r="B61" s="160" t="s">
        <v>43</v>
      </c>
      <c r="C61" s="160"/>
      <c r="D61" s="372">
        <f>Input!$KF$60</f>
        <v>4023600</v>
      </c>
      <c r="E61" s="372">
        <f>Input!$KG$60</f>
        <v>568659</v>
      </c>
      <c r="F61" s="372">
        <f>Input!$KH$60</f>
        <v>1348389</v>
      </c>
      <c r="G61" s="372">
        <f>Input!$KI$60</f>
        <v>2618015</v>
      </c>
      <c r="H61" s="372">
        <f>Input!$KJ$60</f>
        <v>-65</v>
      </c>
      <c r="I61" s="372">
        <f>Input!$KK$60</f>
        <v>100</v>
      </c>
      <c r="J61" s="372">
        <f>Input!$KL$60</f>
        <v>-2665486</v>
      </c>
      <c r="K61" s="372">
        <f>Input!$KM$60</f>
        <v>0</v>
      </c>
      <c r="L61" s="372">
        <f>Input!$KN$60</f>
        <v>0</v>
      </c>
      <c r="M61" s="373">
        <f t="shared" si="9"/>
        <v>5893212</v>
      </c>
      <c r="N61" s="160"/>
      <c r="O61" s="1616" t="s">
        <v>251</v>
      </c>
      <c r="P61" s="1617"/>
      <c r="Q61" s="1617"/>
      <c r="R61" s="1618"/>
      <c r="S61" s="437"/>
      <c r="T61" s="1619" t="s">
        <v>252</v>
      </c>
      <c r="U61" s="1620"/>
      <c r="V61" s="1620"/>
      <c r="W61" s="1620"/>
      <c r="X61" s="1621"/>
      <c r="Y61" s="320"/>
      <c r="Z61" s="1749" t="s">
        <v>1301</v>
      </c>
      <c r="AA61" s="1750"/>
      <c r="AB61" s="1751"/>
    </row>
    <row r="62" spans="1:28" ht="13.5" customHeight="1" thickTop="1">
      <c r="A62" s="184">
        <v>39</v>
      </c>
      <c r="B62" s="176" t="s">
        <v>3</v>
      </c>
      <c r="C62" s="176"/>
      <c r="D62" s="374">
        <f>SUM(D56:D61)</f>
        <v>4190399</v>
      </c>
      <c r="E62" s="374">
        <f t="shared" ref="E62:L62" si="10">SUM(E56:E61)</f>
        <v>9700057</v>
      </c>
      <c r="F62" s="374">
        <f t="shared" si="10"/>
        <v>33319443</v>
      </c>
      <c r="G62" s="374">
        <f t="shared" si="10"/>
        <v>13166498</v>
      </c>
      <c r="H62" s="374">
        <f t="shared" si="10"/>
        <v>-65</v>
      </c>
      <c r="I62" s="374">
        <f t="shared" si="10"/>
        <v>14761116</v>
      </c>
      <c r="J62" s="374">
        <f t="shared" si="10"/>
        <v>-2664645</v>
      </c>
      <c r="K62" s="374">
        <f t="shared" si="10"/>
        <v>0</v>
      </c>
      <c r="L62" s="374">
        <f t="shared" si="10"/>
        <v>0</v>
      </c>
      <c r="M62" s="374">
        <f t="shared" si="9"/>
        <v>72472803</v>
      </c>
      <c r="N62" s="160"/>
      <c r="O62" s="1622" t="s">
        <v>1135</v>
      </c>
      <c r="P62" s="1625" t="s">
        <v>254</v>
      </c>
      <c r="Q62" s="1625" t="s">
        <v>292</v>
      </c>
      <c r="R62" s="1628" t="s">
        <v>1063</v>
      </c>
      <c r="S62" s="280"/>
      <c r="T62" s="1739" t="s">
        <v>1136</v>
      </c>
      <c r="U62" s="1637" t="s">
        <v>254</v>
      </c>
      <c r="V62" s="1634" t="s">
        <v>256</v>
      </c>
      <c r="W62" s="1637" t="s">
        <v>257</v>
      </c>
      <c r="X62" s="1638" t="s">
        <v>1064</v>
      </c>
      <c r="Z62" s="1754" t="s">
        <v>1302</v>
      </c>
      <c r="AA62" s="1747" t="s">
        <v>1303</v>
      </c>
      <c r="AB62" s="1752" t="s">
        <v>238</v>
      </c>
    </row>
    <row r="63" spans="1:28">
      <c r="A63" s="184">
        <v>40</v>
      </c>
      <c r="B63" s="162" t="s">
        <v>68</v>
      </c>
      <c r="C63" s="162"/>
      <c r="D63" s="374">
        <f t="shared" ref="D63:M63" si="11">D15+D44+D47+D62+D50+D53</f>
        <v>122948976</v>
      </c>
      <c r="E63" s="374">
        <f t="shared" si="11"/>
        <v>149374382</v>
      </c>
      <c r="F63" s="374">
        <f t="shared" si="11"/>
        <v>43939918</v>
      </c>
      <c r="G63" s="374">
        <f t="shared" si="11"/>
        <v>109509028</v>
      </c>
      <c r="H63" s="374">
        <f t="shared" si="11"/>
        <v>-65</v>
      </c>
      <c r="I63" s="374">
        <f t="shared" si="11"/>
        <v>14761116</v>
      </c>
      <c r="J63" s="374">
        <f t="shared" si="11"/>
        <v>-2664645</v>
      </c>
      <c r="K63" s="374">
        <f t="shared" si="11"/>
        <v>0</v>
      </c>
      <c r="L63" s="374">
        <f t="shared" si="11"/>
        <v>0</v>
      </c>
      <c r="M63" s="374">
        <f t="shared" si="11"/>
        <v>437868710</v>
      </c>
      <c r="N63" s="160"/>
      <c r="O63" s="1623"/>
      <c r="P63" s="1626"/>
      <c r="Q63" s="1626"/>
      <c r="R63" s="1629"/>
      <c r="S63" s="280"/>
      <c r="T63" s="1740"/>
      <c r="U63" s="1626"/>
      <c r="V63" s="1635"/>
      <c r="W63" s="1626"/>
      <c r="X63" s="1639"/>
      <c r="Z63" s="1755"/>
      <c r="AA63" s="1747"/>
      <c r="AB63" s="1752"/>
    </row>
    <row r="64" spans="1:28">
      <c r="A64" s="184">
        <v>41</v>
      </c>
      <c r="B64" s="160"/>
      <c r="C64" s="160"/>
      <c r="D64" s="373"/>
      <c r="E64" s="373"/>
      <c r="F64" s="373"/>
      <c r="G64" s="373"/>
      <c r="H64" s="373"/>
      <c r="I64" s="373"/>
      <c r="J64" s="373"/>
      <c r="K64" s="373"/>
      <c r="L64" s="373"/>
      <c r="M64" s="373"/>
      <c r="N64" s="160"/>
      <c r="O64" s="1623"/>
      <c r="P64" s="1626"/>
      <c r="Q64" s="1626"/>
      <c r="R64" s="1629"/>
      <c r="S64" s="280"/>
      <c r="T64" s="1740"/>
      <c r="U64" s="1626"/>
      <c r="V64" s="1635"/>
      <c r="W64" s="1626"/>
      <c r="X64" s="1639"/>
      <c r="Z64" s="1755"/>
      <c r="AA64" s="1747"/>
      <c r="AB64" s="1752"/>
    </row>
    <row r="65" spans="1:32" ht="14.25" customHeight="1">
      <c r="A65" s="184">
        <v>42</v>
      </c>
      <c r="B65" s="174" t="s">
        <v>72</v>
      </c>
      <c r="C65" s="174"/>
      <c r="D65" s="377"/>
      <c r="E65" s="377"/>
      <c r="F65" s="377"/>
      <c r="G65" s="1746" t="str">
        <f>IF(OR(P112&gt;0,P113&lt;&gt;0,P114&lt;&gt;0),"Do not Enter Cents - Whole Dollars Only","")</f>
        <v/>
      </c>
      <c r="H65" s="1746"/>
      <c r="I65" s="1746"/>
      <c r="J65" s="1746"/>
      <c r="K65" s="1746"/>
      <c r="L65" s="377"/>
      <c r="M65" s="377"/>
      <c r="N65" s="160"/>
      <c r="O65" s="1624"/>
      <c r="P65" s="1627"/>
      <c r="Q65" s="1627"/>
      <c r="R65" s="1630"/>
      <c r="S65" s="280"/>
      <c r="T65" s="1741"/>
      <c r="U65" s="1627"/>
      <c r="V65" s="1636"/>
      <c r="W65" s="1627"/>
      <c r="X65" s="1640"/>
      <c r="Z65" s="1756"/>
      <c r="AA65" s="1748"/>
      <c r="AB65" s="1753"/>
    </row>
    <row r="66" spans="1:32" ht="13.5" thickBot="1">
      <c r="A66" s="184">
        <v>43</v>
      </c>
      <c r="B66" s="160" t="s">
        <v>14</v>
      </c>
      <c r="C66" s="160"/>
      <c r="D66" s="372">
        <f>Input!$KO$60</f>
        <v>62045770</v>
      </c>
      <c r="E66" s="372">
        <f>Input!$KP$60</f>
        <v>38805407</v>
      </c>
      <c r="F66" s="372">
        <f>Input!$KQ$60</f>
        <v>0</v>
      </c>
      <c r="G66" s="372">
        <f>Input!$KR$60</f>
        <v>9539499</v>
      </c>
      <c r="H66" s="372">
        <f>Input!$KS$60</f>
        <v>0</v>
      </c>
      <c r="I66" s="372">
        <f>Input!$KT$60</f>
        <v>0</v>
      </c>
      <c r="J66" s="372">
        <f>Input!$KU$60</f>
        <v>0</v>
      </c>
      <c r="K66" s="372">
        <f>Input!$KV$60</f>
        <v>0</v>
      </c>
      <c r="L66" s="372">
        <f>Input!$KW$60</f>
        <v>0</v>
      </c>
      <c r="M66" s="373">
        <f t="shared" ref="M66:M77" si="12">D66+E66+F66+G66+H66+I66+J66+K66+L66</f>
        <v>110390676</v>
      </c>
      <c r="N66" s="160"/>
      <c r="O66" s="282">
        <f>D66+E66+G66+J66</f>
        <v>110390676</v>
      </c>
      <c r="P66" s="518">
        <f>Input!$SS$60</f>
        <v>301194</v>
      </c>
      <c r="Q66" s="438" t="s">
        <v>259</v>
      </c>
      <c r="R66" s="284">
        <f>SUM(O66:P66)</f>
        <v>110691870</v>
      </c>
      <c r="S66" s="439"/>
      <c r="T66" s="286">
        <f t="shared" ref="T66:T74" si="13">D66+E66+G66</f>
        <v>110390676</v>
      </c>
      <c r="U66" s="287">
        <f t="shared" ref="U66:U74" si="14">P66</f>
        <v>301194</v>
      </c>
      <c r="V66" s="289">
        <f>Input!$TC$60</f>
        <v>0</v>
      </c>
      <c r="W66" s="289">
        <f>Input!$TK$60</f>
        <v>0</v>
      </c>
      <c r="X66" s="290">
        <f t="shared" ref="X66:X73" si="15">T66+U66-V66-W66</f>
        <v>110691870</v>
      </c>
      <c r="Z66" s="292" t="s">
        <v>14</v>
      </c>
      <c r="AA66" s="520">
        <f>Input!$TS$60</f>
        <v>110390676</v>
      </c>
      <c r="AB66" s="293">
        <f t="shared" ref="AB66:AB75" si="16">AA66-M66</f>
        <v>0</v>
      </c>
    </row>
    <row r="67" spans="1:32" ht="14.25" thickTop="1" thickBot="1">
      <c r="A67" s="184">
        <v>44</v>
      </c>
      <c r="B67" s="160" t="s">
        <v>15</v>
      </c>
      <c r="C67" s="160"/>
      <c r="D67" s="372">
        <f>Input!$KX$60</f>
        <v>1101638</v>
      </c>
      <c r="E67" s="372">
        <f>Input!$KY$60</f>
        <v>3124285</v>
      </c>
      <c r="F67" s="372">
        <f>Input!$KZ$60</f>
        <v>0</v>
      </c>
      <c r="G67" s="372">
        <f>Input!$LA$60</f>
        <v>6485300</v>
      </c>
      <c r="H67" s="372">
        <f>Input!$LB$60</f>
        <v>0</v>
      </c>
      <c r="I67" s="372">
        <f>Input!$LC$60</f>
        <v>0</v>
      </c>
      <c r="J67" s="372">
        <f>Input!$LD$60</f>
        <v>0</v>
      </c>
      <c r="K67" s="372">
        <f>Input!$LE$60</f>
        <v>0</v>
      </c>
      <c r="L67" s="372">
        <f>Input!$LF$60</f>
        <v>0</v>
      </c>
      <c r="M67" s="373">
        <f t="shared" si="12"/>
        <v>10711223</v>
      </c>
      <c r="N67" s="160"/>
      <c r="O67" s="440">
        <f t="shared" ref="O67:O74" si="17">D67+E67+G67+J67</f>
        <v>10711223</v>
      </c>
      <c r="P67" s="518">
        <f>Input!$ST$60</f>
        <v>378626</v>
      </c>
      <c r="Q67" s="441" t="s">
        <v>259</v>
      </c>
      <c r="R67" s="295">
        <f>SUM(O67:P67)</f>
        <v>11089849</v>
      </c>
      <c r="S67" s="442"/>
      <c r="T67" s="296">
        <f t="shared" si="13"/>
        <v>10711223</v>
      </c>
      <c r="U67" s="297">
        <f t="shared" si="14"/>
        <v>378626</v>
      </c>
      <c r="V67" s="299">
        <f>Input!$TD$60</f>
        <v>0</v>
      </c>
      <c r="W67" s="299">
        <f>Input!$TL$60</f>
        <v>0</v>
      </c>
      <c r="X67" s="300">
        <f t="shared" si="15"/>
        <v>11089849</v>
      </c>
      <c r="Z67" s="292" t="s">
        <v>15</v>
      </c>
      <c r="AA67" s="518">
        <f>Input!$TT$60</f>
        <v>10711223</v>
      </c>
      <c r="AB67" s="301">
        <f t="shared" si="16"/>
        <v>0</v>
      </c>
    </row>
    <row r="68" spans="1:32" ht="13.5" thickTop="1">
      <c r="A68" s="184">
        <v>45</v>
      </c>
      <c r="B68" s="160" t="s">
        <v>16</v>
      </c>
      <c r="C68" s="160"/>
      <c r="D68" s="372">
        <f>Input!$LG$60</f>
        <v>5229583</v>
      </c>
      <c r="E68" s="372">
        <f>Input!$LH$60</f>
        <v>360592</v>
      </c>
      <c r="F68" s="372">
        <f>Input!$LI$60</f>
        <v>1802</v>
      </c>
      <c r="G68" s="372">
        <f>Input!$LJ$60</f>
        <v>10553906</v>
      </c>
      <c r="H68" s="372">
        <f>Input!$LK$60</f>
        <v>0</v>
      </c>
      <c r="I68" s="372">
        <f>Input!$LL$60</f>
        <v>0</v>
      </c>
      <c r="J68" s="372">
        <f>Input!$LM$60</f>
        <v>0</v>
      </c>
      <c r="K68" s="372">
        <f>Input!$LN$60</f>
        <v>0</v>
      </c>
      <c r="L68" s="372">
        <f>Input!$LO$60</f>
        <v>0</v>
      </c>
      <c r="M68" s="373">
        <f t="shared" si="12"/>
        <v>16145883</v>
      </c>
      <c r="N68" s="160"/>
      <c r="O68" s="440">
        <f t="shared" si="17"/>
        <v>16144081</v>
      </c>
      <c r="P68" s="518">
        <f>Input!$SU$60</f>
        <v>501663</v>
      </c>
      <c r="Q68" s="441" t="s">
        <v>259</v>
      </c>
      <c r="R68" s="302" t="s">
        <v>259</v>
      </c>
      <c r="S68" s="442"/>
      <c r="T68" s="296">
        <f t="shared" si="13"/>
        <v>16144081</v>
      </c>
      <c r="U68" s="297">
        <f t="shared" si="14"/>
        <v>501663</v>
      </c>
      <c r="V68" s="299">
        <f>Input!$TE$60</f>
        <v>0</v>
      </c>
      <c r="W68" s="299">
        <f>Input!$TM$60</f>
        <v>0</v>
      </c>
      <c r="X68" s="303">
        <f t="shared" si="15"/>
        <v>16645744</v>
      </c>
      <c r="Z68" s="292" t="s">
        <v>16</v>
      </c>
      <c r="AA68" s="518">
        <f>Input!$TU$60</f>
        <v>16145883</v>
      </c>
      <c r="AB68" s="301">
        <f t="shared" si="16"/>
        <v>0</v>
      </c>
    </row>
    <row r="69" spans="1:32" s="261" customFormat="1">
      <c r="A69" s="263">
        <v>52</v>
      </c>
      <c r="B69" s="1327" t="s">
        <v>2123</v>
      </c>
      <c r="C69" s="1327"/>
      <c r="D69" s="372">
        <f>Input!$AE$61</f>
        <v>0</v>
      </c>
      <c r="E69" s="372">
        <f>Input!$AF$61</f>
        <v>1017526</v>
      </c>
      <c r="F69" s="372">
        <f>Input!$AG$61</f>
        <v>0</v>
      </c>
      <c r="G69" s="372">
        <f>Input!$AH$61</f>
        <v>0</v>
      </c>
      <c r="H69" s="372">
        <f>Input!$AI$61</f>
        <v>0</v>
      </c>
      <c r="I69" s="372">
        <f>Input!$AJ$61</f>
        <v>0</v>
      </c>
      <c r="J69" s="372">
        <f>Input!$AK$61</f>
        <v>0</v>
      </c>
      <c r="K69" s="372">
        <f>Input!$AL$61</f>
        <v>0</v>
      </c>
      <c r="L69" s="372">
        <f>Input!$AM$61</f>
        <v>0</v>
      </c>
      <c r="M69" s="373">
        <f t="shared" si="12"/>
        <v>1017526</v>
      </c>
      <c r="O69" s="440">
        <f t="shared" ref="O69" si="18">D69+E69+G69</f>
        <v>1017526</v>
      </c>
      <c r="P69" s="299">
        <f>Input!$AN$61</f>
        <v>0</v>
      </c>
      <c r="Q69" s="441" t="s">
        <v>259</v>
      </c>
      <c r="R69" s="295">
        <f>SUM(O69:P69)</f>
        <v>1017526</v>
      </c>
      <c r="S69" s="1328" t="e">
        <f t="shared" ref="S69" si="19">O69+P69-Q69-R69</f>
        <v>#VALUE!</v>
      </c>
      <c r="T69" s="296">
        <f t="shared" si="13"/>
        <v>1017526</v>
      </c>
      <c r="U69" s="297">
        <f t="shared" si="14"/>
        <v>0</v>
      </c>
      <c r="V69" s="298">
        <f>Input!$AO$54</f>
        <v>0</v>
      </c>
      <c r="W69" s="299">
        <f>Input!$AP$54</f>
        <v>0</v>
      </c>
      <c r="X69" s="303">
        <f t="shared" si="15"/>
        <v>1017526</v>
      </c>
      <c r="Z69" s="292" t="s">
        <v>2123</v>
      </c>
      <c r="AA69" s="518">
        <f>Input!$AQ$61</f>
        <v>1017526</v>
      </c>
      <c r="AB69" s="301">
        <f t="shared" si="16"/>
        <v>0</v>
      </c>
      <c r="AD69"/>
      <c r="AF69" s="352"/>
    </row>
    <row r="70" spans="1:32">
      <c r="A70" s="184">
        <v>46</v>
      </c>
      <c r="B70" s="160" t="s">
        <v>17</v>
      </c>
      <c r="C70" s="160"/>
      <c r="D70" s="372">
        <f>Input!$LP$60</f>
        <v>9742825</v>
      </c>
      <c r="E70" s="372">
        <f>Input!$LQ$60</f>
        <v>34845113</v>
      </c>
      <c r="F70" s="372">
        <f>Input!$LR$60</f>
        <v>0</v>
      </c>
      <c r="G70" s="372">
        <f>Input!$LS$60</f>
        <v>4407114</v>
      </c>
      <c r="H70" s="372">
        <f>Input!$LT$60</f>
        <v>3870</v>
      </c>
      <c r="I70" s="372">
        <f>Input!$LU$60</f>
        <v>0</v>
      </c>
      <c r="J70" s="372">
        <f>Input!$LV$60</f>
        <v>0</v>
      </c>
      <c r="K70" s="372">
        <f>Input!$LW$60</f>
        <v>0</v>
      </c>
      <c r="L70" s="372">
        <f>Input!$LX$60</f>
        <v>0</v>
      </c>
      <c r="M70" s="373">
        <f t="shared" si="12"/>
        <v>48998922</v>
      </c>
      <c r="N70" s="160"/>
      <c r="O70" s="440">
        <f t="shared" si="17"/>
        <v>48995052</v>
      </c>
      <c r="P70" s="518">
        <f>Input!$SV$60</f>
        <v>3205392</v>
      </c>
      <c r="Q70" s="441" t="s">
        <v>259</v>
      </c>
      <c r="R70" s="295">
        <f t="shared" ref="R70:R72" si="20">SUM(O70:P70)</f>
        <v>52200444</v>
      </c>
      <c r="S70" s="442"/>
      <c r="T70" s="296">
        <f t="shared" si="13"/>
        <v>48995052</v>
      </c>
      <c r="U70" s="297">
        <f t="shared" si="14"/>
        <v>3205392</v>
      </c>
      <c r="V70" s="299">
        <f>Input!$TF$60</f>
        <v>0</v>
      </c>
      <c r="W70" s="299">
        <f>Input!$TN$60</f>
        <v>0</v>
      </c>
      <c r="X70" s="303">
        <f t="shared" si="15"/>
        <v>52200444</v>
      </c>
      <c r="Z70" s="292" t="s">
        <v>17</v>
      </c>
      <c r="AA70" s="518">
        <f>Input!$TV$60</f>
        <v>48998922</v>
      </c>
      <c r="AB70" s="301">
        <f t="shared" si="16"/>
        <v>0</v>
      </c>
    </row>
    <row r="71" spans="1:32">
      <c r="A71" s="184">
        <v>47</v>
      </c>
      <c r="B71" s="160" t="s">
        <v>18</v>
      </c>
      <c r="C71" s="160"/>
      <c r="D71" s="372">
        <f>Input!$LY$60</f>
        <v>5091368</v>
      </c>
      <c r="E71" s="372">
        <f>Input!$LZ$60</f>
        <v>22938568</v>
      </c>
      <c r="F71" s="372">
        <f>Input!$MA$60</f>
        <v>0</v>
      </c>
      <c r="G71" s="372">
        <f>Input!$MB$60</f>
        <v>1264808</v>
      </c>
      <c r="H71" s="372">
        <f>Input!$MC$60</f>
        <v>0</v>
      </c>
      <c r="I71" s="372">
        <f>Input!$MD$60</f>
        <v>0</v>
      </c>
      <c r="J71" s="372">
        <f>Input!$ME$60</f>
        <v>44335</v>
      </c>
      <c r="K71" s="372">
        <f>Input!$MF$60</f>
        <v>0</v>
      </c>
      <c r="L71" s="372">
        <f>Input!$MG$60</f>
        <v>0</v>
      </c>
      <c r="M71" s="373">
        <f t="shared" si="12"/>
        <v>29339079</v>
      </c>
      <c r="N71" s="160"/>
      <c r="O71" s="440">
        <f t="shared" si="17"/>
        <v>29339079</v>
      </c>
      <c r="P71" s="518">
        <f>Input!$SW$60</f>
        <v>30301</v>
      </c>
      <c r="Q71" s="518">
        <f>Input!$TB$60</f>
        <v>0</v>
      </c>
      <c r="R71" s="295">
        <f>SUM(O71:P71)-Q71</f>
        <v>29369380</v>
      </c>
      <c r="S71" s="442"/>
      <c r="T71" s="296">
        <f t="shared" si="13"/>
        <v>29294744</v>
      </c>
      <c r="U71" s="297">
        <f t="shared" si="14"/>
        <v>30301</v>
      </c>
      <c r="V71" s="299">
        <f>Input!$TG$60</f>
        <v>0</v>
      </c>
      <c r="W71" s="299">
        <f>Input!$TO$60</f>
        <v>0</v>
      </c>
      <c r="X71" s="303">
        <f t="shared" si="15"/>
        <v>29325045</v>
      </c>
      <c r="Z71" s="292" t="s">
        <v>18</v>
      </c>
      <c r="AA71" s="518">
        <f>Input!$TW$60</f>
        <v>29339079</v>
      </c>
      <c r="AB71" s="301">
        <f t="shared" si="16"/>
        <v>0</v>
      </c>
    </row>
    <row r="72" spans="1:32">
      <c r="A72" s="184">
        <v>48</v>
      </c>
      <c r="B72" s="160" t="s">
        <v>19</v>
      </c>
      <c r="C72" s="160"/>
      <c r="D72" s="372">
        <f>Input!$MH$60</f>
        <v>6679959</v>
      </c>
      <c r="E72" s="372">
        <f>Input!$MI$60</f>
        <v>17217586</v>
      </c>
      <c r="F72" s="372">
        <f>Input!$MJ$60</f>
        <v>0</v>
      </c>
      <c r="G72" s="372">
        <f>Input!$MK$60</f>
        <v>720317</v>
      </c>
      <c r="H72" s="372">
        <f>Input!$ML$60</f>
        <v>0</v>
      </c>
      <c r="I72" s="372">
        <f>Input!$MM$60</f>
        <v>32983</v>
      </c>
      <c r="J72" s="372">
        <f>Input!$MN$60</f>
        <v>16355</v>
      </c>
      <c r="K72" s="372">
        <f>Input!$MO$60</f>
        <v>0</v>
      </c>
      <c r="L72" s="372">
        <f>Input!$MP$60</f>
        <v>0</v>
      </c>
      <c r="M72" s="373">
        <f t="shared" si="12"/>
        <v>24667200</v>
      </c>
      <c r="N72" s="160"/>
      <c r="O72" s="440">
        <f t="shared" si="17"/>
        <v>24634217</v>
      </c>
      <c r="P72" s="518">
        <f>Input!$SX$60</f>
        <v>38971</v>
      </c>
      <c r="Q72" s="441" t="s">
        <v>259</v>
      </c>
      <c r="R72" s="295">
        <f t="shared" si="20"/>
        <v>24673188</v>
      </c>
      <c r="S72" s="442"/>
      <c r="T72" s="296">
        <f t="shared" si="13"/>
        <v>24617862</v>
      </c>
      <c r="U72" s="297">
        <f t="shared" si="14"/>
        <v>38971</v>
      </c>
      <c r="V72" s="299">
        <f>Input!$TH$60</f>
        <v>0</v>
      </c>
      <c r="W72" s="299">
        <f>Input!$TP$60</f>
        <v>0</v>
      </c>
      <c r="X72" s="303">
        <f t="shared" si="15"/>
        <v>24656833</v>
      </c>
      <c r="Z72" s="292" t="s">
        <v>19</v>
      </c>
      <c r="AA72" s="518">
        <f>Input!$TX$60</f>
        <v>24667200</v>
      </c>
      <c r="AB72" s="301">
        <f t="shared" si="16"/>
        <v>0</v>
      </c>
    </row>
    <row r="73" spans="1:32">
      <c r="A73" s="184">
        <v>49</v>
      </c>
      <c r="B73" s="160" t="s">
        <v>20</v>
      </c>
      <c r="C73" s="160"/>
      <c r="D73" s="372">
        <f>Input!$MQ$60</f>
        <v>9976740</v>
      </c>
      <c r="E73" s="372">
        <f>Input!$MR$60</f>
        <v>11254318</v>
      </c>
      <c r="F73" s="372">
        <f>Input!$MS$60</f>
        <v>0</v>
      </c>
      <c r="G73" s="372">
        <f>Input!$MT$60</f>
        <v>3333668</v>
      </c>
      <c r="H73" s="372">
        <f>Input!$MU$60</f>
        <v>0</v>
      </c>
      <c r="I73" s="372">
        <f>Input!$MV$60</f>
        <v>0</v>
      </c>
      <c r="J73" s="372">
        <f>Input!$MW$60</f>
        <v>227295</v>
      </c>
      <c r="K73" s="372">
        <f>Input!$MX$60</f>
        <v>0</v>
      </c>
      <c r="L73" s="372">
        <f>Input!$MY$60</f>
        <v>0</v>
      </c>
      <c r="M73" s="373">
        <f t="shared" si="12"/>
        <v>24792021</v>
      </c>
      <c r="N73" s="160"/>
      <c r="O73" s="440">
        <f t="shared" si="17"/>
        <v>24792021</v>
      </c>
      <c r="P73" s="518">
        <f>Input!$SY$60</f>
        <v>169118</v>
      </c>
      <c r="Q73" s="441" t="s">
        <v>259</v>
      </c>
      <c r="R73" s="304" t="s">
        <v>259</v>
      </c>
      <c r="S73" s="442"/>
      <c r="T73" s="296">
        <f t="shared" si="13"/>
        <v>24564726</v>
      </c>
      <c r="U73" s="297">
        <f t="shared" si="14"/>
        <v>169118</v>
      </c>
      <c r="V73" s="299">
        <f>Input!$TI$60</f>
        <v>0</v>
      </c>
      <c r="W73" s="299">
        <f>Input!$TQ$60</f>
        <v>0</v>
      </c>
      <c r="X73" s="303">
        <f t="shared" si="15"/>
        <v>24733844</v>
      </c>
      <c r="Z73" s="292" t="s">
        <v>260</v>
      </c>
      <c r="AA73" s="518">
        <f>Input!$TY$60</f>
        <v>24792021</v>
      </c>
      <c r="AB73" s="301">
        <f t="shared" si="16"/>
        <v>0</v>
      </c>
    </row>
    <row r="74" spans="1:32" ht="13.5" thickBot="1">
      <c r="A74" s="184">
        <v>50</v>
      </c>
      <c r="B74" s="160" t="s">
        <v>21</v>
      </c>
      <c r="C74" s="160"/>
      <c r="D74" s="372">
        <f>Input!$MZ$60</f>
        <v>15418808</v>
      </c>
      <c r="E74" s="372">
        <f>Input!$NA$60</f>
        <v>18434412</v>
      </c>
      <c r="F74" s="372">
        <f>Input!$NB$60</f>
        <v>0</v>
      </c>
      <c r="G74" s="372">
        <f>Input!$NC$60</f>
        <v>16370363</v>
      </c>
      <c r="H74" s="372">
        <f>Input!$ND$60</f>
        <v>507545</v>
      </c>
      <c r="I74" s="372">
        <f>Input!$NE$60</f>
        <v>0</v>
      </c>
      <c r="J74" s="372">
        <f>Input!$NF$60</f>
        <v>0</v>
      </c>
      <c r="K74" s="372">
        <f>Input!$NG$60</f>
        <v>0</v>
      </c>
      <c r="L74" s="372">
        <f>Input!$NH$60</f>
        <v>0</v>
      </c>
      <c r="M74" s="373">
        <f t="shared" si="12"/>
        <v>50731128</v>
      </c>
      <c r="N74" s="160"/>
      <c r="O74" s="440">
        <f t="shared" si="17"/>
        <v>50223583</v>
      </c>
      <c r="P74" s="518">
        <f>Input!$SZ$60</f>
        <v>0</v>
      </c>
      <c r="Q74" s="441" t="s">
        <v>259</v>
      </c>
      <c r="R74" s="304" t="s">
        <v>259</v>
      </c>
      <c r="S74" s="442"/>
      <c r="T74" s="306">
        <f t="shared" si="13"/>
        <v>50223583</v>
      </c>
      <c r="U74" s="307">
        <f t="shared" si="14"/>
        <v>0</v>
      </c>
      <c r="V74" s="308">
        <f>Input!$TJ$60</f>
        <v>0</v>
      </c>
      <c r="W74" s="308">
        <f>Input!$TR$60</f>
        <v>0</v>
      </c>
      <c r="X74" s="303">
        <f>U74+T74-V74-W74</f>
        <v>50223583</v>
      </c>
      <c r="Z74" s="292" t="s">
        <v>21</v>
      </c>
      <c r="AA74" s="518">
        <f>Input!$TZ$60</f>
        <v>50731128</v>
      </c>
      <c r="AB74" s="301">
        <f t="shared" si="16"/>
        <v>0</v>
      </c>
    </row>
    <row r="75" spans="1:32" ht="14.25" thickTop="1" thickBot="1">
      <c r="A75" s="184">
        <v>51</v>
      </c>
      <c r="B75" s="160" t="s">
        <v>2135</v>
      </c>
      <c r="C75" s="160"/>
      <c r="D75" s="372">
        <f>Input!$NI$60</f>
        <v>0</v>
      </c>
      <c r="E75" s="372">
        <f>Input!$NJ$60</f>
        <v>3237447</v>
      </c>
      <c r="F75" s="372">
        <f>Input!$NK$60</f>
        <v>39457535</v>
      </c>
      <c r="G75" s="372">
        <f>Input!$NL$60</f>
        <v>1082072</v>
      </c>
      <c r="H75" s="372">
        <f>Input!$NM$60</f>
        <v>0</v>
      </c>
      <c r="I75" s="372">
        <f>Input!$NN$60</f>
        <v>0</v>
      </c>
      <c r="J75" s="372">
        <f>Input!$NO$60</f>
        <v>0</v>
      </c>
      <c r="K75" s="372">
        <f>Input!$NP$60</f>
        <v>0</v>
      </c>
      <c r="L75" s="372">
        <f>Input!$NQ$60</f>
        <v>0</v>
      </c>
      <c r="M75" s="373">
        <f t="shared" si="12"/>
        <v>43777054</v>
      </c>
      <c r="N75" s="160"/>
      <c r="O75" s="309" t="s">
        <v>259</v>
      </c>
      <c r="P75" s="519">
        <f>Input!$TA$60</f>
        <v>107282</v>
      </c>
      <c r="Q75" s="444" t="s">
        <v>259</v>
      </c>
      <c r="R75" s="311" t="s">
        <v>259</v>
      </c>
      <c r="S75" s="442"/>
      <c r="T75" s="305"/>
      <c r="U75" s="305"/>
      <c r="V75" s="312" t="s">
        <v>261</v>
      </c>
      <c r="W75" s="313"/>
      <c r="X75" s="314">
        <f>SUM(X66:X74)</f>
        <v>320584738</v>
      </c>
      <c r="Z75" s="292" t="s">
        <v>22</v>
      </c>
      <c r="AA75" s="518">
        <f>Input!$UA$60</f>
        <v>43777054</v>
      </c>
      <c r="AB75" s="301">
        <f t="shared" si="16"/>
        <v>0</v>
      </c>
    </row>
    <row r="76" spans="1:32" ht="14.25" thickTop="1" thickBot="1">
      <c r="A76" s="184">
        <v>52</v>
      </c>
      <c r="B76" s="161" t="s">
        <v>59</v>
      </c>
      <c r="C76" s="161"/>
      <c r="D76" s="372">
        <f>Input!$NR$60</f>
        <v>809208</v>
      </c>
      <c r="E76" s="372">
        <f>Input!$NS$60</f>
        <v>3019514</v>
      </c>
      <c r="F76" s="372">
        <f>Input!$NT$60</f>
        <v>107282</v>
      </c>
      <c r="G76" s="372">
        <f>Input!$NU$60</f>
        <v>796543</v>
      </c>
      <c r="H76" s="372">
        <f>Input!$NV$60</f>
        <v>0</v>
      </c>
      <c r="I76" s="372">
        <f>Input!$NW$60</f>
        <v>0</v>
      </c>
      <c r="J76" s="372">
        <f>Input!$NX$60</f>
        <v>0</v>
      </c>
      <c r="K76" s="372">
        <f>Input!$NY$60</f>
        <v>0</v>
      </c>
      <c r="L76" s="372">
        <f>Input!$NZ$60</f>
        <v>0</v>
      </c>
      <c r="M76" s="373">
        <f t="shared" si="12"/>
        <v>4732547</v>
      </c>
      <c r="N76" s="160"/>
      <c r="O76" s="315"/>
      <c r="P76" s="316">
        <f>SUM(P66:P75)</f>
        <v>4732547</v>
      </c>
      <c r="Q76" s="316">
        <f>SUM(Q71:Q75)</f>
        <v>0</v>
      </c>
      <c r="R76" s="317">
        <f>SUM(R66:R72)</f>
        <v>229042257</v>
      </c>
      <c r="S76" s="316"/>
      <c r="T76" s="305"/>
      <c r="U76" s="305"/>
      <c r="V76" s="305"/>
      <c r="W76" s="277"/>
      <c r="X76" s="277"/>
      <c r="Y76" s="277"/>
      <c r="Z76" s="292" t="s">
        <v>285</v>
      </c>
      <c r="AA76" s="445">
        <f>M95*-1</f>
        <v>39583907</v>
      </c>
      <c r="AB76" s="301">
        <f>AA76+M95</f>
        <v>0</v>
      </c>
    </row>
    <row r="77" spans="1:32" ht="14.25" thickTop="1" thickBot="1">
      <c r="A77" s="184">
        <v>53</v>
      </c>
      <c r="B77" s="178" t="s">
        <v>44</v>
      </c>
      <c r="C77" s="178"/>
      <c r="D77" s="378">
        <f>Input!$OA$60</f>
        <v>115776</v>
      </c>
      <c r="E77" s="378">
        <f>Input!$OB$60</f>
        <v>233986</v>
      </c>
      <c r="F77" s="378">
        <f>Input!$OC$60</f>
        <v>0</v>
      </c>
      <c r="G77" s="378">
        <f>Input!$OD$60</f>
        <v>0</v>
      </c>
      <c r="H77" s="378">
        <f>Input!$OE$60</f>
        <v>0</v>
      </c>
      <c r="I77" s="378">
        <f>Input!$OF$60</f>
        <v>0</v>
      </c>
      <c r="J77" s="378">
        <f>Input!$OG$60</f>
        <v>0</v>
      </c>
      <c r="K77" s="378">
        <f>Input!$OH$60</f>
        <v>0</v>
      </c>
      <c r="L77" s="378">
        <f>Input!$OI$60</f>
        <v>0</v>
      </c>
      <c r="M77" s="373">
        <f t="shared" si="12"/>
        <v>349762</v>
      </c>
      <c r="N77" s="160"/>
      <c r="O77" s="320"/>
      <c r="P77" s="516" t="str">
        <f>IF(P76&lt;&gt;M76,"Out of Balance","Balanced")</f>
        <v>Balanced</v>
      </c>
      <c r="Q77" s="318"/>
      <c r="R77" s="305"/>
      <c r="S77" s="305"/>
      <c r="T77" s="305"/>
      <c r="U77" s="277"/>
      <c r="V77" s="1738" t="str">
        <f>IF(X75-INT(X75)&lt;&gt;0,"Whole Dollars Only","")</f>
        <v/>
      </c>
      <c r="W77" s="1738"/>
      <c r="X77" s="1547"/>
      <c r="Y77" s="319"/>
      <c r="Z77" s="410" t="s">
        <v>262</v>
      </c>
      <c r="AA77" s="446" t="s">
        <v>259</v>
      </c>
      <c r="AB77" s="411">
        <f>M97</f>
        <v>0</v>
      </c>
    </row>
    <row r="78" spans="1:32" ht="13.5" thickTop="1">
      <c r="A78" s="184">
        <v>54</v>
      </c>
      <c r="B78" s="162" t="s">
        <v>69</v>
      </c>
      <c r="C78" s="162"/>
      <c r="D78" s="374">
        <f t="shared" ref="D78:M78" si="21">SUM(D66:D77)</f>
        <v>116211675</v>
      </c>
      <c r="E78" s="374">
        <f t="shared" si="21"/>
        <v>154488754</v>
      </c>
      <c r="F78" s="374">
        <f t="shared" si="21"/>
        <v>39566619</v>
      </c>
      <c r="G78" s="374">
        <f t="shared" si="21"/>
        <v>54553590</v>
      </c>
      <c r="H78" s="374">
        <f t="shared" si="21"/>
        <v>511415</v>
      </c>
      <c r="I78" s="374">
        <f t="shared" si="21"/>
        <v>32983</v>
      </c>
      <c r="J78" s="374">
        <f t="shared" si="21"/>
        <v>287985</v>
      </c>
      <c r="K78" s="374">
        <f t="shared" si="21"/>
        <v>0</v>
      </c>
      <c r="L78" s="374">
        <f t="shared" si="21"/>
        <v>0</v>
      </c>
      <c r="M78" s="374">
        <f t="shared" si="21"/>
        <v>365653021</v>
      </c>
      <c r="N78" s="160"/>
      <c r="O78" s="322"/>
      <c r="P78" s="1738" t="str">
        <f>IF(P76-INT(P76)&lt;&gt;0,"Whole Dollars Only","")</f>
        <v/>
      </c>
      <c r="Q78" s="1738"/>
      <c r="R78" s="323"/>
      <c r="S78" s="323"/>
      <c r="T78" s="323"/>
      <c r="U78" s="291"/>
      <c r="V78" s="324"/>
      <c r="W78" s="321"/>
      <c r="X78" s="321"/>
      <c r="Y78" s="321"/>
      <c r="Z78" s="318"/>
      <c r="AA78" s="325">
        <f>SUM(AA66:AA77)</f>
        <v>400154619</v>
      </c>
      <c r="AB78" s="326">
        <f>SUM(AB66:AB77)</f>
        <v>0</v>
      </c>
    </row>
    <row r="79" spans="1:32">
      <c r="A79" s="184">
        <v>55</v>
      </c>
      <c r="B79" s="160"/>
      <c r="C79" s="160"/>
      <c r="D79" s="373"/>
      <c r="E79" s="373"/>
      <c r="F79" s="373"/>
      <c r="G79" s="373"/>
      <c r="H79" s="373"/>
      <c r="I79" s="373"/>
      <c r="J79" s="373"/>
      <c r="K79" s="373"/>
      <c r="L79" s="373"/>
      <c r="M79" s="373"/>
      <c r="N79" s="160"/>
      <c r="O79" s="285"/>
      <c r="P79" s="318"/>
      <c r="Q79" s="321"/>
      <c r="R79" s="318"/>
      <c r="S79" s="318"/>
      <c r="T79" s="318"/>
      <c r="U79" s="327"/>
      <c r="V79" s="276"/>
      <c r="W79" s="328"/>
      <c r="X79" s="328"/>
      <c r="Y79" s="318"/>
      <c r="Z79" s="318"/>
      <c r="AA79" s="318"/>
      <c r="AB79" s="412" t="str">
        <f>IF(AB78&lt;&gt;0,"Out of Balance","Balanced")</f>
        <v>Balanced</v>
      </c>
    </row>
    <row r="80" spans="1:32">
      <c r="A80" s="184">
        <v>56</v>
      </c>
      <c r="B80" s="172" t="s">
        <v>23</v>
      </c>
      <c r="C80" s="172"/>
      <c r="D80" s="373"/>
      <c r="E80" s="373"/>
      <c r="F80" s="373"/>
      <c r="G80" s="373"/>
      <c r="H80" s="373"/>
      <c r="I80" s="373"/>
      <c r="J80" s="373"/>
      <c r="K80" s="373"/>
      <c r="L80" s="373"/>
      <c r="M80" s="373"/>
      <c r="N80" s="160"/>
      <c r="O80" s="329"/>
      <c r="Q80" s="330"/>
      <c r="R80" s="321"/>
      <c r="S80" s="321"/>
      <c r="T80" s="321"/>
      <c r="U80" s="327"/>
      <c r="V80" s="276"/>
      <c r="W80" s="331"/>
      <c r="X80" s="331"/>
      <c r="Y80" s="321"/>
      <c r="Z80" s="321"/>
      <c r="AA80" s="318"/>
      <c r="AB80" s="332"/>
    </row>
    <row r="81" spans="1:28" ht="13.5" thickBot="1">
      <c r="A81" s="184">
        <v>57</v>
      </c>
      <c r="B81" s="160" t="s">
        <v>60</v>
      </c>
      <c r="C81" s="160"/>
      <c r="D81" s="372">
        <f>Input!$OJ$60</f>
        <v>0</v>
      </c>
      <c r="E81" s="372">
        <f>Input!$OK$60</f>
        <v>0</v>
      </c>
      <c r="F81" s="372">
        <f>Input!$OL$60</f>
        <v>0</v>
      </c>
      <c r="G81" s="372">
        <f>Input!$OM$60</f>
        <v>0</v>
      </c>
      <c r="H81" s="372">
        <f>Input!$ON$60</f>
        <v>0</v>
      </c>
      <c r="I81" s="372">
        <f>Input!$OO$60</f>
        <v>0</v>
      </c>
      <c r="J81" s="372">
        <f>Input!$OP$60</f>
        <v>-53780567</v>
      </c>
      <c r="K81" s="372">
        <f>Input!$OQ$60</f>
        <v>0</v>
      </c>
      <c r="L81" s="372">
        <f>Input!$OR$60</f>
        <v>0</v>
      </c>
      <c r="M81" s="373">
        <f>D81+E81+F81+G81+H81+I81+J81+K81+L81</f>
        <v>-53780567</v>
      </c>
      <c r="N81" s="160"/>
      <c r="O81" s="329"/>
      <c r="Q81" s="330"/>
      <c r="R81" s="321"/>
      <c r="S81" s="321"/>
      <c r="T81" s="321"/>
      <c r="U81" s="327"/>
      <c r="V81" s="276"/>
      <c r="W81" s="331"/>
      <c r="X81" s="331"/>
      <c r="Y81" s="321"/>
      <c r="Z81" s="333"/>
      <c r="AA81" s="318"/>
      <c r="AB81" s="332"/>
    </row>
    <row r="82" spans="1:28" ht="14.25" thickTop="1" thickBot="1">
      <c r="A82" s="184">
        <v>58</v>
      </c>
      <c r="B82" s="171" t="s">
        <v>572</v>
      </c>
      <c r="C82" s="171"/>
      <c r="D82" s="372">
        <f>Input!$OS$60</f>
        <v>-4700429</v>
      </c>
      <c r="E82" s="372">
        <f>Input!$OT$60</f>
        <v>-2475068</v>
      </c>
      <c r="F82" s="372">
        <f>Input!$OU$60</f>
        <v>100000</v>
      </c>
      <c r="G82" s="372">
        <f>Input!$OV$60</f>
        <v>405250</v>
      </c>
      <c r="H82" s="372">
        <f>Input!$OW$60</f>
        <v>0</v>
      </c>
      <c r="I82" s="372">
        <f>Input!$OX$60</f>
        <v>0</v>
      </c>
      <c r="J82" s="372">
        <f>Input!$OY$60</f>
        <v>1304843</v>
      </c>
      <c r="K82" s="372">
        <f>Input!$OZ$60</f>
        <v>0</v>
      </c>
      <c r="L82" s="372">
        <f>Input!$PA$60</f>
        <v>0</v>
      </c>
      <c r="M82" s="373">
        <f>D82+E82+F82+G82+H82+I82+J82+K82+L82</f>
        <v>-5365404</v>
      </c>
      <c r="N82" s="160"/>
      <c r="O82" s="1723" t="str">
        <f>IF(M92&lt;0,"Footnote 11 is N/A - No Data Entry Required","Footnote 11")</f>
        <v>Footnote 11</v>
      </c>
      <c r="P82" s="1724"/>
      <c r="Q82" s="1724"/>
      <c r="R82" s="1725"/>
      <c r="S82" s="330"/>
      <c r="T82" s="330"/>
      <c r="U82" s="327"/>
      <c r="V82" s="276"/>
      <c r="W82" s="331"/>
      <c r="X82" s="331"/>
      <c r="Y82" s="328"/>
      <c r="Z82" s="328"/>
      <c r="AA82" s="276"/>
      <c r="AB82" s="276" t="s">
        <v>293</v>
      </c>
    </row>
    <row r="83" spans="1:28" ht="13.5" thickTop="1">
      <c r="A83" s="184">
        <v>59</v>
      </c>
      <c r="B83" s="160" t="s">
        <v>45</v>
      </c>
      <c r="C83" s="160"/>
      <c r="D83" s="372">
        <f>Input!$PB$60</f>
        <v>0</v>
      </c>
      <c r="E83" s="372">
        <f>Input!$PC$60</f>
        <v>0</v>
      </c>
      <c r="F83" s="372">
        <f>Input!$PD$60</f>
        <v>0</v>
      </c>
      <c r="G83" s="372">
        <f>Input!$PE$60</f>
        <v>0</v>
      </c>
      <c r="H83" s="372">
        <f>Input!$PF$60</f>
        <v>0</v>
      </c>
      <c r="I83" s="372">
        <f>Input!$PG$60</f>
        <v>0</v>
      </c>
      <c r="J83" s="372">
        <f>Input!$PH$60</f>
        <v>0</v>
      </c>
      <c r="K83" s="372">
        <f>Input!$PI$60</f>
        <v>0</v>
      </c>
      <c r="L83" s="372">
        <f>Input!$PJ$60</f>
        <v>0</v>
      </c>
      <c r="M83" s="373">
        <f>D83+E83+F83+G83+H83+I83+J83+K83+L83</f>
        <v>0</v>
      </c>
      <c r="N83" s="160"/>
      <c r="O83" s="487" t="s">
        <v>583</v>
      </c>
      <c r="P83" s="488"/>
      <c r="Q83" s="489"/>
      <c r="R83" s="490">
        <f>IF($M$92&lt;0,"N/A",$M$92)</f>
        <v>46320379</v>
      </c>
      <c r="S83" s="330"/>
      <c r="T83" s="330"/>
      <c r="U83" s="327"/>
      <c r="V83" s="276"/>
      <c r="W83" s="331"/>
      <c r="X83" s="331"/>
      <c r="Y83" s="331"/>
      <c r="Z83" s="331"/>
      <c r="AA83" s="276"/>
      <c r="AB83" s="276"/>
    </row>
    <row r="84" spans="1:28">
      <c r="A84" s="184">
        <v>60</v>
      </c>
      <c r="B84" s="160" t="s">
        <v>46</v>
      </c>
      <c r="C84" s="160"/>
      <c r="D84" s="372">
        <f>Input!$PK$60</f>
        <v>0</v>
      </c>
      <c r="E84" s="372">
        <f>Input!$PL$60</f>
        <v>0</v>
      </c>
      <c r="F84" s="372">
        <f>Input!$PM$60</f>
        <v>0</v>
      </c>
      <c r="G84" s="372">
        <f>Input!$PN$60</f>
        <v>0</v>
      </c>
      <c r="H84" s="372">
        <f>Input!$PO$60</f>
        <v>0</v>
      </c>
      <c r="I84" s="372">
        <f>Input!$PP$60</f>
        <v>0</v>
      </c>
      <c r="J84" s="372">
        <f>Input!$PQ$60</f>
        <v>0</v>
      </c>
      <c r="K84" s="372">
        <f>Input!$PR$60</f>
        <v>0</v>
      </c>
      <c r="L84" s="372">
        <f>Input!$PS$60</f>
        <v>0</v>
      </c>
      <c r="M84" s="373">
        <f>D84+E84+F84+G84+H84+I84+J84+K84+L84</f>
        <v>0</v>
      </c>
      <c r="N84" s="160"/>
      <c r="O84" s="491" t="s">
        <v>584</v>
      </c>
      <c r="P84" s="334"/>
      <c r="Q84" s="334"/>
      <c r="R84" s="521">
        <f>Input!$UB$60</f>
        <v>28755149</v>
      </c>
      <c r="S84" s="330"/>
      <c r="T84" s="330"/>
      <c r="U84" s="327"/>
      <c r="V84" s="276"/>
      <c r="W84" s="331"/>
      <c r="X84" s="331"/>
      <c r="Y84" s="331"/>
      <c r="Z84" s="331"/>
      <c r="AA84" s="276"/>
      <c r="AB84" s="276"/>
    </row>
    <row r="85" spans="1:28">
      <c r="A85" s="184">
        <v>61</v>
      </c>
      <c r="B85" s="162" t="s">
        <v>3</v>
      </c>
      <c r="C85" s="162"/>
      <c r="D85" s="374">
        <f t="shared" ref="D85:L85" si="22">SUM(D81:D84)</f>
        <v>-4700429</v>
      </c>
      <c r="E85" s="374">
        <f t="shared" si="22"/>
        <v>-2475068</v>
      </c>
      <c r="F85" s="374">
        <f t="shared" si="22"/>
        <v>100000</v>
      </c>
      <c r="G85" s="374">
        <f t="shared" si="22"/>
        <v>405250</v>
      </c>
      <c r="H85" s="374">
        <f t="shared" si="22"/>
        <v>0</v>
      </c>
      <c r="I85" s="374">
        <f t="shared" si="22"/>
        <v>0</v>
      </c>
      <c r="J85" s="374">
        <f t="shared" si="22"/>
        <v>-52475724</v>
      </c>
      <c r="K85" s="374">
        <f t="shared" si="22"/>
        <v>0</v>
      </c>
      <c r="L85" s="374">
        <f t="shared" si="22"/>
        <v>0</v>
      </c>
      <c r="M85" s="374">
        <f>D85+E85+F85+G85+H85+I85+J85+K85+L85</f>
        <v>-59145971</v>
      </c>
      <c r="N85" s="160"/>
      <c r="O85" s="491" t="s">
        <v>585</v>
      </c>
      <c r="P85" s="276"/>
      <c r="Q85" s="334"/>
      <c r="R85" s="492">
        <f>IF($M$92&lt;0,"",$R$83-$R$84)</f>
        <v>17565230</v>
      </c>
      <c r="S85" s="330"/>
      <c r="T85" s="330"/>
      <c r="U85" s="327"/>
      <c r="V85" s="276"/>
      <c r="W85" s="331"/>
      <c r="X85" s="331"/>
      <c r="Y85" s="331"/>
      <c r="Z85" s="331"/>
      <c r="AA85" s="276"/>
      <c r="AB85" s="276"/>
    </row>
    <row r="86" spans="1:28">
      <c r="A86" s="184">
        <v>62</v>
      </c>
      <c r="B86" s="160"/>
      <c r="C86" s="160"/>
      <c r="D86" s="373"/>
      <c r="E86" s="373"/>
      <c r="F86" s="373"/>
      <c r="G86" s="373"/>
      <c r="H86" s="373"/>
      <c r="I86" s="373"/>
      <c r="J86" s="373"/>
      <c r="K86" s="373"/>
      <c r="L86" s="373"/>
      <c r="M86" s="373"/>
      <c r="N86" s="160"/>
      <c r="O86" s="493"/>
      <c r="P86" s="276"/>
      <c r="Q86" s="334"/>
      <c r="R86" s="494"/>
      <c r="S86" s="330"/>
      <c r="T86" s="330"/>
      <c r="U86" s="327"/>
      <c r="V86" s="276"/>
      <c r="W86" s="331"/>
      <c r="X86" s="331"/>
      <c r="Y86" s="331"/>
      <c r="Z86" s="331"/>
      <c r="AA86" s="276"/>
      <c r="AB86" s="276"/>
    </row>
    <row r="87" spans="1:28">
      <c r="A87" s="184">
        <v>63</v>
      </c>
      <c r="B87" s="172" t="s">
        <v>24</v>
      </c>
      <c r="C87" s="172"/>
      <c r="D87" s="373"/>
      <c r="E87" s="373"/>
      <c r="F87" s="373"/>
      <c r="G87" s="373"/>
      <c r="H87" s="373"/>
      <c r="I87" s="373"/>
      <c r="J87" s="373"/>
      <c r="K87" s="373"/>
      <c r="L87" s="373"/>
      <c r="M87" s="373"/>
      <c r="N87" s="160"/>
      <c r="O87" s="495" t="s">
        <v>586</v>
      </c>
      <c r="P87" s="276"/>
      <c r="Q87" s="334"/>
      <c r="R87" s="521">
        <f>Input!$UC$60</f>
        <v>14688347</v>
      </c>
      <c r="S87" s="330"/>
      <c r="T87" s="330"/>
      <c r="U87" s="334"/>
      <c r="V87" s="276"/>
      <c r="W87" s="328"/>
      <c r="X87" s="328"/>
      <c r="Y87" s="331"/>
      <c r="Z87" s="331"/>
      <c r="AA87" s="276"/>
      <c r="AB87" s="276"/>
    </row>
    <row r="88" spans="1:28">
      <c r="A88" s="184">
        <v>64</v>
      </c>
      <c r="B88" s="160" t="s">
        <v>47</v>
      </c>
      <c r="C88" s="160"/>
      <c r="D88" s="372">
        <f>Input!$PT$60</f>
        <v>0</v>
      </c>
      <c r="E88" s="372">
        <f>Input!$PU$60</f>
        <v>15685431</v>
      </c>
      <c r="F88" s="372">
        <f>Input!$PV$60</f>
        <v>0</v>
      </c>
      <c r="G88" s="372">
        <f>Input!$PW$60</f>
        <v>0</v>
      </c>
      <c r="H88" s="372">
        <f>Input!$PX$60</f>
        <v>0</v>
      </c>
      <c r="I88" s="372">
        <f>Input!$PY$60</f>
        <v>14688347</v>
      </c>
      <c r="J88" s="372">
        <f>Input!$PZ$60</f>
        <v>0</v>
      </c>
      <c r="K88" s="372">
        <f>Input!$QA$60</f>
        <v>0</v>
      </c>
      <c r="L88" s="372">
        <f>Input!$QB$60</f>
        <v>0</v>
      </c>
      <c r="M88" s="373">
        <f>D88+E88+F88+G88+H88+I88+J88+K88+L88</f>
        <v>30373778</v>
      </c>
      <c r="N88" s="160"/>
      <c r="O88" s="496" t="s">
        <v>587</v>
      </c>
      <c r="P88" s="276"/>
      <c r="Q88" s="276"/>
      <c r="R88" s="497"/>
      <c r="S88" s="330"/>
      <c r="T88" s="330"/>
      <c r="W88" s="276"/>
      <c r="X88" s="276"/>
      <c r="Y88" s="331"/>
      <c r="Z88" s="331"/>
      <c r="AA88" s="276"/>
      <c r="AB88" s="276"/>
    </row>
    <row r="89" spans="1:28">
      <c r="A89" s="184">
        <v>65</v>
      </c>
      <c r="B89" s="160" t="s">
        <v>48</v>
      </c>
      <c r="C89" s="160"/>
      <c r="D89" s="372">
        <f>Input!$QC$60</f>
        <v>0</v>
      </c>
      <c r="E89" s="372">
        <f>Input!$QD$60</f>
        <v>0</v>
      </c>
      <c r="F89" s="372">
        <f>Input!$QE$60</f>
        <v>0</v>
      </c>
      <c r="G89" s="372">
        <f>Input!$QF$60</f>
        <v>0</v>
      </c>
      <c r="H89" s="372">
        <f>Input!$QG$60</f>
        <v>0</v>
      </c>
      <c r="I89" s="372">
        <f>Input!$QH$60</f>
        <v>2876883</v>
      </c>
      <c r="J89" s="372">
        <f>Input!$QI$60</f>
        <v>0</v>
      </c>
      <c r="K89" s="372">
        <f>Input!$QJ$60</f>
        <v>0</v>
      </c>
      <c r="L89" s="372">
        <f>Input!$QK$60</f>
        <v>0</v>
      </c>
      <c r="M89" s="373">
        <f>D89+E89+F89+G89+H89+I89+J89+K89+L89</f>
        <v>2876883</v>
      </c>
      <c r="N89" s="160"/>
      <c r="O89" s="498" t="s">
        <v>588</v>
      </c>
      <c r="P89" s="276"/>
      <c r="Q89" s="276"/>
      <c r="R89" s="492">
        <f>IFERROR($R$85-$R$87,"")</f>
        <v>2876883</v>
      </c>
      <c r="Y89" s="331"/>
      <c r="Z89" s="401"/>
      <c r="AA89" s="268"/>
      <c r="AB89" s="268"/>
    </row>
    <row r="90" spans="1:28">
      <c r="A90" s="184">
        <v>66</v>
      </c>
      <c r="B90" s="162" t="s">
        <v>3</v>
      </c>
      <c r="C90" s="162"/>
      <c r="D90" s="374">
        <f t="shared" ref="D90:L90" si="23">SUM(D88:D89)</f>
        <v>0</v>
      </c>
      <c r="E90" s="374">
        <f t="shared" si="23"/>
        <v>15685431</v>
      </c>
      <c r="F90" s="374">
        <f t="shared" si="23"/>
        <v>0</v>
      </c>
      <c r="G90" s="374">
        <f t="shared" si="23"/>
        <v>0</v>
      </c>
      <c r="H90" s="374">
        <f t="shared" si="23"/>
        <v>0</v>
      </c>
      <c r="I90" s="374">
        <f t="shared" si="23"/>
        <v>17565230</v>
      </c>
      <c r="J90" s="374">
        <f t="shared" si="23"/>
        <v>0</v>
      </c>
      <c r="K90" s="374">
        <f t="shared" si="23"/>
        <v>0</v>
      </c>
      <c r="L90" s="374">
        <f t="shared" si="23"/>
        <v>0</v>
      </c>
      <c r="M90" s="374">
        <f>D90+E90+F90+G90+H90+I90+J90+K90+L90</f>
        <v>33250661</v>
      </c>
      <c r="N90" s="160"/>
      <c r="O90" s="493"/>
      <c r="P90" s="276"/>
      <c r="Q90" s="276"/>
      <c r="R90" s="497"/>
      <c r="Y90" s="163"/>
      <c r="Z90" s="447"/>
      <c r="AA90" s="439"/>
      <c r="AB90" s="448"/>
    </row>
    <row r="91" spans="1:28" ht="13.5" thickBot="1">
      <c r="A91" s="184">
        <v>67</v>
      </c>
      <c r="B91" s="160"/>
      <c r="C91" s="160"/>
      <c r="D91" s="373"/>
      <c r="E91" s="373"/>
      <c r="F91" s="373"/>
      <c r="G91" s="373"/>
      <c r="H91" s="373"/>
      <c r="I91" s="373"/>
      <c r="J91" s="373"/>
      <c r="K91" s="373"/>
      <c r="L91" s="373"/>
      <c r="M91" s="373"/>
      <c r="N91" s="160"/>
      <c r="O91" s="499" t="s">
        <v>589</v>
      </c>
      <c r="P91" s="500"/>
      <c r="Q91" s="500"/>
      <c r="R91" s="501">
        <f>IFERROR((R89+R87)-R85,"")</f>
        <v>0</v>
      </c>
      <c r="Y91" s="268"/>
      <c r="Z91" s="447"/>
      <c r="AA91" s="439"/>
      <c r="AB91" s="449"/>
    </row>
    <row r="92" spans="1:28" ht="13.5" thickTop="1">
      <c r="A92" s="184">
        <v>68</v>
      </c>
      <c r="B92" s="162" t="s">
        <v>574</v>
      </c>
      <c r="C92" s="162"/>
      <c r="D92" s="374">
        <f t="shared" ref="D92:L92" si="24">D63-D78+D85+D90</f>
        <v>2036872</v>
      </c>
      <c r="E92" s="374">
        <f t="shared" si="24"/>
        <v>8095991</v>
      </c>
      <c r="F92" s="374">
        <f t="shared" si="24"/>
        <v>4473299</v>
      </c>
      <c r="G92" s="374">
        <f t="shared" si="24"/>
        <v>55360688</v>
      </c>
      <c r="H92" s="374">
        <f t="shared" si="24"/>
        <v>-511480</v>
      </c>
      <c r="I92" s="374">
        <f t="shared" si="24"/>
        <v>32293363</v>
      </c>
      <c r="J92" s="374">
        <f t="shared" si="24"/>
        <v>-55428354</v>
      </c>
      <c r="K92" s="374">
        <f t="shared" si="24"/>
        <v>0</v>
      </c>
      <c r="L92" s="374">
        <f t="shared" si="24"/>
        <v>0</v>
      </c>
      <c r="M92" s="374">
        <f>D92+E92+F92+G92+H92+I92+J92+K92+L92</f>
        <v>46320379</v>
      </c>
      <c r="N92" s="160"/>
      <c r="Y92" s="268"/>
      <c r="Z92" s="447"/>
      <c r="AA92" s="439"/>
      <c r="AB92" s="449"/>
    </row>
    <row r="93" spans="1:28">
      <c r="A93" s="184">
        <v>69</v>
      </c>
      <c r="B93" s="163"/>
      <c r="C93" s="163"/>
      <c r="D93" s="329"/>
      <c r="E93" s="329"/>
      <c r="F93" s="329"/>
      <c r="G93" s="329"/>
      <c r="H93" s="329"/>
      <c r="I93" s="329"/>
      <c r="J93" s="329"/>
      <c r="K93" s="329"/>
      <c r="L93" s="329"/>
      <c r="M93" s="329"/>
      <c r="N93" s="160"/>
      <c r="Y93" s="268"/>
      <c r="Z93" s="447"/>
      <c r="AA93" s="439"/>
      <c r="AB93" s="449"/>
    </row>
    <row r="94" spans="1:28">
      <c r="A94" s="184">
        <v>70</v>
      </c>
      <c r="B94" s="161" t="s">
        <v>65</v>
      </c>
      <c r="C94" s="161"/>
      <c r="D94" s="372">
        <f>Input!$QL$60</f>
        <v>0</v>
      </c>
      <c r="E94" s="372">
        <f>Input!$QM$60</f>
        <v>0</v>
      </c>
      <c r="F94" s="372">
        <f>Input!$QN$60</f>
        <v>0</v>
      </c>
      <c r="G94" s="372">
        <f>Input!$QO$60</f>
        <v>0</v>
      </c>
      <c r="H94" s="372">
        <f>Input!$QP$60</f>
        <v>0</v>
      </c>
      <c r="I94" s="372">
        <f>Input!$QQ$60</f>
        <v>0</v>
      </c>
      <c r="J94" s="372">
        <f>Input!$QR$60</f>
        <v>0</v>
      </c>
      <c r="K94" s="372">
        <f>Input!$QS$60</f>
        <v>0</v>
      </c>
      <c r="L94" s="372">
        <f>Input!$QT$60</f>
        <v>0</v>
      </c>
      <c r="M94" s="329">
        <f>D94+E94+F94+G94+H94+I94+J94+K94+L94</f>
        <v>0</v>
      </c>
      <c r="N94" s="160"/>
      <c r="Y94" s="268"/>
      <c r="Z94" s="447"/>
      <c r="AA94" s="439"/>
      <c r="AB94" s="449"/>
    </row>
    <row r="95" spans="1:28">
      <c r="A95" s="184">
        <v>72</v>
      </c>
      <c r="B95" s="160" t="s">
        <v>66</v>
      </c>
      <c r="C95" s="160"/>
      <c r="D95" s="372">
        <f>Input!$QU$60</f>
        <v>0</v>
      </c>
      <c r="E95" s="372">
        <f>Input!$QV$60</f>
        <v>0</v>
      </c>
      <c r="F95" s="372">
        <f>Input!$QW$60</f>
        <v>0</v>
      </c>
      <c r="G95" s="372">
        <f>Input!$QX$60</f>
        <v>0</v>
      </c>
      <c r="H95" s="372">
        <f>Input!$QY$60</f>
        <v>0</v>
      </c>
      <c r="I95" s="372">
        <f>Input!$QZ$60</f>
        <v>0</v>
      </c>
      <c r="J95" s="372">
        <f>Input!$RA$60</f>
        <v>-39583907</v>
      </c>
      <c r="K95" s="372">
        <f>Input!$RB$60</f>
        <v>0</v>
      </c>
      <c r="L95" s="372">
        <f>Input!$RC$60</f>
        <v>0</v>
      </c>
      <c r="M95" s="373">
        <f>D95+E95+F95+G95+H95+I95+J95+K95+L95</f>
        <v>-39583907</v>
      </c>
      <c r="N95" s="160"/>
      <c r="O95" s="270"/>
      <c r="P95" s="335"/>
      <c r="Y95" s="268"/>
      <c r="Z95" s="447"/>
      <c r="AA95" s="439"/>
      <c r="AB95" s="449"/>
    </row>
    <row r="96" spans="1:28" s="264" customFormat="1">
      <c r="A96" s="263"/>
      <c r="B96" s="171" t="s">
        <v>216</v>
      </c>
      <c r="C96" s="171"/>
      <c r="D96" s="372">
        <f>Input!$RD$60</f>
        <v>0</v>
      </c>
      <c r="E96" s="372">
        <f>Input!$RE$60</f>
        <v>0</v>
      </c>
      <c r="F96" s="372">
        <f>Input!$RF$60</f>
        <v>0</v>
      </c>
      <c r="G96" s="372">
        <f>Input!$RG$60</f>
        <v>0</v>
      </c>
      <c r="H96" s="372">
        <f>Input!$RH$60</f>
        <v>0</v>
      </c>
      <c r="I96" s="372">
        <f>Input!$RI$60</f>
        <v>0</v>
      </c>
      <c r="J96" s="372">
        <f>Input!$RJ$60</f>
        <v>0</v>
      </c>
      <c r="K96" s="372">
        <f>Input!$RK$60</f>
        <v>0</v>
      </c>
      <c r="L96" s="372">
        <f>Input!$RL$60</f>
        <v>0</v>
      </c>
      <c r="M96" s="373">
        <f t="shared" ref="M96:M98" si="25">D96+E96+F96+G96+H96+I96+J96+K96+L96</f>
        <v>0</v>
      </c>
      <c r="N96" s="160"/>
      <c r="O96" s="1726" t="s">
        <v>1355</v>
      </c>
      <c r="P96" s="1727"/>
      <c r="Q96" s="1727"/>
      <c r="R96" s="1727"/>
      <c r="S96" s="1727"/>
      <c r="T96" s="1727"/>
      <c r="U96" s="1728"/>
      <c r="Y96" s="268"/>
      <c r="Z96" s="447"/>
      <c r="AA96" s="439"/>
      <c r="AB96" s="449"/>
    </row>
    <row r="97" spans="1:28" s="264" customFormat="1">
      <c r="A97" s="263"/>
      <c r="B97" s="171" t="s">
        <v>105</v>
      </c>
      <c r="C97" s="171"/>
      <c r="D97" s="372">
        <f>Input!$RM$60</f>
        <v>0</v>
      </c>
      <c r="E97" s="372">
        <f>Input!$RN$60</f>
        <v>0</v>
      </c>
      <c r="F97" s="372">
        <f>Input!$RO$60</f>
        <v>0</v>
      </c>
      <c r="G97" s="372">
        <f>Input!$RP$60</f>
        <v>0</v>
      </c>
      <c r="H97" s="372">
        <f>Input!$RQ$60</f>
        <v>0</v>
      </c>
      <c r="I97" s="372">
        <f>Input!$RR$60</f>
        <v>0</v>
      </c>
      <c r="J97" s="372">
        <f>Input!$RS$60</f>
        <v>0</v>
      </c>
      <c r="K97" s="372">
        <f>Input!$RT$60</f>
        <v>0</v>
      </c>
      <c r="L97" s="372">
        <f>Input!$RU$60</f>
        <v>0</v>
      </c>
      <c r="M97" s="373">
        <f t="shared" si="25"/>
        <v>0</v>
      </c>
      <c r="N97" s="160"/>
      <c r="O97" s="502" t="s">
        <v>590</v>
      </c>
      <c r="P97" s="423"/>
      <c r="Q97" s="502" t="s">
        <v>591</v>
      </c>
      <c r="R97" s="423"/>
      <c r="S97" s="503"/>
      <c r="T97" s="502" t="s">
        <v>592</v>
      </c>
      <c r="U97" s="423"/>
      <c r="Y97" s="268"/>
      <c r="Z97" s="447"/>
      <c r="AA97" s="439"/>
      <c r="AB97" s="449"/>
    </row>
    <row r="98" spans="1:28" s="264" customFormat="1">
      <c r="A98" s="263"/>
      <c r="B98" s="171" t="s">
        <v>128</v>
      </c>
      <c r="C98" s="171"/>
      <c r="D98" s="372">
        <f>Input!$RV$60</f>
        <v>0</v>
      </c>
      <c r="E98" s="372">
        <f>Input!$RW$60</f>
        <v>0</v>
      </c>
      <c r="F98" s="372">
        <f>Input!$RX$60</f>
        <v>0</v>
      </c>
      <c r="G98" s="372">
        <f>Input!$RY$60</f>
        <v>0</v>
      </c>
      <c r="H98" s="372">
        <f>Input!$RZ$60</f>
        <v>0</v>
      </c>
      <c r="I98" s="372">
        <f>Input!$SA$60</f>
        <v>0</v>
      </c>
      <c r="J98" s="372">
        <f>Input!$SB$60</f>
        <v>0</v>
      </c>
      <c r="K98" s="372">
        <f>Input!$SC$60</f>
        <v>0</v>
      </c>
      <c r="L98" s="372">
        <f>Input!$SD$60</f>
        <v>0</v>
      </c>
      <c r="M98" s="373">
        <f t="shared" si="25"/>
        <v>0</v>
      </c>
      <c r="N98" s="160"/>
      <c r="O98" s="504"/>
      <c r="P98" s="505"/>
      <c r="Q98" s="504"/>
      <c r="R98" s="426"/>
      <c r="S98" s="276"/>
      <c r="T98" s="506"/>
      <c r="U98" s="426"/>
      <c r="Y98" s="268"/>
      <c r="Z98" s="447"/>
      <c r="AA98" s="439"/>
      <c r="AB98" s="449"/>
    </row>
    <row r="99" spans="1:28" s="264" customFormat="1">
      <c r="A99" s="263"/>
      <c r="B99" s="160" t="s">
        <v>67</v>
      </c>
      <c r="C99" s="160"/>
      <c r="D99" s="372">
        <f>Input!$SE$60</f>
        <v>809208</v>
      </c>
      <c r="E99" s="372">
        <f>Input!$SF$60</f>
        <v>3019514</v>
      </c>
      <c r="F99" s="372">
        <f>Input!$SG$60</f>
        <v>107282</v>
      </c>
      <c r="G99" s="372">
        <f>Input!$SH$60</f>
        <v>796543</v>
      </c>
      <c r="H99" s="372">
        <f>Input!$SI$60</f>
        <v>0</v>
      </c>
      <c r="I99" s="372">
        <f>Input!$SJ$60</f>
        <v>0</v>
      </c>
      <c r="J99" s="372">
        <f>Input!$SK$60</f>
        <v>53780567</v>
      </c>
      <c r="K99" s="372">
        <f>Input!$SL$60</f>
        <v>0</v>
      </c>
      <c r="L99" s="372">
        <f>Input!$SM$60</f>
        <v>0</v>
      </c>
      <c r="M99" s="373">
        <f>D99+E99+F99+G99+H99+I99+J99+K99+L99</f>
        <v>58513114</v>
      </c>
      <c r="N99" s="160"/>
      <c r="O99" s="1729" t="str">
        <f>Input!UF$60</f>
        <v>Amanda Withers</v>
      </c>
      <c r="P99" s="1730"/>
      <c r="Q99" s="1729" t="str">
        <f>Input!$UG$60</f>
        <v>936-294-2289</v>
      </c>
      <c r="R99" s="1730"/>
      <c r="S99" s="276"/>
      <c r="T99" s="1731" t="str">
        <f>HYPERLINK("Mailto:"&amp;Input!$UH$60,Input!$UH$60)</f>
        <v>withers@shsu.edu</v>
      </c>
      <c r="U99" s="1730"/>
      <c r="Y99" s="268"/>
      <c r="Z99" s="447"/>
      <c r="AA99" s="442"/>
      <c r="AB99" s="449"/>
    </row>
    <row r="100" spans="1:28" ht="13.5" thickBot="1">
      <c r="B100" s="179" t="s">
        <v>58</v>
      </c>
      <c r="C100" s="179"/>
      <c r="D100" s="380">
        <f t="shared" ref="D100:K100" si="26">SUM(D92:D99)</f>
        <v>2846080</v>
      </c>
      <c r="E100" s="380">
        <f t="shared" si="26"/>
        <v>11115505</v>
      </c>
      <c r="F100" s="380">
        <f t="shared" si="26"/>
        <v>4580581</v>
      </c>
      <c r="G100" s="380">
        <f t="shared" si="26"/>
        <v>56157231</v>
      </c>
      <c r="H100" s="380">
        <f t="shared" si="26"/>
        <v>-511480</v>
      </c>
      <c r="I100" s="380">
        <f t="shared" si="26"/>
        <v>32293363</v>
      </c>
      <c r="J100" s="380">
        <f t="shared" si="26"/>
        <v>-41231694</v>
      </c>
      <c r="K100" s="380">
        <f t="shared" si="26"/>
        <v>0</v>
      </c>
      <c r="L100" s="380">
        <f>SUM(L92:L99)</f>
        <v>0</v>
      </c>
      <c r="M100" s="380">
        <f>D100+E100+F100+G100+H100+I100+J100+K100+L100</f>
        <v>65249586</v>
      </c>
      <c r="N100" s="160"/>
      <c r="O100" s="506"/>
      <c r="P100" s="507"/>
      <c r="Q100" s="276"/>
      <c r="R100" s="276"/>
      <c r="S100" s="276"/>
      <c r="T100" s="507"/>
      <c r="U100" s="508"/>
      <c r="Y100" s="268"/>
      <c r="Z100" s="447"/>
      <c r="AA100" s="442"/>
      <c r="AB100" s="449"/>
    </row>
    <row r="101" spans="1:28" ht="13.5" thickTop="1">
      <c r="C101" s="160"/>
      <c r="D101" s="165"/>
      <c r="E101" s="165"/>
      <c r="F101" s="165"/>
      <c r="G101" s="165"/>
      <c r="H101" s="165"/>
      <c r="I101" s="165"/>
      <c r="J101" s="165"/>
      <c r="K101" s="165"/>
      <c r="L101" s="165"/>
      <c r="M101" s="180"/>
      <c r="N101" s="160"/>
      <c r="O101" s="1720" t="s">
        <v>593</v>
      </c>
      <c r="P101" s="1721"/>
      <c r="Q101" s="1721"/>
      <c r="R101" s="1721"/>
      <c r="S101" s="1721"/>
      <c r="T101" s="1721"/>
      <c r="U101" s="1722"/>
      <c r="Y101" s="268"/>
      <c r="Z101" s="451"/>
      <c r="AA101" s="442"/>
      <c r="AB101" s="449"/>
    </row>
    <row r="102" spans="1:28">
      <c r="B102" s="171" t="s">
        <v>1369</v>
      </c>
      <c r="C102" s="169"/>
      <c r="D102" s="165"/>
      <c r="E102" s="165"/>
      <c r="F102" s="165"/>
      <c r="G102" s="165"/>
      <c r="H102" s="165"/>
      <c r="I102" s="165"/>
      <c r="J102" s="165"/>
      <c r="K102" s="165"/>
      <c r="L102" s="165"/>
      <c r="M102" s="180"/>
      <c r="N102" s="160"/>
      <c r="O102" s="1720"/>
      <c r="P102" s="1721"/>
      <c r="Q102" s="1721"/>
      <c r="R102" s="1721"/>
      <c r="S102" s="1721"/>
      <c r="T102" s="1721"/>
      <c r="U102" s="1722"/>
      <c r="Y102" s="268"/>
      <c r="Z102" s="452"/>
      <c r="AA102" s="453"/>
      <c r="AB102" s="454"/>
    </row>
    <row r="103" spans="1:28">
      <c r="B103" s="169" t="s">
        <v>80</v>
      </c>
      <c r="C103" s="160"/>
      <c r="D103" s="165"/>
      <c r="E103" s="165"/>
      <c r="F103" s="165"/>
      <c r="G103" s="165"/>
      <c r="H103" s="165"/>
      <c r="I103" s="165"/>
      <c r="J103" s="165"/>
      <c r="K103" s="165"/>
      <c r="L103" s="165"/>
      <c r="M103" s="180"/>
      <c r="N103" s="160"/>
      <c r="O103" s="509"/>
      <c r="P103" s="510"/>
      <c r="Q103" s="511"/>
      <c r="R103" s="511"/>
      <c r="S103" s="511"/>
      <c r="T103" s="510"/>
      <c r="U103" s="428"/>
      <c r="V103" s="336"/>
      <c r="W103" s="336"/>
      <c r="X103" s="336"/>
      <c r="Y103" s="268"/>
      <c r="Z103" s="268"/>
      <c r="AA103" s="268"/>
      <c r="AB103" s="268"/>
    </row>
    <row r="104" spans="1:28">
      <c r="B104" s="261" t="s">
        <v>1297</v>
      </c>
      <c r="C104" s="160"/>
      <c r="D104" s="165"/>
      <c r="E104" s="165"/>
      <c r="F104" s="165"/>
      <c r="G104" s="165"/>
      <c r="H104" s="165"/>
      <c r="I104" s="165"/>
      <c r="J104" s="165"/>
      <c r="K104" s="165"/>
      <c r="L104" s="165"/>
      <c r="M104" s="180"/>
      <c r="N104" s="160"/>
      <c r="O104" s="337"/>
      <c r="P104" s="336"/>
      <c r="Q104" s="336"/>
      <c r="U104" s="336"/>
      <c r="V104" s="336"/>
      <c r="W104" s="336"/>
      <c r="X104" s="336"/>
      <c r="Y104" s="268"/>
    </row>
    <row r="105" spans="1:28">
      <c r="B105" s="160"/>
      <c r="C105" s="160"/>
      <c r="D105" s="165"/>
      <c r="E105" s="165"/>
      <c r="F105" s="165"/>
      <c r="G105" s="165"/>
      <c r="H105" s="165"/>
      <c r="I105" s="165"/>
      <c r="J105" s="165"/>
      <c r="K105" s="165"/>
      <c r="L105" s="165"/>
      <c r="M105" s="180"/>
      <c r="N105" s="160"/>
      <c r="O105" s="75"/>
      <c r="P105" s="336"/>
      <c r="Q105" s="336"/>
    </row>
    <row r="106" spans="1:28">
      <c r="B106" s="160"/>
      <c r="C106" s="160"/>
      <c r="D106" s="160"/>
      <c r="E106" s="160"/>
      <c r="F106" s="160"/>
      <c r="G106" s="160"/>
      <c r="H106" s="160"/>
      <c r="I106" s="160"/>
      <c r="J106" s="160"/>
      <c r="K106" s="160"/>
      <c r="L106" s="160"/>
      <c r="M106" s="181" t="s">
        <v>93</v>
      </c>
      <c r="N106" s="160"/>
      <c r="O106" s="338"/>
      <c r="R106" s="336"/>
      <c r="S106" s="336"/>
      <c r="Y106" s="336"/>
      <c r="Z106" s="336"/>
      <c r="AA106" s="336"/>
      <c r="AB106" s="336"/>
    </row>
    <row r="107" spans="1:28">
      <c r="B107" s="261" t="s">
        <v>1298</v>
      </c>
      <c r="C107" s="160"/>
      <c r="D107" s="160"/>
      <c r="E107" s="160"/>
      <c r="F107" s="160"/>
      <c r="G107" s="160"/>
      <c r="H107" s="160"/>
      <c r="I107" s="160"/>
      <c r="J107" s="160"/>
      <c r="K107" s="160"/>
      <c r="L107" s="160"/>
      <c r="M107" s="372">
        <f>Input!$SN$60</f>
        <v>65249586</v>
      </c>
      <c r="N107" s="160"/>
      <c r="O107" s="338"/>
      <c r="R107" s="336"/>
      <c r="S107" s="336"/>
      <c r="T107" s="336"/>
      <c r="Y107" s="336"/>
      <c r="Z107" s="336"/>
      <c r="AA107" s="336"/>
      <c r="AB107" s="336"/>
    </row>
    <row r="108" spans="1:28">
      <c r="B108" s="160" t="s">
        <v>92</v>
      </c>
      <c r="C108" s="160"/>
      <c r="D108" s="182"/>
      <c r="E108" s="182"/>
      <c r="F108" s="182"/>
      <c r="G108" s="182"/>
      <c r="H108" s="182"/>
      <c r="I108" s="182"/>
      <c r="J108" s="182"/>
      <c r="K108" s="182"/>
      <c r="L108" s="183"/>
      <c r="M108" s="342">
        <f>M100-M107</f>
        <v>0</v>
      </c>
      <c r="N108" s="160"/>
      <c r="O108" s="339"/>
    </row>
    <row r="109" spans="1:28">
      <c r="B109" s="160"/>
      <c r="C109" s="160"/>
      <c r="D109" s="182"/>
      <c r="E109" s="182"/>
      <c r="F109" s="182"/>
      <c r="G109" s="182"/>
      <c r="H109" s="182"/>
      <c r="I109" s="182"/>
      <c r="J109" s="182"/>
      <c r="K109" s="182"/>
      <c r="L109" s="513" t="str">
        <f>IF($L$125&lt;&gt;((Input!$F$60)+(Input!$F$61)),"Out of Balance","Balanced")</f>
        <v>Balanced</v>
      </c>
      <c r="M109" s="517" t="str">
        <f>IF(M107&lt;&gt;M100,"Out of Balance","Balanced")</f>
        <v>Balanced</v>
      </c>
      <c r="N109" s="160"/>
      <c r="O109" s="339"/>
    </row>
    <row r="110" spans="1:28">
      <c r="B110" s="160"/>
      <c r="C110" s="160"/>
      <c r="D110" s="160"/>
      <c r="E110" s="160"/>
      <c r="F110" s="160"/>
      <c r="G110" s="160"/>
      <c r="H110" s="160"/>
      <c r="I110" s="160"/>
      <c r="J110" s="160"/>
      <c r="K110" s="160"/>
      <c r="L110" s="160"/>
      <c r="M110" s="160"/>
      <c r="N110" s="160"/>
      <c r="O110" s="75"/>
    </row>
    <row r="111" spans="1:28">
      <c r="B111" s="160"/>
      <c r="C111" s="160"/>
      <c r="D111" s="160"/>
      <c r="E111" s="160"/>
      <c r="F111" s="160"/>
      <c r="G111" s="160"/>
      <c r="H111" s="160"/>
      <c r="I111" s="160"/>
      <c r="J111" s="160"/>
      <c r="K111" s="160"/>
      <c r="L111" s="160"/>
      <c r="M111" s="160"/>
      <c r="N111" s="160"/>
      <c r="O111" s="75"/>
    </row>
    <row r="112" spans="1:28">
      <c r="B112" s="261"/>
      <c r="C112" s="261"/>
      <c r="D112" s="373">
        <f>SUM(D$10:D$14)+SUM(D$19:D$28)+SUM(D$32:D$41)+D$47+SUM(D$56:D$61)+SUM(D$66:D$77)+SUM(D$81:D$84)+SUM(D$88:D$89)+SUM(D$94:D$99)+D$50+D$53</f>
        <v>235269430</v>
      </c>
      <c r="E112" s="373">
        <f t="shared" ref="E112:L112" si="27">SUM(E$10:E$14)+SUM(E$19:E$28)+SUM(E$32:E$41)+E$47+SUM(E$56:E$61)+SUM(E$66:E$77)+SUM(E$81:E$84)+SUM(E$88:E$89)+SUM(E$94:E$99)+E$50+E$53</f>
        <v>320093013</v>
      </c>
      <c r="F112" s="373">
        <f t="shared" si="27"/>
        <v>83713819</v>
      </c>
      <c r="G112" s="373">
        <f t="shared" si="27"/>
        <v>165264411</v>
      </c>
      <c r="H112" s="373">
        <f t="shared" si="27"/>
        <v>511350</v>
      </c>
      <c r="I112" s="373">
        <f t="shared" si="27"/>
        <v>32359329</v>
      </c>
      <c r="J112" s="373">
        <f t="shared" si="27"/>
        <v>-40655724</v>
      </c>
      <c r="K112" s="373">
        <f t="shared" si="27"/>
        <v>0</v>
      </c>
      <c r="L112" s="373">
        <f t="shared" si="27"/>
        <v>0</v>
      </c>
      <c r="M112" s="373"/>
      <c r="N112" s="264"/>
      <c r="O112" s="373"/>
      <c r="P112" s="450">
        <f>M18-INT(M18)</f>
        <v>0</v>
      </c>
    </row>
    <row r="113" spans="2:16">
      <c r="B113" s="261"/>
      <c r="C113" s="261"/>
      <c r="D113" s="261"/>
      <c r="E113" s="261"/>
      <c r="F113" s="261"/>
      <c r="G113" s="261"/>
      <c r="H113" s="261"/>
      <c r="I113" s="261"/>
      <c r="J113" s="261"/>
      <c r="K113" s="261"/>
      <c r="L113" s="373">
        <f>SUM($D$112:$L$112)</f>
        <v>796555628</v>
      </c>
      <c r="M113" s="261"/>
      <c r="N113" s="264"/>
      <c r="O113" s="373"/>
      <c r="P113" s="450">
        <f>M31-INT(M31)</f>
        <v>0</v>
      </c>
    </row>
    <row r="114" spans="2:16">
      <c r="B114" s="261"/>
      <c r="C114" s="261"/>
      <c r="D114" s="261"/>
      <c r="E114" s="261"/>
      <c r="F114" s="261"/>
      <c r="G114" s="261"/>
      <c r="H114" s="261"/>
      <c r="I114" s="261"/>
      <c r="J114" s="261" t="s">
        <v>1299</v>
      </c>
      <c r="K114" s="261"/>
      <c r="L114" s="373">
        <f>$M$107</f>
        <v>65249586</v>
      </c>
      <c r="M114" s="261"/>
      <c r="N114" s="264"/>
      <c r="O114" s="373"/>
      <c r="P114" s="450">
        <f>M100-INT(M100)</f>
        <v>0</v>
      </c>
    </row>
    <row r="115" spans="2:16">
      <c r="B115" s="261"/>
      <c r="C115" s="261"/>
      <c r="D115" s="261"/>
      <c r="E115" s="261"/>
      <c r="F115" s="261"/>
      <c r="G115" s="261"/>
      <c r="H115" s="261"/>
      <c r="I115" s="261"/>
      <c r="J115" s="261" t="s">
        <v>1300</v>
      </c>
      <c r="K115" s="261"/>
      <c r="L115" s="512">
        <f>$Q$32</f>
        <v>246266365</v>
      </c>
      <c r="M115" s="261"/>
      <c r="N115" s="264"/>
      <c r="O115" s="373"/>
    </row>
    <row r="116" spans="2:16">
      <c r="B116" s="261"/>
      <c r="C116" s="261"/>
      <c r="D116" s="261"/>
      <c r="E116" s="261"/>
      <c r="F116" s="261"/>
      <c r="G116" s="261"/>
      <c r="H116" s="261"/>
      <c r="I116" s="261"/>
      <c r="J116" s="261" t="s">
        <v>1300</v>
      </c>
      <c r="K116" s="261"/>
      <c r="L116" s="512">
        <f>$R$34</f>
        <v>-65302118</v>
      </c>
      <c r="M116" s="261"/>
      <c r="N116" s="264"/>
      <c r="O116" s="373"/>
    </row>
    <row r="117" spans="2:16">
      <c r="B117" s="261"/>
      <c r="C117" s="261"/>
      <c r="D117" s="261"/>
      <c r="E117" s="261"/>
      <c r="F117" s="261"/>
      <c r="G117" s="261"/>
      <c r="H117" s="261"/>
      <c r="I117" s="261"/>
      <c r="J117" s="261" t="s">
        <v>29</v>
      </c>
      <c r="K117" s="261"/>
      <c r="L117" s="512">
        <f>SUM($P$66:$P$75)</f>
        <v>4732547</v>
      </c>
      <c r="M117" s="261"/>
      <c r="N117" s="264"/>
      <c r="O117" s="373"/>
    </row>
    <row r="118" spans="2:16">
      <c r="B118" s="261"/>
      <c r="C118" s="261"/>
      <c r="D118" s="261"/>
      <c r="E118" s="261"/>
      <c r="F118" s="261"/>
      <c r="G118" s="261"/>
      <c r="H118" s="261"/>
      <c r="I118" s="261"/>
      <c r="J118" s="261" t="s">
        <v>594</v>
      </c>
      <c r="K118" s="261"/>
      <c r="L118" s="373">
        <f>$Q$71</f>
        <v>0</v>
      </c>
      <c r="M118" s="261"/>
      <c r="N118" s="264"/>
      <c r="O118" s="373"/>
    </row>
    <row r="119" spans="2:16">
      <c r="B119" s="261"/>
      <c r="C119" s="261"/>
      <c r="D119" s="261"/>
      <c r="E119" s="261"/>
      <c r="F119" s="261"/>
      <c r="G119" s="261"/>
      <c r="H119" s="261"/>
      <c r="I119" s="261"/>
      <c r="J119" s="261" t="s">
        <v>595</v>
      </c>
      <c r="K119" s="261"/>
      <c r="L119" s="512">
        <f>SUM($V$66:$V$74)</f>
        <v>0</v>
      </c>
      <c r="M119" s="261"/>
      <c r="N119" s="264"/>
      <c r="O119" s="373"/>
    </row>
    <row r="120" spans="2:16">
      <c r="B120" s="261"/>
      <c r="C120" s="261"/>
      <c r="D120" s="261"/>
      <c r="E120" s="261"/>
      <c r="F120" s="261"/>
      <c r="G120" s="261"/>
      <c r="H120" s="261"/>
      <c r="I120" s="261"/>
      <c r="J120" s="261" t="s">
        <v>596</v>
      </c>
      <c r="K120" s="261"/>
      <c r="L120" s="512">
        <f>SUM($W$66:$W$74)</f>
        <v>0</v>
      </c>
      <c r="M120" s="261"/>
      <c r="N120" s="264"/>
      <c r="O120" s="373"/>
    </row>
    <row r="121" spans="2:16">
      <c r="B121" s="261"/>
      <c r="C121" s="261"/>
      <c r="D121" s="261"/>
      <c r="E121" s="261"/>
      <c r="F121" s="261"/>
      <c r="G121" s="261"/>
      <c r="H121" s="261"/>
      <c r="I121" s="261"/>
      <c r="J121" s="261" t="s">
        <v>258</v>
      </c>
      <c r="K121" s="261"/>
      <c r="L121" s="512">
        <f>SUM($AA$66:$AA$75)</f>
        <v>360570712</v>
      </c>
      <c r="M121" s="261"/>
      <c r="N121" s="264"/>
      <c r="O121" s="373"/>
    </row>
    <row r="122" spans="2:16">
      <c r="B122" s="261"/>
      <c r="C122" s="261"/>
      <c r="D122" s="261"/>
      <c r="E122" s="261"/>
      <c r="F122" s="261"/>
      <c r="G122" s="261"/>
      <c r="H122" s="261"/>
      <c r="I122" s="261"/>
      <c r="J122" s="261" t="s">
        <v>597</v>
      </c>
      <c r="K122" s="261"/>
      <c r="L122" s="512">
        <f>$R$84</f>
        <v>28755149</v>
      </c>
      <c r="M122" s="261"/>
      <c r="N122" s="264"/>
      <c r="O122" s="373"/>
    </row>
    <row r="123" spans="2:16">
      <c r="B123" s="261"/>
      <c r="C123" s="261"/>
      <c r="D123" s="261"/>
      <c r="E123" s="261"/>
      <c r="F123" s="261"/>
      <c r="G123" s="261"/>
      <c r="H123" s="261"/>
      <c r="I123" s="261"/>
      <c r="J123" s="261" t="s">
        <v>597</v>
      </c>
      <c r="K123" s="261"/>
      <c r="L123" s="512">
        <f>$R$87</f>
        <v>14688347</v>
      </c>
      <c r="M123" s="261"/>
      <c r="N123" s="264"/>
      <c r="O123" s="373"/>
    </row>
    <row r="124" spans="2:16">
      <c r="B124" s="261"/>
      <c r="C124" s="261"/>
      <c r="D124" s="261"/>
      <c r="E124" s="261"/>
      <c r="F124" s="261"/>
      <c r="G124" s="261"/>
      <c r="H124" s="261"/>
      <c r="I124" s="261"/>
      <c r="J124" s="261" t="s">
        <v>1231</v>
      </c>
      <c r="K124" s="261"/>
      <c r="L124" s="1008">
        <f>Input!E60</f>
        <v>3606</v>
      </c>
      <c r="M124" s="261"/>
      <c r="N124" s="264"/>
      <c r="O124" s="373"/>
    </row>
    <row r="125" spans="2:16">
      <c r="B125" s="261"/>
      <c r="C125" s="261"/>
      <c r="D125" s="261"/>
      <c r="E125" s="261"/>
      <c r="F125" s="261"/>
      <c r="G125" s="261"/>
      <c r="H125" s="261"/>
      <c r="I125" s="261"/>
      <c r="J125" s="261"/>
      <c r="K125" s="261"/>
      <c r="L125" s="373">
        <f>SUM(L113:L124)</f>
        <v>1451519822</v>
      </c>
      <c r="M125" s="261"/>
      <c r="N125" s="264"/>
    </row>
    <row r="126" spans="2:16">
      <c r="B126" s="261"/>
      <c r="C126" s="261"/>
      <c r="D126" s="261"/>
      <c r="E126" s="261"/>
      <c r="F126" s="261"/>
      <c r="G126" s="261"/>
      <c r="H126" s="261"/>
      <c r="I126" s="261"/>
      <c r="J126" s="261"/>
      <c r="K126" s="261"/>
      <c r="L126" s="261"/>
      <c r="M126" s="261"/>
      <c r="N126" s="264"/>
    </row>
    <row r="127" spans="2:16">
      <c r="B127" s="261"/>
      <c r="C127" s="261"/>
      <c r="D127" s="261"/>
      <c r="E127" s="261"/>
      <c r="F127" s="261"/>
      <c r="G127" s="261"/>
      <c r="H127" s="261"/>
      <c r="I127" s="261"/>
      <c r="J127" s="160"/>
      <c r="K127" s="160"/>
      <c r="L127" s="160"/>
      <c r="M127" s="261"/>
      <c r="N127" s="264"/>
    </row>
    <row r="128" spans="2:16">
      <c r="B128" s="261"/>
      <c r="C128" s="261"/>
      <c r="D128" s="261"/>
      <c r="E128" s="261"/>
      <c r="F128" s="261"/>
      <c r="G128" s="261"/>
      <c r="H128" s="261"/>
      <c r="I128" s="261"/>
      <c r="J128" s="160"/>
      <c r="K128" s="160"/>
      <c r="L128" s="160"/>
      <c r="M128" s="261"/>
      <c r="N128" s="264"/>
    </row>
    <row r="129" spans="2:14">
      <c r="B129" s="261"/>
      <c r="C129" s="261"/>
      <c r="D129" s="373"/>
      <c r="E129" s="261"/>
      <c r="F129" s="261"/>
      <c r="G129" s="261"/>
      <c r="H129" s="261"/>
      <c r="I129" s="261"/>
      <c r="J129" s="160"/>
      <c r="K129" s="160"/>
      <c r="L129" s="160"/>
      <c r="M129" s="261"/>
      <c r="N129" s="264"/>
    </row>
  </sheetData>
  <mergeCells count="32">
    <mergeCell ref="O99:P99"/>
    <mergeCell ref="Q99:R99"/>
    <mergeCell ref="T99:U99"/>
    <mergeCell ref="O101:U102"/>
    <mergeCell ref="AB62:AB65"/>
    <mergeCell ref="X62:X65"/>
    <mergeCell ref="Z62:Z65"/>
    <mergeCell ref="AA62:AA65"/>
    <mergeCell ref="G65:K65"/>
    <mergeCell ref="V77:W77"/>
    <mergeCell ref="P78:Q78"/>
    <mergeCell ref="O82:R82"/>
    <mergeCell ref="O96:U96"/>
    <mergeCell ref="U62:U65"/>
    <mergeCell ref="V62:V65"/>
    <mergeCell ref="W62:W65"/>
    <mergeCell ref="O62:O65"/>
    <mergeCell ref="P62:P65"/>
    <mergeCell ref="Q62:Q65"/>
    <mergeCell ref="R62:R65"/>
    <mergeCell ref="T62:T65"/>
    <mergeCell ref="O19:R19"/>
    <mergeCell ref="T19:X19"/>
    <mergeCell ref="O61:R61"/>
    <mergeCell ref="T61:X61"/>
    <mergeCell ref="Z61:AB61"/>
    <mergeCell ref="P10:P11"/>
    <mergeCell ref="B2:F2"/>
    <mergeCell ref="B3:F3"/>
    <mergeCell ref="B4:F4"/>
    <mergeCell ref="P4:Q4"/>
    <mergeCell ref="B6:M6"/>
  </mergeCells>
  <conditionalFormatting sqref="U94:X95 O95:Q95">
    <cfRule type="cellIs" dxfId="34" priority="39" stopIfTrue="1" operator="notEqual">
      <formula>#REF!</formula>
    </cfRule>
  </conditionalFormatting>
  <conditionalFormatting sqref="P77">
    <cfRule type="expression" dxfId="33" priority="38">
      <formula>$P$76&lt;&gt;$M$76</formula>
    </cfRule>
  </conditionalFormatting>
  <conditionalFormatting sqref="AB79">
    <cfRule type="expression" dxfId="32" priority="37">
      <formula>$AB$78&lt;&gt;0</formula>
    </cfRule>
  </conditionalFormatting>
  <conditionalFormatting sqref="P78">
    <cfRule type="expression" dxfId="31" priority="36">
      <formula>P76-INT(P76)</formula>
    </cfRule>
  </conditionalFormatting>
  <conditionalFormatting sqref="V77">
    <cfRule type="expression" dxfId="30" priority="35">
      <formula>X75-INT(X75)</formula>
    </cfRule>
  </conditionalFormatting>
  <conditionalFormatting sqref="O12">
    <cfRule type="expression" dxfId="29" priority="34">
      <formula>$P$12&lt;&gt;$M$12</formula>
    </cfRule>
  </conditionalFormatting>
  <conditionalFormatting sqref="U94:U95 O95:Q95">
    <cfRule type="cellIs" dxfId="28" priority="33" stopIfTrue="1" operator="notEqual">
      <formula>#REF!</formula>
    </cfRule>
  </conditionalFormatting>
  <conditionalFormatting sqref="R91">
    <cfRule type="expression" priority="31" stopIfTrue="1">
      <formula>$M$92&lt;0</formula>
    </cfRule>
    <cfRule type="expression" dxfId="27" priority="32">
      <formula>$S$92&lt;&gt;0</formula>
    </cfRule>
  </conditionalFormatting>
  <conditionalFormatting sqref="R87 R84">
    <cfRule type="expression" dxfId="26" priority="29" stopIfTrue="1">
      <formula>$M$92&gt;=0</formula>
    </cfRule>
    <cfRule type="expression" priority="30">
      <formula>$M$92&lt;0</formula>
    </cfRule>
  </conditionalFormatting>
  <conditionalFormatting sqref="U94:U95 O95:Q95">
    <cfRule type="cellIs" dxfId="25" priority="28" stopIfTrue="1" operator="notEqual">
      <formula>#REF!</formula>
    </cfRule>
  </conditionalFormatting>
  <conditionalFormatting sqref="O13">
    <cfRule type="expression" dxfId="24" priority="27">
      <formula>$P$13&lt;&gt;$M$13</formula>
    </cfRule>
  </conditionalFormatting>
  <conditionalFormatting sqref="U94:U95 O95:Q95">
    <cfRule type="cellIs" dxfId="23" priority="26" stopIfTrue="1" operator="notEqual">
      <formula>#REF!</formula>
    </cfRule>
  </conditionalFormatting>
  <conditionalFormatting sqref="Q36">
    <cfRule type="expression" dxfId="22" priority="25">
      <formula>#REF!&lt;&gt;#REF!</formula>
    </cfRule>
  </conditionalFormatting>
  <conditionalFormatting sqref="R35">
    <cfRule type="expression" dxfId="21" priority="24">
      <formula>#REF!&lt;&gt;0</formula>
    </cfRule>
  </conditionalFormatting>
  <conditionalFormatting sqref="Q35">
    <cfRule type="expression" dxfId="20" priority="23">
      <formula>#REF!&lt;&gt;0</formula>
    </cfRule>
  </conditionalFormatting>
  <conditionalFormatting sqref="R36">
    <cfRule type="expression" dxfId="19" priority="22">
      <formula>#REF!&lt;&gt;#REF!</formula>
    </cfRule>
  </conditionalFormatting>
  <conditionalFormatting sqref="D100:M105 T101:T102 R97:S102 U94:X100 T97:T99 Y97:Y102 O95:O99 P95:Q100">
    <cfRule type="cellIs" dxfId="18" priority="21" stopIfTrue="1" operator="notEqual">
      <formula>#REF!</formula>
    </cfRule>
  </conditionalFormatting>
  <conditionalFormatting sqref="P77">
    <cfRule type="expression" dxfId="17" priority="20">
      <formula>$P$76&lt;&gt;$M$76</formula>
    </cfRule>
  </conditionalFormatting>
  <conditionalFormatting sqref="AB79">
    <cfRule type="expression" dxfId="16" priority="19">
      <formula>$AB$78&lt;&gt;0</formula>
    </cfRule>
  </conditionalFormatting>
  <conditionalFormatting sqref="P78">
    <cfRule type="expression" dxfId="15" priority="18">
      <formula>P76-INT(P76)</formula>
    </cfRule>
  </conditionalFormatting>
  <conditionalFormatting sqref="V77">
    <cfRule type="expression" dxfId="14" priority="17">
      <formula>X75-INT(X75)</formula>
    </cfRule>
  </conditionalFormatting>
  <conditionalFormatting sqref="O12">
    <cfRule type="expression" dxfId="13" priority="16">
      <formula>$P$12&lt;&gt;$M$12</formula>
    </cfRule>
  </conditionalFormatting>
  <conditionalFormatting sqref="T101:T102 R97:S102 U94:U100 T97:T99 O95:O99 P95:Q100">
    <cfRule type="cellIs" dxfId="12" priority="15" stopIfTrue="1" operator="notEqual">
      <formula>#REF!</formula>
    </cfRule>
  </conditionalFormatting>
  <conditionalFormatting sqref="R91">
    <cfRule type="expression" priority="13" stopIfTrue="1">
      <formula>$M$92&lt;0</formula>
    </cfRule>
    <cfRule type="expression" dxfId="11" priority="14">
      <formula>$S$92&lt;&gt;0</formula>
    </cfRule>
  </conditionalFormatting>
  <conditionalFormatting sqref="R87">
    <cfRule type="expression" dxfId="10" priority="11" stopIfTrue="1">
      <formula>$M$92&gt;=0</formula>
    </cfRule>
    <cfRule type="expression" priority="12">
      <formula>$M$92&lt;0</formula>
    </cfRule>
  </conditionalFormatting>
  <conditionalFormatting sqref="U94:U95 R96:U99 O95:Q99">
    <cfRule type="cellIs" dxfId="9" priority="10" stopIfTrue="1" operator="notEqual">
      <formula>#REF!</formula>
    </cfRule>
  </conditionalFormatting>
  <conditionalFormatting sqref="M108">
    <cfRule type="expression" dxfId="8" priority="9">
      <formula>$M$108&lt;&gt;0</formula>
    </cfRule>
  </conditionalFormatting>
  <conditionalFormatting sqref="M109">
    <cfRule type="expression" dxfId="7" priority="8">
      <formula>$M$100&lt;&gt;$M$107</formula>
    </cfRule>
  </conditionalFormatting>
  <conditionalFormatting sqref="U94:U99 R97:T99 O95:Q99">
    <cfRule type="cellIs" dxfId="6" priority="7" stopIfTrue="1" operator="notEqual">
      <formula>#REF!</formula>
    </cfRule>
  </conditionalFormatting>
  <conditionalFormatting sqref="T96:U96 Q98 T97 O96:O97 P96:Q96 R96:S98">
    <cfRule type="cellIs" dxfId="5" priority="6" stopIfTrue="1" operator="notEqual">
      <formula>#REF!</formula>
    </cfRule>
  </conditionalFormatting>
  <conditionalFormatting sqref="Q36">
    <cfRule type="expression" dxfId="4" priority="5">
      <formula>#REF!&lt;&gt;#REF!</formula>
    </cfRule>
  </conditionalFormatting>
  <conditionalFormatting sqref="R35">
    <cfRule type="expression" dxfId="3" priority="4">
      <formula>#REF!&lt;&gt;0</formula>
    </cfRule>
  </conditionalFormatting>
  <conditionalFormatting sqref="Q35">
    <cfRule type="expression" dxfId="2" priority="3">
      <formula>#REF!&lt;&gt;0</formula>
    </cfRule>
  </conditionalFormatting>
  <conditionalFormatting sqref="R36">
    <cfRule type="expression" dxfId="1" priority="2">
      <formula>#REF!&lt;&gt;#REF!</formula>
    </cfRule>
  </conditionalFormatting>
  <conditionalFormatting sqref="G65:K65">
    <cfRule type="expression" dxfId="0" priority="1">
      <formula>OR($P$112&gt;0,$P$113&lt;&gt;0,$P$114&lt;&gt;0)</formula>
    </cfRule>
  </conditionalFormatting>
  <hyperlinks>
    <hyperlink ref="O2" location="Index!A1" display="Return to Index" xr:uid="{00000000-0004-0000-B700-000000000000}"/>
  </hyperlinks>
  <printOptions horizontalCentered="1"/>
  <pageMargins left="0.5" right="0.5" top="0.25" bottom="0.25" header="0" footer="0.25"/>
  <pageSetup scale="10" orientation="landscape" r:id="rId1"/>
  <headerFooter alignWithMargins="0"/>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dimension ref="A1:G30"/>
  <sheetViews>
    <sheetView showGridLines="0" zoomScale="80" zoomScaleNormal="80" workbookViewId="0">
      <selection activeCell="E74" sqref="E74:F74"/>
    </sheetView>
  </sheetViews>
  <sheetFormatPr defaultColWidth="9.140625" defaultRowHeight="12.75"/>
  <cols>
    <col min="1" max="1" width="7" style="53" customWidth="1"/>
    <col min="2" max="2" width="93.140625" style="53" customWidth="1"/>
    <col min="3" max="3" width="20" style="53" customWidth="1"/>
    <col min="4" max="9" width="9.140625" style="53"/>
    <col min="10" max="10" width="14.28515625" style="53" customWidth="1"/>
    <col min="11" max="16384" width="9.140625" style="53"/>
  </cols>
  <sheetData>
    <row r="1" spans="2:6" ht="18.75" thickBot="1">
      <c r="B1" s="466" t="str">
        <f>'Shsu Chrts'!$A$1</f>
        <v>Sam Houston State University -  All Disciplines (A+H+NF)</v>
      </c>
      <c r="C1" s="835" t="s">
        <v>1200</v>
      </c>
    </row>
    <row r="2" spans="2:6">
      <c r="B2" s="393" t="str">
        <f>'Smmy Chrts'!$A$2</f>
        <v>For the Year Ended August 31, 2021</v>
      </c>
    </row>
    <row r="3" spans="2:6">
      <c r="B3" s="393" t="str">
        <f>'Smmy Chrts'!$A$3</f>
        <v>Source: FY 2021 Annual Financial Report</v>
      </c>
    </row>
    <row r="5" spans="2:6" customFormat="1">
      <c r="B5" s="529" t="s">
        <v>705</v>
      </c>
    </row>
    <row r="6" spans="2:6" customFormat="1">
      <c r="B6" s="530"/>
    </row>
    <row r="7" spans="2:6" customFormat="1" ht="226.5" customHeight="1">
      <c r="B7" s="531" t="s">
        <v>706</v>
      </c>
      <c r="C7" s="532"/>
    </row>
    <row r="8" spans="2:6" customFormat="1" ht="263.25" customHeight="1">
      <c r="B8" s="531" t="s">
        <v>707</v>
      </c>
    </row>
    <row r="9" spans="2:6" ht="64.5" customHeight="1">
      <c r="B9" s="533" t="str">
        <f>IF('Shsu FGD'!$R$83="N/A","FN11.  N/A",$B$20&amp;$B$21&amp;$B$22&amp;$B$23&amp;$B$24&amp;$B$25&amp;$B$26&amp;$B$27&amp;$B$28&amp;$B$29&amp;$B$30)</f>
        <v>FN11: Of the net increase of $46,320,379 approximately $28.8 million represents revenues received but not yet expended. This income is fully committed to program expenditures and capital disbursements. The remaining $17.6 million represents non-expendable funds from unrealized gains and additions to permanent endowments of approximately $14.7 million and $2.9 million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TEXT(IF('Shsu FGD'!$M$92&lt;0,"N/A",'Shsu FGD'!$M$92),"$* #,##0;$* (#,##0)")</f>
        <v>$46,320,379</v>
      </c>
      <c r="C21" s="480"/>
      <c r="D21" s="480"/>
      <c r="E21" s="480"/>
      <c r="G21" s="105"/>
    </row>
    <row r="22" spans="1:7">
      <c r="B22" s="105" t="s">
        <v>682</v>
      </c>
    </row>
    <row r="23" spans="1:7">
      <c r="A23" s="53">
        <v>61</v>
      </c>
      <c r="B23" s="515" t="str">
        <f>IF(ABS('Shsu FGD'!$R$84)&gt;=1000000,TEXT('Shsu FGD'!$R$84/1000000,"$* #,##0.0;$* (#,##0.0)")&amp;" million",IF(ABS('Shsu FGD'!$R$84)&lt;1000,TEXT('Shsu FGD'!$R$84,"$* #,##0;$* (#,##0)"),TEXT('Shsu FGD'!$R$84/1000,"$* #,##0;$* (#,##0)")&amp;" thousand"))</f>
        <v>$28.8 million</v>
      </c>
      <c r="C23" s="515"/>
      <c r="E23" s="515"/>
    </row>
    <row r="24" spans="1:7">
      <c r="B24" s="105" t="s">
        <v>708</v>
      </c>
    </row>
    <row r="25" spans="1:7">
      <c r="A25" s="53">
        <v>62</v>
      </c>
      <c r="B25" s="515" t="str">
        <f>IF(ABS('Shsu FGD'!$R$85)&gt;=1000000,TEXT('Shsu FGD'!$R$85/1000000,"$* #,##0.0;$* (#,##0.0)")&amp;" million",IF(ABS('Shsu FGD'!$R$85)&lt;1000,TEXT('Shsu FGD'!$R$85,"$* #,##0;$* (#,##0)"),TEXT('Shsu FGD'!$R$85/1000,"$* #,##0;$* (#,##0)")&amp;" thousand"))</f>
        <v>$17.6 million</v>
      </c>
      <c r="C25" s="515"/>
      <c r="E25" s="515"/>
    </row>
    <row r="26" spans="1:7">
      <c r="B26" s="105" t="s">
        <v>683</v>
      </c>
    </row>
    <row r="27" spans="1:7">
      <c r="A27" s="53">
        <v>64</v>
      </c>
      <c r="B27" s="515" t="str">
        <f>IF(ABS('Shsu FGD'!$R$87)&gt;=1000000,TEXT('Shsu FGD'!$R$87/1000000,"$* #,##0.0;$* (#,##0.0)")&amp;" million",IF(ABS('Shsu FGD'!$R$87)&lt;1000,TEXT('Shsu FGD'!$R$87,"$* #,##0;$* (#,##0)"),TEXT('Shsu FGD'!$R$87/1000,"$* #,##0;$* (#,##0)")&amp;" thousand"))</f>
        <v>$14.7 million</v>
      </c>
      <c r="C27" s="515"/>
      <c r="E27" s="515"/>
    </row>
    <row r="28" spans="1:7">
      <c r="B28" s="105" t="s">
        <v>684</v>
      </c>
    </row>
    <row r="29" spans="1:7">
      <c r="A29" s="53">
        <v>66</v>
      </c>
      <c r="B29" s="515" t="str">
        <f>IF(ABS('Shsu FGD'!$R$89)&gt;=1000000,TEXT('Shsu FGD'!$R$89/1000000,"$* #,##0.0;$* (#,##0.0)")&amp;" million",IF(ABS('Shsu FGD'!$R$89)&lt;1000,TEXT('Shsu FGD'!$R$89,"$* #,##0;$* (#,##0)"),TEXT('Shsu FGD'!$R$89/1000,"$* #,##0;$* (#,##0)")&amp;" thousand"))</f>
        <v>$2.9 million</v>
      </c>
      <c r="C29" s="515"/>
      <c r="E29" s="515"/>
    </row>
    <row r="30" spans="1:7">
      <c r="B30" s="105" t="s">
        <v>709</v>
      </c>
    </row>
  </sheetData>
  <hyperlinks>
    <hyperlink ref="C1" location="Index!A1" display="Return to Index" xr:uid="{00000000-0004-0000-B800-000000000000}"/>
  </hyperlinks>
  <pageMargins left="0.25" right="0.25" top="0.25" bottom="0.25" header="0" footer="0.25"/>
  <pageSetup orientation="portrait" r:id="rId1"/>
  <headerFooter alignWithMargins="0"/>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dimension ref="A1:IR136"/>
  <sheetViews>
    <sheetView showGridLines="0" zoomScale="90" zoomScaleNormal="90" workbookViewId="0">
      <pane ySplit="8" topLeftCell="A36" activePane="bottomLeft" state="frozen"/>
      <selection activeCell="F74" sqref="E74:F74"/>
      <selection pane="bottomLeft" activeCell="F45" sqref="F45"/>
    </sheetView>
  </sheetViews>
  <sheetFormatPr defaultColWidth="9.140625" defaultRowHeight="12.75"/>
  <cols>
    <col min="1" max="1" width="0.140625" style="56" customWidth="1"/>
    <col min="2" max="2" width="72" style="980" customWidth="1"/>
    <col min="3" max="3" width="9.85546875" style="981" customWidth="1"/>
    <col min="4" max="4" width="14.7109375" style="56" customWidth="1"/>
    <col min="5" max="5" width="10.140625" style="56" customWidth="1"/>
    <col min="6" max="6" width="45" style="56" customWidth="1"/>
    <col min="7" max="7" width="17.28515625" style="56" customWidth="1"/>
    <col min="8" max="8" width="10.42578125" style="210" customWidth="1"/>
    <col min="9" max="9" width="9.85546875" style="56" customWidth="1"/>
    <col min="10" max="10" width="12" style="56" customWidth="1"/>
    <col min="11" max="11" width="17.42578125" style="56" customWidth="1"/>
    <col min="12" max="252" width="9.85546875" style="56" customWidth="1"/>
    <col min="253" max="16384" width="9.140625" style="56"/>
  </cols>
  <sheetData>
    <row r="1" spans="2:11" ht="15.75">
      <c r="D1" s="758"/>
      <c r="E1" s="758"/>
      <c r="F1" s="1550" t="s">
        <v>576</v>
      </c>
      <c r="G1" s="1146" t="s">
        <v>1200</v>
      </c>
    </row>
    <row r="2" spans="2:11" ht="15.75">
      <c r="D2" s="758"/>
      <c r="E2" s="758"/>
      <c r="F2" s="1550" t="s">
        <v>577</v>
      </c>
    </row>
    <row r="3" spans="2:11" ht="15.75">
      <c r="D3" s="758"/>
      <c r="E3" s="758"/>
      <c r="F3" s="1550" t="s">
        <v>2377</v>
      </c>
    </row>
    <row r="4" spans="2:11" ht="15.75">
      <c r="D4" s="758"/>
      <c r="E4" s="758"/>
      <c r="F4" s="1550" t="s">
        <v>578</v>
      </c>
    </row>
    <row r="5" spans="2:11">
      <c r="B5" s="113"/>
    </row>
    <row r="6" spans="2:11" ht="21.75" customHeight="1">
      <c r="B6" s="1763" t="s">
        <v>298</v>
      </c>
      <c r="C6" s="899"/>
      <c r="D6" s="1551"/>
      <c r="E6" s="1551"/>
      <c r="F6" s="1551" t="s">
        <v>579</v>
      </c>
      <c r="G6" s="1145" t="s">
        <v>1370</v>
      </c>
      <c r="H6" s="1145"/>
      <c r="K6" s="1145" t="s">
        <v>1370</v>
      </c>
    </row>
    <row r="7" spans="2:11" ht="42" customHeight="1">
      <c r="B7" s="1764"/>
      <c r="C7" s="1552" t="s">
        <v>132</v>
      </c>
      <c r="D7" s="1552" t="s">
        <v>714</v>
      </c>
      <c r="E7" s="1552" t="s">
        <v>715</v>
      </c>
      <c r="F7" s="1552" t="s">
        <v>580</v>
      </c>
      <c r="G7" s="983" t="s">
        <v>1376</v>
      </c>
      <c r="H7" s="983" t="s">
        <v>1228</v>
      </c>
      <c r="K7" s="983" t="s">
        <v>1376</v>
      </c>
    </row>
    <row r="8" spans="2:11" ht="16.5" customHeight="1">
      <c r="B8" s="829"/>
      <c r="D8" s="829"/>
      <c r="E8" s="829"/>
      <c r="F8" s="829"/>
      <c r="G8" s="1574" t="s">
        <v>2377</v>
      </c>
      <c r="H8" s="1574"/>
      <c r="I8" s="53"/>
      <c r="J8" s="53"/>
      <c r="K8" s="1574" t="s">
        <v>2396</v>
      </c>
    </row>
    <row r="9" spans="2:11" ht="15.75" customHeight="1">
      <c r="B9" s="816" t="s">
        <v>300</v>
      </c>
      <c r="C9" s="984"/>
      <c r="D9" s="984"/>
      <c r="E9" s="984">
        <v>30</v>
      </c>
      <c r="F9" s="985" t="s">
        <v>581</v>
      </c>
      <c r="G9" s="1575"/>
      <c r="H9" s="1575"/>
      <c r="I9" s="53"/>
      <c r="J9" s="53"/>
      <c r="K9" s="1575"/>
    </row>
    <row r="10" spans="2:11" ht="15.75" customHeight="1">
      <c r="B10" s="476"/>
      <c r="D10" s="477"/>
      <c r="E10" s="477"/>
      <c r="F10" s="476"/>
      <c r="G10" s="1571"/>
      <c r="H10" s="1570"/>
      <c r="I10" s="53"/>
      <c r="J10" s="53"/>
      <c r="K10" s="1571"/>
    </row>
    <row r="11" spans="2:11" ht="15.75" customHeight="1">
      <c r="B11" s="475" t="s">
        <v>552</v>
      </c>
      <c r="C11" s="998">
        <v>3655</v>
      </c>
      <c r="D11" s="477" t="s">
        <v>553</v>
      </c>
      <c r="E11" s="477" t="s">
        <v>716</v>
      </c>
      <c r="F11" s="476" t="s">
        <v>2282</v>
      </c>
      <c r="G11" s="1571"/>
      <c r="H11" s="1570"/>
      <c r="I11" s="53"/>
      <c r="J11" s="53"/>
      <c r="K11" s="1571"/>
    </row>
    <row r="12" spans="2:11" ht="15.75" customHeight="1">
      <c r="B12" s="476" t="s">
        <v>219</v>
      </c>
      <c r="C12" s="998">
        <v>3656</v>
      </c>
      <c r="D12" s="477" t="s">
        <v>301</v>
      </c>
      <c r="E12" s="477">
        <v>40</v>
      </c>
      <c r="F12" s="476" t="s">
        <v>2283</v>
      </c>
      <c r="G12" s="1576"/>
      <c r="H12" s="1577">
        <v>10</v>
      </c>
      <c r="I12" s="53"/>
      <c r="J12" s="53"/>
      <c r="K12" s="1572"/>
    </row>
    <row r="13" spans="2:11" ht="15.75" customHeight="1">
      <c r="B13" s="475" t="s">
        <v>1377</v>
      </c>
      <c r="C13" s="998">
        <v>3658</v>
      </c>
      <c r="D13" s="829" t="s">
        <v>302</v>
      </c>
      <c r="E13" s="829">
        <v>50</v>
      </c>
      <c r="F13" s="475" t="s">
        <v>2284</v>
      </c>
      <c r="G13" s="1576"/>
      <c r="H13" s="1577">
        <v>20</v>
      </c>
      <c r="I13" s="53"/>
      <c r="J13" s="53"/>
      <c r="K13" s="1572"/>
    </row>
    <row r="14" spans="2:11" ht="15.75" customHeight="1">
      <c r="B14" s="475" t="s">
        <v>1373</v>
      </c>
      <c r="C14" s="998">
        <v>3658</v>
      </c>
      <c r="D14" s="829" t="s">
        <v>1374</v>
      </c>
      <c r="E14" s="829">
        <v>51</v>
      </c>
      <c r="F14" s="475" t="s">
        <v>2285</v>
      </c>
      <c r="G14" s="1576"/>
      <c r="H14" s="1578">
        <v>21</v>
      </c>
      <c r="I14" s="53"/>
      <c r="J14" s="53"/>
      <c r="K14" s="1572"/>
    </row>
    <row r="15" spans="2:11" ht="15.75" customHeight="1">
      <c r="B15" s="476" t="s">
        <v>96</v>
      </c>
      <c r="C15" s="998">
        <v>9741</v>
      </c>
      <c r="D15" s="477" t="s">
        <v>303</v>
      </c>
      <c r="E15" s="477">
        <v>60</v>
      </c>
      <c r="F15" s="476" t="s">
        <v>2286</v>
      </c>
      <c r="G15" s="1576"/>
      <c r="H15" s="1577">
        <v>30</v>
      </c>
      <c r="I15" s="53"/>
      <c r="J15" s="53"/>
      <c r="K15" s="1572"/>
    </row>
    <row r="16" spans="2:11" ht="15.75" customHeight="1">
      <c r="B16" s="476" t="s">
        <v>97</v>
      </c>
      <c r="C16" s="998">
        <v>3661</v>
      </c>
      <c r="D16" s="477" t="s">
        <v>304</v>
      </c>
      <c r="E16" s="477">
        <v>70</v>
      </c>
      <c r="F16" s="476" t="s">
        <v>2287</v>
      </c>
      <c r="G16" s="1576"/>
      <c r="H16" s="1577">
        <v>40</v>
      </c>
      <c r="I16" s="53"/>
      <c r="J16" s="53"/>
      <c r="K16" s="1572"/>
    </row>
    <row r="17" spans="2:11" ht="15.75" customHeight="1">
      <c r="B17" s="475" t="s">
        <v>1378</v>
      </c>
      <c r="C17" s="998">
        <v>3599</v>
      </c>
      <c r="D17" s="829" t="s">
        <v>1379</v>
      </c>
      <c r="E17" s="829">
        <v>90</v>
      </c>
      <c r="F17" s="475" t="s">
        <v>2288</v>
      </c>
      <c r="G17" s="1579"/>
      <c r="H17" s="1577">
        <v>60</v>
      </c>
      <c r="I17" s="53"/>
      <c r="J17" s="53"/>
      <c r="K17" s="1572"/>
    </row>
    <row r="18" spans="2:11" ht="15.75" customHeight="1">
      <c r="B18" s="475" t="s">
        <v>1371</v>
      </c>
      <c r="C18" s="998">
        <v>3599</v>
      </c>
      <c r="D18" s="829" t="s">
        <v>1380</v>
      </c>
      <c r="E18" s="829">
        <v>91</v>
      </c>
      <c r="F18" s="475" t="s">
        <v>2289</v>
      </c>
      <c r="G18" s="1579"/>
      <c r="H18" s="1578">
        <v>61</v>
      </c>
      <c r="I18" s="53"/>
      <c r="J18" s="53"/>
      <c r="K18" s="1572"/>
    </row>
    <row r="19" spans="2:11" ht="15.75" customHeight="1">
      <c r="B19" s="476" t="s">
        <v>100</v>
      </c>
      <c r="C19" s="998">
        <v>9930</v>
      </c>
      <c r="D19" s="477" t="s">
        <v>307</v>
      </c>
      <c r="E19" s="477">
        <v>100</v>
      </c>
      <c r="F19" s="476" t="s">
        <v>2290</v>
      </c>
      <c r="G19" s="1580"/>
      <c r="H19" s="1577">
        <v>70</v>
      </c>
      <c r="I19" s="53"/>
      <c r="J19" s="53"/>
      <c r="K19" s="1572"/>
    </row>
    <row r="20" spans="2:11" ht="15.75" customHeight="1">
      <c r="B20" s="476" t="s">
        <v>101</v>
      </c>
      <c r="C20" s="998">
        <v>10115</v>
      </c>
      <c r="D20" s="477" t="s">
        <v>308</v>
      </c>
      <c r="E20" s="477">
        <v>110</v>
      </c>
      <c r="F20" s="476" t="s">
        <v>2291</v>
      </c>
      <c r="G20" s="1580"/>
      <c r="H20" s="1577">
        <v>80</v>
      </c>
      <c r="I20" s="53"/>
      <c r="J20" s="53"/>
      <c r="K20" s="1572"/>
    </row>
    <row r="21" spans="2:11" ht="15.75" customHeight="1">
      <c r="B21" s="476" t="s">
        <v>102</v>
      </c>
      <c r="C21" s="998">
        <v>11163</v>
      </c>
      <c r="D21" s="477" t="s">
        <v>309</v>
      </c>
      <c r="E21" s="477">
        <v>120</v>
      </c>
      <c r="F21" s="476" t="s">
        <v>2292</v>
      </c>
      <c r="G21" s="1580"/>
      <c r="H21" s="1577">
        <v>90</v>
      </c>
      <c r="I21" s="53"/>
      <c r="J21" s="53"/>
      <c r="K21" s="1572"/>
    </row>
    <row r="22" spans="2:11" ht="15.75" customHeight="1">
      <c r="B22" s="475" t="s">
        <v>554</v>
      </c>
      <c r="C22" s="998">
        <v>3629</v>
      </c>
      <c r="D22" s="477" t="s">
        <v>555</v>
      </c>
      <c r="E22" s="1600" t="s">
        <v>717</v>
      </c>
      <c r="F22" s="476" t="s">
        <v>2293</v>
      </c>
      <c r="G22" s="1580"/>
      <c r="H22" s="1580"/>
      <c r="I22" s="53"/>
      <c r="J22" s="53"/>
      <c r="K22" s="1572"/>
    </row>
    <row r="23" spans="2:11" ht="15.75" customHeight="1">
      <c r="B23" s="476" t="s">
        <v>103</v>
      </c>
      <c r="C23" s="998">
        <v>3632</v>
      </c>
      <c r="D23" s="477" t="s">
        <v>310</v>
      </c>
      <c r="E23" s="1600">
        <v>130</v>
      </c>
      <c r="F23" s="476" t="s">
        <v>2294</v>
      </c>
      <c r="G23" s="1580"/>
      <c r="H23" s="1577">
        <v>100</v>
      </c>
      <c r="I23" s="53"/>
      <c r="J23" s="53"/>
      <c r="K23" s="53"/>
    </row>
    <row r="24" spans="2:11" ht="15.75" customHeight="1">
      <c r="B24" s="476" t="s">
        <v>106</v>
      </c>
      <c r="C24" s="998">
        <v>10298</v>
      </c>
      <c r="D24" s="477" t="s">
        <v>311</v>
      </c>
      <c r="E24" s="1600">
        <v>140</v>
      </c>
      <c r="F24" s="476" t="s">
        <v>2295</v>
      </c>
      <c r="G24" s="1580"/>
      <c r="H24" s="1577">
        <v>110</v>
      </c>
      <c r="I24" s="53"/>
      <c r="J24" s="53"/>
      <c r="K24" s="1572"/>
    </row>
    <row r="25" spans="2:11" ht="15.75" customHeight="1">
      <c r="B25" s="476" t="s">
        <v>107</v>
      </c>
      <c r="C25" s="998">
        <v>3630</v>
      </c>
      <c r="D25" s="477" t="s">
        <v>312</v>
      </c>
      <c r="E25" s="1600">
        <v>150</v>
      </c>
      <c r="F25" s="476" t="s">
        <v>2296</v>
      </c>
      <c r="G25" s="1580"/>
      <c r="H25" s="1577">
        <v>120</v>
      </c>
      <c r="I25" s="53"/>
      <c r="J25" s="53"/>
      <c r="K25" s="1572"/>
    </row>
    <row r="26" spans="2:11" ht="15.75" customHeight="1">
      <c r="B26" s="476" t="s">
        <v>108</v>
      </c>
      <c r="C26" s="998">
        <v>3631</v>
      </c>
      <c r="D26" s="477" t="s">
        <v>313</v>
      </c>
      <c r="E26" s="1600">
        <v>160</v>
      </c>
      <c r="F26" s="476" t="s">
        <v>2297</v>
      </c>
      <c r="G26" s="1580"/>
      <c r="H26" s="1577">
        <v>130</v>
      </c>
      <c r="I26" s="53"/>
      <c r="J26" s="53"/>
      <c r="K26" s="1572"/>
    </row>
    <row r="27" spans="2:11" ht="15.75" customHeight="1">
      <c r="B27" s="476" t="s">
        <v>109</v>
      </c>
      <c r="C27" s="998">
        <v>11161</v>
      </c>
      <c r="D27" s="477" t="s">
        <v>314</v>
      </c>
      <c r="E27" s="1600">
        <v>170</v>
      </c>
      <c r="F27" s="476" t="s">
        <v>2298</v>
      </c>
      <c r="G27" s="352">
        <v>11478824</v>
      </c>
      <c r="H27" s="1577">
        <v>150</v>
      </c>
      <c r="I27" s="53"/>
      <c r="J27" s="53"/>
      <c r="K27" s="352">
        <v>11478824</v>
      </c>
    </row>
    <row r="28" spans="2:11" ht="15.75" customHeight="1">
      <c r="B28" s="476" t="s">
        <v>110</v>
      </c>
      <c r="C28" s="998">
        <v>3639</v>
      </c>
      <c r="D28" s="477" t="s">
        <v>315</v>
      </c>
      <c r="E28" s="1600">
        <v>180</v>
      </c>
      <c r="F28" s="476" t="s">
        <v>2299</v>
      </c>
      <c r="G28" s="352">
        <v>8858060</v>
      </c>
      <c r="H28" s="1577">
        <v>160</v>
      </c>
      <c r="I28" s="53"/>
      <c r="J28" s="53"/>
      <c r="K28" s="352">
        <v>8858060</v>
      </c>
    </row>
    <row r="29" spans="2:11" ht="15.75" customHeight="1">
      <c r="B29" s="476" t="s">
        <v>111</v>
      </c>
      <c r="C29" s="998">
        <v>9651</v>
      </c>
      <c r="D29" s="477" t="s">
        <v>316</v>
      </c>
      <c r="E29" s="1600">
        <v>190</v>
      </c>
      <c r="F29" s="476" t="s">
        <v>2300</v>
      </c>
      <c r="G29" s="352">
        <v>7462394</v>
      </c>
      <c r="H29" s="1577">
        <v>180</v>
      </c>
      <c r="I29" s="53"/>
      <c r="J29" s="53"/>
      <c r="K29" s="352">
        <v>7462394</v>
      </c>
    </row>
    <row r="30" spans="2:11" ht="15.75" customHeight="1">
      <c r="B30" s="476" t="s">
        <v>112</v>
      </c>
      <c r="C30" s="998">
        <v>3665</v>
      </c>
      <c r="D30" s="477" t="s">
        <v>317</v>
      </c>
      <c r="E30" s="1600">
        <v>200</v>
      </c>
      <c r="F30" s="476" t="s">
        <v>2301</v>
      </c>
      <c r="G30" s="352">
        <v>7446495</v>
      </c>
      <c r="H30" s="1577">
        <v>190</v>
      </c>
      <c r="I30" s="53"/>
      <c r="J30" s="53"/>
      <c r="K30" s="352">
        <v>7446495</v>
      </c>
    </row>
    <row r="31" spans="2:11" ht="15.75" customHeight="1">
      <c r="B31" s="476" t="s">
        <v>113</v>
      </c>
      <c r="C31" s="998">
        <v>3565</v>
      </c>
      <c r="D31" s="477" t="s">
        <v>318</v>
      </c>
      <c r="E31" s="1600">
        <v>210</v>
      </c>
      <c r="F31" s="476" t="s">
        <v>2302</v>
      </c>
      <c r="G31" s="352">
        <v>11123859</v>
      </c>
      <c r="H31" s="1577">
        <v>200</v>
      </c>
      <c r="I31" s="53"/>
      <c r="J31" s="53"/>
      <c r="K31" s="352">
        <v>11123859</v>
      </c>
    </row>
    <row r="32" spans="2:11" ht="15.75" customHeight="1">
      <c r="B32" s="476" t="s">
        <v>114</v>
      </c>
      <c r="C32" s="998">
        <v>29269</v>
      </c>
      <c r="D32" s="477" t="s">
        <v>319</v>
      </c>
      <c r="E32" s="1600">
        <v>220</v>
      </c>
      <c r="F32" s="476" t="s">
        <v>2303</v>
      </c>
      <c r="G32" s="352">
        <v>2050273</v>
      </c>
      <c r="H32" s="1577">
        <v>210</v>
      </c>
      <c r="I32" s="53"/>
      <c r="J32" s="53"/>
      <c r="K32" s="352">
        <v>2050273</v>
      </c>
    </row>
    <row r="33" spans="2:11" ht="15.75" customHeight="1">
      <c r="B33" s="817" t="s">
        <v>271</v>
      </c>
      <c r="C33" s="998">
        <v>42295</v>
      </c>
      <c r="D33" s="477" t="s">
        <v>320</v>
      </c>
      <c r="E33" s="1600">
        <v>223</v>
      </c>
      <c r="F33" s="476" t="s">
        <v>2304</v>
      </c>
      <c r="G33" s="1572"/>
      <c r="H33" s="1577">
        <v>140</v>
      </c>
      <c r="I33" s="53"/>
      <c r="J33" s="53"/>
      <c r="K33" s="1572"/>
    </row>
    <row r="34" spans="2:11" ht="15.75" customHeight="1">
      <c r="B34" s="817" t="s">
        <v>272</v>
      </c>
      <c r="C34" s="1510">
        <v>42485</v>
      </c>
      <c r="D34" s="477" t="s">
        <v>321</v>
      </c>
      <c r="E34" s="1600">
        <v>226</v>
      </c>
      <c r="F34" s="476" t="s">
        <v>2305</v>
      </c>
      <c r="G34" s="1572"/>
      <c r="H34" s="1577">
        <v>170</v>
      </c>
      <c r="I34" s="53"/>
      <c r="J34" s="53"/>
      <c r="K34" s="1572"/>
    </row>
    <row r="35" spans="2:11" ht="15.75" customHeight="1">
      <c r="B35" s="1567" t="s">
        <v>1266</v>
      </c>
      <c r="C35" s="998">
        <v>556</v>
      </c>
      <c r="D35" s="477" t="s">
        <v>563</v>
      </c>
      <c r="E35" s="1600">
        <v>600</v>
      </c>
      <c r="F35" s="476" t="s">
        <v>2306</v>
      </c>
      <c r="G35" s="1572"/>
      <c r="H35" s="1573"/>
      <c r="I35" s="53"/>
      <c r="J35" s="53"/>
      <c r="K35" s="1572"/>
    </row>
    <row r="36" spans="2:11" ht="15.75" customHeight="1">
      <c r="B36" s="1567" t="s">
        <v>1267</v>
      </c>
      <c r="C36" s="998">
        <v>555</v>
      </c>
      <c r="D36" s="477" t="s">
        <v>564</v>
      </c>
      <c r="E36" s="1600">
        <v>605</v>
      </c>
      <c r="F36" s="476" t="s">
        <v>2307</v>
      </c>
      <c r="G36" s="1572"/>
      <c r="H36" s="1573"/>
      <c r="I36" s="53"/>
      <c r="J36" s="53"/>
      <c r="K36" s="1572"/>
    </row>
    <row r="37" spans="2:11" ht="15.75" customHeight="1">
      <c r="B37" s="1567" t="s">
        <v>1268</v>
      </c>
      <c r="C37" s="998">
        <v>712</v>
      </c>
      <c r="D37" s="477" t="s">
        <v>565</v>
      </c>
      <c r="E37" s="1600">
        <v>610</v>
      </c>
      <c r="F37" s="476" t="s">
        <v>2308</v>
      </c>
      <c r="G37" s="1572"/>
      <c r="H37" s="1573"/>
      <c r="I37" s="53"/>
      <c r="J37" s="53"/>
      <c r="K37" s="1572"/>
    </row>
    <row r="38" spans="2:11" ht="15.75" customHeight="1">
      <c r="B38" s="1567" t="s">
        <v>1269</v>
      </c>
      <c r="C38" s="998">
        <v>716</v>
      </c>
      <c r="D38" s="477" t="s">
        <v>566</v>
      </c>
      <c r="E38" s="1600">
        <v>615</v>
      </c>
      <c r="F38" s="476" t="s">
        <v>2309</v>
      </c>
      <c r="G38" s="1572"/>
      <c r="H38" s="1573"/>
      <c r="I38" s="53"/>
      <c r="J38" s="53"/>
      <c r="K38" s="1572"/>
    </row>
    <row r="39" spans="2:11" ht="15.75" customHeight="1">
      <c r="B39" s="1567" t="s">
        <v>1270</v>
      </c>
      <c r="C39" s="998">
        <v>576</v>
      </c>
      <c r="D39" s="477" t="s">
        <v>567</v>
      </c>
      <c r="E39" s="1600">
        <v>620</v>
      </c>
      <c r="F39" s="476" t="s">
        <v>2310</v>
      </c>
      <c r="G39" s="1572"/>
      <c r="H39" s="1573"/>
      <c r="I39" s="53"/>
      <c r="J39" s="53"/>
      <c r="K39" s="1572"/>
    </row>
    <row r="40" spans="2:11" ht="15.75" customHeight="1">
      <c r="B40" s="1567" t="s">
        <v>1271</v>
      </c>
      <c r="C40" s="998">
        <v>727</v>
      </c>
      <c r="D40" s="477" t="s">
        <v>568</v>
      </c>
      <c r="E40" s="1600">
        <v>625</v>
      </c>
      <c r="F40" s="476" t="s">
        <v>2311</v>
      </c>
      <c r="G40" s="1572"/>
      <c r="H40" s="1573"/>
      <c r="I40" s="53"/>
      <c r="J40" s="53"/>
      <c r="K40" s="1572"/>
    </row>
    <row r="41" spans="2:11" ht="15.75" customHeight="1">
      <c r="B41" s="1567" t="s">
        <v>1272</v>
      </c>
      <c r="C41" s="998">
        <v>557</v>
      </c>
      <c r="D41" s="477" t="s">
        <v>569</v>
      </c>
      <c r="E41" s="1600">
        <v>630</v>
      </c>
      <c r="F41" s="476" t="s">
        <v>2312</v>
      </c>
      <c r="G41" s="1572"/>
      <c r="H41" s="1573"/>
      <c r="I41" s="53"/>
      <c r="J41" s="53"/>
      <c r="K41" s="1572"/>
    </row>
    <row r="42" spans="2:11" ht="15.75" customHeight="1">
      <c r="B42" s="1567" t="s">
        <v>2370</v>
      </c>
      <c r="C42" s="998">
        <v>575</v>
      </c>
      <c r="D42" s="477" t="s">
        <v>2371</v>
      </c>
      <c r="E42" s="1600">
        <v>640</v>
      </c>
      <c r="F42" s="476" t="s">
        <v>2372</v>
      </c>
      <c r="G42" s="1572"/>
      <c r="H42" s="1573"/>
      <c r="I42" s="53"/>
      <c r="J42" s="53"/>
      <c r="K42" s="1572"/>
    </row>
    <row r="43" spans="2:11" s="53" customFormat="1" ht="15.75" customHeight="1">
      <c r="B43" s="1568" t="s">
        <v>2378</v>
      </c>
      <c r="C43" s="1569">
        <v>708</v>
      </c>
      <c r="D43" s="1570" t="s">
        <v>2379</v>
      </c>
      <c r="E43" s="1601">
        <v>635</v>
      </c>
      <c r="F43" s="1571" t="s">
        <v>2380</v>
      </c>
      <c r="G43" s="1572"/>
      <c r="H43" s="1573"/>
      <c r="K43" s="1572"/>
    </row>
    <row r="44" spans="2:11" ht="15.75" customHeight="1">
      <c r="B44" s="818" t="s">
        <v>556</v>
      </c>
      <c r="C44" s="998">
        <v>11721</v>
      </c>
      <c r="D44" s="477" t="s">
        <v>1274</v>
      </c>
      <c r="E44" s="477" t="s">
        <v>718</v>
      </c>
      <c r="F44" s="476" t="s">
        <v>2397</v>
      </c>
      <c r="G44" s="1572"/>
      <c r="H44" s="1580"/>
      <c r="I44" s="53"/>
      <c r="J44" s="53"/>
      <c r="K44" s="1572"/>
    </row>
    <row r="45" spans="2:11" ht="15.75" customHeight="1">
      <c r="B45" s="818" t="s">
        <v>2243</v>
      </c>
      <c r="C45" s="1511">
        <v>3652</v>
      </c>
      <c r="D45" s="829" t="s">
        <v>322</v>
      </c>
      <c r="E45" s="829">
        <v>230</v>
      </c>
      <c r="F45" s="475" t="s">
        <v>2313</v>
      </c>
      <c r="H45" s="1577">
        <v>220</v>
      </c>
      <c r="I45" s="53"/>
      <c r="J45" s="53"/>
    </row>
    <row r="46" spans="2:11" ht="15.75" customHeight="1">
      <c r="B46" s="818" t="s">
        <v>2244</v>
      </c>
      <c r="C46" s="1511">
        <v>3652</v>
      </c>
      <c r="D46" s="829" t="s">
        <v>2245</v>
      </c>
      <c r="E46" s="829">
        <v>231</v>
      </c>
      <c r="F46" s="475" t="s">
        <v>2314</v>
      </c>
      <c r="G46" s="352">
        <v>54514004</v>
      </c>
      <c r="H46" s="1578">
        <v>221</v>
      </c>
      <c r="I46" s="53"/>
      <c r="J46" s="53"/>
      <c r="K46" s="352">
        <v>54514004</v>
      </c>
    </row>
    <row r="47" spans="2:11" ht="15.75" customHeight="1">
      <c r="B47" s="817" t="s">
        <v>116</v>
      </c>
      <c r="C47" s="998">
        <v>11711</v>
      </c>
      <c r="D47" s="477" t="s">
        <v>323</v>
      </c>
      <c r="E47" s="477">
        <v>240</v>
      </c>
      <c r="F47" s="476" t="s">
        <v>2315</v>
      </c>
      <c r="G47" s="352">
        <v>7726043</v>
      </c>
      <c r="H47" s="1577">
        <v>230</v>
      </c>
      <c r="I47" s="53"/>
      <c r="J47" s="53"/>
      <c r="K47" s="352">
        <v>7726043</v>
      </c>
    </row>
    <row r="48" spans="2:11" ht="15.75" customHeight="1">
      <c r="B48" s="817" t="s">
        <v>117</v>
      </c>
      <c r="C48" s="998">
        <v>12826</v>
      </c>
      <c r="D48" s="477" t="s">
        <v>324</v>
      </c>
      <c r="E48" s="477">
        <v>250</v>
      </c>
      <c r="F48" s="476" t="s">
        <v>2316</v>
      </c>
      <c r="G48" s="352">
        <v>10828344</v>
      </c>
      <c r="H48" s="1577">
        <v>240</v>
      </c>
      <c r="I48" s="53"/>
      <c r="J48" s="53"/>
      <c r="K48" s="352">
        <v>10828344</v>
      </c>
    </row>
    <row r="49" spans="2:11" ht="15.75" customHeight="1">
      <c r="B49" s="817" t="s">
        <v>118</v>
      </c>
      <c r="C49" s="998">
        <v>13231</v>
      </c>
      <c r="D49" s="477" t="s">
        <v>325</v>
      </c>
      <c r="E49" s="477">
        <v>260</v>
      </c>
      <c r="F49" s="476" t="s">
        <v>2317</v>
      </c>
      <c r="G49" s="352">
        <v>3542817</v>
      </c>
      <c r="H49" s="1577">
        <v>250</v>
      </c>
      <c r="I49" s="53"/>
      <c r="J49" s="53"/>
      <c r="K49" s="352">
        <v>3542817</v>
      </c>
    </row>
    <row r="50" spans="2:11" ht="15.75" customHeight="1">
      <c r="B50" s="818" t="s">
        <v>557</v>
      </c>
      <c r="C50" s="998">
        <v>110</v>
      </c>
      <c r="D50" s="477" t="s">
        <v>558</v>
      </c>
      <c r="E50" s="1600" t="s">
        <v>719</v>
      </c>
      <c r="F50" s="476" t="s">
        <v>2318</v>
      </c>
      <c r="G50" s="1572"/>
      <c r="H50" s="1580"/>
      <c r="I50" s="53"/>
      <c r="J50" s="53"/>
      <c r="K50" s="1572"/>
    </row>
    <row r="51" spans="2:11" ht="15.75" customHeight="1">
      <c r="B51" s="817" t="s">
        <v>215</v>
      </c>
      <c r="C51" s="998">
        <v>3581</v>
      </c>
      <c r="D51" s="477" t="s">
        <v>326</v>
      </c>
      <c r="E51" s="477">
        <v>270</v>
      </c>
      <c r="F51" s="476" t="s">
        <v>2319</v>
      </c>
      <c r="G51" s="352">
        <v>13141181</v>
      </c>
      <c r="H51" s="1577">
        <v>340</v>
      </c>
      <c r="I51" s="53"/>
      <c r="J51" s="53"/>
      <c r="K51" s="352">
        <v>13141181</v>
      </c>
    </row>
    <row r="52" spans="2:11" ht="15.75" customHeight="1">
      <c r="B52" s="818" t="s">
        <v>2246</v>
      </c>
      <c r="C52" s="1511">
        <v>3606</v>
      </c>
      <c r="D52" s="829" t="s">
        <v>327</v>
      </c>
      <c r="E52" s="1603">
        <v>280</v>
      </c>
      <c r="F52" s="475" t="s">
        <v>2320</v>
      </c>
      <c r="G52" s="352"/>
      <c r="H52" s="1577">
        <v>350</v>
      </c>
      <c r="I52" s="53"/>
      <c r="J52" s="53"/>
      <c r="K52" s="352"/>
    </row>
    <row r="53" spans="2:11" ht="15.75" customHeight="1">
      <c r="B53" s="818" t="s">
        <v>2247</v>
      </c>
      <c r="C53" s="1511">
        <v>3606</v>
      </c>
      <c r="D53" s="829" t="s">
        <v>2248</v>
      </c>
      <c r="E53" s="829">
        <v>281</v>
      </c>
      <c r="F53" s="475" t="s">
        <v>2321</v>
      </c>
      <c r="G53" s="352">
        <v>18236811</v>
      </c>
      <c r="H53" s="1578">
        <v>351</v>
      </c>
      <c r="I53" s="53"/>
      <c r="J53" s="53"/>
      <c r="K53" s="352">
        <v>18236811</v>
      </c>
    </row>
    <row r="54" spans="2:11" ht="15.75" customHeight="1">
      <c r="B54" s="817" t="s">
        <v>1273</v>
      </c>
      <c r="C54" s="998">
        <v>3615</v>
      </c>
      <c r="D54" s="477" t="s">
        <v>328</v>
      </c>
      <c r="E54" s="1600">
        <v>290</v>
      </c>
      <c r="F54" s="476" t="s">
        <v>2322</v>
      </c>
      <c r="G54" s="352">
        <v>37606478</v>
      </c>
      <c r="H54" s="1577">
        <v>360</v>
      </c>
      <c r="I54" s="53"/>
      <c r="J54" s="53"/>
      <c r="K54" s="352">
        <v>37606478</v>
      </c>
    </row>
    <row r="55" spans="2:11" ht="15.75" customHeight="1">
      <c r="B55" s="817" t="s">
        <v>120</v>
      </c>
      <c r="C55" s="998">
        <v>3625</v>
      </c>
      <c r="D55" s="477" t="s">
        <v>329</v>
      </c>
      <c r="E55" s="1600">
        <v>300</v>
      </c>
      <c r="F55" s="476" t="s">
        <v>2323</v>
      </c>
      <c r="G55" s="352">
        <f>2151723+472890</f>
        <v>2624613</v>
      </c>
      <c r="H55" s="1577">
        <v>370</v>
      </c>
      <c r="I55" s="53"/>
      <c r="J55" s="1579"/>
      <c r="K55" s="352">
        <f>2151723+472890</f>
        <v>2624613</v>
      </c>
    </row>
    <row r="56" spans="2:11" ht="15.75" customHeight="1">
      <c r="B56" s="818" t="s">
        <v>559</v>
      </c>
      <c r="C56" s="998">
        <v>439154</v>
      </c>
      <c r="D56" s="477" t="s">
        <v>560</v>
      </c>
      <c r="E56" s="477" t="s">
        <v>720</v>
      </c>
      <c r="F56" s="476" t="s">
        <v>2324</v>
      </c>
      <c r="G56" s="1572"/>
      <c r="H56" s="1580"/>
      <c r="I56" s="53"/>
      <c r="J56" s="1579"/>
      <c r="K56" s="1572"/>
    </row>
    <row r="57" spans="2:11" ht="15.75" customHeight="1">
      <c r="B57" s="817" t="s">
        <v>121</v>
      </c>
      <c r="C57" s="998">
        <v>3644</v>
      </c>
      <c r="D57" s="477" t="s">
        <v>330</v>
      </c>
      <c r="E57" s="477">
        <v>310</v>
      </c>
      <c r="F57" s="476" t="s">
        <v>2325</v>
      </c>
      <c r="G57" s="352">
        <v>49874746</v>
      </c>
      <c r="H57" s="1577">
        <v>310</v>
      </c>
      <c r="I57" s="53"/>
      <c r="J57" s="1579"/>
      <c r="K57" s="352">
        <v>49874746</v>
      </c>
    </row>
    <row r="58" spans="2:11" ht="15.75" customHeight="1">
      <c r="B58" s="817" t="s">
        <v>122</v>
      </c>
      <c r="C58" s="998">
        <v>3541</v>
      </c>
      <c r="D58" s="477" t="s">
        <v>331</v>
      </c>
      <c r="E58" s="477">
        <v>320</v>
      </c>
      <c r="F58" s="476" t="s">
        <v>2326</v>
      </c>
      <c r="G58" s="352">
        <v>6792999</v>
      </c>
      <c r="H58" s="1577">
        <v>320</v>
      </c>
      <c r="I58" s="53"/>
      <c r="J58" s="53"/>
      <c r="K58" s="352">
        <v>6792999</v>
      </c>
    </row>
    <row r="59" spans="2:11" ht="15.75" customHeight="1">
      <c r="B59" s="818" t="s">
        <v>561</v>
      </c>
      <c r="C59" s="998">
        <v>103594</v>
      </c>
      <c r="D59" s="477" t="s">
        <v>562</v>
      </c>
      <c r="E59" s="1600" t="s">
        <v>721</v>
      </c>
      <c r="F59" s="476" t="s">
        <v>2327</v>
      </c>
      <c r="G59" s="1572"/>
      <c r="H59" s="1580"/>
      <c r="I59" s="53"/>
      <c r="J59" s="53"/>
      <c r="K59" s="1572"/>
    </row>
    <row r="60" spans="2:11" ht="15.75" customHeight="1">
      <c r="B60" s="817" t="s">
        <v>123</v>
      </c>
      <c r="C60" s="998">
        <v>3594</v>
      </c>
      <c r="D60" s="477" t="s">
        <v>332</v>
      </c>
      <c r="E60" s="1600">
        <v>330</v>
      </c>
      <c r="F60" s="476" t="s">
        <v>2328</v>
      </c>
      <c r="G60" s="352">
        <v>37346563</v>
      </c>
      <c r="H60" s="1577">
        <v>270</v>
      </c>
      <c r="I60" s="53"/>
      <c r="J60" s="53"/>
      <c r="K60" s="352">
        <v>37346563</v>
      </c>
    </row>
    <row r="61" spans="2:11" ht="15.75" customHeight="1">
      <c r="B61" s="817" t="s">
        <v>270</v>
      </c>
      <c r="C61" s="998">
        <v>42421</v>
      </c>
      <c r="D61" s="477" t="s">
        <v>333</v>
      </c>
      <c r="E61" s="1600">
        <v>333</v>
      </c>
      <c r="F61" s="476" t="s">
        <v>2329</v>
      </c>
      <c r="G61" s="352">
        <v>3354441</v>
      </c>
      <c r="H61" s="1577">
        <v>280</v>
      </c>
      <c r="I61" s="53"/>
      <c r="J61" s="53"/>
      <c r="K61" s="352">
        <v>3354441</v>
      </c>
    </row>
    <row r="62" spans="2:11" ht="15.75" customHeight="1">
      <c r="B62" s="476" t="s">
        <v>124</v>
      </c>
      <c r="C62" s="998">
        <v>3592</v>
      </c>
      <c r="D62" s="477" t="s">
        <v>334</v>
      </c>
      <c r="E62" s="1600">
        <v>340</v>
      </c>
      <c r="F62" s="476" t="s">
        <v>2330</v>
      </c>
      <c r="G62" s="352">
        <v>4933200</v>
      </c>
      <c r="H62" s="1577">
        <v>260</v>
      </c>
      <c r="I62" s="53"/>
      <c r="J62" s="53"/>
      <c r="K62" s="352">
        <v>4933200</v>
      </c>
    </row>
    <row r="63" spans="2:11" ht="15.75" customHeight="1">
      <c r="B63" s="476" t="s">
        <v>125</v>
      </c>
      <c r="C63" s="998">
        <v>3624</v>
      </c>
      <c r="D63" s="477" t="s">
        <v>335</v>
      </c>
      <c r="E63" s="477">
        <v>350</v>
      </c>
      <c r="F63" s="476" t="s">
        <v>2331</v>
      </c>
      <c r="G63" s="352">
        <v>11277793</v>
      </c>
      <c r="H63" s="1577">
        <v>290</v>
      </c>
      <c r="I63" s="53"/>
      <c r="J63" s="53"/>
      <c r="K63" s="352">
        <v>11277793</v>
      </c>
    </row>
    <row r="64" spans="2:11" ht="15.75" customHeight="1">
      <c r="B64" s="476" t="s">
        <v>126</v>
      </c>
      <c r="C64" s="998">
        <v>3642</v>
      </c>
      <c r="D64" s="477" t="s">
        <v>336</v>
      </c>
      <c r="E64" s="477">
        <v>360</v>
      </c>
      <c r="F64" s="476" t="s">
        <v>2332</v>
      </c>
      <c r="G64" s="352">
        <v>11719335</v>
      </c>
      <c r="H64" s="1577">
        <v>300</v>
      </c>
      <c r="I64" s="53"/>
      <c r="J64" s="53"/>
      <c r="K64" s="352">
        <v>11719335</v>
      </c>
    </row>
    <row r="65" spans="2:11" ht="15.75" customHeight="1">
      <c r="B65" s="476" t="s">
        <v>127</v>
      </c>
      <c r="C65" s="998">
        <v>3646</v>
      </c>
      <c r="D65" s="477" t="s">
        <v>337</v>
      </c>
      <c r="E65" s="1600">
        <v>370</v>
      </c>
      <c r="F65" s="476" t="s">
        <v>2333</v>
      </c>
      <c r="G65" s="352">
        <v>14554133</v>
      </c>
      <c r="H65" s="1577">
        <v>330</v>
      </c>
      <c r="I65" s="53"/>
      <c r="J65" s="53"/>
      <c r="K65" s="352">
        <v>14554133</v>
      </c>
    </row>
    <row r="66" spans="2:11" ht="15.75" customHeight="1">
      <c r="B66" s="476" t="s">
        <v>339</v>
      </c>
      <c r="C66" s="999">
        <v>36273</v>
      </c>
      <c r="D66" s="477" t="s">
        <v>236</v>
      </c>
      <c r="E66" s="1600">
        <v>490</v>
      </c>
      <c r="F66" s="476" t="s">
        <v>2334</v>
      </c>
      <c r="G66" s="352">
        <v>2553130</v>
      </c>
      <c r="H66" s="1577">
        <v>430</v>
      </c>
      <c r="I66" s="53"/>
      <c r="J66" s="53"/>
      <c r="K66" s="352">
        <v>2553130</v>
      </c>
    </row>
    <row r="67" spans="2:11" ht="15.75" customHeight="1">
      <c r="B67" s="476" t="s">
        <v>340</v>
      </c>
      <c r="C67" s="999">
        <v>23582</v>
      </c>
      <c r="D67" s="477" t="s">
        <v>341</v>
      </c>
      <c r="E67" s="1600">
        <v>500</v>
      </c>
      <c r="F67" s="476" t="s">
        <v>2335</v>
      </c>
      <c r="G67" s="352">
        <v>1488396</v>
      </c>
      <c r="H67" s="1577">
        <v>440</v>
      </c>
      <c r="I67" s="53"/>
      <c r="J67" s="53"/>
      <c r="K67" s="352">
        <v>1488396</v>
      </c>
    </row>
    <row r="68" spans="2:11" ht="15.75" customHeight="1">
      <c r="B68" s="476" t="s">
        <v>342</v>
      </c>
      <c r="C68" s="999">
        <v>23485</v>
      </c>
      <c r="D68" s="477" t="s">
        <v>343</v>
      </c>
      <c r="E68" s="1602">
        <v>510</v>
      </c>
      <c r="F68" s="476" t="s">
        <v>2336</v>
      </c>
      <c r="G68" s="352">
        <v>2217102</v>
      </c>
      <c r="H68" s="1577">
        <v>450</v>
      </c>
      <c r="I68" s="53"/>
      <c r="J68" s="53"/>
      <c r="K68" s="352">
        <v>2217102</v>
      </c>
    </row>
    <row r="69" spans="2:11" ht="15.75" customHeight="1">
      <c r="B69" s="476" t="s">
        <v>344</v>
      </c>
      <c r="C69" s="999">
        <v>9225</v>
      </c>
      <c r="D69" s="477" t="s">
        <v>345</v>
      </c>
      <c r="E69" s="1600">
        <v>520</v>
      </c>
      <c r="F69" s="476" t="s">
        <v>2337</v>
      </c>
      <c r="G69" s="1581">
        <v>2604593</v>
      </c>
      <c r="H69" s="1577">
        <v>390</v>
      </c>
      <c r="I69" s="53"/>
      <c r="J69" s="53"/>
      <c r="K69" s="1765">
        <v>8662500</v>
      </c>
    </row>
    <row r="70" spans="2:11" ht="15.75" customHeight="1">
      <c r="B70" s="476" t="s">
        <v>1229</v>
      </c>
      <c r="C70" s="999">
        <v>9932</v>
      </c>
      <c r="D70" s="477" t="s">
        <v>1314</v>
      </c>
      <c r="E70" s="1600">
        <v>530</v>
      </c>
      <c r="F70" s="476" t="s">
        <v>2338</v>
      </c>
      <c r="G70" s="1582">
        <v>992536</v>
      </c>
      <c r="H70" s="1577">
        <v>400</v>
      </c>
      <c r="I70" s="53"/>
      <c r="J70" s="53"/>
      <c r="K70" s="1766"/>
    </row>
    <row r="71" spans="2:11" ht="15.75" customHeight="1">
      <c r="B71" s="476" t="s">
        <v>348</v>
      </c>
      <c r="C71" s="999">
        <v>33965</v>
      </c>
      <c r="D71" s="477" t="s">
        <v>349</v>
      </c>
      <c r="E71" s="1600">
        <v>540</v>
      </c>
      <c r="F71" s="476" t="s">
        <v>2339</v>
      </c>
      <c r="G71" s="1582">
        <v>725027</v>
      </c>
      <c r="H71" s="1577">
        <v>410</v>
      </c>
      <c r="I71" s="53"/>
      <c r="J71" s="53"/>
      <c r="K71" s="1766"/>
    </row>
    <row r="72" spans="2:11" ht="15.75" customHeight="1">
      <c r="B72" s="476" t="s">
        <v>350</v>
      </c>
      <c r="C72" s="999">
        <v>3634</v>
      </c>
      <c r="D72" s="477" t="s">
        <v>351</v>
      </c>
      <c r="E72" s="1600">
        <v>550</v>
      </c>
      <c r="F72" s="476" t="s">
        <v>2340</v>
      </c>
      <c r="G72" s="1582">
        <v>3088797</v>
      </c>
      <c r="H72" s="1577">
        <v>420</v>
      </c>
      <c r="I72" s="53"/>
      <c r="J72" s="127">
        <f>SUM(G69:G74)</f>
        <v>8662500</v>
      </c>
      <c r="K72" s="1766"/>
    </row>
    <row r="73" spans="2:11" ht="15.75" customHeight="1">
      <c r="B73" s="1512" t="s">
        <v>1418</v>
      </c>
      <c r="C73" s="1513">
        <v>133965</v>
      </c>
      <c r="D73" s="477" t="s">
        <v>2180</v>
      </c>
      <c r="E73" s="1600">
        <v>552</v>
      </c>
      <c r="F73" s="476" t="s">
        <v>2341</v>
      </c>
      <c r="G73" s="1582">
        <v>283709</v>
      </c>
      <c r="H73" s="1577">
        <v>430</v>
      </c>
      <c r="I73" s="53"/>
      <c r="J73" s="127">
        <f>J72-K69</f>
        <v>0</v>
      </c>
      <c r="K73" s="1766"/>
    </row>
    <row r="74" spans="2:11" ht="15.75" customHeight="1">
      <c r="B74" s="1512" t="s">
        <v>1419</v>
      </c>
      <c r="C74" s="1513">
        <v>203634</v>
      </c>
      <c r="D74" s="477" t="s">
        <v>2181</v>
      </c>
      <c r="E74" s="1600">
        <v>553</v>
      </c>
      <c r="F74" s="476" t="s">
        <v>2342</v>
      </c>
      <c r="G74" s="1582">
        <v>967838</v>
      </c>
      <c r="H74" s="1577">
        <v>440</v>
      </c>
      <c r="I74" s="53"/>
      <c r="J74" s="53"/>
      <c r="K74" s="1766"/>
    </row>
    <row r="75" spans="2:11" ht="15">
      <c r="B75" s="476" t="s">
        <v>712</v>
      </c>
      <c r="C75" s="999">
        <v>9642</v>
      </c>
      <c r="D75" s="477" t="s">
        <v>713</v>
      </c>
      <c r="E75" s="1600">
        <v>555</v>
      </c>
      <c r="F75" s="476" t="s">
        <v>2343</v>
      </c>
      <c r="G75" s="1583"/>
      <c r="H75" s="1580"/>
      <c r="I75" s="53"/>
      <c r="J75" s="53"/>
      <c r="K75" s="1767"/>
    </row>
    <row r="76" spans="2:11" ht="15">
      <c r="B76" s="476"/>
      <c r="C76" s="999"/>
      <c r="D76" s="477"/>
      <c r="E76" s="477"/>
      <c r="F76" s="476"/>
      <c r="G76" s="1584"/>
      <c r="H76" s="1580"/>
      <c r="I76" s="53"/>
      <c r="J76" s="53"/>
      <c r="K76" s="127"/>
    </row>
    <row r="77" spans="2:11" ht="15.75" customHeight="1">
      <c r="B77" s="476"/>
      <c r="C77" s="998"/>
      <c r="D77" s="477"/>
      <c r="E77" s="477"/>
      <c r="F77" s="476"/>
      <c r="G77" s="1585">
        <f>SUM(G27:G75)</f>
        <v>351414534</v>
      </c>
      <c r="H77" s="1585"/>
      <c r="I77" s="53"/>
      <c r="J77" s="53"/>
      <c r="K77" s="1585">
        <f>SUM(K27:K75)</f>
        <v>351414534</v>
      </c>
    </row>
    <row r="78" spans="2:11" ht="15.75" customHeight="1">
      <c r="B78" s="816" t="s">
        <v>352</v>
      </c>
      <c r="C78" s="998"/>
      <c r="D78" s="984"/>
      <c r="E78" s="984">
        <v>380</v>
      </c>
      <c r="F78" s="985" t="s">
        <v>582</v>
      </c>
      <c r="G78" s="1586"/>
      <c r="H78" s="1586"/>
      <c r="I78" s="53"/>
      <c r="J78" s="53"/>
      <c r="K78" s="1586"/>
    </row>
    <row r="79" spans="2:11" ht="15.75" customHeight="1">
      <c r="B79" s="476"/>
      <c r="C79" s="998"/>
      <c r="D79" s="477"/>
      <c r="E79" s="477"/>
      <c r="F79" s="476"/>
      <c r="G79" s="1580"/>
      <c r="H79" s="1580"/>
      <c r="I79" s="53"/>
      <c r="J79" s="53"/>
      <c r="K79" s="1572"/>
    </row>
    <row r="80" spans="2:11" ht="18.75" customHeight="1">
      <c r="B80" s="476" t="s">
        <v>1290</v>
      </c>
      <c r="C80" s="999">
        <v>30</v>
      </c>
      <c r="D80" s="477" t="s">
        <v>537</v>
      </c>
      <c r="E80" s="477">
        <v>390</v>
      </c>
      <c r="F80" s="476" t="s">
        <v>2344</v>
      </c>
      <c r="G80" s="1580"/>
      <c r="H80" s="1580"/>
      <c r="I80" s="1587"/>
      <c r="J80" s="53"/>
      <c r="K80" s="1572"/>
    </row>
    <row r="81" spans="1:252" ht="20.25" customHeight="1">
      <c r="B81" s="476" t="s">
        <v>542</v>
      </c>
      <c r="C81" s="999">
        <v>40</v>
      </c>
      <c r="D81" s="477" t="s">
        <v>543</v>
      </c>
      <c r="E81" s="477">
        <v>420</v>
      </c>
      <c r="F81" s="476" t="s">
        <v>2345</v>
      </c>
      <c r="G81" s="1580"/>
      <c r="H81" s="1580"/>
      <c r="I81" s="1587"/>
      <c r="J81" s="53"/>
      <c r="K81" s="1572"/>
    </row>
    <row r="82" spans="1:252" ht="17.25" customHeight="1">
      <c r="B82" s="476" t="s">
        <v>547</v>
      </c>
      <c r="C82" s="999">
        <v>89</v>
      </c>
      <c r="D82" s="477" t="s">
        <v>548</v>
      </c>
      <c r="E82" s="1600">
        <v>450</v>
      </c>
      <c r="F82" s="476" t="s">
        <v>2346</v>
      </c>
      <c r="G82" s="1580"/>
      <c r="H82" s="1580"/>
      <c r="I82" s="1587"/>
      <c r="J82" s="53"/>
      <c r="K82" s="1572"/>
    </row>
    <row r="83" spans="1:252" s="1514" customFormat="1" ht="30.75" customHeight="1">
      <c r="B83" s="1515" t="s">
        <v>2347</v>
      </c>
      <c r="C83" s="1516">
        <v>130</v>
      </c>
      <c r="D83" s="1517" t="s">
        <v>549</v>
      </c>
      <c r="E83" s="1604">
        <v>460</v>
      </c>
      <c r="F83" s="1515" t="s">
        <v>2361</v>
      </c>
      <c r="G83" s="1588">
        <v>15125502</v>
      </c>
      <c r="H83" s="1589"/>
      <c r="I83" s="1590"/>
      <c r="J83" s="776"/>
      <c r="K83" s="1588">
        <v>15125502</v>
      </c>
    </row>
    <row r="84" spans="1:252" s="1514" customFormat="1" ht="36.75" customHeight="1">
      <c r="B84" s="1515" t="s">
        <v>2348</v>
      </c>
      <c r="C84" s="1516">
        <v>130</v>
      </c>
      <c r="D84" s="1517" t="s">
        <v>2249</v>
      </c>
      <c r="E84" s="1517">
        <v>461</v>
      </c>
      <c r="F84" s="1515" t="s">
        <v>2362</v>
      </c>
      <c r="G84" s="1588"/>
      <c r="H84" s="1589"/>
      <c r="I84" s="1590"/>
      <c r="J84" s="776"/>
      <c r="K84" s="1588"/>
    </row>
    <row r="85" spans="1:252" ht="15.75" customHeight="1">
      <c r="B85" s="476" t="s">
        <v>550</v>
      </c>
      <c r="C85" s="999">
        <v>412</v>
      </c>
      <c r="D85" s="477" t="s">
        <v>551</v>
      </c>
      <c r="E85" s="477">
        <v>470</v>
      </c>
      <c r="F85" s="476" t="s">
        <v>2349</v>
      </c>
      <c r="G85" s="1591">
        <v>21652392</v>
      </c>
      <c r="H85" s="1573"/>
      <c r="I85" s="1587"/>
      <c r="J85" s="53"/>
      <c r="K85" s="1591">
        <v>21652392</v>
      </c>
    </row>
    <row r="86" spans="1:252" ht="15.75" customHeight="1">
      <c r="B86" s="476" t="s">
        <v>1382</v>
      </c>
      <c r="C86" s="999">
        <v>862</v>
      </c>
      <c r="D86" s="477" t="s">
        <v>1263</v>
      </c>
      <c r="E86" s="477">
        <v>480</v>
      </c>
      <c r="F86" s="1077" t="s">
        <v>2350</v>
      </c>
      <c r="G86" s="1591">
        <v>5557572</v>
      </c>
      <c r="H86" s="1585"/>
      <c r="I86" s="53"/>
      <c r="J86" s="53"/>
      <c r="K86" s="1591">
        <v>5557572</v>
      </c>
    </row>
    <row r="87" spans="1:252" ht="15.75" customHeight="1">
      <c r="B87" s="476" t="s">
        <v>540</v>
      </c>
      <c r="C87" s="999">
        <v>11618</v>
      </c>
      <c r="D87" s="477" t="s">
        <v>541</v>
      </c>
      <c r="E87" s="477">
        <v>410</v>
      </c>
      <c r="F87" s="476" t="s">
        <v>2351</v>
      </c>
      <c r="G87" s="1580"/>
      <c r="H87" s="1580"/>
      <c r="I87" s="1587"/>
      <c r="J87" s="53"/>
      <c r="K87" s="1572"/>
    </row>
    <row r="88" spans="1:252" s="758" customFormat="1" ht="17.25" customHeight="1">
      <c r="A88" s="56"/>
      <c r="B88" s="476" t="s">
        <v>544</v>
      </c>
      <c r="C88" s="999">
        <v>25554</v>
      </c>
      <c r="D88" s="477" t="s">
        <v>545</v>
      </c>
      <c r="E88" s="477">
        <v>430</v>
      </c>
      <c r="F88" s="476" t="s">
        <v>2352</v>
      </c>
      <c r="G88" s="1580"/>
      <c r="H88" s="1580"/>
      <c r="I88" s="1587"/>
      <c r="J88" s="53"/>
      <c r="K88" s="1572"/>
      <c r="L88" s="56"/>
      <c r="M88" s="56"/>
      <c r="N88" s="56"/>
      <c r="O88" s="56"/>
      <c r="P88" s="56"/>
      <c r="Q88" s="56"/>
      <c r="R88" s="56"/>
      <c r="S88" s="56"/>
      <c r="T88" s="56"/>
      <c r="U88" s="56"/>
      <c r="V88" s="56"/>
      <c r="W88" s="56"/>
      <c r="X88" s="56"/>
      <c r="Y88" s="56"/>
      <c r="Z88" s="56"/>
      <c r="AA88" s="56"/>
      <c r="AB88" s="56"/>
      <c r="AC88" s="56"/>
      <c r="AD88" s="56"/>
      <c r="AE88" s="56"/>
      <c r="AF88" s="56"/>
      <c r="AG88" s="56"/>
      <c r="AH88" s="56"/>
      <c r="AI88" s="56"/>
      <c r="AJ88" s="56"/>
      <c r="AK88" s="56"/>
      <c r="AL88" s="56"/>
      <c r="AM88" s="56"/>
      <c r="AN88" s="56"/>
      <c r="AO88" s="56"/>
      <c r="AP88" s="56"/>
      <c r="AQ88" s="56"/>
      <c r="AR88" s="56"/>
      <c r="AS88" s="56"/>
      <c r="AT88" s="56"/>
      <c r="AU88" s="56"/>
      <c r="AV88" s="56"/>
      <c r="AW88" s="56"/>
      <c r="AX88" s="56"/>
      <c r="AY88" s="56"/>
      <c r="AZ88" s="56"/>
      <c r="BA88" s="56"/>
      <c r="BB88" s="56"/>
      <c r="BC88" s="56"/>
      <c r="BD88" s="56"/>
      <c r="BE88" s="56"/>
      <c r="BF88" s="56"/>
      <c r="BG88" s="56"/>
      <c r="BH88" s="56"/>
      <c r="BI88" s="56"/>
      <c r="BJ88" s="56"/>
      <c r="BK88" s="56"/>
      <c r="BL88" s="56"/>
      <c r="BM88" s="56"/>
      <c r="BN88" s="56"/>
      <c r="BO88" s="56"/>
      <c r="BP88" s="56"/>
      <c r="BQ88" s="56"/>
      <c r="BR88" s="56"/>
      <c r="BS88" s="56"/>
      <c r="BT88" s="56"/>
      <c r="BU88" s="56"/>
      <c r="BV88" s="56"/>
      <c r="BW88" s="56"/>
      <c r="BX88" s="56"/>
      <c r="BY88" s="56"/>
      <c r="BZ88" s="56"/>
      <c r="CA88" s="56"/>
      <c r="CB88" s="56"/>
      <c r="CC88" s="56"/>
      <c r="CD88" s="56"/>
      <c r="CE88" s="56"/>
      <c r="CF88" s="56"/>
      <c r="CG88" s="56"/>
      <c r="CH88" s="56"/>
      <c r="CI88" s="56"/>
      <c r="CJ88" s="56"/>
      <c r="CK88" s="56"/>
      <c r="CL88" s="56"/>
      <c r="CM88" s="56"/>
      <c r="CN88" s="56"/>
      <c r="CO88" s="56"/>
      <c r="CP88" s="56"/>
      <c r="CQ88" s="56"/>
      <c r="CR88" s="56"/>
      <c r="CS88" s="56"/>
      <c r="CT88" s="56"/>
      <c r="CU88" s="56"/>
      <c r="CV88" s="56"/>
      <c r="CW88" s="56"/>
      <c r="CX88" s="56"/>
      <c r="CY88" s="56"/>
      <c r="CZ88" s="56"/>
      <c r="DA88" s="56"/>
      <c r="DB88" s="56"/>
      <c r="DC88" s="56"/>
      <c r="DD88" s="56"/>
      <c r="DE88" s="56"/>
      <c r="DF88" s="56"/>
      <c r="DG88" s="56"/>
      <c r="DH88" s="56"/>
      <c r="DI88" s="56"/>
      <c r="DJ88" s="56"/>
      <c r="DK88" s="56"/>
      <c r="DL88" s="56"/>
      <c r="DM88" s="56"/>
      <c r="DN88" s="56"/>
      <c r="DO88" s="56"/>
      <c r="DP88" s="56"/>
      <c r="DQ88" s="56"/>
      <c r="DR88" s="56"/>
      <c r="DS88" s="56"/>
      <c r="DT88" s="56"/>
      <c r="DU88" s="56"/>
      <c r="DV88" s="56"/>
      <c r="DW88" s="56"/>
      <c r="DX88" s="56"/>
      <c r="DY88" s="56"/>
      <c r="DZ88" s="56"/>
      <c r="EA88" s="56"/>
      <c r="EB88" s="56"/>
      <c r="EC88" s="56"/>
      <c r="ED88" s="56"/>
      <c r="EE88" s="56"/>
      <c r="EF88" s="56"/>
      <c r="EG88" s="56"/>
      <c r="EH88" s="56"/>
      <c r="EI88" s="56"/>
      <c r="EJ88" s="56"/>
      <c r="EK88" s="56"/>
      <c r="EL88" s="56"/>
      <c r="EM88" s="56"/>
      <c r="EN88" s="56"/>
      <c r="EO88" s="56"/>
      <c r="EP88" s="56"/>
      <c r="EQ88" s="56"/>
      <c r="ER88" s="56"/>
      <c r="ES88" s="56"/>
      <c r="ET88" s="56"/>
      <c r="EU88" s="56"/>
      <c r="EV88" s="56"/>
      <c r="EW88" s="56"/>
      <c r="EX88" s="56"/>
      <c r="EY88" s="56"/>
      <c r="EZ88" s="56"/>
      <c r="FA88" s="56"/>
      <c r="FB88" s="56"/>
      <c r="FC88" s="56"/>
      <c r="FD88" s="56"/>
      <c r="FE88" s="56"/>
      <c r="FF88" s="56"/>
      <c r="FG88" s="56"/>
      <c r="FH88" s="56"/>
      <c r="FI88" s="56"/>
      <c r="FJ88" s="56"/>
      <c r="FK88" s="56"/>
      <c r="FL88" s="56"/>
      <c r="FM88" s="56"/>
      <c r="FN88" s="56"/>
      <c r="FO88" s="56"/>
      <c r="FP88" s="56"/>
      <c r="FQ88" s="56"/>
      <c r="FR88" s="56"/>
      <c r="FS88" s="56"/>
      <c r="FT88" s="56"/>
      <c r="FU88" s="56"/>
      <c r="FV88" s="56"/>
      <c r="FW88" s="56"/>
      <c r="FX88" s="56"/>
      <c r="FY88" s="56"/>
      <c r="FZ88" s="56"/>
      <c r="GA88" s="56"/>
      <c r="GB88" s="56"/>
      <c r="GC88" s="56"/>
      <c r="GD88" s="56"/>
      <c r="GE88" s="56"/>
      <c r="GF88" s="56"/>
      <c r="GG88" s="56"/>
      <c r="GH88" s="56"/>
      <c r="GI88" s="56"/>
      <c r="GJ88" s="56"/>
      <c r="GK88" s="56"/>
      <c r="GL88" s="56"/>
      <c r="GM88" s="56"/>
      <c r="GN88" s="56"/>
      <c r="GO88" s="56"/>
      <c r="GP88" s="56"/>
      <c r="GQ88" s="56"/>
      <c r="GR88" s="56"/>
      <c r="GS88" s="56"/>
      <c r="GT88" s="56"/>
      <c r="GU88" s="56"/>
      <c r="GV88" s="56"/>
      <c r="GW88" s="56"/>
      <c r="GX88" s="56"/>
      <c r="GY88" s="56"/>
      <c r="GZ88" s="56"/>
      <c r="HA88" s="56"/>
      <c r="HB88" s="56"/>
      <c r="HC88" s="56"/>
      <c r="HD88" s="56"/>
      <c r="HE88" s="56"/>
      <c r="HF88" s="56"/>
      <c r="HG88" s="56"/>
      <c r="HH88" s="56"/>
      <c r="HI88" s="56"/>
      <c r="HJ88" s="56"/>
      <c r="HK88" s="56"/>
      <c r="HL88" s="56"/>
      <c r="HM88" s="56"/>
      <c r="HN88" s="56"/>
      <c r="HO88" s="56"/>
      <c r="HP88" s="56"/>
      <c r="HQ88" s="56"/>
      <c r="HR88" s="56"/>
      <c r="HS88" s="56"/>
      <c r="HT88" s="56"/>
      <c r="HU88" s="56"/>
      <c r="HV88" s="56"/>
      <c r="HW88" s="56"/>
      <c r="HX88" s="56"/>
      <c r="HY88" s="56"/>
      <c r="HZ88" s="56"/>
      <c r="IA88" s="56"/>
      <c r="IB88" s="56"/>
      <c r="IC88" s="56"/>
      <c r="ID88" s="56"/>
      <c r="IE88" s="56"/>
      <c r="IF88" s="56"/>
      <c r="IG88" s="56"/>
      <c r="IH88" s="56"/>
      <c r="II88" s="56"/>
      <c r="IJ88" s="56"/>
      <c r="IK88" s="56"/>
      <c r="IL88" s="56"/>
      <c r="IM88" s="56"/>
      <c r="IN88" s="56"/>
      <c r="IO88" s="56"/>
      <c r="IP88" s="56"/>
      <c r="IQ88" s="56"/>
      <c r="IR88" s="56"/>
    </row>
    <row r="89" spans="1:252" ht="15.75" customHeight="1">
      <c r="B89" s="476" t="s">
        <v>1381</v>
      </c>
      <c r="C89" s="1518">
        <v>42439</v>
      </c>
      <c r="D89" s="477" t="s">
        <v>546</v>
      </c>
      <c r="E89" s="477">
        <v>440</v>
      </c>
      <c r="F89" s="476" t="s">
        <v>2353</v>
      </c>
      <c r="G89" s="1580"/>
      <c r="H89" s="1580"/>
      <c r="I89" s="1587"/>
      <c r="J89" s="53"/>
      <c r="K89" s="1572"/>
    </row>
    <row r="90" spans="1:252" ht="15.75" customHeight="1">
      <c r="B90" s="476" t="s">
        <v>538</v>
      </c>
      <c r="C90" s="999">
        <v>104952</v>
      </c>
      <c r="D90" s="477" t="s">
        <v>539</v>
      </c>
      <c r="E90" s="477">
        <v>400</v>
      </c>
      <c r="F90" s="476" t="s">
        <v>2354</v>
      </c>
      <c r="G90" s="1580"/>
      <c r="H90" s="1580"/>
      <c r="I90" s="1587"/>
      <c r="J90" s="53"/>
      <c r="K90" s="1572"/>
    </row>
    <row r="91" spans="1:252" ht="15.75" customHeight="1">
      <c r="A91" s="1078"/>
      <c r="B91" s="1079" t="s">
        <v>1385</v>
      </c>
      <c r="C91" s="1080">
        <v>203599</v>
      </c>
      <c r="D91" s="1081" t="s">
        <v>1386</v>
      </c>
      <c r="E91" s="1081">
        <v>500</v>
      </c>
      <c r="F91" s="1082" t="s">
        <v>2355</v>
      </c>
      <c r="G91" s="1592"/>
      <c r="H91" s="1593"/>
      <c r="I91" s="53"/>
      <c r="J91" s="53"/>
      <c r="K91" s="1519"/>
    </row>
    <row r="92" spans="1:252" ht="15.75" customHeight="1">
      <c r="A92" s="213"/>
      <c r="B92" s="1520" t="s">
        <v>1383</v>
      </c>
      <c r="C92" s="998">
        <v>203658</v>
      </c>
      <c r="D92" s="829" t="s">
        <v>1384</v>
      </c>
      <c r="E92" s="829">
        <v>510</v>
      </c>
      <c r="F92" s="475" t="s">
        <v>2356</v>
      </c>
      <c r="G92" s="1580"/>
      <c r="H92" s="1594"/>
      <c r="I92" s="53"/>
      <c r="J92" s="53"/>
      <c r="K92" s="1087"/>
    </row>
    <row r="93" spans="1:252" ht="15.75" customHeight="1">
      <c r="B93" s="1521" t="s">
        <v>2250</v>
      </c>
      <c r="C93" s="998">
        <v>203652</v>
      </c>
      <c r="D93" s="829" t="s">
        <v>2251</v>
      </c>
      <c r="E93" s="829">
        <v>520</v>
      </c>
      <c r="F93" s="475" t="s">
        <v>2357</v>
      </c>
      <c r="G93" s="1580"/>
      <c r="H93" s="1594"/>
      <c r="I93" s="53"/>
      <c r="J93" s="53"/>
      <c r="K93" s="1572"/>
    </row>
    <row r="94" spans="1:252" s="1514" customFormat="1" ht="30.75" customHeight="1">
      <c r="B94" s="1522" t="s">
        <v>2252</v>
      </c>
      <c r="C94" s="1523">
        <v>103606</v>
      </c>
      <c r="D94" s="1517" t="s">
        <v>2358</v>
      </c>
      <c r="E94" s="1517">
        <v>530</v>
      </c>
      <c r="F94" s="1515" t="s">
        <v>2359</v>
      </c>
      <c r="G94" s="1595"/>
      <c r="H94" s="1596"/>
      <c r="I94" s="776"/>
      <c r="J94" s="776"/>
      <c r="K94" s="1597"/>
    </row>
    <row r="95" spans="1:252" s="1514" customFormat="1" ht="32.25" customHeight="1">
      <c r="B95" s="1524" t="s">
        <v>2253</v>
      </c>
      <c r="C95" s="1523">
        <v>100130</v>
      </c>
      <c r="D95" s="1517" t="s">
        <v>2254</v>
      </c>
      <c r="E95" s="1517">
        <v>540</v>
      </c>
      <c r="F95" s="1515" t="s">
        <v>2360</v>
      </c>
      <c r="G95" s="1595"/>
      <c r="H95" s="1596"/>
      <c r="I95" s="776"/>
      <c r="J95" s="776"/>
      <c r="K95" s="1597"/>
    </row>
    <row r="96" spans="1:252" ht="15.75" customHeight="1">
      <c r="B96" s="1083"/>
      <c r="C96" s="1084"/>
      <c r="D96" s="1085"/>
      <c r="E96" s="1085"/>
      <c r="F96" s="1086"/>
      <c r="G96" s="1598"/>
      <c r="H96" s="1599"/>
      <c r="I96" s="53"/>
      <c r="J96" s="53"/>
      <c r="K96" s="1572"/>
    </row>
    <row r="97" spans="2:11" ht="15.75" customHeight="1">
      <c r="B97" s="475"/>
      <c r="C97" s="998"/>
      <c r="D97" s="829"/>
      <c r="E97" s="829"/>
      <c r="F97" s="475"/>
      <c r="G97" s="1580"/>
      <c r="H97" s="1578"/>
      <c r="I97" s="53"/>
      <c r="J97" s="53"/>
      <c r="K97" s="1572"/>
    </row>
    <row r="98" spans="2:11" ht="15.75" customHeight="1">
      <c r="B98" s="476"/>
      <c r="C98" s="998"/>
      <c r="D98" s="477"/>
      <c r="E98" s="477"/>
      <c r="F98" s="476"/>
      <c r="G98" s="1585">
        <f>SUM(G80:G92)</f>
        <v>42335466</v>
      </c>
      <c r="H98" s="1580"/>
      <c r="I98" s="53"/>
      <c r="J98" s="53"/>
      <c r="K98" s="1585">
        <f>SUM(K80:K92)</f>
        <v>42335466</v>
      </c>
    </row>
    <row r="99" spans="2:11">
      <c r="B99" s="991"/>
      <c r="C99" s="992"/>
      <c r="D99" s="133"/>
      <c r="E99" s="133"/>
      <c r="F99" s="133"/>
      <c r="G99" s="990"/>
      <c r="H99" s="1573"/>
      <c r="I99" s="53"/>
      <c r="J99" s="53"/>
      <c r="K99" s="53"/>
    </row>
    <row r="100" spans="2:11" ht="13.5" thickBot="1">
      <c r="F100" s="344" t="s">
        <v>227</v>
      </c>
      <c r="G100" s="486">
        <f>G98+G77</f>
        <v>393750000</v>
      </c>
      <c r="H100" s="1573"/>
      <c r="I100" s="53"/>
      <c r="J100" s="53"/>
      <c r="K100" s="486">
        <f>K98+K77</f>
        <v>393750000</v>
      </c>
    </row>
    <row r="101" spans="2:11" ht="13.5" thickTop="1">
      <c r="G101" s="53"/>
      <c r="H101" s="480"/>
      <c r="I101" s="53"/>
      <c r="J101" s="53"/>
      <c r="K101" s="53"/>
    </row>
    <row r="102" spans="2:11">
      <c r="G102" s="53"/>
      <c r="H102" s="480"/>
      <c r="I102" s="53"/>
      <c r="J102" s="53"/>
      <c r="K102" s="53"/>
    </row>
    <row r="103" spans="2:11">
      <c r="G103" s="53"/>
      <c r="H103" s="480"/>
      <c r="I103" s="53"/>
      <c r="J103" s="53"/>
      <c r="K103" s="53"/>
    </row>
    <row r="104" spans="2:11">
      <c r="F104" s="994"/>
      <c r="G104" s="53"/>
      <c r="H104" s="480"/>
      <c r="I104" s="53"/>
      <c r="J104" s="127"/>
      <c r="K104" s="53"/>
    </row>
    <row r="105" spans="2:11">
      <c r="F105" s="994"/>
      <c r="G105" s="53"/>
      <c r="H105" s="480"/>
      <c r="I105" s="53"/>
      <c r="J105" s="53"/>
      <c r="K105" s="53"/>
    </row>
    <row r="106" spans="2:11">
      <c r="B106" s="56"/>
      <c r="C106" s="56"/>
      <c r="F106" s="994"/>
      <c r="G106" s="53"/>
      <c r="H106" s="53"/>
      <c r="I106" s="53"/>
      <c r="J106" s="53"/>
      <c r="K106" s="53"/>
    </row>
    <row r="107" spans="2:11">
      <c r="B107" s="56"/>
      <c r="C107" s="56"/>
      <c r="F107" s="994"/>
      <c r="G107" s="480" t="s">
        <v>1234</v>
      </c>
      <c r="H107" s="53"/>
      <c r="I107" s="53"/>
      <c r="J107" s="53"/>
      <c r="K107" s="480"/>
    </row>
    <row r="108" spans="2:11">
      <c r="B108" s="56"/>
      <c r="C108" s="56"/>
      <c r="F108" s="994"/>
      <c r="G108" s="963">
        <v>44498</v>
      </c>
      <c r="H108" s="53"/>
      <c r="I108" s="53"/>
      <c r="J108" s="53"/>
      <c r="K108" s="963"/>
    </row>
    <row r="109" spans="2:11">
      <c r="B109" s="56"/>
      <c r="C109" s="56"/>
      <c r="F109" s="994"/>
      <c r="G109" s="53"/>
      <c r="H109" s="53"/>
      <c r="I109" s="53"/>
      <c r="J109" s="53"/>
      <c r="K109" s="53"/>
    </row>
    <row r="110" spans="2:11">
      <c r="B110" s="56"/>
      <c r="C110" s="56"/>
      <c r="F110" s="994"/>
      <c r="H110" s="56"/>
    </row>
    <row r="122" spans="2:11" ht="15.75" customHeight="1">
      <c r="B122" s="1090" t="s">
        <v>1387</v>
      </c>
      <c r="C122" s="998">
        <v>3658</v>
      </c>
      <c r="D122" s="829" t="s">
        <v>1388</v>
      </c>
      <c r="E122" s="829">
        <v>501</v>
      </c>
      <c r="F122" s="475" t="s">
        <v>2255</v>
      </c>
      <c r="G122" s="987"/>
      <c r="H122" s="1091"/>
      <c r="K122" s="986"/>
    </row>
    <row r="123" spans="2:11" ht="15.75" customHeight="1">
      <c r="B123" s="1083" t="s">
        <v>1389</v>
      </c>
      <c r="C123" s="1084">
        <v>203599</v>
      </c>
      <c r="D123" s="1085" t="s">
        <v>1390</v>
      </c>
      <c r="E123" s="1085">
        <v>511</v>
      </c>
      <c r="F123" s="1086" t="s">
        <v>2256</v>
      </c>
      <c r="G123" s="1147"/>
      <c r="H123" s="1089"/>
      <c r="I123" s="67"/>
      <c r="J123" s="67"/>
      <c r="K123" s="1088"/>
    </row>
    <row r="126" spans="2:11" ht="15.75" customHeight="1">
      <c r="B126" s="1083" t="s">
        <v>1391</v>
      </c>
      <c r="C126" s="1084">
        <v>3658</v>
      </c>
      <c r="D126" s="1085" t="s">
        <v>1388</v>
      </c>
      <c r="E126" s="1085">
        <v>52</v>
      </c>
      <c r="F126" s="1086" t="s">
        <v>2257</v>
      </c>
      <c r="G126" s="1092"/>
      <c r="H126" s="1089">
        <v>23</v>
      </c>
      <c r="I126" s="67"/>
      <c r="J126" s="67"/>
      <c r="K126" s="1087"/>
    </row>
    <row r="127" spans="2:11" ht="15.75" customHeight="1">
      <c r="B127" s="1083" t="s">
        <v>1392</v>
      </c>
      <c r="C127" s="1084">
        <v>3599</v>
      </c>
      <c r="D127" s="1085" t="s">
        <v>1390</v>
      </c>
      <c r="E127" s="1085">
        <v>93</v>
      </c>
      <c r="F127" s="1086" t="s">
        <v>2258</v>
      </c>
      <c r="G127" s="1087"/>
      <c r="H127" s="1089">
        <v>64</v>
      </c>
      <c r="I127" s="67"/>
      <c r="J127" s="67"/>
      <c r="K127" s="1087"/>
    </row>
    <row r="134" spans="2:11" ht="15.75" customHeight="1">
      <c r="B134" s="817" t="s">
        <v>570</v>
      </c>
      <c r="C134" s="998">
        <v>518</v>
      </c>
      <c r="D134" s="477" t="s">
        <v>571</v>
      </c>
      <c r="E134" s="477">
        <v>635</v>
      </c>
      <c r="F134" s="476" t="s">
        <v>1356</v>
      </c>
      <c r="G134" s="988"/>
      <c r="H134" s="989"/>
      <c r="I134" s="67"/>
      <c r="J134" s="67"/>
      <c r="K134" s="988"/>
    </row>
    <row r="135" spans="2:11" ht="15.75" customHeight="1">
      <c r="B135" s="817" t="s">
        <v>1357</v>
      </c>
      <c r="C135" s="998">
        <v>519</v>
      </c>
      <c r="D135" s="477" t="s">
        <v>1358</v>
      </c>
      <c r="E135" s="477">
        <v>637</v>
      </c>
      <c r="F135" s="476" t="s">
        <v>1359</v>
      </c>
      <c r="G135" s="988"/>
      <c r="H135" s="989"/>
      <c r="I135" s="67"/>
      <c r="J135" s="67"/>
      <c r="K135" s="988"/>
    </row>
    <row r="136" spans="2:11" ht="15.75" customHeight="1">
      <c r="B136" s="817" t="s">
        <v>1360</v>
      </c>
      <c r="C136" s="998">
        <v>707</v>
      </c>
      <c r="D136" s="477" t="s">
        <v>1361</v>
      </c>
      <c r="E136" s="477">
        <v>639</v>
      </c>
      <c r="F136" s="476" t="s">
        <v>1362</v>
      </c>
      <c r="G136" s="988"/>
      <c r="H136" s="989"/>
      <c r="I136" s="67"/>
      <c r="J136" s="67"/>
      <c r="K136" s="988"/>
    </row>
  </sheetData>
  <mergeCells count="2">
    <mergeCell ref="B6:B7"/>
    <mergeCell ref="K69:K75"/>
  </mergeCells>
  <hyperlinks>
    <hyperlink ref="G1" location="Index!A1" display="Return to Index" xr:uid="{00000000-0004-0000-B900-000000000000}"/>
  </hyperlinks>
  <pageMargins left="0.2" right="0.2" top="0.5" bottom="0.5" header="0.3" footer="0.3"/>
  <pageSetup scale="89" orientation="landscape" horizontalDpi="1200" verticalDpi="1200" r:id="rId1"/>
  <rowBreaks count="2" manualBreakCount="2">
    <brk id="37" max="5" man="1"/>
    <brk id="71" max="5" man="1"/>
  </rowBreaks>
</worksheet>
</file>

<file path=xl/worksheets/sheet1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sheetPr>
    <tabColor theme="7" tint="0.39997558519241921"/>
  </sheetPr>
  <dimension ref="A1:UH126"/>
  <sheetViews>
    <sheetView showGridLines="0" zoomScale="85" zoomScaleNormal="85" workbookViewId="0">
      <pane xSplit="3" ySplit="5" topLeftCell="D6" activePane="bottomRight" state="frozen"/>
      <selection activeCell="F74" sqref="E74:F74"/>
      <selection pane="topRight" activeCell="F74" sqref="E74:F74"/>
      <selection pane="bottomLeft" activeCell="F74" sqref="E74:F74"/>
      <selection pane="bottomRight" activeCell="K20" sqref="K20"/>
    </sheetView>
  </sheetViews>
  <sheetFormatPr defaultColWidth="9.140625" defaultRowHeight="12.75" outlineLevelCol="1"/>
  <cols>
    <col min="1" max="1" width="5.28515625" style="53" customWidth="1"/>
    <col min="2" max="2" width="32.28515625" style="96" customWidth="1"/>
    <col min="3" max="3" width="11.42578125" style="53" customWidth="1"/>
    <col min="4" max="4" width="9.42578125" style="53" customWidth="1"/>
    <col min="5" max="5" width="8.42578125" style="53" customWidth="1"/>
    <col min="6" max="6" width="16.28515625" style="480" customWidth="1"/>
    <col min="7" max="12" width="9.140625" style="53"/>
    <col min="13" max="13" width="14.7109375" style="53" hidden="1" customWidth="1" outlineLevel="1"/>
    <col min="14" max="21" width="9.140625" style="53" hidden="1" customWidth="1" outlineLevel="1"/>
    <col min="22" max="22" width="12" style="53" hidden="1" customWidth="1" outlineLevel="1"/>
    <col min="23" max="23" width="11.7109375" style="53" hidden="1" customWidth="1" outlineLevel="1"/>
    <col min="24" max="24" width="9.140625" style="53" hidden="1" customWidth="1" outlineLevel="1"/>
    <col min="25" max="25" width="12.28515625" style="53" hidden="1" customWidth="1" outlineLevel="1"/>
    <col min="26" max="38" width="9.140625" style="53" hidden="1" customWidth="1" outlineLevel="1"/>
    <col min="39" max="39" width="11.5703125" style="53" hidden="1" customWidth="1" outlineLevel="1"/>
    <col min="40" max="111" width="9.140625" style="53" hidden="1" customWidth="1" outlineLevel="1"/>
    <col min="112" max="112" width="12.28515625" style="53" hidden="1" customWidth="1" outlineLevel="1"/>
    <col min="113" max="120" width="9.140625" style="53" hidden="1" customWidth="1" outlineLevel="1"/>
    <col min="121" max="121" width="12.5703125" style="53" hidden="1" customWidth="1" outlineLevel="1"/>
    <col min="122" max="497" width="9.140625" style="53" hidden="1" customWidth="1" outlineLevel="1"/>
    <col min="498" max="498" width="12.28515625" style="53" hidden="1" customWidth="1" outlineLevel="1"/>
    <col min="499" max="507" width="9.140625" style="53" hidden="1" customWidth="1" outlineLevel="1"/>
    <col min="508" max="508" width="10.7109375" style="53" hidden="1" customWidth="1" outlineLevel="1"/>
    <col min="509" max="509" width="4.85546875" style="53" customWidth="1" collapsed="1"/>
    <col min="510" max="510" width="4.28515625" style="53" customWidth="1"/>
    <col min="511" max="547" width="9.140625" style="53" hidden="1" customWidth="1" outlineLevel="1"/>
    <col min="548" max="548" width="12.28515625" style="53" hidden="1" customWidth="1" outlineLevel="1"/>
    <col min="549" max="549" width="14.7109375" style="53" hidden="1" customWidth="1" outlineLevel="1"/>
    <col min="550" max="550" width="4.42578125" style="53" customWidth="1" collapsed="1"/>
    <col min="551" max="551" width="4.42578125" style="53" customWidth="1"/>
    <col min="552" max="552" width="28.28515625" style="53" customWidth="1"/>
    <col min="553" max="553" width="17.140625" style="53" customWidth="1"/>
    <col min="554" max="554" width="23" style="53" customWidth="1"/>
    <col min="555" max="16384" width="9.140625" style="53"/>
  </cols>
  <sheetData>
    <row r="1" spans="1:554" ht="18.75" thickBot="1">
      <c r="A1" s="478">
        <v>30</v>
      </c>
      <c r="B1" s="1768" t="s">
        <v>300</v>
      </c>
      <c r="C1" s="1769"/>
      <c r="D1" s="1769"/>
      <c r="E1" s="1770"/>
      <c r="I1" s="835" t="s">
        <v>1200</v>
      </c>
    </row>
    <row r="2" spans="1:554" ht="15.75">
      <c r="A2" s="475"/>
      <c r="B2" s="476"/>
      <c r="C2" s="477"/>
    </row>
    <row r="3" spans="1:554" customFormat="1">
      <c r="D3" s="264" t="s">
        <v>2368</v>
      </c>
      <c r="I3" s="538"/>
      <c r="J3" s="538"/>
      <c r="K3" s="538"/>
      <c r="L3" s="538"/>
      <c r="M3" s="1771" t="s">
        <v>1</v>
      </c>
      <c r="N3" s="1772"/>
      <c r="O3" s="1772"/>
      <c r="P3" s="1772"/>
      <c r="Q3" s="1772"/>
      <c r="R3" s="1772"/>
      <c r="S3" s="1772"/>
      <c r="T3" s="1772"/>
      <c r="U3" s="1773"/>
      <c r="V3" s="1771" t="s">
        <v>2</v>
      </c>
      <c r="W3" s="1772"/>
      <c r="X3" s="1772"/>
      <c r="Y3" s="1772"/>
      <c r="Z3" s="1772"/>
      <c r="AA3" s="1772"/>
      <c r="AB3" s="1772"/>
      <c r="AC3" s="1772"/>
      <c r="AD3" s="1773"/>
      <c r="AE3" s="1771" t="s">
        <v>94</v>
      </c>
      <c r="AF3" s="1772"/>
      <c r="AG3" s="1772"/>
      <c r="AH3" s="1772"/>
      <c r="AI3" s="1772"/>
      <c r="AJ3" s="1772"/>
      <c r="AK3" s="1772"/>
      <c r="AL3" s="1772"/>
      <c r="AM3" s="1773"/>
      <c r="AN3" s="1771" t="s">
        <v>28</v>
      </c>
      <c r="AO3" s="1772"/>
      <c r="AP3" s="1772"/>
      <c r="AQ3" s="1772"/>
      <c r="AR3" s="1772"/>
      <c r="AS3" s="1772"/>
      <c r="AT3" s="1772"/>
      <c r="AU3" s="1772"/>
      <c r="AV3" s="1773"/>
      <c r="AW3" s="1771" t="s">
        <v>41</v>
      </c>
      <c r="AX3" s="1772"/>
      <c r="AY3" s="1772"/>
      <c r="AZ3" s="1772"/>
      <c r="BA3" s="1772"/>
      <c r="BB3" s="1772"/>
      <c r="BC3" s="1772"/>
      <c r="BD3" s="1772"/>
      <c r="BE3" s="1773"/>
      <c r="BF3" s="1771" t="s">
        <v>722</v>
      </c>
      <c r="BG3" s="1772"/>
      <c r="BH3" s="1772"/>
      <c r="BI3" s="1772"/>
      <c r="BJ3" s="1772"/>
      <c r="BK3" s="1772"/>
      <c r="BL3" s="1772"/>
      <c r="BM3" s="1772"/>
      <c r="BN3" s="1773"/>
      <c r="BO3" s="1771" t="s">
        <v>723</v>
      </c>
      <c r="BP3" s="1772"/>
      <c r="BQ3" s="1772"/>
      <c r="BR3" s="1772"/>
      <c r="BS3" s="1772"/>
      <c r="BT3" s="1772"/>
      <c r="BU3" s="1772"/>
      <c r="BV3" s="1772"/>
      <c r="BW3" s="1773"/>
      <c r="BX3" s="1771" t="s">
        <v>724</v>
      </c>
      <c r="BY3" s="1772"/>
      <c r="BZ3" s="1772"/>
      <c r="CA3" s="1772"/>
      <c r="CB3" s="1772"/>
      <c r="CC3" s="1772"/>
      <c r="CD3" s="1772"/>
      <c r="CE3" s="1772"/>
      <c r="CF3" s="1773"/>
      <c r="CG3" s="1771" t="s">
        <v>725</v>
      </c>
      <c r="CH3" s="1772"/>
      <c r="CI3" s="1772"/>
      <c r="CJ3" s="1772"/>
      <c r="CK3" s="1772"/>
      <c r="CL3" s="1772"/>
      <c r="CM3" s="1772"/>
      <c r="CN3" s="1772"/>
      <c r="CO3" s="1773"/>
      <c r="CP3" s="1771" t="s">
        <v>726</v>
      </c>
      <c r="CQ3" s="1772"/>
      <c r="CR3" s="1772"/>
      <c r="CS3" s="1772"/>
      <c r="CT3" s="1772"/>
      <c r="CU3" s="1772"/>
      <c r="CV3" s="1772"/>
      <c r="CW3" s="1772"/>
      <c r="CX3" s="1773"/>
      <c r="CY3" s="1771" t="s">
        <v>727</v>
      </c>
      <c r="CZ3" s="1772"/>
      <c r="DA3" s="1772"/>
      <c r="DB3" s="1772"/>
      <c r="DC3" s="1772"/>
      <c r="DD3" s="1772"/>
      <c r="DE3" s="1772"/>
      <c r="DF3" s="1772"/>
      <c r="DG3" s="1773"/>
      <c r="DH3" s="1771" t="s">
        <v>728</v>
      </c>
      <c r="DI3" s="1772"/>
      <c r="DJ3" s="1772"/>
      <c r="DK3" s="1772"/>
      <c r="DL3" s="1772"/>
      <c r="DM3" s="1772"/>
      <c r="DN3" s="1772"/>
      <c r="DO3" s="1772"/>
      <c r="DP3" s="1773"/>
      <c r="DQ3" s="1771" t="s">
        <v>729</v>
      </c>
      <c r="DR3" s="1772"/>
      <c r="DS3" s="1772"/>
      <c r="DT3" s="1772"/>
      <c r="DU3" s="1772"/>
      <c r="DV3" s="1772"/>
      <c r="DW3" s="1772"/>
      <c r="DX3" s="1772"/>
      <c r="DY3" s="1773"/>
      <c r="DZ3" s="1771" t="s">
        <v>730</v>
      </c>
      <c r="EA3" s="1772"/>
      <c r="EB3" s="1772"/>
      <c r="EC3" s="1772"/>
      <c r="ED3" s="1772"/>
      <c r="EE3" s="1772"/>
      <c r="EF3" s="1772"/>
      <c r="EG3" s="1772"/>
      <c r="EH3" s="1773"/>
      <c r="EI3" s="1771" t="s">
        <v>731</v>
      </c>
      <c r="EJ3" s="1772"/>
      <c r="EK3" s="1772"/>
      <c r="EL3" s="1772"/>
      <c r="EM3" s="1772"/>
      <c r="EN3" s="1772"/>
      <c r="EO3" s="1772"/>
      <c r="EP3" s="1772"/>
      <c r="EQ3" s="1773"/>
      <c r="ER3" s="1771" t="s">
        <v>722</v>
      </c>
      <c r="ES3" s="1772"/>
      <c r="ET3" s="1772"/>
      <c r="EU3" s="1772"/>
      <c r="EV3" s="1772"/>
      <c r="EW3" s="1772"/>
      <c r="EX3" s="1772"/>
      <c r="EY3" s="1772"/>
      <c r="EZ3" s="1773"/>
      <c r="FA3" s="1771" t="s">
        <v>723</v>
      </c>
      <c r="FB3" s="1772"/>
      <c r="FC3" s="1772"/>
      <c r="FD3" s="1772"/>
      <c r="FE3" s="1772"/>
      <c r="FF3" s="1772"/>
      <c r="FG3" s="1772"/>
      <c r="FH3" s="1772"/>
      <c r="FI3" s="1773"/>
      <c r="FJ3" s="1771" t="s">
        <v>724</v>
      </c>
      <c r="FK3" s="1772"/>
      <c r="FL3" s="1772"/>
      <c r="FM3" s="1772"/>
      <c r="FN3" s="1772"/>
      <c r="FO3" s="1772"/>
      <c r="FP3" s="1772"/>
      <c r="FQ3" s="1772"/>
      <c r="FR3" s="1773"/>
      <c r="FS3" s="1771" t="s">
        <v>725</v>
      </c>
      <c r="FT3" s="1772"/>
      <c r="FU3" s="1772"/>
      <c r="FV3" s="1772"/>
      <c r="FW3" s="1772"/>
      <c r="FX3" s="1772"/>
      <c r="FY3" s="1772"/>
      <c r="FZ3" s="1772"/>
      <c r="GA3" s="1773"/>
      <c r="GB3" s="1771" t="s">
        <v>732</v>
      </c>
      <c r="GC3" s="1772"/>
      <c r="GD3" s="1772"/>
      <c r="GE3" s="1772"/>
      <c r="GF3" s="1772"/>
      <c r="GG3" s="1772"/>
      <c r="GH3" s="1772"/>
      <c r="GI3" s="1772"/>
      <c r="GJ3" s="1773"/>
      <c r="GK3" s="1771" t="s">
        <v>727</v>
      </c>
      <c r="GL3" s="1772"/>
      <c r="GM3" s="1772"/>
      <c r="GN3" s="1772"/>
      <c r="GO3" s="1772"/>
      <c r="GP3" s="1772"/>
      <c r="GQ3" s="1772"/>
      <c r="GR3" s="1772"/>
      <c r="GS3" s="1773"/>
      <c r="GT3" s="1771" t="s">
        <v>728</v>
      </c>
      <c r="GU3" s="1772"/>
      <c r="GV3" s="1772"/>
      <c r="GW3" s="1772"/>
      <c r="GX3" s="1772"/>
      <c r="GY3" s="1772"/>
      <c r="GZ3" s="1772"/>
      <c r="HA3" s="1772"/>
      <c r="HB3" s="1773"/>
      <c r="HC3" s="1771" t="s">
        <v>729</v>
      </c>
      <c r="HD3" s="1772"/>
      <c r="HE3" s="1772"/>
      <c r="HF3" s="1772"/>
      <c r="HG3" s="1772"/>
      <c r="HH3" s="1772"/>
      <c r="HI3" s="1772"/>
      <c r="HJ3" s="1772"/>
      <c r="HK3" s="1773"/>
      <c r="HL3" s="1771" t="s">
        <v>730</v>
      </c>
      <c r="HM3" s="1772"/>
      <c r="HN3" s="1772"/>
      <c r="HO3" s="1772"/>
      <c r="HP3" s="1772"/>
      <c r="HQ3" s="1772"/>
      <c r="HR3" s="1772"/>
      <c r="HS3" s="1772"/>
      <c r="HT3" s="1773"/>
      <c r="HU3" s="1771" t="s">
        <v>731</v>
      </c>
      <c r="HV3" s="1772"/>
      <c r="HW3" s="1772"/>
      <c r="HX3" s="1772"/>
      <c r="HY3" s="1772"/>
      <c r="HZ3" s="1772"/>
      <c r="IA3" s="1772"/>
      <c r="IB3" s="1772"/>
      <c r="IC3" s="1773"/>
      <c r="ID3" s="1771" t="s">
        <v>7</v>
      </c>
      <c r="IE3" s="1772"/>
      <c r="IF3" s="1772"/>
      <c r="IG3" s="1772"/>
      <c r="IH3" s="1772"/>
      <c r="II3" s="1772"/>
      <c r="IJ3" s="1772"/>
      <c r="IK3" s="1772"/>
      <c r="IL3" s="1773"/>
      <c r="IM3" s="1771" t="s">
        <v>733</v>
      </c>
      <c r="IN3" s="1772"/>
      <c r="IO3" s="1772"/>
      <c r="IP3" s="1772"/>
      <c r="IQ3" s="1772"/>
      <c r="IR3" s="1772"/>
      <c r="IS3" s="1772"/>
      <c r="IT3" s="1772"/>
      <c r="IU3" s="1773"/>
      <c r="IV3" s="1771" t="s">
        <v>9</v>
      </c>
      <c r="IW3" s="1772"/>
      <c r="IX3" s="1772"/>
      <c r="IY3" s="1772"/>
      <c r="IZ3" s="1772"/>
      <c r="JA3" s="1772"/>
      <c r="JB3" s="1772"/>
      <c r="JC3" s="1772"/>
      <c r="JD3" s="1773"/>
      <c r="JE3" s="1771" t="s">
        <v>10</v>
      </c>
      <c r="JF3" s="1772"/>
      <c r="JG3" s="1772"/>
      <c r="JH3" s="1772"/>
      <c r="JI3" s="1772"/>
      <c r="JJ3" s="1772"/>
      <c r="JK3" s="1772"/>
      <c r="JL3" s="1772"/>
      <c r="JM3" s="1773"/>
      <c r="JN3" s="1771" t="s">
        <v>11</v>
      </c>
      <c r="JO3" s="1772"/>
      <c r="JP3" s="1772"/>
      <c r="JQ3" s="1772"/>
      <c r="JR3" s="1772"/>
      <c r="JS3" s="1772"/>
      <c r="JT3" s="1772"/>
      <c r="JU3" s="1772"/>
      <c r="JV3" s="1773"/>
      <c r="JW3" s="1771" t="s">
        <v>12</v>
      </c>
      <c r="JX3" s="1772"/>
      <c r="JY3" s="1772"/>
      <c r="JZ3" s="1772"/>
      <c r="KA3" s="1772"/>
      <c r="KB3" s="1772"/>
      <c r="KC3" s="1772"/>
      <c r="KD3" s="1772"/>
      <c r="KE3" s="1773"/>
      <c r="KF3" s="1771" t="s">
        <v>52</v>
      </c>
      <c r="KG3" s="1772"/>
      <c r="KH3" s="1772"/>
      <c r="KI3" s="1772"/>
      <c r="KJ3" s="1772"/>
      <c r="KK3" s="1772"/>
      <c r="KL3" s="1772"/>
      <c r="KM3" s="1772"/>
      <c r="KN3" s="1773"/>
      <c r="KO3" s="1771" t="s">
        <v>14</v>
      </c>
      <c r="KP3" s="1772"/>
      <c r="KQ3" s="1772"/>
      <c r="KR3" s="1772"/>
      <c r="KS3" s="1772"/>
      <c r="KT3" s="1772"/>
      <c r="KU3" s="1772"/>
      <c r="KV3" s="1772"/>
      <c r="KW3" s="1773"/>
      <c r="KX3" s="1771" t="s">
        <v>15</v>
      </c>
      <c r="KY3" s="1772"/>
      <c r="KZ3" s="1772"/>
      <c r="LA3" s="1772"/>
      <c r="LB3" s="1772"/>
      <c r="LC3" s="1772"/>
      <c r="LD3" s="1772"/>
      <c r="LE3" s="1772"/>
      <c r="LF3" s="1773"/>
      <c r="LG3" s="1771" t="s">
        <v>16</v>
      </c>
      <c r="LH3" s="1772"/>
      <c r="LI3" s="1772"/>
      <c r="LJ3" s="1772"/>
      <c r="LK3" s="1772"/>
      <c r="LL3" s="1772"/>
      <c r="LM3" s="1772"/>
      <c r="LN3" s="1772"/>
      <c r="LO3" s="1773"/>
      <c r="LP3" s="1771" t="s">
        <v>17</v>
      </c>
      <c r="LQ3" s="1772"/>
      <c r="LR3" s="1772"/>
      <c r="LS3" s="1772"/>
      <c r="LT3" s="1772"/>
      <c r="LU3" s="1772"/>
      <c r="LV3" s="1772"/>
      <c r="LW3" s="1772"/>
      <c r="LX3" s="1773"/>
      <c r="LY3" s="1771" t="s">
        <v>18</v>
      </c>
      <c r="LZ3" s="1772"/>
      <c r="MA3" s="1772"/>
      <c r="MB3" s="1772"/>
      <c r="MC3" s="1772"/>
      <c r="MD3" s="1772"/>
      <c r="ME3" s="1772"/>
      <c r="MF3" s="1772"/>
      <c r="MG3" s="1773"/>
      <c r="MH3" s="1771" t="s">
        <v>19</v>
      </c>
      <c r="MI3" s="1772"/>
      <c r="MJ3" s="1772"/>
      <c r="MK3" s="1772"/>
      <c r="ML3" s="1772"/>
      <c r="MM3" s="1772"/>
      <c r="MN3" s="1772"/>
      <c r="MO3" s="1772"/>
      <c r="MP3" s="1773"/>
      <c r="MQ3" s="1771" t="s">
        <v>20</v>
      </c>
      <c r="MR3" s="1772"/>
      <c r="MS3" s="1772"/>
      <c r="MT3" s="1772"/>
      <c r="MU3" s="1772"/>
      <c r="MV3" s="1772"/>
      <c r="MW3" s="1772"/>
      <c r="MX3" s="1772"/>
      <c r="MY3" s="1773"/>
      <c r="MZ3" s="1771" t="s">
        <v>21</v>
      </c>
      <c r="NA3" s="1772"/>
      <c r="NB3" s="1772"/>
      <c r="NC3" s="1772"/>
      <c r="ND3" s="1772"/>
      <c r="NE3" s="1772"/>
      <c r="NF3" s="1772"/>
      <c r="NG3" s="1772"/>
      <c r="NH3" s="1773"/>
      <c r="NI3" s="1771" t="s">
        <v>22</v>
      </c>
      <c r="NJ3" s="1772"/>
      <c r="NK3" s="1772"/>
      <c r="NL3" s="1772"/>
      <c r="NM3" s="1772"/>
      <c r="NN3" s="1772"/>
      <c r="NO3" s="1772"/>
      <c r="NP3" s="1772"/>
      <c r="NQ3" s="1773"/>
      <c r="NR3" s="1771" t="s">
        <v>61</v>
      </c>
      <c r="NS3" s="1772"/>
      <c r="NT3" s="1772"/>
      <c r="NU3" s="1772"/>
      <c r="NV3" s="1772"/>
      <c r="NW3" s="1772"/>
      <c r="NX3" s="1772"/>
      <c r="NY3" s="1772"/>
      <c r="NZ3" s="1773"/>
      <c r="OA3" s="1771" t="s">
        <v>53</v>
      </c>
      <c r="OB3" s="1772"/>
      <c r="OC3" s="1772"/>
      <c r="OD3" s="1772"/>
      <c r="OE3" s="1772"/>
      <c r="OF3" s="1772"/>
      <c r="OG3" s="1772"/>
      <c r="OH3" s="1772"/>
      <c r="OI3" s="1773"/>
      <c r="OJ3" s="1771" t="s">
        <v>62</v>
      </c>
      <c r="OK3" s="1772"/>
      <c r="OL3" s="1772"/>
      <c r="OM3" s="1772"/>
      <c r="ON3" s="1772"/>
      <c r="OO3" s="1772"/>
      <c r="OP3" s="1772"/>
      <c r="OQ3" s="1772"/>
      <c r="OR3" s="1773"/>
      <c r="OS3" s="1771" t="s">
        <v>734</v>
      </c>
      <c r="OT3" s="1772"/>
      <c r="OU3" s="1772"/>
      <c r="OV3" s="1772"/>
      <c r="OW3" s="1772"/>
      <c r="OX3" s="1772"/>
      <c r="OY3" s="1772"/>
      <c r="OZ3" s="1772"/>
      <c r="PA3" s="1773"/>
      <c r="PB3" s="1771" t="s">
        <v>735</v>
      </c>
      <c r="PC3" s="1772"/>
      <c r="PD3" s="1772"/>
      <c r="PE3" s="1772"/>
      <c r="PF3" s="1772"/>
      <c r="PG3" s="1772"/>
      <c r="PH3" s="1772"/>
      <c r="PI3" s="1772"/>
      <c r="PJ3" s="1773"/>
      <c r="PK3" s="1771" t="s">
        <v>736</v>
      </c>
      <c r="PL3" s="1772"/>
      <c r="PM3" s="1772"/>
      <c r="PN3" s="1772"/>
      <c r="PO3" s="1772"/>
      <c r="PP3" s="1772"/>
      <c r="PQ3" s="1772"/>
      <c r="PR3" s="1772"/>
      <c r="PS3" s="1773"/>
      <c r="PT3" s="1771" t="s">
        <v>737</v>
      </c>
      <c r="PU3" s="1772"/>
      <c r="PV3" s="1772"/>
      <c r="PW3" s="1772"/>
      <c r="PX3" s="1772"/>
      <c r="PY3" s="1772"/>
      <c r="PZ3" s="1772"/>
      <c r="QA3" s="1772"/>
      <c r="QB3" s="1773"/>
      <c r="QC3" s="1771" t="s">
        <v>738</v>
      </c>
      <c r="QD3" s="1772"/>
      <c r="QE3" s="1772"/>
      <c r="QF3" s="1772"/>
      <c r="QG3" s="1772"/>
      <c r="QH3" s="1772"/>
      <c r="QI3" s="1772"/>
      <c r="QJ3" s="1772"/>
      <c r="QK3" s="1773"/>
      <c r="QL3" s="1771" t="s">
        <v>65</v>
      </c>
      <c r="QM3" s="1772"/>
      <c r="QN3" s="1772"/>
      <c r="QO3" s="1772"/>
      <c r="QP3" s="1772"/>
      <c r="QQ3" s="1772"/>
      <c r="QR3" s="1772"/>
      <c r="QS3" s="1772"/>
      <c r="QT3" s="1773"/>
      <c r="QU3" s="1771" t="s">
        <v>66</v>
      </c>
      <c r="QV3" s="1772"/>
      <c r="QW3" s="1772"/>
      <c r="QX3" s="1772"/>
      <c r="QY3" s="1772"/>
      <c r="QZ3" s="1772"/>
      <c r="RA3" s="1772"/>
      <c r="RB3" s="1772"/>
      <c r="RC3" s="1773"/>
      <c r="RD3" s="1771" t="s">
        <v>104</v>
      </c>
      <c r="RE3" s="1772"/>
      <c r="RF3" s="1772"/>
      <c r="RG3" s="1772"/>
      <c r="RH3" s="1772"/>
      <c r="RI3" s="1772"/>
      <c r="RJ3" s="1772"/>
      <c r="RK3" s="1772"/>
      <c r="RL3" s="1773"/>
      <c r="RM3" s="1771" t="s">
        <v>105</v>
      </c>
      <c r="RN3" s="1772"/>
      <c r="RO3" s="1772"/>
      <c r="RP3" s="1772"/>
      <c r="RQ3" s="1772"/>
      <c r="RR3" s="1772"/>
      <c r="RS3" s="1772"/>
      <c r="RT3" s="1772"/>
      <c r="RU3" s="1773"/>
      <c r="RV3" s="1771" t="s">
        <v>128</v>
      </c>
      <c r="RW3" s="1772"/>
      <c r="RX3" s="1772"/>
      <c r="RY3" s="1772"/>
      <c r="RZ3" s="1772"/>
      <c r="SA3" s="1772"/>
      <c r="SB3" s="1772"/>
      <c r="SC3" s="1772"/>
      <c r="SD3" s="1773"/>
      <c r="SE3" s="1771" t="s">
        <v>67</v>
      </c>
      <c r="SF3" s="1772"/>
      <c r="SG3" s="1772"/>
      <c r="SH3" s="1772"/>
      <c r="SI3" s="1772"/>
      <c r="SJ3" s="1772"/>
      <c r="SK3" s="1772"/>
      <c r="SL3" s="1772"/>
      <c r="SM3" s="1773"/>
      <c r="SP3" s="539"/>
      <c r="SQ3" s="1777" t="s">
        <v>258</v>
      </c>
      <c r="SR3" s="1778"/>
      <c r="SS3" s="1774" t="s">
        <v>739</v>
      </c>
      <c r="ST3" s="1775"/>
      <c r="SU3" s="1775"/>
      <c r="SV3" s="1775"/>
      <c r="SW3" s="1775"/>
      <c r="SX3" s="1775"/>
      <c r="SY3" s="1775"/>
      <c r="SZ3" s="1775"/>
      <c r="TA3" s="1775"/>
      <c r="TB3" s="1776"/>
      <c r="TC3" s="1774" t="s">
        <v>353</v>
      </c>
      <c r="TD3" s="1775"/>
      <c r="TE3" s="1775"/>
      <c r="TF3" s="1775"/>
      <c r="TG3" s="1775"/>
      <c r="TH3" s="1775"/>
      <c r="TI3" s="1775"/>
      <c r="TJ3" s="1776"/>
      <c r="TK3" s="1774" t="s">
        <v>354</v>
      </c>
      <c r="TL3" s="1775"/>
      <c r="TM3" s="1775"/>
      <c r="TN3" s="1775"/>
      <c r="TO3" s="1775"/>
      <c r="TP3" s="1775"/>
      <c r="TQ3" s="1775"/>
      <c r="TR3" s="1776"/>
      <c r="TS3" s="1774" t="s">
        <v>258</v>
      </c>
      <c r="TT3" s="1775"/>
      <c r="TU3" s="1775"/>
      <c r="TV3" s="1775"/>
      <c r="TW3" s="1775"/>
      <c r="TX3" s="1775"/>
      <c r="TY3" s="1775"/>
      <c r="TZ3" s="1775"/>
      <c r="UA3" s="1776"/>
      <c r="UB3" s="1774" t="s">
        <v>740</v>
      </c>
      <c r="UC3" s="1776"/>
      <c r="UE3" s="539"/>
      <c r="UF3" s="1774" t="s">
        <v>355</v>
      </c>
      <c r="UG3" s="1775"/>
      <c r="UH3" s="1776"/>
    </row>
    <row r="4" spans="1:554" customFormat="1" ht="28.5" customHeight="1">
      <c r="D4" s="264"/>
      <c r="M4" s="540" t="s">
        <v>741</v>
      </c>
      <c r="N4" s="541" t="s">
        <v>742</v>
      </c>
      <c r="O4" s="541" t="s">
        <v>743</v>
      </c>
      <c r="P4" s="541" t="s">
        <v>744</v>
      </c>
      <c r="Q4" s="541" t="s">
        <v>745</v>
      </c>
      <c r="R4" s="541" t="s">
        <v>746</v>
      </c>
      <c r="S4" s="541" t="s">
        <v>747</v>
      </c>
      <c r="T4" s="541" t="s">
        <v>748</v>
      </c>
      <c r="U4" s="542" t="s">
        <v>749</v>
      </c>
      <c r="V4" s="540" t="s">
        <v>741</v>
      </c>
      <c r="W4" s="541" t="s">
        <v>742</v>
      </c>
      <c r="X4" s="541" t="s">
        <v>743</v>
      </c>
      <c r="Y4" s="541" t="s">
        <v>744</v>
      </c>
      <c r="Z4" s="541" t="s">
        <v>745</v>
      </c>
      <c r="AA4" s="541" t="s">
        <v>746</v>
      </c>
      <c r="AB4" s="541" t="s">
        <v>747</v>
      </c>
      <c r="AC4" s="541" t="s">
        <v>748</v>
      </c>
      <c r="AD4" s="542" t="s">
        <v>749</v>
      </c>
      <c r="AE4" s="540" t="s">
        <v>741</v>
      </c>
      <c r="AF4" s="541" t="s">
        <v>742</v>
      </c>
      <c r="AG4" s="541" t="s">
        <v>743</v>
      </c>
      <c r="AH4" s="541" t="s">
        <v>744</v>
      </c>
      <c r="AI4" s="541" t="s">
        <v>745</v>
      </c>
      <c r="AJ4" s="541" t="s">
        <v>746</v>
      </c>
      <c r="AK4" s="541" t="s">
        <v>747</v>
      </c>
      <c r="AL4" s="541" t="s">
        <v>748</v>
      </c>
      <c r="AM4" s="542" t="s">
        <v>749</v>
      </c>
      <c r="AN4" s="540" t="s">
        <v>741</v>
      </c>
      <c r="AO4" s="541" t="s">
        <v>742</v>
      </c>
      <c r="AP4" s="541" t="s">
        <v>743</v>
      </c>
      <c r="AQ4" s="541" t="s">
        <v>744</v>
      </c>
      <c r="AR4" s="541" t="s">
        <v>745</v>
      </c>
      <c r="AS4" s="541" t="s">
        <v>746</v>
      </c>
      <c r="AT4" s="541" t="s">
        <v>747</v>
      </c>
      <c r="AU4" s="541" t="s">
        <v>748</v>
      </c>
      <c r="AV4" s="542" t="s">
        <v>749</v>
      </c>
      <c r="AW4" s="540" t="s">
        <v>741</v>
      </c>
      <c r="AX4" s="541" t="s">
        <v>742</v>
      </c>
      <c r="AY4" s="541" t="s">
        <v>743</v>
      </c>
      <c r="AZ4" s="541" t="s">
        <v>744</v>
      </c>
      <c r="BA4" s="541" t="s">
        <v>745</v>
      </c>
      <c r="BB4" s="541" t="s">
        <v>746</v>
      </c>
      <c r="BC4" s="541" t="s">
        <v>747</v>
      </c>
      <c r="BD4" s="541" t="s">
        <v>748</v>
      </c>
      <c r="BE4" s="542" t="s">
        <v>749</v>
      </c>
      <c r="BF4" s="540" t="s">
        <v>741</v>
      </c>
      <c r="BG4" s="541" t="s">
        <v>742</v>
      </c>
      <c r="BH4" s="541" t="s">
        <v>743</v>
      </c>
      <c r="BI4" s="541" t="s">
        <v>744</v>
      </c>
      <c r="BJ4" s="541" t="s">
        <v>745</v>
      </c>
      <c r="BK4" s="541" t="s">
        <v>746</v>
      </c>
      <c r="BL4" s="541" t="s">
        <v>747</v>
      </c>
      <c r="BM4" s="541" t="s">
        <v>748</v>
      </c>
      <c r="BN4" s="542" t="s">
        <v>749</v>
      </c>
      <c r="BO4" s="540" t="s">
        <v>741</v>
      </c>
      <c r="BP4" s="541" t="s">
        <v>742</v>
      </c>
      <c r="BQ4" s="541" t="s">
        <v>743</v>
      </c>
      <c r="BR4" s="541" t="s">
        <v>744</v>
      </c>
      <c r="BS4" s="541" t="s">
        <v>745</v>
      </c>
      <c r="BT4" s="541" t="s">
        <v>746</v>
      </c>
      <c r="BU4" s="541" t="s">
        <v>747</v>
      </c>
      <c r="BV4" s="541" t="s">
        <v>748</v>
      </c>
      <c r="BW4" s="542" t="s">
        <v>749</v>
      </c>
      <c r="BX4" s="540" t="s">
        <v>741</v>
      </c>
      <c r="BY4" s="541" t="s">
        <v>742</v>
      </c>
      <c r="BZ4" s="541" t="s">
        <v>743</v>
      </c>
      <c r="CA4" s="541" t="s">
        <v>744</v>
      </c>
      <c r="CB4" s="541" t="s">
        <v>745</v>
      </c>
      <c r="CC4" s="541" t="s">
        <v>746</v>
      </c>
      <c r="CD4" s="541" t="s">
        <v>747</v>
      </c>
      <c r="CE4" s="541" t="s">
        <v>748</v>
      </c>
      <c r="CF4" s="542" t="s">
        <v>749</v>
      </c>
      <c r="CG4" s="540" t="s">
        <v>741</v>
      </c>
      <c r="CH4" s="541" t="s">
        <v>742</v>
      </c>
      <c r="CI4" s="541" t="s">
        <v>743</v>
      </c>
      <c r="CJ4" s="541" t="s">
        <v>744</v>
      </c>
      <c r="CK4" s="541" t="s">
        <v>745</v>
      </c>
      <c r="CL4" s="541" t="s">
        <v>746</v>
      </c>
      <c r="CM4" s="541" t="s">
        <v>747</v>
      </c>
      <c r="CN4" s="541" t="s">
        <v>748</v>
      </c>
      <c r="CO4" s="542" t="s">
        <v>749</v>
      </c>
      <c r="CP4" s="540" t="s">
        <v>741</v>
      </c>
      <c r="CQ4" s="541" t="s">
        <v>742</v>
      </c>
      <c r="CR4" s="541" t="s">
        <v>743</v>
      </c>
      <c r="CS4" s="541" t="s">
        <v>744</v>
      </c>
      <c r="CT4" s="541" t="s">
        <v>745</v>
      </c>
      <c r="CU4" s="541" t="s">
        <v>746</v>
      </c>
      <c r="CV4" s="541" t="s">
        <v>747</v>
      </c>
      <c r="CW4" s="541" t="s">
        <v>748</v>
      </c>
      <c r="CX4" s="542" t="s">
        <v>749</v>
      </c>
      <c r="CY4" s="540" t="s">
        <v>741</v>
      </c>
      <c r="CZ4" s="541" t="s">
        <v>742</v>
      </c>
      <c r="DA4" s="541" t="s">
        <v>743</v>
      </c>
      <c r="DB4" s="541" t="s">
        <v>744</v>
      </c>
      <c r="DC4" s="541" t="s">
        <v>745</v>
      </c>
      <c r="DD4" s="541" t="s">
        <v>746</v>
      </c>
      <c r="DE4" s="541" t="s">
        <v>747</v>
      </c>
      <c r="DF4" s="541" t="s">
        <v>748</v>
      </c>
      <c r="DG4" s="542" t="s">
        <v>749</v>
      </c>
      <c r="DH4" s="540" t="s">
        <v>741</v>
      </c>
      <c r="DI4" s="541" t="s">
        <v>742</v>
      </c>
      <c r="DJ4" s="541" t="s">
        <v>743</v>
      </c>
      <c r="DK4" s="541" t="s">
        <v>744</v>
      </c>
      <c r="DL4" s="541" t="s">
        <v>745</v>
      </c>
      <c r="DM4" s="541" t="s">
        <v>746</v>
      </c>
      <c r="DN4" s="541" t="s">
        <v>747</v>
      </c>
      <c r="DO4" s="541" t="s">
        <v>748</v>
      </c>
      <c r="DP4" s="542" t="s">
        <v>749</v>
      </c>
      <c r="DQ4" s="540" t="s">
        <v>741</v>
      </c>
      <c r="DR4" s="541" t="s">
        <v>742</v>
      </c>
      <c r="DS4" s="541" t="s">
        <v>743</v>
      </c>
      <c r="DT4" s="541" t="s">
        <v>744</v>
      </c>
      <c r="DU4" s="541" t="s">
        <v>745</v>
      </c>
      <c r="DV4" s="541" t="s">
        <v>746</v>
      </c>
      <c r="DW4" s="541" t="s">
        <v>747</v>
      </c>
      <c r="DX4" s="541" t="s">
        <v>748</v>
      </c>
      <c r="DY4" s="542" t="s">
        <v>749</v>
      </c>
      <c r="DZ4" s="540" t="s">
        <v>741</v>
      </c>
      <c r="EA4" s="541" t="s">
        <v>742</v>
      </c>
      <c r="EB4" s="541" t="s">
        <v>743</v>
      </c>
      <c r="EC4" s="541" t="s">
        <v>744</v>
      </c>
      <c r="ED4" s="541" t="s">
        <v>745</v>
      </c>
      <c r="EE4" s="541" t="s">
        <v>746</v>
      </c>
      <c r="EF4" s="541" t="s">
        <v>747</v>
      </c>
      <c r="EG4" s="541" t="s">
        <v>748</v>
      </c>
      <c r="EH4" s="542" t="s">
        <v>749</v>
      </c>
      <c r="EI4" s="540" t="s">
        <v>741</v>
      </c>
      <c r="EJ4" s="541" t="s">
        <v>742</v>
      </c>
      <c r="EK4" s="541" t="s">
        <v>743</v>
      </c>
      <c r="EL4" s="541" t="s">
        <v>744</v>
      </c>
      <c r="EM4" s="541" t="s">
        <v>745</v>
      </c>
      <c r="EN4" s="541" t="s">
        <v>746</v>
      </c>
      <c r="EO4" s="541" t="s">
        <v>747</v>
      </c>
      <c r="EP4" s="541" t="s">
        <v>748</v>
      </c>
      <c r="EQ4" s="542" t="s">
        <v>749</v>
      </c>
      <c r="ER4" s="540" t="s">
        <v>741</v>
      </c>
      <c r="ES4" s="541" t="s">
        <v>742</v>
      </c>
      <c r="ET4" s="541" t="s">
        <v>743</v>
      </c>
      <c r="EU4" s="541" t="s">
        <v>744</v>
      </c>
      <c r="EV4" s="541" t="s">
        <v>745</v>
      </c>
      <c r="EW4" s="541" t="s">
        <v>746</v>
      </c>
      <c r="EX4" s="541" t="s">
        <v>747</v>
      </c>
      <c r="EY4" s="541" t="s">
        <v>748</v>
      </c>
      <c r="EZ4" s="542" t="s">
        <v>749</v>
      </c>
      <c r="FA4" s="540" t="s">
        <v>741</v>
      </c>
      <c r="FB4" s="541" t="s">
        <v>742</v>
      </c>
      <c r="FC4" s="541" t="s">
        <v>743</v>
      </c>
      <c r="FD4" s="541" t="s">
        <v>744</v>
      </c>
      <c r="FE4" s="541" t="s">
        <v>745</v>
      </c>
      <c r="FF4" s="541" t="s">
        <v>746</v>
      </c>
      <c r="FG4" s="541" t="s">
        <v>747</v>
      </c>
      <c r="FH4" s="541" t="s">
        <v>748</v>
      </c>
      <c r="FI4" s="542" t="s">
        <v>749</v>
      </c>
      <c r="FJ4" s="540" t="s">
        <v>741</v>
      </c>
      <c r="FK4" s="541" t="s">
        <v>742</v>
      </c>
      <c r="FL4" s="541" t="s">
        <v>743</v>
      </c>
      <c r="FM4" s="541" t="s">
        <v>744</v>
      </c>
      <c r="FN4" s="541" t="s">
        <v>745</v>
      </c>
      <c r="FO4" s="541" t="s">
        <v>746</v>
      </c>
      <c r="FP4" s="541" t="s">
        <v>747</v>
      </c>
      <c r="FQ4" s="541" t="s">
        <v>748</v>
      </c>
      <c r="FR4" s="542" t="s">
        <v>749</v>
      </c>
      <c r="FS4" s="540" t="s">
        <v>741</v>
      </c>
      <c r="FT4" s="541" t="s">
        <v>742</v>
      </c>
      <c r="FU4" s="541" t="s">
        <v>743</v>
      </c>
      <c r="FV4" s="541" t="s">
        <v>744</v>
      </c>
      <c r="FW4" s="541" t="s">
        <v>745</v>
      </c>
      <c r="FX4" s="541" t="s">
        <v>746</v>
      </c>
      <c r="FY4" s="541" t="s">
        <v>747</v>
      </c>
      <c r="FZ4" s="541" t="s">
        <v>748</v>
      </c>
      <c r="GA4" s="542" t="s">
        <v>749</v>
      </c>
      <c r="GB4" s="540" t="s">
        <v>741</v>
      </c>
      <c r="GC4" s="541" t="s">
        <v>742</v>
      </c>
      <c r="GD4" s="541" t="s">
        <v>743</v>
      </c>
      <c r="GE4" s="541" t="s">
        <v>744</v>
      </c>
      <c r="GF4" s="541" t="s">
        <v>745</v>
      </c>
      <c r="GG4" s="541" t="s">
        <v>746</v>
      </c>
      <c r="GH4" s="541" t="s">
        <v>747</v>
      </c>
      <c r="GI4" s="541" t="s">
        <v>748</v>
      </c>
      <c r="GJ4" s="542" t="s">
        <v>749</v>
      </c>
      <c r="GK4" s="540" t="s">
        <v>741</v>
      </c>
      <c r="GL4" s="541" t="s">
        <v>742</v>
      </c>
      <c r="GM4" s="541" t="s">
        <v>743</v>
      </c>
      <c r="GN4" s="541" t="s">
        <v>744</v>
      </c>
      <c r="GO4" s="541" t="s">
        <v>745</v>
      </c>
      <c r="GP4" s="541" t="s">
        <v>746</v>
      </c>
      <c r="GQ4" s="541" t="s">
        <v>747</v>
      </c>
      <c r="GR4" s="541" t="s">
        <v>748</v>
      </c>
      <c r="GS4" s="542" t="s">
        <v>749</v>
      </c>
      <c r="GT4" s="540" t="s">
        <v>741</v>
      </c>
      <c r="GU4" s="541" t="s">
        <v>742</v>
      </c>
      <c r="GV4" s="541" t="s">
        <v>743</v>
      </c>
      <c r="GW4" s="541" t="s">
        <v>744</v>
      </c>
      <c r="GX4" s="541" t="s">
        <v>745</v>
      </c>
      <c r="GY4" s="541" t="s">
        <v>746</v>
      </c>
      <c r="GZ4" s="541" t="s">
        <v>747</v>
      </c>
      <c r="HA4" s="541" t="s">
        <v>748</v>
      </c>
      <c r="HB4" s="542" t="s">
        <v>749</v>
      </c>
      <c r="HC4" s="540" t="s">
        <v>741</v>
      </c>
      <c r="HD4" s="541" t="s">
        <v>742</v>
      </c>
      <c r="HE4" s="541" t="s">
        <v>743</v>
      </c>
      <c r="HF4" s="541" t="s">
        <v>744</v>
      </c>
      <c r="HG4" s="541" t="s">
        <v>745</v>
      </c>
      <c r="HH4" s="541" t="s">
        <v>746</v>
      </c>
      <c r="HI4" s="541" t="s">
        <v>747</v>
      </c>
      <c r="HJ4" s="541" t="s">
        <v>748</v>
      </c>
      <c r="HK4" s="542" t="s">
        <v>749</v>
      </c>
      <c r="HL4" s="540" t="s">
        <v>741</v>
      </c>
      <c r="HM4" s="541" t="s">
        <v>742</v>
      </c>
      <c r="HN4" s="541" t="s">
        <v>743</v>
      </c>
      <c r="HO4" s="541" t="s">
        <v>744</v>
      </c>
      <c r="HP4" s="541" t="s">
        <v>745</v>
      </c>
      <c r="HQ4" s="541" t="s">
        <v>746</v>
      </c>
      <c r="HR4" s="541" t="s">
        <v>747</v>
      </c>
      <c r="HS4" s="541" t="s">
        <v>748</v>
      </c>
      <c r="HT4" s="542" t="s">
        <v>749</v>
      </c>
      <c r="HU4" s="540" t="s">
        <v>741</v>
      </c>
      <c r="HV4" s="541" t="s">
        <v>742</v>
      </c>
      <c r="HW4" s="541" t="s">
        <v>743</v>
      </c>
      <c r="HX4" s="541" t="s">
        <v>744</v>
      </c>
      <c r="HY4" s="541" t="s">
        <v>745</v>
      </c>
      <c r="HZ4" s="541" t="s">
        <v>746</v>
      </c>
      <c r="IA4" s="541" t="s">
        <v>747</v>
      </c>
      <c r="IB4" s="541" t="s">
        <v>748</v>
      </c>
      <c r="IC4" s="542" t="s">
        <v>749</v>
      </c>
      <c r="ID4" s="540" t="s">
        <v>741</v>
      </c>
      <c r="IE4" s="541" t="s">
        <v>742</v>
      </c>
      <c r="IF4" s="541" t="s">
        <v>743</v>
      </c>
      <c r="IG4" s="541" t="s">
        <v>744</v>
      </c>
      <c r="IH4" s="541" t="s">
        <v>745</v>
      </c>
      <c r="II4" s="541" t="s">
        <v>746</v>
      </c>
      <c r="IJ4" s="541" t="s">
        <v>747</v>
      </c>
      <c r="IK4" s="541" t="s">
        <v>748</v>
      </c>
      <c r="IL4" s="542" t="s">
        <v>749</v>
      </c>
      <c r="IM4" s="540" t="s">
        <v>741</v>
      </c>
      <c r="IN4" s="541" t="s">
        <v>742</v>
      </c>
      <c r="IO4" s="541" t="s">
        <v>743</v>
      </c>
      <c r="IP4" s="541" t="s">
        <v>744</v>
      </c>
      <c r="IQ4" s="541" t="s">
        <v>745</v>
      </c>
      <c r="IR4" s="541" t="s">
        <v>746</v>
      </c>
      <c r="IS4" s="541" t="s">
        <v>747</v>
      </c>
      <c r="IT4" s="541" t="s">
        <v>748</v>
      </c>
      <c r="IU4" s="542" t="s">
        <v>749</v>
      </c>
      <c r="IV4" s="540" t="s">
        <v>741</v>
      </c>
      <c r="IW4" s="541" t="s">
        <v>742</v>
      </c>
      <c r="IX4" s="541" t="s">
        <v>743</v>
      </c>
      <c r="IY4" s="541" t="s">
        <v>744</v>
      </c>
      <c r="IZ4" s="541" t="s">
        <v>745</v>
      </c>
      <c r="JA4" s="541" t="s">
        <v>746</v>
      </c>
      <c r="JB4" s="541" t="s">
        <v>747</v>
      </c>
      <c r="JC4" s="541" t="s">
        <v>748</v>
      </c>
      <c r="JD4" s="542" t="s">
        <v>749</v>
      </c>
      <c r="JE4" s="540" t="s">
        <v>741</v>
      </c>
      <c r="JF4" s="541" t="s">
        <v>742</v>
      </c>
      <c r="JG4" s="541" t="s">
        <v>743</v>
      </c>
      <c r="JH4" s="541" t="s">
        <v>744</v>
      </c>
      <c r="JI4" s="541" t="s">
        <v>745</v>
      </c>
      <c r="JJ4" s="541" t="s">
        <v>746</v>
      </c>
      <c r="JK4" s="541" t="s">
        <v>747</v>
      </c>
      <c r="JL4" s="541" t="s">
        <v>748</v>
      </c>
      <c r="JM4" s="542" t="s">
        <v>749</v>
      </c>
      <c r="JN4" s="540" t="s">
        <v>741</v>
      </c>
      <c r="JO4" s="541" t="s">
        <v>742</v>
      </c>
      <c r="JP4" s="541" t="s">
        <v>743</v>
      </c>
      <c r="JQ4" s="541" t="s">
        <v>744</v>
      </c>
      <c r="JR4" s="541" t="s">
        <v>745</v>
      </c>
      <c r="JS4" s="541" t="s">
        <v>746</v>
      </c>
      <c r="JT4" s="541" t="s">
        <v>747</v>
      </c>
      <c r="JU4" s="541" t="s">
        <v>748</v>
      </c>
      <c r="JV4" s="542" t="s">
        <v>749</v>
      </c>
      <c r="JW4" s="540" t="s">
        <v>741</v>
      </c>
      <c r="JX4" s="541" t="s">
        <v>742</v>
      </c>
      <c r="JY4" s="541" t="s">
        <v>743</v>
      </c>
      <c r="JZ4" s="541" t="s">
        <v>744</v>
      </c>
      <c r="KA4" s="541" t="s">
        <v>745</v>
      </c>
      <c r="KB4" s="541" t="s">
        <v>746</v>
      </c>
      <c r="KC4" s="541" t="s">
        <v>747</v>
      </c>
      <c r="KD4" s="541" t="s">
        <v>748</v>
      </c>
      <c r="KE4" s="542" t="s">
        <v>749</v>
      </c>
      <c r="KF4" s="540" t="s">
        <v>741</v>
      </c>
      <c r="KG4" s="541" t="s">
        <v>742</v>
      </c>
      <c r="KH4" s="541" t="s">
        <v>743</v>
      </c>
      <c r="KI4" s="541" t="s">
        <v>744</v>
      </c>
      <c r="KJ4" s="541" t="s">
        <v>745</v>
      </c>
      <c r="KK4" s="541" t="s">
        <v>746</v>
      </c>
      <c r="KL4" s="541" t="s">
        <v>747</v>
      </c>
      <c r="KM4" s="541" t="s">
        <v>748</v>
      </c>
      <c r="KN4" s="542" t="s">
        <v>749</v>
      </c>
      <c r="KO4" s="540" t="s">
        <v>741</v>
      </c>
      <c r="KP4" s="541" t="s">
        <v>742</v>
      </c>
      <c r="KQ4" s="541" t="s">
        <v>743</v>
      </c>
      <c r="KR4" s="541" t="s">
        <v>744</v>
      </c>
      <c r="KS4" s="541" t="s">
        <v>745</v>
      </c>
      <c r="KT4" s="541" t="s">
        <v>746</v>
      </c>
      <c r="KU4" s="541" t="s">
        <v>747</v>
      </c>
      <c r="KV4" s="541" t="s">
        <v>748</v>
      </c>
      <c r="KW4" s="542" t="s">
        <v>749</v>
      </c>
      <c r="KX4" s="540" t="s">
        <v>741</v>
      </c>
      <c r="KY4" s="541" t="s">
        <v>742</v>
      </c>
      <c r="KZ4" s="541" t="s">
        <v>743</v>
      </c>
      <c r="LA4" s="541" t="s">
        <v>744</v>
      </c>
      <c r="LB4" s="541" t="s">
        <v>745</v>
      </c>
      <c r="LC4" s="541" t="s">
        <v>746</v>
      </c>
      <c r="LD4" s="541" t="s">
        <v>747</v>
      </c>
      <c r="LE4" s="541" t="s">
        <v>748</v>
      </c>
      <c r="LF4" s="542" t="s">
        <v>749</v>
      </c>
      <c r="LG4" s="540" t="s">
        <v>741</v>
      </c>
      <c r="LH4" s="541" t="s">
        <v>742</v>
      </c>
      <c r="LI4" s="541" t="s">
        <v>743</v>
      </c>
      <c r="LJ4" s="541" t="s">
        <v>744</v>
      </c>
      <c r="LK4" s="541" t="s">
        <v>745</v>
      </c>
      <c r="LL4" s="541" t="s">
        <v>746</v>
      </c>
      <c r="LM4" s="541" t="s">
        <v>747</v>
      </c>
      <c r="LN4" s="541" t="s">
        <v>748</v>
      </c>
      <c r="LO4" s="542" t="s">
        <v>749</v>
      </c>
      <c r="LP4" s="540" t="s">
        <v>741</v>
      </c>
      <c r="LQ4" s="541" t="s">
        <v>742</v>
      </c>
      <c r="LR4" s="541" t="s">
        <v>743</v>
      </c>
      <c r="LS4" s="541" t="s">
        <v>744</v>
      </c>
      <c r="LT4" s="541" t="s">
        <v>745</v>
      </c>
      <c r="LU4" s="541" t="s">
        <v>746</v>
      </c>
      <c r="LV4" s="541" t="s">
        <v>747</v>
      </c>
      <c r="LW4" s="541" t="s">
        <v>748</v>
      </c>
      <c r="LX4" s="542" t="s">
        <v>749</v>
      </c>
      <c r="LY4" s="540" t="s">
        <v>741</v>
      </c>
      <c r="LZ4" s="541" t="s">
        <v>742</v>
      </c>
      <c r="MA4" s="541" t="s">
        <v>743</v>
      </c>
      <c r="MB4" s="541" t="s">
        <v>744</v>
      </c>
      <c r="MC4" s="541" t="s">
        <v>745</v>
      </c>
      <c r="MD4" s="541" t="s">
        <v>746</v>
      </c>
      <c r="ME4" s="541" t="s">
        <v>747</v>
      </c>
      <c r="MF4" s="541" t="s">
        <v>748</v>
      </c>
      <c r="MG4" s="542" t="s">
        <v>749</v>
      </c>
      <c r="MH4" s="540" t="s">
        <v>741</v>
      </c>
      <c r="MI4" s="541" t="s">
        <v>742</v>
      </c>
      <c r="MJ4" s="541" t="s">
        <v>743</v>
      </c>
      <c r="MK4" s="541" t="s">
        <v>744</v>
      </c>
      <c r="ML4" s="541" t="s">
        <v>745</v>
      </c>
      <c r="MM4" s="541" t="s">
        <v>746</v>
      </c>
      <c r="MN4" s="541" t="s">
        <v>747</v>
      </c>
      <c r="MO4" s="541" t="s">
        <v>748</v>
      </c>
      <c r="MP4" s="542" t="s">
        <v>749</v>
      </c>
      <c r="MQ4" s="540" t="s">
        <v>741</v>
      </c>
      <c r="MR4" s="541" t="s">
        <v>742</v>
      </c>
      <c r="MS4" s="541" t="s">
        <v>743</v>
      </c>
      <c r="MT4" s="541" t="s">
        <v>744</v>
      </c>
      <c r="MU4" s="541" t="s">
        <v>745</v>
      </c>
      <c r="MV4" s="541" t="s">
        <v>746</v>
      </c>
      <c r="MW4" s="541" t="s">
        <v>747</v>
      </c>
      <c r="MX4" s="541" t="s">
        <v>748</v>
      </c>
      <c r="MY4" s="542" t="s">
        <v>749</v>
      </c>
      <c r="MZ4" s="540" t="s">
        <v>741</v>
      </c>
      <c r="NA4" s="541" t="s">
        <v>742</v>
      </c>
      <c r="NB4" s="541" t="s">
        <v>743</v>
      </c>
      <c r="NC4" s="541" t="s">
        <v>744</v>
      </c>
      <c r="ND4" s="541" t="s">
        <v>745</v>
      </c>
      <c r="NE4" s="541" t="s">
        <v>746</v>
      </c>
      <c r="NF4" s="541" t="s">
        <v>747</v>
      </c>
      <c r="NG4" s="541" t="s">
        <v>748</v>
      </c>
      <c r="NH4" s="542" t="s">
        <v>749</v>
      </c>
      <c r="NI4" s="540" t="s">
        <v>741</v>
      </c>
      <c r="NJ4" s="541" t="s">
        <v>742</v>
      </c>
      <c r="NK4" s="541" t="s">
        <v>743</v>
      </c>
      <c r="NL4" s="541" t="s">
        <v>744</v>
      </c>
      <c r="NM4" s="541" t="s">
        <v>745</v>
      </c>
      <c r="NN4" s="541" t="s">
        <v>746</v>
      </c>
      <c r="NO4" s="541" t="s">
        <v>747</v>
      </c>
      <c r="NP4" s="541" t="s">
        <v>748</v>
      </c>
      <c r="NQ4" s="542" t="s">
        <v>749</v>
      </c>
      <c r="NR4" s="540" t="s">
        <v>741</v>
      </c>
      <c r="NS4" s="541" t="s">
        <v>742</v>
      </c>
      <c r="NT4" s="541" t="s">
        <v>743</v>
      </c>
      <c r="NU4" s="541" t="s">
        <v>744</v>
      </c>
      <c r="NV4" s="541" t="s">
        <v>745</v>
      </c>
      <c r="NW4" s="541" t="s">
        <v>746</v>
      </c>
      <c r="NX4" s="541" t="s">
        <v>747</v>
      </c>
      <c r="NY4" s="541" t="s">
        <v>748</v>
      </c>
      <c r="NZ4" s="542" t="s">
        <v>749</v>
      </c>
      <c r="OA4" s="540" t="s">
        <v>741</v>
      </c>
      <c r="OB4" s="541" t="s">
        <v>742</v>
      </c>
      <c r="OC4" s="541" t="s">
        <v>743</v>
      </c>
      <c r="OD4" s="541" t="s">
        <v>744</v>
      </c>
      <c r="OE4" s="541" t="s">
        <v>745</v>
      </c>
      <c r="OF4" s="541" t="s">
        <v>746</v>
      </c>
      <c r="OG4" s="541" t="s">
        <v>747</v>
      </c>
      <c r="OH4" s="541" t="s">
        <v>748</v>
      </c>
      <c r="OI4" s="542" t="s">
        <v>749</v>
      </c>
      <c r="OJ4" s="540" t="s">
        <v>741</v>
      </c>
      <c r="OK4" s="541" t="s">
        <v>742</v>
      </c>
      <c r="OL4" s="541" t="s">
        <v>743</v>
      </c>
      <c r="OM4" s="541" t="s">
        <v>744</v>
      </c>
      <c r="ON4" s="541" t="s">
        <v>745</v>
      </c>
      <c r="OO4" s="541" t="s">
        <v>746</v>
      </c>
      <c r="OP4" s="541" t="s">
        <v>747</v>
      </c>
      <c r="OQ4" s="541" t="s">
        <v>748</v>
      </c>
      <c r="OR4" s="542" t="s">
        <v>749</v>
      </c>
      <c r="OS4" s="540" t="s">
        <v>741</v>
      </c>
      <c r="OT4" s="541" t="s">
        <v>742</v>
      </c>
      <c r="OU4" s="541" t="s">
        <v>743</v>
      </c>
      <c r="OV4" s="541" t="s">
        <v>744</v>
      </c>
      <c r="OW4" s="541" t="s">
        <v>745</v>
      </c>
      <c r="OX4" s="541" t="s">
        <v>746</v>
      </c>
      <c r="OY4" s="541" t="s">
        <v>747</v>
      </c>
      <c r="OZ4" s="541" t="s">
        <v>748</v>
      </c>
      <c r="PA4" s="542" t="s">
        <v>749</v>
      </c>
      <c r="PB4" s="540" t="s">
        <v>741</v>
      </c>
      <c r="PC4" s="541" t="s">
        <v>742</v>
      </c>
      <c r="PD4" s="541" t="s">
        <v>743</v>
      </c>
      <c r="PE4" s="541" t="s">
        <v>744</v>
      </c>
      <c r="PF4" s="541" t="s">
        <v>745</v>
      </c>
      <c r="PG4" s="541" t="s">
        <v>746</v>
      </c>
      <c r="PH4" s="541" t="s">
        <v>747</v>
      </c>
      <c r="PI4" s="541" t="s">
        <v>748</v>
      </c>
      <c r="PJ4" s="542" t="s">
        <v>749</v>
      </c>
      <c r="PK4" s="540" t="s">
        <v>741</v>
      </c>
      <c r="PL4" s="541" t="s">
        <v>742</v>
      </c>
      <c r="PM4" s="541" t="s">
        <v>743</v>
      </c>
      <c r="PN4" s="541" t="s">
        <v>744</v>
      </c>
      <c r="PO4" s="541" t="s">
        <v>745</v>
      </c>
      <c r="PP4" s="541" t="s">
        <v>746</v>
      </c>
      <c r="PQ4" s="541" t="s">
        <v>747</v>
      </c>
      <c r="PR4" s="541" t="s">
        <v>748</v>
      </c>
      <c r="PS4" s="542" t="s">
        <v>749</v>
      </c>
      <c r="PT4" s="540" t="s">
        <v>741</v>
      </c>
      <c r="PU4" s="541" t="s">
        <v>742</v>
      </c>
      <c r="PV4" s="541" t="s">
        <v>743</v>
      </c>
      <c r="PW4" s="541" t="s">
        <v>744</v>
      </c>
      <c r="PX4" s="541" t="s">
        <v>745</v>
      </c>
      <c r="PY4" s="541" t="s">
        <v>746</v>
      </c>
      <c r="PZ4" s="541" t="s">
        <v>747</v>
      </c>
      <c r="QA4" s="541" t="s">
        <v>748</v>
      </c>
      <c r="QB4" s="542" t="s">
        <v>749</v>
      </c>
      <c r="QC4" s="540" t="s">
        <v>741</v>
      </c>
      <c r="QD4" s="541" t="s">
        <v>742</v>
      </c>
      <c r="QE4" s="541" t="s">
        <v>743</v>
      </c>
      <c r="QF4" s="541" t="s">
        <v>744</v>
      </c>
      <c r="QG4" s="541" t="s">
        <v>745</v>
      </c>
      <c r="QH4" s="541" t="s">
        <v>746</v>
      </c>
      <c r="QI4" s="541" t="s">
        <v>747</v>
      </c>
      <c r="QJ4" s="541" t="s">
        <v>748</v>
      </c>
      <c r="QK4" s="542" t="s">
        <v>749</v>
      </c>
      <c r="QL4" s="540" t="s">
        <v>741</v>
      </c>
      <c r="QM4" s="541" t="s">
        <v>742</v>
      </c>
      <c r="QN4" s="541" t="s">
        <v>743</v>
      </c>
      <c r="QO4" s="541" t="s">
        <v>744</v>
      </c>
      <c r="QP4" s="541" t="s">
        <v>745</v>
      </c>
      <c r="QQ4" s="541" t="s">
        <v>746</v>
      </c>
      <c r="QR4" s="541" t="s">
        <v>747</v>
      </c>
      <c r="QS4" s="541" t="s">
        <v>748</v>
      </c>
      <c r="QT4" s="542" t="s">
        <v>749</v>
      </c>
      <c r="QU4" s="540" t="s">
        <v>741</v>
      </c>
      <c r="QV4" s="541" t="s">
        <v>742</v>
      </c>
      <c r="QW4" s="541" t="s">
        <v>743</v>
      </c>
      <c r="QX4" s="541" t="s">
        <v>744</v>
      </c>
      <c r="QY4" s="541" t="s">
        <v>745</v>
      </c>
      <c r="QZ4" s="541" t="s">
        <v>746</v>
      </c>
      <c r="RA4" s="541" t="s">
        <v>747</v>
      </c>
      <c r="RB4" s="541" t="s">
        <v>748</v>
      </c>
      <c r="RC4" s="542" t="s">
        <v>749</v>
      </c>
      <c r="RD4" s="540" t="s">
        <v>741</v>
      </c>
      <c r="RE4" s="541" t="s">
        <v>742</v>
      </c>
      <c r="RF4" s="541" t="s">
        <v>743</v>
      </c>
      <c r="RG4" s="541" t="s">
        <v>744</v>
      </c>
      <c r="RH4" s="541" t="s">
        <v>745</v>
      </c>
      <c r="RI4" s="541" t="s">
        <v>746</v>
      </c>
      <c r="RJ4" s="541" t="s">
        <v>747</v>
      </c>
      <c r="RK4" s="541" t="s">
        <v>748</v>
      </c>
      <c r="RL4" s="542" t="s">
        <v>749</v>
      </c>
      <c r="RM4" s="540" t="s">
        <v>741</v>
      </c>
      <c r="RN4" s="541" t="s">
        <v>742</v>
      </c>
      <c r="RO4" s="541" t="s">
        <v>743</v>
      </c>
      <c r="RP4" s="541" t="s">
        <v>744</v>
      </c>
      <c r="RQ4" s="541" t="s">
        <v>745</v>
      </c>
      <c r="RR4" s="541" t="s">
        <v>746</v>
      </c>
      <c r="RS4" s="541" t="s">
        <v>747</v>
      </c>
      <c r="RT4" s="541" t="s">
        <v>748</v>
      </c>
      <c r="RU4" s="542" t="s">
        <v>749</v>
      </c>
      <c r="RV4" s="540" t="s">
        <v>741</v>
      </c>
      <c r="RW4" s="541" t="s">
        <v>742</v>
      </c>
      <c r="RX4" s="541" t="s">
        <v>743</v>
      </c>
      <c r="RY4" s="541" t="s">
        <v>744</v>
      </c>
      <c r="RZ4" s="541" t="s">
        <v>745</v>
      </c>
      <c r="SA4" s="541" t="s">
        <v>746</v>
      </c>
      <c r="SB4" s="541" t="s">
        <v>747</v>
      </c>
      <c r="SC4" s="541" t="s">
        <v>748</v>
      </c>
      <c r="SD4" s="542" t="s">
        <v>749</v>
      </c>
      <c r="SE4" s="540" t="s">
        <v>741</v>
      </c>
      <c r="SF4" s="541" t="s">
        <v>742</v>
      </c>
      <c r="SG4" s="541" t="s">
        <v>743</v>
      </c>
      <c r="SH4" s="541" t="s">
        <v>744</v>
      </c>
      <c r="SI4" s="541" t="s">
        <v>745</v>
      </c>
      <c r="SJ4" s="541" t="s">
        <v>746</v>
      </c>
      <c r="SK4" s="541" t="s">
        <v>747</v>
      </c>
      <c r="SL4" s="543" t="s">
        <v>748</v>
      </c>
      <c r="SM4" s="542" t="s">
        <v>749</v>
      </c>
      <c r="SN4" s="544" t="s">
        <v>258</v>
      </c>
      <c r="SO4" s="545"/>
      <c r="SP4" s="539"/>
      <c r="SQ4" s="546" t="s">
        <v>750</v>
      </c>
      <c r="SR4" s="547" t="s">
        <v>751</v>
      </c>
      <c r="SS4" s="540" t="s">
        <v>752</v>
      </c>
      <c r="ST4" s="541" t="s">
        <v>753</v>
      </c>
      <c r="SU4" s="541" t="s">
        <v>754</v>
      </c>
      <c r="SV4" s="541" t="s">
        <v>755</v>
      </c>
      <c r="SW4" s="541" t="s">
        <v>756</v>
      </c>
      <c r="SX4" s="541" t="s">
        <v>757</v>
      </c>
      <c r="SY4" s="541" t="s">
        <v>758</v>
      </c>
      <c r="SZ4" s="541" t="s">
        <v>759</v>
      </c>
      <c r="TA4" s="542" t="s">
        <v>743</v>
      </c>
      <c r="TB4" s="548" t="s">
        <v>760</v>
      </c>
      <c r="TC4" s="540" t="s">
        <v>752</v>
      </c>
      <c r="TD4" s="541" t="s">
        <v>753</v>
      </c>
      <c r="TE4" s="541" t="s">
        <v>754</v>
      </c>
      <c r="TF4" s="541" t="s">
        <v>755</v>
      </c>
      <c r="TG4" s="541" t="s">
        <v>756</v>
      </c>
      <c r="TH4" s="541" t="s">
        <v>757</v>
      </c>
      <c r="TI4" s="541" t="s">
        <v>758</v>
      </c>
      <c r="TJ4" s="541" t="s">
        <v>759</v>
      </c>
      <c r="TK4" s="540" t="s">
        <v>752</v>
      </c>
      <c r="TL4" s="541" t="s">
        <v>753</v>
      </c>
      <c r="TM4" s="541" t="s">
        <v>754</v>
      </c>
      <c r="TN4" s="541" t="s">
        <v>755</v>
      </c>
      <c r="TO4" s="541" t="s">
        <v>756</v>
      </c>
      <c r="TP4" s="541" t="s">
        <v>757</v>
      </c>
      <c r="TQ4" s="541" t="s">
        <v>758</v>
      </c>
      <c r="TR4" s="542" t="s">
        <v>759</v>
      </c>
      <c r="TS4" s="540" t="s">
        <v>752</v>
      </c>
      <c r="TT4" s="541" t="s">
        <v>753</v>
      </c>
      <c r="TU4" s="541" t="s">
        <v>754</v>
      </c>
      <c r="TV4" s="541" t="s">
        <v>755</v>
      </c>
      <c r="TW4" s="541" t="s">
        <v>756</v>
      </c>
      <c r="TX4" s="541" t="s">
        <v>757</v>
      </c>
      <c r="TY4" s="541" t="s">
        <v>758</v>
      </c>
      <c r="TZ4" s="543" t="s">
        <v>759</v>
      </c>
      <c r="UA4" s="549" t="s">
        <v>743</v>
      </c>
      <c r="UB4" s="540" t="s">
        <v>761</v>
      </c>
      <c r="UC4" s="542" t="s">
        <v>762</v>
      </c>
      <c r="UE4" s="539"/>
      <c r="UF4" s="540" t="s">
        <v>299</v>
      </c>
      <c r="UG4" s="541" t="s">
        <v>763</v>
      </c>
      <c r="UH4" s="542" t="s">
        <v>704</v>
      </c>
    </row>
    <row r="5" spans="1:554" s="514" customFormat="1">
      <c r="D5" s="263" t="s">
        <v>764</v>
      </c>
      <c r="E5" s="550" t="s">
        <v>1170</v>
      </c>
      <c r="F5" s="551" t="s">
        <v>765</v>
      </c>
      <c r="G5" s="514" t="s">
        <v>766</v>
      </c>
      <c r="H5" s="263" t="s">
        <v>356</v>
      </c>
      <c r="I5" s="263"/>
      <c r="J5" s="263"/>
      <c r="K5" s="263"/>
      <c r="L5" s="263"/>
      <c r="M5" s="552" t="s">
        <v>357</v>
      </c>
      <c r="N5" s="263" t="s">
        <v>377</v>
      </c>
      <c r="O5" s="263" t="s">
        <v>397</v>
      </c>
      <c r="P5" s="263" t="s">
        <v>417</v>
      </c>
      <c r="Q5" s="263" t="s">
        <v>437</v>
      </c>
      <c r="R5" s="263" t="s">
        <v>457</v>
      </c>
      <c r="S5" s="263" t="s">
        <v>477</v>
      </c>
      <c r="T5" s="263" t="s">
        <v>497</v>
      </c>
      <c r="U5" s="263" t="s">
        <v>517</v>
      </c>
      <c r="V5" s="552" t="s">
        <v>358</v>
      </c>
      <c r="W5" s="263" t="s">
        <v>378</v>
      </c>
      <c r="X5" s="263" t="s">
        <v>398</v>
      </c>
      <c r="Y5" s="263" t="s">
        <v>418</v>
      </c>
      <c r="Z5" s="263" t="s">
        <v>438</v>
      </c>
      <c r="AA5" s="263" t="s">
        <v>458</v>
      </c>
      <c r="AB5" s="263" t="s">
        <v>478</v>
      </c>
      <c r="AC5" s="263" t="s">
        <v>498</v>
      </c>
      <c r="AD5" s="263" t="s">
        <v>518</v>
      </c>
      <c r="AE5" s="552" t="s">
        <v>359</v>
      </c>
      <c r="AF5" s="263" t="s">
        <v>379</v>
      </c>
      <c r="AG5" s="263" t="s">
        <v>399</v>
      </c>
      <c r="AH5" s="263" t="s">
        <v>419</v>
      </c>
      <c r="AI5" s="263" t="s">
        <v>439</v>
      </c>
      <c r="AJ5" s="263" t="s">
        <v>459</v>
      </c>
      <c r="AK5" s="263" t="s">
        <v>479</v>
      </c>
      <c r="AL5" s="263" t="s">
        <v>499</v>
      </c>
      <c r="AM5" s="263" t="s">
        <v>519</v>
      </c>
      <c r="AN5" s="552" t="s">
        <v>360</v>
      </c>
      <c r="AO5" s="263" t="s">
        <v>380</v>
      </c>
      <c r="AP5" s="263" t="s">
        <v>400</v>
      </c>
      <c r="AQ5" s="263" t="s">
        <v>420</v>
      </c>
      <c r="AR5" s="263" t="s">
        <v>440</v>
      </c>
      <c r="AS5" s="263" t="s">
        <v>460</v>
      </c>
      <c r="AT5" s="263" t="s">
        <v>480</v>
      </c>
      <c r="AU5" s="263" t="s">
        <v>500</v>
      </c>
      <c r="AV5" s="263" t="s">
        <v>520</v>
      </c>
      <c r="AW5" s="552" t="s">
        <v>361</v>
      </c>
      <c r="AX5" s="263" t="s">
        <v>381</v>
      </c>
      <c r="AY5" s="263" t="s">
        <v>401</v>
      </c>
      <c r="AZ5" s="263" t="s">
        <v>421</v>
      </c>
      <c r="BA5" s="263" t="s">
        <v>441</v>
      </c>
      <c r="BB5" s="263" t="s">
        <v>461</v>
      </c>
      <c r="BC5" s="263" t="s">
        <v>481</v>
      </c>
      <c r="BD5" s="263" t="s">
        <v>501</v>
      </c>
      <c r="BE5" s="263" t="s">
        <v>521</v>
      </c>
      <c r="BF5" s="552" t="s">
        <v>362</v>
      </c>
      <c r="BG5" s="263" t="s">
        <v>382</v>
      </c>
      <c r="BH5" s="263" t="s">
        <v>402</v>
      </c>
      <c r="BI5" s="263" t="s">
        <v>422</v>
      </c>
      <c r="BJ5" s="263" t="s">
        <v>442</v>
      </c>
      <c r="BK5" s="263" t="s">
        <v>462</v>
      </c>
      <c r="BL5" s="263" t="s">
        <v>482</v>
      </c>
      <c r="BM5" s="263" t="s">
        <v>502</v>
      </c>
      <c r="BN5" s="263" t="s">
        <v>522</v>
      </c>
      <c r="BO5" s="552" t="s">
        <v>363</v>
      </c>
      <c r="BP5" s="263" t="s">
        <v>383</v>
      </c>
      <c r="BQ5" s="263" t="s">
        <v>403</v>
      </c>
      <c r="BR5" s="263" t="s">
        <v>423</v>
      </c>
      <c r="BS5" s="263" t="s">
        <v>443</v>
      </c>
      <c r="BT5" s="263" t="s">
        <v>463</v>
      </c>
      <c r="BU5" s="263" t="s">
        <v>483</v>
      </c>
      <c r="BV5" s="263" t="s">
        <v>503</v>
      </c>
      <c r="BW5" s="263" t="s">
        <v>523</v>
      </c>
      <c r="BX5" s="552" t="s">
        <v>767</v>
      </c>
      <c r="BY5" s="263" t="s">
        <v>768</v>
      </c>
      <c r="BZ5" s="263" t="s">
        <v>769</v>
      </c>
      <c r="CA5" s="263" t="s">
        <v>770</v>
      </c>
      <c r="CB5" s="263" t="s">
        <v>771</v>
      </c>
      <c r="CC5" s="263" t="s">
        <v>772</v>
      </c>
      <c r="CD5" s="263" t="s">
        <v>773</v>
      </c>
      <c r="CE5" s="263" t="s">
        <v>774</v>
      </c>
      <c r="CF5" s="263" t="s">
        <v>775</v>
      </c>
      <c r="CG5" s="552" t="s">
        <v>776</v>
      </c>
      <c r="CH5" s="263" t="s">
        <v>777</v>
      </c>
      <c r="CI5" s="263" t="s">
        <v>778</v>
      </c>
      <c r="CJ5" s="263" t="s">
        <v>779</v>
      </c>
      <c r="CK5" s="263" t="s">
        <v>780</v>
      </c>
      <c r="CL5" s="263" t="s">
        <v>781</v>
      </c>
      <c r="CM5" s="263" t="s">
        <v>782</v>
      </c>
      <c r="CN5" s="263" t="s">
        <v>783</v>
      </c>
      <c r="CO5" s="263" t="s">
        <v>784</v>
      </c>
      <c r="CP5" s="552" t="s">
        <v>364</v>
      </c>
      <c r="CQ5" s="263" t="s">
        <v>384</v>
      </c>
      <c r="CR5" s="263" t="s">
        <v>404</v>
      </c>
      <c r="CS5" s="263" t="s">
        <v>424</v>
      </c>
      <c r="CT5" s="263" t="s">
        <v>444</v>
      </c>
      <c r="CU5" s="263" t="s">
        <v>464</v>
      </c>
      <c r="CV5" s="263" t="s">
        <v>484</v>
      </c>
      <c r="CW5" s="263" t="s">
        <v>504</v>
      </c>
      <c r="CX5" s="263" t="s">
        <v>524</v>
      </c>
      <c r="CY5" s="552" t="s">
        <v>365</v>
      </c>
      <c r="CZ5" s="263" t="s">
        <v>385</v>
      </c>
      <c r="DA5" s="263" t="s">
        <v>405</v>
      </c>
      <c r="DB5" s="263" t="s">
        <v>425</v>
      </c>
      <c r="DC5" s="263" t="s">
        <v>445</v>
      </c>
      <c r="DD5" s="263" t="s">
        <v>465</v>
      </c>
      <c r="DE5" s="263" t="s">
        <v>485</v>
      </c>
      <c r="DF5" s="263" t="s">
        <v>505</v>
      </c>
      <c r="DG5" s="263" t="s">
        <v>525</v>
      </c>
      <c r="DH5" s="552" t="s">
        <v>366</v>
      </c>
      <c r="DI5" s="263" t="s">
        <v>386</v>
      </c>
      <c r="DJ5" s="263" t="s">
        <v>406</v>
      </c>
      <c r="DK5" s="263" t="s">
        <v>426</v>
      </c>
      <c r="DL5" s="263" t="s">
        <v>446</v>
      </c>
      <c r="DM5" s="263" t="s">
        <v>466</v>
      </c>
      <c r="DN5" s="263" t="s">
        <v>486</v>
      </c>
      <c r="DO5" s="263" t="s">
        <v>506</v>
      </c>
      <c r="DP5" s="263" t="s">
        <v>526</v>
      </c>
      <c r="DQ5" s="552" t="s">
        <v>785</v>
      </c>
      <c r="DR5" s="263" t="s">
        <v>786</v>
      </c>
      <c r="DS5" s="263" t="s">
        <v>787</v>
      </c>
      <c r="DT5" s="263" t="s">
        <v>788</v>
      </c>
      <c r="DU5" s="263" t="s">
        <v>789</v>
      </c>
      <c r="DV5" s="263" t="s">
        <v>790</v>
      </c>
      <c r="DW5" s="263" t="s">
        <v>791</v>
      </c>
      <c r="DX5" s="263" t="s">
        <v>792</v>
      </c>
      <c r="DY5" s="263" t="s">
        <v>793</v>
      </c>
      <c r="DZ5" s="552" t="s">
        <v>794</v>
      </c>
      <c r="EA5" s="263" t="s">
        <v>795</v>
      </c>
      <c r="EB5" s="263" t="s">
        <v>796</v>
      </c>
      <c r="EC5" s="263" t="s">
        <v>797</v>
      </c>
      <c r="ED5" s="263" t="s">
        <v>798</v>
      </c>
      <c r="EE5" s="263" t="s">
        <v>799</v>
      </c>
      <c r="EF5" s="263" t="s">
        <v>800</v>
      </c>
      <c r="EG5" s="263" t="s">
        <v>801</v>
      </c>
      <c r="EH5" s="263" t="s">
        <v>802</v>
      </c>
      <c r="EI5" s="552" t="s">
        <v>803</v>
      </c>
      <c r="EJ5" s="263" t="s">
        <v>804</v>
      </c>
      <c r="EK5" s="263" t="s">
        <v>805</v>
      </c>
      <c r="EL5" s="263" t="s">
        <v>806</v>
      </c>
      <c r="EM5" s="263" t="s">
        <v>807</v>
      </c>
      <c r="EN5" s="263" t="s">
        <v>808</v>
      </c>
      <c r="EO5" s="263" t="s">
        <v>809</v>
      </c>
      <c r="EP5" s="263" t="s">
        <v>810</v>
      </c>
      <c r="EQ5" s="263" t="s">
        <v>811</v>
      </c>
      <c r="ER5" s="552" t="s">
        <v>812</v>
      </c>
      <c r="ES5" s="263" t="s">
        <v>813</v>
      </c>
      <c r="ET5" s="263" t="s">
        <v>814</v>
      </c>
      <c r="EU5" s="263" t="s">
        <v>815</v>
      </c>
      <c r="EV5" s="263" t="s">
        <v>816</v>
      </c>
      <c r="EW5" s="263" t="s">
        <v>817</v>
      </c>
      <c r="EX5" s="263" t="s">
        <v>818</v>
      </c>
      <c r="EY5" s="263" t="s">
        <v>819</v>
      </c>
      <c r="EZ5" s="263" t="s">
        <v>820</v>
      </c>
      <c r="FA5" s="552" t="s">
        <v>821</v>
      </c>
      <c r="FB5" s="263" t="s">
        <v>822</v>
      </c>
      <c r="FC5" s="263" t="s">
        <v>823</v>
      </c>
      <c r="FD5" s="263" t="s">
        <v>824</v>
      </c>
      <c r="FE5" s="263" t="s">
        <v>825</v>
      </c>
      <c r="FF5" s="263" t="s">
        <v>826</v>
      </c>
      <c r="FG5" s="263" t="s">
        <v>827</v>
      </c>
      <c r="FH5" s="263" t="s">
        <v>828</v>
      </c>
      <c r="FI5" s="263" t="s">
        <v>829</v>
      </c>
      <c r="FJ5" s="552" t="s">
        <v>367</v>
      </c>
      <c r="FK5" s="263" t="s">
        <v>387</v>
      </c>
      <c r="FL5" s="263" t="s">
        <v>407</v>
      </c>
      <c r="FM5" s="263" t="s">
        <v>427</v>
      </c>
      <c r="FN5" s="263" t="s">
        <v>447</v>
      </c>
      <c r="FO5" s="263" t="s">
        <v>467</v>
      </c>
      <c r="FP5" s="263" t="s">
        <v>487</v>
      </c>
      <c r="FQ5" s="263" t="s">
        <v>507</v>
      </c>
      <c r="FR5" s="263" t="s">
        <v>527</v>
      </c>
      <c r="FS5" s="552" t="s">
        <v>598</v>
      </c>
      <c r="FT5" s="263" t="s">
        <v>607</v>
      </c>
      <c r="FU5" s="263" t="s">
        <v>616</v>
      </c>
      <c r="FV5" s="263" t="s">
        <v>625</v>
      </c>
      <c r="FW5" s="263" t="s">
        <v>634</v>
      </c>
      <c r="FX5" s="263" t="s">
        <v>643</v>
      </c>
      <c r="FY5" s="263" t="s">
        <v>652</v>
      </c>
      <c r="FZ5" s="263" t="s">
        <v>661</v>
      </c>
      <c r="GA5" s="263" t="s">
        <v>670</v>
      </c>
      <c r="GB5" s="552" t="s">
        <v>599</v>
      </c>
      <c r="GC5" s="263" t="s">
        <v>608</v>
      </c>
      <c r="GD5" s="263" t="s">
        <v>617</v>
      </c>
      <c r="GE5" s="263" t="s">
        <v>626</v>
      </c>
      <c r="GF5" s="263" t="s">
        <v>635</v>
      </c>
      <c r="GG5" s="263" t="s">
        <v>644</v>
      </c>
      <c r="GH5" s="263" t="s">
        <v>653</v>
      </c>
      <c r="GI5" s="263" t="s">
        <v>662</v>
      </c>
      <c r="GJ5" s="263" t="s">
        <v>671</v>
      </c>
      <c r="GK5" s="552" t="s">
        <v>368</v>
      </c>
      <c r="GL5" s="263" t="s">
        <v>388</v>
      </c>
      <c r="GM5" s="263" t="s">
        <v>408</v>
      </c>
      <c r="GN5" s="263" t="s">
        <v>428</v>
      </c>
      <c r="GO5" s="263" t="s">
        <v>448</v>
      </c>
      <c r="GP5" s="263" t="s">
        <v>468</v>
      </c>
      <c r="GQ5" s="263" t="s">
        <v>488</v>
      </c>
      <c r="GR5" s="263" t="s">
        <v>508</v>
      </c>
      <c r="GS5" s="263" t="s">
        <v>528</v>
      </c>
      <c r="GT5" s="552" t="s">
        <v>600</v>
      </c>
      <c r="GU5" s="263" t="s">
        <v>609</v>
      </c>
      <c r="GV5" s="263" t="s">
        <v>618</v>
      </c>
      <c r="GW5" s="263" t="s">
        <v>627</v>
      </c>
      <c r="GX5" s="263" t="s">
        <v>636</v>
      </c>
      <c r="GY5" s="263" t="s">
        <v>645</v>
      </c>
      <c r="GZ5" s="263" t="s">
        <v>654</v>
      </c>
      <c r="HA5" s="263" t="s">
        <v>663</v>
      </c>
      <c r="HB5" s="263" t="s">
        <v>672</v>
      </c>
      <c r="HC5" s="552" t="s">
        <v>601</v>
      </c>
      <c r="HD5" s="263" t="s">
        <v>610</v>
      </c>
      <c r="HE5" s="263" t="s">
        <v>619</v>
      </c>
      <c r="HF5" s="263" t="s">
        <v>628</v>
      </c>
      <c r="HG5" s="263" t="s">
        <v>637</v>
      </c>
      <c r="HH5" s="263" t="s">
        <v>646</v>
      </c>
      <c r="HI5" s="263" t="s">
        <v>655</v>
      </c>
      <c r="HJ5" s="263" t="s">
        <v>664</v>
      </c>
      <c r="HK5" s="263" t="s">
        <v>673</v>
      </c>
      <c r="HL5" s="552" t="s">
        <v>830</v>
      </c>
      <c r="HM5" s="263" t="s">
        <v>831</v>
      </c>
      <c r="HN5" s="263" t="s">
        <v>832</v>
      </c>
      <c r="HO5" s="263" t="s">
        <v>833</v>
      </c>
      <c r="HP5" s="263" t="s">
        <v>834</v>
      </c>
      <c r="HQ5" s="263" t="s">
        <v>835</v>
      </c>
      <c r="HR5" s="263" t="s">
        <v>836</v>
      </c>
      <c r="HS5" s="263" t="s">
        <v>837</v>
      </c>
      <c r="HT5" s="263" t="s">
        <v>838</v>
      </c>
      <c r="HU5" s="552" t="s">
        <v>839</v>
      </c>
      <c r="HV5" s="263" t="s">
        <v>840</v>
      </c>
      <c r="HW5" s="263" t="s">
        <v>841</v>
      </c>
      <c r="HX5" s="263" t="s">
        <v>842</v>
      </c>
      <c r="HY5" s="263" t="s">
        <v>843</v>
      </c>
      <c r="HZ5" s="263" t="s">
        <v>844</v>
      </c>
      <c r="IA5" s="263" t="s">
        <v>845</v>
      </c>
      <c r="IB5" s="263" t="s">
        <v>846</v>
      </c>
      <c r="IC5" s="263" t="s">
        <v>847</v>
      </c>
      <c r="ID5" s="552" t="s">
        <v>602</v>
      </c>
      <c r="IE5" s="263" t="s">
        <v>611</v>
      </c>
      <c r="IF5" s="263" t="s">
        <v>620</v>
      </c>
      <c r="IG5" s="263" t="s">
        <v>629</v>
      </c>
      <c r="IH5" s="263" t="s">
        <v>638</v>
      </c>
      <c r="II5" s="263" t="s">
        <v>647</v>
      </c>
      <c r="IJ5" s="263" t="s">
        <v>656</v>
      </c>
      <c r="IK5" s="263" t="s">
        <v>665</v>
      </c>
      <c r="IL5" s="263" t="s">
        <v>674</v>
      </c>
      <c r="IM5" s="552" t="s">
        <v>369</v>
      </c>
      <c r="IN5" s="263" t="s">
        <v>389</v>
      </c>
      <c r="IO5" s="263" t="s">
        <v>409</v>
      </c>
      <c r="IP5" s="263" t="s">
        <v>429</v>
      </c>
      <c r="IQ5" s="263" t="s">
        <v>449</v>
      </c>
      <c r="IR5" s="263" t="s">
        <v>469</v>
      </c>
      <c r="IS5" s="263" t="s">
        <v>489</v>
      </c>
      <c r="IT5" s="263" t="s">
        <v>509</v>
      </c>
      <c r="IU5" s="263" t="s">
        <v>529</v>
      </c>
      <c r="IV5" s="552" t="s">
        <v>370</v>
      </c>
      <c r="IW5" s="263" t="s">
        <v>390</v>
      </c>
      <c r="IX5" s="263" t="s">
        <v>410</v>
      </c>
      <c r="IY5" s="263" t="s">
        <v>430</v>
      </c>
      <c r="IZ5" s="263" t="s">
        <v>450</v>
      </c>
      <c r="JA5" s="263" t="s">
        <v>470</v>
      </c>
      <c r="JB5" s="263" t="s">
        <v>490</v>
      </c>
      <c r="JC5" s="263" t="s">
        <v>510</v>
      </c>
      <c r="JD5" s="263" t="s">
        <v>530</v>
      </c>
      <c r="JE5" s="552" t="s">
        <v>371</v>
      </c>
      <c r="JF5" s="263" t="s">
        <v>391</v>
      </c>
      <c r="JG5" s="263" t="s">
        <v>411</v>
      </c>
      <c r="JH5" s="263" t="s">
        <v>431</v>
      </c>
      <c r="JI5" s="263" t="s">
        <v>451</v>
      </c>
      <c r="JJ5" s="263" t="s">
        <v>471</v>
      </c>
      <c r="JK5" s="263" t="s">
        <v>491</v>
      </c>
      <c r="JL5" s="263" t="s">
        <v>511</v>
      </c>
      <c r="JM5" s="263" t="s">
        <v>531</v>
      </c>
      <c r="JN5" s="552" t="s">
        <v>372</v>
      </c>
      <c r="JO5" s="263" t="s">
        <v>392</v>
      </c>
      <c r="JP5" s="263" t="s">
        <v>412</v>
      </c>
      <c r="JQ5" s="263" t="s">
        <v>432</v>
      </c>
      <c r="JR5" s="263" t="s">
        <v>452</v>
      </c>
      <c r="JS5" s="263" t="s">
        <v>472</v>
      </c>
      <c r="JT5" s="263" t="s">
        <v>492</v>
      </c>
      <c r="JU5" s="263" t="s">
        <v>512</v>
      </c>
      <c r="JV5" s="263" t="s">
        <v>532</v>
      </c>
      <c r="JW5" s="552" t="s">
        <v>373</v>
      </c>
      <c r="JX5" s="263" t="s">
        <v>393</v>
      </c>
      <c r="JY5" s="263" t="s">
        <v>413</v>
      </c>
      <c r="JZ5" s="263" t="s">
        <v>433</v>
      </c>
      <c r="KA5" s="263" t="s">
        <v>453</v>
      </c>
      <c r="KB5" s="263" t="s">
        <v>473</v>
      </c>
      <c r="KC5" s="263" t="s">
        <v>493</v>
      </c>
      <c r="KD5" s="263" t="s">
        <v>513</v>
      </c>
      <c r="KE5" s="263" t="s">
        <v>533</v>
      </c>
      <c r="KF5" s="552" t="s">
        <v>848</v>
      </c>
      <c r="KG5" s="263" t="s">
        <v>849</v>
      </c>
      <c r="KH5" s="263" t="s">
        <v>850</v>
      </c>
      <c r="KI5" s="263" t="s">
        <v>851</v>
      </c>
      <c r="KJ5" s="263" t="s">
        <v>852</v>
      </c>
      <c r="KK5" s="263" t="s">
        <v>853</v>
      </c>
      <c r="KL5" s="263" t="s">
        <v>854</v>
      </c>
      <c r="KM5" s="263" t="s">
        <v>855</v>
      </c>
      <c r="KN5" s="263" t="s">
        <v>856</v>
      </c>
      <c r="KO5" s="552" t="s">
        <v>374</v>
      </c>
      <c r="KP5" s="263" t="s">
        <v>394</v>
      </c>
      <c r="KQ5" s="263" t="s">
        <v>414</v>
      </c>
      <c r="KR5" s="263" t="s">
        <v>434</v>
      </c>
      <c r="KS5" s="263" t="s">
        <v>454</v>
      </c>
      <c r="KT5" s="263" t="s">
        <v>474</v>
      </c>
      <c r="KU5" s="263" t="s">
        <v>494</v>
      </c>
      <c r="KV5" s="263" t="s">
        <v>514</v>
      </c>
      <c r="KW5" s="263" t="s">
        <v>534</v>
      </c>
      <c r="KX5" s="552" t="s">
        <v>603</v>
      </c>
      <c r="KY5" s="263" t="s">
        <v>612</v>
      </c>
      <c r="KZ5" s="263" t="s">
        <v>621</v>
      </c>
      <c r="LA5" s="263" t="s">
        <v>630</v>
      </c>
      <c r="LB5" s="263" t="s">
        <v>639</v>
      </c>
      <c r="LC5" s="263" t="s">
        <v>648</v>
      </c>
      <c r="LD5" s="263" t="s">
        <v>657</v>
      </c>
      <c r="LE5" s="263" t="s">
        <v>666</v>
      </c>
      <c r="LF5" s="263" t="s">
        <v>675</v>
      </c>
      <c r="LG5" s="552" t="s">
        <v>857</v>
      </c>
      <c r="LH5" s="263" t="s">
        <v>858</v>
      </c>
      <c r="LI5" s="263" t="s">
        <v>859</v>
      </c>
      <c r="LJ5" s="263" t="s">
        <v>860</v>
      </c>
      <c r="LK5" s="263" t="s">
        <v>861</v>
      </c>
      <c r="LL5" s="263" t="s">
        <v>862</v>
      </c>
      <c r="LM5" s="263" t="s">
        <v>863</v>
      </c>
      <c r="LN5" s="263" t="s">
        <v>864</v>
      </c>
      <c r="LO5" s="263" t="s">
        <v>865</v>
      </c>
      <c r="LP5" s="552" t="s">
        <v>866</v>
      </c>
      <c r="LQ5" s="263" t="s">
        <v>867</v>
      </c>
      <c r="LR5" s="263" t="s">
        <v>868</v>
      </c>
      <c r="LS5" s="263" t="s">
        <v>869</v>
      </c>
      <c r="LT5" s="263" t="s">
        <v>870</v>
      </c>
      <c r="LU5" s="263" t="s">
        <v>871</v>
      </c>
      <c r="LV5" s="263" t="s">
        <v>872</v>
      </c>
      <c r="LW5" s="263" t="s">
        <v>873</v>
      </c>
      <c r="LX5" s="263" t="s">
        <v>874</v>
      </c>
      <c r="LY5" s="552" t="s">
        <v>875</v>
      </c>
      <c r="LZ5" s="263" t="s">
        <v>876</v>
      </c>
      <c r="MA5" s="263" t="s">
        <v>877</v>
      </c>
      <c r="MB5" s="263" t="s">
        <v>878</v>
      </c>
      <c r="MC5" s="263" t="s">
        <v>879</v>
      </c>
      <c r="MD5" s="263" t="s">
        <v>880</v>
      </c>
      <c r="ME5" s="263" t="s">
        <v>881</v>
      </c>
      <c r="MF5" s="263" t="s">
        <v>882</v>
      </c>
      <c r="MG5" s="263" t="s">
        <v>883</v>
      </c>
      <c r="MH5" s="552" t="s">
        <v>375</v>
      </c>
      <c r="MI5" s="263" t="s">
        <v>395</v>
      </c>
      <c r="MJ5" s="263" t="s">
        <v>415</v>
      </c>
      <c r="MK5" s="263" t="s">
        <v>435</v>
      </c>
      <c r="ML5" s="263" t="s">
        <v>455</v>
      </c>
      <c r="MM5" s="263" t="s">
        <v>475</v>
      </c>
      <c r="MN5" s="263" t="s">
        <v>495</v>
      </c>
      <c r="MO5" s="263" t="s">
        <v>515</v>
      </c>
      <c r="MP5" s="263" t="s">
        <v>535</v>
      </c>
      <c r="MQ5" s="552" t="s">
        <v>376</v>
      </c>
      <c r="MR5" s="263" t="s">
        <v>396</v>
      </c>
      <c r="MS5" s="263" t="s">
        <v>416</v>
      </c>
      <c r="MT5" s="263" t="s">
        <v>436</v>
      </c>
      <c r="MU5" s="263" t="s">
        <v>456</v>
      </c>
      <c r="MV5" s="263" t="s">
        <v>476</v>
      </c>
      <c r="MW5" s="263" t="s">
        <v>496</v>
      </c>
      <c r="MX5" s="263" t="s">
        <v>516</v>
      </c>
      <c r="MY5" s="263" t="s">
        <v>536</v>
      </c>
      <c r="MZ5" s="552" t="s">
        <v>884</v>
      </c>
      <c r="NA5" s="263" t="s">
        <v>885</v>
      </c>
      <c r="NB5" s="263" t="s">
        <v>886</v>
      </c>
      <c r="NC5" s="263" t="s">
        <v>887</v>
      </c>
      <c r="ND5" s="263" t="s">
        <v>888</v>
      </c>
      <c r="NE5" s="263" t="s">
        <v>889</v>
      </c>
      <c r="NF5" s="263" t="s">
        <v>890</v>
      </c>
      <c r="NG5" s="263" t="s">
        <v>891</v>
      </c>
      <c r="NH5" s="263" t="s">
        <v>892</v>
      </c>
      <c r="NI5" s="552" t="s">
        <v>893</v>
      </c>
      <c r="NJ5" s="263" t="s">
        <v>894</v>
      </c>
      <c r="NK5" s="263" t="s">
        <v>895</v>
      </c>
      <c r="NL5" s="263" t="s">
        <v>896</v>
      </c>
      <c r="NM5" s="263" t="s">
        <v>897</v>
      </c>
      <c r="NN5" s="263" t="s">
        <v>898</v>
      </c>
      <c r="NO5" s="263" t="s">
        <v>899</v>
      </c>
      <c r="NP5" s="263" t="s">
        <v>900</v>
      </c>
      <c r="NQ5" s="263" t="s">
        <v>901</v>
      </c>
      <c r="NR5" s="552" t="s">
        <v>902</v>
      </c>
      <c r="NS5" s="263" t="s">
        <v>903</v>
      </c>
      <c r="NT5" s="263" t="s">
        <v>904</v>
      </c>
      <c r="NU5" s="263" t="s">
        <v>905</v>
      </c>
      <c r="NV5" s="263" t="s">
        <v>906</v>
      </c>
      <c r="NW5" s="263" t="s">
        <v>907</v>
      </c>
      <c r="NX5" s="263" t="s">
        <v>908</v>
      </c>
      <c r="NY5" s="263" t="s">
        <v>909</v>
      </c>
      <c r="NZ5" s="263" t="s">
        <v>910</v>
      </c>
      <c r="OA5" s="552" t="s">
        <v>911</v>
      </c>
      <c r="OB5" s="263" t="s">
        <v>912</v>
      </c>
      <c r="OC5" s="263" t="s">
        <v>913</v>
      </c>
      <c r="OD5" s="263" t="s">
        <v>914</v>
      </c>
      <c r="OE5" s="263" t="s">
        <v>915</v>
      </c>
      <c r="OF5" s="263" t="s">
        <v>916</v>
      </c>
      <c r="OG5" s="263" t="s">
        <v>917</v>
      </c>
      <c r="OH5" s="263" t="s">
        <v>918</v>
      </c>
      <c r="OI5" s="263" t="s">
        <v>919</v>
      </c>
      <c r="OJ5" s="552" t="s">
        <v>604</v>
      </c>
      <c r="OK5" s="263" t="s">
        <v>613</v>
      </c>
      <c r="OL5" s="263" t="s">
        <v>622</v>
      </c>
      <c r="OM5" s="263" t="s">
        <v>631</v>
      </c>
      <c r="ON5" s="263" t="s">
        <v>640</v>
      </c>
      <c r="OO5" s="263" t="s">
        <v>649</v>
      </c>
      <c r="OP5" s="263" t="s">
        <v>658</v>
      </c>
      <c r="OQ5" s="263" t="s">
        <v>667</v>
      </c>
      <c r="OR5" s="263" t="s">
        <v>676</v>
      </c>
      <c r="OS5" s="552" t="s">
        <v>605</v>
      </c>
      <c r="OT5" s="263" t="s">
        <v>614</v>
      </c>
      <c r="OU5" s="263" t="s">
        <v>623</v>
      </c>
      <c r="OV5" s="263" t="s">
        <v>632</v>
      </c>
      <c r="OW5" s="263" t="s">
        <v>641</v>
      </c>
      <c r="OX5" s="263" t="s">
        <v>650</v>
      </c>
      <c r="OY5" s="263" t="s">
        <v>659</v>
      </c>
      <c r="OZ5" s="263" t="s">
        <v>668</v>
      </c>
      <c r="PA5" s="263" t="s">
        <v>677</v>
      </c>
      <c r="PB5" s="552" t="s">
        <v>606</v>
      </c>
      <c r="PC5" s="263" t="s">
        <v>615</v>
      </c>
      <c r="PD5" s="263" t="s">
        <v>624</v>
      </c>
      <c r="PE5" s="263" t="s">
        <v>633</v>
      </c>
      <c r="PF5" s="263" t="s">
        <v>642</v>
      </c>
      <c r="PG5" s="263" t="s">
        <v>651</v>
      </c>
      <c r="PH5" s="263" t="s">
        <v>660</v>
      </c>
      <c r="PI5" s="263" t="s">
        <v>669</v>
      </c>
      <c r="PJ5" s="263" t="s">
        <v>678</v>
      </c>
      <c r="PK5" s="552" t="s">
        <v>920</v>
      </c>
      <c r="PL5" s="263" t="s">
        <v>921</v>
      </c>
      <c r="PM5" s="263" t="s">
        <v>922</v>
      </c>
      <c r="PN5" s="263" t="s">
        <v>923</v>
      </c>
      <c r="PO5" s="263" t="s">
        <v>924</v>
      </c>
      <c r="PP5" s="263" t="s">
        <v>925</v>
      </c>
      <c r="PQ5" s="263" t="s">
        <v>926</v>
      </c>
      <c r="PR5" s="263" t="s">
        <v>927</v>
      </c>
      <c r="PS5" s="263" t="s">
        <v>928</v>
      </c>
      <c r="PT5" s="552" t="s">
        <v>929</v>
      </c>
      <c r="PU5" s="263" t="s">
        <v>930</v>
      </c>
      <c r="PV5" s="263" t="s">
        <v>931</v>
      </c>
      <c r="PW5" s="263" t="s">
        <v>932</v>
      </c>
      <c r="PX5" s="263" t="s">
        <v>933</v>
      </c>
      <c r="PY5" s="263" t="s">
        <v>934</v>
      </c>
      <c r="PZ5" s="263" t="s">
        <v>935</v>
      </c>
      <c r="QA5" s="263" t="s">
        <v>936</v>
      </c>
      <c r="QB5" s="263" t="s">
        <v>937</v>
      </c>
      <c r="QC5" s="552" t="s">
        <v>938</v>
      </c>
      <c r="QD5" s="263" t="s">
        <v>939</v>
      </c>
      <c r="QE5" s="263" t="s">
        <v>940</v>
      </c>
      <c r="QF5" s="263" t="s">
        <v>941</v>
      </c>
      <c r="QG5" s="263" t="s">
        <v>942</v>
      </c>
      <c r="QH5" s="263" t="s">
        <v>943</v>
      </c>
      <c r="QI5" s="263" t="s">
        <v>944</v>
      </c>
      <c r="QJ5" s="263" t="s">
        <v>945</v>
      </c>
      <c r="QK5" s="263" t="s">
        <v>679</v>
      </c>
      <c r="QL5" s="552" t="s">
        <v>946</v>
      </c>
      <c r="QM5" s="263" t="s">
        <v>947</v>
      </c>
      <c r="QN5" s="263" t="s">
        <v>948</v>
      </c>
      <c r="QO5" s="263" t="s">
        <v>949</v>
      </c>
      <c r="QP5" s="263" t="s">
        <v>950</v>
      </c>
      <c r="QQ5" s="263" t="s">
        <v>951</v>
      </c>
      <c r="QR5" s="263" t="s">
        <v>952</v>
      </c>
      <c r="QS5" s="263" t="s">
        <v>953</v>
      </c>
      <c r="QT5" s="263" t="s">
        <v>954</v>
      </c>
      <c r="QU5" s="552" t="s">
        <v>955</v>
      </c>
      <c r="QV5" s="263" t="s">
        <v>956</v>
      </c>
      <c r="QW5" s="263" t="s">
        <v>957</v>
      </c>
      <c r="QX5" s="263" t="s">
        <v>958</v>
      </c>
      <c r="QY5" s="263" t="s">
        <v>959</v>
      </c>
      <c r="QZ5" s="263" t="s">
        <v>960</v>
      </c>
      <c r="RA5" s="263" t="s">
        <v>961</v>
      </c>
      <c r="RB5" s="263" t="s">
        <v>962</v>
      </c>
      <c r="RC5" s="263" t="s">
        <v>963</v>
      </c>
      <c r="RD5" s="552" t="s">
        <v>964</v>
      </c>
      <c r="RE5" s="263" t="s">
        <v>965</v>
      </c>
      <c r="RF5" s="263" t="s">
        <v>966</v>
      </c>
      <c r="RG5" s="263" t="s">
        <v>967</v>
      </c>
      <c r="RH5" s="263" t="s">
        <v>968</v>
      </c>
      <c r="RI5" s="263" t="s">
        <v>969</v>
      </c>
      <c r="RJ5" s="263" t="s">
        <v>970</v>
      </c>
      <c r="RK5" s="263" t="s">
        <v>971</v>
      </c>
      <c r="RL5" s="263" t="s">
        <v>972</v>
      </c>
      <c r="RM5" s="552" t="s">
        <v>973</v>
      </c>
      <c r="RN5" s="263" t="s">
        <v>974</v>
      </c>
      <c r="RO5" s="263" t="s">
        <v>975</v>
      </c>
      <c r="RP5" s="263" t="s">
        <v>976</v>
      </c>
      <c r="RQ5" s="263" t="s">
        <v>977</v>
      </c>
      <c r="RR5" s="263" t="s">
        <v>978</v>
      </c>
      <c r="RS5" s="263" t="s">
        <v>979</v>
      </c>
      <c r="RT5" s="263" t="s">
        <v>980</v>
      </c>
      <c r="RU5" s="263" t="s">
        <v>981</v>
      </c>
      <c r="RV5" s="552" t="s">
        <v>982</v>
      </c>
      <c r="RW5" s="263" t="s">
        <v>983</v>
      </c>
      <c r="RX5" s="263" t="s">
        <v>984</v>
      </c>
      <c r="RY5" s="263" t="s">
        <v>985</v>
      </c>
      <c r="RZ5" s="263" t="s">
        <v>986</v>
      </c>
      <c r="SA5" s="263" t="s">
        <v>987</v>
      </c>
      <c r="SB5" s="263" t="s">
        <v>988</v>
      </c>
      <c r="SC5" s="263" t="s">
        <v>989</v>
      </c>
      <c r="SD5" s="263" t="s">
        <v>990</v>
      </c>
      <c r="SE5" s="552" t="s">
        <v>991</v>
      </c>
      <c r="SF5" s="263" t="s">
        <v>992</v>
      </c>
      <c r="SG5" s="263" t="s">
        <v>993</v>
      </c>
      <c r="SH5" s="263" t="s">
        <v>994</v>
      </c>
      <c r="SI5" s="263" t="s">
        <v>995</v>
      </c>
      <c r="SJ5" s="263" t="s">
        <v>996</v>
      </c>
      <c r="SK5" s="263" t="s">
        <v>997</v>
      </c>
      <c r="SL5" s="553" t="s">
        <v>998</v>
      </c>
      <c r="SM5" s="263" t="s">
        <v>999</v>
      </c>
      <c r="SN5" s="554" t="s">
        <v>1000</v>
      </c>
      <c r="SO5" s="554"/>
      <c r="SP5" s="555"/>
      <c r="SQ5" s="556" t="s">
        <v>1001</v>
      </c>
      <c r="SR5" s="556" t="s">
        <v>1002</v>
      </c>
      <c r="SS5" s="557" t="s">
        <v>1003</v>
      </c>
      <c r="ST5" s="514" t="s">
        <v>1004</v>
      </c>
      <c r="SU5" s="514" t="s">
        <v>1005</v>
      </c>
      <c r="SV5" s="514" t="s">
        <v>1006</v>
      </c>
      <c r="SW5" s="514" t="s">
        <v>1007</v>
      </c>
      <c r="SX5" s="514" t="s">
        <v>1008</v>
      </c>
      <c r="SY5" s="514" t="s">
        <v>1009</v>
      </c>
      <c r="SZ5" s="514" t="s">
        <v>1010</v>
      </c>
      <c r="TA5" s="514" t="s">
        <v>1011</v>
      </c>
      <c r="TB5" s="514" t="s">
        <v>680</v>
      </c>
      <c r="TC5" s="557" t="s">
        <v>1012</v>
      </c>
      <c r="TD5" s="514" t="s">
        <v>1013</v>
      </c>
      <c r="TE5" s="514" t="s">
        <v>1014</v>
      </c>
      <c r="TF5" s="514" t="s">
        <v>1015</v>
      </c>
      <c r="TG5" s="514" t="s">
        <v>1016</v>
      </c>
      <c r="TH5" s="514" t="s">
        <v>1017</v>
      </c>
      <c r="TI5" s="514" t="s">
        <v>1018</v>
      </c>
      <c r="TJ5" s="514" t="s">
        <v>1019</v>
      </c>
      <c r="TK5" s="557" t="s">
        <v>1020</v>
      </c>
      <c r="TL5" s="514" t="s">
        <v>1021</v>
      </c>
      <c r="TM5" s="514" t="s">
        <v>1022</v>
      </c>
      <c r="TN5" s="514" t="s">
        <v>1023</v>
      </c>
      <c r="TO5" s="514" t="s">
        <v>1024</v>
      </c>
      <c r="TP5" s="514" t="s">
        <v>1025</v>
      </c>
      <c r="TQ5" s="514" t="s">
        <v>1026</v>
      </c>
      <c r="TR5" s="514" t="s">
        <v>1027</v>
      </c>
      <c r="TS5" s="557" t="s">
        <v>1028</v>
      </c>
      <c r="TT5" s="514" t="s">
        <v>1029</v>
      </c>
      <c r="TU5" s="514" t="s">
        <v>1030</v>
      </c>
      <c r="TV5" s="514" t="s">
        <v>1031</v>
      </c>
      <c r="TW5" s="514" t="s">
        <v>1032</v>
      </c>
      <c r="TX5" s="514" t="s">
        <v>1033</v>
      </c>
      <c r="TY5" s="514" t="s">
        <v>1034</v>
      </c>
      <c r="TZ5" s="556" t="s">
        <v>1035</v>
      </c>
      <c r="UA5" s="556" t="s">
        <v>1036</v>
      </c>
      <c r="UB5" s="557" t="s">
        <v>1037</v>
      </c>
      <c r="UC5" s="514" t="s">
        <v>1038</v>
      </c>
      <c r="UD5"/>
      <c r="UE5" s="555"/>
      <c r="UF5" s="557" t="s">
        <v>1039</v>
      </c>
      <c r="UG5" s="514" t="s">
        <v>1040</v>
      </c>
      <c r="UH5" s="514" t="s">
        <v>1041</v>
      </c>
    </row>
    <row r="6" spans="1:554" s="1110" customFormat="1" ht="30.75" thickBot="1">
      <c r="A6" s="1093">
        <v>40</v>
      </c>
      <c r="B6" s="1094" t="s">
        <v>219</v>
      </c>
      <c r="C6" s="1095" t="s">
        <v>301</v>
      </c>
      <c r="D6" s="1096" t="s">
        <v>2398</v>
      </c>
      <c r="E6" s="1097">
        <v>3656</v>
      </c>
      <c r="F6" s="1098">
        <v>3027673138</v>
      </c>
      <c r="G6" s="1096" t="s">
        <v>2399</v>
      </c>
      <c r="H6" s="1100" t="s">
        <v>219</v>
      </c>
      <c r="I6" s="1100"/>
      <c r="J6" s="1100"/>
      <c r="K6" s="1100"/>
      <c r="L6" s="1100"/>
      <c r="M6" s="1101">
        <v>144637415</v>
      </c>
      <c r="N6" s="1101">
        <v>0</v>
      </c>
      <c r="O6" s="1101">
        <v>0</v>
      </c>
      <c r="P6" s="1101">
        <v>0</v>
      </c>
      <c r="Q6" s="1101">
        <v>0</v>
      </c>
      <c r="R6" s="1101">
        <v>0</v>
      </c>
      <c r="S6" s="1101">
        <v>0</v>
      </c>
      <c r="T6" s="1101">
        <v>0</v>
      </c>
      <c r="U6" s="1101">
        <v>0</v>
      </c>
      <c r="V6" s="1101">
        <v>11741498</v>
      </c>
      <c r="W6" s="1101">
        <v>275000</v>
      </c>
      <c r="X6" s="1101">
        <v>0</v>
      </c>
      <c r="Y6" s="1101">
        <v>4117271</v>
      </c>
      <c r="Z6" s="1101">
        <v>0</v>
      </c>
      <c r="AA6" s="1101">
        <v>0</v>
      </c>
      <c r="AB6" s="1101">
        <v>0</v>
      </c>
      <c r="AC6" s="1101">
        <v>0</v>
      </c>
      <c r="AD6" s="1101">
        <v>0</v>
      </c>
      <c r="AE6" s="1101">
        <v>0</v>
      </c>
      <c r="AF6" s="1101">
        <v>0</v>
      </c>
      <c r="AG6" s="1101">
        <v>0</v>
      </c>
      <c r="AH6" s="1101">
        <v>0</v>
      </c>
      <c r="AI6" s="1101">
        <v>0</v>
      </c>
      <c r="AJ6" s="1101">
        <v>0</v>
      </c>
      <c r="AK6" s="1101">
        <v>0</v>
      </c>
      <c r="AL6" s="1101">
        <v>0</v>
      </c>
      <c r="AM6" s="1101">
        <v>0</v>
      </c>
      <c r="AN6" s="1101">
        <v>0</v>
      </c>
      <c r="AO6" s="1101">
        <v>0</v>
      </c>
      <c r="AP6" s="1101">
        <v>0</v>
      </c>
      <c r="AQ6" s="1101">
        <v>0</v>
      </c>
      <c r="AR6" s="1101">
        <v>0</v>
      </c>
      <c r="AS6" s="1101">
        <v>0</v>
      </c>
      <c r="AT6" s="1101">
        <v>0</v>
      </c>
      <c r="AU6" s="1101">
        <v>0</v>
      </c>
      <c r="AV6" s="1101">
        <v>0</v>
      </c>
      <c r="AW6" s="1101">
        <v>0</v>
      </c>
      <c r="AX6" s="1101">
        <v>0</v>
      </c>
      <c r="AY6" s="1101">
        <v>0</v>
      </c>
      <c r="AZ6" s="1101">
        <v>0</v>
      </c>
      <c r="BA6" s="1101">
        <v>0</v>
      </c>
      <c r="BB6" s="1101">
        <v>0</v>
      </c>
      <c r="BC6" s="1101">
        <v>0</v>
      </c>
      <c r="BD6" s="1101">
        <v>0</v>
      </c>
      <c r="BE6" s="1101">
        <v>0</v>
      </c>
      <c r="BF6" s="1101">
        <v>-23766991</v>
      </c>
      <c r="BG6" s="1101">
        <v>-4291292</v>
      </c>
      <c r="BH6" s="1101">
        <v>0</v>
      </c>
      <c r="BI6" s="1101">
        <v>0</v>
      </c>
      <c r="BJ6" s="1101">
        <v>0</v>
      </c>
      <c r="BK6" s="1101">
        <v>0</v>
      </c>
      <c r="BL6" s="1101">
        <v>0</v>
      </c>
      <c r="BM6" s="1101">
        <v>0</v>
      </c>
      <c r="BN6" s="1101">
        <v>0</v>
      </c>
      <c r="BO6" s="1101">
        <v>0</v>
      </c>
      <c r="BP6" s="1101">
        <v>0</v>
      </c>
      <c r="BQ6" s="1101">
        <v>0</v>
      </c>
      <c r="BR6" s="1101">
        <v>0</v>
      </c>
      <c r="BS6" s="1101">
        <v>0</v>
      </c>
      <c r="BT6" s="1101">
        <v>0</v>
      </c>
      <c r="BU6" s="1101">
        <v>0</v>
      </c>
      <c r="BV6" s="1101">
        <v>0</v>
      </c>
      <c r="BW6" s="1101">
        <v>0</v>
      </c>
      <c r="BX6" s="1101">
        <v>0</v>
      </c>
      <c r="BY6" s="1101">
        <v>0</v>
      </c>
      <c r="BZ6" s="1101">
        <v>0</v>
      </c>
      <c r="CA6" s="1101">
        <v>0</v>
      </c>
      <c r="CB6" s="1101">
        <v>0</v>
      </c>
      <c r="CC6" s="1101">
        <v>0</v>
      </c>
      <c r="CD6" s="1101">
        <v>0</v>
      </c>
      <c r="CE6" s="1101">
        <v>0</v>
      </c>
      <c r="CF6" s="1101">
        <v>0</v>
      </c>
      <c r="CG6" s="1101">
        <v>0</v>
      </c>
      <c r="CH6" s="1101">
        <v>0</v>
      </c>
      <c r="CI6" s="1101">
        <v>0</v>
      </c>
      <c r="CJ6" s="1101">
        <v>0</v>
      </c>
      <c r="CK6" s="1101">
        <v>0</v>
      </c>
      <c r="CL6" s="1101">
        <v>0</v>
      </c>
      <c r="CM6" s="1101">
        <v>0</v>
      </c>
      <c r="CN6" s="1101">
        <v>0</v>
      </c>
      <c r="CO6" s="1101">
        <v>0</v>
      </c>
      <c r="CP6" s="1101">
        <v>82109351</v>
      </c>
      <c r="CQ6" s="1101">
        <v>236831438</v>
      </c>
      <c r="CR6" s="1101">
        <v>0</v>
      </c>
      <c r="CS6" s="1101">
        <v>0</v>
      </c>
      <c r="CT6" s="1101">
        <v>0</v>
      </c>
      <c r="CU6" s="1101">
        <v>0</v>
      </c>
      <c r="CV6" s="1101">
        <v>0</v>
      </c>
      <c r="CW6" s="1101">
        <v>0</v>
      </c>
      <c r="CX6" s="1101">
        <v>0</v>
      </c>
      <c r="CY6" s="1101">
        <v>0</v>
      </c>
      <c r="CZ6" s="1101">
        <v>0</v>
      </c>
      <c r="DA6" s="1101">
        <v>0</v>
      </c>
      <c r="DB6" s="1101">
        <v>0</v>
      </c>
      <c r="DC6" s="1101">
        <v>0</v>
      </c>
      <c r="DD6" s="1101">
        <v>0</v>
      </c>
      <c r="DE6" s="1101">
        <v>0</v>
      </c>
      <c r="DF6" s="1101">
        <v>0</v>
      </c>
      <c r="DG6" s="1101">
        <v>0</v>
      </c>
      <c r="DH6" s="1101">
        <v>0</v>
      </c>
      <c r="DI6" s="1101">
        <v>0</v>
      </c>
      <c r="DJ6" s="1101">
        <v>0</v>
      </c>
      <c r="DK6" s="1101">
        <v>0</v>
      </c>
      <c r="DL6" s="1101">
        <v>0</v>
      </c>
      <c r="DM6" s="1101">
        <v>0</v>
      </c>
      <c r="DN6" s="1101">
        <v>0</v>
      </c>
      <c r="DO6" s="1101">
        <v>0</v>
      </c>
      <c r="DP6" s="1101">
        <v>0</v>
      </c>
      <c r="DQ6" s="1101">
        <v>-10276334</v>
      </c>
      <c r="DR6" s="1101">
        <v>-1855449</v>
      </c>
      <c r="DS6" s="1101">
        <v>0</v>
      </c>
      <c r="DT6" s="1101">
        <v>0</v>
      </c>
      <c r="DU6" s="1101">
        <v>0</v>
      </c>
      <c r="DV6" s="1101">
        <v>0</v>
      </c>
      <c r="DW6" s="1101">
        <v>0</v>
      </c>
      <c r="DX6" s="1101">
        <v>0</v>
      </c>
      <c r="DY6" s="1101">
        <v>0</v>
      </c>
      <c r="DZ6" s="1101">
        <v>0</v>
      </c>
      <c r="EA6" s="1101">
        <v>0</v>
      </c>
      <c r="EB6" s="1101">
        <v>0</v>
      </c>
      <c r="EC6" s="1101">
        <v>0</v>
      </c>
      <c r="ED6" s="1101">
        <v>0</v>
      </c>
      <c r="EE6" s="1101">
        <v>0</v>
      </c>
      <c r="EF6" s="1101">
        <v>0</v>
      </c>
      <c r="EG6" s="1101">
        <v>0</v>
      </c>
      <c r="EH6" s="1101">
        <v>0</v>
      </c>
      <c r="EI6" s="1101">
        <v>-10625726</v>
      </c>
      <c r="EJ6" s="1101">
        <v>-56894527</v>
      </c>
      <c r="EK6" s="1101">
        <v>0</v>
      </c>
      <c r="EL6" s="1101">
        <v>0</v>
      </c>
      <c r="EM6" s="1101">
        <v>0</v>
      </c>
      <c r="EN6" s="1101">
        <v>0</v>
      </c>
      <c r="EO6" s="1101">
        <v>0</v>
      </c>
      <c r="EP6" s="1101">
        <v>0</v>
      </c>
      <c r="EQ6" s="1101">
        <v>0</v>
      </c>
      <c r="ER6" s="1101">
        <v>-113</v>
      </c>
      <c r="ES6" s="1101">
        <v>-1320397</v>
      </c>
      <c r="ET6" s="1101">
        <v>-3631093</v>
      </c>
      <c r="EU6" s="1101">
        <v>0</v>
      </c>
      <c r="EV6" s="1101">
        <v>0</v>
      </c>
      <c r="EW6" s="1101">
        <v>0</v>
      </c>
      <c r="EX6" s="1101">
        <v>0</v>
      </c>
      <c r="EY6" s="1101">
        <v>0</v>
      </c>
      <c r="EZ6" s="1101">
        <v>0</v>
      </c>
      <c r="FA6" s="1101">
        <v>0</v>
      </c>
      <c r="FB6" s="1101">
        <v>0</v>
      </c>
      <c r="FC6" s="1101">
        <v>0</v>
      </c>
      <c r="FD6" s="1101">
        <v>0</v>
      </c>
      <c r="FE6" s="1101">
        <v>0</v>
      </c>
      <c r="FF6" s="1101">
        <v>0</v>
      </c>
      <c r="FG6" s="1101">
        <v>0</v>
      </c>
      <c r="FH6" s="1101">
        <v>0</v>
      </c>
      <c r="FI6" s="1101">
        <v>0</v>
      </c>
      <c r="FJ6" s="1101">
        <v>0</v>
      </c>
      <c r="FK6" s="1101">
        <v>0</v>
      </c>
      <c r="FL6" s="1101">
        <v>0</v>
      </c>
      <c r="FM6" s="1101">
        <v>0</v>
      </c>
      <c r="FN6" s="1101">
        <v>0</v>
      </c>
      <c r="FO6" s="1101">
        <v>0</v>
      </c>
      <c r="FP6" s="1101">
        <v>0</v>
      </c>
      <c r="FQ6" s="1101">
        <v>0</v>
      </c>
      <c r="FR6" s="1101">
        <v>0</v>
      </c>
      <c r="FS6" s="1101">
        <v>0</v>
      </c>
      <c r="FT6" s="1101">
        <v>0</v>
      </c>
      <c r="FU6" s="1101">
        <v>0</v>
      </c>
      <c r="FV6" s="1101">
        <v>0</v>
      </c>
      <c r="FW6" s="1101">
        <v>0</v>
      </c>
      <c r="FX6" s="1101">
        <v>0</v>
      </c>
      <c r="FY6" s="1101">
        <v>0</v>
      </c>
      <c r="FZ6" s="1101">
        <v>0</v>
      </c>
      <c r="GA6" s="1101">
        <v>0</v>
      </c>
      <c r="GB6" s="1101">
        <v>560</v>
      </c>
      <c r="GC6" s="1101">
        <v>125283928</v>
      </c>
      <c r="GD6" s="1101">
        <v>19897189</v>
      </c>
      <c r="GE6" s="1101">
        <v>0</v>
      </c>
      <c r="GF6" s="1101">
        <v>0</v>
      </c>
      <c r="GG6" s="1101">
        <v>0</v>
      </c>
      <c r="GH6" s="1101">
        <v>0</v>
      </c>
      <c r="GI6" s="1101">
        <v>0</v>
      </c>
      <c r="GJ6" s="1101">
        <v>0</v>
      </c>
      <c r="GK6" s="1101">
        <v>0</v>
      </c>
      <c r="GL6" s="1101">
        <v>0</v>
      </c>
      <c r="GM6" s="1101">
        <v>0</v>
      </c>
      <c r="GN6" s="1101">
        <v>0</v>
      </c>
      <c r="GO6" s="1101">
        <v>0</v>
      </c>
      <c r="GP6" s="1101">
        <v>0</v>
      </c>
      <c r="GQ6" s="1101">
        <v>0</v>
      </c>
      <c r="GR6" s="1101">
        <v>0</v>
      </c>
      <c r="GS6" s="1101">
        <v>0</v>
      </c>
      <c r="GT6" s="1101">
        <v>0</v>
      </c>
      <c r="GU6" s="1101">
        <v>0</v>
      </c>
      <c r="GV6" s="1101">
        <v>0</v>
      </c>
      <c r="GW6" s="1101">
        <v>0</v>
      </c>
      <c r="GX6" s="1101">
        <v>0</v>
      </c>
      <c r="GY6" s="1101">
        <v>0</v>
      </c>
      <c r="GZ6" s="1101">
        <v>0</v>
      </c>
      <c r="HA6" s="1101">
        <v>0</v>
      </c>
      <c r="HB6" s="1101">
        <v>0</v>
      </c>
      <c r="HC6" s="1101">
        <v>0</v>
      </c>
      <c r="HD6" s="1101">
        <v>-570907</v>
      </c>
      <c r="HE6" s="1101">
        <v>-1569996</v>
      </c>
      <c r="HF6" s="1101">
        <v>0</v>
      </c>
      <c r="HG6" s="1101">
        <v>0</v>
      </c>
      <c r="HH6" s="1101">
        <v>0</v>
      </c>
      <c r="HI6" s="1101">
        <v>0</v>
      </c>
      <c r="HJ6" s="1101">
        <v>0</v>
      </c>
      <c r="HK6" s="1101">
        <v>0</v>
      </c>
      <c r="HL6" s="1101">
        <v>0</v>
      </c>
      <c r="HM6" s="1101">
        <v>0</v>
      </c>
      <c r="HN6" s="1101">
        <v>0</v>
      </c>
      <c r="HO6" s="1101">
        <v>0</v>
      </c>
      <c r="HP6" s="1101">
        <v>0</v>
      </c>
      <c r="HQ6" s="1101">
        <v>0</v>
      </c>
      <c r="HR6" s="1101">
        <v>0</v>
      </c>
      <c r="HS6" s="1101">
        <v>0</v>
      </c>
      <c r="HT6" s="1101">
        <v>0</v>
      </c>
      <c r="HU6" s="1101">
        <v>-143</v>
      </c>
      <c r="HV6" s="1101">
        <v>-30507854</v>
      </c>
      <c r="HW6" s="1101">
        <v>-3341596</v>
      </c>
      <c r="HX6" s="1101">
        <v>0</v>
      </c>
      <c r="HY6" s="1101">
        <v>0</v>
      </c>
      <c r="HZ6" s="1101">
        <v>0</v>
      </c>
      <c r="IA6" s="1101">
        <v>0</v>
      </c>
      <c r="IB6" s="1101">
        <v>0</v>
      </c>
      <c r="IC6" s="1101">
        <v>0</v>
      </c>
      <c r="ID6" s="1101">
        <v>3106162</v>
      </c>
      <c r="IE6" s="1101">
        <v>13521496</v>
      </c>
      <c r="IF6" s="1101">
        <v>0</v>
      </c>
      <c r="IG6" s="1101">
        <v>159736902</v>
      </c>
      <c r="IH6" s="1101">
        <v>0</v>
      </c>
      <c r="II6" s="1101">
        <v>0</v>
      </c>
      <c r="IJ6" s="1101">
        <v>0</v>
      </c>
      <c r="IK6" s="1101">
        <v>0</v>
      </c>
      <c r="IL6" s="1101">
        <v>0</v>
      </c>
      <c r="IM6" s="1101">
        <v>2936978</v>
      </c>
      <c r="IN6" s="1101">
        <v>19904010</v>
      </c>
      <c r="IO6" s="1101">
        <v>901051</v>
      </c>
      <c r="IP6" s="1101">
        <v>8298728</v>
      </c>
      <c r="IQ6" s="1101">
        <v>6407</v>
      </c>
      <c r="IR6" s="1101">
        <v>8586</v>
      </c>
      <c r="IS6" s="1101">
        <v>1620131</v>
      </c>
      <c r="IT6" s="1101">
        <v>0</v>
      </c>
      <c r="IU6" s="1101">
        <v>0</v>
      </c>
      <c r="IV6" s="1101">
        <v>0</v>
      </c>
      <c r="IW6" s="1101">
        <v>127339</v>
      </c>
      <c r="IX6" s="1101">
        <v>0</v>
      </c>
      <c r="IY6" s="1101">
        <v>962842</v>
      </c>
      <c r="IZ6" s="1101">
        <v>0</v>
      </c>
      <c r="JA6" s="1101">
        <v>0</v>
      </c>
      <c r="JB6" s="1101">
        <v>0</v>
      </c>
      <c r="JC6" s="1101">
        <v>0</v>
      </c>
      <c r="JD6" s="1101">
        <v>0</v>
      </c>
      <c r="JE6" s="1101">
        <v>0</v>
      </c>
      <c r="JF6" s="1101">
        <v>4386488</v>
      </c>
      <c r="JG6" s="1101">
        <v>0</v>
      </c>
      <c r="JH6" s="1101">
        <v>13094214</v>
      </c>
      <c r="JI6" s="1101">
        <v>0</v>
      </c>
      <c r="JJ6" s="1101">
        <v>0</v>
      </c>
      <c r="JK6" s="1101">
        <v>627883</v>
      </c>
      <c r="JL6" s="1101">
        <v>0</v>
      </c>
      <c r="JM6" s="1101">
        <v>0</v>
      </c>
      <c r="JN6" s="1101">
        <v>12978</v>
      </c>
      <c r="JO6" s="1101">
        <v>26001039</v>
      </c>
      <c r="JP6" s="1101">
        <v>0</v>
      </c>
      <c r="JQ6" s="1101">
        <v>2238055</v>
      </c>
      <c r="JR6" s="1101">
        <v>0</v>
      </c>
      <c r="JS6" s="1101">
        <v>0</v>
      </c>
      <c r="JT6" s="1101">
        <v>0</v>
      </c>
      <c r="JU6" s="1101">
        <v>0</v>
      </c>
      <c r="JV6" s="1101">
        <v>0</v>
      </c>
      <c r="JW6" s="1101">
        <v>0</v>
      </c>
      <c r="JX6" s="1101">
        <v>0</v>
      </c>
      <c r="JY6" s="1101">
        <v>31718698</v>
      </c>
      <c r="JZ6" s="1101">
        <v>0</v>
      </c>
      <c r="KA6" s="1101">
        <v>0</v>
      </c>
      <c r="KB6" s="1101">
        <v>0</v>
      </c>
      <c r="KC6" s="1101">
        <v>0</v>
      </c>
      <c r="KD6" s="1101">
        <v>0</v>
      </c>
      <c r="KE6" s="1101">
        <v>0</v>
      </c>
      <c r="KF6" s="1101">
        <v>33926</v>
      </c>
      <c r="KG6" s="1101">
        <v>4270066</v>
      </c>
      <c r="KH6" s="1101">
        <v>0</v>
      </c>
      <c r="KI6" s="1101">
        <v>1678426</v>
      </c>
      <c r="KJ6" s="1101">
        <v>230125</v>
      </c>
      <c r="KK6" s="1101">
        <v>0</v>
      </c>
      <c r="KL6" s="1101">
        <v>700000</v>
      </c>
      <c r="KM6" s="1101">
        <v>0</v>
      </c>
      <c r="KN6" s="1101">
        <v>624351</v>
      </c>
      <c r="KO6" s="1101">
        <v>123807581</v>
      </c>
      <c r="KP6" s="1101">
        <v>70964119</v>
      </c>
      <c r="KQ6" s="1101">
        <v>0</v>
      </c>
      <c r="KR6" s="1101">
        <v>3313411</v>
      </c>
      <c r="KS6" s="1101">
        <v>0</v>
      </c>
      <c r="KT6" s="1101">
        <v>0</v>
      </c>
      <c r="KU6" s="1101">
        <v>0</v>
      </c>
      <c r="KV6" s="1101">
        <v>0</v>
      </c>
      <c r="KW6" s="1101">
        <v>0</v>
      </c>
      <c r="KX6" s="1101">
        <v>13784048</v>
      </c>
      <c r="KY6" s="1101">
        <v>43807801</v>
      </c>
      <c r="KZ6" s="1101">
        <v>0</v>
      </c>
      <c r="LA6" s="1101">
        <v>45807116</v>
      </c>
      <c r="LB6" s="1101">
        <v>0</v>
      </c>
      <c r="LC6" s="1101">
        <v>0</v>
      </c>
      <c r="LD6" s="1101">
        <v>0</v>
      </c>
      <c r="LE6" s="1101">
        <v>0</v>
      </c>
      <c r="LF6" s="1101">
        <v>0</v>
      </c>
      <c r="LG6" s="1101">
        <v>305716</v>
      </c>
      <c r="LH6" s="1101">
        <v>1123621</v>
      </c>
      <c r="LI6" s="1101">
        <v>0</v>
      </c>
      <c r="LJ6" s="1101">
        <v>10832469</v>
      </c>
      <c r="LK6" s="1101">
        <v>0</v>
      </c>
      <c r="LL6" s="1101">
        <v>0</v>
      </c>
      <c r="LM6" s="1101">
        <v>0</v>
      </c>
      <c r="LN6" s="1101">
        <v>0</v>
      </c>
      <c r="LO6" s="1101">
        <v>0</v>
      </c>
      <c r="LP6" s="1101">
        <v>21705754</v>
      </c>
      <c r="LQ6" s="1101">
        <v>31121605</v>
      </c>
      <c r="LR6" s="1101">
        <v>0</v>
      </c>
      <c r="LS6" s="1101">
        <v>8675299</v>
      </c>
      <c r="LT6" s="1101">
        <v>0</v>
      </c>
      <c r="LU6" s="1101">
        <v>0</v>
      </c>
      <c r="LV6" s="1101">
        <v>0</v>
      </c>
      <c r="LW6" s="1101">
        <v>0</v>
      </c>
      <c r="LX6" s="1101">
        <v>0</v>
      </c>
      <c r="LY6" s="1101">
        <v>9151611</v>
      </c>
      <c r="LZ6" s="1101">
        <v>78079274</v>
      </c>
      <c r="MA6" s="1101">
        <v>0</v>
      </c>
      <c r="MB6" s="1101">
        <v>379634</v>
      </c>
      <c r="MC6" s="1101">
        <v>-903687</v>
      </c>
      <c r="MD6" s="1101">
        <v>0</v>
      </c>
      <c r="ME6" s="1101">
        <v>0</v>
      </c>
      <c r="MF6" s="1101">
        <v>0</v>
      </c>
      <c r="MG6" s="1101">
        <v>0</v>
      </c>
      <c r="MH6" s="1101">
        <v>23055173</v>
      </c>
      <c r="MI6" s="1101">
        <v>26262069</v>
      </c>
      <c r="MJ6" s="1101">
        <v>0</v>
      </c>
      <c r="MK6" s="1101">
        <v>171881</v>
      </c>
      <c r="ML6" s="1101">
        <v>0</v>
      </c>
      <c r="MM6" s="1101">
        <v>0</v>
      </c>
      <c r="MN6" s="1101">
        <v>0</v>
      </c>
      <c r="MO6" s="1101">
        <v>0</v>
      </c>
      <c r="MP6" s="1101">
        <v>0</v>
      </c>
      <c r="MQ6" s="1101">
        <v>24542929</v>
      </c>
      <c r="MR6" s="1101">
        <v>9473454</v>
      </c>
      <c r="MS6" s="1101">
        <v>0</v>
      </c>
      <c r="MT6" s="1101">
        <v>768581</v>
      </c>
      <c r="MU6" s="1101">
        <v>0</v>
      </c>
      <c r="MV6" s="1101">
        <v>0</v>
      </c>
      <c r="MW6" s="1101">
        <v>7141610</v>
      </c>
      <c r="MX6" s="1101">
        <v>0</v>
      </c>
      <c r="MY6" s="1101">
        <v>0</v>
      </c>
      <c r="MZ6" s="1101">
        <v>8477554</v>
      </c>
      <c r="NA6" s="1101">
        <v>17482910</v>
      </c>
      <c r="NB6" s="1101">
        <v>0</v>
      </c>
      <c r="NC6" s="1101">
        <v>60919982</v>
      </c>
      <c r="ND6" s="1101">
        <v>0</v>
      </c>
      <c r="NE6" s="1101">
        <v>0</v>
      </c>
      <c r="NF6" s="1101">
        <v>0</v>
      </c>
      <c r="NG6" s="1101">
        <v>0</v>
      </c>
      <c r="NH6" s="1101">
        <v>0</v>
      </c>
      <c r="NI6" s="1101">
        <v>0</v>
      </c>
      <c r="NJ6" s="1101">
        <v>179</v>
      </c>
      <c r="NK6" s="1101">
        <v>49139466</v>
      </c>
      <c r="NL6" s="1101">
        <v>1745420</v>
      </c>
      <c r="NM6" s="1101">
        <v>0</v>
      </c>
      <c r="NN6" s="1101">
        <v>0</v>
      </c>
      <c r="NO6" s="1101">
        <v>0</v>
      </c>
      <c r="NP6" s="1101">
        <v>0</v>
      </c>
      <c r="NQ6" s="1101">
        <v>0</v>
      </c>
      <c r="NR6" s="1101">
        <v>15829</v>
      </c>
      <c r="NS6" s="1101">
        <v>273517</v>
      </c>
      <c r="NT6" s="1101">
        <v>163539</v>
      </c>
      <c r="NU6" s="1101">
        <v>3315751</v>
      </c>
      <c r="NV6" s="1101">
        <v>0</v>
      </c>
      <c r="NW6" s="1101">
        <v>0</v>
      </c>
      <c r="NX6" s="1101">
        <v>0</v>
      </c>
      <c r="NY6" s="1101">
        <v>0</v>
      </c>
      <c r="NZ6" s="1101">
        <v>0</v>
      </c>
      <c r="OA6" s="1101">
        <v>475</v>
      </c>
      <c r="OB6" s="1101">
        <v>24413</v>
      </c>
      <c r="OC6" s="1101">
        <v>0</v>
      </c>
      <c r="OD6" s="1101">
        <v>0</v>
      </c>
      <c r="OE6" s="1101">
        <v>40677</v>
      </c>
      <c r="OF6" s="1101">
        <v>0</v>
      </c>
      <c r="OG6" s="1101">
        <v>0</v>
      </c>
      <c r="OH6" s="1101">
        <v>0</v>
      </c>
      <c r="OI6" s="1101">
        <v>662812</v>
      </c>
      <c r="OJ6" s="1101">
        <v>0</v>
      </c>
      <c r="OK6" s="1101">
        <v>0</v>
      </c>
      <c r="OL6" s="1101">
        <v>0</v>
      </c>
      <c r="OM6" s="1101">
        <v>0</v>
      </c>
      <c r="ON6" s="1101">
        <v>0</v>
      </c>
      <c r="OO6" s="1101">
        <v>0</v>
      </c>
      <c r="OP6" s="1101">
        <v>-35588085</v>
      </c>
      <c r="OQ6" s="1101">
        <v>0</v>
      </c>
      <c r="OR6" s="1101">
        <v>0</v>
      </c>
      <c r="OS6" s="1101">
        <v>13998005</v>
      </c>
      <c r="OT6" s="1101">
        <v>21541201</v>
      </c>
      <c r="OU6" s="1101">
        <v>10134725</v>
      </c>
      <c r="OV6" s="1101">
        <v>-50589446</v>
      </c>
      <c r="OW6" s="1101">
        <v>0</v>
      </c>
      <c r="OX6" s="1101">
        <v>866411</v>
      </c>
      <c r="OY6" s="1101">
        <v>11577806</v>
      </c>
      <c r="OZ6" s="1101">
        <v>0</v>
      </c>
      <c r="PA6" s="1101">
        <v>4534</v>
      </c>
      <c r="PB6" s="1101">
        <v>0</v>
      </c>
      <c r="PC6" s="1101">
        <v>0</v>
      </c>
      <c r="PD6" s="1101">
        <v>0</v>
      </c>
      <c r="PE6" s="1101">
        <v>0</v>
      </c>
      <c r="PF6" s="1101">
        <v>0</v>
      </c>
      <c r="PG6" s="1101">
        <v>0</v>
      </c>
      <c r="PH6" s="1101">
        <v>35870062</v>
      </c>
      <c r="PI6" s="1101">
        <v>0</v>
      </c>
      <c r="PJ6" s="1101">
        <v>0</v>
      </c>
      <c r="PK6" s="1101">
        <v>-12828000</v>
      </c>
      <c r="PL6" s="1101">
        <v>-1860379</v>
      </c>
      <c r="PM6" s="1101">
        <v>-8127827</v>
      </c>
      <c r="PN6" s="1101">
        <v>0</v>
      </c>
      <c r="PO6" s="1101">
        <v>0</v>
      </c>
      <c r="PP6" s="1101">
        <v>0</v>
      </c>
      <c r="PQ6" s="1101">
        <v>0</v>
      </c>
      <c r="PR6" s="1101">
        <v>0</v>
      </c>
      <c r="PS6" s="1101">
        <v>0</v>
      </c>
      <c r="PT6" s="1101">
        <v>0</v>
      </c>
      <c r="PU6" s="1101">
        <v>64916118</v>
      </c>
      <c r="PV6" s="1101">
        <v>2717888</v>
      </c>
      <c r="PW6" s="1101">
        <v>4160681</v>
      </c>
      <c r="PX6" s="1101">
        <v>-23312</v>
      </c>
      <c r="PY6" s="1101">
        <v>44959355</v>
      </c>
      <c r="PZ6" s="1101">
        <v>5898917</v>
      </c>
      <c r="QA6" s="1101">
        <v>0</v>
      </c>
      <c r="QB6" s="1101">
        <v>0</v>
      </c>
      <c r="QC6" s="1101">
        <v>0</v>
      </c>
      <c r="QD6" s="1101">
        <v>0</v>
      </c>
      <c r="QE6" s="1101">
        <v>0</v>
      </c>
      <c r="QF6" s="1101">
        <v>0</v>
      </c>
      <c r="QG6" s="1101">
        <v>0</v>
      </c>
      <c r="QH6" s="1101">
        <v>1396992</v>
      </c>
      <c r="QI6" s="1101">
        <v>0</v>
      </c>
      <c r="QJ6" s="1101">
        <v>0</v>
      </c>
      <c r="QK6" s="1101">
        <v>0</v>
      </c>
      <c r="QL6" s="1101">
        <v>0</v>
      </c>
      <c r="QM6" s="1101">
        <v>0</v>
      </c>
      <c r="QN6" s="1101">
        <v>0</v>
      </c>
      <c r="QO6" s="1101">
        <v>0</v>
      </c>
      <c r="QP6" s="1101">
        <v>0</v>
      </c>
      <c r="QQ6" s="1101">
        <v>0</v>
      </c>
      <c r="QR6" s="1101">
        <v>0</v>
      </c>
      <c r="QS6" s="1101">
        <v>0</v>
      </c>
      <c r="QT6" s="1101">
        <v>0</v>
      </c>
      <c r="QU6" s="1101">
        <v>0</v>
      </c>
      <c r="QV6" s="1101">
        <v>0</v>
      </c>
      <c r="QW6" s="1101">
        <v>0</v>
      </c>
      <c r="QX6" s="1101">
        <v>0</v>
      </c>
      <c r="QY6" s="1101">
        <v>0</v>
      </c>
      <c r="QZ6" s="1101">
        <v>0</v>
      </c>
      <c r="RA6" s="1101">
        <v>0</v>
      </c>
      <c r="RB6" s="1101">
        <v>0</v>
      </c>
      <c r="RC6" s="1101">
        <v>-56108157</v>
      </c>
      <c r="RD6" s="1101">
        <v>0</v>
      </c>
      <c r="RE6" s="1101">
        <v>0</v>
      </c>
      <c r="RF6" s="1101">
        <v>0</v>
      </c>
      <c r="RG6" s="1101">
        <v>0</v>
      </c>
      <c r="RH6" s="1101">
        <v>0</v>
      </c>
      <c r="RI6" s="1101">
        <v>0</v>
      </c>
      <c r="RJ6" s="1101">
        <v>0</v>
      </c>
      <c r="RK6" s="1101">
        <v>0</v>
      </c>
      <c r="RL6" s="1101">
        <v>0</v>
      </c>
      <c r="RM6" s="1101">
        <v>0</v>
      </c>
      <c r="RN6" s="1101">
        <v>0</v>
      </c>
      <c r="RO6" s="1101">
        <v>0</v>
      </c>
      <c r="RP6" s="1101">
        <v>0</v>
      </c>
      <c r="RQ6" s="1101">
        <v>0</v>
      </c>
      <c r="RR6" s="1101">
        <v>0</v>
      </c>
      <c r="RS6" s="1101">
        <v>0</v>
      </c>
      <c r="RT6" s="1101">
        <v>0</v>
      </c>
      <c r="RU6" s="1101">
        <v>0</v>
      </c>
      <c r="RV6" s="1101">
        <v>0</v>
      </c>
      <c r="RW6" s="1101">
        <v>0</v>
      </c>
      <c r="RX6" s="1101">
        <v>0</v>
      </c>
      <c r="RY6" s="1101">
        <v>0</v>
      </c>
      <c r="RZ6" s="1101">
        <v>0</v>
      </c>
      <c r="SA6" s="1101">
        <v>0</v>
      </c>
      <c r="SB6" s="1101">
        <v>0</v>
      </c>
      <c r="SC6" s="1101">
        <v>0</v>
      </c>
      <c r="SD6" s="1101">
        <v>2346</v>
      </c>
      <c r="SE6" s="1101">
        <v>0</v>
      </c>
      <c r="SF6" s="1101">
        <v>0</v>
      </c>
      <c r="SG6" s="1101">
        <v>0</v>
      </c>
      <c r="SH6" s="1101">
        <v>0</v>
      </c>
      <c r="SI6" s="1101">
        <v>0</v>
      </c>
      <c r="SJ6" s="1101">
        <v>0</v>
      </c>
      <c r="SK6" s="1101">
        <v>0</v>
      </c>
      <c r="SL6" s="1102">
        <v>0</v>
      </c>
      <c r="SM6" s="1101">
        <v>39356721</v>
      </c>
      <c r="SN6" s="1101">
        <v>202640962</v>
      </c>
      <c r="SO6" s="1102"/>
      <c r="SP6" s="1103"/>
      <c r="SQ6" s="1104">
        <v>464122466</v>
      </c>
      <c r="SR6" s="1104">
        <v>-115642532</v>
      </c>
      <c r="SS6" s="1105">
        <v>62650</v>
      </c>
      <c r="ST6" s="1106">
        <v>2257334</v>
      </c>
      <c r="SU6" s="1106">
        <v>0</v>
      </c>
      <c r="SV6" s="1106">
        <v>532003</v>
      </c>
      <c r="SW6" s="1106">
        <v>72695</v>
      </c>
      <c r="SX6" s="1106">
        <v>172594</v>
      </c>
      <c r="SY6" s="1106">
        <v>507821</v>
      </c>
      <c r="SZ6" s="1106">
        <v>0</v>
      </c>
      <c r="TA6" s="1106">
        <v>163539</v>
      </c>
      <c r="TB6" s="1106">
        <v>0</v>
      </c>
      <c r="TC6" s="1105">
        <v>50162</v>
      </c>
      <c r="TD6" s="1106">
        <v>2595007</v>
      </c>
      <c r="TE6" s="1106">
        <v>9637</v>
      </c>
      <c r="TF6" s="1106">
        <v>0</v>
      </c>
      <c r="TG6" s="1106">
        <v>0</v>
      </c>
      <c r="TH6" s="1106">
        <v>0</v>
      </c>
      <c r="TI6" s="1106">
        <v>0</v>
      </c>
      <c r="TJ6" s="1106">
        <v>0</v>
      </c>
      <c r="TK6" s="1105">
        <v>0</v>
      </c>
      <c r="TL6" s="1106">
        <v>97242</v>
      </c>
      <c r="TM6" s="1106">
        <v>0</v>
      </c>
      <c r="TN6" s="1106">
        <v>0</v>
      </c>
      <c r="TO6" s="1106">
        <v>0</v>
      </c>
      <c r="TP6" s="1106">
        <v>0</v>
      </c>
      <c r="TQ6" s="1106">
        <v>0</v>
      </c>
      <c r="TR6" s="1106">
        <v>0</v>
      </c>
      <c r="TS6" s="1105">
        <v>198085111</v>
      </c>
      <c r="TT6" s="1106">
        <v>103398965</v>
      </c>
      <c r="TU6" s="1106">
        <v>12261806</v>
      </c>
      <c r="TV6" s="1106">
        <v>61502658</v>
      </c>
      <c r="TW6" s="1106">
        <v>86706832</v>
      </c>
      <c r="TX6" s="1106">
        <v>49489123</v>
      </c>
      <c r="TY6" s="1106">
        <v>41926574</v>
      </c>
      <c r="TZ6" s="1107">
        <v>86880446</v>
      </c>
      <c r="UA6" s="1107">
        <v>50885065</v>
      </c>
      <c r="UB6" s="1105">
        <v>95363413</v>
      </c>
      <c r="UC6" s="1108">
        <v>122629647</v>
      </c>
      <c r="UD6" s="1108"/>
      <c r="UE6" s="1103"/>
      <c r="UF6" s="1109" t="s">
        <v>2400</v>
      </c>
      <c r="UG6" s="1110" t="s">
        <v>2401</v>
      </c>
      <c r="UH6" s="1110" t="s">
        <v>2402</v>
      </c>
    </row>
    <row r="7" spans="1:554" s="1110" customFormat="1" ht="51" customHeight="1" thickBot="1">
      <c r="A7" s="1534">
        <v>51</v>
      </c>
      <c r="B7" s="1131" t="s">
        <v>1373</v>
      </c>
      <c r="C7" s="1134" t="s">
        <v>1374</v>
      </c>
      <c r="D7" s="1096" t="s">
        <v>2398</v>
      </c>
      <c r="E7" s="1097">
        <v>3658</v>
      </c>
      <c r="F7" s="1098">
        <v>13773215754</v>
      </c>
      <c r="G7" s="1096" t="s">
        <v>2399</v>
      </c>
      <c r="H7" s="1099" t="s">
        <v>1373</v>
      </c>
      <c r="I7" s="1100"/>
      <c r="J7" s="1100"/>
      <c r="K7" s="1100"/>
      <c r="L7" s="1100"/>
      <c r="M7" s="1101">
        <v>327739839</v>
      </c>
      <c r="N7" s="1101">
        <v>0</v>
      </c>
      <c r="O7" s="1101">
        <v>0</v>
      </c>
      <c r="P7" s="1101">
        <v>0</v>
      </c>
      <c r="Q7" s="1101">
        <v>0</v>
      </c>
      <c r="R7" s="1101">
        <v>0</v>
      </c>
      <c r="S7" s="1101">
        <v>0</v>
      </c>
      <c r="T7" s="1101">
        <v>0</v>
      </c>
      <c r="U7" s="1101">
        <v>0</v>
      </c>
      <c r="V7" s="1101">
        <v>33668871</v>
      </c>
      <c r="W7" s="1101">
        <v>16236531</v>
      </c>
      <c r="X7" s="1101">
        <v>0</v>
      </c>
      <c r="Y7" s="1101">
        <v>9737395</v>
      </c>
      <c r="Z7" s="1101">
        <v>0</v>
      </c>
      <c r="AA7" s="1101">
        <v>0</v>
      </c>
      <c r="AB7" s="1101">
        <v>0</v>
      </c>
      <c r="AC7" s="1101">
        <v>0</v>
      </c>
      <c r="AD7" s="1101">
        <v>0</v>
      </c>
      <c r="AE7" s="1101">
        <v>0</v>
      </c>
      <c r="AF7" s="1101">
        <v>0</v>
      </c>
      <c r="AG7" s="1101">
        <v>0</v>
      </c>
      <c r="AH7" s="1101">
        <v>0</v>
      </c>
      <c r="AI7" s="1101">
        <v>0</v>
      </c>
      <c r="AJ7" s="1101">
        <v>0</v>
      </c>
      <c r="AK7" s="1101">
        <v>0</v>
      </c>
      <c r="AL7" s="1101">
        <v>0</v>
      </c>
      <c r="AM7" s="1101">
        <v>0</v>
      </c>
      <c r="AN7" s="1101">
        <v>0</v>
      </c>
      <c r="AO7" s="1101">
        <v>0</v>
      </c>
      <c r="AP7" s="1101">
        <v>0</v>
      </c>
      <c r="AQ7" s="1101">
        <v>0</v>
      </c>
      <c r="AR7" s="1101">
        <v>0</v>
      </c>
      <c r="AS7" s="1101">
        <v>0</v>
      </c>
      <c r="AT7" s="1101">
        <v>0</v>
      </c>
      <c r="AU7" s="1101">
        <v>0</v>
      </c>
      <c r="AV7" s="1101">
        <v>0</v>
      </c>
      <c r="AW7" s="1101">
        <v>392376810</v>
      </c>
      <c r="AX7" s="1101">
        <v>0</v>
      </c>
      <c r="AY7" s="1101">
        <v>0</v>
      </c>
      <c r="AZ7" s="1101">
        <v>0</v>
      </c>
      <c r="BA7" s="1101">
        <v>0</v>
      </c>
      <c r="BB7" s="1101">
        <v>0</v>
      </c>
      <c r="BC7" s="1101">
        <v>0</v>
      </c>
      <c r="BD7" s="1101">
        <v>0</v>
      </c>
      <c r="BE7" s="1101">
        <v>0</v>
      </c>
      <c r="BF7" s="1101">
        <v>-47589478</v>
      </c>
      <c r="BG7" s="1101">
        <v>-14919675</v>
      </c>
      <c r="BH7" s="1101">
        <v>0</v>
      </c>
      <c r="BI7" s="1101">
        <v>0</v>
      </c>
      <c r="BJ7" s="1101">
        <v>0</v>
      </c>
      <c r="BK7" s="1101">
        <v>0</v>
      </c>
      <c r="BL7" s="1101">
        <v>0</v>
      </c>
      <c r="BM7" s="1101">
        <v>0</v>
      </c>
      <c r="BN7" s="1101">
        <v>0</v>
      </c>
      <c r="BO7" s="1101">
        <v>0</v>
      </c>
      <c r="BP7" s="1101">
        <v>0</v>
      </c>
      <c r="BQ7" s="1101">
        <v>0</v>
      </c>
      <c r="BR7" s="1101">
        <v>0</v>
      </c>
      <c r="BS7" s="1101">
        <v>0</v>
      </c>
      <c r="BT7" s="1101">
        <v>0</v>
      </c>
      <c r="BU7" s="1101">
        <v>0</v>
      </c>
      <c r="BV7" s="1101">
        <v>0</v>
      </c>
      <c r="BW7" s="1101">
        <v>0</v>
      </c>
      <c r="BX7" s="1101">
        <v>0</v>
      </c>
      <c r="BY7" s="1101">
        <v>0</v>
      </c>
      <c r="BZ7" s="1101">
        <v>0</v>
      </c>
      <c r="CA7" s="1101">
        <v>0</v>
      </c>
      <c r="CB7" s="1101">
        <v>0</v>
      </c>
      <c r="CC7" s="1101">
        <v>0</v>
      </c>
      <c r="CD7" s="1101">
        <v>0</v>
      </c>
      <c r="CE7" s="1101">
        <v>0</v>
      </c>
      <c r="CF7" s="1101">
        <v>0</v>
      </c>
      <c r="CG7" s="1101">
        <v>0</v>
      </c>
      <c r="CH7" s="1101">
        <v>0</v>
      </c>
      <c r="CI7" s="1101">
        <v>0</v>
      </c>
      <c r="CJ7" s="1101">
        <v>0</v>
      </c>
      <c r="CK7" s="1101">
        <v>0</v>
      </c>
      <c r="CL7" s="1101">
        <v>0</v>
      </c>
      <c r="CM7" s="1101">
        <v>0</v>
      </c>
      <c r="CN7" s="1101">
        <v>0</v>
      </c>
      <c r="CO7" s="1101">
        <v>0</v>
      </c>
      <c r="CP7" s="1101">
        <v>112577357</v>
      </c>
      <c r="CQ7" s="1101">
        <v>508168932</v>
      </c>
      <c r="CR7" s="1101">
        <v>0</v>
      </c>
      <c r="CS7" s="1101">
        <v>0</v>
      </c>
      <c r="CT7" s="1101">
        <v>0</v>
      </c>
      <c r="CU7" s="1101">
        <v>0</v>
      </c>
      <c r="CV7" s="1101">
        <v>0</v>
      </c>
      <c r="CW7" s="1101">
        <v>0</v>
      </c>
      <c r="CX7" s="1101">
        <v>0</v>
      </c>
      <c r="CY7" s="1101">
        <v>0</v>
      </c>
      <c r="CZ7" s="1101">
        <v>0</v>
      </c>
      <c r="DA7" s="1101">
        <v>0</v>
      </c>
      <c r="DB7" s="1101">
        <v>0</v>
      </c>
      <c r="DC7" s="1101">
        <v>0</v>
      </c>
      <c r="DD7" s="1101">
        <v>0</v>
      </c>
      <c r="DE7" s="1101">
        <v>0</v>
      </c>
      <c r="DF7" s="1101">
        <v>0</v>
      </c>
      <c r="DG7" s="1101">
        <v>0</v>
      </c>
      <c r="DH7" s="1101">
        <v>0</v>
      </c>
      <c r="DI7" s="1101">
        <v>0</v>
      </c>
      <c r="DJ7" s="1101">
        <v>0</v>
      </c>
      <c r="DK7" s="1101">
        <v>0</v>
      </c>
      <c r="DL7" s="1101">
        <v>0</v>
      </c>
      <c r="DM7" s="1101">
        <v>0</v>
      </c>
      <c r="DN7" s="1101">
        <v>0</v>
      </c>
      <c r="DO7" s="1101">
        <v>0</v>
      </c>
      <c r="DP7" s="1101">
        <v>0</v>
      </c>
      <c r="DQ7" s="1101">
        <v>-2153425</v>
      </c>
      <c r="DR7" s="1101">
        <v>-16439042</v>
      </c>
      <c r="DS7" s="1101">
        <v>0</v>
      </c>
      <c r="DT7" s="1101">
        <v>0</v>
      </c>
      <c r="DU7" s="1101">
        <v>0</v>
      </c>
      <c r="DV7" s="1101">
        <v>0</v>
      </c>
      <c r="DW7" s="1101">
        <v>0</v>
      </c>
      <c r="DX7" s="1101">
        <v>0</v>
      </c>
      <c r="DY7" s="1101">
        <v>0</v>
      </c>
      <c r="DZ7" s="1101">
        <v>0</v>
      </c>
      <c r="EA7" s="1101">
        <v>0</v>
      </c>
      <c r="EB7" s="1101">
        <v>0</v>
      </c>
      <c r="EC7" s="1101">
        <v>0</v>
      </c>
      <c r="ED7" s="1101">
        <v>0</v>
      </c>
      <c r="EE7" s="1101">
        <v>0</v>
      </c>
      <c r="EF7" s="1101">
        <v>0</v>
      </c>
      <c r="EG7" s="1101">
        <v>0</v>
      </c>
      <c r="EH7" s="1101">
        <v>0</v>
      </c>
      <c r="EI7" s="1101">
        <v>-28784005</v>
      </c>
      <c r="EJ7" s="1101">
        <v>-121655829</v>
      </c>
      <c r="EK7" s="1101">
        <v>0</v>
      </c>
      <c r="EL7" s="1101">
        <v>0</v>
      </c>
      <c r="EM7" s="1101">
        <v>0</v>
      </c>
      <c r="EN7" s="1101">
        <v>0</v>
      </c>
      <c r="EO7" s="1101">
        <v>0</v>
      </c>
      <c r="EP7" s="1101">
        <v>0</v>
      </c>
      <c r="EQ7" s="1101">
        <v>0</v>
      </c>
      <c r="ER7" s="1101">
        <v>0</v>
      </c>
      <c r="ES7" s="1101">
        <v>0</v>
      </c>
      <c r="ET7" s="1101">
        <v>0</v>
      </c>
      <c r="EU7" s="1101">
        <v>0</v>
      </c>
      <c r="EV7" s="1101">
        <v>0</v>
      </c>
      <c r="EW7" s="1101">
        <v>0</v>
      </c>
      <c r="EX7" s="1101">
        <v>0</v>
      </c>
      <c r="EY7" s="1101">
        <v>0</v>
      </c>
      <c r="EZ7" s="1101">
        <v>0</v>
      </c>
      <c r="FA7" s="1101">
        <v>0</v>
      </c>
      <c r="FB7" s="1101">
        <v>0</v>
      </c>
      <c r="FC7" s="1101">
        <v>0</v>
      </c>
      <c r="FD7" s="1101">
        <v>0</v>
      </c>
      <c r="FE7" s="1101">
        <v>0</v>
      </c>
      <c r="FF7" s="1101">
        <v>0</v>
      </c>
      <c r="FG7" s="1101">
        <v>0</v>
      </c>
      <c r="FH7" s="1101">
        <v>0</v>
      </c>
      <c r="FI7" s="1101">
        <v>0</v>
      </c>
      <c r="FJ7" s="1101">
        <v>0</v>
      </c>
      <c r="FK7" s="1101">
        <v>0</v>
      </c>
      <c r="FL7" s="1101">
        <v>0</v>
      </c>
      <c r="FM7" s="1101">
        <v>0</v>
      </c>
      <c r="FN7" s="1101">
        <v>0</v>
      </c>
      <c r="FO7" s="1101">
        <v>0</v>
      </c>
      <c r="FP7" s="1101">
        <v>0</v>
      </c>
      <c r="FQ7" s="1101">
        <v>0</v>
      </c>
      <c r="FR7" s="1101">
        <v>0</v>
      </c>
      <c r="FS7" s="1101">
        <v>0</v>
      </c>
      <c r="FT7" s="1101">
        <v>0</v>
      </c>
      <c r="FU7" s="1101">
        <v>0</v>
      </c>
      <c r="FV7" s="1101">
        <v>0</v>
      </c>
      <c r="FW7" s="1101">
        <v>0</v>
      </c>
      <c r="FX7" s="1101">
        <v>0</v>
      </c>
      <c r="FY7" s="1101">
        <v>0</v>
      </c>
      <c r="FZ7" s="1101">
        <v>0</v>
      </c>
      <c r="GA7" s="1101">
        <v>0</v>
      </c>
      <c r="GB7" s="1101">
        <v>137021</v>
      </c>
      <c r="GC7" s="1101">
        <v>47758957</v>
      </c>
      <c r="GD7" s="1101">
        <v>44566198</v>
      </c>
      <c r="GE7" s="1101">
        <v>0</v>
      </c>
      <c r="GF7" s="1101">
        <v>0</v>
      </c>
      <c r="GG7" s="1101">
        <v>0</v>
      </c>
      <c r="GH7" s="1101">
        <v>0</v>
      </c>
      <c r="GI7" s="1101">
        <v>0</v>
      </c>
      <c r="GJ7" s="1101">
        <v>0</v>
      </c>
      <c r="GK7" s="1101">
        <v>0</v>
      </c>
      <c r="GL7" s="1101">
        <v>0</v>
      </c>
      <c r="GM7" s="1101">
        <v>0</v>
      </c>
      <c r="GN7" s="1101">
        <v>0</v>
      </c>
      <c r="GO7" s="1101">
        <v>0</v>
      </c>
      <c r="GP7" s="1101">
        <v>0</v>
      </c>
      <c r="GQ7" s="1101">
        <v>0</v>
      </c>
      <c r="GR7" s="1101">
        <v>0</v>
      </c>
      <c r="GS7" s="1101">
        <v>0</v>
      </c>
      <c r="GT7" s="1101">
        <v>0</v>
      </c>
      <c r="GU7" s="1101">
        <v>0</v>
      </c>
      <c r="GV7" s="1101">
        <v>0</v>
      </c>
      <c r="GW7" s="1101">
        <v>0</v>
      </c>
      <c r="GX7" s="1101">
        <v>0</v>
      </c>
      <c r="GY7" s="1101">
        <v>0</v>
      </c>
      <c r="GZ7" s="1101">
        <v>0</v>
      </c>
      <c r="HA7" s="1101">
        <v>0</v>
      </c>
      <c r="HB7" s="1101">
        <v>0</v>
      </c>
      <c r="HC7" s="1101">
        <v>0</v>
      </c>
      <c r="HD7" s="1101">
        <v>-1189957</v>
      </c>
      <c r="HE7" s="1101">
        <v>0</v>
      </c>
      <c r="HF7" s="1101">
        <v>0</v>
      </c>
      <c r="HG7" s="1101">
        <v>0</v>
      </c>
      <c r="HH7" s="1101">
        <v>0</v>
      </c>
      <c r="HI7" s="1101">
        <v>0</v>
      </c>
      <c r="HJ7" s="1101">
        <v>0</v>
      </c>
      <c r="HK7" s="1101">
        <v>0</v>
      </c>
      <c r="HL7" s="1101">
        <v>0</v>
      </c>
      <c r="HM7" s="1101">
        <v>0</v>
      </c>
      <c r="HN7" s="1101">
        <v>0</v>
      </c>
      <c r="HO7" s="1101">
        <v>0</v>
      </c>
      <c r="HP7" s="1101">
        <v>0</v>
      </c>
      <c r="HQ7" s="1101">
        <v>0</v>
      </c>
      <c r="HR7" s="1101">
        <v>0</v>
      </c>
      <c r="HS7" s="1101">
        <v>0</v>
      </c>
      <c r="HT7" s="1101">
        <v>0</v>
      </c>
      <c r="HU7" s="1101">
        <v>-35035</v>
      </c>
      <c r="HV7" s="1101">
        <v>-11380596</v>
      </c>
      <c r="HW7" s="1101">
        <v>-10205840</v>
      </c>
      <c r="HX7" s="1101">
        <v>0</v>
      </c>
      <c r="HY7" s="1101">
        <v>0</v>
      </c>
      <c r="HZ7" s="1101">
        <v>0</v>
      </c>
      <c r="IA7" s="1101">
        <v>0</v>
      </c>
      <c r="IB7" s="1101">
        <v>0</v>
      </c>
      <c r="IC7" s="1101">
        <v>0</v>
      </c>
      <c r="ID7" s="1101">
        <v>3582075</v>
      </c>
      <c r="IE7" s="1101">
        <v>116427262</v>
      </c>
      <c r="IF7" s="1101">
        <v>0</v>
      </c>
      <c r="IG7" s="1101">
        <v>479343544</v>
      </c>
      <c r="IH7" s="1101">
        <v>0</v>
      </c>
      <c r="II7" s="1101">
        <v>0</v>
      </c>
      <c r="IJ7" s="1101">
        <v>0</v>
      </c>
      <c r="IK7" s="1101">
        <v>0</v>
      </c>
      <c r="IL7" s="1101">
        <v>0</v>
      </c>
      <c r="IM7" s="1101">
        <v>13498767</v>
      </c>
      <c r="IN7" s="1101">
        <v>193889082</v>
      </c>
      <c r="IO7" s="1101">
        <v>29517692</v>
      </c>
      <c r="IP7" s="1101">
        <v>259908637</v>
      </c>
      <c r="IQ7" s="1101">
        <v>4304168</v>
      </c>
      <c r="IR7" s="1101">
        <v>361099</v>
      </c>
      <c r="IS7" s="1101">
        <v>52781461</v>
      </c>
      <c r="IT7" s="1101">
        <v>0</v>
      </c>
      <c r="IU7" s="1101">
        <v>0</v>
      </c>
      <c r="IV7" s="1101">
        <v>0</v>
      </c>
      <c r="IW7" s="1101">
        <v>296418</v>
      </c>
      <c r="IX7" s="1101">
        <v>0</v>
      </c>
      <c r="IY7" s="1101">
        <v>3059911</v>
      </c>
      <c r="IZ7" s="1101">
        <v>0</v>
      </c>
      <c r="JA7" s="1101">
        <v>0</v>
      </c>
      <c r="JB7" s="1101">
        <v>0</v>
      </c>
      <c r="JC7" s="1101">
        <v>0</v>
      </c>
      <c r="JD7" s="1101">
        <v>0</v>
      </c>
      <c r="JE7" s="1101">
        <v>0</v>
      </c>
      <c r="JF7" s="1101">
        <v>13348449</v>
      </c>
      <c r="JG7" s="1101">
        <v>0</v>
      </c>
      <c r="JH7" s="1101">
        <v>318428797</v>
      </c>
      <c r="JI7" s="1101">
        <v>0</v>
      </c>
      <c r="JJ7" s="1101">
        <v>0</v>
      </c>
      <c r="JK7" s="1101">
        <v>0</v>
      </c>
      <c r="JL7" s="1101">
        <v>0</v>
      </c>
      <c r="JM7" s="1101">
        <v>0</v>
      </c>
      <c r="JN7" s="1101">
        <v>1600</v>
      </c>
      <c r="JO7" s="1101">
        <v>243918147</v>
      </c>
      <c r="JP7" s="1101">
        <v>0</v>
      </c>
      <c r="JQ7" s="1101">
        <v>26654703</v>
      </c>
      <c r="JR7" s="1101">
        <v>0</v>
      </c>
      <c r="JS7" s="1101">
        <v>0</v>
      </c>
      <c r="JT7" s="1101">
        <v>0</v>
      </c>
      <c r="JU7" s="1101">
        <v>0</v>
      </c>
      <c r="JV7" s="1101">
        <v>0</v>
      </c>
      <c r="JW7" s="1101">
        <v>0</v>
      </c>
      <c r="JX7" s="1101">
        <v>0</v>
      </c>
      <c r="JY7" s="1101">
        <v>164236378</v>
      </c>
      <c r="JZ7" s="1101">
        <v>0</v>
      </c>
      <c r="KA7" s="1101">
        <v>0</v>
      </c>
      <c r="KB7" s="1101">
        <v>0</v>
      </c>
      <c r="KC7" s="1101">
        <v>0</v>
      </c>
      <c r="KD7" s="1101">
        <v>0</v>
      </c>
      <c r="KE7" s="1101">
        <v>0</v>
      </c>
      <c r="KF7" s="1101">
        <v>185748</v>
      </c>
      <c r="KG7" s="1101">
        <v>16231137</v>
      </c>
      <c r="KH7" s="1101">
        <v>0</v>
      </c>
      <c r="KI7" s="1101">
        <v>0</v>
      </c>
      <c r="KJ7" s="1101">
        <v>1244118</v>
      </c>
      <c r="KK7" s="1101">
        <v>0</v>
      </c>
      <c r="KL7" s="1101">
        <v>0</v>
      </c>
      <c r="KM7" s="1101">
        <v>0</v>
      </c>
      <c r="KN7" s="1101">
        <v>-5726015</v>
      </c>
      <c r="KO7" s="1101">
        <v>487388032</v>
      </c>
      <c r="KP7" s="1101">
        <v>128503397</v>
      </c>
      <c r="KQ7" s="1101">
        <v>0</v>
      </c>
      <c r="KR7" s="1101">
        <v>60389396</v>
      </c>
      <c r="KS7" s="1101">
        <v>0</v>
      </c>
      <c r="KT7" s="1101">
        <v>0</v>
      </c>
      <c r="KU7" s="1101">
        <v>0</v>
      </c>
      <c r="KV7" s="1101">
        <v>0</v>
      </c>
      <c r="KW7" s="1101">
        <v>0</v>
      </c>
      <c r="KX7" s="1101">
        <v>46235207</v>
      </c>
      <c r="KY7" s="1101">
        <v>42304203</v>
      </c>
      <c r="KZ7" s="1101">
        <v>0</v>
      </c>
      <c r="LA7" s="1101">
        <v>435036819</v>
      </c>
      <c r="LB7" s="1101">
        <v>0</v>
      </c>
      <c r="LC7" s="1101">
        <v>0</v>
      </c>
      <c r="LD7" s="1101">
        <v>0</v>
      </c>
      <c r="LE7" s="1101">
        <v>0</v>
      </c>
      <c r="LF7" s="1101">
        <v>0</v>
      </c>
      <c r="LG7" s="1101">
        <v>2997007</v>
      </c>
      <c r="LH7" s="1101">
        <v>44175101</v>
      </c>
      <c r="LI7" s="1101">
        <v>0</v>
      </c>
      <c r="LJ7" s="1101">
        <v>46893945</v>
      </c>
      <c r="LK7" s="1101">
        <v>0</v>
      </c>
      <c r="LL7" s="1101">
        <v>0</v>
      </c>
      <c r="LM7" s="1101">
        <v>0</v>
      </c>
      <c r="LN7" s="1101">
        <v>0</v>
      </c>
      <c r="LO7" s="1101">
        <v>0</v>
      </c>
      <c r="LP7" s="1101">
        <v>97151456</v>
      </c>
      <c r="LQ7" s="1101">
        <v>161444205</v>
      </c>
      <c r="LR7" s="1101">
        <v>0</v>
      </c>
      <c r="LS7" s="1101">
        <v>51186170</v>
      </c>
      <c r="LT7" s="1101">
        <v>0</v>
      </c>
      <c r="LU7" s="1101">
        <v>0</v>
      </c>
      <c r="LV7" s="1101">
        <v>0</v>
      </c>
      <c r="LW7" s="1101">
        <v>0</v>
      </c>
      <c r="LX7" s="1101">
        <v>0</v>
      </c>
      <c r="LY7" s="1101">
        <v>15136139</v>
      </c>
      <c r="LZ7" s="1101">
        <v>26494555</v>
      </c>
      <c r="MA7" s="1101">
        <v>0</v>
      </c>
      <c r="MB7" s="1101">
        <v>1062128</v>
      </c>
      <c r="MC7" s="1101">
        <v>-900927</v>
      </c>
      <c r="MD7" s="1101">
        <v>0</v>
      </c>
      <c r="ME7" s="1101">
        <v>0</v>
      </c>
      <c r="MF7" s="1101">
        <v>0</v>
      </c>
      <c r="MG7" s="1101">
        <v>0</v>
      </c>
      <c r="MH7" s="1101">
        <v>79165203</v>
      </c>
      <c r="MI7" s="1101">
        <v>106484125</v>
      </c>
      <c r="MJ7" s="1101">
        <v>0</v>
      </c>
      <c r="MK7" s="1101">
        <v>27233463</v>
      </c>
      <c r="ML7" s="1101">
        <v>0</v>
      </c>
      <c r="MM7" s="1101">
        <v>0</v>
      </c>
      <c r="MN7" s="1101">
        <v>0</v>
      </c>
      <c r="MO7" s="1101">
        <v>0</v>
      </c>
      <c r="MP7" s="1101">
        <v>0</v>
      </c>
      <c r="MQ7" s="1101">
        <v>1145292</v>
      </c>
      <c r="MR7" s="1101">
        <v>145564045</v>
      </c>
      <c r="MS7" s="1101">
        <v>0</v>
      </c>
      <c r="MT7" s="1101">
        <v>1820</v>
      </c>
      <c r="MU7" s="1101">
        <v>0</v>
      </c>
      <c r="MV7" s="1101">
        <v>0</v>
      </c>
      <c r="MW7" s="1101">
        <v>51562083</v>
      </c>
      <c r="MX7" s="1101">
        <v>0</v>
      </c>
      <c r="MY7" s="1101">
        <v>0</v>
      </c>
      <c r="MZ7" s="1101">
        <v>56018007</v>
      </c>
      <c r="NA7" s="1101">
        <v>48629351</v>
      </c>
      <c r="NB7" s="1101">
        <v>0</v>
      </c>
      <c r="NC7" s="1101">
        <v>64668231</v>
      </c>
      <c r="ND7" s="1101">
        <v>0</v>
      </c>
      <c r="NE7" s="1101">
        <v>0</v>
      </c>
      <c r="NF7" s="1101">
        <v>0</v>
      </c>
      <c r="NG7" s="1101">
        <v>0</v>
      </c>
      <c r="NH7" s="1101">
        <v>0</v>
      </c>
      <c r="NI7" s="1101">
        <v>0</v>
      </c>
      <c r="NJ7" s="1101">
        <v>0</v>
      </c>
      <c r="NK7" s="1101">
        <v>214840884</v>
      </c>
      <c r="NL7" s="1101">
        <v>67393537</v>
      </c>
      <c r="NM7" s="1101">
        <v>0</v>
      </c>
      <c r="NN7" s="1101">
        <v>0</v>
      </c>
      <c r="NO7" s="1101">
        <v>0</v>
      </c>
      <c r="NP7" s="1101">
        <v>0</v>
      </c>
      <c r="NQ7" s="1101">
        <v>0</v>
      </c>
      <c r="NR7" s="1101">
        <v>9743764</v>
      </c>
      <c r="NS7" s="1101">
        <v>23048683</v>
      </c>
      <c r="NT7" s="1101">
        <v>758669</v>
      </c>
      <c r="NU7" s="1101">
        <v>51658375</v>
      </c>
      <c r="NV7" s="1101">
        <v>0</v>
      </c>
      <c r="NW7" s="1101">
        <v>0</v>
      </c>
      <c r="NX7" s="1101">
        <v>0</v>
      </c>
      <c r="NY7" s="1101">
        <v>0</v>
      </c>
      <c r="NZ7" s="1101">
        <v>0</v>
      </c>
      <c r="OA7" s="1101">
        <v>0</v>
      </c>
      <c r="OB7" s="1101">
        <v>786955</v>
      </c>
      <c r="OC7" s="1101">
        <v>165</v>
      </c>
      <c r="OD7" s="1101">
        <v>17775</v>
      </c>
      <c r="OE7" s="1101">
        <v>21853</v>
      </c>
      <c r="OF7" s="1101">
        <v>0</v>
      </c>
      <c r="OG7" s="1101">
        <v>0</v>
      </c>
      <c r="OH7" s="1101">
        <v>0</v>
      </c>
      <c r="OI7" s="1101">
        <v>903110</v>
      </c>
      <c r="OJ7" s="1101">
        <v>0</v>
      </c>
      <c r="OK7" s="1101">
        <v>0</v>
      </c>
      <c r="OL7" s="1101">
        <v>0</v>
      </c>
      <c r="OM7" s="1101">
        <v>0</v>
      </c>
      <c r="ON7" s="1101">
        <v>0</v>
      </c>
      <c r="OO7" s="1101">
        <v>0</v>
      </c>
      <c r="OP7" s="1101">
        <v>-360098588</v>
      </c>
      <c r="OQ7" s="1101">
        <v>0</v>
      </c>
      <c r="OR7" s="1101">
        <v>0</v>
      </c>
      <c r="OS7" s="1101">
        <v>20978223</v>
      </c>
      <c r="OT7" s="1101">
        <v>-50476323</v>
      </c>
      <c r="OU7" s="1101">
        <v>9652482</v>
      </c>
      <c r="OV7" s="1101">
        <v>-71563812</v>
      </c>
      <c r="OW7" s="1101">
        <v>-1538052</v>
      </c>
      <c r="OX7" s="1101">
        <v>20538508</v>
      </c>
      <c r="OY7" s="1101">
        <v>95739968</v>
      </c>
      <c r="OZ7" s="1101">
        <v>0</v>
      </c>
      <c r="PA7" s="1101">
        <v>-624251</v>
      </c>
      <c r="PB7" s="1101">
        <v>0</v>
      </c>
      <c r="PC7" s="1101">
        <v>0</v>
      </c>
      <c r="PD7" s="1101">
        <v>0</v>
      </c>
      <c r="PE7" s="1101">
        <v>0</v>
      </c>
      <c r="PF7" s="1101">
        <v>0</v>
      </c>
      <c r="PG7" s="1101">
        <v>0</v>
      </c>
      <c r="PH7" s="1101">
        <v>221797095</v>
      </c>
      <c r="PI7" s="1101">
        <v>0</v>
      </c>
      <c r="PJ7" s="1101">
        <v>0</v>
      </c>
      <c r="PK7" s="1101">
        <v>-26557020</v>
      </c>
      <c r="PL7" s="1101">
        <v>-36227182</v>
      </c>
      <c r="PM7" s="1101">
        <v>-25929154</v>
      </c>
      <c r="PN7" s="1101">
        <v>-7516922</v>
      </c>
      <c r="PO7" s="1101">
        <v>0</v>
      </c>
      <c r="PP7" s="1101">
        <v>0</v>
      </c>
      <c r="PQ7" s="1101">
        <v>-190695</v>
      </c>
      <c r="PR7" s="1101">
        <v>0</v>
      </c>
      <c r="PS7" s="1101">
        <v>0</v>
      </c>
      <c r="PT7" s="1101">
        <v>8841424</v>
      </c>
      <c r="PU7" s="1101">
        <v>33878254</v>
      </c>
      <c r="PV7" s="1101">
        <v>-5452872</v>
      </c>
      <c r="PW7" s="1101">
        <v>15449162</v>
      </c>
      <c r="PX7" s="1101">
        <v>602215</v>
      </c>
      <c r="PY7" s="1101">
        <v>1212216533</v>
      </c>
      <c r="PZ7" s="1101">
        <v>9599976</v>
      </c>
      <c r="QA7" s="1101">
        <v>0</v>
      </c>
      <c r="QB7" s="1101">
        <v>0</v>
      </c>
      <c r="QC7" s="1101">
        <v>0</v>
      </c>
      <c r="QD7" s="1101">
        <v>0</v>
      </c>
      <c r="QE7" s="1101">
        <v>0</v>
      </c>
      <c r="QF7" s="1101">
        <v>0</v>
      </c>
      <c r="QG7" s="1101">
        <v>0</v>
      </c>
      <c r="QH7" s="1101">
        <v>72883827</v>
      </c>
      <c r="QI7" s="1101">
        <v>0</v>
      </c>
      <c r="QJ7" s="1101">
        <v>0</v>
      </c>
      <c r="QK7" s="1101">
        <v>0</v>
      </c>
      <c r="QL7" s="1101">
        <v>0</v>
      </c>
      <c r="QM7" s="1101">
        <v>0</v>
      </c>
      <c r="QN7" s="1101">
        <v>0</v>
      </c>
      <c r="QO7" s="1101">
        <v>0</v>
      </c>
      <c r="QP7" s="1101">
        <v>0</v>
      </c>
      <c r="QQ7" s="1101">
        <v>0</v>
      </c>
      <c r="QR7" s="1101">
        <v>0</v>
      </c>
      <c r="QS7" s="1101">
        <v>0</v>
      </c>
      <c r="QT7" s="1101">
        <v>0</v>
      </c>
      <c r="QU7" s="1101">
        <v>0</v>
      </c>
      <c r="QV7" s="1101">
        <v>0</v>
      </c>
      <c r="QW7" s="1101">
        <v>0</v>
      </c>
      <c r="QX7" s="1101">
        <v>0</v>
      </c>
      <c r="QY7" s="1101">
        <v>0</v>
      </c>
      <c r="QZ7" s="1101">
        <v>0</v>
      </c>
      <c r="RA7" s="1101">
        <v>0</v>
      </c>
      <c r="RB7" s="1101">
        <v>0</v>
      </c>
      <c r="RC7" s="1101">
        <v>-324807006</v>
      </c>
      <c r="RD7" s="1101">
        <v>0</v>
      </c>
      <c r="RE7" s="1101">
        <v>0</v>
      </c>
      <c r="RF7" s="1101">
        <v>0</v>
      </c>
      <c r="RG7" s="1101">
        <v>0</v>
      </c>
      <c r="RH7" s="1101">
        <v>0</v>
      </c>
      <c r="RI7" s="1101">
        <v>0</v>
      </c>
      <c r="RJ7" s="1101">
        <v>0</v>
      </c>
      <c r="RK7" s="1101">
        <v>0</v>
      </c>
      <c r="RL7" s="1101">
        <v>0</v>
      </c>
      <c r="RM7" s="1101">
        <v>0</v>
      </c>
      <c r="RN7" s="1101">
        <v>0</v>
      </c>
      <c r="RO7" s="1101">
        <v>0</v>
      </c>
      <c r="RP7" s="1101">
        <v>0</v>
      </c>
      <c r="RQ7" s="1101">
        <v>0</v>
      </c>
      <c r="RR7" s="1101">
        <v>0</v>
      </c>
      <c r="RS7" s="1101">
        <v>0</v>
      </c>
      <c r="RT7" s="1101">
        <v>0</v>
      </c>
      <c r="RU7" s="1101">
        <v>0</v>
      </c>
      <c r="RV7" s="1101">
        <v>0</v>
      </c>
      <c r="RW7" s="1101">
        <v>0</v>
      </c>
      <c r="RX7" s="1101">
        <v>0</v>
      </c>
      <c r="RY7" s="1101">
        <v>0</v>
      </c>
      <c r="RZ7" s="1101">
        <v>0</v>
      </c>
      <c r="SA7" s="1101">
        <v>0</v>
      </c>
      <c r="SB7" s="1101">
        <v>0</v>
      </c>
      <c r="SC7" s="1101">
        <v>0</v>
      </c>
      <c r="SD7" s="1101">
        <v>13671247</v>
      </c>
      <c r="SE7" s="1101">
        <v>0</v>
      </c>
      <c r="SF7" s="1101">
        <v>0</v>
      </c>
      <c r="SG7" s="1101">
        <v>0</v>
      </c>
      <c r="SH7" s="1101">
        <v>0</v>
      </c>
      <c r="SI7" s="1101">
        <v>0</v>
      </c>
      <c r="SJ7" s="1101">
        <v>0</v>
      </c>
      <c r="SK7" s="1101">
        <v>0</v>
      </c>
      <c r="SL7" s="1102">
        <v>0</v>
      </c>
      <c r="SM7" s="1101">
        <v>445308080</v>
      </c>
      <c r="SN7" s="1101">
        <v>1911650254</v>
      </c>
      <c r="SO7" s="1102"/>
      <c r="SP7" s="1103"/>
      <c r="SQ7" s="1104">
        <v>713208465</v>
      </c>
      <c r="SR7" s="1104">
        <v>-191843729</v>
      </c>
      <c r="SS7" s="1105">
        <v>4337985</v>
      </c>
      <c r="ST7" s="1106">
        <v>49905370</v>
      </c>
      <c r="SU7" s="1106">
        <v>2966447</v>
      </c>
      <c r="SV7" s="1106">
        <v>20220542</v>
      </c>
      <c r="SW7" s="1106">
        <v>24455</v>
      </c>
      <c r="SX7" s="1106">
        <v>6451681</v>
      </c>
      <c r="SY7" s="1106">
        <v>523347</v>
      </c>
      <c r="SZ7" s="1106">
        <v>0</v>
      </c>
      <c r="TA7" s="1106">
        <v>779664</v>
      </c>
      <c r="TB7" s="1106">
        <v>-598</v>
      </c>
      <c r="TC7" s="1105">
        <v>542497</v>
      </c>
      <c r="TD7" s="1106">
        <v>-841172</v>
      </c>
      <c r="TE7" s="1106">
        <v>413479</v>
      </c>
      <c r="TF7" s="1106">
        <v>0</v>
      </c>
      <c r="TG7" s="1106">
        <v>0</v>
      </c>
      <c r="TH7" s="1106">
        <v>0</v>
      </c>
      <c r="TI7" s="1106">
        <v>0</v>
      </c>
      <c r="TJ7" s="1106">
        <v>0</v>
      </c>
      <c r="TK7" s="1105">
        <v>1501173</v>
      </c>
      <c r="TL7" s="1106">
        <v>567301</v>
      </c>
      <c r="TM7" s="1106">
        <v>582410</v>
      </c>
      <c r="TN7" s="1106">
        <v>0</v>
      </c>
      <c r="TO7" s="1106">
        <v>0</v>
      </c>
      <c r="TP7" s="1106">
        <v>0</v>
      </c>
      <c r="TQ7" s="1106">
        <v>0</v>
      </c>
      <c r="TR7" s="1106">
        <v>0</v>
      </c>
      <c r="TS7" s="1105">
        <v>676280825</v>
      </c>
      <c r="TT7" s="1106">
        <v>523576229</v>
      </c>
      <c r="TU7" s="1106">
        <v>94066053</v>
      </c>
      <c r="TV7" s="1106">
        <v>309781831</v>
      </c>
      <c r="TW7" s="1106">
        <v>41791895</v>
      </c>
      <c r="TX7" s="1106">
        <v>212882791</v>
      </c>
      <c r="TY7" s="1106">
        <v>198273240</v>
      </c>
      <c r="TZ7" s="1107">
        <v>169315589</v>
      </c>
      <c r="UA7" s="1107">
        <v>282234421</v>
      </c>
      <c r="UB7" s="1105">
        <v>429459412</v>
      </c>
      <c r="UC7" s="1108">
        <v>1275134692</v>
      </c>
      <c r="UD7" s="1108"/>
      <c r="UE7" s="1103"/>
      <c r="UF7" s="1109" t="s">
        <v>2403</v>
      </c>
      <c r="UG7" s="1110" t="s">
        <v>2404</v>
      </c>
      <c r="UH7" s="1110" t="s">
        <v>2405</v>
      </c>
    </row>
    <row r="8" spans="1:554" s="1110" customFormat="1" ht="30.75" thickBot="1">
      <c r="A8" s="1093">
        <v>60</v>
      </c>
      <c r="B8" s="1094" t="s">
        <v>96</v>
      </c>
      <c r="C8" s="1095" t="s">
        <v>303</v>
      </c>
      <c r="D8" s="1096" t="s">
        <v>2398</v>
      </c>
      <c r="E8" s="1097">
        <v>9741</v>
      </c>
      <c r="F8" s="1098">
        <v>2689447797</v>
      </c>
      <c r="G8" s="1096" t="s">
        <v>2399</v>
      </c>
      <c r="H8" s="1100" t="s">
        <v>96</v>
      </c>
      <c r="I8" s="1100"/>
      <c r="J8" s="1100"/>
      <c r="K8" s="1100"/>
      <c r="L8" s="1100"/>
      <c r="M8" s="1101">
        <v>109811580</v>
      </c>
      <c r="N8" s="1101">
        <v>0</v>
      </c>
      <c r="O8" s="1101">
        <v>0</v>
      </c>
      <c r="P8" s="1101">
        <v>0</v>
      </c>
      <c r="Q8" s="1101">
        <v>0</v>
      </c>
      <c r="R8" s="1101">
        <v>0</v>
      </c>
      <c r="S8" s="1101">
        <v>0</v>
      </c>
      <c r="T8" s="1101">
        <v>0</v>
      </c>
      <c r="U8" s="1101">
        <v>0</v>
      </c>
      <c r="V8" s="1101">
        <v>13626987</v>
      </c>
      <c r="W8" s="1101">
        <v>3885819</v>
      </c>
      <c r="X8" s="1101">
        <v>0</v>
      </c>
      <c r="Y8" s="1101">
        <v>2108661</v>
      </c>
      <c r="Z8" s="1101">
        <v>0</v>
      </c>
      <c r="AA8" s="1101">
        <v>0</v>
      </c>
      <c r="AB8" s="1101">
        <v>0</v>
      </c>
      <c r="AC8" s="1101">
        <v>0</v>
      </c>
      <c r="AD8" s="1101">
        <v>0</v>
      </c>
      <c r="AE8" s="1101">
        <v>0</v>
      </c>
      <c r="AF8" s="1101">
        <v>0</v>
      </c>
      <c r="AG8" s="1101">
        <v>0</v>
      </c>
      <c r="AH8" s="1101">
        <v>0</v>
      </c>
      <c r="AI8" s="1101">
        <v>0</v>
      </c>
      <c r="AJ8" s="1101">
        <v>0</v>
      </c>
      <c r="AK8" s="1101">
        <v>0</v>
      </c>
      <c r="AL8" s="1101">
        <v>0</v>
      </c>
      <c r="AM8" s="1101">
        <v>0</v>
      </c>
      <c r="AN8" s="1101">
        <v>0</v>
      </c>
      <c r="AO8" s="1101">
        <v>0</v>
      </c>
      <c r="AP8" s="1101">
        <v>0</v>
      </c>
      <c r="AQ8" s="1101">
        <v>0</v>
      </c>
      <c r="AR8" s="1101">
        <v>0</v>
      </c>
      <c r="AS8" s="1101">
        <v>0</v>
      </c>
      <c r="AT8" s="1101">
        <v>0</v>
      </c>
      <c r="AU8" s="1101">
        <v>0</v>
      </c>
      <c r="AV8" s="1101">
        <v>0</v>
      </c>
      <c r="AW8" s="1101">
        <v>0</v>
      </c>
      <c r="AX8" s="1101">
        <v>0</v>
      </c>
      <c r="AY8" s="1101">
        <v>0</v>
      </c>
      <c r="AZ8" s="1101">
        <v>0</v>
      </c>
      <c r="BA8" s="1101">
        <v>0</v>
      </c>
      <c r="BB8" s="1101">
        <v>0</v>
      </c>
      <c r="BC8" s="1101">
        <v>0</v>
      </c>
      <c r="BD8" s="1101">
        <v>0</v>
      </c>
      <c r="BE8" s="1101">
        <v>0</v>
      </c>
      <c r="BF8" s="1101">
        <v>-23425097</v>
      </c>
      <c r="BG8" s="1101">
        <v>-20731031</v>
      </c>
      <c r="BH8" s="1101">
        <v>0</v>
      </c>
      <c r="BI8" s="1101">
        <v>0</v>
      </c>
      <c r="BJ8" s="1101">
        <v>0</v>
      </c>
      <c r="BK8" s="1101">
        <v>0</v>
      </c>
      <c r="BL8" s="1101">
        <v>0</v>
      </c>
      <c r="BM8" s="1101">
        <v>0</v>
      </c>
      <c r="BN8" s="1101">
        <v>0</v>
      </c>
      <c r="BO8" s="1101">
        <v>0</v>
      </c>
      <c r="BP8" s="1101">
        <v>0</v>
      </c>
      <c r="BQ8" s="1101">
        <v>0</v>
      </c>
      <c r="BR8" s="1101">
        <v>0</v>
      </c>
      <c r="BS8" s="1101">
        <v>0</v>
      </c>
      <c r="BT8" s="1101">
        <v>0</v>
      </c>
      <c r="BU8" s="1101">
        <v>0</v>
      </c>
      <c r="BV8" s="1101">
        <v>0</v>
      </c>
      <c r="BW8" s="1101">
        <v>0</v>
      </c>
      <c r="BX8" s="1101">
        <v>0</v>
      </c>
      <c r="BY8" s="1101">
        <v>0</v>
      </c>
      <c r="BZ8" s="1101">
        <v>0</v>
      </c>
      <c r="CA8" s="1101">
        <v>0</v>
      </c>
      <c r="CB8" s="1101">
        <v>0</v>
      </c>
      <c r="CC8" s="1101">
        <v>0</v>
      </c>
      <c r="CD8" s="1101">
        <v>0</v>
      </c>
      <c r="CE8" s="1101">
        <v>0</v>
      </c>
      <c r="CF8" s="1101">
        <v>0</v>
      </c>
      <c r="CG8" s="1101">
        <v>0</v>
      </c>
      <c r="CH8" s="1101">
        <v>0</v>
      </c>
      <c r="CI8" s="1101">
        <v>0</v>
      </c>
      <c r="CJ8" s="1101">
        <v>0</v>
      </c>
      <c r="CK8" s="1101">
        <v>0</v>
      </c>
      <c r="CL8" s="1101">
        <v>0</v>
      </c>
      <c r="CM8" s="1101">
        <v>0</v>
      </c>
      <c r="CN8" s="1101">
        <v>0</v>
      </c>
      <c r="CO8" s="1101">
        <v>0</v>
      </c>
      <c r="CP8" s="1101">
        <v>57896284</v>
      </c>
      <c r="CQ8" s="1101">
        <v>269026815</v>
      </c>
      <c r="CR8" s="1101">
        <v>0</v>
      </c>
      <c r="CS8" s="1101">
        <v>0</v>
      </c>
      <c r="CT8" s="1101">
        <v>0</v>
      </c>
      <c r="CU8" s="1101">
        <v>0</v>
      </c>
      <c r="CV8" s="1101">
        <v>0</v>
      </c>
      <c r="CW8" s="1101">
        <v>0</v>
      </c>
      <c r="CX8" s="1101">
        <v>0</v>
      </c>
      <c r="CY8" s="1101">
        <v>0</v>
      </c>
      <c r="CZ8" s="1101">
        <v>0</v>
      </c>
      <c r="DA8" s="1101">
        <v>0</v>
      </c>
      <c r="DB8" s="1101">
        <v>0</v>
      </c>
      <c r="DC8" s="1101">
        <v>0</v>
      </c>
      <c r="DD8" s="1101">
        <v>0</v>
      </c>
      <c r="DE8" s="1101">
        <v>0</v>
      </c>
      <c r="DF8" s="1101">
        <v>0</v>
      </c>
      <c r="DG8" s="1101">
        <v>0</v>
      </c>
      <c r="DH8" s="1101">
        <v>0</v>
      </c>
      <c r="DI8" s="1101">
        <v>0</v>
      </c>
      <c r="DJ8" s="1101">
        <v>0</v>
      </c>
      <c r="DK8" s="1101">
        <v>0</v>
      </c>
      <c r="DL8" s="1101">
        <v>0</v>
      </c>
      <c r="DM8" s="1101">
        <v>0</v>
      </c>
      <c r="DN8" s="1101">
        <v>0</v>
      </c>
      <c r="DO8" s="1101">
        <v>0</v>
      </c>
      <c r="DP8" s="1101">
        <v>0</v>
      </c>
      <c r="DQ8" s="1101">
        <v>-809660</v>
      </c>
      <c r="DR8" s="1101">
        <v>-7278847</v>
      </c>
      <c r="DS8" s="1101">
        <v>0</v>
      </c>
      <c r="DT8" s="1101">
        <v>0</v>
      </c>
      <c r="DU8" s="1101">
        <v>0</v>
      </c>
      <c r="DV8" s="1101">
        <v>0</v>
      </c>
      <c r="DW8" s="1101">
        <v>0</v>
      </c>
      <c r="DX8" s="1101">
        <v>0</v>
      </c>
      <c r="DY8" s="1101">
        <v>0</v>
      </c>
      <c r="DZ8" s="1101">
        <v>0</v>
      </c>
      <c r="EA8" s="1101">
        <v>0</v>
      </c>
      <c r="EB8" s="1101">
        <v>0</v>
      </c>
      <c r="EC8" s="1101">
        <v>0</v>
      </c>
      <c r="ED8" s="1101">
        <v>0</v>
      </c>
      <c r="EE8" s="1101">
        <v>0</v>
      </c>
      <c r="EF8" s="1101">
        <v>0</v>
      </c>
      <c r="EG8" s="1101">
        <v>0</v>
      </c>
      <c r="EH8" s="1101">
        <v>0</v>
      </c>
      <c r="EI8" s="1101">
        <v>-17747863</v>
      </c>
      <c r="EJ8" s="1101">
        <v>-103878231</v>
      </c>
      <c r="EK8" s="1101">
        <v>0</v>
      </c>
      <c r="EL8" s="1101">
        <v>0</v>
      </c>
      <c r="EM8" s="1101">
        <v>0</v>
      </c>
      <c r="EN8" s="1101">
        <v>0</v>
      </c>
      <c r="EO8" s="1101">
        <v>0</v>
      </c>
      <c r="EP8" s="1101">
        <v>0</v>
      </c>
      <c r="EQ8" s="1101">
        <v>0</v>
      </c>
      <c r="ER8" s="1101">
        <v>0</v>
      </c>
      <c r="ES8" s="1101">
        <v>-54927</v>
      </c>
      <c r="ET8" s="1101">
        <v>-20533</v>
      </c>
      <c r="EU8" s="1101">
        <v>0</v>
      </c>
      <c r="EV8" s="1101">
        <v>0</v>
      </c>
      <c r="EW8" s="1101">
        <v>0</v>
      </c>
      <c r="EX8" s="1101">
        <v>0</v>
      </c>
      <c r="EY8" s="1101">
        <v>0</v>
      </c>
      <c r="EZ8" s="1101">
        <v>0</v>
      </c>
      <c r="FA8" s="1101">
        <v>0</v>
      </c>
      <c r="FB8" s="1101">
        <v>0</v>
      </c>
      <c r="FC8" s="1101">
        <v>0</v>
      </c>
      <c r="FD8" s="1101">
        <v>0</v>
      </c>
      <c r="FE8" s="1101">
        <v>0</v>
      </c>
      <c r="FF8" s="1101">
        <v>0</v>
      </c>
      <c r="FG8" s="1101">
        <v>0</v>
      </c>
      <c r="FH8" s="1101">
        <v>0</v>
      </c>
      <c r="FI8" s="1101">
        <v>0</v>
      </c>
      <c r="FJ8" s="1101">
        <v>0</v>
      </c>
      <c r="FK8" s="1101">
        <v>0</v>
      </c>
      <c r="FL8" s="1101">
        <v>1157</v>
      </c>
      <c r="FM8" s="1101">
        <v>0</v>
      </c>
      <c r="FN8" s="1101">
        <v>0</v>
      </c>
      <c r="FO8" s="1101">
        <v>0</v>
      </c>
      <c r="FP8" s="1101">
        <v>0</v>
      </c>
      <c r="FQ8" s="1101">
        <v>0</v>
      </c>
      <c r="FR8" s="1101">
        <v>0</v>
      </c>
      <c r="FS8" s="1101">
        <v>0</v>
      </c>
      <c r="FT8" s="1101">
        <v>0</v>
      </c>
      <c r="FU8" s="1101">
        <v>0</v>
      </c>
      <c r="FV8" s="1101">
        <v>0</v>
      </c>
      <c r="FW8" s="1101">
        <v>0</v>
      </c>
      <c r="FX8" s="1101">
        <v>0</v>
      </c>
      <c r="FY8" s="1101">
        <v>0</v>
      </c>
      <c r="FZ8" s="1101">
        <v>0</v>
      </c>
      <c r="GA8" s="1101">
        <v>0</v>
      </c>
      <c r="GB8" s="1101">
        <v>586454</v>
      </c>
      <c r="GC8" s="1101">
        <v>81276958</v>
      </c>
      <c r="GD8" s="1101">
        <v>30544667</v>
      </c>
      <c r="GE8" s="1101">
        <v>0</v>
      </c>
      <c r="GF8" s="1101">
        <v>0</v>
      </c>
      <c r="GG8" s="1101">
        <v>0</v>
      </c>
      <c r="GH8" s="1101">
        <v>0</v>
      </c>
      <c r="GI8" s="1101">
        <v>0</v>
      </c>
      <c r="GJ8" s="1101">
        <v>0</v>
      </c>
      <c r="GK8" s="1101">
        <v>0</v>
      </c>
      <c r="GL8" s="1101">
        <v>0</v>
      </c>
      <c r="GM8" s="1101">
        <v>0</v>
      </c>
      <c r="GN8" s="1101">
        <v>0</v>
      </c>
      <c r="GO8" s="1101">
        <v>0</v>
      </c>
      <c r="GP8" s="1101">
        <v>0</v>
      </c>
      <c r="GQ8" s="1101">
        <v>0</v>
      </c>
      <c r="GR8" s="1101">
        <v>0</v>
      </c>
      <c r="GS8" s="1101">
        <v>0</v>
      </c>
      <c r="GT8" s="1101">
        <v>0</v>
      </c>
      <c r="GU8" s="1101">
        <v>0</v>
      </c>
      <c r="GV8" s="1101">
        <v>0</v>
      </c>
      <c r="GW8" s="1101">
        <v>0</v>
      </c>
      <c r="GX8" s="1101">
        <v>0</v>
      </c>
      <c r="GY8" s="1101">
        <v>0</v>
      </c>
      <c r="GZ8" s="1101">
        <v>0</v>
      </c>
      <c r="HA8" s="1101">
        <v>0</v>
      </c>
      <c r="HB8" s="1101">
        <v>0</v>
      </c>
      <c r="HC8" s="1101">
        <v>0</v>
      </c>
      <c r="HD8" s="1101">
        <v>0</v>
      </c>
      <c r="HE8" s="1101">
        <v>-661597</v>
      </c>
      <c r="HF8" s="1101">
        <v>0</v>
      </c>
      <c r="HG8" s="1101">
        <v>0</v>
      </c>
      <c r="HH8" s="1101">
        <v>0</v>
      </c>
      <c r="HI8" s="1101">
        <v>0</v>
      </c>
      <c r="HJ8" s="1101">
        <v>0</v>
      </c>
      <c r="HK8" s="1101">
        <v>0</v>
      </c>
      <c r="HL8" s="1101">
        <v>0</v>
      </c>
      <c r="HM8" s="1101">
        <v>0</v>
      </c>
      <c r="HN8" s="1101">
        <v>0</v>
      </c>
      <c r="HO8" s="1101">
        <v>0</v>
      </c>
      <c r="HP8" s="1101">
        <v>0</v>
      </c>
      <c r="HQ8" s="1101">
        <v>0</v>
      </c>
      <c r="HR8" s="1101">
        <v>0</v>
      </c>
      <c r="HS8" s="1101">
        <v>0</v>
      </c>
      <c r="HT8" s="1101">
        <v>0</v>
      </c>
      <c r="HU8" s="1101">
        <v>0</v>
      </c>
      <c r="HV8" s="1101">
        <v>0</v>
      </c>
      <c r="HW8" s="1101">
        <v>-9030722</v>
      </c>
      <c r="HX8" s="1101">
        <v>0</v>
      </c>
      <c r="HY8" s="1101">
        <v>0</v>
      </c>
      <c r="HZ8" s="1101">
        <v>0</v>
      </c>
      <c r="IA8" s="1101">
        <v>0</v>
      </c>
      <c r="IB8" s="1101">
        <v>0</v>
      </c>
      <c r="IC8" s="1101">
        <v>0</v>
      </c>
      <c r="ID8" s="1101">
        <v>2739410</v>
      </c>
      <c r="IE8" s="1101">
        <v>17242239</v>
      </c>
      <c r="IF8" s="1101">
        <v>0</v>
      </c>
      <c r="IG8" s="1101">
        <v>123194007</v>
      </c>
      <c r="IH8" s="1101">
        <v>0</v>
      </c>
      <c r="II8" s="1101">
        <v>0</v>
      </c>
      <c r="IJ8" s="1101">
        <v>0</v>
      </c>
      <c r="IK8" s="1101">
        <v>0</v>
      </c>
      <c r="IL8" s="1101">
        <v>0</v>
      </c>
      <c r="IM8" s="1101">
        <v>166754</v>
      </c>
      <c r="IN8" s="1101">
        <v>16354688</v>
      </c>
      <c r="IO8" s="1101">
        <v>0</v>
      </c>
      <c r="IP8" s="1101">
        <v>21007348</v>
      </c>
      <c r="IQ8" s="1101">
        <v>3967</v>
      </c>
      <c r="IR8" s="1101">
        <v>2044172</v>
      </c>
      <c r="IS8" s="1101">
        <v>-834</v>
      </c>
      <c r="IT8" s="1101">
        <v>0</v>
      </c>
      <c r="IU8" s="1101">
        <v>0</v>
      </c>
      <c r="IV8" s="1101">
        <v>0</v>
      </c>
      <c r="IW8" s="1101">
        <v>20014</v>
      </c>
      <c r="IX8" s="1101">
        <v>0</v>
      </c>
      <c r="IY8" s="1101">
        <v>228988</v>
      </c>
      <c r="IZ8" s="1101">
        <v>0</v>
      </c>
      <c r="JA8" s="1101">
        <v>0</v>
      </c>
      <c r="JB8" s="1101">
        <v>0</v>
      </c>
      <c r="JC8" s="1101">
        <v>0</v>
      </c>
      <c r="JD8" s="1101">
        <v>0</v>
      </c>
      <c r="JE8" s="1101">
        <v>0</v>
      </c>
      <c r="JF8" s="1101">
        <v>1892789</v>
      </c>
      <c r="JG8" s="1101">
        <v>0</v>
      </c>
      <c r="JH8" s="1101">
        <v>21898666</v>
      </c>
      <c r="JI8" s="1101">
        <v>0</v>
      </c>
      <c r="JJ8" s="1101">
        <v>0</v>
      </c>
      <c r="JK8" s="1101">
        <v>1122989</v>
      </c>
      <c r="JL8" s="1101">
        <v>0</v>
      </c>
      <c r="JM8" s="1101">
        <v>0</v>
      </c>
      <c r="JN8" s="1101">
        <v>6718514</v>
      </c>
      <c r="JO8" s="1101">
        <v>24720140</v>
      </c>
      <c r="JP8" s="1101">
        <v>0</v>
      </c>
      <c r="JQ8" s="1101">
        <v>337963</v>
      </c>
      <c r="JR8" s="1101">
        <v>0</v>
      </c>
      <c r="JS8" s="1101">
        <v>0</v>
      </c>
      <c r="JT8" s="1101">
        <v>0</v>
      </c>
      <c r="JU8" s="1101">
        <v>0</v>
      </c>
      <c r="JV8" s="1101">
        <v>0</v>
      </c>
      <c r="JW8" s="1101">
        <v>0</v>
      </c>
      <c r="JX8" s="1101">
        <v>0</v>
      </c>
      <c r="JY8" s="1101">
        <v>28944491</v>
      </c>
      <c r="JZ8" s="1101">
        <v>0</v>
      </c>
      <c r="KA8" s="1101">
        <v>0</v>
      </c>
      <c r="KB8" s="1101">
        <v>0</v>
      </c>
      <c r="KC8" s="1101">
        <v>0</v>
      </c>
      <c r="KD8" s="1101">
        <v>0</v>
      </c>
      <c r="KE8" s="1101">
        <v>0</v>
      </c>
      <c r="KF8" s="1101">
        <v>1761</v>
      </c>
      <c r="KG8" s="1101">
        <v>8319631</v>
      </c>
      <c r="KH8" s="1101">
        <v>5800</v>
      </c>
      <c r="KI8" s="1101">
        <v>1033239</v>
      </c>
      <c r="KJ8" s="1101">
        <v>17748</v>
      </c>
      <c r="KK8" s="1101">
        <v>0</v>
      </c>
      <c r="KL8" s="1101">
        <v>810969</v>
      </c>
      <c r="KM8" s="1101">
        <v>0</v>
      </c>
      <c r="KN8" s="1101">
        <v>-1416903</v>
      </c>
      <c r="KO8" s="1101">
        <v>111160566</v>
      </c>
      <c r="KP8" s="1101">
        <v>85277937</v>
      </c>
      <c r="KQ8" s="1101">
        <v>0</v>
      </c>
      <c r="KR8" s="1101">
        <v>1238592</v>
      </c>
      <c r="KS8" s="1101">
        <v>0</v>
      </c>
      <c r="KT8" s="1101">
        <v>0</v>
      </c>
      <c r="KU8" s="1101">
        <v>0</v>
      </c>
      <c r="KV8" s="1101">
        <v>0</v>
      </c>
      <c r="KW8" s="1101">
        <v>0</v>
      </c>
      <c r="KX8" s="1101">
        <v>10979270</v>
      </c>
      <c r="KY8" s="1101">
        <v>23469001</v>
      </c>
      <c r="KZ8" s="1101">
        <v>0</v>
      </c>
      <c r="LA8" s="1101">
        <v>64253870</v>
      </c>
      <c r="LB8" s="1101">
        <v>0</v>
      </c>
      <c r="LC8" s="1101">
        <v>0</v>
      </c>
      <c r="LD8" s="1101">
        <v>0</v>
      </c>
      <c r="LE8" s="1101">
        <v>0</v>
      </c>
      <c r="LF8" s="1101">
        <v>0</v>
      </c>
      <c r="LG8" s="1101">
        <v>3440681</v>
      </c>
      <c r="LH8" s="1101">
        <v>3249392</v>
      </c>
      <c r="LI8" s="1101">
        <v>0</v>
      </c>
      <c r="LJ8" s="1101">
        <v>2345016</v>
      </c>
      <c r="LK8" s="1101">
        <v>0</v>
      </c>
      <c r="LL8" s="1101">
        <v>0</v>
      </c>
      <c r="LM8" s="1101">
        <v>0</v>
      </c>
      <c r="LN8" s="1101">
        <v>0</v>
      </c>
      <c r="LO8" s="1101">
        <v>0</v>
      </c>
      <c r="LP8" s="1101">
        <v>14017275</v>
      </c>
      <c r="LQ8" s="1101">
        <v>45017518</v>
      </c>
      <c r="LR8" s="1101">
        <v>0</v>
      </c>
      <c r="LS8" s="1101">
        <v>3974806</v>
      </c>
      <c r="LT8" s="1101">
        <v>0</v>
      </c>
      <c r="LU8" s="1101">
        <v>0</v>
      </c>
      <c r="LV8" s="1101">
        <v>0</v>
      </c>
      <c r="LW8" s="1101">
        <v>0</v>
      </c>
      <c r="LX8" s="1101">
        <v>0</v>
      </c>
      <c r="LY8" s="1101">
        <v>237603</v>
      </c>
      <c r="LZ8" s="1101">
        <v>17400036</v>
      </c>
      <c r="MA8" s="1101">
        <v>0</v>
      </c>
      <c r="MB8" s="1101">
        <v>323855</v>
      </c>
      <c r="MC8" s="1101">
        <v>5339</v>
      </c>
      <c r="MD8" s="1101">
        <v>0</v>
      </c>
      <c r="ME8" s="1101">
        <v>0</v>
      </c>
      <c r="MF8" s="1101">
        <v>0</v>
      </c>
      <c r="MG8" s="1101">
        <v>0</v>
      </c>
      <c r="MH8" s="1101">
        <v>11034045</v>
      </c>
      <c r="MI8" s="1101">
        <v>21828784</v>
      </c>
      <c r="MJ8" s="1101">
        <v>0</v>
      </c>
      <c r="MK8" s="1101">
        <v>1784968</v>
      </c>
      <c r="ML8" s="1101">
        <v>0</v>
      </c>
      <c r="MM8" s="1101">
        <v>0</v>
      </c>
      <c r="MN8" s="1101">
        <v>0</v>
      </c>
      <c r="MO8" s="1101">
        <v>0</v>
      </c>
      <c r="MP8" s="1101">
        <v>0</v>
      </c>
      <c r="MQ8" s="1101">
        <v>11162318</v>
      </c>
      <c r="MR8" s="1101">
        <v>38020136</v>
      </c>
      <c r="MS8" s="1101">
        <v>0</v>
      </c>
      <c r="MT8" s="1101">
        <v>4406231</v>
      </c>
      <c r="MU8" s="1101">
        <v>0</v>
      </c>
      <c r="MV8" s="1101">
        <v>0</v>
      </c>
      <c r="MW8" s="1101">
        <v>988501</v>
      </c>
      <c r="MX8" s="1101">
        <v>0</v>
      </c>
      <c r="MY8" s="1101">
        <v>0</v>
      </c>
      <c r="MZ8" s="1101">
        <v>4161548</v>
      </c>
      <c r="NA8" s="1101">
        <v>30167317</v>
      </c>
      <c r="NB8" s="1101">
        <v>0</v>
      </c>
      <c r="NC8" s="1101">
        <v>26634474</v>
      </c>
      <c r="ND8" s="1101">
        <v>0</v>
      </c>
      <c r="NE8" s="1101">
        <v>0</v>
      </c>
      <c r="NF8" s="1101">
        <v>0</v>
      </c>
      <c r="NG8" s="1101">
        <v>0</v>
      </c>
      <c r="NH8" s="1101">
        <v>0</v>
      </c>
      <c r="NI8" s="1101">
        <v>0</v>
      </c>
      <c r="NJ8" s="1101">
        <v>0</v>
      </c>
      <c r="NK8" s="1101">
        <v>39253057</v>
      </c>
      <c r="NL8" s="1101">
        <v>0</v>
      </c>
      <c r="NM8" s="1101">
        <v>0</v>
      </c>
      <c r="NN8" s="1101">
        <v>0</v>
      </c>
      <c r="NO8" s="1101">
        <v>0</v>
      </c>
      <c r="NP8" s="1101">
        <v>0</v>
      </c>
      <c r="NQ8" s="1101">
        <v>0</v>
      </c>
      <c r="NR8" s="1101">
        <v>22109</v>
      </c>
      <c r="NS8" s="1101">
        <v>8925223</v>
      </c>
      <c r="NT8" s="1101">
        <v>91150</v>
      </c>
      <c r="NU8" s="1101">
        <v>3786806</v>
      </c>
      <c r="NV8" s="1101">
        <v>0</v>
      </c>
      <c r="NW8" s="1101">
        <v>0</v>
      </c>
      <c r="NX8" s="1101">
        <v>0</v>
      </c>
      <c r="NY8" s="1101">
        <v>0</v>
      </c>
      <c r="NZ8" s="1101">
        <v>0</v>
      </c>
      <c r="OA8" s="1101">
        <v>0</v>
      </c>
      <c r="OB8" s="1101">
        <v>0</v>
      </c>
      <c r="OC8" s="1101">
        <v>0</v>
      </c>
      <c r="OD8" s="1101">
        <v>0</v>
      </c>
      <c r="OE8" s="1101">
        <v>0</v>
      </c>
      <c r="OF8" s="1101">
        <v>0</v>
      </c>
      <c r="OG8" s="1101">
        <v>0</v>
      </c>
      <c r="OH8" s="1101">
        <v>0</v>
      </c>
      <c r="OI8" s="1101">
        <v>0</v>
      </c>
      <c r="OJ8" s="1101">
        <v>0</v>
      </c>
      <c r="OK8" s="1101">
        <v>0</v>
      </c>
      <c r="OL8" s="1101">
        <v>0</v>
      </c>
      <c r="OM8" s="1101">
        <v>0</v>
      </c>
      <c r="ON8" s="1101">
        <v>0</v>
      </c>
      <c r="OO8" s="1101">
        <v>0</v>
      </c>
      <c r="OP8" s="1101">
        <v>-22875223</v>
      </c>
      <c r="OQ8" s="1101">
        <v>0</v>
      </c>
      <c r="OR8" s="1101">
        <v>0</v>
      </c>
      <c r="OS8" s="1101">
        <v>5097454</v>
      </c>
      <c r="OT8" s="1101">
        <v>23698548</v>
      </c>
      <c r="OU8" s="1101">
        <v>17688994</v>
      </c>
      <c r="OV8" s="1101">
        <v>-56754325</v>
      </c>
      <c r="OW8" s="1101">
        <v>499530</v>
      </c>
      <c r="OX8" s="1101">
        <v>12006007</v>
      </c>
      <c r="OY8" s="1101">
        <v>11799416</v>
      </c>
      <c r="OZ8" s="1101">
        <v>0</v>
      </c>
      <c r="PA8" s="1101">
        <v>-1454827</v>
      </c>
      <c r="PB8" s="1101">
        <v>0</v>
      </c>
      <c r="PC8" s="1101">
        <v>0</v>
      </c>
      <c r="PD8" s="1101">
        <v>0</v>
      </c>
      <c r="PE8" s="1101">
        <v>0</v>
      </c>
      <c r="PF8" s="1101">
        <v>0</v>
      </c>
      <c r="PG8" s="1101">
        <v>0</v>
      </c>
      <c r="PH8" s="1101">
        <v>8984486</v>
      </c>
      <c r="PI8" s="1101">
        <v>0</v>
      </c>
      <c r="PJ8" s="1101">
        <v>0</v>
      </c>
      <c r="PK8" s="1101">
        <v>-11934428</v>
      </c>
      <c r="PL8" s="1101">
        <v>-6879583</v>
      </c>
      <c r="PM8" s="1101">
        <v>-15700129</v>
      </c>
      <c r="PN8" s="1101">
        <v>-25127</v>
      </c>
      <c r="PO8" s="1101">
        <v>0</v>
      </c>
      <c r="PP8" s="1101">
        <v>0</v>
      </c>
      <c r="PQ8" s="1101">
        <v>-2311704</v>
      </c>
      <c r="PR8" s="1101">
        <v>0</v>
      </c>
      <c r="PS8" s="1101">
        <v>0</v>
      </c>
      <c r="PT8" s="1101">
        <v>0</v>
      </c>
      <c r="PU8" s="1101">
        <v>29441463</v>
      </c>
      <c r="PV8" s="1101">
        <v>0</v>
      </c>
      <c r="PW8" s="1101">
        <v>-431452</v>
      </c>
      <c r="PX8" s="1101">
        <v>0</v>
      </c>
      <c r="PY8" s="1101">
        <v>144491058</v>
      </c>
      <c r="PZ8" s="1101">
        <v>0</v>
      </c>
      <c r="QA8" s="1101">
        <v>0</v>
      </c>
      <c r="QB8" s="1101">
        <v>0</v>
      </c>
      <c r="QC8" s="1101">
        <v>0</v>
      </c>
      <c r="QD8" s="1101">
        <v>0</v>
      </c>
      <c r="QE8" s="1101">
        <v>0</v>
      </c>
      <c r="QF8" s="1101">
        <v>0</v>
      </c>
      <c r="QG8" s="1101">
        <v>0</v>
      </c>
      <c r="QH8" s="1101">
        <v>7464414</v>
      </c>
      <c r="QI8" s="1101">
        <v>0</v>
      </c>
      <c r="QJ8" s="1101">
        <v>0</v>
      </c>
      <c r="QK8" s="1101">
        <v>0</v>
      </c>
      <c r="QL8" s="1101">
        <v>0</v>
      </c>
      <c r="QM8" s="1101">
        <v>0</v>
      </c>
      <c r="QN8" s="1101">
        <v>0</v>
      </c>
      <c r="QO8" s="1101">
        <v>0</v>
      </c>
      <c r="QP8" s="1101">
        <v>0</v>
      </c>
      <c r="QQ8" s="1101">
        <v>0</v>
      </c>
      <c r="QR8" s="1101">
        <v>0</v>
      </c>
      <c r="QS8" s="1101">
        <v>0</v>
      </c>
      <c r="QT8" s="1101">
        <v>0</v>
      </c>
      <c r="QU8" s="1101">
        <v>0</v>
      </c>
      <c r="QV8" s="1101">
        <v>0</v>
      </c>
      <c r="QW8" s="1101">
        <v>0</v>
      </c>
      <c r="QX8" s="1101">
        <v>0</v>
      </c>
      <c r="QY8" s="1101">
        <v>0</v>
      </c>
      <c r="QZ8" s="1101">
        <v>0</v>
      </c>
      <c r="RA8" s="1101">
        <v>0</v>
      </c>
      <c r="RB8" s="1101">
        <v>0</v>
      </c>
      <c r="RC8" s="1101">
        <v>-90383879</v>
      </c>
      <c r="RD8" s="1101">
        <v>0</v>
      </c>
      <c r="RE8" s="1101">
        <v>0</v>
      </c>
      <c r="RF8" s="1101">
        <v>0</v>
      </c>
      <c r="RG8" s="1101">
        <v>0</v>
      </c>
      <c r="RH8" s="1101">
        <v>0</v>
      </c>
      <c r="RI8" s="1101">
        <v>0</v>
      </c>
      <c r="RJ8" s="1101">
        <v>0</v>
      </c>
      <c r="RK8" s="1101">
        <v>0</v>
      </c>
      <c r="RL8" s="1101">
        <v>0</v>
      </c>
      <c r="RM8" s="1101">
        <v>0</v>
      </c>
      <c r="RN8" s="1101">
        <v>0</v>
      </c>
      <c r="RO8" s="1101">
        <v>0</v>
      </c>
      <c r="RP8" s="1101">
        <v>0</v>
      </c>
      <c r="RQ8" s="1101">
        <v>0</v>
      </c>
      <c r="RR8" s="1101">
        <v>0</v>
      </c>
      <c r="RS8" s="1101">
        <v>0</v>
      </c>
      <c r="RT8" s="1101">
        <v>0</v>
      </c>
      <c r="RU8" s="1101">
        <v>0</v>
      </c>
      <c r="RV8" s="1101">
        <v>0</v>
      </c>
      <c r="RW8" s="1101">
        <v>0</v>
      </c>
      <c r="RX8" s="1101">
        <v>0</v>
      </c>
      <c r="RY8" s="1101">
        <v>0</v>
      </c>
      <c r="RZ8" s="1101">
        <v>0</v>
      </c>
      <c r="SA8" s="1101">
        <v>0</v>
      </c>
      <c r="SB8" s="1101">
        <v>0</v>
      </c>
      <c r="SC8" s="1101">
        <v>0</v>
      </c>
      <c r="SD8" s="1101">
        <v>0</v>
      </c>
      <c r="SE8" s="1101">
        <v>0</v>
      </c>
      <c r="SF8" s="1101">
        <v>0</v>
      </c>
      <c r="SG8" s="1101">
        <v>0</v>
      </c>
      <c r="SH8" s="1101">
        <v>0</v>
      </c>
      <c r="SI8" s="1101">
        <v>0</v>
      </c>
      <c r="SJ8" s="1101">
        <v>0</v>
      </c>
      <c r="SK8" s="1101">
        <v>0</v>
      </c>
      <c r="SL8" s="1102">
        <v>0</v>
      </c>
      <c r="SM8" s="1101">
        <v>35700511</v>
      </c>
      <c r="SN8" s="1101">
        <v>206229635</v>
      </c>
      <c r="SO8" s="1102"/>
      <c r="SP8" s="1103"/>
      <c r="SQ8" s="1104">
        <v>439331178</v>
      </c>
      <c r="SR8" s="1104">
        <v>-139406920</v>
      </c>
      <c r="SS8" s="1105">
        <v>685434</v>
      </c>
      <c r="ST8" s="1106">
        <v>6214498</v>
      </c>
      <c r="SU8" s="1106">
        <v>99652</v>
      </c>
      <c r="SV8" s="1106">
        <v>2855270</v>
      </c>
      <c r="SW8" s="1106">
        <v>0</v>
      </c>
      <c r="SX8" s="1106">
        <v>2252724</v>
      </c>
      <c r="SY8" s="1106">
        <v>626560</v>
      </c>
      <c r="SZ8" s="1106">
        <v>0</v>
      </c>
      <c r="TA8" s="1106">
        <v>91150</v>
      </c>
      <c r="TB8" s="1106">
        <v>37083</v>
      </c>
      <c r="TC8" s="1105">
        <v>0</v>
      </c>
      <c r="TD8" s="1106">
        <v>1410653</v>
      </c>
      <c r="TE8" s="1106">
        <v>0</v>
      </c>
      <c r="TF8" s="1106">
        <v>0</v>
      </c>
      <c r="TG8" s="1106">
        <v>0</v>
      </c>
      <c r="TH8" s="1106">
        <v>0</v>
      </c>
      <c r="TI8" s="1106">
        <v>0</v>
      </c>
      <c r="TJ8" s="1106">
        <v>0</v>
      </c>
      <c r="TK8" s="1105">
        <v>0</v>
      </c>
      <c r="TL8" s="1106">
        <v>416362</v>
      </c>
      <c r="TM8" s="1106">
        <v>0</v>
      </c>
      <c r="TN8" s="1106">
        <v>0</v>
      </c>
      <c r="TO8" s="1106">
        <v>0</v>
      </c>
      <c r="TP8" s="1106">
        <v>0</v>
      </c>
      <c r="TQ8" s="1106">
        <v>0</v>
      </c>
      <c r="TR8" s="1106">
        <v>0</v>
      </c>
      <c r="TS8" s="1105">
        <v>197677095</v>
      </c>
      <c r="TT8" s="1106">
        <v>98702141</v>
      </c>
      <c r="TU8" s="1106">
        <v>9035089</v>
      </c>
      <c r="TV8" s="1106">
        <v>63009599</v>
      </c>
      <c r="TW8" s="1106">
        <v>17966833</v>
      </c>
      <c r="TX8" s="1106">
        <v>34647797</v>
      </c>
      <c r="TY8" s="1106">
        <v>54577186</v>
      </c>
      <c r="TZ8" s="1107">
        <v>60963339</v>
      </c>
      <c r="UA8" s="1107">
        <v>39253057</v>
      </c>
      <c r="UB8" s="1105">
        <v>79947520</v>
      </c>
      <c r="UC8" s="1108">
        <v>173501069</v>
      </c>
      <c r="UD8" s="1108"/>
      <c r="UE8" s="1103"/>
      <c r="UF8" s="1109" t="s">
        <v>2406</v>
      </c>
      <c r="UG8" s="1110" t="s">
        <v>2407</v>
      </c>
      <c r="UH8" s="1110" t="s">
        <v>2408</v>
      </c>
    </row>
    <row r="9" spans="1:554" s="776" customFormat="1" ht="36.75" customHeight="1" thickBot="1">
      <c r="A9" s="1093">
        <v>70</v>
      </c>
      <c r="B9" s="1094" t="s">
        <v>97</v>
      </c>
      <c r="C9" s="1095" t="s">
        <v>304</v>
      </c>
      <c r="D9" s="1096" t="s">
        <v>2398</v>
      </c>
      <c r="E9" s="1097">
        <v>3661</v>
      </c>
      <c r="F9" s="1098">
        <v>1958761522</v>
      </c>
      <c r="G9" s="1096" t="s">
        <v>2399</v>
      </c>
      <c r="H9" s="1100" t="s">
        <v>97</v>
      </c>
      <c r="I9" s="1100"/>
      <c r="J9" s="1100"/>
      <c r="K9" s="1100"/>
      <c r="L9" s="1100"/>
      <c r="M9" s="1101">
        <v>109854473</v>
      </c>
      <c r="N9" s="1101">
        <v>0</v>
      </c>
      <c r="O9" s="1101">
        <v>0</v>
      </c>
      <c r="P9" s="1101">
        <v>0</v>
      </c>
      <c r="Q9" s="1101">
        <v>0</v>
      </c>
      <c r="R9" s="1101">
        <v>0</v>
      </c>
      <c r="S9" s="1101">
        <v>0</v>
      </c>
      <c r="T9" s="1101">
        <v>0</v>
      </c>
      <c r="U9" s="1101">
        <v>0</v>
      </c>
      <c r="V9" s="1101">
        <v>22696980</v>
      </c>
      <c r="W9" s="1101">
        <v>444201</v>
      </c>
      <c r="X9" s="1101">
        <v>0</v>
      </c>
      <c r="Y9" s="1101">
        <v>339939</v>
      </c>
      <c r="Z9" s="1101">
        <v>0</v>
      </c>
      <c r="AA9" s="1101">
        <v>0</v>
      </c>
      <c r="AB9" s="1101">
        <v>0</v>
      </c>
      <c r="AC9" s="1101">
        <v>0</v>
      </c>
      <c r="AD9" s="1101">
        <v>0</v>
      </c>
      <c r="AE9" s="1101">
        <v>0</v>
      </c>
      <c r="AF9" s="1101">
        <v>0</v>
      </c>
      <c r="AG9" s="1101">
        <v>0</v>
      </c>
      <c r="AH9" s="1101">
        <v>0</v>
      </c>
      <c r="AI9" s="1101">
        <v>0</v>
      </c>
      <c r="AJ9" s="1101">
        <v>0</v>
      </c>
      <c r="AK9" s="1101">
        <v>0</v>
      </c>
      <c r="AL9" s="1101">
        <v>0</v>
      </c>
      <c r="AM9" s="1101">
        <v>0</v>
      </c>
      <c r="AN9" s="1101">
        <v>0</v>
      </c>
      <c r="AO9" s="1101">
        <v>0</v>
      </c>
      <c r="AP9" s="1101">
        <v>0</v>
      </c>
      <c r="AQ9" s="1101">
        <v>0</v>
      </c>
      <c r="AR9" s="1101">
        <v>0</v>
      </c>
      <c r="AS9" s="1101">
        <v>0</v>
      </c>
      <c r="AT9" s="1101">
        <v>0</v>
      </c>
      <c r="AU9" s="1101">
        <v>0</v>
      </c>
      <c r="AV9" s="1101">
        <v>0</v>
      </c>
      <c r="AW9" s="1101">
        <v>0</v>
      </c>
      <c r="AX9" s="1101">
        <v>0</v>
      </c>
      <c r="AY9" s="1101">
        <v>0</v>
      </c>
      <c r="AZ9" s="1101">
        <v>0</v>
      </c>
      <c r="BA9" s="1101">
        <v>0</v>
      </c>
      <c r="BB9" s="1101">
        <v>0</v>
      </c>
      <c r="BC9" s="1101">
        <v>0</v>
      </c>
      <c r="BD9" s="1101">
        <v>0</v>
      </c>
      <c r="BE9" s="1101">
        <v>0</v>
      </c>
      <c r="BF9" s="1101">
        <v>-20405045</v>
      </c>
      <c r="BG9" s="1101">
        <v>-18272</v>
      </c>
      <c r="BH9" s="1101">
        <v>0</v>
      </c>
      <c r="BI9" s="1101">
        <v>0</v>
      </c>
      <c r="BJ9" s="1101">
        <v>0</v>
      </c>
      <c r="BK9" s="1101">
        <v>0</v>
      </c>
      <c r="BL9" s="1101">
        <v>0</v>
      </c>
      <c r="BM9" s="1101">
        <v>0</v>
      </c>
      <c r="BN9" s="1101">
        <v>0</v>
      </c>
      <c r="BO9" s="1101">
        <v>0</v>
      </c>
      <c r="BP9" s="1101">
        <v>0</v>
      </c>
      <c r="BQ9" s="1101">
        <v>0</v>
      </c>
      <c r="BR9" s="1101">
        <v>0</v>
      </c>
      <c r="BS9" s="1101">
        <v>0</v>
      </c>
      <c r="BT9" s="1101">
        <v>0</v>
      </c>
      <c r="BU9" s="1101">
        <v>0</v>
      </c>
      <c r="BV9" s="1101">
        <v>0</v>
      </c>
      <c r="BW9" s="1101">
        <v>0</v>
      </c>
      <c r="BX9" s="1101">
        <v>0</v>
      </c>
      <c r="BY9" s="1101">
        <v>0</v>
      </c>
      <c r="BZ9" s="1101">
        <v>0</v>
      </c>
      <c r="CA9" s="1101">
        <v>0</v>
      </c>
      <c r="CB9" s="1101">
        <v>0</v>
      </c>
      <c r="CC9" s="1101">
        <v>0</v>
      </c>
      <c r="CD9" s="1101">
        <v>0</v>
      </c>
      <c r="CE9" s="1101">
        <v>0</v>
      </c>
      <c r="CF9" s="1101">
        <v>0</v>
      </c>
      <c r="CG9" s="1101">
        <v>0</v>
      </c>
      <c r="CH9" s="1101">
        <v>0</v>
      </c>
      <c r="CI9" s="1101">
        <v>0</v>
      </c>
      <c r="CJ9" s="1101">
        <v>0</v>
      </c>
      <c r="CK9" s="1101">
        <v>0</v>
      </c>
      <c r="CL9" s="1101">
        <v>0</v>
      </c>
      <c r="CM9" s="1101">
        <v>0</v>
      </c>
      <c r="CN9" s="1101">
        <v>0</v>
      </c>
      <c r="CO9" s="1101">
        <v>0</v>
      </c>
      <c r="CP9" s="1101">
        <v>35885186</v>
      </c>
      <c r="CQ9" s="1101">
        <v>114478598</v>
      </c>
      <c r="CR9" s="1101">
        <v>0</v>
      </c>
      <c r="CS9" s="1101">
        <v>0</v>
      </c>
      <c r="CT9" s="1101">
        <v>0</v>
      </c>
      <c r="CU9" s="1101">
        <v>0</v>
      </c>
      <c r="CV9" s="1101">
        <v>0</v>
      </c>
      <c r="CW9" s="1101">
        <v>0</v>
      </c>
      <c r="CX9" s="1101">
        <v>0</v>
      </c>
      <c r="CY9" s="1101">
        <v>0</v>
      </c>
      <c r="CZ9" s="1101">
        <v>0</v>
      </c>
      <c r="DA9" s="1101">
        <v>0</v>
      </c>
      <c r="DB9" s="1101">
        <v>0</v>
      </c>
      <c r="DC9" s="1101">
        <v>0</v>
      </c>
      <c r="DD9" s="1101">
        <v>0</v>
      </c>
      <c r="DE9" s="1101">
        <v>0</v>
      </c>
      <c r="DF9" s="1101">
        <v>0</v>
      </c>
      <c r="DG9" s="1101">
        <v>0</v>
      </c>
      <c r="DH9" s="1101">
        <v>0</v>
      </c>
      <c r="DI9" s="1101">
        <v>0</v>
      </c>
      <c r="DJ9" s="1101">
        <v>0</v>
      </c>
      <c r="DK9" s="1101">
        <v>0</v>
      </c>
      <c r="DL9" s="1101">
        <v>0</v>
      </c>
      <c r="DM9" s="1101">
        <v>0</v>
      </c>
      <c r="DN9" s="1101">
        <v>0</v>
      </c>
      <c r="DO9" s="1101">
        <v>0</v>
      </c>
      <c r="DP9" s="1101">
        <v>0</v>
      </c>
      <c r="DQ9" s="1101">
        <v>-1205632</v>
      </c>
      <c r="DR9" s="1101">
        <v>-4362762</v>
      </c>
      <c r="DS9" s="1101">
        <v>0</v>
      </c>
      <c r="DT9" s="1101">
        <v>0</v>
      </c>
      <c r="DU9" s="1101">
        <v>0</v>
      </c>
      <c r="DV9" s="1101">
        <v>0</v>
      </c>
      <c r="DW9" s="1101">
        <v>0</v>
      </c>
      <c r="DX9" s="1101">
        <v>0</v>
      </c>
      <c r="DY9" s="1101">
        <v>0</v>
      </c>
      <c r="DZ9" s="1101">
        <v>0</v>
      </c>
      <c r="EA9" s="1101">
        <v>0</v>
      </c>
      <c r="EB9" s="1101">
        <v>0</v>
      </c>
      <c r="EC9" s="1101">
        <v>0</v>
      </c>
      <c r="ED9" s="1101">
        <v>0</v>
      </c>
      <c r="EE9" s="1101">
        <v>0</v>
      </c>
      <c r="EF9" s="1101">
        <v>0</v>
      </c>
      <c r="EG9" s="1101">
        <v>0</v>
      </c>
      <c r="EH9" s="1101">
        <v>0</v>
      </c>
      <c r="EI9" s="1101">
        <v>-8511425</v>
      </c>
      <c r="EJ9" s="1101">
        <v>-26598360</v>
      </c>
      <c r="EK9" s="1101">
        <v>0</v>
      </c>
      <c r="EL9" s="1101">
        <v>0</v>
      </c>
      <c r="EM9" s="1101">
        <v>0</v>
      </c>
      <c r="EN9" s="1101">
        <v>0</v>
      </c>
      <c r="EO9" s="1101">
        <v>0</v>
      </c>
      <c r="EP9" s="1101">
        <v>0</v>
      </c>
      <c r="EQ9" s="1101">
        <v>0</v>
      </c>
      <c r="ER9" s="1101">
        <v>0</v>
      </c>
      <c r="ES9" s="1101">
        <v>-6690</v>
      </c>
      <c r="ET9" s="1101">
        <v>-552</v>
      </c>
      <c r="EU9" s="1101">
        <v>0</v>
      </c>
      <c r="EV9" s="1101">
        <v>0</v>
      </c>
      <c r="EW9" s="1101">
        <v>0</v>
      </c>
      <c r="EX9" s="1101">
        <v>0</v>
      </c>
      <c r="EY9" s="1101">
        <v>0</v>
      </c>
      <c r="EZ9" s="1101">
        <v>0</v>
      </c>
      <c r="FA9" s="1101">
        <v>0</v>
      </c>
      <c r="FB9" s="1101">
        <v>0</v>
      </c>
      <c r="FC9" s="1101">
        <v>0</v>
      </c>
      <c r="FD9" s="1101">
        <v>0</v>
      </c>
      <c r="FE9" s="1101">
        <v>0</v>
      </c>
      <c r="FF9" s="1101">
        <v>0</v>
      </c>
      <c r="FG9" s="1101">
        <v>0</v>
      </c>
      <c r="FH9" s="1101">
        <v>0</v>
      </c>
      <c r="FI9" s="1101">
        <v>0</v>
      </c>
      <c r="FJ9" s="1101">
        <v>0</v>
      </c>
      <c r="FK9" s="1101">
        <v>0</v>
      </c>
      <c r="FL9" s="1101">
        <v>0</v>
      </c>
      <c r="FM9" s="1101">
        <v>0</v>
      </c>
      <c r="FN9" s="1101">
        <v>0</v>
      </c>
      <c r="FO9" s="1101">
        <v>0</v>
      </c>
      <c r="FP9" s="1101">
        <v>0</v>
      </c>
      <c r="FQ9" s="1101">
        <v>0</v>
      </c>
      <c r="FR9" s="1101">
        <v>0</v>
      </c>
      <c r="FS9" s="1101">
        <v>0</v>
      </c>
      <c r="FT9" s="1101">
        <v>0</v>
      </c>
      <c r="FU9" s="1101">
        <v>0</v>
      </c>
      <c r="FV9" s="1101">
        <v>0</v>
      </c>
      <c r="FW9" s="1101">
        <v>0</v>
      </c>
      <c r="FX9" s="1101">
        <v>0</v>
      </c>
      <c r="FY9" s="1101">
        <v>0</v>
      </c>
      <c r="FZ9" s="1101">
        <v>0</v>
      </c>
      <c r="GA9" s="1101">
        <v>0</v>
      </c>
      <c r="GB9" s="1101">
        <v>0</v>
      </c>
      <c r="GC9" s="1101">
        <v>41921999</v>
      </c>
      <c r="GD9" s="1101">
        <v>11945852</v>
      </c>
      <c r="GE9" s="1101">
        <v>0</v>
      </c>
      <c r="GF9" s="1101">
        <v>0</v>
      </c>
      <c r="GG9" s="1101">
        <v>0</v>
      </c>
      <c r="GH9" s="1101">
        <v>0</v>
      </c>
      <c r="GI9" s="1101">
        <v>0</v>
      </c>
      <c r="GJ9" s="1101">
        <v>0</v>
      </c>
      <c r="GK9" s="1101">
        <v>0</v>
      </c>
      <c r="GL9" s="1101">
        <v>0</v>
      </c>
      <c r="GM9" s="1101">
        <v>0</v>
      </c>
      <c r="GN9" s="1101">
        <v>0</v>
      </c>
      <c r="GO9" s="1101">
        <v>0</v>
      </c>
      <c r="GP9" s="1101">
        <v>0</v>
      </c>
      <c r="GQ9" s="1101">
        <v>0</v>
      </c>
      <c r="GR9" s="1101">
        <v>0</v>
      </c>
      <c r="GS9" s="1101">
        <v>0</v>
      </c>
      <c r="GT9" s="1101">
        <v>0</v>
      </c>
      <c r="GU9" s="1101">
        <v>0</v>
      </c>
      <c r="GV9" s="1101">
        <v>0</v>
      </c>
      <c r="GW9" s="1101">
        <v>0</v>
      </c>
      <c r="GX9" s="1101">
        <v>0</v>
      </c>
      <c r="GY9" s="1101">
        <v>0</v>
      </c>
      <c r="GZ9" s="1101">
        <v>0</v>
      </c>
      <c r="HA9" s="1101">
        <v>0</v>
      </c>
      <c r="HB9" s="1101">
        <v>0</v>
      </c>
      <c r="HC9" s="1101">
        <v>0</v>
      </c>
      <c r="HD9" s="1101">
        <v>-1230141</v>
      </c>
      <c r="HE9" s="1101">
        <v>-123714</v>
      </c>
      <c r="HF9" s="1101">
        <v>0</v>
      </c>
      <c r="HG9" s="1101">
        <v>0</v>
      </c>
      <c r="HH9" s="1101">
        <v>0</v>
      </c>
      <c r="HI9" s="1101">
        <v>0</v>
      </c>
      <c r="HJ9" s="1101">
        <v>0</v>
      </c>
      <c r="HK9" s="1101">
        <v>0</v>
      </c>
      <c r="HL9" s="1101">
        <v>0</v>
      </c>
      <c r="HM9" s="1101">
        <v>0</v>
      </c>
      <c r="HN9" s="1101">
        <v>0</v>
      </c>
      <c r="HO9" s="1101">
        <v>0</v>
      </c>
      <c r="HP9" s="1101">
        <v>0</v>
      </c>
      <c r="HQ9" s="1101">
        <v>0</v>
      </c>
      <c r="HR9" s="1101">
        <v>0</v>
      </c>
      <c r="HS9" s="1101">
        <v>0</v>
      </c>
      <c r="HT9" s="1101">
        <v>0</v>
      </c>
      <c r="HU9" s="1101">
        <v>0</v>
      </c>
      <c r="HV9" s="1101">
        <v>-10107780</v>
      </c>
      <c r="HW9" s="1101">
        <v>-3102927</v>
      </c>
      <c r="HX9" s="1101">
        <v>0</v>
      </c>
      <c r="HY9" s="1101">
        <v>0</v>
      </c>
      <c r="HZ9" s="1101">
        <v>0</v>
      </c>
      <c r="IA9" s="1101">
        <v>0</v>
      </c>
      <c r="IB9" s="1101">
        <v>0</v>
      </c>
      <c r="IC9" s="1101">
        <v>0</v>
      </c>
      <c r="ID9" s="1101">
        <v>4449828</v>
      </c>
      <c r="IE9" s="1101">
        <v>12551152</v>
      </c>
      <c r="IF9" s="1101">
        <v>0</v>
      </c>
      <c r="IG9" s="1101">
        <v>189523185</v>
      </c>
      <c r="IH9" s="1101">
        <v>0</v>
      </c>
      <c r="II9" s="1101">
        <v>0</v>
      </c>
      <c r="IJ9" s="1101">
        <v>0</v>
      </c>
      <c r="IK9" s="1101">
        <v>0</v>
      </c>
      <c r="IL9" s="1101">
        <v>0</v>
      </c>
      <c r="IM9" s="1101">
        <v>52491</v>
      </c>
      <c r="IN9" s="1101">
        <v>6530613</v>
      </c>
      <c r="IO9" s="1101">
        <v>4423</v>
      </c>
      <c r="IP9" s="1101">
        <v>10418709</v>
      </c>
      <c r="IQ9" s="1101">
        <v>244</v>
      </c>
      <c r="IR9" s="1101">
        <v>192269</v>
      </c>
      <c r="IS9" s="1101">
        <v>2602</v>
      </c>
      <c r="IT9" s="1101">
        <v>0</v>
      </c>
      <c r="IU9" s="1101">
        <v>0</v>
      </c>
      <c r="IV9" s="1101">
        <v>0</v>
      </c>
      <c r="IW9" s="1101">
        <v>89526</v>
      </c>
      <c r="IX9" s="1101">
        <v>0</v>
      </c>
      <c r="IY9" s="1101">
        <v>681288</v>
      </c>
      <c r="IZ9" s="1101">
        <v>0</v>
      </c>
      <c r="JA9" s="1101">
        <v>0</v>
      </c>
      <c r="JB9" s="1101">
        <v>0</v>
      </c>
      <c r="JC9" s="1101">
        <v>0</v>
      </c>
      <c r="JD9" s="1101">
        <v>0</v>
      </c>
      <c r="JE9" s="1101">
        <v>0</v>
      </c>
      <c r="JF9" s="1101">
        <v>205156</v>
      </c>
      <c r="JG9" s="1101">
        <v>0</v>
      </c>
      <c r="JH9" s="1101">
        <v>13567797</v>
      </c>
      <c r="JI9" s="1101">
        <v>0</v>
      </c>
      <c r="JJ9" s="1101">
        <v>0</v>
      </c>
      <c r="JK9" s="1101">
        <v>0</v>
      </c>
      <c r="JL9" s="1101">
        <v>0</v>
      </c>
      <c r="JM9" s="1101">
        <v>0</v>
      </c>
      <c r="JN9" s="1101">
        <v>0</v>
      </c>
      <c r="JO9" s="1101">
        <v>6467590</v>
      </c>
      <c r="JP9" s="1101">
        <v>0</v>
      </c>
      <c r="JQ9" s="1101">
        <v>1006691</v>
      </c>
      <c r="JR9" s="1101">
        <v>0</v>
      </c>
      <c r="JS9" s="1101">
        <v>0</v>
      </c>
      <c r="JT9" s="1101">
        <v>0</v>
      </c>
      <c r="JU9" s="1101">
        <v>0</v>
      </c>
      <c r="JV9" s="1101">
        <v>0</v>
      </c>
      <c r="JW9" s="1101">
        <v>0</v>
      </c>
      <c r="JX9" s="1101">
        <v>0</v>
      </c>
      <c r="JY9" s="1101">
        <v>16537887</v>
      </c>
      <c r="JZ9" s="1101">
        <v>0</v>
      </c>
      <c r="KA9" s="1101">
        <v>0</v>
      </c>
      <c r="KB9" s="1101">
        <v>0</v>
      </c>
      <c r="KC9" s="1101">
        <v>0</v>
      </c>
      <c r="KD9" s="1101">
        <v>0</v>
      </c>
      <c r="KE9" s="1101">
        <v>0</v>
      </c>
      <c r="KF9" s="1101">
        <v>22428</v>
      </c>
      <c r="KG9" s="1101">
        <v>42008</v>
      </c>
      <c r="KH9" s="1101">
        <v>0</v>
      </c>
      <c r="KI9" s="1101">
        <v>0</v>
      </c>
      <c r="KJ9" s="1101">
        <v>20705</v>
      </c>
      <c r="KK9" s="1101">
        <v>0</v>
      </c>
      <c r="KL9" s="1101">
        <v>0</v>
      </c>
      <c r="KM9" s="1101">
        <v>0</v>
      </c>
      <c r="KN9" s="1101">
        <v>335566</v>
      </c>
      <c r="KO9" s="1101">
        <v>90599232</v>
      </c>
      <c r="KP9" s="1101">
        <v>17794081</v>
      </c>
      <c r="KQ9" s="1101">
        <v>0</v>
      </c>
      <c r="KR9" s="1101">
        <v>2953943</v>
      </c>
      <c r="KS9" s="1101">
        <v>0</v>
      </c>
      <c r="KT9" s="1101">
        <v>0</v>
      </c>
      <c r="KU9" s="1101">
        <v>0</v>
      </c>
      <c r="KV9" s="1101">
        <v>0</v>
      </c>
      <c r="KW9" s="1101">
        <v>0</v>
      </c>
      <c r="KX9" s="1101">
        <v>34255819</v>
      </c>
      <c r="KY9" s="1101">
        <v>8933823</v>
      </c>
      <c r="KZ9" s="1101">
        <v>0</v>
      </c>
      <c r="LA9" s="1101">
        <v>46233967</v>
      </c>
      <c r="LB9" s="1101">
        <v>0</v>
      </c>
      <c r="LC9" s="1101">
        <v>0</v>
      </c>
      <c r="LD9" s="1101">
        <v>0</v>
      </c>
      <c r="LE9" s="1101">
        <v>0</v>
      </c>
      <c r="LF9" s="1101">
        <v>0</v>
      </c>
      <c r="LG9" s="1101">
        <v>919555</v>
      </c>
      <c r="LH9" s="1101">
        <v>2870295</v>
      </c>
      <c r="LI9" s="1101">
        <v>0</v>
      </c>
      <c r="LJ9" s="1101">
        <v>7584106</v>
      </c>
      <c r="LK9" s="1101">
        <v>0</v>
      </c>
      <c r="LL9" s="1101">
        <v>0</v>
      </c>
      <c r="LM9" s="1101">
        <v>0</v>
      </c>
      <c r="LN9" s="1101">
        <v>0</v>
      </c>
      <c r="LO9" s="1101">
        <v>0</v>
      </c>
      <c r="LP9" s="1101">
        <v>11912499</v>
      </c>
      <c r="LQ9" s="1101">
        <v>10544913</v>
      </c>
      <c r="LR9" s="1101">
        <v>0</v>
      </c>
      <c r="LS9" s="1101">
        <v>4535859</v>
      </c>
      <c r="LT9" s="1101">
        <v>0</v>
      </c>
      <c r="LU9" s="1101">
        <v>0</v>
      </c>
      <c r="LV9" s="1101">
        <v>0</v>
      </c>
      <c r="LW9" s="1101">
        <v>0</v>
      </c>
      <c r="LX9" s="1101">
        <v>0</v>
      </c>
      <c r="LY9" s="1101">
        <v>6338040</v>
      </c>
      <c r="LZ9" s="1101">
        <v>12793969</v>
      </c>
      <c r="MA9" s="1101">
        <v>0</v>
      </c>
      <c r="MB9" s="1101">
        <v>9509516</v>
      </c>
      <c r="MC9" s="1101">
        <v>-370763</v>
      </c>
      <c r="MD9" s="1101">
        <v>0</v>
      </c>
      <c r="ME9" s="1101">
        <v>0</v>
      </c>
      <c r="MF9" s="1101">
        <v>0</v>
      </c>
      <c r="MG9" s="1101">
        <v>0</v>
      </c>
      <c r="MH9" s="1101">
        <v>19104415</v>
      </c>
      <c r="MI9" s="1101">
        <v>10219605</v>
      </c>
      <c r="MJ9" s="1101">
        <v>0</v>
      </c>
      <c r="MK9" s="1101">
        <v>2438220</v>
      </c>
      <c r="ML9" s="1101">
        <v>0</v>
      </c>
      <c r="MM9" s="1101">
        <v>0</v>
      </c>
      <c r="MN9" s="1101">
        <v>0</v>
      </c>
      <c r="MO9" s="1101">
        <v>0</v>
      </c>
      <c r="MP9" s="1101">
        <v>0</v>
      </c>
      <c r="MQ9" s="1101">
        <v>15732483</v>
      </c>
      <c r="MR9" s="1101">
        <v>13093326</v>
      </c>
      <c r="MS9" s="1101">
        <v>0</v>
      </c>
      <c r="MT9" s="1101">
        <v>24211</v>
      </c>
      <c r="MU9" s="1101">
        <v>0</v>
      </c>
      <c r="MV9" s="1101">
        <v>0</v>
      </c>
      <c r="MW9" s="1101">
        <v>126131</v>
      </c>
      <c r="MX9" s="1101">
        <v>0</v>
      </c>
      <c r="MY9" s="1101">
        <v>0</v>
      </c>
      <c r="MZ9" s="1101">
        <v>13716166</v>
      </c>
      <c r="NA9" s="1101">
        <v>18644176</v>
      </c>
      <c r="NB9" s="1101">
        <v>0</v>
      </c>
      <c r="NC9" s="1101">
        <v>75662564</v>
      </c>
      <c r="ND9" s="1101">
        <v>0</v>
      </c>
      <c r="NE9" s="1101">
        <v>0</v>
      </c>
      <c r="NF9" s="1101">
        <v>0</v>
      </c>
      <c r="NG9" s="1101">
        <v>0</v>
      </c>
      <c r="NH9" s="1101">
        <v>0</v>
      </c>
      <c r="NI9" s="1101">
        <v>0</v>
      </c>
      <c r="NJ9" s="1101">
        <v>0</v>
      </c>
      <c r="NK9" s="1101">
        <v>35220254</v>
      </c>
      <c r="NL9" s="1101">
        <v>501540</v>
      </c>
      <c r="NM9" s="1101">
        <v>0</v>
      </c>
      <c r="NN9" s="1101">
        <v>0</v>
      </c>
      <c r="NO9" s="1101">
        <v>0</v>
      </c>
      <c r="NP9" s="1101">
        <v>0</v>
      </c>
      <c r="NQ9" s="1101">
        <v>0</v>
      </c>
      <c r="NR9" s="1101">
        <v>175708</v>
      </c>
      <c r="NS9" s="1101">
        <v>4288811</v>
      </c>
      <c r="NT9" s="1101">
        <v>407027</v>
      </c>
      <c r="NU9" s="1101">
        <v>5253915</v>
      </c>
      <c r="NV9" s="1101">
        <v>0</v>
      </c>
      <c r="NW9" s="1101">
        <v>0</v>
      </c>
      <c r="NX9" s="1101">
        <v>0</v>
      </c>
      <c r="NY9" s="1101">
        <v>0</v>
      </c>
      <c r="NZ9" s="1101">
        <v>0</v>
      </c>
      <c r="OA9" s="1101">
        <v>0</v>
      </c>
      <c r="OB9" s="1101">
        <v>0</v>
      </c>
      <c r="OC9" s="1101">
        <v>0</v>
      </c>
      <c r="OD9" s="1101">
        <v>0</v>
      </c>
      <c r="OE9" s="1101">
        <v>0</v>
      </c>
      <c r="OF9" s="1101">
        <v>0</v>
      </c>
      <c r="OG9" s="1101">
        <v>0</v>
      </c>
      <c r="OH9" s="1101">
        <v>0</v>
      </c>
      <c r="OI9" s="1101">
        <v>0</v>
      </c>
      <c r="OJ9" s="1101">
        <v>0</v>
      </c>
      <c r="OK9" s="1101">
        <v>0</v>
      </c>
      <c r="OL9" s="1101">
        <v>0</v>
      </c>
      <c r="OM9" s="1101">
        <v>0</v>
      </c>
      <c r="ON9" s="1101">
        <v>0</v>
      </c>
      <c r="OO9" s="1101">
        <v>0</v>
      </c>
      <c r="OP9" s="1101">
        <v>-8316845</v>
      </c>
      <c r="OQ9" s="1101">
        <v>0</v>
      </c>
      <c r="OR9" s="1101">
        <v>0</v>
      </c>
      <c r="OS9" s="1101">
        <v>42216938</v>
      </c>
      <c r="OT9" s="1101">
        <v>-14615625</v>
      </c>
      <c r="OU9" s="1101">
        <v>21676525</v>
      </c>
      <c r="OV9" s="1101">
        <v>-55820010</v>
      </c>
      <c r="OW9" s="1101">
        <v>220260</v>
      </c>
      <c r="OX9" s="1101">
        <v>3378042</v>
      </c>
      <c r="OY9" s="1101">
        <v>917120</v>
      </c>
      <c r="OZ9" s="1101">
        <v>0</v>
      </c>
      <c r="PA9" s="1101">
        <v>0</v>
      </c>
      <c r="PB9" s="1101">
        <v>0</v>
      </c>
      <c r="PC9" s="1101">
        <v>0</v>
      </c>
      <c r="PD9" s="1101">
        <v>0</v>
      </c>
      <c r="PE9" s="1101">
        <v>0</v>
      </c>
      <c r="PF9" s="1101">
        <v>0</v>
      </c>
      <c r="PG9" s="1101">
        <v>0</v>
      </c>
      <c r="PH9" s="1101">
        <v>13287671</v>
      </c>
      <c r="PI9" s="1101">
        <v>0</v>
      </c>
      <c r="PJ9" s="1101">
        <v>0</v>
      </c>
      <c r="PK9" s="1101">
        <v>-12707350</v>
      </c>
      <c r="PL9" s="1101">
        <v>-2922747</v>
      </c>
      <c r="PM9" s="1101">
        <v>-2353549</v>
      </c>
      <c r="PN9" s="1101">
        <v>-471746</v>
      </c>
      <c r="PO9" s="1101">
        <v>0</v>
      </c>
      <c r="PP9" s="1101">
        <v>0</v>
      </c>
      <c r="PQ9" s="1101">
        <v>0</v>
      </c>
      <c r="PR9" s="1101">
        <v>0</v>
      </c>
      <c r="PS9" s="1101">
        <v>0</v>
      </c>
      <c r="PT9" s="1101">
        <v>0</v>
      </c>
      <c r="PU9" s="1101">
        <v>10599159</v>
      </c>
      <c r="PV9" s="1101">
        <v>0</v>
      </c>
      <c r="PW9" s="1101">
        <v>0</v>
      </c>
      <c r="PX9" s="1101">
        <v>0</v>
      </c>
      <c r="PY9" s="1101">
        <v>73729239</v>
      </c>
      <c r="PZ9" s="1101">
        <v>0</v>
      </c>
      <c r="QA9" s="1101">
        <v>0</v>
      </c>
      <c r="QB9" s="1101">
        <v>0</v>
      </c>
      <c r="QC9" s="1101">
        <v>0</v>
      </c>
      <c r="QD9" s="1101">
        <v>0</v>
      </c>
      <c r="QE9" s="1101">
        <v>0</v>
      </c>
      <c r="QF9" s="1101">
        <v>0</v>
      </c>
      <c r="QG9" s="1101">
        <v>0</v>
      </c>
      <c r="QH9" s="1101">
        <v>9111883</v>
      </c>
      <c r="QI9" s="1101">
        <v>0</v>
      </c>
      <c r="QJ9" s="1101">
        <v>0</v>
      </c>
      <c r="QK9" s="1101">
        <v>0</v>
      </c>
      <c r="QL9" s="1101">
        <v>0</v>
      </c>
      <c r="QM9" s="1101">
        <v>0</v>
      </c>
      <c r="QN9" s="1101">
        <v>0</v>
      </c>
      <c r="QO9" s="1101">
        <v>0</v>
      </c>
      <c r="QP9" s="1101">
        <v>0</v>
      </c>
      <c r="QQ9" s="1101">
        <v>0</v>
      </c>
      <c r="QR9" s="1101">
        <v>0</v>
      </c>
      <c r="QS9" s="1101">
        <v>0</v>
      </c>
      <c r="QT9" s="1101">
        <v>0</v>
      </c>
      <c r="QU9" s="1101">
        <v>0</v>
      </c>
      <c r="QV9" s="1101">
        <v>0</v>
      </c>
      <c r="QW9" s="1101">
        <v>0</v>
      </c>
      <c r="QX9" s="1101">
        <v>0</v>
      </c>
      <c r="QY9" s="1101">
        <v>0</v>
      </c>
      <c r="QZ9" s="1101">
        <v>0</v>
      </c>
      <c r="RA9" s="1101">
        <v>0</v>
      </c>
      <c r="RB9" s="1101">
        <v>0</v>
      </c>
      <c r="RC9" s="1101">
        <v>-33734963</v>
      </c>
      <c r="RD9" s="1101">
        <v>0</v>
      </c>
      <c r="RE9" s="1101">
        <v>0</v>
      </c>
      <c r="RF9" s="1101">
        <v>0</v>
      </c>
      <c r="RG9" s="1101">
        <v>0</v>
      </c>
      <c r="RH9" s="1101">
        <v>0</v>
      </c>
      <c r="RI9" s="1101">
        <v>0</v>
      </c>
      <c r="RJ9" s="1101">
        <v>0</v>
      </c>
      <c r="RK9" s="1101">
        <v>0</v>
      </c>
      <c r="RL9" s="1101">
        <v>0</v>
      </c>
      <c r="RM9" s="1101">
        <v>0</v>
      </c>
      <c r="RN9" s="1101">
        <v>0</v>
      </c>
      <c r="RO9" s="1101">
        <v>0</v>
      </c>
      <c r="RP9" s="1101">
        <v>0</v>
      </c>
      <c r="RQ9" s="1101">
        <v>0</v>
      </c>
      <c r="RR9" s="1101">
        <v>0</v>
      </c>
      <c r="RS9" s="1101">
        <v>0</v>
      </c>
      <c r="RT9" s="1101">
        <v>0</v>
      </c>
      <c r="RU9" s="1101">
        <v>0</v>
      </c>
      <c r="RV9" s="1101">
        <v>0</v>
      </c>
      <c r="RW9" s="1101">
        <v>0</v>
      </c>
      <c r="RX9" s="1101">
        <v>0</v>
      </c>
      <c r="RY9" s="1101">
        <v>0</v>
      </c>
      <c r="RZ9" s="1101">
        <v>0</v>
      </c>
      <c r="SA9" s="1101">
        <v>0</v>
      </c>
      <c r="SB9" s="1101">
        <v>0</v>
      </c>
      <c r="SC9" s="1101">
        <v>0</v>
      </c>
      <c r="SD9" s="1101">
        <v>313559</v>
      </c>
      <c r="SE9" s="1101">
        <v>0</v>
      </c>
      <c r="SF9" s="1101">
        <v>0</v>
      </c>
      <c r="SG9" s="1101">
        <v>0</v>
      </c>
      <c r="SH9" s="1101">
        <v>0</v>
      </c>
      <c r="SI9" s="1101">
        <v>0</v>
      </c>
      <c r="SJ9" s="1101">
        <v>0</v>
      </c>
      <c r="SK9" s="1101">
        <v>0</v>
      </c>
      <c r="SL9" s="1102">
        <v>0</v>
      </c>
      <c r="SM9" s="1101">
        <v>18442307</v>
      </c>
      <c r="SN9" s="1101">
        <v>125959107</v>
      </c>
      <c r="SO9" s="1102"/>
      <c r="SP9" s="1103"/>
      <c r="SQ9" s="1104">
        <v>204231635</v>
      </c>
      <c r="SR9" s="1104">
        <v>-55242741</v>
      </c>
      <c r="SS9" s="1105">
        <v>303636</v>
      </c>
      <c r="ST9" s="1106">
        <v>7679334</v>
      </c>
      <c r="SU9" s="1106">
        <v>74028</v>
      </c>
      <c r="SV9" s="1106">
        <v>947570</v>
      </c>
      <c r="SW9" s="1106">
        <v>0</v>
      </c>
      <c r="SX9" s="1106">
        <v>638697</v>
      </c>
      <c r="SY9" s="1106">
        <v>75169</v>
      </c>
      <c r="SZ9" s="1106">
        <v>0</v>
      </c>
      <c r="TA9" s="1106">
        <v>407027</v>
      </c>
      <c r="TB9" s="1106">
        <v>0</v>
      </c>
      <c r="TC9" s="1105">
        <v>0</v>
      </c>
      <c r="TD9" s="1106">
        <v>402773</v>
      </c>
      <c r="TE9" s="1106">
        <v>0</v>
      </c>
      <c r="TF9" s="1106">
        <v>0</v>
      </c>
      <c r="TG9" s="1106">
        <v>0</v>
      </c>
      <c r="TH9" s="1106">
        <v>0</v>
      </c>
      <c r="TI9" s="1106">
        <v>0</v>
      </c>
      <c r="TJ9" s="1106">
        <v>0</v>
      </c>
      <c r="TK9" s="1105">
        <v>0</v>
      </c>
      <c r="TL9" s="1106">
        <v>0</v>
      </c>
      <c r="TM9" s="1106">
        <v>0</v>
      </c>
      <c r="TN9" s="1106">
        <v>0</v>
      </c>
      <c r="TO9" s="1106">
        <v>0</v>
      </c>
      <c r="TP9" s="1106">
        <v>0</v>
      </c>
      <c r="TQ9" s="1106">
        <v>0</v>
      </c>
      <c r="TR9" s="1106">
        <v>0</v>
      </c>
      <c r="TS9" s="1105">
        <v>111347256</v>
      </c>
      <c r="TT9" s="1106">
        <v>89423609</v>
      </c>
      <c r="TU9" s="1106">
        <v>11373956</v>
      </c>
      <c r="TV9" s="1106">
        <v>26993271</v>
      </c>
      <c r="TW9" s="1106">
        <v>28270762</v>
      </c>
      <c r="TX9" s="1106">
        <v>31762240</v>
      </c>
      <c r="TY9" s="1106">
        <v>28976151</v>
      </c>
      <c r="TZ9" s="1107">
        <v>108022906</v>
      </c>
      <c r="UA9" s="1107">
        <v>35721794</v>
      </c>
      <c r="UB9" s="1105">
        <v>47497923</v>
      </c>
      <c r="UC9" s="1108">
        <v>84328398</v>
      </c>
      <c r="UD9" s="1108"/>
      <c r="UE9" s="1103"/>
      <c r="UF9" s="1109" t="s">
        <v>2409</v>
      </c>
      <c r="UG9" s="1110" t="s">
        <v>2410</v>
      </c>
      <c r="UH9" s="1110" t="s">
        <v>2411</v>
      </c>
    </row>
    <row r="10" spans="1:554" s="776" customFormat="1" ht="48.75" customHeight="1" thickBot="1">
      <c r="A10" s="1534">
        <v>91</v>
      </c>
      <c r="B10" s="1131" t="s">
        <v>1371</v>
      </c>
      <c r="C10" s="1134" t="s">
        <v>1380</v>
      </c>
      <c r="D10" s="1096" t="s">
        <v>2398</v>
      </c>
      <c r="E10" s="1097">
        <v>3599</v>
      </c>
      <c r="F10" s="1098">
        <v>2026729466</v>
      </c>
      <c r="G10" s="1096" t="s">
        <v>2399</v>
      </c>
      <c r="H10" s="1100" t="s">
        <v>1371</v>
      </c>
      <c r="I10" s="1100"/>
      <c r="J10" s="1100"/>
      <c r="K10" s="1100"/>
      <c r="L10" s="1100"/>
      <c r="M10" s="1101">
        <v>111961783</v>
      </c>
      <c r="N10" s="1101">
        <v>0</v>
      </c>
      <c r="O10" s="1101">
        <v>0</v>
      </c>
      <c r="P10" s="1101">
        <v>0</v>
      </c>
      <c r="Q10" s="1101">
        <v>0</v>
      </c>
      <c r="R10" s="1101">
        <v>0</v>
      </c>
      <c r="S10" s="1101">
        <v>0</v>
      </c>
      <c r="T10" s="1101">
        <v>0</v>
      </c>
      <c r="U10" s="1101">
        <v>0</v>
      </c>
      <c r="V10" s="1101">
        <v>37156402</v>
      </c>
      <c r="W10" s="1101">
        <v>2171900</v>
      </c>
      <c r="X10" s="1101">
        <v>0</v>
      </c>
      <c r="Y10" s="1101">
        <v>1542859</v>
      </c>
      <c r="Z10" s="1101">
        <v>0</v>
      </c>
      <c r="AA10" s="1101">
        <v>0</v>
      </c>
      <c r="AB10" s="1101">
        <v>0</v>
      </c>
      <c r="AC10" s="1101">
        <v>0</v>
      </c>
      <c r="AD10" s="1101">
        <v>0</v>
      </c>
      <c r="AE10" s="1101">
        <v>0</v>
      </c>
      <c r="AF10" s="1101">
        <v>0</v>
      </c>
      <c r="AG10" s="1101">
        <v>0</v>
      </c>
      <c r="AH10" s="1101">
        <v>0</v>
      </c>
      <c r="AI10" s="1101">
        <v>0</v>
      </c>
      <c r="AJ10" s="1101">
        <v>0</v>
      </c>
      <c r="AK10" s="1101">
        <v>0</v>
      </c>
      <c r="AL10" s="1101">
        <v>0</v>
      </c>
      <c r="AM10" s="1101">
        <v>0</v>
      </c>
      <c r="AN10" s="1101">
        <v>0</v>
      </c>
      <c r="AO10" s="1101">
        <v>0</v>
      </c>
      <c r="AP10" s="1101">
        <v>0</v>
      </c>
      <c r="AQ10" s="1101">
        <v>0</v>
      </c>
      <c r="AR10" s="1101">
        <v>0</v>
      </c>
      <c r="AS10" s="1101">
        <v>0</v>
      </c>
      <c r="AT10" s="1101">
        <v>0</v>
      </c>
      <c r="AU10" s="1101">
        <v>0</v>
      </c>
      <c r="AV10" s="1101">
        <v>0</v>
      </c>
      <c r="AW10" s="1101">
        <v>0</v>
      </c>
      <c r="AX10" s="1101">
        <v>0</v>
      </c>
      <c r="AY10" s="1101">
        <v>0</v>
      </c>
      <c r="AZ10" s="1101">
        <v>0</v>
      </c>
      <c r="BA10" s="1101">
        <v>0</v>
      </c>
      <c r="BB10" s="1101">
        <v>0</v>
      </c>
      <c r="BC10" s="1101">
        <v>0</v>
      </c>
      <c r="BD10" s="1101">
        <v>0</v>
      </c>
      <c r="BE10" s="1101">
        <v>0</v>
      </c>
      <c r="BF10" s="1101">
        <v>-7967341</v>
      </c>
      <c r="BG10" s="1101">
        <v>0</v>
      </c>
      <c r="BH10" s="1101">
        <v>0</v>
      </c>
      <c r="BI10" s="1101">
        <v>0</v>
      </c>
      <c r="BJ10" s="1101">
        <v>0</v>
      </c>
      <c r="BK10" s="1101">
        <v>0</v>
      </c>
      <c r="BL10" s="1101">
        <v>0</v>
      </c>
      <c r="BM10" s="1101">
        <v>0</v>
      </c>
      <c r="BN10" s="1101">
        <v>0</v>
      </c>
      <c r="BO10" s="1101">
        <v>0</v>
      </c>
      <c r="BP10" s="1101">
        <v>-5458</v>
      </c>
      <c r="BQ10" s="1101">
        <v>0</v>
      </c>
      <c r="BR10" s="1101">
        <v>0</v>
      </c>
      <c r="BS10" s="1101">
        <v>0</v>
      </c>
      <c r="BT10" s="1101">
        <v>0</v>
      </c>
      <c r="BU10" s="1101">
        <v>0</v>
      </c>
      <c r="BV10" s="1101">
        <v>0</v>
      </c>
      <c r="BW10" s="1101">
        <v>0</v>
      </c>
      <c r="BX10" s="1101">
        <v>0</v>
      </c>
      <c r="BY10" s="1101">
        <v>0</v>
      </c>
      <c r="BZ10" s="1101">
        <v>0</v>
      </c>
      <c r="CA10" s="1101">
        <v>0</v>
      </c>
      <c r="CB10" s="1101">
        <v>0</v>
      </c>
      <c r="CC10" s="1101">
        <v>0</v>
      </c>
      <c r="CD10" s="1101">
        <v>0</v>
      </c>
      <c r="CE10" s="1101">
        <v>0</v>
      </c>
      <c r="CF10" s="1101">
        <v>0</v>
      </c>
      <c r="CG10" s="1101">
        <v>0</v>
      </c>
      <c r="CH10" s="1101">
        <v>0</v>
      </c>
      <c r="CI10" s="1101">
        <v>0</v>
      </c>
      <c r="CJ10" s="1101">
        <v>0</v>
      </c>
      <c r="CK10" s="1101">
        <v>0</v>
      </c>
      <c r="CL10" s="1101">
        <v>0</v>
      </c>
      <c r="CM10" s="1101">
        <v>0</v>
      </c>
      <c r="CN10" s="1101">
        <v>0</v>
      </c>
      <c r="CO10" s="1101">
        <v>0</v>
      </c>
      <c r="CP10" s="1101">
        <v>52235378</v>
      </c>
      <c r="CQ10" s="1101">
        <v>171059604</v>
      </c>
      <c r="CR10" s="1101">
        <v>0</v>
      </c>
      <c r="CS10" s="1101">
        <v>0</v>
      </c>
      <c r="CT10" s="1101">
        <v>0</v>
      </c>
      <c r="CU10" s="1101">
        <v>0</v>
      </c>
      <c r="CV10" s="1101">
        <v>0</v>
      </c>
      <c r="CW10" s="1101">
        <v>0</v>
      </c>
      <c r="CX10" s="1101">
        <v>0</v>
      </c>
      <c r="CY10" s="1101">
        <v>0</v>
      </c>
      <c r="CZ10" s="1101">
        <v>0</v>
      </c>
      <c r="DA10" s="1101">
        <v>0</v>
      </c>
      <c r="DB10" s="1101">
        <v>0</v>
      </c>
      <c r="DC10" s="1101">
        <v>0</v>
      </c>
      <c r="DD10" s="1101">
        <v>0</v>
      </c>
      <c r="DE10" s="1101">
        <v>0</v>
      </c>
      <c r="DF10" s="1101">
        <v>0</v>
      </c>
      <c r="DG10" s="1101">
        <v>0</v>
      </c>
      <c r="DH10" s="1101">
        <v>0</v>
      </c>
      <c r="DI10" s="1101">
        <v>0</v>
      </c>
      <c r="DJ10" s="1101">
        <v>0</v>
      </c>
      <c r="DK10" s="1101">
        <v>0</v>
      </c>
      <c r="DL10" s="1101">
        <v>0</v>
      </c>
      <c r="DM10" s="1101">
        <v>0</v>
      </c>
      <c r="DN10" s="1101">
        <v>0</v>
      </c>
      <c r="DO10" s="1101">
        <v>0</v>
      </c>
      <c r="DP10" s="1101">
        <v>0</v>
      </c>
      <c r="DQ10" s="1101">
        <v>-3102128</v>
      </c>
      <c r="DR10" s="1101">
        <v>-4969663</v>
      </c>
      <c r="DS10" s="1101">
        <v>0</v>
      </c>
      <c r="DT10" s="1101">
        <v>0</v>
      </c>
      <c r="DU10" s="1101">
        <v>0</v>
      </c>
      <c r="DV10" s="1101">
        <v>0</v>
      </c>
      <c r="DW10" s="1101">
        <v>0</v>
      </c>
      <c r="DX10" s="1101">
        <v>0</v>
      </c>
      <c r="DY10" s="1101">
        <v>0</v>
      </c>
      <c r="DZ10" s="1101">
        <v>0</v>
      </c>
      <c r="EA10" s="1101">
        <v>0</v>
      </c>
      <c r="EB10" s="1101">
        <v>0</v>
      </c>
      <c r="EC10" s="1101">
        <v>0</v>
      </c>
      <c r="ED10" s="1101">
        <v>0</v>
      </c>
      <c r="EE10" s="1101">
        <v>0</v>
      </c>
      <c r="EF10" s="1101">
        <v>0</v>
      </c>
      <c r="EG10" s="1101">
        <v>0</v>
      </c>
      <c r="EH10" s="1101">
        <v>0</v>
      </c>
      <c r="EI10" s="1101">
        <v>-24287025</v>
      </c>
      <c r="EJ10" s="1101">
        <v>-93353751</v>
      </c>
      <c r="EK10" s="1101">
        <v>0</v>
      </c>
      <c r="EL10" s="1101">
        <v>0</v>
      </c>
      <c r="EM10" s="1101">
        <v>0</v>
      </c>
      <c r="EN10" s="1101">
        <v>0</v>
      </c>
      <c r="EO10" s="1101">
        <v>0</v>
      </c>
      <c r="EP10" s="1101">
        <v>0</v>
      </c>
      <c r="EQ10" s="1101">
        <v>0</v>
      </c>
      <c r="ER10" s="1101">
        <v>0</v>
      </c>
      <c r="ES10" s="1101">
        <v>0</v>
      </c>
      <c r="ET10" s="1101">
        <v>0</v>
      </c>
      <c r="EU10" s="1101">
        <v>0</v>
      </c>
      <c r="EV10" s="1101">
        <v>0</v>
      </c>
      <c r="EW10" s="1101">
        <v>0</v>
      </c>
      <c r="EX10" s="1101">
        <v>0</v>
      </c>
      <c r="EY10" s="1101">
        <v>0</v>
      </c>
      <c r="EZ10" s="1101">
        <v>0</v>
      </c>
      <c r="FA10" s="1101">
        <v>0</v>
      </c>
      <c r="FB10" s="1101">
        <v>0</v>
      </c>
      <c r="FC10" s="1101">
        <v>0</v>
      </c>
      <c r="FD10" s="1101">
        <v>0</v>
      </c>
      <c r="FE10" s="1101">
        <v>0</v>
      </c>
      <c r="FF10" s="1101">
        <v>0</v>
      </c>
      <c r="FG10" s="1101">
        <v>0</v>
      </c>
      <c r="FH10" s="1101">
        <v>0</v>
      </c>
      <c r="FI10" s="1101">
        <v>0</v>
      </c>
      <c r="FJ10" s="1101">
        <v>0</v>
      </c>
      <c r="FK10" s="1101">
        <v>0</v>
      </c>
      <c r="FL10" s="1101">
        <v>0</v>
      </c>
      <c r="FM10" s="1101">
        <v>0</v>
      </c>
      <c r="FN10" s="1101">
        <v>0</v>
      </c>
      <c r="FO10" s="1101">
        <v>0</v>
      </c>
      <c r="FP10" s="1101">
        <v>0</v>
      </c>
      <c r="FQ10" s="1101">
        <v>0</v>
      </c>
      <c r="FR10" s="1101">
        <v>0</v>
      </c>
      <c r="FS10" s="1101">
        <v>0</v>
      </c>
      <c r="FT10" s="1101">
        <v>0</v>
      </c>
      <c r="FU10" s="1101">
        <v>0</v>
      </c>
      <c r="FV10" s="1101">
        <v>0</v>
      </c>
      <c r="FW10" s="1101">
        <v>0</v>
      </c>
      <c r="FX10" s="1101">
        <v>0</v>
      </c>
      <c r="FY10" s="1101">
        <v>0</v>
      </c>
      <c r="FZ10" s="1101">
        <v>0</v>
      </c>
      <c r="GA10" s="1101">
        <v>0</v>
      </c>
      <c r="GB10" s="1101">
        <v>2731768</v>
      </c>
      <c r="GC10" s="1101">
        <v>27680157</v>
      </c>
      <c r="GD10" s="1101">
        <v>23568184</v>
      </c>
      <c r="GE10" s="1101">
        <v>0</v>
      </c>
      <c r="GF10" s="1101">
        <v>0</v>
      </c>
      <c r="GG10" s="1101">
        <v>0</v>
      </c>
      <c r="GH10" s="1101">
        <v>0</v>
      </c>
      <c r="GI10" s="1101">
        <v>0</v>
      </c>
      <c r="GJ10" s="1101">
        <v>0</v>
      </c>
      <c r="GK10" s="1101">
        <v>0</v>
      </c>
      <c r="GL10" s="1101">
        <v>0</v>
      </c>
      <c r="GM10" s="1101">
        <v>0</v>
      </c>
      <c r="GN10" s="1101">
        <v>0</v>
      </c>
      <c r="GO10" s="1101">
        <v>0</v>
      </c>
      <c r="GP10" s="1101">
        <v>0</v>
      </c>
      <c r="GQ10" s="1101">
        <v>0</v>
      </c>
      <c r="GR10" s="1101">
        <v>0</v>
      </c>
      <c r="GS10" s="1101">
        <v>0</v>
      </c>
      <c r="GT10" s="1101">
        <v>0</v>
      </c>
      <c r="GU10" s="1101">
        <v>0</v>
      </c>
      <c r="GV10" s="1101">
        <v>0</v>
      </c>
      <c r="GW10" s="1101">
        <v>0</v>
      </c>
      <c r="GX10" s="1101">
        <v>0</v>
      </c>
      <c r="GY10" s="1101">
        <v>0</v>
      </c>
      <c r="GZ10" s="1101">
        <v>0</v>
      </c>
      <c r="HA10" s="1101">
        <v>0</v>
      </c>
      <c r="HB10" s="1101">
        <v>0</v>
      </c>
      <c r="HC10" s="1101">
        <v>0</v>
      </c>
      <c r="HD10" s="1101">
        <v>0</v>
      </c>
      <c r="HE10" s="1101">
        <v>-992344</v>
      </c>
      <c r="HF10" s="1101">
        <v>0</v>
      </c>
      <c r="HG10" s="1101">
        <v>0</v>
      </c>
      <c r="HH10" s="1101">
        <v>0</v>
      </c>
      <c r="HI10" s="1101">
        <v>0</v>
      </c>
      <c r="HJ10" s="1101">
        <v>0</v>
      </c>
      <c r="HK10" s="1101">
        <v>0</v>
      </c>
      <c r="HL10" s="1101">
        <v>0</v>
      </c>
      <c r="HM10" s="1101">
        <v>0</v>
      </c>
      <c r="HN10" s="1101">
        <v>0</v>
      </c>
      <c r="HO10" s="1101">
        <v>0</v>
      </c>
      <c r="HP10" s="1101">
        <v>0</v>
      </c>
      <c r="HQ10" s="1101">
        <v>0</v>
      </c>
      <c r="HR10" s="1101">
        <v>0</v>
      </c>
      <c r="HS10" s="1101">
        <v>0</v>
      </c>
      <c r="HT10" s="1101">
        <v>0</v>
      </c>
      <c r="HU10" s="1101">
        <v>0</v>
      </c>
      <c r="HV10" s="1101">
        <v>0</v>
      </c>
      <c r="HW10" s="1101">
        <v>-10651243</v>
      </c>
      <c r="HX10" s="1101">
        <v>0</v>
      </c>
      <c r="HY10" s="1101">
        <v>0</v>
      </c>
      <c r="HZ10" s="1101">
        <v>0</v>
      </c>
      <c r="IA10" s="1101">
        <v>0</v>
      </c>
      <c r="IB10" s="1101">
        <v>0</v>
      </c>
      <c r="IC10" s="1101">
        <v>0</v>
      </c>
      <c r="ID10" s="1101">
        <v>7698367</v>
      </c>
      <c r="IE10" s="1101">
        <v>5768186</v>
      </c>
      <c r="IF10" s="1101">
        <v>0</v>
      </c>
      <c r="IG10" s="1101">
        <v>233332633</v>
      </c>
      <c r="IH10" s="1101">
        <v>0</v>
      </c>
      <c r="II10" s="1101">
        <v>0</v>
      </c>
      <c r="IJ10" s="1101">
        <v>0</v>
      </c>
      <c r="IK10" s="1101">
        <v>0</v>
      </c>
      <c r="IL10" s="1101">
        <v>0</v>
      </c>
      <c r="IM10" s="1101">
        <v>199759</v>
      </c>
      <c r="IN10" s="1101">
        <v>5112539</v>
      </c>
      <c r="IO10" s="1101">
        <v>551986</v>
      </c>
      <c r="IP10" s="1101">
        <v>2107940</v>
      </c>
      <c r="IQ10" s="1101">
        <v>28490</v>
      </c>
      <c r="IR10" s="1101">
        <v>38535</v>
      </c>
      <c r="IS10" s="1101">
        <v>211764</v>
      </c>
      <c r="IT10" s="1101">
        <v>0</v>
      </c>
      <c r="IU10" s="1101">
        <v>0</v>
      </c>
      <c r="IV10" s="1101">
        <v>0</v>
      </c>
      <c r="IW10" s="1101">
        <v>7785</v>
      </c>
      <c r="IX10" s="1101">
        <v>0</v>
      </c>
      <c r="IY10" s="1101">
        <v>242919</v>
      </c>
      <c r="IZ10" s="1101">
        <v>0</v>
      </c>
      <c r="JA10" s="1101">
        <v>0</v>
      </c>
      <c r="JB10" s="1101">
        <v>0</v>
      </c>
      <c r="JC10" s="1101">
        <v>0</v>
      </c>
      <c r="JD10" s="1101">
        <v>0</v>
      </c>
      <c r="JE10" s="1101">
        <v>0</v>
      </c>
      <c r="JF10" s="1101">
        <v>42365710</v>
      </c>
      <c r="JG10" s="1101">
        <v>100000</v>
      </c>
      <c r="JH10" s="1101">
        <v>5971786</v>
      </c>
      <c r="JI10" s="1101">
        <v>0</v>
      </c>
      <c r="JJ10" s="1101">
        <v>0</v>
      </c>
      <c r="JK10" s="1101">
        <v>0</v>
      </c>
      <c r="JL10" s="1101">
        <v>0</v>
      </c>
      <c r="JM10" s="1101">
        <v>0</v>
      </c>
      <c r="JN10" s="1101">
        <v>0</v>
      </c>
      <c r="JO10" s="1101">
        <v>4929752</v>
      </c>
      <c r="JP10" s="1101">
        <v>0</v>
      </c>
      <c r="JQ10" s="1101">
        <v>1140544</v>
      </c>
      <c r="JR10" s="1101">
        <v>0</v>
      </c>
      <c r="JS10" s="1101">
        <v>0</v>
      </c>
      <c r="JT10" s="1101">
        <v>0</v>
      </c>
      <c r="JU10" s="1101">
        <v>0</v>
      </c>
      <c r="JV10" s="1101">
        <v>0</v>
      </c>
      <c r="JW10" s="1101">
        <v>0</v>
      </c>
      <c r="JX10" s="1101">
        <v>0</v>
      </c>
      <c r="JY10" s="1101">
        <v>3925402</v>
      </c>
      <c r="JZ10" s="1101">
        <v>0</v>
      </c>
      <c r="KA10" s="1101">
        <v>0</v>
      </c>
      <c r="KB10" s="1101">
        <v>0</v>
      </c>
      <c r="KC10" s="1101">
        <v>0</v>
      </c>
      <c r="KD10" s="1101">
        <v>0</v>
      </c>
      <c r="KE10" s="1101">
        <v>0</v>
      </c>
      <c r="KF10" s="1101">
        <v>332331</v>
      </c>
      <c r="KG10" s="1101">
        <v>9183360</v>
      </c>
      <c r="KH10" s="1101">
        <v>0</v>
      </c>
      <c r="KI10" s="1101">
        <v>641124</v>
      </c>
      <c r="KJ10" s="1101">
        <v>581801</v>
      </c>
      <c r="KK10" s="1101">
        <v>0</v>
      </c>
      <c r="KL10" s="1101">
        <v>0</v>
      </c>
      <c r="KM10" s="1101">
        <v>0</v>
      </c>
      <c r="KN10" s="1101">
        <v>-123671</v>
      </c>
      <c r="KO10" s="1101">
        <v>110212763</v>
      </c>
      <c r="KP10" s="1101">
        <v>20168249</v>
      </c>
      <c r="KQ10" s="1101">
        <v>0</v>
      </c>
      <c r="KR10" s="1101">
        <v>12003657</v>
      </c>
      <c r="KS10" s="1101">
        <v>0</v>
      </c>
      <c r="KT10" s="1101">
        <v>0</v>
      </c>
      <c r="KU10" s="1101">
        <v>0</v>
      </c>
      <c r="KV10" s="1101">
        <v>0</v>
      </c>
      <c r="KW10" s="1101">
        <v>0</v>
      </c>
      <c r="KX10" s="1101">
        <v>1010792</v>
      </c>
      <c r="KY10" s="1101">
        <v>19549694</v>
      </c>
      <c r="KZ10" s="1101">
        <v>0</v>
      </c>
      <c r="LA10" s="1101">
        <v>7698724</v>
      </c>
      <c r="LB10" s="1101">
        <v>0</v>
      </c>
      <c r="LC10" s="1101">
        <v>0</v>
      </c>
      <c r="LD10" s="1101">
        <v>0</v>
      </c>
      <c r="LE10" s="1101">
        <v>0</v>
      </c>
      <c r="LF10" s="1101">
        <v>0</v>
      </c>
      <c r="LG10" s="1101">
        <v>2151444</v>
      </c>
      <c r="LH10" s="1101">
        <v>867935</v>
      </c>
      <c r="LI10" s="1101">
        <v>0</v>
      </c>
      <c r="LJ10" s="1101">
        <v>4259052</v>
      </c>
      <c r="LK10" s="1101">
        <v>0</v>
      </c>
      <c r="LL10" s="1101">
        <v>0</v>
      </c>
      <c r="LM10" s="1101">
        <v>0</v>
      </c>
      <c r="LN10" s="1101">
        <v>0</v>
      </c>
      <c r="LO10" s="1101">
        <v>0</v>
      </c>
      <c r="LP10" s="1101">
        <v>13376168</v>
      </c>
      <c r="LQ10" s="1101">
        <v>28780079</v>
      </c>
      <c r="LR10" s="1101">
        <v>0</v>
      </c>
      <c r="LS10" s="1101">
        <v>5169329</v>
      </c>
      <c r="LT10" s="1101">
        <v>0</v>
      </c>
      <c r="LU10" s="1101">
        <v>0</v>
      </c>
      <c r="LV10" s="1101">
        <v>0</v>
      </c>
      <c r="LW10" s="1101">
        <v>0</v>
      </c>
      <c r="LX10" s="1101">
        <v>0</v>
      </c>
      <c r="LY10" s="1101">
        <v>7253361</v>
      </c>
      <c r="LZ10" s="1101">
        <v>12501876</v>
      </c>
      <c r="MA10" s="1101">
        <v>0</v>
      </c>
      <c r="MB10" s="1101">
        <v>20024783</v>
      </c>
      <c r="MC10" s="1101">
        <v>-539663</v>
      </c>
      <c r="MD10" s="1101">
        <v>0</v>
      </c>
      <c r="ME10" s="1101">
        <v>0</v>
      </c>
      <c r="MF10" s="1101">
        <v>0</v>
      </c>
      <c r="MG10" s="1101">
        <v>0</v>
      </c>
      <c r="MH10" s="1101">
        <v>14312885</v>
      </c>
      <c r="MI10" s="1101">
        <v>22658074</v>
      </c>
      <c r="MJ10" s="1101">
        <v>0</v>
      </c>
      <c r="MK10" s="1101">
        <v>633902</v>
      </c>
      <c r="ML10" s="1101">
        <v>0</v>
      </c>
      <c r="MM10" s="1101">
        <v>0</v>
      </c>
      <c r="MN10" s="1101">
        <v>0</v>
      </c>
      <c r="MO10" s="1101">
        <v>0</v>
      </c>
      <c r="MP10" s="1101">
        <v>0</v>
      </c>
      <c r="MQ10" s="1101">
        <v>10200781</v>
      </c>
      <c r="MR10" s="1101">
        <v>23657679</v>
      </c>
      <c r="MS10" s="1101">
        <v>0</v>
      </c>
      <c r="MT10" s="1101">
        <v>62670</v>
      </c>
      <c r="MU10" s="1101">
        <v>0</v>
      </c>
      <c r="MV10" s="1101">
        <v>0</v>
      </c>
      <c r="MW10" s="1101">
        <v>2517358</v>
      </c>
      <c r="MX10" s="1101">
        <v>0</v>
      </c>
      <c r="MY10" s="1101">
        <v>0</v>
      </c>
      <c r="MZ10" s="1101">
        <v>13574115</v>
      </c>
      <c r="NA10" s="1101">
        <v>952814</v>
      </c>
      <c r="NB10" s="1101">
        <v>0</v>
      </c>
      <c r="NC10" s="1101">
        <v>101039776</v>
      </c>
      <c r="ND10" s="1101">
        <v>0</v>
      </c>
      <c r="NE10" s="1101">
        <v>0</v>
      </c>
      <c r="NF10" s="1101">
        <v>0</v>
      </c>
      <c r="NG10" s="1101">
        <v>0</v>
      </c>
      <c r="NH10" s="1101">
        <v>0</v>
      </c>
      <c r="NI10" s="1101">
        <v>0</v>
      </c>
      <c r="NJ10" s="1101">
        <v>1490634</v>
      </c>
      <c r="NK10" s="1101">
        <v>21884278</v>
      </c>
      <c r="NL10" s="1101">
        <v>172681</v>
      </c>
      <c r="NM10" s="1101">
        <v>0</v>
      </c>
      <c r="NN10" s="1101">
        <v>0</v>
      </c>
      <c r="NO10" s="1101">
        <v>0</v>
      </c>
      <c r="NP10" s="1101">
        <v>0</v>
      </c>
      <c r="NQ10" s="1101">
        <v>0</v>
      </c>
      <c r="NR10" s="1101">
        <v>161916</v>
      </c>
      <c r="NS10" s="1101">
        <v>4973006</v>
      </c>
      <c r="NT10" s="1101">
        <v>27998</v>
      </c>
      <c r="NU10" s="1101">
        <v>3252506</v>
      </c>
      <c r="NV10" s="1101">
        <v>0</v>
      </c>
      <c r="NW10" s="1101">
        <v>0</v>
      </c>
      <c r="NX10" s="1101">
        <v>0</v>
      </c>
      <c r="NY10" s="1101">
        <v>0</v>
      </c>
      <c r="NZ10" s="1101">
        <v>0</v>
      </c>
      <c r="OA10" s="1101">
        <v>0</v>
      </c>
      <c r="OB10" s="1101">
        <v>0</v>
      </c>
      <c r="OC10" s="1101">
        <v>0</v>
      </c>
      <c r="OD10" s="1101">
        <v>0</v>
      </c>
      <c r="OE10" s="1101">
        <v>0</v>
      </c>
      <c r="OF10" s="1101">
        <v>0</v>
      </c>
      <c r="OG10" s="1101">
        <v>0</v>
      </c>
      <c r="OH10" s="1101">
        <v>0</v>
      </c>
      <c r="OI10" s="1101">
        <v>0</v>
      </c>
      <c r="OJ10" s="1101">
        <v>0</v>
      </c>
      <c r="OK10" s="1101">
        <v>0</v>
      </c>
      <c r="OL10" s="1101">
        <v>0</v>
      </c>
      <c r="OM10" s="1101">
        <v>0</v>
      </c>
      <c r="ON10" s="1101">
        <v>0</v>
      </c>
      <c r="OO10" s="1101">
        <v>0</v>
      </c>
      <c r="OP10" s="1101">
        <v>-23701910</v>
      </c>
      <c r="OQ10" s="1101">
        <v>0</v>
      </c>
      <c r="OR10" s="1101">
        <v>0</v>
      </c>
      <c r="OS10" s="1101">
        <v>3036252</v>
      </c>
      <c r="OT10" s="1101">
        <v>20146579</v>
      </c>
      <c r="OU10" s="1101">
        <v>10903166</v>
      </c>
      <c r="OV10" s="1101">
        <v>-92463265</v>
      </c>
      <c r="OW10" s="1101">
        <v>753982</v>
      </c>
      <c r="OX10" s="1101">
        <v>40009940</v>
      </c>
      <c r="OY10" s="1101">
        <v>15387463</v>
      </c>
      <c r="OZ10" s="1101">
        <v>0</v>
      </c>
      <c r="PA10" s="1101">
        <v>14395</v>
      </c>
      <c r="PB10" s="1101">
        <v>0</v>
      </c>
      <c r="PC10" s="1101">
        <v>0</v>
      </c>
      <c r="PD10" s="1101">
        <v>0</v>
      </c>
      <c r="PE10" s="1101">
        <v>0</v>
      </c>
      <c r="PF10" s="1101">
        <v>0</v>
      </c>
      <c r="PG10" s="1101">
        <v>0</v>
      </c>
      <c r="PH10" s="1101">
        <v>34597718</v>
      </c>
      <c r="PI10" s="1101">
        <v>0</v>
      </c>
      <c r="PJ10" s="1101">
        <v>0</v>
      </c>
      <c r="PK10" s="1101">
        <v>-18020350</v>
      </c>
      <c r="PL10" s="1101">
        <v>-744396</v>
      </c>
      <c r="PM10" s="1101">
        <v>-1408840</v>
      </c>
      <c r="PN10" s="1101">
        <v>0</v>
      </c>
      <c r="PO10" s="1101">
        <v>0</v>
      </c>
      <c r="PP10" s="1101">
        <v>0</v>
      </c>
      <c r="PQ10" s="1101">
        <v>0</v>
      </c>
      <c r="PR10" s="1101">
        <v>0</v>
      </c>
      <c r="PS10" s="1101">
        <v>0</v>
      </c>
      <c r="PT10" s="1101">
        <v>0</v>
      </c>
      <c r="PU10" s="1101">
        <v>10545330</v>
      </c>
      <c r="PV10" s="1101">
        <v>1767447</v>
      </c>
      <c r="PW10" s="1101">
        <v>257414</v>
      </c>
      <c r="PX10" s="1101">
        <v>91225</v>
      </c>
      <c r="PY10" s="1101">
        <v>18891890</v>
      </c>
      <c r="PZ10" s="1101">
        <v>678066</v>
      </c>
      <c r="QA10" s="1101">
        <v>0</v>
      </c>
      <c r="QB10" s="1101">
        <v>0</v>
      </c>
      <c r="QC10" s="1101">
        <v>0</v>
      </c>
      <c r="QD10" s="1101">
        <v>0</v>
      </c>
      <c r="QE10" s="1101">
        <v>0</v>
      </c>
      <c r="QF10" s="1101">
        <v>0</v>
      </c>
      <c r="QG10" s="1101">
        <v>0</v>
      </c>
      <c r="QH10" s="1101">
        <v>4638362</v>
      </c>
      <c r="QI10" s="1101">
        <v>0</v>
      </c>
      <c r="QJ10" s="1101">
        <v>0</v>
      </c>
      <c r="QK10" s="1101">
        <v>0</v>
      </c>
      <c r="QL10" s="1101">
        <v>0</v>
      </c>
      <c r="QM10" s="1101">
        <v>0</v>
      </c>
      <c r="QN10" s="1101">
        <v>0</v>
      </c>
      <c r="QO10" s="1101">
        <v>0</v>
      </c>
      <c r="QP10" s="1101">
        <v>0</v>
      </c>
      <c r="QQ10" s="1101">
        <v>0</v>
      </c>
      <c r="QR10" s="1101">
        <v>0</v>
      </c>
      <c r="QS10" s="1101">
        <v>0</v>
      </c>
      <c r="QT10" s="1101">
        <v>0</v>
      </c>
      <c r="QU10" s="1101">
        <v>0</v>
      </c>
      <c r="QV10" s="1101">
        <v>0</v>
      </c>
      <c r="QW10" s="1101">
        <v>0</v>
      </c>
      <c r="QX10" s="1101">
        <v>0</v>
      </c>
      <c r="QY10" s="1101">
        <v>0</v>
      </c>
      <c r="QZ10" s="1101">
        <v>0</v>
      </c>
      <c r="RA10" s="1101">
        <v>0</v>
      </c>
      <c r="RB10" s="1101">
        <v>0</v>
      </c>
      <c r="RC10" s="1101">
        <v>-42000621</v>
      </c>
      <c r="RD10" s="1101">
        <v>0</v>
      </c>
      <c r="RE10" s="1101">
        <v>0</v>
      </c>
      <c r="RF10" s="1101">
        <v>0</v>
      </c>
      <c r="RG10" s="1101">
        <v>0</v>
      </c>
      <c r="RH10" s="1101">
        <v>0</v>
      </c>
      <c r="RI10" s="1101">
        <v>0</v>
      </c>
      <c r="RJ10" s="1101">
        <v>0</v>
      </c>
      <c r="RK10" s="1101">
        <v>0</v>
      </c>
      <c r="RL10" s="1101">
        <v>0</v>
      </c>
      <c r="RM10" s="1101">
        <v>0</v>
      </c>
      <c r="RN10" s="1101">
        <v>0</v>
      </c>
      <c r="RO10" s="1101">
        <v>0</v>
      </c>
      <c r="RP10" s="1101">
        <v>0</v>
      </c>
      <c r="RQ10" s="1101">
        <v>0</v>
      </c>
      <c r="RR10" s="1101">
        <v>0</v>
      </c>
      <c r="RS10" s="1101">
        <v>0</v>
      </c>
      <c r="RT10" s="1101">
        <v>0</v>
      </c>
      <c r="RU10" s="1101">
        <v>0</v>
      </c>
      <c r="RV10" s="1101">
        <v>0</v>
      </c>
      <c r="RW10" s="1101">
        <v>0</v>
      </c>
      <c r="RX10" s="1101">
        <v>0</v>
      </c>
      <c r="RY10" s="1101">
        <v>0</v>
      </c>
      <c r="RZ10" s="1101">
        <v>0</v>
      </c>
      <c r="SA10" s="1101">
        <v>0</v>
      </c>
      <c r="SB10" s="1101">
        <v>0</v>
      </c>
      <c r="SC10" s="1101">
        <v>0</v>
      </c>
      <c r="SD10" s="1101">
        <v>-54186</v>
      </c>
      <c r="SE10" s="1101">
        <v>0</v>
      </c>
      <c r="SF10" s="1101">
        <v>0</v>
      </c>
      <c r="SG10" s="1101">
        <v>0</v>
      </c>
      <c r="SH10" s="1101">
        <v>0</v>
      </c>
      <c r="SI10" s="1101">
        <v>0</v>
      </c>
      <c r="SJ10" s="1101">
        <v>0</v>
      </c>
      <c r="SK10" s="1101">
        <v>0</v>
      </c>
      <c r="SL10" s="1102">
        <v>0</v>
      </c>
      <c r="SM10" s="1101">
        <v>32117337</v>
      </c>
      <c r="SN10" s="1101">
        <v>146482605</v>
      </c>
      <c r="SO10" s="1102"/>
      <c r="SP10" s="1103"/>
      <c r="SQ10" s="1104">
        <v>277275091</v>
      </c>
      <c r="SR10" s="1104">
        <v>-137356154</v>
      </c>
      <c r="SS10" s="1105">
        <v>246829</v>
      </c>
      <c r="ST10" s="1106">
        <v>1709860</v>
      </c>
      <c r="SU10" s="1106">
        <v>29181</v>
      </c>
      <c r="SV10" s="1106">
        <v>5736049</v>
      </c>
      <c r="SW10" s="1106">
        <v>20760</v>
      </c>
      <c r="SX10" s="1106">
        <v>237483</v>
      </c>
      <c r="SY10" s="1106">
        <v>400867</v>
      </c>
      <c r="SZ10" s="1106">
        <v>6399</v>
      </c>
      <c r="TA10" s="1106">
        <v>27998</v>
      </c>
      <c r="TB10" s="1106">
        <v>0</v>
      </c>
      <c r="TC10" s="1105">
        <v>3157</v>
      </c>
      <c r="TD10" s="1106">
        <v>598618</v>
      </c>
      <c r="TE10" s="1106">
        <v>0</v>
      </c>
      <c r="TF10" s="1106">
        <v>0</v>
      </c>
      <c r="TG10" s="1106">
        <v>0</v>
      </c>
      <c r="TH10" s="1106">
        <v>0</v>
      </c>
      <c r="TI10" s="1106">
        <v>0</v>
      </c>
      <c r="TJ10" s="1106">
        <v>0</v>
      </c>
      <c r="TK10" s="1105">
        <v>0</v>
      </c>
      <c r="TL10" s="1106">
        <v>0</v>
      </c>
      <c r="TM10" s="1106">
        <v>0</v>
      </c>
      <c r="TN10" s="1106">
        <v>0</v>
      </c>
      <c r="TO10" s="1106">
        <v>0</v>
      </c>
      <c r="TP10" s="1106">
        <v>0</v>
      </c>
      <c r="TQ10" s="1106">
        <v>0</v>
      </c>
      <c r="TR10" s="1106">
        <v>0</v>
      </c>
      <c r="TS10" s="1105">
        <v>142384669</v>
      </c>
      <c r="TT10" s="1106">
        <v>28259210</v>
      </c>
      <c r="TU10" s="1106">
        <v>7278431</v>
      </c>
      <c r="TV10" s="1106">
        <v>47325576</v>
      </c>
      <c r="TW10" s="1106">
        <v>39240357</v>
      </c>
      <c r="TX10" s="1106">
        <v>37604861</v>
      </c>
      <c r="TY10" s="1106">
        <v>36438488</v>
      </c>
      <c r="TZ10" s="1107">
        <v>115566705</v>
      </c>
      <c r="UA10" s="1107">
        <v>23547593</v>
      </c>
      <c r="UB10" s="1105">
        <v>110797424</v>
      </c>
      <c r="UC10" s="1108">
        <v>32231372</v>
      </c>
      <c r="UD10" s="1108"/>
      <c r="UE10" s="1103"/>
      <c r="UF10" s="1109" t="s">
        <v>2412</v>
      </c>
      <c r="UG10" s="1110" t="s">
        <v>2413</v>
      </c>
      <c r="UH10" s="1110" t="s">
        <v>2414</v>
      </c>
    </row>
    <row r="11" spans="1:554" s="776" customFormat="1" ht="32.25" customHeight="1" thickBot="1">
      <c r="A11" s="1093">
        <v>100</v>
      </c>
      <c r="B11" s="1094" t="s">
        <v>100</v>
      </c>
      <c r="C11" s="1095" t="s">
        <v>307</v>
      </c>
      <c r="D11" s="1096" t="s">
        <v>2398</v>
      </c>
      <c r="E11" s="1097">
        <v>9930</v>
      </c>
      <c r="F11" s="1098">
        <v>356624514</v>
      </c>
      <c r="G11" s="1096" t="s">
        <v>2399</v>
      </c>
      <c r="H11" s="1100" t="s">
        <v>100</v>
      </c>
      <c r="I11" s="1100"/>
      <c r="J11" s="1100"/>
      <c r="K11" s="1100"/>
      <c r="L11" s="1100"/>
      <c r="M11" s="1101">
        <v>33419456</v>
      </c>
      <c r="N11" s="1101">
        <v>0</v>
      </c>
      <c r="O11" s="1101">
        <v>0</v>
      </c>
      <c r="P11" s="1101">
        <v>0</v>
      </c>
      <c r="Q11" s="1101">
        <v>0</v>
      </c>
      <c r="R11" s="1101">
        <v>0</v>
      </c>
      <c r="S11" s="1101">
        <v>0</v>
      </c>
      <c r="T11" s="1101">
        <v>0</v>
      </c>
      <c r="U11" s="1101">
        <v>0</v>
      </c>
      <c r="V11" s="1101">
        <v>39421</v>
      </c>
      <c r="W11" s="1101">
        <v>6970439</v>
      </c>
      <c r="X11" s="1101">
        <v>0</v>
      </c>
      <c r="Y11" s="1101">
        <v>2587162</v>
      </c>
      <c r="Z11" s="1101">
        <v>0</v>
      </c>
      <c r="AA11" s="1101">
        <v>0</v>
      </c>
      <c r="AB11" s="1101">
        <v>0</v>
      </c>
      <c r="AC11" s="1101">
        <v>0</v>
      </c>
      <c r="AD11" s="1101">
        <v>0</v>
      </c>
      <c r="AE11" s="1101">
        <v>0</v>
      </c>
      <c r="AF11" s="1101">
        <v>0</v>
      </c>
      <c r="AG11" s="1101">
        <v>0</v>
      </c>
      <c r="AH11" s="1101">
        <v>0</v>
      </c>
      <c r="AI11" s="1101">
        <v>0</v>
      </c>
      <c r="AJ11" s="1101">
        <v>0</v>
      </c>
      <c r="AK11" s="1101">
        <v>0</v>
      </c>
      <c r="AL11" s="1101">
        <v>0</v>
      </c>
      <c r="AM11" s="1101">
        <v>0</v>
      </c>
      <c r="AN11" s="1101">
        <v>0</v>
      </c>
      <c r="AO11" s="1101">
        <v>0</v>
      </c>
      <c r="AP11" s="1101">
        <v>0</v>
      </c>
      <c r="AQ11" s="1101">
        <v>0</v>
      </c>
      <c r="AR11" s="1101">
        <v>0</v>
      </c>
      <c r="AS11" s="1101">
        <v>0</v>
      </c>
      <c r="AT11" s="1101">
        <v>0</v>
      </c>
      <c r="AU11" s="1101">
        <v>0</v>
      </c>
      <c r="AV11" s="1101">
        <v>0</v>
      </c>
      <c r="AW11" s="1101">
        <v>0</v>
      </c>
      <c r="AX11" s="1101">
        <v>0</v>
      </c>
      <c r="AY11" s="1101">
        <v>0</v>
      </c>
      <c r="AZ11" s="1101">
        <v>0</v>
      </c>
      <c r="BA11" s="1101">
        <v>0</v>
      </c>
      <c r="BB11" s="1101">
        <v>0</v>
      </c>
      <c r="BC11" s="1101">
        <v>0</v>
      </c>
      <c r="BD11" s="1101">
        <v>0</v>
      </c>
      <c r="BE11" s="1101">
        <v>0</v>
      </c>
      <c r="BF11" s="1101">
        <v>-1862320</v>
      </c>
      <c r="BG11" s="1101">
        <v>-24942</v>
      </c>
      <c r="BH11" s="1101">
        <v>0</v>
      </c>
      <c r="BI11" s="1101">
        <v>0</v>
      </c>
      <c r="BJ11" s="1101">
        <v>0</v>
      </c>
      <c r="BK11" s="1101">
        <v>0</v>
      </c>
      <c r="BL11" s="1101">
        <v>0</v>
      </c>
      <c r="BM11" s="1101">
        <v>0</v>
      </c>
      <c r="BN11" s="1101">
        <v>0</v>
      </c>
      <c r="BO11" s="1101">
        <v>0</v>
      </c>
      <c r="BP11" s="1101">
        <v>0</v>
      </c>
      <c r="BQ11" s="1101">
        <v>0</v>
      </c>
      <c r="BR11" s="1101">
        <v>0</v>
      </c>
      <c r="BS11" s="1101">
        <v>0</v>
      </c>
      <c r="BT11" s="1101">
        <v>0</v>
      </c>
      <c r="BU11" s="1101">
        <v>0</v>
      </c>
      <c r="BV11" s="1101">
        <v>0</v>
      </c>
      <c r="BW11" s="1101">
        <v>0</v>
      </c>
      <c r="BX11" s="1101">
        <v>0</v>
      </c>
      <c r="BY11" s="1101">
        <v>0</v>
      </c>
      <c r="BZ11" s="1101">
        <v>0</v>
      </c>
      <c r="CA11" s="1101">
        <v>0</v>
      </c>
      <c r="CB11" s="1101">
        <v>0</v>
      </c>
      <c r="CC11" s="1101">
        <v>0</v>
      </c>
      <c r="CD11" s="1101">
        <v>0</v>
      </c>
      <c r="CE11" s="1101">
        <v>0</v>
      </c>
      <c r="CF11" s="1101">
        <v>0</v>
      </c>
      <c r="CG11" s="1101">
        <v>0</v>
      </c>
      <c r="CH11" s="1101">
        <v>0</v>
      </c>
      <c r="CI11" s="1101">
        <v>0</v>
      </c>
      <c r="CJ11" s="1101">
        <v>0</v>
      </c>
      <c r="CK11" s="1101">
        <v>0</v>
      </c>
      <c r="CL11" s="1101">
        <v>0</v>
      </c>
      <c r="CM11" s="1101">
        <v>0</v>
      </c>
      <c r="CN11" s="1101">
        <v>0</v>
      </c>
      <c r="CO11" s="1101">
        <v>0</v>
      </c>
      <c r="CP11" s="1101">
        <v>6963868</v>
      </c>
      <c r="CQ11" s="1101">
        <v>21514556</v>
      </c>
      <c r="CR11" s="1101">
        <v>0</v>
      </c>
      <c r="CS11" s="1101">
        <v>0</v>
      </c>
      <c r="CT11" s="1101">
        <v>0</v>
      </c>
      <c r="CU11" s="1101">
        <v>0</v>
      </c>
      <c r="CV11" s="1101">
        <v>0</v>
      </c>
      <c r="CW11" s="1101">
        <v>0</v>
      </c>
      <c r="CX11" s="1101">
        <v>0</v>
      </c>
      <c r="CY11" s="1101">
        <v>0</v>
      </c>
      <c r="CZ11" s="1101">
        <v>0</v>
      </c>
      <c r="DA11" s="1101">
        <v>0</v>
      </c>
      <c r="DB11" s="1101">
        <v>0</v>
      </c>
      <c r="DC11" s="1101">
        <v>0</v>
      </c>
      <c r="DD11" s="1101">
        <v>0</v>
      </c>
      <c r="DE11" s="1101">
        <v>0</v>
      </c>
      <c r="DF11" s="1101">
        <v>0</v>
      </c>
      <c r="DG11" s="1101">
        <v>0</v>
      </c>
      <c r="DH11" s="1101">
        <v>0</v>
      </c>
      <c r="DI11" s="1101">
        <v>0</v>
      </c>
      <c r="DJ11" s="1101">
        <v>0</v>
      </c>
      <c r="DK11" s="1101">
        <v>0</v>
      </c>
      <c r="DL11" s="1101">
        <v>0</v>
      </c>
      <c r="DM11" s="1101">
        <v>0</v>
      </c>
      <c r="DN11" s="1101">
        <v>0</v>
      </c>
      <c r="DO11" s="1101">
        <v>0</v>
      </c>
      <c r="DP11" s="1101">
        <v>0</v>
      </c>
      <c r="DQ11" s="1101">
        <v>-261585</v>
      </c>
      <c r="DR11" s="1101">
        <v>-1392843</v>
      </c>
      <c r="DS11" s="1101">
        <v>0</v>
      </c>
      <c r="DT11" s="1101">
        <v>0</v>
      </c>
      <c r="DU11" s="1101">
        <v>0</v>
      </c>
      <c r="DV11" s="1101">
        <v>0</v>
      </c>
      <c r="DW11" s="1101">
        <v>0</v>
      </c>
      <c r="DX11" s="1101">
        <v>0</v>
      </c>
      <c r="DY11" s="1101">
        <v>0</v>
      </c>
      <c r="DZ11" s="1101">
        <v>0</v>
      </c>
      <c r="EA11" s="1101">
        <v>0</v>
      </c>
      <c r="EB11" s="1101">
        <v>0</v>
      </c>
      <c r="EC11" s="1101">
        <v>0</v>
      </c>
      <c r="ED11" s="1101">
        <v>0</v>
      </c>
      <c r="EE11" s="1101">
        <v>0</v>
      </c>
      <c r="EF11" s="1101">
        <v>0</v>
      </c>
      <c r="EG11" s="1101">
        <v>0</v>
      </c>
      <c r="EH11" s="1101">
        <v>0</v>
      </c>
      <c r="EI11" s="1101">
        <v>-1819972</v>
      </c>
      <c r="EJ11" s="1101">
        <v>-7636034</v>
      </c>
      <c r="EK11" s="1101">
        <v>0</v>
      </c>
      <c r="EL11" s="1101">
        <v>0</v>
      </c>
      <c r="EM11" s="1101">
        <v>0</v>
      </c>
      <c r="EN11" s="1101">
        <v>0</v>
      </c>
      <c r="EO11" s="1101">
        <v>0</v>
      </c>
      <c r="EP11" s="1101">
        <v>0</v>
      </c>
      <c r="EQ11" s="1101">
        <v>0</v>
      </c>
      <c r="ER11" s="1101">
        <v>0</v>
      </c>
      <c r="ES11" s="1101">
        <v>0</v>
      </c>
      <c r="ET11" s="1101">
        <v>0</v>
      </c>
      <c r="EU11" s="1101">
        <v>0</v>
      </c>
      <c r="EV11" s="1101">
        <v>0</v>
      </c>
      <c r="EW11" s="1101">
        <v>0</v>
      </c>
      <c r="EX11" s="1101">
        <v>0</v>
      </c>
      <c r="EY11" s="1101">
        <v>0</v>
      </c>
      <c r="EZ11" s="1101">
        <v>0</v>
      </c>
      <c r="FA11" s="1101">
        <v>0</v>
      </c>
      <c r="FB11" s="1101">
        <v>0</v>
      </c>
      <c r="FC11" s="1101">
        <v>0</v>
      </c>
      <c r="FD11" s="1101">
        <v>0</v>
      </c>
      <c r="FE11" s="1101">
        <v>0</v>
      </c>
      <c r="FF11" s="1101">
        <v>0</v>
      </c>
      <c r="FG11" s="1101">
        <v>0</v>
      </c>
      <c r="FH11" s="1101">
        <v>0</v>
      </c>
      <c r="FI11" s="1101">
        <v>0</v>
      </c>
      <c r="FJ11" s="1101">
        <v>0</v>
      </c>
      <c r="FK11" s="1101">
        <v>0</v>
      </c>
      <c r="FL11" s="1101">
        <v>0</v>
      </c>
      <c r="FM11" s="1101">
        <v>0</v>
      </c>
      <c r="FN11" s="1101">
        <v>0</v>
      </c>
      <c r="FO11" s="1101">
        <v>0</v>
      </c>
      <c r="FP11" s="1101">
        <v>0</v>
      </c>
      <c r="FQ11" s="1101">
        <v>0</v>
      </c>
      <c r="FR11" s="1101">
        <v>0</v>
      </c>
      <c r="FS11" s="1101">
        <v>0</v>
      </c>
      <c r="FT11" s="1101">
        <v>0</v>
      </c>
      <c r="FU11" s="1101">
        <v>0</v>
      </c>
      <c r="FV11" s="1101">
        <v>0</v>
      </c>
      <c r="FW11" s="1101">
        <v>0</v>
      </c>
      <c r="FX11" s="1101">
        <v>0</v>
      </c>
      <c r="FY11" s="1101">
        <v>0</v>
      </c>
      <c r="FZ11" s="1101">
        <v>0</v>
      </c>
      <c r="GA11" s="1101">
        <v>0</v>
      </c>
      <c r="GB11" s="1101">
        <v>21983</v>
      </c>
      <c r="GC11" s="1101">
        <v>12174362</v>
      </c>
      <c r="GD11" s="1101">
        <v>3455383</v>
      </c>
      <c r="GE11" s="1101">
        <v>0</v>
      </c>
      <c r="GF11" s="1101">
        <v>0</v>
      </c>
      <c r="GG11" s="1101">
        <v>0</v>
      </c>
      <c r="GH11" s="1101">
        <v>0</v>
      </c>
      <c r="GI11" s="1101">
        <v>0</v>
      </c>
      <c r="GJ11" s="1101">
        <v>0</v>
      </c>
      <c r="GK11" s="1101">
        <v>0</v>
      </c>
      <c r="GL11" s="1101">
        <v>0</v>
      </c>
      <c r="GM11" s="1101">
        <v>0</v>
      </c>
      <c r="GN11" s="1101">
        <v>0</v>
      </c>
      <c r="GO11" s="1101">
        <v>0</v>
      </c>
      <c r="GP11" s="1101">
        <v>0</v>
      </c>
      <c r="GQ11" s="1101">
        <v>0</v>
      </c>
      <c r="GR11" s="1101">
        <v>0</v>
      </c>
      <c r="GS11" s="1101">
        <v>0</v>
      </c>
      <c r="GT11" s="1101">
        <v>0</v>
      </c>
      <c r="GU11" s="1101">
        <v>0</v>
      </c>
      <c r="GV11" s="1101">
        <v>0</v>
      </c>
      <c r="GW11" s="1101">
        <v>0</v>
      </c>
      <c r="GX11" s="1101">
        <v>0</v>
      </c>
      <c r="GY11" s="1101">
        <v>0</v>
      </c>
      <c r="GZ11" s="1101">
        <v>0</v>
      </c>
      <c r="HA11" s="1101">
        <v>0</v>
      </c>
      <c r="HB11" s="1101">
        <v>0</v>
      </c>
      <c r="HC11" s="1101">
        <v>0</v>
      </c>
      <c r="HD11" s="1101">
        <v>0</v>
      </c>
      <c r="HE11" s="1101">
        <v>-92958</v>
      </c>
      <c r="HF11" s="1101">
        <v>0</v>
      </c>
      <c r="HG11" s="1101">
        <v>0</v>
      </c>
      <c r="HH11" s="1101">
        <v>0</v>
      </c>
      <c r="HI11" s="1101">
        <v>0</v>
      </c>
      <c r="HJ11" s="1101">
        <v>0</v>
      </c>
      <c r="HK11" s="1101">
        <v>0</v>
      </c>
      <c r="HL11" s="1101">
        <v>0</v>
      </c>
      <c r="HM11" s="1101">
        <v>0</v>
      </c>
      <c r="HN11" s="1101">
        <v>0</v>
      </c>
      <c r="HO11" s="1101">
        <v>0</v>
      </c>
      <c r="HP11" s="1101">
        <v>0</v>
      </c>
      <c r="HQ11" s="1101">
        <v>0</v>
      </c>
      <c r="HR11" s="1101">
        <v>0</v>
      </c>
      <c r="HS11" s="1101">
        <v>0</v>
      </c>
      <c r="HT11" s="1101">
        <v>0</v>
      </c>
      <c r="HU11" s="1101">
        <v>0</v>
      </c>
      <c r="HV11" s="1101">
        <v>0</v>
      </c>
      <c r="HW11" s="1101">
        <v>-413654</v>
      </c>
      <c r="HX11" s="1101">
        <v>0</v>
      </c>
      <c r="HY11" s="1101">
        <v>0</v>
      </c>
      <c r="HZ11" s="1101">
        <v>0</v>
      </c>
      <c r="IA11" s="1101">
        <v>0</v>
      </c>
      <c r="IB11" s="1101">
        <v>0</v>
      </c>
      <c r="IC11" s="1101">
        <v>0</v>
      </c>
      <c r="ID11" s="1101">
        <v>548025</v>
      </c>
      <c r="IE11" s="1101">
        <v>582176</v>
      </c>
      <c r="IF11" s="1101">
        <v>0</v>
      </c>
      <c r="IG11" s="1101">
        <v>20954759</v>
      </c>
      <c r="IH11" s="1101">
        <v>0</v>
      </c>
      <c r="II11" s="1101">
        <v>0</v>
      </c>
      <c r="IJ11" s="1101">
        <v>0</v>
      </c>
      <c r="IK11" s="1101">
        <v>0</v>
      </c>
      <c r="IL11" s="1101">
        <v>0</v>
      </c>
      <c r="IM11" s="1101">
        <v>68120</v>
      </c>
      <c r="IN11" s="1101">
        <v>386084</v>
      </c>
      <c r="IO11" s="1101">
        <v>0</v>
      </c>
      <c r="IP11" s="1101">
        <v>3827764</v>
      </c>
      <c r="IQ11" s="1101">
        <v>0</v>
      </c>
      <c r="IR11" s="1101">
        <v>33964</v>
      </c>
      <c r="IS11" s="1101">
        <v>0</v>
      </c>
      <c r="IT11" s="1101">
        <v>0</v>
      </c>
      <c r="IU11" s="1101">
        <v>0</v>
      </c>
      <c r="IV11" s="1101">
        <v>0</v>
      </c>
      <c r="IW11" s="1101">
        <v>0</v>
      </c>
      <c r="IX11" s="1101">
        <v>0</v>
      </c>
      <c r="IY11" s="1101">
        <v>2099047</v>
      </c>
      <c r="IZ11" s="1101">
        <v>0</v>
      </c>
      <c r="JA11" s="1101">
        <v>0</v>
      </c>
      <c r="JB11" s="1101">
        <v>0</v>
      </c>
      <c r="JC11" s="1101">
        <v>0</v>
      </c>
      <c r="JD11" s="1101">
        <v>0</v>
      </c>
      <c r="JE11" s="1101">
        <v>0</v>
      </c>
      <c r="JF11" s="1101">
        <v>28639</v>
      </c>
      <c r="JG11" s="1101">
        <v>0</v>
      </c>
      <c r="JH11" s="1101">
        <v>3247569</v>
      </c>
      <c r="JI11" s="1101">
        <v>0</v>
      </c>
      <c r="JJ11" s="1101">
        <v>0</v>
      </c>
      <c r="JK11" s="1101">
        <v>0</v>
      </c>
      <c r="JL11" s="1101">
        <v>0</v>
      </c>
      <c r="JM11" s="1101">
        <v>0</v>
      </c>
      <c r="JN11" s="1101">
        <v>0</v>
      </c>
      <c r="JO11" s="1101">
        <v>969727</v>
      </c>
      <c r="JP11" s="1101">
        <v>0</v>
      </c>
      <c r="JQ11" s="1101">
        <v>202951</v>
      </c>
      <c r="JR11" s="1101">
        <v>0</v>
      </c>
      <c r="JS11" s="1101">
        <v>0</v>
      </c>
      <c r="JT11" s="1101">
        <v>0</v>
      </c>
      <c r="JU11" s="1101">
        <v>0</v>
      </c>
      <c r="JV11" s="1101">
        <v>0</v>
      </c>
      <c r="JW11" s="1101">
        <v>0</v>
      </c>
      <c r="JX11" s="1101">
        <v>0</v>
      </c>
      <c r="JY11" s="1101">
        <v>6063878</v>
      </c>
      <c r="JZ11" s="1101">
        <v>0</v>
      </c>
      <c r="KA11" s="1101">
        <v>0</v>
      </c>
      <c r="KB11" s="1101">
        <v>0</v>
      </c>
      <c r="KC11" s="1101">
        <v>0</v>
      </c>
      <c r="KD11" s="1101">
        <v>0</v>
      </c>
      <c r="KE11" s="1101">
        <v>0</v>
      </c>
      <c r="KF11" s="1101">
        <v>10</v>
      </c>
      <c r="KG11" s="1101">
        <v>275207</v>
      </c>
      <c r="KH11" s="1101">
        <v>100</v>
      </c>
      <c r="KI11" s="1101">
        <v>15816</v>
      </c>
      <c r="KJ11" s="1101">
        <v>0</v>
      </c>
      <c r="KK11" s="1101">
        <v>0</v>
      </c>
      <c r="KL11" s="1101">
        <v>0</v>
      </c>
      <c r="KM11" s="1101">
        <v>0</v>
      </c>
      <c r="KN11" s="1101">
        <v>0</v>
      </c>
      <c r="KO11" s="1101">
        <v>14679890</v>
      </c>
      <c r="KP11" s="1101">
        <v>17414827</v>
      </c>
      <c r="KQ11" s="1101">
        <v>0</v>
      </c>
      <c r="KR11" s="1101">
        <v>3268382</v>
      </c>
      <c r="KS11" s="1101">
        <v>0</v>
      </c>
      <c r="KT11" s="1101">
        <v>0</v>
      </c>
      <c r="KU11" s="1101">
        <v>0</v>
      </c>
      <c r="KV11" s="1101">
        <v>0</v>
      </c>
      <c r="KW11" s="1101">
        <v>0</v>
      </c>
      <c r="KX11" s="1101">
        <v>251547</v>
      </c>
      <c r="KY11" s="1101">
        <v>516329</v>
      </c>
      <c r="KZ11" s="1101">
        <v>0</v>
      </c>
      <c r="LA11" s="1101">
        <v>2194709</v>
      </c>
      <c r="LB11" s="1101">
        <v>0</v>
      </c>
      <c r="LC11" s="1101">
        <v>0</v>
      </c>
      <c r="LD11" s="1101">
        <v>0</v>
      </c>
      <c r="LE11" s="1101">
        <v>0</v>
      </c>
      <c r="LF11" s="1101">
        <v>0</v>
      </c>
      <c r="LG11" s="1101">
        <v>414363</v>
      </c>
      <c r="LH11" s="1101">
        <v>695041</v>
      </c>
      <c r="LI11" s="1101">
        <v>0</v>
      </c>
      <c r="LJ11" s="1101">
        <v>2839002</v>
      </c>
      <c r="LK11" s="1101">
        <v>0</v>
      </c>
      <c r="LL11" s="1101">
        <v>0</v>
      </c>
      <c r="LM11" s="1101">
        <v>0</v>
      </c>
      <c r="LN11" s="1101">
        <v>0</v>
      </c>
      <c r="LO11" s="1101">
        <v>0</v>
      </c>
      <c r="LP11" s="1101">
        <v>3593731</v>
      </c>
      <c r="LQ11" s="1101">
        <v>3190101</v>
      </c>
      <c r="LR11" s="1101">
        <v>0</v>
      </c>
      <c r="LS11" s="1101">
        <v>520797</v>
      </c>
      <c r="LT11" s="1101">
        <v>0</v>
      </c>
      <c r="LU11" s="1101">
        <v>0</v>
      </c>
      <c r="LV11" s="1101">
        <v>0</v>
      </c>
      <c r="LW11" s="1101">
        <v>0</v>
      </c>
      <c r="LX11" s="1101">
        <v>0</v>
      </c>
      <c r="LY11" s="1101">
        <v>2008798</v>
      </c>
      <c r="LZ11" s="1101">
        <v>1406501</v>
      </c>
      <c r="MA11" s="1101">
        <v>0</v>
      </c>
      <c r="MB11" s="1101">
        <v>29161</v>
      </c>
      <c r="MC11" s="1101">
        <v>0</v>
      </c>
      <c r="MD11" s="1101">
        <v>0</v>
      </c>
      <c r="ME11" s="1101">
        <v>0</v>
      </c>
      <c r="MF11" s="1101">
        <v>0</v>
      </c>
      <c r="MG11" s="1101">
        <v>0</v>
      </c>
      <c r="MH11" s="1101">
        <v>4090976</v>
      </c>
      <c r="MI11" s="1101">
        <v>4254525</v>
      </c>
      <c r="MJ11" s="1101">
        <v>0</v>
      </c>
      <c r="MK11" s="1101">
        <v>3316735</v>
      </c>
      <c r="ML11" s="1101">
        <v>0</v>
      </c>
      <c r="MM11" s="1101">
        <v>0</v>
      </c>
      <c r="MN11" s="1101">
        <v>0</v>
      </c>
      <c r="MO11" s="1101">
        <v>0</v>
      </c>
      <c r="MP11" s="1101">
        <v>0</v>
      </c>
      <c r="MQ11" s="1101">
        <v>5186486</v>
      </c>
      <c r="MR11" s="1101">
        <v>3073441</v>
      </c>
      <c r="MS11" s="1101">
        <v>0</v>
      </c>
      <c r="MT11" s="1101">
        <v>221389</v>
      </c>
      <c r="MU11" s="1101">
        <v>0</v>
      </c>
      <c r="MV11" s="1101">
        <v>0</v>
      </c>
      <c r="MW11" s="1101">
        <v>1737983</v>
      </c>
      <c r="MX11" s="1101">
        <v>0</v>
      </c>
      <c r="MY11" s="1101">
        <v>0</v>
      </c>
      <c r="MZ11" s="1101">
        <v>179824</v>
      </c>
      <c r="NA11" s="1101">
        <v>4828312</v>
      </c>
      <c r="NB11" s="1101">
        <v>0</v>
      </c>
      <c r="NC11" s="1101">
        <v>6613556</v>
      </c>
      <c r="ND11" s="1101">
        <v>0</v>
      </c>
      <c r="NE11" s="1101">
        <v>0</v>
      </c>
      <c r="NF11" s="1101">
        <v>0</v>
      </c>
      <c r="NG11" s="1101">
        <v>0</v>
      </c>
      <c r="NH11" s="1101">
        <v>0</v>
      </c>
      <c r="NI11" s="1101">
        <v>0</v>
      </c>
      <c r="NJ11" s="1101">
        <v>31588</v>
      </c>
      <c r="NK11" s="1101">
        <v>8401166</v>
      </c>
      <c r="NL11" s="1101">
        <v>1065318</v>
      </c>
      <c r="NM11" s="1101">
        <v>0</v>
      </c>
      <c r="NN11" s="1101">
        <v>0</v>
      </c>
      <c r="NO11" s="1101">
        <v>0</v>
      </c>
      <c r="NP11" s="1101">
        <v>0</v>
      </c>
      <c r="NQ11" s="1101">
        <v>0</v>
      </c>
      <c r="NR11" s="1101">
        <v>0</v>
      </c>
      <c r="NS11" s="1101">
        <v>2952557</v>
      </c>
      <c r="NT11" s="1101">
        <v>5726</v>
      </c>
      <c r="NU11" s="1101">
        <v>488723</v>
      </c>
      <c r="NV11" s="1101">
        <v>0</v>
      </c>
      <c r="NW11" s="1101">
        <v>0</v>
      </c>
      <c r="NX11" s="1101">
        <v>0</v>
      </c>
      <c r="NY11" s="1101">
        <v>0</v>
      </c>
      <c r="NZ11" s="1101">
        <v>0</v>
      </c>
      <c r="OA11" s="1101">
        <v>0</v>
      </c>
      <c r="OB11" s="1101">
        <v>0</v>
      </c>
      <c r="OC11" s="1101">
        <v>0</v>
      </c>
      <c r="OD11" s="1101">
        <v>0</v>
      </c>
      <c r="OE11" s="1101">
        <v>0</v>
      </c>
      <c r="OF11" s="1101">
        <v>0</v>
      </c>
      <c r="OG11" s="1101">
        <v>0</v>
      </c>
      <c r="OH11" s="1101">
        <v>0</v>
      </c>
      <c r="OI11" s="1101">
        <v>18266</v>
      </c>
      <c r="OJ11" s="1101">
        <v>0</v>
      </c>
      <c r="OK11" s="1101">
        <v>0</v>
      </c>
      <c r="OL11" s="1101">
        <v>0</v>
      </c>
      <c r="OM11" s="1101">
        <v>0</v>
      </c>
      <c r="ON11" s="1101">
        <v>0</v>
      </c>
      <c r="OO11" s="1101">
        <v>0</v>
      </c>
      <c r="OP11" s="1101">
        <v>-8030225</v>
      </c>
      <c r="OQ11" s="1101">
        <v>0</v>
      </c>
      <c r="OR11" s="1101">
        <v>0</v>
      </c>
      <c r="OS11" s="1101">
        <v>537844</v>
      </c>
      <c r="OT11" s="1101">
        <v>4544481</v>
      </c>
      <c r="OU11" s="1101">
        <v>3653431</v>
      </c>
      <c r="OV11" s="1101">
        <v>-9649145</v>
      </c>
      <c r="OW11" s="1101">
        <v>0</v>
      </c>
      <c r="OX11" s="1101">
        <v>2573</v>
      </c>
      <c r="OY11" s="1101">
        <v>1000000</v>
      </c>
      <c r="OZ11" s="1101">
        <v>0</v>
      </c>
      <c r="PA11" s="1101">
        <v>0</v>
      </c>
      <c r="PB11" s="1101">
        <v>0</v>
      </c>
      <c r="PC11" s="1101">
        <v>0</v>
      </c>
      <c r="PD11" s="1101">
        <v>0</v>
      </c>
      <c r="PE11" s="1101">
        <v>0</v>
      </c>
      <c r="PF11" s="1101">
        <v>0</v>
      </c>
      <c r="PG11" s="1101">
        <v>0</v>
      </c>
      <c r="PH11" s="1101">
        <v>8659975</v>
      </c>
      <c r="PI11" s="1101">
        <v>0</v>
      </c>
      <c r="PJ11" s="1101">
        <v>0</v>
      </c>
      <c r="PK11" s="1101">
        <v>-12186051</v>
      </c>
      <c r="PL11" s="1101">
        <v>-1412935</v>
      </c>
      <c r="PM11" s="1101">
        <v>-3656026</v>
      </c>
      <c r="PN11" s="1101">
        <v>0</v>
      </c>
      <c r="PO11" s="1101">
        <v>0</v>
      </c>
      <c r="PP11" s="1101">
        <v>0</v>
      </c>
      <c r="PQ11" s="1101">
        <v>0</v>
      </c>
      <c r="PR11" s="1101">
        <v>0</v>
      </c>
      <c r="PS11" s="1101">
        <v>0</v>
      </c>
      <c r="PT11" s="1101">
        <v>0</v>
      </c>
      <c r="PU11" s="1101">
        <v>-701557</v>
      </c>
      <c r="PV11" s="1101">
        <v>0</v>
      </c>
      <c r="PW11" s="1101">
        <v>0</v>
      </c>
      <c r="PX11" s="1101">
        <v>0</v>
      </c>
      <c r="PY11" s="1101">
        <v>13857515</v>
      </c>
      <c r="PZ11" s="1101">
        <v>0</v>
      </c>
      <c r="QA11" s="1101">
        <v>0</v>
      </c>
      <c r="QB11" s="1101">
        <v>0</v>
      </c>
      <c r="QC11" s="1101">
        <v>0</v>
      </c>
      <c r="QD11" s="1101">
        <v>0</v>
      </c>
      <c r="QE11" s="1101">
        <v>0</v>
      </c>
      <c r="QF11" s="1101">
        <v>0</v>
      </c>
      <c r="QG11" s="1101">
        <v>0</v>
      </c>
      <c r="QH11" s="1101">
        <v>3504810</v>
      </c>
      <c r="QI11" s="1101">
        <v>0</v>
      </c>
      <c r="QJ11" s="1101">
        <v>0</v>
      </c>
      <c r="QK11" s="1101">
        <v>0</v>
      </c>
      <c r="QL11" s="1101">
        <v>0</v>
      </c>
      <c r="QM11" s="1101">
        <v>0</v>
      </c>
      <c r="QN11" s="1101">
        <v>0</v>
      </c>
      <c r="QO11" s="1101">
        <v>0</v>
      </c>
      <c r="QP11" s="1101">
        <v>0</v>
      </c>
      <c r="QQ11" s="1101">
        <v>0</v>
      </c>
      <c r="QR11" s="1101">
        <v>0</v>
      </c>
      <c r="QS11" s="1101">
        <v>0</v>
      </c>
      <c r="QT11" s="1101">
        <v>0</v>
      </c>
      <c r="QU11" s="1101">
        <v>0</v>
      </c>
      <c r="QV11" s="1101">
        <v>0</v>
      </c>
      <c r="QW11" s="1101">
        <v>0</v>
      </c>
      <c r="QX11" s="1101">
        <v>0</v>
      </c>
      <c r="QY11" s="1101">
        <v>0</v>
      </c>
      <c r="QZ11" s="1101">
        <v>0</v>
      </c>
      <c r="RA11" s="1101">
        <v>0</v>
      </c>
      <c r="RB11" s="1101">
        <v>0</v>
      </c>
      <c r="RC11" s="1101">
        <v>-20910893</v>
      </c>
      <c r="RD11" s="1101">
        <v>0</v>
      </c>
      <c r="RE11" s="1101">
        <v>0</v>
      </c>
      <c r="RF11" s="1101">
        <v>0</v>
      </c>
      <c r="RG11" s="1101">
        <v>0</v>
      </c>
      <c r="RH11" s="1101">
        <v>0</v>
      </c>
      <c r="RI11" s="1101">
        <v>0</v>
      </c>
      <c r="RJ11" s="1101">
        <v>0</v>
      </c>
      <c r="RK11" s="1101">
        <v>0</v>
      </c>
      <c r="RL11" s="1101">
        <v>0</v>
      </c>
      <c r="RM11" s="1101">
        <v>0</v>
      </c>
      <c r="RN11" s="1101">
        <v>0</v>
      </c>
      <c r="RO11" s="1101">
        <v>0</v>
      </c>
      <c r="RP11" s="1101">
        <v>0</v>
      </c>
      <c r="RQ11" s="1101">
        <v>0</v>
      </c>
      <c r="RR11" s="1101">
        <v>0</v>
      </c>
      <c r="RS11" s="1101">
        <v>0</v>
      </c>
      <c r="RT11" s="1101">
        <v>0</v>
      </c>
      <c r="RU11" s="1101">
        <v>0</v>
      </c>
      <c r="RV11" s="1101">
        <v>0</v>
      </c>
      <c r="RW11" s="1101">
        <v>0</v>
      </c>
      <c r="RX11" s="1101">
        <v>0</v>
      </c>
      <c r="RY11" s="1101">
        <v>0</v>
      </c>
      <c r="RZ11" s="1101">
        <v>0</v>
      </c>
      <c r="SA11" s="1101">
        <v>0</v>
      </c>
      <c r="SB11" s="1101">
        <v>0</v>
      </c>
      <c r="SC11" s="1101">
        <v>0</v>
      </c>
      <c r="SD11" s="1101">
        <v>0</v>
      </c>
      <c r="SE11" s="1101">
        <v>0</v>
      </c>
      <c r="SF11" s="1101">
        <v>0</v>
      </c>
      <c r="SG11" s="1101">
        <v>0</v>
      </c>
      <c r="SH11" s="1101">
        <v>0</v>
      </c>
      <c r="SI11" s="1101">
        <v>0</v>
      </c>
      <c r="SJ11" s="1101">
        <v>0</v>
      </c>
      <c r="SK11" s="1101">
        <v>0</v>
      </c>
      <c r="SL11" s="1102">
        <v>0</v>
      </c>
      <c r="SM11" s="1101">
        <v>11477231</v>
      </c>
      <c r="SN11" s="1101">
        <v>6034698</v>
      </c>
      <c r="SO11" s="1102"/>
      <c r="SP11" s="1103"/>
      <c r="SQ11" s="1104">
        <v>44130152</v>
      </c>
      <c r="SR11" s="1104">
        <v>-11617046</v>
      </c>
      <c r="SS11" s="1105">
        <v>34048</v>
      </c>
      <c r="ST11" s="1106">
        <v>141794</v>
      </c>
      <c r="SU11" s="1106">
        <v>7238</v>
      </c>
      <c r="SV11" s="1106">
        <v>234378</v>
      </c>
      <c r="SW11" s="1106">
        <v>0</v>
      </c>
      <c r="SX11" s="1106">
        <v>3005499</v>
      </c>
      <c r="SY11" s="1106">
        <v>18324</v>
      </c>
      <c r="SZ11" s="1106">
        <v>0</v>
      </c>
      <c r="TA11" s="1106">
        <v>5725</v>
      </c>
      <c r="TB11" s="1106">
        <v>0</v>
      </c>
      <c r="TC11" s="1105">
        <v>0</v>
      </c>
      <c r="TD11" s="1106">
        <v>0</v>
      </c>
      <c r="TE11" s="1106">
        <v>0</v>
      </c>
      <c r="TF11" s="1106">
        <v>0</v>
      </c>
      <c r="TG11" s="1106">
        <v>0</v>
      </c>
      <c r="TH11" s="1106">
        <v>0</v>
      </c>
      <c r="TI11" s="1106">
        <v>0</v>
      </c>
      <c r="TJ11" s="1106">
        <v>0</v>
      </c>
      <c r="TK11" s="1105">
        <v>0</v>
      </c>
      <c r="TL11" s="1106">
        <v>0</v>
      </c>
      <c r="TM11" s="1106">
        <v>0</v>
      </c>
      <c r="TN11" s="1106">
        <v>0</v>
      </c>
      <c r="TO11" s="1106">
        <v>0</v>
      </c>
      <c r="TP11" s="1106">
        <v>0</v>
      </c>
      <c r="TQ11" s="1106">
        <v>0</v>
      </c>
      <c r="TR11" s="1106">
        <v>0</v>
      </c>
      <c r="TS11" s="1105">
        <v>35363099</v>
      </c>
      <c r="TT11" s="1106">
        <v>2962585</v>
      </c>
      <c r="TU11" s="1106">
        <v>3948406</v>
      </c>
      <c r="TV11" s="1106">
        <v>7304629</v>
      </c>
      <c r="TW11" s="1106">
        <v>3444460</v>
      </c>
      <c r="TX11" s="1106">
        <v>11662236</v>
      </c>
      <c r="TY11" s="1106">
        <v>10219299</v>
      </c>
      <c r="TZ11" s="1107">
        <v>11621692</v>
      </c>
      <c r="UA11" s="1107">
        <v>9498072</v>
      </c>
      <c r="UB11" s="1105">
        <v>2312402</v>
      </c>
      <c r="UC11" s="1108">
        <v>13155958</v>
      </c>
      <c r="UD11" s="1108"/>
      <c r="UE11" s="1103"/>
      <c r="UF11" s="1109" t="s">
        <v>2415</v>
      </c>
      <c r="UG11" s="1110" t="s">
        <v>2416</v>
      </c>
      <c r="UH11" s="1110" t="s">
        <v>2417</v>
      </c>
    </row>
    <row r="12" spans="1:554" s="776" customFormat="1" ht="30.75" thickBot="1">
      <c r="A12" s="1093">
        <v>110</v>
      </c>
      <c r="B12" s="1094" t="s">
        <v>101</v>
      </c>
      <c r="C12" s="1095" t="s">
        <v>308</v>
      </c>
      <c r="D12" s="1096" t="s">
        <v>2398</v>
      </c>
      <c r="E12" s="1097">
        <v>10115</v>
      </c>
      <c r="F12" s="1098">
        <v>2867963844</v>
      </c>
      <c r="G12" s="1096" t="s">
        <v>2399</v>
      </c>
      <c r="H12" s="1100" t="s">
        <v>101</v>
      </c>
      <c r="I12" s="1100"/>
      <c r="J12" s="1100"/>
      <c r="K12" s="1100"/>
      <c r="L12" s="1100"/>
      <c r="M12" s="1101">
        <v>136194839</v>
      </c>
      <c r="N12" s="1101">
        <v>0</v>
      </c>
      <c r="O12" s="1101">
        <v>0</v>
      </c>
      <c r="P12" s="1101">
        <v>0</v>
      </c>
      <c r="Q12" s="1101">
        <v>0</v>
      </c>
      <c r="R12" s="1101">
        <v>0</v>
      </c>
      <c r="S12" s="1101">
        <v>0</v>
      </c>
      <c r="T12" s="1101">
        <v>0</v>
      </c>
      <c r="U12" s="1101">
        <v>0</v>
      </c>
      <c r="V12" s="1101">
        <v>23481728</v>
      </c>
      <c r="W12" s="1101">
        <v>780187</v>
      </c>
      <c r="X12" s="1101">
        <v>0</v>
      </c>
      <c r="Y12" s="1101">
        <v>1719659</v>
      </c>
      <c r="Z12" s="1101">
        <v>0</v>
      </c>
      <c r="AA12" s="1101">
        <v>0</v>
      </c>
      <c r="AB12" s="1101">
        <v>0</v>
      </c>
      <c r="AC12" s="1101">
        <v>0</v>
      </c>
      <c r="AD12" s="1101">
        <v>0</v>
      </c>
      <c r="AE12" s="1101">
        <v>0</v>
      </c>
      <c r="AF12" s="1101">
        <v>0</v>
      </c>
      <c r="AG12" s="1101">
        <v>0</v>
      </c>
      <c r="AH12" s="1101">
        <v>0</v>
      </c>
      <c r="AI12" s="1101">
        <v>0</v>
      </c>
      <c r="AJ12" s="1101">
        <v>0</v>
      </c>
      <c r="AK12" s="1101">
        <v>0</v>
      </c>
      <c r="AL12" s="1101">
        <v>0</v>
      </c>
      <c r="AM12" s="1101">
        <v>0</v>
      </c>
      <c r="AN12" s="1101">
        <v>0</v>
      </c>
      <c r="AO12" s="1101">
        <v>0</v>
      </c>
      <c r="AP12" s="1101">
        <v>0</v>
      </c>
      <c r="AQ12" s="1101">
        <v>0</v>
      </c>
      <c r="AR12" s="1101">
        <v>0</v>
      </c>
      <c r="AS12" s="1101">
        <v>0</v>
      </c>
      <c r="AT12" s="1101">
        <v>0</v>
      </c>
      <c r="AU12" s="1101">
        <v>0</v>
      </c>
      <c r="AV12" s="1101">
        <v>0</v>
      </c>
      <c r="AW12" s="1101">
        <v>0</v>
      </c>
      <c r="AX12" s="1101">
        <v>0</v>
      </c>
      <c r="AY12" s="1101">
        <v>0</v>
      </c>
      <c r="AZ12" s="1101">
        <v>0</v>
      </c>
      <c r="BA12" s="1101">
        <v>0</v>
      </c>
      <c r="BB12" s="1101">
        <v>0</v>
      </c>
      <c r="BC12" s="1101">
        <v>0</v>
      </c>
      <c r="BD12" s="1101">
        <v>0</v>
      </c>
      <c r="BE12" s="1101">
        <v>0</v>
      </c>
      <c r="BF12" s="1101">
        <v>-11667359</v>
      </c>
      <c r="BG12" s="1101">
        <v>0</v>
      </c>
      <c r="BH12" s="1101">
        <v>0</v>
      </c>
      <c r="BI12" s="1101">
        <v>0</v>
      </c>
      <c r="BJ12" s="1101">
        <v>0</v>
      </c>
      <c r="BK12" s="1101">
        <v>0</v>
      </c>
      <c r="BL12" s="1101">
        <v>0</v>
      </c>
      <c r="BM12" s="1101">
        <v>0</v>
      </c>
      <c r="BN12" s="1101">
        <v>0</v>
      </c>
      <c r="BO12" s="1101">
        <v>0</v>
      </c>
      <c r="BP12" s="1101">
        <v>0</v>
      </c>
      <c r="BQ12" s="1101">
        <v>0</v>
      </c>
      <c r="BR12" s="1101">
        <v>0</v>
      </c>
      <c r="BS12" s="1101">
        <v>0</v>
      </c>
      <c r="BT12" s="1101">
        <v>0</v>
      </c>
      <c r="BU12" s="1101">
        <v>0</v>
      </c>
      <c r="BV12" s="1101">
        <v>0</v>
      </c>
      <c r="BW12" s="1101">
        <v>0</v>
      </c>
      <c r="BX12" s="1101">
        <v>0</v>
      </c>
      <c r="BY12" s="1101">
        <v>0</v>
      </c>
      <c r="BZ12" s="1101">
        <v>0</v>
      </c>
      <c r="CA12" s="1101">
        <v>0</v>
      </c>
      <c r="CB12" s="1101">
        <v>0</v>
      </c>
      <c r="CC12" s="1101">
        <v>0</v>
      </c>
      <c r="CD12" s="1101">
        <v>0</v>
      </c>
      <c r="CE12" s="1101">
        <v>0</v>
      </c>
      <c r="CF12" s="1101">
        <v>0</v>
      </c>
      <c r="CG12" s="1101">
        <v>0</v>
      </c>
      <c r="CH12" s="1101">
        <v>0</v>
      </c>
      <c r="CI12" s="1101">
        <v>0</v>
      </c>
      <c r="CJ12" s="1101">
        <v>0</v>
      </c>
      <c r="CK12" s="1101">
        <v>0</v>
      </c>
      <c r="CL12" s="1101">
        <v>0</v>
      </c>
      <c r="CM12" s="1101">
        <v>0</v>
      </c>
      <c r="CN12" s="1101">
        <v>0</v>
      </c>
      <c r="CO12" s="1101">
        <v>0</v>
      </c>
      <c r="CP12" s="1101">
        <v>52047613</v>
      </c>
      <c r="CQ12" s="1101">
        <v>179828468</v>
      </c>
      <c r="CR12" s="1101">
        <v>0</v>
      </c>
      <c r="CS12" s="1101">
        <v>0</v>
      </c>
      <c r="CT12" s="1101">
        <v>0</v>
      </c>
      <c r="CU12" s="1101">
        <v>0</v>
      </c>
      <c r="CV12" s="1101">
        <v>0</v>
      </c>
      <c r="CW12" s="1101">
        <v>0</v>
      </c>
      <c r="CX12" s="1101">
        <v>0</v>
      </c>
      <c r="CY12" s="1101">
        <v>0</v>
      </c>
      <c r="CZ12" s="1101">
        <v>0</v>
      </c>
      <c r="DA12" s="1101">
        <v>0</v>
      </c>
      <c r="DB12" s="1101">
        <v>0</v>
      </c>
      <c r="DC12" s="1101">
        <v>0</v>
      </c>
      <c r="DD12" s="1101">
        <v>0</v>
      </c>
      <c r="DE12" s="1101">
        <v>0</v>
      </c>
      <c r="DF12" s="1101">
        <v>0</v>
      </c>
      <c r="DG12" s="1101">
        <v>0</v>
      </c>
      <c r="DH12" s="1101">
        <v>0</v>
      </c>
      <c r="DI12" s="1101">
        <v>0</v>
      </c>
      <c r="DJ12" s="1101">
        <v>0</v>
      </c>
      <c r="DK12" s="1101">
        <v>0</v>
      </c>
      <c r="DL12" s="1101">
        <v>0</v>
      </c>
      <c r="DM12" s="1101">
        <v>0</v>
      </c>
      <c r="DN12" s="1101">
        <v>0</v>
      </c>
      <c r="DO12" s="1101">
        <v>0</v>
      </c>
      <c r="DP12" s="1101">
        <v>0</v>
      </c>
      <c r="DQ12" s="1101">
        <v>-3539872</v>
      </c>
      <c r="DR12" s="1101">
        <v>-17248917</v>
      </c>
      <c r="DS12" s="1101">
        <v>0</v>
      </c>
      <c r="DT12" s="1101">
        <v>0</v>
      </c>
      <c r="DU12" s="1101">
        <v>0</v>
      </c>
      <c r="DV12" s="1101">
        <v>0</v>
      </c>
      <c r="DW12" s="1101">
        <v>0</v>
      </c>
      <c r="DX12" s="1101">
        <v>0</v>
      </c>
      <c r="DY12" s="1101">
        <v>0</v>
      </c>
      <c r="DZ12" s="1101">
        <v>0</v>
      </c>
      <c r="EA12" s="1101">
        <v>0</v>
      </c>
      <c r="EB12" s="1101">
        <v>0</v>
      </c>
      <c r="EC12" s="1101">
        <v>0</v>
      </c>
      <c r="ED12" s="1101">
        <v>0</v>
      </c>
      <c r="EE12" s="1101">
        <v>0</v>
      </c>
      <c r="EF12" s="1101">
        <v>0</v>
      </c>
      <c r="EG12" s="1101">
        <v>0</v>
      </c>
      <c r="EH12" s="1101">
        <v>0</v>
      </c>
      <c r="EI12" s="1101">
        <v>-12685435</v>
      </c>
      <c r="EJ12" s="1101">
        <v>-38410411</v>
      </c>
      <c r="EK12" s="1101">
        <v>0</v>
      </c>
      <c r="EL12" s="1101">
        <v>0</v>
      </c>
      <c r="EM12" s="1101">
        <v>0</v>
      </c>
      <c r="EN12" s="1101">
        <v>0</v>
      </c>
      <c r="EO12" s="1101">
        <v>0</v>
      </c>
      <c r="EP12" s="1101">
        <v>0</v>
      </c>
      <c r="EQ12" s="1101">
        <v>0</v>
      </c>
      <c r="ER12" s="1101">
        <v>0</v>
      </c>
      <c r="ES12" s="1101">
        <v>0</v>
      </c>
      <c r="ET12" s="1101">
        <v>0</v>
      </c>
      <c r="EU12" s="1101">
        <v>0</v>
      </c>
      <c r="EV12" s="1101">
        <v>0</v>
      </c>
      <c r="EW12" s="1101">
        <v>0</v>
      </c>
      <c r="EX12" s="1101">
        <v>0</v>
      </c>
      <c r="EY12" s="1101">
        <v>0</v>
      </c>
      <c r="EZ12" s="1101">
        <v>0</v>
      </c>
      <c r="FA12" s="1101">
        <v>0</v>
      </c>
      <c r="FB12" s="1101">
        <v>0</v>
      </c>
      <c r="FC12" s="1101">
        <v>0</v>
      </c>
      <c r="FD12" s="1101">
        <v>0</v>
      </c>
      <c r="FE12" s="1101">
        <v>0</v>
      </c>
      <c r="FF12" s="1101">
        <v>0</v>
      </c>
      <c r="FG12" s="1101">
        <v>0</v>
      </c>
      <c r="FH12" s="1101">
        <v>0</v>
      </c>
      <c r="FI12" s="1101">
        <v>0</v>
      </c>
      <c r="FJ12" s="1101">
        <v>0</v>
      </c>
      <c r="FK12" s="1101">
        <v>0</v>
      </c>
      <c r="FL12" s="1101">
        <v>0</v>
      </c>
      <c r="FM12" s="1101">
        <v>0</v>
      </c>
      <c r="FN12" s="1101">
        <v>0</v>
      </c>
      <c r="FO12" s="1101">
        <v>0</v>
      </c>
      <c r="FP12" s="1101">
        <v>0</v>
      </c>
      <c r="FQ12" s="1101">
        <v>0</v>
      </c>
      <c r="FR12" s="1101">
        <v>0</v>
      </c>
      <c r="FS12" s="1101">
        <v>0</v>
      </c>
      <c r="FT12" s="1101">
        <v>0</v>
      </c>
      <c r="FU12" s="1101">
        <v>0</v>
      </c>
      <c r="FV12" s="1101">
        <v>0</v>
      </c>
      <c r="FW12" s="1101">
        <v>0</v>
      </c>
      <c r="FX12" s="1101">
        <v>0</v>
      </c>
      <c r="FY12" s="1101">
        <v>0</v>
      </c>
      <c r="FZ12" s="1101">
        <v>0</v>
      </c>
      <c r="GA12" s="1101">
        <v>0</v>
      </c>
      <c r="GB12" s="1101">
        <v>5394733</v>
      </c>
      <c r="GC12" s="1101">
        <v>93394615</v>
      </c>
      <c r="GD12" s="1101">
        <v>33909362</v>
      </c>
      <c r="GE12" s="1101">
        <v>0</v>
      </c>
      <c r="GF12" s="1101">
        <v>0</v>
      </c>
      <c r="GG12" s="1101">
        <v>0</v>
      </c>
      <c r="GH12" s="1101">
        <v>0</v>
      </c>
      <c r="GI12" s="1101">
        <v>0</v>
      </c>
      <c r="GJ12" s="1101">
        <v>0</v>
      </c>
      <c r="GK12" s="1101">
        <v>0</v>
      </c>
      <c r="GL12" s="1101">
        <v>0</v>
      </c>
      <c r="GM12" s="1101">
        <v>0</v>
      </c>
      <c r="GN12" s="1101">
        <v>0</v>
      </c>
      <c r="GO12" s="1101">
        <v>0</v>
      </c>
      <c r="GP12" s="1101">
        <v>0</v>
      </c>
      <c r="GQ12" s="1101">
        <v>0</v>
      </c>
      <c r="GR12" s="1101">
        <v>0</v>
      </c>
      <c r="GS12" s="1101">
        <v>0</v>
      </c>
      <c r="GT12" s="1101">
        <v>0</v>
      </c>
      <c r="GU12" s="1101">
        <v>0</v>
      </c>
      <c r="GV12" s="1101">
        <v>0</v>
      </c>
      <c r="GW12" s="1101">
        <v>0</v>
      </c>
      <c r="GX12" s="1101">
        <v>0</v>
      </c>
      <c r="GY12" s="1101">
        <v>0</v>
      </c>
      <c r="GZ12" s="1101">
        <v>0</v>
      </c>
      <c r="HA12" s="1101">
        <v>0</v>
      </c>
      <c r="HB12" s="1101">
        <v>0</v>
      </c>
      <c r="HC12" s="1101">
        <v>0</v>
      </c>
      <c r="HD12" s="1101">
        <v>0</v>
      </c>
      <c r="HE12" s="1101">
        <v>-2350335</v>
      </c>
      <c r="HF12" s="1101">
        <v>0</v>
      </c>
      <c r="HG12" s="1101">
        <v>0</v>
      </c>
      <c r="HH12" s="1101">
        <v>0</v>
      </c>
      <c r="HI12" s="1101">
        <v>0</v>
      </c>
      <c r="HJ12" s="1101">
        <v>0</v>
      </c>
      <c r="HK12" s="1101">
        <v>0</v>
      </c>
      <c r="HL12" s="1101">
        <v>0</v>
      </c>
      <c r="HM12" s="1101">
        <v>0</v>
      </c>
      <c r="HN12" s="1101">
        <v>0</v>
      </c>
      <c r="HO12" s="1101">
        <v>0</v>
      </c>
      <c r="HP12" s="1101">
        <v>0</v>
      </c>
      <c r="HQ12" s="1101">
        <v>0</v>
      </c>
      <c r="HR12" s="1101">
        <v>0</v>
      </c>
      <c r="HS12" s="1101">
        <v>0</v>
      </c>
      <c r="HT12" s="1101">
        <v>0</v>
      </c>
      <c r="HU12" s="1101">
        <v>-1681752</v>
      </c>
      <c r="HV12" s="1101">
        <v>-28906888</v>
      </c>
      <c r="HW12" s="1101">
        <v>-8051745</v>
      </c>
      <c r="HX12" s="1101">
        <v>0</v>
      </c>
      <c r="HY12" s="1101">
        <v>0</v>
      </c>
      <c r="HZ12" s="1101">
        <v>0</v>
      </c>
      <c r="IA12" s="1101">
        <v>0</v>
      </c>
      <c r="IB12" s="1101">
        <v>0</v>
      </c>
      <c r="IC12" s="1101">
        <v>0</v>
      </c>
      <c r="ID12" s="1101">
        <v>4955289</v>
      </c>
      <c r="IE12" s="1101">
        <v>11531181</v>
      </c>
      <c r="IF12" s="1101">
        <v>0</v>
      </c>
      <c r="IG12" s="1101">
        <v>184428360</v>
      </c>
      <c r="IH12" s="1101">
        <v>0</v>
      </c>
      <c r="II12" s="1101">
        <v>0</v>
      </c>
      <c r="IJ12" s="1101">
        <v>0</v>
      </c>
      <c r="IK12" s="1101">
        <v>0</v>
      </c>
      <c r="IL12" s="1101">
        <v>0</v>
      </c>
      <c r="IM12" s="1101">
        <v>113422</v>
      </c>
      <c r="IN12" s="1101">
        <v>9265294</v>
      </c>
      <c r="IO12" s="1101">
        <v>2860031</v>
      </c>
      <c r="IP12" s="1101">
        <v>9423139</v>
      </c>
      <c r="IQ12" s="1101">
        <v>26939</v>
      </c>
      <c r="IR12" s="1101">
        <v>247158</v>
      </c>
      <c r="IS12" s="1101">
        <v>990711</v>
      </c>
      <c r="IT12" s="1101">
        <v>0</v>
      </c>
      <c r="IU12" s="1101">
        <v>0</v>
      </c>
      <c r="IV12" s="1101">
        <v>0</v>
      </c>
      <c r="IW12" s="1101">
        <v>469629</v>
      </c>
      <c r="IX12" s="1101">
        <v>0</v>
      </c>
      <c r="IY12" s="1101">
        <v>2695777</v>
      </c>
      <c r="IZ12" s="1101">
        <v>0</v>
      </c>
      <c r="JA12" s="1101">
        <v>0</v>
      </c>
      <c r="JB12" s="1101">
        <v>0</v>
      </c>
      <c r="JC12" s="1101">
        <v>0</v>
      </c>
      <c r="JD12" s="1101">
        <v>0</v>
      </c>
      <c r="JE12" s="1101">
        <v>0</v>
      </c>
      <c r="JF12" s="1101">
        <v>534772</v>
      </c>
      <c r="JG12" s="1101">
        <v>0</v>
      </c>
      <c r="JH12" s="1101">
        <v>100194639</v>
      </c>
      <c r="JI12" s="1101">
        <v>0</v>
      </c>
      <c r="JJ12" s="1101">
        <v>0</v>
      </c>
      <c r="JK12" s="1101">
        <v>0</v>
      </c>
      <c r="JL12" s="1101">
        <v>0</v>
      </c>
      <c r="JM12" s="1101">
        <v>0</v>
      </c>
      <c r="JN12" s="1101">
        <v>0</v>
      </c>
      <c r="JO12" s="1101">
        <v>7536591</v>
      </c>
      <c r="JP12" s="1101">
        <v>0</v>
      </c>
      <c r="JQ12" s="1101">
        <v>171787</v>
      </c>
      <c r="JR12" s="1101">
        <v>0</v>
      </c>
      <c r="JS12" s="1101">
        <v>0</v>
      </c>
      <c r="JT12" s="1101">
        <v>0</v>
      </c>
      <c r="JU12" s="1101">
        <v>0</v>
      </c>
      <c r="JV12" s="1101">
        <v>0</v>
      </c>
      <c r="JW12" s="1101">
        <v>0</v>
      </c>
      <c r="JX12" s="1101">
        <v>0</v>
      </c>
      <c r="JY12" s="1101">
        <v>24712849</v>
      </c>
      <c r="JZ12" s="1101">
        <v>0</v>
      </c>
      <c r="KA12" s="1101">
        <v>0</v>
      </c>
      <c r="KB12" s="1101">
        <v>0</v>
      </c>
      <c r="KC12" s="1101">
        <v>0</v>
      </c>
      <c r="KD12" s="1101">
        <v>0</v>
      </c>
      <c r="KE12" s="1101">
        <v>0</v>
      </c>
      <c r="KF12" s="1101">
        <v>0</v>
      </c>
      <c r="KG12" s="1101">
        <v>1609514</v>
      </c>
      <c r="KH12" s="1101">
        <v>28377</v>
      </c>
      <c r="KI12" s="1101">
        <v>1180055</v>
      </c>
      <c r="KJ12" s="1101">
        <v>40857</v>
      </c>
      <c r="KK12" s="1101">
        <v>0</v>
      </c>
      <c r="KL12" s="1101">
        <v>0</v>
      </c>
      <c r="KM12" s="1101">
        <v>0</v>
      </c>
      <c r="KN12" s="1101">
        <v>-12251</v>
      </c>
      <c r="KO12" s="1101">
        <v>89832393</v>
      </c>
      <c r="KP12" s="1101">
        <v>21657878</v>
      </c>
      <c r="KQ12" s="1101">
        <v>0</v>
      </c>
      <c r="KR12" s="1101">
        <v>4412083</v>
      </c>
      <c r="KS12" s="1101">
        <v>0</v>
      </c>
      <c r="KT12" s="1101">
        <v>0</v>
      </c>
      <c r="KU12" s="1101">
        <v>0</v>
      </c>
      <c r="KV12" s="1101">
        <v>0</v>
      </c>
      <c r="KW12" s="1101">
        <v>0</v>
      </c>
      <c r="KX12" s="1101">
        <v>49735463</v>
      </c>
      <c r="KY12" s="1101">
        <v>12473659</v>
      </c>
      <c r="KZ12" s="1101">
        <v>0</v>
      </c>
      <c r="LA12" s="1101">
        <v>45980725</v>
      </c>
      <c r="LB12" s="1101">
        <v>0</v>
      </c>
      <c r="LC12" s="1101">
        <v>0</v>
      </c>
      <c r="LD12" s="1101">
        <v>0</v>
      </c>
      <c r="LE12" s="1101">
        <v>0</v>
      </c>
      <c r="LF12" s="1101">
        <v>0</v>
      </c>
      <c r="LG12" s="1101">
        <v>5869420</v>
      </c>
      <c r="LH12" s="1101">
        <v>1176611</v>
      </c>
      <c r="LI12" s="1101">
        <v>0</v>
      </c>
      <c r="LJ12" s="1101">
        <v>8616686</v>
      </c>
      <c r="LK12" s="1101">
        <v>0</v>
      </c>
      <c r="LL12" s="1101">
        <v>0</v>
      </c>
      <c r="LM12" s="1101">
        <v>0</v>
      </c>
      <c r="LN12" s="1101">
        <v>0</v>
      </c>
      <c r="LO12" s="1101">
        <v>0</v>
      </c>
      <c r="LP12" s="1101">
        <v>23889075</v>
      </c>
      <c r="LQ12" s="1101">
        <v>40660906</v>
      </c>
      <c r="LR12" s="1101">
        <v>0</v>
      </c>
      <c r="LS12" s="1101">
        <v>7158655</v>
      </c>
      <c r="LT12" s="1101">
        <v>0</v>
      </c>
      <c r="LU12" s="1101">
        <v>0</v>
      </c>
      <c r="LV12" s="1101">
        <v>0</v>
      </c>
      <c r="LW12" s="1101">
        <v>0</v>
      </c>
      <c r="LX12" s="1101">
        <v>0</v>
      </c>
      <c r="LY12" s="1101">
        <v>5403003</v>
      </c>
      <c r="LZ12" s="1101">
        <v>23381576</v>
      </c>
      <c r="MA12" s="1101">
        <v>0</v>
      </c>
      <c r="MB12" s="1101">
        <v>731065</v>
      </c>
      <c r="MC12" s="1101">
        <v>1023660</v>
      </c>
      <c r="MD12" s="1101">
        <v>0</v>
      </c>
      <c r="ME12" s="1101">
        <v>0</v>
      </c>
      <c r="MF12" s="1101">
        <v>0</v>
      </c>
      <c r="MG12" s="1101">
        <v>0</v>
      </c>
      <c r="MH12" s="1101">
        <v>29266853</v>
      </c>
      <c r="MI12" s="1101">
        <v>10172842</v>
      </c>
      <c r="MJ12" s="1101">
        <v>0</v>
      </c>
      <c r="MK12" s="1101">
        <v>3494944</v>
      </c>
      <c r="ML12" s="1101">
        <v>0</v>
      </c>
      <c r="MM12" s="1101">
        <v>0</v>
      </c>
      <c r="MN12" s="1101">
        <v>0</v>
      </c>
      <c r="MO12" s="1101">
        <v>0</v>
      </c>
      <c r="MP12" s="1101">
        <v>0</v>
      </c>
      <c r="MQ12" s="1101">
        <v>16360131</v>
      </c>
      <c r="MR12" s="1101">
        <v>18336117</v>
      </c>
      <c r="MS12" s="1101">
        <v>0</v>
      </c>
      <c r="MT12" s="1101">
        <v>143416</v>
      </c>
      <c r="MU12" s="1101">
        <v>0</v>
      </c>
      <c r="MV12" s="1101">
        <v>0</v>
      </c>
      <c r="MW12" s="1101">
        <v>5804336</v>
      </c>
      <c r="MX12" s="1101">
        <v>0</v>
      </c>
      <c r="MY12" s="1101">
        <v>0</v>
      </c>
      <c r="MZ12" s="1101">
        <v>11310832</v>
      </c>
      <c r="NA12" s="1101">
        <v>19183044</v>
      </c>
      <c r="NB12" s="1101">
        <v>0</v>
      </c>
      <c r="NC12" s="1101">
        <v>55600046</v>
      </c>
      <c r="ND12" s="1101">
        <v>0</v>
      </c>
      <c r="NE12" s="1101">
        <v>0</v>
      </c>
      <c r="NF12" s="1101">
        <v>0</v>
      </c>
      <c r="NG12" s="1101">
        <v>0</v>
      </c>
      <c r="NH12" s="1101">
        <v>0</v>
      </c>
      <c r="NI12" s="1101">
        <v>0</v>
      </c>
      <c r="NJ12" s="1101">
        <v>161994</v>
      </c>
      <c r="NK12" s="1101">
        <v>39541223</v>
      </c>
      <c r="NL12" s="1101">
        <v>1463672</v>
      </c>
      <c r="NM12" s="1101">
        <v>0</v>
      </c>
      <c r="NN12" s="1101">
        <v>0</v>
      </c>
      <c r="NO12" s="1101">
        <v>0</v>
      </c>
      <c r="NP12" s="1101">
        <v>0</v>
      </c>
      <c r="NQ12" s="1101">
        <v>0</v>
      </c>
      <c r="NR12" s="1101">
        <v>876356</v>
      </c>
      <c r="NS12" s="1101">
        <v>15817008</v>
      </c>
      <c r="NT12" s="1101">
        <v>258733</v>
      </c>
      <c r="NU12" s="1101">
        <v>21461887</v>
      </c>
      <c r="NV12" s="1101">
        <v>0</v>
      </c>
      <c r="NW12" s="1101">
        <v>0</v>
      </c>
      <c r="NX12" s="1101">
        <v>0</v>
      </c>
      <c r="NY12" s="1101">
        <v>0</v>
      </c>
      <c r="NZ12" s="1101">
        <v>0</v>
      </c>
      <c r="OA12" s="1101">
        <v>0</v>
      </c>
      <c r="OB12" s="1101">
        <v>111055</v>
      </c>
      <c r="OC12" s="1101">
        <v>114123</v>
      </c>
      <c r="OD12" s="1101">
        <v>0</v>
      </c>
      <c r="OE12" s="1101">
        <v>-302730</v>
      </c>
      <c r="OF12" s="1101">
        <v>0</v>
      </c>
      <c r="OG12" s="1101">
        <v>0</v>
      </c>
      <c r="OH12" s="1101">
        <v>0</v>
      </c>
      <c r="OI12" s="1101">
        <v>0</v>
      </c>
      <c r="OJ12" s="1101">
        <v>0</v>
      </c>
      <c r="OK12" s="1101">
        <v>0</v>
      </c>
      <c r="OL12" s="1101">
        <v>0</v>
      </c>
      <c r="OM12" s="1101">
        <v>0</v>
      </c>
      <c r="ON12" s="1101">
        <v>0</v>
      </c>
      <c r="OO12" s="1101">
        <v>0</v>
      </c>
      <c r="OP12" s="1101">
        <v>-72382336</v>
      </c>
      <c r="OQ12" s="1101">
        <v>0</v>
      </c>
      <c r="OR12" s="1101">
        <v>0</v>
      </c>
      <c r="OS12" s="1101">
        <v>45963484</v>
      </c>
      <c r="OT12" s="1101">
        <v>-4339347</v>
      </c>
      <c r="OU12" s="1101">
        <v>22158947</v>
      </c>
      <c r="OV12" s="1101">
        <v>-133130391</v>
      </c>
      <c r="OW12" s="1101">
        <v>849722</v>
      </c>
      <c r="OX12" s="1101">
        <v>44117242</v>
      </c>
      <c r="OY12" s="1101">
        <v>27654005</v>
      </c>
      <c r="OZ12" s="1101">
        <v>0</v>
      </c>
      <c r="PA12" s="1101">
        <v>24232</v>
      </c>
      <c r="PB12" s="1101">
        <v>0</v>
      </c>
      <c r="PC12" s="1101">
        <v>0</v>
      </c>
      <c r="PD12" s="1101">
        <v>0</v>
      </c>
      <c r="PE12" s="1101">
        <v>0</v>
      </c>
      <c r="PF12" s="1101">
        <v>0</v>
      </c>
      <c r="PG12" s="1101">
        <v>0</v>
      </c>
      <c r="PH12" s="1101">
        <v>77361204</v>
      </c>
      <c r="PI12" s="1101">
        <v>0</v>
      </c>
      <c r="PJ12" s="1101">
        <v>0</v>
      </c>
      <c r="PK12" s="1101">
        <v>-16641000</v>
      </c>
      <c r="PL12" s="1101">
        <v>-1604870</v>
      </c>
      <c r="PM12" s="1101">
        <v>-9205820</v>
      </c>
      <c r="PN12" s="1101">
        <v>0</v>
      </c>
      <c r="PO12" s="1101">
        <v>0</v>
      </c>
      <c r="PP12" s="1101">
        <v>0</v>
      </c>
      <c r="PQ12" s="1101">
        <v>0</v>
      </c>
      <c r="PR12" s="1101">
        <v>0</v>
      </c>
      <c r="PS12" s="1101">
        <v>0</v>
      </c>
      <c r="PT12" s="1101">
        <v>0</v>
      </c>
      <c r="PU12" s="1101">
        <v>22750376</v>
      </c>
      <c r="PV12" s="1101">
        <v>4394742</v>
      </c>
      <c r="PW12" s="1101">
        <v>4604626</v>
      </c>
      <c r="PX12" s="1101">
        <v>0</v>
      </c>
      <c r="PY12" s="1101">
        <v>46500251</v>
      </c>
      <c r="PZ12" s="1101">
        <v>0</v>
      </c>
      <c r="QA12" s="1101">
        <v>0</v>
      </c>
      <c r="QB12" s="1101">
        <v>0</v>
      </c>
      <c r="QC12" s="1101">
        <v>0</v>
      </c>
      <c r="QD12" s="1101">
        <v>0</v>
      </c>
      <c r="QE12" s="1101">
        <v>0</v>
      </c>
      <c r="QF12" s="1101">
        <v>0</v>
      </c>
      <c r="QG12" s="1101">
        <v>0</v>
      </c>
      <c r="QH12" s="1101">
        <v>5078362</v>
      </c>
      <c r="QI12" s="1101">
        <v>0</v>
      </c>
      <c r="QJ12" s="1101">
        <v>0</v>
      </c>
      <c r="QK12" s="1101">
        <v>0</v>
      </c>
      <c r="QL12" s="1101">
        <v>0</v>
      </c>
      <c r="QM12" s="1101">
        <v>0</v>
      </c>
      <c r="QN12" s="1101">
        <v>0</v>
      </c>
      <c r="QO12" s="1101">
        <v>0</v>
      </c>
      <c r="QP12" s="1101">
        <v>0</v>
      </c>
      <c r="QQ12" s="1101">
        <v>0</v>
      </c>
      <c r="QR12" s="1101">
        <v>0</v>
      </c>
      <c r="QS12" s="1101">
        <v>0</v>
      </c>
      <c r="QT12" s="1101">
        <v>0</v>
      </c>
      <c r="QU12" s="1101">
        <v>0</v>
      </c>
      <c r="QV12" s="1101">
        <v>0</v>
      </c>
      <c r="QW12" s="1101">
        <v>0</v>
      </c>
      <c r="QX12" s="1101">
        <v>0</v>
      </c>
      <c r="QY12" s="1101">
        <v>0</v>
      </c>
      <c r="QZ12" s="1101">
        <v>0</v>
      </c>
      <c r="RA12" s="1101">
        <v>0</v>
      </c>
      <c r="RB12" s="1101">
        <v>0</v>
      </c>
      <c r="RC12" s="1101">
        <v>-59046219</v>
      </c>
      <c r="RD12" s="1101">
        <v>0</v>
      </c>
      <c r="RE12" s="1101">
        <v>0</v>
      </c>
      <c r="RF12" s="1101">
        <v>0</v>
      </c>
      <c r="RG12" s="1101">
        <v>0</v>
      </c>
      <c r="RH12" s="1101">
        <v>0</v>
      </c>
      <c r="RI12" s="1101">
        <v>0</v>
      </c>
      <c r="RJ12" s="1101">
        <v>0</v>
      </c>
      <c r="RK12" s="1101">
        <v>0</v>
      </c>
      <c r="RL12" s="1101">
        <v>0</v>
      </c>
      <c r="RM12" s="1101">
        <v>0</v>
      </c>
      <c r="RN12" s="1101">
        <v>0</v>
      </c>
      <c r="RO12" s="1101">
        <v>0</v>
      </c>
      <c r="RP12" s="1101">
        <v>0</v>
      </c>
      <c r="RQ12" s="1101">
        <v>0</v>
      </c>
      <c r="RR12" s="1101">
        <v>0</v>
      </c>
      <c r="RS12" s="1101">
        <v>0</v>
      </c>
      <c r="RT12" s="1101">
        <v>0</v>
      </c>
      <c r="RU12" s="1101">
        <v>0</v>
      </c>
      <c r="RV12" s="1101">
        <v>0</v>
      </c>
      <c r="RW12" s="1101">
        <v>0</v>
      </c>
      <c r="RX12" s="1101">
        <v>0</v>
      </c>
      <c r="RY12" s="1101">
        <v>0</v>
      </c>
      <c r="RZ12" s="1101">
        <v>0</v>
      </c>
      <c r="SA12" s="1101">
        <v>0</v>
      </c>
      <c r="SB12" s="1101">
        <v>0</v>
      </c>
      <c r="SC12" s="1101">
        <v>0</v>
      </c>
      <c r="SD12" s="1101">
        <v>1533784</v>
      </c>
      <c r="SE12" s="1101">
        <v>0</v>
      </c>
      <c r="SF12" s="1101">
        <v>0</v>
      </c>
      <c r="SG12" s="1101">
        <v>0</v>
      </c>
      <c r="SH12" s="1101">
        <v>0</v>
      </c>
      <c r="SI12" s="1101">
        <v>0</v>
      </c>
      <c r="SJ12" s="1101">
        <v>0</v>
      </c>
      <c r="SK12" s="1101">
        <v>0</v>
      </c>
      <c r="SL12" s="1102">
        <v>0</v>
      </c>
      <c r="SM12" s="1101">
        <v>110796320</v>
      </c>
      <c r="SN12" s="1101">
        <v>303138543</v>
      </c>
      <c r="SO12" s="1102"/>
      <c r="SP12" s="1103"/>
      <c r="SQ12" s="1104">
        <v>364574791</v>
      </c>
      <c r="SR12" s="1104">
        <v>-112875355</v>
      </c>
      <c r="SS12" s="1105">
        <v>841259</v>
      </c>
      <c r="ST12" s="1106">
        <v>21994540</v>
      </c>
      <c r="SU12" s="1106">
        <v>22186</v>
      </c>
      <c r="SV12" s="1106">
        <v>14539395</v>
      </c>
      <c r="SW12" s="1106">
        <v>0</v>
      </c>
      <c r="SX12" s="1106">
        <v>356985</v>
      </c>
      <c r="SY12" s="1106">
        <v>394066</v>
      </c>
      <c r="SZ12" s="1106">
        <v>0</v>
      </c>
      <c r="TA12" s="1106">
        <v>265553</v>
      </c>
      <c r="TB12" s="1106">
        <v>0</v>
      </c>
      <c r="TC12" s="1105">
        <v>0</v>
      </c>
      <c r="TD12" s="1106">
        <v>868075</v>
      </c>
      <c r="TE12" s="1106">
        <v>2028176</v>
      </c>
      <c r="TF12" s="1106">
        <v>0</v>
      </c>
      <c r="TG12" s="1106">
        <v>0</v>
      </c>
      <c r="TH12" s="1106">
        <v>0</v>
      </c>
      <c r="TI12" s="1106">
        <v>0</v>
      </c>
      <c r="TJ12" s="1106">
        <v>0</v>
      </c>
      <c r="TK12" s="1105">
        <v>0</v>
      </c>
      <c r="TL12" s="1106">
        <v>358247</v>
      </c>
      <c r="TM12" s="1106">
        <v>0</v>
      </c>
      <c r="TN12" s="1106">
        <v>0</v>
      </c>
      <c r="TO12" s="1106">
        <v>0</v>
      </c>
      <c r="TP12" s="1106">
        <v>0</v>
      </c>
      <c r="TQ12" s="1106">
        <v>0</v>
      </c>
      <c r="TR12" s="1106">
        <v>0</v>
      </c>
      <c r="TS12" s="1105">
        <v>115902354</v>
      </c>
      <c r="TT12" s="1106">
        <v>108189847</v>
      </c>
      <c r="TU12" s="1106">
        <v>15662717</v>
      </c>
      <c r="TV12" s="1106">
        <v>71708636</v>
      </c>
      <c r="TW12" s="1106">
        <v>30539304</v>
      </c>
      <c r="TX12" s="1106">
        <v>42934639</v>
      </c>
      <c r="TY12" s="1106">
        <v>40644000</v>
      </c>
      <c r="TZ12" s="1107">
        <v>86093922</v>
      </c>
      <c r="UA12" s="1107">
        <v>41166889</v>
      </c>
      <c r="UB12" s="1105">
        <v>166526301</v>
      </c>
      <c r="UC12" s="1108">
        <v>78249995</v>
      </c>
      <c r="UD12" s="1108"/>
      <c r="UE12" s="1103"/>
      <c r="UF12" s="1109" t="s">
        <v>2418</v>
      </c>
      <c r="UG12" s="1110" t="s">
        <v>2419</v>
      </c>
      <c r="UH12" s="1110" t="s">
        <v>2420</v>
      </c>
    </row>
    <row r="13" spans="1:554" s="776" customFormat="1" ht="34.5" customHeight="1" thickBot="1">
      <c r="A13" s="1093">
        <v>120</v>
      </c>
      <c r="B13" s="1094" t="s">
        <v>102</v>
      </c>
      <c r="C13" s="1095" t="s">
        <v>309</v>
      </c>
      <c r="D13" s="1096" t="s">
        <v>2398</v>
      </c>
      <c r="E13" s="1097">
        <v>11163</v>
      </c>
      <c r="F13" s="1098">
        <v>573871721</v>
      </c>
      <c r="G13" s="1096" t="s">
        <v>2399</v>
      </c>
      <c r="H13" s="1100" t="s">
        <v>102</v>
      </c>
      <c r="I13" s="1100"/>
      <c r="J13" s="1100"/>
      <c r="K13" s="1100"/>
      <c r="L13" s="1100"/>
      <c r="M13" s="1101">
        <v>40081857</v>
      </c>
      <c r="N13" s="1101">
        <v>0</v>
      </c>
      <c r="O13" s="1101">
        <v>0</v>
      </c>
      <c r="P13" s="1101">
        <v>0</v>
      </c>
      <c r="Q13" s="1101">
        <v>0</v>
      </c>
      <c r="R13" s="1101">
        <v>0</v>
      </c>
      <c r="S13" s="1101">
        <v>0</v>
      </c>
      <c r="T13" s="1101">
        <v>0</v>
      </c>
      <c r="U13" s="1101">
        <v>0</v>
      </c>
      <c r="V13" s="1101">
        <v>4764228</v>
      </c>
      <c r="W13" s="1101">
        <v>7790960</v>
      </c>
      <c r="X13" s="1101">
        <v>0</v>
      </c>
      <c r="Y13" s="1101">
        <v>218470</v>
      </c>
      <c r="Z13" s="1101">
        <v>0</v>
      </c>
      <c r="AA13" s="1101">
        <v>0</v>
      </c>
      <c r="AB13" s="1101">
        <v>0</v>
      </c>
      <c r="AC13" s="1101">
        <v>0</v>
      </c>
      <c r="AD13" s="1101">
        <v>0</v>
      </c>
      <c r="AE13" s="1101">
        <v>0</v>
      </c>
      <c r="AF13" s="1101">
        <v>0</v>
      </c>
      <c r="AG13" s="1101">
        <v>0</v>
      </c>
      <c r="AH13" s="1101">
        <v>0</v>
      </c>
      <c r="AI13" s="1101">
        <v>0</v>
      </c>
      <c r="AJ13" s="1101">
        <v>0</v>
      </c>
      <c r="AK13" s="1101">
        <v>0</v>
      </c>
      <c r="AL13" s="1101">
        <v>0</v>
      </c>
      <c r="AM13" s="1101">
        <v>0</v>
      </c>
      <c r="AN13" s="1101">
        <v>0</v>
      </c>
      <c r="AO13" s="1101">
        <v>0</v>
      </c>
      <c r="AP13" s="1101">
        <v>0</v>
      </c>
      <c r="AQ13" s="1101">
        <v>0</v>
      </c>
      <c r="AR13" s="1101">
        <v>0</v>
      </c>
      <c r="AS13" s="1101">
        <v>0</v>
      </c>
      <c r="AT13" s="1101">
        <v>0</v>
      </c>
      <c r="AU13" s="1101">
        <v>0</v>
      </c>
      <c r="AV13" s="1101">
        <v>0</v>
      </c>
      <c r="AW13" s="1101">
        <v>0</v>
      </c>
      <c r="AX13" s="1101">
        <v>0</v>
      </c>
      <c r="AY13" s="1101">
        <v>0</v>
      </c>
      <c r="AZ13" s="1101">
        <v>0</v>
      </c>
      <c r="BA13" s="1101">
        <v>0</v>
      </c>
      <c r="BB13" s="1101">
        <v>0</v>
      </c>
      <c r="BC13" s="1101">
        <v>0</v>
      </c>
      <c r="BD13" s="1101">
        <v>0</v>
      </c>
      <c r="BE13" s="1101">
        <v>0</v>
      </c>
      <c r="BF13" s="1101">
        <v>-3042502</v>
      </c>
      <c r="BG13" s="1101">
        <v>0</v>
      </c>
      <c r="BH13" s="1101">
        <v>0</v>
      </c>
      <c r="BI13" s="1101">
        <v>0</v>
      </c>
      <c r="BJ13" s="1101">
        <v>0</v>
      </c>
      <c r="BK13" s="1101">
        <v>0</v>
      </c>
      <c r="BL13" s="1101">
        <v>0</v>
      </c>
      <c r="BM13" s="1101">
        <v>0</v>
      </c>
      <c r="BN13" s="1101">
        <v>0</v>
      </c>
      <c r="BO13" s="1101">
        <v>0</v>
      </c>
      <c r="BP13" s="1101">
        <v>0</v>
      </c>
      <c r="BQ13" s="1101">
        <v>0</v>
      </c>
      <c r="BR13" s="1101">
        <v>0</v>
      </c>
      <c r="BS13" s="1101">
        <v>0</v>
      </c>
      <c r="BT13" s="1101">
        <v>0</v>
      </c>
      <c r="BU13" s="1101">
        <v>0</v>
      </c>
      <c r="BV13" s="1101">
        <v>0</v>
      </c>
      <c r="BW13" s="1101">
        <v>0</v>
      </c>
      <c r="BX13" s="1101">
        <v>0</v>
      </c>
      <c r="BY13" s="1101">
        <v>0</v>
      </c>
      <c r="BZ13" s="1101">
        <v>0</v>
      </c>
      <c r="CA13" s="1101">
        <v>0</v>
      </c>
      <c r="CB13" s="1101">
        <v>0</v>
      </c>
      <c r="CC13" s="1101">
        <v>0</v>
      </c>
      <c r="CD13" s="1101">
        <v>0</v>
      </c>
      <c r="CE13" s="1101">
        <v>0</v>
      </c>
      <c r="CF13" s="1101">
        <v>0</v>
      </c>
      <c r="CG13" s="1101">
        <v>0</v>
      </c>
      <c r="CH13" s="1101">
        <v>0</v>
      </c>
      <c r="CI13" s="1101">
        <v>0</v>
      </c>
      <c r="CJ13" s="1101">
        <v>0</v>
      </c>
      <c r="CK13" s="1101">
        <v>0</v>
      </c>
      <c r="CL13" s="1101">
        <v>0</v>
      </c>
      <c r="CM13" s="1101">
        <v>0</v>
      </c>
      <c r="CN13" s="1101">
        <v>0</v>
      </c>
      <c r="CO13" s="1101">
        <v>0</v>
      </c>
      <c r="CP13" s="1101">
        <v>12922310</v>
      </c>
      <c r="CQ13" s="1101">
        <v>50671735</v>
      </c>
      <c r="CR13" s="1101">
        <v>0</v>
      </c>
      <c r="CS13" s="1101">
        <v>0</v>
      </c>
      <c r="CT13" s="1101">
        <v>0</v>
      </c>
      <c r="CU13" s="1101">
        <v>0</v>
      </c>
      <c r="CV13" s="1101">
        <v>0</v>
      </c>
      <c r="CW13" s="1101">
        <v>0</v>
      </c>
      <c r="CX13" s="1101">
        <v>0</v>
      </c>
      <c r="CY13" s="1101">
        <v>0</v>
      </c>
      <c r="CZ13" s="1101">
        <v>0</v>
      </c>
      <c r="DA13" s="1101">
        <v>0</v>
      </c>
      <c r="DB13" s="1101">
        <v>0</v>
      </c>
      <c r="DC13" s="1101">
        <v>0</v>
      </c>
      <c r="DD13" s="1101">
        <v>0</v>
      </c>
      <c r="DE13" s="1101">
        <v>0</v>
      </c>
      <c r="DF13" s="1101">
        <v>0</v>
      </c>
      <c r="DG13" s="1101">
        <v>0</v>
      </c>
      <c r="DH13" s="1101">
        <v>0</v>
      </c>
      <c r="DI13" s="1101">
        <v>0</v>
      </c>
      <c r="DJ13" s="1101">
        <v>0</v>
      </c>
      <c r="DK13" s="1101">
        <v>0</v>
      </c>
      <c r="DL13" s="1101">
        <v>0</v>
      </c>
      <c r="DM13" s="1101">
        <v>0</v>
      </c>
      <c r="DN13" s="1101">
        <v>0</v>
      </c>
      <c r="DO13" s="1101">
        <v>0</v>
      </c>
      <c r="DP13" s="1101">
        <v>0</v>
      </c>
      <c r="DQ13" s="1101">
        <v>-632467</v>
      </c>
      <c r="DR13" s="1101">
        <v>-3514916</v>
      </c>
      <c r="DS13" s="1101">
        <v>0</v>
      </c>
      <c r="DT13" s="1101">
        <v>0</v>
      </c>
      <c r="DU13" s="1101">
        <v>0</v>
      </c>
      <c r="DV13" s="1101">
        <v>0</v>
      </c>
      <c r="DW13" s="1101">
        <v>0</v>
      </c>
      <c r="DX13" s="1101">
        <v>0</v>
      </c>
      <c r="DY13" s="1101">
        <v>0</v>
      </c>
      <c r="DZ13" s="1101">
        <v>0</v>
      </c>
      <c r="EA13" s="1101">
        <v>0</v>
      </c>
      <c r="EB13" s="1101">
        <v>0</v>
      </c>
      <c r="EC13" s="1101">
        <v>0</v>
      </c>
      <c r="ED13" s="1101">
        <v>0</v>
      </c>
      <c r="EE13" s="1101">
        <v>0</v>
      </c>
      <c r="EF13" s="1101">
        <v>0</v>
      </c>
      <c r="EG13" s="1101">
        <v>0</v>
      </c>
      <c r="EH13" s="1101">
        <v>0</v>
      </c>
      <c r="EI13" s="1101">
        <v>-3973427</v>
      </c>
      <c r="EJ13" s="1101">
        <v>-19504874</v>
      </c>
      <c r="EK13" s="1101">
        <v>0</v>
      </c>
      <c r="EL13" s="1101">
        <v>0</v>
      </c>
      <c r="EM13" s="1101">
        <v>0</v>
      </c>
      <c r="EN13" s="1101">
        <v>0</v>
      </c>
      <c r="EO13" s="1101">
        <v>0</v>
      </c>
      <c r="EP13" s="1101">
        <v>0</v>
      </c>
      <c r="EQ13" s="1101">
        <v>0</v>
      </c>
      <c r="ER13" s="1101">
        <v>0</v>
      </c>
      <c r="ES13" s="1101">
        <v>0</v>
      </c>
      <c r="ET13" s="1101">
        <v>0</v>
      </c>
      <c r="EU13" s="1101">
        <v>0</v>
      </c>
      <c r="EV13" s="1101">
        <v>0</v>
      </c>
      <c r="EW13" s="1101">
        <v>0</v>
      </c>
      <c r="EX13" s="1101">
        <v>0</v>
      </c>
      <c r="EY13" s="1101">
        <v>0</v>
      </c>
      <c r="EZ13" s="1101">
        <v>0</v>
      </c>
      <c r="FA13" s="1101">
        <v>0</v>
      </c>
      <c r="FB13" s="1101">
        <v>0</v>
      </c>
      <c r="FC13" s="1101">
        <v>0</v>
      </c>
      <c r="FD13" s="1101">
        <v>0</v>
      </c>
      <c r="FE13" s="1101">
        <v>0</v>
      </c>
      <c r="FF13" s="1101">
        <v>0</v>
      </c>
      <c r="FG13" s="1101">
        <v>0</v>
      </c>
      <c r="FH13" s="1101">
        <v>0</v>
      </c>
      <c r="FI13" s="1101">
        <v>0</v>
      </c>
      <c r="FJ13" s="1101">
        <v>0</v>
      </c>
      <c r="FK13" s="1101">
        <v>0</v>
      </c>
      <c r="FL13" s="1101">
        <v>0</v>
      </c>
      <c r="FM13" s="1101">
        <v>0</v>
      </c>
      <c r="FN13" s="1101">
        <v>0</v>
      </c>
      <c r="FO13" s="1101">
        <v>0</v>
      </c>
      <c r="FP13" s="1101">
        <v>0</v>
      </c>
      <c r="FQ13" s="1101">
        <v>0</v>
      </c>
      <c r="FR13" s="1101">
        <v>0</v>
      </c>
      <c r="FS13" s="1101">
        <v>0</v>
      </c>
      <c r="FT13" s="1101">
        <v>0</v>
      </c>
      <c r="FU13" s="1101">
        <v>0</v>
      </c>
      <c r="FV13" s="1101">
        <v>0</v>
      </c>
      <c r="FW13" s="1101">
        <v>0</v>
      </c>
      <c r="FX13" s="1101">
        <v>0</v>
      </c>
      <c r="FY13" s="1101">
        <v>0</v>
      </c>
      <c r="FZ13" s="1101">
        <v>0</v>
      </c>
      <c r="GA13" s="1101">
        <v>0</v>
      </c>
      <c r="GB13" s="1101">
        <v>0</v>
      </c>
      <c r="GC13" s="1101">
        <v>16305108</v>
      </c>
      <c r="GD13" s="1101">
        <v>7482582</v>
      </c>
      <c r="GE13" s="1101">
        <v>0</v>
      </c>
      <c r="GF13" s="1101">
        <v>0</v>
      </c>
      <c r="GG13" s="1101">
        <v>0</v>
      </c>
      <c r="GH13" s="1101">
        <v>0</v>
      </c>
      <c r="GI13" s="1101">
        <v>0</v>
      </c>
      <c r="GJ13" s="1101">
        <v>0</v>
      </c>
      <c r="GK13" s="1101">
        <v>0</v>
      </c>
      <c r="GL13" s="1101">
        <v>0</v>
      </c>
      <c r="GM13" s="1101">
        <v>0</v>
      </c>
      <c r="GN13" s="1101">
        <v>0</v>
      </c>
      <c r="GO13" s="1101">
        <v>0</v>
      </c>
      <c r="GP13" s="1101">
        <v>0</v>
      </c>
      <c r="GQ13" s="1101">
        <v>0</v>
      </c>
      <c r="GR13" s="1101">
        <v>0</v>
      </c>
      <c r="GS13" s="1101">
        <v>0</v>
      </c>
      <c r="GT13" s="1101">
        <v>0</v>
      </c>
      <c r="GU13" s="1101">
        <v>0</v>
      </c>
      <c r="GV13" s="1101">
        <v>0</v>
      </c>
      <c r="GW13" s="1101">
        <v>0</v>
      </c>
      <c r="GX13" s="1101">
        <v>0</v>
      </c>
      <c r="GY13" s="1101">
        <v>0</v>
      </c>
      <c r="GZ13" s="1101">
        <v>0</v>
      </c>
      <c r="HA13" s="1101">
        <v>0</v>
      </c>
      <c r="HB13" s="1101">
        <v>0</v>
      </c>
      <c r="HC13" s="1101">
        <v>0</v>
      </c>
      <c r="HD13" s="1101">
        <v>0</v>
      </c>
      <c r="HE13" s="1101">
        <v>-148737</v>
      </c>
      <c r="HF13" s="1101">
        <v>0</v>
      </c>
      <c r="HG13" s="1101">
        <v>0</v>
      </c>
      <c r="HH13" s="1101">
        <v>0</v>
      </c>
      <c r="HI13" s="1101">
        <v>0</v>
      </c>
      <c r="HJ13" s="1101">
        <v>0</v>
      </c>
      <c r="HK13" s="1101">
        <v>0</v>
      </c>
      <c r="HL13" s="1101">
        <v>0</v>
      </c>
      <c r="HM13" s="1101">
        <v>0</v>
      </c>
      <c r="HN13" s="1101">
        <v>-2265399</v>
      </c>
      <c r="HO13" s="1101">
        <v>0</v>
      </c>
      <c r="HP13" s="1101">
        <v>0</v>
      </c>
      <c r="HQ13" s="1101">
        <v>0</v>
      </c>
      <c r="HR13" s="1101">
        <v>0</v>
      </c>
      <c r="HS13" s="1101">
        <v>0</v>
      </c>
      <c r="HT13" s="1101">
        <v>0</v>
      </c>
      <c r="HU13" s="1101">
        <v>0</v>
      </c>
      <c r="HV13" s="1101">
        <v>0</v>
      </c>
      <c r="HW13" s="1101">
        <v>0</v>
      </c>
      <c r="HX13" s="1101">
        <v>0</v>
      </c>
      <c r="HY13" s="1101">
        <v>0</v>
      </c>
      <c r="HZ13" s="1101">
        <v>0</v>
      </c>
      <c r="IA13" s="1101">
        <v>0</v>
      </c>
      <c r="IB13" s="1101">
        <v>0</v>
      </c>
      <c r="IC13" s="1101">
        <v>0</v>
      </c>
      <c r="ID13" s="1101">
        <v>1109520</v>
      </c>
      <c r="IE13" s="1101">
        <v>196786</v>
      </c>
      <c r="IF13" s="1101">
        <v>0</v>
      </c>
      <c r="IG13" s="1101">
        <v>21902264</v>
      </c>
      <c r="IH13" s="1101">
        <v>0</v>
      </c>
      <c r="II13" s="1101">
        <v>0</v>
      </c>
      <c r="IJ13" s="1101">
        <v>0</v>
      </c>
      <c r="IK13" s="1101">
        <v>0</v>
      </c>
      <c r="IL13" s="1101">
        <v>0</v>
      </c>
      <c r="IM13" s="1101">
        <v>61275</v>
      </c>
      <c r="IN13" s="1101">
        <v>4699254</v>
      </c>
      <c r="IO13" s="1101">
        <v>0</v>
      </c>
      <c r="IP13" s="1101">
        <v>4511345</v>
      </c>
      <c r="IQ13" s="1101">
        <v>0</v>
      </c>
      <c r="IR13" s="1101">
        <v>48135</v>
      </c>
      <c r="IS13" s="1101">
        <v>0</v>
      </c>
      <c r="IT13" s="1101">
        <v>0</v>
      </c>
      <c r="IU13" s="1101">
        <v>0</v>
      </c>
      <c r="IV13" s="1101">
        <v>0</v>
      </c>
      <c r="IW13" s="1101">
        <v>0</v>
      </c>
      <c r="IX13" s="1101">
        <v>0</v>
      </c>
      <c r="IY13" s="1101">
        <v>0</v>
      </c>
      <c r="IZ13" s="1101">
        <v>0</v>
      </c>
      <c r="JA13" s="1101">
        <v>0</v>
      </c>
      <c r="JB13" s="1101">
        <v>0</v>
      </c>
      <c r="JC13" s="1101">
        <v>0</v>
      </c>
      <c r="JD13" s="1101">
        <v>0</v>
      </c>
      <c r="JE13" s="1101">
        <v>0</v>
      </c>
      <c r="JF13" s="1101">
        <v>297689</v>
      </c>
      <c r="JG13" s="1101">
        <v>235375</v>
      </c>
      <c r="JH13" s="1101">
        <v>1177359</v>
      </c>
      <c r="JI13" s="1101">
        <v>0</v>
      </c>
      <c r="JJ13" s="1101">
        <v>0</v>
      </c>
      <c r="JK13" s="1101">
        <v>100000</v>
      </c>
      <c r="JL13" s="1101">
        <v>0</v>
      </c>
      <c r="JM13" s="1101">
        <v>0</v>
      </c>
      <c r="JN13" s="1101">
        <v>0</v>
      </c>
      <c r="JO13" s="1101">
        <v>10753589</v>
      </c>
      <c r="JP13" s="1101">
        <v>0</v>
      </c>
      <c r="JQ13" s="1101">
        <v>463705</v>
      </c>
      <c r="JR13" s="1101">
        <v>0</v>
      </c>
      <c r="JS13" s="1101">
        <v>0</v>
      </c>
      <c r="JT13" s="1101">
        <v>0</v>
      </c>
      <c r="JU13" s="1101">
        <v>0</v>
      </c>
      <c r="JV13" s="1101">
        <v>0</v>
      </c>
      <c r="JW13" s="1101">
        <v>0</v>
      </c>
      <c r="JX13" s="1101">
        <v>0</v>
      </c>
      <c r="JY13" s="1101">
        <v>10251224</v>
      </c>
      <c r="JZ13" s="1101">
        <v>0</v>
      </c>
      <c r="KA13" s="1101">
        <v>0</v>
      </c>
      <c r="KB13" s="1101">
        <v>0</v>
      </c>
      <c r="KC13" s="1101">
        <v>0</v>
      </c>
      <c r="KD13" s="1101">
        <v>0</v>
      </c>
      <c r="KE13" s="1101">
        <v>0</v>
      </c>
      <c r="KF13" s="1101">
        <v>0</v>
      </c>
      <c r="KG13" s="1101">
        <v>626496</v>
      </c>
      <c r="KH13" s="1101">
        <v>0</v>
      </c>
      <c r="KI13" s="1101">
        <v>50</v>
      </c>
      <c r="KJ13" s="1101">
        <v>0</v>
      </c>
      <c r="KK13" s="1101">
        <v>0</v>
      </c>
      <c r="KL13" s="1101">
        <v>0</v>
      </c>
      <c r="KM13" s="1101">
        <v>0</v>
      </c>
      <c r="KN13" s="1101">
        <v>-46441</v>
      </c>
      <c r="KO13" s="1101">
        <v>28819570</v>
      </c>
      <c r="KP13" s="1101">
        <v>29782230</v>
      </c>
      <c r="KQ13" s="1101">
        <v>0</v>
      </c>
      <c r="KR13" s="1101">
        <v>3020288</v>
      </c>
      <c r="KS13" s="1101">
        <v>0</v>
      </c>
      <c r="KT13" s="1101">
        <v>0</v>
      </c>
      <c r="KU13" s="1101">
        <v>0</v>
      </c>
      <c r="KV13" s="1101">
        <v>0</v>
      </c>
      <c r="KW13" s="1101">
        <v>0</v>
      </c>
      <c r="KX13" s="1101">
        <v>70757</v>
      </c>
      <c r="KY13" s="1101">
        <v>813474</v>
      </c>
      <c r="KZ13" s="1101">
        <v>0</v>
      </c>
      <c r="LA13" s="1101">
        <v>1205917</v>
      </c>
      <c r="LB13" s="1101">
        <v>0</v>
      </c>
      <c r="LC13" s="1101">
        <v>0</v>
      </c>
      <c r="LD13" s="1101">
        <v>0</v>
      </c>
      <c r="LE13" s="1101">
        <v>0</v>
      </c>
      <c r="LF13" s="1101">
        <v>0</v>
      </c>
      <c r="LG13" s="1101">
        <v>0</v>
      </c>
      <c r="LH13" s="1101">
        <v>759291</v>
      </c>
      <c r="LI13" s="1101">
        <v>0</v>
      </c>
      <c r="LJ13" s="1101">
        <v>736695</v>
      </c>
      <c r="LK13" s="1101">
        <v>0</v>
      </c>
      <c r="LL13" s="1101">
        <v>0</v>
      </c>
      <c r="LM13" s="1101">
        <v>0</v>
      </c>
      <c r="LN13" s="1101">
        <v>0</v>
      </c>
      <c r="LO13" s="1101">
        <v>0</v>
      </c>
      <c r="LP13" s="1101">
        <v>4035747</v>
      </c>
      <c r="LQ13" s="1101">
        <v>11341912</v>
      </c>
      <c r="LR13" s="1101">
        <v>0</v>
      </c>
      <c r="LS13" s="1101">
        <v>166088</v>
      </c>
      <c r="LT13" s="1101">
        <v>0</v>
      </c>
      <c r="LU13" s="1101">
        <v>0</v>
      </c>
      <c r="LV13" s="1101">
        <v>0</v>
      </c>
      <c r="LW13" s="1101">
        <v>0</v>
      </c>
      <c r="LX13" s="1101">
        <v>0</v>
      </c>
      <c r="LY13" s="1101">
        <v>2005593</v>
      </c>
      <c r="LZ13" s="1101">
        <v>11191682</v>
      </c>
      <c r="MA13" s="1101">
        <v>0</v>
      </c>
      <c r="MB13" s="1101">
        <v>70009</v>
      </c>
      <c r="MC13" s="1101">
        <v>-352978</v>
      </c>
      <c r="MD13" s="1101">
        <v>0</v>
      </c>
      <c r="ME13" s="1101">
        <v>0</v>
      </c>
      <c r="MF13" s="1101">
        <v>0</v>
      </c>
      <c r="MG13" s="1101">
        <v>0</v>
      </c>
      <c r="MH13" s="1101">
        <v>3076520</v>
      </c>
      <c r="MI13" s="1101">
        <v>10514239</v>
      </c>
      <c r="MJ13" s="1101">
        <v>0</v>
      </c>
      <c r="MK13" s="1101">
        <v>496828</v>
      </c>
      <c r="ML13" s="1101">
        <v>0</v>
      </c>
      <c r="MM13" s="1101">
        <v>0</v>
      </c>
      <c r="MN13" s="1101">
        <v>0</v>
      </c>
      <c r="MO13" s="1101">
        <v>0</v>
      </c>
      <c r="MP13" s="1101">
        <v>0</v>
      </c>
      <c r="MQ13" s="1101">
        <v>2482859</v>
      </c>
      <c r="MR13" s="1101">
        <v>7655307</v>
      </c>
      <c r="MS13" s="1101">
        <v>0</v>
      </c>
      <c r="MT13" s="1101">
        <v>4742</v>
      </c>
      <c r="MU13" s="1101">
        <v>0</v>
      </c>
      <c r="MV13" s="1101">
        <v>0</v>
      </c>
      <c r="MW13" s="1101">
        <v>2832172</v>
      </c>
      <c r="MX13" s="1101">
        <v>0</v>
      </c>
      <c r="MY13" s="1101">
        <v>0</v>
      </c>
      <c r="MZ13" s="1101">
        <v>1355528</v>
      </c>
      <c r="NA13" s="1101">
        <v>4814294</v>
      </c>
      <c r="NB13" s="1101">
        <v>0</v>
      </c>
      <c r="NC13" s="1101">
        <v>7723395</v>
      </c>
      <c r="ND13" s="1101">
        <v>0</v>
      </c>
      <c r="NE13" s="1101">
        <v>0</v>
      </c>
      <c r="NF13" s="1101">
        <v>0</v>
      </c>
      <c r="NG13" s="1101">
        <v>0</v>
      </c>
      <c r="NH13" s="1101">
        <v>0</v>
      </c>
      <c r="NI13" s="1101">
        <v>0</v>
      </c>
      <c r="NJ13" s="1101">
        <v>20177</v>
      </c>
      <c r="NK13" s="1101">
        <v>12220709</v>
      </c>
      <c r="NL13" s="1101">
        <v>51752</v>
      </c>
      <c r="NM13" s="1101">
        <v>0</v>
      </c>
      <c r="NN13" s="1101">
        <v>0</v>
      </c>
      <c r="NO13" s="1101">
        <v>0</v>
      </c>
      <c r="NP13" s="1101">
        <v>0</v>
      </c>
      <c r="NQ13" s="1101">
        <v>0</v>
      </c>
      <c r="NR13" s="1101">
        <v>23100</v>
      </c>
      <c r="NS13" s="1101">
        <v>597968</v>
      </c>
      <c r="NT13" s="1101">
        <v>11530</v>
      </c>
      <c r="NU13" s="1101">
        <v>136298</v>
      </c>
      <c r="NV13" s="1101">
        <v>0</v>
      </c>
      <c r="NW13" s="1101">
        <v>0</v>
      </c>
      <c r="NX13" s="1101">
        <v>0</v>
      </c>
      <c r="NY13" s="1101">
        <v>0</v>
      </c>
      <c r="NZ13" s="1101">
        <v>0</v>
      </c>
      <c r="OA13" s="1101">
        <v>0</v>
      </c>
      <c r="OB13" s="1101">
        <v>0</v>
      </c>
      <c r="OC13" s="1101">
        <v>0</v>
      </c>
      <c r="OD13" s="1101">
        <v>0</v>
      </c>
      <c r="OE13" s="1101">
        <v>0</v>
      </c>
      <c r="OF13" s="1101">
        <v>0</v>
      </c>
      <c r="OG13" s="1101">
        <v>0</v>
      </c>
      <c r="OH13" s="1101">
        <v>0</v>
      </c>
      <c r="OI13" s="1101">
        <v>0</v>
      </c>
      <c r="OJ13" s="1101">
        <v>0</v>
      </c>
      <c r="OK13" s="1101">
        <v>0</v>
      </c>
      <c r="OL13" s="1101">
        <v>0</v>
      </c>
      <c r="OM13" s="1101">
        <v>0</v>
      </c>
      <c r="ON13" s="1101">
        <v>0</v>
      </c>
      <c r="OO13" s="1101">
        <v>0</v>
      </c>
      <c r="OP13" s="1101">
        <v>-5978934</v>
      </c>
      <c r="OQ13" s="1101">
        <v>0</v>
      </c>
      <c r="OR13" s="1101">
        <v>0</v>
      </c>
      <c r="OS13" s="1101">
        <v>144700</v>
      </c>
      <c r="OT13" s="1101">
        <v>9199917</v>
      </c>
      <c r="OU13" s="1101">
        <v>1573058</v>
      </c>
      <c r="OV13" s="1101">
        <v>-14944967</v>
      </c>
      <c r="OW13" s="1101">
        <v>162736</v>
      </c>
      <c r="OX13" s="1101">
        <v>33706</v>
      </c>
      <c r="OY13" s="1101">
        <v>4063832</v>
      </c>
      <c r="OZ13" s="1101">
        <v>0</v>
      </c>
      <c r="PA13" s="1101">
        <v>0</v>
      </c>
      <c r="PB13" s="1101">
        <v>0</v>
      </c>
      <c r="PC13" s="1101">
        <v>0</v>
      </c>
      <c r="PD13" s="1101">
        <v>0</v>
      </c>
      <c r="PE13" s="1101">
        <v>0</v>
      </c>
      <c r="PF13" s="1101">
        <v>0</v>
      </c>
      <c r="PG13" s="1101">
        <v>0</v>
      </c>
      <c r="PH13" s="1101">
        <v>3309931</v>
      </c>
      <c r="PI13" s="1101">
        <v>0</v>
      </c>
      <c r="PJ13" s="1101">
        <v>0</v>
      </c>
      <c r="PK13" s="1101">
        <v>-9869900</v>
      </c>
      <c r="PL13" s="1101">
        <v>-737599</v>
      </c>
      <c r="PM13" s="1101">
        <v>-2360915</v>
      </c>
      <c r="PN13" s="1101">
        <v>0</v>
      </c>
      <c r="PO13" s="1101">
        <v>0</v>
      </c>
      <c r="PP13" s="1101">
        <v>0</v>
      </c>
      <c r="PQ13" s="1101">
        <v>0</v>
      </c>
      <c r="PR13" s="1101">
        <v>0</v>
      </c>
      <c r="PS13" s="1101">
        <v>0</v>
      </c>
      <c r="PT13" s="1101">
        <v>0</v>
      </c>
      <c r="PU13" s="1101">
        <v>79861</v>
      </c>
      <c r="PV13" s="1101">
        <v>0</v>
      </c>
      <c r="PW13" s="1101">
        <v>0</v>
      </c>
      <c r="PX13" s="1101">
        <v>0</v>
      </c>
      <c r="PY13" s="1101">
        <v>25963862</v>
      </c>
      <c r="PZ13" s="1101">
        <v>0</v>
      </c>
      <c r="QA13" s="1101">
        <v>0</v>
      </c>
      <c r="QB13" s="1101">
        <v>0</v>
      </c>
      <c r="QC13" s="1101">
        <v>0</v>
      </c>
      <c r="QD13" s="1101">
        <v>0</v>
      </c>
      <c r="QE13" s="1101">
        <v>0</v>
      </c>
      <c r="QF13" s="1101">
        <v>-644491</v>
      </c>
      <c r="QG13" s="1101">
        <v>0</v>
      </c>
      <c r="QH13" s="1101">
        <v>4718304</v>
      </c>
      <c r="QI13" s="1101">
        <v>0</v>
      </c>
      <c r="QJ13" s="1101">
        <v>0</v>
      </c>
      <c r="QK13" s="1101">
        <v>0</v>
      </c>
      <c r="QL13" s="1101">
        <v>0</v>
      </c>
      <c r="QM13" s="1101">
        <v>0</v>
      </c>
      <c r="QN13" s="1101">
        <v>0</v>
      </c>
      <c r="QO13" s="1101">
        <v>0</v>
      </c>
      <c r="QP13" s="1101">
        <v>0</v>
      </c>
      <c r="QQ13" s="1101">
        <v>0</v>
      </c>
      <c r="QR13" s="1101">
        <v>0</v>
      </c>
      <c r="QS13" s="1101">
        <v>0</v>
      </c>
      <c r="QT13" s="1101">
        <v>0</v>
      </c>
      <c r="QU13" s="1101">
        <v>0</v>
      </c>
      <c r="QV13" s="1101">
        <v>0</v>
      </c>
      <c r="QW13" s="1101">
        <v>0</v>
      </c>
      <c r="QX13" s="1101">
        <v>0</v>
      </c>
      <c r="QY13" s="1101">
        <v>0</v>
      </c>
      <c r="QZ13" s="1101">
        <v>0</v>
      </c>
      <c r="RA13" s="1101">
        <v>0</v>
      </c>
      <c r="RB13" s="1101">
        <v>0</v>
      </c>
      <c r="RC13" s="1101">
        <v>-16588997</v>
      </c>
      <c r="RD13" s="1101">
        <v>0</v>
      </c>
      <c r="RE13" s="1101">
        <v>0</v>
      </c>
      <c r="RF13" s="1101">
        <v>0</v>
      </c>
      <c r="RG13" s="1101">
        <v>0</v>
      </c>
      <c r="RH13" s="1101">
        <v>0</v>
      </c>
      <c r="RI13" s="1101">
        <v>0</v>
      </c>
      <c r="RJ13" s="1101">
        <v>0</v>
      </c>
      <c r="RK13" s="1101">
        <v>0</v>
      </c>
      <c r="RL13" s="1101">
        <v>0</v>
      </c>
      <c r="RM13" s="1101">
        <v>0</v>
      </c>
      <c r="RN13" s="1101">
        <v>0</v>
      </c>
      <c r="RO13" s="1101">
        <v>0</v>
      </c>
      <c r="RP13" s="1101">
        <v>0</v>
      </c>
      <c r="RQ13" s="1101">
        <v>0</v>
      </c>
      <c r="RR13" s="1101">
        <v>0</v>
      </c>
      <c r="RS13" s="1101">
        <v>0</v>
      </c>
      <c r="RT13" s="1101">
        <v>0</v>
      </c>
      <c r="RU13" s="1101">
        <v>0</v>
      </c>
      <c r="RV13" s="1101">
        <v>0</v>
      </c>
      <c r="RW13" s="1101">
        <v>0</v>
      </c>
      <c r="RX13" s="1101">
        <v>0</v>
      </c>
      <c r="RY13" s="1101">
        <v>0</v>
      </c>
      <c r="RZ13" s="1101">
        <v>0</v>
      </c>
      <c r="SA13" s="1101">
        <v>0</v>
      </c>
      <c r="SB13" s="1101">
        <v>0</v>
      </c>
      <c r="SC13" s="1101">
        <v>0</v>
      </c>
      <c r="SD13" s="1101">
        <v>0</v>
      </c>
      <c r="SE13" s="1101">
        <v>0</v>
      </c>
      <c r="SF13" s="1101">
        <v>0</v>
      </c>
      <c r="SG13" s="1101">
        <v>0</v>
      </c>
      <c r="SH13" s="1101">
        <v>0</v>
      </c>
      <c r="SI13" s="1101">
        <v>0</v>
      </c>
      <c r="SJ13" s="1101">
        <v>0</v>
      </c>
      <c r="SK13" s="1101">
        <v>0</v>
      </c>
      <c r="SL13" s="1102">
        <v>0</v>
      </c>
      <c r="SM13" s="1101">
        <v>6747830</v>
      </c>
      <c r="SN13" s="1101">
        <v>23773296</v>
      </c>
      <c r="SO13" s="1102"/>
      <c r="SP13" s="1103"/>
      <c r="SQ13" s="1104">
        <v>87381735</v>
      </c>
      <c r="SR13" s="1104">
        <v>-30039820</v>
      </c>
      <c r="SS13" s="1105">
        <v>461777</v>
      </c>
      <c r="ST13" s="1106">
        <v>121325</v>
      </c>
      <c r="SU13" s="1106">
        <v>-3974</v>
      </c>
      <c r="SV13" s="1106">
        <v>10095</v>
      </c>
      <c r="SW13" s="1106">
        <v>26645</v>
      </c>
      <c r="SX13" s="1106">
        <v>11216</v>
      </c>
      <c r="SY13" s="1106">
        <v>130282</v>
      </c>
      <c r="SZ13" s="1106">
        <v>11530</v>
      </c>
      <c r="TA13" s="1106">
        <v>0</v>
      </c>
      <c r="TB13" s="1106">
        <v>0</v>
      </c>
      <c r="TC13" s="1105">
        <v>0</v>
      </c>
      <c r="TD13" s="1106">
        <v>67315</v>
      </c>
      <c r="TE13" s="1106">
        <v>0</v>
      </c>
      <c r="TF13" s="1106">
        <v>0</v>
      </c>
      <c r="TG13" s="1106">
        <v>0</v>
      </c>
      <c r="TH13" s="1106">
        <v>0</v>
      </c>
      <c r="TI13" s="1106">
        <v>0</v>
      </c>
      <c r="TJ13" s="1106">
        <v>0</v>
      </c>
      <c r="TK13" s="1105">
        <v>0</v>
      </c>
      <c r="TL13" s="1106">
        <v>0</v>
      </c>
      <c r="TM13" s="1106">
        <v>0</v>
      </c>
      <c r="TN13" s="1106">
        <v>0</v>
      </c>
      <c r="TO13" s="1106">
        <v>0</v>
      </c>
      <c r="TP13" s="1106">
        <v>0</v>
      </c>
      <c r="TQ13" s="1106">
        <v>0</v>
      </c>
      <c r="TR13" s="1106">
        <v>0</v>
      </c>
      <c r="TS13" s="1105">
        <v>61622088</v>
      </c>
      <c r="TT13" s="1106">
        <v>2090148</v>
      </c>
      <c r="TU13" s="1106">
        <v>1495986</v>
      </c>
      <c r="TV13" s="1106">
        <v>15543747</v>
      </c>
      <c r="TW13" s="1106">
        <v>12914306</v>
      </c>
      <c r="TX13" s="1106">
        <v>14087587</v>
      </c>
      <c r="TY13" s="1106">
        <v>12975080</v>
      </c>
      <c r="TZ13" s="1107">
        <v>13893217</v>
      </c>
      <c r="UA13" s="1107">
        <v>12292638</v>
      </c>
      <c r="UB13" s="1105">
        <v>2852436</v>
      </c>
      <c r="UC13" s="1108">
        <v>26043723</v>
      </c>
      <c r="UD13" s="1108"/>
      <c r="UE13" s="1103"/>
      <c r="UF13" s="1109" t="s">
        <v>2421</v>
      </c>
      <c r="UG13" s="1110" t="s">
        <v>2422</v>
      </c>
      <c r="UH13" s="1110" t="s">
        <v>2423</v>
      </c>
    </row>
    <row r="14" spans="1:554" s="776" customFormat="1" ht="23.25" customHeight="1" thickBot="1">
      <c r="A14" s="1093">
        <v>130</v>
      </c>
      <c r="B14" s="1094" t="s">
        <v>103</v>
      </c>
      <c r="C14" s="1095" t="s">
        <v>310</v>
      </c>
      <c r="D14" s="1096" t="s">
        <v>2398</v>
      </c>
      <c r="E14" s="1097">
        <v>3632</v>
      </c>
      <c r="F14" s="1098">
        <v>7995546641</v>
      </c>
      <c r="G14" s="1096" t="s">
        <v>2399</v>
      </c>
      <c r="H14" s="1100" t="s">
        <v>103</v>
      </c>
      <c r="I14" s="1100"/>
      <c r="J14" s="1100"/>
      <c r="K14" s="1100"/>
      <c r="L14" s="1100"/>
      <c r="M14" s="1101">
        <v>367550412</v>
      </c>
      <c r="N14" s="1101">
        <v>0</v>
      </c>
      <c r="O14" s="1101">
        <v>0</v>
      </c>
      <c r="P14" s="1101">
        <v>0</v>
      </c>
      <c r="Q14" s="1101">
        <v>0</v>
      </c>
      <c r="R14" s="1101">
        <v>0</v>
      </c>
      <c r="S14" s="1101">
        <v>0</v>
      </c>
      <c r="T14" s="1101">
        <v>0</v>
      </c>
      <c r="U14" s="1101">
        <v>0</v>
      </c>
      <c r="V14" s="1101">
        <v>72824110</v>
      </c>
      <c r="W14" s="1101">
        <v>374370</v>
      </c>
      <c r="X14" s="1101">
        <v>0</v>
      </c>
      <c r="Y14" s="1101">
        <v>8372614</v>
      </c>
      <c r="Z14" s="1101">
        <v>0</v>
      </c>
      <c r="AA14" s="1101">
        <v>0</v>
      </c>
      <c r="AB14" s="1101">
        <v>0</v>
      </c>
      <c r="AC14" s="1101">
        <v>0</v>
      </c>
      <c r="AD14" s="1101">
        <v>0</v>
      </c>
      <c r="AE14" s="1101">
        <v>0</v>
      </c>
      <c r="AF14" s="1101">
        <v>0</v>
      </c>
      <c r="AG14" s="1101">
        <v>0</v>
      </c>
      <c r="AH14" s="1101">
        <v>0</v>
      </c>
      <c r="AI14" s="1101">
        <v>0</v>
      </c>
      <c r="AJ14" s="1101">
        <v>0</v>
      </c>
      <c r="AK14" s="1101">
        <v>0</v>
      </c>
      <c r="AL14" s="1101">
        <v>0</v>
      </c>
      <c r="AM14" s="1101">
        <v>0</v>
      </c>
      <c r="AN14" s="1101">
        <v>0</v>
      </c>
      <c r="AO14" s="1101">
        <v>0</v>
      </c>
      <c r="AP14" s="1101">
        <v>0</v>
      </c>
      <c r="AQ14" s="1101">
        <v>0</v>
      </c>
      <c r="AR14" s="1101">
        <v>0</v>
      </c>
      <c r="AS14" s="1101">
        <v>0</v>
      </c>
      <c r="AT14" s="1101">
        <v>0</v>
      </c>
      <c r="AU14" s="1101">
        <v>0</v>
      </c>
      <c r="AV14" s="1101">
        <v>0</v>
      </c>
      <c r="AW14" s="1101">
        <v>64695488</v>
      </c>
      <c r="AX14" s="1101">
        <v>136918806</v>
      </c>
      <c r="AY14" s="1101">
        <v>0</v>
      </c>
      <c r="AZ14" s="1101">
        <v>0</v>
      </c>
      <c r="BA14" s="1101">
        <v>0</v>
      </c>
      <c r="BB14" s="1101">
        <v>0</v>
      </c>
      <c r="BC14" s="1101">
        <v>0</v>
      </c>
      <c r="BD14" s="1101">
        <v>0</v>
      </c>
      <c r="BE14" s="1101">
        <v>0</v>
      </c>
      <c r="BF14" s="1101">
        <v>-50160841</v>
      </c>
      <c r="BG14" s="1101">
        <v>-24505166</v>
      </c>
      <c r="BH14" s="1101">
        <v>0</v>
      </c>
      <c r="BI14" s="1101">
        <v>0</v>
      </c>
      <c r="BJ14" s="1101">
        <v>0</v>
      </c>
      <c r="BK14" s="1101">
        <v>0</v>
      </c>
      <c r="BL14" s="1101">
        <v>0</v>
      </c>
      <c r="BM14" s="1101">
        <v>0</v>
      </c>
      <c r="BN14" s="1101">
        <v>0</v>
      </c>
      <c r="BO14" s="1101">
        <v>-883830</v>
      </c>
      <c r="BP14" s="1101">
        <v>-114010</v>
      </c>
      <c r="BQ14" s="1101">
        <v>0</v>
      </c>
      <c r="BR14" s="1101">
        <v>0</v>
      </c>
      <c r="BS14" s="1101">
        <v>0</v>
      </c>
      <c r="BT14" s="1101">
        <v>0</v>
      </c>
      <c r="BU14" s="1101">
        <v>0</v>
      </c>
      <c r="BV14" s="1101">
        <v>0</v>
      </c>
      <c r="BW14" s="1101">
        <v>0</v>
      </c>
      <c r="BX14" s="1101">
        <v>0</v>
      </c>
      <c r="BY14" s="1101">
        <v>0</v>
      </c>
      <c r="BZ14" s="1101">
        <v>0</v>
      </c>
      <c r="CA14" s="1101">
        <v>0</v>
      </c>
      <c r="CB14" s="1101">
        <v>0</v>
      </c>
      <c r="CC14" s="1101">
        <v>0</v>
      </c>
      <c r="CD14" s="1101">
        <v>0</v>
      </c>
      <c r="CE14" s="1101">
        <v>0</v>
      </c>
      <c r="CF14" s="1101">
        <v>0</v>
      </c>
      <c r="CG14" s="1101">
        <v>0</v>
      </c>
      <c r="CH14" s="1101">
        <v>0</v>
      </c>
      <c r="CI14" s="1101">
        <v>0</v>
      </c>
      <c r="CJ14" s="1101">
        <v>0</v>
      </c>
      <c r="CK14" s="1101">
        <v>0</v>
      </c>
      <c r="CL14" s="1101">
        <v>0</v>
      </c>
      <c r="CM14" s="1101">
        <v>0</v>
      </c>
      <c r="CN14" s="1101">
        <v>0</v>
      </c>
      <c r="CO14" s="1101">
        <v>0</v>
      </c>
      <c r="CP14" s="1101">
        <v>122877459</v>
      </c>
      <c r="CQ14" s="1101">
        <v>445818888</v>
      </c>
      <c r="CR14" s="1101">
        <v>0</v>
      </c>
      <c r="CS14" s="1101">
        <v>0</v>
      </c>
      <c r="CT14" s="1101">
        <v>0</v>
      </c>
      <c r="CU14" s="1101">
        <v>0</v>
      </c>
      <c r="CV14" s="1101">
        <v>0</v>
      </c>
      <c r="CW14" s="1101">
        <v>0</v>
      </c>
      <c r="CX14" s="1101">
        <v>0</v>
      </c>
      <c r="CY14" s="1101">
        <v>0</v>
      </c>
      <c r="CZ14" s="1101">
        <v>0</v>
      </c>
      <c r="DA14" s="1101">
        <v>0</v>
      </c>
      <c r="DB14" s="1101">
        <v>0</v>
      </c>
      <c r="DC14" s="1101">
        <v>0</v>
      </c>
      <c r="DD14" s="1101">
        <v>0</v>
      </c>
      <c r="DE14" s="1101">
        <v>0</v>
      </c>
      <c r="DF14" s="1101">
        <v>0</v>
      </c>
      <c r="DG14" s="1101">
        <v>0</v>
      </c>
      <c r="DH14" s="1101">
        <v>0</v>
      </c>
      <c r="DI14" s="1101">
        <v>0</v>
      </c>
      <c r="DJ14" s="1101">
        <v>0</v>
      </c>
      <c r="DK14" s="1101">
        <v>0</v>
      </c>
      <c r="DL14" s="1101">
        <v>0</v>
      </c>
      <c r="DM14" s="1101">
        <v>0</v>
      </c>
      <c r="DN14" s="1101">
        <v>0</v>
      </c>
      <c r="DO14" s="1101">
        <v>0</v>
      </c>
      <c r="DP14" s="1101">
        <v>0</v>
      </c>
      <c r="DQ14" s="1101">
        <v>-4065689</v>
      </c>
      <c r="DR14" s="1101">
        <v>-22713357</v>
      </c>
      <c r="DS14" s="1101">
        <v>0</v>
      </c>
      <c r="DT14" s="1101">
        <v>0</v>
      </c>
      <c r="DU14" s="1101">
        <v>0</v>
      </c>
      <c r="DV14" s="1101">
        <v>0</v>
      </c>
      <c r="DW14" s="1101">
        <v>0</v>
      </c>
      <c r="DX14" s="1101">
        <v>0</v>
      </c>
      <c r="DY14" s="1101">
        <v>0</v>
      </c>
      <c r="DZ14" s="1101">
        <v>0</v>
      </c>
      <c r="EA14" s="1101">
        <v>0</v>
      </c>
      <c r="EB14" s="1101">
        <v>0</v>
      </c>
      <c r="EC14" s="1101">
        <v>0</v>
      </c>
      <c r="ED14" s="1101">
        <v>0</v>
      </c>
      <c r="EE14" s="1101">
        <v>0</v>
      </c>
      <c r="EF14" s="1101">
        <v>0</v>
      </c>
      <c r="EG14" s="1101">
        <v>0</v>
      </c>
      <c r="EH14" s="1101">
        <v>0</v>
      </c>
      <c r="EI14" s="1101">
        <v>-23205163</v>
      </c>
      <c r="EJ14" s="1101">
        <v>-76229615</v>
      </c>
      <c r="EK14" s="1101">
        <v>0</v>
      </c>
      <c r="EL14" s="1101">
        <v>0</v>
      </c>
      <c r="EM14" s="1101">
        <v>0</v>
      </c>
      <c r="EN14" s="1101">
        <v>0</v>
      </c>
      <c r="EO14" s="1101">
        <v>0</v>
      </c>
      <c r="EP14" s="1101">
        <v>0</v>
      </c>
      <c r="EQ14" s="1101">
        <v>0</v>
      </c>
      <c r="ER14" s="1101">
        <v>0</v>
      </c>
      <c r="ES14" s="1101">
        <v>-87128</v>
      </c>
      <c r="ET14" s="1101">
        <v>0</v>
      </c>
      <c r="EU14" s="1101">
        <v>0</v>
      </c>
      <c r="EV14" s="1101">
        <v>0</v>
      </c>
      <c r="EW14" s="1101">
        <v>0</v>
      </c>
      <c r="EX14" s="1101">
        <v>0</v>
      </c>
      <c r="EY14" s="1101">
        <v>0</v>
      </c>
      <c r="EZ14" s="1101">
        <v>0</v>
      </c>
      <c r="FA14" s="1101">
        <v>-4</v>
      </c>
      <c r="FB14" s="1101">
        <v>-48776</v>
      </c>
      <c r="FC14" s="1101">
        <v>-71714</v>
      </c>
      <c r="FD14" s="1101">
        <v>0</v>
      </c>
      <c r="FE14" s="1101">
        <v>0</v>
      </c>
      <c r="FF14" s="1101">
        <v>0</v>
      </c>
      <c r="FG14" s="1101">
        <v>0</v>
      </c>
      <c r="FH14" s="1101">
        <v>0</v>
      </c>
      <c r="FI14" s="1101">
        <v>0</v>
      </c>
      <c r="FJ14" s="1101">
        <v>0</v>
      </c>
      <c r="FK14" s="1101">
        <v>0</v>
      </c>
      <c r="FL14" s="1101">
        <v>0</v>
      </c>
      <c r="FM14" s="1101">
        <v>0</v>
      </c>
      <c r="FN14" s="1101">
        <v>0</v>
      </c>
      <c r="FO14" s="1101">
        <v>0</v>
      </c>
      <c r="FP14" s="1101">
        <v>0</v>
      </c>
      <c r="FQ14" s="1101">
        <v>0</v>
      </c>
      <c r="FR14" s="1101">
        <v>0</v>
      </c>
      <c r="FS14" s="1101">
        <v>0</v>
      </c>
      <c r="FT14" s="1101">
        <v>0</v>
      </c>
      <c r="FU14" s="1101">
        <v>0</v>
      </c>
      <c r="FV14" s="1101">
        <v>0</v>
      </c>
      <c r="FW14" s="1101">
        <v>0</v>
      </c>
      <c r="FX14" s="1101">
        <v>0</v>
      </c>
      <c r="FY14" s="1101">
        <v>0</v>
      </c>
      <c r="FZ14" s="1101">
        <v>0</v>
      </c>
      <c r="GA14" s="1101">
        <v>0</v>
      </c>
      <c r="GB14" s="1101">
        <v>868838</v>
      </c>
      <c r="GC14" s="1101">
        <v>262907180</v>
      </c>
      <c r="GD14" s="1101">
        <v>41016580</v>
      </c>
      <c r="GE14" s="1101">
        <v>0</v>
      </c>
      <c r="GF14" s="1101">
        <v>0</v>
      </c>
      <c r="GG14" s="1101">
        <v>0</v>
      </c>
      <c r="GH14" s="1101">
        <v>0</v>
      </c>
      <c r="GI14" s="1101">
        <v>0</v>
      </c>
      <c r="GJ14" s="1101">
        <v>0</v>
      </c>
      <c r="GK14" s="1101">
        <v>0</v>
      </c>
      <c r="GL14" s="1101">
        <v>0</v>
      </c>
      <c r="GM14" s="1101">
        <v>0</v>
      </c>
      <c r="GN14" s="1101">
        <v>0</v>
      </c>
      <c r="GO14" s="1101">
        <v>0</v>
      </c>
      <c r="GP14" s="1101">
        <v>0</v>
      </c>
      <c r="GQ14" s="1101">
        <v>0</v>
      </c>
      <c r="GR14" s="1101">
        <v>0</v>
      </c>
      <c r="GS14" s="1101">
        <v>0</v>
      </c>
      <c r="GT14" s="1101">
        <v>0</v>
      </c>
      <c r="GU14" s="1101">
        <v>0</v>
      </c>
      <c r="GV14" s="1101">
        <v>0</v>
      </c>
      <c r="GW14" s="1101">
        <v>0</v>
      </c>
      <c r="GX14" s="1101">
        <v>0</v>
      </c>
      <c r="GY14" s="1101">
        <v>0</v>
      </c>
      <c r="GZ14" s="1101">
        <v>0</v>
      </c>
      <c r="HA14" s="1101">
        <v>0</v>
      </c>
      <c r="HB14" s="1101">
        <v>0</v>
      </c>
      <c r="HC14" s="1101">
        <v>-2943</v>
      </c>
      <c r="HD14" s="1101">
        <v>-10905000</v>
      </c>
      <c r="HE14" s="1101">
        <v>-1546496</v>
      </c>
      <c r="HF14" s="1101">
        <v>0</v>
      </c>
      <c r="HG14" s="1101">
        <v>0</v>
      </c>
      <c r="HH14" s="1101">
        <v>0</v>
      </c>
      <c r="HI14" s="1101">
        <v>0</v>
      </c>
      <c r="HJ14" s="1101">
        <v>0</v>
      </c>
      <c r="HK14" s="1101">
        <v>0</v>
      </c>
      <c r="HL14" s="1101">
        <v>0</v>
      </c>
      <c r="HM14" s="1101">
        <v>0</v>
      </c>
      <c r="HN14" s="1101">
        <v>0</v>
      </c>
      <c r="HO14" s="1101">
        <v>0</v>
      </c>
      <c r="HP14" s="1101">
        <v>0</v>
      </c>
      <c r="HQ14" s="1101">
        <v>0</v>
      </c>
      <c r="HR14" s="1101">
        <v>0</v>
      </c>
      <c r="HS14" s="1101">
        <v>0</v>
      </c>
      <c r="HT14" s="1101">
        <v>0</v>
      </c>
      <c r="HU14" s="1101">
        <v>-189883</v>
      </c>
      <c r="HV14" s="1101">
        <v>-47443398</v>
      </c>
      <c r="HW14" s="1101">
        <v>-7556533</v>
      </c>
      <c r="HX14" s="1101">
        <v>0</v>
      </c>
      <c r="HY14" s="1101">
        <v>0</v>
      </c>
      <c r="HZ14" s="1101">
        <v>0</v>
      </c>
      <c r="IA14" s="1101">
        <v>0</v>
      </c>
      <c r="IB14" s="1101">
        <v>0</v>
      </c>
      <c r="IC14" s="1101">
        <v>0</v>
      </c>
      <c r="ID14" s="1101">
        <v>0</v>
      </c>
      <c r="IE14" s="1101">
        <v>28443773</v>
      </c>
      <c r="IF14" s="1101">
        <v>0</v>
      </c>
      <c r="IG14" s="1101">
        <v>244199018</v>
      </c>
      <c r="IH14" s="1101">
        <v>0</v>
      </c>
      <c r="II14" s="1101">
        <v>0</v>
      </c>
      <c r="IJ14" s="1101">
        <v>0</v>
      </c>
      <c r="IK14" s="1101">
        <v>0</v>
      </c>
      <c r="IL14" s="1101">
        <v>0</v>
      </c>
      <c r="IM14" s="1101">
        <v>2785229</v>
      </c>
      <c r="IN14" s="1101">
        <v>99635818</v>
      </c>
      <c r="IO14" s="1101">
        <v>9405062</v>
      </c>
      <c r="IP14" s="1101">
        <v>2142532</v>
      </c>
      <c r="IQ14" s="1101">
        <v>71493</v>
      </c>
      <c r="IR14" s="1101">
        <v>48802</v>
      </c>
      <c r="IS14" s="1101">
        <v>1011595</v>
      </c>
      <c r="IT14" s="1101">
        <v>0</v>
      </c>
      <c r="IU14" s="1101">
        <v>0</v>
      </c>
      <c r="IV14" s="1101">
        <v>0</v>
      </c>
      <c r="IW14" s="1101">
        <v>0</v>
      </c>
      <c r="IX14" s="1101">
        <v>0</v>
      </c>
      <c r="IY14" s="1101">
        <v>0</v>
      </c>
      <c r="IZ14" s="1101">
        <v>0</v>
      </c>
      <c r="JA14" s="1101">
        <v>0</v>
      </c>
      <c r="JB14" s="1101">
        <v>0</v>
      </c>
      <c r="JC14" s="1101">
        <v>0</v>
      </c>
      <c r="JD14" s="1101">
        <v>0</v>
      </c>
      <c r="JE14" s="1101">
        <v>0</v>
      </c>
      <c r="JF14" s="1101">
        <v>7060211</v>
      </c>
      <c r="JG14" s="1101">
        <v>22286200</v>
      </c>
      <c r="JH14" s="1101">
        <v>184282975</v>
      </c>
      <c r="JI14" s="1101">
        <v>566273</v>
      </c>
      <c r="JJ14" s="1101">
        <v>0</v>
      </c>
      <c r="JK14" s="1101">
        <v>0</v>
      </c>
      <c r="JL14" s="1101">
        <v>0</v>
      </c>
      <c r="JM14" s="1101">
        <v>0</v>
      </c>
      <c r="JN14" s="1101">
        <v>40226232</v>
      </c>
      <c r="JO14" s="1101">
        <v>109584797</v>
      </c>
      <c r="JP14" s="1101">
        <v>0</v>
      </c>
      <c r="JQ14" s="1101">
        <v>1553357</v>
      </c>
      <c r="JR14" s="1101">
        <v>0</v>
      </c>
      <c r="JS14" s="1101">
        <v>0</v>
      </c>
      <c r="JT14" s="1101">
        <v>0</v>
      </c>
      <c r="JU14" s="1101">
        <v>0</v>
      </c>
      <c r="JV14" s="1101">
        <v>0</v>
      </c>
      <c r="JW14" s="1101">
        <v>0</v>
      </c>
      <c r="JX14" s="1101">
        <v>0</v>
      </c>
      <c r="JY14" s="1101">
        <v>189379128</v>
      </c>
      <c r="JZ14" s="1101">
        <v>0</v>
      </c>
      <c r="KA14" s="1101">
        <v>0</v>
      </c>
      <c r="KB14" s="1101">
        <v>0</v>
      </c>
      <c r="KC14" s="1101">
        <v>0</v>
      </c>
      <c r="KD14" s="1101">
        <v>0</v>
      </c>
      <c r="KE14" s="1101">
        <v>0</v>
      </c>
      <c r="KF14" s="1101">
        <v>306451</v>
      </c>
      <c r="KG14" s="1101">
        <v>70874850</v>
      </c>
      <c r="KH14" s="1101">
        <v>4172198</v>
      </c>
      <c r="KI14" s="1101">
        <v>-32898089</v>
      </c>
      <c r="KJ14" s="1101">
        <v>899464</v>
      </c>
      <c r="KK14" s="1101">
        <v>0</v>
      </c>
      <c r="KL14" s="1101">
        <v>125441</v>
      </c>
      <c r="KM14" s="1101">
        <v>0</v>
      </c>
      <c r="KN14" s="1101">
        <v>14625413</v>
      </c>
      <c r="KO14" s="1101">
        <v>416809360</v>
      </c>
      <c r="KP14" s="1101">
        <v>124268356</v>
      </c>
      <c r="KQ14" s="1101">
        <v>0</v>
      </c>
      <c r="KR14" s="1101">
        <v>66674359</v>
      </c>
      <c r="KS14" s="1101">
        <v>0</v>
      </c>
      <c r="KT14" s="1101">
        <v>0</v>
      </c>
      <c r="KU14" s="1101">
        <v>0</v>
      </c>
      <c r="KV14" s="1101">
        <v>0</v>
      </c>
      <c r="KW14" s="1101">
        <v>0</v>
      </c>
      <c r="KX14" s="1101">
        <v>19582372</v>
      </c>
      <c r="KY14" s="1101">
        <v>62028241</v>
      </c>
      <c r="KZ14" s="1101">
        <v>0</v>
      </c>
      <c r="LA14" s="1101">
        <v>143182899</v>
      </c>
      <c r="LB14" s="1101">
        <v>0</v>
      </c>
      <c r="LC14" s="1101">
        <v>0</v>
      </c>
      <c r="LD14" s="1101">
        <v>62333</v>
      </c>
      <c r="LE14" s="1101">
        <v>0</v>
      </c>
      <c r="LF14" s="1101">
        <v>0</v>
      </c>
      <c r="LG14" s="1101">
        <v>2701597</v>
      </c>
      <c r="LH14" s="1101">
        <v>11305833</v>
      </c>
      <c r="LI14" s="1101">
        <v>0</v>
      </c>
      <c r="LJ14" s="1101">
        <v>4742560</v>
      </c>
      <c r="LK14" s="1101">
        <v>0</v>
      </c>
      <c r="LL14" s="1101">
        <v>0</v>
      </c>
      <c r="LM14" s="1101">
        <v>0</v>
      </c>
      <c r="LN14" s="1101">
        <v>0</v>
      </c>
      <c r="LO14" s="1101">
        <v>0</v>
      </c>
      <c r="LP14" s="1101">
        <v>84151214</v>
      </c>
      <c r="LQ14" s="1101">
        <v>141482204</v>
      </c>
      <c r="LR14" s="1101">
        <v>0</v>
      </c>
      <c r="LS14" s="1101">
        <v>29878706</v>
      </c>
      <c r="LT14" s="1101">
        <v>0</v>
      </c>
      <c r="LU14" s="1101">
        <v>0</v>
      </c>
      <c r="LV14" s="1101">
        <v>0</v>
      </c>
      <c r="LW14" s="1101">
        <v>0</v>
      </c>
      <c r="LX14" s="1101">
        <v>0</v>
      </c>
      <c r="LY14" s="1101">
        <v>17170591</v>
      </c>
      <c r="LZ14" s="1101">
        <v>55635859</v>
      </c>
      <c r="MA14" s="1101">
        <v>0</v>
      </c>
      <c r="MB14" s="1101">
        <v>4257568</v>
      </c>
      <c r="MC14" s="1101">
        <v>5128700</v>
      </c>
      <c r="MD14" s="1101">
        <v>0</v>
      </c>
      <c r="ME14" s="1101">
        <v>0</v>
      </c>
      <c r="MF14" s="1101">
        <v>0</v>
      </c>
      <c r="MG14" s="1101">
        <v>0</v>
      </c>
      <c r="MH14" s="1101">
        <v>43530837</v>
      </c>
      <c r="MI14" s="1101">
        <v>32692729</v>
      </c>
      <c r="MJ14" s="1101">
        <v>0</v>
      </c>
      <c r="MK14" s="1101">
        <v>11091523</v>
      </c>
      <c r="ML14" s="1101">
        <v>0</v>
      </c>
      <c r="MM14" s="1101">
        <v>0</v>
      </c>
      <c r="MN14" s="1101">
        <v>0</v>
      </c>
      <c r="MO14" s="1101">
        <v>0</v>
      </c>
      <c r="MP14" s="1101">
        <v>0</v>
      </c>
      <c r="MQ14" s="1101">
        <v>13779227</v>
      </c>
      <c r="MR14" s="1101">
        <v>119275567</v>
      </c>
      <c r="MS14" s="1101">
        <v>0</v>
      </c>
      <c r="MT14" s="1101">
        <v>2873094</v>
      </c>
      <c r="MU14" s="1101">
        <v>0</v>
      </c>
      <c r="MV14" s="1101">
        <v>0</v>
      </c>
      <c r="MW14" s="1101">
        <v>37879429</v>
      </c>
      <c r="MX14" s="1101">
        <v>0</v>
      </c>
      <c r="MY14" s="1101">
        <v>0</v>
      </c>
      <c r="MZ14" s="1101">
        <v>13092252</v>
      </c>
      <c r="NA14" s="1101">
        <v>64042294</v>
      </c>
      <c r="NB14" s="1101">
        <v>0</v>
      </c>
      <c r="NC14" s="1101">
        <v>64235599</v>
      </c>
      <c r="ND14" s="1101">
        <v>0</v>
      </c>
      <c r="NE14" s="1101">
        <v>0</v>
      </c>
      <c r="NF14" s="1101">
        <v>0</v>
      </c>
      <c r="NG14" s="1101">
        <v>0</v>
      </c>
      <c r="NH14" s="1101">
        <v>0</v>
      </c>
      <c r="NI14" s="1101">
        <v>0</v>
      </c>
      <c r="NJ14" s="1101">
        <v>0</v>
      </c>
      <c r="NK14" s="1101">
        <v>205852290</v>
      </c>
      <c r="NL14" s="1101">
        <v>0</v>
      </c>
      <c r="NM14" s="1101">
        <v>0</v>
      </c>
      <c r="NN14" s="1101">
        <v>0</v>
      </c>
      <c r="NO14" s="1101">
        <v>0</v>
      </c>
      <c r="NP14" s="1101">
        <v>0</v>
      </c>
      <c r="NQ14" s="1101">
        <v>0</v>
      </c>
      <c r="NR14" s="1101">
        <v>368127</v>
      </c>
      <c r="NS14" s="1101">
        <v>36167284</v>
      </c>
      <c r="NT14" s="1101">
        <v>6100660</v>
      </c>
      <c r="NU14" s="1101">
        <v>6153936</v>
      </c>
      <c r="NV14" s="1101">
        <v>0</v>
      </c>
      <c r="NW14" s="1101">
        <v>0</v>
      </c>
      <c r="NX14" s="1101">
        <v>0</v>
      </c>
      <c r="NY14" s="1101">
        <v>0</v>
      </c>
      <c r="NZ14" s="1101">
        <v>0</v>
      </c>
      <c r="OA14" s="1101">
        <v>770890</v>
      </c>
      <c r="OB14" s="1101">
        <v>31857984</v>
      </c>
      <c r="OC14" s="1101">
        <v>2417810</v>
      </c>
      <c r="OD14" s="1101">
        <v>1122</v>
      </c>
      <c r="OE14" s="1101">
        <v>14688</v>
      </c>
      <c r="OF14" s="1101">
        <v>19941</v>
      </c>
      <c r="OG14" s="1101">
        <v>4196</v>
      </c>
      <c r="OH14" s="1101">
        <v>0</v>
      </c>
      <c r="OI14" s="1101">
        <v>11134872</v>
      </c>
      <c r="OJ14" s="1101">
        <v>0</v>
      </c>
      <c r="OK14" s="1101">
        <v>0</v>
      </c>
      <c r="OL14" s="1101">
        <v>0</v>
      </c>
      <c r="OM14" s="1101">
        <v>0</v>
      </c>
      <c r="ON14" s="1101">
        <v>0</v>
      </c>
      <c r="OO14" s="1101">
        <v>0</v>
      </c>
      <c r="OP14" s="1101">
        <v>-57478975</v>
      </c>
      <c r="OQ14" s="1101">
        <v>0</v>
      </c>
      <c r="OR14" s="1101">
        <v>0</v>
      </c>
      <c r="OS14" s="1101">
        <v>-2825395</v>
      </c>
      <c r="OT14" s="1101">
        <v>-135464560</v>
      </c>
      <c r="OU14" s="1101">
        <v>-1722624</v>
      </c>
      <c r="OV14" s="1101">
        <v>-37558737</v>
      </c>
      <c r="OW14" s="1101">
        <v>-49243</v>
      </c>
      <c r="OX14" s="1101">
        <v>14750576</v>
      </c>
      <c r="OY14" s="1101">
        <v>145888168</v>
      </c>
      <c r="OZ14" s="1101">
        <v>0</v>
      </c>
      <c r="PA14" s="1101">
        <v>0</v>
      </c>
      <c r="PB14" s="1101">
        <v>0</v>
      </c>
      <c r="PC14" s="1101">
        <v>0</v>
      </c>
      <c r="PD14" s="1101">
        <v>0</v>
      </c>
      <c r="PE14" s="1101">
        <v>0</v>
      </c>
      <c r="PF14" s="1101">
        <v>0</v>
      </c>
      <c r="PG14" s="1101">
        <v>0</v>
      </c>
      <c r="PH14" s="1101">
        <v>0</v>
      </c>
      <c r="PI14" s="1101">
        <v>0</v>
      </c>
      <c r="PJ14" s="1101">
        <v>0</v>
      </c>
      <c r="PK14" s="1101">
        <v>-8267586</v>
      </c>
      <c r="PL14" s="1101">
        <v>-25813650</v>
      </c>
      <c r="PM14" s="1101">
        <v>-62154887</v>
      </c>
      <c r="PN14" s="1101">
        <v>-7363854</v>
      </c>
      <c r="PO14" s="1101">
        <v>0</v>
      </c>
      <c r="PP14" s="1101">
        <v>0</v>
      </c>
      <c r="PQ14" s="1101">
        <v>-15230483</v>
      </c>
      <c r="PR14" s="1101">
        <v>0</v>
      </c>
      <c r="PS14" s="1101">
        <v>0</v>
      </c>
      <c r="PT14" s="1101">
        <v>0</v>
      </c>
      <c r="PU14" s="1101">
        <v>236540171</v>
      </c>
      <c r="PV14" s="1101">
        <v>0</v>
      </c>
      <c r="PW14" s="1101">
        <v>0</v>
      </c>
      <c r="PX14" s="1101">
        <v>0</v>
      </c>
      <c r="PY14" s="1101">
        <v>82991348</v>
      </c>
      <c r="PZ14" s="1101">
        <v>0</v>
      </c>
      <c r="QA14" s="1101">
        <v>0</v>
      </c>
      <c r="QB14" s="1101">
        <v>0</v>
      </c>
      <c r="QC14" s="1101">
        <v>0</v>
      </c>
      <c r="QD14" s="1101">
        <v>0</v>
      </c>
      <c r="QE14" s="1101">
        <v>0</v>
      </c>
      <c r="QF14" s="1101">
        <v>0</v>
      </c>
      <c r="QG14" s="1101">
        <v>0</v>
      </c>
      <c r="QH14" s="1101">
        <v>152174</v>
      </c>
      <c r="QI14" s="1101">
        <v>0</v>
      </c>
      <c r="QJ14" s="1101">
        <v>0</v>
      </c>
      <c r="QK14" s="1101">
        <v>0</v>
      </c>
      <c r="QL14" s="1101">
        <v>0</v>
      </c>
      <c r="QM14" s="1101">
        <v>0</v>
      </c>
      <c r="QN14" s="1101">
        <v>0</v>
      </c>
      <c r="QO14" s="1101">
        <v>0</v>
      </c>
      <c r="QP14" s="1101">
        <v>0</v>
      </c>
      <c r="QQ14" s="1101">
        <v>0</v>
      </c>
      <c r="QR14" s="1101">
        <v>0</v>
      </c>
      <c r="QS14" s="1101">
        <v>0</v>
      </c>
      <c r="QT14" s="1101">
        <v>0</v>
      </c>
      <c r="QU14" s="1101">
        <v>0</v>
      </c>
      <c r="QV14" s="1101">
        <v>0</v>
      </c>
      <c r="QW14" s="1101">
        <v>0</v>
      </c>
      <c r="QX14" s="1101">
        <v>0</v>
      </c>
      <c r="QY14" s="1101">
        <v>0</v>
      </c>
      <c r="QZ14" s="1101">
        <v>0</v>
      </c>
      <c r="RA14" s="1101">
        <v>0</v>
      </c>
      <c r="RB14" s="1101">
        <v>0</v>
      </c>
      <c r="RC14" s="1101">
        <v>-229375492</v>
      </c>
      <c r="RD14" s="1101">
        <v>0</v>
      </c>
      <c r="RE14" s="1101">
        <v>0</v>
      </c>
      <c r="RF14" s="1101">
        <v>0</v>
      </c>
      <c r="RG14" s="1101">
        <v>0</v>
      </c>
      <c r="RH14" s="1101">
        <v>0</v>
      </c>
      <c r="RI14" s="1101">
        <v>0</v>
      </c>
      <c r="RJ14" s="1101">
        <v>0</v>
      </c>
      <c r="RK14" s="1101">
        <v>0</v>
      </c>
      <c r="RL14" s="1101">
        <v>141929619</v>
      </c>
      <c r="RM14" s="1101">
        <v>0</v>
      </c>
      <c r="RN14" s="1101">
        <v>0</v>
      </c>
      <c r="RO14" s="1101">
        <v>0</v>
      </c>
      <c r="RP14" s="1101">
        <v>0</v>
      </c>
      <c r="RQ14" s="1101">
        <v>0</v>
      </c>
      <c r="RR14" s="1101">
        <v>0</v>
      </c>
      <c r="RS14" s="1101">
        <v>0</v>
      </c>
      <c r="RT14" s="1101">
        <v>0</v>
      </c>
      <c r="RU14" s="1101">
        <v>0</v>
      </c>
      <c r="RV14" s="1101">
        <v>0</v>
      </c>
      <c r="RW14" s="1101">
        <v>0</v>
      </c>
      <c r="RX14" s="1101">
        <v>0</v>
      </c>
      <c r="RY14" s="1101">
        <v>0</v>
      </c>
      <c r="RZ14" s="1101">
        <v>0</v>
      </c>
      <c r="SA14" s="1101">
        <v>0</v>
      </c>
      <c r="SB14" s="1101">
        <v>0</v>
      </c>
      <c r="SC14" s="1101">
        <v>0</v>
      </c>
      <c r="SD14" s="1101">
        <v>10493456</v>
      </c>
      <c r="SE14" s="1101">
        <v>368127</v>
      </c>
      <c r="SF14" s="1101">
        <v>36167284</v>
      </c>
      <c r="SG14" s="1101">
        <v>6100660</v>
      </c>
      <c r="SH14" s="1101">
        <v>7561279</v>
      </c>
      <c r="SI14" s="1101">
        <v>0</v>
      </c>
      <c r="SJ14" s="1101">
        <v>0</v>
      </c>
      <c r="SK14" s="1101">
        <v>57478975</v>
      </c>
      <c r="SL14" s="1102">
        <v>0</v>
      </c>
      <c r="SM14" s="1101">
        <v>0</v>
      </c>
      <c r="SN14" s="1101">
        <v>595852139</v>
      </c>
      <c r="SO14" s="1102"/>
      <c r="SP14" s="1103"/>
      <c r="SQ14" s="1104">
        <v>873488945</v>
      </c>
      <c r="SR14" s="1104">
        <v>-193858077</v>
      </c>
      <c r="SS14" s="1105">
        <v>1719797</v>
      </c>
      <c r="ST14" s="1106">
        <v>26255133</v>
      </c>
      <c r="SU14" s="1106">
        <v>180724</v>
      </c>
      <c r="SV14" s="1106">
        <v>10907900</v>
      </c>
      <c r="SW14" s="1106">
        <v>1277930</v>
      </c>
      <c r="SX14" s="1106">
        <v>1735476</v>
      </c>
      <c r="SY14" s="1106">
        <v>461547</v>
      </c>
      <c r="SZ14" s="1106">
        <v>150839</v>
      </c>
      <c r="TA14" s="1106">
        <v>6100661</v>
      </c>
      <c r="TB14" s="1106">
        <v>0</v>
      </c>
      <c r="TC14" s="1105">
        <v>0</v>
      </c>
      <c r="TD14" s="1106">
        <v>4067466</v>
      </c>
      <c r="TE14" s="1106">
        <v>0</v>
      </c>
      <c r="TF14" s="1106">
        <v>0</v>
      </c>
      <c r="TG14" s="1106">
        <v>0</v>
      </c>
      <c r="TH14" s="1106">
        <v>0</v>
      </c>
      <c r="TI14" s="1106">
        <v>0</v>
      </c>
      <c r="TJ14" s="1106">
        <v>0</v>
      </c>
      <c r="TK14" s="1105">
        <v>0</v>
      </c>
      <c r="TL14" s="1106">
        <v>0</v>
      </c>
      <c r="TM14" s="1106">
        <v>0</v>
      </c>
      <c r="TN14" s="1106">
        <v>0</v>
      </c>
      <c r="TO14" s="1106">
        <v>0</v>
      </c>
      <c r="TP14" s="1106">
        <v>0</v>
      </c>
      <c r="TQ14" s="1106">
        <v>0</v>
      </c>
      <c r="TR14" s="1106">
        <v>0</v>
      </c>
      <c r="TS14" s="1105">
        <v>607752075</v>
      </c>
      <c r="TT14" s="1106">
        <v>224855845</v>
      </c>
      <c r="TU14" s="1106">
        <v>18749990</v>
      </c>
      <c r="TV14" s="1106">
        <v>255512124</v>
      </c>
      <c r="TW14" s="1106">
        <v>82192718</v>
      </c>
      <c r="TX14" s="1106">
        <v>87315089</v>
      </c>
      <c r="TY14" s="1106">
        <v>173807317</v>
      </c>
      <c r="TZ14" s="1107">
        <v>141370145</v>
      </c>
      <c r="UA14" s="1107">
        <v>205852290</v>
      </c>
      <c r="UB14" s="1105">
        <v>245444541</v>
      </c>
      <c r="UC14" s="1108">
        <v>319531519</v>
      </c>
      <c r="UD14" s="1108"/>
      <c r="UE14" s="1103"/>
      <c r="UF14" s="1109" t="s">
        <v>2424</v>
      </c>
      <c r="UG14" s="1110" t="s">
        <v>2425</v>
      </c>
      <c r="UH14" s="1110" t="s">
        <v>2426</v>
      </c>
    </row>
    <row r="15" spans="1:554" s="776" customFormat="1" ht="30" customHeight="1" thickBot="1">
      <c r="A15" s="1093">
        <v>140</v>
      </c>
      <c r="B15" s="1094" t="s">
        <v>106</v>
      </c>
      <c r="C15" s="1095" t="s">
        <v>311</v>
      </c>
      <c r="D15" s="1096" t="s">
        <v>2398</v>
      </c>
      <c r="E15" s="1097">
        <v>10298</v>
      </c>
      <c r="F15" s="1098">
        <v>447146420</v>
      </c>
      <c r="G15" s="1096" t="s">
        <v>2399</v>
      </c>
      <c r="H15" s="1100" t="s">
        <v>106</v>
      </c>
      <c r="I15" s="1100"/>
      <c r="J15" s="1100"/>
      <c r="K15" s="1100"/>
      <c r="L15" s="1100"/>
      <c r="M15" s="1101">
        <v>70229913</v>
      </c>
      <c r="N15" s="1101">
        <v>0</v>
      </c>
      <c r="O15" s="1101">
        <v>0</v>
      </c>
      <c r="P15" s="1101">
        <v>0</v>
      </c>
      <c r="Q15" s="1101">
        <v>0</v>
      </c>
      <c r="R15" s="1101">
        <v>0</v>
      </c>
      <c r="S15" s="1101">
        <v>0</v>
      </c>
      <c r="T15" s="1101">
        <v>0</v>
      </c>
      <c r="U15" s="1101">
        <v>0</v>
      </c>
      <c r="V15" s="1101">
        <v>751423</v>
      </c>
      <c r="W15" s="1101">
        <v>10000</v>
      </c>
      <c r="X15" s="1101">
        <v>0</v>
      </c>
      <c r="Y15" s="1101">
        <v>15079</v>
      </c>
      <c r="Z15" s="1101">
        <v>0</v>
      </c>
      <c r="AA15" s="1101">
        <v>0</v>
      </c>
      <c r="AB15" s="1101">
        <v>0</v>
      </c>
      <c r="AC15" s="1101">
        <v>0</v>
      </c>
      <c r="AD15" s="1101">
        <v>0</v>
      </c>
      <c r="AE15" s="1101">
        <v>0</v>
      </c>
      <c r="AF15" s="1101">
        <v>0</v>
      </c>
      <c r="AG15" s="1101">
        <v>0</v>
      </c>
      <c r="AH15" s="1101">
        <v>0</v>
      </c>
      <c r="AI15" s="1101">
        <v>0</v>
      </c>
      <c r="AJ15" s="1101">
        <v>0</v>
      </c>
      <c r="AK15" s="1101">
        <v>0</v>
      </c>
      <c r="AL15" s="1101">
        <v>0</v>
      </c>
      <c r="AM15" s="1101">
        <v>0</v>
      </c>
      <c r="AN15" s="1101">
        <v>0</v>
      </c>
      <c r="AO15" s="1101">
        <v>0</v>
      </c>
      <c r="AP15" s="1101">
        <v>0</v>
      </c>
      <c r="AQ15" s="1101">
        <v>0</v>
      </c>
      <c r="AR15" s="1101">
        <v>0</v>
      </c>
      <c r="AS15" s="1101">
        <v>0</v>
      </c>
      <c r="AT15" s="1101">
        <v>0</v>
      </c>
      <c r="AU15" s="1101">
        <v>0</v>
      </c>
      <c r="AV15" s="1101">
        <v>0</v>
      </c>
      <c r="AW15" s="1101">
        <v>0</v>
      </c>
      <c r="AX15" s="1101">
        <v>0</v>
      </c>
      <c r="AY15" s="1101">
        <v>0</v>
      </c>
      <c r="AZ15" s="1101">
        <v>0</v>
      </c>
      <c r="BA15" s="1101">
        <v>0</v>
      </c>
      <c r="BB15" s="1101">
        <v>0</v>
      </c>
      <c r="BC15" s="1101">
        <v>0</v>
      </c>
      <c r="BD15" s="1101">
        <v>0</v>
      </c>
      <c r="BE15" s="1101">
        <v>0</v>
      </c>
      <c r="BF15" s="1101">
        <v>-573751</v>
      </c>
      <c r="BG15" s="1101">
        <v>-468590</v>
      </c>
      <c r="BH15" s="1101">
        <v>0</v>
      </c>
      <c r="BI15" s="1101">
        <v>0</v>
      </c>
      <c r="BJ15" s="1101">
        <v>0</v>
      </c>
      <c r="BK15" s="1101">
        <v>0</v>
      </c>
      <c r="BL15" s="1101">
        <v>0</v>
      </c>
      <c r="BM15" s="1101">
        <v>0</v>
      </c>
      <c r="BN15" s="1101">
        <v>0</v>
      </c>
      <c r="BO15" s="1101">
        <v>-2345</v>
      </c>
      <c r="BP15" s="1101">
        <v>-73929</v>
      </c>
      <c r="BQ15" s="1101">
        <v>0</v>
      </c>
      <c r="BR15" s="1101">
        <v>0</v>
      </c>
      <c r="BS15" s="1101">
        <v>0</v>
      </c>
      <c r="BT15" s="1101">
        <v>0</v>
      </c>
      <c r="BU15" s="1101">
        <v>0</v>
      </c>
      <c r="BV15" s="1101">
        <v>0</v>
      </c>
      <c r="BW15" s="1101">
        <v>0</v>
      </c>
      <c r="BX15" s="1101">
        <v>0</v>
      </c>
      <c r="BY15" s="1101">
        <v>0</v>
      </c>
      <c r="BZ15" s="1101">
        <v>0</v>
      </c>
      <c r="CA15" s="1101">
        <v>0</v>
      </c>
      <c r="CB15" s="1101">
        <v>0</v>
      </c>
      <c r="CC15" s="1101">
        <v>0</v>
      </c>
      <c r="CD15" s="1101">
        <v>0</v>
      </c>
      <c r="CE15" s="1101">
        <v>0</v>
      </c>
      <c r="CF15" s="1101">
        <v>0</v>
      </c>
      <c r="CG15" s="1101">
        <v>0</v>
      </c>
      <c r="CH15" s="1101">
        <v>0</v>
      </c>
      <c r="CI15" s="1101">
        <v>0</v>
      </c>
      <c r="CJ15" s="1101">
        <v>0</v>
      </c>
      <c r="CK15" s="1101">
        <v>0</v>
      </c>
      <c r="CL15" s="1101">
        <v>0</v>
      </c>
      <c r="CM15" s="1101">
        <v>0</v>
      </c>
      <c r="CN15" s="1101">
        <v>0</v>
      </c>
      <c r="CO15" s="1101">
        <v>0</v>
      </c>
      <c r="CP15" s="1101">
        <v>3110370</v>
      </c>
      <c r="CQ15" s="1101">
        <v>12188270</v>
      </c>
      <c r="CR15" s="1101">
        <v>0</v>
      </c>
      <c r="CS15" s="1101">
        <v>0</v>
      </c>
      <c r="CT15" s="1101">
        <v>0</v>
      </c>
      <c r="CU15" s="1101">
        <v>0</v>
      </c>
      <c r="CV15" s="1101">
        <v>0</v>
      </c>
      <c r="CW15" s="1101">
        <v>0</v>
      </c>
      <c r="CX15" s="1101">
        <v>0</v>
      </c>
      <c r="CY15" s="1101">
        <v>0</v>
      </c>
      <c r="CZ15" s="1101">
        <v>0</v>
      </c>
      <c r="DA15" s="1101">
        <v>0</v>
      </c>
      <c r="DB15" s="1101">
        <v>0</v>
      </c>
      <c r="DC15" s="1101">
        <v>0</v>
      </c>
      <c r="DD15" s="1101">
        <v>0</v>
      </c>
      <c r="DE15" s="1101">
        <v>0</v>
      </c>
      <c r="DF15" s="1101">
        <v>0</v>
      </c>
      <c r="DG15" s="1101">
        <v>0</v>
      </c>
      <c r="DH15" s="1101">
        <v>0</v>
      </c>
      <c r="DI15" s="1101">
        <v>0</v>
      </c>
      <c r="DJ15" s="1101">
        <v>0</v>
      </c>
      <c r="DK15" s="1101">
        <v>0</v>
      </c>
      <c r="DL15" s="1101">
        <v>0</v>
      </c>
      <c r="DM15" s="1101">
        <v>0</v>
      </c>
      <c r="DN15" s="1101">
        <v>0</v>
      </c>
      <c r="DO15" s="1101">
        <v>0</v>
      </c>
      <c r="DP15" s="1101">
        <v>0</v>
      </c>
      <c r="DQ15" s="1101">
        <v>-192094</v>
      </c>
      <c r="DR15" s="1101">
        <v>-917179</v>
      </c>
      <c r="DS15" s="1101">
        <v>0</v>
      </c>
      <c r="DT15" s="1101">
        <v>0</v>
      </c>
      <c r="DU15" s="1101">
        <v>0</v>
      </c>
      <c r="DV15" s="1101">
        <v>0</v>
      </c>
      <c r="DW15" s="1101">
        <v>0</v>
      </c>
      <c r="DX15" s="1101">
        <v>0</v>
      </c>
      <c r="DY15" s="1101">
        <v>0</v>
      </c>
      <c r="DZ15" s="1101">
        <v>0</v>
      </c>
      <c r="EA15" s="1101">
        <v>0</v>
      </c>
      <c r="EB15" s="1101">
        <v>0</v>
      </c>
      <c r="EC15" s="1101">
        <v>0</v>
      </c>
      <c r="ED15" s="1101">
        <v>0</v>
      </c>
      <c r="EE15" s="1101">
        <v>0</v>
      </c>
      <c r="EF15" s="1101">
        <v>0</v>
      </c>
      <c r="EG15" s="1101">
        <v>0</v>
      </c>
      <c r="EH15" s="1101">
        <v>0</v>
      </c>
      <c r="EI15" s="1101">
        <v>-341183</v>
      </c>
      <c r="EJ15" s="1101">
        <v>-1172514</v>
      </c>
      <c r="EK15" s="1101">
        <v>0</v>
      </c>
      <c r="EL15" s="1101">
        <v>0</v>
      </c>
      <c r="EM15" s="1101">
        <v>0</v>
      </c>
      <c r="EN15" s="1101">
        <v>0</v>
      </c>
      <c r="EO15" s="1101">
        <v>0</v>
      </c>
      <c r="EP15" s="1101">
        <v>0</v>
      </c>
      <c r="EQ15" s="1101">
        <v>0</v>
      </c>
      <c r="ER15" s="1101">
        <v>0</v>
      </c>
      <c r="ES15" s="1101">
        <v>-4500</v>
      </c>
      <c r="ET15" s="1101">
        <v>0</v>
      </c>
      <c r="EU15" s="1101">
        <v>0</v>
      </c>
      <c r="EV15" s="1101">
        <v>0</v>
      </c>
      <c r="EW15" s="1101">
        <v>0</v>
      </c>
      <c r="EX15" s="1101">
        <v>0</v>
      </c>
      <c r="EY15" s="1101">
        <v>0</v>
      </c>
      <c r="EZ15" s="1101">
        <v>0</v>
      </c>
      <c r="FA15" s="1101">
        <v>-32</v>
      </c>
      <c r="FB15" s="1101">
        <v>-5879</v>
      </c>
      <c r="FC15" s="1101">
        <v>0</v>
      </c>
      <c r="FD15" s="1101">
        <v>0</v>
      </c>
      <c r="FE15" s="1101">
        <v>0</v>
      </c>
      <c r="FF15" s="1101">
        <v>0</v>
      </c>
      <c r="FG15" s="1101">
        <v>0</v>
      </c>
      <c r="FH15" s="1101">
        <v>0</v>
      </c>
      <c r="FI15" s="1101">
        <v>0</v>
      </c>
      <c r="FJ15" s="1101">
        <v>0</v>
      </c>
      <c r="FK15" s="1101">
        <v>0</v>
      </c>
      <c r="FL15" s="1101">
        <v>0</v>
      </c>
      <c r="FM15" s="1101">
        <v>0</v>
      </c>
      <c r="FN15" s="1101">
        <v>0</v>
      </c>
      <c r="FO15" s="1101">
        <v>0</v>
      </c>
      <c r="FP15" s="1101">
        <v>0</v>
      </c>
      <c r="FQ15" s="1101">
        <v>0</v>
      </c>
      <c r="FR15" s="1101">
        <v>0</v>
      </c>
      <c r="FS15" s="1101">
        <v>0</v>
      </c>
      <c r="FT15" s="1101">
        <v>0</v>
      </c>
      <c r="FU15" s="1101">
        <v>0</v>
      </c>
      <c r="FV15" s="1101">
        <v>0</v>
      </c>
      <c r="FW15" s="1101">
        <v>0</v>
      </c>
      <c r="FX15" s="1101">
        <v>0</v>
      </c>
      <c r="FY15" s="1101">
        <v>0</v>
      </c>
      <c r="FZ15" s="1101">
        <v>0</v>
      </c>
      <c r="GA15" s="1101">
        <v>0</v>
      </c>
      <c r="GB15" s="1101">
        <v>82860</v>
      </c>
      <c r="GC15" s="1101">
        <v>10316601</v>
      </c>
      <c r="GD15" s="1101">
        <v>73125</v>
      </c>
      <c r="GE15" s="1101">
        <v>0</v>
      </c>
      <c r="GF15" s="1101">
        <v>0</v>
      </c>
      <c r="GG15" s="1101">
        <v>0</v>
      </c>
      <c r="GH15" s="1101">
        <v>0</v>
      </c>
      <c r="GI15" s="1101">
        <v>0</v>
      </c>
      <c r="GJ15" s="1101">
        <v>0</v>
      </c>
      <c r="GK15" s="1101">
        <v>0</v>
      </c>
      <c r="GL15" s="1101">
        <v>0</v>
      </c>
      <c r="GM15" s="1101">
        <v>0</v>
      </c>
      <c r="GN15" s="1101">
        <v>0</v>
      </c>
      <c r="GO15" s="1101">
        <v>0</v>
      </c>
      <c r="GP15" s="1101">
        <v>0</v>
      </c>
      <c r="GQ15" s="1101">
        <v>0</v>
      </c>
      <c r="GR15" s="1101">
        <v>0</v>
      </c>
      <c r="GS15" s="1101">
        <v>0</v>
      </c>
      <c r="GT15" s="1101">
        <v>0</v>
      </c>
      <c r="GU15" s="1101">
        <v>0</v>
      </c>
      <c r="GV15" s="1101">
        <v>0</v>
      </c>
      <c r="GW15" s="1101">
        <v>0</v>
      </c>
      <c r="GX15" s="1101">
        <v>0</v>
      </c>
      <c r="GY15" s="1101">
        <v>0</v>
      </c>
      <c r="GZ15" s="1101">
        <v>0</v>
      </c>
      <c r="HA15" s="1101">
        <v>0</v>
      </c>
      <c r="HB15" s="1101">
        <v>0</v>
      </c>
      <c r="HC15" s="1101">
        <v>-4287</v>
      </c>
      <c r="HD15" s="1101">
        <v>-574699</v>
      </c>
      <c r="HE15" s="1101">
        <v>0</v>
      </c>
      <c r="HF15" s="1101">
        <v>0</v>
      </c>
      <c r="HG15" s="1101">
        <v>0</v>
      </c>
      <c r="HH15" s="1101">
        <v>0</v>
      </c>
      <c r="HI15" s="1101">
        <v>0</v>
      </c>
      <c r="HJ15" s="1101">
        <v>0</v>
      </c>
      <c r="HK15" s="1101">
        <v>0</v>
      </c>
      <c r="HL15" s="1101">
        <v>0</v>
      </c>
      <c r="HM15" s="1101">
        <v>0</v>
      </c>
      <c r="HN15" s="1101">
        <v>0</v>
      </c>
      <c r="HO15" s="1101">
        <v>0</v>
      </c>
      <c r="HP15" s="1101">
        <v>0</v>
      </c>
      <c r="HQ15" s="1101">
        <v>0</v>
      </c>
      <c r="HR15" s="1101">
        <v>0</v>
      </c>
      <c r="HS15" s="1101">
        <v>0</v>
      </c>
      <c r="HT15" s="1101">
        <v>0</v>
      </c>
      <c r="HU15" s="1101">
        <v>-9919</v>
      </c>
      <c r="HV15" s="1101">
        <v>-1194094</v>
      </c>
      <c r="HW15" s="1101">
        <v>-12537</v>
      </c>
      <c r="HX15" s="1101">
        <v>0</v>
      </c>
      <c r="HY15" s="1101">
        <v>0</v>
      </c>
      <c r="HZ15" s="1101">
        <v>0</v>
      </c>
      <c r="IA15" s="1101">
        <v>0</v>
      </c>
      <c r="IB15" s="1101">
        <v>0</v>
      </c>
      <c r="IC15" s="1101">
        <v>0</v>
      </c>
      <c r="ID15" s="1101">
        <v>0</v>
      </c>
      <c r="IE15" s="1101">
        <v>594615</v>
      </c>
      <c r="IF15" s="1101">
        <v>0</v>
      </c>
      <c r="IG15" s="1101">
        <v>9651252</v>
      </c>
      <c r="IH15" s="1101">
        <v>0</v>
      </c>
      <c r="II15" s="1101">
        <v>0</v>
      </c>
      <c r="IJ15" s="1101">
        <v>0</v>
      </c>
      <c r="IK15" s="1101">
        <v>0</v>
      </c>
      <c r="IL15" s="1101">
        <v>0</v>
      </c>
      <c r="IM15" s="1101">
        <v>132301</v>
      </c>
      <c r="IN15" s="1101">
        <v>3736482</v>
      </c>
      <c r="IO15" s="1101">
        <v>0</v>
      </c>
      <c r="IP15" s="1101">
        <v>345684</v>
      </c>
      <c r="IQ15" s="1101">
        <v>532</v>
      </c>
      <c r="IR15" s="1101">
        <v>968</v>
      </c>
      <c r="IS15" s="1101">
        <v>0</v>
      </c>
      <c r="IT15" s="1101">
        <v>0</v>
      </c>
      <c r="IU15" s="1101">
        <v>0</v>
      </c>
      <c r="IV15" s="1101">
        <v>0</v>
      </c>
      <c r="IW15" s="1101">
        <v>0</v>
      </c>
      <c r="IX15" s="1101">
        <v>0</v>
      </c>
      <c r="IY15" s="1101">
        <v>0</v>
      </c>
      <c r="IZ15" s="1101">
        <v>0</v>
      </c>
      <c r="JA15" s="1101">
        <v>0</v>
      </c>
      <c r="JB15" s="1101">
        <v>0</v>
      </c>
      <c r="JC15" s="1101">
        <v>0</v>
      </c>
      <c r="JD15" s="1101">
        <v>0</v>
      </c>
      <c r="JE15" s="1101">
        <v>0</v>
      </c>
      <c r="JF15" s="1101">
        <v>578824</v>
      </c>
      <c r="JG15" s="1101">
        <v>0</v>
      </c>
      <c r="JH15" s="1101">
        <v>2770573</v>
      </c>
      <c r="JI15" s="1101">
        <v>0</v>
      </c>
      <c r="JJ15" s="1101">
        <v>0</v>
      </c>
      <c r="JK15" s="1101">
        <v>0</v>
      </c>
      <c r="JL15" s="1101">
        <v>0</v>
      </c>
      <c r="JM15" s="1101">
        <v>0</v>
      </c>
      <c r="JN15" s="1101">
        <v>8</v>
      </c>
      <c r="JO15" s="1101">
        <v>2884987</v>
      </c>
      <c r="JP15" s="1101">
        <v>0</v>
      </c>
      <c r="JQ15" s="1101">
        <v>-361674</v>
      </c>
      <c r="JR15" s="1101">
        <v>0</v>
      </c>
      <c r="JS15" s="1101">
        <v>0</v>
      </c>
      <c r="JT15" s="1101">
        <v>0</v>
      </c>
      <c r="JU15" s="1101">
        <v>0</v>
      </c>
      <c r="JV15" s="1101">
        <v>0</v>
      </c>
      <c r="JW15" s="1101">
        <v>0</v>
      </c>
      <c r="JX15" s="1101">
        <v>0</v>
      </c>
      <c r="JY15" s="1101">
        <v>4734974</v>
      </c>
      <c r="JZ15" s="1101">
        <v>0</v>
      </c>
      <c r="KA15" s="1101">
        <v>0</v>
      </c>
      <c r="KB15" s="1101">
        <v>0</v>
      </c>
      <c r="KC15" s="1101">
        <v>0</v>
      </c>
      <c r="KD15" s="1101">
        <v>0</v>
      </c>
      <c r="KE15" s="1101">
        <v>0</v>
      </c>
      <c r="KF15" s="1101">
        <v>50778</v>
      </c>
      <c r="KG15" s="1101">
        <v>2160643</v>
      </c>
      <c r="KH15" s="1101">
        <v>2276867</v>
      </c>
      <c r="KI15" s="1101">
        <v>-1370900</v>
      </c>
      <c r="KJ15" s="1101">
        <v>6397</v>
      </c>
      <c r="KK15" s="1101">
        <v>0</v>
      </c>
      <c r="KL15" s="1101">
        <v>0</v>
      </c>
      <c r="KM15" s="1101">
        <v>0</v>
      </c>
      <c r="KN15" s="1101">
        <v>-1567</v>
      </c>
      <c r="KO15" s="1101">
        <v>12159926</v>
      </c>
      <c r="KP15" s="1101">
        <v>5544243</v>
      </c>
      <c r="KQ15" s="1101">
        <v>0</v>
      </c>
      <c r="KR15" s="1101">
        <v>2514621</v>
      </c>
      <c r="KS15" s="1101">
        <v>0</v>
      </c>
      <c r="KT15" s="1101">
        <v>0</v>
      </c>
      <c r="KU15" s="1101">
        <v>0</v>
      </c>
      <c r="KV15" s="1101">
        <v>0</v>
      </c>
      <c r="KW15" s="1101">
        <v>0</v>
      </c>
      <c r="KX15" s="1101">
        <v>887747</v>
      </c>
      <c r="KY15" s="1101">
        <v>1846647</v>
      </c>
      <c r="KZ15" s="1101">
        <v>0</v>
      </c>
      <c r="LA15" s="1101">
        <v>3983504</v>
      </c>
      <c r="LB15" s="1101">
        <v>0</v>
      </c>
      <c r="LC15" s="1101">
        <v>0</v>
      </c>
      <c r="LD15" s="1101">
        <v>0</v>
      </c>
      <c r="LE15" s="1101">
        <v>0</v>
      </c>
      <c r="LF15" s="1101">
        <v>0</v>
      </c>
      <c r="LG15" s="1101">
        <v>0</v>
      </c>
      <c r="LH15" s="1101">
        <v>911634</v>
      </c>
      <c r="LI15" s="1101">
        <v>0</v>
      </c>
      <c r="LJ15" s="1101">
        <v>2356</v>
      </c>
      <c r="LK15" s="1101">
        <v>0</v>
      </c>
      <c r="LL15" s="1101">
        <v>0</v>
      </c>
      <c r="LM15" s="1101">
        <v>0</v>
      </c>
      <c r="LN15" s="1101">
        <v>0</v>
      </c>
      <c r="LO15" s="1101">
        <v>0</v>
      </c>
      <c r="LP15" s="1101">
        <v>2313531</v>
      </c>
      <c r="LQ15" s="1101">
        <v>4021523</v>
      </c>
      <c r="LR15" s="1101">
        <v>0</v>
      </c>
      <c r="LS15" s="1101">
        <v>34523</v>
      </c>
      <c r="LT15" s="1101">
        <v>0</v>
      </c>
      <c r="LU15" s="1101">
        <v>0</v>
      </c>
      <c r="LV15" s="1101">
        <v>0</v>
      </c>
      <c r="LW15" s="1101">
        <v>0</v>
      </c>
      <c r="LX15" s="1101">
        <v>0</v>
      </c>
      <c r="LY15" s="1101">
        <v>1452559</v>
      </c>
      <c r="LZ15" s="1101">
        <v>1720329</v>
      </c>
      <c r="MA15" s="1101">
        <v>0</v>
      </c>
      <c r="MB15" s="1101">
        <v>5396</v>
      </c>
      <c r="MC15" s="1101">
        <v>13056</v>
      </c>
      <c r="MD15" s="1101">
        <v>0</v>
      </c>
      <c r="ME15" s="1101">
        <v>0</v>
      </c>
      <c r="MF15" s="1101">
        <v>0</v>
      </c>
      <c r="MG15" s="1101">
        <v>0</v>
      </c>
      <c r="MH15" s="1101">
        <v>2187676</v>
      </c>
      <c r="MI15" s="1101">
        <v>3712917</v>
      </c>
      <c r="MJ15" s="1101">
        <v>0</v>
      </c>
      <c r="MK15" s="1101">
        <v>840167</v>
      </c>
      <c r="ML15" s="1101">
        <v>0</v>
      </c>
      <c r="MM15" s="1101">
        <v>0</v>
      </c>
      <c r="MN15" s="1101">
        <v>0</v>
      </c>
      <c r="MO15" s="1101">
        <v>0</v>
      </c>
      <c r="MP15" s="1101">
        <v>0</v>
      </c>
      <c r="MQ15" s="1101">
        <v>271</v>
      </c>
      <c r="MR15" s="1101">
        <v>6293737</v>
      </c>
      <c r="MS15" s="1101">
        <v>0</v>
      </c>
      <c r="MT15" s="1101">
        <v>9087</v>
      </c>
      <c r="MU15" s="1101">
        <v>0</v>
      </c>
      <c r="MV15" s="1101">
        <v>0</v>
      </c>
      <c r="MW15" s="1101">
        <v>998462</v>
      </c>
      <c r="MX15" s="1101">
        <v>0</v>
      </c>
      <c r="MY15" s="1101">
        <v>0</v>
      </c>
      <c r="MZ15" s="1101">
        <v>305035</v>
      </c>
      <c r="NA15" s="1101">
        <v>860628</v>
      </c>
      <c r="NB15" s="1101">
        <v>0</v>
      </c>
      <c r="NC15" s="1101">
        <v>1728446</v>
      </c>
      <c r="ND15" s="1101">
        <v>0</v>
      </c>
      <c r="NE15" s="1101">
        <v>0</v>
      </c>
      <c r="NF15" s="1101">
        <v>0</v>
      </c>
      <c r="NG15" s="1101">
        <v>0</v>
      </c>
      <c r="NH15" s="1101">
        <v>0</v>
      </c>
      <c r="NI15" s="1101">
        <v>0</v>
      </c>
      <c r="NJ15" s="1101">
        <v>0</v>
      </c>
      <c r="NK15" s="1101">
        <v>5110510</v>
      </c>
      <c r="NL15" s="1101">
        <v>0</v>
      </c>
      <c r="NM15" s="1101">
        <v>0</v>
      </c>
      <c r="NN15" s="1101">
        <v>0</v>
      </c>
      <c r="NO15" s="1101">
        <v>0</v>
      </c>
      <c r="NP15" s="1101">
        <v>0</v>
      </c>
      <c r="NQ15" s="1101">
        <v>0</v>
      </c>
      <c r="NR15" s="1101">
        <v>193109</v>
      </c>
      <c r="NS15" s="1101">
        <v>110625</v>
      </c>
      <c r="NT15" s="1101">
        <v>0</v>
      </c>
      <c r="NU15" s="1101">
        <v>103311</v>
      </c>
      <c r="NV15" s="1101">
        <v>0</v>
      </c>
      <c r="NW15" s="1101">
        <v>0</v>
      </c>
      <c r="NX15" s="1101">
        <v>0</v>
      </c>
      <c r="NY15" s="1101">
        <v>0</v>
      </c>
      <c r="NZ15" s="1101">
        <v>0</v>
      </c>
      <c r="OA15" s="1101">
        <v>8826</v>
      </c>
      <c r="OB15" s="1101">
        <v>239396</v>
      </c>
      <c r="OC15" s="1101">
        <v>0</v>
      </c>
      <c r="OD15" s="1101">
        <v>0</v>
      </c>
      <c r="OE15" s="1101">
        <v>53137</v>
      </c>
      <c r="OF15" s="1101">
        <v>0</v>
      </c>
      <c r="OG15" s="1101">
        <v>0</v>
      </c>
      <c r="OH15" s="1101">
        <v>0</v>
      </c>
      <c r="OI15" s="1101">
        <v>2602</v>
      </c>
      <c r="OJ15" s="1101">
        <v>0</v>
      </c>
      <c r="OK15" s="1101">
        <v>0</v>
      </c>
      <c r="OL15" s="1101">
        <v>0</v>
      </c>
      <c r="OM15" s="1101">
        <v>0</v>
      </c>
      <c r="ON15" s="1101">
        <v>0</v>
      </c>
      <c r="OO15" s="1101">
        <v>0</v>
      </c>
      <c r="OP15" s="1101">
        <v>-2390460</v>
      </c>
      <c r="OQ15" s="1101">
        <v>0</v>
      </c>
      <c r="OR15" s="1101">
        <v>0</v>
      </c>
      <c r="OS15" s="1101">
        <v>-47472704</v>
      </c>
      <c r="OT15" s="1101">
        <v>4143238</v>
      </c>
      <c r="OU15" s="1101">
        <v>422806</v>
      </c>
      <c r="OV15" s="1101">
        <v>-1694221</v>
      </c>
      <c r="OW15" s="1101">
        <v>348891</v>
      </c>
      <c r="OX15" s="1101">
        <v>138797</v>
      </c>
      <c r="OY15" s="1101">
        <v>47021274</v>
      </c>
      <c r="OZ15" s="1101">
        <v>0</v>
      </c>
      <c r="PA15" s="1101">
        <v>0</v>
      </c>
      <c r="PB15" s="1101">
        <v>0</v>
      </c>
      <c r="PC15" s="1101">
        <v>0</v>
      </c>
      <c r="PD15" s="1101">
        <v>0</v>
      </c>
      <c r="PE15" s="1101">
        <v>0</v>
      </c>
      <c r="PF15" s="1101">
        <v>0</v>
      </c>
      <c r="PG15" s="1101">
        <v>0</v>
      </c>
      <c r="PH15" s="1101">
        <v>0</v>
      </c>
      <c r="PI15" s="1101">
        <v>0</v>
      </c>
      <c r="PJ15" s="1101">
        <v>0</v>
      </c>
      <c r="PK15" s="1101">
        <v>-8264142</v>
      </c>
      <c r="PL15" s="1101">
        <v>-742480</v>
      </c>
      <c r="PM15" s="1101">
        <v>-1687212</v>
      </c>
      <c r="PN15" s="1101">
        <v>0</v>
      </c>
      <c r="PO15" s="1101">
        <v>0</v>
      </c>
      <c r="PP15" s="1101">
        <v>0</v>
      </c>
      <c r="PQ15" s="1101">
        <v>0</v>
      </c>
      <c r="PR15" s="1101">
        <v>0</v>
      </c>
      <c r="PS15" s="1101">
        <v>0</v>
      </c>
      <c r="PT15" s="1101">
        <v>0</v>
      </c>
      <c r="PU15" s="1101">
        <v>7510918</v>
      </c>
      <c r="PV15" s="1101">
        <v>0</v>
      </c>
      <c r="PW15" s="1101">
        <v>0</v>
      </c>
      <c r="PX15" s="1101">
        <v>0</v>
      </c>
      <c r="PY15" s="1101">
        <v>706195</v>
      </c>
      <c r="PZ15" s="1101">
        <v>0</v>
      </c>
      <c r="QA15" s="1101">
        <v>0</v>
      </c>
      <c r="QB15" s="1101">
        <v>0</v>
      </c>
      <c r="QC15" s="1101">
        <v>0</v>
      </c>
      <c r="QD15" s="1101">
        <v>0</v>
      </c>
      <c r="QE15" s="1101">
        <v>0</v>
      </c>
      <c r="QF15" s="1101">
        <v>0</v>
      </c>
      <c r="QG15" s="1101">
        <v>0</v>
      </c>
      <c r="QH15" s="1101">
        <v>1397</v>
      </c>
      <c r="QI15" s="1101">
        <v>0</v>
      </c>
      <c r="QJ15" s="1101">
        <v>0</v>
      </c>
      <c r="QK15" s="1101">
        <v>0</v>
      </c>
      <c r="QL15" s="1101">
        <v>0</v>
      </c>
      <c r="QM15" s="1101">
        <v>0</v>
      </c>
      <c r="QN15" s="1101">
        <v>0</v>
      </c>
      <c r="QO15" s="1101">
        <v>0</v>
      </c>
      <c r="QP15" s="1101">
        <v>0</v>
      </c>
      <c r="QQ15" s="1101">
        <v>0</v>
      </c>
      <c r="QR15" s="1101">
        <v>0</v>
      </c>
      <c r="QS15" s="1101">
        <v>0</v>
      </c>
      <c r="QT15" s="1101">
        <v>0</v>
      </c>
      <c r="QU15" s="1101">
        <v>0</v>
      </c>
      <c r="QV15" s="1101">
        <v>0</v>
      </c>
      <c r="QW15" s="1101">
        <v>0</v>
      </c>
      <c r="QX15" s="1101">
        <v>0</v>
      </c>
      <c r="QY15" s="1101">
        <v>0</v>
      </c>
      <c r="QZ15" s="1101">
        <v>0</v>
      </c>
      <c r="RA15" s="1101">
        <v>0</v>
      </c>
      <c r="RB15" s="1101">
        <v>0</v>
      </c>
      <c r="RC15" s="1101">
        <v>-11223911</v>
      </c>
      <c r="RD15" s="1101">
        <v>0</v>
      </c>
      <c r="RE15" s="1101">
        <v>0</v>
      </c>
      <c r="RF15" s="1101">
        <v>0</v>
      </c>
      <c r="RG15" s="1101">
        <v>0</v>
      </c>
      <c r="RH15" s="1101">
        <v>0</v>
      </c>
      <c r="RI15" s="1101">
        <v>0</v>
      </c>
      <c r="RJ15" s="1101">
        <v>0</v>
      </c>
      <c r="RK15" s="1101">
        <v>0</v>
      </c>
      <c r="RL15" s="1101">
        <v>43996874</v>
      </c>
      <c r="RM15" s="1101">
        <v>0</v>
      </c>
      <c r="RN15" s="1101">
        <v>0</v>
      </c>
      <c r="RO15" s="1101">
        <v>0</v>
      </c>
      <c r="RP15" s="1101">
        <v>0</v>
      </c>
      <c r="RQ15" s="1101">
        <v>0</v>
      </c>
      <c r="RR15" s="1101">
        <v>0</v>
      </c>
      <c r="RS15" s="1101">
        <v>0</v>
      </c>
      <c r="RT15" s="1101">
        <v>0</v>
      </c>
      <c r="RU15" s="1101">
        <v>0</v>
      </c>
      <c r="RV15" s="1101">
        <v>0</v>
      </c>
      <c r="RW15" s="1101">
        <v>0</v>
      </c>
      <c r="RX15" s="1101">
        <v>0</v>
      </c>
      <c r="RY15" s="1101">
        <v>0</v>
      </c>
      <c r="RZ15" s="1101">
        <v>0</v>
      </c>
      <c r="SA15" s="1101">
        <v>0</v>
      </c>
      <c r="SB15" s="1101">
        <v>0</v>
      </c>
      <c r="SC15" s="1101">
        <v>0</v>
      </c>
      <c r="SD15" s="1101">
        <v>98252</v>
      </c>
      <c r="SE15" s="1101">
        <v>193109</v>
      </c>
      <c r="SF15" s="1101">
        <v>110625</v>
      </c>
      <c r="SG15" s="1101">
        <v>0</v>
      </c>
      <c r="SH15" s="1101">
        <v>103311</v>
      </c>
      <c r="SI15" s="1101">
        <v>0</v>
      </c>
      <c r="SJ15" s="1101">
        <v>0</v>
      </c>
      <c r="SK15" s="1101">
        <v>2390460</v>
      </c>
      <c r="SL15" s="1102">
        <v>0</v>
      </c>
      <c r="SM15" s="1101">
        <v>0</v>
      </c>
      <c r="SN15" s="1101">
        <v>94092359</v>
      </c>
      <c r="SO15" s="1102"/>
      <c r="SP15" s="1103"/>
      <c r="SQ15" s="1104">
        <v>25771226</v>
      </c>
      <c r="SR15" s="1104">
        <v>-4418506</v>
      </c>
      <c r="SS15" s="1105">
        <v>121486</v>
      </c>
      <c r="ST15" s="1106">
        <v>287882</v>
      </c>
      <c r="SU15" s="1106">
        <v>4233</v>
      </c>
      <c r="SV15" s="1106">
        <v>3788</v>
      </c>
      <c r="SW15" s="1106">
        <v>6926</v>
      </c>
      <c r="SX15" s="1106">
        <v>69104</v>
      </c>
      <c r="SY15" s="1106">
        <v>-86374</v>
      </c>
      <c r="SZ15" s="1106">
        <v>0</v>
      </c>
      <c r="TA15" s="1106">
        <v>0</v>
      </c>
      <c r="TB15" s="1106">
        <v>0</v>
      </c>
      <c r="TC15" s="1105">
        <v>0</v>
      </c>
      <c r="TD15" s="1106">
        <v>100818</v>
      </c>
      <c r="TE15" s="1106">
        <v>0</v>
      </c>
      <c r="TF15" s="1106">
        <v>0</v>
      </c>
      <c r="TG15" s="1106">
        <v>0</v>
      </c>
      <c r="TH15" s="1106">
        <v>0</v>
      </c>
      <c r="TI15" s="1106">
        <v>0</v>
      </c>
      <c r="TJ15" s="1106">
        <v>0</v>
      </c>
      <c r="TK15" s="1105">
        <v>0</v>
      </c>
      <c r="TL15" s="1106">
        <v>0</v>
      </c>
      <c r="TM15" s="1106">
        <v>0</v>
      </c>
      <c r="TN15" s="1106">
        <v>0</v>
      </c>
      <c r="TO15" s="1106">
        <v>0</v>
      </c>
      <c r="TP15" s="1106">
        <v>0</v>
      </c>
      <c r="TQ15" s="1106">
        <v>0</v>
      </c>
      <c r="TR15" s="1106">
        <v>0</v>
      </c>
      <c r="TS15" s="1105">
        <v>20218790</v>
      </c>
      <c r="TT15" s="1106">
        <v>6717898</v>
      </c>
      <c r="TU15" s="1106">
        <v>913990</v>
      </c>
      <c r="TV15" s="1106">
        <v>6369577</v>
      </c>
      <c r="TW15" s="1106">
        <v>3191340</v>
      </c>
      <c r="TX15" s="1106">
        <v>6740760</v>
      </c>
      <c r="TY15" s="1106">
        <v>7301557</v>
      </c>
      <c r="TZ15" s="1107">
        <v>2894109</v>
      </c>
      <c r="UA15" s="1107">
        <v>5110510</v>
      </c>
      <c r="UB15" s="1105">
        <v>50205129</v>
      </c>
      <c r="UC15" s="1108">
        <v>8217113</v>
      </c>
      <c r="UD15" s="1108"/>
      <c r="UE15" s="1103"/>
      <c r="UF15" s="1109" t="s">
        <v>2424</v>
      </c>
      <c r="UG15" s="1110" t="s">
        <v>2425</v>
      </c>
      <c r="UH15" s="1110" t="s">
        <v>2426</v>
      </c>
    </row>
    <row r="16" spans="1:554" s="776" customFormat="1" ht="15.75" thickBot="1">
      <c r="A16" s="1093">
        <v>150</v>
      </c>
      <c r="B16" s="1094" t="s">
        <v>107</v>
      </c>
      <c r="C16" s="1095" t="s">
        <v>312</v>
      </c>
      <c r="D16" s="1096" t="s">
        <v>2398</v>
      </c>
      <c r="E16" s="1097">
        <v>3630</v>
      </c>
      <c r="F16" s="1098">
        <v>1083971525</v>
      </c>
      <c r="G16" s="1096" t="s">
        <v>2399</v>
      </c>
      <c r="H16" s="1100" t="s">
        <v>107</v>
      </c>
      <c r="I16" s="1100"/>
      <c r="J16" s="1100"/>
      <c r="K16" s="1100"/>
      <c r="L16" s="1100"/>
      <c r="M16" s="1101">
        <v>55711045</v>
      </c>
      <c r="N16" s="1101">
        <v>0</v>
      </c>
      <c r="O16" s="1101">
        <v>0</v>
      </c>
      <c r="P16" s="1101">
        <v>0</v>
      </c>
      <c r="Q16" s="1101">
        <v>0</v>
      </c>
      <c r="R16" s="1101">
        <v>0</v>
      </c>
      <c r="S16" s="1101">
        <v>0</v>
      </c>
      <c r="T16" s="1101">
        <v>0</v>
      </c>
      <c r="U16" s="1101">
        <v>0</v>
      </c>
      <c r="V16" s="1101">
        <v>62390</v>
      </c>
      <c r="W16" s="1101">
        <v>83000</v>
      </c>
      <c r="X16" s="1101">
        <v>0</v>
      </c>
      <c r="Y16" s="1101">
        <v>12912804</v>
      </c>
      <c r="Z16" s="1101">
        <v>0</v>
      </c>
      <c r="AA16" s="1101">
        <v>0</v>
      </c>
      <c r="AB16" s="1101">
        <v>0</v>
      </c>
      <c r="AC16" s="1101">
        <v>0</v>
      </c>
      <c r="AD16" s="1101">
        <v>0</v>
      </c>
      <c r="AE16" s="1101">
        <v>0</v>
      </c>
      <c r="AF16" s="1101">
        <v>0</v>
      </c>
      <c r="AG16" s="1101">
        <v>0</v>
      </c>
      <c r="AH16" s="1101">
        <v>0</v>
      </c>
      <c r="AI16" s="1101">
        <v>0</v>
      </c>
      <c r="AJ16" s="1101">
        <v>0</v>
      </c>
      <c r="AK16" s="1101">
        <v>0</v>
      </c>
      <c r="AL16" s="1101">
        <v>0</v>
      </c>
      <c r="AM16" s="1101">
        <v>0</v>
      </c>
      <c r="AN16" s="1101">
        <v>0</v>
      </c>
      <c r="AO16" s="1101">
        <v>0</v>
      </c>
      <c r="AP16" s="1101">
        <v>0</v>
      </c>
      <c r="AQ16" s="1101">
        <v>0</v>
      </c>
      <c r="AR16" s="1101">
        <v>0</v>
      </c>
      <c r="AS16" s="1101">
        <v>0</v>
      </c>
      <c r="AT16" s="1101">
        <v>0</v>
      </c>
      <c r="AU16" s="1101">
        <v>0</v>
      </c>
      <c r="AV16" s="1101">
        <v>0</v>
      </c>
      <c r="AW16" s="1101">
        <v>26604505</v>
      </c>
      <c r="AX16" s="1101">
        <v>0</v>
      </c>
      <c r="AY16" s="1101">
        <v>0</v>
      </c>
      <c r="AZ16" s="1101">
        <v>0</v>
      </c>
      <c r="BA16" s="1101">
        <v>0</v>
      </c>
      <c r="BB16" s="1101">
        <v>0</v>
      </c>
      <c r="BC16" s="1101">
        <v>0</v>
      </c>
      <c r="BD16" s="1101">
        <v>0</v>
      </c>
      <c r="BE16" s="1101">
        <v>0</v>
      </c>
      <c r="BF16" s="1101">
        <v>-6328824</v>
      </c>
      <c r="BG16" s="1101">
        <v>0</v>
      </c>
      <c r="BH16" s="1101">
        <v>0</v>
      </c>
      <c r="BI16" s="1101">
        <v>0</v>
      </c>
      <c r="BJ16" s="1101">
        <v>0</v>
      </c>
      <c r="BK16" s="1101">
        <v>0</v>
      </c>
      <c r="BL16" s="1101">
        <v>0</v>
      </c>
      <c r="BM16" s="1101">
        <v>0</v>
      </c>
      <c r="BN16" s="1101">
        <v>0</v>
      </c>
      <c r="BO16" s="1101">
        <v>0</v>
      </c>
      <c r="BP16" s="1101">
        <v>0</v>
      </c>
      <c r="BQ16" s="1101">
        <v>0</v>
      </c>
      <c r="BR16" s="1101">
        <v>0</v>
      </c>
      <c r="BS16" s="1101">
        <v>0</v>
      </c>
      <c r="BT16" s="1101">
        <v>0</v>
      </c>
      <c r="BU16" s="1101">
        <v>0</v>
      </c>
      <c r="BV16" s="1101">
        <v>0</v>
      </c>
      <c r="BW16" s="1101">
        <v>0</v>
      </c>
      <c r="BX16" s="1101">
        <v>0</v>
      </c>
      <c r="BY16" s="1101">
        <v>0</v>
      </c>
      <c r="BZ16" s="1101">
        <v>0</v>
      </c>
      <c r="CA16" s="1101">
        <v>0</v>
      </c>
      <c r="CB16" s="1101">
        <v>0</v>
      </c>
      <c r="CC16" s="1101">
        <v>0</v>
      </c>
      <c r="CD16" s="1101">
        <v>0</v>
      </c>
      <c r="CE16" s="1101">
        <v>0</v>
      </c>
      <c r="CF16" s="1101">
        <v>0</v>
      </c>
      <c r="CG16" s="1101">
        <v>0</v>
      </c>
      <c r="CH16" s="1101">
        <v>0</v>
      </c>
      <c r="CI16" s="1101">
        <v>0</v>
      </c>
      <c r="CJ16" s="1101">
        <v>0</v>
      </c>
      <c r="CK16" s="1101">
        <v>0</v>
      </c>
      <c r="CL16" s="1101">
        <v>0</v>
      </c>
      <c r="CM16" s="1101">
        <v>0</v>
      </c>
      <c r="CN16" s="1101">
        <v>0</v>
      </c>
      <c r="CO16" s="1101">
        <v>0</v>
      </c>
      <c r="CP16" s="1101">
        <v>18946966</v>
      </c>
      <c r="CQ16" s="1101">
        <v>48598981</v>
      </c>
      <c r="CR16" s="1101">
        <v>0</v>
      </c>
      <c r="CS16" s="1101">
        <v>0</v>
      </c>
      <c r="CT16" s="1101">
        <v>0</v>
      </c>
      <c r="CU16" s="1101">
        <v>0</v>
      </c>
      <c r="CV16" s="1101">
        <v>0</v>
      </c>
      <c r="CW16" s="1101">
        <v>0</v>
      </c>
      <c r="CX16" s="1101">
        <v>0</v>
      </c>
      <c r="CY16" s="1101">
        <v>0</v>
      </c>
      <c r="CZ16" s="1101">
        <v>0</v>
      </c>
      <c r="DA16" s="1101">
        <v>0</v>
      </c>
      <c r="DB16" s="1101">
        <v>0</v>
      </c>
      <c r="DC16" s="1101">
        <v>0</v>
      </c>
      <c r="DD16" s="1101">
        <v>0</v>
      </c>
      <c r="DE16" s="1101">
        <v>0</v>
      </c>
      <c r="DF16" s="1101">
        <v>0</v>
      </c>
      <c r="DG16" s="1101">
        <v>0</v>
      </c>
      <c r="DH16" s="1101">
        <v>0</v>
      </c>
      <c r="DI16" s="1101">
        <v>0</v>
      </c>
      <c r="DJ16" s="1101">
        <v>0</v>
      </c>
      <c r="DK16" s="1101">
        <v>0</v>
      </c>
      <c r="DL16" s="1101">
        <v>0</v>
      </c>
      <c r="DM16" s="1101">
        <v>0</v>
      </c>
      <c r="DN16" s="1101">
        <v>0</v>
      </c>
      <c r="DO16" s="1101">
        <v>0</v>
      </c>
      <c r="DP16" s="1101">
        <v>0</v>
      </c>
      <c r="DQ16" s="1101">
        <v>-668437</v>
      </c>
      <c r="DR16" s="1101">
        <v>-2177839</v>
      </c>
      <c r="DS16" s="1101">
        <v>0</v>
      </c>
      <c r="DT16" s="1101">
        <v>0</v>
      </c>
      <c r="DU16" s="1101">
        <v>0</v>
      </c>
      <c r="DV16" s="1101">
        <v>0</v>
      </c>
      <c r="DW16" s="1101">
        <v>0</v>
      </c>
      <c r="DX16" s="1101">
        <v>0</v>
      </c>
      <c r="DY16" s="1101">
        <v>0</v>
      </c>
      <c r="DZ16" s="1101">
        <v>0</v>
      </c>
      <c r="EA16" s="1101">
        <v>0</v>
      </c>
      <c r="EB16" s="1101">
        <v>0</v>
      </c>
      <c r="EC16" s="1101">
        <v>0</v>
      </c>
      <c r="ED16" s="1101">
        <v>0</v>
      </c>
      <c r="EE16" s="1101">
        <v>0</v>
      </c>
      <c r="EF16" s="1101">
        <v>0</v>
      </c>
      <c r="EG16" s="1101">
        <v>0</v>
      </c>
      <c r="EH16" s="1101">
        <v>0</v>
      </c>
      <c r="EI16" s="1101">
        <v>-6927114</v>
      </c>
      <c r="EJ16" s="1101">
        <v>-17304753</v>
      </c>
      <c r="EK16" s="1101">
        <v>0</v>
      </c>
      <c r="EL16" s="1101">
        <v>0</v>
      </c>
      <c r="EM16" s="1101">
        <v>0</v>
      </c>
      <c r="EN16" s="1101">
        <v>0</v>
      </c>
      <c r="EO16" s="1101">
        <v>0</v>
      </c>
      <c r="EP16" s="1101">
        <v>0</v>
      </c>
      <c r="EQ16" s="1101">
        <v>0</v>
      </c>
      <c r="ER16" s="1101">
        <v>0</v>
      </c>
      <c r="ES16" s="1101">
        <v>0</v>
      </c>
      <c r="ET16" s="1101">
        <v>0</v>
      </c>
      <c r="EU16" s="1101">
        <v>0</v>
      </c>
      <c r="EV16" s="1101">
        <v>0</v>
      </c>
      <c r="EW16" s="1101">
        <v>0</v>
      </c>
      <c r="EX16" s="1101">
        <v>0</v>
      </c>
      <c r="EY16" s="1101">
        <v>0</v>
      </c>
      <c r="EZ16" s="1101">
        <v>0</v>
      </c>
      <c r="FA16" s="1101">
        <v>0</v>
      </c>
      <c r="FB16" s="1101">
        <v>0</v>
      </c>
      <c r="FC16" s="1101">
        <v>0</v>
      </c>
      <c r="FD16" s="1101">
        <v>0</v>
      </c>
      <c r="FE16" s="1101">
        <v>0</v>
      </c>
      <c r="FF16" s="1101">
        <v>0</v>
      </c>
      <c r="FG16" s="1101">
        <v>0</v>
      </c>
      <c r="FH16" s="1101">
        <v>0</v>
      </c>
      <c r="FI16" s="1101">
        <v>0</v>
      </c>
      <c r="FJ16" s="1101">
        <v>0</v>
      </c>
      <c r="FK16" s="1101">
        <v>0</v>
      </c>
      <c r="FL16" s="1101">
        <v>0</v>
      </c>
      <c r="FM16" s="1101">
        <v>0</v>
      </c>
      <c r="FN16" s="1101">
        <v>0</v>
      </c>
      <c r="FO16" s="1101">
        <v>0</v>
      </c>
      <c r="FP16" s="1101">
        <v>0</v>
      </c>
      <c r="FQ16" s="1101">
        <v>0</v>
      </c>
      <c r="FR16" s="1101">
        <v>0</v>
      </c>
      <c r="FS16" s="1101">
        <v>0</v>
      </c>
      <c r="FT16" s="1101">
        <v>0</v>
      </c>
      <c r="FU16" s="1101">
        <v>0</v>
      </c>
      <c r="FV16" s="1101">
        <v>0</v>
      </c>
      <c r="FW16" s="1101">
        <v>0</v>
      </c>
      <c r="FX16" s="1101">
        <v>0</v>
      </c>
      <c r="FY16" s="1101">
        <v>0</v>
      </c>
      <c r="FZ16" s="1101">
        <v>0</v>
      </c>
      <c r="GA16" s="1101">
        <v>0</v>
      </c>
      <c r="GB16" s="1101">
        <v>155186</v>
      </c>
      <c r="GC16" s="1101">
        <v>26396890</v>
      </c>
      <c r="GD16" s="1101">
        <v>8871409</v>
      </c>
      <c r="GE16" s="1101">
        <v>-3084040</v>
      </c>
      <c r="GF16" s="1101">
        <v>0</v>
      </c>
      <c r="GG16" s="1101">
        <v>0</v>
      </c>
      <c r="GH16" s="1101">
        <v>0</v>
      </c>
      <c r="GI16" s="1101">
        <v>0</v>
      </c>
      <c r="GJ16" s="1101">
        <v>0</v>
      </c>
      <c r="GK16" s="1101">
        <v>0</v>
      </c>
      <c r="GL16" s="1101">
        <v>0</v>
      </c>
      <c r="GM16" s="1101">
        <v>0</v>
      </c>
      <c r="GN16" s="1101">
        <v>0</v>
      </c>
      <c r="GO16" s="1101">
        <v>0</v>
      </c>
      <c r="GP16" s="1101">
        <v>0</v>
      </c>
      <c r="GQ16" s="1101">
        <v>0</v>
      </c>
      <c r="GR16" s="1101">
        <v>0</v>
      </c>
      <c r="GS16" s="1101">
        <v>0</v>
      </c>
      <c r="GT16" s="1101">
        <v>0</v>
      </c>
      <c r="GU16" s="1101">
        <v>0</v>
      </c>
      <c r="GV16" s="1101">
        <v>0</v>
      </c>
      <c r="GW16" s="1101">
        <v>0</v>
      </c>
      <c r="GX16" s="1101">
        <v>0</v>
      </c>
      <c r="GY16" s="1101">
        <v>0</v>
      </c>
      <c r="GZ16" s="1101">
        <v>0</v>
      </c>
      <c r="HA16" s="1101">
        <v>0</v>
      </c>
      <c r="HB16" s="1101">
        <v>0</v>
      </c>
      <c r="HC16" s="1101">
        <v>0</v>
      </c>
      <c r="HD16" s="1101">
        <v>-1358183</v>
      </c>
      <c r="HE16" s="1101">
        <v>-333000</v>
      </c>
      <c r="HF16" s="1101">
        <v>0</v>
      </c>
      <c r="HG16" s="1101">
        <v>0</v>
      </c>
      <c r="HH16" s="1101">
        <v>0</v>
      </c>
      <c r="HI16" s="1101">
        <v>0</v>
      </c>
      <c r="HJ16" s="1101">
        <v>0</v>
      </c>
      <c r="HK16" s="1101">
        <v>0</v>
      </c>
      <c r="HL16" s="1101">
        <v>0</v>
      </c>
      <c r="HM16" s="1101">
        <v>0</v>
      </c>
      <c r="HN16" s="1101">
        <v>0</v>
      </c>
      <c r="HO16" s="1101">
        <v>0</v>
      </c>
      <c r="HP16" s="1101">
        <v>0</v>
      </c>
      <c r="HQ16" s="1101">
        <v>0</v>
      </c>
      <c r="HR16" s="1101">
        <v>0</v>
      </c>
      <c r="HS16" s="1101">
        <v>0</v>
      </c>
      <c r="HT16" s="1101">
        <v>0</v>
      </c>
      <c r="HU16" s="1101">
        <v>-62212</v>
      </c>
      <c r="HV16" s="1101">
        <v>-9223929</v>
      </c>
      <c r="HW16" s="1101">
        <v>-3223413</v>
      </c>
      <c r="HX16" s="1101">
        <v>0</v>
      </c>
      <c r="HY16" s="1101">
        <v>0</v>
      </c>
      <c r="HZ16" s="1101">
        <v>0</v>
      </c>
      <c r="IA16" s="1101">
        <v>0</v>
      </c>
      <c r="IB16" s="1101">
        <v>0</v>
      </c>
      <c r="IC16" s="1101">
        <v>0</v>
      </c>
      <c r="ID16" s="1101">
        <v>0</v>
      </c>
      <c r="IE16" s="1101">
        <v>1825268</v>
      </c>
      <c r="IF16" s="1101">
        <v>0</v>
      </c>
      <c r="IG16" s="1101">
        <v>102533762</v>
      </c>
      <c r="IH16" s="1101">
        <v>0</v>
      </c>
      <c r="II16" s="1101">
        <v>0</v>
      </c>
      <c r="IJ16" s="1101">
        <v>469634</v>
      </c>
      <c r="IK16" s="1101">
        <v>0</v>
      </c>
      <c r="IL16" s="1101">
        <v>0</v>
      </c>
      <c r="IM16" s="1101">
        <v>105670</v>
      </c>
      <c r="IN16" s="1101">
        <v>7709954</v>
      </c>
      <c r="IO16" s="1101">
        <v>0</v>
      </c>
      <c r="IP16" s="1101">
        <v>319179</v>
      </c>
      <c r="IQ16" s="1101">
        <v>0</v>
      </c>
      <c r="IR16" s="1101">
        <v>45457</v>
      </c>
      <c r="IS16" s="1101">
        <v>0</v>
      </c>
      <c r="IT16" s="1101">
        <v>0</v>
      </c>
      <c r="IU16" s="1101">
        <v>0</v>
      </c>
      <c r="IV16" s="1101">
        <v>0</v>
      </c>
      <c r="IW16" s="1101">
        <v>0</v>
      </c>
      <c r="IX16" s="1101">
        <v>0</v>
      </c>
      <c r="IY16" s="1101">
        <v>0</v>
      </c>
      <c r="IZ16" s="1101">
        <v>0</v>
      </c>
      <c r="JA16" s="1101">
        <v>0</v>
      </c>
      <c r="JB16" s="1101">
        <v>0</v>
      </c>
      <c r="JC16" s="1101">
        <v>0</v>
      </c>
      <c r="JD16" s="1101">
        <v>0</v>
      </c>
      <c r="JE16" s="1101">
        <v>0</v>
      </c>
      <c r="JF16" s="1101">
        <v>225955</v>
      </c>
      <c r="JG16" s="1101">
        <v>11680</v>
      </c>
      <c r="JH16" s="1101">
        <v>34405606</v>
      </c>
      <c r="JI16" s="1101">
        <v>0</v>
      </c>
      <c r="JJ16" s="1101">
        <v>0</v>
      </c>
      <c r="JK16" s="1101">
        <v>0</v>
      </c>
      <c r="JL16" s="1101">
        <v>0</v>
      </c>
      <c r="JM16" s="1101">
        <v>0</v>
      </c>
      <c r="JN16" s="1101">
        <v>0</v>
      </c>
      <c r="JO16" s="1101">
        <v>762535</v>
      </c>
      <c r="JP16" s="1101">
        <v>15983</v>
      </c>
      <c r="JQ16" s="1101">
        <v>-78065</v>
      </c>
      <c r="JR16" s="1101">
        <v>0</v>
      </c>
      <c r="JS16" s="1101">
        <v>0</v>
      </c>
      <c r="JT16" s="1101">
        <v>0</v>
      </c>
      <c r="JU16" s="1101">
        <v>0</v>
      </c>
      <c r="JV16" s="1101">
        <v>0</v>
      </c>
      <c r="JW16" s="1101">
        <v>0</v>
      </c>
      <c r="JX16" s="1101">
        <v>0</v>
      </c>
      <c r="JY16" s="1101">
        <v>12774915</v>
      </c>
      <c r="JZ16" s="1101">
        <v>0</v>
      </c>
      <c r="KA16" s="1101">
        <v>0</v>
      </c>
      <c r="KB16" s="1101">
        <v>0</v>
      </c>
      <c r="KC16" s="1101">
        <v>0</v>
      </c>
      <c r="KD16" s="1101">
        <v>0</v>
      </c>
      <c r="KE16" s="1101">
        <v>0</v>
      </c>
      <c r="KF16" s="1101">
        <v>1417271</v>
      </c>
      <c r="KG16" s="1101">
        <v>515264</v>
      </c>
      <c r="KH16" s="1101">
        <v>1197427</v>
      </c>
      <c r="KI16" s="1101">
        <v>447333</v>
      </c>
      <c r="KJ16" s="1101">
        <v>0</v>
      </c>
      <c r="KK16" s="1101">
        <v>0</v>
      </c>
      <c r="KL16" s="1101">
        <v>0</v>
      </c>
      <c r="KM16" s="1101">
        <v>0</v>
      </c>
      <c r="KN16" s="1101">
        <v>0</v>
      </c>
      <c r="KO16" s="1101">
        <v>45019256</v>
      </c>
      <c r="KP16" s="1101">
        <v>4223354</v>
      </c>
      <c r="KQ16" s="1101">
        <v>0</v>
      </c>
      <c r="KR16" s="1101">
        <v>3062984</v>
      </c>
      <c r="KS16" s="1101">
        <v>0</v>
      </c>
      <c r="KT16" s="1101">
        <v>0</v>
      </c>
      <c r="KU16" s="1101">
        <v>0</v>
      </c>
      <c r="KV16" s="1101">
        <v>0</v>
      </c>
      <c r="KW16" s="1101">
        <v>0</v>
      </c>
      <c r="KX16" s="1101">
        <v>8725942</v>
      </c>
      <c r="KY16" s="1101">
        <v>494737</v>
      </c>
      <c r="KZ16" s="1101">
        <v>0</v>
      </c>
      <c r="LA16" s="1101">
        <v>8327703</v>
      </c>
      <c r="LB16" s="1101">
        <v>0</v>
      </c>
      <c r="LC16" s="1101">
        <v>0</v>
      </c>
      <c r="LD16" s="1101">
        <v>0</v>
      </c>
      <c r="LE16" s="1101">
        <v>0</v>
      </c>
      <c r="LF16" s="1101">
        <v>0</v>
      </c>
      <c r="LG16" s="1101">
        <v>2523802</v>
      </c>
      <c r="LH16" s="1101">
        <v>46289</v>
      </c>
      <c r="LI16" s="1101">
        <v>0</v>
      </c>
      <c r="LJ16" s="1101">
        <v>5192687</v>
      </c>
      <c r="LK16" s="1101">
        <v>0</v>
      </c>
      <c r="LL16" s="1101">
        <v>0</v>
      </c>
      <c r="LM16" s="1101">
        <v>0</v>
      </c>
      <c r="LN16" s="1101">
        <v>0</v>
      </c>
      <c r="LO16" s="1101">
        <v>0</v>
      </c>
      <c r="LP16" s="1101">
        <v>8612754</v>
      </c>
      <c r="LQ16" s="1101">
        <v>5832332</v>
      </c>
      <c r="LR16" s="1101">
        <v>0</v>
      </c>
      <c r="LS16" s="1101">
        <v>7752725</v>
      </c>
      <c r="LT16" s="1101">
        <v>0</v>
      </c>
      <c r="LU16" s="1101">
        <v>0</v>
      </c>
      <c r="LV16" s="1101">
        <v>0</v>
      </c>
      <c r="LW16" s="1101">
        <v>0</v>
      </c>
      <c r="LX16" s="1101">
        <v>0</v>
      </c>
      <c r="LY16" s="1101">
        <v>5754030</v>
      </c>
      <c r="LZ16" s="1101">
        <v>10181767</v>
      </c>
      <c r="MA16" s="1101">
        <v>0</v>
      </c>
      <c r="MB16" s="1101">
        <v>3594139</v>
      </c>
      <c r="MC16" s="1101">
        <v>-23511</v>
      </c>
      <c r="MD16" s="1101">
        <v>0</v>
      </c>
      <c r="ME16" s="1101">
        <v>0</v>
      </c>
      <c r="MF16" s="1101">
        <v>0</v>
      </c>
      <c r="MG16" s="1101">
        <v>0</v>
      </c>
      <c r="MH16" s="1101">
        <v>10607398</v>
      </c>
      <c r="MI16" s="1101">
        <v>7236898</v>
      </c>
      <c r="MJ16" s="1101">
        <v>0</v>
      </c>
      <c r="MK16" s="1101">
        <v>1365622</v>
      </c>
      <c r="ML16" s="1101">
        <v>0</v>
      </c>
      <c r="MM16" s="1101">
        <v>0</v>
      </c>
      <c r="MN16" s="1101">
        <v>0</v>
      </c>
      <c r="MO16" s="1101">
        <v>0</v>
      </c>
      <c r="MP16" s="1101">
        <v>0</v>
      </c>
      <c r="MQ16" s="1101">
        <v>3166102</v>
      </c>
      <c r="MR16" s="1101">
        <v>14625734</v>
      </c>
      <c r="MS16" s="1101">
        <v>0</v>
      </c>
      <c r="MT16" s="1101">
        <v>0</v>
      </c>
      <c r="MU16" s="1101">
        <v>0</v>
      </c>
      <c r="MV16" s="1101">
        <v>0</v>
      </c>
      <c r="MW16" s="1101">
        <v>4482287</v>
      </c>
      <c r="MX16" s="1101">
        <v>0</v>
      </c>
      <c r="MY16" s="1101">
        <v>0</v>
      </c>
      <c r="MZ16" s="1101">
        <v>3388559</v>
      </c>
      <c r="NA16" s="1101">
        <v>11745813</v>
      </c>
      <c r="NB16" s="1101">
        <v>0</v>
      </c>
      <c r="NC16" s="1101">
        <v>60082721</v>
      </c>
      <c r="ND16" s="1101">
        <v>0</v>
      </c>
      <c r="NE16" s="1101">
        <v>0</v>
      </c>
      <c r="NF16" s="1101">
        <v>0</v>
      </c>
      <c r="NG16" s="1101">
        <v>0</v>
      </c>
      <c r="NH16" s="1101">
        <v>0</v>
      </c>
      <c r="NI16" s="1101">
        <v>0</v>
      </c>
      <c r="NJ16" s="1101">
        <v>0</v>
      </c>
      <c r="NK16" s="1101">
        <v>27900736</v>
      </c>
      <c r="NL16" s="1101">
        <v>0</v>
      </c>
      <c r="NM16" s="1101">
        <v>0</v>
      </c>
      <c r="NN16" s="1101">
        <v>0</v>
      </c>
      <c r="NO16" s="1101">
        <v>0</v>
      </c>
      <c r="NP16" s="1101">
        <v>0</v>
      </c>
      <c r="NQ16" s="1101">
        <v>0</v>
      </c>
      <c r="NR16" s="1101">
        <v>148449</v>
      </c>
      <c r="NS16" s="1101">
        <v>598642</v>
      </c>
      <c r="NT16" s="1101">
        <v>64067</v>
      </c>
      <c r="NU16" s="1101">
        <v>2488998</v>
      </c>
      <c r="NV16" s="1101">
        <v>0</v>
      </c>
      <c r="NW16" s="1101">
        <v>0</v>
      </c>
      <c r="NX16" s="1101">
        <v>0</v>
      </c>
      <c r="NY16" s="1101">
        <v>0</v>
      </c>
      <c r="NZ16" s="1101">
        <v>0</v>
      </c>
      <c r="OA16" s="1101">
        <v>25565</v>
      </c>
      <c r="OB16" s="1101">
        <v>558394</v>
      </c>
      <c r="OC16" s="1101">
        <v>0</v>
      </c>
      <c r="OD16" s="1101">
        <v>377756</v>
      </c>
      <c r="OE16" s="1101">
        <v>0</v>
      </c>
      <c r="OF16" s="1101">
        <v>0</v>
      </c>
      <c r="OG16" s="1101">
        <v>0</v>
      </c>
      <c r="OH16" s="1101">
        <v>0</v>
      </c>
      <c r="OI16" s="1101">
        <v>121231</v>
      </c>
      <c r="OJ16" s="1101">
        <v>0</v>
      </c>
      <c r="OK16" s="1101">
        <v>0</v>
      </c>
      <c r="OL16" s="1101">
        <v>0</v>
      </c>
      <c r="OM16" s="1101">
        <v>0</v>
      </c>
      <c r="ON16" s="1101">
        <v>0</v>
      </c>
      <c r="OO16" s="1101">
        <v>0</v>
      </c>
      <c r="OP16" s="1101">
        <v>-5932666</v>
      </c>
      <c r="OQ16" s="1101">
        <v>0</v>
      </c>
      <c r="OR16" s="1101">
        <v>0</v>
      </c>
      <c r="OS16" s="1101">
        <v>2705367</v>
      </c>
      <c r="OT16" s="1101">
        <v>14400434</v>
      </c>
      <c r="OU16" s="1101">
        <v>14707249</v>
      </c>
      <c r="OV16" s="1101">
        <v>-36541635</v>
      </c>
      <c r="OW16" s="1101">
        <v>0</v>
      </c>
      <c r="OX16" s="1101">
        <v>5765732</v>
      </c>
      <c r="OY16" s="1101">
        <v>-951342</v>
      </c>
      <c r="OZ16" s="1101">
        <v>0</v>
      </c>
      <c r="PA16" s="1101">
        <v>0</v>
      </c>
      <c r="PB16" s="1101">
        <v>0</v>
      </c>
      <c r="PC16" s="1101">
        <v>0</v>
      </c>
      <c r="PD16" s="1101">
        <v>0</v>
      </c>
      <c r="PE16" s="1101">
        <v>0</v>
      </c>
      <c r="PF16" s="1101">
        <v>0</v>
      </c>
      <c r="PG16" s="1101">
        <v>0</v>
      </c>
      <c r="PH16" s="1101">
        <v>0</v>
      </c>
      <c r="PI16" s="1101">
        <v>0</v>
      </c>
      <c r="PJ16" s="1101">
        <v>0</v>
      </c>
      <c r="PK16" s="1101">
        <v>-6665732</v>
      </c>
      <c r="PL16" s="1101">
        <v>-1880616</v>
      </c>
      <c r="PM16" s="1101">
        <v>-5443658</v>
      </c>
      <c r="PN16" s="1101">
        <v>0</v>
      </c>
      <c r="PO16" s="1101">
        <v>0</v>
      </c>
      <c r="PP16" s="1101">
        <v>0</v>
      </c>
      <c r="PQ16" s="1101">
        <v>0</v>
      </c>
      <c r="PR16" s="1101">
        <v>0</v>
      </c>
      <c r="PS16" s="1101">
        <v>0</v>
      </c>
      <c r="PT16" s="1101">
        <v>0</v>
      </c>
      <c r="PU16" s="1101">
        <v>14018084</v>
      </c>
      <c r="PV16" s="1101">
        <v>0</v>
      </c>
      <c r="PW16" s="1101">
        <v>0</v>
      </c>
      <c r="PX16" s="1101">
        <v>0</v>
      </c>
      <c r="PY16" s="1101">
        <v>16892673</v>
      </c>
      <c r="PZ16" s="1101">
        <v>0</v>
      </c>
      <c r="QA16" s="1101">
        <v>0</v>
      </c>
      <c r="QB16" s="1101">
        <v>0</v>
      </c>
      <c r="QC16" s="1101">
        <v>0</v>
      </c>
      <c r="QD16" s="1101">
        <v>0</v>
      </c>
      <c r="QE16" s="1101">
        <v>0</v>
      </c>
      <c r="QF16" s="1101">
        <v>0</v>
      </c>
      <c r="QG16" s="1101">
        <v>0</v>
      </c>
      <c r="QH16" s="1101">
        <v>35859004</v>
      </c>
      <c r="QI16" s="1101">
        <v>0</v>
      </c>
      <c r="QJ16" s="1101">
        <v>0</v>
      </c>
      <c r="QK16" s="1101">
        <v>0</v>
      </c>
      <c r="QL16" s="1101">
        <v>0</v>
      </c>
      <c r="QM16" s="1101">
        <v>0</v>
      </c>
      <c r="QN16" s="1101">
        <v>0</v>
      </c>
      <c r="QO16" s="1101">
        <v>0</v>
      </c>
      <c r="QP16" s="1101">
        <v>0</v>
      </c>
      <c r="QQ16" s="1101">
        <v>0</v>
      </c>
      <c r="QR16" s="1101">
        <v>0</v>
      </c>
      <c r="QS16" s="1101">
        <v>0</v>
      </c>
      <c r="QT16" s="1101">
        <v>0</v>
      </c>
      <c r="QU16" s="1101">
        <v>0</v>
      </c>
      <c r="QV16" s="1101">
        <v>0</v>
      </c>
      <c r="QW16" s="1101">
        <v>0</v>
      </c>
      <c r="QX16" s="1101">
        <v>0</v>
      </c>
      <c r="QY16" s="1101">
        <v>0</v>
      </c>
      <c r="QZ16" s="1101">
        <v>0</v>
      </c>
      <c r="RA16" s="1101">
        <v>0</v>
      </c>
      <c r="RB16" s="1101">
        <v>0</v>
      </c>
      <c r="RC16" s="1101">
        <v>-23402579</v>
      </c>
      <c r="RD16" s="1101">
        <v>0</v>
      </c>
      <c r="RE16" s="1101">
        <v>0</v>
      </c>
      <c r="RF16" s="1101">
        <v>0</v>
      </c>
      <c r="RG16" s="1101">
        <v>0</v>
      </c>
      <c r="RH16" s="1101">
        <v>0</v>
      </c>
      <c r="RI16" s="1101">
        <v>0</v>
      </c>
      <c r="RJ16" s="1101">
        <v>0</v>
      </c>
      <c r="RK16" s="1101">
        <v>0</v>
      </c>
      <c r="RL16" s="1101">
        <v>0</v>
      </c>
      <c r="RM16" s="1101">
        <v>0</v>
      </c>
      <c r="RN16" s="1101">
        <v>0</v>
      </c>
      <c r="RO16" s="1101">
        <v>0</v>
      </c>
      <c r="RP16" s="1101">
        <v>0</v>
      </c>
      <c r="RQ16" s="1101">
        <v>0</v>
      </c>
      <c r="RR16" s="1101">
        <v>0</v>
      </c>
      <c r="RS16" s="1101">
        <v>0</v>
      </c>
      <c r="RT16" s="1101">
        <v>0</v>
      </c>
      <c r="RU16" s="1101">
        <v>0</v>
      </c>
      <c r="RV16" s="1101">
        <v>0</v>
      </c>
      <c r="RW16" s="1101">
        <v>0</v>
      </c>
      <c r="RX16" s="1101">
        <v>0</v>
      </c>
      <c r="RY16" s="1101">
        <v>0</v>
      </c>
      <c r="RZ16" s="1101">
        <v>0</v>
      </c>
      <c r="SA16" s="1101">
        <v>0</v>
      </c>
      <c r="SB16" s="1101">
        <v>0</v>
      </c>
      <c r="SC16" s="1101">
        <v>0</v>
      </c>
      <c r="SD16" s="1101">
        <v>0</v>
      </c>
      <c r="SE16" s="1101">
        <v>148449</v>
      </c>
      <c r="SF16" s="1101">
        <v>598642</v>
      </c>
      <c r="SG16" s="1101">
        <v>64067</v>
      </c>
      <c r="SH16" s="1101">
        <v>2488998</v>
      </c>
      <c r="SI16" s="1101">
        <v>0</v>
      </c>
      <c r="SJ16" s="1101">
        <v>0</v>
      </c>
      <c r="SK16" s="1101">
        <v>5932666</v>
      </c>
      <c r="SL16" s="1102">
        <v>0</v>
      </c>
      <c r="SM16" s="1101">
        <v>0</v>
      </c>
      <c r="SN16" s="1101">
        <v>83142259</v>
      </c>
      <c r="SO16" s="1102"/>
      <c r="SP16" s="1103"/>
      <c r="SQ16" s="1104">
        <v>99885392</v>
      </c>
      <c r="SR16" s="1104">
        <v>-41278880</v>
      </c>
      <c r="SS16" s="1105">
        <v>82105</v>
      </c>
      <c r="ST16" s="1106">
        <v>445200</v>
      </c>
      <c r="SU16" s="1106">
        <v>234320</v>
      </c>
      <c r="SV16" s="1106">
        <v>1729589</v>
      </c>
      <c r="SW16" s="1106">
        <v>178955</v>
      </c>
      <c r="SX16" s="1106">
        <v>26815</v>
      </c>
      <c r="SY16" s="1106">
        <v>539105</v>
      </c>
      <c r="SZ16" s="1106">
        <v>64067</v>
      </c>
      <c r="TA16" s="1106">
        <v>0</v>
      </c>
      <c r="TB16" s="1106">
        <v>0</v>
      </c>
      <c r="TC16" s="1105">
        <v>0</v>
      </c>
      <c r="TD16" s="1106">
        <v>117737</v>
      </c>
      <c r="TE16" s="1106">
        <v>0</v>
      </c>
      <c r="TF16" s="1106">
        <v>0</v>
      </c>
      <c r="TG16" s="1106">
        <v>0</v>
      </c>
      <c r="TH16" s="1106">
        <v>0</v>
      </c>
      <c r="TI16" s="1106">
        <v>0</v>
      </c>
      <c r="TJ16" s="1106">
        <v>0</v>
      </c>
      <c r="TK16" s="1105">
        <v>0</v>
      </c>
      <c r="TL16" s="1106">
        <v>0</v>
      </c>
      <c r="TM16" s="1106">
        <v>0</v>
      </c>
      <c r="TN16" s="1106">
        <v>0</v>
      </c>
      <c r="TO16" s="1106">
        <v>0</v>
      </c>
      <c r="TP16" s="1106">
        <v>0</v>
      </c>
      <c r="TQ16" s="1106">
        <v>0</v>
      </c>
      <c r="TR16" s="1106">
        <v>0</v>
      </c>
      <c r="TS16" s="1105">
        <v>52305594</v>
      </c>
      <c r="TT16" s="1106">
        <v>17548382</v>
      </c>
      <c r="TU16" s="1106">
        <v>7762778</v>
      </c>
      <c r="TV16" s="1106">
        <v>22197811</v>
      </c>
      <c r="TW16" s="1106">
        <v>19506425</v>
      </c>
      <c r="TX16" s="1106">
        <v>19209918</v>
      </c>
      <c r="TY16" s="1106">
        <v>22274123</v>
      </c>
      <c r="TZ16" s="1107">
        <v>75217093</v>
      </c>
      <c r="UA16" s="1107">
        <v>27900736</v>
      </c>
      <c r="UB16" s="1105">
        <v>30542255</v>
      </c>
      <c r="UC16" s="1108">
        <v>30910757</v>
      </c>
      <c r="UD16" s="1108"/>
      <c r="UE16" s="1103"/>
      <c r="UF16" s="1109" t="s">
        <v>2424</v>
      </c>
      <c r="UG16" s="1110" t="s">
        <v>2425</v>
      </c>
      <c r="UH16" s="1110" t="s">
        <v>2426</v>
      </c>
    </row>
    <row r="17" spans="1:554" s="776" customFormat="1" ht="21.75" customHeight="1" thickBot="1">
      <c r="A17" s="1093">
        <v>160</v>
      </c>
      <c r="B17" s="1094" t="s">
        <v>108</v>
      </c>
      <c r="C17" s="1095" t="s">
        <v>313</v>
      </c>
      <c r="D17" s="1096" t="s">
        <v>2398</v>
      </c>
      <c r="E17" s="1097">
        <v>3631</v>
      </c>
      <c r="F17" s="1098">
        <v>952039357</v>
      </c>
      <c r="G17" s="1096" t="s">
        <v>2399</v>
      </c>
      <c r="H17" s="1100" t="s">
        <v>108</v>
      </c>
      <c r="I17" s="1100"/>
      <c r="J17" s="1100"/>
      <c r="K17" s="1100"/>
      <c r="L17" s="1100"/>
      <c r="M17" s="1101">
        <v>53590196</v>
      </c>
      <c r="N17" s="1101">
        <v>0</v>
      </c>
      <c r="O17" s="1101">
        <v>0</v>
      </c>
      <c r="P17" s="1101">
        <v>0</v>
      </c>
      <c r="Q17" s="1101">
        <v>0</v>
      </c>
      <c r="R17" s="1101">
        <v>0</v>
      </c>
      <c r="S17" s="1101">
        <v>0</v>
      </c>
      <c r="T17" s="1101">
        <v>0</v>
      </c>
      <c r="U17" s="1101">
        <v>0</v>
      </c>
      <c r="V17" s="1101">
        <v>204380</v>
      </c>
      <c r="W17" s="1101">
        <v>171141</v>
      </c>
      <c r="X17" s="1101">
        <v>0</v>
      </c>
      <c r="Y17" s="1101">
        <v>8978075</v>
      </c>
      <c r="Z17" s="1101">
        <v>0</v>
      </c>
      <c r="AA17" s="1101">
        <v>0</v>
      </c>
      <c r="AB17" s="1101">
        <v>0</v>
      </c>
      <c r="AC17" s="1101">
        <v>0</v>
      </c>
      <c r="AD17" s="1101">
        <v>0</v>
      </c>
      <c r="AE17" s="1101">
        <v>0</v>
      </c>
      <c r="AF17" s="1101">
        <v>0</v>
      </c>
      <c r="AG17" s="1101">
        <v>0</v>
      </c>
      <c r="AH17" s="1101">
        <v>0</v>
      </c>
      <c r="AI17" s="1101">
        <v>0</v>
      </c>
      <c r="AJ17" s="1101">
        <v>0</v>
      </c>
      <c r="AK17" s="1101">
        <v>0</v>
      </c>
      <c r="AL17" s="1101">
        <v>0</v>
      </c>
      <c r="AM17" s="1101">
        <v>0</v>
      </c>
      <c r="AN17" s="1101">
        <v>0</v>
      </c>
      <c r="AO17" s="1101">
        <v>0</v>
      </c>
      <c r="AP17" s="1101">
        <v>0</v>
      </c>
      <c r="AQ17" s="1101">
        <v>0</v>
      </c>
      <c r="AR17" s="1101">
        <v>0</v>
      </c>
      <c r="AS17" s="1101">
        <v>0</v>
      </c>
      <c r="AT17" s="1101">
        <v>0</v>
      </c>
      <c r="AU17" s="1101">
        <v>0</v>
      </c>
      <c r="AV17" s="1101">
        <v>0</v>
      </c>
      <c r="AW17" s="1101">
        <v>0</v>
      </c>
      <c r="AX17" s="1101">
        <v>0</v>
      </c>
      <c r="AY17" s="1101">
        <v>0</v>
      </c>
      <c r="AZ17" s="1101">
        <v>0</v>
      </c>
      <c r="BA17" s="1101">
        <v>0</v>
      </c>
      <c r="BB17" s="1101">
        <v>0</v>
      </c>
      <c r="BC17" s="1101">
        <v>0</v>
      </c>
      <c r="BD17" s="1101">
        <v>0</v>
      </c>
      <c r="BE17" s="1101">
        <v>0</v>
      </c>
      <c r="BF17" s="1101">
        <v>-3086314</v>
      </c>
      <c r="BG17" s="1101">
        <v>0</v>
      </c>
      <c r="BH17" s="1101">
        <v>0</v>
      </c>
      <c r="BI17" s="1101">
        <v>0</v>
      </c>
      <c r="BJ17" s="1101">
        <v>0</v>
      </c>
      <c r="BK17" s="1101">
        <v>0</v>
      </c>
      <c r="BL17" s="1101">
        <v>0</v>
      </c>
      <c r="BM17" s="1101">
        <v>0</v>
      </c>
      <c r="BN17" s="1101">
        <v>0</v>
      </c>
      <c r="BO17" s="1101">
        <v>0</v>
      </c>
      <c r="BP17" s="1101">
        <v>0</v>
      </c>
      <c r="BQ17" s="1101">
        <v>0</v>
      </c>
      <c r="BR17" s="1101">
        <v>0</v>
      </c>
      <c r="BS17" s="1101">
        <v>0</v>
      </c>
      <c r="BT17" s="1101">
        <v>0</v>
      </c>
      <c r="BU17" s="1101">
        <v>0</v>
      </c>
      <c r="BV17" s="1101">
        <v>0</v>
      </c>
      <c r="BW17" s="1101">
        <v>0</v>
      </c>
      <c r="BX17" s="1101">
        <v>0</v>
      </c>
      <c r="BY17" s="1101">
        <v>0</v>
      </c>
      <c r="BZ17" s="1101">
        <v>0</v>
      </c>
      <c r="CA17" s="1101">
        <v>0</v>
      </c>
      <c r="CB17" s="1101">
        <v>0</v>
      </c>
      <c r="CC17" s="1101">
        <v>0</v>
      </c>
      <c r="CD17" s="1101">
        <v>0</v>
      </c>
      <c r="CE17" s="1101">
        <v>0</v>
      </c>
      <c r="CF17" s="1101">
        <v>0</v>
      </c>
      <c r="CG17" s="1101">
        <v>0</v>
      </c>
      <c r="CH17" s="1101">
        <v>0</v>
      </c>
      <c r="CI17" s="1101">
        <v>0</v>
      </c>
      <c r="CJ17" s="1101">
        <v>0</v>
      </c>
      <c r="CK17" s="1101">
        <v>0</v>
      </c>
      <c r="CL17" s="1101">
        <v>0</v>
      </c>
      <c r="CM17" s="1101">
        <v>0</v>
      </c>
      <c r="CN17" s="1101">
        <v>0</v>
      </c>
      <c r="CO17" s="1101">
        <v>0</v>
      </c>
      <c r="CP17" s="1101">
        <v>21988228</v>
      </c>
      <c r="CQ17" s="1101">
        <v>54264209</v>
      </c>
      <c r="CR17" s="1101">
        <v>0</v>
      </c>
      <c r="CS17" s="1101">
        <v>0</v>
      </c>
      <c r="CT17" s="1101">
        <v>0</v>
      </c>
      <c r="CU17" s="1101">
        <v>0</v>
      </c>
      <c r="CV17" s="1101">
        <v>0</v>
      </c>
      <c r="CW17" s="1101">
        <v>0</v>
      </c>
      <c r="CX17" s="1101">
        <v>0</v>
      </c>
      <c r="CY17" s="1101">
        <v>0</v>
      </c>
      <c r="CZ17" s="1101">
        <v>0</v>
      </c>
      <c r="DA17" s="1101">
        <v>0</v>
      </c>
      <c r="DB17" s="1101">
        <v>0</v>
      </c>
      <c r="DC17" s="1101">
        <v>0</v>
      </c>
      <c r="DD17" s="1101">
        <v>0</v>
      </c>
      <c r="DE17" s="1101">
        <v>0</v>
      </c>
      <c r="DF17" s="1101">
        <v>0</v>
      </c>
      <c r="DG17" s="1101">
        <v>0</v>
      </c>
      <c r="DH17" s="1101">
        <v>0</v>
      </c>
      <c r="DI17" s="1101">
        <v>0</v>
      </c>
      <c r="DJ17" s="1101">
        <v>0</v>
      </c>
      <c r="DK17" s="1101">
        <v>0</v>
      </c>
      <c r="DL17" s="1101">
        <v>0</v>
      </c>
      <c r="DM17" s="1101">
        <v>0</v>
      </c>
      <c r="DN17" s="1101">
        <v>0</v>
      </c>
      <c r="DO17" s="1101">
        <v>0</v>
      </c>
      <c r="DP17" s="1101">
        <v>0</v>
      </c>
      <c r="DQ17" s="1101">
        <v>-1357717</v>
      </c>
      <c r="DR17" s="1101">
        <v>-3617011</v>
      </c>
      <c r="DS17" s="1101">
        <v>0</v>
      </c>
      <c r="DT17" s="1101">
        <v>0</v>
      </c>
      <c r="DU17" s="1101">
        <v>0</v>
      </c>
      <c r="DV17" s="1101">
        <v>0</v>
      </c>
      <c r="DW17" s="1101">
        <v>0</v>
      </c>
      <c r="DX17" s="1101">
        <v>0</v>
      </c>
      <c r="DY17" s="1101">
        <v>0</v>
      </c>
      <c r="DZ17" s="1101">
        <v>-277625</v>
      </c>
      <c r="EA17" s="1101">
        <v>0</v>
      </c>
      <c r="EB17" s="1101">
        <v>0</v>
      </c>
      <c r="EC17" s="1101">
        <v>0</v>
      </c>
      <c r="ED17" s="1101">
        <v>0</v>
      </c>
      <c r="EE17" s="1101">
        <v>0</v>
      </c>
      <c r="EF17" s="1101">
        <v>0</v>
      </c>
      <c r="EG17" s="1101">
        <v>0</v>
      </c>
      <c r="EH17" s="1101">
        <v>0</v>
      </c>
      <c r="EI17" s="1101">
        <v>-3824237</v>
      </c>
      <c r="EJ17" s="1101">
        <v>-9856549</v>
      </c>
      <c r="EK17" s="1101">
        <v>0</v>
      </c>
      <c r="EL17" s="1101">
        <v>0</v>
      </c>
      <c r="EM17" s="1101">
        <v>0</v>
      </c>
      <c r="EN17" s="1101">
        <v>0</v>
      </c>
      <c r="EO17" s="1101">
        <v>0</v>
      </c>
      <c r="EP17" s="1101">
        <v>0</v>
      </c>
      <c r="EQ17" s="1101">
        <v>0</v>
      </c>
      <c r="ER17" s="1101">
        <v>0</v>
      </c>
      <c r="ES17" s="1101">
        <v>0</v>
      </c>
      <c r="ET17" s="1101">
        <v>0</v>
      </c>
      <c r="EU17" s="1101">
        <v>0</v>
      </c>
      <c r="EV17" s="1101">
        <v>0</v>
      </c>
      <c r="EW17" s="1101">
        <v>0</v>
      </c>
      <c r="EX17" s="1101">
        <v>0</v>
      </c>
      <c r="EY17" s="1101">
        <v>0</v>
      </c>
      <c r="EZ17" s="1101">
        <v>0</v>
      </c>
      <c r="FA17" s="1101">
        <v>0</v>
      </c>
      <c r="FB17" s="1101">
        <v>0</v>
      </c>
      <c r="FC17" s="1101">
        <v>0</v>
      </c>
      <c r="FD17" s="1101">
        <v>0</v>
      </c>
      <c r="FE17" s="1101">
        <v>0</v>
      </c>
      <c r="FF17" s="1101">
        <v>0</v>
      </c>
      <c r="FG17" s="1101">
        <v>0</v>
      </c>
      <c r="FH17" s="1101">
        <v>0</v>
      </c>
      <c r="FI17" s="1101">
        <v>0</v>
      </c>
      <c r="FJ17" s="1101">
        <v>0</v>
      </c>
      <c r="FK17" s="1101">
        <v>0</v>
      </c>
      <c r="FL17" s="1101">
        <v>0</v>
      </c>
      <c r="FM17" s="1101">
        <v>0</v>
      </c>
      <c r="FN17" s="1101">
        <v>0</v>
      </c>
      <c r="FO17" s="1101">
        <v>0</v>
      </c>
      <c r="FP17" s="1101">
        <v>0</v>
      </c>
      <c r="FQ17" s="1101">
        <v>0</v>
      </c>
      <c r="FR17" s="1101">
        <v>0</v>
      </c>
      <c r="FS17" s="1101">
        <v>0</v>
      </c>
      <c r="FT17" s="1101">
        <v>0</v>
      </c>
      <c r="FU17" s="1101">
        <v>0</v>
      </c>
      <c r="FV17" s="1101">
        <v>0</v>
      </c>
      <c r="FW17" s="1101">
        <v>0</v>
      </c>
      <c r="FX17" s="1101">
        <v>0</v>
      </c>
      <c r="FY17" s="1101">
        <v>0</v>
      </c>
      <c r="FZ17" s="1101">
        <v>0</v>
      </c>
      <c r="GA17" s="1101">
        <v>0</v>
      </c>
      <c r="GB17" s="1101">
        <v>74013</v>
      </c>
      <c r="GC17" s="1101">
        <v>34784376</v>
      </c>
      <c r="GD17" s="1101">
        <v>15718774</v>
      </c>
      <c r="GE17" s="1101">
        <v>-248750</v>
      </c>
      <c r="GF17" s="1101">
        <v>0</v>
      </c>
      <c r="GG17" s="1101">
        <v>0</v>
      </c>
      <c r="GH17" s="1101">
        <v>0</v>
      </c>
      <c r="GI17" s="1101">
        <v>0</v>
      </c>
      <c r="GJ17" s="1101">
        <v>0</v>
      </c>
      <c r="GK17" s="1101">
        <v>0</v>
      </c>
      <c r="GL17" s="1101">
        <v>0</v>
      </c>
      <c r="GM17" s="1101">
        <v>0</v>
      </c>
      <c r="GN17" s="1101">
        <v>0</v>
      </c>
      <c r="GO17" s="1101">
        <v>0</v>
      </c>
      <c r="GP17" s="1101">
        <v>0</v>
      </c>
      <c r="GQ17" s="1101">
        <v>0</v>
      </c>
      <c r="GR17" s="1101">
        <v>0</v>
      </c>
      <c r="GS17" s="1101">
        <v>0</v>
      </c>
      <c r="GT17" s="1101">
        <v>0</v>
      </c>
      <c r="GU17" s="1101">
        <v>0</v>
      </c>
      <c r="GV17" s="1101">
        <v>0</v>
      </c>
      <c r="GW17" s="1101">
        <v>0</v>
      </c>
      <c r="GX17" s="1101">
        <v>0</v>
      </c>
      <c r="GY17" s="1101">
        <v>0</v>
      </c>
      <c r="GZ17" s="1101">
        <v>0</v>
      </c>
      <c r="HA17" s="1101">
        <v>0</v>
      </c>
      <c r="HB17" s="1101">
        <v>0</v>
      </c>
      <c r="HC17" s="1101">
        <v>-4813</v>
      </c>
      <c r="HD17" s="1101">
        <v>-2088154</v>
      </c>
      <c r="HE17" s="1101">
        <v>-1069710</v>
      </c>
      <c r="HF17" s="1101">
        <v>0</v>
      </c>
      <c r="HG17" s="1101">
        <v>0</v>
      </c>
      <c r="HH17" s="1101">
        <v>0</v>
      </c>
      <c r="HI17" s="1101">
        <v>0</v>
      </c>
      <c r="HJ17" s="1101">
        <v>0</v>
      </c>
      <c r="HK17" s="1101">
        <v>0</v>
      </c>
      <c r="HL17" s="1101">
        <v>0</v>
      </c>
      <c r="HM17" s="1101">
        <v>0</v>
      </c>
      <c r="HN17" s="1101">
        <v>0</v>
      </c>
      <c r="HO17" s="1101">
        <v>0</v>
      </c>
      <c r="HP17" s="1101">
        <v>0</v>
      </c>
      <c r="HQ17" s="1101">
        <v>0</v>
      </c>
      <c r="HR17" s="1101">
        <v>0</v>
      </c>
      <c r="HS17" s="1101">
        <v>0</v>
      </c>
      <c r="HT17" s="1101">
        <v>0</v>
      </c>
      <c r="HU17" s="1101">
        <v>-13564</v>
      </c>
      <c r="HV17" s="1101">
        <v>-6548651</v>
      </c>
      <c r="HW17" s="1101">
        <v>-2833191</v>
      </c>
      <c r="HX17" s="1101">
        <v>0</v>
      </c>
      <c r="HY17" s="1101">
        <v>0</v>
      </c>
      <c r="HZ17" s="1101">
        <v>0</v>
      </c>
      <c r="IA17" s="1101">
        <v>0</v>
      </c>
      <c r="IB17" s="1101">
        <v>0</v>
      </c>
      <c r="IC17" s="1101">
        <v>0</v>
      </c>
      <c r="ID17" s="1101">
        <v>2908406</v>
      </c>
      <c r="IE17" s="1101">
        <v>1773500</v>
      </c>
      <c r="IF17" s="1101">
        <v>0</v>
      </c>
      <c r="IG17" s="1101">
        <v>52531969</v>
      </c>
      <c r="IH17" s="1101">
        <v>0</v>
      </c>
      <c r="II17" s="1101">
        <v>0</v>
      </c>
      <c r="IJ17" s="1101">
        <v>46134</v>
      </c>
      <c r="IK17" s="1101">
        <v>0</v>
      </c>
      <c r="IL17" s="1101">
        <v>0</v>
      </c>
      <c r="IM17" s="1101">
        <v>30064</v>
      </c>
      <c r="IN17" s="1101">
        <v>7211217</v>
      </c>
      <c r="IO17" s="1101">
        <v>1280949</v>
      </c>
      <c r="IP17" s="1101">
        <v>656962</v>
      </c>
      <c r="IQ17" s="1101">
        <v>53870</v>
      </c>
      <c r="IR17" s="1101">
        <v>283</v>
      </c>
      <c r="IS17" s="1101">
        <v>93191</v>
      </c>
      <c r="IT17" s="1101">
        <v>0</v>
      </c>
      <c r="IU17" s="1101">
        <v>0</v>
      </c>
      <c r="IV17" s="1101">
        <v>0</v>
      </c>
      <c r="IW17" s="1101">
        <v>0</v>
      </c>
      <c r="IX17" s="1101">
        <v>0</v>
      </c>
      <c r="IY17" s="1101">
        <v>0</v>
      </c>
      <c r="IZ17" s="1101">
        <v>0</v>
      </c>
      <c r="JA17" s="1101">
        <v>0</v>
      </c>
      <c r="JB17" s="1101">
        <v>0</v>
      </c>
      <c r="JC17" s="1101">
        <v>0</v>
      </c>
      <c r="JD17" s="1101">
        <v>0</v>
      </c>
      <c r="JE17" s="1101">
        <v>0</v>
      </c>
      <c r="JF17" s="1101">
        <v>938250</v>
      </c>
      <c r="JG17" s="1101">
        <v>346280</v>
      </c>
      <c r="JH17" s="1101">
        <v>12022908</v>
      </c>
      <c r="JI17" s="1101">
        <v>0</v>
      </c>
      <c r="JJ17" s="1101">
        <v>0</v>
      </c>
      <c r="JK17" s="1101">
        <v>0</v>
      </c>
      <c r="JL17" s="1101">
        <v>0</v>
      </c>
      <c r="JM17" s="1101">
        <v>0</v>
      </c>
      <c r="JN17" s="1101">
        <v>187325</v>
      </c>
      <c r="JO17" s="1101">
        <v>1599989</v>
      </c>
      <c r="JP17" s="1101">
        <v>0</v>
      </c>
      <c r="JQ17" s="1101">
        <v>44944</v>
      </c>
      <c r="JR17" s="1101">
        <v>0</v>
      </c>
      <c r="JS17" s="1101">
        <v>0</v>
      </c>
      <c r="JT17" s="1101">
        <v>0</v>
      </c>
      <c r="JU17" s="1101">
        <v>0</v>
      </c>
      <c r="JV17" s="1101">
        <v>0</v>
      </c>
      <c r="JW17" s="1101">
        <v>0</v>
      </c>
      <c r="JX17" s="1101">
        <v>0</v>
      </c>
      <c r="JY17" s="1101">
        <v>31363530</v>
      </c>
      <c r="JZ17" s="1101">
        <v>0</v>
      </c>
      <c r="KA17" s="1101">
        <v>0</v>
      </c>
      <c r="KB17" s="1101">
        <v>0</v>
      </c>
      <c r="KC17" s="1101">
        <v>0</v>
      </c>
      <c r="KD17" s="1101">
        <v>0</v>
      </c>
      <c r="KE17" s="1101">
        <v>0</v>
      </c>
      <c r="KF17" s="1101">
        <v>0</v>
      </c>
      <c r="KG17" s="1101">
        <v>3725947</v>
      </c>
      <c r="KH17" s="1101">
        <v>539497</v>
      </c>
      <c r="KI17" s="1101">
        <v>-3461601</v>
      </c>
      <c r="KJ17" s="1101">
        <v>48363</v>
      </c>
      <c r="KK17" s="1101">
        <v>0</v>
      </c>
      <c r="KL17" s="1101">
        <v>1567943</v>
      </c>
      <c r="KM17" s="1101">
        <v>0</v>
      </c>
      <c r="KN17" s="1101">
        <v>-174114</v>
      </c>
      <c r="KO17" s="1101">
        <v>29888637</v>
      </c>
      <c r="KP17" s="1101">
        <v>20382748</v>
      </c>
      <c r="KQ17" s="1101">
        <v>0</v>
      </c>
      <c r="KR17" s="1101">
        <v>955250</v>
      </c>
      <c r="KS17" s="1101">
        <v>0</v>
      </c>
      <c r="KT17" s="1101">
        <v>0</v>
      </c>
      <c r="KU17" s="1101">
        <v>0</v>
      </c>
      <c r="KV17" s="1101">
        <v>0</v>
      </c>
      <c r="KW17" s="1101">
        <v>0</v>
      </c>
      <c r="KX17" s="1101">
        <v>5974226</v>
      </c>
      <c r="KY17" s="1101">
        <v>3156051</v>
      </c>
      <c r="KZ17" s="1101">
        <v>0</v>
      </c>
      <c r="LA17" s="1101">
        <v>6477385</v>
      </c>
      <c r="LB17" s="1101">
        <v>0</v>
      </c>
      <c r="LC17" s="1101">
        <v>0</v>
      </c>
      <c r="LD17" s="1101">
        <v>0</v>
      </c>
      <c r="LE17" s="1101">
        <v>0</v>
      </c>
      <c r="LF17" s="1101">
        <v>0</v>
      </c>
      <c r="LG17" s="1101">
        <v>418108</v>
      </c>
      <c r="LH17" s="1101">
        <v>1030094</v>
      </c>
      <c r="LI17" s="1101">
        <v>0</v>
      </c>
      <c r="LJ17" s="1101">
        <v>794567</v>
      </c>
      <c r="LK17" s="1101">
        <v>0</v>
      </c>
      <c r="LL17" s="1101">
        <v>0</v>
      </c>
      <c r="LM17" s="1101">
        <v>0</v>
      </c>
      <c r="LN17" s="1101">
        <v>0</v>
      </c>
      <c r="LO17" s="1101">
        <v>0</v>
      </c>
      <c r="LP17" s="1101">
        <v>12031015</v>
      </c>
      <c r="LQ17" s="1101">
        <v>7325194</v>
      </c>
      <c r="LR17" s="1101">
        <v>0</v>
      </c>
      <c r="LS17" s="1101">
        <v>2898852</v>
      </c>
      <c r="LT17" s="1101">
        <v>0</v>
      </c>
      <c r="LU17" s="1101">
        <v>0</v>
      </c>
      <c r="LV17" s="1101">
        <v>0</v>
      </c>
      <c r="LW17" s="1101">
        <v>0</v>
      </c>
      <c r="LX17" s="1101">
        <v>0</v>
      </c>
      <c r="LY17" s="1101">
        <v>3323920</v>
      </c>
      <c r="LZ17" s="1101">
        <v>7737300</v>
      </c>
      <c r="MA17" s="1101">
        <v>0</v>
      </c>
      <c r="MB17" s="1101">
        <v>1436848</v>
      </c>
      <c r="MC17" s="1101">
        <v>54684</v>
      </c>
      <c r="MD17" s="1101">
        <v>0</v>
      </c>
      <c r="ME17" s="1101">
        <v>0</v>
      </c>
      <c r="MF17" s="1101">
        <v>0</v>
      </c>
      <c r="MG17" s="1101">
        <v>0</v>
      </c>
      <c r="MH17" s="1101">
        <v>7468979</v>
      </c>
      <c r="MI17" s="1101">
        <v>9616170</v>
      </c>
      <c r="MJ17" s="1101">
        <v>0</v>
      </c>
      <c r="MK17" s="1101">
        <v>905204</v>
      </c>
      <c r="ML17" s="1101">
        <v>0</v>
      </c>
      <c r="MM17" s="1101">
        <v>0</v>
      </c>
      <c r="MN17" s="1101">
        <v>0</v>
      </c>
      <c r="MO17" s="1101">
        <v>0</v>
      </c>
      <c r="MP17" s="1101">
        <v>0</v>
      </c>
      <c r="MQ17" s="1101">
        <v>1912622</v>
      </c>
      <c r="MR17" s="1101">
        <v>9496004</v>
      </c>
      <c r="MS17" s="1101">
        <v>0</v>
      </c>
      <c r="MT17" s="1101">
        <v>96390</v>
      </c>
      <c r="MU17" s="1101">
        <v>0</v>
      </c>
      <c r="MV17" s="1101">
        <v>0</v>
      </c>
      <c r="MW17" s="1101">
        <v>736500</v>
      </c>
      <c r="MX17" s="1101">
        <v>0</v>
      </c>
      <c r="MY17" s="1101">
        <v>0</v>
      </c>
      <c r="MZ17" s="1101">
        <v>1475531</v>
      </c>
      <c r="NA17" s="1101">
        <v>5150851</v>
      </c>
      <c r="NB17" s="1101">
        <v>0</v>
      </c>
      <c r="NC17" s="1101">
        <v>26842920</v>
      </c>
      <c r="ND17" s="1101">
        <v>0</v>
      </c>
      <c r="NE17" s="1101">
        <v>0</v>
      </c>
      <c r="NF17" s="1101">
        <v>0</v>
      </c>
      <c r="NG17" s="1101">
        <v>0</v>
      </c>
      <c r="NH17" s="1101">
        <v>0</v>
      </c>
      <c r="NI17" s="1101">
        <v>0</v>
      </c>
      <c r="NJ17" s="1101">
        <v>0</v>
      </c>
      <c r="NK17" s="1101">
        <v>38683447</v>
      </c>
      <c r="NL17" s="1101">
        <v>0</v>
      </c>
      <c r="NM17" s="1101">
        <v>0</v>
      </c>
      <c r="NN17" s="1101">
        <v>0</v>
      </c>
      <c r="NO17" s="1101">
        <v>0</v>
      </c>
      <c r="NP17" s="1101">
        <v>0</v>
      </c>
      <c r="NQ17" s="1101">
        <v>0</v>
      </c>
      <c r="NR17" s="1101">
        <v>74414</v>
      </c>
      <c r="NS17" s="1101">
        <v>993102</v>
      </c>
      <c r="NT17" s="1101">
        <v>221133</v>
      </c>
      <c r="NU17" s="1101">
        <v>247124</v>
      </c>
      <c r="NV17" s="1101">
        <v>0</v>
      </c>
      <c r="NW17" s="1101">
        <v>0</v>
      </c>
      <c r="NX17" s="1101">
        <v>0</v>
      </c>
      <c r="NY17" s="1101">
        <v>0</v>
      </c>
      <c r="NZ17" s="1101">
        <v>0</v>
      </c>
      <c r="OA17" s="1101">
        <v>0</v>
      </c>
      <c r="OB17" s="1101">
        <v>591938</v>
      </c>
      <c r="OC17" s="1101">
        <v>36640</v>
      </c>
      <c r="OD17" s="1101">
        <v>0</v>
      </c>
      <c r="OE17" s="1101">
        <v>0</v>
      </c>
      <c r="OF17" s="1101">
        <v>0</v>
      </c>
      <c r="OG17" s="1101">
        <v>0</v>
      </c>
      <c r="OH17" s="1101">
        <v>0</v>
      </c>
      <c r="OI17" s="1101">
        <v>2708694</v>
      </c>
      <c r="OJ17" s="1101">
        <v>0</v>
      </c>
      <c r="OK17" s="1101">
        <v>0</v>
      </c>
      <c r="OL17" s="1101">
        <v>0</v>
      </c>
      <c r="OM17" s="1101">
        <v>0</v>
      </c>
      <c r="ON17" s="1101">
        <v>0</v>
      </c>
      <c r="OO17" s="1101">
        <v>0</v>
      </c>
      <c r="OP17" s="1101">
        <v>-15777249</v>
      </c>
      <c r="OQ17" s="1101">
        <v>0</v>
      </c>
      <c r="OR17" s="1101">
        <v>0</v>
      </c>
      <c r="OS17" s="1101">
        <v>-3294005</v>
      </c>
      <c r="OT17" s="1101">
        <v>15382803</v>
      </c>
      <c r="OU17" s="1101">
        <v>-2843470</v>
      </c>
      <c r="OV17" s="1101">
        <v>-23586930</v>
      </c>
      <c r="OW17" s="1101">
        <v>19288</v>
      </c>
      <c r="OX17" s="1101">
        <v>1765687</v>
      </c>
      <c r="OY17" s="1101">
        <v>38649414</v>
      </c>
      <c r="OZ17" s="1101">
        <v>0</v>
      </c>
      <c r="PA17" s="1101">
        <v>0</v>
      </c>
      <c r="PB17" s="1101">
        <v>0</v>
      </c>
      <c r="PC17" s="1101">
        <v>0</v>
      </c>
      <c r="PD17" s="1101">
        <v>0</v>
      </c>
      <c r="PE17" s="1101">
        <v>0</v>
      </c>
      <c r="PF17" s="1101">
        <v>0</v>
      </c>
      <c r="PG17" s="1101">
        <v>0</v>
      </c>
      <c r="PH17" s="1101">
        <v>0</v>
      </c>
      <c r="PI17" s="1101">
        <v>0</v>
      </c>
      <c r="PJ17" s="1101">
        <v>0</v>
      </c>
      <c r="PK17" s="1101">
        <v>-10730763</v>
      </c>
      <c r="PL17" s="1101">
        <v>-1249579</v>
      </c>
      <c r="PM17" s="1101">
        <v>-13703188</v>
      </c>
      <c r="PN17" s="1101">
        <v>-1200193</v>
      </c>
      <c r="PO17" s="1101">
        <v>0</v>
      </c>
      <c r="PP17" s="1101">
        <v>0</v>
      </c>
      <c r="PQ17" s="1101">
        <v>0</v>
      </c>
      <c r="PR17" s="1101">
        <v>0</v>
      </c>
      <c r="PS17" s="1101">
        <v>0</v>
      </c>
      <c r="PT17" s="1101">
        <v>324869</v>
      </c>
      <c r="PU17" s="1101">
        <v>11981110</v>
      </c>
      <c r="PV17" s="1101">
        <v>1259800</v>
      </c>
      <c r="PW17" s="1101">
        <v>856104</v>
      </c>
      <c r="PX17" s="1101">
        <v>302169</v>
      </c>
      <c r="PY17" s="1101">
        <v>7746119</v>
      </c>
      <c r="PZ17" s="1101">
        <v>1849485</v>
      </c>
      <c r="QA17" s="1101">
        <v>0</v>
      </c>
      <c r="QB17" s="1101">
        <v>0</v>
      </c>
      <c r="QC17" s="1101">
        <v>0</v>
      </c>
      <c r="QD17" s="1101">
        <v>0</v>
      </c>
      <c r="QE17" s="1101">
        <v>0</v>
      </c>
      <c r="QF17" s="1101">
        <v>0</v>
      </c>
      <c r="QG17" s="1101">
        <v>0</v>
      </c>
      <c r="QH17" s="1101">
        <v>2378088</v>
      </c>
      <c r="QI17" s="1101">
        <v>0</v>
      </c>
      <c r="QJ17" s="1101">
        <v>0</v>
      </c>
      <c r="QK17" s="1101">
        <v>0</v>
      </c>
      <c r="QL17" s="1101">
        <v>0</v>
      </c>
      <c r="QM17" s="1101">
        <v>0</v>
      </c>
      <c r="QN17" s="1101">
        <v>0</v>
      </c>
      <c r="QO17" s="1101">
        <v>0</v>
      </c>
      <c r="QP17" s="1101">
        <v>0</v>
      </c>
      <c r="QQ17" s="1101">
        <v>0</v>
      </c>
      <c r="QR17" s="1101">
        <v>0</v>
      </c>
      <c r="QS17" s="1101">
        <v>0</v>
      </c>
      <c r="QT17" s="1101">
        <v>0</v>
      </c>
      <c r="QU17" s="1101">
        <v>0</v>
      </c>
      <c r="QV17" s="1101">
        <v>0</v>
      </c>
      <c r="QW17" s="1101">
        <v>0</v>
      </c>
      <c r="QX17" s="1101">
        <v>0</v>
      </c>
      <c r="QY17" s="1101">
        <v>0</v>
      </c>
      <c r="QZ17" s="1101">
        <v>0</v>
      </c>
      <c r="RA17" s="1101">
        <v>0</v>
      </c>
      <c r="RB17" s="1101">
        <v>0</v>
      </c>
      <c r="RC17" s="1101">
        <v>-30572355</v>
      </c>
      <c r="RD17" s="1101">
        <v>0</v>
      </c>
      <c r="RE17" s="1101">
        <v>0</v>
      </c>
      <c r="RF17" s="1101">
        <v>0</v>
      </c>
      <c r="RG17" s="1101">
        <v>0</v>
      </c>
      <c r="RH17" s="1101">
        <v>0</v>
      </c>
      <c r="RI17" s="1101">
        <v>0</v>
      </c>
      <c r="RJ17" s="1101">
        <v>0</v>
      </c>
      <c r="RK17" s="1101">
        <v>0</v>
      </c>
      <c r="RL17" s="1101">
        <v>20675406</v>
      </c>
      <c r="RM17" s="1101">
        <v>0</v>
      </c>
      <c r="RN17" s="1101">
        <v>0</v>
      </c>
      <c r="RO17" s="1101">
        <v>0</v>
      </c>
      <c r="RP17" s="1101">
        <v>0</v>
      </c>
      <c r="RQ17" s="1101">
        <v>0</v>
      </c>
      <c r="RR17" s="1101">
        <v>0</v>
      </c>
      <c r="RS17" s="1101">
        <v>0</v>
      </c>
      <c r="RT17" s="1101">
        <v>0</v>
      </c>
      <c r="RU17" s="1101">
        <v>0</v>
      </c>
      <c r="RV17" s="1101">
        <v>0</v>
      </c>
      <c r="RW17" s="1101">
        <v>0</v>
      </c>
      <c r="RX17" s="1101">
        <v>0</v>
      </c>
      <c r="RY17" s="1101">
        <v>0</v>
      </c>
      <c r="RZ17" s="1101">
        <v>0</v>
      </c>
      <c r="SA17" s="1101">
        <v>0</v>
      </c>
      <c r="SB17" s="1101">
        <v>0</v>
      </c>
      <c r="SC17" s="1101">
        <v>0</v>
      </c>
      <c r="SD17" s="1101">
        <v>157067</v>
      </c>
      <c r="SE17" s="1101">
        <v>74414</v>
      </c>
      <c r="SF17" s="1101">
        <v>993102</v>
      </c>
      <c r="SG17" s="1101">
        <v>221133</v>
      </c>
      <c r="SH17" s="1101">
        <v>247124</v>
      </c>
      <c r="SI17" s="1101">
        <v>0</v>
      </c>
      <c r="SJ17" s="1101">
        <v>0</v>
      </c>
      <c r="SK17" s="1101">
        <v>15777249</v>
      </c>
      <c r="SL17" s="1102">
        <v>0</v>
      </c>
      <c r="SM17" s="1101">
        <v>0</v>
      </c>
      <c r="SN17" s="1101">
        <v>79929383</v>
      </c>
      <c r="SO17" s="1102"/>
      <c r="SP17" s="1103"/>
      <c r="SQ17" s="1104">
        <v>126580850</v>
      </c>
      <c r="SR17" s="1104">
        <v>-31491222</v>
      </c>
      <c r="SS17" s="1105">
        <v>465081</v>
      </c>
      <c r="ST17" s="1106">
        <v>202345</v>
      </c>
      <c r="SU17" s="1106">
        <v>11565</v>
      </c>
      <c r="SV17" s="1106">
        <v>220014</v>
      </c>
      <c r="SW17" s="1106">
        <v>137078</v>
      </c>
      <c r="SX17" s="1106">
        <v>156560</v>
      </c>
      <c r="SY17" s="1106">
        <v>121997</v>
      </c>
      <c r="SZ17" s="1106">
        <v>0</v>
      </c>
      <c r="TA17" s="1106">
        <v>221133</v>
      </c>
      <c r="TB17" s="1106">
        <v>0</v>
      </c>
      <c r="TC17" s="1105">
        <v>0</v>
      </c>
      <c r="TD17" s="1106">
        <v>105137</v>
      </c>
      <c r="TE17" s="1106">
        <v>0</v>
      </c>
      <c r="TF17" s="1106">
        <v>0</v>
      </c>
      <c r="TG17" s="1106">
        <v>0</v>
      </c>
      <c r="TH17" s="1106">
        <v>0</v>
      </c>
      <c r="TI17" s="1106">
        <v>0</v>
      </c>
      <c r="TJ17" s="1106">
        <v>0</v>
      </c>
      <c r="TK17" s="1105">
        <v>0</v>
      </c>
      <c r="TL17" s="1106">
        <v>0</v>
      </c>
      <c r="TM17" s="1106">
        <v>0</v>
      </c>
      <c r="TN17" s="1106">
        <v>0</v>
      </c>
      <c r="TO17" s="1106">
        <v>0</v>
      </c>
      <c r="TP17" s="1106">
        <v>0</v>
      </c>
      <c r="TQ17" s="1106">
        <v>0</v>
      </c>
      <c r="TR17" s="1106">
        <v>0</v>
      </c>
      <c r="TS17" s="1105">
        <v>51226635</v>
      </c>
      <c r="TT17" s="1106">
        <v>15607662</v>
      </c>
      <c r="TU17" s="1106">
        <v>2242769</v>
      </c>
      <c r="TV17" s="1106">
        <v>22255061</v>
      </c>
      <c r="TW17" s="1106">
        <v>12552752</v>
      </c>
      <c r="TX17" s="1106">
        <v>17990353</v>
      </c>
      <c r="TY17" s="1106">
        <v>12241516</v>
      </c>
      <c r="TZ17" s="1107">
        <v>33469302</v>
      </c>
      <c r="UA17" s="1107">
        <v>38683447</v>
      </c>
      <c r="UB17" s="1105">
        <v>45658499</v>
      </c>
      <c r="UC17" s="1108">
        <v>24319656</v>
      </c>
      <c r="UD17" s="1108"/>
      <c r="UE17" s="1103"/>
      <c r="UF17" s="1109" t="s">
        <v>2424</v>
      </c>
      <c r="UG17" s="1110" t="s">
        <v>2427</v>
      </c>
      <c r="UH17" s="1110" t="s">
        <v>2428</v>
      </c>
    </row>
    <row r="18" spans="1:554" s="776" customFormat="1" ht="33" customHeight="1" thickBot="1">
      <c r="A18" s="1093">
        <v>170</v>
      </c>
      <c r="B18" s="1094" t="s">
        <v>109</v>
      </c>
      <c r="C18" s="1095" t="s">
        <v>314</v>
      </c>
      <c r="D18" s="1096" t="s">
        <v>2398</v>
      </c>
      <c r="E18" s="1097">
        <v>11161</v>
      </c>
      <c r="F18" s="1098">
        <v>1197926272</v>
      </c>
      <c r="G18" s="1096" t="s">
        <v>2399</v>
      </c>
      <c r="H18" s="1100" t="s">
        <v>109</v>
      </c>
      <c r="I18" s="1100"/>
      <c r="J18" s="1100"/>
      <c r="K18" s="1100"/>
      <c r="L18" s="1100"/>
      <c r="M18" s="1101">
        <v>59915259</v>
      </c>
      <c r="N18" s="1101">
        <v>0</v>
      </c>
      <c r="O18" s="1101">
        <v>0</v>
      </c>
      <c r="P18" s="1101">
        <v>0</v>
      </c>
      <c r="Q18" s="1101">
        <v>0</v>
      </c>
      <c r="R18" s="1101">
        <v>0</v>
      </c>
      <c r="S18" s="1101">
        <v>0</v>
      </c>
      <c r="T18" s="1101">
        <v>0</v>
      </c>
      <c r="U18" s="1101">
        <v>0</v>
      </c>
      <c r="V18" s="1101">
        <v>149201</v>
      </c>
      <c r="W18" s="1101">
        <v>85763</v>
      </c>
      <c r="X18" s="1101">
        <v>0</v>
      </c>
      <c r="Y18" s="1101">
        <v>9096684</v>
      </c>
      <c r="Z18" s="1101">
        <v>0</v>
      </c>
      <c r="AA18" s="1101">
        <v>0</v>
      </c>
      <c r="AB18" s="1101">
        <v>0</v>
      </c>
      <c r="AC18" s="1101">
        <v>0</v>
      </c>
      <c r="AD18" s="1101">
        <v>0</v>
      </c>
      <c r="AE18" s="1101">
        <v>0</v>
      </c>
      <c r="AF18" s="1101">
        <v>0</v>
      </c>
      <c r="AG18" s="1101">
        <v>0</v>
      </c>
      <c r="AH18" s="1101">
        <v>0</v>
      </c>
      <c r="AI18" s="1101">
        <v>0</v>
      </c>
      <c r="AJ18" s="1101">
        <v>0</v>
      </c>
      <c r="AK18" s="1101">
        <v>0</v>
      </c>
      <c r="AL18" s="1101">
        <v>0</v>
      </c>
      <c r="AM18" s="1101">
        <v>0</v>
      </c>
      <c r="AN18" s="1101">
        <v>11478824</v>
      </c>
      <c r="AO18" s="1101">
        <v>0</v>
      </c>
      <c r="AP18" s="1101">
        <v>0</v>
      </c>
      <c r="AQ18" s="1101">
        <v>0</v>
      </c>
      <c r="AR18" s="1101">
        <v>0</v>
      </c>
      <c r="AS18" s="1101">
        <v>0</v>
      </c>
      <c r="AT18" s="1101">
        <v>0</v>
      </c>
      <c r="AU18" s="1101">
        <v>0</v>
      </c>
      <c r="AV18" s="1101">
        <v>0</v>
      </c>
      <c r="AW18" s="1101">
        <v>0</v>
      </c>
      <c r="AX18" s="1101">
        <v>0</v>
      </c>
      <c r="AY18" s="1101">
        <v>0</v>
      </c>
      <c r="AZ18" s="1101">
        <v>0</v>
      </c>
      <c r="BA18" s="1101">
        <v>0</v>
      </c>
      <c r="BB18" s="1101">
        <v>0</v>
      </c>
      <c r="BC18" s="1101">
        <v>0</v>
      </c>
      <c r="BD18" s="1101">
        <v>0</v>
      </c>
      <c r="BE18" s="1101">
        <v>0</v>
      </c>
      <c r="BF18" s="1101">
        <v>-3221002</v>
      </c>
      <c r="BG18" s="1101">
        <v>0</v>
      </c>
      <c r="BH18" s="1101">
        <v>0</v>
      </c>
      <c r="BI18" s="1101">
        <v>0</v>
      </c>
      <c r="BJ18" s="1101">
        <v>0</v>
      </c>
      <c r="BK18" s="1101">
        <v>0</v>
      </c>
      <c r="BL18" s="1101">
        <v>0</v>
      </c>
      <c r="BM18" s="1101">
        <v>0</v>
      </c>
      <c r="BN18" s="1101">
        <v>0</v>
      </c>
      <c r="BO18" s="1101">
        <v>0</v>
      </c>
      <c r="BP18" s="1101">
        <v>0</v>
      </c>
      <c r="BQ18" s="1101">
        <v>0</v>
      </c>
      <c r="BR18" s="1101">
        <v>0</v>
      </c>
      <c r="BS18" s="1101">
        <v>0</v>
      </c>
      <c r="BT18" s="1101">
        <v>0</v>
      </c>
      <c r="BU18" s="1101">
        <v>0</v>
      </c>
      <c r="BV18" s="1101">
        <v>0</v>
      </c>
      <c r="BW18" s="1101">
        <v>0</v>
      </c>
      <c r="BX18" s="1101">
        <v>0</v>
      </c>
      <c r="BY18" s="1101">
        <v>0</v>
      </c>
      <c r="BZ18" s="1101">
        <v>0</v>
      </c>
      <c r="CA18" s="1101">
        <v>0</v>
      </c>
      <c r="CB18" s="1101">
        <v>0</v>
      </c>
      <c r="CC18" s="1101">
        <v>0</v>
      </c>
      <c r="CD18" s="1101">
        <v>0</v>
      </c>
      <c r="CE18" s="1101">
        <v>0</v>
      </c>
      <c r="CF18" s="1101">
        <v>0</v>
      </c>
      <c r="CG18" s="1101">
        <v>0</v>
      </c>
      <c r="CH18" s="1101">
        <v>0</v>
      </c>
      <c r="CI18" s="1101">
        <v>0</v>
      </c>
      <c r="CJ18" s="1101">
        <v>0</v>
      </c>
      <c r="CK18" s="1101">
        <v>0</v>
      </c>
      <c r="CL18" s="1101">
        <v>0</v>
      </c>
      <c r="CM18" s="1101">
        <v>0</v>
      </c>
      <c r="CN18" s="1101">
        <v>0</v>
      </c>
      <c r="CO18" s="1101">
        <v>0</v>
      </c>
      <c r="CP18" s="1101">
        <v>17725814</v>
      </c>
      <c r="CQ18" s="1101">
        <v>36344267</v>
      </c>
      <c r="CR18" s="1101">
        <v>0</v>
      </c>
      <c r="CS18" s="1101">
        <v>0</v>
      </c>
      <c r="CT18" s="1101">
        <v>0</v>
      </c>
      <c r="CU18" s="1101">
        <v>0</v>
      </c>
      <c r="CV18" s="1101">
        <v>0</v>
      </c>
      <c r="CW18" s="1101">
        <v>0</v>
      </c>
      <c r="CX18" s="1101">
        <v>0</v>
      </c>
      <c r="CY18" s="1101">
        <v>-122856</v>
      </c>
      <c r="CZ18" s="1101">
        <v>-37355</v>
      </c>
      <c r="DA18" s="1101">
        <v>0</v>
      </c>
      <c r="DB18" s="1101">
        <v>0</v>
      </c>
      <c r="DC18" s="1101">
        <v>0</v>
      </c>
      <c r="DD18" s="1101">
        <v>0</v>
      </c>
      <c r="DE18" s="1101">
        <v>0</v>
      </c>
      <c r="DF18" s="1101">
        <v>0</v>
      </c>
      <c r="DG18" s="1101">
        <v>0</v>
      </c>
      <c r="DH18" s="1101">
        <v>0</v>
      </c>
      <c r="DI18" s="1101">
        <v>0</v>
      </c>
      <c r="DJ18" s="1101">
        <v>0</v>
      </c>
      <c r="DK18" s="1101">
        <v>0</v>
      </c>
      <c r="DL18" s="1101">
        <v>0</v>
      </c>
      <c r="DM18" s="1101">
        <v>0</v>
      </c>
      <c r="DN18" s="1101">
        <v>0</v>
      </c>
      <c r="DO18" s="1101">
        <v>0</v>
      </c>
      <c r="DP18" s="1101">
        <v>0</v>
      </c>
      <c r="DQ18" s="1101">
        <v>-1189087</v>
      </c>
      <c r="DR18" s="1101">
        <v>-3199402</v>
      </c>
      <c r="DS18" s="1101">
        <v>0</v>
      </c>
      <c r="DT18" s="1101">
        <v>0</v>
      </c>
      <c r="DU18" s="1101">
        <v>0</v>
      </c>
      <c r="DV18" s="1101">
        <v>0</v>
      </c>
      <c r="DW18" s="1101">
        <v>0</v>
      </c>
      <c r="DX18" s="1101">
        <v>0</v>
      </c>
      <c r="DY18" s="1101">
        <v>0</v>
      </c>
      <c r="DZ18" s="1101">
        <v>0</v>
      </c>
      <c r="EA18" s="1101">
        <v>0</v>
      </c>
      <c r="EB18" s="1101">
        <v>0</v>
      </c>
      <c r="EC18" s="1101">
        <v>0</v>
      </c>
      <c r="ED18" s="1101">
        <v>0</v>
      </c>
      <c r="EE18" s="1101">
        <v>0</v>
      </c>
      <c r="EF18" s="1101">
        <v>0</v>
      </c>
      <c r="EG18" s="1101">
        <v>0</v>
      </c>
      <c r="EH18" s="1101">
        <v>0</v>
      </c>
      <c r="EI18" s="1101">
        <v>-3578086</v>
      </c>
      <c r="EJ18" s="1101">
        <v>-6789553</v>
      </c>
      <c r="EK18" s="1101">
        <v>0</v>
      </c>
      <c r="EL18" s="1101">
        <v>0</v>
      </c>
      <c r="EM18" s="1101">
        <v>0</v>
      </c>
      <c r="EN18" s="1101">
        <v>0</v>
      </c>
      <c r="EO18" s="1101">
        <v>0</v>
      </c>
      <c r="EP18" s="1101">
        <v>0</v>
      </c>
      <c r="EQ18" s="1101">
        <v>0</v>
      </c>
      <c r="ER18" s="1101">
        <v>0</v>
      </c>
      <c r="ES18" s="1101">
        <v>0</v>
      </c>
      <c r="ET18" s="1101">
        <v>0</v>
      </c>
      <c r="EU18" s="1101">
        <v>0</v>
      </c>
      <c r="EV18" s="1101">
        <v>0</v>
      </c>
      <c r="EW18" s="1101">
        <v>0</v>
      </c>
      <c r="EX18" s="1101">
        <v>0</v>
      </c>
      <c r="EY18" s="1101">
        <v>0</v>
      </c>
      <c r="EZ18" s="1101">
        <v>0</v>
      </c>
      <c r="FA18" s="1101">
        <v>0</v>
      </c>
      <c r="FB18" s="1101">
        <v>0</v>
      </c>
      <c r="FC18" s="1101">
        <v>0</v>
      </c>
      <c r="FD18" s="1101">
        <v>0</v>
      </c>
      <c r="FE18" s="1101">
        <v>0</v>
      </c>
      <c r="FF18" s="1101">
        <v>0</v>
      </c>
      <c r="FG18" s="1101">
        <v>0</v>
      </c>
      <c r="FH18" s="1101">
        <v>0</v>
      </c>
      <c r="FI18" s="1101">
        <v>0</v>
      </c>
      <c r="FJ18" s="1101">
        <v>0</v>
      </c>
      <c r="FK18" s="1101">
        <v>0</v>
      </c>
      <c r="FL18" s="1101">
        <v>0</v>
      </c>
      <c r="FM18" s="1101">
        <v>0</v>
      </c>
      <c r="FN18" s="1101">
        <v>0</v>
      </c>
      <c r="FO18" s="1101">
        <v>0</v>
      </c>
      <c r="FP18" s="1101">
        <v>0</v>
      </c>
      <c r="FQ18" s="1101">
        <v>0</v>
      </c>
      <c r="FR18" s="1101">
        <v>0</v>
      </c>
      <c r="FS18" s="1101">
        <v>0</v>
      </c>
      <c r="FT18" s="1101">
        <v>0</v>
      </c>
      <c r="FU18" s="1101">
        <v>0</v>
      </c>
      <c r="FV18" s="1101">
        <v>0</v>
      </c>
      <c r="FW18" s="1101">
        <v>0</v>
      </c>
      <c r="FX18" s="1101">
        <v>0</v>
      </c>
      <c r="FY18" s="1101">
        <v>0</v>
      </c>
      <c r="FZ18" s="1101">
        <v>0</v>
      </c>
      <c r="GA18" s="1101">
        <v>0</v>
      </c>
      <c r="GB18" s="1101">
        <v>259682</v>
      </c>
      <c r="GC18" s="1101">
        <v>39055073</v>
      </c>
      <c r="GD18" s="1101">
        <v>20051285</v>
      </c>
      <c r="GE18" s="1101">
        <v>0</v>
      </c>
      <c r="GF18" s="1101">
        <v>0</v>
      </c>
      <c r="GG18" s="1101">
        <v>0</v>
      </c>
      <c r="GH18" s="1101">
        <v>0</v>
      </c>
      <c r="GI18" s="1101">
        <v>0</v>
      </c>
      <c r="GJ18" s="1101">
        <v>0</v>
      </c>
      <c r="GK18" s="1101">
        <v>0</v>
      </c>
      <c r="GL18" s="1101">
        <v>0</v>
      </c>
      <c r="GM18" s="1101">
        <v>0</v>
      </c>
      <c r="GN18" s="1101">
        <v>0</v>
      </c>
      <c r="GO18" s="1101">
        <v>0</v>
      </c>
      <c r="GP18" s="1101">
        <v>0</v>
      </c>
      <c r="GQ18" s="1101">
        <v>0</v>
      </c>
      <c r="GR18" s="1101">
        <v>0</v>
      </c>
      <c r="GS18" s="1101">
        <v>0</v>
      </c>
      <c r="GT18" s="1101">
        <v>0</v>
      </c>
      <c r="GU18" s="1101">
        <v>0</v>
      </c>
      <c r="GV18" s="1101">
        <v>0</v>
      </c>
      <c r="GW18" s="1101">
        <v>0</v>
      </c>
      <c r="GX18" s="1101">
        <v>0</v>
      </c>
      <c r="GY18" s="1101">
        <v>0</v>
      </c>
      <c r="GZ18" s="1101">
        <v>0</v>
      </c>
      <c r="HA18" s="1101">
        <v>0</v>
      </c>
      <c r="HB18" s="1101">
        <v>0</v>
      </c>
      <c r="HC18" s="1101">
        <v>-285530</v>
      </c>
      <c r="HD18" s="1101">
        <v>-2860151</v>
      </c>
      <c r="HE18" s="1101">
        <v>-2824578</v>
      </c>
      <c r="HF18" s="1101">
        <v>0</v>
      </c>
      <c r="HG18" s="1101">
        <v>0</v>
      </c>
      <c r="HH18" s="1101">
        <v>0</v>
      </c>
      <c r="HI18" s="1101">
        <v>0</v>
      </c>
      <c r="HJ18" s="1101">
        <v>0</v>
      </c>
      <c r="HK18" s="1101">
        <v>0</v>
      </c>
      <c r="HL18" s="1101">
        <v>0</v>
      </c>
      <c r="HM18" s="1101">
        <v>0</v>
      </c>
      <c r="HN18" s="1101">
        <v>0</v>
      </c>
      <c r="HO18" s="1101">
        <v>0</v>
      </c>
      <c r="HP18" s="1101">
        <v>0</v>
      </c>
      <c r="HQ18" s="1101">
        <v>0</v>
      </c>
      <c r="HR18" s="1101">
        <v>0</v>
      </c>
      <c r="HS18" s="1101">
        <v>0</v>
      </c>
      <c r="HT18" s="1101">
        <v>0</v>
      </c>
      <c r="HU18" s="1101">
        <v>213891</v>
      </c>
      <c r="HV18" s="1101">
        <v>-7913990</v>
      </c>
      <c r="HW18" s="1101">
        <v>-2706979</v>
      </c>
      <c r="HX18" s="1101">
        <v>0</v>
      </c>
      <c r="HY18" s="1101">
        <v>0</v>
      </c>
      <c r="HZ18" s="1101">
        <v>0</v>
      </c>
      <c r="IA18" s="1101">
        <v>0</v>
      </c>
      <c r="IB18" s="1101">
        <v>0</v>
      </c>
      <c r="IC18" s="1101">
        <v>0</v>
      </c>
      <c r="ID18" s="1101">
        <v>2065922</v>
      </c>
      <c r="IE18" s="1101">
        <v>3333462</v>
      </c>
      <c r="IF18" s="1101">
        <v>0</v>
      </c>
      <c r="IG18" s="1101">
        <v>59269383</v>
      </c>
      <c r="IH18" s="1101">
        <v>0</v>
      </c>
      <c r="II18" s="1101">
        <v>0</v>
      </c>
      <c r="IJ18" s="1101">
        <v>0</v>
      </c>
      <c r="IK18" s="1101">
        <v>0</v>
      </c>
      <c r="IL18" s="1101">
        <v>0</v>
      </c>
      <c r="IM18" s="1101">
        <v>27864</v>
      </c>
      <c r="IN18" s="1101">
        <v>6058088</v>
      </c>
      <c r="IO18" s="1101">
        <v>1435973</v>
      </c>
      <c r="IP18" s="1101">
        <v>410551</v>
      </c>
      <c r="IQ18" s="1101">
        <v>57863</v>
      </c>
      <c r="IR18" s="1101">
        <v>8448</v>
      </c>
      <c r="IS18" s="1101">
        <v>0</v>
      </c>
      <c r="IT18" s="1101">
        <v>0</v>
      </c>
      <c r="IU18" s="1101">
        <v>0</v>
      </c>
      <c r="IV18" s="1101">
        <v>0</v>
      </c>
      <c r="IW18" s="1101">
        <v>0</v>
      </c>
      <c r="IX18" s="1101">
        <v>0</v>
      </c>
      <c r="IY18" s="1101">
        <v>0</v>
      </c>
      <c r="IZ18" s="1101">
        <v>0</v>
      </c>
      <c r="JA18" s="1101">
        <v>0</v>
      </c>
      <c r="JB18" s="1101">
        <v>0</v>
      </c>
      <c r="JC18" s="1101">
        <v>0</v>
      </c>
      <c r="JD18" s="1101">
        <v>0</v>
      </c>
      <c r="JE18" s="1101">
        <v>0</v>
      </c>
      <c r="JF18" s="1101">
        <v>1930509</v>
      </c>
      <c r="JG18" s="1101">
        <v>1062127</v>
      </c>
      <c r="JH18" s="1101">
        <v>13024484</v>
      </c>
      <c r="JI18" s="1101">
        <v>0</v>
      </c>
      <c r="JJ18" s="1101">
        <v>0</v>
      </c>
      <c r="JK18" s="1101">
        <v>221</v>
      </c>
      <c r="JL18" s="1101">
        <v>0</v>
      </c>
      <c r="JM18" s="1101">
        <v>0</v>
      </c>
      <c r="JN18" s="1101">
        <v>0</v>
      </c>
      <c r="JO18" s="1101">
        <v>2086293</v>
      </c>
      <c r="JP18" s="1101">
        <v>0</v>
      </c>
      <c r="JQ18" s="1101">
        <v>-2166451</v>
      </c>
      <c r="JR18" s="1101">
        <v>0</v>
      </c>
      <c r="JS18" s="1101">
        <v>0</v>
      </c>
      <c r="JT18" s="1101">
        <v>0</v>
      </c>
      <c r="JU18" s="1101">
        <v>0</v>
      </c>
      <c r="JV18" s="1101">
        <v>0</v>
      </c>
      <c r="JW18" s="1101">
        <v>0</v>
      </c>
      <c r="JX18" s="1101">
        <v>0</v>
      </c>
      <c r="JY18" s="1101">
        <v>6626824</v>
      </c>
      <c r="JZ18" s="1101">
        <v>0</v>
      </c>
      <c r="KA18" s="1101">
        <v>0</v>
      </c>
      <c r="KB18" s="1101">
        <v>0</v>
      </c>
      <c r="KC18" s="1101">
        <v>0</v>
      </c>
      <c r="KD18" s="1101">
        <v>0</v>
      </c>
      <c r="KE18" s="1101">
        <v>0</v>
      </c>
      <c r="KF18" s="1101">
        <v>184421</v>
      </c>
      <c r="KG18" s="1101">
        <v>6480689</v>
      </c>
      <c r="KH18" s="1101">
        <v>1159482</v>
      </c>
      <c r="KI18" s="1101">
        <v>-4030565</v>
      </c>
      <c r="KJ18" s="1101">
        <v>0</v>
      </c>
      <c r="KK18" s="1101">
        <v>0</v>
      </c>
      <c r="KL18" s="1101">
        <v>372532</v>
      </c>
      <c r="KM18" s="1101">
        <v>0</v>
      </c>
      <c r="KN18" s="1101">
        <v>33013</v>
      </c>
      <c r="KO18" s="1101">
        <v>36173030</v>
      </c>
      <c r="KP18" s="1101">
        <v>23960562</v>
      </c>
      <c r="KQ18" s="1101">
        <v>0</v>
      </c>
      <c r="KR18" s="1101">
        <v>4168069</v>
      </c>
      <c r="KS18" s="1101">
        <v>0</v>
      </c>
      <c r="KT18" s="1101">
        <v>0</v>
      </c>
      <c r="KU18" s="1101">
        <v>0</v>
      </c>
      <c r="KV18" s="1101">
        <v>0</v>
      </c>
      <c r="KW18" s="1101">
        <v>0</v>
      </c>
      <c r="KX18" s="1101">
        <v>5734599</v>
      </c>
      <c r="KY18" s="1101">
        <v>2306414</v>
      </c>
      <c r="KZ18" s="1101">
        <v>0</v>
      </c>
      <c r="LA18" s="1101">
        <v>17747211</v>
      </c>
      <c r="LB18" s="1101">
        <v>0</v>
      </c>
      <c r="LC18" s="1101">
        <v>0</v>
      </c>
      <c r="LD18" s="1101">
        <v>0</v>
      </c>
      <c r="LE18" s="1101">
        <v>0</v>
      </c>
      <c r="LF18" s="1101">
        <v>0</v>
      </c>
      <c r="LG18" s="1101">
        <v>870306</v>
      </c>
      <c r="LH18" s="1101">
        <v>634102</v>
      </c>
      <c r="LI18" s="1101">
        <v>0</v>
      </c>
      <c r="LJ18" s="1101">
        <v>1028424</v>
      </c>
      <c r="LK18" s="1101">
        <v>0</v>
      </c>
      <c r="LL18" s="1101">
        <v>0</v>
      </c>
      <c r="LM18" s="1101">
        <v>0</v>
      </c>
      <c r="LN18" s="1101">
        <v>0</v>
      </c>
      <c r="LO18" s="1101">
        <v>0</v>
      </c>
      <c r="LP18" s="1101">
        <v>12637945</v>
      </c>
      <c r="LQ18" s="1101">
        <v>16934988</v>
      </c>
      <c r="LR18" s="1101">
        <v>0</v>
      </c>
      <c r="LS18" s="1101">
        <v>1848731</v>
      </c>
      <c r="LT18" s="1101">
        <v>0</v>
      </c>
      <c r="LU18" s="1101">
        <v>0</v>
      </c>
      <c r="LV18" s="1101">
        <v>0</v>
      </c>
      <c r="LW18" s="1101">
        <v>0</v>
      </c>
      <c r="LX18" s="1101">
        <v>0</v>
      </c>
      <c r="LY18" s="1101">
        <v>4272410</v>
      </c>
      <c r="LZ18" s="1101">
        <v>8373911</v>
      </c>
      <c r="MA18" s="1101">
        <v>0</v>
      </c>
      <c r="MB18" s="1101">
        <v>380604</v>
      </c>
      <c r="MC18" s="1101">
        <v>493268</v>
      </c>
      <c r="MD18" s="1101">
        <v>0</v>
      </c>
      <c r="ME18" s="1101">
        <v>20</v>
      </c>
      <c r="MF18" s="1101">
        <v>0</v>
      </c>
      <c r="MG18" s="1101">
        <v>0</v>
      </c>
      <c r="MH18" s="1101">
        <v>6170259</v>
      </c>
      <c r="MI18" s="1101">
        <v>8168738</v>
      </c>
      <c r="MJ18" s="1101">
        <v>0</v>
      </c>
      <c r="MK18" s="1101">
        <v>956197</v>
      </c>
      <c r="ML18" s="1101">
        <v>0</v>
      </c>
      <c r="MM18" s="1101">
        <v>0</v>
      </c>
      <c r="MN18" s="1101">
        <v>0</v>
      </c>
      <c r="MO18" s="1101">
        <v>0</v>
      </c>
      <c r="MP18" s="1101">
        <v>0</v>
      </c>
      <c r="MQ18" s="1101">
        <v>2952249</v>
      </c>
      <c r="MR18" s="1101">
        <v>10155042</v>
      </c>
      <c r="MS18" s="1101">
        <v>0</v>
      </c>
      <c r="MT18" s="1101">
        <v>199083</v>
      </c>
      <c r="MU18" s="1101">
        <v>0</v>
      </c>
      <c r="MV18" s="1101">
        <v>0</v>
      </c>
      <c r="MW18" s="1101">
        <v>0</v>
      </c>
      <c r="MX18" s="1101">
        <v>0</v>
      </c>
      <c r="MY18" s="1101">
        <v>0</v>
      </c>
      <c r="MZ18" s="1101">
        <v>2609503</v>
      </c>
      <c r="NA18" s="1101">
        <v>8005718</v>
      </c>
      <c r="NB18" s="1101">
        <v>0</v>
      </c>
      <c r="NC18" s="1101">
        <v>25627072</v>
      </c>
      <c r="ND18" s="1101">
        <v>0</v>
      </c>
      <c r="NE18" s="1101">
        <v>0</v>
      </c>
      <c r="NF18" s="1101">
        <v>0</v>
      </c>
      <c r="NG18" s="1101">
        <v>0</v>
      </c>
      <c r="NH18" s="1101">
        <v>0</v>
      </c>
      <c r="NI18" s="1101">
        <v>0</v>
      </c>
      <c r="NJ18" s="1101">
        <v>0</v>
      </c>
      <c r="NK18" s="1101">
        <v>22877449</v>
      </c>
      <c r="NL18" s="1101">
        <v>0</v>
      </c>
      <c r="NM18" s="1101">
        <v>0</v>
      </c>
      <c r="NN18" s="1101">
        <v>0</v>
      </c>
      <c r="NO18" s="1101">
        <v>0</v>
      </c>
      <c r="NP18" s="1101">
        <v>0</v>
      </c>
      <c r="NQ18" s="1101">
        <v>0</v>
      </c>
      <c r="NR18" s="1101">
        <v>2173892</v>
      </c>
      <c r="NS18" s="1101">
        <v>737817</v>
      </c>
      <c r="NT18" s="1101">
        <v>50065</v>
      </c>
      <c r="NU18" s="1101">
        <v>1470391</v>
      </c>
      <c r="NV18" s="1101">
        <v>0</v>
      </c>
      <c r="NW18" s="1101">
        <v>0</v>
      </c>
      <c r="NX18" s="1101">
        <v>0</v>
      </c>
      <c r="NY18" s="1101">
        <v>0</v>
      </c>
      <c r="NZ18" s="1101">
        <v>0</v>
      </c>
      <c r="OA18" s="1101">
        <v>1786131</v>
      </c>
      <c r="OB18" s="1101">
        <v>474703</v>
      </c>
      <c r="OC18" s="1101">
        <v>201000</v>
      </c>
      <c r="OD18" s="1101">
        <v>114312</v>
      </c>
      <c r="OE18" s="1101">
        <v>35280</v>
      </c>
      <c r="OF18" s="1101">
        <v>376</v>
      </c>
      <c r="OG18" s="1101">
        <v>0</v>
      </c>
      <c r="OH18" s="1101">
        <v>0</v>
      </c>
      <c r="OI18" s="1101">
        <v>3904545</v>
      </c>
      <c r="OJ18" s="1101">
        <v>0</v>
      </c>
      <c r="OK18" s="1101">
        <v>0</v>
      </c>
      <c r="OL18" s="1101">
        <v>0</v>
      </c>
      <c r="OM18" s="1101">
        <v>0</v>
      </c>
      <c r="ON18" s="1101">
        <v>0</v>
      </c>
      <c r="OO18" s="1101">
        <v>0</v>
      </c>
      <c r="OP18" s="1101">
        <v>-15740659</v>
      </c>
      <c r="OQ18" s="1101">
        <v>0</v>
      </c>
      <c r="OR18" s="1101">
        <v>0</v>
      </c>
      <c r="OS18" s="1101">
        <v>-1986535</v>
      </c>
      <c r="OT18" s="1101">
        <v>11841562</v>
      </c>
      <c r="OU18" s="1101">
        <v>12369165</v>
      </c>
      <c r="OV18" s="1101">
        <v>-20949337</v>
      </c>
      <c r="OW18" s="1101">
        <v>247133</v>
      </c>
      <c r="OX18" s="1101">
        <v>1081849</v>
      </c>
      <c r="OY18" s="1101">
        <v>20087278</v>
      </c>
      <c r="OZ18" s="1101">
        <v>0</v>
      </c>
      <c r="PA18" s="1101">
        <v>0</v>
      </c>
      <c r="PB18" s="1101">
        <v>0</v>
      </c>
      <c r="PC18" s="1101">
        <v>0</v>
      </c>
      <c r="PD18" s="1101">
        <v>0</v>
      </c>
      <c r="PE18" s="1101">
        <v>0</v>
      </c>
      <c r="PF18" s="1101">
        <v>0</v>
      </c>
      <c r="PG18" s="1101">
        <v>0</v>
      </c>
      <c r="PH18" s="1101">
        <v>0</v>
      </c>
      <c r="PI18" s="1101">
        <v>0</v>
      </c>
      <c r="PJ18" s="1101">
        <v>0</v>
      </c>
      <c r="PK18" s="1101">
        <v>-11730997</v>
      </c>
      <c r="PL18" s="1101">
        <v>-659016</v>
      </c>
      <c r="PM18" s="1101">
        <v>-4593760</v>
      </c>
      <c r="PN18" s="1101">
        <v>0</v>
      </c>
      <c r="PO18" s="1101">
        <v>0</v>
      </c>
      <c r="PP18" s="1101">
        <v>0</v>
      </c>
      <c r="PQ18" s="1101">
        <v>0</v>
      </c>
      <c r="PR18" s="1101">
        <v>0</v>
      </c>
      <c r="PS18" s="1101">
        <v>0</v>
      </c>
      <c r="PT18" s="1101">
        <v>0</v>
      </c>
      <c r="PU18" s="1101">
        <v>13890053</v>
      </c>
      <c r="PV18" s="1101">
        <v>4993249</v>
      </c>
      <c r="PW18" s="1101">
        <v>-4066727</v>
      </c>
      <c r="PX18" s="1101">
        <v>251380</v>
      </c>
      <c r="PY18" s="1101">
        <v>3099403</v>
      </c>
      <c r="PZ18" s="1101">
        <v>609942</v>
      </c>
      <c r="QA18" s="1101">
        <v>0</v>
      </c>
      <c r="QB18" s="1101">
        <v>0</v>
      </c>
      <c r="QC18" s="1101">
        <v>0</v>
      </c>
      <c r="QD18" s="1101">
        <v>0</v>
      </c>
      <c r="QE18" s="1101">
        <v>0</v>
      </c>
      <c r="QF18" s="1101">
        <v>0</v>
      </c>
      <c r="QG18" s="1101">
        <v>0</v>
      </c>
      <c r="QH18" s="1101">
        <v>420152</v>
      </c>
      <c r="QI18" s="1101">
        <v>0</v>
      </c>
      <c r="QJ18" s="1101">
        <v>0</v>
      </c>
      <c r="QK18" s="1101">
        <v>0</v>
      </c>
      <c r="QL18" s="1101">
        <v>0</v>
      </c>
      <c r="QM18" s="1101">
        <v>0</v>
      </c>
      <c r="QN18" s="1101">
        <v>0</v>
      </c>
      <c r="QO18" s="1101">
        <v>0</v>
      </c>
      <c r="QP18" s="1101">
        <v>0</v>
      </c>
      <c r="QQ18" s="1101">
        <v>0</v>
      </c>
      <c r="QR18" s="1101">
        <v>0</v>
      </c>
      <c r="QS18" s="1101">
        <v>0</v>
      </c>
      <c r="QT18" s="1101">
        <v>0</v>
      </c>
      <c r="QU18" s="1101">
        <v>0</v>
      </c>
      <c r="QV18" s="1101">
        <v>0</v>
      </c>
      <c r="QW18" s="1101">
        <v>0</v>
      </c>
      <c r="QX18" s="1101">
        <v>0</v>
      </c>
      <c r="QY18" s="1101">
        <v>0</v>
      </c>
      <c r="QZ18" s="1101">
        <v>0</v>
      </c>
      <c r="RA18" s="1101">
        <v>0</v>
      </c>
      <c r="RB18" s="1101">
        <v>0</v>
      </c>
      <c r="RC18" s="1101">
        <v>-27397707</v>
      </c>
      <c r="RD18" s="1101">
        <v>0</v>
      </c>
      <c r="RE18" s="1101">
        <v>0</v>
      </c>
      <c r="RF18" s="1101">
        <v>0</v>
      </c>
      <c r="RG18" s="1101">
        <v>0</v>
      </c>
      <c r="RH18" s="1101">
        <v>0</v>
      </c>
      <c r="RI18" s="1101">
        <v>0</v>
      </c>
      <c r="RJ18" s="1101">
        <v>0</v>
      </c>
      <c r="RK18" s="1101">
        <v>0</v>
      </c>
      <c r="RL18" s="1101">
        <v>162792953</v>
      </c>
      <c r="RM18" s="1101">
        <v>0</v>
      </c>
      <c r="RN18" s="1101">
        <v>0</v>
      </c>
      <c r="RO18" s="1101">
        <v>0</v>
      </c>
      <c r="RP18" s="1101">
        <v>0</v>
      </c>
      <c r="RQ18" s="1101">
        <v>0</v>
      </c>
      <c r="RR18" s="1101">
        <v>0</v>
      </c>
      <c r="RS18" s="1101">
        <v>0</v>
      </c>
      <c r="RT18" s="1101">
        <v>0</v>
      </c>
      <c r="RU18" s="1101">
        <v>0</v>
      </c>
      <c r="RV18" s="1101">
        <v>0</v>
      </c>
      <c r="RW18" s="1101">
        <v>0</v>
      </c>
      <c r="RX18" s="1101">
        <v>0</v>
      </c>
      <c r="RY18" s="1101">
        <v>0</v>
      </c>
      <c r="RZ18" s="1101">
        <v>0</v>
      </c>
      <c r="SA18" s="1101">
        <v>0</v>
      </c>
      <c r="SB18" s="1101">
        <v>0</v>
      </c>
      <c r="SC18" s="1101">
        <v>0</v>
      </c>
      <c r="SD18" s="1101">
        <v>0</v>
      </c>
      <c r="SE18" s="1101">
        <v>2173892</v>
      </c>
      <c r="SF18" s="1101">
        <v>737817</v>
      </c>
      <c r="SG18" s="1101">
        <v>50065</v>
      </c>
      <c r="SH18" s="1101">
        <v>1470391</v>
      </c>
      <c r="SI18" s="1101">
        <v>0</v>
      </c>
      <c r="SJ18" s="1101">
        <v>0</v>
      </c>
      <c r="SK18" s="1101">
        <v>15740659</v>
      </c>
      <c r="SL18" s="1102">
        <v>0</v>
      </c>
      <c r="SM18" s="1101">
        <v>0</v>
      </c>
      <c r="SN18" s="1101">
        <v>190797098</v>
      </c>
      <c r="SO18" s="1102"/>
      <c r="SP18" s="1103"/>
      <c r="SQ18" s="1104">
        <v>113436121</v>
      </c>
      <c r="SR18" s="1104">
        <v>-31293676</v>
      </c>
      <c r="SS18" s="1105">
        <v>613000</v>
      </c>
      <c r="ST18" s="1106">
        <v>1139085</v>
      </c>
      <c r="SU18" s="1106">
        <v>25253</v>
      </c>
      <c r="SV18" s="1106">
        <v>1748950</v>
      </c>
      <c r="SW18" s="1106">
        <v>450982</v>
      </c>
      <c r="SX18" s="1106">
        <v>374553</v>
      </c>
      <c r="SY18" s="1106">
        <v>28502</v>
      </c>
      <c r="SZ18" s="1106">
        <v>1775</v>
      </c>
      <c r="TA18" s="1106">
        <v>50065</v>
      </c>
      <c r="TB18" s="1106">
        <v>0</v>
      </c>
      <c r="TC18" s="1105">
        <v>81015</v>
      </c>
      <c r="TD18" s="1106">
        <v>322680</v>
      </c>
      <c r="TE18" s="1106">
        <v>0</v>
      </c>
      <c r="TF18" s="1106">
        <v>0</v>
      </c>
      <c r="TG18" s="1106">
        <v>0</v>
      </c>
      <c r="TH18" s="1106">
        <v>0</v>
      </c>
      <c r="TI18" s="1106">
        <v>0</v>
      </c>
      <c r="TJ18" s="1106">
        <v>0</v>
      </c>
      <c r="TK18" s="1105">
        <v>0</v>
      </c>
      <c r="TL18" s="1106">
        <v>0</v>
      </c>
      <c r="TM18" s="1106">
        <v>0</v>
      </c>
      <c r="TN18" s="1106">
        <v>0</v>
      </c>
      <c r="TO18" s="1106">
        <v>0</v>
      </c>
      <c r="TP18" s="1106">
        <v>0</v>
      </c>
      <c r="TQ18" s="1106">
        <v>0</v>
      </c>
      <c r="TR18" s="1106">
        <v>0</v>
      </c>
      <c r="TS18" s="1105">
        <v>64301661</v>
      </c>
      <c r="TT18" s="1106">
        <v>25788224</v>
      </c>
      <c r="TU18" s="1106">
        <v>2532832</v>
      </c>
      <c r="TV18" s="1106">
        <v>31421664</v>
      </c>
      <c r="TW18" s="1106">
        <v>13520213</v>
      </c>
      <c r="TX18" s="1106">
        <v>15295194</v>
      </c>
      <c r="TY18" s="1106">
        <v>13306374</v>
      </c>
      <c r="TZ18" s="1107">
        <v>36242293</v>
      </c>
      <c r="UA18" s="1107">
        <v>22877449</v>
      </c>
      <c r="UB18" s="1105">
        <v>16031576</v>
      </c>
      <c r="UC18" s="1108">
        <v>18777300</v>
      </c>
      <c r="UD18" s="1108"/>
      <c r="UE18" s="1103"/>
      <c r="UF18" s="1109" t="s">
        <v>2424</v>
      </c>
      <c r="UG18" s="1110" t="s">
        <v>2425</v>
      </c>
      <c r="UH18" s="1110" t="s">
        <v>2426</v>
      </c>
    </row>
    <row r="19" spans="1:554" s="776" customFormat="1" ht="32.25" customHeight="1" thickBot="1">
      <c r="A19" s="1093">
        <v>180</v>
      </c>
      <c r="B19" s="1094" t="s">
        <v>110</v>
      </c>
      <c r="C19" s="1095" t="s">
        <v>315</v>
      </c>
      <c r="D19" s="1096" t="s">
        <v>2398</v>
      </c>
      <c r="E19" s="1097">
        <v>3639</v>
      </c>
      <c r="F19" s="1098">
        <v>580515696</v>
      </c>
      <c r="G19" s="1096" t="s">
        <v>2399</v>
      </c>
      <c r="H19" s="1100" t="s">
        <v>110</v>
      </c>
      <c r="I19" s="1100"/>
      <c r="J19" s="1100"/>
      <c r="K19" s="1100"/>
      <c r="L19" s="1100"/>
      <c r="M19" s="1101">
        <v>44491731</v>
      </c>
      <c r="N19" s="1101">
        <v>0</v>
      </c>
      <c r="O19" s="1101">
        <v>0</v>
      </c>
      <c r="P19" s="1101">
        <v>0</v>
      </c>
      <c r="Q19" s="1101">
        <v>0</v>
      </c>
      <c r="R19" s="1101">
        <v>0</v>
      </c>
      <c r="S19" s="1101">
        <v>0</v>
      </c>
      <c r="T19" s="1101">
        <v>0</v>
      </c>
      <c r="U19" s="1101">
        <v>0</v>
      </c>
      <c r="V19" s="1101">
        <v>1258323</v>
      </c>
      <c r="W19" s="1101">
        <v>72857</v>
      </c>
      <c r="X19" s="1101">
        <v>0</v>
      </c>
      <c r="Y19" s="1101">
        <v>7801346</v>
      </c>
      <c r="Z19" s="1101">
        <v>0</v>
      </c>
      <c r="AA19" s="1101">
        <v>0</v>
      </c>
      <c r="AB19" s="1101">
        <v>0</v>
      </c>
      <c r="AC19" s="1101">
        <v>0</v>
      </c>
      <c r="AD19" s="1101">
        <v>0</v>
      </c>
      <c r="AE19" s="1101">
        <v>0</v>
      </c>
      <c r="AF19" s="1101">
        <v>0</v>
      </c>
      <c r="AG19" s="1101">
        <v>0</v>
      </c>
      <c r="AH19" s="1101">
        <v>0</v>
      </c>
      <c r="AI19" s="1101">
        <v>0</v>
      </c>
      <c r="AJ19" s="1101">
        <v>0</v>
      </c>
      <c r="AK19" s="1101">
        <v>0</v>
      </c>
      <c r="AL19" s="1101">
        <v>0</v>
      </c>
      <c r="AM19" s="1101">
        <v>0</v>
      </c>
      <c r="AN19" s="1101">
        <v>8858060</v>
      </c>
      <c r="AO19" s="1101">
        <v>0</v>
      </c>
      <c r="AP19" s="1101">
        <v>0</v>
      </c>
      <c r="AQ19" s="1101">
        <v>0</v>
      </c>
      <c r="AR19" s="1101">
        <v>0</v>
      </c>
      <c r="AS19" s="1101">
        <v>0</v>
      </c>
      <c r="AT19" s="1101">
        <v>0</v>
      </c>
      <c r="AU19" s="1101">
        <v>0</v>
      </c>
      <c r="AV19" s="1101">
        <v>0</v>
      </c>
      <c r="AW19" s="1101">
        <v>0</v>
      </c>
      <c r="AX19" s="1101">
        <v>0</v>
      </c>
      <c r="AY19" s="1101">
        <v>0</v>
      </c>
      <c r="AZ19" s="1101">
        <v>0</v>
      </c>
      <c r="BA19" s="1101">
        <v>0</v>
      </c>
      <c r="BB19" s="1101">
        <v>0</v>
      </c>
      <c r="BC19" s="1101">
        <v>0</v>
      </c>
      <c r="BD19" s="1101">
        <v>0</v>
      </c>
      <c r="BE19" s="1101">
        <v>0</v>
      </c>
      <c r="BF19" s="1101">
        <v>-2358812</v>
      </c>
      <c r="BG19" s="1101">
        <v>0</v>
      </c>
      <c r="BH19" s="1101">
        <v>0</v>
      </c>
      <c r="BI19" s="1101">
        <v>0</v>
      </c>
      <c r="BJ19" s="1101">
        <v>0</v>
      </c>
      <c r="BK19" s="1101">
        <v>0</v>
      </c>
      <c r="BL19" s="1101">
        <v>0</v>
      </c>
      <c r="BM19" s="1101">
        <v>0</v>
      </c>
      <c r="BN19" s="1101">
        <v>0</v>
      </c>
      <c r="BO19" s="1101">
        <v>0</v>
      </c>
      <c r="BP19" s="1101">
        <v>0</v>
      </c>
      <c r="BQ19" s="1101">
        <v>0</v>
      </c>
      <c r="BR19" s="1101">
        <v>0</v>
      </c>
      <c r="BS19" s="1101">
        <v>0</v>
      </c>
      <c r="BT19" s="1101">
        <v>0</v>
      </c>
      <c r="BU19" s="1101">
        <v>0</v>
      </c>
      <c r="BV19" s="1101">
        <v>0</v>
      </c>
      <c r="BW19" s="1101">
        <v>0</v>
      </c>
      <c r="BX19" s="1101">
        <v>0</v>
      </c>
      <c r="BY19" s="1101">
        <v>0</v>
      </c>
      <c r="BZ19" s="1101">
        <v>0</v>
      </c>
      <c r="CA19" s="1101">
        <v>0</v>
      </c>
      <c r="CB19" s="1101">
        <v>0</v>
      </c>
      <c r="CC19" s="1101">
        <v>0</v>
      </c>
      <c r="CD19" s="1101">
        <v>0</v>
      </c>
      <c r="CE19" s="1101">
        <v>0</v>
      </c>
      <c r="CF19" s="1101">
        <v>0</v>
      </c>
      <c r="CG19" s="1101">
        <v>0</v>
      </c>
      <c r="CH19" s="1101">
        <v>0</v>
      </c>
      <c r="CI19" s="1101">
        <v>0</v>
      </c>
      <c r="CJ19" s="1101">
        <v>0</v>
      </c>
      <c r="CK19" s="1101">
        <v>0</v>
      </c>
      <c r="CL19" s="1101">
        <v>0</v>
      </c>
      <c r="CM19" s="1101">
        <v>0</v>
      </c>
      <c r="CN19" s="1101">
        <v>0</v>
      </c>
      <c r="CO19" s="1101">
        <v>0</v>
      </c>
      <c r="CP19" s="1101">
        <v>14503405</v>
      </c>
      <c r="CQ19" s="1101">
        <v>19586739</v>
      </c>
      <c r="CR19" s="1101">
        <v>0</v>
      </c>
      <c r="CS19" s="1101">
        <v>-2077784</v>
      </c>
      <c r="CT19" s="1101">
        <v>0</v>
      </c>
      <c r="CU19" s="1101">
        <v>0</v>
      </c>
      <c r="CV19" s="1101">
        <v>0</v>
      </c>
      <c r="CW19" s="1101">
        <v>0</v>
      </c>
      <c r="CX19" s="1101">
        <v>0</v>
      </c>
      <c r="CY19" s="1101">
        <v>-1148</v>
      </c>
      <c r="CZ19" s="1101">
        <v>-1573</v>
      </c>
      <c r="DA19" s="1101">
        <v>0</v>
      </c>
      <c r="DB19" s="1101">
        <v>0</v>
      </c>
      <c r="DC19" s="1101">
        <v>0</v>
      </c>
      <c r="DD19" s="1101">
        <v>0</v>
      </c>
      <c r="DE19" s="1101">
        <v>0</v>
      </c>
      <c r="DF19" s="1101">
        <v>0</v>
      </c>
      <c r="DG19" s="1101">
        <v>0</v>
      </c>
      <c r="DH19" s="1101">
        <v>0</v>
      </c>
      <c r="DI19" s="1101">
        <v>0</v>
      </c>
      <c r="DJ19" s="1101">
        <v>0</v>
      </c>
      <c r="DK19" s="1101">
        <v>0</v>
      </c>
      <c r="DL19" s="1101">
        <v>0</v>
      </c>
      <c r="DM19" s="1101">
        <v>0</v>
      </c>
      <c r="DN19" s="1101">
        <v>0</v>
      </c>
      <c r="DO19" s="1101">
        <v>0</v>
      </c>
      <c r="DP19" s="1101">
        <v>0</v>
      </c>
      <c r="DQ19" s="1101">
        <v>-567283</v>
      </c>
      <c r="DR19" s="1101">
        <v>-1148127</v>
      </c>
      <c r="DS19" s="1101">
        <v>0</v>
      </c>
      <c r="DT19" s="1101">
        <v>0</v>
      </c>
      <c r="DU19" s="1101">
        <v>0</v>
      </c>
      <c r="DV19" s="1101">
        <v>0</v>
      </c>
      <c r="DW19" s="1101">
        <v>0</v>
      </c>
      <c r="DX19" s="1101">
        <v>0</v>
      </c>
      <c r="DY19" s="1101">
        <v>0</v>
      </c>
      <c r="DZ19" s="1101">
        <v>0</v>
      </c>
      <c r="EA19" s="1101">
        <v>0</v>
      </c>
      <c r="EB19" s="1101">
        <v>0</v>
      </c>
      <c r="EC19" s="1101">
        <v>0</v>
      </c>
      <c r="ED19" s="1101">
        <v>0</v>
      </c>
      <c r="EE19" s="1101">
        <v>0</v>
      </c>
      <c r="EF19" s="1101">
        <v>0</v>
      </c>
      <c r="EG19" s="1101">
        <v>0</v>
      </c>
      <c r="EH19" s="1101">
        <v>0</v>
      </c>
      <c r="EI19" s="1101">
        <v>-3704019</v>
      </c>
      <c r="EJ19" s="1101">
        <v>-5585042</v>
      </c>
      <c r="EK19" s="1101">
        <v>0</v>
      </c>
      <c r="EL19" s="1101">
        <v>0</v>
      </c>
      <c r="EM19" s="1101">
        <v>0</v>
      </c>
      <c r="EN19" s="1101">
        <v>0</v>
      </c>
      <c r="EO19" s="1101">
        <v>0</v>
      </c>
      <c r="EP19" s="1101">
        <v>0</v>
      </c>
      <c r="EQ19" s="1101">
        <v>0</v>
      </c>
      <c r="ER19" s="1101">
        <v>0</v>
      </c>
      <c r="ES19" s="1101">
        <v>0</v>
      </c>
      <c r="ET19" s="1101">
        <v>0</v>
      </c>
      <c r="EU19" s="1101">
        <v>0</v>
      </c>
      <c r="EV19" s="1101">
        <v>0</v>
      </c>
      <c r="EW19" s="1101">
        <v>0</v>
      </c>
      <c r="EX19" s="1101">
        <v>0</v>
      </c>
      <c r="EY19" s="1101">
        <v>0</v>
      </c>
      <c r="EZ19" s="1101">
        <v>0</v>
      </c>
      <c r="FA19" s="1101">
        <v>0</v>
      </c>
      <c r="FB19" s="1101">
        <v>0</v>
      </c>
      <c r="FC19" s="1101">
        <v>0</v>
      </c>
      <c r="FD19" s="1101">
        <v>0</v>
      </c>
      <c r="FE19" s="1101">
        <v>0</v>
      </c>
      <c r="FF19" s="1101">
        <v>0</v>
      </c>
      <c r="FG19" s="1101">
        <v>0</v>
      </c>
      <c r="FH19" s="1101">
        <v>0</v>
      </c>
      <c r="FI19" s="1101">
        <v>0</v>
      </c>
      <c r="FJ19" s="1101">
        <v>0</v>
      </c>
      <c r="FK19" s="1101">
        <v>0</v>
      </c>
      <c r="FL19" s="1101">
        <v>0</v>
      </c>
      <c r="FM19" s="1101">
        <v>0</v>
      </c>
      <c r="FN19" s="1101">
        <v>0</v>
      </c>
      <c r="FO19" s="1101">
        <v>0</v>
      </c>
      <c r="FP19" s="1101">
        <v>0</v>
      </c>
      <c r="FQ19" s="1101">
        <v>0</v>
      </c>
      <c r="FR19" s="1101">
        <v>0</v>
      </c>
      <c r="FS19" s="1101">
        <v>0</v>
      </c>
      <c r="FT19" s="1101">
        <v>0</v>
      </c>
      <c r="FU19" s="1101">
        <v>0</v>
      </c>
      <c r="FV19" s="1101">
        <v>0</v>
      </c>
      <c r="FW19" s="1101">
        <v>0</v>
      </c>
      <c r="FX19" s="1101">
        <v>0</v>
      </c>
      <c r="FY19" s="1101">
        <v>0</v>
      </c>
      <c r="FZ19" s="1101">
        <v>0</v>
      </c>
      <c r="GA19" s="1101">
        <v>0</v>
      </c>
      <c r="GB19" s="1101">
        <v>298279</v>
      </c>
      <c r="GC19" s="1101">
        <v>20201160</v>
      </c>
      <c r="GD19" s="1101">
        <v>8141833</v>
      </c>
      <c r="GE19" s="1101">
        <v>-321932</v>
      </c>
      <c r="GF19" s="1101">
        <v>0</v>
      </c>
      <c r="GG19" s="1101">
        <v>0</v>
      </c>
      <c r="GH19" s="1101">
        <v>0</v>
      </c>
      <c r="GI19" s="1101">
        <v>0</v>
      </c>
      <c r="GJ19" s="1101">
        <v>0</v>
      </c>
      <c r="GK19" s="1101">
        <v>0</v>
      </c>
      <c r="GL19" s="1101">
        <v>0</v>
      </c>
      <c r="GM19" s="1101">
        <v>0</v>
      </c>
      <c r="GN19" s="1101">
        <v>0</v>
      </c>
      <c r="GO19" s="1101">
        <v>0</v>
      </c>
      <c r="GP19" s="1101">
        <v>0</v>
      </c>
      <c r="GQ19" s="1101">
        <v>0</v>
      </c>
      <c r="GR19" s="1101">
        <v>0</v>
      </c>
      <c r="GS19" s="1101">
        <v>0</v>
      </c>
      <c r="GT19" s="1101">
        <v>0</v>
      </c>
      <c r="GU19" s="1101">
        <v>0</v>
      </c>
      <c r="GV19" s="1101">
        <v>0</v>
      </c>
      <c r="GW19" s="1101">
        <v>0</v>
      </c>
      <c r="GX19" s="1101">
        <v>0</v>
      </c>
      <c r="GY19" s="1101">
        <v>0</v>
      </c>
      <c r="GZ19" s="1101">
        <v>0</v>
      </c>
      <c r="HA19" s="1101">
        <v>0</v>
      </c>
      <c r="HB19" s="1101">
        <v>0</v>
      </c>
      <c r="HC19" s="1101">
        <v>0</v>
      </c>
      <c r="HD19" s="1101">
        <v>-1302722</v>
      </c>
      <c r="HE19" s="1101">
        <v>-544743</v>
      </c>
      <c r="HF19" s="1101">
        <v>0</v>
      </c>
      <c r="HG19" s="1101">
        <v>0</v>
      </c>
      <c r="HH19" s="1101">
        <v>0</v>
      </c>
      <c r="HI19" s="1101">
        <v>0</v>
      </c>
      <c r="HJ19" s="1101">
        <v>0</v>
      </c>
      <c r="HK19" s="1101">
        <v>0</v>
      </c>
      <c r="HL19" s="1101">
        <v>0</v>
      </c>
      <c r="HM19" s="1101">
        <v>0</v>
      </c>
      <c r="HN19" s="1101">
        <v>0</v>
      </c>
      <c r="HO19" s="1101">
        <v>0</v>
      </c>
      <c r="HP19" s="1101">
        <v>0</v>
      </c>
      <c r="HQ19" s="1101">
        <v>0</v>
      </c>
      <c r="HR19" s="1101">
        <v>0</v>
      </c>
      <c r="HS19" s="1101">
        <v>0</v>
      </c>
      <c r="HT19" s="1101">
        <v>0</v>
      </c>
      <c r="HU19" s="1101">
        <v>-98295</v>
      </c>
      <c r="HV19" s="1101">
        <v>-5615851</v>
      </c>
      <c r="HW19" s="1101">
        <v>-2175765</v>
      </c>
      <c r="HX19" s="1101">
        <v>0</v>
      </c>
      <c r="HY19" s="1101">
        <v>0</v>
      </c>
      <c r="HZ19" s="1101">
        <v>0</v>
      </c>
      <c r="IA19" s="1101">
        <v>0</v>
      </c>
      <c r="IB19" s="1101">
        <v>0</v>
      </c>
      <c r="IC19" s="1101">
        <v>0</v>
      </c>
      <c r="ID19" s="1101">
        <v>1635710</v>
      </c>
      <c r="IE19" s="1101">
        <v>2191480</v>
      </c>
      <c r="IF19" s="1101">
        <v>0</v>
      </c>
      <c r="IG19" s="1101">
        <v>43445914</v>
      </c>
      <c r="IH19" s="1101">
        <v>0</v>
      </c>
      <c r="II19" s="1101">
        <v>0</v>
      </c>
      <c r="IJ19" s="1101">
        <v>0</v>
      </c>
      <c r="IK19" s="1101">
        <v>0</v>
      </c>
      <c r="IL19" s="1101">
        <v>0</v>
      </c>
      <c r="IM19" s="1101">
        <v>27927</v>
      </c>
      <c r="IN19" s="1101">
        <v>4080751</v>
      </c>
      <c r="IO19" s="1101">
        <v>17</v>
      </c>
      <c r="IP19" s="1101">
        <v>2158930</v>
      </c>
      <c r="IQ19" s="1101">
        <v>77907</v>
      </c>
      <c r="IR19" s="1101">
        <v>812</v>
      </c>
      <c r="IS19" s="1101">
        <v>0</v>
      </c>
      <c r="IT19" s="1101">
        <v>0</v>
      </c>
      <c r="IU19" s="1101">
        <v>0</v>
      </c>
      <c r="IV19" s="1101">
        <v>0</v>
      </c>
      <c r="IW19" s="1101">
        <v>0</v>
      </c>
      <c r="IX19" s="1101">
        <v>0</v>
      </c>
      <c r="IY19" s="1101">
        <v>0</v>
      </c>
      <c r="IZ19" s="1101">
        <v>0</v>
      </c>
      <c r="JA19" s="1101">
        <v>0</v>
      </c>
      <c r="JB19" s="1101">
        <v>0</v>
      </c>
      <c r="JC19" s="1101">
        <v>0</v>
      </c>
      <c r="JD19" s="1101">
        <v>0</v>
      </c>
      <c r="JE19" s="1101">
        <v>0</v>
      </c>
      <c r="JF19" s="1101">
        <v>242115</v>
      </c>
      <c r="JG19" s="1101">
        <v>35689</v>
      </c>
      <c r="JH19" s="1101">
        <v>9876681</v>
      </c>
      <c r="JI19" s="1101">
        <v>0</v>
      </c>
      <c r="JJ19" s="1101">
        <v>0</v>
      </c>
      <c r="JK19" s="1101">
        <v>0</v>
      </c>
      <c r="JL19" s="1101">
        <v>0</v>
      </c>
      <c r="JM19" s="1101">
        <v>0</v>
      </c>
      <c r="JN19" s="1101">
        <v>123300</v>
      </c>
      <c r="JO19" s="1101">
        <v>2926258</v>
      </c>
      <c r="JP19" s="1101">
        <v>0</v>
      </c>
      <c r="JQ19" s="1101">
        <v>-1491826</v>
      </c>
      <c r="JR19" s="1101">
        <v>0</v>
      </c>
      <c r="JS19" s="1101">
        <v>0</v>
      </c>
      <c r="JT19" s="1101">
        <v>0</v>
      </c>
      <c r="JU19" s="1101">
        <v>0</v>
      </c>
      <c r="JV19" s="1101">
        <v>0</v>
      </c>
      <c r="JW19" s="1101">
        <v>0</v>
      </c>
      <c r="JX19" s="1101">
        <v>0</v>
      </c>
      <c r="JY19" s="1101">
        <v>10375585</v>
      </c>
      <c r="JZ19" s="1101">
        <v>0</v>
      </c>
      <c r="KA19" s="1101">
        <v>0</v>
      </c>
      <c r="KB19" s="1101">
        <v>0</v>
      </c>
      <c r="KC19" s="1101">
        <v>0</v>
      </c>
      <c r="KD19" s="1101">
        <v>0</v>
      </c>
      <c r="KE19" s="1101">
        <v>0</v>
      </c>
      <c r="KF19" s="1101">
        <v>2183</v>
      </c>
      <c r="KG19" s="1101">
        <v>7332820</v>
      </c>
      <c r="KH19" s="1101">
        <v>454839</v>
      </c>
      <c r="KI19" s="1101">
        <v>-3469999</v>
      </c>
      <c r="KJ19" s="1101">
        <v>-3063</v>
      </c>
      <c r="KK19" s="1101">
        <v>0</v>
      </c>
      <c r="KL19" s="1101">
        <v>0</v>
      </c>
      <c r="KM19" s="1101">
        <v>0</v>
      </c>
      <c r="KN19" s="1101">
        <v>-348850</v>
      </c>
      <c r="KO19" s="1101">
        <v>32134317</v>
      </c>
      <c r="KP19" s="1101">
        <v>7824424</v>
      </c>
      <c r="KQ19" s="1101">
        <v>0</v>
      </c>
      <c r="KR19" s="1101">
        <v>2218476</v>
      </c>
      <c r="KS19" s="1101">
        <v>0</v>
      </c>
      <c r="KT19" s="1101">
        <v>0</v>
      </c>
      <c r="KU19" s="1101">
        <v>0</v>
      </c>
      <c r="KV19" s="1101">
        <v>0</v>
      </c>
      <c r="KW19" s="1101">
        <v>0</v>
      </c>
      <c r="KX19" s="1101">
        <v>2244412</v>
      </c>
      <c r="KY19" s="1101">
        <v>863068</v>
      </c>
      <c r="KZ19" s="1101">
        <v>0</v>
      </c>
      <c r="LA19" s="1101">
        <v>16074460</v>
      </c>
      <c r="LB19" s="1101">
        <v>0</v>
      </c>
      <c r="LC19" s="1101">
        <v>0</v>
      </c>
      <c r="LD19" s="1101">
        <v>0</v>
      </c>
      <c r="LE19" s="1101">
        <v>0</v>
      </c>
      <c r="LF19" s="1101">
        <v>0</v>
      </c>
      <c r="LG19" s="1101">
        <v>37359</v>
      </c>
      <c r="LH19" s="1101">
        <v>252997</v>
      </c>
      <c r="LI19" s="1101">
        <v>0</v>
      </c>
      <c r="LJ19" s="1101">
        <v>92244</v>
      </c>
      <c r="LK19" s="1101">
        <v>0</v>
      </c>
      <c r="LL19" s="1101">
        <v>0</v>
      </c>
      <c r="LM19" s="1101">
        <v>0</v>
      </c>
      <c r="LN19" s="1101">
        <v>0</v>
      </c>
      <c r="LO19" s="1101">
        <v>0</v>
      </c>
      <c r="LP19" s="1101">
        <v>8405819</v>
      </c>
      <c r="LQ19" s="1101">
        <v>3457654</v>
      </c>
      <c r="LR19" s="1101">
        <v>0</v>
      </c>
      <c r="LS19" s="1101">
        <v>744283</v>
      </c>
      <c r="LT19" s="1101">
        <v>0</v>
      </c>
      <c r="LU19" s="1101">
        <v>0</v>
      </c>
      <c r="LV19" s="1101">
        <v>0</v>
      </c>
      <c r="LW19" s="1101">
        <v>0</v>
      </c>
      <c r="LX19" s="1101">
        <v>0</v>
      </c>
      <c r="LY19" s="1101">
        <v>3497023</v>
      </c>
      <c r="LZ19" s="1101">
        <v>6662764</v>
      </c>
      <c r="MA19" s="1101">
        <v>0</v>
      </c>
      <c r="MB19" s="1101">
        <v>3104219</v>
      </c>
      <c r="MC19" s="1101">
        <v>13140</v>
      </c>
      <c r="MD19" s="1101">
        <v>0</v>
      </c>
      <c r="ME19" s="1101">
        <v>0</v>
      </c>
      <c r="MF19" s="1101">
        <v>0</v>
      </c>
      <c r="MG19" s="1101">
        <v>0</v>
      </c>
      <c r="MH19" s="1101">
        <v>5830677</v>
      </c>
      <c r="MI19" s="1101">
        <v>4373454</v>
      </c>
      <c r="MJ19" s="1101">
        <v>0</v>
      </c>
      <c r="MK19" s="1101">
        <v>1190030</v>
      </c>
      <c r="ML19" s="1101">
        <v>0</v>
      </c>
      <c r="MM19" s="1101">
        <v>0</v>
      </c>
      <c r="MN19" s="1101">
        <v>0</v>
      </c>
      <c r="MO19" s="1101">
        <v>0</v>
      </c>
      <c r="MP19" s="1101">
        <v>0</v>
      </c>
      <c r="MQ19" s="1101">
        <v>2017582</v>
      </c>
      <c r="MR19" s="1101">
        <v>8464811</v>
      </c>
      <c r="MS19" s="1101">
        <v>0</v>
      </c>
      <c r="MT19" s="1101">
        <v>0</v>
      </c>
      <c r="MU19" s="1101">
        <v>0</v>
      </c>
      <c r="MV19" s="1101">
        <v>0</v>
      </c>
      <c r="MW19" s="1101">
        <v>1937316</v>
      </c>
      <c r="MX19" s="1101">
        <v>0</v>
      </c>
      <c r="MY19" s="1101">
        <v>0</v>
      </c>
      <c r="MZ19" s="1101">
        <v>1234605</v>
      </c>
      <c r="NA19" s="1101">
        <v>3878104</v>
      </c>
      <c r="NB19" s="1101">
        <v>0</v>
      </c>
      <c r="NC19" s="1101">
        <v>11972863</v>
      </c>
      <c r="ND19" s="1101">
        <v>0</v>
      </c>
      <c r="NE19" s="1101">
        <v>0</v>
      </c>
      <c r="NF19" s="1101">
        <v>0</v>
      </c>
      <c r="NG19" s="1101">
        <v>0</v>
      </c>
      <c r="NH19" s="1101">
        <v>0</v>
      </c>
      <c r="NI19" s="1101">
        <v>0</v>
      </c>
      <c r="NJ19" s="1101">
        <v>0</v>
      </c>
      <c r="NK19" s="1101">
        <v>19468544</v>
      </c>
      <c r="NL19" s="1101">
        <v>0</v>
      </c>
      <c r="NM19" s="1101">
        <v>0</v>
      </c>
      <c r="NN19" s="1101">
        <v>0</v>
      </c>
      <c r="NO19" s="1101">
        <v>0</v>
      </c>
      <c r="NP19" s="1101">
        <v>0</v>
      </c>
      <c r="NQ19" s="1101">
        <v>0</v>
      </c>
      <c r="NR19" s="1101">
        <v>221284</v>
      </c>
      <c r="NS19" s="1101">
        <v>1397121</v>
      </c>
      <c r="NT19" s="1101">
        <v>87111</v>
      </c>
      <c r="NU19" s="1101">
        <v>309482</v>
      </c>
      <c r="NV19" s="1101">
        <v>0</v>
      </c>
      <c r="NW19" s="1101">
        <v>0</v>
      </c>
      <c r="NX19" s="1101">
        <v>0</v>
      </c>
      <c r="NY19" s="1101">
        <v>0</v>
      </c>
      <c r="NZ19" s="1101">
        <v>0</v>
      </c>
      <c r="OA19" s="1101">
        <v>0</v>
      </c>
      <c r="OB19" s="1101">
        <v>430165</v>
      </c>
      <c r="OC19" s="1101">
        <v>0</v>
      </c>
      <c r="OD19" s="1101">
        <v>0</v>
      </c>
      <c r="OE19" s="1101">
        <v>0</v>
      </c>
      <c r="OF19" s="1101">
        <v>0</v>
      </c>
      <c r="OG19" s="1101">
        <v>0</v>
      </c>
      <c r="OH19" s="1101">
        <v>0</v>
      </c>
      <c r="OI19" s="1101">
        <v>1184663</v>
      </c>
      <c r="OJ19" s="1101">
        <v>0</v>
      </c>
      <c r="OK19" s="1101">
        <v>0</v>
      </c>
      <c r="OL19" s="1101">
        <v>0</v>
      </c>
      <c r="OM19" s="1101">
        <v>0</v>
      </c>
      <c r="ON19" s="1101">
        <v>0</v>
      </c>
      <c r="OO19" s="1101">
        <v>0</v>
      </c>
      <c r="OP19" s="1101">
        <v>-4109446</v>
      </c>
      <c r="OQ19" s="1101">
        <v>0</v>
      </c>
      <c r="OR19" s="1101">
        <v>0</v>
      </c>
      <c r="OS19" s="1101">
        <v>1888857</v>
      </c>
      <c r="OT19" s="1101">
        <v>902600</v>
      </c>
      <c r="OU19" s="1101">
        <v>9732619</v>
      </c>
      <c r="OV19" s="1101">
        <v>-16708661</v>
      </c>
      <c r="OW19" s="1101">
        <v>-732763</v>
      </c>
      <c r="OX19" s="1101">
        <v>983365</v>
      </c>
      <c r="OY19" s="1101">
        <v>9162055</v>
      </c>
      <c r="OZ19" s="1101">
        <v>0</v>
      </c>
      <c r="PA19" s="1101">
        <v>0</v>
      </c>
      <c r="PB19" s="1101">
        <v>0</v>
      </c>
      <c r="PC19" s="1101">
        <v>0</v>
      </c>
      <c r="PD19" s="1101">
        <v>0</v>
      </c>
      <c r="PE19" s="1101">
        <v>0</v>
      </c>
      <c r="PF19" s="1101">
        <v>0</v>
      </c>
      <c r="PG19" s="1101">
        <v>0</v>
      </c>
      <c r="PH19" s="1101">
        <v>0</v>
      </c>
      <c r="PI19" s="1101">
        <v>0</v>
      </c>
      <c r="PJ19" s="1101">
        <v>0</v>
      </c>
      <c r="PK19" s="1101">
        <v>-8004990</v>
      </c>
      <c r="PL19" s="1101">
        <v>-284536</v>
      </c>
      <c r="PM19" s="1101">
        <v>-5381502</v>
      </c>
      <c r="PN19" s="1101">
        <v>0</v>
      </c>
      <c r="PO19" s="1101">
        <v>0</v>
      </c>
      <c r="PP19" s="1101">
        <v>0</v>
      </c>
      <c r="PQ19" s="1101">
        <v>0</v>
      </c>
      <c r="PR19" s="1101">
        <v>0</v>
      </c>
      <c r="PS19" s="1101">
        <v>0</v>
      </c>
      <c r="PT19" s="1101">
        <v>0</v>
      </c>
      <c r="PU19" s="1101">
        <v>8775136</v>
      </c>
      <c r="PV19" s="1101">
        <v>0</v>
      </c>
      <c r="PW19" s="1101">
        <v>2973914</v>
      </c>
      <c r="PX19" s="1101">
        <v>72625</v>
      </c>
      <c r="PY19" s="1101">
        <v>4410933</v>
      </c>
      <c r="PZ19" s="1101">
        <v>0</v>
      </c>
      <c r="QA19" s="1101">
        <v>0</v>
      </c>
      <c r="QB19" s="1101">
        <v>0</v>
      </c>
      <c r="QC19" s="1101">
        <v>0</v>
      </c>
      <c r="QD19" s="1101">
        <v>0</v>
      </c>
      <c r="QE19" s="1101">
        <v>0</v>
      </c>
      <c r="QF19" s="1101">
        <v>0</v>
      </c>
      <c r="QG19" s="1101">
        <v>0</v>
      </c>
      <c r="QH19" s="1101">
        <v>23257</v>
      </c>
      <c r="QI19" s="1101">
        <v>0</v>
      </c>
      <c r="QJ19" s="1101">
        <v>0</v>
      </c>
      <c r="QK19" s="1101">
        <v>0</v>
      </c>
      <c r="QL19" s="1101">
        <v>0</v>
      </c>
      <c r="QM19" s="1101">
        <v>0</v>
      </c>
      <c r="QN19" s="1101">
        <v>0</v>
      </c>
      <c r="QO19" s="1101">
        <v>0</v>
      </c>
      <c r="QP19" s="1101">
        <v>0</v>
      </c>
      <c r="QQ19" s="1101">
        <v>0</v>
      </c>
      <c r="QR19" s="1101">
        <v>0</v>
      </c>
      <c r="QS19" s="1101">
        <v>0</v>
      </c>
      <c r="QT19" s="1101">
        <v>0</v>
      </c>
      <c r="QU19" s="1101">
        <v>0</v>
      </c>
      <c r="QV19" s="1101">
        <v>0</v>
      </c>
      <c r="QW19" s="1101">
        <v>0</v>
      </c>
      <c r="QX19" s="1101">
        <v>0</v>
      </c>
      <c r="QY19" s="1101">
        <v>0</v>
      </c>
      <c r="QZ19" s="1101">
        <v>0</v>
      </c>
      <c r="RA19" s="1101">
        <v>0</v>
      </c>
      <c r="RB19" s="1101">
        <v>0</v>
      </c>
      <c r="RC19" s="1101">
        <v>-12971337</v>
      </c>
      <c r="RD19" s="1101">
        <v>0</v>
      </c>
      <c r="RE19" s="1101">
        <v>0</v>
      </c>
      <c r="RF19" s="1101">
        <v>0</v>
      </c>
      <c r="RG19" s="1101">
        <v>0</v>
      </c>
      <c r="RH19" s="1101">
        <v>0</v>
      </c>
      <c r="RI19" s="1101">
        <v>0</v>
      </c>
      <c r="RJ19" s="1101">
        <v>0</v>
      </c>
      <c r="RK19" s="1101">
        <v>0</v>
      </c>
      <c r="RL19" s="1101">
        <v>890150</v>
      </c>
      <c r="RM19" s="1101">
        <v>0</v>
      </c>
      <c r="RN19" s="1101">
        <v>0</v>
      </c>
      <c r="RO19" s="1101">
        <v>0</v>
      </c>
      <c r="RP19" s="1101">
        <v>0</v>
      </c>
      <c r="RQ19" s="1101">
        <v>0</v>
      </c>
      <c r="RR19" s="1101">
        <v>0</v>
      </c>
      <c r="RS19" s="1101">
        <v>0</v>
      </c>
      <c r="RT19" s="1101">
        <v>0</v>
      </c>
      <c r="RU19" s="1101">
        <v>0</v>
      </c>
      <c r="RV19" s="1101">
        <v>0</v>
      </c>
      <c r="RW19" s="1101">
        <v>0</v>
      </c>
      <c r="RX19" s="1101">
        <v>0</v>
      </c>
      <c r="RY19" s="1101">
        <v>0</v>
      </c>
      <c r="RZ19" s="1101">
        <v>0</v>
      </c>
      <c r="SA19" s="1101">
        <v>0</v>
      </c>
      <c r="SB19" s="1101">
        <v>0</v>
      </c>
      <c r="SC19" s="1101">
        <v>0</v>
      </c>
      <c r="SD19" s="1101">
        <v>64411</v>
      </c>
      <c r="SE19" s="1101">
        <v>221284</v>
      </c>
      <c r="SF19" s="1101">
        <v>1397121</v>
      </c>
      <c r="SG19" s="1101">
        <v>87111</v>
      </c>
      <c r="SH19" s="1101">
        <v>309482</v>
      </c>
      <c r="SI19" s="1101">
        <v>0</v>
      </c>
      <c r="SJ19" s="1101">
        <v>0</v>
      </c>
      <c r="SK19" s="1101">
        <v>4109446</v>
      </c>
      <c r="SL19" s="1102">
        <v>0</v>
      </c>
      <c r="SM19" s="1101">
        <v>0</v>
      </c>
      <c r="SN19" s="1101">
        <v>27931289</v>
      </c>
      <c r="SO19" s="1102"/>
      <c r="SP19" s="1103"/>
      <c r="SQ19" s="1104">
        <v>60331700</v>
      </c>
      <c r="SR19" s="1104">
        <v>-20744568</v>
      </c>
      <c r="SS19" s="1105">
        <v>170081</v>
      </c>
      <c r="ST19" s="1106">
        <v>443778</v>
      </c>
      <c r="SU19" s="1106">
        <v>312</v>
      </c>
      <c r="SV19" s="1106">
        <v>54735</v>
      </c>
      <c r="SW19" s="1106">
        <v>4496</v>
      </c>
      <c r="SX19" s="1106">
        <v>88806</v>
      </c>
      <c r="SY19" s="1106">
        <v>1165679</v>
      </c>
      <c r="SZ19" s="1106">
        <v>0</v>
      </c>
      <c r="TA19" s="1106">
        <v>87111</v>
      </c>
      <c r="TB19" s="1106">
        <v>0</v>
      </c>
      <c r="TC19" s="1105">
        <v>0</v>
      </c>
      <c r="TD19" s="1106">
        <v>362210</v>
      </c>
      <c r="TE19" s="1106">
        <v>0</v>
      </c>
      <c r="TF19" s="1106">
        <v>0</v>
      </c>
      <c r="TG19" s="1106">
        <v>0</v>
      </c>
      <c r="TH19" s="1106">
        <v>0</v>
      </c>
      <c r="TI19" s="1106">
        <v>0</v>
      </c>
      <c r="TJ19" s="1106">
        <v>0</v>
      </c>
      <c r="TK19" s="1105">
        <v>0</v>
      </c>
      <c r="TL19" s="1106">
        <v>0</v>
      </c>
      <c r="TM19" s="1106">
        <v>0</v>
      </c>
      <c r="TN19" s="1106">
        <v>0</v>
      </c>
      <c r="TO19" s="1106">
        <v>0</v>
      </c>
      <c r="TP19" s="1106">
        <v>0</v>
      </c>
      <c r="TQ19" s="1106">
        <v>0</v>
      </c>
      <c r="TR19" s="1106">
        <v>0</v>
      </c>
      <c r="TS19" s="1105">
        <v>42177217</v>
      </c>
      <c r="TT19" s="1106">
        <v>19181940</v>
      </c>
      <c r="TU19" s="1106">
        <v>382600</v>
      </c>
      <c r="TV19" s="1106">
        <v>12607756</v>
      </c>
      <c r="TW19" s="1106">
        <v>13277146</v>
      </c>
      <c r="TX19" s="1106">
        <v>11394161</v>
      </c>
      <c r="TY19" s="1106">
        <v>12419709</v>
      </c>
      <c r="TZ19" s="1107">
        <v>17085572</v>
      </c>
      <c r="UA19" s="1107">
        <v>19468544</v>
      </c>
      <c r="UB19" s="1105">
        <v>17567756</v>
      </c>
      <c r="UC19" s="1108">
        <v>16232608</v>
      </c>
      <c r="UD19" s="1108"/>
      <c r="UE19" s="1103"/>
      <c r="UF19" s="1109" t="s">
        <v>2424</v>
      </c>
      <c r="UG19" s="1110" t="s">
        <v>2425</v>
      </c>
      <c r="UH19" s="1110" t="s">
        <v>2426</v>
      </c>
    </row>
    <row r="20" spans="1:554" s="776" customFormat="1" ht="32.25" customHeight="1" thickBot="1">
      <c r="A20" s="1093">
        <v>190</v>
      </c>
      <c r="B20" s="1094" t="s">
        <v>111</v>
      </c>
      <c r="C20" s="1095" t="s">
        <v>316</v>
      </c>
      <c r="D20" s="1096" t="s">
        <v>2398</v>
      </c>
      <c r="E20" s="1097">
        <v>9651</v>
      </c>
      <c r="F20" s="1098">
        <v>631789809</v>
      </c>
      <c r="G20" s="1096" t="s">
        <v>2399</v>
      </c>
      <c r="H20" s="1100" t="s">
        <v>111</v>
      </c>
      <c r="I20" s="1100"/>
      <c r="J20" s="1100"/>
      <c r="K20" s="1100"/>
      <c r="L20" s="1100"/>
      <c r="M20" s="1101">
        <v>36675060</v>
      </c>
      <c r="N20" s="1101">
        <v>0</v>
      </c>
      <c r="O20" s="1101">
        <v>0</v>
      </c>
      <c r="P20" s="1101">
        <v>0</v>
      </c>
      <c r="Q20" s="1101">
        <v>0</v>
      </c>
      <c r="R20" s="1101">
        <v>0</v>
      </c>
      <c r="S20" s="1101">
        <v>0</v>
      </c>
      <c r="T20" s="1101">
        <v>0</v>
      </c>
      <c r="U20" s="1101">
        <v>0</v>
      </c>
      <c r="V20" s="1101">
        <v>237379</v>
      </c>
      <c r="W20" s="1101">
        <v>95661</v>
      </c>
      <c r="X20" s="1101">
        <v>0</v>
      </c>
      <c r="Y20" s="1101">
        <v>12124592</v>
      </c>
      <c r="Z20" s="1101">
        <v>0</v>
      </c>
      <c r="AA20" s="1101">
        <v>0</v>
      </c>
      <c r="AB20" s="1101">
        <v>0</v>
      </c>
      <c r="AC20" s="1101">
        <v>0</v>
      </c>
      <c r="AD20" s="1101">
        <v>0</v>
      </c>
      <c r="AE20" s="1101">
        <v>0</v>
      </c>
      <c r="AF20" s="1101">
        <v>0</v>
      </c>
      <c r="AG20" s="1101">
        <v>0</v>
      </c>
      <c r="AH20" s="1101">
        <v>0</v>
      </c>
      <c r="AI20" s="1101">
        <v>0</v>
      </c>
      <c r="AJ20" s="1101">
        <v>0</v>
      </c>
      <c r="AK20" s="1101">
        <v>0</v>
      </c>
      <c r="AL20" s="1101">
        <v>0</v>
      </c>
      <c r="AM20" s="1101">
        <v>0</v>
      </c>
      <c r="AN20" s="1101">
        <v>7462394</v>
      </c>
      <c r="AO20" s="1101">
        <v>0</v>
      </c>
      <c r="AP20" s="1101">
        <v>0</v>
      </c>
      <c r="AQ20" s="1101">
        <v>0</v>
      </c>
      <c r="AR20" s="1101">
        <v>0</v>
      </c>
      <c r="AS20" s="1101">
        <v>0</v>
      </c>
      <c r="AT20" s="1101">
        <v>0</v>
      </c>
      <c r="AU20" s="1101">
        <v>0</v>
      </c>
      <c r="AV20" s="1101">
        <v>0</v>
      </c>
      <c r="AW20" s="1101">
        <v>0</v>
      </c>
      <c r="AX20" s="1101">
        <v>0</v>
      </c>
      <c r="AY20" s="1101">
        <v>0</v>
      </c>
      <c r="AZ20" s="1101">
        <v>0</v>
      </c>
      <c r="BA20" s="1101">
        <v>0</v>
      </c>
      <c r="BB20" s="1101">
        <v>0</v>
      </c>
      <c r="BC20" s="1101">
        <v>0</v>
      </c>
      <c r="BD20" s="1101">
        <v>0</v>
      </c>
      <c r="BE20" s="1101">
        <v>0</v>
      </c>
      <c r="BF20" s="1101">
        <v>-2218786</v>
      </c>
      <c r="BG20" s="1101">
        <v>-18656</v>
      </c>
      <c r="BH20" s="1101">
        <v>0</v>
      </c>
      <c r="BI20" s="1101">
        <v>0</v>
      </c>
      <c r="BJ20" s="1101">
        <v>0</v>
      </c>
      <c r="BK20" s="1101">
        <v>0</v>
      </c>
      <c r="BL20" s="1101">
        <v>0</v>
      </c>
      <c r="BM20" s="1101">
        <v>0</v>
      </c>
      <c r="BN20" s="1101">
        <v>0</v>
      </c>
      <c r="BO20" s="1101">
        <v>0</v>
      </c>
      <c r="BP20" s="1101">
        <v>0</v>
      </c>
      <c r="BQ20" s="1101">
        <v>0</v>
      </c>
      <c r="BR20" s="1101">
        <v>0</v>
      </c>
      <c r="BS20" s="1101">
        <v>0</v>
      </c>
      <c r="BT20" s="1101">
        <v>0</v>
      </c>
      <c r="BU20" s="1101">
        <v>0</v>
      </c>
      <c r="BV20" s="1101">
        <v>0</v>
      </c>
      <c r="BW20" s="1101">
        <v>0</v>
      </c>
      <c r="BX20" s="1101">
        <v>-624434</v>
      </c>
      <c r="BY20" s="1101">
        <v>-394537</v>
      </c>
      <c r="BZ20" s="1101">
        <v>0</v>
      </c>
      <c r="CA20" s="1101">
        <v>0</v>
      </c>
      <c r="CB20" s="1101">
        <v>0</v>
      </c>
      <c r="CC20" s="1101">
        <v>0</v>
      </c>
      <c r="CD20" s="1101">
        <v>0</v>
      </c>
      <c r="CE20" s="1101">
        <v>0</v>
      </c>
      <c r="CF20" s="1101">
        <v>0</v>
      </c>
      <c r="CG20" s="1101">
        <v>0</v>
      </c>
      <c r="CH20" s="1101">
        <v>0</v>
      </c>
      <c r="CI20" s="1101">
        <v>0</v>
      </c>
      <c r="CJ20" s="1101">
        <v>0</v>
      </c>
      <c r="CK20" s="1101">
        <v>0</v>
      </c>
      <c r="CL20" s="1101">
        <v>0</v>
      </c>
      <c r="CM20" s="1101">
        <v>0</v>
      </c>
      <c r="CN20" s="1101">
        <v>0</v>
      </c>
      <c r="CO20" s="1101">
        <v>0</v>
      </c>
      <c r="CP20" s="1101">
        <v>11287396</v>
      </c>
      <c r="CQ20" s="1101">
        <v>22330741</v>
      </c>
      <c r="CR20" s="1101">
        <v>0</v>
      </c>
      <c r="CS20" s="1101">
        <v>0</v>
      </c>
      <c r="CT20" s="1101">
        <v>0</v>
      </c>
      <c r="CU20" s="1101">
        <v>0</v>
      </c>
      <c r="CV20" s="1101">
        <v>0</v>
      </c>
      <c r="CW20" s="1101">
        <v>0</v>
      </c>
      <c r="CX20" s="1101">
        <v>0</v>
      </c>
      <c r="CY20" s="1101">
        <v>0</v>
      </c>
      <c r="CZ20" s="1101">
        <v>0</v>
      </c>
      <c r="DA20" s="1101">
        <v>0</v>
      </c>
      <c r="DB20" s="1101">
        <v>0</v>
      </c>
      <c r="DC20" s="1101">
        <v>0</v>
      </c>
      <c r="DD20" s="1101">
        <v>0</v>
      </c>
      <c r="DE20" s="1101">
        <v>0</v>
      </c>
      <c r="DF20" s="1101">
        <v>0</v>
      </c>
      <c r="DG20" s="1101">
        <v>0</v>
      </c>
      <c r="DH20" s="1101">
        <v>0</v>
      </c>
      <c r="DI20" s="1101">
        <v>0</v>
      </c>
      <c r="DJ20" s="1101">
        <v>0</v>
      </c>
      <c r="DK20" s="1101">
        <v>0</v>
      </c>
      <c r="DL20" s="1101">
        <v>0</v>
      </c>
      <c r="DM20" s="1101">
        <v>0</v>
      </c>
      <c r="DN20" s="1101">
        <v>0</v>
      </c>
      <c r="DO20" s="1101">
        <v>0</v>
      </c>
      <c r="DP20" s="1101">
        <v>0</v>
      </c>
      <c r="DQ20" s="1101">
        <v>-371078</v>
      </c>
      <c r="DR20" s="1101">
        <v>-760186</v>
      </c>
      <c r="DS20" s="1101">
        <v>0</v>
      </c>
      <c r="DT20" s="1101">
        <v>0</v>
      </c>
      <c r="DU20" s="1101">
        <v>0</v>
      </c>
      <c r="DV20" s="1101">
        <v>0</v>
      </c>
      <c r="DW20" s="1101">
        <v>0</v>
      </c>
      <c r="DX20" s="1101">
        <v>0</v>
      </c>
      <c r="DY20" s="1101">
        <v>0</v>
      </c>
      <c r="DZ20" s="1101">
        <v>0</v>
      </c>
      <c r="EA20" s="1101">
        <v>0</v>
      </c>
      <c r="EB20" s="1101">
        <v>0</v>
      </c>
      <c r="EC20" s="1101">
        <v>0</v>
      </c>
      <c r="ED20" s="1101">
        <v>0</v>
      </c>
      <c r="EE20" s="1101">
        <v>0</v>
      </c>
      <c r="EF20" s="1101">
        <v>0</v>
      </c>
      <c r="EG20" s="1101">
        <v>0</v>
      </c>
      <c r="EH20" s="1101">
        <v>0</v>
      </c>
      <c r="EI20" s="1101">
        <v>-4838061</v>
      </c>
      <c r="EJ20" s="1101">
        <v>-9545463</v>
      </c>
      <c r="EK20" s="1101">
        <v>0</v>
      </c>
      <c r="EL20" s="1101">
        <v>0</v>
      </c>
      <c r="EM20" s="1101">
        <v>0</v>
      </c>
      <c r="EN20" s="1101">
        <v>0</v>
      </c>
      <c r="EO20" s="1101">
        <v>0</v>
      </c>
      <c r="EP20" s="1101">
        <v>0</v>
      </c>
      <c r="EQ20" s="1101">
        <v>0</v>
      </c>
      <c r="ER20" s="1101">
        <v>0</v>
      </c>
      <c r="ES20" s="1101">
        <v>-324957</v>
      </c>
      <c r="ET20" s="1101">
        <v>-13511</v>
      </c>
      <c r="EU20" s="1101">
        <v>0</v>
      </c>
      <c r="EV20" s="1101">
        <v>0</v>
      </c>
      <c r="EW20" s="1101">
        <v>0</v>
      </c>
      <c r="EX20" s="1101">
        <v>0</v>
      </c>
      <c r="EY20" s="1101">
        <v>0</v>
      </c>
      <c r="EZ20" s="1101">
        <v>0</v>
      </c>
      <c r="FA20" s="1101">
        <v>0</v>
      </c>
      <c r="FB20" s="1101">
        <v>0</v>
      </c>
      <c r="FC20" s="1101">
        <v>0</v>
      </c>
      <c r="FD20" s="1101">
        <v>0</v>
      </c>
      <c r="FE20" s="1101">
        <v>0</v>
      </c>
      <c r="FF20" s="1101">
        <v>0</v>
      </c>
      <c r="FG20" s="1101">
        <v>0</v>
      </c>
      <c r="FH20" s="1101">
        <v>0</v>
      </c>
      <c r="FI20" s="1101">
        <v>0</v>
      </c>
      <c r="FJ20" s="1101">
        <v>0</v>
      </c>
      <c r="FK20" s="1101">
        <v>-785140</v>
      </c>
      <c r="FL20" s="1101">
        <v>-1236632</v>
      </c>
      <c r="FM20" s="1101">
        <v>0</v>
      </c>
      <c r="FN20" s="1101">
        <v>0</v>
      </c>
      <c r="FO20" s="1101">
        <v>0</v>
      </c>
      <c r="FP20" s="1101">
        <v>0</v>
      </c>
      <c r="FQ20" s="1101">
        <v>0</v>
      </c>
      <c r="FR20" s="1101">
        <v>0</v>
      </c>
      <c r="FS20" s="1101">
        <v>0</v>
      </c>
      <c r="FT20" s="1101">
        <v>0</v>
      </c>
      <c r="FU20" s="1101">
        <v>0</v>
      </c>
      <c r="FV20" s="1101">
        <v>0</v>
      </c>
      <c r="FW20" s="1101">
        <v>0</v>
      </c>
      <c r="FX20" s="1101">
        <v>0</v>
      </c>
      <c r="FY20" s="1101">
        <v>0</v>
      </c>
      <c r="FZ20" s="1101">
        <v>0</v>
      </c>
      <c r="GA20" s="1101">
        <v>0</v>
      </c>
      <c r="GB20" s="1101">
        <v>487923</v>
      </c>
      <c r="GC20" s="1101">
        <v>24180919</v>
      </c>
      <c r="GD20" s="1101">
        <v>8134482</v>
      </c>
      <c r="GE20" s="1101">
        <v>88</v>
      </c>
      <c r="GF20" s="1101">
        <v>0</v>
      </c>
      <c r="GG20" s="1101">
        <v>0</v>
      </c>
      <c r="GH20" s="1101">
        <v>0</v>
      </c>
      <c r="GI20" s="1101">
        <v>0</v>
      </c>
      <c r="GJ20" s="1101">
        <v>0</v>
      </c>
      <c r="GK20" s="1101">
        <v>0</v>
      </c>
      <c r="GL20" s="1101">
        <v>0</v>
      </c>
      <c r="GM20" s="1101">
        <v>0</v>
      </c>
      <c r="GN20" s="1101">
        <v>0</v>
      </c>
      <c r="GO20" s="1101">
        <v>0</v>
      </c>
      <c r="GP20" s="1101">
        <v>0</v>
      </c>
      <c r="GQ20" s="1101">
        <v>0</v>
      </c>
      <c r="GR20" s="1101">
        <v>0</v>
      </c>
      <c r="GS20" s="1101">
        <v>0</v>
      </c>
      <c r="GT20" s="1101">
        <v>0</v>
      </c>
      <c r="GU20" s="1101">
        <v>0</v>
      </c>
      <c r="GV20" s="1101">
        <v>0</v>
      </c>
      <c r="GW20" s="1101">
        <v>0</v>
      </c>
      <c r="GX20" s="1101">
        <v>0</v>
      </c>
      <c r="GY20" s="1101">
        <v>0</v>
      </c>
      <c r="GZ20" s="1101">
        <v>0</v>
      </c>
      <c r="HA20" s="1101">
        <v>0</v>
      </c>
      <c r="HB20" s="1101">
        <v>0</v>
      </c>
      <c r="HC20" s="1101">
        <v>-1590</v>
      </c>
      <c r="HD20" s="1101">
        <v>-635245</v>
      </c>
      <c r="HE20" s="1101">
        <v>-294005</v>
      </c>
      <c r="HF20" s="1101">
        <v>0</v>
      </c>
      <c r="HG20" s="1101">
        <v>0</v>
      </c>
      <c r="HH20" s="1101">
        <v>0</v>
      </c>
      <c r="HI20" s="1101">
        <v>0</v>
      </c>
      <c r="HJ20" s="1101">
        <v>0</v>
      </c>
      <c r="HK20" s="1101">
        <v>0</v>
      </c>
      <c r="HL20" s="1101">
        <v>0</v>
      </c>
      <c r="HM20" s="1101">
        <v>0</v>
      </c>
      <c r="HN20" s="1101">
        <v>0</v>
      </c>
      <c r="HO20" s="1101">
        <v>0</v>
      </c>
      <c r="HP20" s="1101">
        <v>0</v>
      </c>
      <c r="HQ20" s="1101">
        <v>0</v>
      </c>
      <c r="HR20" s="1101">
        <v>0</v>
      </c>
      <c r="HS20" s="1101">
        <v>0</v>
      </c>
      <c r="HT20" s="1101">
        <v>0</v>
      </c>
      <c r="HU20" s="1101">
        <v>-223587</v>
      </c>
      <c r="HV20" s="1101">
        <v>-10524261</v>
      </c>
      <c r="HW20" s="1101">
        <v>-3460063</v>
      </c>
      <c r="HX20" s="1101">
        <v>0</v>
      </c>
      <c r="HY20" s="1101">
        <v>0</v>
      </c>
      <c r="HZ20" s="1101">
        <v>0</v>
      </c>
      <c r="IA20" s="1101">
        <v>0</v>
      </c>
      <c r="IB20" s="1101">
        <v>0</v>
      </c>
      <c r="IC20" s="1101">
        <v>0</v>
      </c>
      <c r="ID20" s="1101">
        <v>2292122</v>
      </c>
      <c r="IE20" s="1101">
        <v>2876744</v>
      </c>
      <c r="IF20" s="1101">
        <v>0</v>
      </c>
      <c r="IG20" s="1101">
        <v>46589603</v>
      </c>
      <c r="IH20" s="1101">
        <v>0</v>
      </c>
      <c r="II20" s="1101">
        <v>0</v>
      </c>
      <c r="IJ20" s="1101">
        <v>0</v>
      </c>
      <c r="IK20" s="1101">
        <v>0</v>
      </c>
      <c r="IL20" s="1101">
        <v>0</v>
      </c>
      <c r="IM20" s="1101">
        <v>73677</v>
      </c>
      <c r="IN20" s="1101">
        <v>4384883</v>
      </c>
      <c r="IO20" s="1101">
        <v>548231</v>
      </c>
      <c r="IP20" s="1101">
        <v>276884</v>
      </c>
      <c r="IQ20" s="1101">
        <v>114435</v>
      </c>
      <c r="IR20" s="1101">
        <v>540</v>
      </c>
      <c r="IS20" s="1101">
        <v>29235</v>
      </c>
      <c r="IT20" s="1101">
        <v>0</v>
      </c>
      <c r="IU20" s="1101">
        <v>0</v>
      </c>
      <c r="IV20" s="1101">
        <v>0</v>
      </c>
      <c r="IW20" s="1101">
        <v>0</v>
      </c>
      <c r="IX20" s="1101">
        <v>0</v>
      </c>
      <c r="IY20" s="1101">
        <v>0</v>
      </c>
      <c r="IZ20" s="1101">
        <v>0</v>
      </c>
      <c r="JA20" s="1101">
        <v>0</v>
      </c>
      <c r="JB20" s="1101">
        <v>0</v>
      </c>
      <c r="JC20" s="1101">
        <v>0</v>
      </c>
      <c r="JD20" s="1101">
        <v>0</v>
      </c>
      <c r="JE20" s="1101">
        <v>0</v>
      </c>
      <c r="JF20" s="1101">
        <v>268233</v>
      </c>
      <c r="JG20" s="1101">
        <v>95000</v>
      </c>
      <c r="JH20" s="1101">
        <v>3885447</v>
      </c>
      <c r="JI20" s="1101">
        <v>0</v>
      </c>
      <c r="JJ20" s="1101">
        <v>0</v>
      </c>
      <c r="JK20" s="1101">
        <v>0</v>
      </c>
      <c r="JL20" s="1101">
        <v>0</v>
      </c>
      <c r="JM20" s="1101">
        <v>0</v>
      </c>
      <c r="JN20" s="1101">
        <v>42346</v>
      </c>
      <c r="JO20" s="1101">
        <v>388454</v>
      </c>
      <c r="JP20" s="1101">
        <v>0</v>
      </c>
      <c r="JQ20" s="1101">
        <v>410377</v>
      </c>
      <c r="JR20" s="1101">
        <v>0</v>
      </c>
      <c r="JS20" s="1101">
        <v>0</v>
      </c>
      <c r="JT20" s="1101">
        <v>0</v>
      </c>
      <c r="JU20" s="1101">
        <v>0</v>
      </c>
      <c r="JV20" s="1101">
        <v>0</v>
      </c>
      <c r="JW20" s="1101">
        <v>0</v>
      </c>
      <c r="JX20" s="1101">
        <v>0</v>
      </c>
      <c r="JY20" s="1101">
        <v>2014515</v>
      </c>
      <c r="JZ20" s="1101">
        <v>0</v>
      </c>
      <c r="KA20" s="1101">
        <v>0</v>
      </c>
      <c r="KB20" s="1101">
        <v>0</v>
      </c>
      <c r="KC20" s="1101">
        <v>0</v>
      </c>
      <c r="KD20" s="1101">
        <v>0</v>
      </c>
      <c r="KE20" s="1101">
        <v>0</v>
      </c>
      <c r="KF20" s="1101">
        <v>1712</v>
      </c>
      <c r="KG20" s="1101">
        <v>3161712</v>
      </c>
      <c r="KH20" s="1101">
        <v>22469</v>
      </c>
      <c r="KI20" s="1101">
        <v>-1311242</v>
      </c>
      <c r="KJ20" s="1101">
        <v>36888</v>
      </c>
      <c r="KK20" s="1101">
        <v>1481330</v>
      </c>
      <c r="KL20" s="1101">
        <v>0</v>
      </c>
      <c r="KM20" s="1101">
        <v>0</v>
      </c>
      <c r="KN20" s="1101">
        <v>0</v>
      </c>
      <c r="KO20" s="1101">
        <v>27458880</v>
      </c>
      <c r="KP20" s="1101">
        <v>3910500</v>
      </c>
      <c r="KQ20" s="1101">
        <v>0</v>
      </c>
      <c r="KR20" s="1101">
        <v>2411028</v>
      </c>
      <c r="KS20" s="1101">
        <v>0</v>
      </c>
      <c r="KT20" s="1101">
        <v>0</v>
      </c>
      <c r="KU20" s="1101">
        <v>0</v>
      </c>
      <c r="KV20" s="1101">
        <v>0</v>
      </c>
      <c r="KW20" s="1101">
        <v>0</v>
      </c>
      <c r="KX20" s="1101">
        <v>595708</v>
      </c>
      <c r="KY20" s="1101">
        <v>387225</v>
      </c>
      <c r="KZ20" s="1101">
        <v>0</v>
      </c>
      <c r="LA20" s="1101">
        <v>1842373</v>
      </c>
      <c r="LB20" s="1101">
        <v>0</v>
      </c>
      <c r="LC20" s="1101">
        <v>0</v>
      </c>
      <c r="LD20" s="1101">
        <v>0</v>
      </c>
      <c r="LE20" s="1101">
        <v>0</v>
      </c>
      <c r="LF20" s="1101">
        <v>0</v>
      </c>
      <c r="LG20" s="1101">
        <v>628734</v>
      </c>
      <c r="LH20" s="1101">
        <v>560859</v>
      </c>
      <c r="LI20" s="1101">
        <v>0</v>
      </c>
      <c r="LJ20" s="1101">
        <v>1173275</v>
      </c>
      <c r="LK20" s="1101">
        <v>0</v>
      </c>
      <c r="LL20" s="1101">
        <v>0</v>
      </c>
      <c r="LM20" s="1101">
        <v>0</v>
      </c>
      <c r="LN20" s="1101">
        <v>0</v>
      </c>
      <c r="LO20" s="1101">
        <v>0</v>
      </c>
      <c r="LP20" s="1101">
        <v>6444059</v>
      </c>
      <c r="LQ20" s="1101">
        <v>10028745</v>
      </c>
      <c r="LR20" s="1101">
        <v>0</v>
      </c>
      <c r="LS20" s="1101">
        <v>2758049</v>
      </c>
      <c r="LT20" s="1101">
        <v>0</v>
      </c>
      <c r="LU20" s="1101">
        <v>0</v>
      </c>
      <c r="LV20" s="1101">
        <v>0</v>
      </c>
      <c r="LW20" s="1101">
        <v>0</v>
      </c>
      <c r="LX20" s="1101">
        <v>0</v>
      </c>
      <c r="LY20" s="1101">
        <v>953114</v>
      </c>
      <c r="LZ20" s="1101">
        <v>5535575</v>
      </c>
      <c r="MA20" s="1101">
        <v>0</v>
      </c>
      <c r="MB20" s="1101">
        <v>1640632</v>
      </c>
      <c r="MC20" s="1101">
        <v>215</v>
      </c>
      <c r="MD20" s="1101">
        <v>0</v>
      </c>
      <c r="ME20" s="1101">
        <v>0</v>
      </c>
      <c r="MF20" s="1101">
        <v>0</v>
      </c>
      <c r="MG20" s="1101">
        <v>0</v>
      </c>
      <c r="MH20" s="1101">
        <v>720349</v>
      </c>
      <c r="MI20" s="1101">
        <v>6287604</v>
      </c>
      <c r="MJ20" s="1101">
        <v>0</v>
      </c>
      <c r="MK20" s="1101">
        <v>48866</v>
      </c>
      <c r="ML20" s="1101">
        <v>0</v>
      </c>
      <c r="MM20" s="1101">
        <v>0</v>
      </c>
      <c r="MN20" s="1101">
        <v>0</v>
      </c>
      <c r="MO20" s="1101">
        <v>0</v>
      </c>
      <c r="MP20" s="1101">
        <v>0</v>
      </c>
      <c r="MQ20" s="1101">
        <v>2626787</v>
      </c>
      <c r="MR20" s="1101">
        <v>7994106</v>
      </c>
      <c r="MS20" s="1101">
        <v>0</v>
      </c>
      <c r="MT20" s="1101">
        <v>3581933</v>
      </c>
      <c r="MU20" s="1101">
        <v>0</v>
      </c>
      <c r="MV20" s="1101">
        <v>0</v>
      </c>
      <c r="MW20" s="1101">
        <v>55</v>
      </c>
      <c r="MX20" s="1101">
        <v>0</v>
      </c>
      <c r="MY20" s="1101">
        <v>0</v>
      </c>
      <c r="MZ20" s="1101">
        <v>1269721</v>
      </c>
      <c r="NA20" s="1101">
        <v>4370731</v>
      </c>
      <c r="NB20" s="1101">
        <v>0</v>
      </c>
      <c r="NC20" s="1101">
        <v>24103701</v>
      </c>
      <c r="ND20" s="1101">
        <v>0</v>
      </c>
      <c r="NE20" s="1101">
        <v>0</v>
      </c>
      <c r="NF20" s="1101">
        <v>0</v>
      </c>
      <c r="NG20" s="1101">
        <v>0</v>
      </c>
      <c r="NH20" s="1101">
        <v>0</v>
      </c>
      <c r="NI20" s="1101">
        <v>0</v>
      </c>
      <c r="NJ20" s="1101">
        <v>0</v>
      </c>
      <c r="NK20" s="1101">
        <v>7874983</v>
      </c>
      <c r="NL20" s="1101">
        <v>0</v>
      </c>
      <c r="NM20" s="1101">
        <v>0</v>
      </c>
      <c r="NN20" s="1101">
        <v>0</v>
      </c>
      <c r="NO20" s="1101">
        <v>0</v>
      </c>
      <c r="NP20" s="1101">
        <v>0</v>
      </c>
      <c r="NQ20" s="1101">
        <v>0</v>
      </c>
      <c r="NR20" s="1101">
        <v>1103271</v>
      </c>
      <c r="NS20" s="1101">
        <v>64725</v>
      </c>
      <c r="NT20" s="1101">
        <v>111414</v>
      </c>
      <c r="NU20" s="1101">
        <v>470243</v>
      </c>
      <c r="NV20" s="1101">
        <v>0</v>
      </c>
      <c r="NW20" s="1101">
        <v>0</v>
      </c>
      <c r="NX20" s="1101">
        <v>0</v>
      </c>
      <c r="NY20" s="1101">
        <v>0</v>
      </c>
      <c r="NZ20" s="1101">
        <v>0</v>
      </c>
      <c r="OA20" s="1101">
        <v>0</v>
      </c>
      <c r="OB20" s="1101">
        <v>359783</v>
      </c>
      <c r="OC20" s="1101">
        <v>39966</v>
      </c>
      <c r="OD20" s="1101">
        <v>1585</v>
      </c>
      <c r="OE20" s="1101">
        <v>8303</v>
      </c>
      <c r="OF20" s="1101">
        <v>1318830</v>
      </c>
      <c r="OG20" s="1101">
        <v>-526181</v>
      </c>
      <c r="OH20" s="1101">
        <v>0</v>
      </c>
      <c r="OI20" s="1101">
        <v>528880</v>
      </c>
      <c r="OJ20" s="1101">
        <v>0</v>
      </c>
      <c r="OK20" s="1101">
        <v>0</v>
      </c>
      <c r="OL20" s="1101">
        <v>0</v>
      </c>
      <c r="OM20" s="1101">
        <v>0</v>
      </c>
      <c r="ON20" s="1101">
        <v>0</v>
      </c>
      <c r="OO20" s="1101">
        <v>0</v>
      </c>
      <c r="OP20" s="1101">
        <v>-369520</v>
      </c>
      <c r="OQ20" s="1101">
        <v>0</v>
      </c>
      <c r="OR20" s="1101">
        <v>0</v>
      </c>
      <c r="OS20" s="1101">
        <v>3891247</v>
      </c>
      <c r="OT20" s="1101">
        <v>18383132</v>
      </c>
      <c r="OU20" s="1101">
        <v>2869378</v>
      </c>
      <c r="OV20" s="1101">
        <v>-22079937</v>
      </c>
      <c r="OW20" s="1101">
        <v>144783</v>
      </c>
      <c r="OX20" s="1101">
        <v>3685376</v>
      </c>
      <c r="OY20" s="1101">
        <v>0</v>
      </c>
      <c r="OZ20" s="1101">
        <v>0</v>
      </c>
      <c r="PA20" s="1101">
        <v>0</v>
      </c>
      <c r="PB20" s="1101">
        <v>0</v>
      </c>
      <c r="PC20" s="1101">
        <v>0</v>
      </c>
      <c r="PD20" s="1101">
        <v>0</v>
      </c>
      <c r="PE20" s="1101">
        <v>0</v>
      </c>
      <c r="PF20" s="1101">
        <v>0</v>
      </c>
      <c r="PG20" s="1101">
        <v>0</v>
      </c>
      <c r="PH20" s="1101">
        <v>0</v>
      </c>
      <c r="PI20" s="1101">
        <v>0</v>
      </c>
      <c r="PJ20" s="1101">
        <v>0</v>
      </c>
      <c r="PK20" s="1101">
        <v>-8575585</v>
      </c>
      <c r="PL20" s="1101">
        <v>-403358</v>
      </c>
      <c r="PM20" s="1101">
        <v>-1921255</v>
      </c>
      <c r="PN20" s="1101">
        <v>0</v>
      </c>
      <c r="PO20" s="1101">
        <v>0</v>
      </c>
      <c r="PP20" s="1101">
        <v>0</v>
      </c>
      <c r="PQ20" s="1101">
        <v>0</v>
      </c>
      <c r="PR20" s="1101">
        <v>0</v>
      </c>
      <c r="PS20" s="1101">
        <v>0</v>
      </c>
      <c r="PT20" s="1101">
        <v>8186343</v>
      </c>
      <c r="PU20" s="1101">
        <v>3045137</v>
      </c>
      <c r="PV20" s="1101">
        <v>735726</v>
      </c>
      <c r="PW20" s="1101">
        <v>349162</v>
      </c>
      <c r="PX20" s="1101">
        <v>0</v>
      </c>
      <c r="PY20" s="1101">
        <v>11143774</v>
      </c>
      <c r="PZ20" s="1101">
        <v>0</v>
      </c>
      <c r="QA20" s="1101">
        <v>0</v>
      </c>
      <c r="QB20" s="1101">
        <v>0</v>
      </c>
      <c r="QC20" s="1101">
        <v>0</v>
      </c>
      <c r="QD20" s="1101">
        <v>0</v>
      </c>
      <c r="QE20" s="1101">
        <v>0</v>
      </c>
      <c r="QF20" s="1101">
        <v>0</v>
      </c>
      <c r="QG20" s="1101">
        <v>0</v>
      </c>
      <c r="QH20" s="1101">
        <v>41530514</v>
      </c>
      <c r="QI20" s="1101">
        <v>0</v>
      </c>
      <c r="QJ20" s="1101">
        <v>0</v>
      </c>
      <c r="QK20" s="1101">
        <v>0</v>
      </c>
      <c r="QL20" s="1101">
        <v>0</v>
      </c>
      <c r="QM20" s="1101">
        <v>0</v>
      </c>
      <c r="QN20" s="1101">
        <v>0</v>
      </c>
      <c r="QO20" s="1101">
        <v>0</v>
      </c>
      <c r="QP20" s="1101">
        <v>0</v>
      </c>
      <c r="QQ20" s="1101">
        <v>0</v>
      </c>
      <c r="QR20" s="1101">
        <v>0</v>
      </c>
      <c r="QS20" s="1101">
        <v>0</v>
      </c>
      <c r="QT20" s="1101">
        <v>0</v>
      </c>
      <c r="QU20" s="1101">
        <v>0</v>
      </c>
      <c r="QV20" s="1101">
        <v>0</v>
      </c>
      <c r="QW20" s="1101">
        <v>0</v>
      </c>
      <c r="QX20" s="1101">
        <v>0</v>
      </c>
      <c r="QY20" s="1101">
        <v>0</v>
      </c>
      <c r="QZ20" s="1101">
        <v>0</v>
      </c>
      <c r="RA20" s="1101">
        <v>0</v>
      </c>
      <c r="RB20" s="1101">
        <v>0</v>
      </c>
      <c r="RC20" s="1101">
        <v>-11214168</v>
      </c>
      <c r="RD20" s="1101">
        <v>0</v>
      </c>
      <c r="RE20" s="1101">
        <v>0</v>
      </c>
      <c r="RF20" s="1101">
        <v>0</v>
      </c>
      <c r="RG20" s="1101">
        <v>0</v>
      </c>
      <c r="RH20" s="1101">
        <v>0</v>
      </c>
      <c r="RI20" s="1101">
        <v>0</v>
      </c>
      <c r="RJ20" s="1101">
        <v>0</v>
      </c>
      <c r="RK20" s="1101">
        <v>0</v>
      </c>
      <c r="RL20" s="1101">
        <v>528302</v>
      </c>
      <c r="RM20" s="1101">
        <v>0</v>
      </c>
      <c r="RN20" s="1101">
        <v>0</v>
      </c>
      <c r="RO20" s="1101">
        <v>0</v>
      </c>
      <c r="RP20" s="1101">
        <v>0</v>
      </c>
      <c r="RQ20" s="1101">
        <v>0</v>
      </c>
      <c r="RR20" s="1101">
        <v>0</v>
      </c>
      <c r="RS20" s="1101">
        <v>0</v>
      </c>
      <c r="RT20" s="1101">
        <v>0</v>
      </c>
      <c r="RU20" s="1101">
        <v>0</v>
      </c>
      <c r="RV20" s="1101">
        <v>0</v>
      </c>
      <c r="RW20" s="1101">
        <v>0</v>
      </c>
      <c r="RX20" s="1101">
        <v>0</v>
      </c>
      <c r="RY20" s="1101">
        <v>0</v>
      </c>
      <c r="RZ20" s="1101">
        <v>0</v>
      </c>
      <c r="SA20" s="1101">
        <v>0</v>
      </c>
      <c r="SB20" s="1101">
        <v>0</v>
      </c>
      <c r="SC20" s="1101">
        <v>0</v>
      </c>
      <c r="SD20" s="1101">
        <v>0</v>
      </c>
      <c r="SE20" s="1101">
        <v>1103271</v>
      </c>
      <c r="SF20" s="1101">
        <v>64725</v>
      </c>
      <c r="SG20" s="1101">
        <v>111414</v>
      </c>
      <c r="SH20" s="1101">
        <v>470243</v>
      </c>
      <c r="SI20" s="1101">
        <v>0</v>
      </c>
      <c r="SJ20" s="1101">
        <v>0</v>
      </c>
      <c r="SK20" s="1101">
        <v>369520</v>
      </c>
      <c r="SL20" s="1102">
        <v>0</v>
      </c>
      <c r="SM20" s="1101">
        <v>0</v>
      </c>
      <c r="SN20" s="1101">
        <v>83406289</v>
      </c>
      <c r="SO20" s="1102"/>
      <c r="SP20" s="1103"/>
      <c r="SQ20" s="1104">
        <v>66421549</v>
      </c>
      <c r="SR20" s="1104">
        <v>-30653539</v>
      </c>
      <c r="SS20" s="1105">
        <v>622717</v>
      </c>
      <c r="ST20" s="1106">
        <v>246632</v>
      </c>
      <c r="SU20" s="1106">
        <v>0</v>
      </c>
      <c r="SV20" s="1106">
        <v>431046</v>
      </c>
      <c r="SW20" s="1106">
        <v>229</v>
      </c>
      <c r="SX20" s="1106">
        <v>12384</v>
      </c>
      <c r="SY20" s="1106">
        <v>325231</v>
      </c>
      <c r="SZ20" s="1106">
        <v>0</v>
      </c>
      <c r="TA20" s="1106">
        <v>111414</v>
      </c>
      <c r="TB20" s="1106">
        <v>0</v>
      </c>
      <c r="TC20" s="1105">
        <v>0</v>
      </c>
      <c r="TD20" s="1106">
        <v>0</v>
      </c>
      <c r="TE20" s="1106">
        <v>39043</v>
      </c>
      <c r="TF20" s="1106">
        <v>0</v>
      </c>
      <c r="TG20" s="1106">
        <v>0</v>
      </c>
      <c r="TH20" s="1106">
        <v>0</v>
      </c>
      <c r="TI20" s="1106">
        <v>0</v>
      </c>
      <c r="TJ20" s="1106">
        <v>0</v>
      </c>
      <c r="TK20" s="1105">
        <v>0</v>
      </c>
      <c r="TL20" s="1106">
        <v>0</v>
      </c>
      <c r="TM20" s="1106">
        <v>0</v>
      </c>
      <c r="TN20" s="1106">
        <v>0</v>
      </c>
      <c r="TO20" s="1106">
        <v>0</v>
      </c>
      <c r="TP20" s="1106">
        <v>0</v>
      </c>
      <c r="TQ20" s="1106">
        <v>0</v>
      </c>
      <c r="TR20" s="1106">
        <v>0</v>
      </c>
      <c r="TS20" s="1105">
        <v>33780408</v>
      </c>
      <c r="TT20" s="1106">
        <v>2825306</v>
      </c>
      <c r="TU20" s="1106">
        <v>2362868</v>
      </c>
      <c r="TV20" s="1106">
        <v>19230853</v>
      </c>
      <c r="TW20" s="1106">
        <v>8129536</v>
      </c>
      <c r="TX20" s="1106">
        <v>7056819</v>
      </c>
      <c r="TY20" s="1106">
        <v>14202881</v>
      </c>
      <c r="TZ20" s="1107">
        <v>29744153</v>
      </c>
      <c r="UA20" s="1107">
        <v>7874983</v>
      </c>
      <c r="UB20" s="1105">
        <v>26982326</v>
      </c>
      <c r="UC20" s="1108">
        <v>23460142</v>
      </c>
      <c r="UD20" s="1108"/>
      <c r="UE20" s="1103"/>
      <c r="UF20" s="1109" t="s">
        <v>2424</v>
      </c>
      <c r="UG20" s="1110" t="s">
        <v>2425</v>
      </c>
      <c r="UH20" s="1110" t="s">
        <v>2426</v>
      </c>
    </row>
    <row r="21" spans="1:554" s="776" customFormat="1" ht="15.75" thickBot="1">
      <c r="A21" s="1093">
        <v>200</v>
      </c>
      <c r="B21" s="1094" t="s">
        <v>112</v>
      </c>
      <c r="C21" s="1095" t="s">
        <v>317</v>
      </c>
      <c r="D21" s="1096" t="s">
        <v>2398</v>
      </c>
      <c r="E21" s="1097">
        <v>3665</v>
      </c>
      <c r="F21" s="1098">
        <v>599573656</v>
      </c>
      <c r="G21" s="1096" t="s">
        <v>2399</v>
      </c>
      <c r="H21" s="1100" t="s">
        <v>112</v>
      </c>
      <c r="I21" s="1100"/>
      <c r="J21" s="1100"/>
      <c r="K21" s="1100"/>
      <c r="L21" s="1100"/>
      <c r="M21" s="1101">
        <v>41246915</v>
      </c>
      <c r="N21" s="1101">
        <v>0</v>
      </c>
      <c r="O21" s="1101">
        <v>0</v>
      </c>
      <c r="P21" s="1101">
        <v>0</v>
      </c>
      <c r="Q21" s="1101">
        <v>0</v>
      </c>
      <c r="R21" s="1101">
        <v>0</v>
      </c>
      <c r="S21" s="1101">
        <v>0</v>
      </c>
      <c r="T21" s="1101">
        <v>0</v>
      </c>
      <c r="U21" s="1101">
        <v>0</v>
      </c>
      <c r="V21" s="1101">
        <v>79447</v>
      </c>
      <c r="W21" s="1101">
        <v>39000</v>
      </c>
      <c r="X21" s="1101">
        <v>0</v>
      </c>
      <c r="Y21" s="1101">
        <v>5685133</v>
      </c>
      <c r="Z21" s="1101">
        <v>0</v>
      </c>
      <c r="AA21" s="1101">
        <v>0</v>
      </c>
      <c r="AB21" s="1101">
        <v>0</v>
      </c>
      <c r="AC21" s="1101">
        <v>0</v>
      </c>
      <c r="AD21" s="1101">
        <v>0</v>
      </c>
      <c r="AE21" s="1101">
        <v>0</v>
      </c>
      <c r="AF21" s="1101">
        <v>0</v>
      </c>
      <c r="AG21" s="1101">
        <v>0</v>
      </c>
      <c r="AH21" s="1101">
        <v>0</v>
      </c>
      <c r="AI21" s="1101">
        <v>0</v>
      </c>
      <c r="AJ21" s="1101">
        <v>0</v>
      </c>
      <c r="AK21" s="1101">
        <v>0</v>
      </c>
      <c r="AL21" s="1101">
        <v>0</v>
      </c>
      <c r="AM21" s="1101">
        <v>0</v>
      </c>
      <c r="AN21" s="1101">
        <v>7446495</v>
      </c>
      <c r="AO21" s="1101">
        <v>0</v>
      </c>
      <c r="AP21" s="1101">
        <v>0</v>
      </c>
      <c r="AQ21" s="1101">
        <v>0</v>
      </c>
      <c r="AR21" s="1101">
        <v>0</v>
      </c>
      <c r="AS21" s="1101">
        <v>0</v>
      </c>
      <c r="AT21" s="1101">
        <v>0</v>
      </c>
      <c r="AU21" s="1101">
        <v>0</v>
      </c>
      <c r="AV21" s="1101">
        <v>0</v>
      </c>
      <c r="AW21" s="1101">
        <v>0</v>
      </c>
      <c r="AX21" s="1101">
        <v>0</v>
      </c>
      <c r="AY21" s="1101">
        <v>0</v>
      </c>
      <c r="AZ21" s="1101">
        <v>0</v>
      </c>
      <c r="BA21" s="1101">
        <v>0</v>
      </c>
      <c r="BB21" s="1101">
        <v>0</v>
      </c>
      <c r="BC21" s="1101">
        <v>0</v>
      </c>
      <c r="BD21" s="1101">
        <v>0</v>
      </c>
      <c r="BE21" s="1101">
        <v>0</v>
      </c>
      <c r="BF21" s="1101">
        <v>-14243182</v>
      </c>
      <c r="BG21" s="1101">
        <v>0</v>
      </c>
      <c r="BH21" s="1101">
        <v>0</v>
      </c>
      <c r="BI21" s="1101">
        <v>0</v>
      </c>
      <c r="BJ21" s="1101">
        <v>0</v>
      </c>
      <c r="BK21" s="1101">
        <v>0</v>
      </c>
      <c r="BL21" s="1101">
        <v>0</v>
      </c>
      <c r="BM21" s="1101">
        <v>0</v>
      </c>
      <c r="BN21" s="1101">
        <v>0</v>
      </c>
      <c r="BO21" s="1101">
        <v>0</v>
      </c>
      <c r="BP21" s="1101">
        <v>0</v>
      </c>
      <c r="BQ21" s="1101">
        <v>0</v>
      </c>
      <c r="BR21" s="1101">
        <v>0</v>
      </c>
      <c r="BS21" s="1101">
        <v>0</v>
      </c>
      <c r="BT21" s="1101">
        <v>0</v>
      </c>
      <c r="BU21" s="1101">
        <v>0</v>
      </c>
      <c r="BV21" s="1101">
        <v>0</v>
      </c>
      <c r="BW21" s="1101">
        <v>0</v>
      </c>
      <c r="BX21" s="1101">
        <v>0</v>
      </c>
      <c r="BY21" s="1101">
        <v>0</v>
      </c>
      <c r="BZ21" s="1101">
        <v>0</v>
      </c>
      <c r="CA21" s="1101">
        <v>0</v>
      </c>
      <c r="CB21" s="1101">
        <v>0</v>
      </c>
      <c r="CC21" s="1101">
        <v>0</v>
      </c>
      <c r="CD21" s="1101">
        <v>0</v>
      </c>
      <c r="CE21" s="1101">
        <v>0</v>
      </c>
      <c r="CF21" s="1101">
        <v>0</v>
      </c>
      <c r="CG21" s="1101">
        <v>0</v>
      </c>
      <c r="CH21" s="1101">
        <v>0</v>
      </c>
      <c r="CI21" s="1101">
        <v>0</v>
      </c>
      <c r="CJ21" s="1101">
        <v>0</v>
      </c>
      <c r="CK21" s="1101">
        <v>0</v>
      </c>
      <c r="CL21" s="1101">
        <v>0</v>
      </c>
      <c r="CM21" s="1101">
        <v>0</v>
      </c>
      <c r="CN21" s="1101">
        <v>0</v>
      </c>
      <c r="CO21" s="1101">
        <v>0</v>
      </c>
      <c r="CP21" s="1101">
        <v>14675180</v>
      </c>
      <c r="CQ21" s="1101">
        <v>41773343</v>
      </c>
      <c r="CR21" s="1101">
        <v>0</v>
      </c>
      <c r="CS21" s="1101">
        <v>0</v>
      </c>
      <c r="CT21" s="1101">
        <v>0</v>
      </c>
      <c r="CU21" s="1101">
        <v>0</v>
      </c>
      <c r="CV21" s="1101">
        <v>0</v>
      </c>
      <c r="CW21" s="1101">
        <v>0</v>
      </c>
      <c r="CX21" s="1101">
        <v>0</v>
      </c>
      <c r="CY21" s="1101">
        <v>0</v>
      </c>
      <c r="CZ21" s="1101">
        <v>0</v>
      </c>
      <c r="DA21" s="1101">
        <v>0</v>
      </c>
      <c r="DB21" s="1101">
        <v>0</v>
      </c>
      <c r="DC21" s="1101">
        <v>0</v>
      </c>
      <c r="DD21" s="1101">
        <v>0</v>
      </c>
      <c r="DE21" s="1101">
        <v>0</v>
      </c>
      <c r="DF21" s="1101">
        <v>0</v>
      </c>
      <c r="DG21" s="1101">
        <v>0</v>
      </c>
      <c r="DH21" s="1101">
        <v>0</v>
      </c>
      <c r="DI21" s="1101">
        <v>0</v>
      </c>
      <c r="DJ21" s="1101">
        <v>0</v>
      </c>
      <c r="DK21" s="1101">
        <v>0</v>
      </c>
      <c r="DL21" s="1101">
        <v>0</v>
      </c>
      <c r="DM21" s="1101">
        <v>0</v>
      </c>
      <c r="DN21" s="1101">
        <v>0</v>
      </c>
      <c r="DO21" s="1101">
        <v>0</v>
      </c>
      <c r="DP21" s="1101">
        <v>0</v>
      </c>
      <c r="DQ21" s="1101">
        <v>-712481</v>
      </c>
      <c r="DR21" s="1101">
        <v>-3372625</v>
      </c>
      <c r="DS21" s="1101">
        <v>0</v>
      </c>
      <c r="DT21" s="1101">
        <v>0</v>
      </c>
      <c r="DU21" s="1101">
        <v>0</v>
      </c>
      <c r="DV21" s="1101">
        <v>0</v>
      </c>
      <c r="DW21" s="1101">
        <v>0</v>
      </c>
      <c r="DX21" s="1101">
        <v>0</v>
      </c>
      <c r="DY21" s="1101">
        <v>0</v>
      </c>
      <c r="DZ21" s="1101">
        <v>0</v>
      </c>
      <c r="EA21" s="1101">
        <v>0</v>
      </c>
      <c r="EB21" s="1101">
        <v>0</v>
      </c>
      <c r="EC21" s="1101">
        <v>0</v>
      </c>
      <c r="ED21" s="1101">
        <v>0</v>
      </c>
      <c r="EE21" s="1101">
        <v>0</v>
      </c>
      <c r="EF21" s="1101">
        <v>0</v>
      </c>
      <c r="EG21" s="1101">
        <v>0</v>
      </c>
      <c r="EH21" s="1101">
        <v>0</v>
      </c>
      <c r="EI21" s="1101">
        <v>-3449413</v>
      </c>
      <c r="EJ21" s="1101">
        <v>-8474331</v>
      </c>
      <c r="EK21" s="1101">
        <v>0</v>
      </c>
      <c r="EL21" s="1101">
        <v>0</v>
      </c>
      <c r="EM21" s="1101">
        <v>0</v>
      </c>
      <c r="EN21" s="1101">
        <v>0</v>
      </c>
      <c r="EO21" s="1101">
        <v>0</v>
      </c>
      <c r="EP21" s="1101">
        <v>0</v>
      </c>
      <c r="EQ21" s="1101">
        <v>0</v>
      </c>
      <c r="ER21" s="1101">
        <v>0</v>
      </c>
      <c r="ES21" s="1101">
        <v>0</v>
      </c>
      <c r="ET21" s="1101">
        <v>0</v>
      </c>
      <c r="EU21" s="1101">
        <v>0</v>
      </c>
      <c r="EV21" s="1101">
        <v>0</v>
      </c>
      <c r="EW21" s="1101">
        <v>0</v>
      </c>
      <c r="EX21" s="1101">
        <v>0</v>
      </c>
      <c r="EY21" s="1101">
        <v>0</v>
      </c>
      <c r="EZ21" s="1101">
        <v>0</v>
      </c>
      <c r="FA21" s="1101">
        <v>0</v>
      </c>
      <c r="FB21" s="1101">
        <v>0</v>
      </c>
      <c r="FC21" s="1101">
        <v>0</v>
      </c>
      <c r="FD21" s="1101">
        <v>0</v>
      </c>
      <c r="FE21" s="1101">
        <v>0</v>
      </c>
      <c r="FF21" s="1101">
        <v>0</v>
      </c>
      <c r="FG21" s="1101">
        <v>0</v>
      </c>
      <c r="FH21" s="1101">
        <v>0</v>
      </c>
      <c r="FI21" s="1101">
        <v>0</v>
      </c>
      <c r="FJ21" s="1101">
        <v>0</v>
      </c>
      <c r="FK21" s="1101">
        <v>0</v>
      </c>
      <c r="FL21" s="1101">
        <v>0</v>
      </c>
      <c r="FM21" s="1101">
        <v>0</v>
      </c>
      <c r="FN21" s="1101">
        <v>0</v>
      </c>
      <c r="FO21" s="1101">
        <v>0</v>
      </c>
      <c r="FP21" s="1101">
        <v>0</v>
      </c>
      <c r="FQ21" s="1101">
        <v>0</v>
      </c>
      <c r="FR21" s="1101">
        <v>0</v>
      </c>
      <c r="FS21" s="1101">
        <v>0</v>
      </c>
      <c r="FT21" s="1101">
        <v>0</v>
      </c>
      <c r="FU21" s="1101">
        <v>0</v>
      </c>
      <c r="FV21" s="1101">
        <v>0</v>
      </c>
      <c r="FW21" s="1101">
        <v>0</v>
      </c>
      <c r="FX21" s="1101">
        <v>0</v>
      </c>
      <c r="FY21" s="1101">
        <v>0</v>
      </c>
      <c r="FZ21" s="1101">
        <v>0</v>
      </c>
      <c r="GA21" s="1101">
        <v>0</v>
      </c>
      <c r="GB21" s="1101">
        <v>11682</v>
      </c>
      <c r="GC21" s="1101">
        <v>15591142</v>
      </c>
      <c r="GD21" s="1101">
        <v>13350806</v>
      </c>
      <c r="GE21" s="1101">
        <v>0</v>
      </c>
      <c r="GF21" s="1101">
        <v>0</v>
      </c>
      <c r="GG21" s="1101">
        <v>0</v>
      </c>
      <c r="GH21" s="1101">
        <v>0</v>
      </c>
      <c r="GI21" s="1101">
        <v>0</v>
      </c>
      <c r="GJ21" s="1101">
        <v>0</v>
      </c>
      <c r="GK21" s="1101">
        <v>0</v>
      </c>
      <c r="GL21" s="1101">
        <v>0</v>
      </c>
      <c r="GM21" s="1101">
        <v>0</v>
      </c>
      <c r="GN21" s="1101">
        <v>0</v>
      </c>
      <c r="GO21" s="1101">
        <v>0</v>
      </c>
      <c r="GP21" s="1101">
        <v>0</v>
      </c>
      <c r="GQ21" s="1101">
        <v>0</v>
      </c>
      <c r="GR21" s="1101">
        <v>0</v>
      </c>
      <c r="GS21" s="1101">
        <v>0</v>
      </c>
      <c r="GT21" s="1101">
        <v>0</v>
      </c>
      <c r="GU21" s="1101">
        <v>0</v>
      </c>
      <c r="GV21" s="1101">
        <v>0</v>
      </c>
      <c r="GW21" s="1101">
        <v>0</v>
      </c>
      <c r="GX21" s="1101">
        <v>0</v>
      </c>
      <c r="GY21" s="1101">
        <v>0</v>
      </c>
      <c r="GZ21" s="1101">
        <v>0</v>
      </c>
      <c r="HA21" s="1101">
        <v>0</v>
      </c>
      <c r="HB21" s="1101">
        <v>0</v>
      </c>
      <c r="HC21" s="1101">
        <v>0</v>
      </c>
      <c r="HD21" s="1101">
        <v>0</v>
      </c>
      <c r="HE21" s="1101">
        <v>-2734657</v>
      </c>
      <c r="HF21" s="1101">
        <v>0</v>
      </c>
      <c r="HG21" s="1101">
        <v>0</v>
      </c>
      <c r="HH21" s="1101">
        <v>0</v>
      </c>
      <c r="HI21" s="1101">
        <v>0</v>
      </c>
      <c r="HJ21" s="1101">
        <v>0</v>
      </c>
      <c r="HK21" s="1101">
        <v>0</v>
      </c>
      <c r="HL21" s="1101">
        <v>0</v>
      </c>
      <c r="HM21" s="1101">
        <v>0</v>
      </c>
      <c r="HN21" s="1101">
        <v>0</v>
      </c>
      <c r="HO21" s="1101">
        <v>0</v>
      </c>
      <c r="HP21" s="1101">
        <v>0</v>
      </c>
      <c r="HQ21" s="1101">
        <v>0</v>
      </c>
      <c r="HR21" s="1101">
        <v>0</v>
      </c>
      <c r="HS21" s="1101">
        <v>0</v>
      </c>
      <c r="HT21" s="1101">
        <v>0</v>
      </c>
      <c r="HU21" s="1101">
        <v>-3313</v>
      </c>
      <c r="HV21" s="1101">
        <v>-4421661</v>
      </c>
      <c r="HW21" s="1101">
        <v>-1051643</v>
      </c>
      <c r="HX21" s="1101">
        <v>0</v>
      </c>
      <c r="HY21" s="1101">
        <v>0</v>
      </c>
      <c r="HZ21" s="1101">
        <v>0</v>
      </c>
      <c r="IA21" s="1101">
        <v>0</v>
      </c>
      <c r="IB21" s="1101">
        <v>0</v>
      </c>
      <c r="IC21" s="1101">
        <v>0</v>
      </c>
      <c r="ID21" s="1101">
        <v>1131406</v>
      </c>
      <c r="IE21" s="1101">
        <v>937887</v>
      </c>
      <c r="IF21" s="1101">
        <v>0</v>
      </c>
      <c r="IG21" s="1101">
        <v>32103883</v>
      </c>
      <c r="IH21" s="1101">
        <v>0</v>
      </c>
      <c r="II21" s="1101">
        <v>0</v>
      </c>
      <c r="IJ21" s="1101">
        <v>0</v>
      </c>
      <c r="IK21" s="1101">
        <v>0</v>
      </c>
      <c r="IL21" s="1101">
        <v>0</v>
      </c>
      <c r="IM21" s="1101">
        <v>20761</v>
      </c>
      <c r="IN21" s="1101">
        <v>6166393</v>
      </c>
      <c r="IO21" s="1101">
        <v>0</v>
      </c>
      <c r="IP21" s="1101">
        <v>824667</v>
      </c>
      <c r="IQ21" s="1101">
        <v>188512</v>
      </c>
      <c r="IR21" s="1101">
        <v>4816</v>
      </c>
      <c r="IS21" s="1101">
        <v>550456</v>
      </c>
      <c r="IT21" s="1101">
        <v>0</v>
      </c>
      <c r="IU21" s="1101">
        <v>0</v>
      </c>
      <c r="IV21" s="1101">
        <v>0</v>
      </c>
      <c r="IW21" s="1101">
        <v>0</v>
      </c>
      <c r="IX21" s="1101">
        <v>0</v>
      </c>
      <c r="IY21" s="1101">
        <v>0</v>
      </c>
      <c r="IZ21" s="1101">
        <v>0</v>
      </c>
      <c r="JA21" s="1101">
        <v>0</v>
      </c>
      <c r="JB21" s="1101">
        <v>0</v>
      </c>
      <c r="JC21" s="1101">
        <v>0</v>
      </c>
      <c r="JD21" s="1101">
        <v>0</v>
      </c>
      <c r="JE21" s="1101">
        <v>0</v>
      </c>
      <c r="JF21" s="1101">
        <v>733994</v>
      </c>
      <c r="JG21" s="1101">
        <v>708255</v>
      </c>
      <c r="JH21" s="1101">
        <v>6838814</v>
      </c>
      <c r="JI21" s="1101">
        <v>0</v>
      </c>
      <c r="JJ21" s="1101">
        <v>0</v>
      </c>
      <c r="JK21" s="1101">
        <v>84050</v>
      </c>
      <c r="JL21" s="1101">
        <v>0</v>
      </c>
      <c r="JM21" s="1101">
        <v>0</v>
      </c>
      <c r="JN21" s="1101">
        <v>44150</v>
      </c>
      <c r="JO21" s="1101">
        <v>9095396</v>
      </c>
      <c r="JP21" s="1101">
        <v>0</v>
      </c>
      <c r="JQ21" s="1101">
        <v>2592804</v>
      </c>
      <c r="JR21" s="1101">
        <v>0</v>
      </c>
      <c r="JS21" s="1101">
        <v>0</v>
      </c>
      <c r="JT21" s="1101">
        <v>0</v>
      </c>
      <c r="JU21" s="1101">
        <v>0</v>
      </c>
      <c r="JV21" s="1101">
        <v>0</v>
      </c>
      <c r="JW21" s="1101">
        <v>0</v>
      </c>
      <c r="JX21" s="1101">
        <v>0</v>
      </c>
      <c r="JY21" s="1101">
        <v>12079249</v>
      </c>
      <c r="JZ21" s="1101">
        <v>0</v>
      </c>
      <c r="KA21" s="1101">
        <v>0</v>
      </c>
      <c r="KB21" s="1101">
        <v>0</v>
      </c>
      <c r="KC21" s="1101">
        <v>0</v>
      </c>
      <c r="KD21" s="1101">
        <v>0</v>
      </c>
      <c r="KE21" s="1101">
        <v>0</v>
      </c>
      <c r="KF21" s="1101">
        <v>11539</v>
      </c>
      <c r="KG21" s="1101">
        <v>717489</v>
      </c>
      <c r="KH21" s="1101">
        <v>222430</v>
      </c>
      <c r="KI21" s="1101">
        <v>0</v>
      </c>
      <c r="KJ21" s="1101">
        <v>54715</v>
      </c>
      <c r="KK21" s="1101">
        <v>33443</v>
      </c>
      <c r="KL21" s="1101">
        <v>0</v>
      </c>
      <c r="KM21" s="1101">
        <v>0</v>
      </c>
      <c r="KN21" s="1101">
        <v>0</v>
      </c>
      <c r="KO21" s="1101">
        <v>27315248</v>
      </c>
      <c r="KP21" s="1101">
        <v>14664205</v>
      </c>
      <c r="KQ21" s="1101">
        <v>0</v>
      </c>
      <c r="KR21" s="1101">
        <v>467479</v>
      </c>
      <c r="KS21" s="1101">
        <v>0</v>
      </c>
      <c r="KT21" s="1101">
        <v>0</v>
      </c>
      <c r="KU21" s="1101">
        <v>0</v>
      </c>
      <c r="KV21" s="1101">
        <v>0</v>
      </c>
      <c r="KW21" s="1101">
        <v>0</v>
      </c>
      <c r="KX21" s="1101">
        <v>4328246</v>
      </c>
      <c r="KY21" s="1101">
        <v>981040</v>
      </c>
      <c r="KZ21" s="1101">
        <v>0</v>
      </c>
      <c r="LA21" s="1101">
        <v>2384394</v>
      </c>
      <c r="LB21" s="1101">
        <v>0</v>
      </c>
      <c r="LC21" s="1101">
        <v>0</v>
      </c>
      <c r="LD21" s="1101">
        <v>0</v>
      </c>
      <c r="LE21" s="1101">
        <v>0</v>
      </c>
      <c r="LF21" s="1101">
        <v>0</v>
      </c>
      <c r="LG21" s="1101">
        <v>1190865</v>
      </c>
      <c r="LH21" s="1101">
        <v>936589</v>
      </c>
      <c r="LI21" s="1101">
        <v>0</v>
      </c>
      <c r="LJ21" s="1101">
        <v>1906632</v>
      </c>
      <c r="LK21" s="1101">
        <v>0</v>
      </c>
      <c r="LL21" s="1101">
        <v>0</v>
      </c>
      <c r="LM21" s="1101">
        <v>0</v>
      </c>
      <c r="LN21" s="1101">
        <v>0</v>
      </c>
      <c r="LO21" s="1101">
        <v>0</v>
      </c>
      <c r="LP21" s="1101">
        <v>7022250</v>
      </c>
      <c r="LQ21" s="1101">
        <v>5614682</v>
      </c>
      <c r="LR21" s="1101">
        <v>0</v>
      </c>
      <c r="LS21" s="1101">
        <v>4350728</v>
      </c>
      <c r="LT21" s="1101">
        <v>0</v>
      </c>
      <c r="LU21" s="1101">
        <v>0</v>
      </c>
      <c r="LV21" s="1101">
        <v>0</v>
      </c>
      <c r="LW21" s="1101">
        <v>0</v>
      </c>
      <c r="LX21" s="1101">
        <v>0</v>
      </c>
      <c r="LY21" s="1101">
        <v>2390297</v>
      </c>
      <c r="LZ21" s="1101">
        <v>7723298</v>
      </c>
      <c r="MA21" s="1101">
        <v>0</v>
      </c>
      <c r="MB21" s="1101">
        <v>998399</v>
      </c>
      <c r="MC21" s="1101">
        <v>42766</v>
      </c>
      <c r="MD21" s="1101">
        <v>0</v>
      </c>
      <c r="ME21" s="1101">
        <v>0</v>
      </c>
      <c r="MF21" s="1101">
        <v>0</v>
      </c>
      <c r="MG21" s="1101">
        <v>0</v>
      </c>
      <c r="MH21" s="1101">
        <v>5297690</v>
      </c>
      <c r="MI21" s="1101">
        <v>7927877</v>
      </c>
      <c r="MJ21" s="1101">
        <v>0</v>
      </c>
      <c r="MK21" s="1101">
        <v>5629</v>
      </c>
      <c r="ML21" s="1101">
        <v>0</v>
      </c>
      <c r="MM21" s="1101">
        <v>0</v>
      </c>
      <c r="MN21" s="1101">
        <v>0</v>
      </c>
      <c r="MO21" s="1101">
        <v>0</v>
      </c>
      <c r="MP21" s="1101">
        <v>0</v>
      </c>
      <c r="MQ21" s="1101">
        <v>4903342</v>
      </c>
      <c r="MR21" s="1101">
        <v>11544675</v>
      </c>
      <c r="MS21" s="1101">
        <v>0</v>
      </c>
      <c r="MT21" s="1101">
        <v>37406</v>
      </c>
      <c r="MU21" s="1101">
        <v>0</v>
      </c>
      <c r="MV21" s="1101">
        <v>0</v>
      </c>
      <c r="MW21" s="1101">
        <v>3490814</v>
      </c>
      <c r="MX21" s="1101">
        <v>0</v>
      </c>
      <c r="MY21" s="1101">
        <v>0</v>
      </c>
      <c r="MZ21" s="1101">
        <v>720178</v>
      </c>
      <c r="NA21" s="1101">
        <v>5521047</v>
      </c>
      <c r="NB21" s="1101">
        <v>0</v>
      </c>
      <c r="NC21" s="1101">
        <v>10485593</v>
      </c>
      <c r="ND21" s="1101">
        <v>0</v>
      </c>
      <c r="NE21" s="1101">
        <v>0</v>
      </c>
      <c r="NF21" s="1101">
        <v>0</v>
      </c>
      <c r="NG21" s="1101">
        <v>0</v>
      </c>
      <c r="NH21" s="1101">
        <v>0</v>
      </c>
      <c r="NI21" s="1101">
        <v>0</v>
      </c>
      <c r="NJ21" s="1101">
        <v>0</v>
      </c>
      <c r="NK21" s="1101">
        <v>19924182</v>
      </c>
      <c r="NL21" s="1101">
        <v>0</v>
      </c>
      <c r="NM21" s="1101">
        <v>0</v>
      </c>
      <c r="NN21" s="1101">
        <v>0</v>
      </c>
      <c r="NO21" s="1101">
        <v>0</v>
      </c>
      <c r="NP21" s="1101">
        <v>0</v>
      </c>
      <c r="NQ21" s="1101">
        <v>0</v>
      </c>
      <c r="NR21" s="1101">
        <v>1430315</v>
      </c>
      <c r="NS21" s="1101">
        <v>431947</v>
      </c>
      <c r="NT21" s="1101">
        <v>6197</v>
      </c>
      <c r="NU21" s="1101">
        <v>607715</v>
      </c>
      <c r="NV21" s="1101">
        <v>0</v>
      </c>
      <c r="NW21" s="1101">
        <v>0</v>
      </c>
      <c r="NX21" s="1101">
        <v>0</v>
      </c>
      <c r="NY21" s="1101">
        <v>0</v>
      </c>
      <c r="NZ21" s="1101">
        <v>0</v>
      </c>
      <c r="OA21" s="1101">
        <v>0</v>
      </c>
      <c r="OB21" s="1101">
        <v>517619</v>
      </c>
      <c r="OC21" s="1101">
        <v>0</v>
      </c>
      <c r="OD21" s="1101">
        <v>0</v>
      </c>
      <c r="OE21" s="1101">
        <v>0</v>
      </c>
      <c r="OF21" s="1101">
        <v>0</v>
      </c>
      <c r="OG21" s="1101">
        <v>0</v>
      </c>
      <c r="OH21" s="1101">
        <v>0</v>
      </c>
      <c r="OI21" s="1101">
        <v>20000</v>
      </c>
      <c r="OJ21" s="1101">
        <v>0</v>
      </c>
      <c r="OK21" s="1101">
        <v>0</v>
      </c>
      <c r="OL21" s="1101">
        <v>0</v>
      </c>
      <c r="OM21" s="1101">
        <v>0</v>
      </c>
      <c r="ON21" s="1101">
        <v>0</v>
      </c>
      <c r="OO21" s="1101">
        <v>0</v>
      </c>
      <c r="OP21" s="1101">
        <v>-72847</v>
      </c>
      <c r="OQ21" s="1101">
        <v>0</v>
      </c>
      <c r="OR21" s="1101">
        <v>0</v>
      </c>
      <c r="OS21" s="1101">
        <v>2388589</v>
      </c>
      <c r="OT21" s="1101">
        <v>12635365</v>
      </c>
      <c r="OU21" s="1101">
        <v>3284053</v>
      </c>
      <c r="OV21" s="1101">
        <v>-27182395</v>
      </c>
      <c r="OW21" s="1101">
        <v>103787</v>
      </c>
      <c r="OX21" s="1101">
        <v>1396055</v>
      </c>
      <c r="OY21" s="1101">
        <v>9392558</v>
      </c>
      <c r="OZ21" s="1101">
        <v>0</v>
      </c>
      <c r="PA21" s="1101">
        <v>0</v>
      </c>
      <c r="PB21" s="1101">
        <v>0</v>
      </c>
      <c r="PC21" s="1101">
        <v>0</v>
      </c>
      <c r="PD21" s="1101">
        <v>0</v>
      </c>
      <c r="PE21" s="1101">
        <v>0</v>
      </c>
      <c r="PF21" s="1101">
        <v>0</v>
      </c>
      <c r="PG21" s="1101">
        <v>0</v>
      </c>
      <c r="PH21" s="1101">
        <v>0</v>
      </c>
      <c r="PI21" s="1101">
        <v>0</v>
      </c>
      <c r="PJ21" s="1101">
        <v>0</v>
      </c>
      <c r="PK21" s="1101">
        <v>-9033668</v>
      </c>
      <c r="PL21" s="1101">
        <v>-380443</v>
      </c>
      <c r="PM21" s="1101">
        <v>-6748720</v>
      </c>
      <c r="PN21" s="1101">
        <v>0</v>
      </c>
      <c r="PO21" s="1101">
        <v>0</v>
      </c>
      <c r="PP21" s="1101">
        <v>0</v>
      </c>
      <c r="PQ21" s="1101">
        <v>0</v>
      </c>
      <c r="PR21" s="1101">
        <v>0</v>
      </c>
      <c r="PS21" s="1101">
        <v>0</v>
      </c>
      <c r="PT21" s="1101">
        <v>-33644</v>
      </c>
      <c r="PU21" s="1101">
        <v>10746236</v>
      </c>
      <c r="PV21" s="1101">
        <v>2034607</v>
      </c>
      <c r="PW21" s="1101">
        <v>55274</v>
      </c>
      <c r="PX21" s="1101">
        <v>0</v>
      </c>
      <c r="PY21" s="1101">
        <v>4933091</v>
      </c>
      <c r="PZ21" s="1101">
        <v>1825534</v>
      </c>
      <c r="QA21" s="1101">
        <v>0</v>
      </c>
      <c r="QB21" s="1101">
        <v>0</v>
      </c>
      <c r="QC21" s="1101">
        <v>0</v>
      </c>
      <c r="QD21" s="1101">
        <v>0</v>
      </c>
      <c r="QE21" s="1101">
        <v>0</v>
      </c>
      <c r="QF21" s="1101">
        <v>0</v>
      </c>
      <c r="QG21" s="1101">
        <v>0</v>
      </c>
      <c r="QH21" s="1101">
        <v>38897</v>
      </c>
      <c r="QI21" s="1101">
        <v>0</v>
      </c>
      <c r="QJ21" s="1101">
        <v>0</v>
      </c>
      <c r="QK21" s="1101">
        <v>0</v>
      </c>
      <c r="QL21" s="1101">
        <v>0</v>
      </c>
      <c r="QM21" s="1101">
        <v>0</v>
      </c>
      <c r="QN21" s="1101">
        <v>0</v>
      </c>
      <c r="QO21" s="1101">
        <v>0</v>
      </c>
      <c r="QP21" s="1101">
        <v>0</v>
      </c>
      <c r="QQ21" s="1101">
        <v>0</v>
      </c>
      <c r="QR21" s="1101">
        <v>0</v>
      </c>
      <c r="QS21" s="1101">
        <v>0</v>
      </c>
      <c r="QT21" s="1101">
        <v>0</v>
      </c>
      <c r="QU21" s="1101">
        <v>0</v>
      </c>
      <c r="QV21" s="1101">
        <v>0</v>
      </c>
      <c r="QW21" s="1101">
        <v>0</v>
      </c>
      <c r="QX21" s="1101">
        <v>0</v>
      </c>
      <c r="QY21" s="1101">
        <v>0</v>
      </c>
      <c r="QZ21" s="1101">
        <v>0</v>
      </c>
      <c r="RA21" s="1101">
        <v>0</v>
      </c>
      <c r="RB21" s="1101">
        <v>0</v>
      </c>
      <c r="RC21" s="1101">
        <v>-20263972</v>
      </c>
      <c r="RD21" s="1101">
        <v>0</v>
      </c>
      <c r="RE21" s="1101">
        <v>0</v>
      </c>
      <c r="RF21" s="1101">
        <v>0</v>
      </c>
      <c r="RG21" s="1101">
        <v>0</v>
      </c>
      <c r="RH21" s="1101">
        <v>0</v>
      </c>
      <c r="RI21" s="1101">
        <v>0</v>
      </c>
      <c r="RJ21" s="1101">
        <v>0</v>
      </c>
      <c r="RK21" s="1101">
        <v>0</v>
      </c>
      <c r="RL21" s="1101">
        <v>0</v>
      </c>
      <c r="RM21" s="1101">
        <v>0</v>
      </c>
      <c r="RN21" s="1101">
        <v>0</v>
      </c>
      <c r="RO21" s="1101">
        <v>0</v>
      </c>
      <c r="RP21" s="1101">
        <v>0</v>
      </c>
      <c r="RQ21" s="1101">
        <v>0</v>
      </c>
      <c r="RR21" s="1101">
        <v>0</v>
      </c>
      <c r="RS21" s="1101">
        <v>0</v>
      </c>
      <c r="RT21" s="1101">
        <v>0</v>
      </c>
      <c r="RU21" s="1101">
        <v>0</v>
      </c>
      <c r="RV21" s="1101">
        <v>0</v>
      </c>
      <c r="RW21" s="1101">
        <v>0</v>
      </c>
      <c r="RX21" s="1101">
        <v>0</v>
      </c>
      <c r="RY21" s="1101">
        <v>0</v>
      </c>
      <c r="RZ21" s="1101">
        <v>0</v>
      </c>
      <c r="SA21" s="1101">
        <v>0</v>
      </c>
      <c r="SB21" s="1101">
        <v>0</v>
      </c>
      <c r="SC21" s="1101">
        <v>0</v>
      </c>
      <c r="SD21" s="1101">
        <v>0</v>
      </c>
      <c r="SE21" s="1101">
        <v>1430315</v>
      </c>
      <c r="SF21" s="1101">
        <v>431947</v>
      </c>
      <c r="SG21" s="1101">
        <v>6197</v>
      </c>
      <c r="SH21" s="1101">
        <v>607715</v>
      </c>
      <c r="SI21" s="1101">
        <v>0</v>
      </c>
      <c r="SJ21" s="1101">
        <v>0</v>
      </c>
      <c r="SK21" s="1101">
        <v>72847</v>
      </c>
      <c r="SL21" s="1102">
        <v>0</v>
      </c>
      <c r="SM21" s="1101">
        <v>0</v>
      </c>
      <c r="SN21" s="1101">
        <v>23302162</v>
      </c>
      <c r="SO21" s="1102"/>
      <c r="SP21" s="1103"/>
      <c r="SQ21" s="1104">
        <v>85402153</v>
      </c>
      <c r="SR21" s="1104">
        <v>-24220124</v>
      </c>
      <c r="SS21" s="1105">
        <v>287358</v>
      </c>
      <c r="ST21" s="1106">
        <v>1392842</v>
      </c>
      <c r="SU21" s="1106">
        <v>9995</v>
      </c>
      <c r="SV21" s="1106">
        <v>230977</v>
      </c>
      <c r="SW21" s="1106">
        <v>9321</v>
      </c>
      <c r="SX21" s="1106">
        <v>332819</v>
      </c>
      <c r="SY21" s="1106">
        <v>206665</v>
      </c>
      <c r="SZ21" s="1106">
        <v>6197</v>
      </c>
      <c r="TA21" s="1106">
        <v>0</v>
      </c>
      <c r="TB21" s="1106">
        <v>0</v>
      </c>
      <c r="TC21" s="1105">
        <v>0</v>
      </c>
      <c r="TD21" s="1106">
        <v>18191</v>
      </c>
      <c r="TE21" s="1106">
        <v>0</v>
      </c>
      <c r="TF21" s="1106">
        <v>0</v>
      </c>
      <c r="TG21" s="1106">
        <v>0</v>
      </c>
      <c r="TH21" s="1106">
        <v>0</v>
      </c>
      <c r="TI21" s="1106">
        <v>0</v>
      </c>
      <c r="TJ21" s="1106">
        <v>0</v>
      </c>
      <c r="TK21" s="1105">
        <v>0</v>
      </c>
      <c r="TL21" s="1106">
        <v>0</v>
      </c>
      <c r="TM21" s="1106">
        <v>0</v>
      </c>
      <c r="TN21" s="1106">
        <v>0</v>
      </c>
      <c r="TO21" s="1106">
        <v>0</v>
      </c>
      <c r="TP21" s="1106">
        <v>0</v>
      </c>
      <c r="TQ21" s="1106">
        <v>0</v>
      </c>
      <c r="TR21" s="1106">
        <v>0</v>
      </c>
      <c r="TS21" s="1105">
        <v>42446932</v>
      </c>
      <c r="TT21" s="1106">
        <v>7693680</v>
      </c>
      <c r="TU21" s="1106">
        <v>4034086</v>
      </c>
      <c r="TV21" s="1106">
        <v>16987660</v>
      </c>
      <c r="TW21" s="1106">
        <v>11154760</v>
      </c>
      <c r="TX21" s="1106">
        <v>13231196</v>
      </c>
      <c r="TY21" s="1106">
        <v>19976237</v>
      </c>
      <c r="TZ21" s="1107">
        <v>16726818</v>
      </c>
      <c r="UA21" s="1107">
        <v>19924182</v>
      </c>
      <c r="UB21" s="1105">
        <v>21417118</v>
      </c>
      <c r="UC21" s="1108">
        <v>19561098</v>
      </c>
      <c r="UD21" s="1108"/>
      <c r="UE21" s="1103"/>
      <c r="UF21" s="1109" t="s">
        <v>2424</v>
      </c>
      <c r="UG21" s="1110" t="s">
        <v>2425</v>
      </c>
      <c r="UH21" s="1110" t="s">
        <v>2426</v>
      </c>
    </row>
    <row r="22" spans="1:554" s="776" customFormat="1" ht="33" customHeight="1" thickBot="1">
      <c r="A22" s="1093">
        <v>210</v>
      </c>
      <c r="B22" s="1094" t="s">
        <v>113</v>
      </c>
      <c r="C22" s="1095" t="s">
        <v>318</v>
      </c>
      <c r="D22" s="1096" t="s">
        <v>2398</v>
      </c>
      <c r="E22" s="1097">
        <v>3565</v>
      </c>
      <c r="F22" s="1098">
        <v>773692326</v>
      </c>
      <c r="G22" s="1096" t="s">
        <v>2399</v>
      </c>
      <c r="H22" s="1100" t="s">
        <v>113</v>
      </c>
      <c r="I22" s="1100"/>
      <c r="J22" s="1100"/>
      <c r="K22" s="1100"/>
      <c r="L22" s="1100"/>
      <c r="M22" s="1101">
        <v>51928693</v>
      </c>
      <c r="N22" s="1101">
        <v>0</v>
      </c>
      <c r="O22" s="1101">
        <v>0</v>
      </c>
      <c r="P22" s="1101">
        <v>0</v>
      </c>
      <c r="Q22" s="1101">
        <v>0</v>
      </c>
      <c r="R22" s="1101">
        <v>0</v>
      </c>
      <c r="S22" s="1101">
        <v>0</v>
      </c>
      <c r="T22" s="1101">
        <v>0</v>
      </c>
      <c r="U22" s="1101">
        <v>0</v>
      </c>
      <c r="V22" s="1101">
        <v>108918</v>
      </c>
      <c r="W22" s="1101">
        <v>73228</v>
      </c>
      <c r="X22" s="1101">
        <v>0</v>
      </c>
      <c r="Y22" s="1101">
        <v>6977288</v>
      </c>
      <c r="Z22" s="1101">
        <v>0</v>
      </c>
      <c r="AA22" s="1101">
        <v>0</v>
      </c>
      <c r="AB22" s="1101">
        <v>0</v>
      </c>
      <c r="AC22" s="1101">
        <v>0</v>
      </c>
      <c r="AD22" s="1101">
        <v>0</v>
      </c>
      <c r="AE22" s="1101">
        <v>0</v>
      </c>
      <c r="AF22" s="1101">
        <v>0</v>
      </c>
      <c r="AG22" s="1101">
        <v>0</v>
      </c>
      <c r="AH22" s="1101">
        <v>0</v>
      </c>
      <c r="AI22" s="1101">
        <v>0</v>
      </c>
      <c r="AJ22" s="1101">
        <v>0</v>
      </c>
      <c r="AK22" s="1101">
        <v>0</v>
      </c>
      <c r="AL22" s="1101">
        <v>0</v>
      </c>
      <c r="AM22" s="1101">
        <v>0</v>
      </c>
      <c r="AN22" s="1101">
        <v>11123859</v>
      </c>
      <c r="AO22" s="1101">
        <v>0</v>
      </c>
      <c r="AP22" s="1101">
        <v>0</v>
      </c>
      <c r="AQ22" s="1101">
        <v>0</v>
      </c>
      <c r="AR22" s="1101">
        <v>0</v>
      </c>
      <c r="AS22" s="1101">
        <v>0</v>
      </c>
      <c r="AT22" s="1101">
        <v>0</v>
      </c>
      <c r="AU22" s="1101">
        <v>0</v>
      </c>
      <c r="AV22" s="1101">
        <v>0</v>
      </c>
      <c r="AW22" s="1101">
        <v>0</v>
      </c>
      <c r="AX22" s="1101">
        <v>0</v>
      </c>
      <c r="AY22" s="1101">
        <v>0</v>
      </c>
      <c r="AZ22" s="1101">
        <v>0</v>
      </c>
      <c r="BA22" s="1101">
        <v>0</v>
      </c>
      <c r="BB22" s="1101">
        <v>0</v>
      </c>
      <c r="BC22" s="1101">
        <v>0</v>
      </c>
      <c r="BD22" s="1101">
        <v>0</v>
      </c>
      <c r="BE22" s="1101">
        <v>0</v>
      </c>
      <c r="BF22" s="1101">
        <v>-1809864</v>
      </c>
      <c r="BG22" s="1101">
        <v>0</v>
      </c>
      <c r="BH22" s="1101">
        <v>0</v>
      </c>
      <c r="BI22" s="1101">
        <v>0</v>
      </c>
      <c r="BJ22" s="1101">
        <v>0</v>
      </c>
      <c r="BK22" s="1101">
        <v>0</v>
      </c>
      <c r="BL22" s="1101">
        <v>0</v>
      </c>
      <c r="BM22" s="1101">
        <v>0</v>
      </c>
      <c r="BN22" s="1101">
        <v>0</v>
      </c>
      <c r="BO22" s="1101">
        <v>0</v>
      </c>
      <c r="BP22" s="1101">
        <v>0</v>
      </c>
      <c r="BQ22" s="1101">
        <v>0</v>
      </c>
      <c r="BR22" s="1101">
        <v>0</v>
      </c>
      <c r="BS22" s="1101">
        <v>0</v>
      </c>
      <c r="BT22" s="1101">
        <v>0</v>
      </c>
      <c r="BU22" s="1101">
        <v>0</v>
      </c>
      <c r="BV22" s="1101">
        <v>0</v>
      </c>
      <c r="BW22" s="1101">
        <v>0</v>
      </c>
      <c r="BX22" s="1101">
        <v>0</v>
      </c>
      <c r="BY22" s="1101">
        <v>0</v>
      </c>
      <c r="BZ22" s="1101">
        <v>0</v>
      </c>
      <c r="CA22" s="1101">
        <v>0</v>
      </c>
      <c r="CB22" s="1101">
        <v>0</v>
      </c>
      <c r="CC22" s="1101">
        <v>0</v>
      </c>
      <c r="CD22" s="1101">
        <v>0</v>
      </c>
      <c r="CE22" s="1101">
        <v>0</v>
      </c>
      <c r="CF22" s="1101">
        <v>0</v>
      </c>
      <c r="CG22" s="1101">
        <v>0</v>
      </c>
      <c r="CH22" s="1101">
        <v>0</v>
      </c>
      <c r="CI22" s="1101">
        <v>0</v>
      </c>
      <c r="CJ22" s="1101">
        <v>0</v>
      </c>
      <c r="CK22" s="1101">
        <v>0</v>
      </c>
      <c r="CL22" s="1101">
        <v>0</v>
      </c>
      <c r="CM22" s="1101">
        <v>0</v>
      </c>
      <c r="CN22" s="1101">
        <v>0</v>
      </c>
      <c r="CO22" s="1101">
        <v>0</v>
      </c>
      <c r="CP22" s="1101">
        <v>16726811</v>
      </c>
      <c r="CQ22" s="1101">
        <v>29675591</v>
      </c>
      <c r="CR22" s="1101">
        <v>0</v>
      </c>
      <c r="CS22" s="1101">
        <v>-1141176</v>
      </c>
      <c r="CT22" s="1101">
        <v>0</v>
      </c>
      <c r="CU22" s="1101">
        <v>0</v>
      </c>
      <c r="CV22" s="1101">
        <v>0</v>
      </c>
      <c r="CW22" s="1101">
        <v>0</v>
      </c>
      <c r="CX22" s="1101">
        <v>0</v>
      </c>
      <c r="CY22" s="1101">
        <v>0</v>
      </c>
      <c r="CZ22" s="1101">
        <v>0</v>
      </c>
      <c r="DA22" s="1101">
        <v>0</v>
      </c>
      <c r="DB22" s="1101">
        <v>0</v>
      </c>
      <c r="DC22" s="1101">
        <v>0</v>
      </c>
      <c r="DD22" s="1101">
        <v>0</v>
      </c>
      <c r="DE22" s="1101">
        <v>0</v>
      </c>
      <c r="DF22" s="1101">
        <v>0</v>
      </c>
      <c r="DG22" s="1101">
        <v>0</v>
      </c>
      <c r="DH22" s="1101">
        <v>0</v>
      </c>
      <c r="DI22" s="1101">
        <v>0</v>
      </c>
      <c r="DJ22" s="1101">
        <v>0</v>
      </c>
      <c r="DK22" s="1101">
        <v>0</v>
      </c>
      <c r="DL22" s="1101">
        <v>0</v>
      </c>
      <c r="DM22" s="1101">
        <v>0</v>
      </c>
      <c r="DN22" s="1101">
        <v>0</v>
      </c>
      <c r="DO22" s="1101">
        <v>0</v>
      </c>
      <c r="DP22" s="1101">
        <v>0</v>
      </c>
      <c r="DQ22" s="1101">
        <v>-761863</v>
      </c>
      <c r="DR22" s="1101">
        <v>-3441466</v>
      </c>
      <c r="DS22" s="1101">
        <v>0</v>
      </c>
      <c r="DT22" s="1101">
        <v>0</v>
      </c>
      <c r="DU22" s="1101">
        <v>0</v>
      </c>
      <c r="DV22" s="1101">
        <v>0</v>
      </c>
      <c r="DW22" s="1101">
        <v>0</v>
      </c>
      <c r="DX22" s="1101">
        <v>0</v>
      </c>
      <c r="DY22" s="1101">
        <v>0</v>
      </c>
      <c r="DZ22" s="1101">
        <v>0</v>
      </c>
      <c r="EA22" s="1101">
        <v>0</v>
      </c>
      <c r="EB22" s="1101">
        <v>0</v>
      </c>
      <c r="EC22" s="1101">
        <v>0</v>
      </c>
      <c r="ED22" s="1101">
        <v>0</v>
      </c>
      <c r="EE22" s="1101">
        <v>0</v>
      </c>
      <c r="EF22" s="1101">
        <v>0</v>
      </c>
      <c r="EG22" s="1101">
        <v>0</v>
      </c>
      <c r="EH22" s="1101">
        <v>0</v>
      </c>
      <c r="EI22" s="1101">
        <v>-3228037</v>
      </c>
      <c r="EJ22" s="1101">
        <v>-3637148</v>
      </c>
      <c r="EK22" s="1101">
        <v>0</v>
      </c>
      <c r="EL22" s="1101">
        <v>0</v>
      </c>
      <c r="EM22" s="1101">
        <v>0</v>
      </c>
      <c r="EN22" s="1101">
        <v>0</v>
      </c>
      <c r="EO22" s="1101">
        <v>0</v>
      </c>
      <c r="EP22" s="1101">
        <v>0</v>
      </c>
      <c r="EQ22" s="1101">
        <v>0</v>
      </c>
      <c r="ER22" s="1101">
        <v>0</v>
      </c>
      <c r="ES22" s="1101">
        <v>-6053495</v>
      </c>
      <c r="ET22" s="1101">
        <v>0</v>
      </c>
      <c r="EU22" s="1101">
        <v>0</v>
      </c>
      <c r="EV22" s="1101">
        <v>0</v>
      </c>
      <c r="EW22" s="1101">
        <v>0</v>
      </c>
      <c r="EX22" s="1101">
        <v>0</v>
      </c>
      <c r="EY22" s="1101">
        <v>0</v>
      </c>
      <c r="EZ22" s="1101">
        <v>0</v>
      </c>
      <c r="FA22" s="1101">
        <v>0</v>
      </c>
      <c r="FB22" s="1101">
        <v>0</v>
      </c>
      <c r="FC22" s="1101">
        <v>0</v>
      </c>
      <c r="FD22" s="1101">
        <v>0</v>
      </c>
      <c r="FE22" s="1101">
        <v>0</v>
      </c>
      <c r="FF22" s="1101">
        <v>0</v>
      </c>
      <c r="FG22" s="1101">
        <v>0</v>
      </c>
      <c r="FH22" s="1101">
        <v>0</v>
      </c>
      <c r="FI22" s="1101">
        <v>0</v>
      </c>
      <c r="FJ22" s="1101">
        <v>0</v>
      </c>
      <c r="FK22" s="1101">
        <v>0</v>
      </c>
      <c r="FL22" s="1101">
        <v>0</v>
      </c>
      <c r="FM22" s="1101">
        <v>0</v>
      </c>
      <c r="FN22" s="1101">
        <v>0</v>
      </c>
      <c r="FO22" s="1101">
        <v>0</v>
      </c>
      <c r="FP22" s="1101">
        <v>0</v>
      </c>
      <c r="FQ22" s="1101">
        <v>0</v>
      </c>
      <c r="FR22" s="1101">
        <v>0</v>
      </c>
      <c r="FS22" s="1101">
        <v>0</v>
      </c>
      <c r="FT22" s="1101">
        <v>0</v>
      </c>
      <c r="FU22" s="1101">
        <v>0</v>
      </c>
      <c r="FV22" s="1101">
        <v>0</v>
      </c>
      <c r="FW22" s="1101">
        <v>0</v>
      </c>
      <c r="FX22" s="1101">
        <v>0</v>
      </c>
      <c r="FY22" s="1101">
        <v>0</v>
      </c>
      <c r="FZ22" s="1101">
        <v>0</v>
      </c>
      <c r="GA22" s="1101">
        <v>0</v>
      </c>
      <c r="GB22" s="1101">
        <v>368684</v>
      </c>
      <c r="GC22" s="1101">
        <v>44006060</v>
      </c>
      <c r="GD22" s="1101">
        <v>18122584</v>
      </c>
      <c r="GE22" s="1101">
        <v>-1681659</v>
      </c>
      <c r="GF22" s="1101">
        <v>0</v>
      </c>
      <c r="GG22" s="1101">
        <v>0</v>
      </c>
      <c r="GH22" s="1101">
        <v>0</v>
      </c>
      <c r="GI22" s="1101">
        <v>0</v>
      </c>
      <c r="GJ22" s="1101">
        <v>0</v>
      </c>
      <c r="GK22" s="1101">
        <v>0</v>
      </c>
      <c r="GL22" s="1101">
        <v>0</v>
      </c>
      <c r="GM22" s="1101">
        <v>0</v>
      </c>
      <c r="GN22" s="1101">
        <v>0</v>
      </c>
      <c r="GO22" s="1101">
        <v>0</v>
      </c>
      <c r="GP22" s="1101">
        <v>0</v>
      </c>
      <c r="GQ22" s="1101">
        <v>0</v>
      </c>
      <c r="GR22" s="1101">
        <v>0</v>
      </c>
      <c r="GS22" s="1101">
        <v>0</v>
      </c>
      <c r="GT22" s="1101">
        <v>0</v>
      </c>
      <c r="GU22" s="1101">
        <v>0</v>
      </c>
      <c r="GV22" s="1101">
        <v>0</v>
      </c>
      <c r="GW22" s="1101">
        <v>0</v>
      </c>
      <c r="GX22" s="1101">
        <v>0</v>
      </c>
      <c r="GY22" s="1101">
        <v>0</v>
      </c>
      <c r="GZ22" s="1101">
        <v>0</v>
      </c>
      <c r="HA22" s="1101">
        <v>0</v>
      </c>
      <c r="HB22" s="1101">
        <v>0</v>
      </c>
      <c r="HC22" s="1101">
        <v>0</v>
      </c>
      <c r="HD22" s="1101">
        <v>0</v>
      </c>
      <c r="HE22" s="1101">
        <v>-647049</v>
      </c>
      <c r="HF22" s="1101">
        <v>0</v>
      </c>
      <c r="HG22" s="1101">
        <v>0</v>
      </c>
      <c r="HH22" s="1101">
        <v>0</v>
      </c>
      <c r="HI22" s="1101">
        <v>0</v>
      </c>
      <c r="HJ22" s="1101">
        <v>0</v>
      </c>
      <c r="HK22" s="1101">
        <v>0</v>
      </c>
      <c r="HL22" s="1101">
        <v>0</v>
      </c>
      <c r="HM22" s="1101">
        <v>0</v>
      </c>
      <c r="HN22" s="1101">
        <v>0</v>
      </c>
      <c r="HO22" s="1101">
        <v>0</v>
      </c>
      <c r="HP22" s="1101">
        <v>0</v>
      </c>
      <c r="HQ22" s="1101">
        <v>0</v>
      </c>
      <c r="HR22" s="1101">
        <v>0</v>
      </c>
      <c r="HS22" s="1101">
        <v>0</v>
      </c>
      <c r="HT22" s="1101">
        <v>0</v>
      </c>
      <c r="HU22" s="1101">
        <v>-87943</v>
      </c>
      <c r="HV22" s="1101">
        <v>-10496907</v>
      </c>
      <c r="HW22" s="1101">
        <v>-3675789</v>
      </c>
      <c r="HX22" s="1101">
        <v>0</v>
      </c>
      <c r="HY22" s="1101">
        <v>0</v>
      </c>
      <c r="HZ22" s="1101">
        <v>0</v>
      </c>
      <c r="IA22" s="1101">
        <v>0</v>
      </c>
      <c r="IB22" s="1101">
        <v>0</v>
      </c>
      <c r="IC22" s="1101">
        <v>0</v>
      </c>
      <c r="ID22" s="1101">
        <v>1631662</v>
      </c>
      <c r="IE22" s="1101">
        <v>763670</v>
      </c>
      <c r="IF22" s="1101">
        <v>0</v>
      </c>
      <c r="IG22" s="1101">
        <v>42045282</v>
      </c>
      <c r="IH22" s="1101">
        <v>0</v>
      </c>
      <c r="II22" s="1101">
        <v>0</v>
      </c>
      <c r="IJ22" s="1101">
        <v>0</v>
      </c>
      <c r="IK22" s="1101">
        <v>0</v>
      </c>
      <c r="IL22" s="1101">
        <v>0</v>
      </c>
      <c r="IM22" s="1101">
        <v>20490</v>
      </c>
      <c r="IN22" s="1101">
        <v>9842946</v>
      </c>
      <c r="IO22" s="1101">
        <v>355938</v>
      </c>
      <c r="IP22" s="1101">
        <v>89672</v>
      </c>
      <c r="IQ22" s="1101">
        <v>12827</v>
      </c>
      <c r="IR22" s="1101">
        <v>0</v>
      </c>
      <c r="IS22" s="1101">
        <v>0</v>
      </c>
      <c r="IT22" s="1101">
        <v>0</v>
      </c>
      <c r="IU22" s="1101">
        <v>0</v>
      </c>
      <c r="IV22" s="1101">
        <v>0</v>
      </c>
      <c r="IW22" s="1101">
        <v>0</v>
      </c>
      <c r="IX22" s="1101">
        <v>0</v>
      </c>
      <c r="IY22" s="1101">
        <v>0</v>
      </c>
      <c r="IZ22" s="1101">
        <v>0</v>
      </c>
      <c r="JA22" s="1101">
        <v>0</v>
      </c>
      <c r="JB22" s="1101">
        <v>0</v>
      </c>
      <c r="JC22" s="1101">
        <v>0</v>
      </c>
      <c r="JD22" s="1101">
        <v>0</v>
      </c>
      <c r="JE22" s="1101">
        <v>0</v>
      </c>
      <c r="JF22" s="1101">
        <v>83926</v>
      </c>
      <c r="JG22" s="1101">
        <v>0</v>
      </c>
      <c r="JH22" s="1101">
        <v>9729653</v>
      </c>
      <c r="JI22" s="1101">
        <v>0</v>
      </c>
      <c r="JJ22" s="1101">
        <v>0</v>
      </c>
      <c r="JK22" s="1101">
        <v>5000</v>
      </c>
      <c r="JL22" s="1101">
        <v>0</v>
      </c>
      <c r="JM22" s="1101">
        <v>0</v>
      </c>
      <c r="JN22" s="1101">
        <v>70397</v>
      </c>
      <c r="JO22" s="1101">
        <v>3880943</v>
      </c>
      <c r="JP22" s="1101">
        <v>0</v>
      </c>
      <c r="JQ22" s="1101">
        <v>-5921644</v>
      </c>
      <c r="JR22" s="1101">
        <v>0</v>
      </c>
      <c r="JS22" s="1101">
        <v>0</v>
      </c>
      <c r="JT22" s="1101">
        <v>0</v>
      </c>
      <c r="JU22" s="1101">
        <v>0</v>
      </c>
      <c r="JV22" s="1101">
        <v>0</v>
      </c>
      <c r="JW22" s="1101">
        <v>0</v>
      </c>
      <c r="JX22" s="1101">
        <v>0</v>
      </c>
      <c r="JY22" s="1101">
        <v>19244309</v>
      </c>
      <c r="JZ22" s="1101">
        <v>0</v>
      </c>
      <c r="KA22" s="1101">
        <v>0</v>
      </c>
      <c r="KB22" s="1101">
        <v>0</v>
      </c>
      <c r="KC22" s="1101">
        <v>0</v>
      </c>
      <c r="KD22" s="1101">
        <v>0</v>
      </c>
      <c r="KE22" s="1101">
        <v>0</v>
      </c>
      <c r="KF22" s="1101">
        <v>1173</v>
      </c>
      <c r="KG22" s="1101">
        <v>7690469</v>
      </c>
      <c r="KH22" s="1101">
        <v>-558114</v>
      </c>
      <c r="KI22" s="1101">
        <v>-3632120</v>
      </c>
      <c r="KJ22" s="1101">
        <v>26564</v>
      </c>
      <c r="KK22" s="1101">
        <v>0</v>
      </c>
      <c r="KL22" s="1101">
        <v>0</v>
      </c>
      <c r="KM22" s="1101">
        <v>0</v>
      </c>
      <c r="KN22" s="1101">
        <v>68297</v>
      </c>
      <c r="KO22" s="1101">
        <v>48730274</v>
      </c>
      <c r="KP22" s="1101">
        <v>8075536</v>
      </c>
      <c r="KQ22" s="1101">
        <v>0</v>
      </c>
      <c r="KR22" s="1101">
        <v>364552</v>
      </c>
      <c r="KS22" s="1101">
        <v>0</v>
      </c>
      <c r="KT22" s="1101">
        <v>0</v>
      </c>
      <c r="KU22" s="1101">
        <v>0</v>
      </c>
      <c r="KV22" s="1101">
        <v>0</v>
      </c>
      <c r="KW22" s="1101">
        <v>0</v>
      </c>
      <c r="KX22" s="1101">
        <v>931815</v>
      </c>
      <c r="KY22" s="1101">
        <v>830290</v>
      </c>
      <c r="KZ22" s="1101">
        <v>0</v>
      </c>
      <c r="LA22" s="1101">
        <v>1288896</v>
      </c>
      <c r="LB22" s="1101">
        <v>0</v>
      </c>
      <c r="LC22" s="1101">
        <v>0</v>
      </c>
      <c r="LD22" s="1101">
        <v>1204</v>
      </c>
      <c r="LE22" s="1101">
        <v>0</v>
      </c>
      <c r="LF22" s="1101">
        <v>0</v>
      </c>
      <c r="LG22" s="1101">
        <v>938449</v>
      </c>
      <c r="LH22" s="1101">
        <v>260898</v>
      </c>
      <c r="LI22" s="1101">
        <v>0</v>
      </c>
      <c r="LJ22" s="1101">
        <v>386537</v>
      </c>
      <c r="LK22" s="1101">
        <v>0</v>
      </c>
      <c r="LL22" s="1101">
        <v>0</v>
      </c>
      <c r="LM22" s="1101">
        <v>0</v>
      </c>
      <c r="LN22" s="1101">
        <v>0</v>
      </c>
      <c r="LO22" s="1101">
        <v>0</v>
      </c>
      <c r="LP22" s="1101">
        <v>5418033</v>
      </c>
      <c r="LQ22" s="1101">
        <v>9673999</v>
      </c>
      <c r="LR22" s="1101">
        <v>0</v>
      </c>
      <c r="LS22" s="1101">
        <v>1118464</v>
      </c>
      <c r="LT22" s="1101">
        <v>0</v>
      </c>
      <c r="LU22" s="1101">
        <v>0</v>
      </c>
      <c r="LV22" s="1101">
        <v>0</v>
      </c>
      <c r="LW22" s="1101">
        <v>0</v>
      </c>
      <c r="LX22" s="1101">
        <v>0</v>
      </c>
      <c r="LY22" s="1101">
        <v>4252653</v>
      </c>
      <c r="LZ22" s="1101">
        <v>8506033</v>
      </c>
      <c r="MA22" s="1101">
        <v>0</v>
      </c>
      <c r="MB22" s="1101">
        <v>3429195</v>
      </c>
      <c r="MC22" s="1101">
        <v>244780</v>
      </c>
      <c r="MD22" s="1101">
        <v>0</v>
      </c>
      <c r="ME22" s="1101">
        <v>0</v>
      </c>
      <c r="MF22" s="1101">
        <v>0</v>
      </c>
      <c r="MG22" s="1101">
        <v>0</v>
      </c>
      <c r="MH22" s="1101">
        <v>4891586</v>
      </c>
      <c r="MI22" s="1101">
        <v>7596000</v>
      </c>
      <c r="MJ22" s="1101">
        <v>0</v>
      </c>
      <c r="MK22" s="1101">
        <v>184347</v>
      </c>
      <c r="ML22" s="1101">
        <v>0</v>
      </c>
      <c r="MM22" s="1101">
        <v>0</v>
      </c>
      <c r="MN22" s="1101">
        <v>0</v>
      </c>
      <c r="MO22" s="1101">
        <v>0</v>
      </c>
      <c r="MP22" s="1101">
        <v>0</v>
      </c>
      <c r="MQ22" s="1101">
        <v>3311429</v>
      </c>
      <c r="MR22" s="1101">
        <v>10489178</v>
      </c>
      <c r="MS22" s="1101">
        <v>0</v>
      </c>
      <c r="MT22" s="1101">
        <v>6108</v>
      </c>
      <c r="MU22" s="1101">
        <v>0</v>
      </c>
      <c r="MV22" s="1101">
        <v>0</v>
      </c>
      <c r="MW22" s="1101">
        <v>1954732</v>
      </c>
      <c r="MX22" s="1101">
        <v>0</v>
      </c>
      <c r="MY22" s="1101">
        <v>0</v>
      </c>
      <c r="MZ22" s="1101">
        <v>1444077</v>
      </c>
      <c r="NA22" s="1101">
        <v>6949965</v>
      </c>
      <c r="NB22" s="1101">
        <v>0</v>
      </c>
      <c r="NC22" s="1101">
        <v>15540283</v>
      </c>
      <c r="ND22" s="1101">
        <v>0</v>
      </c>
      <c r="NE22" s="1101">
        <v>0</v>
      </c>
      <c r="NF22" s="1101">
        <v>0</v>
      </c>
      <c r="NG22" s="1101">
        <v>0</v>
      </c>
      <c r="NH22" s="1101">
        <v>0</v>
      </c>
      <c r="NI22" s="1101">
        <v>0</v>
      </c>
      <c r="NJ22" s="1101">
        <v>0</v>
      </c>
      <c r="NK22" s="1101">
        <v>27852359</v>
      </c>
      <c r="NL22" s="1101">
        <v>0</v>
      </c>
      <c r="NM22" s="1101">
        <v>0</v>
      </c>
      <c r="NN22" s="1101">
        <v>0</v>
      </c>
      <c r="NO22" s="1101">
        <v>0</v>
      </c>
      <c r="NP22" s="1101">
        <v>0</v>
      </c>
      <c r="NQ22" s="1101">
        <v>0</v>
      </c>
      <c r="NR22" s="1101">
        <v>1082531</v>
      </c>
      <c r="NS22" s="1101">
        <v>161461</v>
      </c>
      <c r="NT22" s="1101">
        <v>17912</v>
      </c>
      <c r="NU22" s="1101">
        <v>367000</v>
      </c>
      <c r="NV22" s="1101">
        <v>0</v>
      </c>
      <c r="NW22" s="1101">
        <v>0</v>
      </c>
      <c r="NX22" s="1101">
        <v>0</v>
      </c>
      <c r="NY22" s="1101">
        <v>0</v>
      </c>
      <c r="NZ22" s="1101">
        <v>0</v>
      </c>
      <c r="OA22" s="1101">
        <v>0</v>
      </c>
      <c r="OB22" s="1101">
        <v>907208</v>
      </c>
      <c r="OC22" s="1101">
        <v>0</v>
      </c>
      <c r="OD22" s="1101">
        <v>0</v>
      </c>
      <c r="OE22" s="1101">
        <v>6823</v>
      </c>
      <c r="OF22" s="1101">
        <v>0</v>
      </c>
      <c r="OG22" s="1101">
        <v>0</v>
      </c>
      <c r="OH22" s="1101">
        <v>0</v>
      </c>
      <c r="OI22" s="1101">
        <v>20677</v>
      </c>
      <c r="OJ22" s="1101">
        <v>0</v>
      </c>
      <c r="OK22" s="1101">
        <v>0</v>
      </c>
      <c r="OL22" s="1101">
        <v>0</v>
      </c>
      <c r="OM22" s="1101">
        <v>0</v>
      </c>
      <c r="ON22" s="1101">
        <v>0</v>
      </c>
      <c r="OO22" s="1101">
        <v>0</v>
      </c>
      <c r="OP22" s="1101">
        <v>-5658587</v>
      </c>
      <c r="OQ22" s="1101">
        <v>0</v>
      </c>
      <c r="OR22" s="1101">
        <v>0</v>
      </c>
      <c r="OS22" s="1101">
        <v>-694946</v>
      </c>
      <c r="OT22" s="1101">
        <v>-2817570</v>
      </c>
      <c r="OU22" s="1101">
        <v>3354267</v>
      </c>
      <c r="OV22" s="1101">
        <v>-17197172</v>
      </c>
      <c r="OW22" s="1101">
        <v>-5269</v>
      </c>
      <c r="OX22" s="1101">
        <v>40610</v>
      </c>
      <c r="OY22" s="1101">
        <v>18029032</v>
      </c>
      <c r="OZ22" s="1101">
        <v>0</v>
      </c>
      <c r="PA22" s="1101">
        <v>0</v>
      </c>
      <c r="PB22" s="1101">
        <v>0</v>
      </c>
      <c r="PC22" s="1101">
        <v>0</v>
      </c>
      <c r="PD22" s="1101">
        <v>0</v>
      </c>
      <c r="PE22" s="1101">
        <v>0</v>
      </c>
      <c r="PF22" s="1101">
        <v>0</v>
      </c>
      <c r="PG22" s="1101">
        <v>0</v>
      </c>
      <c r="PH22" s="1101">
        <v>0</v>
      </c>
      <c r="PI22" s="1101">
        <v>0</v>
      </c>
      <c r="PJ22" s="1101">
        <v>0</v>
      </c>
      <c r="PK22" s="1101">
        <v>-5818983</v>
      </c>
      <c r="PL22" s="1101">
        <v>-708462</v>
      </c>
      <c r="PM22" s="1101">
        <v>-6233138</v>
      </c>
      <c r="PN22" s="1101">
        <v>0</v>
      </c>
      <c r="PO22" s="1101">
        <v>0</v>
      </c>
      <c r="PP22" s="1101">
        <v>0</v>
      </c>
      <c r="PQ22" s="1101">
        <v>0</v>
      </c>
      <c r="PR22" s="1101">
        <v>0</v>
      </c>
      <c r="PS22" s="1101">
        <v>0</v>
      </c>
      <c r="PT22" s="1101">
        <v>-163818</v>
      </c>
      <c r="PU22" s="1101">
        <v>12062293</v>
      </c>
      <c r="PV22" s="1101">
        <v>2799243</v>
      </c>
      <c r="PW22" s="1101">
        <v>879266</v>
      </c>
      <c r="PX22" s="1101">
        <v>168701</v>
      </c>
      <c r="PY22" s="1101">
        <v>276923</v>
      </c>
      <c r="PZ22" s="1101">
        <v>2910080</v>
      </c>
      <c r="QA22" s="1101">
        <v>0</v>
      </c>
      <c r="QB22" s="1101">
        <v>0</v>
      </c>
      <c r="QC22" s="1101">
        <v>0</v>
      </c>
      <c r="QD22" s="1101">
        <v>0</v>
      </c>
      <c r="QE22" s="1101">
        <v>0</v>
      </c>
      <c r="QF22" s="1101">
        <v>0</v>
      </c>
      <c r="QG22" s="1101">
        <v>0</v>
      </c>
      <c r="QH22" s="1101">
        <v>0</v>
      </c>
      <c r="QI22" s="1101">
        <v>0</v>
      </c>
      <c r="QJ22" s="1101">
        <v>0</v>
      </c>
      <c r="QK22" s="1101">
        <v>0</v>
      </c>
      <c r="QL22" s="1101">
        <v>0</v>
      </c>
      <c r="QM22" s="1101">
        <v>0</v>
      </c>
      <c r="QN22" s="1101">
        <v>0</v>
      </c>
      <c r="QO22" s="1101">
        <v>0</v>
      </c>
      <c r="QP22" s="1101">
        <v>0</v>
      </c>
      <c r="QQ22" s="1101">
        <v>0</v>
      </c>
      <c r="QR22" s="1101">
        <v>0</v>
      </c>
      <c r="QS22" s="1101">
        <v>0</v>
      </c>
      <c r="QT22" s="1101">
        <v>0</v>
      </c>
      <c r="QU22" s="1101">
        <v>0</v>
      </c>
      <c r="QV22" s="1101">
        <v>0</v>
      </c>
      <c r="QW22" s="1101">
        <v>0</v>
      </c>
      <c r="QX22" s="1101">
        <v>0</v>
      </c>
      <c r="QY22" s="1101">
        <v>0</v>
      </c>
      <c r="QZ22" s="1101">
        <v>0</v>
      </c>
      <c r="RA22" s="1101">
        <v>0</v>
      </c>
      <c r="RB22" s="1101">
        <v>0</v>
      </c>
      <c r="RC22" s="1101">
        <v>-11902932</v>
      </c>
      <c r="RD22" s="1101">
        <v>0</v>
      </c>
      <c r="RE22" s="1101">
        <v>0</v>
      </c>
      <c r="RF22" s="1101">
        <v>0</v>
      </c>
      <c r="RG22" s="1101">
        <v>0</v>
      </c>
      <c r="RH22" s="1101">
        <v>0</v>
      </c>
      <c r="RI22" s="1101">
        <v>0</v>
      </c>
      <c r="RJ22" s="1101">
        <v>0</v>
      </c>
      <c r="RK22" s="1101">
        <v>0</v>
      </c>
      <c r="RL22" s="1101">
        <v>0</v>
      </c>
      <c r="RM22" s="1101">
        <v>0</v>
      </c>
      <c r="RN22" s="1101">
        <v>0</v>
      </c>
      <c r="RO22" s="1101">
        <v>0</v>
      </c>
      <c r="RP22" s="1101">
        <v>0</v>
      </c>
      <c r="RQ22" s="1101">
        <v>0</v>
      </c>
      <c r="RR22" s="1101">
        <v>0</v>
      </c>
      <c r="RS22" s="1101">
        <v>0</v>
      </c>
      <c r="RT22" s="1101">
        <v>0</v>
      </c>
      <c r="RU22" s="1101">
        <v>0</v>
      </c>
      <c r="RV22" s="1101">
        <v>0</v>
      </c>
      <c r="RW22" s="1101">
        <v>0</v>
      </c>
      <c r="RX22" s="1101">
        <v>0</v>
      </c>
      <c r="RY22" s="1101">
        <v>0</v>
      </c>
      <c r="RZ22" s="1101">
        <v>0</v>
      </c>
      <c r="SA22" s="1101">
        <v>0</v>
      </c>
      <c r="SB22" s="1101">
        <v>0</v>
      </c>
      <c r="SC22" s="1101">
        <v>0</v>
      </c>
      <c r="SD22" s="1101">
        <v>45795</v>
      </c>
      <c r="SE22" s="1101">
        <v>1082531</v>
      </c>
      <c r="SF22" s="1101">
        <v>161461</v>
      </c>
      <c r="SG22" s="1101">
        <v>17912</v>
      </c>
      <c r="SH22" s="1101">
        <v>367000</v>
      </c>
      <c r="SI22" s="1101">
        <v>0</v>
      </c>
      <c r="SJ22" s="1101">
        <v>0</v>
      </c>
      <c r="SK22" s="1101">
        <v>5658587</v>
      </c>
      <c r="SL22" s="1102">
        <v>0</v>
      </c>
      <c r="SM22" s="1101">
        <v>0</v>
      </c>
      <c r="SN22" s="1101">
        <v>55181559</v>
      </c>
      <c r="SO22" s="1102"/>
      <c r="SP22" s="1103"/>
      <c r="SQ22" s="1104">
        <v>106076895</v>
      </c>
      <c r="SR22" s="1104">
        <v>-25976202</v>
      </c>
      <c r="SS22" s="1105">
        <v>650068</v>
      </c>
      <c r="ST22" s="1106">
        <v>30281</v>
      </c>
      <c r="SU22" s="1106">
        <v>0</v>
      </c>
      <c r="SV22" s="1106">
        <v>215029</v>
      </c>
      <c r="SW22" s="1106">
        <v>389784</v>
      </c>
      <c r="SX22" s="1106">
        <v>13150</v>
      </c>
      <c r="SY22" s="1106">
        <v>311809</v>
      </c>
      <c r="SZ22" s="1106">
        <v>871</v>
      </c>
      <c r="TA22" s="1106">
        <v>17912</v>
      </c>
      <c r="TB22" s="1106">
        <v>510269</v>
      </c>
      <c r="TC22" s="1105">
        <v>0</v>
      </c>
      <c r="TD22" s="1106">
        <v>55691</v>
      </c>
      <c r="TE22" s="1106">
        <v>0</v>
      </c>
      <c r="TF22" s="1106">
        <v>0</v>
      </c>
      <c r="TG22" s="1106">
        <v>0</v>
      </c>
      <c r="TH22" s="1106">
        <v>0</v>
      </c>
      <c r="TI22" s="1106">
        <v>0</v>
      </c>
      <c r="TJ22" s="1106">
        <v>0</v>
      </c>
      <c r="TK22" s="1105">
        <v>0</v>
      </c>
      <c r="TL22" s="1106">
        <v>0</v>
      </c>
      <c r="TM22" s="1106">
        <v>0</v>
      </c>
      <c r="TN22" s="1106">
        <v>0</v>
      </c>
      <c r="TO22" s="1106">
        <v>0</v>
      </c>
      <c r="TP22" s="1106">
        <v>0</v>
      </c>
      <c r="TQ22" s="1106">
        <v>0</v>
      </c>
      <c r="TR22" s="1106">
        <v>0</v>
      </c>
      <c r="TS22" s="1105">
        <v>57170362</v>
      </c>
      <c r="TT22" s="1106">
        <v>3052205</v>
      </c>
      <c r="TU22" s="1106">
        <v>1585884</v>
      </c>
      <c r="TV22" s="1106">
        <v>16210496</v>
      </c>
      <c r="TW22" s="1106">
        <v>16432661</v>
      </c>
      <c r="TX22" s="1106">
        <v>12671933</v>
      </c>
      <c r="TY22" s="1106">
        <v>15761447</v>
      </c>
      <c r="TZ22" s="1107">
        <v>23934325</v>
      </c>
      <c r="UA22" s="1107">
        <v>27852359</v>
      </c>
      <c r="UB22" s="1105">
        <v>40818517</v>
      </c>
      <c r="UC22" s="1108">
        <v>18932688</v>
      </c>
      <c r="UD22" s="1108"/>
      <c r="UE22" s="1103"/>
      <c r="UF22" s="1109" t="s">
        <v>2424</v>
      </c>
      <c r="UG22" s="1110" t="s">
        <v>2425</v>
      </c>
      <c r="UH22" s="1110" t="s">
        <v>2426</v>
      </c>
    </row>
    <row r="23" spans="1:554" s="776" customFormat="1" ht="37.5" customHeight="1" thickBot="1">
      <c r="A23" s="1093">
        <v>220</v>
      </c>
      <c r="B23" s="1094" t="s">
        <v>114</v>
      </c>
      <c r="C23" s="1095" t="s">
        <v>319</v>
      </c>
      <c r="D23" s="1096" t="s">
        <v>2398</v>
      </c>
      <c r="E23" s="1097">
        <v>29269</v>
      </c>
      <c r="F23" s="1098">
        <v>155489106</v>
      </c>
      <c r="G23" s="1096" t="s">
        <v>2399</v>
      </c>
      <c r="H23" s="1100" t="s">
        <v>114</v>
      </c>
      <c r="I23" s="1100"/>
      <c r="J23" s="1100"/>
      <c r="K23" s="1100"/>
      <c r="L23" s="1100"/>
      <c r="M23" s="1101">
        <v>25514271</v>
      </c>
      <c r="N23" s="1101">
        <v>0</v>
      </c>
      <c r="O23" s="1101">
        <v>0</v>
      </c>
      <c r="P23" s="1101">
        <v>0</v>
      </c>
      <c r="Q23" s="1101">
        <v>0</v>
      </c>
      <c r="R23" s="1101">
        <v>0</v>
      </c>
      <c r="S23" s="1101">
        <v>0</v>
      </c>
      <c r="T23" s="1101">
        <v>0</v>
      </c>
      <c r="U23" s="1101">
        <v>0</v>
      </c>
      <c r="V23" s="1101">
        <v>986487</v>
      </c>
      <c r="W23" s="1101">
        <v>14024</v>
      </c>
      <c r="X23" s="1101">
        <v>0</v>
      </c>
      <c r="Y23" s="1101">
        <v>11978</v>
      </c>
      <c r="Z23" s="1101">
        <v>0</v>
      </c>
      <c r="AA23" s="1101">
        <v>0</v>
      </c>
      <c r="AB23" s="1101">
        <v>0</v>
      </c>
      <c r="AC23" s="1101">
        <v>0</v>
      </c>
      <c r="AD23" s="1101">
        <v>0</v>
      </c>
      <c r="AE23" s="1101">
        <v>0</v>
      </c>
      <c r="AF23" s="1101">
        <v>0</v>
      </c>
      <c r="AG23" s="1101">
        <v>0</v>
      </c>
      <c r="AH23" s="1101">
        <v>0</v>
      </c>
      <c r="AI23" s="1101">
        <v>0</v>
      </c>
      <c r="AJ23" s="1101">
        <v>0</v>
      </c>
      <c r="AK23" s="1101">
        <v>0</v>
      </c>
      <c r="AL23" s="1101">
        <v>0</v>
      </c>
      <c r="AM23" s="1101">
        <v>0</v>
      </c>
      <c r="AN23" s="1101">
        <v>2050273</v>
      </c>
      <c r="AO23" s="1101">
        <v>0</v>
      </c>
      <c r="AP23" s="1101">
        <v>0</v>
      </c>
      <c r="AQ23" s="1101">
        <v>0</v>
      </c>
      <c r="AR23" s="1101">
        <v>0</v>
      </c>
      <c r="AS23" s="1101">
        <v>0</v>
      </c>
      <c r="AT23" s="1101">
        <v>0</v>
      </c>
      <c r="AU23" s="1101">
        <v>0</v>
      </c>
      <c r="AV23" s="1101">
        <v>0</v>
      </c>
      <c r="AW23" s="1101">
        <v>0</v>
      </c>
      <c r="AX23" s="1101">
        <v>0</v>
      </c>
      <c r="AY23" s="1101">
        <v>0</v>
      </c>
      <c r="AZ23" s="1101">
        <v>0</v>
      </c>
      <c r="BA23" s="1101">
        <v>0</v>
      </c>
      <c r="BB23" s="1101">
        <v>0</v>
      </c>
      <c r="BC23" s="1101">
        <v>0</v>
      </c>
      <c r="BD23" s="1101">
        <v>0</v>
      </c>
      <c r="BE23" s="1101">
        <v>0</v>
      </c>
      <c r="BF23" s="1101">
        <v>-4518700</v>
      </c>
      <c r="BG23" s="1101">
        <v>0</v>
      </c>
      <c r="BH23" s="1101">
        <v>0</v>
      </c>
      <c r="BI23" s="1101">
        <v>0</v>
      </c>
      <c r="BJ23" s="1101">
        <v>0</v>
      </c>
      <c r="BK23" s="1101">
        <v>0</v>
      </c>
      <c r="BL23" s="1101">
        <v>0</v>
      </c>
      <c r="BM23" s="1101">
        <v>0</v>
      </c>
      <c r="BN23" s="1101">
        <v>0</v>
      </c>
      <c r="BO23" s="1101">
        <v>0</v>
      </c>
      <c r="BP23" s="1101">
        <v>0</v>
      </c>
      <c r="BQ23" s="1101">
        <v>0</v>
      </c>
      <c r="BR23" s="1101">
        <v>0</v>
      </c>
      <c r="BS23" s="1101">
        <v>0</v>
      </c>
      <c r="BT23" s="1101">
        <v>0</v>
      </c>
      <c r="BU23" s="1101">
        <v>0</v>
      </c>
      <c r="BV23" s="1101">
        <v>0</v>
      </c>
      <c r="BW23" s="1101">
        <v>0</v>
      </c>
      <c r="BX23" s="1101">
        <v>0</v>
      </c>
      <c r="BY23" s="1101">
        <v>0</v>
      </c>
      <c r="BZ23" s="1101">
        <v>0</v>
      </c>
      <c r="CA23" s="1101">
        <v>0</v>
      </c>
      <c r="CB23" s="1101">
        <v>0</v>
      </c>
      <c r="CC23" s="1101">
        <v>0</v>
      </c>
      <c r="CD23" s="1101">
        <v>0</v>
      </c>
      <c r="CE23" s="1101">
        <v>0</v>
      </c>
      <c r="CF23" s="1101">
        <v>0</v>
      </c>
      <c r="CG23" s="1101">
        <v>0</v>
      </c>
      <c r="CH23" s="1101">
        <v>0</v>
      </c>
      <c r="CI23" s="1101">
        <v>0</v>
      </c>
      <c r="CJ23" s="1101">
        <v>0</v>
      </c>
      <c r="CK23" s="1101">
        <v>0</v>
      </c>
      <c r="CL23" s="1101">
        <v>0</v>
      </c>
      <c r="CM23" s="1101">
        <v>0</v>
      </c>
      <c r="CN23" s="1101">
        <v>0</v>
      </c>
      <c r="CO23" s="1101">
        <v>0</v>
      </c>
      <c r="CP23" s="1101">
        <v>2623634</v>
      </c>
      <c r="CQ23" s="1101">
        <v>7910668</v>
      </c>
      <c r="CR23" s="1101">
        <v>0</v>
      </c>
      <c r="CS23" s="1101">
        <v>0</v>
      </c>
      <c r="CT23" s="1101">
        <v>0</v>
      </c>
      <c r="CU23" s="1101">
        <v>0</v>
      </c>
      <c r="CV23" s="1101">
        <v>0</v>
      </c>
      <c r="CW23" s="1101">
        <v>0</v>
      </c>
      <c r="CX23" s="1101">
        <v>0</v>
      </c>
      <c r="CY23" s="1101">
        <v>0</v>
      </c>
      <c r="CZ23" s="1101">
        <v>0</v>
      </c>
      <c r="DA23" s="1101">
        <v>0</v>
      </c>
      <c r="DB23" s="1101">
        <v>0</v>
      </c>
      <c r="DC23" s="1101">
        <v>0</v>
      </c>
      <c r="DD23" s="1101">
        <v>0</v>
      </c>
      <c r="DE23" s="1101">
        <v>0</v>
      </c>
      <c r="DF23" s="1101">
        <v>0</v>
      </c>
      <c r="DG23" s="1101">
        <v>0</v>
      </c>
      <c r="DH23" s="1101">
        <v>0</v>
      </c>
      <c r="DI23" s="1101">
        <v>0</v>
      </c>
      <c r="DJ23" s="1101">
        <v>0</v>
      </c>
      <c r="DK23" s="1101">
        <v>0</v>
      </c>
      <c r="DL23" s="1101">
        <v>0</v>
      </c>
      <c r="DM23" s="1101">
        <v>0</v>
      </c>
      <c r="DN23" s="1101">
        <v>0</v>
      </c>
      <c r="DO23" s="1101">
        <v>0</v>
      </c>
      <c r="DP23" s="1101">
        <v>0</v>
      </c>
      <c r="DQ23" s="1101">
        <v>-141609</v>
      </c>
      <c r="DR23" s="1101">
        <v>-460517</v>
      </c>
      <c r="DS23" s="1101">
        <v>0</v>
      </c>
      <c r="DT23" s="1101">
        <v>0</v>
      </c>
      <c r="DU23" s="1101">
        <v>0</v>
      </c>
      <c r="DV23" s="1101">
        <v>0</v>
      </c>
      <c r="DW23" s="1101">
        <v>0</v>
      </c>
      <c r="DX23" s="1101">
        <v>0</v>
      </c>
      <c r="DY23" s="1101">
        <v>0</v>
      </c>
      <c r="DZ23" s="1101">
        <v>0</v>
      </c>
      <c r="EA23" s="1101">
        <v>0</v>
      </c>
      <c r="EB23" s="1101">
        <v>0</v>
      </c>
      <c r="EC23" s="1101">
        <v>0</v>
      </c>
      <c r="ED23" s="1101">
        <v>0</v>
      </c>
      <c r="EE23" s="1101">
        <v>0</v>
      </c>
      <c r="EF23" s="1101">
        <v>0</v>
      </c>
      <c r="EG23" s="1101">
        <v>0</v>
      </c>
      <c r="EH23" s="1101">
        <v>0</v>
      </c>
      <c r="EI23" s="1101">
        <v>-576982</v>
      </c>
      <c r="EJ23" s="1101">
        <v>-1706148</v>
      </c>
      <c r="EK23" s="1101">
        <v>0</v>
      </c>
      <c r="EL23" s="1101">
        <v>0</v>
      </c>
      <c r="EM23" s="1101">
        <v>0</v>
      </c>
      <c r="EN23" s="1101">
        <v>0</v>
      </c>
      <c r="EO23" s="1101">
        <v>0</v>
      </c>
      <c r="EP23" s="1101">
        <v>0</v>
      </c>
      <c r="EQ23" s="1101">
        <v>0</v>
      </c>
      <c r="ER23" s="1101">
        <v>0</v>
      </c>
      <c r="ES23" s="1101">
        <v>0</v>
      </c>
      <c r="ET23" s="1101">
        <v>0</v>
      </c>
      <c r="EU23" s="1101">
        <v>0</v>
      </c>
      <c r="EV23" s="1101">
        <v>0</v>
      </c>
      <c r="EW23" s="1101">
        <v>0</v>
      </c>
      <c r="EX23" s="1101">
        <v>0</v>
      </c>
      <c r="EY23" s="1101">
        <v>0</v>
      </c>
      <c r="EZ23" s="1101">
        <v>0</v>
      </c>
      <c r="FA23" s="1101">
        <v>0</v>
      </c>
      <c r="FB23" s="1101">
        <v>0</v>
      </c>
      <c r="FC23" s="1101">
        <v>0</v>
      </c>
      <c r="FD23" s="1101">
        <v>0</v>
      </c>
      <c r="FE23" s="1101">
        <v>0</v>
      </c>
      <c r="FF23" s="1101">
        <v>0</v>
      </c>
      <c r="FG23" s="1101">
        <v>0</v>
      </c>
      <c r="FH23" s="1101">
        <v>0</v>
      </c>
      <c r="FI23" s="1101">
        <v>0</v>
      </c>
      <c r="FJ23" s="1101">
        <v>0</v>
      </c>
      <c r="FK23" s="1101">
        <v>0</v>
      </c>
      <c r="FL23" s="1101">
        <v>0</v>
      </c>
      <c r="FM23" s="1101">
        <v>0</v>
      </c>
      <c r="FN23" s="1101">
        <v>0</v>
      </c>
      <c r="FO23" s="1101">
        <v>0</v>
      </c>
      <c r="FP23" s="1101">
        <v>0</v>
      </c>
      <c r="FQ23" s="1101">
        <v>0</v>
      </c>
      <c r="FR23" s="1101">
        <v>0</v>
      </c>
      <c r="FS23" s="1101">
        <v>0</v>
      </c>
      <c r="FT23" s="1101">
        <v>0</v>
      </c>
      <c r="FU23" s="1101">
        <v>0</v>
      </c>
      <c r="FV23" s="1101">
        <v>0</v>
      </c>
      <c r="FW23" s="1101">
        <v>0</v>
      </c>
      <c r="FX23" s="1101">
        <v>0</v>
      </c>
      <c r="FY23" s="1101">
        <v>0</v>
      </c>
      <c r="FZ23" s="1101">
        <v>0</v>
      </c>
      <c r="GA23" s="1101">
        <v>0</v>
      </c>
      <c r="GB23" s="1101">
        <v>248</v>
      </c>
      <c r="GC23" s="1101">
        <v>4099791</v>
      </c>
      <c r="GD23" s="1101">
        <v>1012799</v>
      </c>
      <c r="GE23" s="1101">
        <v>0</v>
      </c>
      <c r="GF23" s="1101">
        <v>0</v>
      </c>
      <c r="GG23" s="1101">
        <v>0</v>
      </c>
      <c r="GH23" s="1101">
        <v>0</v>
      </c>
      <c r="GI23" s="1101">
        <v>0</v>
      </c>
      <c r="GJ23" s="1101">
        <v>0</v>
      </c>
      <c r="GK23" s="1101">
        <v>0</v>
      </c>
      <c r="GL23" s="1101">
        <v>0</v>
      </c>
      <c r="GM23" s="1101">
        <v>0</v>
      </c>
      <c r="GN23" s="1101">
        <v>0</v>
      </c>
      <c r="GO23" s="1101">
        <v>0</v>
      </c>
      <c r="GP23" s="1101">
        <v>0</v>
      </c>
      <c r="GQ23" s="1101">
        <v>0</v>
      </c>
      <c r="GR23" s="1101">
        <v>0</v>
      </c>
      <c r="GS23" s="1101">
        <v>0</v>
      </c>
      <c r="GT23" s="1101">
        <v>0</v>
      </c>
      <c r="GU23" s="1101">
        <v>0</v>
      </c>
      <c r="GV23" s="1101">
        <v>0</v>
      </c>
      <c r="GW23" s="1101">
        <v>0</v>
      </c>
      <c r="GX23" s="1101">
        <v>0</v>
      </c>
      <c r="GY23" s="1101">
        <v>0</v>
      </c>
      <c r="GZ23" s="1101">
        <v>0</v>
      </c>
      <c r="HA23" s="1101">
        <v>0</v>
      </c>
      <c r="HB23" s="1101">
        <v>0</v>
      </c>
      <c r="HC23" s="1101">
        <v>-13</v>
      </c>
      <c r="HD23" s="1101">
        <v>-233920</v>
      </c>
      <c r="HE23" s="1101">
        <v>-49852</v>
      </c>
      <c r="HF23" s="1101">
        <v>0</v>
      </c>
      <c r="HG23" s="1101">
        <v>0</v>
      </c>
      <c r="HH23" s="1101">
        <v>0</v>
      </c>
      <c r="HI23" s="1101">
        <v>0</v>
      </c>
      <c r="HJ23" s="1101">
        <v>0</v>
      </c>
      <c r="HK23" s="1101">
        <v>0</v>
      </c>
      <c r="HL23" s="1101">
        <v>0</v>
      </c>
      <c r="HM23" s="1101">
        <v>0</v>
      </c>
      <c r="HN23" s="1101">
        <v>0</v>
      </c>
      <c r="HO23" s="1101">
        <v>0</v>
      </c>
      <c r="HP23" s="1101">
        <v>0</v>
      </c>
      <c r="HQ23" s="1101">
        <v>0</v>
      </c>
      <c r="HR23" s="1101">
        <v>0</v>
      </c>
      <c r="HS23" s="1101">
        <v>0</v>
      </c>
      <c r="HT23" s="1101">
        <v>0</v>
      </c>
      <c r="HU23" s="1101">
        <v>-55</v>
      </c>
      <c r="HV23" s="1101">
        <v>-888978</v>
      </c>
      <c r="HW23" s="1101">
        <v>-227545</v>
      </c>
      <c r="HX23" s="1101">
        <v>0</v>
      </c>
      <c r="HY23" s="1101">
        <v>0</v>
      </c>
      <c r="HZ23" s="1101">
        <v>0</v>
      </c>
      <c r="IA23" s="1101">
        <v>0</v>
      </c>
      <c r="IB23" s="1101">
        <v>0</v>
      </c>
      <c r="IC23" s="1101">
        <v>0</v>
      </c>
      <c r="ID23" s="1101">
        <v>335153</v>
      </c>
      <c r="IE23" s="1101">
        <v>265724</v>
      </c>
      <c r="IF23" s="1101">
        <v>0</v>
      </c>
      <c r="IG23" s="1101">
        <v>9144253</v>
      </c>
      <c r="IH23" s="1101">
        <v>0</v>
      </c>
      <c r="II23" s="1101">
        <v>0</v>
      </c>
      <c r="IJ23" s="1101">
        <v>0</v>
      </c>
      <c r="IK23" s="1101">
        <v>0</v>
      </c>
      <c r="IL23" s="1101">
        <v>0</v>
      </c>
      <c r="IM23" s="1101">
        <v>11999</v>
      </c>
      <c r="IN23" s="1101">
        <v>1082492</v>
      </c>
      <c r="IO23" s="1101">
        <v>100062</v>
      </c>
      <c r="IP23" s="1101">
        <v>100700</v>
      </c>
      <c r="IQ23" s="1101">
        <v>0</v>
      </c>
      <c r="IR23" s="1101">
        <v>1051</v>
      </c>
      <c r="IS23" s="1101">
        <v>0</v>
      </c>
      <c r="IT23" s="1101">
        <v>0</v>
      </c>
      <c r="IU23" s="1101">
        <v>0</v>
      </c>
      <c r="IV23" s="1101">
        <v>0</v>
      </c>
      <c r="IW23" s="1101">
        <v>0</v>
      </c>
      <c r="IX23" s="1101">
        <v>0</v>
      </c>
      <c r="IY23" s="1101">
        <v>0</v>
      </c>
      <c r="IZ23" s="1101">
        <v>0</v>
      </c>
      <c r="JA23" s="1101">
        <v>0</v>
      </c>
      <c r="JB23" s="1101">
        <v>0</v>
      </c>
      <c r="JC23" s="1101">
        <v>0</v>
      </c>
      <c r="JD23" s="1101">
        <v>0</v>
      </c>
      <c r="JE23" s="1101">
        <v>0</v>
      </c>
      <c r="JF23" s="1101">
        <v>50</v>
      </c>
      <c r="JG23" s="1101">
        <v>372</v>
      </c>
      <c r="JH23" s="1101">
        <v>180717</v>
      </c>
      <c r="JI23" s="1101">
        <v>0</v>
      </c>
      <c r="JJ23" s="1101">
        <v>0</v>
      </c>
      <c r="JK23" s="1101">
        <v>0</v>
      </c>
      <c r="JL23" s="1101">
        <v>0</v>
      </c>
      <c r="JM23" s="1101">
        <v>0</v>
      </c>
      <c r="JN23" s="1101">
        <v>0</v>
      </c>
      <c r="JO23" s="1101">
        <v>2082268</v>
      </c>
      <c r="JP23" s="1101">
        <v>0</v>
      </c>
      <c r="JQ23" s="1101">
        <v>6700</v>
      </c>
      <c r="JR23" s="1101">
        <v>0</v>
      </c>
      <c r="JS23" s="1101">
        <v>0</v>
      </c>
      <c r="JT23" s="1101">
        <v>0</v>
      </c>
      <c r="JU23" s="1101">
        <v>0</v>
      </c>
      <c r="JV23" s="1101">
        <v>0</v>
      </c>
      <c r="JW23" s="1101">
        <v>0</v>
      </c>
      <c r="JX23" s="1101">
        <v>0</v>
      </c>
      <c r="JY23" s="1101">
        <v>1485345</v>
      </c>
      <c r="JZ23" s="1101">
        <v>0</v>
      </c>
      <c r="KA23" s="1101">
        <v>0</v>
      </c>
      <c r="KB23" s="1101">
        <v>0</v>
      </c>
      <c r="KC23" s="1101">
        <v>0</v>
      </c>
      <c r="KD23" s="1101">
        <v>0</v>
      </c>
      <c r="KE23" s="1101">
        <v>0</v>
      </c>
      <c r="KF23" s="1101">
        <v>0</v>
      </c>
      <c r="KG23" s="1101">
        <v>2969389</v>
      </c>
      <c r="KH23" s="1101">
        <v>62411</v>
      </c>
      <c r="KI23" s="1101">
        <v>-1499368</v>
      </c>
      <c r="KJ23" s="1101">
        <v>1040</v>
      </c>
      <c r="KK23" s="1101">
        <v>176673</v>
      </c>
      <c r="KL23" s="1101">
        <v>0</v>
      </c>
      <c r="KM23" s="1101">
        <v>0</v>
      </c>
      <c r="KN23" s="1101">
        <v>-747093</v>
      </c>
      <c r="KO23" s="1101">
        <v>11963940</v>
      </c>
      <c r="KP23" s="1101">
        <v>3746707</v>
      </c>
      <c r="KQ23" s="1101">
        <v>0</v>
      </c>
      <c r="KR23" s="1101">
        <v>3250</v>
      </c>
      <c r="KS23" s="1101">
        <v>0</v>
      </c>
      <c r="KT23" s="1101">
        <v>0</v>
      </c>
      <c r="KU23" s="1101">
        <v>0</v>
      </c>
      <c r="KV23" s="1101">
        <v>0</v>
      </c>
      <c r="KW23" s="1101">
        <v>0</v>
      </c>
      <c r="KX23" s="1101">
        <v>766</v>
      </c>
      <c r="KY23" s="1101">
        <v>7635</v>
      </c>
      <c r="KZ23" s="1101">
        <v>0</v>
      </c>
      <c r="LA23" s="1101">
        <v>28497</v>
      </c>
      <c r="LB23" s="1101">
        <v>0</v>
      </c>
      <c r="LC23" s="1101">
        <v>0</v>
      </c>
      <c r="LD23" s="1101">
        <v>0</v>
      </c>
      <c r="LE23" s="1101">
        <v>0</v>
      </c>
      <c r="LF23" s="1101">
        <v>0</v>
      </c>
      <c r="LG23" s="1101">
        <v>0</v>
      </c>
      <c r="LH23" s="1101">
        <v>0</v>
      </c>
      <c r="LI23" s="1101">
        <v>0</v>
      </c>
      <c r="LJ23" s="1101">
        <v>9026</v>
      </c>
      <c r="LK23" s="1101">
        <v>0</v>
      </c>
      <c r="LL23" s="1101">
        <v>0</v>
      </c>
      <c r="LM23" s="1101">
        <v>0</v>
      </c>
      <c r="LN23" s="1101">
        <v>0</v>
      </c>
      <c r="LO23" s="1101">
        <v>0</v>
      </c>
      <c r="LP23" s="1101">
        <v>2264329</v>
      </c>
      <c r="LQ23" s="1101">
        <v>673445</v>
      </c>
      <c r="LR23" s="1101">
        <v>0</v>
      </c>
      <c r="LS23" s="1101">
        <v>1312500</v>
      </c>
      <c r="LT23" s="1101">
        <v>0</v>
      </c>
      <c r="LU23" s="1101">
        <v>0</v>
      </c>
      <c r="LV23" s="1101">
        <v>0</v>
      </c>
      <c r="LW23" s="1101">
        <v>0</v>
      </c>
      <c r="LX23" s="1101">
        <v>0</v>
      </c>
      <c r="LY23" s="1101">
        <v>2092989</v>
      </c>
      <c r="LZ23" s="1101">
        <v>1639632</v>
      </c>
      <c r="MA23" s="1101">
        <v>0</v>
      </c>
      <c r="MB23" s="1101">
        <v>663908</v>
      </c>
      <c r="MC23" s="1101">
        <v>-5767</v>
      </c>
      <c r="MD23" s="1101">
        <v>0</v>
      </c>
      <c r="ME23" s="1101">
        <v>0</v>
      </c>
      <c r="MF23" s="1101">
        <v>0</v>
      </c>
      <c r="MG23" s="1101">
        <v>0</v>
      </c>
      <c r="MH23" s="1101">
        <v>2971893</v>
      </c>
      <c r="MI23" s="1101">
        <v>1865328</v>
      </c>
      <c r="MJ23" s="1101">
        <v>0</v>
      </c>
      <c r="MK23" s="1101">
        <v>-18436</v>
      </c>
      <c r="ML23" s="1101">
        <v>0</v>
      </c>
      <c r="MM23" s="1101">
        <v>0</v>
      </c>
      <c r="MN23" s="1101">
        <v>0</v>
      </c>
      <c r="MO23" s="1101">
        <v>0</v>
      </c>
      <c r="MP23" s="1101">
        <v>0</v>
      </c>
      <c r="MQ23" s="1101">
        <v>1817999</v>
      </c>
      <c r="MR23" s="1101">
        <v>542027</v>
      </c>
      <c r="MS23" s="1101">
        <v>0</v>
      </c>
      <c r="MT23" s="1101">
        <v>0</v>
      </c>
      <c r="MU23" s="1101">
        <v>0</v>
      </c>
      <c r="MV23" s="1101">
        <v>0</v>
      </c>
      <c r="MW23" s="1101">
        <v>3478</v>
      </c>
      <c r="MX23" s="1101">
        <v>0</v>
      </c>
      <c r="MY23" s="1101">
        <v>0</v>
      </c>
      <c r="MZ23" s="1101">
        <v>765320</v>
      </c>
      <c r="NA23" s="1101">
        <v>892462</v>
      </c>
      <c r="NB23" s="1101">
        <v>0</v>
      </c>
      <c r="NC23" s="1101">
        <v>3077743</v>
      </c>
      <c r="ND23" s="1101">
        <v>0</v>
      </c>
      <c r="NE23" s="1101">
        <v>0</v>
      </c>
      <c r="NF23" s="1101">
        <v>0</v>
      </c>
      <c r="NG23" s="1101">
        <v>0</v>
      </c>
      <c r="NH23" s="1101">
        <v>0</v>
      </c>
      <c r="NI23" s="1101">
        <v>0</v>
      </c>
      <c r="NJ23" s="1101">
        <v>0</v>
      </c>
      <c r="NK23" s="1101">
        <v>2544788</v>
      </c>
      <c r="NL23" s="1101">
        <v>0</v>
      </c>
      <c r="NM23" s="1101">
        <v>0</v>
      </c>
      <c r="NN23" s="1101">
        <v>0</v>
      </c>
      <c r="NO23" s="1101">
        <v>0</v>
      </c>
      <c r="NP23" s="1101">
        <v>0</v>
      </c>
      <c r="NQ23" s="1101">
        <v>0</v>
      </c>
      <c r="NR23" s="1101">
        <v>576320</v>
      </c>
      <c r="NS23" s="1101">
        <v>4372</v>
      </c>
      <c r="NT23" s="1101">
        <v>0</v>
      </c>
      <c r="NU23" s="1101">
        <v>17825</v>
      </c>
      <c r="NV23" s="1101">
        <v>0</v>
      </c>
      <c r="NW23" s="1101">
        <v>0</v>
      </c>
      <c r="NX23" s="1101">
        <v>0</v>
      </c>
      <c r="NY23" s="1101">
        <v>0</v>
      </c>
      <c r="NZ23" s="1101">
        <v>0</v>
      </c>
      <c r="OA23" s="1101">
        <v>0</v>
      </c>
      <c r="OB23" s="1101">
        <v>105278</v>
      </c>
      <c r="OC23" s="1101">
        <v>0</v>
      </c>
      <c r="OD23" s="1101">
        <v>216734</v>
      </c>
      <c r="OE23" s="1101">
        <v>0</v>
      </c>
      <c r="OF23" s="1101">
        <v>0</v>
      </c>
      <c r="OG23" s="1101">
        <v>0</v>
      </c>
      <c r="OH23" s="1101">
        <v>0</v>
      </c>
      <c r="OI23" s="1101">
        <v>1816260</v>
      </c>
      <c r="OJ23" s="1101">
        <v>0</v>
      </c>
      <c r="OK23" s="1101">
        <v>0</v>
      </c>
      <c r="OL23" s="1101">
        <v>0</v>
      </c>
      <c r="OM23" s="1101">
        <v>0</v>
      </c>
      <c r="ON23" s="1101">
        <v>0</v>
      </c>
      <c r="OO23" s="1101">
        <v>0</v>
      </c>
      <c r="OP23" s="1101">
        <v>-1784827</v>
      </c>
      <c r="OQ23" s="1101">
        <v>0</v>
      </c>
      <c r="OR23" s="1101">
        <v>0</v>
      </c>
      <c r="OS23" s="1101">
        <v>-1218860</v>
      </c>
      <c r="OT23" s="1101">
        <v>-2748224</v>
      </c>
      <c r="OU23" s="1101">
        <v>2157503</v>
      </c>
      <c r="OV23" s="1101">
        <v>1473011</v>
      </c>
      <c r="OW23" s="1101">
        <v>31674</v>
      </c>
      <c r="OX23" s="1101">
        <v>594718</v>
      </c>
      <c r="OY23" s="1101">
        <v>850220</v>
      </c>
      <c r="OZ23" s="1101">
        <v>0</v>
      </c>
      <c r="PA23" s="1101">
        <v>0</v>
      </c>
      <c r="PB23" s="1101">
        <v>0</v>
      </c>
      <c r="PC23" s="1101">
        <v>0</v>
      </c>
      <c r="PD23" s="1101">
        <v>0</v>
      </c>
      <c r="PE23" s="1101">
        <v>0</v>
      </c>
      <c r="PF23" s="1101">
        <v>0</v>
      </c>
      <c r="PG23" s="1101">
        <v>0</v>
      </c>
      <c r="PH23" s="1101">
        <v>0</v>
      </c>
      <c r="PI23" s="1101">
        <v>0</v>
      </c>
      <c r="PJ23" s="1101">
        <v>0</v>
      </c>
      <c r="PK23" s="1101">
        <v>-7676599</v>
      </c>
      <c r="PL23" s="1101">
        <v>0</v>
      </c>
      <c r="PM23" s="1101">
        <v>-958150</v>
      </c>
      <c r="PN23" s="1101">
        <v>0</v>
      </c>
      <c r="PO23" s="1101">
        <v>0</v>
      </c>
      <c r="PP23" s="1101">
        <v>0</v>
      </c>
      <c r="PQ23" s="1101">
        <v>0</v>
      </c>
      <c r="PR23" s="1101">
        <v>0</v>
      </c>
      <c r="PS23" s="1101">
        <v>0</v>
      </c>
      <c r="PT23" s="1101">
        <v>0</v>
      </c>
      <c r="PU23" s="1101">
        <v>2766919</v>
      </c>
      <c r="PV23" s="1101">
        <v>216082</v>
      </c>
      <c r="PW23" s="1101">
        <v>-52437</v>
      </c>
      <c r="PX23" s="1101">
        <v>0</v>
      </c>
      <c r="PY23" s="1101">
        <v>1476268</v>
      </c>
      <c r="PZ23" s="1101">
        <v>0</v>
      </c>
      <c r="QA23" s="1101">
        <v>0</v>
      </c>
      <c r="QB23" s="1101">
        <v>0</v>
      </c>
      <c r="QC23" s="1101">
        <v>0</v>
      </c>
      <c r="QD23" s="1101">
        <v>0</v>
      </c>
      <c r="QE23" s="1101">
        <v>0</v>
      </c>
      <c r="QF23" s="1101">
        <v>0</v>
      </c>
      <c r="QG23" s="1101">
        <v>0</v>
      </c>
      <c r="QH23" s="1101">
        <v>310369</v>
      </c>
      <c r="QI23" s="1101">
        <v>0</v>
      </c>
      <c r="QJ23" s="1101">
        <v>0</v>
      </c>
      <c r="QK23" s="1101">
        <v>0</v>
      </c>
      <c r="QL23" s="1101">
        <v>0</v>
      </c>
      <c r="QM23" s="1101">
        <v>0</v>
      </c>
      <c r="QN23" s="1101">
        <v>0</v>
      </c>
      <c r="QO23" s="1101">
        <v>0</v>
      </c>
      <c r="QP23" s="1101">
        <v>0</v>
      </c>
      <c r="QQ23" s="1101">
        <v>0</v>
      </c>
      <c r="QR23" s="1101">
        <v>0</v>
      </c>
      <c r="QS23" s="1101">
        <v>0</v>
      </c>
      <c r="QT23" s="1101">
        <v>0</v>
      </c>
      <c r="QU23" s="1101">
        <v>0</v>
      </c>
      <c r="QV23" s="1101">
        <v>0</v>
      </c>
      <c r="QW23" s="1101">
        <v>0</v>
      </c>
      <c r="QX23" s="1101">
        <v>0</v>
      </c>
      <c r="QY23" s="1101">
        <v>0</v>
      </c>
      <c r="QZ23" s="1101">
        <v>0</v>
      </c>
      <c r="RA23" s="1101">
        <v>0</v>
      </c>
      <c r="RB23" s="1101">
        <v>0</v>
      </c>
      <c r="RC23" s="1101">
        <v>-8818600</v>
      </c>
      <c r="RD23" s="1101">
        <v>0</v>
      </c>
      <c r="RE23" s="1101">
        <v>0</v>
      </c>
      <c r="RF23" s="1101">
        <v>0</v>
      </c>
      <c r="RG23" s="1101">
        <v>0</v>
      </c>
      <c r="RH23" s="1101">
        <v>0</v>
      </c>
      <c r="RI23" s="1101">
        <v>0</v>
      </c>
      <c r="RJ23" s="1101">
        <v>0</v>
      </c>
      <c r="RK23" s="1101">
        <v>0</v>
      </c>
      <c r="RL23" s="1101">
        <v>5263846</v>
      </c>
      <c r="RM23" s="1101">
        <v>0</v>
      </c>
      <c r="RN23" s="1101">
        <v>0</v>
      </c>
      <c r="RO23" s="1101">
        <v>0</v>
      </c>
      <c r="RP23" s="1101">
        <v>0</v>
      </c>
      <c r="RQ23" s="1101">
        <v>0</v>
      </c>
      <c r="RR23" s="1101">
        <v>0</v>
      </c>
      <c r="RS23" s="1101">
        <v>0</v>
      </c>
      <c r="RT23" s="1101">
        <v>0</v>
      </c>
      <c r="RU23" s="1101">
        <v>0</v>
      </c>
      <c r="RV23" s="1101">
        <v>0</v>
      </c>
      <c r="RW23" s="1101">
        <v>0</v>
      </c>
      <c r="RX23" s="1101">
        <v>0</v>
      </c>
      <c r="RY23" s="1101">
        <v>0</v>
      </c>
      <c r="RZ23" s="1101">
        <v>0</v>
      </c>
      <c r="SA23" s="1101">
        <v>0</v>
      </c>
      <c r="SB23" s="1101">
        <v>0</v>
      </c>
      <c r="SC23" s="1101">
        <v>0</v>
      </c>
      <c r="SD23" s="1101">
        <v>0</v>
      </c>
      <c r="SE23" s="1101">
        <v>576320</v>
      </c>
      <c r="SF23" s="1101">
        <v>4372</v>
      </c>
      <c r="SG23" s="1101">
        <v>0</v>
      </c>
      <c r="SH23" s="1101">
        <v>17825</v>
      </c>
      <c r="SI23" s="1101">
        <v>0</v>
      </c>
      <c r="SJ23" s="1101">
        <v>0</v>
      </c>
      <c r="SK23" s="1101">
        <v>1784827</v>
      </c>
      <c r="SL23" s="1102">
        <v>0</v>
      </c>
      <c r="SM23" s="1101">
        <v>0</v>
      </c>
      <c r="SN23" s="1101">
        <v>8364501</v>
      </c>
      <c r="SO23" s="1102"/>
      <c r="SP23" s="1103"/>
      <c r="SQ23" s="1104">
        <v>15647140</v>
      </c>
      <c r="SR23" s="1104">
        <v>-4285619</v>
      </c>
      <c r="SS23" s="1105">
        <v>431314</v>
      </c>
      <c r="ST23" s="1106">
        <v>0</v>
      </c>
      <c r="SU23" s="1106">
        <v>0</v>
      </c>
      <c r="SV23" s="1106">
        <v>163136</v>
      </c>
      <c r="SW23" s="1106">
        <v>4067</v>
      </c>
      <c r="SX23" s="1106">
        <v>0</v>
      </c>
      <c r="SY23" s="1106">
        <v>0</v>
      </c>
      <c r="SZ23" s="1106">
        <v>0</v>
      </c>
      <c r="TA23" s="1106">
        <v>0</v>
      </c>
      <c r="TB23" s="1106">
        <v>0</v>
      </c>
      <c r="TC23" s="1105">
        <v>0</v>
      </c>
      <c r="TD23" s="1106">
        <v>0</v>
      </c>
      <c r="TE23" s="1106">
        <v>0</v>
      </c>
      <c r="TF23" s="1106">
        <v>0</v>
      </c>
      <c r="TG23" s="1106">
        <v>0</v>
      </c>
      <c r="TH23" s="1106">
        <v>0</v>
      </c>
      <c r="TI23" s="1106">
        <v>0</v>
      </c>
      <c r="TJ23" s="1106">
        <v>0</v>
      </c>
      <c r="TK23" s="1105">
        <v>0</v>
      </c>
      <c r="TL23" s="1106">
        <v>0</v>
      </c>
      <c r="TM23" s="1106">
        <v>0</v>
      </c>
      <c r="TN23" s="1106">
        <v>0</v>
      </c>
      <c r="TO23" s="1106">
        <v>0</v>
      </c>
      <c r="TP23" s="1106">
        <v>0</v>
      </c>
      <c r="TQ23" s="1106">
        <v>0</v>
      </c>
      <c r="TR23" s="1106">
        <v>0</v>
      </c>
      <c r="TS23" s="1105">
        <v>15713897</v>
      </c>
      <c r="TT23" s="1106">
        <v>36898</v>
      </c>
      <c r="TU23" s="1106">
        <v>9026</v>
      </c>
      <c r="TV23" s="1106">
        <v>4250274</v>
      </c>
      <c r="TW23" s="1106">
        <v>4390762</v>
      </c>
      <c r="TX23" s="1106">
        <v>4818785</v>
      </c>
      <c r="TY23" s="1106">
        <v>2363504</v>
      </c>
      <c r="TZ23" s="1107">
        <v>4735525</v>
      </c>
      <c r="UA23" s="1107">
        <v>2544788</v>
      </c>
      <c r="UB23" s="1105">
        <v>4818710</v>
      </c>
      <c r="UC23" s="1108">
        <v>4406832</v>
      </c>
      <c r="UD23" s="1108"/>
      <c r="UE23" s="1103"/>
      <c r="UF23" s="1109" t="s">
        <v>2424</v>
      </c>
      <c r="UG23" s="1110" t="s">
        <v>2425</v>
      </c>
      <c r="UH23" s="1110" t="s">
        <v>2426</v>
      </c>
    </row>
    <row r="24" spans="1:554" s="776" customFormat="1" ht="34.5" customHeight="1" thickBot="1">
      <c r="A24" s="1093">
        <v>223</v>
      </c>
      <c r="B24" s="1133" t="s">
        <v>271</v>
      </c>
      <c r="C24" s="1095" t="s">
        <v>320</v>
      </c>
      <c r="D24" s="1096" t="s">
        <v>2398</v>
      </c>
      <c r="E24" s="1097">
        <v>42295</v>
      </c>
      <c r="F24" s="1098">
        <v>132147268</v>
      </c>
      <c r="G24" s="1096" t="s">
        <v>2399</v>
      </c>
      <c r="H24" s="1100" t="s">
        <v>271</v>
      </c>
      <c r="I24" s="1100"/>
      <c r="J24" s="1100"/>
      <c r="K24" s="1100"/>
      <c r="L24" s="1100"/>
      <c r="M24" s="1101">
        <v>18317955</v>
      </c>
      <c r="N24" s="1101">
        <v>0</v>
      </c>
      <c r="O24" s="1101">
        <v>0</v>
      </c>
      <c r="P24" s="1101">
        <v>0</v>
      </c>
      <c r="Q24" s="1101">
        <v>0</v>
      </c>
      <c r="R24" s="1101">
        <v>0</v>
      </c>
      <c r="S24" s="1101">
        <v>0</v>
      </c>
      <c r="T24" s="1101">
        <v>0</v>
      </c>
      <c r="U24" s="1101">
        <v>0</v>
      </c>
      <c r="V24" s="1101">
        <v>460509</v>
      </c>
      <c r="W24" s="1101">
        <v>16000</v>
      </c>
      <c r="X24" s="1101">
        <v>0</v>
      </c>
      <c r="Y24" s="1101">
        <v>0</v>
      </c>
      <c r="Z24" s="1101">
        <v>0</v>
      </c>
      <c r="AA24" s="1101">
        <v>0</v>
      </c>
      <c r="AB24" s="1101">
        <v>0</v>
      </c>
      <c r="AC24" s="1101">
        <v>0</v>
      </c>
      <c r="AD24" s="1101">
        <v>0</v>
      </c>
      <c r="AE24" s="1101">
        <v>0</v>
      </c>
      <c r="AF24" s="1101">
        <v>0</v>
      </c>
      <c r="AG24" s="1101">
        <v>0</v>
      </c>
      <c r="AH24" s="1101">
        <v>0</v>
      </c>
      <c r="AI24" s="1101">
        <v>0</v>
      </c>
      <c r="AJ24" s="1101">
        <v>0</v>
      </c>
      <c r="AK24" s="1101">
        <v>0</v>
      </c>
      <c r="AL24" s="1101">
        <v>0</v>
      </c>
      <c r="AM24" s="1101">
        <v>0</v>
      </c>
      <c r="AN24" s="1101">
        <v>0</v>
      </c>
      <c r="AO24" s="1101">
        <v>0</v>
      </c>
      <c r="AP24" s="1101">
        <v>0</v>
      </c>
      <c r="AQ24" s="1101">
        <v>0</v>
      </c>
      <c r="AR24" s="1101">
        <v>0</v>
      </c>
      <c r="AS24" s="1101">
        <v>0</v>
      </c>
      <c r="AT24" s="1101">
        <v>0</v>
      </c>
      <c r="AU24" s="1101">
        <v>0</v>
      </c>
      <c r="AV24" s="1101">
        <v>0</v>
      </c>
      <c r="AW24" s="1101">
        <v>0</v>
      </c>
      <c r="AX24" s="1101">
        <v>0</v>
      </c>
      <c r="AY24" s="1101">
        <v>0</v>
      </c>
      <c r="AZ24" s="1101">
        <v>0</v>
      </c>
      <c r="BA24" s="1101">
        <v>0</v>
      </c>
      <c r="BB24" s="1101">
        <v>0</v>
      </c>
      <c r="BC24" s="1101">
        <v>0</v>
      </c>
      <c r="BD24" s="1101">
        <v>0</v>
      </c>
      <c r="BE24" s="1101">
        <v>0</v>
      </c>
      <c r="BF24" s="1101">
        <v>-861313</v>
      </c>
      <c r="BG24" s="1101">
        <v>0</v>
      </c>
      <c r="BH24" s="1101">
        <v>0</v>
      </c>
      <c r="BI24" s="1101">
        <v>0</v>
      </c>
      <c r="BJ24" s="1101">
        <v>0</v>
      </c>
      <c r="BK24" s="1101">
        <v>0</v>
      </c>
      <c r="BL24" s="1101">
        <v>0</v>
      </c>
      <c r="BM24" s="1101">
        <v>0</v>
      </c>
      <c r="BN24" s="1101">
        <v>0</v>
      </c>
      <c r="BO24" s="1101">
        <v>0</v>
      </c>
      <c r="BP24" s="1101">
        <v>0</v>
      </c>
      <c r="BQ24" s="1101">
        <v>0</v>
      </c>
      <c r="BR24" s="1101">
        <v>0</v>
      </c>
      <c r="BS24" s="1101">
        <v>0</v>
      </c>
      <c r="BT24" s="1101">
        <v>0</v>
      </c>
      <c r="BU24" s="1101">
        <v>0</v>
      </c>
      <c r="BV24" s="1101">
        <v>0</v>
      </c>
      <c r="BW24" s="1101">
        <v>0</v>
      </c>
      <c r="BX24" s="1101">
        <v>0</v>
      </c>
      <c r="BY24" s="1101">
        <v>0</v>
      </c>
      <c r="BZ24" s="1101">
        <v>0</v>
      </c>
      <c r="CA24" s="1101">
        <v>0</v>
      </c>
      <c r="CB24" s="1101">
        <v>0</v>
      </c>
      <c r="CC24" s="1101">
        <v>0</v>
      </c>
      <c r="CD24" s="1101">
        <v>0</v>
      </c>
      <c r="CE24" s="1101">
        <v>0</v>
      </c>
      <c r="CF24" s="1101">
        <v>0</v>
      </c>
      <c r="CG24" s="1101">
        <v>0</v>
      </c>
      <c r="CH24" s="1101">
        <v>0</v>
      </c>
      <c r="CI24" s="1101">
        <v>0</v>
      </c>
      <c r="CJ24" s="1101">
        <v>0</v>
      </c>
      <c r="CK24" s="1101">
        <v>0</v>
      </c>
      <c r="CL24" s="1101">
        <v>0</v>
      </c>
      <c r="CM24" s="1101">
        <v>0</v>
      </c>
      <c r="CN24" s="1101">
        <v>0</v>
      </c>
      <c r="CO24" s="1101">
        <v>0</v>
      </c>
      <c r="CP24" s="1101">
        <v>2751413</v>
      </c>
      <c r="CQ24" s="1101">
        <v>9013187</v>
      </c>
      <c r="CR24" s="1101">
        <v>0</v>
      </c>
      <c r="CS24" s="1101">
        <v>0</v>
      </c>
      <c r="CT24" s="1101">
        <v>0</v>
      </c>
      <c r="CU24" s="1101">
        <v>0</v>
      </c>
      <c r="CV24" s="1101">
        <v>0</v>
      </c>
      <c r="CW24" s="1101">
        <v>0</v>
      </c>
      <c r="CX24" s="1101">
        <v>0</v>
      </c>
      <c r="CY24" s="1101">
        <v>0</v>
      </c>
      <c r="CZ24" s="1101">
        <v>0</v>
      </c>
      <c r="DA24" s="1101">
        <v>0</v>
      </c>
      <c r="DB24" s="1101">
        <v>0</v>
      </c>
      <c r="DC24" s="1101">
        <v>0</v>
      </c>
      <c r="DD24" s="1101">
        <v>0</v>
      </c>
      <c r="DE24" s="1101">
        <v>0</v>
      </c>
      <c r="DF24" s="1101">
        <v>0</v>
      </c>
      <c r="DG24" s="1101">
        <v>0</v>
      </c>
      <c r="DH24" s="1101">
        <v>0</v>
      </c>
      <c r="DI24" s="1101">
        <v>0</v>
      </c>
      <c r="DJ24" s="1101">
        <v>0</v>
      </c>
      <c r="DK24" s="1101">
        <v>0</v>
      </c>
      <c r="DL24" s="1101">
        <v>0</v>
      </c>
      <c r="DM24" s="1101">
        <v>0</v>
      </c>
      <c r="DN24" s="1101">
        <v>0</v>
      </c>
      <c r="DO24" s="1101">
        <v>0</v>
      </c>
      <c r="DP24" s="1101">
        <v>0</v>
      </c>
      <c r="DQ24" s="1101">
        <v>-261357</v>
      </c>
      <c r="DR24" s="1101">
        <v>-1306303</v>
      </c>
      <c r="DS24" s="1101">
        <v>0</v>
      </c>
      <c r="DT24" s="1101">
        <v>0</v>
      </c>
      <c r="DU24" s="1101">
        <v>0</v>
      </c>
      <c r="DV24" s="1101">
        <v>0</v>
      </c>
      <c r="DW24" s="1101">
        <v>0</v>
      </c>
      <c r="DX24" s="1101">
        <v>0</v>
      </c>
      <c r="DY24" s="1101">
        <v>0</v>
      </c>
      <c r="DZ24" s="1101">
        <v>0</v>
      </c>
      <c r="EA24" s="1101">
        <v>0</v>
      </c>
      <c r="EB24" s="1101">
        <v>0</v>
      </c>
      <c r="EC24" s="1101">
        <v>0</v>
      </c>
      <c r="ED24" s="1101">
        <v>0</v>
      </c>
      <c r="EE24" s="1101">
        <v>0</v>
      </c>
      <c r="EF24" s="1101">
        <v>0</v>
      </c>
      <c r="EG24" s="1101">
        <v>0</v>
      </c>
      <c r="EH24" s="1101">
        <v>0</v>
      </c>
      <c r="EI24" s="1101">
        <v>-437764</v>
      </c>
      <c r="EJ24" s="1101">
        <v>-983908</v>
      </c>
      <c r="EK24" s="1101">
        <v>0</v>
      </c>
      <c r="EL24" s="1101">
        <v>0</v>
      </c>
      <c r="EM24" s="1101">
        <v>0</v>
      </c>
      <c r="EN24" s="1101">
        <v>0</v>
      </c>
      <c r="EO24" s="1101">
        <v>0</v>
      </c>
      <c r="EP24" s="1101">
        <v>0</v>
      </c>
      <c r="EQ24" s="1101">
        <v>0</v>
      </c>
      <c r="ER24" s="1101">
        <v>0</v>
      </c>
      <c r="ES24" s="1101">
        <v>0</v>
      </c>
      <c r="ET24" s="1101">
        <v>0</v>
      </c>
      <c r="EU24" s="1101">
        <v>0</v>
      </c>
      <c r="EV24" s="1101">
        <v>0</v>
      </c>
      <c r="EW24" s="1101">
        <v>0</v>
      </c>
      <c r="EX24" s="1101">
        <v>0</v>
      </c>
      <c r="EY24" s="1101">
        <v>0</v>
      </c>
      <c r="EZ24" s="1101">
        <v>0</v>
      </c>
      <c r="FA24" s="1101">
        <v>0</v>
      </c>
      <c r="FB24" s="1101">
        <v>0</v>
      </c>
      <c r="FC24" s="1101">
        <v>0</v>
      </c>
      <c r="FD24" s="1101">
        <v>0</v>
      </c>
      <c r="FE24" s="1101">
        <v>0</v>
      </c>
      <c r="FF24" s="1101">
        <v>0</v>
      </c>
      <c r="FG24" s="1101">
        <v>0</v>
      </c>
      <c r="FH24" s="1101">
        <v>0</v>
      </c>
      <c r="FI24" s="1101">
        <v>0</v>
      </c>
      <c r="FJ24" s="1101">
        <v>0</v>
      </c>
      <c r="FK24" s="1101">
        <v>0</v>
      </c>
      <c r="FL24" s="1101">
        <v>0</v>
      </c>
      <c r="FM24" s="1101">
        <v>0</v>
      </c>
      <c r="FN24" s="1101">
        <v>0</v>
      </c>
      <c r="FO24" s="1101">
        <v>0</v>
      </c>
      <c r="FP24" s="1101">
        <v>0</v>
      </c>
      <c r="FQ24" s="1101">
        <v>0</v>
      </c>
      <c r="FR24" s="1101">
        <v>0</v>
      </c>
      <c r="FS24" s="1101">
        <v>0</v>
      </c>
      <c r="FT24" s="1101">
        <v>0</v>
      </c>
      <c r="FU24" s="1101">
        <v>0</v>
      </c>
      <c r="FV24" s="1101">
        <v>0</v>
      </c>
      <c r="FW24" s="1101">
        <v>0</v>
      </c>
      <c r="FX24" s="1101">
        <v>0</v>
      </c>
      <c r="FY24" s="1101">
        <v>0</v>
      </c>
      <c r="FZ24" s="1101">
        <v>0</v>
      </c>
      <c r="GA24" s="1101">
        <v>0</v>
      </c>
      <c r="GB24" s="1101">
        <v>28961</v>
      </c>
      <c r="GC24" s="1101">
        <v>5178483</v>
      </c>
      <c r="GD24" s="1101">
        <v>0</v>
      </c>
      <c r="GE24" s="1101">
        <v>875</v>
      </c>
      <c r="GF24" s="1101">
        <v>0</v>
      </c>
      <c r="GG24" s="1101">
        <v>0</v>
      </c>
      <c r="GH24" s="1101">
        <v>0</v>
      </c>
      <c r="GI24" s="1101">
        <v>0</v>
      </c>
      <c r="GJ24" s="1101">
        <v>0</v>
      </c>
      <c r="GK24" s="1101">
        <v>0</v>
      </c>
      <c r="GL24" s="1101">
        <v>0</v>
      </c>
      <c r="GM24" s="1101">
        <v>0</v>
      </c>
      <c r="GN24" s="1101">
        <v>0</v>
      </c>
      <c r="GO24" s="1101">
        <v>0</v>
      </c>
      <c r="GP24" s="1101">
        <v>0</v>
      </c>
      <c r="GQ24" s="1101">
        <v>0</v>
      </c>
      <c r="GR24" s="1101">
        <v>0</v>
      </c>
      <c r="GS24" s="1101">
        <v>0</v>
      </c>
      <c r="GT24" s="1101">
        <v>0</v>
      </c>
      <c r="GU24" s="1101">
        <v>0</v>
      </c>
      <c r="GV24" s="1101">
        <v>0</v>
      </c>
      <c r="GW24" s="1101">
        <v>0</v>
      </c>
      <c r="GX24" s="1101">
        <v>0</v>
      </c>
      <c r="GY24" s="1101">
        <v>0</v>
      </c>
      <c r="GZ24" s="1101">
        <v>0</v>
      </c>
      <c r="HA24" s="1101">
        <v>0</v>
      </c>
      <c r="HB24" s="1101">
        <v>0</v>
      </c>
      <c r="HC24" s="1101">
        <v>0</v>
      </c>
      <c r="HD24" s="1101">
        <v>0</v>
      </c>
      <c r="HE24" s="1101">
        <v>0</v>
      </c>
      <c r="HF24" s="1101">
        <v>0</v>
      </c>
      <c r="HG24" s="1101">
        <v>0</v>
      </c>
      <c r="HH24" s="1101">
        <v>0</v>
      </c>
      <c r="HI24" s="1101">
        <v>0</v>
      </c>
      <c r="HJ24" s="1101">
        <v>0</v>
      </c>
      <c r="HK24" s="1101">
        <v>0</v>
      </c>
      <c r="HL24" s="1101">
        <v>0</v>
      </c>
      <c r="HM24" s="1101">
        <v>0</v>
      </c>
      <c r="HN24" s="1101">
        <v>0</v>
      </c>
      <c r="HO24" s="1101">
        <v>0</v>
      </c>
      <c r="HP24" s="1101">
        <v>0</v>
      </c>
      <c r="HQ24" s="1101">
        <v>0</v>
      </c>
      <c r="HR24" s="1101">
        <v>0</v>
      </c>
      <c r="HS24" s="1101">
        <v>0</v>
      </c>
      <c r="HT24" s="1101">
        <v>0</v>
      </c>
      <c r="HU24" s="1101">
        <v>-7359</v>
      </c>
      <c r="HV24" s="1101">
        <v>-1315829</v>
      </c>
      <c r="HW24" s="1101">
        <v>0</v>
      </c>
      <c r="HX24" s="1101">
        <v>0</v>
      </c>
      <c r="HY24" s="1101">
        <v>0</v>
      </c>
      <c r="HZ24" s="1101">
        <v>0</v>
      </c>
      <c r="IA24" s="1101">
        <v>0</v>
      </c>
      <c r="IB24" s="1101">
        <v>0</v>
      </c>
      <c r="IC24" s="1101">
        <v>0</v>
      </c>
      <c r="ID24" s="1101">
        <v>0</v>
      </c>
      <c r="IE24" s="1101">
        <v>38118</v>
      </c>
      <c r="IF24" s="1101">
        <v>0</v>
      </c>
      <c r="IG24" s="1101">
        <v>8092176</v>
      </c>
      <c r="IH24" s="1101">
        <v>0</v>
      </c>
      <c r="II24" s="1101">
        <v>0</v>
      </c>
      <c r="IJ24" s="1101">
        <v>0</v>
      </c>
      <c r="IK24" s="1101">
        <v>0</v>
      </c>
      <c r="IL24" s="1101">
        <v>0</v>
      </c>
      <c r="IM24" s="1101">
        <v>9927</v>
      </c>
      <c r="IN24" s="1101">
        <v>1000824</v>
      </c>
      <c r="IO24" s="1101">
        <v>0</v>
      </c>
      <c r="IP24" s="1101">
        <v>3557</v>
      </c>
      <c r="IQ24" s="1101">
        <v>0</v>
      </c>
      <c r="IR24" s="1101">
        <v>0</v>
      </c>
      <c r="IS24" s="1101">
        <v>0</v>
      </c>
      <c r="IT24" s="1101">
        <v>0</v>
      </c>
      <c r="IU24" s="1101">
        <v>0</v>
      </c>
      <c r="IV24" s="1101">
        <v>0</v>
      </c>
      <c r="IW24" s="1101">
        <v>0</v>
      </c>
      <c r="IX24" s="1101">
        <v>0</v>
      </c>
      <c r="IY24" s="1101">
        <v>0</v>
      </c>
      <c r="IZ24" s="1101">
        <v>0</v>
      </c>
      <c r="JA24" s="1101">
        <v>0</v>
      </c>
      <c r="JB24" s="1101">
        <v>0</v>
      </c>
      <c r="JC24" s="1101">
        <v>0</v>
      </c>
      <c r="JD24" s="1101">
        <v>0</v>
      </c>
      <c r="JE24" s="1101">
        <v>0</v>
      </c>
      <c r="JF24" s="1101">
        <v>470652</v>
      </c>
      <c r="JG24" s="1101">
        <v>0</v>
      </c>
      <c r="JH24" s="1101">
        <v>159863</v>
      </c>
      <c r="JI24" s="1101">
        <v>0</v>
      </c>
      <c r="JJ24" s="1101">
        <v>0</v>
      </c>
      <c r="JK24" s="1101">
        <v>0</v>
      </c>
      <c r="JL24" s="1101">
        <v>0</v>
      </c>
      <c r="JM24" s="1101">
        <v>0</v>
      </c>
      <c r="JN24" s="1101">
        <v>0</v>
      </c>
      <c r="JO24" s="1101">
        <v>158298</v>
      </c>
      <c r="JP24" s="1101">
        <v>0</v>
      </c>
      <c r="JQ24" s="1101">
        <v>102584</v>
      </c>
      <c r="JR24" s="1101">
        <v>0</v>
      </c>
      <c r="JS24" s="1101">
        <v>0</v>
      </c>
      <c r="JT24" s="1101">
        <v>0</v>
      </c>
      <c r="JU24" s="1101">
        <v>0</v>
      </c>
      <c r="JV24" s="1101">
        <v>0</v>
      </c>
      <c r="JW24" s="1101">
        <v>0</v>
      </c>
      <c r="JX24" s="1101">
        <v>0</v>
      </c>
      <c r="JY24" s="1101">
        <v>50756</v>
      </c>
      <c r="JZ24" s="1101">
        <v>0</v>
      </c>
      <c r="KA24" s="1101">
        <v>0</v>
      </c>
      <c r="KB24" s="1101">
        <v>0</v>
      </c>
      <c r="KC24" s="1101">
        <v>0</v>
      </c>
      <c r="KD24" s="1101">
        <v>0</v>
      </c>
      <c r="KE24" s="1101">
        <v>0</v>
      </c>
      <c r="KF24" s="1101">
        <v>691</v>
      </c>
      <c r="KG24" s="1101">
        <v>1378362</v>
      </c>
      <c r="KH24" s="1101">
        <v>1390</v>
      </c>
      <c r="KI24" s="1101">
        <v>-1218435</v>
      </c>
      <c r="KJ24" s="1101">
        <v>1676</v>
      </c>
      <c r="KK24" s="1101">
        <v>0</v>
      </c>
      <c r="KL24" s="1101">
        <v>0</v>
      </c>
      <c r="KM24" s="1101">
        <v>0</v>
      </c>
      <c r="KN24" s="1101">
        <v>0</v>
      </c>
      <c r="KO24" s="1101">
        <v>7546776</v>
      </c>
      <c r="KP24" s="1101">
        <v>3271834</v>
      </c>
      <c r="KQ24" s="1101">
        <v>0</v>
      </c>
      <c r="KR24" s="1101">
        <v>30911</v>
      </c>
      <c r="KS24" s="1101">
        <v>0</v>
      </c>
      <c r="KT24" s="1101">
        <v>0</v>
      </c>
      <c r="KU24" s="1101">
        <v>0</v>
      </c>
      <c r="KV24" s="1101">
        <v>0</v>
      </c>
      <c r="KW24" s="1101">
        <v>0</v>
      </c>
      <c r="KX24" s="1101">
        <v>292920</v>
      </c>
      <c r="KY24" s="1101">
        <v>131619</v>
      </c>
      <c r="KZ24" s="1101">
        <v>0</v>
      </c>
      <c r="LA24" s="1101">
        <v>697095</v>
      </c>
      <c r="LB24" s="1101">
        <v>0</v>
      </c>
      <c r="LC24" s="1101">
        <v>0</v>
      </c>
      <c r="LD24" s="1101">
        <v>0</v>
      </c>
      <c r="LE24" s="1101">
        <v>0</v>
      </c>
      <c r="LF24" s="1101">
        <v>0</v>
      </c>
      <c r="LG24" s="1101">
        <v>0</v>
      </c>
      <c r="LH24" s="1101">
        <v>5839</v>
      </c>
      <c r="LI24" s="1101">
        <v>0</v>
      </c>
      <c r="LJ24" s="1101">
        <v>16595</v>
      </c>
      <c r="LK24" s="1101">
        <v>0</v>
      </c>
      <c r="LL24" s="1101">
        <v>0</v>
      </c>
      <c r="LM24" s="1101">
        <v>0</v>
      </c>
      <c r="LN24" s="1101">
        <v>0</v>
      </c>
      <c r="LO24" s="1101">
        <v>0</v>
      </c>
      <c r="LP24" s="1101">
        <v>2531158</v>
      </c>
      <c r="LQ24" s="1101">
        <v>3172485</v>
      </c>
      <c r="LR24" s="1101">
        <v>0</v>
      </c>
      <c r="LS24" s="1101">
        <v>46801</v>
      </c>
      <c r="LT24" s="1101">
        <v>0</v>
      </c>
      <c r="LU24" s="1101">
        <v>0</v>
      </c>
      <c r="LV24" s="1101">
        <v>0</v>
      </c>
      <c r="LW24" s="1101">
        <v>0</v>
      </c>
      <c r="LX24" s="1101">
        <v>0</v>
      </c>
      <c r="LY24" s="1101">
        <v>1895827</v>
      </c>
      <c r="LZ24" s="1101">
        <v>3383225</v>
      </c>
      <c r="MA24" s="1101">
        <v>0</v>
      </c>
      <c r="MB24" s="1101">
        <v>429287</v>
      </c>
      <c r="MC24" s="1101">
        <v>-3381</v>
      </c>
      <c r="MD24" s="1101">
        <v>0</v>
      </c>
      <c r="ME24" s="1101">
        <v>0</v>
      </c>
      <c r="MF24" s="1101">
        <v>0</v>
      </c>
      <c r="MG24" s="1101">
        <v>0</v>
      </c>
      <c r="MH24" s="1101">
        <v>2375218</v>
      </c>
      <c r="MI24" s="1101">
        <v>1220675</v>
      </c>
      <c r="MJ24" s="1101">
        <v>0</v>
      </c>
      <c r="MK24" s="1101">
        <v>655622</v>
      </c>
      <c r="ML24" s="1101">
        <v>0</v>
      </c>
      <c r="MM24" s="1101">
        <v>0</v>
      </c>
      <c r="MN24" s="1101">
        <v>0</v>
      </c>
      <c r="MO24" s="1101">
        <v>0</v>
      </c>
      <c r="MP24" s="1101">
        <v>0</v>
      </c>
      <c r="MQ24" s="1101">
        <v>1757140</v>
      </c>
      <c r="MR24" s="1101">
        <v>572768</v>
      </c>
      <c r="MS24" s="1101">
        <v>0</v>
      </c>
      <c r="MT24" s="1101">
        <v>0</v>
      </c>
      <c r="MU24" s="1101">
        <v>0</v>
      </c>
      <c r="MV24" s="1101">
        <v>0</v>
      </c>
      <c r="MW24" s="1101">
        <v>0</v>
      </c>
      <c r="MX24" s="1101">
        <v>0</v>
      </c>
      <c r="MY24" s="1101">
        <v>0</v>
      </c>
      <c r="MZ24" s="1101">
        <v>422953</v>
      </c>
      <c r="NA24" s="1101">
        <v>1779640</v>
      </c>
      <c r="NB24" s="1101">
        <v>0</v>
      </c>
      <c r="NC24" s="1101">
        <v>1626205</v>
      </c>
      <c r="ND24" s="1101">
        <v>0</v>
      </c>
      <c r="NE24" s="1101">
        <v>0</v>
      </c>
      <c r="NF24" s="1101">
        <v>0</v>
      </c>
      <c r="NG24" s="1101">
        <v>0</v>
      </c>
      <c r="NH24" s="1101">
        <v>0</v>
      </c>
      <c r="NI24" s="1101">
        <v>0</v>
      </c>
      <c r="NJ24" s="1101">
        <v>0</v>
      </c>
      <c r="NK24" s="1101">
        <v>148590</v>
      </c>
      <c r="NL24" s="1101">
        <v>0</v>
      </c>
      <c r="NM24" s="1101">
        <v>0</v>
      </c>
      <c r="NN24" s="1101">
        <v>0</v>
      </c>
      <c r="NO24" s="1101">
        <v>0</v>
      </c>
      <c r="NP24" s="1101">
        <v>0</v>
      </c>
      <c r="NQ24" s="1101">
        <v>0</v>
      </c>
      <c r="NR24" s="1101">
        <v>104055</v>
      </c>
      <c r="NS24" s="1101">
        <v>100560</v>
      </c>
      <c r="NT24" s="1101">
        <v>0</v>
      </c>
      <c r="NU24" s="1101">
        <v>52612</v>
      </c>
      <c r="NV24" s="1101">
        <v>0</v>
      </c>
      <c r="NW24" s="1101">
        <v>0</v>
      </c>
      <c r="NX24" s="1101">
        <v>0</v>
      </c>
      <c r="NY24" s="1101">
        <v>0</v>
      </c>
      <c r="NZ24" s="1101">
        <v>0</v>
      </c>
      <c r="OA24" s="1101">
        <v>0</v>
      </c>
      <c r="OB24" s="1101">
        <v>120512</v>
      </c>
      <c r="OC24" s="1101">
        <v>0</v>
      </c>
      <c r="OD24" s="1101">
        <v>0</v>
      </c>
      <c r="OE24" s="1101">
        <v>0</v>
      </c>
      <c r="OF24" s="1101">
        <v>0</v>
      </c>
      <c r="OG24" s="1101">
        <v>0</v>
      </c>
      <c r="OH24" s="1101">
        <v>0</v>
      </c>
      <c r="OI24" s="1101">
        <v>1010461</v>
      </c>
      <c r="OJ24" s="1101">
        <v>0</v>
      </c>
      <c r="OK24" s="1101">
        <v>0</v>
      </c>
      <c r="OL24" s="1101">
        <v>0</v>
      </c>
      <c r="OM24" s="1101">
        <v>0</v>
      </c>
      <c r="ON24" s="1101">
        <v>0</v>
      </c>
      <c r="OO24" s="1101">
        <v>0</v>
      </c>
      <c r="OP24" s="1101">
        <v>0</v>
      </c>
      <c r="OQ24" s="1101">
        <v>0</v>
      </c>
      <c r="OR24" s="1101">
        <v>0</v>
      </c>
      <c r="OS24" s="1101">
        <v>82352</v>
      </c>
      <c r="OT24" s="1101">
        <v>4686415</v>
      </c>
      <c r="OU24" s="1101">
        <v>96655</v>
      </c>
      <c r="OV24" s="1101">
        <v>-2740052</v>
      </c>
      <c r="OW24" s="1101">
        <v>0</v>
      </c>
      <c r="OX24" s="1101">
        <v>46662</v>
      </c>
      <c r="OY24" s="1101">
        <v>0</v>
      </c>
      <c r="OZ24" s="1101">
        <v>0</v>
      </c>
      <c r="PA24" s="1101">
        <v>0</v>
      </c>
      <c r="PB24" s="1101">
        <v>0</v>
      </c>
      <c r="PC24" s="1101">
        <v>0</v>
      </c>
      <c r="PD24" s="1101">
        <v>0</v>
      </c>
      <c r="PE24" s="1101">
        <v>0</v>
      </c>
      <c r="PF24" s="1101">
        <v>0</v>
      </c>
      <c r="PG24" s="1101">
        <v>0</v>
      </c>
      <c r="PH24" s="1101">
        <v>0</v>
      </c>
      <c r="PI24" s="1101">
        <v>0</v>
      </c>
      <c r="PJ24" s="1101">
        <v>0</v>
      </c>
      <c r="PK24" s="1101">
        <v>-4539061</v>
      </c>
      <c r="PL24" s="1101">
        <v>0</v>
      </c>
      <c r="PM24" s="1101">
        <v>0</v>
      </c>
      <c r="PN24" s="1101">
        <v>0</v>
      </c>
      <c r="PO24" s="1101">
        <v>0</v>
      </c>
      <c r="PP24" s="1101">
        <v>0</v>
      </c>
      <c r="PQ24" s="1101">
        <v>0</v>
      </c>
      <c r="PR24" s="1101">
        <v>0</v>
      </c>
      <c r="PS24" s="1101">
        <v>0</v>
      </c>
      <c r="PT24" s="1101">
        <v>308628</v>
      </c>
      <c r="PU24" s="1101">
        <v>2073883</v>
      </c>
      <c r="PV24" s="1101">
        <v>0</v>
      </c>
      <c r="PW24" s="1101">
        <v>0</v>
      </c>
      <c r="PX24" s="1101">
        <v>0</v>
      </c>
      <c r="PY24" s="1101">
        <v>162381</v>
      </c>
      <c r="PZ24" s="1101">
        <v>0</v>
      </c>
      <c r="QA24" s="1101">
        <v>0</v>
      </c>
      <c r="QB24" s="1101">
        <v>0</v>
      </c>
      <c r="QC24" s="1101">
        <v>0</v>
      </c>
      <c r="QD24" s="1101">
        <v>0</v>
      </c>
      <c r="QE24" s="1101">
        <v>0</v>
      </c>
      <c r="QF24" s="1101">
        <v>0</v>
      </c>
      <c r="QG24" s="1101">
        <v>0</v>
      </c>
      <c r="QH24" s="1101">
        <v>33210</v>
      </c>
      <c r="QI24" s="1101">
        <v>0</v>
      </c>
      <c r="QJ24" s="1101">
        <v>0</v>
      </c>
      <c r="QK24" s="1101">
        <v>0</v>
      </c>
      <c r="QL24" s="1101">
        <v>0</v>
      </c>
      <c r="QM24" s="1101">
        <v>0</v>
      </c>
      <c r="QN24" s="1101">
        <v>0</v>
      </c>
      <c r="QO24" s="1101">
        <v>0</v>
      </c>
      <c r="QP24" s="1101">
        <v>0</v>
      </c>
      <c r="QQ24" s="1101">
        <v>0</v>
      </c>
      <c r="QR24" s="1101">
        <v>0</v>
      </c>
      <c r="QS24" s="1101">
        <v>0</v>
      </c>
      <c r="QT24" s="1101">
        <v>0</v>
      </c>
      <c r="QU24" s="1101">
        <v>0</v>
      </c>
      <c r="QV24" s="1101">
        <v>0</v>
      </c>
      <c r="QW24" s="1101">
        <v>0</v>
      </c>
      <c r="QX24" s="1101">
        <v>0</v>
      </c>
      <c r="QY24" s="1101">
        <v>0</v>
      </c>
      <c r="QZ24" s="1101">
        <v>0</v>
      </c>
      <c r="RA24" s="1101">
        <v>0</v>
      </c>
      <c r="RB24" s="1101">
        <v>0</v>
      </c>
      <c r="RC24" s="1101">
        <v>-5769238</v>
      </c>
      <c r="RD24" s="1101">
        <v>0</v>
      </c>
      <c r="RE24" s="1101">
        <v>0</v>
      </c>
      <c r="RF24" s="1101">
        <v>0</v>
      </c>
      <c r="RG24" s="1101">
        <v>0</v>
      </c>
      <c r="RH24" s="1101">
        <v>0</v>
      </c>
      <c r="RI24" s="1101">
        <v>0</v>
      </c>
      <c r="RJ24" s="1101">
        <v>0</v>
      </c>
      <c r="RK24" s="1101">
        <v>0</v>
      </c>
      <c r="RL24" s="1101">
        <v>3242341</v>
      </c>
      <c r="RM24" s="1101">
        <v>0</v>
      </c>
      <c r="RN24" s="1101">
        <v>0</v>
      </c>
      <c r="RO24" s="1101">
        <v>0</v>
      </c>
      <c r="RP24" s="1101">
        <v>0</v>
      </c>
      <c r="RQ24" s="1101">
        <v>0</v>
      </c>
      <c r="RR24" s="1101">
        <v>0</v>
      </c>
      <c r="RS24" s="1101">
        <v>0</v>
      </c>
      <c r="RT24" s="1101">
        <v>0</v>
      </c>
      <c r="RU24" s="1101">
        <v>0</v>
      </c>
      <c r="RV24" s="1101">
        <v>0</v>
      </c>
      <c r="RW24" s="1101">
        <v>0</v>
      </c>
      <c r="RX24" s="1101">
        <v>0</v>
      </c>
      <c r="RY24" s="1101">
        <v>0</v>
      </c>
      <c r="RZ24" s="1101">
        <v>0</v>
      </c>
      <c r="SA24" s="1101">
        <v>0</v>
      </c>
      <c r="SB24" s="1101">
        <v>0</v>
      </c>
      <c r="SC24" s="1101">
        <v>0</v>
      </c>
      <c r="SD24" s="1101">
        <v>1677</v>
      </c>
      <c r="SE24" s="1101">
        <v>104055</v>
      </c>
      <c r="SF24" s="1101">
        <v>100560</v>
      </c>
      <c r="SG24" s="1101">
        <v>0</v>
      </c>
      <c r="SH24" s="1101">
        <v>52612</v>
      </c>
      <c r="SI24" s="1101">
        <v>0</v>
      </c>
      <c r="SJ24" s="1101">
        <v>0</v>
      </c>
      <c r="SK24" s="1101">
        <v>0</v>
      </c>
      <c r="SL24" s="1102">
        <v>0</v>
      </c>
      <c r="SM24" s="1101">
        <v>0</v>
      </c>
      <c r="SN24" s="1101">
        <v>4252380</v>
      </c>
      <c r="SO24" s="1102"/>
      <c r="SP24" s="1103"/>
      <c r="SQ24" s="1104">
        <v>16972919</v>
      </c>
      <c r="SR24" s="1104">
        <v>-4312520</v>
      </c>
      <c r="SS24" s="1105">
        <v>3932</v>
      </c>
      <c r="ST24" s="1106">
        <v>47460</v>
      </c>
      <c r="SU24" s="1106">
        <v>0</v>
      </c>
      <c r="SV24" s="1106">
        <v>157264</v>
      </c>
      <c r="SW24" s="1106">
        <v>43419</v>
      </c>
      <c r="SX24" s="1106">
        <v>5152</v>
      </c>
      <c r="SY24" s="1106">
        <v>0</v>
      </c>
      <c r="SZ24" s="1106">
        <v>0</v>
      </c>
      <c r="TA24" s="1106">
        <v>0</v>
      </c>
      <c r="TB24" s="1106">
        <v>0</v>
      </c>
      <c r="TC24" s="1105">
        <v>0</v>
      </c>
      <c r="TD24" s="1106">
        <v>256931</v>
      </c>
      <c r="TE24" s="1106">
        <v>0</v>
      </c>
      <c r="TF24" s="1106">
        <v>0</v>
      </c>
      <c r="TG24" s="1106">
        <v>0</v>
      </c>
      <c r="TH24" s="1106">
        <v>0</v>
      </c>
      <c r="TI24" s="1106">
        <v>0</v>
      </c>
      <c r="TJ24" s="1106">
        <v>0</v>
      </c>
      <c r="TK24" s="1105">
        <v>0</v>
      </c>
      <c r="TL24" s="1106">
        <v>0</v>
      </c>
      <c r="TM24" s="1106">
        <v>0</v>
      </c>
      <c r="TN24" s="1106">
        <v>0</v>
      </c>
      <c r="TO24" s="1106">
        <v>0</v>
      </c>
      <c r="TP24" s="1106">
        <v>0</v>
      </c>
      <c r="TQ24" s="1106">
        <v>0</v>
      </c>
      <c r="TR24" s="1106">
        <v>0</v>
      </c>
      <c r="TS24" s="1105">
        <v>10849521</v>
      </c>
      <c r="TT24" s="1106">
        <v>1121634</v>
      </c>
      <c r="TU24" s="1106">
        <v>22434</v>
      </c>
      <c r="TV24" s="1106">
        <v>5750444</v>
      </c>
      <c r="TW24" s="1106">
        <v>5704958</v>
      </c>
      <c r="TX24" s="1106">
        <v>4251515</v>
      </c>
      <c r="TY24" s="1106">
        <v>2329908</v>
      </c>
      <c r="TZ24" s="1107">
        <v>3828798</v>
      </c>
      <c r="UA24" s="1107">
        <v>148590</v>
      </c>
      <c r="UB24" s="1105">
        <v>3942271</v>
      </c>
      <c r="UC24" s="1108">
        <v>2544892</v>
      </c>
      <c r="UD24" s="1108"/>
      <c r="UE24" s="1103"/>
      <c r="UF24" s="1109" t="s">
        <v>2424</v>
      </c>
      <c r="UG24" s="1110" t="s">
        <v>2425</v>
      </c>
      <c r="UH24" s="1110" t="s">
        <v>2426</v>
      </c>
    </row>
    <row r="25" spans="1:554" s="776" customFormat="1" ht="33" customHeight="1" thickBot="1">
      <c r="A25" s="1093">
        <v>226</v>
      </c>
      <c r="B25" s="1133" t="s">
        <v>272</v>
      </c>
      <c r="C25" s="1095" t="s">
        <v>321</v>
      </c>
      <c r="D25" s="1096" t="s">
        <v>2398</v>
      </c>
      <c r="E25" s="1097">
        <v>42485</v>
      </c>
      <c r="F25" s="1098">
        <v>391996292</v>
      </c>
      <c r="G25" s="1096" t="s">
        <v>2399</v>
      </c>
      <c r="H25" s="1100" t="s">
        <v>272</v>
      </c>
      <c r="I25" s="1100"/>
      <c r="J25" s="1100"/>
      <c r="K25" s="1100"/>
      <c r="L25" s="1100"/>
      <c r="M25" s="1101">
        <v>35219375</v>
      </c>
      <c r="N25" s="1101">
        <v>0</v>
      </c>
      <c r="O25" s="1101">
        <v>0</v>
      </c>
      <c r="P25" s="1101">
        <v>0</v>
      </c>
      <c r="Q25" s="1101">
        <v>0</v>
      </c>
      <c r="R25" s="1101">
        <v>0</v>
      </c>
      <c r="S25" s="1101">
        <v>0</v>
      </c>
      <c r="T25" s="1101">
        <v>0</v>
      </c>
      <c r="U25" s="1101">
        <v>0</v>
      </c>
      <c r="V25" s="1101">
        <v>42587</v>
      </c>
      <c r="W25" s="1101">
        <v>43000</v>
      </c>
      <c r="X25" s="1101">
        <v>0</v>
      </c>
      <c r="Y25" s="1101">
        <v>2781727</v>
      </c>
      <c r="Z25" s="1101">
        <v>0</v>
      </c>
      <c r="AA25" s="1101">
        <v>0</v>
      </c>
      <c r="AB25" s="1101">
        <v>0</v>
      </c>
      <c r="AC25" s="1101">
        <v>0</v>
      </c>
      <c r="AD25" s="1101">
        <v>0</v>
      </c>
      <c r="AE25" s="1101">
        <v>0</v>
      </c>
      <c r="AF25" s="1101">
        <v>0</v>
      </c>
      <c r="AG25" s="1101">
        <v>0</v>
      </c>
      <c r="AH25" s="1101">
        <v>0</v>
      </c>
      <c r="AI25" s="1101">
        <v>0</v>
      </c>
      <c r="AJ25" s="1101">
        <v>0</v>
      </c>
      <c r="AK25" s="1101">
        <v>0</v>
      </c>
      <c r="AL25" s="1101">
        <v>0</v>
      </c>
      <c r="AM25" s="1101">
        <v>0</v>
      </c>
      <c r="AN25" s="1101">
        <v>0</v>
      </c>
      <c r="AO25" s="1101">
        <v>0</v>
      </c>
      <c r="AP25" s="1101">
        <v>0</v>
      </c>
      <c r="AQ25" s="1101">
        <v>0</v>
      </c>
      <c r="AR25" s="1101">
        <v>0</v>
      </c>
      <c r="AS25" s="1101">
        <v>0</v>
      </c>
      <c r="AT25" s="1101">
        <v>0</v>
      </c>
      <c r="AU25" s="1101">
        <v>0</v>
      </c>
      <c r="AV25" s="1101">
        <v>0</v>
      </c>
      <c r="AW25" s="1101">
        <v>0</v>
      </c>
      <c r="AX25" s="1101">
        <v>0</v>
      </c>
      <c r="AY25" s="1101">
        <v>0</v>
      </c>
      <c r="AZ25" s="1101">
        <v>0</v>
      </c>
      <c r="BA25" s="1101">
        <v>0</v>
      </c>
      <c r="BB25" s="1101">
        <v>0</v>
      </c>
      <c r="BC25" s="1101">
        <v>0</v>
      </c>
      <c r="BD25" s="1101">
        <v>0</v>
      </c>
      <c r="BE25" s="1101">
        <v>0</v>
      </c>
      <c r="BF25" s="1101">
        <v>-249081</v>
      </c>
      <c r="BG25" s="1101">
        <v>0</v>
      </c>
      <c r="BH25" s="1101">
        <v>0</v>
      </c>
      <c r="BI25" s="1101">
        <v>0</v>
      </c>
      <c r="BJ25" s="1101">
        <v>0</v>
      </c>
      <c r="BK25" s="1101">
        <v>0</v>
      </c>
      <c r="BL25" s="1101">
        <v>0</v>
      </c>
      <c r="BM25" s="1101">
        <v>0</v>
      </c>
      <c r="BN25" s="1101">
        <v>0</v>
      </c>
      <c r="BO25" s="1101">
        <v>0</v>
      </c>
      <c r="BP25" s="1101">
        <v>0</v>
      </c>
      <c r="BQ25" s="1101">
        <v>0</v>
      </c>
      <c r="BR25" s="1101">
        <v>0</v>
      </c>
      <c r="BS25" s="1101">
        <v>0</v>
      </c>
      <c r="BT25" s="1101">
        <v>0</v>
      </c>
      <c r="BU25" s="1101">
        <v>0</v>
      </c>
      <c r="BV25" s="1101">
        <v>0</v>
      </c>
      <c r="BW25" s="1101">
        <v>0</v>
      </c>
      <c r="BX25" s="1101">
        <v>0</v>
      </c>
      <c r="BY25" s="1101">
        <v>0</v>
      </c>
      <c r="BZ25" s="1101">
        <v>0</v>
      </c>
      <c r="CA25" s="1101">
        <v>0</v>
      </c>
      <c r="CB25" s="1101">
        <v>0</v>
      </c>
      <c r="CC25" s="1101">
        <v>0</v>
      </c>
      <c r="CD25" s="1101">
        <v>0</v>
      </c>
      <c r="CE25" s="1101">
        <v>0</v>
      </c>
      <c r="CF25" s="1101">
        <v>0</v>
      </c>
      <c r="CG25" s="1101">
        <v>0</v>
      </c>
      <c r="CH25" s="1101">
        <v>0</v>
      </c>
      <c r="CI25" s="1101">
        <v>0</v>
      </c>
      <c r="CJ25" s="1101">
        <v>0</v>
      </c>
      <c r="CK25" s="1101">
        <v>0</v>
      </c>
      <c r="CL25" s="1101">
        <v>0</v>
      </c>
      <c r="CM25" s="1101">
        <v>0</v>
      </c>
      <c r="CN25" s="1101">
        <v>0</v>
      </c>
      <c r="CO25" s="1101">
        <v>0</v>
      </c>
      <c r="CP25" s="1101">
        <v>8212430</v>
      </c>
      <c r="CQ25" s="1101">
        <v>15759650</v>
      </c>
      <c r="CR25" s="1101">
        <v>0</v>
      </c>
      <c r="CS25" s="1101">
        <v>0</v>
      </c>
      <c r="CT25" s="1101">
        <v>0</v>
      </c>
      <c r="CU25" s="1101">
        <v>0</v>
      </c>
      <c r="CV25" s="1101">
        <v>0</v>
      </c>
      <c r="CW25" s="1101">
        <v>0</v>
      </c>
      <c r="CX25" s="1101">
        <v>0</v>
      </c>
      <c r="CY25" s="1101">
        <v>0</v>
      </c>
      <c r="CZ25" s="1101">
        <v>0</v>
      </c>
      <c r="DA25" s="1101">
        <v>0</v>
      </c>
      <c r="DB25" s="1101">
        <v>0</v>
      </c>
      <c r="DC25" s="1101">
        <v>0</v>
      </c>
      <c r="DD25" s="1101">
        <v>0</v>
      </c>
      <c r="DE25" s="1101">
        <v>0</v>
      </c>
      <c r="DF25" s="1101">
        <v>0</v>
      </c>
      <c r="DG25" s="1101">
        <v>0</v>
      </c>
      <c r="DH25" s="1101">
        <v>0</v>
      </c>
      <c r="DI25" s="1101">
        <v>0</v>
      </c>
      <c r="DJ25" s="1101">
        <v>0</v>
      </c>
      <c r="DK25" s="1101">
        <v>0</v>
      </c>
      <c r="DL25" s="1101">
        <v>0</v>
      </c>
      <c r="DM25" s="1101">
        <v>0</v>
      </c>
      <c r="DN25" s="1101">
        <v>0</v>
      </c>
      <c r="DO25" s="1101">
        <v>0</v>
      </c>
      <c r="DP25" s="1101">
        <v>0</v>
      </c>
      <c r="DQ25" s="1101">
        <v>-771035</v>
      </c>
      <c r="DR25" s="1101">
        <v>-1511867</v>
      </c>
      <c r="DS25" s="1101">
        <v>0</v>
      </c>
      <c r="DT25" s="1101">
        <v>0</v>
      </c>
      <c r="DU25" s="1101">
        <v>0</v>
      </c>
      <c r="DV25" s="1101">
        <v>0</v>
      </c>
      <c r="DW25" s="1101">
        <v>0</v>
      </c>
      <c r="DX25" s="1101">
        <v>0</v>
      </c>
      <c r="DY25" s="1101">
        <v>0</v>
      </c>
      <c r="DZ25" s="1101">
        <v>0</v>
      </c>
      <c r="EA25" s="1101">
        <v>0</v>
      </c>
      <c r="EB25" s="1101">
        <v>0</v>
      </c>
      <c r="EC25" s="1101">
        <v>0</v>
      </c>
      <c r="ED25" s="1101">
        <v>0</v>
      </c>
      <c r="EE25" s="1101">
        <v>0</v>
      </c>
      <c r="EF25" s="1101">
        <v>0</v>
      </c>
      <c r="EG25" s="1101">
        <v>0</v>
      </c>
      <c r="EH25" s="1101">
        <v>0</v>
      </c>
      <c r="EI25" s="1101">
        <v>-2017779</v>
      </c>
      <c r="EJ25" s="1101">
        <v>-3839867</v>
      </c>
      <c r="EK25" s="1101">
        <v>0</v>
      </c>
      <c r="EL25" s="1101">
        <v>0</v>
      </c>
      <c r="EM25" s="1101">
        <v>0</v>
      </c>
      <c r="EN25" s="1101">
        <v>0</v>
      </c>
      <c r="EO25" s="1101">
        <v>0</v>
      </c>
      <c r="EP25" s="1101">
        <v>0</v>
      </c>
      <c r="EQ25" s="1101">
        <v>0</v>
      </c>
      <c r="ER25" s="1101">
        <v>0</v>
      </c>
      <c r="ES25" s="1101">
        <v>0</v>
      </c>
      <c r="ET25" s="1101">
        <v>0</v>
      </c>
      <c r="EU25" s="1101">
        <v>0</v>
      </c>
      <c r="EV25" s="1101">
        <v>0</v>
      </c>
      <c r="EW25" s="1101">
        <v>0</v>
      </c>
      <c r="EX25" s="1101">
        <v>0</v>
      </c>
      <c r="EY25" s="1101">
        <v>0</v>
      </c>
      <c r="EZ25" s="1101">
        <v>0</v>
      </c>
      <c r="FA25" s="1101">
        <v>0</v>
      </c>
      <c r="FB25" s="1101">
        <v>0</v>
      </c>
      <c r="FC25" s="1101">
        <v>0</v>
      </c>
      <c r="FD25" s="1101">
        <v>0</v>
      </c>
      <c r="FE25" s="1101">
        <v>0</v>
      </c>
      <c r="FF25" s="1101">
        <v>0</v>
      </c>
      <c r="FG25" s="1101">
        <v>0</v>
      </c>
      <c r="FH25" s="1101">
        <v>0</v>
      </c>
      <c r="FI25" s="1101">
        <v>0</v>
      </c>
      <c r="FJ25" s="1101">
        <v>0</v>
      </c>
      <c r="FK25" s="1101">
        <v>0</v>
      </c>
      <c r="FL25" s="1101">
        <v>0</v>
      </c>
      <c r="FM25" s="1101">
        <v>0</v>
      </c>
      <c r="FN25" s="1101">
        <v>0</v>
      </c>
      <c r="FO25" s="1101">
        <v>0</v>
      </c>
      <c r="FP25" s="1101">
        <v>0</v>
      </c>
      <c r="FQ25" s="1101">
        <v>0</v>
      </c>
      <c r="FR25" s="1101">
        <v>0</v>
      </c>
      <c r="FS25" s="1101">
        <v>0</v>
      </c>
      <c r="FT25" s="1101">
        <v>0</v>
      </c>
      <c r="FU25" s="1101">
        <v>0</v>
      </c>
      <c r="FV25" s="1101">
        <v>0</v>
      </c>
      <c r="FW25" s="1101">
        <v>0</v>
      </c>
      <c r="FX25" s="1101">
        <v>0</v>
      </c>
      <c r="FY25" s="1101">
        <v>0</v>
      </c>
      <c r="FZ25" s="1101">
        <v>0</v>
      </c>
      <c r="GA25" s="1101">
        <v>0</v>
      </c>
      <c r="GB25" s="1101">
        <v>138037</v>
      </c>
      <c r="GC25" s="1101">
        <v>21112352</v>
      </c>
      <c r="GD25" s="1101">
        <v>644309</v>
      </c>
      <c r="GE25" s="1101">
        <v>-794764</v>
      </c>
      <c r="GF25" s="1101">
        <v>0</v>
      </c>
      <c r="GG25" s="1101">
        <v>0</v>
      </c>
      <c r="GH25" s="1101">
        <v>0</v>
      </c>
      <c r="GI25" s="1101">
        <v>0</v>
      </c>
      <c r="GJ25" s="1101">
        <v>0</v>
      </c>
      <c r="GK25" s="1101">
        <v>0</v>
      </c>
      <c r="GL25" s="1101">
        <v>0</v>
      </c>
      <c r="GM25" s="1101">
        <v>0</v>
      </c>
      <c r="GN25" s="1101">
        <v>0</v>
      </c>
      <c r="GO25" s="1101">
        <v>0</v>
      </c>
      <c r="GP25" s="1101">
        <v>0</v>
      </c>
      <c r="GQ25" s="1101">
        <v>0</v>
      </c>
      <c r="GR25" s="1101">
        <v>0</v>
      </c>
      <c r="GS25" s="1101">
        <v>0</v>
      </c>
      <c r="GT25" s="1101">
        <v>0</v>
      </c>
      <c r="GU25" s="1101">
        <v>0</v>
      </c>
      <c r="GV25" s="1101">
        <v>0</v>
      </c>
      <c r="GW25" s="1101">
        <v>0</v>
      </c>
      <c r="GX25" s="1101">
        <v>0</v>
      </c>
      <c r="GY25" s="1101">
        <v>0</v>
      </c>
      <c r="GZ25" s="1101">
        <v>0</v>
      </c>
      <c r="HA25" s="1101">
        <v>0</v>
      </c>
      <c r="HB25" s="1101">
        <v>0</v>
      </c>
      <c r="HC25" s="1101">
        <v>0</v>
      </c>
      <c r="HD25" s="1101">
        <v>-1689415</v>
      </c>
      <c r="HE25" s="1101">
        <v>0</v>
      </c>
      <c r="HF25" s="1101">
        <v>0</v>
      </c>
      <c r="HG25" s="1101">
        <v>0</v>
      </c>
      <c r="HH25" s="1101">
        <v>0</v>
      </c>
      <c r="HI25" s="1101">
        <v>0</v>
      </c>
      <c r="HJ25" s="1101">
        <v>0</v>
      </c>
      <c r="HK25" s="1101">
        <v>0</v>
      </c>
      <c r="HL25" s="1101">
        <v>0</v>
      </c>
      <c r="HM25" s="1101">
        <v>0</v>
      </c>
      <c r="HN25" s="1101">
        <v>0</v>
      </c>
      <c r="HO25" s="1101">
        <v>0</v>
      </c>
      <c r="HP25" s="1101">
        <v>0</v>
      </c>
      <c r="HQ25" s="1101">
        <v>0</v>
      </c>
      <c r="HR25" s="1101">
        <v>0</v>
      </c>
      <c r="HS25" s="1101">
        <v>0</v>
      </c>
      <c r="HT25" s="1101">
        <v>0</v>
      </c>
      <c r="HU25" s="1101">
        <v>-46875</v>
      </c>
      <c r="HV25" s="1101">
        <v>-5480005</v>
      </c>
      <c r="HW25" s="1101">
        <v>-218797</v>
      </c>
      <c r="HX25" s="1101">
        <v>0</v>
      </c>
      <c r="HY25" s="1101">
        <v>0</v>
      </c>
      <c r="HZ25" s="1101">
        <v>0</v>
      </c>
      <c r="IA25" s="1101">
        <v>0</v>
      </c>
      <c r="IB25" s="1101">
        <v>0</v>
      </c>
      <c r="IC25" s="1101">
        <v>0</v>
      </c>
      <c r="ID25" s="1101">
        <v>1310650</v>
      </c>
      <c r="IE25" s="1101">
        <v>1323047</v>
      </c>
      <c r="IF25" s="1101">
        <v>0</v>
      </c>
      <c r="IG25" s="1101">
        <v>32727145</v>
      </c>
      <c r="IH25" s="1101">
        <v>0</v>
      </c>
      <c r="II25" s="1101">
        <v>0</v>
      </c>
      <c r="IJ25" s="1101">
        <v>0</v>
      </c>
      <c r="IK25" s="1101">
        <v>0</v>
      </c>
      <c r="IL25" s="1101">
        <v>0</v>
      </c>
      <c r="IM25" s="1101">
        <v>54198</v>
      </c>
      <c r="IN25" s="1101">
        <v>2401387</v>
      </c>
      <c r="IO25" s="1101">
        <v>0</v>
      </c>
      <c r="IP25" s="1101">
        <v>1102</v>
      </c>
      <c r="IQ25" s="1101">
        <v>0</v>
      </c>
      <c r="IR25" s="1101">
        <v>0</v>
      </c>
      <c r="IS25" s="1101">
        <v>0</v>
      </c>
      <c r="IT25" s="1101">
        <v>0</v>
      </c>
      <c r="IU25" s="1101">
        <v>0</v>
      </c>
      <c r="IV25" s="1101">
        <v>0</v>
      </c>
      <c r="IW25" s="1101">
        <v>0</v>
      </c>
      <c r="IX25" s="1101">
        <v>0</v>
      </c>
      <c r="IY25" s="1101">
        <v>0</v>
      </c>
      <c r="IZ25" s="1101">
        <v>0</v>
      </c>
      <c r="JA25" s="1101">
        <v>0</v>
      </c>
      <c r="JB25" s="1101">
        <v>0</v>
      </c>
      <c r="JC25" s="1101">
        <v>0</v>
      </c>
      <c r="JD25" s="1101">
        <v>0</v>
      </c>
      <c r="JE25" s="1101">
        <v>0</v>
      </c>
      <c r="JF25" s="1101">
        <v>319692</v>
      </c>
      <c r="JG25" s="1101">
        <v>0</v>
      </c>
      <c r="JH25" s="1101">
        <v>4092762</v>
      </c>
      <c r="JI25" s="1101">
        <v>0</v>
      </c>
      <c r="JJ25" s="1101">
        <v>0</v>
      </c>
      <c r="JK25" s="1101">
        <v>0</v>
      </c>
      <c r="JL25" s="1101">
        <v>0</v>
      </c>
      <c r="JM25" s="1101">
        <v>0</v>
      </c>
      <c r="JN25" s="1101">
        <v>0</v>
      </c>
      <c r="JO25" s="1101">
        <v>634803</v>
      </c>
      <c r="JP25" s="1101">
        <v>0</v>
      </c>
      <c r="JQ25" s="1101">
        <v>-347796</v>
      </c>
      <c r="JR25" s="1101">
        <v>0</v>
      </c>
      <c r="JS25" s="1101">
        <v>0</v>
      </c>
      <c r="JT25" s="1101">
        <v>0</v>
      </c>
      <c r="JU25" s="1101">
        <v>0</v>
      </c>
      <c r="JV25" s="1101">
        <v>0</v>
      </c>
      <c r="JW25" s="1101">
        <v>0</v>
      </c>
      <c r="JX25" s="1101">
        <v>0</v>
      </c>
      <c r="JY25" s="1101">
        <v>1761631</v>
      </c>
      <c r="JZ25" s="1101">
        <v>0</v>
      </c>
      <c r="KA25" s="1101">
        <v>0</v>
      </c>
      <c r="KB25" s="1101">
        <v>0</v>
      </c>
      <c r="KC25" s="1101">
        <v>0</v>
      </c>
      <c r="KD25" s="1101">
        <v>0</v>
      </c>
      <c r="KE25" s="1101">
        <v>0</v>
      </c>
      <c r="KF25" s="1101">
        <v>0</v>
      </c>
      <c r="KG25" s="1101">
        <v>2533311</v>
      </c>
      <c r="KH25" s="1101">
        <v>705358</v>
      </c>
      <c r="KI25" s="1101">
        <v>-2387677</v>
      </c>
      <c r="KJ25" s="1101">
        <v>-62</v>
      </c>
      <c r="KK25" s="1101">
        <v>0</v>
      </c>
      <c r="KL25" s="1101">
        <v>0</v>
      </c>
      <c r="KM25" s="1101">
        <v>0</v>
      </c>
      <c r="KN25" s="1101">
        <v>14894</v>
      </c>
      <c r="KO25" s="1101">
        <v>25932102</v>
      </c>
      <c r="KP25" s="1101">
        <v>2384281</v>
      </c>
      <c r="KQ25" s="1101">
        <v>0</v>
      </c>
      <c r="KR25" s="1101">
        <v>1039900</v>
      </c>
      <c r="KS25" s="1101">
        <v>0</v>
      </c>
      <c r="KT25" s="1101">
        <v>0</v>
      </c>
      <c r="KU25" s="1101">
        <v>0</v>
      </c>
      <c r="KV25" s="1101">
        <v>0</v>
      </c>
      <c r="KW25" s="1101">
        <v>0</v>
      </c>
      <c r="KX25" s="1101">
        <v>0</v>
      </c>
      <c r="KY25" s="1101">
        <v>828738</v>
      </c>
      <c r="KZ25" s="1101">
        <v>0</v>
      </c>
      <c r="LA25" s="1101">
        <v>448093</v>
      </c>
      <c r="LB25" s="1101">
        <v>0</v>
      </c>
      <c r="LC25" s="1101">
        <v>0</v>
      </c>
      <c r="LD25" s="1101">
        <v>0</v>
      </c>
      <c r="LE25" s="1101">
        <v>0</v>
      </c>
      <c r="LF25" s="1101">
        <v>0</v>
      </c>
      <c r="LG25" s="1101">
        <v>0</v>
      </c>
      <c r="LH25" s="1101">
        <v>191445</v>
      </c>
      <c r="LI25" s="1101">
        <v>0</v>
      </c>
      <c r="LJ25" s="1101">
        <v>0</v>
      </c>
      <c r="LK25" s="1101">
        <v>0</v>
      </c>
      <c r="LL25" s="1101">
        <v>0</v>
      </c>
      <c r="LM25" s="1101">
        <v>0</v>
      </c>
      <c r="LN25" s="1101">
        <v>0</v>
      </c>
      <c r="LO25" s="1101">
        <v>0</v>
      </c>
      <c r="LP25" s="1101">
        <v>2438200</v>
      </c>
      <c r="LQ25" s="1101">
        <v>2793939</v>
      </c>
      <c r="LR25" s="1101">
        <v>0</v>
      </c>
      <c r="LS25" s="1101">
        <v>961297</v>
      </c>
      <c r="LT25" s="1101">
        <v>0</v>
      </c>
      <c r="LU25" s="1101">
        <v>0</v>
      </c>
      <c r="LV25" s="1101">
        <v>0</v>
      </c>
      <c r="LW25" s="1101">
        <v>0</v>
      </c>
      <c r="LX25" s="1101">
        <v>0</v>
      </c>
      <c r="LY25" s="1101">
        <v>4831879</v>
      </c>
      <c r="LZ25" s="1101">
        <v>12899803</v>
      </c>
      <c r="MA25" s="1101">
        <v>0</v>
      </c>
      <c r="MB25" s="1101">
        <v>420400</v>
      </c>
      <c r="MC25" s="1101">
        <v>-1085</v>
      </c>
      <c r="MD25" s="1101">
        <v>0</v>
      </c>
      <c r="ME25" s="1101">
        <v>0</v>
      </c>
      <c r="MF25" s="1101">
        <v>0</v>
      </c>
      <c r="MG25" s="1101">
        <v>0</v>
      </c>
      <c r="MH25" s="1101">
        <v>5263377</v>
      </c>
      <c r="MI25" s="1101">
        <v>4084812</v>
      </c>
      <c r="MJ25" s="1101">
        <v>0</v>
      </c>
      <c r="MK25" s="1101">
        <v>4383897</v>
      </c>
      <c r="ML25" s="1101">
        <v>0</v>
      </c>
      <c r="MM25" s="1101">
        <v>0</v>
      </c>
      <c r="MN25" s="1101">
        <v>0</v>
      </c>
      <c r="MO25" s="1101">
        <v>0</v>
      </c>
      <c r="MP25" s="1101">
        <v>0</v>
      </c>
      <c r="MQ25" s="1101">
        <v>291783</v>
      </c>
      <c r="MR25" s="1101">
        <v>6788258</v>
      </c>
      <c r="MS25" s="1101">
        <v>0</v>
      </c>
      <c r="MT25" s="1101">
        <v>21020</v>
      </c>
      <c r="MU25" s="1101">
        <v>0</v>
      </c>
      <c r="MV25" s="1101">
        <v>0</v>
      </c>
      <c r="MW25" s="1101">
        <v>29018</v>
      </c>
      <c r="MX25" s="1101">
        <v>0</v>
      </c>
      <c r="MY25" s="1101">
        <v>0</v>
      </c>
      <c r="MZ25" s="1101">
        <v>1276486</v>
      </c>
      <c r="NA25" s="1101">
        <v>4117266</v>
      </c>
      <c r="NB25" s="1101">
        <v>0</v>
      </c>
      <c r="NC25" s="1101">
        <v>16370114</v>
      </c>
      <c r="ND25" s="1101">
        <v>0</v>
      </c>
      <c r="NE25" s="1101">
        <v>0</v>
      </c>
      <c r="NF25" s="1101">
        <v>0</v>
      </c>
      <c r="NG25" s="1101">
        <v>0</v>
      </c>
      <c r="NH25" s="1101">
        <v>0</v>
      </c>
      <c r="NI25" s="1101">
        <v>0</v>
      </c>
      <c r="NJ25" s="1101">
        <v>0</v>
      </c>
      <c r="NK25" s="1101">
        <v>2909149</v>
      </c>
      <c r="NL25" s="1101">
        <v>0</v>
      </c>
      <c r="NM25" s="1101">
        <v>0</v>
      </c>
      <c r="NN25" s="1101">
        <v>0</v>
      </c>
      <c r="NO25" s="1101">
        <v>0</v>
      </c>
      <c r="NP25" s="1101">
        <v>0</v>
      </c>
      <c r="NQ25" s="1101">
        <v>0</v>
      </c>
      <c r="NR25" s="1101">
        <v>0</v>
      </c>
      <c r="NS25" s="1101">
        <v>185083</v>
      </c>
      <c r="NT25" s="1101">
        <v>0</v>
      </c>
      <c r="NU25" s="1101">
        <v>157134</v>
      </c>
      <c r="NV25" s="1101">
        <v>0</v>
      </c>
      <c r="NW25" s="1101">
        <v>0</v>
      </c>
      <c r="NX25" s="1101">
        <v>0</v>
      </c>
      <c r="NY25" s="1101">
        <v>0</v>
      </c>
      <c r="NZ25" s="1101">
        <v>0</v>
      </c>
      <c r="OA25" s="1101">
        <v>0</v>
      </c>
      <c r="OB25" s="1101">
        <v>269432</v>
      </c>
      <c r="OC25" s="1101">
        <v>0</v>
      </c>
      <c r="OD25" s="1101">
        <v>0</v>
      </c>
      <c r="OE25" s="1101">
        <v>0</v>
      </c>
      <c r="OF25" s="1101">
        <v>0</v>
      </c>
      <c r="OG25" s="1101">
        <v>0</v>
      </c>
      <c r="OH25" s="1101">
        <v>0</v>
      </c>
      <c r="OI25" s="1101">
        <v>15155</v>
      </c>
      <c r="OJ25" s="1101">
        <v>0</v>
      </c>
      <c r="OK25" s="1101">
        <v>0</v>
      </c>
      <c r="OL25" s="1101">
        <v>0</v>
      </c>
      <c r="OM25" s="1101">
        <v>0</v>
      </c>
      <c r="ON25" s="1101">
        <v>0</v>
      </c>
      <c r="OO25" s="1101">
        <v>0</v>
      </c>
      <c r="OP25" s="1101">
        <v>-82295</v>
      </c>
      <c r="OQ25" s="1101">
        <v>0</v>
      </c>
      <c r="OR25" s="1101">
        <v>0</v>
      </c>
      <c r="OS25" s="1101">
        <v>1101782</v>
      </c>
      <c r="OT25" s="1101">
        <v>10162080</v>
      </c>
      <c r="OU25" s="1101">
        <v>2800432</v>
      </c>
      <c r="OV25" s="1101">
        <v>-12619929</v>
      </c>
      <c r="OW25" s="1101">
        <v>100013</v>
      </c>
      <c r="OX25" s="1101">
        <v>18183</v>
      </c>
      <c r="OY25" s="1101">
        <v>1014632</v>
      </c>
      <c r="OZ25" s="1101">
        <v>0</v>
      </c>
      <c r="PA25" s="1101">
        <v>0</v>
      </c>
      <c r="PB25" s="1101">
        <v>0</v>
      </c>
      <c r="PC25" s="1101">
        <v>0</v>
      </c>
      <c r="PD25" s="1101">
        <v>0</v>
      </c>
      <c r="PE25" s="1101">
        <v>0</v>
      </c>
      <c r="PF25" s="1101">
        <v>0</v>
      </c>
      <c r="PG25" s="1101">
        <v>0</v>
      </c>
      <c r="PH25" s="1101">
        <v>0</v>
      </c>
      <c r="PI25" s="1101">
        <v>0</v>
      </c>
      <c r="PJ25" s="1101">
        <v>0</v>
      </c>
      <c r="PK25" s="1101">
        <v>-7690641</v>
      </c>
      <c r="PL25" s="1101">
        <v>-1191</v>
      </c>
      <c r="PM25" s="1101">
        <v>-305203</v>
      </c>
      <c r="PN25" s="1101">
        <v>0</v>
      </c>
      <c r="PO25" s="1101">
        <v>0</v>
      </c>
      <c r="PP25" s="1101">
        <v>0</v>
      </c>
      <c r="PQ25" s="1101">
        <v>0</v>
      </c>
      <c r="PR25" s="1101">
        <v>0</v>
      </c>
      <c r="PS25" s="1101">
        <v>0</v>
      </c>
      <c r="PT25" s="1101">
        <v>0</v>
      </c>
      <c r="PU25" s="1101">
        <v>4825886</v>
      </c>
      <c r="PV25" s="1101">
        <v>560135</v>
      </c>
      <c r="PW25" s="1101">
        <v>0</v>
      </c>
      <c r="PX25" s="1101">
        <v>262665</v>
      </c>
      <c r="PY25" s="1101">
        <v>46658</v>
      </c>
      <c r="PZ25" s="1101">
        <v>21460</v>
      </c>
      <c r="QA25" s="1101">
        <v>0</v>
      </c>
      <c r="QB25" s="1101">
        <v>0</v>
      </c>
      <c r="QC25" s="1101">
        <v>0</v>
      </c>
      <c r="QD25" s="1101">
        <v>0</v>
      </c>
      <c r="QE25" s="1101">
        <v>0</v>
      </c>
      <c r="QF25" s="1101">
        <v>0</v>
      </c>
      <c r="QG25" s="1101">
        <v>0</v>
      </c>
      <c r="QH25" s="1101">
        <v>0</v>
      </c>
      <c r="QI25" s="1101">
        <v>0</v>
      </c>
      <c r="QJ25" s="1101">
        <v>0</v>
      </c>
      <c r="QK25" s="1101">
        <v>0</v>
      </c>
      <c r="QL25" s="1101">
        <v>0</v>
      </c>
      <c r="QM25" s="1101">
        <v>0</v>
      </c>
      <c r="QN25" s="1101">
        <v>0</v>
      </c>
      <c r="QO25" s="1101">
        <v>0</v>
      </c>
      <c r="QP25" s="1101">
        <v>0</v>
      </c>
      <c r="QQ25" s="1101">
        <v>0</v>
      </c>
      <c r="QR25" s="1101">
        <v>0</v>
      </c>
      <c r="QS25" s="1101">
        <v>0</v>
      </c>
      <c r="QT25" s="1101">
        <v>0</v>
      </c>
      <c r="QU25" s="1101">
        <v>0</v>
      </c>
      <c r="QV25" s="1101">
        <v>0</v>
      </c>
      <c r="QW25" s="1101">
        <v>0</v>
      </c>
      <c r="QX25" s="1101">
        <v>0</v>
      </c>
      <c r="QY25" s="1101">
        <v>0</v>
      </c>
      <c r="QZ25" s="1101">
        <v>0</v>
      </c>
      <c r="RA25" s="1101">
        <v>0</v>
      </c>
      <c r="RB25" s="1101">
        <v>0</v>
      </c>
      <c r="RC25" s="1101">
        <v>-11025709</v>
      </c>
      <c r="RD25" s="1101">
        <v>0</v>
      </c>
      <c r="RE25" s="1101">
        <v>0</v>
      </c>
      <c r="RF25" s="1101">
        <v>0</v>
      </c>
      <c r="RG25" s="1101">
        <v>0</v>
      </c>
      <c r="RH25" s="1101">
        <v>0</v>
      </c>
      <c r="RI25" s="1101">
        <v>0</v>
      </c>
      <c r="RJ25" s="1101">
        <v>0</v>
      </c>
      <c r="RK25" s="1101">
        <v>0</v>
      </c>
      <c r="RL25" s="1101">
        <v>22678708</v>
      </c>
      <c r="RM25" s="1101">
        <v>0</v>
      </c>
      <c r="RN25" s="1101">
        <v>0</v>
      </c>
      <c r="RO25" s="1101">
        <v>0</v>
      </c>
      <c r="RP25" s="1101">
        <v>0</v>
      </c>
      <c r="RQ25" s="1101">
        <v>0</v>
      </c>
      <c r="RR25" s="1101">
        <v>0</v>
      </c>
      <c r="RS25" s="1101">
        <v>0</v>
      </c>
      <c r="RT25" s="1101">
        <v>0</v>
      </c>
      <c r="RU25" s="1101">
        <v>0</v>
      </c>
      <c r="RV25" s="1101">
        <v>0</v>
      </c>
      <c r="RW25" s="1101">
        <v>0</v>
      </c>
      <c r="RX25" s="1101">
        <v>0</v>
      </c>
      <c r="RY25" s="1101">
        <v>0</v>
      </c>
      <c r="RZ25" s="1101">
        <v>0</v>
      </c>
      <c r="SA25" s="1101">
        <v>0</v>
      </c>
      <c r="SB25" s="1101">
        <v>0</v>
      </c>
      <c r="SC25" s="1101">
        <v>0</v>
      </c>
      <c r="SD25" s="1101">
        <v>4777</v>
      </c>
      <c r="SE25" s="1101">
        <v>0</v>
      </c>
      <c r="SF25" s="1101">
        <v>185083</v>
      </c>
      <c r="SG25" s="1101">
        <v>0</v>
      </c>
      <c r="SH25" s="1101">
        <v>157134</v>
      </c>
      <c r="SI25" s="1101">
        <v>0</v>
      </c>
      <c r="SJ25" s="1101">
        <v>0</v>
      </c>
      <c r="SK25" s="1101">
        <v>82295</v>
      </c>
      <c r="SL25" s="1102">
        <v>0</v>
      </c>
      <c r="SM25" s="1101">
        <v>0</v>
      </c>
      <c r="SN25" s="1101">
        <v>23693487</v>
      </c>
      <c r="SO25" s="1102"/>
      <c r="SP25" s="1103"/>
      <c r="SQ25" s="1104">
        <v>45072014</v>
      </c>
      <c r="SR25" s="1104">
        <v>-15575640</v>
      </c>
      <c r="SS25" s="1105">
        <v>181770</v>
      </c>
      <c r="ST25" s="1106">
        <v>28994</v>
      </c>
      <c r="SU25" s="1106">
        <v>0</v>
      </c>
      <c r="SV25" s="1106">
        <v>26326</v>
      </c>
      <c r="SW25" s="1106">
        <v>12116</v>
      </c>
      <c r="SX25" s="1106">
        <v>43150</v>
      </c>
      <c r="SY25" s="1106">
        <v>49861</v>
      </c>
      <c r="SZ25" s="1106">
        <v>0</v>
      </c>
      <c r="TA25" s="1106">
        <v>0</v>
      </c>
      <c r="TB25" s="1106">
        <v>0</v>
      </c>
      <c r="TC25" s="1105">
        <v>0</v>
      </c>
      <c r="TD25" s="1106">
        <v>0</v>
      </c>
      <c r="TE25" s="1106">
        <v>0</v>
      </c>
      <c r="TF25" s="1106">
        <v>0</v>
      </c>
      <c r="TG25" s="1106">
        <v>0</v>
      </c>
      <c r="TH25" s="1106">
        <v>0</v>
      </c>
      <c r="TI25" s="1106">
        <v>0</v>
      </c>
      <c r="TJ25" s="1106">
        <v>0</v>
      </c>
      <c r="TK25" s="1105">
        <v>0</v>
      </c>
      <c r="TL25" s="1106">
        <v>0</v>
      </c>
      <c r="TM25" s="1106">
        <v>0</v>
      </c>
      <c r="TN25" s="1106">
        <v>0</v>
      </c>
      <c r="TO25" s="1106">
        <v>0</v>
      </c>
      <c r="TP25" s="1106">
        <v>0</v>
      </c>
      <c r="TQ25" s="1106">
        <v>0</v>
      </c>
      <c r="TR25" s="1106">
        <v>0</v>
      </c>
      <c r="TS25" s="1105">
        <v>29356283</v>
      </c>
      <c r="TT25" s="1106">
        <v>1276831</v>
      </c>
      <c r="TU25" s="1106">
        <v>191445</v>
      </c>
      <c r="TV25" s="1106">
        <v>6193436</v>
      </c>
      <c r="TW25" s="1106">
        <v>18150997</v>
      </c>
      <c r="TX25" s="1106">
        <v>13732086</v>
      </c>
      <c r="TY25" s="1106">
        <v>7130079</v>
      </c>
      <c r="TZ25" s="1107">
        <v>21763866</v>
      </c>
      <c r="UA25" s="1107">
        <v>2909149</v>
      </c>
      <c r="UB25" s="1105">
        <v>5894395</v>
      </c>
      <c r="UC25" s="1108">
        <v>5716804</v>
      </c>
      <c r="UD25" s="1108"/>
      <c r="UE25" s="1103"/>
      <c r="UF25" s="1109" t="s">
        <v>2424</v>
      </c>
      <c r="UG25" s="1110" t="s">
        <v>2425</v>
      </c>
      <c r="UH25" s="1110" t="s">
        <v>2426</v>
      </c>
    </row>
    <row r="26" spans="1:554" s="776" customFormat="1" ht="38.25" customHeight="1" thickBot="1">
      <c r="A26" s="1534">
        <v>231</v>
      </c>
      <c r="B26" s="1131" t="s">
        <v>2244</v>
      </c>
      <c r="C26" s="1134" t="s">
        <v>2245</v>
      </c>
      <c r="D26" s="1096" t="s">
        <v>2398</v>
      </c>
      <c r="E26" s="1097">
        <v>3652</v>
      </c>
      <c r="F26" s="1098">
        <v>5060908503</v>
      </c>
      <c r="G26" s="1096" t="s">
        <v>2399</v>
      </c>
      <c r="H26" s="1099" t="s">
        <v>2244</v>
      </c>
      <c r="I26" s="1100"/>
      <c r="J26" s="1100"/>
      <c r="K26" s="1100"/>
      <c r="L26" s="1100"/>
      <c r="M26" s="1101">
        <v>204365435</v>
      </c>
      <c r="N26" s="1101">
        <v>0</v>
      </c>
      <c r="O26" s="1101">
        <v>0</v>
      </c>
      <c r="P26" s="1101">
        <v>0</v>
      </c>
      <c r="Q26" s="1101">
        <v>0</v>
      </c>
      <c r="R26" s="1101">
        <v>0</v>
      </c>
      <c r="S26" s="1101">
        <v>0</v>
      </c>
      <c r="T26" s="1101">
        <v>0</v>
      </c>
      <c r="U26" s="1101">
        <v>0</v>
      </c>
      <c r="V26" s="1101">
        <v>264519</v>
      </c>
      <c r="W26" s="1101">
        <v>0</v>
      </c>
      <c r="X26" s="1101">
        <v>0</v>
      </c>
      <c r="Y26" s="1101">
        <v>44433568</v>
      </c>
      <c r="Z26" s="1101">
        <v>0</v>
      </c>
      <c r="AA26" s="1101">
        <v>0</v>
      </c>
      <c r="AB26" s="1101">
        <v>0</v>
      </c>
      <c r="AC26" s="1101">
        <v>0</v>
      </c>
      <c r="AD26" s="1101">
        <v>0</v>
      </c>
      <c r="AE26" s="1101">
        <v>0</v>
      </c>
      <c r="AF26" s="1101">
        <v>0</v>
      </c>
      <c r="AG26" s="1101">
        <v>0</v>
      </c>
      <c r="AH26" s="1101">
        <v>0</v>
      </c>
      <c r="AI26" s="1101">
        <v>0</v>
      </c>
      <c r="AJ26" s="1101">
        <v>0</v>
      </c>
      <c r="AK26" s="1101">
        <v>0</v>
      </c>
      <c r="AL26" s="1101">
        <v>0</v>
      </c>
      <c r="AM26" s="1101">
        <v>0</v>
      </c>
      <c r="AN26" s="1101">
        <v>54514004</v>
      </c>
      <c r="AO26" s="1101">
        <v>0</v>
      </c>
      <c r="AP26" s="1101">
        <v>0</v>
      </c>
      <c r="AQ26" s="1101">
        <v>0</v>
      </c>
      <c r="AR26" s="1101">
        <v>0</v>
      </c>
      <c r="AS26" s="1101">
        <v>0</v>
      </c>
      <c r="AT26" s="1101">
        <v>0</v>
      </c>
      <c r="AU26" s="1101">
        <v>0</v>
      </c>
      <c r="AV26" s="1101">
        <v>0</v>
      </c>
      <c r="AW26" s="1101">
        <v>0</v>
      </c>
      <c r="AX26" s="1101">
        <v>0</v>
      </c>
      <c r="AY26" s="1101">
        <v>0</v>
      </c>
      <c r="AZ26" s="1101">
        <v>0</v>
      </c>
      <c r="BA26" s="1101">
        <v>0</v>
      </c>
      <c r="BB26" s="1101">
        <v>0</v>
      </c>
      <c r="BC26" s="1101">
        <v>0</v>
      </c>
      <c r="BD26" s="1101">
        <v>0</v>
      </c>
      <c r="BE26" s="1101">
        <v>0</v>
      </c>
      <c r="BF26" s="1101">
        <v>-25020117</v>
      </c>
      <c r="BG26" s="1101">
        <v>-6174155</v>
      </c>
      <c r="BH26" s="1101">
        <v>0</v>
      </c>
      <c r="BI26" s="1101">
        <v>0</v>
      </c>
      <c r="BJ26" s="1101">
        <v>0</v>
      </c>
      <c r="BK26" s="1101">
        <v>0</v>
      </c>
      <c r="BL26" s="1101">
        <v>0</v>
      </c>
      <c r="BM26" s="1101">
        <v>0</v>
      </c>
      <c r="BN26" s="1101">
        <v>0</v>
      </c>
      <c r="BO26" s="1101">
        <v>0</v>
      </c>
      <c r="BP26" s="1101">
        <v>0</v>
      </c>
      <c r="BQ26" s="1101">
        <v>0</v>
      </c>
      <c r="BR26" s="1101">
        <v>0</v>
      </c>
      <c r="BS26" s="1101">
        <v>0</v>
      </c>
      <c r="BT26" s="1101">
        <v>0</v>
      </c>
      <c r="BU26" s="1101">
        <v>0</v>
      </c>
      <c r="BV26" s="1101">
        <v>0</v>
      </c>
      <c r="BW26" s="1101">
        <v>0</v>
      </c>
      <c r="BX26" s="1101">
        <v>0</v>
      </c>
      <c r="BY26" s="1101">
        <v>0</v>
      </c>
      <c r="BZ26" s="1101">
        <v>0</v>
      </c>
      <c r="CA26" s="1101">
        <v>0</v>
      </c>
      <c r="CB26" s="1101">
        <v>0</v>
      </c>
      <c r="CC26" s="1101">
        <v>0</v>
      </c>
      <c r="CD26" s="1101">
        <v>0</v>
      </c>
      <c r="CE26" s="1101">
        <v>0</v>
      </c>
      <c r="CF26" s="1101">
        <v>0</v>
      </c>
      <c r="CG26" s="1101">
        <v>0</v>
      </c>
      <c r="CH26" s="1101">
        <v>0</v>
      </c>
      <c r="CI26" s="1101">
        <v>0</v>
      </c>
      <c r="CJ26" s="1101">
        <v>0</v>
      </c>
      <c r="CK26" s="1101">
        <v>0</v>
      </c>
      <c r="CL26" s="1101">
        <v>0</v>
      </c>
      <c r="CM26" s="1101">
        <v>0</v>
      </c>
      <c r="CN26" s="1101">
        <v>0</v>
      </c>
      <c r="CO26" s="1101">
        <v>0</v>
      </c>
      <c r="CP26" s="1101">
        <v>86483350</v>
      </c>
      <c r="CQ26" s="1101">
        <v>322023135</v>
      </c>
      <c r="CR26" s="1101">
        <v>0</v>
      </c>
      <c r="CS26" s="1101">
        <v>0</v>
      </c>
      <c r="CT26" s="1101">
        <v>0</v>
      </c>
      <c r="CU26" s="1101">
        <v>0</v>
      </c>
      <c r="CV26" s="1101">
        <v>0</v>
      </c>
      <c r="CW26" s="1101">
        <v>0</v>
      </c>
      <c r="CX26" s="1101">
        <v>0</v>
      </c>
      <c r="CY26" s="1101">
        <v>0</v>
      </c>
      <c r="CZ26" s="1101">
        <v>0</v>
      </c>
      <c r="DA26" s="1101">
        <v>0</v>
      </c>
      <c r="DB26" s="1101">
        <v>0</v>
      </c>
      <c r="DC26" s="1101">
        <v>0</v>
      </c>
      <c r="DD26" s="1101">
        <v>0</v>
      </c>
      <c r="DE26" s="1101">
        <v>0</v>
      </c>
      <c r="DF26" s="1101">
        <v>0</v>
      </c>
      <c r="DG26" s="1101">
        <v>0</v>
      </c>
      <c r="DH26" s="1101">
        <v>0</v>
      </c>
      <c r="DI26" s="1101">
        <v>0</v>
      </c>
      <c r="DJ26" s="1101">
        <v>0</v>
      </c>
      <c r="DK26" s="1101">
        <v>0</v>
      </c>
      <c r="DL26" s="1101">
        <v>0</v>
      </c>
      <c r="DM26" s="1101">
        <v>0</v>
      </c>
      <c r="DN26" s="1101">
        <v>0</v>
      </c>
      <c r="DO26" s="1101">
        <v>0</v>
      </c>
      <c r="DP26" s="1101">
        <v>0</v>
      </c>
      <c r="DQ26" s="1101">
        <v>-2520916</v>
      </c>
      <c r="DR26" s="1101">
        <v>-8475373</v>
      </c>
      <c r="DS26" s="1101">
        <v>0</v>
      </c>
      <c r="DT26" s="1101">
        <v>0</v>
      </c>
      <c r="DU26" s="1101">
        <v>0</v>
      </c>
      <c r="DV26" s="1101">
        <v>0</v>
      </c>
      <c r="DW26" s="1101">
        <v>0</v>
      </c>
      <c r="DX26" s="1101">
        <v>0</v>
      </c>
      <c r="DY26" s="1101">
        <v>0</v>
      </c>
      <c r="DZ26" s="1101">
        <v>0</v>
      </c>
      <c r="EA26" s="1101">
        <v>0</v>
      </c>
      <c r="EB26" s="1101">
        <v>0</v>
      </c>
      <c r="EC26" s="1101">
        <v>0</v>
      </c>
      <c r="ED26" s="1101">
        <v>0</v>
      </c>
      <c r="EE26" s="1101">
        <v>0</v>
      </c>
      <c r="EF26" s="1101">
        <v>0</v>
      </c>
      <c r="EG26" s="1101">
        <v>0</v>
      </c>
      <c r="EH26" s="1101">
        <v>0</v>
      </c>
      <c r="EI26" s="1101">
        <v>-22457428</v>
      </c>
      <c r="EJ26" s="1101">
        <v>-84639861</v>
      </c>
      <c r="EK26" s="1101">
        <v>0</v>
      </c>
      <c r="EL26" s="1101">
        <v>0</v>
      </c>
      <c r="EM26" s="1101">
        <v>0</v>
      </c>
      <c r="EN26" s="1101">
        <v>0</v>
      </c>
      <c r="EO26" s="1101">
        <v>0</v>
      </c>
      <c r="EP26" s="1101">
        <v>0</v>
      </c>
      <c r="EQ26" s="1101">
        <v>0</v>
      </c>
      <c r="ER26" s="1101">
        <v>-4</v>
      </c>
      <c r="ES26" s="1101">
        <v>-914</v>
      </c>
      <c r="ET26" s="1101">
        <v>-504</v>
      </c>
      <c r="EU26" s="1101">
        <v>0</v>
      </c>
      <c r="EV26" s="1101">
        <v>0</v>
      </c>
      <c r="EW26" s="1101">
        <v>0</v>
      </c>
      <c r="EX26" s="1101">
        <v>0</v>
      </c>
      <c r="EY26" s="1101">
        <v>0</v>
      </c>
      <c r="EZ26" s="1101">
        <v>0</v>
      </c>
      <c r="FA26" s="1101">
        <v>0</v>
      </c>
      <c r="FB26" s="1101">
        <v>0</v>
      </c>
      <c r="FC26" s="1101">
        <v>0</v>
      </c>
      <c r="FD26" s="1101">
        <v>0</v>
      </c>
      <c r="FE26" s="1101">
        <v>0</v>
      </c>
      <c r="FF26" s="1101">
        <v>0</v>
      </c>
      <c r="FG26" s="1101">
        <v>0</v>
      </c>
      <c r="FH26" s="1101">
        <v>0</v>
      </c>
      <c r="FI26" s="1101">
        <v>0</v>
      </c>
      <c r="FJ26" s="1101">
        <v>0</v>
      </c>
      <c r="FK26" s="1101">
        <v>0</v>
      </c>
      <c r="FL26" s="1101">
        <v>0</v>
      </c>
      <c r="FM26" s="1101">
        <v>0</v>
      </c>
      <c r="FN26" s="1101">
        <v>0</v>
      </c>
      <c r="FO26" s="1101">
        <v>0</v>
      </c>
      <c r="FP26" s="1101">
        <v>0</v>
      </c>
      <c r="FQ26" s="1101">
        <v>0</v>
      </c>
      <c r="FR26" s="1101">
        <v>0</v>
      </c>
      <c r="FS26" s="1101">
        <v>0</v>
      </c>
      <c r="FT26" s="1101">
        <v>0</v>
      </c>
      <c r="FU26" s="1101">
        <v>0</v>
      </c>
      <c r="FV26" s="1101">
        <v>0</v>
      </c>
      <c r="FW26" s="1101">
        <v>0</v>
      </c>
      <c r="FX26" s="1101">
        <v>0</v>
      </c>
      <c r="FY26" s="1101">
        <v>0</v>
      </c>
      <c r="FZ26" s="1101">
        <v>0</v>
      </c>
      <c r="GA26" s="1101">
        <v>0</v>
      </c>
      <c r="GB26" s="1101">
        <v>374365</v>
      </c>
      <c r="GC26" s="1101">
        <v>124343039</v>
      </c>
      <c r="GD26" s="1101">
        <v>30007470</v>
      </c>
      <c r="GE26" s="1101">
        <v>0</v>
      </c>
      <c r="GF26" s="1101">
        <v>0</v>
      </c>
      <c r="GG26" s="1101">
        <v>0</v>
      </c>
      <c r="GH26" s="1101">
        <v>0</v>
      </c>
      <c r="GI26" s="1101">
        <v>0</v>
      </c>
      <c r="GJ26" s="1101">
        <v>0</v>
      </c>
      <c r="GK26" s="1101">
        <v>0</v>
      </c>
      <c r="GL26" s="1101">
        <v>0</v>
      </c>
      <c r="GM26" s="1101">
        <v>0</v>
      </c>
      <c r="GN26" s="1101">
        <v>0</v>
      </c>
      <c r="GO26" s="1101">
        <v>0</v>
      </c>
      <c r="GP26" s="1101">
        <v>0</v>
      </c>
      <c r="GQ26" s="1101">
        <v>0</v>
      </c>
      <c r="GR26" s="1101">
        <v>0</v>
      </c>
      <c r="GS26" s="1101">
        <v>0</v>
      </c>
      <c r="GT26" s="1101">
        <v>0</v>
      </c>
      <c r="GU26" s="1101">
        <v>0</v>
      </c>
      <c r="GV26" s="1101">
        <v>0</v>
      </c>
      <c r="GW26" s="1101">
        <v>0</v>
      </c>
      <c r="GX26" s="1101">
        <v>0</v>
      </c>
      <c r="GY26" s="1101">
        <v>0</v>
      </c>
      <c r="GZ26" s="1101">
        <v>0</v>
      </c>
      <c r="HA26" s="1101">
        <v>0</v>
      </c>
      <c r="HB26" s="1101">
        <v>0</v>
      </c>
      <c r="HC26" s="1101">
        <v>-2821</v>
      </c>
      <c r="HD26" s="1101">
        <v>-3176447</v>
      </c>
      <c r="HE26" s="1101">
        <v>-249050</v>
      </c>
      <c r="HF26" s="1101">
        <v>0</v>
      </c>
      <c r="HG26" s="1101">
        <v>0</v>
      </c>
      <c r="HH26" s="1101">
        <v>0</v>
      </c>
      <c r="HI26" s="1101">
        <v>0</v>
      </c>
      <c r="HJ26" s="1101">
        <v>0</v>
      </c>
      <c r="HK26" s="1101">
        <v>0</v>
      </c>
      <c r="HL26" s="1101">
        <v>0</v>
      </c>
      <c r="HM26" s="1101">
        <v>0</v>
      </c>
      <c r="HN26" s="1101">
        <v>0</v>
      </c>
      <c r="HO26" s="1101">
        <v>0</v>
      </c>
      <c r="HP26" s="1101">
        <v>0</v>
      </c>
      <c r="HQ26" s="1101">
        <v>0</v>
      </c>
      <c r="HR26" s="1101">
        <v>0</v>
      </c>
      <c r="HS26" s="1101">
        <v>0</v>
      </c>
      <c r="HT26" s="1101">
        <v>0</v>
      </c>
      <c r="HU26" s="1101">
        <v>-97543</v>
      </c>
      <c r="HV26" s="1101">
        <v>-32630611</v>
      </c>
      <c r="HW26" s="1101">
        <v>-8409216</v>
      </c>
      <c r="HX26" s="1101">
        <v>0</v>
      </c>
      <c r="HY26" s="1101">
        <v>0</v>
      </c>
      <c r="HZ26" s="1101">
        <v>0</v>
      </c>
      <c r="IA26" s="1101">
        <v>0</v>
      </c>
      <c r="IB26" s="1101">
        <v>0</v>
      </c>
      <c r="IC26" s="1101">
        <v>0</v>
      </c>
      <c r="ID26" s="1101">
        <v>6273088</v>
      </c>
      <c r="IE26" s="1101">
        <v>22112</v>
      </c>
      <c r="IF26" s="1101">
        <v>0</v>
      </c>
      <c r="IG26" s="1101">
        <v>257002093</v>
      </c>
      <c r="IH26" s="1101">
        <v>71458</v>
      </c>
      <c r="II26" s="1101">
        <v>0</v>
      </c>
      <c r="IJ26" s="1101">
        <v>0</v>
      </c>
      <c r="IK26" s="1101">
        <v>0</v>
      </c>
      <c r="IL26" s="1101">
        <v>0</v>
      </c>
      <c r="IM26" s="1101">
        <v>1687756</v>
      </c>
      <c r="IN26" s="1101">
        <v>7508407</v>
      </c>
      <c r="IO26" s="1101">
        <v>0</v>
      </c>
      <c r="IP26" s="1101">
        <v>26201</v>
      </c>
      <c r="IQ26" s="1101">
        <v>42997</v>
      </c>
      <c r="IR26" s="1101">
        <v>80786262</v>
      </c>
      <c r="IS26" s="1101">
        <v>276921</v>
      </c>
      <c r="IT26" s="1101">
        <v>158</v>
      </c>
      <c r="IU26" s="1101">
        <v>0</v>
      </c>
      <c r="IV26" s="1101">
        <v>0</v>
      </c>
      <c r="IW26" s="1101">
        <v>11544843</v>
      </c>
      <c r="IX26" s="1101">
        <v>0</v>
      </c>
      <c r="IY26" s="1101">
        <v>89835</v>
      </c>
      <c r="IZ26" s="1101">
        <v>0</v>
      </c>
      <c r="JA26" s="1101">
        <v>0</v>
      </c>
      <c r="JB26" s="1101">
        <v>0</v>
      </c>
      <c r="JC26" s="1101">
        <v>0</v>
      </c>
      <c r="JD26" s="1101">
        <v>0</v>
      </c>
      <c r="JE26" s="1101">
        <v>-6274088</v>
      </c>
      <c r="JF26" s="1101">
        <v>1235995</v>
      </c>
      <c r="JG26" s="1101">
        <v>0</v>
      </c>
      <c r="JH26" s="1101">
        <v>78387557</v>
      </c>
      <c r="JI26" s="1101">
        <v>0</v>
      </c>
      <c r="JJ26" s="1101">
        <v>24349</v>
      </c>
      <c r="JK26" s="1101">
        <v>0</v>
      </c>
      <c r="JL26" s="1101">
        <v>0</v>
      </c>
      <c r="JM26" s="1101">
        <v>0</v>
      </c>
      <c r="JN26" s="1101">
        <v>1680</v>
      </c>
      <c r="JO26" s="1101">
        <v>90969900</v>
      </c>
      <c r="JP26" s="1101">
        <v>0</v>
      </c>
      <c r="JQ26" s="1101">
        <v>257581</v>
      </c>
      <c r="JR26" s="1101">
        <v>0</v>
      </c>
      <c r="JS26" s="1101">
        <v>0</v>
      </c>
      <c r="JT26" s="1101">
        <v>0</v>
      </c>
      <c r="JU26" s="1101">
        <v>0</v>
      </c>
      <c r="JV26" s="1101">
        <v>0</v>
      </c>
      <c r="JW26" s="1101">
        <v>0</v>
      </c>
      <c r="JX26" s="1101">
        <v>0</v>
      </c>
      <c r="JY26" s="1101">
        <v>47444235</v>
      </c>
      <c r="JZ26" s="1101">
        <v>0</v>
      </c>
      <c r="KA26" s="1101">
        <v>0</v>
      </c>
      <c r="KB26" s="1101">
        <v>0</v>
      </c>
      <c r="KC26" s="1101">
        <v>0</v>
      </c>
      <c r="KD26" s="1101">
        <v>0</v>
      </c>
      <c r="KE26" s="1101">
        <v>0</v>
      </c>
      <c r="KF26" s="1101">
        <v>0</v>
      </c>
      <c r="KG26" s="1101">
        <v>56515780</v>
      </c>
      <c r="KH26" s="1101">
        <v>34212062</v>
      </c>
      <c r="KI26" s="1101">
        <v>19441125</v>
      </c>
      <c r="KJ26" s="1101">
        <v>0</v>
      </c>
      <c r="KK26" s="1101">
        <v>0</v>
      </c>
      <c r="KL26" s="1101">
        <v>0</v>
      </c>
      <c r="KM26" s="1101">
        <v>0</v>
      </c>
      <c r="KN26" s="1101">
        <v>0</v>
      </c>
      <c r="KO26" s="1101">
        <v>155539535</v>
      </c>
      <c r="KP26" s="1101">
        <v>95215318</v>
      </c>
      <c r="KQ26" s="1101">
        <v>0</v>
      </c>
      <c r="KR26" s="1101">
        <v>4313900</v>
      </c>
      <c r="KS26" s="1101">
        <v>0</v>
      </c>
      <c r="KT26" s="1101">
        <v>0</v>
      </c>
      <c r="KU26" s="1101">
        <v>0</v>
      </c>
      <c r="KV26" s="1101">
        <v>0</v>
      </c>
      <c r="KW26" s="1101">
        <v>0</v>
      </c>
      <c r="KX26" s="1101">
        <v>17910376</v>
      </c>
      <c r="KY26" s="1101">
        <v>46191424</v>
      </c>
      <c r="KZ26" s="1101">
        <v>0</v>
      </c>
      <c r="LA26" s="1101">
        <v>104598178</v>
      </c>
      <c r="LB26" s="1101">
        <v>0</v>
      </c>
      <c r="LC26" s="1101">
        <v>0</v>
      </c>
      <c r="LD26" s="1101">
        <v>0</v>
      </c>
      <c r="LE26" s="1101">
        <v>0</v>
      </c>
      <c r="LF26" s="1101">
        <v>0</v>
      </c>
      <c r="LG26" s="1101">
        <v>2871893</v>
      </c>
      <c r="LH26" s="1101">
        <v>12302619</v>
      </c>
      <c r="LI26" s="1101">
        <v>0</v>
      </c>
      <c r="LJ26" s="1101">
        <v>20772349</v>
      </c>
      <c r="LK26" s="1101">
        <v>0</v>
      </c>
      <c r="LL26" s="1101">
        <v>0</v>
      </c>
      <c r="LM26" s="1101">
        <v>0</v>
      </c>
      <c r="LN26" s="1101">
        <v>0</v>
      </c>
      <c r="LO26" s="1101">
        <v>0</v>
      </c>
      <c r="LP26" s="1101">
        <v>45046929</v>
      </c>
      <c r="LQ26" s="1101">
        <v>98147811</v>
      </c>
      <c r="LR26" s="1101">
        <v>0</v>
      </c>
      <c r="LS26" s="1101">
        <v>36735977</v>
      </c>
      <c r="LT26" s="1101">
        <v>0</v>
      </c>
      <c r="LU26" s="1101">
        <v>0</v>
      </c>
      <c r="LV26" s="1101">
        <v>0</v>
      </c>
      <c r="LW26" s="1101">
        <v>0</v>
      </c>
      <c r="LX26" s="1101">
        <v>0</v>
      </c>
      <c r="LY26" s="1101">
        <v>7172274</v>
      </c>
      <c r="LZ26" s="1101">
        <v>20926775</v>
      </c>
      <c r="MA26" s="1101">
        <v>0</v>
      </c>
      <c r="MB26" s="1101">
        <v>10092959</v>
      </c>
      <c r="MC26" s="1101">
        <v>0</v>
      </c>
      <c r="MD26" s="1101">
        <v>0</v>
      </c>
      <c r="ME26" s="1101">
        <v>0</v>
      </c>
      <c r="MF26" s="1101">
        <v>0</v>
      </c>
      <c r="MG26" s="1101">
        <v>0</v>
      </c>
      <c r="MH26" s="1101">
        <v>10976993</v>
      </c>
      <c r="MI26" s="1101">
        <v>73561076</v>
      </c>
      <c r="MJ26" s="1101">
        <v>0</v>
      </c>
      <c r="MK26" s="1101">
        <v>779991</v>
      </c>
      <c r="ML26" s="1101">
        <v>0</v>
      </c>
      <c r="MM26" s="1101">
        <v>0</v>
      </c>
      <c r="MN26" s="1101">
        <v>0</v>
      </c>
      <c r="MO26" s="1101">
        <v>0</v>
      </c>
      <c r="MP26" s="1101">
        <v>0</v>
      </c>
      <c r="MQ26" s="1101">
        <v>20082479</v>
      </c>
      <c r="MR26" s="1101">
        <v>26962386</v>
      </c>
      <c r="MS26" s="1101">
        <v>0</v>
      </c>
      <c r="MT26" s="1101">
        <v>12313097</v>
      </c>
      <c r="MU26" s="1101">
        <v>0</v>
      </c>
      <c r="MV26" s="1101">
        <v>0</v>
      </c>
      <c r="MW26" s="1101">
        <v>0</v>
      </c>
      <c r="MX26" s="1101">
        <v>0</v>
      </c>
      <c r="MY26" s="1101">
        <v>0</v>
      </c>
      <c r="MZ26" s="1101">
        <v>-3113055</v>
      </c>
      <c r="NA26" s="1101">
        <v>28418559</v>
      </c>
      <c r="NB26" s="1101">
        <v>0</v>
      </c>
      <c r="NC26" s="1101">
        <v>52697358</v>
      </c>
      <c r="ND26" s="1101">
        <v>0</v>
      </c>
      <c r="NE26" s="1101">
        <v>0</v>
      </c>
      <c r="NF26" s="1101">
        <v>0</v>
      </c>
      <c r="NG26" s="1101">
        <v>0</v>
      </c>
      <c r="NH26" s="1101">
        <v>0</v>
      </c>
      <c r="NI26" s="1101">
        <v>0</v>
      </c>
      <c r="NJ26" s="1101">
        <v>0</v>
      </c>
      <c r="NK26" s="1101">
        <v>99097370</v>
      </c>
      <c r="NL26" s="1101">
        <v>34979424</v>
      </c>
      <c r="NM26" s="1101">
        <v>0</v>
      </c>
      <c r="NN26" s="1101">
        <v>0</v>
      </c>
      <c r="NO26" s="1101">
        <v>0</v>
      </c>
      <c r="NP26" s="1101">
        <v>0</v>
      </c>
      <c r="NQ26" s="1101">
        <v>0</v>
      </c>
      <c r="NR26" s="1101">
        <v>5945790</v>
      </c>
      <c r="NS26" s="1101">
        <v>3627886</v>
      </c>
      <c r="NT26" s="1101">
        <v>183264</v>
      </c>
      <c r="NU26" s="1101">
        <v>3576800</v>
      </c>
      <c r="NV26" s="1101">
        <v>0</v>
      </c>
      <c r="NW26" s="1101">
        <v>0</v>
      </c>
      <c r="NX26" s="1101">
        <v>0</v>
      </c>
      <c r="NY26" s="1101">
        <v>0</v>
      </c>
      <c r="NZ26" s="1101">
        <v>0</v>
      </c>
      <c r="OA26" s="1101">
        <v>4007816</v>
      </c>
      <c r="OB26" s="1101">
        <v>0</v>
      </c>
      <c r="OC26" s="1101">
        <v>68030</v>
      </c>
      <c r="OD26" s="1101">
        <v>0</v>
      </c>
      <c r="OE26" s="1101">
        <v>67713</v>
      </c>
      <c r="OF26" s="1101">
        <v>21805891</v>
      </c>
      <c r="OG26" s="1101">
        <v>118335844</v>
      </c>
      <c r="OH26" s="1101">
        <v>0</v>
      </c>
      <c r="OI26" s="1101">
        <v>0</v>
      </c>
      <c r="OJ26" s="1101">
        <v>0</v>
      </c>
      <c r="OK26" s="1101">
        <v>0</v>
      </c>
      <c r="OL26" s="1101">
        <v>0</v>
      </c>
      <c r="OM26" s="1101">
        <v>0</v>
      </c>
      <c r="ON26" s="1101">
        <v>0</v>
      </c>
      <c r="OO26" s="1101">
        <v>0</v>
      </c>
      <c r="OP26" s="1101">
        <v>143289196</v>
      </c>
      <c r="OQ26" s="1101">
        <v>0</v>
      </c>
      <c r="OR26" s="1101">
        <v>0</v>
      </c>
      <c r="OS26" s="1101">
        <v>-78233589</v>
      </c>
      <c r="OT26" s="1101">
        <v>27849121</v>
      </c>
      <c r="OU26" s="1101">
        <v>-6679305</v>
      </c>
      <c r="OV26" s="1101">
        <v>-107112696</v>
      </c>
      <c r="OW26" s="1101">
        <v>0</v>
      </c>
      <c r="OX26" s="1101">
        <v>-2015890</v>
      </c>
      <c r="OY26" s="1101">
        <v>70803301</v>
      </c>
      <c r="OZ26" s="1101">
        <v>143940333</v>
      </c>
      <c r="PA26" s="1101">
        <v>168626923</v>
      </c>
      <c r="PB26" s="1101">
        <v>0</v>
      </c>
      <c r="PC26" s="1101">
        <v>0</v>
      </c>
      <c r="PD26" s="1101">
        <v>0</v>
      </c>
      <c r="PE26" s="1101">
        <v>0</v>
      </c>
      <c r="PF26" s="1101">
        <v>0</v>
      </c>
      <c r="PG26" s="1101">
        <v>0</v>
      </c>
      <c r="PH26" s="1101">
        <v>48101000</v>
      </c>
      <c r="PI26" s="1101">
        <v>0</v>
      </c>
      <c r="PJ26" s="1101">
        <v>0</v>
      </c>
      <c r="PK26" s="1101">
        <v>0</v>
      </c>
      <c r="PL26" s="1101">
        <v>0</v>
      </c>
      <c r="PM26" s="1101">
        <v>0</v>
      </c>
      <c r="PN26" s="1101">
        <v>0</v>
      </c>
      <c r="PO26" s="1101">
        <v>0</v>
      </c>
      <c r="PP26" s="1101">
        <v>0</v>
      </c>
      <c r="PQ26" s="1101">
        <v>0</v>
      </c>
      <c r="PR26" s="1101">
        <v>-145875990</v>
      </c>
      <c r="PS26" s="1101">
        <v>0</v>
      </c>
      <c r="PT26" s="1101">
        <v>0</v>
      </c>
      <c r="PU26" s="1101">
        <v>-4254641</v>
      </c>
      <c r="PV26" s="1101">
        <v>0</v>
      </c>
      <c r="PW26" s="1101">
        <v>0</v>
      </c>
      <c r="PX26" s="1101">
        <v>0</v>
      </c>
      <c r="PY26" s="1101">
        <v>121230358</v>
      </c>
      <c r="PZ26" s="1101">
        <v>0</v>
      </c>
      <c r="QA26" s="1101">
        <v>0</v>
      </c>
      <c r="QB26" s="1101">
        <v>0</v>
      </c>
      <c r="QC26" s="1101">
        <v>0</v>
      </c>
      <c r="QD26" s="1101">
        <v>0</v>
      </c>
      <c r="QE26" s="1101">
        <v>0</v>
      </c>
      <c r="QF26" s="1101">
        <v>0</v>
      </c>
      <c r="QG26" s="1101">
        <v>0</v>
      </c>
      <c r="QH26" s="1101">
        <v>29671553</v>
      </c>
      <c r="QI26" s="1101">
        <v>0</v>
      </c>
      <c r="QJ26" s="1101">
        <v>0</v>
      </c>
      <c r="QK26" s="1101">
        <v>0</v>
      </c>
      <c r="QL26" s="1101">
        <v>0</v>
      </c>
      <c r="QM26" s="1101">
        <v>0</v>
      </c>
      <c r="QN26" s="1101">
        <v>0</v>
      </c>
      <c r="QO26" s="1101">
        <v>0</v>
      </c>
      <c r="QP26" s="1101">
        <v>0</v>
      </c>
      <c r="QQ26" s="1101">
        <v>0</v>
      </c>
      <c r="QR26" s="1101">
        <v>-48101000</v>
      </c>
      <c r="QS26" s="1101">
        <v>0</v>
      </c>
      <c r="QT26" s="1101">
        <v>0</v>
      </c>
      <c r="QU26" s="1101">
        <v>0</v>
      </c>
      <c r="QV26" s="1101">
        <v>0</v>
      </c>
      <c r="QW26" s="1101">
        <v>0</v>
      </c>
      <c r="QX26" s="1101">
        <v>0</v>
      </c>
      <c r="QY26" s="1101">
        <v>0</v>
      </c>
      <c r="QZ26" s="1101">
        <v>0</v>
      </c>
      <c r="RA26" s="1101">
        <v>0</v>
      </c>
      <c r="RB26" s="1101">
        <v>0</v>
      </c>
      <c r="RC26" s="1101">
        <v>-91094771</v>
      </c>
      <c r="RD26" s="1101">
        <v>0</v>
      </c>
      <c r="RE26" s="1101">
        <v>0</v>
      </c>
      <c r="RF26" s="1101">
        <v>0</v>
      </c>
      <c r="RG26" s="1101">
        <v>0</v>
      </c>
      <c r="RH26" s="1101">
        <v>0</v>
      </c>
      <c r="RI26" s="1101">
        <v>0</v>
      </c>
      <c r="RJ26" s="1101">
        <v>0</v>
      </c>
      <c r="RK26" s="1101">
        <v>0</v>
      </c>
      <c r="RL26" s="1101">
        <v>0</v>
      </c>
      <c r="RM26" s="1101">
        <v>0</v>
      </c>
      <c r="RN26" s="1101">
        <v>0</v>
      </c>
      <c r="RO26" s="1101">
        <v>0</v>
      </c>
      <c r="RP26" s="1101">
        <v>0</v>
      </c>
      <c r="RQ26" s="1101">
        <v>0</v>
      </c>
      <c r="RR26" s="1101">
        <v>0</v>
      </c>
      <c r="RS26" s="1101">
        <v>0</v>
      </c>
      <c r="RT26" s="1101">
        <v>0</v>
      </c>
      <c r="RU26" s="1101">
        <v>0</v>
      </c>
      <c r="RV26" s="1101">
        <v>0</v>
      </c>
      <c r="RW26" s="1101">
        <v>0</v>
      </c>
      <c r="RX26" s="1101">
        <v>0</v>
      </c>
      <c r="RY26" s="1101">
        <v>0</v>
      </c>
      <c r="RZ26" s="1101">
        <v>0</v>
      </c>
      <c r="SA26" s="1101">
        <v>0</v>
      </c>
      <c r="SB26" s="1101">
        <v>0</v>
      </c>
      <c r="SC26" s="1101">
        <v>0</v>
      </c>
      <c r="SD26" s="1101">
        <v>121400</v>
      </c>
      <c r="SE26" s="1101">
        <v>5945790</v>
      </c>
      <c r="SF26" s="1101">
        <v>3627886</v>
      </c>
      <c r="SG26" s="1101">
        <v>183264</v>
      </c>
      <c r="SH26" s="1101">
        <v>3576800</v>
      </c>
      <c r="SI26" s="1101">
        <v>0</v>
      </c>
      <c r="SJ26" s="1101">
        <v>0</v>
      </c>
      <c r="SK26" s="1101">
        <v>-143289196</v>
      </c>
      <c r="SL26" s="1102">
        <v>0</v>
      </c>
      <c r="SM26" s="1101">
        <v>0</v>
      </c>
      <c r="SN26" s="1101">
        <v>339794744</v>
      </c>
      <c r="SO26" s="1102"/>
      <c r="SP26" s="1103"/>
      <c r="SQ26" s="1104">
        <v>563231359</v>
      </c>
      <c r="SR26" s="1104">
        <v>-162659266</v>
      </c>
      <c r="SS26" s="1105">
        <v>143828</v>
      </c>
      <c r="ST26" s="1106">
        <v>10173606</v>
      </c>
      <c r="SU26" s="1106">
        <v>-263669</v>
      </c>
      <c r="SV26" s="1106">
        <v>2601660</v>
      </c>
      <c r="SW26" s="1106">
        <v>21097</v>
      </c>
      <c r="SX26" s="1106">
        <v>285334</v>
      </c>
      <c r="SY26" s="1106">
        <v>188620</v>
      </c>
      <c r="SZ26" s="1106">
        <v>0</v>
      </c>
      <c r="TA26" s="1106">
        <v>183264</v>
      </c>
      <c r="TB26" s="1106">
        <v>311761</v>
      </c>
      <c r="TC26" s="1105">
        <v>0</v>
      </c>
      <c r="TD26" s="1106">
        <v>0</v>
      </c>
      <c r="TE26" s="1106">
        <v>0</v>
      </c>
      <c r="TF26" s="1106">
        <v>0</v>
      </c>
      <c r="TG26" s="1106">
        <v>0</v>
      </c>
      <c r="TH26" s="1106">
        <v>0</v>
      </c>
      <c r="TI26" s="1106">
        <v>0</v>
      </c>
      <c r="TJ26" s="1106">
        <v>0</v>
      </c>
      <c r="TK26" s="1105">
        <v>0</v>
      </c>
      <c r="TL26" s="1106">
        <v>120392</v>
      </c>
      <c r="TM26" s="1106">
        <v>0</v>
      </c>
      <c r="TN26" s="1106">
        <v>0</v>
      </c>
      <c r="TO26" s="1106">
        <v>0</v>
      </c>
      <c r="TP26" s="1106">
        <v>0</v>
      </c>
      <c r="TQ26" s="1106">
        <v>0</v>
      </c>
      <c r="TR26" s="1106">
        <v>0</v>
      </c>
      <c r="TS26" s="1105">
        <v>255068753</v>
      </c>
      <c r="TT26" s="1106">
        <v>168699978</v>
      </c>
      <c r="TU26" s="1106">
        <v>35946861</v>
      </c>
      <c r="TV26" s="1106">
        <v>179930717</v>
      </c>
      <c r="TW26" s="1106">
        <v>38192008</v>
      </c>
      <c r="TX26" s="1106">
        <v>85318060</v>
      </c>
      <c r="TY26" s="1106">
        <v>59357962</v>
      </c>
      <c r="TZ26" s="1107">
        <v>78002862</v>
      </c>
      <c r="UA26" s="1107">
        <v>134076794</v>
      </c>
      <c r="UB26" s="1105">
        <v>462177301</v>
      </c>
      <c r="UC26" s="1108">
        <v>116975717</v>
      </c>
      <c r="UD26" s="1108"/>
      <c r="UE26" s="1103"/>
      <c r="UF26" s="1109" t="s">
        <v>2438</v>
      </c>
      <c r="UG26" s="1110" t="s">
        <v>2439</v>
      </c>
      <c r="UH26" s="1110" t="s">
        <v>2440</v>
      </c>
    </row>
    <row r="27" spans="1:554" s="776" customFormat="1" ht="33" customHeight="1" thickBot="1">
      <c r="A27" s="1093">
        <v>240</v>
      </c>
      <c r="B27" s="1094" t="s">
        <v>116</v>
      </c>
      <c r="C27" s="1095" t="s">
        <v>323</v>
      </c>
      <c r="D27" s="1096" t="s">
        <v>2398</v>
      </c>
      <c r="E27" s="1097">
        <v>11711</v>
      </c>
      <c r="F27" s="1098">
        <v>547227805</v>
      </c>
      <c r="G27" s="1096" t="s">
        <v>2399</v>
      </c>
      <c r="H27" s="1100" t="s">
        <v>116</v>
      </c>
      <c r="I27" s="1100"/>
      <c r="J27" s="1100"/>
      <c r="K27" s="1100"/>
      <c r="L27" s="1100"/>
      <c r="M27" s="1101">
        <v>34963937</v>
      </c>
      <c r="N27" s="1101">
        <v>0</v>
      </c>
      <c r="O27" s="1101">
        <v>0</v>
      </c>
      <c r="P27" s="1101">
        <v>0</v>
      </c>
      <c r="Q27" s="1101">
        <v>0</v>
      </c>
      <c r="R27" s="1101">
        <v>0</v>
      </c>
      <c r="S27" s="1101">
        <v>0</v>
      </c>
      <c r="T27" s="1101">
        <v>0</v>
      </c>
      <c r="U27" s="1101">
        <v>0</v>
      </c>
      <c r="V27" s="1101">
        <v>518868</v>
      </c>
      <c r="W27" s="1101">
        <v>0</v>
      </c>
      <c r="X27" s="1101">
        <v>0</v>
      </c>
      <c r="Y27" s="1101">
        <v>3842350</v>
      </c>
      <c r="Z27" s="1101">
        <v>0</v>
      </c>
      <c r="AA27" s="1101">
        <v>0</v>
      </c>
      <c r="AB27" s="1101">
        <v>0</v>
      </c>
      <c r="AC27" s="1101">
        <v>0</v>
      </c>
      <c r="AD27" s="1101">
        <v>0</v>
      </c>
      <c r="AE27" s="1101">
        <v>0</v>
      </c>
      <c r="AF27" s="1101">
        <v>0</v>
      </c>
      <c r="AG27" s="1101">
        <v>0</v>
      </c>
      <c r="AH27" s="1101">
        <v>0</v>
      </c>
      <c r="AI27" s="1101">
        <v>0</v>
      </c>
      <c r="AJ27" s="1101">
        <v>0</v>
      </c>
      <c r="AK27" s="1101">
        <v>0</v>
      </c>
      <c r="AL27" s="1101">
        <v>0</v>
      </c>
      <c r="AM27" s="1101">
        <v>0</v>
      </c>
      <c r="AN27" s="1101">
        <v>7726043</v>
      </c>
      <c r="AO27" s="1101">
        <v>0</v>
      </c>
      <c r="AP27" s="1101">
        <v>0</v>
      </c>
      <c r="AQ27" s="1101">
        <v>0</v>
      </c>
      <c r="AR27" s="1101">
        <v>0</v>
      </c>
      <c r="AS27" s="1101">
        <v>0</v>
      </c>
      <c r="AT27" s="1101">
        <v>0</v>
      </c>
      <c r="AU27" s="1101">
        <v>0</v>
      </c>
      <c r="AV27" s="1101">
        <v>0</v>
      </c>
      <c r="AW27" s="1101">
        <v>0</v>
      </c>
      <c r="AX27" s="1101">
        <v>0</v>
      </c>
      <c r="AY27" s="1101">
        <v>0</v>
      </c>
      <c r="AZ27" s="1101">
        <v>0</v>
      </c>
      <c r="BA27" s="1101">
        <v>0</v>
      </c>
      <c r="BB27" s="1101">
        <v>0</v>
      </c>
      <c r="BC27" s="1101">
        <v>0</v>
      </c>
      <c r="BD27" s="1101">
        <v>0</v>
      </c>
      <c r="BE27" s="1101">
        <v>0</v>
      </c>
      <c r="BF27" s="1101">
        <v>-2198078</v>
      </c>
      <c r="BG27" s="1101">
        <v>-669105</v>
      </c>
      <c r="BH27" s="1101">
        <v>0</v>
      </c>
      <c r="BI27" s="1101">
        <v>0</v>
      </c>
      <c r="BJ27" s="1101">
        <v>0</v>
      </c>
      <c r="BK27" s="1101">
        <v>0</v>
      </c>
      <c r="BL27" s="1101">
        <v>0</v>
      </c>
      <c r="BM27" s="1101">
        <v>0</v>
      </c>
      <c r="BN27" s="1101">
        <v>0</v>
      </c>
      <c r="BO27" s="1101">
        <v>0</v>
      </c>
      <c r="BP27" s="1101">
        <v>0</v>
      </c>
      <c r="BQ27" s="1101">
        <v>0</v>
      </c>
      <c r="BR27" s="1101">
        <v>0</v>
      </c>
      <c r="BS27" s="1101">
        <v>0</v>
      </c>
      <c r="BT27" s="1101">
        <v>0</v>
      </c>
      <c r="BU27" s="1101">
        <v>0</v>
      </c>
      <c r="BV27" s="1101">
        <v>0</v>
      </c>
      <c r="BW27" s="1101">
        <v>0</v>
      </c>
      <c r="BX27" s="1101">
        <v>0</v>
      </c>
      <c r="BY27" s="1101">
        <v>0</v>
      </c>
      <c r="BZ27" s="1101">
        <v>0</v>
      </c>
      <c r="CA27" s="1101">
        <v>0</v>
      </c>
      <c r="CB27" s="1101">
        <v>0</v>
      </c>
      <c r="CC27" s="1101">
        <v>0</v>
      </c>
      <c r="CD27" s="1101">
        <v>0</v>
      </c>
      <c r="CE27" s="1101">
        <v>0</v>
      </c>
      <c r="CF27" s="1101">
        <v>0</v>
      </c>
      <c r="CG27" s="1101">
        <v>0</v>
      </c>
      <c r="CH27" s="1101">
        <v>0</v>
      </c>
      <c r="CI27" s="1101">
        <v>0</v>
      </c>
      <c r="CJ27" s="1101">
        <v>0</v>
      </c>
      <c r="CK27" s="1101">
        <v>0</v>
      </c>
      <c r="CL27" s="1101">
        <v>0</v>
      </c>
      <c r="CM27" s="1101">
        <v>0</v>
      </c>
      <c r="CN27" s="1101">
        <v>0</v>
      </c>
      <c r="CO27" s="1101">
        <v>0</v>
      </c>
      <c r="CP27" s="1101">
        <v>14246204</v>
      </c>
      <c r="CQ27" s="1101">
        <v>46105907</v>
      </c>
      <c r="CR27" s="1101">
        <v>0</v>
      </c>
      <c r="CS27" s="1101">
        <v>0</v>
      </c>
      <c r="CT27" s="1101">
        <v>0</v>
      </c>
      <c r="CU27" s="1101">
        <v>0</v>
      </c>
      <c r="CV27" s="1101">
        <v>0</v>
      </c>
      <c r="CW27" s="1101">
        <v>0</v>
      </c>
      <c r="CX27" s="1101">
        <v>0</v>
      </c>
      <c r="CY27" s="1101">
        <v>0</v>
      </c>
      <c r="CZ27" s="1101">
        <v>0</v>
      </c>
      <c r="DA27" s="1101">
        <v>0</v>
      </c>
      <c r="DB27" s="1101">
        <v>0</v>
      </c>
      <c r="DC27" s="1101">
        <v>0</v>
      </c>
      <c r="DD27" s="1101">
        <v>0</v>
      </c>
      <c r="DE27" s="1101">
        <v>0</v>
      </c>
      <c r="DF27" s="1101">
        <v>0</v>
      </c>
      <c r="DG27" s="1101">
        <v>0</v>
      </c>
      <c r="DH27" s="1101">
        <v>0</v>
      </c>
      <c r="DI27" s="1101">
        <v>0</v>
      </c>
      <c r="DJ27" s="1101">
        <v>0</v>
      </c>
      <c r="DK27" s="1101">
        <v>0</v>
      </c>
      <c r="DL27" s="1101">
        <v>0</v>
      </c>
      <c r="DM27" s="1101">
        <v>0</v>
      </c>
      <c r="DN27" s="1101">
        <v>0</v>
      </c>
      <c r="DO27" s="1101">
        <v>0</v>
      </c>
      <c r="DP27" s="1101">
        <v>0</v>
      </c>
      <c r="DQ27" s="1101">
        <v>-443736</v>
      </c>
      <c r="DR27" s="1101">
        <v>-1578438</v>
      </c>
      <c r="DS27" s="1101">
        <v>0</v>
      </c>
      <c r="DT27" s="1101">
        <v>0</v>
      </c>
      <c r="DU27" s="1101">
        <v>0</v>
      </c>
      <c r="DV27" s="1101">
        <v>0</v>
      </c>
      <c r="DW27" s="1101">
        <v>0</v>
      </c>
      <c r="DX27" s="1101">
        <v>0</v>
      </c>
      <c r="DY27" s="1101">
        <v>0</v>
      </c>
      <c r="DZ27" s="1101">
        <v>0</v>
      </c>
      <c r="EA27" s="1101">
        <v>0</v>
      </c>
      <c r="EB27" s="1101">
        <v>0</v>
      </c>
      <c r="EC27" s="1101">
        <v>0</v>
      </c>
      <c r="ED27" s="1101">
        <v>0</v>
      </c>
      <c r="EE27" s="1101">
        <v>0</v>
      </c>
      <c r="EF27" s="1101">
        <v>0</v>
      </c>
      <c r="EG27" s="1101">
        <v>0</v>
      </c>
      <c r="EH27" s="1101">
        <v>0</v>
      </c>
      <c r="EI27" s="1101">
        <v>-3886644</v>
      </c>
      <c r="EJ27" s="1101">
        <v>-10739130</v>
      </c>
      <c r="EK27" s="1101">
        <v>0</v>
      </c>
      <c r="EL27" s="1101">
        <v>0</v>
      </c>
      <c r="EM27" s="1101">
        <v>0</v>
      </c>
      <c r="EN27" s="1101">
        <v>0</v>
      </c>
      <c r="EO27" s="1101">
        <v>0</v>
      </c>
      <c r="EP27" s="1101">
        <v>0</v>
      </c>
      <c r="EQ27" s="1101">
        <v>0</v>
      </c>
      <c r="ER27" s="1101">
        <v>0</v>
      </c>
      <c r="ES27" s="1101">
        <v>-151537</v>
      </c>
      <c r="ET27" s="1101">
        <v>-153</v>
      </c>
      <c r="EU27" s="1101">
        <v>0</v>
      </c>
      <c r="EV27" s="1101">
        <v>0</v>
      </c>
      <c r="EW27" s="1101">
        <v>0</v>
      </c>
      <c r="EX27" s="1101">
        <v>0</v>
      </c>
      <c r="EY27" s="1101">
        <v>0</v>
      </c>
      <c r="EZ27" s="1101">
        <v>0</v>
      </c>
      <c r="FA27" s="1101">
        <v>0</v>
      </c>
      <c r="FB27" s="1101">
        <v>0</v>
      </c>
      <c r="FC27" s="1101">
        <v>0</v>
      </c>
      <c r="FD27" s="1101">
        <v>0</v>
      </c>
      <c r="FE27" s="1101">
        <v>0</v>
      </c>
      <c r="FF27" s="1101">
        <v>0</v>
      </c>
      <c r="FG27" s="1101">
        <v>0</v>
      </c>
      <c r="FH27" s="1101">
        <v>0</v>
      </c>
      <c r="FI27" s="1101">
        <v>0</v>
      </c>
      <c r="FJ27" s="1101">
        <v>0</v>
      </c>
      <c r="FK27" s="1101">
        <v>0</v>
      </c>
      <c r="FL27" s="1101">
        <v>0</v>
      </c>
      <c r="FM27" s="1101">
        <v>0</v>
      </c>
      <c r="FN27" s="1101">
        <v>0</v>
      </c>
      <c r="FO27" s="1101">
        <v>0</v>
      </c>
      <c r="FP27" s="1101">
        <v>0</v>
      </c>
      <c r="FQ27" s="1101">
        <v>0</v>
      </c>
      <c r="FR27" s="1101">
        <v>0</v>
      </c>
      <c r="FS27" s="1101">
        <v>0</v>
      </c>
      <c r="FT27" s="1101">
        <v>0</v>
      </c>
      <c r="FU27" s="1101">
        <v>0</v>
      </c>
      <c r="FV27" s="1101">
        <v>0</v>
      </c>
      <c r="FW27" s="1101">
        <v>0</v>
      </c>
      <c r="FX27" s="1101">
        <v>0</v>
      </c>
      <c r="FY27" s="1101">
        <v>0</v>
      </c>
      <c r="FZ27" s="1101">
        <v>0</v>
      </c>
      <c r="GA27" s="1101">
        <v>0</v>
      </c>
      <c r="GB27" s="1101">
        <v>0</v>
      </c>
      <c r="GC27" s="1101">
        <v>10441959</v>
      </c>
      <c r="GD27" s="1101">
        <v>8118254</v>
      </c>
      <c r="GE27" s="1101">
        <v>0</v>
      </c>
      <c r="GF27" s="1101">
        <v>0</v>
      </c>
      <c r="GG27" s="1101">
        <v>0</v>
      </c>
      <c r="GH27" s="1101">
        <v>0</v>
      </c>
      <c r="GI27" s="1101">
        <v>0</v>
      </c>
      <c r="GJ27" s="1101">
        <v>0</v>
      </c>
      <c r="GK27" s="1101">
        <v>0</v>
      </c>
      <c r="GL27" s="1101">
        <v>0</v>
      </c>
      <c r="GM27" s="1101">
        <v>0</v>
      </c>
      <c r="GN27" s="1101">
        <v>0</v>
      </c>
      <c r="GO27" s="1101">
        <v>0</v>
      </c>
      <c r="GP27" s="1101">
        <v>0</v>
      </c>
      <c r="GQ27" s="1101">
        <v>0</v>
      </c>
      <c r="GR27" s="1101">
        <v>0</v>
      </c>
      <c r="GS27" s="1101">
        <v>0</v>
      </c>
      <c r="GT27" s="1101">
        <v>0</v>
      </c>
      <c r="GU27" s="1101">
        <v>0</v>
      </c>
      <c r="GV27" s="1101">
        <v>0</v>
      </c>
      <c r="GW27" s="1101">
        <v>0</v>
      </c>
      <c r="GX27" s="1101">
        <v>0</v>
      </c>
      <c r="GY27" s="1101">
        <v>0</v>
      </c>
      <c r="GZ27" s="1101">
        <v>0</v>
      </c>
      <c r="HA27" s="1101">
        <v>0</v>
      </c>
      <c r="HB27" s="1101">
        <v>0</v>
      </c>
      <c r="HC27" s="1101">
        <v>0</v>
      </c>
      <c r="HD27" s="1101">
        <v>-357481</v>
      </c>
      <c r="HE27" s="1101">
        <v>-139945</v>
      </c>
      <c r="HF27" s="1101">
        <v>0</v>
      </c>
      <c r="HG27" s="1101">
        <v>0</v>
      </c>
      <c r="HH27" s="1101">
        <v>0</v>
      </c>
      <c r="HI27" s="1101">
        <v>0</v>
      </c>
      <c r="HJ27" s="1101">
        <v>0</v>
      </c>
      <c r="HK27" s="1101">
        <v>0</v>
      </c>
      <c r="HL27" s="1101">
        <v>0</v>
      </c>
      <c r="HM27" s="1101">
        <v>0</v>
      </c>
      <c r="HN27" s="1101">
        <v>0</v>
      </c>
      <c r="HO27" s="1101">
        <v>0</v>
      </c>
      <c r="HP27" s="1101">
        <v>0</v>
      </c>
      <c r="HQ27" s="1101">
        <v>0</v>
      </c>
      <c r="HR27" s="1101">
        <v>0</v>
      </c>
      <c r="HS27" s="1101">
        <v>0</v>
      </c>
      <c r="HT27" s="1101">
        <v>0</v>
      </c>
      <c r="HU27" s="1101">
        <v>0</v>
      </c>
      <c r="HV27" s="1101">
        <v>-2432173</v>
      </c>
      <c r="HW27" s="1101">
        <v>-1997929</v>
      </c>
      <c r="HX27" s="1101">
        <v>0</v>
      </c>
      <c r="HY27" s="1101">
        <v>0</v>
      </c>
      <c r="HZ27" s="1101">
        <v>0</v>
      </c>
      <c r="IA27" s="1101">
        <v>0</v>
      </c>
      <c r="IB27" s="1101">
        <v>0</v>
      </c>
      <c r="IC27" s="1101">
        <v>0</v>
      </c>
      <c r="ID27" s="1101">
        <v>0</v>
      </c>
      <c r="IE27" s="1101">
        <v>0</v>
      </c>
      <c r="IF27" s="1101">
        <v>0</v>
      </c>
      <c r="IG27" s="1101">
        <v>37552981</v>
      </c>
      <c r="IH27" s="1101">
        <v>0</v>
      </c>
      <c r="II27" s="1101">
        <v>0</v>
      </c>
      <c r="IJ27" s="1101">
        <v>0</v>
      </c>
      <c r="IK27" s="1101">
        <v>0</v>
      </c>
      <c r="IL27" s="1101">
        <v>0</v>
      </c>
      <c r="IM27" s="1101">
        <v>32895</v>
      </c>
      <c r="IN27" s="1101">
        <v>542851</v>
      </c>
      <c r="IO27" s="1101">
        <v>0</v>
      </c>
      <c r="IP27" s="1101">
        <v>0</v>
      </c>
      <c r="IQ27" s="1101">
        <v>10109</v>
      </c>
      <c r="IR27" s="1101">
        <v>3498451</v>
      </c>
      <c r="IS27" s="1101">
        <v>17930</v>
      </c>
      <c r="IT27" s="1101">
        <v>0</v>
      </c>
      <c r="IU27" s="1101">
        <v>0</v>
      </c>
      <c r="IV27" s="1101">
        <v>0</v>
      </c>
      <c r="IW27" s="1101">
        <v>0</v>
      </c>
      <c r="IX27" s="1101">
        <v>0</v>
      </c>
      <c r="IY27" s="1101">
        <v>94576</v>
      </c>
      <c r="IZ27" s="1101">
        <v>0</v>
      </c>
      <c r="JA27" s="1101">
        <v>0</v>
      </c>
      <c r="JB27" s="1101">
        <v>0</v>
      </c>
      <c r="JC27" s="1101">
        <v>0</v>
      </c>
      <c r="JD27" s="1101">
        <v>0</v>
      </c>
      <c r="JE27" s="1101">
        <v>0</v>
      </c>
      <c r="JF27" s="1101">
        <v>343203</v>
      </c>
      <c r="JG27" s="1101">
        <v>0</v>
      </c>
      <c r="JH27" s="1101">
        <v>1014891</v>
      </c>
      <c r="JI27" s="1101">
        <v>0</v>
      </c>
      <c r="JJ27" s="1101">
        <v>0</v>
      </c>
      <c r="JK27" s="1101">
        <v>0</v>
      </c>
      <c r="JL27" s="1101">
        <v>0</v>
      </c>
      <c r="JM27" s="1101">
        <v>0</v>
      </c>
      <c r="JN27" s="1101">
        <v>20952</v>
      </c>
      <c r="JO27" s="1101">
        <v>1141585</v>
      </c>
      <c r="JP27" s="1101">
        <v>0</v>
      </c>
      <c r="JQ27" s="1101">
        <v>0</v>
      </c>
      <c r="JR27" s="1101">
        <v>0</v>
      </c>
      <c r="JS27" s="1101">
        <v>0</v>
      </c>
      <c r="JT27" s="1101">
        <v>0</v>
      </c>
      <c r="JU27" s="1101">
        <v>0</v>
      </c>
      <c r="JV27" s="1101">
        <v>0</v>
      </c>
      <c r="JW27" s="1101">
        <v>0</v>
      </c>
      <c r="JX27" s="1101">
        <v>0</v>
      </c>
      <c r="JY27" s="1101">
        <v>1535903</v>
      </c>
      <c r="JZ27" s="1101">
        <v>0</v>
      </c>
      <c r="KA27" s="1101">
        <v>0</v>
      </c>
      <c r="KB27" s="1101">
        <v>0</v>
      </c>
      <c r="KC27" s="1101">
        <v>0</v>
      </c>
      <c r="KD27" s="1101">
        <v>0</v>
      </c>
      <c r="KE27" s="1101">
        <v>0</v>
      </c>
      <c r="KF27" s="1101">
        <v>0</v>
      </c>
      <c r="KG27" s="1101">
        <v>3233258</v>
      </c>
      <c r="KH27" s="1101">
        <v>3442799</v>
      </c>
      <c r="KI27" s="1101">
        <v>516373</v>
      </c>
      <c r="KJ27" s="1101">
        <v>0</v>
      </c>
      <c r="KK27" s="1101">
        <v>0</v>
      </c>
      <c r="KL27" s="1101">
        <v>0</v>
      </c>
      <c r="KM27" s="1101">
        <v>0</v>
      </c>
      <c r="KN27" s="1101">
        <v>0</v>
      </c>
      <c r="KO27" s="1101">
        <v>32803237</v>
      </c>
      <c r="KP27" s="1101">
        <v>9532901</v>
      </c>
      <c r="KQ27" s="1101">
        <v>0</v>
      </c>
      <c r="KR27" s="1101">
        <v>801514</v>
      </c>
      <c r="KS27" s="1101">
        <v>0</v>
      </c>
      <c r="KT27" s="1101">
        <v>0</v>
      </c>
      <c r="KU27" s="1101">
        <v>0</v>
      </c>
      <c r="KV27" s="1101">
        <v>0</v>
      </c>
      <c r="KW27" s="1101">
        <v>0</v>
      </c>
      <c r="KX27" s="1101">
        <v>436671</v>
      </c>
      <c r="KY27" s="1101">
        <v>-43706</v>
      </c>
      <c r="KZ27" s="1101">
        <v>0</v>
      </c>
      <c r="LA27" s="1101">
        <v>1323290</v>
      </c>
      <c r="LB27" s="1101">
        <v>0</v>
      </c>
      <c r="LC27" s="1101">
        <v>0</v>
      </c>
      <c r="LD27" s="1101">
        <v>0</v>
      </c>
      <c r="LE27" s="1101">
        <v>0</v>
      </c>
      <c r="LF27" s="1101">
        <v>0</v>
      </c>
      <c r="LG27" s="1101">
        <v>0</v>
      </c>
      <c r="LH27" s="1101">
        <v>17072</v>
      </c>
      <c r="LI27" s="1101">
        <v>0</v>
      </c>
      <c r="LJ27" s="1101">
        <v>50844</v>
      </c>
      <c r="LK27" s="1101">
        <v>0</v>
      </c>
      <c r="LL27" s="1101">
        <v>0</v>
      </c>
      <c r="LM27" s="1101">
        <v>0</v>
      </c>
      <c r="LN27" s="1101">
        <v>0</v>
      </c>
      <c r="LO27" s="1101">
        <v>0</v>
      </c>
      <c r="LP27" s="1101">
        <v>6693696</v>
      </c>
      <c r="LQ27" s="1101">
        <v>12955590</v>
      </c>
      <c r="LR27" s="1101">
        <v>0</v>
      </c>
      <c r="LS27" s="1101">
        <v>11332880</v>
      </c>
      <c r="LT27" s="1101">
        <v>0</v>
      </c>
      <c r="LU27" s="1101">
        <v>0</v>
      </c>
      <c r="LV27" s="1101">
        <v>0</v>
      </c>
      <c r="LW27" s="1101">
        <v>0</v>
      </c>
      <c r="LX27" s="1101">
        <v>0</v>
      </c>
      <c r="LY27" s="1101">
        <v>1742053</v>
      </c>
      <c r="LZ27" s="1101">
        <v>6295169</v>
      </c>
      <c r="MA27" s="1101">
        <v>0</v>
      </c>
      <c r="MB27" s="1101">
        <v>11606</v>
      </c>
      <c r="MC27" s="1101">
        <v>0</v>
      </c>
      <c r="MD27" s="1101">
        <v>0</v>
      </c>
      <c r="ME27" s="1101">
        <v>0</v>
      </c>
      <c r="MF27" s="1101">
        <v>0</v>
      </c>
      <c r="MG27" s="1101">
        <v>0</v>
      </c>
      <c r="MH27" s="1101">
        <v>6590028</v>
      </c>
      <c r="MI27" s="1101">
        <v>11062147</v>
      </c>
      <c r="MJ27" s="1101">
        <v>0</v>
      </c>
      <c r="MK27" s="1101">
        <v>32526</v>
      </c>
      <c r="ML27" s="1101">
        <v>0</v>
      </c>
      <c r="MM27" s="1101">
        <v>0</v>
      </c>
      <c r="MN27" s="1101">
        <v>0</v>
      </c>
      <c r="MO27" s="1101">
        <v>0</v>
      </c>
      <c r="MP27" s="1101">
        <v>0</v>
      </c>
      <c r="MQ27" s="1101">
        <v>3765213</v>
      </c>
      <c r="MR27" s="1101">
        <v>6174953</v>
      </c>
      <c r="MS27" s="1101">
        <v>0</v>
      </c>
      <c r="MT27" s="1101">
        <v>5100</v>
      </c>
      <c r="MU27" s="1101">
        <v>0</v>
      </c>
      <c r="MV27" s="1101">
        <v>0</v>
      </c>
      <c r="MW27" s="1101">
        <v>0</v>
      </c>
      <c r="MX27" s="1101">
        <v>0</v>
      </c>
      <c r="MY27" s="1101">
        <v>0</v>
      </c>
      <c r="MZ27" s="1101">
        <v>464711</v>
      </c>
      <c r="NA27" s="1101">
        <v>4807354</v>
      </c>
      <c r="NB27" s="1101">
        <v>0</v>
      </c>
      <c r="NC27" s="1101">
        <v>13347151</v>
      </c>
      <c r="ND27" s="1101">
        <v>-38499</v>
      </c>
      <c r="NE27" s="1101">
        <v>0</v>
      </c>
      <c r="NF27" s="1101">
        <v>0</v>
      </c>
      <c r="NG27" s="1101">
        <v>0</v>
      </c>
      <c r="NH27" s="1101">
        <v>0</v>
      </c>
      <c r="NI27" s="1101">
        <v>0</v>
      </c>
      <c r="NJ27" s="1101">
        <v>0</v>
      </c>
      <c r="NK27" s="1101">
        <v>6563705</v>
      </c>
      <c r="NL27" s="1101">
        <v>0</v>
      </c>
      <c r="NM27" s="1101">
        <v>0</v>
      </c>
      <c r="NN27" s="1101">
        <v>0</v>
      </c>
      <c r="NO27" s="1101">
        <v>0</v>
      </c>
      <c r="NP27" s="1101">
        <v>0</v>
      </c>
      <c r="NQ27" s="1101">
        <v>0</v>
      </c>
      <c r="NR27" s="1101">
        <v>1763883</v>
      </c>
      <c r="NS27" s="1101">
        <v>911108</v>
      </c>
      <c r="NT27" s="1101">
        <v>81206</v>
      </c>
      <c r="NU27" s="1101">
        <v>223563</v>
      </c>
      <c r="NV27" s="1101">
        <v>0</v>
      </c>
      <c r="NW27" s="1101">
        <v>0</v>
      </c>
      <c r="NX27" s="1101">
        <v>0</v>
      </c>
      <c r="NY27" s="1101">
        <v>0</v>
      </c>
      <c r="NZ27" s="1101">
        <v>0</v>
      </c>
      <c r="OA27" s="1101">
        <v>757131</v>
      </c>
      <c r="OB27" s="1101">
        <v>0</v>
      </c>
      <c r="OC27" s="1101">
        <v>0</v>
      </c>
      <c r="OD27" s="1101">
        <v>0</v>
      </c>
      <c r="OE27" s="1101">
        <v>38258</v>
      </c>
      <c r="OF27" s="1101">
        <v>986030</v>
      </c>
      <c r="OG27" s="1101">
        <v>1988987</v>
      </c>
      <c r="OH27" s="1101">
        <v>7643433</v>
      </c>
      <c r="OI27" s="1101">
        <v>0</v>
      </c>
      <c r="OJ27" s="1101">
        <v>0</v>
      </c>
      <c r="OK27" s="1101">
        <v>0</v>
      </c>
      <c r="OL27" s="1101">
        <v>0</v>
      </c>
      <c r="OM27" s="1101">
        <v>0</v>
      </c>
      <c r="ON27" s="1101">
        <v>0</v>
      </c>
      <c r="OO27" s="1101">
        <v>0</v>
      </c>
      <c r="OP27" s="1101">
        <v>0</v>
      </c>
      <c r="OQ27" s="1101">
        <v>0</v>
      </c>
      <c r="OR27" s="1101">
        <v>0</v>
      </c>
      <c r="OS27" s="1101">
        <v>-2714973</v>
      </c>
      <c r="OT27" s="1101">
        <v>8320010</v>
      </c>
      <c r="OU27" s="1101">
        <v>-1514819</v>
      </c>
      <c r="OV27" s="1101">
        <v>-14263609</v>
      </c>
      <c r="OW27" s="1101">
        <v>39410</v>
      </c>
      <c r="OX27" s="1101">
        <v>-171282</v>
      </c>
      <c r="OY27" s="1101">
        <v>2525402</v>
      </c>
      <c r="OZ27" s="1101">
        <v>13006062</v>
      </c>
      <c r="PA27" s="1101">
        <v>12197745</v>
      </c>
      <c r="PB27" s="1101">
        <v>0</v>
      </c>
      <c r="PC27" s="1101">
        <v>0</v>
      </c>
      <c r="PD27" s="1101">
        <v>0</v>
      </c>
      <c r="PE27" s="1101">
        <v>0</v>
      </c>
      <c r="PF27" s="1101">
        <v>0</v>
      </c>
      <c r="PG27" s="1101">
        <v>0</v>
      </c>
      <c r="PH27" s="1101">
        <v>0</v>
      </c>
      <c r="PI27" s="1101">
        <v>0</v>
      </c>
      <c r="PJ27" s="1101">
        <v>0</v>
      </c>
      <c r="PK27" s="1101">
        <v>0</v>
      </c>
      <c r="PL27" s="1101">
        <v>0</v>
      </c>
      <c r="PM27" s="1101">
        <v>0</v>
      </c>
      <c r="PN27" s="1101">
        <v>0</v>
      </c>
      <c r="PO27" s="1101">
        <v>0</v>
      </c>
      <c r="PP27" s="1101">
        <v>0</v>
      </c>
      <c r="PQ27" s="1101">
        <v>0</v>
      </c>
      <c r="PR27" s="1101">
        <v>-5349465</v>
      </c>
      <c r="PS27" s="1101">
        <v>0</v>
      </c>
      <c r="PT27" s="1101">
        <v>0</v>
      </c>
      <c r="PU27" s="1101">
        <v>-305368</v>
      </c>
      <c r="PV27" s="1101">
        <v>0</v>
      </c>
      <c r="PW27" s="1101">
        <v>0</v>
      </c>
      <c r="PX27" s="1101">
        <v>0</v>
      </c>
      <c r="PY27" s="1101">
        <v>4946232</v>
      </c>
      <c r="PZ27" s="1101">
        <v>0</v>
      </c>
      <c r="QA27" s="1101">
        <v>0</v>
      </c>
      <c r="QB27" s="1101">
        <v>0</v>
      </c>
      <c r="QC27" s="1101">
        <v>0</v>
      </c>
      <c r="QD27" s="1101">
        <v>0</v>
      </c>
      <c r="QE27" s="1101">
        <v>0</v>
      </c>
      <c r="QF27" s="1101">
        <v>0</v>
      </c>
      <c r="QG27" s="1101">
        <v>0</v>
      </c>
      <c r="QH27" s="1101">
        <v>229415</v>
      </c>
      <c r="QI27" s="1101">
        <v>0</v>
      </c>
      <c r="QJ27" s="1101">
        <v>0</v>
      </c>
      <c r="QK27" s="1101">
        <v>0</v>
      </c>
      <c r="QL27" s="1101">
        <v>0</v>
      </c>
      <c r="QM27" s="1101">
        <v>0</v>
      </c>
      <c r="QN27" s="1101">
        <v>0</v>
      </c>
      <c r="QO27" s="1101">
        <v>0</v>
      </c>
      <c r="QP27" s="1101">
        <v>0</v>
      </c>
      <c r="QQ27" s="1101">
        <v>0</v>
      </c>
      <c r="QR27" s="1101">
        <v>0</v>
      </c>
      <c r="QS27" s="1101">
        <v>0</v>
      </c>
      <c r="QT27" s="1101">
        <v>0</v>
      </c>
      <c r="QU27" s="1101">
        <v>0</v>
      </c>
      <c r="QV27" s="1101">
        <v>0</v>
      </c>
      <c r="QW27" s="1101">
        <v>0</v>
      </c>
      <c r="QX27" s="1101">
        <v>0</v>
      </c>
      <c r="QY27" s="1101">
        <v>0</v>
      </c>
      <c r="QZ27" s="1101">
        <v>0</v>
      </c>
      <c r="RA27" s="1101">
        <v>0</v>
      </c>
      <c r="RB27" s="1101">
        <v>0</v>
      </c>
      <c r="RC27" s="1101">
        <v>-12206418</v>
      </c>
      <c r="RD27" s="1101">
        <v>0</v>
      </c>
      <c r="RE27" s="1101">
        <v>0</v>
      </c>
      <c r="RF27" s="1101">
        <v>0</v>
      </c>
      <c r="RG27" s="1101">
        <v>0</v>
      </c>
      <c r="RH27" s="1101">
        <v>0</v>
      </c>
      <c r="RI27" s="1101">
        <v>0</v>
      </c>
      <c r="RJ27" s="1101">
        <v>0</v>
      </c>
      <c r="RK27" s="1101">
        <v>0</v>
      </c>
      <c r="RL27" s="1101">
        <v>0</v>
      </c>
      <c r="RM27" s="1101">
        <v>0</v>
      </c>
      <c r="RN27" s="1101">
        <v>0</v>
      </c>
      <c r="RO27" s="1101">
        <v>0</v>
      </c>
      <c r="RP27" s="1101">
        <v>0</v>
      </c>
      <c r="RQ27" s="1101">
        <v>0</v>
      </c>
      <c r="RR27" s="1101">
        <v>0</v>
      </c>
      <c r="RS27" s="1101">
        <v>0</v>
      </c>
      <c r="RT27" s="1101">
        <v>0</v>
      </c>
      <c r="RU27" s="1101">
        <v>0</v>
      </c>
      <c r="RV27" s="1101">
        <v>0</v>
      </c>
      <c r="RW27" s="1101">
        <v>0</v>
      </c>
      <c r="RX27" s="1101">
        <v>0</v>
      </c>
      <c r="RY27" s="1101">
        <v>0</v>
      </c>
      <c r="RZ27" s="1101">
        <v>0</v>
      </c>
      <c r="SA27" s="1101">
        <v>0</v>
      </c>
      <c r="SB27" s="1101">
        <v>0</v>
      </c>
      <c r="SC27" s="1101">
        <v>0</v>
      </c>
      <c r="SD27" s="1101">
        <v>0</v>
      </c>
      <c r="SE27" s="1101">
        <v>1763883</v>
      </c>
      <c r="SF27" s="1101">
        <v>911108</v>
      </c>
      <c r="SG27" s="1101">
        <v>81206</v>
      </c>
      <c r="SH27" s="1101">
        <v>223563</v>
      </c>
      <c r="SI27" s="1101">
        <v>0</v>
      </c>
      <c r="SJ27" s="1101">
        <v>0</v>
      </c>
      <c r="SK27" s="1101">
        <v>0</v>
      </c>
      <c r="SL27" s="1102">
        <v>0</v>
      </c>
      <c r="SM27" s="1101">
        <v>0</v>
      </c>
      <c r="SN27" s="1101">
        <v>13984100</v>
      </c>
      <c r="SO27" s="1102"/>
      <c r="SP27" s="1103"/>
      <c r="SQ27" s="1104">
        <v>78912324</v>
      </c>
      <c r="SR27" s="1104">
        <v>-21575476</v>
      </c>
      <c r="SS27" s="1105">
        <v>0</v>
      </c>
      <c r="ST27" s="1106">
        <v>24449</v>
      </c>
      <c r="SU27" s="1106">
        <v>0</v>
      </c>
      <c r="SV27" s="1106">
        <v>2017656</v>
      </c>
      <c r="SW27" s="1106">
        <v>90000</v>
      </c>
      <c r="SX27" s="1106">
        <v>426677</v>
      </c>
      <c r="SY27" s="1106">
        <v>339772</v>
      </c>
      <c r="SZ27" s="1106">
        <v>0</v>
      </c>
      <c r="TA27" s="1106">
        <v>81206</v>
      </c>
      <c r="TB27" s="1106">
        <v>0</v>
      </c>
      <c r="TC27" s="1105">
        <v>0</v>
      </c>
      <c r="TD27" s="1106">
        <v>0</v>
      </c>
      <c r="TE27" s="1106">
        <v>0</v>
      </c>
      <c r="TF27" s="1106">
        <v>0</v>
      </c>
      <c r="TG27" s="1106">
        <v>0</v>
      </c>
      <c r="TH27" s="1106">
        <v>0</v>
      </c>
      <c r="TI27" s="1106">
        <v>0</v>
      </c>
      <c r="TJ27" s="1106">
        <v>0</v>
      </c>
      <c r="TK27" s="1105">
        <v>0</v>
      </c>
      <c r="TL27" s="1106">
        <v>0</v>
      </c>
      <c r="TM27" s="1106">
        <v>0</v>
      </c>
      <c r="TN27" s="1106">
        <v>0</v>
      </c>
      <c r="TO27" s="1106">
        <v>0</v>
      </c>
      <c r="TP27" s="1106">
        <v>0</v>
      </c>
      <c r="TQ27" s="1106">
        <v>0</v>
      </c>
      <c r="TR27" s="1106">
        <v>0</v>
      </c>
      <c r="TS27" s="1105">
        <v>43137652</v>
      </c>
      <c r="TT27" s="1106">
        <v>1716255</v>
      </c>
      <c r="TU27" s="1106">
        <v>67916</v>
      </c>
      <c r="TV27" s="1106">
        <v>30982166</v>
      </c>
      <c r="TW27" s="1106">
        <v>8048828</v>
      </c>
      <c r="TX27" s="1106">
        <v>17684701</v>
      </c>
      <c r="TY27" s="1106">
        <v>9945266</v>
      </c>
      <c r="TZ27" s="1107">
        <v>18580717</v>
      </c>
      <c r="UA27" s="1107">
        <v>6563705</v>
      </c>
      <c r="UB27" s="1105">
        <v>18340479</v>
      </c>
      <c r="UC27" s="1108">
        <v>4640864</v>
      </c>
      <c r="UD27" s="1108"/>
      <c r="UE27" s="1103"/>
      <c r="UF27" s="1109" t="s">
        <v>2441</v>
      </c>
      <c r="UG27" s="1110" t="s">
        <v>2442</v>
      </c>
      <c r="UH27" s="1110" t="s">
        <v>2443</v>
      </c>
    </row>
    <row r="28" spans="1:554" s="776" customFormat="1" ht="32.25" customHeight="1" thickBot="1">
      <c r="A28" s="1093">
        <v>250</v>
      </c>
      <c r="B28" s="1094" t="s">
        <v>117</v>
      </c>
      <c r="C28" s="1095" t="s">
        <v>324</v>
      </c>
      <c r="D28" s="1096" t="s">
        <v>2398</v>
      </c>
      <c r="E28" s="1097">
        <v>12826</v>
      </c>
      <c r="F28" s="1098">
        <v>720818261</v>
      </c>
      <c r="G28" s="1096" t="s">
        <v>2399</v>
      </c>
      <c r="H28" s="1100" t="s">
        <v>117</v>
      </c>
      <c r="I28" s="1100"/>
      <c r="J28" s="1100"/>
      <c r="K28" s="1100"/>
      <c r="L28" s="1100"/>
      <c r="M28" s="1101">
        <v>29937476</v>
      </c>
      <c r="N28" s="1101">
        <v>0</v>
      </c>
      <c r="O28" s="1101">
        <v>0</v>
      </c>
      <c r="P28" s="1101">
        <v>0</v>
      </c>
      <c r="Q28" s="1101">
        <v>0</v>
      </c>
      <c r="R28" s="1101">
        <v>0</v>
      </c>
      <c r="S28" s="1101">
        <v>0</v>
      </c>
      <c r="T28" s="1101">
        <v>0</v>
      </c>
      <c r="U28" s="1101">
        <v>0</v>
      </c>
      <c r="V28" s="1101">
        <v>3215815</v>
      </c>
      <c r="W28" s="1101">
        <v>0</v>
      </c>
      <c r="X28" s="1101">
        <v>0</v>
      </c>
      <c r="Y28" s="1101">
        <v>5736636</v>
      </c>
      <c r="Z28" s="1101">
        <v>0</v>
      </c>
      <c r="AA28" s="1101">
        <v>0</v>
      </c>
      <c r="AB28" s="1101">
        <v>0</v>
      </c>
      <c r="AC28" s="1101">
        <v>0</v>
      </c>
      <c r="AD28" s="1101">
        <v>0</v>
      </c>
      <c r="AE28" s="1101">
        <v>0</v>
      </c>
      <c r="AF28" s="1101">
        <v>0</v>
      </c>
      <c r="AG28" s="1101">
        <v>0</v>
      </c>
      <c r="AH28" s="1101">
        <v>0</v>
      </c>
      <c r="AI28" s="1101">
        <v>0</v>
      </c>
      <c r="AJ28" s="1101">
        <v>0</v>
      </c>
      <c r="AK28" s="1101">
        <v>0</v>
      </c>
      <c r="AL28" s="1101">
        <v>0</v>
      </c>
      <c r="AM28" s="1101">
        <v>0</v>
      </c>
      <c r="AN28" s="1101">
        <v>10828344</v>
      </c>
      <c r="AO28" s="1101">
        <v>0</v>
      </c>
      <c r="AP28" s="1101">
        <v>0</v>
      </c>
      <c r="AQ28" s="1101">
        <v>0</v>
      </c>
      <c r="AR28" s="1101">
        <v>0</v>
      </c>
      <c r="AS28" s="1101">
        <v>0</v>
      </c>
      <c r="AT28" s="1101">
        <v>0</v>
      </c>
      <c r="AU28" s="1101">
        <v>0</v>
      </c>
      <c r="AV28" s="1101">
        <v>0</v>
      </c>
      <c r="AW28" s="1101">
        <v>0</v>
      </c>
      <c r="AX28" s="1101">
        <v>0</v>
      </c>
      <c r="AY28" s="1101">
        <v>0</v>
      </c>
      <c r="AZ28" s="1101">
        <v>0</v>
      </c>
      <c r="BA28" s="1101">
        <v>0</v>
      </c>
      <c r="BB28" s="1101">
        <v>0</v>
      </c>
      <c r="BC28" s="1101">
        <v>0</v>
      </c>
      <c r="BD28" s="1101">
        <v>0</v>
      </c>
      <c r="BE28" s="1101">
        <v>0</v>
      </c>
      <c r="BF28" s="1101">
        <v>-608814</v>
      </c>
      <c r="BG28" s="1101">
        <v>0</v>
      </c>
      <c r="BH28" s="1101">
        <v>0</v>
      </c>
      <c r="BI28" s="1101">
        <v>0</v>
      </c>
      <c r="BJ28" s="1101">
        <v>0</v>
      </c>
      <c r="BK28" s="1101">
        <v>0</v>
      </c>
      <c r="BL28" s="1101">
        <v>0</v>
      </c>
      <c r="BM28" s="1101">
        <v>0</v>
      </c>
      <c r="BN28" s="1101">
        <v>0</v>
      </c>
      <c r="BO28" s="1101">
        <v>0</v>
      </c>
      <c r="BP28" s="1101">
        <v>0</v>
      </c>
      <c r="BQ28" s="1101">
        <v>0</v>
      </c>
      <c r="BR28" s="1101">
        <v>0</v>
      </c>
      <c r="BS28" s="1101">
        <v>0</v>
      </c>
      <c r="BT28" s="1101">
        <v>0</v>
      </c>
      <c r="BU28" s="1101">
        <v>0</v>
      </c>
      <c r="BV28" s="1101">
        <v>0</v>
      </c>
      <c r="BW28" s="1101">
        <v>0</v>
      </c>
      <c r="BX28" s="1101">
        <v>0</v>
      </c>
      <c r="BY28" s="1101">
        <v>0</v>
      </c>
      <c r="BZ28" s="1101">
        <v>0</v>
      </c>
      <c r="CA28" s="1101">
        <v>0</v>
      </c>
      <c r="CB28" s="1101">
        <v>0</v>
      </c>
      <c r="CC28" s="1101">
        <v>0</v>
      </c>
      <c r="CD28" s="1101">
        <v>0</v>
      </c>
      <c r="CE28" s="1101">
        <v>0</v>
      </c>
      <c r="CF28" s="1101">
        <v>0</v>
      </c>
      <c r="CG28" s="1101">
        <v>0</v>
      </c>
      <c r="CH28" s="1101">
        <v>0</v>
      </c>
      <c r="CI28" s="1101">
        <v>0</v>
      </c>
      <c r="CJ28" s="1101">
        <v>0</v>
      </c>
      <c r="CK28" s="1101">
        <v>0</v>
      </c>
      <c r="CL28" s="1101">
        <v>0</v>
      </c>
      <c r="CM28" s="1101">
        <v>0</v>
      </c>
      <c r="CN28" s="1101">
        <v>0</v>
      </c>
      <c r="CO28" s="1101">
        <v>0</v>
      </c>
      <c r="CP28" s="1101">
        <v>22572715</v>
      </c>
      <c r="CQ28" s="1101">
        <v>68855000</v>
      </c>
      <c r="CR28" s="1101">
        <v>0</v>
      </c>
      <c r="CS28" s="1101">
        <v>0</v>
      </c>
      <c r="CT28" s="1101">
        <v>0</v>
      </c>
      <c r="CU28" s="1101">
        <v>0</v>
      </c>
      <c r="CV28" s="1101">
        <v>0</v>
      </c>
      <c r="CW28" s="1101">
        <v>0</v>
      </c>
      <c r="CX28" s="1101">
        <v>0</v>
      </c>
      <c r="CY28" s="1101">
        <v>0</v>
      </c>
      <c r="CZ28" s="1101">
        <v>0</v>
      </c>
      <c r="DA28" s="1101">
        <v>0</v>
      </c>
      <c r="DB28" s="1101">
        <v>0</v>
      </c>
      <c r="DC28" s="1101">
        <v>0</v>
      </c>
      <c r="DD28" s="1101">
        <v>0</v>
      </c>
      <c r="DE28" s="1101">
        <v>0</v>
      </c>
      <c r="DF28" s="1101">
        <v>0</v>
      </c>
      <c r="DG28" s="1101">
        <v>0</v>
      </c>
      <c r="DH28" s="1101">
        <v>0</v>
      </c>
      <c r="DI28" s="1101">
        <v>0</v>
      </c>
      <c r="DJ28" s="1101">
        <v>0</v>
      </c>
      <c r="DK28" s="1101">
        <v>0</v>
      </c>
      <c r="DL28" s="1101">
        <v>0</v>
      </c>
      <c r="DM28" s="1101">
        <v>0</v>
      </c>
      <c r="DN28" s="1101">
        <v>0</v>
      </c>
      <c r="DO28" s="1101">
        <v>0</v>
      </c>
      <c r="DP28" s="1101">
        <v>0</v>
      </c>
      <c r="DQ28" s="1101">
        <v>-473684</v>
      </c>
      <c r="DR28" s="1101">
        <v>-1569709</v>
      </c>
      <c r="DS28" s="1101">
        <v>0</v>
      </c>
      <c r="DT28" s="1101">
        <v>0</v>
      </c>
      <c r="DU28" s="1101">
        <v>0</v>
      </c>
      <c r="DV28" s="1101">
        <v>0</v>
      </c>
      <c r="DW28" s="1101">
        <v>0</v>
      </c>
      <c r="DX28" s="1101">
        <v>0</v>
      </c>
      <c r="DY28" s="1101">
        <v>0</v>
      </c>
      <c r="DZ28" s="1101">
        <v>0</v>
      </c>
      <c r="EA28" s="1101">
        <v>0</v>
      </c>
      <c r="EB28" s="1101">
        <v>0</v>
      </c>
      <c r="EC28" s="1101">
        <v>0</v>
      </c>
      <c r="ED28" s="1101">
        <v>0</v>
      </c>
      <c r="EE28" s="1101">
        <v>0</v>
      </c>
      <c r="EF28" s="1101">
        <v>0</v>
      </c>
      <c r="EG28" s="1101">
        <v>0</v>
      </c>
      <c r="EH28" s="1101">
        <v>0</v>
      </c>
      <c r="EI28" s="1101">
        <v>-8429850</v>
      </c>
      <c r="EJ28" s="1101">
        <v>-25507734</v>
      </c>
      <c r="EK28" s="1101">
        <v>0</v>
      </c>
      <c r="EL28" s="1101">
        <v>0</v>
      </c>
      <c r="EM28" s="1101">
        <v>0</v>
      </c>
      <c r="EN28" s="1101">
        <v>0</v>
      </c>
      <c r="EO28" s="1101">
        <v>0</v>
      </c>
      <c r="EP28" s="1101">
        <v>0</v>
      </c>
      <c r="EQ28" s="1101">
        <v>0</v>
      </c>
      <c r="ER28" s="1101">
        <v>0</v>
      </c>
      <c r="ES28" s="1101">
        <v>-5729</v>
      </c>
      <c r="ET28" s="1101">
        <v>0</v>
      </c>
      <c r="EU28" s="1101">
        <v>0</v>
      </c>
      <c r="EV28" s="1101">
        <v>0</v>
      </c>
      <c r="EW28" s="1101">
        <v>0</v>
      </c>
      <c r="EX28" s="1101">
        <v>0</v>
      </c>
      <c r="EY28" s="1101">
        <v>0</v>
      </c>
      <c r="EZ28" s="1101">
        <v>0</v>
      </c>
      <c r="FA28" s="1101">
        <v>0</v>
      </c>
      <c r="FB28" s="1101">
        <v>0</v>
      </c>
      <c r="FC28" s="1101">
        <v>0</v>
      </c>
      <c r="FD28" s="1101">
        <v>0</v>
      </c>
      <c r="FE28" s="1101">
        <v>0</v>
      </c>
      <c r="FF28" s="1101">
        <v>0</v>
      </c>
      <c r="FG28" s="1101">
        <v>0</v>
      </c>
      <c r="FH28" s="1101">
        <v>0</v>
      </c>
      <c r="FI28" s="1101">
        <v>0</v>
      </c>
      <c r="FJ28" s="1101">
        <v>0</v>
      </c>
      <c r="FK28" s="1101">
        <v>0</v>
      </c>
      <c r="FL28" s="1101">
        <v>0</v>
      </c>
      <c r="FM28" s="1101">
        <v>0</v>
      </c>
      <c r="FN28" s="1101">
        <v>0</v>
      </c>
      <c r="FO28" s="1101">
        <v>0</v>
      </c>
      <c r="FP28" s="1101">
        <v>0</v>
      </c>
      <c r="FQ28" s="1101">
        <v>0</v>
      </c>
      <c r="FR28" s="1101">
        <v>0</v>
      </c>
      <c r="FS28" s="1101">
        <v>0</v>
      </c>
      <c r="FT28" s="1101">
        <v>0</v>
      </c>
      <c r="FU28" s="1101">
        <v>0</v>
      </c>
      <c r="FV28" s="1101">
        <v>0</v>
      </c>
      <c r="FW28" s="1101">
        <v>0</v>
      </c>
      <c r="FX28" s="1101">
        <v>0</v>
      </c>
      <c r="FY28" s="1101">
        <v>0</v>
      </c>
      <c r="FZ28" s="1101">
        <v>0</v>
      </c>
      <c r="GA28" s="1101">
        <v>0</v>
      </c>
      <c r="GB28" s="1101">
        <v>8771</v>
      </c>
      <c r="GC28" s="1101">
        <v>17182834</v>
      </c>
      <c r="GD28" s="1101">
        <v>10423974</v>
      </c>
      <c r="GE28" s="1101">
        <v>0</v>
      </c>
      <c r="GF28" s="1101">
        <v>0</v>
      </c>
      <c r="GG28" s="1101">
        <v>0</v>
      </c>
      <c r="GH28" s="1101">
        <v>0</v>
      </c>
      <c r="GI28" s="1101">
        <v>0</v>
      </c>
      <c r="GJ28" s="1101">
        <v>0</v>
      </c>
      <c r="GK28" s="1101">
        <v>0</v>
      </c>
      <c r="GL28" s="1101">
        <v>0</v>
      </c>
      <c r="GM28" s="1101">
        <v>0</v>
      </c>
      <c r="GN28" s="1101">
        <v>0</v>
      </c>
      <c r="GO28" s="1101">
        <v>0</v>
      </c>
      <c r="GP28" s="1101">
        <v>0</v>
      </c>
      <c r="GQ28" s="1101">
        <v>0</v>
      </c>
      <c r="GR28" s="1101">
        <v>0</v>
      </c>
      <c r="GS28" s="1101">
        <v>0</v>
      </c>
      <c r="GT28" s="1101">
        <v>0</v>
      </c>
      <c r="GU28" s="1101">
        <v>0</v>
      </c>
      <c r="GV28" s="1101">
        <v>0</v>
      </c>
      <c r="GW28" s="1101">
        <v>0</v>
      </c>
      <c r="GX28" s="1101">
        <v>0</v>
      </c>
      <c r="GY28" s="1101">
        <v>0</v>
      </c>
      <c r="GZ28" s="1101">
        <v>0</v>
      </c>
      <c r="HA28" s="1101">
        <v>0</v>
      </c>
      <c r="HB28" s="1101">
        <v>0</v>
      </c>
      <c r="HC28" s="1101">
        <v>0</v>
      </c>
      <c r="HD28" s="1101">
        <v>-493107</v>
      </c>
      <c r="HE28" s="1101">
        <v>-1355270</v>
      </c>
      <c r="HF28" s="1101">
        <v>0</v>
      </c>
      <c r="HG28" s="1101">
        <v>0</v>
      </c>
      <c r="HH28" s="1101">
        <v>0</v>
      </c>
      <c r="HI28" s="1101">
        <v>0</v>
      </c>
      <c r="HJ28" s="1101">
        <v>0</v>
      </c>
      <c r="HK28" s="1101">
        <v>0</v>
      </c>
      <c r="HL28" s="1101">
        <v>0</v>
      </c>
      <c r="HM28" s="1101">
        <v>0</v>
      </c>
      <c r="HN28" s="1101">
        <v>0</v>
      </c>
      <c r="HO28" s="1101">
        <v>0</v>
      </c>
      <c r="HP28" s="1101">
        <v>0</v>
      </c>
      <c r="HQ28" s="1101">
        <v>0</v>
      </c>
      <c r="HR28" s="1101">
        <v>0</v>
      </c>
      <c r="HS28" s="1101">
        <v>0</v>
      </c>
      <c r="HT28" s="1101">
        <v>0</v>
      </c>
      <c r="HU28" s="1101">
        <v>-3289</v>
      </c>
      <c r="HV28" s="1101">
        <v>-6365380</v>
      </c>
      <c r="HW28" s="1101">
        <v>-2756261</v>
      </c>
      <c r="HX28" s="1101">
        <v>0</v>
      </c>
      <c r="HY28" s="1101">
        <v>0</v>
      </c>
      <c r="HZ28" s="1101">
        <v>0</v>
      </c>
      <c r="IA28" s="1101">
        <v>0</v>
      </c>
      <c r="IB28" s="1101">
        <v>0</v>
      </c>
      <c r="IC28" s="1101">
        <v>0</v>
      </c>
      <c r="ID28" s="1101">
        <v>0</v>
      </c>
      <c r="IE28" s="1101">
        <v>161556</v>
      </c>
      <c r="IF28" s="1101">
        <v>0</v>
      </c>
      <c r="IG28" s="1101">
        <v>63764007</v>
      </c>
      <c r="IH28" s="1101">
        <v>0</v>
      </c>
      <c r="II28" s="1101">
        <v>0</v>
      </c>
      <c r="IJ28" s="1101">
        <v>0</v>
      </c>
      <c r="IK28" s="1101">
        <v>0</v>
      </c>
      <c r="IL28" s="1101">
        <v>0</v>
      </c>
      <c r="IM28" s="1101">
        <v>24939</v>
      </c>
      <c r="IN28" s="1101">
        <v>689942</v>
      </c>
      <c r="IO28" s="1101">
        <v>0</v>
      </c>
      <c r="IP28" s="1101">
        <v>0</v>
      </c>
      <c r="IQ28" s="1101">
        <v>150729</v>
      </c>
      <c r="IR28" s="1101">
        <v>4746822</v>
      </c>
      <c r="IS28" s="1101">
        <v>0</v>
      </c>
      <c r="IT28" s="1101">
        <v>0</v>
      </c>
      <c r="IU28" s="1101">
        <v>0</v>
      </c>
      <c r="IV28" s="1101">
        <v>0</v>
      </c>
      <c r="IW28" s="1101">
        <v>0</v>
      </c>
      <c r="IX28" s="1101">
        <v>0</v>
      </c>
      <c r="IY28" s="1101">
        <v>0</v>
      </c>
      <c r="IZ28" s="1101">
        <v>0</v>
      </c>
      <c r="JA28" s="1101">
        <v>0</v>
      </c>
      <c r="JB28" s="1101">
        <v>0</v>
      </c>
      <c r="JC28" s="1101">
        <v>0</v>
      </c>
      <c r="JD28" s="1101">
        <v>0</v>
      </c>
      <c r="JE28" s="1101">
        <v>0</v>
      </c>
      <c r="JF28" s="1101">
        <v>0</v>
      </c>
      <c r="JG28" s="1101">
        <v>0</v>
      </c>
      <c r="JH28" s="1101">
        <v>3222832</v>
      </c>
      <c r="JI28" s="1101">
        <v>0</v>
      </c>
      <c r="JJ28" s="1101">
        <v>5807</v>
      </c>
      <c r="JK28" s="1101">
        <v>0</v>
      </c>
      <c r="JL28" s="1101">
        <v>0</v>
      </c>
      <c r="JM28" s="1101">
        <v>0</v>
      </c>
      <c r="JN28" s="1101">
        <v>0</v>
      </c>
      <c r="JO28" s="1101">
        <v>2089098</v>
      </c>
      <c r="JP28" s="1101">
        <v>0</v>
      </c>
      <c r="JQ28" s="1101">
        <v>0</v>
      </c>
      <c r="JR28" s="1101">
        <v>0</v>
      </c>
      <c r="JS28" s="1101">
        <v>0</v>
      </c>
      <c r="JT28" s="1101">
        <v>0</v>
      </c>
      <c r="JU28" s="1101">
        <v>0</v>
      </c>
      <c r="JV28" s="1101">
        <v>0</v>
      </c>
      <c r="JW28" s="1101">
        <v>0</v>
      </c>
      <c r="JX28" s="1101">
        <v>0</v>
      </c>
      <c r="JY28" s="1101">
        <v>895121</v>
      </c>
      <c r="JZ28" s="1101">
        <v>0</v>
      </c>
      <c r="KA28" s="1101">
        <v>0</v>
      </c>
      <c r="KB28" s="1101">
        <v>0</v>
      </c>
      <c r="KC28" s="1101">
        <v>0</v>
      </c>
      <c r="KD28" s="1101">
        <v>0</v>
      </c>
      <c r="KE28" s="1101">
        <v>0</v>
      </c>
      <c r="KF28" s="1101">
        <v>0</v>
      </c>
      <c r="KG28" s="1101">
        <v>3323000</v>
      </c>
      <c r="KH28" s="1101">
        <v>2816194</v>
      </c>
      <c r="KI28" s="1101">
        <v>926764</v>
      </c>
      <c r="KJ28" s="1101">
        <v>0</v>
      </c>
      <c r="KK28" s="1101">
        <v>0</v>
      </c>
      <c r="KL28" s="1101">
        <v>0</v>
      </c>
      <c r="KM28" s="1101">
        <v>0</v>
      </c>
      <c r="KN28" s="1101">
        <v>0</v>
      </c>
      <c r="KO28" s="1101">
        <v>34664000</v>
      </c>
      <c r="KP28" s="1101">
        <v>14932767</v>
      </c>
      <c r="KQ28" s="1101">
        <v>0</v>
      </c>
      <c r="KR28" s="1101">
        <v>1306103</v>
      </c>
      <c r="KS28" s="1101">
        <v>0</v>
      </c>
      <c r="KT28" s="1101">
        <v>0</v>
      </c>
      <c r="KU28" s="1101">
        <v>0</v>
      </c>
      <c r="KV28" s="1101">
        <v>0</v>
      </c>
      <c r="KW28" s="1101">
        <v>0</v>
      </c>
      <c r="KX28" s="1101">
        <v>241704</v>
      </c>
      <c r="KY28" s="1101">
        <v>369226</v>
      </c>
      <c r="KZ28" s="1101">
        <v>0</v>
      </c>
      <c r="LA28" s="1101">
        <v>1429385</v>
      </c>
      <c r="LB28" s="1101">
        <v>0</v>
      </c>
      <c r="LC28" s="1101">
        <v>0</v>
      </c>
      <c r="LD28" s="1101">
        <v>0</v>
      </c>
      <c r="LE28" s="1101">
        <v>0</v>
      </c>
      <c r="LF28" s="1101">
        <v>0</v>
      </c>
      <c r="LG28" s="1101">
        <v>176731</v>
      </c>
      <c r="LH28" s="1101">
        <v>1943565</v>
      </c>
      <c r="LI28" s="1101">
        <v>0</v>
      </c>
      <c r="LJ28" s="1101">
        <v>535262</v>
      </c>
      <c r="LK28" s="1101">
        <v>0</v>
      </c>
      <c r="LL28" s="1101">
        <v>0</v>
      </c>
      <c r="LM28" s="1101">
        <v>0</v>
      </c>
      <c r="LN28" s="1101">
        <v>0</v>
      </c>
      <c r="LO28" s="1101">
        <v>0</v>
      </c>
      <c r="LP28" s="1101">
        <v>5534404</v>
      </c>
      <c r="LQ28" s="1101">
        <v>20507793</v>
      </c>
      <c r="LR28" s="1101">
        <v>0</v>
      </c>
      <c r="LS28" s="1101">
        <v>9001824</v>
      </c>
      <c r="LT28" s="1101">
        <v>0</v>
      </c>
      <c r="LU28" s="1101">
        <v>0</v>
      </c>
      <c r="LV28" s="1101">
        <v>0</v>
      </c>
      <c r="LW28" s="1101">
        <v>0</v>
      </c>
      <c r="LX28" s="1101">
        <v>0</v>
      </c>
      <c r="LY28" s="1101">
        <v>1219606</v>
      </c>
      <c r="LZ28" s="1101">
        <v>5863375</v>
      </c>
      <c r="MA28" s="1101">
        <v>0</v>
      </c>
      <c r="MB28" s="1101">
        <v>96428</v>
      </c>
      <c r="MC28" s="1101">
        <v>0</v>
      </c>
      <c r="MD28" s="1101">
        <v>0</v>
      </c>
      <c r="ME28" s="1101">
        <v>0</v>
      </c>
      <c r="MF28" s="1101">
        <v>0</v>
      </c>
      <c r="MG28" s="1101">
        <v>0</v>
      </c>
      <c r="MH28" s="1101">
        <v>7565426</v>
      </c>
      <c r="MI28" s="1101">
        <v>16559114</v>
      </c>
      <c r="MJ28" s="1101">
        <v>0</v>
      </c>
      <c r="MK28" s="1101">
        <v>-101925</v>
      </c>
      <c r="ML28" s="1101">
        <v>0</v>
      </c>
      <c r="MM28" s="1101">
        <v>0</v>
      </c>
      <c r="MN28" s="1101">
        <v>0</v>
      </c>
      <c r="MO28" s="1101">
        <v>0</v>
      </c>
      <c r="MP28" s="1101">
        <v>0</v>
      </c>
      <c r="MQ28" s="1101">
        <v>3074520</v>
      </c>
      <c r="MR28" s="1101">
        <v>5350693</v>
      </c>
      <c r="MS28" s="1101">
        <v>0</v>
      </c>
      <c r="MT28" s="1101">
        <v>1466</v>
      </c>
      <c r="MU28" s="1101">
        <v>0</v>
      </c>
      <c r="MV28" s="1101">
        <v>0</v>
      </c>
      <c r="MW28" s="1101">
        <v>0</v>
      </c>
      <c r="MX28" s="1101">
        <v>0</v>
      </c>
      <c r="MY28" s="1101">
        <v>0</v>
      </c>
      <c r="MZ28" s="1101">
        <v>1031905</v>
      </c>
      <c r="NA28" s="1101">
        <v>6228545</v>
      </c>
      <c r="NB28" s="1101">
        <v>0</v>
      </c>
      <c r="NC28" s="1101">
        <v>26779359</v>
      </c>
      <c r="ND28" s="1101">
        <v>0</v>
      </c>
      <c r="NE28" s="1101">
        <v>0</v>
      </c>
      <c r="NF28" s="1101">
        <v>0</v>
      </c>
      <c r="NG28" s="1101">
        <v>0</v>
      </c>
      <c r="NH28" s="1101">
        <v>0</v>
      </c>
      <c r="NI28" s="1101">
        <v>0</v>
      </c>
      <c r="NJ28" s="1101">
        <v>0</v>
      </c>
      <c r="NK28" s="1101">
        <v>7659361</v>
      </c>
      <c r="NL28" s="1101">
        <v>0</v>
      </c>
      <c r="NM28" s="1101">
        <v>0</v>
      </c>
      <c r="NN28" s="1101">
        <v>0</v>
      </c>
      <c r="NO28" s="1101">
        <v>0</v>
      </c>
      <c r="NP28" s="1101">
        <v>0</v>
      </c>
      <c r="NQ28" s="1101">
        <v>0</v>
      </c>
      <c r="NR28" s="1101">
        <v>2006157</v>
      </c>
      <c r="NS28" s="1101">
        <v>39679</v>
      </c>
      <c r="NT28" s="1101">
        <v>31528</v>
      </c>
      <c r="NU28" s="1101">
        <v>421487</v>
      </c>
      <c r="NV28" s="1101">
        <v>0</v>
      </c>
      <c r="NW28" s="1101">
        <v>0</v>
      </c>
      <c r="NX28" s="1101">
        <v>0</v>
      </c>
      <c r="NY28" s="1101">
        <v>0</v>
      </c>
      <c r="NZ28" s="1101">
        <v>0</v>
      </c>
      <c r="OA28" s="1101">
        <v>181576</v>
      </c>
      <c r="OB28" s="1101">
        <v>0</v>
      </c>
      <c r="OC28" s="1101">
        <v>0</v>
      </c>
      <c r="OD28" s="1101">
        <v>0</v>
      </c>
      <c r="OE28" s="1101">
        <v>0</v>
      </c>
      <c r="OF28" s="1101">
        <v>1257932</v>
      </c>
      <c r="OG28" s="1101">
        <v>1587896</v>
      </c>
      <c r="OH28" s="1101">
        <v>0</v>
      </c>
      <c r="OI28" s="1101">
        <v>0</v>
      </c>
      <c r="OJ28" s="1101">
        <v>0</v>
      </c>
      <c r="OK28" s="1101">
        <v>0</v>
      </c>
      <c r="OL28" s="1101">
        <v>0</v>
      </c>
      <c r="OM28" s="1101">
        <v>0</v>
      </c>
      <c r="ON28" s="1101">
        <v>0</v>
      </c>
      <c r="OO28" s="1101">
        <v>0</v>
      </c>
      <c r="OP28" s="1101">
        <v>5734582</v>
      </c>
      <c r="OQ28" s="1101">
        <v>0</v>
      </c>
      <c r="OR28" s="1101">
        <v>0</v>
      </c>
      <c r="OS28" s="1101">
        <v>-3058706</v>
      </c>
      <c r="OT28" s="1101">
        <v>26997561</v>
      </c>
      <c r="OU28" s="1101">
        <v>579576</v>
      </c>
      <c r="OV28" s="1101">
        <v>-36140122</v>
      </c>
      <c r="OW28" s="1101">
        <v>250217</v>
      </c>
      <c r="OX28" s="1101">
        <v>-267101</v>
      </c>
      <c r="OY28" s="1101">
        <v>7682984</v>
      </c>
      <c r="OZ28" s="1101">
        <v>12908718</v>
      </c>
      <c r="PA28" s="1101">
        <v>14102713</v>
      </c>
      <c r="PB28" s="1101">
        <v>0</v>
      </c>
      <c r="PC28" s="1101">
        <v>0</v>
      </c>
      <c r="PD28" s="1101">
        <v>0</v>
      </c>
      <c r="PE28" s="1101">
        <v>0</v>
      </c>
      <c r="PF28" s="1101">
        <v>0</v>
      </c>
      <c r="PG28" s="1101">
        <v>0</v>
      </c>
      <c r="PH28" s="1101">
        <v>0</v>
      </c>
      <c r="PI28" s="1101">
        <v>0</v>
      </c>
      <c r="PJ28" s="1101">
        <v>0</v>
      </c>
      <c r="PK28" s="1101">
        <v>0</v>
      </c>
      <c r="PL28" s="1101">
        <v>0</v>
      </c>
      <c r="PM28" s="1101">
        <v>0</v>
      </c>
      <c r="PN28" s="1101">
        <v>0</v>
      </c>
      <c r="PO28" s="1101">
        <v>0</v>
      </c>
      <c r="PP28" s="1101">
        <v>0</v>
      </c>
      <c r="PQ28" s="1101">
        <v>0</v>
      </c>
      <c r="PR28" s="1101">
        <v>-12894562</v>
      </c>
      <c r="PS28" s="1101">
        <v>0</v>
      </c>
      <c r="PT28" s="1101">
        <v>0</v>
      </c>
      <c r="PU28" s="1101">
        <v>-388940</v>
      </c>
      <c r="PV28" s="1101">
        <v>0</v>
      </c>
      <c r="PW28" s="1101">
        <v>0</v>
      </c>
      <c r="PX28" s="1101">
        <v>0</v>
      </c>
      <c r="PY28" s="1101">
        <v>6973334</v>
      </c>
      <c r="PZ28" s="1101">
        <v>0</v>
      </c>
      <c r="QA28" s="1101">
        <v>0</v>
      </c>
      <c r="QB28" s="1101">
        <v>0</v>
      </c>
      <c r="QC28" s="1101">
        <v>0</v>
      </c>
      <c r="QD28" s="1101">
        <v>0</v>
      </c>
      <c r="QE28" s="1101">
        <v>0</v>
      </c>
      <c r="QF28" s="1101">
        <v>0</v>
      </c>
      <c r="QG28" s="1101">
        <v>0</v>
      </c>
      <c r="QH28" s="1101">
        <v>1188428</v>
      </c>
      <c r="QI28" s="1101">
        <v>0</v>
      </c>
      <c r="QJ28" s="1101">
        <v>0</v>
      </c>
      <c r="QK28" s="1101">
        <v>0</v>
      </c>
      <c r="QL28" s="1101">
        <v>0</v>
      </c>
      <c r="QM28" s="1101">
        <v>0</v>
      </c>
      <c r="QN28" s="1101">
        <v>0</v>
      </c>
      <c r="QO28" s="1101">
        <v>0</v>
      </c>
      <c r="QP28" s="1101">
        <v>0</v>
      </c>
      <c r="QQ28" s="1101">
        <v>0</v>
      </c>
      <c r="QR28" s="1101">
        <v>0</v>
      </c>
      <c r="QS28" s="1101">
        <v>0</v>
      </c>
      <c r="QT28" s="1101">
        <v>0</v>
      </c>
      <c r="QU28" s="1101">
        <v>0</v>
      </c>
      <c r="QV28" s="1101">
        <v>0</v>
      </c>
      <c r="QW28" s="1101">
        <v>0</v>
      </c>
      <c r="QX28" s="1101">
        <v>0</v>
      </c>
      <c r="QY28" s="1101">
        <v>0</v>
      </c>
      <c r="QZ28" s="1101">
        <v>0</v>
      </c>
      <c r="RA28" s="1101">
        <v>0</v>
      </c>
      <c r="RB28" s="1101">
        <v>0</v>
      </c>
      <c r="RC28" s="1101">
        <v>-12438824</v>
      </c>
      <c r="RD28" s="1101">
        <v>0</v>
      </c>
      <c r="RE28" s="1101">
        <v>0</v>
      </c>
      <c r="RF28" s="1101">
        <v>0</v>
      </c>
      <c r="RG28" s="1101">
        <v>0</v>
      </c>
      <c r="RH28" s="1101">
        <v>0</v>
      </c>
      <c r="RI28" s="1101">
        <v>0</v>
      </c>
      <c r="RJ28" s="1101">
        <v>0</v>
      </c>
      <c r="RK28" s="1101">
        <v>0</v>
      </c>
      <c r="RL28" s="1101">
        <v>0</v>
      </c>
      <c r="RM28" s="1101">
        <v>0</v>
      </c>
      <c r="RN28" s="1101">
        <v>0</v>
      </c>
      <c r="RO28" s="1101">
        <v>0</v>
      </c>
      <c r="RP28" s="1101">
        <v>0</v>
      </c>
      <c r="RQ28" s="1101">
        <v>0</v>
      </c>
      <c r="RR28" s="1101">
        <v>0</v>
      </c>
      <c r="RS28" s="1101">
        <v>0</v>
      </c>
      <c r="RT28" s="1101">
        <v>0</v>
      </c>
      <c r="RU28" s="1101">
        <v>0</v>
      </c>
      <c r="RV28" s="1101">
        <v>0</v>
      </c>
      <c r="RW28" s="1101">
        <v>0</v>
      </c>
      <c r="RX28" s="1101">
        <v>0</v>
      </c>
      <c r="RY28" s="1101">
        <v>0</v>
      </c>
      <c r="RZ28" s="1101">
        <v>0</v>
      </c>
      <c r="SA28" s="1101">
        <v>0</v>
      </c>
      <c r="SB28" s="1101">
        <v>0</v>
      </c>
      <c r="SC28" s="1101">
        <v>0</v>
      </c>
      <c r="SD28" s="1101">
        <v>0</v>
      </c>
      <c r="SE28" s="1101">
        <v>2006157</v>
      </c>
      <c r="SF28" s="1101">
        <v>39679</v>
      </c>
      <c r="SG28" s="1101">
        <v>31528</v>
      </c>
      <c r="SH28" s="1101">
        <v>421487</v>
      </c>
      <c r="SI28" s="1101">
        <v>0</v>
      </c>
      <c r="SJ28" s="1101">
        <v>0</v>
      </c>
      <c r="SK28" s="1101">
        <v>-5734582</v>
      </c>
      <c r="SL28" s="1102">
        <v>0</v>
      </c>
      <c r="SM28" s="1101">
        <v>0</v>
      </c>
      <c r="SN28" s="1101">
        <v>35121327</v>
      </c>
      <c r="SO28" s="1102"/>
      <c r="SP28" s="1103"/>
      <c r="SQ28" s="1104">
        <v>119043294</v>
      </c>
      <c r="SR28" s="1104">
        <v>-46954284</v>
      </c>
      <c r="SS28" s="1105">
        <v>69282</v>
      </c>
      <c r="ST28" s="1106">
        <v>0</v>
      </c>
      <c r="SU28" s="1106">
        <v>0</v>
      </c>
      <c r="SV28" s="1106">
        <v>2282680</v>
      </c>
      <c r="SW28" s="1106">
        <v>30321</v>
      </c>
      <c r="SX28" s="1106">
        <v>27493</v>
      </c>
      <c r="SY28" s="1106">
        <v>57547</v>
      </c>
      <c r="SZ28" s="1106">
        <v>0</v>
      </c>
      <c r="TA28" s="1106">
        <v>31528</v>
      </c>
      <c r="TB28" s="1106">
        <v>0</v>
      </c>
      <c r="TC28" s="1105">
        <v>0</v>
      </c>
      <c r="TD28" s="1106">
        <v>17588</v>
      </c>
      <c r="TE28" s="1106">
        <v>0</v>
      </c>
      <c r="TF28" s="1106">
        <v>0</v>
      </c>
      <c r="TG28" s="1106">
        <v>0</v>
      </c>
      <c r="TH28" s="1106">
        <v>0</v>
      </c>
      <c r="TI28" s="1106">
        <v>0</v>
      </c>
      <c r="TJ28" s="1106">
        <v>0</v>
      </c>
      <c r="TK28" s="1105">
        <v>0</v>
      </c>
      <c r="TL28" s="1106">
        <v>0</v>
      </c>
      <c r="TM28" s="1106">
        <v>0</v>
      </c>
      <c r="TN28" s="1106">
        <v>0</v>
      </c>
      <c r="TO28" s="1106">
        <v>0</v>
      </c>
      <c r="TP28" s="1106">
        <v>0</v>
      </c>
      <c r="TQ28" s="1106">
        <v>0</v>
      </c>
      <c r="TR28" s="1106">
        <v>0</v>
      </c>
      <c r="TS28" s="1105">
        <v>50902870</v>
      </c>
      <c r="TT28" s="1106">
        <v>2040315</v>
      </c>
      <c r="TU28" s="1106">
        <v>2655558</v>
      </c>
      <c r="TV28" s="1106">
        <v>35044021</v>
      </c>
      <c r="TW28" s="1106">
        <v>7179409</v>
      </c>
      <c r="TX28" s="1106">
        <v>24022615</v>
      </c>
      <c r="TY28" s="1106">
        <v>8426679</v>
      </c>
      <c r="TZ28" s="1107">
        <v>34039809</v>
      </c>
      <c r="UA28" s="1107">
        <v>7659361</v>
      </c>
      <c r="UB28" s="1105">
        <v>43023060</v>
      </c>
      <c r="UC28" s="1108">
        <v>6584394</v>
      </c>
      <c r="UD28" s="1108"/>
      <c r="UE28" s="1103"/>
      <c r="UF28" s="1109" t="s">
        <v>2444</v>
      </c>
      <c r="UG28" s="1110" t="s">
        <v>2445</v>
      </c>
      <c r="UH28" s="1110" t="s">
        <v>2446</v>
      </c>
    </row>
    <row r="29" spans="1:554" s="776" customFormat="1" ht="35.25" customHeight="1" thickBot="1">
      <c r="A29" s="1093">
        <v>260</v>
      </c>
      <c r="B29" s="1094" t="s">
        <v>118</v>
      </c>
      <c r="C29" s="1095" t="s">
        <v>325</v>
      </c>
      <c r="D29" s="1096" t="s">
        <v>2398</v>
      </c>
      <c r="E29" s="1097">
        <v>13231</v>
      </c>
      <c r="F29" s="1098">
        <v>240126277</v>
      </c>
      <c r="G29" s="1096" t="s">
        <v>2399</v>
      </c>
      <c r="H29" s="1100" t="s">
        <v>118</v>
      </c>
      <c r="I29" s="1100"/>
      <c r="J29" s="1100"/>
      <c r="K29" s="1100"/>
      <c r="L29" s="1100"/>
      <c r="M29" s="1101">
        <v>17625883</v>
      </c>
      <c r="N29" s="1101">
        <v>0</v>
      </c>
      <c r="O29" s="1101">
        <v>0</v>
      </c>
      <c r="P29" s="1101">
        <v>0</v>
      </c>
      <c r="Q29" s="1101">
        <v>0</v>
      </c>
      <c r="R29" s="1101">
        <v>0</v>
      </c>
      <c r="S29" s="1101">
        <v>0</v>
      </c>
      <c r="T29" s="1101">
        <v>0</v>
      </c>
      <c r="U29" s="1101">
        <v>0</v>
      </c>
      <c r="V29" s="1101">
        <v>29612</v>
      </c>
      <c r="W29" s="1101">
        <v>0</v>
      </c>
      <c r="X29" s="1101">
        <v>0</v>
      </c>
      <c r="Y29" s="1101">
        <v>2212446</v>
      </c>
      <c r="Z29" s="1101">
        <v>0</v>
      </c>
      <c r="AA29" s="1101">
        <v>0</v>
      </c>
      <c r="AB29" s="1101">
        <v>0</v>
      </c>
      <c r="AC29" s="1101">
        <v>0</v>
      </c>
      <c r="AD29" s="1101">
        <v>0</v>
      </c>
      <c r="AE29" s="1101">
        <v>0</v>
      </c>
      <c r="AF29" s="1101">
        <v>0</v>
      </c>
      <c r="AG29" s="1101">
        <v>0</v>
      </c>
      <c r="AH29" s="1101">
        <v>0</v>
      </c>
      <c r="AI29" s="1101">
        <v>0</v>
      </c>
      <c r="AJ29" s="1101">
        <v>0</v>
      </c>
      <c r="AK29" s="1101">
        <v>0</v>
      </c>
      <c r="AL29" s="1101">
        <v>0</v>
      </c>
      <c r="AM29" s="1101">
        <v>0</v>
      </c>
      <c r="AN29" s="1101">
        <v>3542817</v>
      </c>
      <c r="AO29" s="1101">
        <v>0</v>
      </c>
      <c r="AP29" s="1101">
        <v>0</v>
      </c>
      <c r="AQ29" s="1101">
        <v>0</v>
      </c>
      <c r="AR29" s="1101">
        <v>0</v>
      </c>
      <c r="AS29" s="1101">
        <v>0</v>
      </c>
      <c r="AT29" s="1101">
        <v>0</v>
      </c>
      <c r="AU29" s="1101">
        <v>0</v>
      </c>
      <c r="AV29" s="1101">
        <v>0</v>
      </c>
      <c r="AW29" s="1101">
        <v>0</v>
      </c>
      <c r="AX29" s="1101">
        <v>0</v>
      </c>
      <c r="AY29" s="1101">
        <v>0</v>
      </c>
      <c r="AZ29" s="1101">
        <v>0</v>
      </c>
      <c r="BA29" s="1101">
        <v>0</v>
      </c>
      <c r="BB29" s="1101">
        <v>0</v>
      </c>
      <c r="BC29" s="1101">
        <v>0</v>
      </c>
      <c r="BD29" s="1101">
        <v>0</v>
      </c>
      <c r="BE29" s="1101">
        <v>0</v>
      </c>
      <c r="BF29" s="1101">
        <v>-488714</v>
      </c>
      <c r="BG29" s="1101">
        <v>0</v>
      </c>
      <c r="BH29" s="1101">
        <v>0</v>
      </c>
      <c r="BI29" s="1101">
        <v>0</v>
      </c>
      <c r="BJ29" s="1101">
        <v>0</v>
      </c>
      <c r="BK29" s="1101">
        <v>0</v>
      </c>
      <c r="BL29" s="1101">
        <v>0</v>
      </c>
      <c r="BM29" s="1101">
        <v>0</v>
      </c>
      <c r="BN29" s="1101">
        <v>0</v>
      </c>
      <c r="BO29" s="1101">
        <v>0</v>
      </c>
      <c r="BP29" s="1101">
        <v>0</v>
      </c>
      <c r="BQ29" s="1101">
        <v>0</v>
      </c>
      <c r="BR29" s="1101">
        <v>0</v>
      </c>
      <c r="BS29" s="1101">
        <v>0</v>
      </c>
      <c r="BT29" s="1101">
        <v>0</v>
      </c>
      <c r="BU29" s="1101">
        <v>0</v>
      </c>
      <c r="BV29" s="1101">
        <v>0</v>
      </c>
      <c r="BW29" s="1101">
        <v>0</v>
      </c>
      <c r="BX29" s="1101">
        <v>0</v>
      </c>
      <c r="BY29" s="1101">
        <v>0</v>
      </c>
      <c r="BZ29" s="1101">
        <v>0</v>
      </c>
      <c r="CA29" s="1101">
        <v>0</v>
      </c>
      <c r="CB29" s="1101">
        <v>0</v>
      </c>
      <c r="CC29" s="1101">
        <v>0</v>
      </c>
      <c r="CD29" s="1101">
        <v>0</v>
      </c>
      <c r="CE29" s="1101">
        <v>0</v>
      </c>
      <c r="CF29" s="1101">
        <v>0</v>
      </c>
      <c r="CG29" s="1101">
        <v>0</v>
      </c>
      <c r="CH29" s="1101">
        <v>0</v>
      </c>
      <c r="CI29" s="1101">
        <v>0</v>
      </c>
      <c r="CJ29" s="1101">
        <v>0</v>
      </c>
      <c r="CK29" s="1101">
        <v>0</v>
      </c>
      <c r="CL29" s="1101">
        <v>0</v>
      </c>
      <c r="CM29" s="1101">
        <v>0</v>
      </c>
      <c r="CN29" s="1101">
        <v>0</v>
      </c>
      <c r="CO29" s="1101">
        <v>0</v>
      </c>
      <c r="CP29" s="1101">
        <v>6881764</v>
      </c>
      <c r="CQ29" s="1101">
        <v>18327485</v>
      </c>
      <c r="CR29" s="1101">
        <v>0</v>
      </c>
      <c r="CS29" s="1101">
        <v>0</v>
      </c>
      <c r="CT29" s="1101">
        <v>0</v>
      </c>
      <c r="CU29" s="1101">
        <v>0</v>
      </c>
      <c r="CV29" s="1101">
        <v>0</v>
      </c>
      <c r="CW29" s="1101">
        <v>0</v>
      </c>
      <c r="CX29" s="1101">
        <v>0</v>
      </c>
      <c r="CY29" s="1101">
        <v>0</v>
      </c>
      <c r="CZ29" s="1101">
        <v>0</v>
      </c>
      <c r="DA29" s="1101">
        <v>0</v>
      </c>
      <c r="DB29" s="1101">
        <v>0</v>
      </c>
      <c r="DC29" s="1101">
        <v>0</v>
      </c>
      <c r="DD29" s="1101">
        <v>0</v>
      </c>
      <c r="DE29" s="1101">
        <v>0</v>
      </c>
      <c r="DF29" s="1101">
        <v>0</v>
      </c>
      <c r="DG29" s="1101">
        <v>0</v>
      </c>
      <c r="DH29" s="1101">
        <v>0</v>
      </c>
      <c r="DI29" s="1101">
        <v>0</v>
      </c>
      <c r="DJ29" s="1101">
        <v>0</v>
      </c>
      <c r="DK29" s="1101">
        <v>0</v>
      </c>
      <c r="DL29" s="1101">
        <v>0</v>
      </c>
      <c r="DM29" s="1101">
        <v>0</v>
      </c>
      <c r="DN29" s="1101">
        <v>0</v>
      </c>
      <c r="DO29" s="1101">
        <v>0</v>
      </c>
      <c r="DP29" s="1101">
        <v>0</v>
      </c>
      <c r="DQ29" s="1101">
        <v>-326598</v>
      </c>
      <c r="DR29" s="1101">
        <v>-875656</v>
      </c>
      <c r="DS29" s="1101">
        <v>0</v>
      </c>
      <c r="DT29" s="1101">
        <v>0</v>
      </c>
      <c r="DU29" s="1101">
        <v>0</v>
      </c>
      <c r="DV29" s="1101">
        <v>0</v>
      </c>
      <c r="DW29" s="1101">
        <v>0</v>
      </c>
      <c r="DX29" s="1101">
        <v>0</v>
      </c>
      <c r="DY29" s="1101">
        <v>0</v>
      </c>
      <c r="DZ29" s="1101">
        <v>0</v>
      </c>
      <c r="EA29" s="1101">
        <v>0</v>
      </c>
      <c r="EB29" s="1101">
        <v>0</v>
      </c>
      <c r="EC29" s="1101">
        <v>0</v>
      </c>
      <c r="ED29" s="1101">
        <v>0</v>
      </c>
      <c r="EE29" s="1101">
        <v>0</v>
      </c>
      <c r="EF29" s="1101">
        <v>0</v>
      </c>
      <c r="EG29" s="1101">
        <v>0</v>
      </c>
      <c r="EH29" s="1101">
        <v>0</v>
      </c>
      <c r="EI29" s="1101">
        <v>-1510778</v>
      </c>
      <c r="EJ29" s="1101">
        <v>-4017626</v>
      </c>
      <c r="EK29" s="1101">
        <v>0</v>
      </c>
      <c r="EL29" s="1101">
        <v>0</v>
      </c>
      <c r="EM29" s="1101">
        <v>0</v>
      </c>
      <c r="EN29" s="1101">
        <v>0</v>
      </c>
      <c r="EO29" s="1101">
        <v>0</v>
      </c>
      <c r="EP29" s="1101">
        <v>0</v>
      </c>
      <c r="EQ29" s="1101">
        <v>0</v>
      </c>
      <c r="ER29" s="1101">
        <v>0</v>
      </c>
      <c r="ES29" s="1101">
        <v>0</v>
      </c>
      <c r="ET29" s="1101">
        <v>0</v>
      </c>
      <c r="EU29" s="1101">
        <v>0</v>
      </c>
      <c r="EV29" s="1101">
        <v>0</v>
      </c>
      <c r="EW29" s="1101">
        <v>0</v>
      </c>
      <c r="EX29" s="1101">
        <v>0</v>
      </c>
      <c r="EY29" s="1101">
        <v>0</v>
      </c>
      <c r="EZ29" s="1101">
        <v>0</v>
      </c>
      <c r="FA29" s="1101">
        <v>0</v>
      </c>
      <c r="FB29" s="1101">
        <v>0</v>
      </c>
      <c r="FC29" s="1101">
        <v>0</v>
      </c>
      <c r="FD29" s="1101">
        <v>0</v>
      </c>
      <c r="FE29" s="1101">
        <v>0</v>
      </c>
      <c r="FF29" s="1101">
        <v>0</v>
      </c>
      <c r="FG29" s="1101">
        <v>0</v>
      </c>
      <c r="FH29" s="1101">
        <v>0</v>
      </c>
      <c r="FI29" s="1101">
        <v>0</v>
      </c>
      <c r="FJ29" s="1101">
        <v>0</v>
      </c>
      <c r="FK29" s="1101">
        <v>0</v>
      </c>
      <c r="FL29" s="1101">
        <v>0</v>
      </c>
      <c r="FM29" s="1101">
        <v>0</v>
      </c>
      <c r="FN29" s="1101">
        <v>0</v>
      </c>
      <c r="FO29" s="1101">
        <v>0</v>
      </c>
      <c r="FP29" s="1101">
        <v>0</v>
      </c>
      <c r="FQ29" s="1101">
        <v>0</v>
      </c>
      <c r="FR29" s="1101">
        <v>0</v>
      </c>
      <c r="FS29" s="1101">
        <v>0</v>
      </c>
      <c r="FT29" s="1101">
        <v>0</v>
      </c>
      <c r="FU29" s="1101">
        <v>0</v>
      </c>
      <c r="FV29" s="1101">
        <v>0</v>
      </c>
      <c r="FW29" s="1101">
        <v>0</v>
      </c>
      <c r="FX29" s="1101">
        <v>0</v>
      </c>
      <c r="FY29" s="1101">
        <v>0</v>
      </c>
      <c r="FZ29" s="1101">
        <v>0</v>
      </c>
      <c r="GA29" s="1101">
        <v>0</v>
      </c>
      <c r="GB29" s="1101">
        <v>2604</v>
      </c>
      <c r="GC29" s="1101">
        <v>6663694</v>
      </c>
      <c r="GD29" s="1101">
        <v>4691716</v>
      </c>
      <c r="GE29" s="1101">
        <v>0</v>
      </c>
      <c r="GF29" s="1101">
        <v>0</v>
      </c>
      <c r="GG29" s="1101">
        <v>0</v>
      </c>
      <c r="GH29" s="1101">
        <v>0</v>
      </c>
      <c r="GI29" s="1101">
        <v>0</v>
      </c>
      <c r="GJ29" s="1101">
        <v>0</v>
      </c>
      <c r="GK29" s="1101">
        <v>0</v>
      </c>
      <c r="GL29" s="1101">
        <v>0</v>
      </c>
      <c r="GM29" s="1101">
        <v>0</v>
      </c>
      <c r="GN29" s="1101">
        <v>0</v>
      </c>
      <c r="GO29" s="1101">
        <v>0</v>
      </c>
      <c r="GP29" s="1101">
        <v>0</v>
      </c>
      <c r="GQ29" s="1101">
        <v>0</v>
      </c>
      <c r="GR29" s="1101">
        <v>0</v>
      </c>
      <c r="GS29" s="1101">
        <v>0</v>
      </c>
      <c r="GT29" s="1101">
        <v>0</v>
      </c>
      <c r="GU29" s="1101">
        <v>0</v>
      </c>
      <c r="GV29" s="1101">
        <v>0</v>
      </c>
      <c r="GW29" s="1101">
        <v>0</v>
      </c>
      <c r="GX29" s="1101">
        <v>0</v>
      </c>
      <c r="GY29" s="1101">
        <v>0</v>
      </c>
      <c r="GZ29" s="1101">
        <v>0</v>
      </c>
      <c r="HA29" s="1101">
        <v>0</v>
      </c>
      <c r="HB29" s="1101">
        <v>0</v>
      </c>
      <c r="HC29" s="1101">
        <v>-115</v>
      </c>
      <c r="HD29" s="1101">
        <v>-318228</v>
      </c>
      <c r="HE29" s="1101">
        <v>-104289</v>
      </c>
      <c r="HF29" s="1101">
        <v>0</v>
      </c>
      <c r="HG29" s="1101">
        <v>0</v>
      </c>
      <c r="HH29" s="1101">
        <v>0</v>
      </c>
      <c r="HI29" s="1101">
        <v>0</v>
      </c>
      <c r="HJ29" s="1101">
        <v>0</v>
      </c>
      <c r="HK29" s="1101">
        <v>0</v>
      </c>
      <c r="HL29" s="1101">
        <v>0</v>
      </c>
      <c r="HM29" s="1101">
        <v>0</v>
      </c>
      <c r="HN29" s="1101">
        <v>0</v>
      </c>
      <c r="HO29" s="1101">
        <v>0</v>
      </c>
      <c r="HP29" s="1101">
        <v>0</v>
      </c>
      <c r="HQ29" s="1101">
        <v>0</v>
      </c>
      <c r="HR29" s="1101">
        <v>0</v>
      </c>
      <c r="HS29" s="1101">
        <v>0</v>
      </c>
      <c r="HT29" s="1101">
        <v>0</v>
      </c>
      <c r="HU29" s="1101">
        <v>-534</v>
      </c>
      <c r="HV29" s="1101">
        <v>-1460770</v>
      </c>
      <c r="HW29" s="1101">
        <v>-1148331</v>
      </c>
      <c r="HX29" s="1101">
        <v>0</v>
      </c>
      <c r="HY29" s="1101">
        <v>0</v>
      </c>
      <c r="HZ29" s="1101">
        <v>0</v>
      </c>
      <c r="IA29" s="1101">
        <v>0</v>
      </c>
      <c r="IB29" s="1101">
        <v>0</v>
      </c>
      <c r="IC29" s="1101">
        <v>0</v>
      </c>
      <c r="ID29" s="1101">
        <v>590591</v>
      </c>
      <c r="IE29" s="1101">
        <v>0</v>
      </c>
      <c r="IF29" s="1101">
        <v>0</v>
      </c>
      <c r="IG29" s="1101">
        <v>15060140</v>
      </c>
      <c r="IH29" s="1101">
        <v>0</v>
      </c>
      <c r="II29" s="1101">
        <v>0</v>
      </c>
      <c r="IJ29" s="1101">
        <v>0</v>
      </c>
      <c r="IK29" s="1101">
        <v>0</v>
      </c>
      <c r="IL29" s="1101">
        <v>0</v>
      </c>
      <c r="IM29" s="1101">
        <v>9963</v>
      </c>
      <c r="IN29" s="1101">
        <v>19287</v>
      </c>
      <c r="IO29" s="1101">
        <v>0</v>
      </c>
      <c r="IP29" s="1101">
        <v>0</v>
      </c>
      <c r="IQ29" s="1101">
        <v>0</v>
      </c>
      <c r="IR29" s="1101">
        <v>1715824</v>
      </c>
      <c r="IS29" s="1101">
        <v>0</v>
      </c>
      <c r="IT29" s="1101">
        <v>0</v>
      </c>
      <c r="IU29" s="1101">
        <v>0</v>
      </c>
      <c r="IV29" s="1101">
        <v>0</v>
      </c>
      <c r="IW29" s="1101">
        <v>0</v>
      </c>
      <c r="IX29" s="1101">
        <v>0</v>
      </c>
      <c r="IY29" s="1101">
        <v>0</v>
      </c>
      <c r="IZ29" s="1101">
        <v>0</v>
      </c>
      <c r="JA29" s="1101">
        <v>0</v>
      </c>
      <c r="JB29" s="1101">
        <v>0</v>
      </c>
      <c r="JC29" s="1101">
        <v>0</v>
      </c>
      <c r="JD29" s="1101">
        <v>0</v>
      </c>
      <c r="JE29" s="1101">
        <v>0</v>
      </c>
      <c r="JF29" s="1101">
        <v>0</v>
      </c>
      <c r="JG29" s="1101">
        <v>0</v>
      </c>
      <c r="JH29" s="1101">
        <v>1857016</v>
      </c>
      <c r="JI29" s="1101">
        <v>0</v>
      </c>
      <c r="JJ29" s="1101">
        <v>1150</v>
      </c>
      <c r="JK29" s="1101">
        <v>0</v>
      </c>
      <c r="JL29" s="1101">
        <v>0</v>
      </c>
      <c r="JM29" s="1101">
        <v>0</v>
      </c>
      <c r="JN29" s="1101">
        <v>0</v>
      </c>
      <c r="JO29" s="1101">
        <v>322197</v>
      </c>
      <c r="JP29" s="1101">
        <v>0</v>
      </c>
      <c r="JQ29" s="1101">
        <v>0</v>
      </c>
      <c r="JR29" s="1101">
        <v>0</v>
      </c>
      <c r="JS29" s="1101">
        <v>0</v>
      </c>
      <c r="JT29" s="1101">
        <v>0</v>
      </c>
      <c r="JU29" s="1101">
        <v>0</v>
      </c>
      <c r="JV29" s="1101">
        <v>0</v>
      </c>
      <c r="JW29" s="1101">
        <v>0</v>
      </c>
      <c r="JX29" s="1101">
        <v>0</v>
      </c>
      <c r="JY29" s="1101">
        <v>2065046</v>
      </c>
      <c r="JZ29" s="1101">
        <v>0</v>
      </c>
      <c r="KA29" s="1101">
        <v>0</v>
      </c>
      <c r="KB29" s="1101">
        <v>0</v>
      </c>
      <c r="KC29" s="1101">
        <v>0</v>
      </c>
      <c r="KD29" s="1101">
        <v>0</v>
      </c>
      <c r="KE29" s="1101">
        <v>0</v>
      </c>
      <c r="KF29" s="1101">
        <v>0</v>
      </c>
      <c r="KG29" s="1101">
        <v>919114</v>
      </c>
      <c r="KH29" s="1101">
        <v>3218380</v>
      </c>
      <c r="KI29" s="1101">
        <v>0</v>
      </c>
      <c r="KJ29" s="1101">
        <v>0</v>
      </c>
      <c r="KK29" s="1101">
        <v>0</v>
      </c>
      <c r="KL29" s="1101">
        <v>0</v>
      </c>
      <c r="KM29" s="1101">
        <v>0</v>
      </c>
      <c r="KN29" s="1101">
        <v>0</v>
      </c>
      <c r="KO29" s="1101">
        <v>17713878</v>
      </c>
      <c r="KP29" s="1101">
        <v>2811946</v>
      </c>
      <c r="KQ29" s="1101">
        <v>0</v>
      </c>
      <c r="KR29" s="1101">
        <v>73729</v>
      </c>
      <c r="KS29" s="1101">
        <v>0</v>
      </c>
      <c r="KT29" s="1101">
        <v>0</v>
      </c>
      <c r="KU29" s="1101">
        <v>0</v>
      </c>
      <c r="KV29" s="1101">
        <v>0</v>
      </c>
      <c r="KW29" s="1101">
        <v>0</v>
      </c>
      <c r="KX29" s="1101">
        <v>274609</v>
      </c>
      <c r="KY29" s="1101">
        <v>7842</v>
      </c>
      <c r="KZ29" s="1101">
        <v>0</v>
      </c>
      <c r="LA29" s="1101">
        <v>134416</v>
      </c>
      <c r="LB29" s="1101">
        <v>0</v>
      </c>
      <c r="LC29" s="1101">
        <v>0</v>
      </c>
      <c r="LD29" s="1101">
        <v>0</v>
      </c>
      <c r="LE29" s="1101">
        <v>0</v>
      </c>
      <c r="LF29" s="1101">
        <v>0</v>
      </c>
      <c r="LG29" s="1101">
        <v>327040</v>
      </c>
      <c r="LH29" s="1101">
        <v>189992</v>
      </c>
      <c r="LI29" s="1101">
        <v>3971</v>
      </c>
      <c r="LJ29" s="1101">
        <v>346911</v>
      </c>
      <c r="LK29" s="1101">
        <v>0</v>
      </c>
      <c r="LL29" s="1101">
        <v>0</v>
      </c>
      <c r="LM29" s="1101">
        <v>0</v>
      </c>
      <c r="LN29" s="1101">
        <v>0</v>
      </c>
      <c r="LO29" s="1101">
        <v>0</v>
      </c>
      <c r="LP29" s="1101">
        <v>1835871</v>
      </c>
      <c r="LQ29" s="1101">
        <v>7335797</v>
      </c>
      <c r="LR29" s="1101">
        <v>265221</v>
      </c>
      <c r="LS29" s="1101">
        <v>4760541</v>
      </c>
      <c r="LT29" s="1101">
        <v>0</v>
      </c>
      <c r="LU29" s="1101">
        <v>0</v>
      </c>
      <c r="LV29" s="1101">
        <v>0</v>
      </c>
      <c r="LW29" s="1101">
        <v>0</v>
      </c>
      <c r="LX29" s="1101">
        <v>0</v>
      </c>
      <c r="LY29" s="1101">
        <v>715152</v>
      </c>
      <c r="LZ29" s="1101">
        <v>4028413</v>
      </c>
      <c r="MA29" s="1101">
        <v>2264278</v>
      </c>
      <c r="MB29" s="1101">
        <v>40203</v>
      </c>
      <c r="MC29" s="1101">
        <v>2583</v>
      </c>
      <c r="MD29" s="1101">
        <v>0</v>
      </c>
      <c r="ME29" s="1101">
        <v>0</v>
      </c>
      <c r="MF29" s="1101">
        <v>0</v>
      </c>
      <c r="MG29" s="1101">
        <v>0</v>
      </c>
      <c r="MH29" s="1101">
        <v>2611896</v>
      </c>
      <c r="MI29" s="1101">
        <v>3270000</v>
      </c>
      <c r="MJ29" s="1101">
        <v>4804</v>
      </c>
      <c r="MK29" s="1101">
        <v>10896</v>
      </c>
      <c r="ML29" s="1101">
        <v>0</v>
      </c>
      <c r="MM29" s="1101">
        <v>0</v>
      </c>
      <c r="MN29" s="1101">
        <v>0</v>
      </c>
      <c r="MO29" s="1101">
        <v>0</v>
      </c>
      <c r="MP29" s="1101">
        <v>0</v>
      </c>
      <c r="MQ29" s="1101">
        <v>1046977</v>
      </c>
      <c r="MR29" s="1101">
        <v>2178721</v>
      </c>
      <c r="MS29" s="1101">
        <v>16066</v>
      </c>
      <c r="MT29" s="1101">
        <v>12749</v>
      </c>
      <c r="MU29" s="1101">
        <v>0</v>
      </c>
      <c r="MV29" s="1101">
        <v>0</v>
      </c>
      <c r="MW29" s="1101">
        <v>0</v>
      </c>
      <c r="MX29" s="1101">
        <v>0</v>
      </c>
      <c r="MY29" s="1101">
        <v>0</v>
      </c>
      <c r="MZ29" s="1101">
        <v>744751</v>
      </c>
      <c r="NA29" s="1101">
        <v>2451269</v>
      </c>
      <c r="NB29" s="1101">
        <v>132037</v>
      </c>
      <c r="NC29" s="1101">
        <v>5548737</v>
      </c>
      <c r="ND29" s="1101">
        <v>0</v>
      </c>
      <c r="NE29" s="1101">
        <v>0</v>
      </c>
      <c r="NF29" s="1101">
        <v>0</v>
      </c>
      <c r="NG29" s="1101">
        <v>0</v>
      </c>
      <c r="NH29" s="1101">
        <v>0</v>
      </c>
      <c r="NI29" s="1101">
        <v>0</v>
      </c>
      <c r="NJ29" s="1101">
        <v>87</v>
      </c>
      <c r="NK29" s="1101">
        <v>2321983</v>
      </c>
      <c r="NL29" s="1101">
        <v>20387</v>
      </c>
      <c r="NM29" s="1101">
        <v>0</v>
      </c>
      <c r="NN29" s="1101">
        <v>0</v>
      </c>
      <c r="NO29" s="1101">
        <v>0</v>
      </c>
      <c r="NP29" s="1101">
        <v>0</v>
      </c>
      <c r="NQ29" s="1101">
        <v>0</v>
      </c>
      <c r="NR29" s="1101">
        <v>280498</v>
      </c>
      <c r="NS29" s="1101">
        <v>37980</v>
      </c>
      <c r="NT29" s="1101">
        <v>2049</v>
      </c>
      <c r="NU29" s="1101">
        <v>246519</v>
      </c>
      <c r="NV29" s="1101">
        <v>0</v>
      </c>
      <c r="NW29" s="1101">
        <v>0</v>
      </c>
      <c r="NX29" s="1101">
        <v>0</v>
      </c>
      <c r="NY29" s="1101">
        <v>0</v>
      </c>
      <c r="NZ29" s="1101">
        <v>0</v>
      </c>
      <c r="OA29" s="1101">
        <v>0</v>
      </c>
      <c r="OB29" s="1101">
        <v>240</v>
      </c>
      <c r="OC29" s="1101">
        <v>8998</v>
      </c>
      <c r="OD29" s="1101">
        <v>0</v>
      </c>
      <c r="OE29" s="1101">
        <v>0</v>
      </c>
      <c r="OF29" s="1101">
        <v>0</v>
      </c>
      <c r="OG29" s="1101">
        <v>2596431</v>
      </c>
      <c r="OH29" s="1101">
        <v>0</v>
      </c>
      <c r="OI29" s="1101">
        <v>204597</v>
      </c>
      <c r="OJ29" s="1101">
        <v>0</v>
      </c>
      <c r="OK29" s="1101">
        <v>0</v>
      </c>
      <c r="OL29" s="1101">
        <v>0</v>
      </c>
      <c r="OM29" s="1101">
        <v>0</v>
      </c>
      <c r="ON29" s="1101">
        <v>0</v>
      </c>
      <c r="OO29" s="1101">
        <v>0</v>
      </c>
      <c r="OP29" s="1101">
        <v>-7732299</v>
      </c>
      <c r="OQ29" s="1101">
        <v>0</v>
      </c>
      <c r="OR29" s="1101">
        <v>0</v>
      </c>
      <c r="OS29" s="1101">
        <v>169650</v>
      </c>
      <c r="OT29" s="1101">
        <v>4969408</v>
      </c>
      <c r="OU29" s="1101">
        <v>-1730132</v>
      </c>
      <c r="OV29" s="1101">
        <v>-6643786</v>
      </c>
      <c r="OW29" s="1101">
        <v>72073</v>
      </c>
      <c r="OX29" s="1101">
        <v>-606787</v>
      </c>
      <c r="OY29" s="1101">
        <v>-3619071</v>
      </c>
      <c r="OZ29" s="1101">
        <v>4527281</v>
      </c>
      <c r="PA29" s="1101">
        <v>7672301</v>
      </c>
      <c r="PB29" s="1101">
        <v>0</v>
      </c>
      <c r="PC29" s="1101">
        <v>0</v>
      </c>
      <c r="PD29" s="1101">
        <v>0</v>
      </c>
      <c r="PE29" s="1101">
        <v>0</v>
      </c>
      <c r="PF29" s="1101">
        <v>0</v>
      </c>
      <c r="PG29" s="1101">
        <v>0</v>
      </c>
      <c r="PH29" s="1101">
        <v>1444000</v>
      </c>
      <c r="PI29" s="1101">
        <v>0</v>
      </c>
      <c r="PJ29" s="1101">
        <v>0</v>
      </c>
      <c r="PK29" s="1101">
        <v>0</v>
      </c>
      <c r="PL29" s="1101">
        <v>0</v>
      </c>
      <c r="PM29" s="1101">
        <v>0</v>
      </c>
      <c r="PN29" s="1101">
        <v>0</v>
      </c>
      <c r="PO29" s="1101">
        <v>0</v>
      </c>
      <c r="PP29" s="1101">
        <v>0</v>
      </c>
      <c r="PQ29" s="1101">
        <v>0</v>
      </c>
      <c r="PR29" s="1101">
        <v>-7706264</v>
      </c>
      <c r="PS29" s="1101">
        <v>0</v>
      </c>
      <c r="PT29" s="1101">
        <v>0</v>
      </c>
      <c r="PU29" s="1101">
        <v>-10596</v>
      </c>
      <c r="PV29" s="1101">
        <v>0</v>
      </c>
      <c r="PW29" s="1101">
        <v>0</v>
      </c>
      <c r="PX29" s="1101">
        <v>0</v>
      </c>
      <c r="PY29" s="1101">
        <v>2397195</v>
      </c>
      <c r="PZ29" s="1101">
        <v>0</v>
      </c>
      <c r="QA29" s="1101">
        <v>0</v>
      </c>
      <c r="QB29" s="1101">
        <v>0</v>
      </c>
      <c r="QC29" s="1101">
        <v>0</v>
      </c>
      <c r="QD29" s="1101">
        <v>0</v>
      </c>
      <c r="QE29" s="1101">
        <v>0</v>
      </c>
      <c r="QF29" s="1101">
        <v>0</v>
      </c>
      <c r="QG29" s="1101">
        <v>0</v>
      </c>
      <c r="QH29" s="1101">
        <v>25000</v>
      </c>
      <c r="QI29" s="1101">
        <v>0</v>
      </c>
      <c r="QJ29" s="1101">
        <v>0</v>
      </c>
      <c r="QK29" s="1101">
        <v>0</v>
      </c>
      <c r="QL29" s="1101">
        <v>0</v>
      </c>
      <c r="QM29" s="1101">
        <v>0</v>
      </c>
      <c r="QN29" s="1101">
        <v>0</v>
      </c>
      <c r="QO29" s="1101">
        <v>0</v>
      </c>
      <c r="QP29" s="1101">
        <v>0</v>
      </c>
      <c r="QQ29" s="1101">
        <v>0</v>
      </c>
      <c r="QR29" s="1101">
        <v>-1444000</v>
      </c>
      <c r="QS29" s="1101">
        <v>4035267</v>
      </c>
      <c r="QT29" s="1101">
        <v>0</v>
      </c>
      <c r="QU29" s="1101">
        <v>0</v>
      </c>
      <c r="QV29" s="1101">
        <v>0</v>
      </c>
      <c r="QW29" s="1101">
        <v>0</v>
      </c>
      <c r="QX29" s="1101">
        <v>0</v>
      </c>
      <c r="QY29" s="1101">
        <v>0</v>
      </c>
      <c r="QZ29" s="1101">
        <v>0</v>
      </c>
      <c r="RA29" s="1101">
        <v>0</v>
      </c>
      <c r="RB29" s="1101">
        <v>0</v>
      </c>
      <c r="RC29" s="1101">
        <v>-7013519</v>
      </c>
      <c r="RD29" s="1101">
        <v>0</v>
      </c>
      <c r="RE29" s="1101">
        <v>0</v>
      </c>
      <c r="RF29" s="1101">
        <v>0</v>
      </c>
      <c r="RG29" s="1101">
        <v>0</v>
      </c>
      <c r="RH29" s="1101">
        <v>0</v>
      </c>
      <c r="RI29" s="1101">
        <v>0</v>
      </c>
      <c r="RJ29" s="1101">
        <v>0</v>
      </c>
      <c r="RK29" s="1101">
        <v>0</v>
      </c>
      <c r="RL29" s="1101">
        <v>0</v>
      </c>
      <c r="RM29" s="1101">
        <v>0</v>
      </c>
      <c r="RN29" s="1101">
        <v>0</v>
      </c>
      <c r="RO29" s="1101">
        <v>0</v>
      </c>
      <c r="RP29" s="1101">
        <v>0</v>
      </c>
      <c r="RQ29" s="1101">
        <v>0</v>
      </c>
      <c r="RR29" s="1101">
        <v>0</v>
      </c>
      <c r="RS29" s="1101">
        <v>0</v>
      </c>
      <c r="RT29" s="1101">
        <v>0</v>
      </c>
      <c r="RU29" s="1101">
        <v>0</v>
      </c>
      <c r="RV29" s="1101">
        <v>0</v>
      </c>
      <c r="RW29" s="1101">
        <v>0</v>
      </c>
      <c r="RX29" s="1101">
        <v>0</v>
      </c>
      <c r="RY29" s="1101">
        <v>0</v>
      </c>
      <c r="RZ29" s="1101">
        <v>0</v>
      </c>
      <c r="SA29" s="1101">
        <v>0</v>
      </c>
      <c r="SB29" s="1101">
        <v>0</v>
      </c>
      <c r="SC29" s="1101">
        <v>0</v>
      </c>
      <c r="SD29" s="1101">
        <v>0</v>
      </c>
      <c r="SE29" s="1101">
        <v>280498</v>
      </c>
      <c r="SF29" s="1101">
        <v>37980</v>
      </c>
      <c r="SG29" s="1101">
        <v>2049</v>
      </c>
      <c r="SH29" s="1101">
        <v>246519</v>
      </c>
      <c r="SI29" s="1101">
        <v>0</v>
      </c>
      <c r="SJ29" s="1101">
        <v>0</v>
      </c>
      <c r="SK29" s="1101">
        <v>7732299</v>
      </c>
      <c r="SL29" s="1102">
        <v>0</v>
      </c>
      <c r="SM29" s="1101">
        <v>0</v>
      </c>
      <c r="SN29" s="1101">
        <v>6217805</v>
      </c>
      <c r="SO29" s="1102"/>
      <c r="SP29" s="1103"/>
      <c r="SQ29" s="1104">
        <v>36567263</v>
      </c>
      <c r="SR29" s="1104">
        <v>-9762925</v>
      </c>
      <c r="SS29" s="1105">
        <v>282203</v>
      </c>
      <c r="ST29" s="1106">
        <v>0</v>
      </c>
      <c r="SU29" s="1106">
        <v>8442</v>
      </c>
      <c r="SV29" s="1106">
        <v>24555</v>
      </c>
      <c r="SW29" s="1106">
        <v>33872</v>
      </c>
      <c r="SX29" s="1106">
        <v>131321</v>
      </c>
      <c r="SY29" s="1106">
        <v>86653</v>
      </c>
      <c r="SZ29" s="1106">
        <v>0</v>
      </c>
      <c r="TA29" s="1106">
        <v>0</v>
      </c>
      <c r="TB29" s="1106">
        <v>1213171</v>
      </c>
      <c r="TC29" s="1105">
        <v>0</v>
      </c>
      <c r="TD29" s="1106">
        <v>0</v>
      </c>
      <c r="TE29" s="1106">
        <v>0</v>
      </c>
      <c r="TF29" s="1106">
        <v>0</v>
      </c>
      <c r="TG29" s="1106">
        <v>0</v>
      </c>
      <c r="TH29" s="1106">
        <v>0</v>
      </c>
      <c r="TI29" s="1106">
        <v>0</v>
      </c>
      <c r="TJ29" s="1106">
        <v>0</v>
      </c>
      <c r="TK29" s="1105">
        <v>0</v>
      </c>
      <c r="TL29" s="1106">
        <v>0</v>
      </c>
      <c r="TM29" s="1106">
        <v>0</v>
      </c>
      <c r="TN29" s="1106">
        <v>0</v>
      </c>
      <c r="TO29" s="1106">
        <v>0</v>
      </c>
      <c r="TP29" s="1106">
        <v>0</v>
      </c>
      <c r="TQ29" s="1106">
        <v>0</v>
      </c>
      <c r="TR29" s="1106">
        <v>0</v>
      </c>
      <c r="TS29" s="1105">
        <v>20599553</v>
      </c>
      <c r="TT29" s="1106">
        <v>416867</v>
      </c>
      <c r="TU29" s="1106">
        <v>867914</v>
      </c>
      <c r="TV29" s="1106">
        <v>14197430</v>
      </c>
      <c r="TW29" s="1106">
        <v>7050629</v>
      </c>
      <c r="TX29" s="1106">
        <v>5897596</v>
      </c>
      <c r="TY29" s="1106">
        <v>3254513</v>
      </c>
      <c r="TZ29" s="1107">
        <v>8876794</v>
      </c>
      <c r="UA29" s="1107">
        <v>2342457</v>
      </c>
      <c r="UB29" s="1105">
        <v>-70887</v>
      </c>
      <c r="UC29" s="1108">
        <v>2386599</v>
      </c>
      <c r="UD29" s="1108"/>
      <c r="UE29" s="1103"/>
      <c r="UF29" s="1109" t="s">
        <v>2447</v>
      </c>
      <c r="UG29" s="1110" t="s">
        <v>2448</v>
      </c>
      <c r="UH29" s="1110" t="s">
        <v>2449</v>
      </c>
    </row>
    <row r="30" spans="1:554" s="776" customFormat="1" ht="24" customHeight="1" thickBot="1">
      <c r="A30" s="1093">
        <v>270</v>
      </c>
      <c r="B30" s="1094" t="s">
        <v>215</v>
      </c>
      <c r="C30" s="1095" t="s">
        <v>326</v>
      </c>
      <c r="D30" s="1096" t="s">
        <v>2398</v>
      </c>
      <c r="E30" s="1097">
        <v>3581</v>
      </c>
      <c r="F30" s="1098">
        <v>907000946</v>
      </c>
      <c r="G30" s="1096" t="s">
        <v>2399</v>
      </c>
      <c r="H30" s="1100" t="s">
        <v>215</v>
      </c>
      <c r="I30" s="1100"/>
      <c r="J30" s="1100"/>
      <c r="K30" s="1100"/>
      <c r="L30" s="1100"/>
      <c r="M30" s="1101">
        <v>58912199</v>
      </c>
      <c r="N30" s="1101">
        <v>0</v>
      </c>
      <c r="O30" s="1101">
        <v>0</v>
      </c>
      <c r="P30" s="1101">
        <v>0</v>
      </c>
      <c r="Q30" s="1101">
        <v>0</v>
      </c>
      <c r="R30" s="1101">
        <v>0</v>
      </c>
      <c r="S30" s="1101">
        <v>0</v>
      </c>
      <c r="T30" s="1101">
        <v>0</v>
      </c>
      <c r="U30" s="1101">
        <v>0</v>
      </c>
      <c r="V30" s="1101">
        <v>369660</v>
      </c>
      <c r="W30" s="1101">
        <v>0</v>
      </c>
      <c r="X30" s="1101">
        <v>0</v>
      </c>
      <c r="Y30" s="1101">
        <v>6646567</v>
      </c>
      <c r="Z30" s="1101">
        <v>0</v>
      </c>
      <c r="AA30" s="1101">
        <v>0</v>
      </c>
      <c r="AB30" s="1101">
        <v>0</v>
      </c>
      <c r="AC30" s="1101">
        <v>0</v>
      </c>
      <c r="AD30" s="1101">
        <v>0</v>
      </c>
      <c r="AE30" s="1101">
        <v>0</v>
      </c>
      <c r="AF30" s="1101">
        <v>0</v>
      </c>
      <c r="AG30" s="1101">
        <v>0</v>
      </c>
      <c r="AH30" s="1101">
        <v>0</v>
      </c>
      <c r="AI30" s="1101">
        <v>0</v>
      </c>
      <c r="AJ30" s="1101">
        <v>0</v>
      </c>
      <c r="AK30" s="1101">
        <v>0</v>
      </c>
      <c r="AL30" s="1101">
        <v>0</v>
      </c>
      <c r="AM30" s="1101">
        <v>0</v>
      </c>
      <c r="AN30" s="1101">
        <v>13141181</v>
      </c>
      <c r="AO30" s="1101">
        <v>0</v>
      </c>
      <c r="AP30" s="1101">
        <v>0</v>
      </c>
      <c r="AQ30" s="1101">
        <v>0</v>
      </c>
      <c r="AR30" s="1101">
        <v>0</v>
      </c>
      <c r="AS30" s="1101">
        <v>0</v>
      </c>
      <c r="AT30" s="1101">
        <v>0</v>
      </c>
      <c r="AU30" s="1101">
        <v>0</v>
      </c>
      <c r="AV30" s="1101">
        <v>0</v>
      </c>
      <c r="AW30" s="1101">
        <v>0</v>
      </c>
      <c r="AX30" s="1101">
        <v>0</v>
      </c>
      <c r="AY30" s="1101">
        <v>0</v>
      </c>
      <c r="AZ30" s="1101">
        <v>0</v>
      </c>
      <c r="BA30" s="1101">
        <v>0</v>
      </c>
      <c r="BB30" s="1101">
        <v>0</v>
      </c>
      <c r="BC30" s="1101">
        <v>0</v>
      </c>
      <c r="BD30" s="1101">
        <v>0</v>
      </c>
      <c r="BE30" s="1101">
        <v>0</v>
      </c>
      <c r="BF30" s="1101">
        <v>-4406982</v>
      </c>
      <c r="BG30" s="1101">
        <v>0</v>
      </c>
      <c r="BH30" s="1101">
        <v>0</v>
      </c>
      <c r="BI30" s="1101">
        <v>0</v>
      </c>
      <c r="BJ30" s="1101">
        <v>0</v>
      </c>
      <c r="BK30" s="1101">
        <v>0</v>
      </c>
      <c r="BL30" s="1101">
        <v>0</v>
      </c>
      <c r="BM30" s="1101">
        <v>0</v>
      </c>
      <c r="BN30" s="1101">
        <v>0</v>
      </c>
      <c r="BO30" s="1101">
        <v>0</v>
      </c>
      <c r="BP30" s="1101">
        <v>0</v>
      </c>
      <c r="BQ30" s="1101">
        <v>0</v>
      </c>
      <c r="BR30" s="1101">
        <v>0</v>
      </c>
      <c r="BS30" s="1101">
        <v>0</v>
      </c>
      <c r="BT30" s="1101">
        <v>0</v>
      </c>
      <c r="BU30" s="1101">
        <v>0</v>
      </c>
      <c r="BV30" s="1101">
        <v>0</v>
      </c>
      <c r="BW30" s="1101">
        <v>0</v>
      </c>
      <c r="BX30" s="1101">
        <v>0</v>
      </c>
      <c r="BY30" s="1101">
        <v>0</v>
      </c>
      <c r="BZ30" s="1101">
        <v>0</v>
      </c>
      <c r="CA30" s="1101">
        <v>0</v>
      </c>
      <c r="CB30" s="1101">
        <v>0</v>
      </c>
      <c r="CC30" s="1101">
        <v>0</v>
      </c>
      <c r="CD30" s="1101">
        <v>0</v>
      </c>
      <c r="CE30" s="1101">
        <v>0</v>
      </c>
      <c r="CF30" s="1101">
        <v>0</v>
      </c>
      <c r="CG30" s="1101">
        <v>0</v>
      </c>
      <c r="CH30" s="1101">
        <v>0</v>
      </c>
      <c r="CI30" s="1101">
        <v>0</v>
      </c>
      <c r="CJ30" s="1101">
        <v>0</v>
      </c>
      <c r="CK30" s="1101">
        <v>0</v>
      </c>
      <c r="CL30" s="1101">
        <v>0</v>
      </c>
      <c r="CM30" s="1101">
        <v>0</v>
      </c>
      <c r="CN30" s="1101">
        <v>0</v>
      </c>
      <c r="CO30" s="1101">
        <v>0</v>
      </c>
      <c r="CP30" s="1101">
        <v>20885070</v>
      </c>
      <c r="CQ30" s="1101">
        <v>83187991</v>
      </c>
      <c r="CR30" s="1101">
        <v>0</v>
      </c>
      <c r="CS30" s="1101">
        <v>0</v>
      </c>
      <c r="CT30" s="1101">
        <v>0</v>
      </c>
      <c r="CU30" s="1101">
        <v>0</v>
      </c>
      <c r="CV30" s="1101">
        <v>0</v>
      </c>
      <c r="CW30" s="1101">
        <v>0</v>
      </c>
      <c r="CX30" s="1101">
        <v>0</v>
      </c>
      <c r="CY30" s="1101">
        <v>0</v>
      </c>
      <c r="CZ30" s="1101">
        <v>0</v>
      </c>
      <c r="DA30" s="1101">
        <v>0</v>
      </c>
      <c r="DB30" s="1101">
        <v>0</v>
      </c>
      <c r="DC30" s="1101">
        <v>0</v>
      </c>
      <c r="DD30" s="1101">
        <v>0</v>
      </c>
      <c r="DE30" s="1101">
        <v>0</v>
      </c>
      <c r="DF30" s="1101">
        <v>0</v>
      </c>
      <c r="DG30" s="1101">
        <v>0</v>
      </c>
      <c r="DH30" s="1101">
        <v>0</v>
      </c>
      <c r="DI30" s="1101">
        <v>0</v>
      </c>
      <c r="DJ30" s="1101">
        <v>0</v>
      </c>
      <c r="DK30" s="1101">
        <v>0</v>
      </c>
      <c r="DL30" s="1101">
        <v>0</v>
      </c>
      <c r="DM30" s="1101">
        <v>0</v>
      </c>
      <c r="DN30" s="1101">
        <v>0</v>
      </c>
      <c r="DO30" s="1101">
        <v>0</v>
      </c>
      <c r="DP30" s="1101">
        <v>0</v>
      </c>
      <c r="DQ30" s="1101">
        <v>-1130251</v>
      </c>
      <c r="DR30" s="1101">
        <v>-3562300</v>
      </c>
      <c r="DS30" s="1101">
        <v>0</v>
      </c>
      <c r="DT30" s="1101">
        <v>0</v>
      </c>
      <c r="DU30" s="1101">
        <v>0</v>
      </c>
      <c r="DV30" s="1101">
        <v>0</v>
      </c>
      <c r="DW30" s="1101">
        <v>0</v>
      </c>
      <c r="DX30" s="1101">
        <v>0</v>
      </c>
      <c r="DY30" s="1101">
        <v>0</v>
      </c>
      <c r="DZ30" s="1101">
        <v>0</v>
      </c>
      <c r="EA30" s="1101">
        <v>0</v>
      </c>
      <c r="EB30" s="1101">
        <v>0</v>
      </c>
      <c r="EC30" s="1101">
        <v>0</v>
      </c>
      <c r="ED30" s="1101">
        <v>0</v>
      </c>
      <c r="EE30" s="1101">
        <v>0</v>
      </c>
      <c r="EF30" s="1101">
        <v>0</v>
      </c>
      <c r="EG30" s="1101">
        <v>0</v>
      </c>
      <c r="EH30" s="1101">
        <v>0</v>
      </c>
      <c r="EI30" s="1101">
        <v>-3703171</v>
      </c>
      <c r="EJ30" s="1101">
        <v>-12366338</v>
      </c>
      <c r="EK30" s="1101">
        <v>0</v>
      </c>
      <c r="EL30" s="1101">
        <v>0</v>
      </c>
      <c r="EM30" s="1101">
        <v>0</v>
      </c>
      <c r="EN30" s="1101">
        <v>0</v>
      </c>
      <c r="EO30" s="1101">
        <v>0</v>
      </c>
      <c r="EP30" s="1101">
        <v>0</v>
      </c>
      <c r="EQ30" s="1101">
        <v>0</v>
      </c>
      <c r="ER30" s="1101">
        <v>0</v>
      </c>
      <c r="ES30" s="1101">
        <v>0</v>
      </c>
      <c r="ET30" s="1101">
        <v>0</v>
      </c>
      <c r="EU30" s="1101">
        <v>0</v>
      </c>
      <c r="EV30" s="1101">
        <v>0</v>
      </c>
      <c r="EW30" s="1101">
        <v>0</v>
      </c>
      <c r="EX30" s="1101">
        <v>0</v>
      </c>
      <c r="EY30" s="1101">
        <v>0</v>
      </c>
      <c r="EZ30" s="1101">
        <v>0</v>
      </c>
      <c r="FA30" s="1101">
        <v>0</v>
      </c>
      <c r="FB30" s="1101">
        <v>0</v>
      </c>
      <c r="FC30" s="1101">
        <v>0</v>
      </c>
      <c r="FD30" s="1101">
        <v>0</v>
      </c>
      <c r="FE30" s="1101">
        <v>0</v>
      </c>
      <c r="FF30" s="1101">
        <v>0</v>
      </c>
      <c r="FG30" s="1101">
        <v>0</v>
      </c>
      <c r="FH30" s="1101">
        <v>0</v>
      </c>
      <c r="FI30" s="1101">
        <v>0</v>
      </c>
      <c r="FJ30" s="1101">
        <v>0</v>
      </c>
      <c r="FK30" s="1101">
        <v>0</v>
      </c>
      <c r="FL30" s="1101">
        <v>0</v>
      </c>
      <c r="FM30" s="1101">
        <v>0</v>
      </c>
      <c r="FN30" s="1101">
        <v>0</v>
      </c>
      <c r="FO30" s="1101">
        <v>0</v>
      </c>
      <c r="FP30" s="1101">
        <v>0</v>
      </c>
      <c r="FQ30" s="1101">
        <v>0</v>
      </c>
      <c r="FR30" s="1101">
        <v>0</v>
      </c>
      <c r="FS30" s="1101">
        <v>0</v>
      </c>
      <c r="FT30" s="1101">
        <v>0</v>
      </c>
      <c r="FU30" s="1101">
        <v>0</v>
      </c>
      <c r="FV30" s="1101">
        <v>0</v>
      </c>
      <c r="FW30" s="1101">
        <v>0</v>
      </c>
      <c r="FX30" s="1101">
        <v>0</v>
      </c>
      <c r="FY30" s="1101">
        <v>0</v>
      </c>
      <c r="FZ30" s="1101">
        <v>0</v>
      </c>
      <c r="GA30" s="1101">
        <v>0</v>
      </c>
      <c r="GB30" s="1101">
        <v>20015</v>
      </c>
      <c r="GC30" s="1101">
        <v>27635059</v>
      </c>
      <c r="GD30" s="1101">
        <v>8070414</v>
      </c>
      <c r="GE30" s="1101">
        <v>0</v>
      </c>
      <c r="GF30" s="1101">
        <v>0</v>
      </c>
      <c r="GG30" s="1101">
        <v>0</v>
      </c>
      <c r="GH30" s="1101">
        <v>0</v>
      </c>
      <c r="GI30" s="1101">
        <v>0</v>
      </c>
      <c r="GJ30" s="1101">
        <v>0</v>
      </c>
      <c r="GK30" s="1101">
        <v>0</v>
      </c>
      <c r="GL30" s="1101">
        <v>0</v>
      </c>
      <c r="GM30" s="1101">
        <v>0</v>
      </c>
      <c r="GN30" s="1101">
        <v>0</v>
      </c>
      <c r="GO30" s="1101">
        <v>0</v>
      </c>
      <c r="GP30" s="1101">
        <v>0</v>
      </c>
      <c r="GQ30" s="1101">
        <v>0</v>
      </c>
      <c r="GR30" s="1101">
        <v>0</v>
      </c>
      <c r="GS30" s="1101">
        <v>0</v>
      </c>
      <c r="GT30" s="1101">
        <v>0</v>
      </c>
      <c r="GU30" s="1101">
        <v>0</v>
      </c>
      <c r="GV30" s="1101">
        <v>0</v>
      </c>
      <c r="GW30" s="1101">
        <v>0</v>
      </c>
      <c r="GX30" s="1101">
        <v>0</v>
      </c>
      <c r="GY30" s="1101">
        <v>0</v>
      </c>
      <c r="GZ30" s="1101">
        <v>0</v>
      </c>
      <c r="HA30" s="1101">
        <v>0</v>
      </c>
      <c r="HB30" s="1101">
        <v>0</v>
      </c>
      <c r="HC30" s="1101">
        <v>-2772</v>
      </c>
      <c r="HD30" s="1101">
        <v>-1049743</v>
      </c>
      <c r="HE30" s="1101">
        <v>-450628</v>
      </c>
      <c r="HF30" s="1101">
        <v>0</v>
      </c>
      <c r="HG30" s="1101">
        <v>0</v>
      </c>
      <c r="HH30" s="1101">
        <v>0</v>
      </c>
      <c r="HI30" s="1101">
        <v>0</v>
      </c>
      <c r="HJ30" s="1101">
        <v>0</v>
      </c>
      <c r="HK30" s="1101">
        <v>0</v>
      </c>
      <c r="HL30" s="1101">
        <v>0</v>
      </c>
      <c r="HM30" s="1101">
        <v>0</v>
      </c>
      <c r="HN30" s="1101">
        <v>0</v>
      </c>
      <c r="HO30" s="1101">
        <v>0</v>
      </c>
      <c r="HP30" s="1101">
        <v>0</v>
      </c>
      <c r="HQ30" s="1101">
        <v>0</v>
      </c>
      <c r="HR30" s="1101">
        <v>0</v>
      </c>
      <c r="HS30" s="1101">
        <v>0</v>
      </c>
      <c r="HT30" s="1101">
        <v>0</v>
      </c>
      <c r="HU30" s="1101">
        <v>-677</v>
      </c>
      <c r="HV30" s="1101">
        <v>-4268489</v>
      </c>
      <c r="HW30" s="1101">
        <v>-1073665</v>
      </c>
      <c r="HX30" s="1101">
        <v>0</v>
      </c>
      <c r="HY30" s="1101">
        <v>0</v>
      </c>
      <c r="HZ30" s="1101">
        <v>0</v>
      </c>
      <c r="IA30" s="1101">
        <v>0</v>
      </c>
      <c r="IB30" s="1101">
        <v>0</v>
      </c>
      <c r="IC30" s="1101">
        <v>0</v>
      </c>
      <c r="ID30" s="1101">
        <v>0</v>
      </c>
      <c r="IE30" s="1101">
        <v>0</v>
      </c>
      <c r="IF30" s="1101">
        <v>0</v>
      </c>
      <c r="IG30" s="1101">
        <v>52209570</v>
      </c>
      <c r="IH30" s="1101">
        <v>0</v>
      </c>
      <c r="II30" s="1101">
        <v>0</v>
      </c>
      <c r="IJ30" s="1101">
        <v>0</v>
      </c>
      <c r="IK30" s="1101">
        <v>0</v>
      </c>
      <c r="IL30" s="1101">
        <v>0</v>
      </c>
      <c r="IM30" s="1101">
        <v>0</v>
      </c>
      <c r="IN30" s="1101">
        <v>0</v>
      </c>
      <c r="IO30" s="1101">
        <v>0</v>
      </c>
      <c r="IP30" s="1101">
        <v>1062367</v>
      </c>
      <c r="IQ30" s="1101">
        <v>0</v>
      </c>
      <c r="IR30" s="1101">
        <v>5235</v>
      </c>
      <c r="IS30" s="1101">
        <v>6655</v>
      </c>
      <c r="IT30" s="1101">
        <v>0</v>
      </c>
      <c r="IU30" s="1101">
        <v>0</v>
      </c>
      <c r="IV30" s="1101">
        <v>0</v>
      </c>
      <c r="IW30" s="1101">
        <v>195521</v>
      </c>
      <c r="IX30" s="1101">
        <v>0</v>
      </c>
      <c r="IY30" s="1101">
        <v>1920905</v>
      </c>
      <c r="IZ30" s="1101">
        <v>0</v>
      </c>
      <c r="JA30" s="1101">
        <v>0</v>
      </c>
      <c r="JB30" s="1101">
        <v>0</v>
      </c>
      <c r="JC30" s="1101">
        <v>0</v>
      </c>
      <c r="JD30" s="1101">
        <v>0</v>
      </c>
      <c r="JE30" s="1101">
        <v>0</v>
      </c>
      <c r="JF30" s="1101">
        <v>5985</v>
      </c>
      <c r="JG30" s="1101">
        <v>149224</v>
      </c>
      <c r="JH30" s="1101">
        <v>6090787</v>
      </c>
      <c r="JI30" s="1101">
        <v>0</v>
      </c>
      <c r="JJ30" s="1101">
        <v>390456</v>
      </c>
      <c r="JK30" s="1101">
        <v>6400</v>
      </c>
      <c r="JL30" s="1101">
        <v>0</v>
      </c>
      <c r="JM30" s="1101">
        <v>0</v>
      </c>
      <c r="JN30" s="1101">
        <v>0</v>
      </c>
      <c r="JO30" s="1101">
        <v>0</v>
      </c>
      <c r="JP30" s="1101">
        <v>0</v>
      </c>
      <c r="JQ30" s="1101">
        <v>209198</v>
      </c>
      <c r="JR30" s="1101">
        <v>0</v>
      </c>
      <c r="JS30" s="1101">
        <v>0</v>
      </c>
      <c r="JT30" s="1101">
        <v>0</v>
      </c>
      <c r="JU30" s="1101">
        <v>0</v>
      </c>
      <c r="JV30" s="1101">
        <v>0</v>
      </c>
      <c r="JW30" s="1101">
        <v>6214657</v>
      </c>
      <c r="JX30" s="1101">
        <v>1496169</v>
      </c>
      <c r="JY30" s="1101">
        <v>25309408</v>
      </c>
      <c r="JZ30" s="1101">
        <v>0</v>
      </c>
      <c r="KA30" s="1101">
        <v>0</v>
      </c>
      <c r="KB30" s="1101">
        <v>0</v>
      </c>
      <c r="KC30" s="1101">
        <v>0</v>
      </c>
      <c r="KD30" s="1101">
        <v>0</v>
      </c>
      <c r="KE30" s="1101">
        <v>0</v>
      </c>
      <c r="KF30" s="1101">
        <v>34103</v>
      </c>
      <c r="KG30" s="1101">
        <v>404685</v>
      </c>
      <c r="KH30" s="1101">
        <v>362267</v>
      </c>
      <c r="KI30" s="1101">
        <v>192543</v>
      </c>
      <c r="KJ30" s="1101">
        <v>0</v>
      </c>
      <c r="KK30" s="1101">
        <v>0</v>
      </c>
      <c r="KL30" s="1101">
        <v>0</v>
      </c>
      <c r="KM30" s="1101">
        <v>0</v>
      </c>
      <c r="KN30" s="1101">
        <v>0</v>
      </c>
      <c r="KO30" s="1101">
        <v>56466753</v>
      </c>
      <c r="KP30" s="1101">
        <v>6733840</v>
      </c>
      <c r="KQ30" s="1101">
        <v>0</v>
      </c>
      <c r="KR30" s="1101">
        <v>421526</v>
      </c>
      <c r="KS30" s="1101">
        <v>0</v>
      </c>
      <c r="KT30" s="1101">
        <v>0</v>
      </c>
      <c r="KU30" s="1101">
        <v>0</v>
      </c>
      <c r="KV30" s="1101">
        <v>0</v>
      </c>
      <c r="KW30" s="1101">
        <v>0</v>
      </c>
      <c r="KX30" s="1101">
        <v>2553961</v>
      </c>
      <c r="KY30" s="1101">
        <v>375374</v>
      </c>
      <c r="KZ30" s="1101">
        <v>0</v>
      </c>
      <c r="LA30" s="1101">
        <v>1914498</v>
      </c>
      <c r="LB30" s="1101">
        <v>0</v>
      </c>
      <c r="LC30" s="1101">
        <v>0</v>
      </c>
      <c r="LD30" s="1101">
        <v>0</v>
      </c>
      <c r="LE30" s="1101">
        <v>0</v>
      </c>
      <c r="LF30" s="1101">
        <v>0</v>
      </c>
      <c r="LG30" s="1101">
        <v>183214</v>
      </c>
      <c r="LH30" s="1101">
        <v>442775</v>
      </c>
      <c r="LI30" s="1101">
        <v>0</v>
      </c>
      <c r="LJ30" s="1101">
        <v>678671</v>
      </c>
      <c r="LK30" s="1101">
        <v>0</v>
      </c>
      <c r="LL30" s="1101">
        <v>0</v>
      </c>
      <c r="LM30" s="1101">
        <v>0</v>
      </c>
      <c r="LN30" s="1101">
        <v>0</v>
      </c>
      <c r="LO30" s="1101">
        <v>0</v>
      </c>
      <c r="LP30" s="1101">
        <v>4490289</v>
      </c>
      <c r="LQ30" s="1101">
        <v>38932242</v>
      </c>
      <c r="LR30" s="1101">
        <v>0</v>
      </c>
      <c r="LS30" s="1101">
        <v>3741364</v>
      </c>
      <c r="LT30" s="1101">
        <v>0</v>
      </c>
      <c r="LU30" s="1101">
        <v>0</v>
      </c>
      <c r="LV30" s="1101">
        <v>0</v>
      </c>
      <c r="LW30" s="1101">
        <v>0</v>
      </c>
      <c r="LX30" s="1101">
        <v>0</v>
      </c>
      <c r="LY30" s="1101">
        <v>5674805</v>
      </c>
      <c r="LZ30" s="1101">
        <v>3393054</v>
      </c>
      <c r="MA30" s="1101">
        <v>0</v>
      </c>
      <c r="MB30" s="1101">
        <v>113382</v>
      </c>
      <c r="MC30" s="1101">
        <v>0</v>
      </c>
      <c r="MD30" s="1101">
        <v>0</v>
      </c>
      <c r="ME30" s="1101">
        <v>0</v>
      </c>
      <c r="MF30" s="1101">
        <v>0</v>
      </c>
      <c r="MG30" s="1101">
        <v>0</v>
      </c>
      <c r="MH30" s="1101">
        <v>8524873</v>
      </c>
      <c r="MI30" s="1101">
        <v>9010580</v>
      </c>
      <c r="MJ30" s="1101">
        <v>0</v>
      </c>
      <c r="MK30" s="1101">
        <v>14628040</v>
      </c>
      <c r="ML30" s="1101">
        <v>0</v>
      </c>
      <c r="MM30" s="1101">
        <v>0</v>
      </c>
      <c r="MN30" s="1101">
        <v>0</v>
      </c>
      <c r="MO30" s="1101">
        <v>0</v>
      </c>
      <c r="MP30" s="1101">
        <v>0</v>
      </c>
      <c r="MQ30" s="1101">
        <v>5908237</v>
      </c>
      <c r="MR30" s="1101">
        <v>7887316</v>
      </c>
      <c r="MS30" s="1101">
        <v>0</v>
      </c>
      <c r="MT30" s="1101">
        <v>0</v>
      </c>
      <c r="MU30" s="1101">
        <v>0</v>
      </c>
      <c r="MV30" s="1101">
        <v>0</v>
      </c>
      <c r="MW30" s="1101">
        <v>0</v>
      </c>
      <c r="MX30" s="1101">
        <v>0</v>
      </c>
      <c r="MY30" s="1101">
        <v>0</v>
      </c>
      <c r="MZ30" s="1101">
        <v>919982</v>
      </c>
      <c r="NA30" s="1101">
        <v>12037051</v>
      </c>
      <c r="NB30" s="1101">
        <v>0</v>
      </c>
      <c r="NC30" s="1101">
        <v>27161644</v>
      </c>
      <c r="ND30" s="1101">
        <v>0</v>
      </c>
      <c r="NE30" s="1101">
        <v>0</v>
      </c>
      <c r="NF30" s="1101">
        <v>0</v>
      </c>
      <c r="NG30" s="1101">
        <v>0</v>
      </c>
      <c r="NH30" s="1101">
        <v>0</v>
      </c>
      <c r="NI30" s="1101">
        <v>0</v>
      </c>
      <c r="NJ30" s="1101">
        <v>0</v>
      </c>
      <c r="NK30" s="1101">
        <v>27991412</v>
      </c>
      <c r="NL30" s="1101">
        <v>0</v>
      </c>
      <c r="NM30" s="1101">
        <v>0</v>
      </c>
      <c r="NN30" s="1101">
        <v>0</v>
      </c>
      <c r="NO30" s="1101">
        <v>0</v>
      </c>
      <c r="NP30" s="1101">
        <v>0</v>
      </c>
      <c r="NQ30" s="1101">
        <v>0</v>
      </c>
      <c r="NR30" s="1101">
        <v>1345195</v>
      </c>
      <c r="NS30" s="1101">
        <v>85037</v>
      </c>
      <c r="NT30" s="1101">
        <v>0</v>
      </c>
      <c r="NU30" s="1101">
        <v>37818</v>
      </c>
      <c r="NV30" s="1101">
        <v>0</v>
      </c>
      <c r="NW30" s="1101">
        <v>0</v>
      </c>
      <c r="NX30" s="1101">
        <v>0</v>
      </c>
      <c r="NY30" s="1101">
        <v>0</v>
      </c>
      <c r="NZ30" s="1101">
        <v>0</v>
      </c>
      <c r="OA30" s="1101">
        <v>0</v>
      </c>
      <c r="OB30" s="1101">
        <v>0</v>
      </c>
      <c r="OC30" s="1101">
        <v>0</v>
      </c>
      <c r="OD30" s="1101">
        <v>0</v>
      </c>
      <c r="OE30" s="1101">
        <v>96583</v>
      </c>
      <c r="OF30" s="1101">
        <v>0</v>
      </c>
      <c r="OG30" s="1101">
        <v>0</v>
      </c>
      <c r="OH30" s="1101">
        <v>0</v>
      </c>
      <c r="OI30" s="1101">
        <v>1613</v>
      </c>
      <c r="OJ30" s="1101">
        <v>0</v>
      </c>
      <c r="OK30" s="1101">
        <v>0</v>
      </c>
      <c r="OL30" s="1101">
        <v>0</v>
      </c>
      <c r="OM30" s="1101">
        <v>0</v>
      </c>
      <c r="ON30" s="1101">
        <v>0</v>
      </c>
      <c r="OO30" s="1101">
        <v>0</v>
      </c>
      <c r="OP30" s="1101">
        <v>-10149106</v>
      </c>
      <c r="OQ30" s="1101">
        <v>0</v>
      </c>
      <c r="OR30" s="1101">
        <v>7454490</v>
      </c>
      <c r="OS30" s="1101">
        <v>1930206</v>
      </c>
      <c r="OT30" s="1101">
        <v>-1628144</v>
      </c>
      <c r="OU30" s="1101">
        <v>0</v>
      </c>
      <c r="OV30" s="1101">
        <v>0</v>
      </c>
      <c r="OW30" s="1101">
        <v>0</v>
      </c>
      <c r="OX30" s="1101">
        <v>0</v>
      </c>
      <c r="OY30" s="1101">
        <v>0</v>
      </c>
      <c r="OZ30" s="1101">
        <v>0</v>
      </c>
      <c r="PA30" s="1101">
        <v>0</v>
      </c>
      <c r="PB30" s="1101">
        <v>0</v>
      </c>
      <c r="PC30" s="1101">
        <v>0</v>
      </c>
      <c r="PD30" s="1101">
        <v>0</v>
      </c>
      <c r="PE30" s="1101">
        <v>0</v>
      </c>
      <c r="PF30" s="1101">
        <v>0</v>
      </c>
      <c r="PG30" s="1101">
        <v>0</v>
      </c>
      <c r="PH30" s="1101">
        <v>0</v>
      </c>
      <c r="PI30" s="1101">
        <v>0</v>
      </c>
      <c r="PJ30" s="1101">
        <v>0</v>
      </c>
      <c r="PK30" s="1101">
        <v>-6405348</v>
      </c>
      <c r="PL30" s="1101">
        <v>-204841</v>
      </c>
      <c r="PM30" s="1101">
        <v>-9924963</v>
      </c>
      <c r="PN30" s="1101">
        <v>0</v>
      </c>
      <c r="PO30" s="1101">
        <v>0</v>
      </c>
      <c r="PP30" s="1101">
        <v>0</v>
      </c>
      <c r="PQ30" s="1101">
        <v>0</v>
      </c>
      <c r="PR30" s="1101">
        <v>0</v>
      </c>
      <c r="PS30" s="1101">
        <v>0</v>
      </c>
      <c r="PT30" s="1101">
        <v>0</v>
      </c>
      <c r="PU30" s="1101">
        <v>0</v>
      </c>
      <c r="PV30" s="1101">
        <v>0</v>
      </c>
      <c r="PW30" s="1101">
        <v>0</v>
      </c>
      <c r="PX30" s="1101">
        <v>0</v>
      </c>
      <c r="PY30" s="1101">
        <v>4954863</v>
      </c>
      <c r="PZ30" s="1101">
        <v>0</v>
      </c>
      <c r="QA30" s="1101">
        <v>0</v>
      </c>
      <c r="QB30" s="1101">
        <v>0</v>
      </c>
      <c r="QC30" s="1101">
        <v>0</v>
      </c>
      <c r="QD30" s="1101">
        <v>0</v>
      </c>
      <c r="QE30" s="1101">
        <v>0</v>
      </c>
      <c r="QF30" s="1101">
        <v>0</v>
      </c>
      <c r="QG30" s="1101">
        <v>0</v>
      </c>
      <c r="QH30" s="1101">
        <v>0</v>
      </c>
      <c r="QI30" s="1101">
        <v>0</v>
      </c>
      <c r="QJ30" s="1101">
        <v>0</v>
      </c>
      <c r="QK30" s="1101">
        <v>0</v>
      </c>
      <c r="QL30" s="1101">
        <v>0</v>
      </c>
      <c r="QM30" s="1101">
        <v>0</v>
      </c>
      <c r="QN30" s="1101">
        <v>0</v>
      </c>
      <c r="QO30" s="1101">
        <v>0</v>
      </c>
      <c r="QP30" s="1101">
        <v>0</v>
      </c>
      <c r="QQ30" s="1101">
        <v>0</v>
      </c>
      <c r="QR30" s="1101">
        <v>0</v>
      </c>
      <c r="QS30" s="1101">
        <v>0</v>
      </c>
      <c r="QT30" s="1101">
        <v>0</v>
      </c>
      <c r="QU30" s="1101">
        <v>0</v>
      </c>
      <c r="QV30" s="1101">
        <v>0</v>
      </c>
      <c r="QW30" s="1101">
        <v>0</v>
      </c>
      <c r="QX30" s="1101">
        <v>0</v>
      </c>
      <c r="QY30" s="1101">
        <v>0</v>
      </c>
      <c r="QZ30" s="1101">
        <v>0</v>
      </c>
      <c r="RA30" s="1101">
        <v>0</v>
      </c>
      <c r="RB30" s="1101">
        <v>0</v>
      </c>
      <c r="RC30" s="1101">
        <v>-12021265</v>
      </c>
      <c r="RD30" s="1101">
        <v>0</v>
      </c>
      <c r="RE30" s="1101">
        <v>0</v>
      </c>
      <c r="RF30" s="1101">
        <v>0</v>
      </c>
      <c r="RG30" s="1101">
        <v>0</v>
      </c>
      <c r="RH30" s="1101">
        <v>0</v>
      </c>
      <c r="RI30" s="1101">
        <v>0</v>
      </c>
      <c r="RJ30" s="1101">
        <v>0</v>
      </c>
      <c r="RK30" s="1101">
        <v>0</v>
      </c>
      <c r="RL30" s="1101">
        <v>0</v>
      </c>
      <c r="RM30" s="1101">
        <v>0</v>
      </c>
      <c r="RN30" s="1101">
        <v>0</v>
      </c>
      <c r="RO30" s="1101">
        <v>0</v>
      </c>
      <c r="RP30" s="1101">
        <v>0</v>
      </c>
      <c r="RQ30" s="1101">
        <v>0</v>
      </c>
      <c r="RR30" s="1101">
        <v>0</v>
      </c>
      <c r="RS30" s="1101">
        <v>0</v>
      </c>
      <c r="RT30" s="1101">
        <v>0</v>
      </c>
      <c r="RU30" s="1101">
        <v>0</v>
      </c>
      <c r="RV30" s="1101">
        <v>0</v>
      </c>
      <c r="RW30" s="1101">
        <v>0</v>
      </c>
      <c r="RX30" s="1101">
        <v>0</v>
      </c>
      <c r="RY30" s="1101">
        <v>0</v>
      </c>
      <c r="RZ30" s="1101">
        <v>0</v>
      </c>
      <c r="SA30" s="1101">
        <v>0</v>
      </c>
      <c r="SB30" s="1101">
        <v>0</v>
      </c>
      <c r="SC30" s="1101">
        <v>0</v>
      </c>
      <c r="SD30" s="1101">
        <v>0</v>
      </c>
      <c r="SE30" s="1101">
        <v>0</v>
      </c>
      <c r="SF30" s="1101">
        <v>0</v>
      </c>
      <c r="SG30" s="1101">
        <v>0</v>
      </c>
      <c r="SH30" s="1101">
        <v>0</v>
      </c>
      <c r="SI30" s="1101">
        <v>0</v>
      </c>
      <c r="SJ30" s="1101">
        <v>0</v>
      </c>
      <c r="SK30" s="1101">
        <v>0</v>
      </c>
      <c r="SL30" s="1102">
        <v>0</v>
      </c>
      <c r="SM30" s="1101">
        <v>1468050</v>
      </c>
      <c r="SN30" s="1101">
        <v>21249070</v>
      </c>
      <c r="SO30" s="1102"/>
      <c r="SP30" s="1103"/>
      <c r="SQ30" s="1104">
        <v>139798549</v>
      </c>
      <c r="SR30" s="1104">
        <v>-27608034</v>
      </c>
      <c r="SS30" s="1105">
        <v>34171</v>
      </c>
      <c r="ST30" s="1106">
        <v>124959</v>
      </c>
      <c r="SU30" s="1106">
        <v>0</v>
      </c>
      <c r="SV30" s="1106">
        <v>457854</v>
      </c>
      <c r="SW30" s="1106">
        <v>0</v>
      </c>
      <c r="SX30" s="1106">
        <v>613745</v>
      </c>
      <c r="SY30" s="1106">
        <v>237321</v>
      </c>
      <c r="SZ30" s="1106">
        <v>0</v>
      </c>
      <c r="TA30" s="1106">
        <v>0</v>
      </c>
      <c r="TB30" s="1106">
        <v>0</v>
      </c>
      <c r="TC30" s="1105">
        <v>0</v>
      </c>
      <c r="TD30" s="1106">
        <v>0</v>
      </c>
      <c r="TE30" s="1106">
        <v>0</v>
      </c>
      <c r="TF30" s="1106">
        <v>0</v>
      </c>
      <c r="TG30" s="1106">
        <v>0</v>
      </c>
      <c r="TH30" s="1106">
        <v>0</v>
      </c>
      <c r="TI30" s="1106">
        <v>0</v>
      </c>
      <c r="TJ30" s="1106">
        <v>0</v>
      </c>
      <c r="TK30" s="1105">
        <v>0</v>
      </c>
      <c r="TL30" s="1106">
        <v>148672</v>
      </c>
      <c r="TM30" s="1106">
        <v>0</v>
      </c>
      <c r="TN30" s="1106">
        <v>0</v>
      </c>
      <c r="TO30" s="1106">
        <v>0</v>
      </c>
      <c r="TP30" s="1106">
        <v>0</v>
      </c>
      <c r="TQ30" s="1106">
        <v>0</v>
      </c>
      <c r="TR30" s="1106">
        <v>0</v>
      </c>
      <c r="TS30" s="1105">
        <v>63622119</v>
      </c>
      <c r="TT30" s="1106">
        <v>4843833</v>
      </c>
      <c r="TU30" s="1106">
        <v>1304660</v>
      </c>
      <c r="TV30" s="1106">
        <v>47163895</v>
      </c>
      <c r="TW30" s="1106">
        <v>9181241</v>
      </c>
      <c r="TX30" s="1106">
        <v>32163493</v>
      </c>
      <c r="TY30" s="1106">
        <v>13795553</v>
      </c>
      <c r="TZ30" s="1107">
        <v>40118677</v>
      </c>
      <c r="UA30" s="1107">
        <v>27991412</v>
      </c>
      <c r="UB30" s="1105">
        <v>26456966</v>
      </c>
      <c r="UC30" s="1108">
        <v>4954863</v>
      </c>
      <c r="UD30" s="1108"/>
      <c r="UE30" s="1103"/>
      <c r="UF30" s="1109" t="s">
        <v>2455</v>
      </c>
      <c r="UG30" s="1110" t="s">
        <v>2456</v>
      </c>
      <c r="UH30" s="1110" t="s">
        <v>2457</v>
      </c>
    </row>
    <row r="31" spans="1:554" s="776" customFormat="1" ht="48" thickBot="1">
      <c r="A31" s="1534">
        <v>281</v>
      </c>
      <c r="B31" s="1131" t="s">
        <v>2247</v>
      </c>
      <c r="C31" s="1134" t="s">
        <v>2248</v>
      </c>
      <c r="D31" s="1096" t="s">
        <v>2398</v>
      </c>
      <c r="E31" s="1097">
        <v>3606</v>
      </c>
      <c r="F31" s="1098">
        <v>1419778205</v>
      </c>
      <c r="G31" s="1096" t="s">
        <v>2399</v>
      </c>
      <c r="H31" s="1099" t="s">
        <v>2247</v>
      </c>
      <c r="I31" s="1100"/>
      <c r="J31" s="1100"/>
      <c r="K31" s="1100"/>
      <c r="L31" s="1100"/>
      <c r="M31" s="1101">
        <v>69852319</v>
      </c>
      <c r="N31" s="1101">
        <v>0</v>
      </c>
      <c r="O31" s="1101">
        <v>0</v>
      </c>
      <c r="P31" s="1101">
        <v>0</v>
      </c>
      <c r="Q31" s="1101">
        <v>0</v>
      </c>
      <c r="R31" s="1101">
        <v>0</v>
      </c>
      <c r="S31" s="1101">
        <v>0</v>
      </c>
      <c r="T31" s="1101">
        <v>0</v>
      </c>
      <c r="U31" s="1101">
        <v>0</v>
      </c>
      <c r="V31" s="1101">
        <v>0</v>
      </c>
      <c r="W31" s="1101">
        <v>0</v>
      </c>
      <c r="X31" s="1101">
        <v>0</v>
      </c>
      <c r="Y31" s="1101">
        <v>19252206</v>
      </c>
      <c r="Z31" s="1101">
        <v>0</v>
      </c>
      <c r="AA31" s="1101">
        <v>0</v>
      </c>
      <c r="AB31" s="1101">
        <v>0</v>
      </c>
      <c r="AC31" s="1101">
        <v>0</v>
      </c>
      <c r="AD31" s="1101">
        <v>0</v>
      </c>
      <c r="AE31" s="1101">
        <v>0</v>
      </c>
      <c r="AF31" s="1101">
        <v>0</v>
      </c>
      <c r="AG31" s="1101">
        <v>0</v>
      </c>
      <c r="AH31" s="1101">
        <v>0</v>
      </c>
      <c r="AI31" s="1101">
        <v>0</v>
      </c>
      <c r="AJ31" s="1101">
        <v>0</v>
      </c>
      <c r="AK31" s="1101">
        <v>0</v>
      </c>
      <c r="AL31" s="1101">
        <v>0</v>
      </c>
      <c r="AM31" s="1101">
        <v>0</v>
      </c>
      <c r="AN31" s="1101">
        <v>18236811</v>
      </c>
      <c r="AO31" s="1101">
        <v>0</v>
      </c>
      <c r="AP31" s="1101">
        <v>0</v>
      </c>
      <c r="AQ31" s="1101">
        <v>0</v>
      </c>
      <c r="AR31" s="1101">
        <v>0</v>
      </c>
      <c r="AS31" s="1101">
        <v>0</v>
      </c>
      <c r="AT31" s="1101">
        <v>0</v>
      </c>
      <c r="AU31" s="1101">
        <v>0</v>
      </c>
      <c r="AV31" s="1101">
        <v>0</v>
      </c>
      <c r="AW31" s="1101">
        <v>0</v>
      </c>
      <c r="AX31" s="1101">
        <v>0</v>
      </c>
      <c r="AY31" s="1101">
        <v>0</v>
      </c>
      <c r="AZ31" s="1101">
        <v>0</v>
      </c>
      <c r="BA31" s="1101">
        <v>0</v>
      </c>
      <c r="BB31" s="1101">
        <v>0</v>
      </c>
      <c r="BC31" s="1101">
        <v>0</v>
      </c>
      <c r="BD31" s="1101">
        <v>0</v>
      </c>
      <c r="BE31" s="1101">
        <v>0</v>
      </c>
      <c r="BF31" s="1101">
        <v>0</v>
      </c>
      <c r="BG31" s="1101">
        <v>0</v>
      </c>
      <c r="BH31" s="1101">
        <v>0</v>
      </c>
      <c r="BI31" s="1101">
        <v>0</v>
      </c>
      <c r="BJ31" s="1101">
        <v>0</v>
      </c>
      <c r="BK31" s="1101">
        <v>0</v>
      </c>
      <c r="BL31" s="1101">
        <v>0</v>
      </c>
      <c r="BM31" s="1101">
        <v>0</v>
      </c>
      <c r="BN31" s="1101">
        <v>0</v>
      </c>
      <c r="BO31" s="1101">
        <v>0</v>
      </c>
      <c r="BP31" s="1101">
        <v>0</v>
      </c>
      <c r="BQ31" s="1101">
        <v>0</v>
      </c>
      <c r="BR31" s="1101">
        <v>0</v>
      </c>
      <c r="BS31" s="1101">
        <v>0</v>
      </c>
      <c r="BT31" s="1101">
        <v>0</v>
      </c>
      <c r="BU31" s="1101">
        <v>0</v>
      </c>
      <c r="BV31" s="1101">
        <v>0</v>
      </c>
      <c r="BW31" s="1101">
        <v>0</v>
      </c>
      <c r="BX31" s="1101">
        <v>0</v>
      </c>
      <c r="BY31" s="1101">
        <v>0</v>
      </c>
      <c r="BZ31" s="1101">
        <v>0</v>
      </c>
      <c r="CA31" s="1101">
        <v>0</v>
      </c>
      <c r="CB31" s="1101">
        <v>0</v>
      </c>
      <c r="CC31" s="1101">
        <v>0</v>
      </c>
      <c r="CD31" s="1101">
        <v>0</v>
      </c>
      <c r="CE31" s="1101">
        <v>0</v>
      </c>
      <c r="CF31" s="1101">
        <v>0</v>
      </c>
      <c r="CG31" s="1101">
        <v>0</v>
      </c>
      <c r="CH31" s="1101">
        <v>0</v>
      </c>
      <c r="CI31" s="1101">
        <v>0</v>
      </c>
      <c r="CJ31" s="1101">
        <v>0</v>
      </c>
      <c r="CK31" s="1101">
        <v>0</v>
      </c>
      <c r="CL31" s="1101">
        <v>0</v>
      </c>
      <c r="CM31" s="1101">
        <v>0</v>
      </c>
      <c r="CN31" s="1101">
        <v>0</v>
      </c>
      <c r="CO31" s="1101">
        <v>0</v>
      </c>
      <c r="CP31" s="1101">
        <v>39045930</v>
      </c>
      <c r="CQ31" s="1101">
        <v>108090556</v>
      </c>
      <c r="CR31" s="1101">
        <v>0</v>
      </c>
      <c r="CS31" s="1101">
        <v>0</v>
      </c>
      <c r="CT31" s="1101">
        <v>0</v>
      </c>
      <c r="CU31" s="1101">
        <v>0</v>
      </c>
      <c r="CV31" s="1101">
        <v>0</v>
      </c>
      <c r="CW31" s="1101">
        <v>0</v>
      </c>
      <c r="CX31" s="1101">
        <v>0</v>
      </c>
      <c r="CY31" s="1101">
        <v>-5049720</v>
      </c>
      <c r="CZ31" s="1101">
        <v>-70060</v>
      </c>
      <c r="DA31" s="1101">
        <v>0</v>
      </c>
      <c r="DB31" s="1101">
        <v>0</v>
      </c>
      <c r="DC31" s="1101">
        <v>0</v>
      </c>
      <c r="DD31" s="1101">
        <v>0</v>
      </c>
      <c r="DE31" s="1101">
        <v>0</v>
      </c>
      <c r="DF31" s="1101">
        <v>0</v>
      </c>
      <c r="DG31" s="1101">
        <v>0</v>
      </c>
      <c r="DH31" s="1101">
        <v>0</v>
      </c>
      <c r="DI31" s="1101">
        <v>0</v>
      </c>
      <c r="DJ31" s="1101">
        <v>0</v>
      </c>
      <c r="DK31" s="1101">
        <v>0</v>
      </c>
      <c r="DL31" s="1101">
        <v>0</v>
      </c>
      <c r="DM31" s="1101">
        <v>0</v>
      </c>
      <c r="DN31" s="1101">
        <v>0</v>
      </c>
      <c r="DO31" s="1101">
        <v>0</v>
      </c>
      <c r="DP31" s="1101">
        <v>0</v>
      </c>
      <c r="DQ31" s="1101">
        <v>-3784272</v>
      </c>
      <c r="DR31" s="1101">
        <v>-6976456</v>
      </c>
      <c r="DS31" s="1101">
        <v>0</v>
      </c>
      <c r="DT31" s="1101">
        <v>0</v>
      </c>
      <c r="DU31" s="1101">
        <v>0</v>
      </c>
      <c r="DV31" s="1101">
        <v>0</v>
      </c>
      <c r="DW31" s="1101">
        <v>0</v>
      </c>
      <c r="DX31" s="1101">
        <v>0</v>
      </c>
      <c r="DY31" s="1101">
        <v>0</v>
      </c>
      <c r="DZ31" s="1101">
        <v>0</v>
      </c>
      <c r="EA31" s="1101">
        <v>0</v>
      </c>
      <c r="EB31" s="1101">
        <v>0</v>
      </c>
      <c r="EC31" s="1101">
        <v>0</v>
      </c>
      <c r="ED31" s="1101">
        <v>0</v>
      </c>
      <c r="EE31" s="1101">
        <v>0</v>
      </c>
      <c r="EF31" s="1101">
        <v>0</v>
      </c>
      <c r="EG31" s="1101">
        <v>0</v>
      </c>
      <c r="EH31" s="1101">
        <v>0</v>
      </c>
      <c r="EI31" s="1101">
        <v>0</v>
      </c>
      <c r="EJ31" s="1101">
        <v>-42289638</v>
      </c>
      <c r="EK31" s="1101">
        <v>0</v>
      </c>
      <c r="EL31" s="1101">
        <v>0</v>
      </c>
      <c r="EM31" s="1101">
        <v>0</v>
      </c>
      <c r="EN31" s="1101">
        <v>0</v>
      </c>
      <c r="EO31" s="1101">
        <v>0</v>
      </c>
      <c r="EP31" s="1101">
        <v>0</v>
      </c>
      <c r="EQ31" s="1101">
        <v>0</v>
      </c>
      <c r="ER31" s="1101">
        <v>0</v>
      </c>
      <c r="ES31" s="1101">
        <v>0</v>
      </c>
      <c r="ET31" s="1101">
        <v>0</v>
      </c>
      <c r="EU31" s="1101">
        <v>0</v>
      </c>
      <c r="EV31" s="1101">
        <v>0</v>
      </c>
      <c r="EW31" s="1101">
        <v>0</v>
      </c>
      <c r="EX31" s="1101">
        <v>0</v>
      </c>
      <c r="EY31" s="1101">
        <v>0</v>
      </c>
      <c r="EZ31" s="1101">
        <v>0</v>
      </c>
      <c r="FA31" s="1101">
        <v>0</v>
      </c>
      <c r="FB31" s="1101">
        <v>0</v>
      </c>
      <c r="FC31" s="1101">
        <v>0</v>
      </c>
      <c r="FD31" s="1101">
        <v>0</v>
      </c>
      <c r="FE31" s="1101">
        <v>0</v>
      </c>
      <c r="FF31" s="1101">
        <v>0</v>
      </c>
      <c r="FG31" s="1101">
        <v>0</v>
      </c>
      <c r="FH31" s="1101">
        <v>0</v>
      </c>
      <c r="FI31" s="1101">
        <v>0</v>
      </c>
      <c r="FJ31" s="1101">
        <v>0</v>
      </c>
      <c r="FK31" s="1101">
        <v>0</v>
      </c>
      <c r="FL31" s="1101">
        <v>0</v>
      </c>
      <c r="FM31" s="1101">
        <v>0</v>
      </c>
      <c r="FN31" s="1101">
        <v>0</v>
      </c>
      <c r="FO31" s="1101">
        <v>0</v>
      </c>
      <c r="FP31" s="1101">
        <v>0</v>
      </c>
      <c r="FQ31" s="1101">
        <v>0</v>
      </c>
      <c r="FR31" s="1101">
        <v>0</v>
      </c>
      <c r="FS31" s="1101">
        <v>0</v>
      </c>
      <c r="FT31" s="1101">
        <v>0</v>
      </c>
      <c r="FU31" s="1101">
        <v>0</v>
      </c>
      <c r="FV31" s="1101">
        <v>0</v>
      </c>
      <c r="FW31" s="1101">
        <v>0</v>
      </c>
      <c r="FX31" s="1101">
        <v>0</v>
      </c>
      <c r="FY31" s="1101">
        <v>0</v>
      </c>
      <c r="FZ31" s="1101">
        <v>0</v>
      </c>
      <c r="GA31" s="1101">
        <v>0</v>
      </c>
      <c r="GB31" s="1101">
        <v>457509</v>
      </c>
      <c r="GC31" s="1101">
        <v>83809733</v>
      </c>
      <c r="GD31" s="1101">
        <v>10765137</v>
      </c>
      <c r="GE31" s="1101">
        <v>0</v>
      </c>
      <c r="GF31" s="1101">
        <v>0</v>
      </c>
      <c r="GG31" s="1101">
        <v>0</v>
      </c>
      <c r="GH31" s="1101">
        <v>0</v>
      </c>
      <c r="GI31" s="1101">
        <v>0</v>
      </c>
      <c r="GJ31" s="1101">
        <v>0</v>
      </c>
      <c r="GK31" s="1101">
        <v>0</v>
      </c>
      <c r="GL31" s="1101">
        <v>0</v>
      </c>
      <c r="GM31" s="1101">
        <v>0</v>
      </c>
      <c r="GN31" s="1101">
        <v>0</v>
      </c>
      <c r="GO31" s="1101">
        <v>0</v>
      </c>
      <c r="GP31" s="1101">
        <v>0</v>
      </c>
      <c r="GQ31" s="1101">
        <v>0</v>
      </c>
      <c r="GR31" s="1101">
        <v>0</v>
      </c>
      <c r="GS31" s="1101">
        <v>0</v>
      </c>
      <c r="GT31" s="1101">
        <v>0</v>
      </c>
      <c r="GU31" s="1101">
        <v>0</v>
      </c>
      <c r="GV31" s="1101">
        <v>0</v>
      </c>
      <c r="GW31" s="1101">
        <v>0</v>
      </c>
      <c r="GX31" s="1101">
        <v>0</v>
      </c>
      <c r="GY31" s="1101">
        <v>0</v>
      </c>
      <c r="GZ31" s="1101">
        <v>0</v>
      </c>
      <c r="HA31" s="1101">
        <v>0</v>
      </c>
      <c r="HB31" s="1101">
        <v>0</v>
      </c>
      <c r="HC31" s="1101">
        <v>0</v>
      </c>
      <c r="HD31" s="1101">
        <v>-6987310</v>
      </c>
      <c r="HE31" s="1101">
        <v>-144662</v>
      </c>
      <c r="HF31" s="1101">
        <v>0</v>
      </c>
      <c r="HG31" s="1101">
        <v>0</v>
      </c>
      <c r="HH31" s="1101">
        <v>0</v>
      </c>
      <c r="HI31" s="1101">
        <v>0</v>
      </c>
      <c r="HJ31" s="1101">
        <v>0</v>
      </c>
      <c r="HK31" s="1101">
        <v>0</v>
      </c>
      <c r="HL31" s="1101">
        <v>0</v>
      </c>
      <c r="HM31" s="1101">
        <v>0</v>
      </c>
      <c r="HN31" s="1101">
        <v>0</v>
      </c>
      <c r="HO31" s="1101">
        <v>0</v>
      </c>
      <c r="HP31" s="1101">
        <v>0</v>
      </c>
      <c r="HQ31" s="1101">
        <v>0</v>
      </c>
      <c r="HR31" s="1101">
        <v>0</v>
      </c>
      <c r="HS31" s="1101">
        <v>0</v>
      </c>
      <c r="HT31" s="1101">
        <v>0</v>
      </c>
      <c r="HU31" s="1101">
        <v>0</v>
      </c>
      <c r="HV31" s="1101">
        <v>0</v>
      </c>
      <c r="HW31" s="1101">
        <v>0</v>
      </c>
      <c r="HX31" s="1101">
        <v>0</v>
      </c>
      <c r="HY31" s="1101">
        <v>0</v>
      </c>
      <c r="HZ31" s="1101">
        <v>0</v>
      </c>
      <c r="IA31" s="1101">
        <v>0</v>
      </c>
      <c r="IB31" s="1101">
        <v>0</v>
      </c>
      <c r="IC31" s="1101">
        <v>0</v>
      </c>
      <c r="ID31" s="1101">
        <v>0</v>
      </c>
      <c r="IE31" s="1101">
        <v>0</v>
      </c>
      <c r="IF31" s="1101">
        <v>0</v>
      </c>
      <c r="IG31" s="1101">
        <v>75908436</v>
      </c>
      <c r="IH31" s="1101">
        <v>0</v>
      </c>
      <c r="II31" s="1101">
        <v>0</v>
      </c>
      <c r="IJ31" s="1101">
        <v>0</v>
      </c>
      <c r="IK31" s="1101">
        <v>0</v>
      </c>
      <c r="IL31" s="1101">
        <v>0</v>
      </c>
      <c r="IM31" s="1101">
        <v>0</v>
      </c>
      <c r="IN31" s="1101">
        <v>7090794</v>
      </c>
      <c r="IO31" s="1101">
        <v>0</v>
      </c>
      <c r="IP31" s="1101">
        <v>0</v>
      </c>
      <c r="IQ31" s="1101">
        <v>0</v>
      </c>
      <c r="IR31" s="1101">
        <v>14757084</v>
      </c>
      <c r="IS31" s="1101">
        <v>841</v>
      </c>
      <c r="IT31" s="1101">
        <v>0</v>
      </c>
      <c r="IU31" s="1101">
        <v>0</v>
      </c>
      <c r="IV31" s="1101">
        <v>0</v>
      </c>
      <c r="IW31" s="1101">
        <v>0</v>
      </c>
      <c r="IX31" s="1101">
        <v>0</v>
      </c>
      <c r="IY31" s="1101">
        <v>4694576</v>
      </c>
      <c r="IZ31" s="1101">
        <v>0</v>
      </c>
      <c r="JA31" s="1101">
        <v>0</v>
      </c>
      <c r="JB31" s="1101">
        <v>0</v>
      </c>
      <c r="JC31" s="1101">
        <v>0</v>
      </c>
      <c r="JD31" s="1101">
        <v>0</v>
      </c>
      <c r="JE31" s="1101">
        <v>0</v>
      </c>
      <c r="JF31" s="1101">
        <v>85228</v>
      </c>
      <c r="JG31" s="1101">
        <v>5382</v>
      </c>
      <c r="JH31" s="1101">
        <v>3659724</v>
      </c>
      <c r="JI31" s="1101">
        <v>0</v>
      </c>
      <c r="JJ31" s="1101">
        <v>0</v>
      </c>
      <c r="JK31" s="1101">
        <v>0</v>
      </c>
      <c r="JL31" s="1101">
        <v>0</v>
      </c>
      <c r="JM31" s="1101">
        <v>0</v>
      </c>
      <c r="JN31" s="1101">
        <v>166799</v>
      </c>
      <c r="JO31" s="1101">
        <v>1935023</v>
      </c>
      <c r="JP31" s="1101">
        <v>167824</v>
      </c>
      <c r="JQ31" s="1101">
        <v>1362275</v>
      </c>
      <c r="JR31" s="1101">
        <v>0</v>
      </c>
      <c r="JS31" s="1101">
        <v>0</v>
      </c>
      <c r="JT31" s="1101">
        <v>0</v>
      </c>
      <c r="JU31" s="1101">
        <v>0</v>
      </c>
      <c r="JV31" s="1101">
        <v>0</v>
      </c>
      <c r="JW31" s="1101">
        <v>0</v>
      </c>
      <c r="JX31" s="1101">
        <v>20353</v>
      </c>
      <c r="JY31" s="1101">
        <v>31420334</v>
      </c>
      <c r="JZ31" s="1101">
        <v>596930</v>
      </c>
      <c r="KA31" s="1101">
        <v>0</v>
      </c>
      <c r="KB31" s="1101">
        <v>0</v>
      </c>
      <c r="KC31" s="1101">
        <v>0</v>
      </c>
      <c r="KD31" s="1101">
        <v>0</v>
      </c>
      <c r="KE31" s="1101">
        <v>0</v>
      </c>
      <c r="KF31" s="1101">
        <v>4023600</v>
      </c>
      <c r="KG31" s="1101">
        <v>512540</v>
      </c>
      <c r="KH31" s="1101">
        <v>1348389</v>
      </c>
      <c r="KI31" s="1101">
        <v>2616243</v>
      </c>
      <c r="KJ31" s="1101">
        <v>-65</v>
      </c>
      <c r="KK31" s="1101">
        <v>100</v>
      </c>
      <c r="KL31" s="1101">
        <v>-2665486</v>
      </c>
      <c r="KM31" s="1101">
        <v>0</v>
      </c>
      <c r="KN31" s="1101">
        <v>0</v>
      </c>
      <c r="KO31" s="1101">
        <v>62045770</v>
      </c>
      <c r="KP31" s="1101">
        <v>38774575</v>
      </c>
      <c r="KQ31" s="1101">
        <v>0</v>
      </c>
      <c r="KR31" s="1101">
        <v>1200908</v>
      </c>
      <c r="KS31" s="1101">
        <v>0</v>
      </c>
      <c r="KT31" s="1101">
        <v>0</v>
      </c>
      <c r="KU31" s="1101">
        <v>0</v>
      </c>
      <c r="KV31" s="1101">
        <v>0</v>
      </c>
      <c r="KW31" s="1101">
        <v>0</v>
      </c>
      <c r="KX31" s="1101">
        <v>1101638</v>
      </c>
      <c r="KY31" s="1101">
        <v>3098813</v>
      </c>
      <c r="KZ31" s="1101">
        <v>0</v>
      </c>
      <c r="LA31" s="1101">
        <v>6216462</v>
      </c>
      <c r="LB31" s="1101">
        <v>0</v>
      </c>
      <c r="LC31" s="1101">
        <v>0</v>
      </c>
      <c r="LD31" s="1101">
        <v>0</v>
      </c>
      <c r="LE31" s="1101">
        <v>0</v>
      </c>
      <c r="LF31" s="1101">
        <v>0</v>
      </c>
      <c r="LG31" s="1101">
        <v>5229583</v>
      </c>
      <c r="LH31" s="1101">
        <v>360592</v>
      </c>
      <c r="LI31" s="1101">
        <v>1802</v>
      </c>
      <c r="LJ31" s="1101">
        <v>10553906</v>
      </c>
      <c r="LK31" s="1101">
        <v>0</v>
      </c>
      <c r="LL31" s="1101">
        <v>0</v>
      </c>
      <c r="LM31" s="1101">
        <v>0</v>
      </c>
      <c r="LN31" s="1101">
        <v>0</v>
      </c>
      <c r="LO31" s="1101">
        <v>0</v>
      </c>
      <c r="LP31" s="1101">
        <v>9742825</v>
      </c>
      <c r="LQ31" s="1101">
        <v>34845113</v>
      </c>
      <c r="LR31" s="1101">
        <v>0</v>
      </c>
      <c r="LS31" s="1101">
        <v>817342</v>
      </c>
      <c r="LT31" s="1101">
        <v>3870</v>
      </c>
      <c r="LU31" s="1101">
        <v>0</v>
      </c>
      <c r="LV31" s="1101">
        <v>0</v>
      </c>
      <c r="LW31" s="1101">
        <v>0</v>
      </c>
      <c r="LX31" s="1101">
        <v>0</v>
      </c>
      <c r="LY31" s="1101">
        <v>5091368</v>
      </c>
      <c r="LZ31" s="1101">
        <v>22718857</v>
      </c>
      <c r="MA31" s="1101">
        <v>0</v>
      </c>
      <c r="MB31" s="1101">
        <v>123983</v>
      </c>
      <c r="MC31" s="1101">
        <v>0</v>
      </c>
      <c r="MD31" s="1101">
        <v>0</v>
      </c>
      <c r="ME31" s="1101">
        <v>44335</v>
      </c>
      <c r="MF31" s="1101">
        <v>0</v>
      </c>
      <c r="MG31" s="1101">
        <v>0</v>
      </c>
      <c r="MH31" s="1101">
        <v>6679959</v>
      </c>
      <c r="MI31" s="1101">
        <v>17217586</v>
      </c>
      <c r="MJ31" s="1101">
        <v>0</v>
      </c>
      <c r="MK31" s="1101">
        <v>720317</v>
      </c>
      <c r="ML31" s="1101">
        <v>0</v>
      </c>
      <c r="MM31" s="1101">
        <v>32937</v>
      </c>
      <c r="MN31" s="1101">
        <v>16355</v>
      </c>
      <c r="MO31" s="1101">
        <v>0</v>
      </c>
      <c r="MP31" s="1101">
        <v>0</v>
      </c>
      <c r="MQ31" s="1101">
        <v>9976740</v>
      </c>
      <c r="MR31" s="1101">
        <v>11254318</v>
      </c>
      <c r="MS31" s="1101">
        <v>0</v>
      </c>
      <c r="MT31" s="1101">
        <v>2908346</v>
      </c>
      <c r="MU31" s="1101">
        <v>0</v>
      </c>
      <c r="MV31" s="1101">
        <v>0</v>
      </c>
      <c r="MW31" s="1101">
        <v>227295</v>
      </c>
      <c r="MX31" s="1101">
        <v>0</v>
      </c>
      <c r="MY31" s="1101">
        <v>0</v>
      </c>
      <c r="MZ31" s="1101">
        <v>15418808</v>
      </c>
      <c r="NA31" s="1101">
        <v>18434412</v>
      </c>
      <c r="NB31" s="1101">
        <v>0</v>
      </c>
      <c r="NC31" s="1101">
        <v>16364088</v>
      </c>
      <c r="ND31" s="1101">
        <v>507545</v>
      </c>
      <c r="NE31" s="1101">
        <v>0</v>
      </c>
      <c r="NF31" s="1101">
        <v>0</v>
      </c>
      <c r="NG31" s="1101">
        <v>0</v>
      </c>
      <c r="NH31" s="1101">
        <v>0</v>
      </c>
      <c r="NI31" s="1101">
        <v>0</v>
      </c>
      <c r="NJ31" s="1101">
        <v>3237447</v>
      </c>
      <c r="NK31" s="1101">
        <v>39457535</v>
      </c>
      <c r="NL31" s="1101">
        <v>1082072</v>
      </c>
      <c r="NM31" s="1101">
        <v>0</v>
      </c>
      <c r="NN31" s="1101">
        <v>0</v>
      </c>
      <c r="NO31" s="1101">
        <v>0</v>
      </c>
      <c r="NP31" s="1101">
        <v>0</v>
      </c>
      <c r="NQ31" s="1101">
        <v>0</v>
      </c>
      <c r="NR31" s="1101">
        <v>809208</v>
      </c>
      <c r="NS31" s="1101">
        <v>3019514</v>
      </c>
      <c r="NT31" s="1101">
        <v>107282</v>
      </c>
      <c r="NU31" s="1101">
        <v>757818</v>
      </c>
      <c r="NV31" s="1101">
        <v>0</v>
      </c>
      <c r="NW31" s="1101">
        <v>0</v>
      </c>
      <c r="NX31" s="1101">
        <v>0</v>
      </c>
      <c r="NY31" s="1101">
        <v>0</v>
      </c>
      <c r="NZ31" s="1101">
        <v>0</v>
      </c>
      <c r="OA31" s="1101">
        <v>115776</v>
      </c>
      <c r="OB31" s="1101">
        <v>233986</v>
      </c>
      <c r="OC31" s="1101">
        <v>0</v>
      </c>
      <c r="OD31" s="1101">
        <v>0</v>
      </c>
      <c r="OE31" s="1101">
        <v>0</v>
      </c>
      <c r="OF31" s="1101">
        <v>0</v>
      </c>
      <c r="OG31" s="1101">
        <v>0</v>
      </c>
      <c r="OH31" s="1101">
        <v>0</v>
      </c>
      <c r="OI31" s="1101">
        <v>0</v>
      </c>
      <c r="OJ31" s="1101">
        <v>0</v>
      </c>
      <c r="OK31" s="1101">
        <v>0</v>
      </c>
      <c r="OL31" s="1101">
        <v>0</v>
      </c>
      <c r="OM31" s="1101">
        <v>0</v>
      </c>
      <c r="ON31" s="1101">
        <v>0</v>
      </c>
      <c r="OO31" s="1101">
        <v>0</v>
      </c>
      <c r="OP31" s="1101">
        <v>-52853362</v>
      </c>
      <c r="OQ31" s="1101">
        <v>0</v>
      </c>
      <c r="OR31" s="1101">
        <v>0</v>
      </c>
      <c r="OS31" s="1101">
        <v>-4700429</v>
      </c>
      <c r="OT31" s="1101">
        <v>-2475068</v>
      </c>
      <c r="OU31" s="1101">
        <v>100000</v>
      </c>
      <c r="OV31" s="1101">
        <v>405250</v>
      </c>
      <c r="OW31" s="1101">
        <v>0</v>
      </c>
      <c r="OX31" s="1101">
        <v>0</v>
      </c>
      <c r="OY31" s="1101">
        <v>766383</v>
      </c>
      <c r="OZ31" s="1101">
        <v>0</v>
      </c>
      <c r="PA31" s="1101">
        <v>0</v>
      </c>
      <c r="PB31" s="1101">
        <v>0</v>
      </c>
      <c r="PC31" s="1101">
        <v>0</v>
      </c>
      <c r="PD31" s="1101">
        <v>0</v>
      </c>
      <c r="PE31" s="1101">
        <v>0</v>
      </c>
      <c r="PF31" s="1101">
        <v>0</v>
      </c>
      <c r="PG31" s="1101">
        <v>0</v>
      </c>
      <c r="PH31" s="1101">
        <v>0</v>
      </c>
      <c r="PI31" s="1101">
        <v>0</v>
      </c>
      <c r="PJ31" s="1101">
        <v>0</v>
      </c>
      <c r="PK31" s="1101">
        <v>0</v>
      </c>
      <c r="PL31" s="1101">
        <v>0</v>
      </c>
      <c r="PM31" s="1101">
        <v>0</v>
      </c>
      <c r="PN31" s="1101">
        <v>0</v>
      </c>
      <c r="PO31" s="1101">
        <v>0</v>
      </c>
      <c r="PP31" s="1101">
        <v>0</v>
      </c>
      <c r="PQ31" s="1101">
        <v>0</v>
      </c>
      <c r="PR31" s="1101">
        <v>0</v>
      </c>
      <c r="PS31" s="1101">
        <v>0</v>
      </c>
      <c r="PT31" s="1101">
        <v>0</v>
      </c>
      <c r="PU31" s="1101">
        <v>15685431</v>
      </c>
      <c r="PV31" s="1101">
        <v>0</v>
      </c>
      <c r="PW31" s="1101">
        <v>0</v>
      </c>
      <c r="PX31" s="1101">
        <v>0</v>
      </c>
      <c r="PY31" s="1101">
        <v>14660409</v>
      </c>
      <c r="PZ31" s="1101">
        <v>0</v>
      </c>
      <c r="QA31" s="1101">
        <v>0</v>
      </c>
      <c r="QB31" s="1101">
        <v>0</v>
      </c>
      <c r="QC31" s="1101">
        <v>0</v>
      </c>
      <c r="QD31" s="1101">
        <v>0</v>
      </c>
      <c r="QE31" s="1101">
        <v>0</v>
      </c>
      <c r="QF31" s="1101">
        <v>0</v>
      </c>
      <c r="QG31" s="1101">
        <v>0</v>
      </c>
      <c r="QH31" s="1101">
        <v>2811133</v>
      </c>
      <c r="QI31" s="1101">
        <v>0</v>
      </c>
      <c r="QJ31" s="1101">
        <v>0</v>
      </c>
      <c r="QK31" s="1101">
        <v>0</v>
      </c>
      <c r="QL31" s="1101">
        <v>0</v>
      </c>
      <c r="QM31" s="1101">
        <v>0</v>
      </c>
      <c r="QN31" s="1101">
        <v>0</v>
      </c>
      <c r="QO31" s="1101">
        <v>0</v>
      </c>
      <c r="QP31" s="1101">
        <v>0</v>
      </c>
      <c r="QQ31" s="1101">
        <v>0</v>
      </c>
      <c r="QR31" s="1101">
        <v>0</v>
      </c>
      <c r="QS31" s="1101">
        <v>0</v>
      </c>
      <c r="QT31" s="1101">
        <v>0</v>
      </c>
      <c r="QU31" s="1101">
        <v>0</v>
      </c>
      <c r="QV31" s="1101">
        <v>0</v>
      </c>
      <c r="QW31" s="1101">
        <v>0</v>
      </c>
      <c r="QX31" s="1101">
        <v>0</v>
      </c>
      <c r="QY31" s="1101">
        <v>0</v>
      </c>
      <c r="QZ31" s="1101">
        <v>0</v>
      </c>
      <c r="RA31" s="1101">
        <v>-39216453</v>
      </c>
      <c r="RB31" s="1101">
        <v>0</v>
      </c>
      <c r="RC31" s="1101">
        <v>0</v>
      </c>
      <c r="RD31" s="1101">
        <v>0</v>
      </c>
      <c r="RE31" s="1101">
        <v>0</v>
      </c>
      <c r="RF31" s="1101">
        <v>0</v>
      </c>
      <c r="RG31" s="1101">
        <v>0</v>
      </c>
      <c r="RH31" s="1101">
        <v>0</v>
      </c>
      <c r="RI31" s="1101">
        <v>0</v>
      </c>
      <c r="RJ31" s="1101">
        <v>0</v>
      </c>
      <c r="RK31" s="1101">
        <v>0</v>
      </c>
      <c r="RL31" s="1101">
        <v>0</v>
      </c>
      <c r="RM31" s="1101">
        <v>0</v>
      </c>
      <c r="RN31" s="1101">
        <v>0</v>
      </c>
      <c r="RO31" s="1101">
        <v>0</v>
      </c>
      <c r="RP31" s="1101">
        <v>0</v>
      </c>
      <c r="RQ31" s="1101">
        <v>0</v>
      </c>
      <c r="RR31" s="1101">
        <v>0</v>
      </c>
      <c r="RS31" s="1101">
        <v>0</v>
      </c>
      <c r="RT31" s="1101">
        <v>0</v>
      </c>
      <c r="RU31" s="1101">
        <v>0</v>
      </c>
      <c r="RV31" s="1101">
        <v>0</v>
      </c>
      <c r="RW31" s="1101">
        <v>0</v>
      </c>
      <c r="RX31" s="1101">
        <v>0</v>
      </c>
      <c r="RY31" s="1101">
        <v>0</v>
      </c>
      <c r="RZ31" s="1101">
        <v>0</v>
      </c>
      <c r="SA31" s="1101">
        <v>0</v>
      </c>
      <c r="SB31" s="1101">
        <v>0</v>
      </c>
      <c r="SC31" s="1101">
        <v>0</v>
      </c>
      <c r="SD31" s="1101">
        <v>0</v>
      </c>
      <c r="SE31" s="1101">
        <v>809208</v>
      </c>
      <c r="SF31" s="1101">
        <v>3019514</v>
      </c>
      <c r="SG31" s="1101">
        <v>107282</v>
      </c>
      <c r="SH31" s="1101">
        <v>757818</v>
      </c>
      <c r="SI31" s="1101">
        <v>0</v>
      </c>
      <c r="SJ31" s="1101">
        <v>0</v>
      </c>
      <c r="SK31" s="1101">
        <v>52853362</v>
      </c>
      <c r="SL31" s="1102">
        <v>0</v>
      </c>
      <c r="SM31" s="1101">
        <v>0</v>
      </c>
      <c r="SN31" s="1101">
        <v>74094399</v>
      </c>
      <c r="SO31" s="1102"/>
      <c r="SP31" s="1103"/>
      <c r="SQ31" s="1104">
        <v>242168865</v>
      </c>
      <c r="SR31" s="1104">
        <v>-65302118</v>
      </c>
      <c r="SS31" s="1105">
        <v>289194</v>
      </c>
      <c r="ST31" s="1106">
        <v>351901</v>
      </c>
      <c r="SU31" s="1106">
        <v>501663</v>
      </c>
      <c r="SV31" s="1106">
        <v>3205392</v>
      </c>
      <c r="SW31" s="1106">
        <v>30301</v>
      </c>
      <c r="SX31" s="1106">
        <v>38971</v>
      </c>
      <c r="SY31" s="1106">
        <v>169118</v>
      </c>
      <c r="SZ31" s="1106">
        <v>0</v>
      </c>
      <c r="TA31" s="1106">
        <v>107282</v>
      </c>
      <c r="TB31" s="1106">
        <v>0</v>
      </c>
      <c r="TC31" s="1105">
        <v>0</v>
      </c>
      <c r="TD31" s="1106">
        <v>0</v>
      </c>
      <c r="TE31" s="1106">
        <v>0</v>
      </c>
      <c r="TF31" s="1106">
        <v>0</v>
      </c>
      <c r="TG31" s="1106">
        <v>0</v>
      </c>
      <c r="TH31" s="1106">
        <v>0</v>
      </c>
      <c r="TI31" s="1106">
        <v>0</v>
      </c>
      <c r="TJ31" s="1106">
        <v>0</v>
      </c>
      <c r="TK31" s="1105">
        <v>0</v>
      </c>
      <c r="TL31" s="1106">
        <v>0</v>
      </c>
      <c r="TM31" s="1106">
        <v>0</v>
      </c>
      <c r="TN31" s="1106">
        <v>0</v>
      </c>
      <c r="TO31" s="1106">
        <v>0</v>
      </c>
      <c r="TP31" s="1106">
        <v>0</v>
      </c>
      <c r="TQ31" s="1106">
        <v>0</v>
      </c>
      <c r="TR31" s="1106">
        <v>0</v>
      </c>
      <c r="TS31" s="1105">
        <v>102021253</v>
      </c>
      <c r="TT31" s="1106">
        <v>10416913</v>
      </c>
      <c r="TU31" s="1106">
        <v>16145883</v>
      </c>
      <c r="TV31" s="1106">
        <v>45409150</v>
      </c>
      <c r="TW31" s="1106">
        <v>27978543</v>
      </c>
      <c r="TX31" s="1106">
        <v>24667154</v>
      </c>
      <c r="TY31" s="1106">
        <v>24366699</v>
      </c>
      <c r="TZ31" s="1107">
        <v>50724853</v>
      </c>
      <c r="UA31" s="1107">
        <v>43777054</v>
      </c>
      <c r="UB31" s="1105">
        <v>28755149</v>
      </c>
      <c r="UC31" s="1108">
        <v>14660409</v>
      </c>
      <c r="UD31" s="1108"/>
      <c r="UE31" s="1103"/>
      <c r="UF31" s="1109" t="s">
        <v>2435</v>
      </c>
      <c r="UG31" s="1110" t="s">
        <v>2436</v>
      </c>
      <c r="UH31" s="1110" t="s">
        <v>2437</v>
      </c>
    </row>
    <row r="32" spans="1:554" s="776" customFormat="1" ht="33" customHeight="1" thickBot="1">
      <c r="A32" s="1093">
        <v>290</v>
      </c>
      <c r="B32" s="1094" t="s">
        <v>1273</v>
      </c>
      <c r="C32" s="1095" t="s">
        <v>328</v>
      </c>
      <c r="D32" s="1096" t="s">
        <v>2398</v>
      </c>
      <c r="E32" s="1097">
        <v>3615</v>
      </c>
      <c r="F32" s="1098">
        <v>2170338776</v>
      </c>
      <c r="G32" s="1096" t="s">
        <v>2399</v>
      </c>
      <c r="H32" s="1099" t="s">
        <v>1273</v>
      </c>
      <c r="I32" s="1100"/>
      <c r="J32" s="1100"/>
      <c r="K32" s="1100"/>
      <c r="L32" s="1100"/>
      <c r="M32" s="1101">
        <v>138011843</v>
      </c>
      <c r="N32" s="1101">
        <v>0</v>
      </c>
      <c r="O32" s="1101">
        <v>0</v>
      </c>
      <c r="P32" s="1101">
        <v>0</v>
      </c>
      <c r="Q32" s="1101">
        <v>0</v>
      </c>
      <c r="R32" s="1101">
        <v>0</v>
      </c>
      <c r="S32" s="1101">
        <v>0</v>
      </c>
      <c r="T32" s="1101">
        <v>0</v>
      </c>
      <c r="U32" s="1101">
        <v>0</v>
      </c>
      <c r="V32" s="1101">
        <v>147947</v>
      </c>
      <c r="W32" s="1101">
        <v>200000</v>
      </c>
      <c r="X32" s="1101">
        <v>0</v>
      </c>
      <c r="Y32" s="1101">
        <v>30876542</v>
      </c>
      <c r="Z32" s="1101">
        <v>0</v>
      </c>
      <c r="AA32" s="1101">
        <v>0</v>
      </c>
      <c r="AB32" s="1101">
        <v>0</v>
      </c>
      <c r="AC32" s="1101">
        <v>0</v>
      </c>
      <c r="AD32" s="1101">
        <v>0</v>
      </c>
      <c r="AE32" s="1101">
        <v>0</v>
      </c>
      <c r="AF32" s="1101">
        <v>0</v>
      </c>
      <c r="AG32" s="1101">
        <v>0</v>
      </c>
      <c r="AH32" s="1101">
        <v>0</v>
      </c>
      <c r="AI32" s="1101">
        <v>0</v>
      </c>
      <c r="AJ32" s="1101">
        <v>0</v>
      </c>
      <c r="AK32" s="1101">
        <v>0</v>
      </c>
      <c r="AL32" s="1101">
        <v>0</v>
      </c>
      <c r="AM32" s="1101">
        <v>0</v>
      </c>
      <c r="AN32" s="1101">
        <v>37606478</v>
      </c>
      <c r="AO32" s="1101">
        <v>0</v>
      </c>
      <c r="AP32" s="1101">
        <v>0</v>
      </c>
      <c r="AQ32" s="1101">
        <v>0</v>
      </c>
      <c r="AR32" s="1101">
        <v>0</v>
      </c>
      <c r="AS32" s="1101">
        <v>0</v>
      </c>
      <c r="AT32" s="1101">
        <v>0</v>
      </c>
      <c r="AU32" s="1101">
        <v>0</v>
      </c>
      <c r="AV32" s="1101">
        <v>0</v>
      </c>
      <c r="AW32" s="1101">
        <v>0</v>
      </c>
      <c r="AX32" s="1101">
        <v>0</v>
      </c>
      <c r="AY32" s="1101">
        <v>0</v>
      </c>
      <c r="AZ32" s="1101">
        <v>0</v>
      </c>
      <c r="BA32" s="1101">
        <v>0</v>
      </c>
      <c r="BB32" s="1101">
        <v>0</v>
      </c>
      <c r="BC32" s="1101">
        <v>0</v>
      </c>
      <c r="BD32" s="1101">
        <v>0</v>
      </c>
      <c r="BE32" s="1101">
        <v>0</v>
      </c>
      <c r="BF32" s="1101">
        <v>-7598758</v>
      </c>
      <c r="BG32" s="1101">
        <v>-41058</v>
      </c>
      <c r="BH32" s="1101">
        <v>0</v>
      </c>
      <c r="BI32" s="1101">
        <v>0</v>
      </c>
      <c r="BJ32" s="1101">
        <v>0</v>
      </c>
      <c r="BK32" s="1101">
        <v>0</v>
      </c>
      <c r="BL32" s="1101">
        <v>0</v>
      </c>
      <c r="BM32" s="1101">
        <v>0</v>
      </c>
      <c r="BN32" s="1101">
        <v>0</v>
      </c>
      <c r="BO32" s="1101">
        <v>0</v>
      </c>
      <c r="BP32" s="1101">
        <v>0</v>
      </c>
      <c r="BQ32" s="1101">
        <v>0</v>
      </c>
      <c r="BR32" s="1101">
        <v>0</v>
      </c>
      <c r="BS32" s="1101">
        <v>0</v>
      </c>
      <c r="BT32" s="1101">
        <v>0</v>
      </c>
      <c r="BU32" s="1101">
        <v>0</v>
      </c>
      <c r="BV32" s="1101">
        <v>0</v>
      </c>
      <c r="BW32" s="1101">
        <v>0</v>
      </c>
      <c r="BX32" s="1101">
        <v>0</v>
      </c>
      <c r="BY32" s="1101">
        <v>0</v>
      </c>
      <c r="BZ32" s="1101">
        <v>0</v>
      </c>
      <c r="CA32" s="1101">
        <v>0</v>
      </c>
      <c r="CB32" s="1101">
        <v>0</v>
      </c>
      <c r="CC32" s="1101">
        <v>0</v>
      </c>
      <c r="CD32" s="1101">
        <v>0</v>
      </c>
      <c r="CE32" s="1101">
        <v>0</v>
      </c>
      <c r="CF32" s="1101">
        <v>0</v>
      </c>
      <c r="CG32" s="1101">
        <v>0</v>
      </c>
      <c r="CH32" s="1101">
        <v>0</v>
      </c>
      <c r="CI32" s="1101">
        <v>0</v>
      </c>
      <c r="CJ32" s="1101">
        <v>0</v>
      </c>
      <c r="CK32" s="1101">
        <v>0</v>
      </c>
      <c r="CL32" s="1101">
        <v>0</v>
      </c>
      <c r="CM32" s="1101">
        <v>0</v>
      </c>
      <c r="CN32" s="1101">
        <v>0</v>
      </c>
      <c r="CO32" s="1101">
        <v>0</v>
      </c>
      <c r="CP32" s="1101">
        <v>55673103</v>
      </c>
      <c r="CQ32" s="1101">
        <v>234689001</v>
      </c>
      <c r="CR32" s="1101">
        <v>0</v>
      </c>
      <c r="CS32" s="1101">
        <v>0</v>
      </c>
      <c r="CT32" s="1101">
        <v>0</v>
      </c>
      <c r="CU32" s="1101">
        <v>0</v>
      </c>
      <c r="CV32" s="1101">
        <v>0</v>
      </c>
      <c r="CW32" s="1101">
        <v>0</v>
      </c>
      <c r="CX32" s="1101">
        <v>0</v>
      </c>
      <c r="CY32" s="1101">
        <v>0</v>
      </c>
      <c r="CZ32" s="1101">
        <v>0</v>
      </c>
      <c r="DA32" s="1101">
        <v>0</v>
      </c>
      <c r="DB32" s="1101">
        <v>0</v>
      </c>
      <c r="DC32" s="1101">
        <v>0</v>
      </c>
      <c r="DD32" s="1101">
        <v>0</v>
      </c>
      <c r="DE32" s="1101">
        <v>0</v>
      </c>
      <c r="DF32" s="1101">
        <v>0</v>
      </c>
      <c r="DG32" s="1101">
        <v>0</v>
      </c>
      <c r="DH32" s="1101">
        <v>0</v>
      </c>
      <c r="DI32" s="1101">
        <v>0</v>
      </c>
      <c r="DJ32" s="1101">
        <v>0</v>
      </c>
      <c r="DK32" s="1101">
        <v>0</v>
      </c>
      <c r="DL32" s="1101">
        <v>0</v>
      </c>
      <c r="DM32" s="1101">
        <v>0</v>
      </c>
      <c r="DN32" s="1101">
        <v>0</v>
      </c>
      <c r="DO32" s="1101">
        <v>0</v>
      </c>
      <c r="DP32" s="1101">
        <v>0</v>
      </c>
      <c r="DQ32" s="1101">
        <v>-3337674</v>
      </c>
      <c r="DR32" s="1101">
        <v>-15886194</v>
      </c>
      <c r="DS32" s="1101">
        <v>0</v>
      </c>
      <c r="DT32" s="1101">
        <v>0</v>
      </c>
      <c r="DU32" s="1101">
        <v>0</v>
      </c>
      <c r="DV32" s="1101">
        <v>0</v>
      </c>
      <c r="DW32" s="1101">
        <v>0</v>
      </c>
      <c r="DX32" s="1101">
        <v>0</v>
      </c>
      <c r="DY32" s="1101">
        <v>0</v>
      </c>
      <c r="DZ32" s="1101">
        <v>0</v>
      </c>
      <c r="EA32" s="1101">
        <v>0</v>
      </c>
      <c r="EB32" s="1101">
        <v>0</v>
      </c>
      <c r="EC32" s="1101">
        <v>0</v>
      </c>
      <c r="ED32" s="1101">
        <v>0</v>
      </c>
      <c r="EE32" s="1101">
        <v>0</v>
      </c>
      <c r="EF32" s="1101">
        <v>0</v>
      </c>
      <c r="EG32" s="1101">
        <v>0</v>
      </c>
      <c r="EH32" s="1101">
        <v>0</v>
      </c>
      <c r="EI32" s="1101">
        <v>-13677468</v>
      </c>
      <c r="EJ32" s="1101">
        <v>-55250342</v>
      </c>
      <c r="EK32" s="1101">
        <v>0</v>
      </c>
      <c r="EL32" s="1101">
        <v>0</v>
      </c>
      <c r="EM32" s="1101">
        <v>0</v>
      </c>
      <c r="EN32" s="1101">
        <v>0</v>
      </c>
      <c r="EO32" s="1101">
        <v>0</v>
      </c>
      <c r="EP32" s="1101">
        <v>0</v>
      </c>
      <c r="EQ32" s="1101">
        <v>0</v>
      </c>
      <c r="ER32" s="1101">
        <v>0</v>
      </c>
      <c r="ES32" s="1101">
        <v>-126999</v>
      </c>
      <c r="ET32" s="1101">
        <v>-114066</v>
      </c>
      <c r="EU32" s="1101">
        <v>0</v>
      </c>
      <c r="EV32" s="1101">
        <v>0</v>
      </c>
      <c r="EW32" s="1101">
        <v>0</v>
      </c>
      <c r="EX32" s="1101">
        <v>0</v>
      </c>
      <c r="EY32" s="1101">
        <v>0</v>
      </c>
      <c r="EZ32" s="1101">
        <v>0</v>
      </c>
      <c r="FA32" s="1101">
        <v>0</v>
      </c>
      <c r="FB32" s="1101">
        <v>0</v>
      </c>
      <c r="FC32" s="1101">
        <v>0</v>
      </c>
      <c r="FD32" s="1101">
        <v>0</v>
      </c>
      <c r="FE32" s="1101">
        <v>0</v>
      </c>
      <c r="FF32" s="1101">
        <v>0</v>
      </c>
      <c r="FG32" s="1101">
        <v>0</v>
      </c>
      <c r="FH32" s="1101">
        <v>0</v>
      </c>
      <c r="FI32" s="1101">
        <v>0</v>
      </c>
      <c r="FJ32" s="1101">
        <v>0</v>
      </c>
      <c r="FK32" s="1101">
        <v>0</v>
      </c>
      <c r="FL32" s="1101">
        <v>0</v>
      </c>
      <c r="FM32" s="1101">
        <v>0</v>
      </c>
      <c r="FN32" s="1101">
        <v>0</v>
      </c>
      <c r="FO32" s="1101">
        <v>0</v>
      </c>
      <c r="FP32" s="1101">
        <v>0</v>
      </c>
      <c r="FQ32" s="1101">
        <v>0</v>
      </c>
      <c r="FR32" s="1101">
        <v>0</v>
      </c>
      <c r="FS32" s="1101">
        <v>0</v>
      </c>
      <c r="FT32" s="1101">
        <v>0</v>
      </c>
      <c r="FU32" s="1101">
        <v>0</v>
      </c>
      <c r="FV32" s="1101">
        <v>0</v>
      </c>
      <c r="FW32" s="1101">
        <v>0</v>
      </c>
      <c r="FX32" s="1101">
        <v>0</v>
      </c>
      <c r="FY32" s="1101">
        <v>0</v>
      </c>
      <c r="FZ32" s="1101">
        <v>0</v>
      </c>
      <c r="GA32" s="1101">
        <v>0</v>
      </c>
      <c r="GB32" s="1101">
        <v>1995141</v>
      </c>
      <c r="GC32" s="1101">
        <v>56201454</v>
      </c>
      <c r="GD32" s="1101">
        <v>56788185</v>
      </c>
      <c r="GE32" s="1101">
        <v>0</v>
      </c>
      <c r="GF32" s="1101">
        <v>0</v>
      </c>
      <c r="GG32" s="1101">
        <v>0</v>
      </c>
      <c r="GH32" s="1101">
        <v>0</v>
      </c>
      <c r="GI32" s="1101">
        <v>0</v>
      </c>
      <c r="GJ32" s="1101">
        <v>0</v>
      </c>
      <c r="GK32" s="1101">
        <v>0</v>
      </c>
      <c r="GL32" s="1101">
        <v>0</v>
      </c>
      <c r="GM32" s="1101">
        <v>0</v>
      </c>
      <c r="GN32" s="1101">
        <v>0</v>
      </c>
      <c r="GO32" s="1101">
        <v>0</v>
      </c>
      <c r="GP32" s="1101">
        <v>0</v>
      </c>
      <c r="GQ32" s="1101">
        <v>0</v>
      </c>
      <c r="GR32" s="1101">
        <v>0</v>
      </c>
      <c r="GS32" s="1101">
        <v>0</v>
      </c>
      <c r="GT32" s="1101">
        <v>0</v>
      </c>
      <c r="GU32" s="1101">
        <v>0</v>
      </c>
      <c r="GV32" s="1101">
        <v>0</v>
      </c>
      <c r="GW32" s="1101">
        <v>0</v>
      </c>
      <c r="GX32" s="1101">
        <v>0</v>
      </c>
      <c r="GY32" s="1101">
        <v>0</v>
      </c>
      <c r="GZ32" s="1101">
        <v>0</v>
      </c>
      <c r="HA32" s="1101">
        <v>0</v>
      </c>
      <c r="HB32" s="1101">
        <v>0</v>
      </c>
      <c r="HC32" s="1101">
        <v>-3105</v>
      </c>
      <c r="HD32" s="1101">
        <v>-3225472</v>
      </c>
      <c r="HE32" s="1101">
        <v>-14827445</v>
      </c>
      <c r="HF32" s="1101">
        <v>0</v>
      </c>
      <c r="HG32" s="1101">
        <v>0</v>
      </c>
      <c r="HH32" s="1101">
        <v>0</v>
      </c>
      <c r="HI32" s="1101">
        <v>0</v>
      </c>
      <c r="HJ32" s="1101">
        <v>0</v>
      </c>
      <c r="HK32" s="1101">
        <v>0</v>
      </c>
      <c r="HL32" s="1101">
        <v>0</v>
      </c>
      <c r="HM32" s="1101">
        <v>0</v>
      </c>
      <c r="HN32" s="1101">
        <v>0</v>
      </c>
      <c r="HO32" s="1101">
        <v>0</v>
      </c>
      <c r="HP32" s="1101">
        <v>0</v>
      </c>
      <c r="HQ32" s="1101">
        <v>0</v>
      </c>
      <c r="HR32" s="1101">
        <v>0</v>
      </c>
      <c r="HS32" s="1101">
        <v>0</v>
      </c>
      <c r="HT32" s="1101">
        <v>0</v>
      </c>
      <c r="HU32" s="1101">
        <v>-644542</v>
      </c>
      <c r="HV32" s="1101">
        <v>-13997926</v>
      </c>
      <c r="HW32" s="1101">
        <v>1185291</v>
      </c>
      <c r="HX32" s="1101">
        <v>0</v>
      </c>
      <c r="HY32" s="1101">
        <v>0</v>
      </c>
      <c r="HZ32" s="1101">
        <v>0</v>
      </c>
      <c r="IA32" s="1101">
        <v>0</v>
      </c>
      <c r="IB32" s="1101">
        <v>0</v>
      </c>
      <c r="IC32" s="1101">
        <v>0</v>
      </c>
      <c r="ID32" s="1101">
        <v>0</v>
      </c>
      <c r="IE32" s="1101">
        <v>0</v>
      </c>
      <c r="IF32" s="1101">
        <v>0</v>
      </c>
      <c r="IG32" s="1101">
        <v>142660412</v>
      </c>
      <c r="IH32" s="1101">
        <v>0</v>
      </c>
      <c r="II32" s="1101">
        <v>0</v>
      </c>
      <c r="IJ32" s="1101">
        <v>0</v>
      </c>
      <c r="IK32" s="1101">
        <v>0</v>
      </c>
      <c r="IL32" s="1101">
        <v>0</v>
      </c>
      <c r="IM32" s="1101">
        <v>128489</v>
      </c>
      <c r="IN32" s="1101">
        <v>9887725</v>
      </c>
      <c r="IO32" s="1101">
        <v>2978435</v>
      </c>
      <c r="IP32" s="1101">
        <v>844554</v>
      </c>
      <c r="IQ32" s="1101">
        <v>85793</v>
      </c>
      <c r="IR32" s="1101">
        <v>6520450</v>
      </c>
      <c r="IS32" s="1101">
        <v>2000507</v>
      </c>
      <c r="IT32" s="1101">
        <v>0</v>
      </c>
      <c r="IU32" s="1101">
        <v>0</v>
      </c>
      <c r="IV32" s="1101">
        <v>0</v>
      </c>
      <c r="IW32" s="1101">
        <v>0</v>
      </c>
      <c r="IX32" s="1101">
        <v>0</v>
      </c>
      <c r="IY32" s="1101">
        <v>740389</v>
      </c>
      <c r="IZ32" s="1101">
        <v>0</v>
      </c>
      <c r="JA32" s="1101">
        <v>0</v>
      </c>
      <c r="JB32" s="1101">
        <v>0</v>
      </c>
      <c r="JC32" s="1101">
        <v>0</v>
      </c>
      <c r="JD32" s="1101">
        <v>0</v>
      </c>
      <c r="JE32" s="1101">
        <v>0</v>
      </c>
      <c r="JF32" s="1101">
        <v>30802</v>
      </c>
      <c r="JG32" s="1101">
        <v>0</v>
      </c>
      <c r="JH32" s="1101">
        <v>12797376</v>
      </c>
      <c r="JI32" s="1101">
        <v>0</v>
      </c>
      <c r="JJ32" s="1101">
        <v>0</v>
      </c>
      <c r="JK32" s="1101">
        <v>0</v>
      </c>
      <c r="JL32" s="1101">
        <v>0</v>
      </c>
      <c r="JM32" s="1101">
        <v>0</v>
      </c>
      <c r="JN32" s="1101">
        <v>1044132</v>
      </c>
      <c r="JO32" s="1101">
        <v>10858893</v>
      </c>
      <c r="JP32" s="1101">
        <v>0</v>
      </c>
      <c r="JQ32" s="1101">
        <v>55830</v>
      </c>
      <c r="JR32" s="1101">
        <v>0</v>
      </c>
      <c r="JS32" s="1101">
        <v>691</v>
      </c>
      <c r="JT32" s="1101">
        <v>0</v>
      </c>
      <c r="JU32" s="1101">
        <v>-100</v>
      </c>
      <c r="JV32" s="1101">
        <v>0</v>
      </c>
      <c r="JW32" s="1101">
        <v>0</v>
      </c>
      <c r="JX32" s="1101">
        <v>0</v>
      </c>
      <c r="JY32" s="1101">
        <v>69893224</v>
      </c>
      <c r="JZ32" s="1101">
        <v>0</v>
      </c>
      <c r="KA32" s="1101">
        <v>0</v>
      </c>
      <c r="KB32" s="1101">
        <v>0</v>
      </c>
      <c r="KC32" s="1101">
        <v>0</v>
      </c>
      <c r="KD32" s="1101">
        <v>0</v>
      </c>
      <c r="KE32" s="1101">
        <v>0</v>
      </c>
      <c r="KF32" s="1101">
        <v>20121</v>
      </c>
      <c r="KG32" s="1101">
        <v>2674164</v>
      </c>
      <c r="KH32" s="1101">
        <v>119556</v>
      </c>
      <c r="KI32" s="1101">
        <v>1500</v>
      </c>
      <c r="KJ32" s="1101">
        <v>61328</v>
      </c>
      <c r="KK32" s="1101">
        <v>37374</v>
      </c>
      <c r="KL32" s="1101">
        <v>0</v>
      </c>
      <c r="KM32" s="1101">
        <v>0</v>
      </c>
      <c r="KN32" s="1101">
        <v>0</v>
      </c>
      <c r="KO32" s="1101">
        <v>162468101</v>
      </c>
      <c r="KP32" s="1101">
        <v>36430969</v>
      </c>
      <c r="KQ32" s="1101">
        <v>0</v>
      </c>
      <c r="KR32" s="1101">
        <v>6099903</v>
      </c>
      <c r="KS32" s="1101">
        <v>0</v>
      </c>
      <c r="KT32" s="1101">
        <v>0</v>
      </c>
      <c r="KU32" s="1101">
        <v>0</v>
      </c>
      <c r="KV32" s="1101">
        <v>0</v>
      </c>
      <c r="KW32" s="1101">
        <v>0</v>
      </c>
      <c r="KX32" s="1101">
        <v>20171250</v>
      </c>
      <c r="KY32" s="1101">
        <v>9262347</v>
      </c>
      <c r="KZ32" s="1101">
        <v>0</v>
      </c>
      <c r="LA32" s="1101">
        <v>33945434</v>
      </c>
      <c r="LB32" s="1101">
        <v>0</v>
      </c>
      <c r="LC32" s="1101">
        <v>0</v>
      </c>
      <c r="LD32" s="1101">
        <v>0</v>
      </c>
      <c r="LE32" s="1101">
        <v>0</v>
      </c>
      <c r="LF32" s="1101">
        <v>0</v>
      </c>
      <c r="LG32" s="1101">
        <v>424520</v>
      </c>
      <c r="LH32" s="1101">
        <v>847790</v>
      </c>
      <c r="LI32" s="1101">
        <v>0</v>
      </c>
      <c r="LJ32" s="1101">
        <v>182036</v>
      </c>
      <c r="LK32" s="1101">
        <v>0</v>
      </c>
      <c r="LL32" s="1101">
        <v>0</v>
      </c>
      <c r="LM32" s="1101">
        <v>0</v>
      </c>
      <c r="LN32" s="1101">
        <v>0</v>
      </c>
      <c r="LO32" s="1101">
        <v>0</v>
      </c>
      <c r="LP32" s="1101">
        <v>10017185</v>
      </c>
      <c r="LQ32" s="1101">
        <v>29199615</v>
      </c>
      <c r="LR32" s="1101">
        <v>0</v>
      </c>
      <c r="LS32" s="1101">
        <v>1211354</v>
      </c>
      <c r="LT32" s="1101">
        <v>0</v>
      </c>
      <c r="LU32" s="1101">
        <v>0</v>
      </c>
      <c r="LV32" s="1101">
        <v>0</v>
      </c>
      <c r="LW32" s="1101">
        <v>0</v>
      </c>
      <c r="LX32" s="1101">
        <v>0</v>
      </c>
      <c r="LY32" s="1101">
        <v>7068611</v>
      </c>
      <c r="LZ32" s="1101">
        <v>10630608</v>
      </c>
      <c r="MA32" s="1101">
        <v>13636597</v>
      </c>
      <c r="MB32" s="1101">
        <v>817985</v>
      </c>
      <c r="MC32" s="1101">
        <v>0</v>
      </c>
      <c r="MD32" s="1101">
        <v>0</v>
      </c>
      <c r="ME32" s="1101">
        <v>0</v>
      </c>
      <c r="MF32" s="1101">
        <v>0</v>
      </c>
      <c r="MG32" s="1101">
        <v>0</v>
      </c>
      <c r="MH32" s="1101">
        <v>2351666</v>
      </c>
      <c r="MI32" s="1101">
        <v>37012446</v>
      </c>
      <c r="MJ32" s="1101">
        <v>0</v>
      </c>
      <c r="MK32" s="1101">
        <v>349265</v>
      </c>
      <c r="ML32" s="1101">
        <v>0</v>
      </c>
      <c r="MM32" s="1101">
        <v>0</v>
      </c>
      <c r="MN32" s="1101">
        <v>0</v>
      </c>
      <c r="MO32" s="1101">
        <v>0</v>
      </c>
      <c r="MP32" s="1101">
        <v>0</v>
      </c>
      <c r="MQ32" s="1101">
        <v>13756010</v>
      </c>
      <c r="MR32" s="1101">
        <v>29977186</v>
      </c>
      <c r="MS32" s="1101">
        <v>1289075</v>
      </c>
      <c r="MT32" s="1101">
        <v>4992909</v>
      </c>
      <c r="MU32" s="1101">
        <v>0</v>
      </c>
      <c r="MV32" s="1101">
        <v>0</v>
      </c>
      <c r="MW32" s="1101">
        <v>0</v>
      </c>
      <c r="MX32" s="1101">
        <v>0</v>
      </c>
      <c r="MY32" s="1101">
        <v>0</v>
      </c>
      <c r="MZ32" s="1101">
        <v>2813496</v>
      </c>
      <c r="NA32" s="1101">
        <v>17963613</v>
      </c>
      <c r="NB32" s="1101">
        <v>2341862</v>
      </c>
      <c r="NC32" s="1101">
        <v>58355308</v>
      </c>
      <c r="ND32" s="1101">
        <v>0</v>
      </c>
      <c r="NE32" s="1101">
        <v>0</v>
      </c>
      <c r="NF32" s="1101">
        <v>0</v>
      </c>
      <c r="NG32" s="1101">
        <v>0</v>
      </c>
      <c r="NH32" s="1101">
        <v>0</v>
      </c>
      <c r="NI32" s="1101">
        <v>0</v>
      </c>
      <c r="NJ32" s="1101">
        <v>0</v>
      </c>
      <c r="NK32" s="1101">
        <v>68478900</v>
      </c>
      <c r="NL32" s="1101">
        <v>20538</v>
      </c>
      <c r="NM32" s="1101">
        <v>0</v>
      </c>
      <c r="NN32" s="1101">
        <v>0</v>
      </c>
      <c r="NO32" s="1101">
        <v>0</v>
      </c>
      <c r="NP32" s="1101">
        <v>0</v>
      </c>
      <c r="NQ32" s="1101">
        <v>0</v>
      </c>
      <c r="NR32" s="1101">
        <v>2710115</v>
      </c>
      <c r="NS32" s="1101">
        <v>5632662</v>
      </c>
      <c r="NT32" s="1101">
        <v>119430</v>
      </c>
      <c r="NU32" s="1101">
        <v>1295829</v>
      </c>
      <c r="NV32" s="1101">
        <v>0</v>
      </c>
      <c r="NW32" s="1101">
        <v>0</v>
      </c>
      <c r="NX32" s="1101">
        <v>0</v>
      </c>
      <c r="NY32" s="1101">
        <v>0</v>
      </c>
      <c r="NZ32" s="1101">
        <v>0</v>
      </c>
      <c r="OA32" s="1101">
        <v>232</v>
      </c>
      <c r="OB32" s="1101">
        <v>12577</v>
      </c>
      <c r="OC32" s="1101">
        <v>15862</v>
      </c>
      <c r="OD32" s="1101">
        <v>17970</v>
      </c>
      <c r="OE32" s="1101">
        <v>448668</v>
      </c>
      <c r="OF32" s="1101">
        <v>76207</v>
      </c>
      <c r="OG32" s="1101">
        <v>12188</v>
      </c>
      <c r="OH32" s="1101">
        <v>658</v>
      </c>
      <c r="OI32" s="1101">
        <v>0</v>
      </c>
      <c r="OJ32" s="1101">
        <v>0</v>
      </c>
      <c r="OK32" s="1101">
        <v>0</v>
      </c>
      <c r="OL32" s="1101">
        <v>0</v>
      </c>
      <c r="OM32" s="1101">
        <v>0</v>
      </c>
      <c r="ON32" s="1101">
        <v>0</v>
      </c>
      <c r="OO32" s="1101">
        <v>0</v>
      </c>
      <c r="OP32" s="1101">
        <v>-29063077</v>
      </c>
      <c r="OQ32" s="1101">
        <v>0</v>
      </c>
      <c r="OR32" s="1101">
        <v>0</v>
      </c>
      <c r="OS32" s="1101">
        <v>1189063</v>
      </c>
      <c r="OT32" s="1101">
        <v>-4801208</v>
      </c>
      <c r="OU32" s="1101">
        <v>0</v>
      </c>
      <c r="OV32" s="1101">
        <v>0</v>
      </c>
      <c r="OW32" s="1101">
        <v>0</v>
      </c>
      <c r="OX32" s="1101">
        <v>0</v>
      </c>
      <c r="OY32" s="1101">
        <v>0</v>
      </c>
      <c r="OZ32" s="1101">
        <v>0</v>
      </c>
      <c r="PA32" s="1101">
        <v>0</v>
      </c>
      <c r="PB32" s="1101">
        <v>0</v>
      </c>
      <c r="PC32" s="1101">
        <v>0</v>
      </c>
      <c r="PD32" s="1101">
        <v>0</v>
      </c>
      <c r="PE32" s="1101">
        <v>0</v>
      </c>
      <c r="PF32" s="1101">
        <v>0</v>
      </c>
      <c r="PG32" s="1101">
        <v>0</v>
      </c>
      <c r="PH32" s="1101">
        <v>0</v>
      </c>
      <c r="PI32" s="1101">
        <v>0</v>
      </c>
      <c r="PJ32" s="1101">
        <v>0</v>
      </c>
      <c r="PK32" s="1101">
        <v>-22343790</v>
      </c>
      <c r="PL32" s="1101">
        <v>-6893566</v>
      </c>
      <c r="PM32" s="1101">
        <v>-31093592</v>
      </c>
      <c r="PN32" s="1101">
        <v>0</v>
      </c>
      <c r="PO32" s="1101">
        <v>0</v>
      </c>
      <c r="PP32" s="1101">
        <v>0</v>
      </c>
      <c r="PQ32" s="1101">
        <v>-137385</v>
      </c>
      <c r="PR32" s="1101">
        <v>0</v>
      </c>
      <c r="PS32" s="1101">
        <v>0</v>
      </c>
      <c r="PT32" s="1101">
        <v>0</v>
      </c>
      <c r="PU32" s="1101">
        <v>0</v>
      </c>
      <c r="PV32" s="1101">
        <v>0</v>
      </c>
      <c r="PW32" s="1101">
        <v>0</v>
      </c>
      <c r="PX32" s="1101">
        <v>0</v>
      </c>
      <c r="PY32" s="1101">
        <v>11401898</v>
      </c>
      <c r="PZ32" s="1101">
        <v>0</v>
      </c>
      <c r="QA32" s="1101">
        <v>0</v>
      </c>
      <c r="QB32" s="1101">
        <v>7637315</v>
      </c>
      <c r="QC32" s="1101">
        <v>0</v>
      </c>
      <c r="QD32" s="1101">
        <v>0</v>
      </c>
      <c r="QE32" s="1101">
        <v>0</v>
      </c>
      <c r="QF32" s="1101">
        <v>0</v>
      </c>
      <c r="QG32" s="1101">
        <v>0</v>
      </c>
      <c r="QH32" s="1101">
        <v>239539</v>
      </c>
      <c r="QI32" s="1101">
        <v>0</v>
      </c>
      <c r="QJ32" s="1101">
        <v>0</v>
      </c>
      <c r="QK32" s="1101">
        <v>0</v>
      </c>
      <c r="QL32" s="1101">
        <v>0</v>
      </c>
      <c r="QM32" s="1101">
        <v>0</v>
      </c>
      <c r="QN32" s="1101">
        <v>0</v>
      </c>
      <c r="QO32" s="1101">
        <v>0</v>
      </c>
      <c r="QP32" s="1101">
        <v>0</v>
      </c>
      <c r="QQ32" s="1101">
        <v>0</v>
      </c>
      <c r="QR32" s="1101">
        <v>0</v>
      </c>
      <c r="QS32" s="1101">
        <v>0</v>
      </c>
      <c r="QT32" s="1101">
        <v>0</v>
      </c>
      <c r="QU32" s="1101">
        <v>0</v>
      </c>
      <c r="QV32" s="1101">
        <v>0</v>
      </c>
      <c r="QW32" s="1101">
        <v>0</v>
      </c>
      <c r="QX32" s="1101">
        <v>0</v>
      </c>
      <c r="QY32" s="1101">
        <v>0</v>
      </c>
      <c r="QZ32" s="1101">
        <v>0</v>
      </c>
      <c r="RA32" s="1101">
        <v>0</v>
      </c>
      <c r="RB32" s="1101">
        <v>0</v>
      </c>
      <c r="RC32" s="1101">
        <v>-72067914</v>
      </c>
      <c r="RD32" s="1101">
        <v>0</v>
      </c>
      <c r="RE32" s="1101">
        <v>0</v>
      </c>
      <c r="RF32" s="1101">
        <v>0</v>
      </c>
      <c r="RG32" s="1101">
        <v>0</v>
      </c>
      <c r="RH32" s="1101">
        <v>0</v>
      </c>
      <c r="RI32" s="1101">
        <v>0</v>
      </c>
      <c r="RJ32" s="1101">
        <v>0</v>
      </c>
      <c r="RK32" s="1101">
        <v>0</v>
      </c>
      <c r="RL32" s="1101">
        <v>0</v>
      </c>
      <c r="RM32" s="1101">
        <v>0</v>
      </c>
      <c r="RN32" s="1101">
        <v>0</v>
      </c>
      <c r="RO32" s="1101">
        <v>0</v>
      </c>
      <c r="RP32" s="1101">
        <v>0</v>
      </c>
      <c r="RQ32" s="1101">
        <v>0</v>
      </c>
      <c r="RR32" s="1101">
        <v>0</v>
      </c>
      <c r="RS32" s="1101">
        <v>0</v>
      </c>
      <c r="RT32" s="1101">
        <v>0</v>
      </c>
      <c r="RU32" s="1101">
        <v>0</v>
      </c>
      <c r="RV32" s="1101">
        <v>0</v>
      </c>
      <c r="RW32" s="1101">
        <v>877585</v>
      </c>
      <c r="RX32" s="1101">
        <v>35330</v>
      </c>
      <c r="RY32" s="1101">
        <v>175639</v>
      </c>
      <c r="RZ32" s="1101">
        <v>0</v>
      </c>
      <c r="SA32" s="1101">
        <v>0</v>
      </c>
      <c r="SB32" s="1101">
        <v>0</v>
      </c>
      <c r="SC32" s="1101">
        <v>0</v>
      </c>
      <c r="SD32" s="1101">
        <v>0</v>
      </c>
      <c r="SE32" s="1101">
        <v>2710115</v>
      </c>
      <c r="SF32" s="1101">
        <v>5632662</v>
      </c>
      <c r="SG32" s="1101">
        <v>119430</v>
      </c>
      <c r="SH32" s="1101">
        <v>1295829</v>
      </c>
      <c r="SI32" s="1101">
        <v>0</v>
      </c>
      <c r="SJ32" s="1101">
        <v>0</v>
      </c>
      <c r="SK32" s="1101">
        <v>29063077</v>
      </c>
      <c r="SL32" s="1102">
        <v>0</v>
      </c>
      <c r="SM32" s="1101">
        <v>0</v>
      </c>
      <c r="SN32" s="1101">
        <v>57484435</v>
      </c>
      <c r="SO32" s="1102"/>
      <c r="SP32" s="1103"/>
      <c r="SQ32" s="1104">
        <v>405346884</v>
      </c>
      <c r="SR32" s="1104">
        <v>-119664877</v>
      </c>
      <c r="SS32" s="1105">
        <v>742872</v>
      </c>
      <c r="ST32" s="1106">
        <v>3179215</v>
      </c>
      <c r="SU32" s="1106">
        <v>0</v>
      </c>
      <c r="SV32" s="1106">
        <v>5454150</v>
      </c>
      <c r="SW32" s="1106">
        <v>23932</v>
      </c>
      <c r="SX32" s="1106">
        <v>33420</v>
      </c>
      <c r="SY32" s="1106">
        <v>202253</v>
      </c>
      <c r="SZ32" s="1106">
        <v>5699</v>
      </c>
      <c r="TA32" s="1106">
        <v>116495</v>
      </c>
      <c r="TB32" s="1106">
        <v>0</v>
      </c>
      <c r="TC32" s="1105">
        <v>0</v>
      </c>
      <c r="TD32" s="1106">
        <v>772596</v>
      </c>
      <c r="TE32" s="1106">
        <v>0</v>
      </c>
      <c r="TF32" s="1106">
        <v>0</v>
      </c>
      <c r="TG32" s="1106">
        <v>0</v>
      </c>
      <c r="TH32" s="1106">
        <v>0</v>
      </c>
      <c r="TI32" s="1106">
        <v>0</v>
      </c>
      <c r="TJ32" s="1106">
        <v>0</v>
      </c>
      <c r="TK32" s="1105">
        <v>0</v>
      </c>
      <c r="TL32" s="1106">
        <v>0</v>
      </c>
      <c r="TM32" s="1106">
        <v>0</v>
      </c>
      <c r="TN32" s="1106">
        <v>0</v>
      </c>
      <c r="TO32" s="1106">
        <v>0</v>
      </c>
      <c r="TP32" s="1106">
        <v>0</v>
      </c>
      <c r="TQ32" s="1106">
        <v>0</v>
      </c>
      <c r="TR32" s="1106">
        <v>0</v>
      </c>
      <c r="TS32" s="1105">
        <v>204998973</v>
      </c>
      <c r="TT32" s="1106">
        <v>63379031</v>
      </c>
      <c r="TU32" s="1106">
        <v>1454346</v>
      </c>
      <c r="TV32" s="1106">
        <v>40428154</v>
      </c>
      <c r="TW32" s="1106">
        <v>32153801</v>
      </c>
      <c r="TX32" s="1106">
        <v>39713377</v>
      </c>
      <c r="TY32" s="1106">
        <v>50015180</v>
      </c>
      <c r="TZ32" s="1107">
        <v>81474279</v>
      </c>
      <c r="UA32" s="1107">
        <v>68499438</v>
      </c>
      <c r="UB32" s="1105">
        <v>0</v>
      </c>
      <c r="UC32" s="1108">
        <v>0</v>
      </c>
      <c r="UD32" s="1108"/>
      <c r="UE32" s="1103"/>
      <c r="UF32" s="1109" t="s">
        <v>2461</v>
      </c>
      <c r="UG32" s="1110" t="s">
        <v>2462</v>
      </c>
      <c r="UH32" s="1110" t="s">
        <v>2463</v>
      </c>
    </row>
    <row r="33" spans="1:554" s="776" customFormat="1" ht="24" customHeight="1" thickBot="1">
      <c r="A33" s="1093">
        <v>300</v>
      </c>
      <c r="B33" s="1094" t="s">
        <v>120</v>
      </c>
      <c r="C33" s="1095" t="s">
        <v>329</v>
      </c>
      <c r="D33" s="1096" t="s">
        <v>2398</v>
      </c>
      <c r="E33" s="1097">
        <v>3625</v>
      </c>
      <c r="F33" s="1098">
        <v>173407703</v>
      </c>
      <c r="G33" s="1096" t="s">
        <v>2399</v>
      </c>
      <c r="H33" s="1100" t="s">
        <v>120</v>
      </c>
      <c r="I33" s="1100"/>
      <c r="J33" s="1100"/>
      <c r="K33" s="1100"/>
      <c r="L33" s="1100"/>
      <c r="M33" s="1101">
        <v>19241603</v>
      </c>
      <c r="N33" s="1101">
        <v>0</v>
      </c>
      <c r="O33" s="1101">
        <v>0</v>
      </c>
      <c r="P33" s="1101">
        <v>0</v>
      </c>
      <c r="Q33" s="1101">
        <v>0</v>
      </c>
      <c r="R33" s="1101">
        <v>0</v>
      </c>
      <c r="S33" s="1101">
        <v>0</v>
      </c>
      <c r="T33" s="1101">
        <v>0</v>
      </c>
      <c r="U33" s="1101">
        <v>0</v>
      </c>
      <c r="V33" s="1101">
        <v>0</v>
      </c>
      <c r="W33" s="1101">
        <v>0</v>
      </c>
      <c r="X33" s="1101">
        <v>0</v>
      </c>
      <c r="Y33" s="1101">
        <v>1819893</v>
      </c>
      <c r="Z33" s="1101">
        <v>0</v>
      </c>
      <c r="AA33" s="1101">
        <v>0</v>
      </c>
      <c r="AB33" s="1101">
        <v>0</v>
      </c>
      <c r="AC33" s="1101">
        <v>0</v>
      </c>
      <c r="AD33" s="1101">
        <v>0</v>
      </c>
      <c r="AE33" s="1101">
        <v>0</v>
      </c>
      <c r="AF33" s="1101">
        <v>0</v>
      </c>
      <c r="AG33" s="1101">
        <v>0</v>
      </c>
      <c r="AH33" s="1101">
        <v>0</v>
      </c>
      <c r="AI33" s="1101">
        <v>0</v>
      </c>
      <c r="AJ33" s="1101">
        <v>0</v>
      </c>
      <c r="AK33" s="1101">
        <v>0</v>
      </c>
      <c r="AL33" s="1101">
        <v>0</v>
      </c>
      <c r="AM33" s="1101">
        <v>0</v>
      </c>
      <c r="AN33" s="1101">
        <v>2624613</v>
      </c>
      <c r="AO33" s="1101">
        <v>0</v>
      </c>
      <c r="AP33" s="1101">
        <v>0</v>
      </c>
      <c r="AQ33" s="1101">
        <v>0</v>
      </c>
      <c r="AR33" s="1101">
        <v>0</v>
      </c>
      <c r="AS33" s="1101">
        <v>0</v>
      </c>
      <c r="AT33" s="1101">
        <v>0</v>
      </c>
      <c r="AU33" s="1101">
        <v>0</v>
      </c>
      <c r="AV33" s="1101">
        <v>0</v>
      </c>
      <c r="AW33" s="1101">
        <v>0</v>
      </c>
      <c r="AX33" s="1101">
        <v>0</v>
      </c>
      <c r="AY33" s="1101">
        <v>0</v>
      </c>
      <c r="AZ33" s="1101">
        <v>0</v>
      </c>
      <c r="BA33" s="1101">
        <v>0</v>
      </c>
      <c r="BB33" s="1101">
        <v>0</v>
      </c>
      <c r="BC33" s="1101">
        <v>0</v>
      </c>
      <c r="BD33" s="1101">
        <v>0</v>
      </c>
      <c r="BE33" s="1101">
        <v>0</v>
      </c>
      <c r="BF33" s="1101">
        <v>0</v>
      </c>
      <c r="BG33" s="1101">
        <v>0</v>
      </c>
      <c r="BH33" s="1101">
        <v>0</v>
      </c>
      <c r="BI33" s="1101">
        <v>0</v>
      </c>
      <c r="BJ33" s="1101">
        <v>0</v>
      </c>
      <c r="BK33" s="1101">
        <v>0</v>
      </c>
      <c r="BL33" s="1101">
        <v>0</v>
      </c>
      <c r="BM33" s="1101">
        <v>0</v>
      </c>
      <c r="BN33" s="1101">
        <v>0</v>
      </c>
      <c r="BO33" s="1101">
        <v>0</v>
      </c>
      <c r="BP33" s="1101">
        <v>0</v>
      </c>
      <c r="BQ33" s="1101">
        <v>0</v>
      </c>
      <c r="BR33" s="1101">
        <v>0</v>
      </c>
      <c r="BS33" s="1101">
        <v>0</v>
      </c>
      <c r="BT33" s="1101">
        <v>0</v>
      </c>
      <c r="BU33" s="1101">
        <v>0</v>
      </c>
      <c r="BV33" s="1101">
        <v>0</v>
      </c>
      <c r="BW33" s="1101">
        <v>0</v>
      </c>
      <c r="BX33" s="1101">
        <v>0</v>
      </c>
      <c r="BY33" s="1101">
        <v>0</v>
      </c>
      <c r="BZ33" s="1101">
        <v>0</v>
      </c>
      <c r="CA33" s="1101">
        <v>0</v>
      </c>
      <c r="CB33" s="1101">
        <v>0</v>
      </c>
      <c r="CC33" s="1101">
        <v>0</v>
      </c>
      <c r="CD33" s="1101">
        <v>0</v>
      </c>
      <c r="CE33" s="1101">
        <v>0</v>
      </c>
      <c r="CF33" s="1101">
        <v>0</v>
      </c>
      <c r="CG33" s="1101">
        <v>0</v>
      </c>
      <c r="CH33" s="1101">
        <v>0</v>
      </c>
      <c r="CI33" s="1101">
        <v>0</v>
      </c>
      <c r="CJ33" s="1101">
        <v>0</v>
      </c>
      <c r="CK33" s="1101">
        <v>0</v>
      </c>
      <c r="CL33" s="1101">
        <v>0</v>
      </c>
      <c r="CM33" s="1101">
        <v>0</v>
      </c>
      <c r="CN33" s="1101">
        <v>0</v>
      </c>
      <c r="CO33" s="1101">
        <v>0</v>
      </c>
      <c r="CP33" s="1101">
        <v>2827081</v>
      </c>
      <c r="CQ33" s="1101">
        <v>7542791</v>
      </c>
      <c r="CR33" s="1101">
        <v>0</v>
      </c>
      <c r="CS33" s="1101">
        <v>0</v>
      </c>
      <c r="CT33" s="1101">
        <v>0</v>
      </c>
      <c r="CU33" s="1101">
        <v>0</v>
      </c>
      <c r="CV33" s="1101">
        <v>0</v>
      </c>
      <c r="CW33" s="1101">
        <v>0</v>
      </c>
      <c r="CX33" s="1101">
        <v>0</v>
      </c>
      <c r="CY33" s="1101">
        <v>-22233</v>
      </c>
      <c r="CZ33" s="1101">
        <v>-95818</v>
      </c>
      <c r="DA33" s="1101">
        <v>0</v>
      </c>
      <c r="DB33" s="1101">
        <v>0</v>
      </c>
      <c r="DC33" s="1101">
        <v>0</v>
      </c>
      <c r="DD33" s="1101">
        <v>0</v>
      </c>
      <c r="DE33" s="1101">
        <v>0</v>
      </c>
      <c r="DF33" s="1101">
        <v>0</v>
      </c>
      <c r="DG33" s="1101">
        <v>0</v>
      </c>
      <c r="DH33" s="1101">
        <v>-13704</v>
      </c>
      <c r="DI33" s="1101">
        <v>0</v>
      </c>
      <c r="DJ33" s="1101">
        <v>0</v>
      </c>
      <c r="DK33" s="1101">
        <v>0</v>
      </c>
      <c r="DL33" s="1101">
        <v>0</v>
      </c>
      <c r="DM33" s="1101">
        <v>0</v>
      </c>
      <c r="DN33" s="1101">
        <v>0</v>
      </c>
      <c r="DO33" s="1101">
        <v>0</v>
      </c>
      <c r="DP33" s="1101">
        <v>0</v>
      </c>
      <c r="DQ33" s="1101">
        <v>-28848</v>
      </c>
      <c r="DR33" s="1101">
        <v>-76916</v>
      </c>
      <c r="DS33" s="1101">
        <v>0</v>
      </c>
      <c r="DT33" s="1101">
        <v>0</v>
      </c>
      <c r="DU33" s="1101">
        <v>0</v>
      </c>
      <c r="DV33" s="1101">
        <v>0</v>
      </c>
      <c r="DW33" s="1101">
        <v>0</v>
      </c>
      <c r="DX33" s="1101">
        <v>0</v>
      </c>
      <c r="DY33" s="1101">
        <v>0</v>
      </c>
      <c r="DZ33" s="1101">
        <v>0</v>
      </c>
      <c r="EA33" s="1101">
        <v>0</v>
      </c>
      <c r="EB33" s="1101">
        <v>0</v>
      </c>
      <c r="EC33" s="1101">
        <v>0</v>
      </c>
      <c r="ED33" s="1101">
        <v>0</v>
      </c>
      <c r="EE33" s="1101">
        <v>0</v>
      </c>
      <c r="EF33" s="1101">
        <v>0</v>
      </c>
      <c r="EG33" s="1101">
        <v>0</v>
      </c>
      <c r="EH33" s="1101">
        <v>0</v>
      </c>
      <c r="EI33" s="1101">
        <v>0</v>
      </c>
      <c r="EJ33" s="1101">
        <v>-3814981</v>
      </c>
      <c r="EK33" s="1101">
        <v>0</v>
      </c>
      <c r="EL33" s="1101">
        <v>0</v>
      </c>
      <c r="EM33" s="1101">
        <v>0</v>
      </c>
      <c r="EN33" s="1101">
        <v>0</v>
      </c>
      <c r="EO33" s="1101">
        <v>0</v>
      </c>
      <c r="EP33" s="1101">
        <v>0</v>
      </c>
      <c r="EQ33" s="1101">
        <v>0</v>
      </c>
      <c r="ER33" s="1101">
        <v>0</v>
      </c>
      <c r="ES33" s="1101">
        <v>0</v>
      </c>
      <c r="ET33" s="1101">
        <v>0</v>
      </c>
      <c r="EU33" s="1101">
        <v>0</v>
      </c>
      <c r="EV33" s="1101">
        <v>0</v>
      </c>
      <c r="EW33" s="1101">
        <v>0</v>
      </c>
      <c r="EX33" s="1101">
        <v>0</v>
      </c>
      <c r="EY33" s="1101">
        <v>0</v>
      </c>
      <c r="EZ33" s="1101">
        <v>0</v>
      </c>
      <c r="FA33" s="1101">
        <v>0</v>
      </c>
      <c r="FB33" s="1101">
        <v>0</v>
      </c>
      <c r="FC33" s="1101">
        <v>0</v>
      </c>
      <c r="FD33" s="1101">
        <v>0</v>
      </c>
      <c r="FE33" s="1101">
        <v>0</v>
      </c>
      <c r="FF33" s="1101">
        <v>0</v>
      </c>
      <c r="FG33" s="1101">
        <v>0</v>
      </c>
      <c r="FH33" s="1101">
        <v>0</v>
      </c>
      <c r="FI33" s="1101">
        <v>0</v>
      </c>
      <c r="FJ33" s="1101">
        <v>0</v>
      </c>
      <c r="FK33" s="1101">
        <v>0</v>
      </c>
      <c r="FL33" s="1101">
        <v>0</v>
      </c>
      <c r="FM33" s="1101">
        <v>0</v>
      </c>
      <c r="FN33" s="1101">
        <v>0</v>
      </c>
      <c r="FO33" s="1101">
        <v>0</v>
      </c>
      <c r="FP33" s="1101">
        <v>0</v>
      </c>
      <c r="FQ33" s="1101">
        <v>0</v>
      </c>
      <c r="FR33" s="1101">
        <v>0</v>
      </c>
      <c r="FS33" s="1101">
        <v>0</v>
      </c>
      <c r="FT33" s="1101">
        <v>0</v>
      </c>
      <c r="FU33" s="1101">
        <v>0</v>
      </c>
      <c r="FV33" s="1101">
        <v>0</v>
      </c>
      <c r="FW33" s="1101">
        <v>0</v>
      </c>
      <c r="FX33" s="1101">
        <v>0</v>
      </c>
      <c r="FY33" s="1101">
        <v>0</v>
      </c>
      <c r="FZ33" s="1101">
        <v>0</v>
      </c>
      <c r="GA33" s="1101">
        <v>0</v>
      </c>
      <c r="GB33" s="1101">
        <v>513036</v>
      </c>
      <c r="GC33" s="1101">
        <v>4289945</v>
      </c>
      <c r="GD33" s="1101">
        <v>0</v>
      </c>
      <c r="GE33" s="1101">
        <v>0</v>
      </c>
      <c r="GF33" s="1101">
        <v>0</v>
      </c>
      <c r="GG33" s="1101">
        <v>0</v>
      </c>
      <c r="GH33" s="1101">
        <v>0</v>
      </c>
      <c r="GI33" s="1101">
        <v>0</v>
      </c>
      <c r="GJ33" s="1101">
        <v>0</v>
      </c>
      <c r="GK33" s="1101">
        <v>-218143</v>
      </c>
      <c r="GL33" s="1101">
        <v>-581626</v>
      </c>
      <c r="GM33" s="1101">
        <v>0</v>
      </c>
      <c r="GN33" s="1101">
        <v>0</v>
      </c>
      <c r="GO33" s="1101">
        <v>0</v>
      </c>
      <c r="GP33" s="1101">
        <v>0</v>
      </c>
      <c r="GQ33" s="1101">
        <v>0</v>
      </c>
      <c r="GR33" s="1101">
        <v>0</v>
      </c>
      <c r="GS33" s="1101">
        <v>0</v>
      </c>
      <c r="GT33" s="1101">
        <v>0</v>
      </c>
      <c r="GU33" s="1101">
        <v>0</v>
      </c>
      <c r="GV33" s="1101">
        <v>0</v>
      </c>
      <c r="GW33" s="1101">
        <v>0</v>
      </c>
      <c r="GX33" s="1101">
        <v>0</v>
      </c>
      <c r="GY33" s="1101">
        <v>0</v>
      </c>
      <c r="GZ33" s="1101">
        <v>0</v>
      </c>
      <c r="HA33" s="1101">
        <v>0</v>
      </c>
      <c r="HB33" s="1101">
        <v>0</v>
      </c>
      <c r="HC33" s="1101">
        <v>-175110</v>
      </c>
      <c r="HD33" s="1101">
        <v>-466887</v>
      </c>
      <c r="HE33" s="1101">
        <v>0</v>
      </c>
      <c r="HF33" s="1101">
        <v>0</v>
      </c>
      <c r="HG33" s="1101">
        <v>0</v>
      </c>
      <c r="HH33" s="1101">
        <v>0</v>
      </c>
      <c r="HI33" s="1101">
        <v>0</v>
      </c>
      <c r="HJ33" s="1101">
        <v>0</v>
      </c>
      <c r="HK33" s="1101">
        <v>0</v>
      </c>
      <c r="HL33" s="1101">
        <v>0</v>
      </c>
      <c r="HM33" s="1101">
        <v>0</v>
      </c>
      <c r="HN33" s="1101">
        <v>0</v>
      </c>
      <c r="HO33" s="1101">
        <v>0</v>
      </c>
      <c r="HP33" s="1101">
        <v>0</v>
      </c>
      <c r="HQ33" s="1101">
        <v>0</v>
      </c>
      <c r="HR33" s="1101">
        <v>0</v>
      </c>
      <c r="HS33" s="1101">
        <v>0</v>
      </c>
      <c r="HT33" s="1101">
        <v>0</v>
      </c>
      <c r="HU33" s="1101">
        <v>0</v>
      </c>
      <c r="HV33" s="1101">
        <v>0</v>
      </c>
      <c r="HW33" s="1101">
        <v>0</v>
      </c>
      <c r="HX33" s="1101">
        <v>0</v>
      </c>
      <c r="HY33" s="1101">
        <v>0</v>
      </c>
      <c r="HZ33" s="1101">
        <v>0</v>
      </c>
      <c r="IA33" s="1101">
        <v>0</v>
      </c>
      <c r="IB33" s="1101">
        <v>0</v>
      </c>
      <c r="IC33" s="1101">
        <v>0</v>
      </c>
      <c r="ID33" s="1101">
        <v>0</v>
      </c>
      <c r="IE33" s="1101">
        <v>0</v>
      </c>
      <c r="IF33" s="1101">
        <v>0</v>
      </c>
      <c r="IG33" s="1101">
        <v>13524396</v>
      </c>
      <c r="IH33" s="1101">
        <v>0</v>
      </c>
      <c r="II33" s="1101">
        <v>0</v>
      </c>
      <c r="IJ33" s="1101">
        <v>0</v>
      </c>
      <c r="IK33" s="1101">
        <v>0</v>
      </c>
      <c r="IL33" s="1101">
        <v>0</v>
      </c>
      <c r="IM33" s="1101">
        <v>9269</v>
      </c>
      <c r="IN33" s="1101">
        <v>4862</v>
      </c>
      <c r="IO33" s="1101">
        <v>1169</v>
      </c>
      <c r="IP33" s="1101">
        <v>704</v>
      </c>
      <c r="IQ33" s="1101">
        <v>0</v>
      </c>
      <c r="IR33" s="1101">
        <v>2596430</v>
      </c>
      <c r="IS33" s="1101">
        <v>3765</v>
      </c>
      <c r="IT33" s="1101">
        <v>0</v>
      </c>
      <c r="IU33" s="1101">
        <v>0</v>
      </c>
      <c r="IV33" s="1101">
        <v>0</v>
      </c>
      <c r="IW33" s="1101">
        <v>0</v>
      </c>
      <c r="IX33" s="1101">
        <v>0</v>
      </c>
      <c r="IY33" s="1101">
        <v>0</v>
      </c>
      <c r="IZ33" s="1101">
        <v>0</v>
      </c>
      <c r="JA33" s="1101">
        <v>0</v>
      </c>
      <c r="JB33" s="1101">
        <v>0</v>
      </c>
      <c r="JC33" s="1101">
        <v>0</v>
      </c>
      <c r="JD33" s="1101">
        <v>0</v>
      </c>
      <c r="JE33" s="1101">
        <v>0</v>
      </c>
      <c r="JF33" s="1101">
        <v>2050</v>
      </c>
      <c r="JG33" s="1101">
        <v>0</v>
      </c>
      <c r="JH33" s="1101">
        <v>6388929</v>
      </c>
      <c r="JI33" s="1101">
        <v>0</v>
      </c>
      <c r="JJ33" s="1101">
        <v>9247</v>
      </c>
      <c r="JK33" s="1101">
        <v>574962</v>
      </c>
      <c r="JL33" s="1101">
        <v>0</v>
      </c>
      <c r="JM33" s="1101">
        <v>0</v>
      </c>
      <c r="JN33" s="1101">
        <v>0</v>
      </c>
      <c r="JO33" s="1101">
        <v>205737</v>
      </c>
      <c r="JP33" s="1101">
        <v>0</v>
      </c>
      <c r="JQ33" s="1101">
        <v>86760</v>
      </c>
      <c r="JR33" s="1101">
        <v>0</v>
      </c>
      <c r="JS33" s="1101">
        <v>18694</v>
      </c>
      <c r="JT33" s="1101">
        <v>0</v>
      </c>
      <c r="JU33" s="1101">
        <v>0</v>
      </c>
      <c r="JV33" s="1101">
        <v>0</v>
      </c>
      <c r="JW33" s="1101">
        <v>0</v>
      </c>
      <c r="JX33" s="1101">
        <v>0</v>
      </c>
      <c r="JY33" s="1101">
        <v>2457439</v>
      </c>
      <c r="JZ33" s="1101">
        <v>0</v>
      </c>
      <c r="KA33" s="1101">
        <v>0</v>
      </c>
      <c r="KB33" s="1101">
        <v>0</v>
      </c>
      <c r="KC33" s="1101">
        <v>0</v>
      </c>
      <c r="KD33" s="1101">
        <v>0</v>
      </c>
      <c r="KE33" s="1101">
        <v>0</v>
      </c>
      <c r="KF33" s="1101">
        <v>0</v>
      </c>
      <c r="KG33" s="1101">
        <v>204850</v>
      </c>
      <c r="KH33" s="1101">
        <v>0</v>
      </c>
      <c r="KI33" s="1101">
        <v>0</v>
      </c>
      <c r="KJ33" s="1101">
        <v>0</v>
      </c>
      <c r="KK33" s="1101">
        <v>0</v>
      </c>
      <c r="KL33" s="1101">
        <v>452944</v>
      </c>
      <c r="KM33" s="1101">
        <v>0</v>
      </c>
      <c r="KN33" s="1101">
        <v>0</v>
      </c>
      <c r="KO33" s="1101">
        <v>9901816</v>
      </c>
      <c r="KP33" s="1101">
        <v>1190971</v>
      </c>
      <c r="KQ33" s="1101">
        <v>0</v>
      </c>
      <c r="KR33" s="1101">
        <v>-1173229</v>
      </c>
      <c r="KS33" s="1101">
        <v>0</v>
      </c>
      <c r="KT33" s="1101">
        <v>0</v>
      </c>
      <c r="KU33" s="1101">
        <v>0</v>
      </c>
      <c r="KV33" s="1101">
        <v>0</v>
      </c>
      <c r="KW33" s="1101">
        <v>0</v>
      </c>
      <c r="KX33" s="1101">
        <v>479745</v>
      </c>
      <c r="KY33" s="1101">
        <v>47086</v>
      </c>
      <c r="KZ33" s="1101">
        <v>0</v>
      </c>
      <c r="LA33" s="1101">
        <v>1248949</v>
      </c>
      <c r="LB33" s="1101">
        <v>0</v>
      </c>
      <c r="LC33" s="1101">
        <v>0</v>
      </c>
      <c r="LD33" s="1101">
        <v>0</v>
      </c>
      <c r="LE33" s="1101">
        <v>0</v>
      </c>
      <c r="LF33" s="1101">
        <v>0</v>
      </c>
      <c r="LG33" s="1101">
        <v>483159</v>
      </c>
      <c r="LH33" s="1101">
        <v>16241</v>
      </c>
      <c r="LI33" s="1101">
        <v>11459</v>
      </c>
      <c r="LJ33" s="1101">
        <v>870856</v>
      </c>
      <c r="LK33" s="1101">
        <v>0</v>
      </c>
      <c r="LL33" s="1101">
        <v>0</v>
      </c>
      <c r="LM33" s="1101">
        <v>0</v>
      </c>
      <c r="LN33" s="1101">
        <v>0</v>
      </c>
      <c r="LO33" s="1101">
        <v>0</v>
      </c>
      <c r="LP33" s="1101">
        <v>1990827</v>
      </c>
      <c r="LQ33" s="1101">
        <v>1383764</v>
      </c>
      <c r="LR33" s="1101">
        <v>0</v>
      </c>
      <c r="LS33" s="1101">
        <v>762325</v>
      </c>
      <c r="LT33" s="1101">
        <v>0</v>
      </c>
      <c r="LU33" s="1101">
        <v>0</v>
      </c>
      <c r="LV33" s="1101">
        <v>0</v>
      </c>
      <c r="LW33" s="1101">
        <v>0</v>
      </c>
      <c r="LX33" s="1101">
        <v>0</v>
      </c>
      <c r="LY33" s="1101">
        <v>1934551</v>
      </c>
      <c r="LZ33" s="1101">
        <v>78084</v>
      </c>
      <c r="MA33" s="1101">
        <v>54116</v>
      </c>
      <c r="MB33" s="1101">
        <v>1867478</v>
      </c>
      <c r="MC33" s="1101">
        <v>0</v>
      </c>
      <c r="MD33" s="1101">
        <v>0</v>
      </c>
      <c r="ME33" s="1101">
        <v>0</v>
      </c>
      <c r="MF33" s="1101">
        <v>0</v>
      </c>
      <c r="MG33" s="1101">
        <v>0</v>
      </c>
      <c r="MH33" s="1101">
        <v>5677778</v>
      </c>
      <c r="MI33" s="1101">
        <v>7425451</v>
      </c>
      <c r="MJ33" s="1101">
        <v>51918</v>
      </c>
      <c r="MK33" s="1101">
        <v>616736</v>
      </c>
      <c r="ML33" s="1101">
        <v>0</v>
      </c>
      <c r="MM33" s="1101">
        <v>0</v>
      </c>
      <c r="MN33" s="1101">
        <v>566</v>
      </c>
      <c r="MO33" s="1101">
        <v>0</v>
      </c>
      <c r="MP33" s="1101">
        <v>0</v>
      </c>
      <c r="MQ33" s="1101">
        <v>3887695</v>
      </c>
      <c r="MR33" s="1101">
        <v>138451</v>
      </c>
      <c r="MS33" s="1101">
        <v>18</v>
      </c>
      <c r="MT33" s="1101">
        <v>31913</v>
      </c>
      <c r="MU33" s="1101">
        <v>0</v>
      </c>
      <c r="MV33" s="1101">
        <v>0</v>
      </c>
      <c r="MW33" s="1101">
        <v>1289236</v>
      </c>
      <c r="MX33" s="1101">
        <v>0</v>
      </c>
      <c r="MY33" s="1101">
        <v>0</v>
      </c>
      <c r="MZ33" s="1101">
        <v>-4591404</v>
      </c>
      <c r="NA33" s="1101">
        <v>844518</v>
      </c>
      <c r="NB33" s="1101">
        <v>0</v>
      </c>
      <c r="NC33" s="1101">
        <v>9348947</v>
      </c>
      <c r="ND33" s="1101">
        <v>0</v>
      </c>
      <c r="NE33" s="1101">
        <v>0</v>
      </c>
      <c r="NF33" s="1101">
        <v>0</v>
      </c>
      <c r="NG33" s="1101">
        <v>0</v>
      </c>
      <c r="NH33" s="1101">
        <v>0</v>
      </c>
      <c r="NI33" s="1101">
        <v>0</v>
      </c>
      <c r="NJ33" s="1101">
        <v>0</v>
      </c>
      <c r="NK33" s="1101">
        <v>4623659</v>
      </c>
      <c r="NL33" s="1101">
        <v>0</v>
      </c>
      <c r="NM33" s="1101">
        <v>0</v>
      </c>
      <c r="NN33" s="1101">
        <v>0</v>
      </c>
      <c r="NO33" s="1101">
        <v>0</v>
      </c>
      <c r="NP33" s="1101">
        <v>0</v>
      </c>
      <c r="NQ33" s="1101">
        <v>0</v>
      </c>
      <c r="NR33" s="1101">
        <v>187610</v>
      </c>
      <c r="NS33" s="1101">
        <v>216538</v>
      </c>
      <c r="NT33" s="1101">
        <v>15085</v>
      </c>
      <c r="NU33" s="1101">
        <v>52491</v>
      </c>
      <c r="NV33" s="1101">
        <v>0</v>
      </c>
      <c r="NW33" s="1101">
        <v>0</v>
      </c>
      <c r="NX33" s="1101">
        <v>0</v>
      </c>
      <c r="NY33" s="1101">
        <v>0</v>
      </c>
      <c r="NZ33" s="1101">
        <v>0</v>
      </c>
      <c r="OA33" s="1101">
        <v>0</v>
      </c>
      <c r="OB33" s="1101">
        <v>0</v>
      </c>
      <c r="OC33" s="1101">
        <v>0</v>
      </c>
      <c r="OD33" s="1101">
        <v>0</v>
      </c>
      <c r="OE33" s="1101">
        <v>0</v>
      </c>
      <c r="OF33" s="1101">
        <v>0</v>
      </c>
      <c r="OG33" s="1101">
        <v>0</v>
      </c>
      <c r="OH33" s="1101">
        <v>0</v>
      </c>
      <c r="OI33" s="1101">
        <v>0</v>
      </c>
      <c r="OJ33" s="1101">
        <v>0</v>
      </c>
      <c r="OK33" s="1101">
        <v>0</v>
      </c>
      <c r="OL33" s="1101">
        <v>0</v>
      </c>
      <c r="OM33" s="1101">
        <v>0</v>
      </c>
      <c r="ON33" s="1101">
        <v>0</v>
      </c>
      <c r="OO33" s="1101">
        <v>0</v>
      </c>
      <c r="OP33" s="1101">
        <v>-3443236</v>
      </c>
      <c r="OQ33" s="1101">
        <v>0</v>
      </c>
      <c r="OR33" s="1101">
        <v>0</v>
      </c>
      <c r="OS33" s="1101">
        <v>-2902541</v>
      </c>
      <c r="OT33" s="1101">
        <v>779693</v>
      </c>
      <c r="OU33" s="1101">
        <v>-2598748</v>
      </c>
      <c r="OV33" s="1101">
        <v>-1193478</v>
      </c>
      <c r="OW33" s="1101">
        <v>0</v>
      </c>
      <c r="OX33" s="1101">
        <v>-783406</v>
      </c>
      <c r="OY33" s="1101">
        <v>2757192</v>
      </c>
      <c r="OZ33" s="1101">
        <v>0</v>
      </c>
      <c r="PA33" s="1101">
        <v>0</v>
      </c>
      <c r="PB33" s="1101">
        <v>0</v>
      </c>
      <c r="PC33" s="1101">
        <v>0</v>
      </c>
      <c r="PD33" s="1101">
        <v>0</v>
      </c>
      <c r="PE33" s="1101">
        <v>0</v>
      </c>
      <c r="PF33" s="1101">
        <v>0</v>
      </c>
      <c r="PG33" s="1101">
        <v>0</v>
      </c>
      <c r="PH33" s="1101">
        <v>0</v>
      </c>
      <c r="PI33" s="1101">
        <v>0</v>
      </c>
      <c r="PJ33" s="1101">
        <v>0</v>
      </c>
      <c r="PK33" s="1101">
        <v>0</v>
      </c>
      <c r="PL33" s="1101">
        <v>0</v>
      </c>
      <c r="PM33" s="1101">
        <v>0</v>
      </c>
      <c r="PN33" s="1101">
        <v>0</v>
      </c>
      <c r="PO33" s="1101">
        <v>0</v>
      </c>
      <c r="PP33" s="1101">
        <v>0</v>
      </c>
      <c r="PQ33" s="1101">
        <v>0</v>
      </c>
      <c r="PR33" s="1101">
        <v>0</v>
      </c>
      <c r="PS33" s="1101">
        <v>0</v>
      </c>
      <c r="PT33" s="1101">
        <v>0</v>
      </c>
      <c r="PU33" s="1101">
        <v>0</v>
      </c>
      <c r="PV33" s="1101">
        <v>0</v>
      </c>
      <c r="PW33" s="1101">
        <v>0</v>
      </c>
      <c r="PX33" s="1101">
        <v>0</v>
      </c>
      <c r="PY33" s="1101">
        <v>2258482</v>
      </c>
      <c r="PZ33" s="1101">
        <v>0</v>
      </c>
      <c r="QA33" s="1101">
        <v>0</v>
      </c>
      <c r="QB33" s="1101">
        <v>0</v>
      </c>
      <c r="QC33" s="1101">
        <v>0</v>
      </c>
      <c r="QD33" s="1101">
        <v>0</v>
      </c>
      <c r="QE33" s="1101">
        <v>0</v>
      </c>
      <c r="QF33" s="1101">
        <v>0</v>
      </c>
      <c r="QG33" s="1101">
        <v>0</v>
      </c>
      <c r="QH33" s="1101">
        <v>196306</v>
      </c>
      <c r="QI33" s="1101">
        <v>0</v>
      </c>
      <c r="QJ33" s="1101">
        <v>0</v>
      </c>
      <c r="QK33" s="1101">
        <v>0</v>
      </c>
      <c r="QL33" s="1101">
        <v>0</v>
      </c>
      <c r="QM33" s="1101">
        <v>0</v>
      </c>
      <c r="QN33" s="1101">
        <v>0</v>
      </c>
      <c r="QO33" s="1101">
        <v>0</v>
      </c>
      <c r="QP33" s="1101">
        <v>0</v>
      </c>
      <c r="QQ33" s="1101">
        <v>0</v>
      </c>
      <c r="QR33" s="1101">
        <v>0</v>
      </c>
      <c r="QS33" s="1101">
        <v>0</v>
      </c>
      <c r="QT33" s="1101">
        <v>0</v>
      </c>
      <c r="QU33" s="1101">
        <v>0</v>
      </c>
      <c r="QV33" s="1101">
        <v>0</v>
      </c>
      <c r="QW33" s="1101">
        <v>0</v>
      </c>
      <c r="QX33" s="1101">
        <v>0</v>
      </c>
      <c r="QY33" s="1101">
        <v>0</v>
      </c>
      <c r="QZ33" s="1101">
        <v>0</v>
      </c>
      <c r="RA33" s="1101">
        <v>0</v>
      </c>
      <c r="RB33" s="1101">
        <v>0</v>
      </c>
      <c r="RC33" s="1101">
        <v>-4534260</v>
      </c>
      <c r="RD33" s="1101">
        <v>0</v>
      </c>
      <c r="RE33" s="1101">
        <v>0</v>
      </c>
      <c r="RF33" s="1101">
        <v>0</v>
      </c>
      <c r="RG33" s="1101">
        <v>0</v>
      </c>
      <c r="RH33" s="1101">
        <v>0</v>
      </c>
      <c r="RI33" s="1101">
        <v>0</v>
      </c>
      <c r="RJ33" s="1101">
        <v>0</v>
      </c>
      <c r="RK33" s="1101">
        <v>0</v>
      </c>
      <c r="RL33" s="1101">
        <v>0</v>
      </c>
      <c r="RM33" s="1101">
        <v>0</v>
      </c>
      <c r="RN33" s="1101">
        <v>0</v>
      </c>
      <c r="RO33" s="1101">
        <v>0</v>
      </c>
      <c r="RP33" s="1101">
        <v>0</v>
      </c>
      <c r="RQ33" s="1101">
        <v>0</v>
      </c>
      <c r="RR33" s="1101">
        <v>0</v>
      </c>
      <c r="RS33" s="1101">
        <v>0</v>
      </c>
      <c r="RT33" s="1101">
        <v>0</v>
      </c>
      <c r="RU33" s="1101">
        <v>0</v>
      </c>
      <c r="RV33" s="1101">
        <v>0</v>
      </c>
      <c r="RW33" s="1101">
        <v>0</v>
      </c>
      <c r="RX33" s="1101">
        <v>0</v>
      </c>
      <c r="RY33" s="1101">
        <v>0</v>
      </c>
      <c r="RZ33" s="1101">
        <v>0</v>
      </c>
      <c r="SA33" s="1101">
        <v>0</v>
      </c>
      <c r="SB33" s="1101">
        <v>0</v>
      </c>
      <c r="SC33" s="1101">
        <v>0</v>
      </c>
      <c r="SD33" s="1101">
        <v>0</v>
      </c>
      <c r="SE33" s="1101">
        <v>187610</v>
      </c>
      <c r="SF33" s="1101">
        <v>216538</v>
      </c>
      <c r="SG33" s="1101">
        <v>15085</v>
      </c>
      <c r="SH33" s="1101">
        <v>52491</v>
      </c>
      <c r="SI33" s="1101">
        <v>0</v>
      </c>
      <c r="SJ33" s="1101">
        <v>0</v>
      </c>
      <c r="SK33" s="1101">
        <v>3443236</v>
      </c>
      <c r="SL33" s="1102">
        <v>0</v>
      </c>
      <c r="SM33" s="1101">
        <v>0</v>
      </c>
      <c r="SN33" s="1101">
        <v>3392463</v>
      </c>
      <c r="SO33" s="1102"/>
      <c r="SP33" s="1103"/>
      <c r="SQ33" s="1104">
        <v>15172853</v>
      </c>
      <c r="SR33" s="1104">
        <v>-5494266</v>
      </c>
      <c r="SS33" s="1105">
        <v>0</v>
      </c>
      <c r="ST33" s="1106">
        <v>0</v>
      </c>
      <c r="SU33" s="1106">
        <v>2014</v>
      </c>
      <c r="SV33" s="1106">
        <v>126</v>
      </c>
      <c r="SW33" s="1106">
        <v>0</v>
      </c>
      <c r="SX33" s="1106">
        <v>367469</v>
      </c>
      <c r="SY33" s="1106">
        <v>87030</v>
      </c>
      <c r="SZ33" s="1106">
        <v>0</v>
      </c>
      <c r="TA33" s="1106">
        <v>15085</v>
      </c>
      <c r="TB33" s="1106">
        <v>0</v>
      </c>
      <c r="TC33" s="1105">
        <v>0</v>
      </c>
      <c r="TD33" s="1106">
        <v>0</v>
      </c>
      <c r="TE33" s="1106">
        <v>0</v>
      </c>
      <c r="TF33" s="1106">
        <v>0</v>
      </c>
      <c r="TG33" s="1106">
        <v>0</v>
      </c>
      <c r="TH33" s="1106">
        <v>0</v>
      </c>
      <c r="TI33" s="1106">
        <v>0</v>
      </c>
      <c r="TJ33" s="1106">
        <v>0</v>
      </c>
      <c r="TK33" s="1105">
        <v>0</v>
      </c>
      <c r="TL33" s="1106">
        <v>0</v>
      </c>
      <c r="TM33" s="1106">
        <v>0</v>
      </c>
      <c r="TN33" s="1106">
        <v>0</v>
      </c>
      <c r="TO33" s="1106">
        <v>0</v>
      </c>
      <c r="TP33" s="1106">
        <v>0</v>
      </c>
      <c r="TQ33" s="1106">
        <v>0</v>
      </c>
      <c r="TR33" s="1106">
        <v>0</v>
      </c>
      <c r="TS33" s="1105">
        <v>9919558</v>
      </c>
      <c r="TT33" s="1106">
        <v>1775780</v>
      </c>
      <c r="TU33" s="1106">
        <v>1381715</v>
      </c>
      <c r="TV33" s="1106">
        <v>4136916</v>
      </c>
      <c r="TW33" s="1106">
        <v>3934229</v>
      </c>
      <c r="TX33" s="1106">
        <v>13772449</v>
      </c>
      <c r="TY33" s="1106">
        <v>5347313</v>
      </c>
      <c r="TZ33" s="1107">
        <v>5602061</v>
      </c>
      <c r="UA33" s="1107">
        <v>4623659</v>
      </c>
      <c r="UB33" s="1105">
        <v>1784935</v>
      </c>
      <c r="UC33" s="1108">
        <v>2259418</v>
      </c>
      <c r="UD33" s="1108"/>
      <c r="UE33" s="1103"/>
      <c r="UF33" s="1109" t="s">
        <v>2458</v>
      </c>
      <c r="UG33" s="1110" t="s">
        <v>2459</v>
      </c>
      <c r="UH33" s="1110" t="s">
        <v>2460</v>
      </c>
    </row>
    <row r="34" spans="1:554" s="776" customFormat="1" ht="24.75" customHeight="1" thickBot="1">
      <c r="A34" s="1093">
        <v>310</v>
      </c>
      <c r="B34" s="1094" t="s">
        <v>121</v>
      </c>
      <c r="C34" s="1095" t="s">
        <v>330</v>
      </c>
      <c r="D34" s="1096" t="s">
        <v>2398</v>
      </c>
      <c r="E34" s="1097">
        <v>3644</v>
      </c>
      <c r="F34" s="1098">
        <v>3539656616</v>
      </c>
      <c r="G34" s="1096" t="s">
        <v>2399</v>
      </c>
      <c r="H34" s="1100" t="s">
        <v>121</v>
      </c>
      <c r="I34" s="1100"/>
      <c r="J34" s="1100"/>
      <c r="K34" s="1100"/>
      <c r="L34" s="1100"/>
      <c r="M34" s="1101">
        <v>194264324</v>
      </c>
      <c r="N34" s="1101">
        <v>0</v>
      </c>
      <c r="O34" s="1101">
        <v>0</v>
      </c>
      <c r="P34" s="1101">
        <v>0</v>
      </c>
      <c r="Q34" s="1101">
        <v>0</v>
      </c>
      <c r="R34" s="1101">
        <v>0</v>
      </c>
      <c r="S34" s="1101">
        <v>0</v>
      </c>
      <c r="T34" s="1101">
        <v>0</v>
      </c>
      <c r="U34" s="1101">
        <v>0</v>
      </c>
      <c r="V34" s="1101">
        <v>884474</v>
      </c>
      <c r="W34" s="1101">
        <v>4646618</v>
      </c>
      <c r="X34" s="1101">
        <v>0</v>
      </c>
      <c r="Y34" s="1101">
        <v>13952224</v>
      </c>
      <c r="Z34" s="1101">
        <v>0</v>
      </c>
      <c r="AA34" s="1101">
        <v>0</v>
      </c>
      <c r="AB34" s="1101">
        <v>0</v>
      </c>
      <c r="AC34" s="1101">
        <v>0</v>
      </c>
      <c r="AD34" s="1101">
        <v>0</v>
      </c>
      <c r="AE34" s="1101">
        <v>0</v>
      </c>
      <c r="AF34" s="1101">
        <v>0</v>
      </c>
      <c r="AG34" s="1101">
        <v>0</v>
      </c>
      <c r="AH34" s="1101">
        <v>0</v>
      </c>
      <c r="AI34" s="1101">
        <v>0</v>
      </c>
      <c r="AJ34" s="1101">
        <v>0</v>
      </c>
      <c r="AK34" s="1101">
        <v>0</v>
      </c>
      <c r="AL34" s="1101">
        <v>0</v>
      </c>
      <c r="AM34" s="1101">
        <v>0</v>
      </c>
      <c r="AN34" s="1101">
        <v>49874746</v>
      </c>
      <c r="AO34" s="1101">
        <v>0</v>
      </c>
      <c r="AP34" s="1101">
        <v>0</v>
      </c>
      <c r="AQ34" s="1101">
        <v>0</v>
      </c>
      <c r="AR34" s="1101">
        <v>0</v>
      </c>
      <c r="AS34" s="1101">
        <v>0</v>
      </c>
      <c r="AT34" s="1101">
        <v>0</v>
      </c>
      <c r="AU34" s="1101">
        <v>0</v>
      </c>
      <c r="AV34" s="1101">
        <v>0</v>
      </c>
      <c r="AW34" s="1101">
        <v>0</v>
      </c>
      <c r="AX34" s="1101">
        <v>0</v>
      </c>
      <c r="AY34" s="1101">
        <v>0</v>
      </c>
      <c r="AZ34" s="1101">
        <v>0</v>
      </c>
      <c r="BA34" s="1101">
        <v>0</v>
      </c>
      <c r="BB34" s="1101">
        <v>0</v>
      </c>
      <c r="BC34" s="1101">
        <v>0</v>
      </c>
      <c r="BD34" s="1101">
        <v>0</v>
      </c>
      <c r="BE34" s="1101">
        <v>0</v>
      </c>
      <c r="BF34" s="1101">
        <v>-39328111</v>
      </c>
      <c r="BG34" s="1101">
        <v>0</v>
      </c>
      <c r="BH34" s="1101">
        <v>0</v>
      </c>
      <c r="BI34" s="1101">
        <v>0</v>
      </c>
      <c r="BJ34" s="1101">
        <v>0</v>
      </c>
      <c r="BK34" s="1101">
        <v>0</v>
      </c>
      <c r="BL34" s="1101">
        <v>0</v>
      </c>
      <c r="BM34" s="1101">
        <v>0</v>
      </c>
      <c r="BN34" s="1101">
        <v>0</v>
      </c>
      <c r="BO34" s="1101">
        <v>0</v>
      </c>
      <c r="BP34" s="1101">
        <v>0</v>
      </c>
      <c r="BQ34" s="1101">
        <v>0</v>
      </c>
      <c r="BR34" s="1101">
        <v>0</v>
      </c>
      <c r="BS34" s="1101">
        <v>0</v>
      </c>
      <c r="BT34" s="1101">
        <v>0</v>
      </c>
      <c r="BU34" s="1101">
        <v>0</v>
      </c>
      <c r="BV34" s="1101">
        <v>0</v>
      </c>
      <c r="BW34" s="1101">
        <v>0</v>
      </c>
      <c r="BX34" s="1101">
        <v>0</v>
      </c>
      <c r="BY34" s="1101">
        <v>0</v>
      </c>
      <c r="BZ34" s="1101">
        <v>0</v>
      </c>
      <c r="CA34" s="1101">
        <v>0</v>
      </c>
      <c r="CB34" s="1101">
        <v>0</v>
      </c>
      <c r="CC34" s="1101">
        <v>0</v>
      </c>
      <c r="CD34" s="1101">
        <v>0</v>
      </c>
      <c r="CE34" s="1101">
        <v>0</v>
      </c>
      <c r="CF34" s="1101">
        <v>0</v>
      </c>
      <c r="CG34" s="1101">
        <v>0</v>
      </c>
      <c r="CH34" s="1101">
        <v>0</v>
      </c>
      <c r="CI34" s="1101">
        <v>0</v>
      </c>
      <c r="CJ34" s="1101">
        <v>0</v>
      </c>
      <c r="CK34" s="1101">
        <v>0</v>
      </c>
      <c r="CL34" s="1101">
        <v>0</v>
      </c>
      <c r="CM34" s="1101">
        <v>0</v>
      </c>
      <c r="CN34" s="1101">
        <v>0</v>
      </c>
      <c r="CO34" s="1101">
        <v>0</v>
      </c>
      <c r="CP34" s="1101">
        <v>67940407</v>
      </c>
      <c r="CQ34" s="1101">
        <v>259398922</v>
      </c>
      <c r="CR34" s="1101">
        <v>0</v>
      </c>
      <c r="CS34" s="1101">
        <v>0</v>
      </c>
      <c r="CT34" s="1101">
        <v>0</v>
      </c>
      <c r="CU34" s="1101">
        <v>0</v>
      </c>
      <c r="CV34" s="1101">
        <v>0</v>
      </c>
      <c r="CW34" s="1101">
        <v>0</v>
      </c>
      <c r="CX34" s="1101">
        <v>0</v>
      </c>
      <c r="CY34" s="1101">
        <v>0</v>
      </c>
      <c r="CZ34" s="1101">
        <v>0</v>
      </c>
      <c r="DA34" s="1101">
        <v>0</v>
      </c>
      <c r="DB34" s="1101">
        <v>0</v>
      </c>
      <c r="DC34" s="1101">
        <v>0</v>
      </c>
      <c r="DD34" s="1101">
        <v>0</v>
      </c>
      <c r="DE34" s="1101">
        <v>0</v>
      </c>
      <c r="DF34" s="1101">
        <v>0</v>
      </c>
      <c r="DG34" s="1101">
        <v>0</v>
      </c>
      <c r="DH34" s="1101">
        <v>0</v>
      </c>
      <c r="DI34" s="1101">
        <v>0</v>
      </c>
      <c r="DJ34" s="1101">
        <v>0</v>
      </c>
      <c r="DK34" s="1101">
        <v>0</v>
      </c>
      <c r="DL34" s="1101">
        <v>0</v>
      </c>
      <c r="DM34" s="1101">
        <v>0</v>
      </c>
      <c r="DN34" s="1101">
        <v>0</v>
      </c>
      <c r="DO34" s="1101">
        <v>0</v>
      </c>
      <c r="DP34" s="1101">
        <v>0</v>
      </c>
      <c r="DQ34" s="1101">
        <v>-3498747</v>
      </c>
      <c r="DR34" s="1101">
        <v>-14937102</v>
      </c>
      <c r="DS34" s="1101">
        <v>0</v>
      </c>
      <c r="DT34" s="1101">
        <v>0</v>
      </c>
      <c r="DU34" s="1101">
        <v>0</v>
      </c>
      <c r="DV34" s="1101">
        <v>0</v>
      </c>
      <c r="DW34" s="1101">
        <v>0</v>
      </c>
      <c r="DX34" s="1101">
        <v>0</v>
      </c>
      <c r="DY34" s="1101">
        <v>0</v>
      </c>
      <c r="DZ34" s="1101">
        <v>0</v>
      </c>
      <c r="EA34" s="1101">
        <v>0</v>
      </c>
      <c r="EB34" s="1101">
        <v>0</v>
      </c>
      <c r="EC34" s="1101">
        <v>0</v>
      </c>
      <c r="ED34" s="1101">
        <v>0</v>
      </c>
      <c r="EE34" s="1101">
        <v>0</v>
      </c>
      <c r="EF34" s="1101">
        <v>0</v>
      </c>
      <c r="EG34" s="1101">
        <v>0</v>
      </c>
      <c r="EH34" s="1101">
        <v>0</v>
      </c>
      <c r="EI34" s="1101">
        <v>-13351618</v>
      </c>
      <c r="EJ34" s="1101">
        <v>-50987434</v>
      </c>
      <c r="EK34" s="1101">
        <v>0</v>
      </c>
      <c r="EL34" s="1101">
        <v>0</v>
      </c>
      <c r="EM34" s="1101">
        <v>0</v>
      </c>
      <c r="EN34" s="1101">
        <v>0</v>
      </c>
      <c r="EO34" s="1101">
        <v>0</v>
      </c>
      <c r="EP34" s="1101">
        <v>0</v>
      </c>
      <c r="EQ34" s="1101">
        <v>0</v>
      </c>
      <c r="ER34" s="1101">
        <v>0</v>
      </c>
      <c r="ES34" s="1101">
        <v>0</v>
      </c>
      <c r="ET34" s="1101">
        <v>0</v>
      </c>
      <c r="EU34" s="1101">
        <v>0</v>
      </c>
      <c r="EV34" s="1101">
        <v>0</v>
      </c>
      <c r="EW34" s="1101">
        <v>0</v>
      </c>
      <c r="EX34" s="1101">
        <v>0</v>
      </c>
      <c r="EY34" s="1101">
        <v>0</v>
      </c>
      <c r="EZ34" s="1101">
        <v>0</v>
      </c>
      <c r="FA34" s="1101">
        <v>0</v>
      </c>
      <c r="FB34" s="1101">
        <v>0</v>
      </c>
      <c r="FC34" s="1101">
        <v>0</v>
      </c>
      <c r="FD34" s="1101">
        <v>0</v>
      </c>
      <c r="FE34" s="1101">
        <v>0</v>
      </c>
      <c r="FF34" s="1101">
        <v>0</v>
      </c>
      <c r="FG34" s="1101">
        <v>0</v>
      </c>
      <c r="FH34" s="1101">
        <v>0</v>
      </c>
      <c r="FI34" s="1101">
        <v>0</v>
      </c>
      <c r="FJ34" s="1101">
        <v>0</v>
      </c>
      <c r="FK34" s="1101">
        <v>0</v>
      </c>
      <c r="FL34" s="1101">
        <v>0</v>
      </c>
      <c r="FM34" s="1101">
        <v>0</v>
      </c>
      <c r="FN34" s="1101">
        <v>0</v>
      </c>
      <c r="FO34" s="1101">
        <v>0</v>
      </c>
      <c r="FP34" s="1101">
        <v>0</v>
      </c>
      <c r="FQ34" s="1101">
        <v>0</v>
      </c>
      <c r="FR34" s="1101">
        <v>0</v>
      </c>
      <c r="FS34" s="1101">
        <v>0</v>
      </c>
      <c r="FT34" s="1101">
        <v>0</v>
      </c>
      <c r="FU34" s="1101">
        <v>0</v>
      </c>
      <c r="FV34" s="1101">
        <v>0</v>
      </c>
      <c r="FW34" s="1101">
        <v>0</v>
      </c>
      <c r="FX34" s="1101">
        <v>0</v>
      </c>
      <c r="FY34" s="1101">
        <v>0</v>
      </c>
      <c r="FZ34" s="1101">
        <v>0</v>
      </c>
      <c r="GA34" s="1101">
        <v>0</v>
      </c>
      <c r="GB34" s="1101">
        <v>0</v>
      </c>
      <c r="GC34" s="1101">
        <v>145193948</v>
      </c>
      <c r="GD34" s="1101">
        <v>5817123</v>
      </c>
      <c r="GE34" s="1101">
        <v>0</v>
      </c>
      <c r="GF34" s="1101">
        <v>0</v>
      </c>
      <c r="GG34" s="1101">
        <v>0</v>
      </c>
      <c r="GH34" s="1101">
        <v>0</v>
      </c>
      <c r="GI34" s="1101">
        <v>0</v>
      </c>
      <c r="GJ34" s="1101">
        <v>0</v>
      </c>
      <c r="GK34" s="1101">
        <v>0</v>
      </c>
      <c r="GL34" s="1101">
        <v>0</v>
      </c>
      <c r="GM34" s="1101">
        <v>0</v>
      </c>
      <c r="GN34" s="1101">
        <v>0</v>
      </c>
      <c r="GO34" s="1101">
        <v>0</v>
      </c>
      <c r="GP34" s="1101">
        <v>0</v>
      </c>
      <c r="GQ34" s="1101">
        <v>0</v>
      </c>
      <c r="GR34" s="1101">
        <v>0</v>
      </c>
      <c r="GS34" s="1101">
        <v>0</v>
      </c>
      <c r="GT34" s="1101">
        <v>0</v>
      </c>
      <c r="GU34" s="1101">
        <v>0</v>
      </c>
      <c r="GV34" s="1101">
        <v>0</v>
      </c>
      <c r="GW34" s="1101">
        <v>0</v>
      </c>
      <c r="GX34" s="1101">
        <v>0</v>
      </c>
      <c r="GY34" s="1101">
        <v>0</v>
      </c>
      <c r="GZ34" s="1101">
        <v>0</v>
      </c>
      <c r="HA34" s="1101">
        <v>0</v>
      </c>
      <c r="HB34" s="1101">
        <v>0</v>
      </c>
      <c r="HC34" s="1101">
        <v>0</v>
      </c>
      <c r="HD34" s="1101">
        <v>-8360778</v>
      </c>
      <c r="HE34" s="1101">
        <v>-233459</v>
      </c>
      <c r="HF34" s="1101">
        <v>0</v>
      </c>
      <c r="HG34" s="1101">
        <v>0</v>
      </c>
      <c r="HH34" s="1101">
        <v>0</v>
      </c>
      <c r="HI34" s="1101">
        <v>0</v>
      </c>
      <c r="HJ34" s="1101">
        <v>0</v>
      </c>
      <c r="HK34" s="1101">
        <v>0</v>
      </c>
      <c r="HL34" s="1101">
        <v>0</v>
      </c>
      <c r="HM34" s="1101">
        <v>0</v>
      </c>
      <c r="HN34" s="1101">
        <v>0</v>
      </c>
      <c r="HO34" s="1101">
        <v>0</v>
      </c>
      <c r="HP34" s="1101">
        <v>0</v>
      </c>
      <c r="HQ34" s="1101">
        <v>0</v>
      </c>
      <c r="HR34" s="1101">
        <v>0</v>
      </c>
      <c r="HS34" s="1101">
        <v>0</v>
      </c>
      <c r="HT34" s="1101">
        <v>0</v>
      </c>
      <c r="HU34" s="1101">
        <v>0</v>
      </c>
      <c r="HV34" s="1101">
        <v>-28539313</v>
      </c>
      <c r="HW34" s="1101">
        <v>-1147111</v>
      </c>
      <c r="HX34" s="1101">
        <v>0</v>
      </c>
      <c r="HY34" s="1101">
        <v>0</v>
      </c>
      <c r="HZ34" s="1101">
        <v>0</v>
      </c>
      <c r="IA34" s="1101">
        <v>0</v>
      </c>
      <c r="IB34" s="1101">
        <v>0</v>
      </c>
      <c r="IC34" s="1101">
        <v>0</v>
      </c>
      <c r="ID34" s="1101">
        <v>3032192</v>
      </c>
      <c r="IE34" s="1101">
        <v>0</v>
      </c>
      <c r="IF34" s="1101">
        <v>0</v>
      </c>
      <c r="IG34" s="1101">
        <v>123815066</v>
      </c>
      <c r="IH34" s="1101">
        <v>0</v>
      </c>
      <c r="II34" s="1101">
        <v>0</v>
      </c>
      <c r="IJ34" s="1101">
        <v>0</v>
      </c>
      <c r="IK34" s="1101">
        <v>0</v>
      </c>
      <c r="IL34" s="1101">
        <v>0</v>
      </c>
      <c r="IM34" s="1101">
        <v>240980</v>
      </c>
      <c r="IN34" s="1101">
        <v>16381526</v>
      </c>
      <c r="IO34" s="1101">
        <v>2077236</v>
      </c>
      <c r="IP34" s="1101">
        <v>9505119</v>
      </c>
      <c r="IQ34" s="1101">
        <v>98971</v>
      </c>
      <c r="IR34" s="1101">
        <v>-16963083</v>
      </c>
      <c r="IS34" s="1101">
        <v>346</v>
      </c>
      <c r="IT34" s="1101">
        <v>1009429</v>
      </c>
      <c r="IU34" s="1101">
        <v>0</v>
      </c>
      <c r="IV34" s="1101">
        <v>0</v>
      </c>
      <c r="IW34" s="1101">
        <v>0</v>
      </c>
      <c r="IX34" s="1101">
        <v>0</v>
      </c>
      <c r="IY34" s="1101">
        <v>897267</v>
      </c>
      <c r="IZ34" s="1101">
        <v>0</v>
      </c>
      <c r="JA34" s="1101">
        <v>0</v>
      </c>
      <c r="JB34" s="1101">
        <v>0</v>
      </c>
      <c r="JC34" s="1101">
        <v>0</v>
      </c>
      <c r="JD34" s="1101">
        <v>0</v>
      </c>
      <c r="JE34" s="1101">
        <v>0</v>
      </c>
      <c r="JF34" s="1101">
        <v>660261</v>
      </c>
      <c r="JG34" s="1101">
        <v>1561684</v>
      </c>
      <c r="JH34" s="1101">
        <v>113067639</v>
      </c>
      <c r="JI34" s="1101">
        <v>0</v>
      </c>
      <c r="JJ34" s="1101">
        <v>2100</v>
      </c>
      <c r="JK34" s="1101">
        <v>83952</v>
      </c>
      <c r="JL34" s="1101">
        <v>0</v>
      </c>
      <c r="JM34" s="1101">
        <v>0</v>
      </c>
      <c r="JN34" s="1101">
        <v>0</v>
      </c>
      <c r="JO34" s="1101">
        <v>9996147</v>
      </c>
      <c r="JP34" s="1101">
        <v>0</v>
      </c>
      <c r="JQ34" s="1101">
        <v>5937883</v>
      </c>
      <c r="JR34" s="1101">
        <v>0</v>
      </c>
      <c r="JS34" s="1101">
        <v>0</v>
      </c>
      <c r="JT34" s="1101">
        <v>0</v>
      </c>
      <c r="JU34" s="1101">
        <v>0</v>
      </c>
      <c r="JV34" s="1101">
        <v>0</v>
      </c>
      <c r="JW34" s="1101">
        <v>0</v>
      </c>
      <c r="JX34" s="1101">
        <v>0</v>
      </c>
      <c r="JY34" s="1101">
        <v>134410311</v>
      </c>
      <c r="JZ34" s="1101">
        <v>0</v>
      </c>
      <c r="KA34" s="1101">
        <v>0</v>
      </c>
      <c r="KB34" s="1101">
        <v>0</v>
      </c>
      <c r="KC34" s="1101">
        <v>0</v>
      </c>
      <c r="KD34" s="1101">
        <v>0</v>
      </c>
      <c r="KE34" s="1101">
        <v>0</v>
      </c>
      <c r="KF34" s="1101">
        <v>41935</v>
      </c>
      <c r="KG34" s="1101">
        <v>1894161</v>
      </c>
      <c r="KH34" s="1101">
        <v>4754782</v>
      </c>
      <c r="KI34" s="1101">
        <v>539449</v>
      </c>
      <c r="KJ34" s="1101">
        <v>2221</v>
      </c>
      <c r="KK34" s="1101">
        <v>0</v>
      </c>
      <c r="KL34" s="1101">
        <v>0</v>
      </c>
      <c r="KM34" s="1101">
        <v>0</v>
      </c>
      <c r="KN34" s="1101">
        <v>1141643</v>
      </c>
      <c r="KO34" s="1101">
        <v>108044781</v>
      </c>
      <c r="KP34" s="1101">
        <v>92969423</v>
      </c>
      <c r="KQ34" s="1101">
        <v>0</v>
      </c>
      <c r="KR34" s="1101">
        <v>4730660</v>
      </c>
      <c r="KS34" s="1101">
        <v>0</v>
      </c>
      <c r="KT34" s="1101">
        <v>0</v>
      </c>
      <c r="KU34" s="1101">
        <v>0</v>
      </c>
      <c r="KV34" s="1101">
        <v>0</v>
      </c>
      <c r="KW34" s="1101">
        <v>0</v>
      </c>
      <c r="KX34" s="1101">
        <v>79893869</v>
      </c>
      <c r="KY34" s="1101">
        <v>30709971</v>
      </c>
      <c r="KZ34" s="1101">
        <v>0</v>
      </c>
      <c r="LA34" s="1101">
        <v>53646654</v>
      </c>
      <c r="LB34" s="1101">
        <v>0</v>
      </c>
      <c r="LC34" s="1101">
        <v>0</v>
      </c>
      <c r="LD34" s="1101">
        <v>0</v>
      </c>
      <c r="LE34" s="1101">
        <v>0</v>
      </c>
      <c r="LF34" s="1101">
        <v>0</v>
      </c>
      <c r="LG34" s="1101">
        <v>2202406</v>
      </c>
      <c r="LH34" s="1101">
        <v>4690792</v>
      </c>
      <c r="LI34" s="1101">
        <v>8000</v>
      </c>
      <c r="LJ34" s="1101">
        <v>9782248</v>
      </c>
      <c r="LK34" s="1101">
        <v>0</v>
      </c>
      <c r="LL34" s="1101">
        <v>0</v>
      </c>
      <c r="LM34" s="1101">
        <v>0</v>
      </c>
      <c r="LN34" s="1101">
        <v>0</v>
      </c>
      <c r="LO34" s="1101">
        <v>0</v>
      </c>
      <c r="LP34" s="1101">
        <v>24383711</v>
      </c>
      <c r="LQ34" s="1101">
        <v>55707981</v>
      </c>
      <c r="LR34" s="1101">
        <v>0</v>
      </c>
      <c r="LS34" s="1101">
        <v>6641790</v>
      </c>
      <c r="LT34" s="1101">
        <v>0</v>
      </c>
      <c r="LU34" s="1101">
        <v>0</v>
      </c>
      <c r="LV34" s="1101">
        <v>0</v>
      </c>
      <c r="LW34" s="1101">
        <v>0</v>
      </c>
      <c r="LX34" s="1101">
        <v>0</v>
      </c>
      <c r="LY34" s="1101">
        <v>5351998</v>
      </c>
      <c r="LZ34" s="1101">
        <v>40368891</v>
      </c>
      <c r="MA34" s="1101">
        <v>0</v>
      </c>
      <c r="MB34" s="1101">
        <v>4646979</v>
      </c>
      <c r="MC34" s="1101">
        <v>0</v>
      </c>
      <c r="MD34" s="1101">
        <v>0</v>
      </c>
      <c r="ME34" s="1101">
        <v>0</v>
      </c>
      <c r="MF34" s="1101">
        <v>0</v>
      </c>
      <c r="MG34" s="1101">
        <v>0</v>
      </c>
      <c r="MH34" s="1101">
        <v>15079319</v>
      </c>
      <c r="MI34" s="1101">
        <v>31578224</v>
      </c>
      <c r="MJ34" s="1101">
        <v>0</v>
      </c>
      <c r="MK34" s="1101">
        <v>1251053</v>
      </c>
      <c r="ML34" s="1101">
        <v>0</v>
      </c>
      <c r="MM34" s="1101">
        <v>0</v>
      </c>
      <c r="MN34" s="1101">
        <v>0</v>
      </c>
      <c r="MO34" s="1101">
        <v>0</v>
      </c>
      <c r="MP34" s="1101">
        <v>0</v>
      </c>
      <c r="MQ34" s="1101">
        <v>13419558</v>
      </c>
      <c r="MR34" s="1101">
        <v>33565714</v>
      </c>
      <c r="MS34" s="1101">
        <v>0</v>
      </c>
      <c r="MT34" s="1101">
        <v>490306</v>
      </c>
      <c r="MU34" s="1101">
        <v>0</v>
      </c>
      <c r="MV34" s="1101">
        <v>0</v>
      </c>
      <c r="MW34" s="1101">
        <v>5500029</v>
      </c>
      <c r="MX34" s="1101">
        <v>0</v>
      </c>
      <c r="MY34" s="1101">
        <v>0</v>
      </c>
      <c r="MZ34" s="1101">
        <v>1218294</v>
      </c>
      <c r="NA34" s="1101">
        <v>24656706</v>
      </c>
      <c r="NB34" s="1101">
        <v>529176</v>
      </c>
      <c r="NC34" s="1101">
        <v>40519288</v>
      </c>
      <c r="ND34" s="1101">
        <v>0</v>
      </c>
      <c r="NE34" s="1101">
        <v>0</v>
      </c>
      <c r="NF34" s="1101">
        <v>0</v>
      </c>
      <c r="NG34" s="1101">
        <v>0</v>
      </c>
      <c r="NH34" s="1101">
        <v>0</v>
      </c>
      <c r="NI34" s="1101">
        <v>0</v>
      </c>
      <c r="NJ34" s="1101">
        <v>0</v>
      </c>
      <c r="NK34" s="1101">
        <v>121679919</v>
      </c>
      <c r="NL34" s="1101">
        <v>2106500</v>
      </c>
      <c r="NM34" s="1101">
        <v>0</v>
      </c>
      <c r="NN34" s="1101">
        <v>0</v>
      </c>
      <c r="NO34" s="1101">
        <v>0</v>
      </c>
      <c r="NP34" s="1101">
        <v>0</v>
      </c>
      <c r="NQ34" s="1101">
        <v>0</v>
      </c>
      <c r="NR34" s="1101">
        <v>11990225</v>
      </c>
      <c r="NS34" s="1101">
        <v>8371502</v>
      </c>
      <c r="NT34" s="1101">
        <v>1334167</v>
      </c>
      <c r="NU34" s="1101">
        <v>4618711</v>
      </c>
      <c r="NV34" s="1101">
        <v>0</v>
      </c>
      <c r="NW34" s="1101">
        <v>0</v>
      </c>
      <c r="NX34" s="1101">
        <v>0</v>
      </c>
      <c r="NY34" s="1101">
        <v>0</v>
      </c>
      <c r="NZ34" s="1101">
        <v>0</v>
      </c>
      <c r="OA34" s="1101">
        <v>0</v>
      </c>
      <c r="OB34" s="1101">
        <v>0</v>
      </c>
      <c r="OC34" s="1101">
        <v>5406</v>
      </c>
      <c r="OD34" s="1101">
        <v>0</v>
      </c>
      <c r="OE34" s="1101">
        <v>0</v>
      </c>
      <c r="OF34" s="1101">
        <v>0</v>
      </c>
      <c r="OG34" s="1101">
        <v>0</v>
      </c>
      <c r="OH34" s="1101">
        <v>0</v>
      </c>
      <c r="OI34" s="1101">
        <v>592374</v>
      </c>
      <c r="OJ34" s="1101">
        <v>0</v>
      </c>
      <c r="OK34" s="1101">
        <v>0</v>
      </c>
      <c r="OL34" s="1101">
        <v>0</v>
      </c>
      <c r="OM34" s="1101">
        <v>0</v>
      </c>
      <c r="ON34" s="1101">
        <v>0</v>
      </c>
      <c r="OO34" s="1101">
        <v>0</v>
      </c>
      <c r="OP34" s="1101">
        <v>-108431164</v>
      </c>
      <c r="OQ34" s="1101">
        <v>0</v>
      </c>
      <c r="OR34" s="1101">
        <v>0</v>
      </c>
      <c r="OS34" s="1101">
        <v>-26847326</v>
      </c>
      <c r="OT34" s="1101">
        <v>19940290</v>
      </c>
      <c r="OU34" s="1101">
        <v>1872191</v>
      </c>
      <c r="OV34" s="1101">
        <v>-94560633</v>
      </c>
      <c r="OW34" s="1101">
        <v>-151189</v>
      </c>
      <c r="OX34" s="1101">
        <v>6638997</v>
      </c>
      <c r="OY34" s="1101">
        <v>42826902</v>
      </c>
      <c r="OZ34" s="1101">
        <v>-1000000</v>
      </c>
      <c r="PA34" s="1101">
        <v>0</v>
      </c>
      <c r="PB34" s="1101">
        <v>0</v>
      </c>
      <c r="PC34" s="1101">
        <v>0</v>
      </c>
      <c r="PD34" s="1101">
        <v>0</v>
      </c>
      <c r="PE34" s="1101">
        <v>0</v>
      </c>
      <c r="PF34" s="1101">
        <v>0</v>
      </c>
      <c r="PG34" s="1101">
        <v>0</v>
      </c>
      <c r="PH34" s="1101">
        <v>89031003</v>
      </c>
      <c r="PI34" s="1101">
        <v>0</v>
      </c>
      <c r="PJ34" s="1101">
        <v>0</v>
      </c>
      <c r="PK34" s="1101">
        <v>-20649535</v>
      </c>
      <c r="PL34" s="1101">
        <v>-10654967</v>
      </c>
      <c r="PM34" s="1101">
        <v>-11597188</v>
      </c>
      <c r="PN34" s="1101">
        <v>0</v>
      </c>
      <c r="PO34" s="1101">
        <v>0</v>
      </c>
      <c r="PP34" s="1101">
        <v>0</v>
      </c>
      <c r="PQ34" s="1101">
        <v>0</v>
      </c>
      <c r="PR34" s="1101">
        <v>-9445924</v>
      </c>
      <c r="PS34" s="1101">
        <v>0</v>
      </c>
      <c r="PT34" s="1101">
        <v>0</v>
      </c>
      <c r="PU34" s="1101">
        <v>40452108</v>
      </c>
      <c r="PV34" s="1101">
        <v>8454897</v>
      </c>
      <c r="PW34" s="1101">
        <v>6928610</v>
      </c>
      <c r="PX34" s="1101">
        <v>306694</v>
      </c>
      <c r="PY34" s="1101">
        <v>69182308</v>
      </c>
      <c r="PZ34" s="1101">
        <v>1298081</v>
      </c>
      <c r="QA34" s="1101">
        <v>3199871</v>
      </c>
      <c r="QB34" s="1101">
        <v>0</v>
      </c>
      <c r="QC34" s="1101">
        <v>0</v>
      </c>
      <c r="QD34" s="1101">
        <v>0</v>
      </c>
      <c r="QE34" s="1101">
        <v>0</v>
      </c>
      <c r="QF34" s="1101">
        <v>0</v>
      </c>
      <c r="QG34" s="1101">
        <v>0</v>
      </c>
      <c r="QH34" s="1101">
        <v>540520</v>
      </c>
      <c r="QI34" s="1101">
        <v>0</v>
      </c>
      <c r="QJ34" s="1101">
        <v>0</v>
      </c>
      <c r="QK34" s="1101">
        <v>0</v>
      </c>
      <c r="QL34" s="1101">
        <v>0</v>
      </c>
      <c r="QM34" s="1101">
        <v>0</v>
      </c>
      <c r="QN34" s="1101">
        <v>0</v>
      </c>
      <c r="QO34" s="1101">
        <v>0</v>
      </c>
      <c r="QP34" s="1101">
        <v>0</v>
      </c>
      <c r="QQ34" s="1101">
        <v>0</v>
      </c>
      <c r="QR34" s="1101">
        <v>0</v>
      </c>
      <c r="QS34" s="1101">
        <v>0</v>
      </c>
      <c r="QT34" s="1101">
        <v>0</v>
      </c>
      <c r="QU34" s="1101">
        <v>0</v>
      </c>
      <c r="QV34" s="1101">
        <v>0</v>
      </c>
      <c r="QW34" s="1101">
        <v>0</v>
      </c>
      <c r="QX34" s="1101">
        <v>0</v>
      </c>
      <c r="QY34" s="1101">
        <v>0</v>
      </c>
      <c r="QZ34" s="1101">
        <v>0</v>
      </c>
      <c r="RA34" s="1101">
        <v>0</v>
      </c>
      <c r="RB34" s="1101">
        <v>0</v>
      </c>
      <c r="RC34" s="1101">
        <v>-92951310</v>
      </c>
      <c r="RD34" s="1101">
        <v>0</v>
      </c>
      <c r="RE34" s="1101">
        <v>0</v>
      </c>
      <c r="RF34" s="1101">
        <v>0</v>
      </c>
      <c r="RG34" s="1101">
        <v>0</v>
      </c>
      <c r="RH34" s="1101">
        <v>0</v>
      </c>
      <c r="RI34" s="1101">
        <v>0</v>
      </c>
      <c r="RJ34" s="1101">
        <v>0</v>
      </c>
      <c r="RK34" s="1101">
        <v>0</v>
      </c>
      <c r="RL34" s="1101">
        <v>-38779</v>
      </c>
      <c r="RM34" s="1101">
        <v>0</v>
      </c>
      <c r="RN34" s="1101">
        <v>0</v>
      </c>
      <c r="RO34" s="1101">
        <v>0</v>
      </c>
      <c r="RP34" s="1101">
        <v>0</v>
      </c>
      <c r="RQ34" s="1101">
        <v>0</v>
      </c>
      <c r="RR34" s="1101">
        <v>0</v>
      </c>
      <c r="RS34" s="1101">
        <v>0</v>
      </c>
      <c r="RT34" s="1101">
        <v>0</v>
      </c>
      <c r="RU34" s="1101">
        <v>0</v>
      </c>
      <c r="RV34" s="1101">
        <v>0</v>
      </c>
      <c r="RW34" s="1101">
        <v>0</v>
      </c>
      <c r="RX34" s="1101">
        <v>0</v>
      </c>
      <c r="RY34" s="1101">
        <v>0</v>
      </c>
      <c r="RZ34" s="1101">
        <v>0</v>
      </c>
      <c r="SA34" s="1101">
        <v>0</v>
      </c>
      <c r="SB34" s="1101">
        <v>0</v>
      </c>
      <c r="SC34" s="1101">
        <v>0</v>
      </c>
      <c r="SD34" s="1101">
        <v>5640709</v>
      </c>
      <c r="SE34" s="1101">
        <v>11990225</v>
      </c>
      <c r="SF34" s="1101">
        <v>8371502</v>
      </c>
      <c r="SG34" s="1101">
        <v>1334167</v>
      </c>
      <c r="SH34" s="1101">
        <v>4618711</v>
      </c>
      <c r="SI34" s="1101">
        <v>0</v>
      </c>
      <c r="SJ34" s="1101">
        <v>0</v>
      </c>
      <c r="SK34" s="1101">
        <v>108431164</v>
      </c>
      <c r="SL34" s="1102">
        <v>0</v>
      </c>
      <c r="SM34" s="1101">
        <v>0</v>
      </c>
      <c r="SN34" s="1101">
        <v>247550751</v>
      </c>
      <c r="SO34" s="1102"/>
      <c r="SP34" s="1103"/>
      <c r="SQ34" s="1104">
        <v>478350400</v>
      </c>
      <c r="SR34" s="1104">
        <v>-121055562</v>
      </c>
      <c r="SS34" s="1105">
        <v>2252669</v>
      </c>
      <c r="ST34" s="1106">
        <v>17512321</v>
      </c>
      <c r="SU34" s="1106">
        <v>594563</v>
      </c>
      <c r="SV34" s="1106">
        <v>2590992</v>
      </c>
      <c r="SW34" s="1106">
        <v>473288</v>
      </c>
      <c r="SX34" s="1106">
        <v>814312</v>
      </c>
      <c r="SY34" s="1106">
        <v>742293</v>
      </c>
      <c r="SZ34" s="1106">
        <v>0</v>
      </c>
      <c r="TA34" s="1106">
        <v>1334167</v>
      </c>
      <c r="TB34" s="1106">
        <v>0</v>
      </c>
      <c r="TC34" s="1105">
        <v>91814</v>
      </c>
      <c r="TD34" s="1106">
        <v>103812</v>
      </c>
      <c r="TE34" s="1106">
        <v>489176</v>
      </c>
      <c r="TF34" s="1106">
        <v>0</v>
      </c>
      <c r="TG34" s="1106">
        <v>0</v>
      </c>
      <c r="TH34" s="1106">
        <v>0</v>
      </c>
      <c r="TI34" s="1106">
        <v>0</v>
      </c>
      <c r="TJ34" s="1106">
        <v>0</v>
      </c>
      <c r="TK34" s="1105">
        <v>0</v>
      </c>
      <c r="TL34" s="1106">
        <v>24004</v>
      </c>
      <c r="TM34" s="1106">
        <v>0</v>
      </c>
      <c r="TN34" s="1106">
        <v>0</v>
      </c>
      <c r="TO34" s="1106">
        <v>0</v>
      </c>
      <c r="TP34" s="1106">
        <v>0</v>
      </c>
      <c r="TQ34" s="1106">
        <v>0</v>
      </c>
      <c r="TR34" s="1106">
        <v>0</v>
      </c>
      <c r="TS34" s="1105">
        <v>205744864</v>
      </c>
      <c r="TT34" s="1106">
        <v>164250494</v>
      </c>
      <c r="TU34" s="1106">
        <v>16683446</v>
      </c>
      <c r="TV34" s="1106">
        <v>86733482</v>
      </c>
      <c r="TW34" s="1106">
        <v>50367868</v>
      </c>
      <c r="TX34" s="1106">
        <v>47908596</v>
      </c>
      <c r="TY34" s="1106">
        <v>52975607</v>
      </c>
      <c r="TZ34" s="1107">
        <v>66923464</v>
      </c>
      <c r="UA34" s="1107">
        <v>123786419</v>
      </c>
      <c r="UB34" s="1105">
        <v>68010026</v>
      </c>
      <c r="UC34" s="1108">
        <v>131603816</v>
      </c>
      <c r="UD34" s="1108"/>
      <c r="UE34" s="1103"/>
      <c r="UF34" s="1109" t="s">
        <v>2464</v>
      </c>
      <c r="UG34" s="1110" t="s">
        <v>2465</v>
      </c>
      <c r="UH34" s="1110" t="s">
        <v>2466</v>
      </c>
    </row>
    <row r="35" spans="1:554" s="776" customFormat="1" ht="28.5" customHeight="1" thickBot="1">
      <c r="A35" s="1093">
        <v>320</v>
      </c>
      <c r="B35" s="1094" t="s">
        <v>122</v>
      </c>
      <c r="C35" s="1095" t="s">
        <v>331</v>
      </c>
      <c r="D35" s="1096" t="s">
        <v>2398</v>
      </c>
      <c r="E35" s="1097">
        <v>3541</v>
      </c>
      <c r="F35" s="1098">
        <v>484374517</v>
      </c>
      <c r="G35" s="1096" t="s">
        <v>2399</v>
      </c>
      <c r="H35" s="1100" t="s">
        <v>122</v>
      </c>
      <c r="I35" s="1100"/>
      <c r="J35" s="1100"/>
      <c r="K35" s="1100"/>
      <c r="L35" s="1100"/>
      <c r="M35" s="1101">
        <v>35544538</v>
      </c>
      <c r="N35" s="1101">
        <v>0</v>
      </c>
      <c r="O35" s="1101">
        <v>0</v>
      </c>
      <c r="P35" s="1101">
        <v>0</v>
      </c>
      <c r="Q35" s="1101">
        <v>0</v>
      </c>
      <c r="R35" s="1101">
        <v>0</v>
      </c>
      <c r="S35" s="1101">
        <v>0</v>
      </c>
      <c r="T35" s="1101">
        <v>0</v>
      </c>
      <c r="U35" s="1101">
        <v>0</v>
      </c>
      <c r="V35" s="1101">
        <v>6964718</v>
      </c>
      <c r="W35" s="1101">
        <v>0</v>
      </c>
      <c r="X35" s="1101">
        <v>0</v>
      </c>
      <c r="Y35" s="1101">
        <v>12071</v>
      </c>
      <c r="Z35" s="1101">
        <v>0</v>
      </c>
      <c r="AA35" s="1101">
        <v>0</v>
      </c>
      <c r="AB35" s="1101">
        <v>0</v>
      </c>
      <c r="AC35" s="1101">
        <v>0</v>
      </c>
      <c r="AD35" s="1101">
        <v>0</v>
      </c>
      <c r="AE35" s="1101">
        <v>0</v>
      </c>
      <c r="AF35" s="1101">
        <v>0</v>
      </c>
      <c r="AG35" s="1101">
        <v>0</v>
      </c>
      <c r="AH35" s="1101">
        <v>0</v>
      </c>
      <c r="AI35" s="1101">
        <v>0</v>
      </c>
      <c r="AJ35" s="1101">
        <v>0</v>
      </c>
      <c r="AK35" s="1101">
        <v>0</v>
      </c>
      <c r="AL35" s="1101">
        <v>0</v>
      </c>
      <c r="AM35" s="1101">
        <v>0</v>
      </c>
      <c r="AN35" s="1101">
        <v>6792999</v>
      </c>
      <c r="AO35" s="1101">
        <v>0</v>
      </c>
      <c r="AP35" s="1101">
        <v>0</v>
      </c>
      <c r="AQ35" s="1101">
        <v>0</v>
      </c>
      <c r="AR35" s="1101">
        <v>0</v>
      </c>
      <c r="AS35" s="1101">
        <v>0</v>
      </c>
      <c r="AT35" s="1101">
        <v>0</v>
      </c>
      <c r="AU35" s="1101">
        <v>0</v>
      </c>
      <c r="AV35" s="1101">
        <v>0</v>
      </c>
      <c r="AW35" s="1101">
        <v>0</v>
      </c>
      <c r="AX35" s="1101">
        <v>0</v>
      </c>
      <c r="AY35" s="1101">
        <v>0</v>
      </c>
      <c r="AZ35" s="1101">
        <v>0</v>
      </c>
      <c r="BA35" s="1101">
        <v>0</v>
      </c>
      <c r="BB35" s="1101">
        <v>0</v>
      </c>
      <c r="BC35" s="1101">
        <v>0</v>
      </c>
      <c r="BD35" s="1101">
        <v>0</v>
      </c>
      <c r="BE35" s="1101">
        <v>0</v>
      </c>
      <c r="BF35" s="1101">
        <v>-3874804</v>
      </c>
      <c r="BG35" s="1101">
        <v>0</v>
      </c>
      <c r="BH35" s="1101">
        <v>0</v>
      </c>
      <c r="BI35" s="1101">
        <v>0</v>
      </c>
      <c r="BJ35" s="1101">
        <v>0</v>
      </c>
      <c r="BK35" s="1101">
        <v>0</v>
      </c>
      <c r="BL35" s="1101">
        <v>0</v>
      </c>
      <c r="BM35" s="1101">
        <v>0</v>
      </c>
      <c r="BN35" s="1101">
        <v>0</v>
      </c>
      <c r="BO35" s="1101">
        <v>-1522154</v>
      </c>
      <c r="BP35" s="1101">
        <v>0</v>
      </c>
      <c r="BQ35" s="1101">
        <v>0</v>
      </c>
      <c r="BR35" s="1101">
        <v>0</v>
      </c>
      <c r="BS35" s="1101">
        <v>0</v>
      </c>
      <c r="BT35" s="1101">
        <v>0</v>
      </c>
      <c r="BU35" s="1101">
        <v>0</v>
      </c>
      <c r="BV35" s="1101">
        <v>0</v>
      </c>
      <c r="BW35" s="1101">
        <v>0</v>
      </c>
      <c r="BX35" s="1101">
        <v>0</v>
      </c>
      <c r="BY35" s="1101">
        <v>0</v>
      </c>
      <c r="BZ35" s="1101">
        <v>0</v>
      </c>
      <c r="CA35" s="1101">
        <v>0</v>
      </c>
      <c r="CB35" s="1101">
        <v>0</v>
      </c>
      <c r="CC35" s="1101">
        <v>0</v>
      </c>
      <c r="CD35" s="1101">
        <v>0</v>
      </c>
      <c r="CE35" s="1101">
        <v>0</v>
      </c>
      <c r="CF35" s="1101">
        <v>0</v>
      </c>
      <c r="CG35" s="1101">
        <v>0</v>
      </c>
      <c r="CH35" s="1101">
        <v>0</v>
      </c>
      <c r="CI35" s="1101">
        <v>0</v>
      </c>
      <c r="CJ35" s="1101">
        <v>0</v>
      </c>
      <c r="CK35" s="1101">
        <v>0</v>
      </c>
      <c r="CL35" s="1101">
        <v>0</v>
      </c>
      <c r="CM35" s="1101">
        <v>0</v>
      </c>
      <c r="CN35" s="1101">
        <v>0</v>
      </c>
      <c r="CO35" s="1101">
        <v>0</v>
      </c>
      <c r="CP35" s="1101">
        <v>13821790</v>
      </c>
      <c r="CQ35" s="1101">
        <v>26883268</v>
      </c>
      <c r="CR35" s="1101">
        <v>0</v>
      </c>
      <c r="CS35" s="1101">
        <v>0</v>
      </c>
      <c r="CT35" s="1101">
        <v>0</v>
      </c>
      <c r="CU35" s="1101">
        <v>0</v>
      </c>
      <c r="CV35" s="1101">
        <v>0</v>
      </c>
      <c r="CW35" s="1101">
        <v>0</v>
      </c>
      <c r="CX35" s="1101">
        <v>0</v>
      </c>
      <c r="CY35" s="1101">
        <v>0</v>
      </c>
      <c r="CZ35" s="1101">
        <v>0</v>
      </c>
      <c r="DA35" s="1101">
        <v>0</v>
      </c>
      <c r="DB35" s="1101">
        <v>0</v>
      </c>
      <c r="DC35" s="1101">
        <v>0</v>
      </c>
      <c r="DD35" s="1101">
        <v>0</v>
      </c>
      <c r="DE35" s="1101">
        <v>0</v>
      </c>
      <c r="DF35" s="1101">
        <v>0</v>
      </c>
      <c r="DG35" s="1101">
        <v>0</v>
      </c>
      <c r="DH35" s="1101">
        <v>0</v>
      </c>
      <c r="DI35" s="1101">
        <v>0</v>
      </c>
      <c r="DJ35" s="1101">
        <v>0</v>
      </c>
      <c r="DK35" s="1101">
        <v>0</v>
      </c>
      <c r="DL35" s="1101">
        <v>0</v>
      </c>
      <c r="DM35" s="1101">
        <v>0</v>
      </c>
      <c r="DN35" s="1101">
        <v>0</v>
      </c>
      <c r="DO35" s="1101">
        <v>0</v>
      </c>
      <c r="DP35" s="1101">
        <v>0</v>
      </c>
      <c r="DQ35" s="1101">
        <v>-905678</v>
      </c>
      <c r="DR35" s="1101">
        <v>-1903913</v>
      </c>
      <c r="DS35" s="1101">
        <v>0</v>
      </c>
      <c r="DT35" s="1101">
        <v>0</v>
      </c>
      <c r="DU35" s="1101">
        <v>0</v>
      </c>
      <c r="DV35" s="1101">
        <v>0</v>
      </c>
      <c r="DW35" s="1101">
        <v>0</v>
      </c>
      <c r="DX35" s="1101">
        <v>0</v>
      </c>
      <c r="DY35" s="1101">
        <v>0</v>
      </c>
      <c r="DZ35" s="1101">
        <v>-41769</v>
      </c>
      <c r="EA35" s="1101">
        <v>-12180</v>
      </c>
      <c r="EB35" s="1101">
        <v>0</v>
      </c>
      <c r="EC35" s="1101">
        <v>0</v>
      </c>
      <c r="ED35" s="1101">
        <v>0</v>
      </c>
      <c r="EE35" s="1101">
        <v>0</v>
      </c>
      <c r="EF35" s="1101">
        <v>0</v>
      </c>
      <c r="EG35" s="1101">
        <v>0</v>
      </c>
      <c r="EH35" s="1101">
        <v>0</v>
      </c>
      <c r="EI35" s="1101">
        <v>-3907335</v>
      </c>
      <c r="EJ35" s="1101">
        <v>-7577482</v>
      </c>
      <c r="EK35" s="1101">
        <v>0</v>
      </c>
      <c r="EL35" s="1101">
        <v>0</v>
      </c>
      <c r="EM35" s="1101">
        <v>0</v>
      </c>
      <c r="EN35" s="1101">
        <v>0</v>
      </c>
      <c r="EO35" s="1101">
        <v>0</v>
      </c>
      <c r="EP35" s="1101">
        <v>0</v>
      </c>
      <c r="EQ35" s="1101">
        <v>0</v>
      </c>
      <c r="ER35" s="1101">
        <v>0</v>
      </c>
      <c r="ES35" s="1101">
        <v>0</v>
      </c>
      <c r="ET35" s="1101">
        <v>0</v>
      </c>
      <c r="EU35" s="1101">
        <v>0</v>
      </c>
      <c r="EV35" s="1101">
        <v>0</v>
      </c>
      <c r="EW35" s="1101">
        <v>0</v>
      </c>
      <c r="EX35" s="1101">
        <v>0</v>
      </c>
      <c r="EY35" s="1101">
        <v>0</v>
      </c>
      <c r="EZ35" s="1101">
        <v>0</v>
      </c>
      <c r="FA35" s="1101">
        <v>0</v>
      </c>
      <c r="FB35" s="1101">
        <v>0</v>
      </c>
      <c r="FC35" s="1101">
        <v>0</v>
      </c>
      <c r="FD35" s="1101">
        <v>0</v>
      </c>
      <c r="FE35" s="1101">
        <v>0</v>
      </c>
      <c r="FF35" s="1101">
        <v>0</v>
      </c>
      <c r="FG35" s="1101">
        <v>0</v>
      </c>
      <c r="FH35" s="1101">
        <v>0</v>
      </c>
      <c r="FI35" s="1101">
        <v>0</v>
      </c>
      <c r="FJ35" s="1101">
        <v>0</v>
      </c>
      <c r="FK35" s="1101">
        <v>0</v>
      </c>
      <c r="FL35" s="1101">
        <v>0</v>
      </c>
      <c r="FM35" s="1101">
        <v>0</v>
      </c>
      <c r="FN35" s="1101">
        <v>0</v>
      </c>
      <c r="FO35" s="1101">
        <v>0</v>
      </c>
      <c r="FP35" s="1101">
        <v>0</v>
      </c>
      <c r="FQ35" s="1101">
        <v>0</v>
      </c>
      <c r="FR35" s="1101">
        <v>0</v>
      </c>
      <c r="FS35" s="1101">
        <v>0</v>
      </c>
      <c r="FT35" s="1101">
        <v>0</v>
      </c>
      <c r="FU35" s="1101">
        <v>0</v>
      </c>
      <c r="FV35" s="1101">
        <v>0</v>
      </c>
      <c r="FW35" s="1101">
        <v>0</v>
      </c>
      <c r="FX35" s="1101">
        <v>0</v>
      </c>
      <c r="FY35" s="1101">
        <v>0</v>
      </c>
      <c r="FZ35" s="1101">
        <v>0</v>
      </c>
      <c r="GA35" s="1101">
        <v>0</v>
      </c>
      <c r="GB35" s="1101">
        <v>0</v>
      </c>
      <c r="GC35" s="1101">
        <v>17973884</v>
      </c>
      <c r="GD35" s="1101">
        <v>10001469</v>
      </c>
      <c r="GE35" s="1101">
        <v>0</v>
      </c>
      <c r="GF35" s="1101">
        <v>0</v>
      </c>
      <c r="GG35" s="1101">
        <v>0</v>
      </c>
      <c r="GH35" s="1101">
        <v>0</v>
      </c>
      <c r="GI35" s="1101">
        <v>0</v>
      </c>
      <c r="GJ35" s="1101">
        <v>0</v>
      </c>
      <c r="GK35" s="1101">
        <v>0</v>
      </c>
      <c r="GL35" s="1101">
        <v>0</v>
      </c>
      <c r="GM35" s="1101">
        <v>0</v>
      </c>
      <c r="GN35" s="1101">
        <v>0</v>
      </c>
      <c r="GO35" s="1101">
        <v>0</v>
      </c>
      <c r="GP35" s="1101">
        <v>0</v>
      </c>
      <c r="GQ35" s="1101">
        <v>0</v>
      </c>
      <c r="GR35" s="1101">
        <v>0</v>
      </c>
      <c r="GS35" s="1101">
        <v>0</v>
      </c>
      <c r="GT35" s="1101">
        <v>0</v>
      </c>
      <c r="GU35" s="1101">
        <v>0</v>
      </c>
      <c r="GV35" s="1101">
        <v>0</v>
      </c>
      <c r="GW35" s="1101">
        <v>0</v>
      </c>
      <c r="GX35" s="1101">
        <v>0</v>
      </c>
      <c r="GY35" s="1101">
        <v>0</v>
      </c>
      <c r="GZ35" s="1101">
        <v>0</v>
      </c>
      <c r="HA35" s="1101">
        <v>0</v>
      </c>
      <c r="HB35" s="1101">
        <v>0</v>
      </c>
      <c r="HC35" s="1101">
        <v>0</v>
      </c>
      <c r="HD35" s="1101">
        <v>-1117190</v>
      </c>
      <c r="HE35" s="1101">
        <v>-445462</v>
      </c>
      <c r="HF35" s="1101">
        <v>0</v>
      </c>
      <c r="HG35" s="1101">
        <v>0</v>
      </c>
      <c r="HH35" s="1101">
        <v>0</v>
      </c>
      <c r="HI35" s="1101">
        <v>0</v>
      </c>
      <c r="HJ35" s="1101">
        <v>0</v>
      </c>
      <c r="HK35" s="1101">
        <v>0</v>
      </c>
      <c r="HL35" s="1101">
        <v>0</v>
      </c>
      <c r="HM35" s="1101">
        <v>-7818</v>
      </c>
      <c r="HN35" s="1101">
        <v>-6116</v>
      </c>
      <c r="HO35" s="1101">
        <v>0</v>
      </c>
      <c r="HP35" s="1101">
        <v>0</v>
      </c>
      <c r="HQ35" s="1101">
        <v>0</v>
      </c>
      <c r="HR35" s="1101">
        <v>0</v>
      </c>
      <c r="HS35" s="1101">
        <v>0</v>
      </c>
      <c r="HT35" s="1101">
        <v>0</v>
      </c>
      <c r="HU35" s="1101">
        <v>0</v>
      </c>
      <c r="HV35" s="1101">
        <v>-5113597</v>
      </c>
      <c r="HW35" s="1101">
        <v>-2898371</v>
      </c>
      <c r="HX35" s="1101">
        <v>0</v>
      </c>
      <c r="HY35" s="1101">
        <v>0</v>
      </c>
      <c r="HZ35" s="1101">
        <v>0</v>
      </c>
      <c r="IA35" s="1101">
        <v>0</v>
      </c>
      <c r="IB35" s="1101">
        <v>0</v>
      </c>
      <c r="IC35" s="1101">
        <v>0</v>
      </c>
      <c r="ID35" s="1101">
        <v>0</v>
      </c>
      <c r="IE35" s="1101">
        <v>0</v>
      </c>
      <c r="IF35" s="1101">
        <v>0</v>
      </c>
      <c r="IG35" s="1101">
        <v>32115992</v>
      </c>
      <c r="IH35" s="1101">
        <v>0</v>
      </c>
      <c r="II35" s="1101">
        <v>0</v>
      </c>
      <c r="IJ35" s="1101">
        <v>0</v>
      </c>
      <c r="IK35" s="1101">
        <v>0</v>
      </c>
      <c r="IL35" s="1101">
        <v>0</v>
      </c>
      <c r="IM35" s="1101">
        <v>28296</v>
      </c>
      <c r="IN35" s="1101">
        <v>724236</v>
      </c>
      <c r="IO35" s="1101">
        <v>0</v>
      </c>
      <c r="IP35" s="1101">
        <v>10921136</v>
      </c>
      <c r="IQ35" s="1101">
        <v>12121</v>
      </c>
      <c r="IR35" s="1101">
        <v>16494</v>
      </c>
      <c r="IS35" s="1101">
        <v>0</v>
      </c>
      <c r="IT35" s="1101">
        <v>0</v>
      </c>
      <c r="IU35" s="1101">
        <v>0</v>
      </c>
      <c r="IV35" s="1101">
        <v>0</v>
      </c>
      <c r="IW35" s="1101">
        <v>0</v>
      </c>
      <c r="IX35" s="1101">
        <v>0</v>
      </c>
      <c r="IY35" s="1101">
        <v>0</v>
      </c>
      <c r="IZ35" s="1101">
        <v>0</v>
      </c>
      <c r="JA35" s="1101">
        <v>0</v>
      </c>
      <c r="JB35" s="1101">
        <v>0</v>
      </c>
      <c r="JC35" s="1101">
        <v>0</v>
      </c>
      <c r="JD35" s="1101">
        <v>0</v>
      </c>
      <c r="JE35" s="1101">
        <v>0</v>
      </c>
      <c r="JF35" s="1101">
        <v>21564.999999999996</v>
      </c>
      <c r="JG35" s="1101">
        <v>0</v>
      </c>
      <c r="JH35" s="1101">
        <v>5033965</v>
      </c>
      <c r="JI35" s="1101">
        <v>0</v>
      </c>
      <c r="JJ35" s="1101">
        <v>7156702</v>
      </c>
      <c r="JK35" s="1101">
        <v>0</v>
      </c>
      <c r="JL35" s="1101">
        <v>0</v>
      </c>
      <c r="JM35" s="1101">
        <v>0</v>
      </c>
      <c r="JN35" s="1101">
        <v>170681</v>
      </c>
      <c r="JO35" s="1101">
        <v>711472</v>
      </c>
      <c r="JP35" s="1101">
        <v>0</v>
      </c>
      <c r="JQ35" s="1101">
        <v>0</v>
      </c>
      <c r="JR35" s="1101">
        <v>0</v>
      </c>
      <c r="JS35" s="1101">
        <v>0</v>
      </c>
      <c r="JT35" s="1101">
        <v>0</v>
      </c>
      <c r="JU35" s="1101">
        <v>0</v>
      </c>
      <c r="JV35" s="1101">
        <v>0</v>
      </c>
      <c r="JW35" s="1101">
        <v>0</v>
      </c>
      <c r="JX35" s="1101">
        <v>0</v>
      </c>
      <c r="JY35" s="1101">
        <v>10470932</v>
      </c>
      <c r="JZ35" s="1101">
        <v>0</v>
      </c>
      <c r="KA35" s="1101">
        <v>0</v>
      </c>
      <c r="KB35" s="1101">
        <v>0</v>
      </c>
      <c r="KC35" s="1101">
        <v>0</v>
      </c>
      <c r="KD35" s="1101">
        <v>0</v>
      </c>
      <c r="KE35" s="1101">
        <v>0</v>
      </c>
      <c r="KF35" s="1101">
        <v>39005</v>
      </c>
      <c r="KG35" s="1101">
        <v>1044110</v>
      </c>
      <c r="KH35" s="1101">
        <v>401844</v>
      </c>
      <c r="KI35" s="1101">
        <v>1079117</v>
      </c>
      <c r="KJ35" s="1101">
        <v>1521</v>
      </c>
      <c r="KK35" s="1101">
        <v>1000000</v>
      </c>
      <c r="KL35" s="1101">
        <v>1294932</v>
      </c>
      <c r="KM35" s="1101">
        <v>0</v>
      </c>
      <c r="KN35" s="1101">
        <v>45693</v>
      </c>
      <c r="KO35" s="1101">
        <v>31807288</v>
      </c>
      <c r="KP35" s="1101">
        <v>10730336</v>
      </c>
      <c r="KQ35" s="1101">
        <v>0</v>
      </c>
      <c r="KR35" s="1101">
        <v>1878729</v>
      </c>
      <c r="KS35" s="1101">
        <v>0</v>
      </c>
      <c r="KT35" s="1101">
        <v>0</v>
      </c>
      <c r="KU35" s="1101">
        <v>0</v>
      </c>
      <c r="KV35" s="1101">
        <v>0</v>
      </c>
      <c r="KW35" s="1101">
        <v>0</v>
      </c>
      <c r="KX35" s="1101">
        <v>437327</v>
      </c>
      <c r="KY35" s="1101">
        <v>68077</v>
      </c>
      <c r="KZ35" s="1101">
        <v>0</v>
      </c>
      <c r="LA35" s="1101">
        <v>397254</v>
      </c>
      <c r="LB35" s="1101">
        <v>0</v>
      </c>
      <c r="LC35" s="1101">
        <v>0</v>
      </c>
      <c r="LD35" s="1101">
        <v>0</v>
      </c>
      <c r="LE35" s="1101">
        <v>0</v>
      </c>
      <c r="LF35" s="1101">
        <v>0</v>
      </c>
      <c r="LG35" s="1101">
        <v>168416</v>
      </c>
      <c r="LH35" s="1101">
        <v>458020</v>
      </c>
      <c r="LI35" s="1101">
        <v>0</v>
      </c>
      <c r="LJ35" s="1101">
        <v>641498</v>
      </c>
      <c r="LK35" s="1101">
        <v>0</v>
      </c>
      <c r="LL35" s="1101">
        <v>0</v>
      </c>
      <c r="LM35" s="1101">
        <v>0</v>
      </c>
      <c r="LN35" s="1101">
        <v>0</v>
      </c>
      <c r="LO35" s="1101">
        <v>0</v>
      </c>
      <c r="LP35" s="1101">
        <v>4038143</v>
      </c>
      <c r="LQ35" s="1101">
        <v>2884656</v>
      </c>
      <c r="LR35" s="1101">
        <v>0</v>
      </c>
      <c r="LS35" s="1101">
        <v>32177</v>
      </c>
      <c r="LT35" s="1101">
        <v>0</v>
      </c>
      <c r="LU35" s="1101">
        <v>0</v>
      </c>
      <c r="LV35" s="1101">
        <v>0</v>
      </c>
      <c r="LW35" s="1101">
        <v>0</v>
      </c>
      <c r="LX35" s="1101">
        <v>0</v>
      </c>
      <c r="LY35" s="1101">
        <v>1897140</v>
      </c>
      <c r="LZ35" s="1101">
        <v>7135272</v>
      </c>
      <c r="MA35" s="1101">
        <v>0</v>
      </c>
      <c r="MB35" s="1101">
        <v>18641</v>
      </c>
      <c r="MC35" s="1101">
        <v>0</v>
      </c>
      <c r="MD35" s="1101">
        <v>0</v>
      </c>
      <c r="ME35" s="1101">
        <v>0</v>
      </c>
      <c r="MF35" s="1101">
        <v>0</v>
      </c>
      <c r="MG35" s="1101">
        <v>0</v>
      </c>
      <c r="MH35" s="1101">
        <v>4365806</v>
      </c>
      <c r="MI35" s="1101">
        <v>11439189</v>
      </c>
      <c r="MJ35" s="1101">
        <v>0</v>
      </c>
      <c r="MK35" s="1101">
        <v>2257084</v>
      </c>
      <c r="ML35" s="1101">
        <v>0</v>
      </c>
      <c r="MM35" s="1101">
        <v>0</v>
      </c>
      <c r="MN35" s="1101">
        <v>0</v>
      </c>
      <c r="MO35" s="1101">
        <v>0</v>
      </c>
      <c r="MP35" s="1101">
        <v>0</v>
      </c>
      <c r="MQ35" s="1101">
        <v>2513395</v>
      </c>
      <c r="MR35" s="1101">
        <v>4943642</v>
      </c>
      <c r="MS35" s="1101">
        <v>0</v>
      </c>
      <c r="MT35" s="1101">
        <v>50686</v>
      </c>
      <c r="MU35" s="1101">
        <v>0</v>
      </c>
      <c r="MV35" s="1101">
        <v>0</v>
      </c>
      <c r="MW35" s="1101">
        <v>0</v>
      </c>
      <c r="MX35" s="1101">
        <v>0</v>
      </c>
      <c r="MY35" s="1101">
        <v>0</v>
      </c>
      <c r="MZ35" s="1101">
        <v>7000279</v>
      </c>
      <c r="NA35" s="1101">
        <v>4153488</v>
      </c>
      <c r="NB35" s="1101">
        <v>3144158</v>
      </c>
      <c r="NC35" s="1101">
        <v>5713461</v>
      </c>
      <c r="ND35" s="1101">
        <v>0</v>
      </c>
      <c r="NE35" s="1101">
        <v>0</v>
      </c>
      <c r="NF35" s="1101">
        <v>0</v>
      </c>
      <c r="NG35" s="1101">
        <v>0</v>
      </c>
      <c r="NH35" s="1101">
        <v>0</v>
      </c>
      <c r="NI35" s="1101">
        <v>0</v>
      </c>
      <c r="NJ35" s="1101">
        <v>0</v>
      </c>
      <c r="NK35" s="1101">
        <v>17609666</v>
      </c>
      <c r="NL35" s="1101">
        <v>0</v>
      </c>
      <c r="NM35" s="1101">
        <v>0</v>
      </c>
      <c r="NN35" s="1101">
        <v>0</v>
      </c>
      <c r="NO35" s="1101">
        <v>0</v>
      </c>
      <c r="NP35" s="1101">
        <v>0</v>
      </c>
      <c r="NQ35" s="1101">
        <v>0</v>
      </c>
      <c r="NR35" s="1101">
        <v>443167</v>
      </c>
      <c r="NS35" s="1101">
        <v>260578</v>
      </c>
      <c r="NT35" s="1101">
        <v>62644</v>
      </c>
      <c r="NU35" s="1101">
        <v>334734</v>
      </c>
      <c r="NV35" s="1101">
        <v>0</v>
      </c>
      <c r="NW35" s="1101">
        <v>0</v>
      </c>
      <c r="NX35" s="1101">
        <v>0</v>
      </c>
      <c r="NY35" s="1101">
        <v>0</v>
      </c>
      <c r="NZ35" s="1101">
        <v>0</v>
      </c>
      <c r="OA35" s="1101">
        <v>102114</v>
      </c>
      <c r="OB35" s="1101">
        <v>2174</v>
      </c>
      <c r="OC35" s="1101">
        <v>0</v>
      </c>
      <c r="OD35" s="1101">
        <v>80874</v>
      </c>
      <c r="OE35" s="1101">
        <v>-3901</v>
      </c>
      <c r="OF35" s="1101">
        <v>0</v>
      </c>
      <c r="OG35" s="1101">
        <v>2237119</v>
      </c>
      <c r="OH35" s="1101">
        <v>0</v>
      </c>
      <c r="OI35" s="1101">
        <v>0</v>
      </c>
      <c r="OJ35" s="1101">
        <v>0</v>
      </c>
      <c r="OK35" s="1101">
        <v>0</v>
      </c>
      <c r="OL35" s="1101">
        <v>0</v>
      </c>
      <c r="OM35" s="1101">
        <v>0</v>
      </c>
      <c r="ON35" s="1101">
        <v>0</v>
      </c>
      <c r="OO35" s="1101">
        <v>0</v>
      </c>
      <c r="OP35" s="1101">
        <v>-2476769</v>
      </c>
      <c r="OQ35" s="1101">
        <v>0</v>
      </c>
      <c r="OR35" s="1101">
        <v>0</v>
      </c>
      <c r="OS35" s="1101">
        <v>-4350893</v>
      </c>
      <c r="OT35" s="1101">
        <v>3604308</v>
      </c>
      <c r="OU35" s="1101">
        <v>4129498</v>
      </c>
      <c r="OV35" s="1101">
        <v>-22437800</v>
      </c>
      <c r="OW35" s="1101">
        <v>52025</v>
      </c>
      <c r="OX35" s="1101">
        <v>-866688</v>
      </c>
      <c r="OY35" s="1101">
        <v>10110464</v>
      </c>
      <c r="OZ35" s="1101">
        <v>0</v>
      </c>
      <c r="PA35" s="1101">
        <v>0</v>
      </c>
      <c r="PB35" s="1101">
        <v>0</v>
      </c>
      <c r="PC35" s="1101">
        <v>0</v>
      </c>
      <c r="PD35" s="1101">
        <v>0</v>
      </c>
      <c r="PE35" s="1101">
        <v>0</v>
      </c>
      <c r="PF35" s="1101">
        <v>0</v>
      </c>
      <c r="PG35" s="1101">
        <v>0</v>
      </c>
      <c r="PH35" s="1101">
        <v>0</v>
      </c>
      <c r="PI35" s="1101">
        <v>0</v>
      </c>
      <c r="PJ35" s="1101">
        <v>0</v>
      </c>
      <c r="PK35" s="1101">
        <v>-4124773</v>
      </c>
      <c r="PL35" s="1101">
        <v>-905575</v>
      </c>
      <c r="PM35" s="1101">
        <v>-5744302</v>
      </c>
      <c r="PN35" s="1101">
        <v>-2208890</v>
      </c>
      <c r="PO35" s="1101">
        <v>0</v>
      </c>
      <c r="PP35" s="1101">
        <v>0</v>
      </c>
      <c r="PQ35" s="1101">
        <v>0</v>
      </c>
      <c r="PR35" s="1101">
        <v>0</v>
      </c>
      <c r="PS35" s="1101">
        <v>0</v>
      </c>
      <c r="PT35" s="1101">
        <v>0</v>
      </c>
      <c r="PU35" s="1101">
        <v>2082271</v>
      </c>
      <c r="PV35" s="1101">
        <v>1650680</v>
      </c>
      <c r="PW35" s="1101">
        <v>506452</v>
      </c>
      <c r="PX35" s="1101">
        <v>0</v>
      </c>
      <c r="PY35" s="1101">
        <v>8777390</v>
      </c>
      <c r="PZ35" s="1101">
        <v>0</v>
      </c>
      <c r="QA35" s="1101">
        <v>0</v>
      </c>
      <c r="QB35" s="1101">
        <v>0</v>
      </c>
      <c r="QC35" s="1101">
        <v>0</v>
      </c>
      <c r="QD35" s="1101">
        <v>0</v>
      </c>
      <c r="QE35" s="1101">
        <v>0</v>
      </c>
      <c r="QF35" s="1101">
        <v>0</v>
      </c>
      <c r="QG35" s="1101">
        <v>0</v>
      </c>
      <c r="QH35" s="1101">
        <v>0</v>
      </c>
      <c r="QI35" s="1101">
        <v>0</v>
      </c>
      <c r="QJ35" s="1101">
        <v>0</v>
      </c>
      <c r="QK35" s="1101">
        <v>0</v>
      </c>
      <c r="QL35" s="1101">
        <v>0</v>
      </c>
      <c r="QM35" s="1101">
        <v>0</v>
      </c>
      <c r="QN35" s="1101">
        <v>0</v>
      </c>
      <c r="QO35" s="1101">
        <v>0</v>
      </c>
      <c r="QP35" s="1101">
        <v>0</v>
      </c>
      <c r="QQ35" s="1101">
        <v>0</v>
      </c>
      <c r="QR35" s="1101">
        <v>0</v>
      </c>
      <c r="QS35" s="1101">
        <v>0</v>
      </c>
      <c r="QT35" s="1101">
        <v>0</v>
      </c>
      <c r="QU35" s="1101">
        <v>0</v>
      </c>
      <c r="QV35" s="1101">
        <v>0</v>
      </c>
      <c r="QW35" s="1101">
        <v>0</v>
      </c>
      <c r="QX35" s="1101">
        <v>0</v>
      </c>
      <c r="QY35" s="1101">
        <v>0</v>
      </c>
      <c r="QZ35" s="1101">
        <v>0</v>
      </c>
      <c r="RA35" s="1101">
        <v>0</v>
      </c>
      <c r="RB35" s="1101">
        <v>0</v>
      </c>
      <c r="RC35" s="1101">
        <v>-11074042</v>
      </c>
      <c r="RD35" s="1101">
        <v>0</v>
      </c>
      <c r="RE35" s="1101">
        <v>0</v>
      </c>
      <c r="RF35" s="1101">
        <v>0</v>
      </c>
      <c r="RG35" s="1101">
        <v>0</v>
      </c>
      <c r="RH35" s="1101">
        <v>0</v>
      </c>
      <c r="RI35" s="1101">
        <v>0</v>
      </c>
      <c r="RJ35" s="1101">
        <v>0</v>
      </c>
      <c r="RK35" s="1101">
        <v>0</v>
      </c>
      <c r="RL35" s="1101">
        <v>0</v>
      </c>
      <c r="RM35" s="1101">
        <v>0</v>
      </c>
      <c r="RN35" s="1101">
        <v>0</v>
      </c>
      <c r="RO35" s="1101">
        <v>0</v>
      </c>
      <c r="RP35" s="1101">
        <v>0</v>
      </c>
      <c r="RQ35" s="1101">
        <v>0</v>
      </c>
      <c r="RR35" s="1101">
        <v>0</v>
      </c>
      <c r="RS35" s="1101">
        <v>0</v>
      </c>
      <c r="RT35" s="1101">
        <v>0</v>
      </c>
      <c r="RU35" s="1101">
        <v>0</v>
      </c>
      <c r="RV35" s="1101">
        <v>0</v>
      </c>
      <c r="RW35" s="1101">
        <v>0</v>
      </c>
      <c r="RX35" s="1101">
        <v>0</v>
      </c>
      <c r="RY35" s="1101">
        <v>0</v>
      </c>
      <c r="RZ35" s="1101">
        <v>0</v>
      </c>
      <c r="SA35" s="1101">
        <v>0</v>
      </c>
      <c r="SB35" s="1101">
        <v>0</v>
      </c>
      <c r="SC35" s="1101">
        <v>0</v>
      </c>
      <c r="SD35" s="1101">
        <v>0</v>
      </c>
      <c r="SE35" s="1101">
        <v>443167</v>
      </c>
      <c r="SF35" s="1101">
        <v>260578</v>
      </c>
      <c r="SG35" s="1101">
        <v>62644</v>
      </c>
      <c r="SH35" s="1101">
        <v>334734</v>
      </c>
      <c r="SI35" s="1101">
        <v>0</v>
      </c>
      <c r="SJ35" s="1101">
        <v>0</v>
      </c>
      <c r="SK35" s="1101">
        <v>2476769</v>
      </c>
      <c r="SL35" s="1102">
        <v>0</v>
      </c>
      <c r="SM35" s="1101">
        <v>0</v>
      </c>
      <c r="SN35" s="1101">
        <v>17345557</v>
      </c>
      <c r="SO35" s="1102"/>
      <c r="SP35" s="1103"/>
      <c r="SQ35" s="1104">
        <v>68680411</v>
      </c>
      <c r="SR35" s="1104">
        <v>-23936911</v>
      </c>
      <c r="SS35" s="1105">
        <v>872279</v>
      </c>
      <c r="ST35" s="1106">
        <v>0</v>
      </c>
      <c r="SU35" s="1106">
        <v>0</v>
      </c>
      <c r="SV35" s="1106">
        <v>102115</v>
      </c>
      <c r="SW35" s="1106">
        <v>0</v>
      </c>
      <c r="SX35" s="1106">
        <v>23305</v>
      </c>
      <c r="SY35" s="1106">
        <v>40780</v>
      </c>
      <c r="SZ35" s="1106">
        <v>0</v>
      </c>
      <c r="TA35" s="1106">
        <v>62644</v>
      </c>
      <c r="TB35" s="1106">
        <v>0</v>
      </c>
      <c r="TC35" s="1105">
        <v>0</v>
      </c>
      <c r="TD35" s="1106">
        <v>0</v>
      </c>
      <c r="TE35" s="1106">
        <v>0</v>
      </c>
      <c r="TF35" s="1106">
        <v>0</v>
      </c>
      <c r="TG35" s="1106">
        <v>0</v>
      </c>
      <c r="TH35" s="1106">
        <v>0</v>
      </c>
      <c r="TI35" s="1106">
        <v>0</v>
      </c>
      <c r="TJ35" s="1106">
        <v>0</v>
      </c>
      <c r="TK35" s="1105">
        <v>0</v>
      </c>
      <c r="TL35" s="1106">
        <v>0</v>
      </c>
      <c r="TM35" s="1106">
        <v>0</v>
      </c>
      <c r="TN35" s="1106">
        <v>0</v>
      </c>
      <c r="TO35" s="1106">
        <v>0</v>
      </c>
      <c r="TP35" s="1106">
        <v>0</v>
      </c>
      <c r="TQ35" s="1106">
        <v>0</v>
      </c>
      <c r="TR35" s="1106">
        <v>0</v>
      </c>
      <c r="TS35" s="1105">
        <v>44416353</v>
      </c>
      <c r="TT35" s="1106">
        <v>902658</v>
      </c>
      <c r="TU35" s="1106">
        <v>1267934</v>
      </c>
      <c r="TV35" s="1106">
        <v>6954976</v>
      </c>
      <c r="TW35" s="1106">
        <v>9051053</v>
      </c>
      <c r="TX35" s="1106">
        <v>18062079</v>
      </c>
      <c r="TY35" s="1106">
        <v>7507723</v>
      </c>
      <c r="TZ35" s="1107">
        <v>20011386</v>
      </c>
      <c r="UA35" s="1107">
        <v>17609666</v>
      </c>
      <c r="UB35" s="1105">
        <v>11824914</v>
      </c>
      <c r="UC35" s="1108">
        <v>13016793</v>
      </c>
      <c r="UD35" s="1108"/>
      <c r="UE35" s="1103"/>
      <c r="UF35" s="1109" t="s">
        <v>2467</v>
      </c>
      <c r="UG35" s="1110" t="s">
        <v>2468</v>
      </c>
      <c r="UH35" s="1110" t="s">
        <v>2469</v>
      </c>
    </row>
    <row r="36" spans="1:554" s="776" customFormat="1" ht="15.75" thickBot="1">
      <c r="A36" s="1093">
        <v>330</v>
      </c>
      <c r="B36" s="1094" t="s">
        <v>123</v>
      </c>
      <c r="C36" s="1095" t="s">
        <v>332</v>
      </c>
      <c r="D36" s="1096" t="s">
        <v>2398</v>
      </c>
      <c r="E36" s="1097">
        <v>3594</v>
      </c>
      <c r="F36" s="1098">
        <v>2596183714</v>
      </c>
      <c r="G36" s="1096" t="s">
        <v>2399</v>
      </c>
      <c r="H36" s="1100" t="s">
        <v>123</v>
      </c>
      <c r="I36" s="1100"/>
      <c r="J36" s="1100"/>
      <c r="K36" s="1100"/>
      <c r="L36" s="1100"/>
      <c r="M36" s="1101">
        <v>134981091</v>
      </c>
      <c r="N36" s="1101">
        <v>0</v>
      </c>
      <c r="O36" s="1101">
        <v>0</v>
      </c>
      <c r="P36" s="1101">
        <v>0</v>
      </c>
      <c r="Q36" s="1101">
        <v>0</v>
      </c>
      <c r="R36" s="1101">
        <v>0</v>
      </c>
      <c r="S36" s="1101">
        <v>0</v>
      </c>
      <c r="T36" s="1101">
        <v>0</v>
      </c>
      <c r="U36" s="1101">
        <v>0</v>
      </c>
      <c r="V36" s="1101">
        <v>24615056</v>
      </c>
      <c r="W36" s="1101">
        <v>3346810</v>
      </c>
      <c r="X36" s="1101">
        <v>0</v>
      </c>
      <c r="Y36" s="1101">
        <v>3703556</v>
      </c>
      <c r="Z36" s="1101">
        <v>0</v>
      </c>
      <c r="AA36" s="1101">
        <v>0</v>
      </c>
      <c r="AB36" s="1101">
        <v>0</v>
      </c>
      <c r="AC36" s="1101">
        <v>0</v>
      </c>
      <c r="AD36" s="1101">
        <v>0</v>
      </c>
      <c r="AE36" s="1101">
        <v>0</v>
      </c>
      <c r="AF36" s="1101">
        <v>0</v>
      </c>
      <c r="AG36" s="1101">
        <v>0</v>
      </c>
      <c r="AH36" s="1101">
        <v>0</v>
      </c>
      <c r="AI36" s="1101">
        <v>0</v>
      </c>
      <c r="AJ36" s="1101">
        <v>0</v>
      </c>
      <c r="AK36" s="1101">
        <v>0</v>
      </c>
      <c r="AL36" s="1101">
        <v>0</v>
      </c>
      <c r="AM36" s="1101">
        <v>0</v>
      </c>
      <c r="AN36" s="1101">
        <v>37346563</v>
      </c>
      <c r="AO36" s="1101">
        <v>0</v>
      </c>
      <c r="AP36" s="1101">
        <v>0</v>
      </c>
      <c r="AQ36" s="1101">
        <v>0</v>
      </c>
      <c r="AR36" s="1101">
        <v>0</v>
      </c>
      <c r="AS36" s="1101">
        <v>0</v>
      </c>
      <c r="AT36" s="1101">
        <v>0</v>
      </c>
      <c r="AU36" s="1101">
        <v>0</v>
      </c>
      <c r="AV36" s="1101">
        <v>0</v>
      </c>
      <c r="AW36" s="1101">
        <v>0</v>
      </c>
      <c r="AX36" s="1101">
        <v>0</v>
      </c>
      <c r="AY36" s="1101">
        <v>0</v>
      </c>
      <c r="AZ36" s="1101">
        <v>0</v>
      </c>
      <c r="BA36" s="1101">
        <v>0</v>
      </c>
      <c r="BB36" s="1101">
        <v>0</v>
      </c>
      <c r="BC36" s="1101">
        <v>0</v>
      </c>
      <c r="BD36" s="1101">
        <v>0</v>
      </c>
      <c r="BE36" s="1101">
        <v>0</v>
      </c>
      <c r="BF36" s="1101">
        <v>-25532559</v>
      </c>
      <c r="BG36" s="1101">
        <v>-111572</v>
      </c>
      <c r="BH36" s="1101">
        <v>0</v>
      </c>
      <c r="BI36" s="1101">
        <v>0</v>
      </c>
      <c r="BJ36" s="1101">
        <v>0</v>
      </c>
      <c r="BK36" s="1101">
        <v>0</v>
      </c>
      <c r="BL36" s="1101">
        <v>0</v>
      </c>
      <c r="BM36" s="1101">
        <v>0</v>
      </c>
      <c r="BN36" s="1101">
        <v>0</v>
      </c>
      <c r="BO36" s="1101">
        <v>-219026</v>
      </c>
      <c r="BP36" s="1101">
        <v>-1291663</v>
      </c>
      <c r="BQ36" s="1101">
        <v>0</v>
      </c>
      <c r="BR36" s="1101">
        <v>0</v>
      </c>
      <c r="BS36" s="1101">
        <v>0</v>
      </c>
      <c r="BT36" s="1101">
        <v>0</v>
      </c>
      <c r="BU36" s="1101">
        <v>0</v>
      </c>
      <c r="BV36" s="1101">
        <v>0</v>
      </c>
      <c r="BW36" s="1101">
        <v>0</v>
      </c>
      <c r="BX36" s="1101">
        <v>-2867096</v>
      </c>
      <c r="BY36" s="1101">
        <v>-18297157</v>
      </c>
      <c r="BZ36" s="1101">
        <v>0</v>
      </c>
      <c r="CA36" s="1101">
        <v>0</v>
      </c>
      <c r="CB36" s="1101">
        <v>0</v>
      </c>
      <c r="CC36" s="1101">
        <v>0</v>
      </c>
      <c r="CD36" s="1101">
        <v>0</v>
      </c>
      <c r="CE36" s="1101">
        <v>0</v>
      </c>
      <c r="CF36" s="1101">
        <v>0</v>
      </c>
      <c r="CG36" s="1101">
        <v>-424908</v>
      </c>
      <c r="CH36" s="1101">
        <v>-3472529</v>
      </c>
      <c r="CI36" s="1101">
        <v>0</v>
      </c>
      <c r="CJ36" s="1101">
        <v>0</v>
      </c>
      <c r="CK36" s="1101">
        <v>0</v>
      </c>
      <c r="CL36" s="1101">
        <v>0</v>
      </c>
      <c r="CM36" s="1101">
        <v>0</v>
      </c>
      <c r="CN36" s="1101">
        <v>0</v>
      </c>
      <c r="CO36" s="1101">
        <v>0</v>
      </c>
      <c r="CP36" s="1101">
        <v>78010530</v>
      </c>
      <c r="CQ36" s="1101">
        <v>267867130</v>
      </c>
      <c r="CR36" s="1101">
        <v>0</v>
      </c>
      <c r="CS36" s="1101">
        <v>0</v>
      </c>
      <c r="CT36" s="1101">
        <v>0</v>
      </c>
      <c r="CU36" s="1101">
        <v>0</v>
      </c>
      <c r="CV36" s="1101">
        <v>0</v>
      </c>
      <c r="CW36" s="1101">
        <v>0</v>
      </c>
      <c r="CX36" s="1101">
        <v>0</v>
      </c>
      <c r="CY36" s="1101">
        <v>0</v>
      </c>
      <c r="CZ36" s="1101">
        <v>0</v>
      </c>
      <c r="DA36" s="1101">
        <v>0</v>
      </c>
      <c r="DB36" s="1101">
        <v>0</v>
      </c>
      <c r="DC36" s="1101">
        <v>0</v>
      </c>
      <c r="DD36" s="1101">
        <v>0</v>
      </c>
      <c r="DE36" s="1101">
        <v>0</v>
      </c>
      <c r="DF36" s="1101">
        <v>0</v>
      </c>
      <c r="DG36" s="1101">
        <v>0</v>
      </c>
      <c r="DH36" s="1101">
        <v>0</v>
      </c>
      <c r="DI36" s="1101">
        <v>0</v>
      </c>
      <c r="DJ36" s="1101">
        <v>0</v>
      </c>
      <c r="DK36" s="1101">
        <v>0</v>
      </c>
      <c r="DL36" s="1101">
        <v>0</v>
      </c>
      <c r="DM36" s="1101">
        <v>0</v>
      </c>
      <c r="DN36" s="1101">
        <v>0</v>
      </c>
      <c r="DO36" s="1101">
        <v>0</v>
      </c>
      <c r="DP36" s="1101">
        <v>0</v>
      </c>
      <c r="DQ36" s="1101">
        <v>0</v>
      </c>
      <c r="DR36" s="1101">
        <v>0</v>
      </c>
      <c r="DS36" s="1101">
        <v>0</v>
      </c>
      <c r="DT36" s="1101">
        <v>0</v>
      </c>
      <c r="DU36" s="1101">
        <v>0</v>
      </c>
      <c r="DV36" s="1101">
        <v>0</v>
      </c>
      <c r="DW36" s="1101">
        <v>0</v>
      </c>
      <c r="DX36" s="1101">
        <v>0</v>
      </c>
      <c r="DY36" s="1101">
        <v>0</v>
      </c>
      <c r="DZ36" s="1101">
        <v>0</v>
      </c>
      <c r="EA36" s="1101">
        <v>0</v>
      </c>
      <c r="EB36" s="1101">
        <v>0</v>
      </c>
      <c r="EC36" s="1101">
        <v>0</v>
      </c>
      <c r="ED36" s="1101">
        <v>0</v>
      </c>
      <c r="EE36" s="1101">
        <v>0</v>
      </c>
      <c r="EF36" s="1101">
        <v>0</v>
      </c>
      <c r="EG36" s="1101">
        <v>0</v>
      </c>
      <c r="EH36" s="1101">
        <v>0</v>
      </c>
      <c r="EI36" s="1101">
        <v>-17223659</v>
      </c>
      <c r="EJ36" s="1101">
        <v>-16586045</v>
      </c>
      <c r="EK36" s="1101">
        <v>0</v>
      </c>
      <c r="EL36" s="1101">
        <v>0</v>
      </c>
      <c r="EM36" s="1101">
        <v>0</v>
      </c>
      <c r="EN36" s="1101">
        <v>0</v>
      </c>
      <c r="EO36" s="1101">
        <v>0</v>
      </c>
      <c r="EP36" s="1101">
        <v>0</v>
      </c>
      <c r="EQ36" s="1101">
        <v>0</v>
      </c>
      <c r="ER36" s="1101">
        <v>0</v>
      </c>
      <c r="ES36" s="1101">
        <v>0</v>
      </c>
      <c r="ET36" s="1101">
        <v>0</v>
      </c>
      <c r="EU36" s="1101">
        <v>0</v>
      </c>
      <c r="EV36" s="1101">
        <v>0</v>
      </c>
      <c r="EW36" s="1101">
        <v>0</v>
      </c>
      <c r="EX36" s="1101">
        <v>0</v>
      </c>
      <c r="EY36" s="1101">
        <v>0</v>
      </c>
      <c r="EZ36" s="1101">
        <v>0</v>
      </c>
      <c r="FA36" s="1101">
        <v>0</v>
      </c>
      <c r="FB36" s="1101">
        <v>0</v>
      </c>
      <c r="FC36" s="1101">
        <v>0</v>
      </c>
      <c r="FD36" s="1101">
        <v>0</v>
      </c>
      <c r="FE36" s="1101">
        <v>0</v>
      </c>
      <c r="FF36" s="1101">
        <v>0</v>
      </c>
      <c r="FG36" s="1101">
        <v>0</v>
      </c>
      <c r="FH36" s="1101">
        <v>0</v>
      </c>
      <c r="FI36" s="1101">
        <v>0</v>
      </c>
      <c r="FJ36" s="1101">
        <v>0</v>
      </c>
      <c r="FK36" s="1101">
        <v>0</v>
      </c>
      <c r="FL36" s="1101">
        <v>0</v>
      </c>
      <c r="FM36" s="1101">
        <v>0</v>
      </c>
      <c r="FN36" s="1101">
        <v>0</v>
      </c>
      <c r="FO36" s="1101">
        <v>0</v>
      </c>
      <c r="FP36" s="1101">
        <v>0</v>
      </c>
      <c r="FQ36" s="1101">
        <v>0</v>
      </c>
      <c r="FR36" s="1101">
        <v>0</v>
      </c>
      <c r="FS36" s="1101">
        <v>0</v>
      </c>
      <c r="FT36" s="1101">
        <v>0</v>
      </c>
      <c r="FU36" s="1101">
        <v>0</v>
      </c>
      <c r="FV36" s="1101">
        <v>0</v>
      </c>
      <c r="FW36" s="1101">
        <v>0</v>
      </c>
      <c r="FX36" s="1101">
        <v>0</v>
      </c>
      <c r="FY36" s="1101">
        <v>0</v>
      </c>
      <c r="FZ36" s="1101">
        <v>0</v>
      </c>
      <c r="GA36" s="1101">
        <v>0</v>
      </c>
      <c r="GB36" s="1101">
        <v>391881</v>
      </c>
      <c r="GC36" s="1101">
        <v>127878370</v>
      </c>
      <c r="GD36" s="1101">
        <v>17637071</v>
      </c>
      <c r="GE36" s="1101">
        <v>0</v>
      </c>
      <c r="GF36" s="1101">
        <v>0</v>
      </c>
      <c r="GG36" s="1101">
        <v>0</v>
      </c>
      <c r="GH36" s="1101">
        <v>0</v>
      </c>
      <c r="GI36" s="1101">
        <v>0</v>
      </c>
      <c r="GJ36" s="1101">
        <v>0</v>
      </c>
      <c r="GK36" s="1101">
        <v>0</v>
      </c>
      <c r="GL36" s="1101">
        <v>0</v>
      </c>
      <c r="GM36" s="1101">
        <v>0</v>
      </c>
      <c r="GN36" s="1101">
        <v>0</v>
      </c>
      <c r="GO36" s="1101">
        <v>0</v>
      </c>
      <c r="GP36" s="1101">
        <v>0</v>
      </c>
      <c r="GQ36" s="1101">
        <v>0</v>
      </c>
      <c r="GR36" s="1101">
        <v>0</v>
      </c>
      <c r="GS36" s="1101">
        <v>0</v>
      </c>
      <c r="GT36" s="1101">
        <v>0</v>
      </c>
      <c r="GU36" s="1101">
        <v>0</v>
      </c>
      <c r="GV36" s="1101">
        <v>0</v>
      </c>
      <c r="GW36" s="1101">
        <v>0</v>
      </c>
      <c r="GX36" s="1101">
        <v>0</v>
      </c>
      <c r="GY36" s="1101">
        <v>0</v>
      </c>
      <c r="GZ36" s="1101">
        <v>0</v>
      </c>
      <c r="HA36" s="1101">
        <v>0</v>
      </c>
      <c r="HB36" s="1101">
        <v>0</v>
      </c>
      <c r="HC36" s="1101">
        <v>0</v>
      </c>
      <c r="HD36" s="1101">
        <v>0</v>
      </c>
      <c r="HE36" s="1101">
        <v>0</v>
      </c>
      <c r="HF36" s="1101">
        <v>0</v>
      </c>
      <c r="HG36" s="1101">
        <v>0</v>
      </c>
      <c r="HH36" s="1101">
        <v>0</v>
      </c>
      <c r="HI36" s="1101">
        <v>0</v>
      </c>
      <c r="HJ36" s="1101">
        <v>0</v>
      </c>
      <c r="HK36" s="1101">
        <v>0</v>
      </c>
      <c r="HL36" s="1101">
        <v>0</v>
      </c>
      <c r="HM36" s="1101">
        <v>0</v>
      </c>
      <c r="HN36" s="1101">
        <v>0</v>
      </c>
      <c r="HO36" s="1101">
        <v>0</v>
      </c>
      <c r="HP36" s="1101">
        <v>0</v>
      </c>
      <c r="HQ36" s="1101">
        <v>0</v>
      </c>
      <c r="HR36" s="1101">
        <v>0</v>
      </c>
      <c r="HS36" s="1101">
        <v>0</v>
      </c>
      <c r="HT36" s="1101">
        <v>0</v>
      </c>
      <c r="HU36" s="1101">
        <v>0</v>
      </c>
      <c r="HV36" s="1101">
        <v>-93987592</v>
      </c>
      <c r="HW36" s="1101">
        <v>-463035</v>
      </c>
      <c r="HX36" s="1101">
        <v>0</v>
      </c>
      <c r="HY36" s="1101">
        <v>0</v>
      </c>
      <c r="HZ36" s="1101">
        <v>0</v>
      </c>
      <c r="IA36" s="1101">
        <v>0</v>
      </c>
      <c r="IB36" s="1101">
        <v>0</v>
      </c>
      <c r="IC36" s="1101">
        <v>0</v>
      </c>
      <c r="ID36" s="1101">
        <v>4751188</v>
      </c>
      <c r="IE36" s="1101">
        <v>62620</v>
      </c>
      <c r="IF36" s="1101">
        <v>0</v>
      </c>
      <c r="IG36" s="1101">
        <v>160693009</v>
      </c>
      <c r="IH36" s="1101">
        <v>0</v>
      </c>
      <c r="II36" s="1101">
        <v>0</v>
      </c>
      <c r="IJ36" s="1101">
        <v>0</v>
      </c>
      <c r="IK36" s="1101">
        <v>0</v>
      </c>
      <c r="IL36" s="1101">
        <v>0</v>
      </c>
      <c r="IM36" s="1101">
        <v>132081</v>
      </c>
      <c r="IN36" s="1101">
        <v>9414541</v>
      </c>
      <c r="IO36" s="1101">
        <v>5435</v>
      </c>
      <c r="IP36" s="1101">
        <v>15912288</v>
      </c>
      <c r="IQ36" s="1101">
        <v>1323897</v>
      </c>
      <c r="IR36" s="1101">
        <v>3340270</v>
      </c>
      <c r="IS36" s="1101">
        <v>0</v>
      </c>
      <c r="IT36" s="1101">
        <v>0</v>
      </c>
      <c r="IU36" s="1101">
        <v>0</v>
      </c>
      <c r="IV36" s="1101">
        <v>0</v>
      </c>
      <c r="IW36" s="1101">
        <v>20000</v>
      </c>
      <c r="IX36" s="1101">
        <v>0</v>
      </c>
      <c r="IY36" s="1101">
        <v>567381</v>
      </c>
      <c r="IZ36" s="1101">
        <v>0</v>
      </c>
      <c r="JA36" s="1101">
        <v>0</v>
      </c>
      <c r="JB36" s="1101">
        <v>0</v>
      </c>
      <c r="JC36" s="1101">
        <v>0</v>
      </c>
      <c r="JD36" s="1101">
        <v>0</v>
      </c>
      <c r="JE36" s="1101">
        <v>0</v>
      </c>
      <c r="JF36" s="1101">
        <v>0</v>
      </c>
      <c r="JG36" s="1101">
        <v>0</v>
      </c>
      <c r="JH36" s="1101">
        <v>3948553</v>
      </c>
      <c r="JI36" s="1101">
        <v>0</v>
      </c>
      <c r="JJ36" s="1101">
        <v>0</v>
      </c>
      <c r="JK36" s="1101">
        <v>0</v>
      </c>
      <c r="JL36" s="1101">
        <v>0</v>
      </c>
      <c r="JM36" s="1101">
        <v>0</v>
      </c>
      <c r="JN36" s="1101">
        <v>101181</v>
      </c>
      <c r="JO36" s="1101">
        <v>14870538</v>
      </c>
      <c r="JP36" s="1101">
        <v>0</v>
      </c>
      <c r="JQ36" s="1101">
        <v>1815931</v>
      </c>
      <c r="JR36" s="1101">
        <v>-147279</v>
      </c>
      <c r="JS36" s="1101">
        <v>0</v>
      </c>
      <c r="JT36" s="1101">
        <v>0</v>
      </c>
      <c r="JU36" s="1101">
        <v>0</v>
      </c>
      <c r="JV36" s="1101">
        <v>0</v>
      </c>
      <c r="JW36" s="1101">
        <v>0</v>
      </c>
      <c r="JX36" s="1101">
        <v>0</v>
      </c>
      <c r="JY36" s="1101">
        <v>58331292</v>
      </c>
      <c r="JZ36" s="1101">
        <v>0</v>
      </c>
      <c r="KA36" s="1101">
        <v>0</v>
      </c>
      <c r="KB36" s="1101">
        <v>0</v>
      </c>
      <c r="KC36" s="1101">
        <v>0</v>
      </c>
      <c r="KD36" s="1101">
        <v>0</v>
      </c>
      <c r="KE36" s="1101">
        <v>0</v>
      </c>
      <c r="KF36" s="1101">
        <v>67663</v>
      </c>
      <c r="KG36" s="1101">
        <v>1647131</v>
      </c>
      <c r="KH36" s="1101">
        <v>4781</v>
      </c>
      <c r="KI36" s="1101">
        <v>60934</v>
      </c>
      <c r="KJ36" s="1101">
        <v>46484</v>
      </c>
      <c r="KK36" s="1101">
        <v>0</v>
      </c>
      <c r="KL36" s="1101">
        <v>0</v>
      </c>
      <c r="KM36" s="1101">
        <v>0</v>
      </c>
      <c r="KN36" s="1101">
        <v>-180872</v>
      </c>
      <c r="KO36" s="1101">
        <v>81117782</v>
      </c>
      <c r="KP36" s="1101">
        <v>85461000</v>
      </c>
      <c r="KQ36" s="1101">
        <v>0</v>
      </c>
      <c r="KR36" s="1101">
        <v>8056571</v>
      </c>
      <c r="KS36" s="1101">
        <v>0</v>
      </c>
      <c r="KT36" s="1101">
        <v>0</v>
      </c>
      <c r="KU36" s="1101">
        <v>0</v>
      </c>
      <c r="KV36" s="1101">
        <v>0</v>
      </c>
      <c r="KW36" s="1101">
        <v>0</v>
      </c>
      <c r="KX36" s="1101">
        <v>25366674</v>
      </c>
      <c r="KY36" s="1101">
        <v>25480239</v>
      </c>
      <c r="KZ36" s="1101">
        <v>0</v>
      </c>
      <c r="LA36" s="1101">
        <v>19369157</v>
      </c>
      <c r="LB36" s="1101">
        <v>0</v>
      </c>
      <c r="LC36" s="1101">
        <v>0</v>
      </c>
      <c r="LD36" s="1101">
        <v>0</v>
      </c>
      <c r="LE36" s="1101">
        <v>0</v>
      </c>
      <c r="LF36" s="1101">
        <v>0</v>
      </c>
      <c r="LG36" s="1101">
        <v>224095</v>
      </c>
      <c r="LH36" s="1101">
        <v>3425353</v>
      </c>
      <c r="LI36" s="1101">
        <v>0</v>
      </c>
      <c r="LJ36" s="1101">
        <v>3841876</v>
      </c>
      <c r="LK36" s="1101">
        <v>0</v>
      </c>
      <c r="LL36" s="1101">
        <v>0</v>
      </c>
      <c r="LM36" s="1101">
        <v>0</v>
      </c>
      <c r="LN36" s="1101">
        <v>0</v>
      </c>
      <c r="LO36" s="1101">
        <v>0</v>
      </c>
      <c r="LP36" s="1101">
        <v>20719464</v>
      </c>
      <c r="LQ36" s="1101">
        <v>34783994</v>
      </c>
      <c r="LR36" s="1101">
        <v>0</v>
      </c>
      <c r="LS36" s="1101">
        <v>755687</v>
      </c>
      <c r="LT36" s="1101">
        <v>0</v>
      </c>
      <c r="LU36" s="1101">
        <v>0</v>
      </c>
      <c r="LV36" s="1101">
        <v>0</v>
      </c>
      <c r="LW36" s="1101">
        <v>0</v>
      </c>
      <c r="LX36" s="1101">
        <v>0</v>
      </c>
      <c r="LY36" s="1101">
        <v>11081545</v>
      </c>
      <c r="LZ36" s="1101">
        <v>63242070</v>
      </c>
      <c r="MA36" s="1101">
        <v>0</v>
      </c>
      <c r="MB36" s="1101">
        <v>3316869</v>
      </c>
      <c r="MC36" s="1101">
        <v>4092</v>
      </c>
      <c r="MD36" s="1101">
        <v>0</v>
      </c>
      <c r="ME36" s="1101">
        <v>0</v>
      </c>
      <c r="MF36" s="1101">
        <v>0</v>
      </c>
      <c r="MG36" s="1101">
        <v>0</v>
      </c>
      <c r="MH36" s="1101">
        <v>14703446</v>
      </c>
      <c r="MI36" s="1101">
        <v>32465935</v>
      </c>
      <c r="MJ36" s="1101">
        <v>0</v>
      </c>
      <c r="MK36" s="1101">
        <v>3270797</v>
      </c>
      <c r="ML36" s="1101">
        <v>0</v>
      </c>
      <c r="MM36" s="1101">
        <v>297928</v>
      </c>
      <c r="MN36" s="1101">
        <v>0</v>
      </c>
      <c r="MO36" s="1101">
        <v>0</v>
      </c>
      <c r="MP36" s="1101">
        <v>0</v>
      </c>
      <c r="MQ36" s="1101">
        <v>25723859</v>
      </c>
      <c r="MR36" s="1101">
        <v>9285509</v>
      </c>
      <c r="MS36" s="1101">
        <v>0</v>
      </c>
      <c r="MT36" s="1101">
        <v>-96455</v>
      </c>
      <c r="MU36" s="1101">
        <v>0</v>
      </c>
      <c r="MV36" s="1101">
        <v>0</v>
      </c>
      <c r="MW36" s="1101">
        <v>0</v>
      </c>
      <c r="MX36" s="1101">
        <v>0</v>
      </c>
      <c r="MY36" s="1101">
        <v>6783452</v>
      </c>
      <c r="MZ36" s="1101">
        <v>23407072</v>
      </c>
      <c r="NA36" s="1101">
        <v>208189</v>
      </c>
      <c r="NB36" s="1101">
        <v>740613</v>
      </c>
      <c r="NC36" s="1101">
        <v>106632382</v>
      </c>
      <c r="ND36" s="1101">
        <v>968028</v>
      </c>
      <c r="NE36" s="1101">
        <v>0</v>
      </c>
      <c r="NF36" s="1101">
        <v>0</v>
      </c>
      <c r="NG36" s="1101">
        <v>0</v>
      </c>
      <c r="NH36" s="1101">
        <v>0</v>
      </c>
      <c r="NI36" s="1101">
        <v>0</v>
      </c>
      <c r="NJ36" s="1101">
        <v>75</v>
      </c>
      <c r="NK36" s="1101">
        <v>43345870</v>
      </c>
      <c r="NL36" s="1101">
        <v>0</v>
      </c>
      <c r="NM36" s="1101">
        <v>0</v>
      </c>
      <c r="NN36" s="1101">
        <v>0</v>
      </c>
      <c r="NO36" s="1101">
        <v>0</v>
      </c>
      <c r="NP36" s="1101">
        <v>0</v>
      </c>
      <c r="NQ36" s="1101">
        <v>0</v>
      </c>
      <c r="NR36" s="1101">
        <v>29647015</v>
      </c>
      <c r="NS36" s="1101">
        <v>9489868</v>
      </c>
      <c r="NT36" s="1101">
        <v>235048</v>
      </c>
      <c r="NU36" s="1101">
        <v>1616959</v>
      </c>
      <c r="NV36" s="1101">
        <v>0</v>
      </c>
      <c r="NW36" s="1101">
        <v>0</v>
      </c>
      <c r="NX36" s="1101">
        <v>0</v>
      </c>
      <c r="NY36" s="1101">
        <v>0</v>
      </c>
      <c r="NZ36" s="1101">
        <v>0</v>
      </c>
      <c r="OA36" s="1101">
        <v>0</v>
      </c>
      <c r="OB36" s="1101">
        <v>1661628</v>
      </c>
      <c r="OC36" s="1101">
        <v>0</v>
      </c>
      <c r="OD36" s="1101">
        <v>8237302</v>
      </c>
      <c r="OE36" s="1101">
        <v>-645182</v>
      </c>
      <c r="OF36" s="1101">
        <v>0</v>
      </c>
      <c r="OG36" s="1101">
        <v>0</v>
      </c>
      <c r="OH36" s="1101">
        <v>0</v>
      </c>
      <c r="OI36" s="1101">
        <v>0</v>
      </c>
      <c r="OJ36" s="1101">
        <v>0</v>
      </c>
      <c r="OK36" s="1101">
        <v>0</v>
      </c>
      <c r="OL36" s="1101">
        <v>0</v>
      </c>
      <c r="OM36" s="1101">
        <v>0</v>
      </c>
      <c r="ON36" s="1101">
        <v>0</v>
      </c>
      <c r="OO36" s="1101">
        <v>0</v>
      </c>
      <c r="OP36" s="1101">
        <v>0</v>
      </c>
      <c r="OQ36" s="1101">
        <v>0</v>
      </c>
      <c r="OR36" s="1101">
        <v>4471404</v>
      </c>
      <c r="OS36" s="1101">
        <v>-11548042</v>
      </c>
      <c r="OT36" s="1101">
        <v>-28684509</v>
      </c>
      <c r="OU36" s="1101">
        <v>-18401414</v>
      </c>
      <c r="OV36" s="1101">
        <v>-26332558</v>
      </c>
      <c r="OW36" s="1101">
        <v>-31415</v>
      </c>
      <c r="OX36" s="1101">
        <v>-3733219</v>
      </c>
      <c r="OY36" s="1101">
        <v>0</v>
      </c>
      <c r="OZ36" s="1101">
        <v>10467281</v>
      </c>
      <c r="PA36" s="1101">
        <v>-5875698</v>
      </c>
      <c r="PB36" s="1101">
        <v>0</v>
      </c>
      <c r="PC36" s="1101">
        <v>0</v>
      </c>
      <c r="PD36" s="1101">
        <v>0</v>
      </c>
      <c r="PE36" s="1101">
        <v>0</v>
      </c>
      <c r="PF36" s="1101">
        <v>0</v>
      </c>
      <c r="PG36" s="1101">
        <v>0</v>
      </c>
      <c r="PH36" s="1101">
        <v>0</v>
      </c>
      <c r="PI36" s="1101">
        <v>0</v>
      </c>
      <c r="PJ36" s="1101">
        <v>0</v>
      </c>
      <c r="PK36" s="1101">
        <v>0</v>
      </c>
      <c r="PL36" s="1101">
        <v>-1662</v>
      </c>
      <c r="PM36" s="1101">
        <v>0</v>
      </c>
      <c r="PN36" s="1101">
        <v>0</v>
      </c>
      <c r="PO36" s="1101">
        <v>0</v>
      </c>
      <c r="PP36" s="1101">
        <v>0</v>
      </c>
      <c r="PQ36" s="1101">
        <v>0</v>
      </c>
      <c r="PR36" s="1101">
        <v>-15843</v>
      </c>
      <c r="PS36" s="1101">
        <v>0</v>
      </c>
      <c r="PT36" s="1101">
        <v>0</v>
      </c>
      <c r="PU36" s="1101">
        <v>22722470</v>
      </c>
      <c r="PV36" s="1101">
        <v>0</v>
      </c>
      <c r="PW36" s="1101">
        <v>0</v>
      </c>
      <c r="PX36" s="1101">
        <v>0</v>
      </c>
      <c r="PY36" s="1101">
        <v>6563714</v>
      </c>
      <c r="PZ36" s="1101">
        <v>0</v>
      </c>
      <c r="QA36" s="1101">
        <v>0</v>
      </c>
      <c r="QB36" s="1101">
        <v>0</v>
      </c>
      <c r="QC36" s="1101">
        <v>0</v>
      </c>
      <c r="QD36" s="1101">
        <v>0</v>
      </c>
      <c r="QE36" s="1101">
        <v>0</v>
      </c>
      <c r="QF36" s="1101">
        <v>0</v>
      </c>
      <c r="QG36" s="1101">
        <v>0</v>
      </c>
      <c r="QH36" s="1101">
        <v>167208</v>
      </c>
      <c r="QI36" s="1101">
        <v>0</v>
      </c>
      <c r="QJ36" s="1101">
        <v>0</v>
      </c>
      <c r="QK36" s="1101">
        <v>0</v>
      </c>
      <c r="QL36" s="1101">
        <v>0</v>
      </c>
      <c r="QM36" s="1101">
        <v>0</v>
      </c>
      <c r="QN36" s="1101">
        <v>0</v>
      </c>
      <c r="QO36" s="1101">
        <v>0</v>
      </c>
      <c r="QP36" s="1101">
        <v>0</v>
      </c>
      <c r="QQ36" s="1101">
        <v>0</v>
      </c>
      <c r="QR36" s="1101">
        <v>0</v>
      </c>
      <c r="QS36" s="1101">
        <v>0</v>
      </c>
      <c r="QT36" s="1101">
        <v>0</v>
      </c>
      <c r="QU36" s="1101">
        <v>0</v>
      </c>
      <c r="QV36" s="1101">
        <v>0</v>
      </c>
      <c r="QW36" s="1101">
        <v>0</v>
      </c>
      <c r="QX36" s="1101">
        <v>0</v>
      </c>
      <c r="QY36" s="1101">
        <v>0</v>
      </c>
      <c r="QZ36" s="1101">
        <v>0</v>
      </c>
      <c r="RA36" s="1101">
        <v>0</v>
      </c>
      <c r="RB36" s="1101">
        <v>0</v>
      </c>
      <c r="RC36" s="1101">
        <v>-65164000</v>
      </c>
      <c r="RD36" s="1101">
        <v>0</v>
      </c>
      <c r="RE36" s="1101">
        <v>0</v>
      </c>
      <c r="RF36" s="1101">
        <v>0</v>
      </c>
      <c r="RG36" s="1101">
        <v>0</v>
      </c>
      <c r="RH36" s="1101">
        <v>0</v>
      </c>
      <c r="RI36" s="1101">
        <v>0</v>
      </c>
      <c r="RJ36" s="1101">
        <v>0</v>
      </c>
      <c r="RK36" s="1101">
        <v>0</v>
      </c>
      <c r="RL36" s="1101">
        <v>0</v>
      </c>
      <c r="RM36" s="1101">
        <v>0</v>
      </c>
      <c r="RN36" s="1101">
        <v>0</v>
      </c>
      <c r="RO36" s="1101">
        <v>0</v>
      </c>
      <c r="RP36" s="1101">
        <v>0</v>
      </c>
      <c r="RQ36" s="1101">
        <v>0</v>
      </c>
      <c r="RR36" s="1101">
        <v>0</v>
      </c>
      <c r="RS36" s="1101">
        <v>0</v>
      </c>
      <c r="RT36" s="1101">
        <v>0</v>
      </c>
      <c r="RU36" s="1101">
        <v>0</v>
      </c>
      <c r="RV36" s="1101">
        <v>0</v>
      </c>
      <c r="RW36" s="1101">
        <v>-4969885</v>
      </c>
      <c r="RX36" s="1101">
        <v>0</v>
      </c>
      <c r="RY36" s="1101">
        <v>70000</v>
      </c>
      <c r="RZ36" s="1101">
        <v>0</v>
      </c>
      <c r="SA36" s="1101">
        <v>0</v>
      </c>
      <c r="SB36" s="1101">
        <v>0</v>
      </c>
      <c r="SC36" s="1101">
        <v>0</v>
      </c>
      <c r="SD36" s="1101">
        <v>7546791</v>
      </c>
      <c r="SE36" s="1101">
        <v>0</v>
      </c>
      <c r="SF36" s="1101">
        <v>4979870</v>
      </c>
      <c r="SG36" s="1101">
        <v>0</v>
      </c>
      <c r="SH36" s="1101">
        <v>0</v>
      </c>
      <c r="SI36" s="1101">
        <v>0</v>
      </c>
      <c r="SJ36" s="1101">
        <v>0</v>
      </c>
      <c r="SK36" s="1101">
        <v>0</v>
      </c>
      <c r="SL36" s="1102">
        <v>0</v>
      </c>
      <c r="SM36" s="1101">
        <v>31537615</v>
      </c>
      <c r="SN36" s="1101">
        <v>63849076</v>
      </c>
      <c r="SO36" s="1102"/>
      <c r="SP36" s="1103"/>
      <c r="SQ36" s="1104">
        <v>491784982</v>
      </c>
      <c r="SR36" s="1104">
        <v>-128260331</v>
      </c>
      <c r="SS36" s="1105">
        <v>6370849</v>
      </c>
      <c r="ST36" s="1106">
        <v>4882630</v>
      </c>
      <c r="SU36" s="1106">
        <v>0</v>
      </c>
      <c r="SV36" s="1106">
        <v>5587217</v>
      </c>
      <c r="SW36" s="1106">
        <v>469745</v>
      </c>
      <c r="SX36" s="1106">
        <v>2177181</v>
      </c>
      <c r="SY36" s="1106">
        <v>21263903</v>
      </c>
      <c r="SZ36" s="1106">
        <v>2317</v>
      </c>
      <c r="TA36" s="1106">
        <v>235048</v>
      </c>
      <c r="TB36" s="1106">
        <v>24273287</v>
      </c>
      <c r="TC36" s="1105">
        <v>0</v>
      </c>
      <c r="TD36" s="1106">
        <v>23478</v>
      </c>
      <c r="TE36" s="1106">
        <v>0</v>
      </c>
      <c r="TF36" s="1106">
        <v>0</v>
      </c>
      <c r="TG36" s="1106">
        <v>0</v>
      </c>
      <c r="TH36" s="1106">
        <v>0</v>
      </c>
      <c r="TI36" s="1106">
        <v>0</v>
      </c>
      <c r="TJ36" s="1106">
        <v>0</v>
      </c>
      <c r="TK36" s="1105">
        <v>0</v>
      </c>
      <c r="TL36" s="1106">
        <v>0</v>
      </c>
      <c r="TM36" s="1106">
        <v>0</v>
      </c>
      <c r="TN36" s="1106">
        <v>0</v>
      </c>
      <c r="TO36" s="1106">
        <v>0</v>
      </c>
      <c r="TP36" s="1106">
        <v>0</v>
      </c>
      <c r="TQ36" s="1106">
        <v>0</v>
      </c>
      <c r="TR36" s="1106">
        <v>0</v>
      </c>
      <c r="TS36" s="1105">
        <v>174635353</v>
      </c>
      <c r="TT36" s="1106">
        <v>70216070</v>
      </c>
      <c r="TU36" s="1106">
        <v>7491324</v>
      </c>
      <c r="TV36" s="1106">
        <v>56259145</v>
      </c>
      <c r="TW36" s="1106">
        <v>77644576</v>
      </c>
      <c r="TX36" s="1106">
        <v>50738106</v>
      </c>
      <c r="TY36" s="1106">
        <v>41696365</v>
      </c>
      <c r="TZ36" s="1107">
        <v>131956284</v>
      </c>
      <c r="UA36" s="1107">
        <v>43345945</v>
      </c>
      <c r="UB36" s="1105">
        <v>167208</v>
      </c>
      <c r="UC36" s="1108">
        <v>29286184</v>
      </c>
      <c r="UD36" s="1108"/>
      <c r="UE36" s="1103"/>
      <c r="UF36" s="1109" t="s">
        <v>2450</v>
      </c>
      <c r="UG36" s="1110" t="s">
        <v>2451</v>
      </c>
      <c r="UH36" s="1110" t="s">
        <v>2452</v>
      </c>
    </row>
    <row r="37" spans="1:554" s="776" customFormat="1" ht="30.75" thickBot="1">
      <c r="A37" s="1093">
        <v>333</v>
      </c>
      <c r="B37" s="1133" t="s">
        <v>270</v>
      </c>
      <c r="C37" s="1095" t="s">
        <v>333</v>
      </c>
      <c r="D37" s="1096" t="s">
        <v>2398</v>
      </c>
      <c r="E37" s="1448">
        <v>42421</v>
      </c>
      <c r="F37" s="1098">
        <v>242023094</v>
      </c>
      <c r="G37" s="1096" t="s">
        <v>2399</v>
      </c>
      <c r="H37" s="1100" t="s">
        <v>270</v>
      </c>
      <c r="I37" s="1100"/>
      <c r="J37" s="1100"/>
      <c r="K37" s="1100"/>
      <c r="L37" s="1100"/>
      <c r="M37" s="1101">
        <v>26574019</v>
      </c>
      <c r="N37" s="1101">
        <v>0</v>
      </c>
      <c r="O37" s="1101">
        <v>0</v>
      </c>
      <c r="P37" s="1101">
        <v>0</v>
      </c>
      <c r="Q37" s="1101">
        <v>0</v>
      </c>
      <c r="R37" s="1101">
        <v>0</v>
      </c>
      <c r="S37" s="1101">
        <v>0</v>
      </c>
      <c r="T37" s="1101">
        <v>0</v>
      </c>
      <c r="U37" s="1101">
        <v>0</v>
      </c>
      <c r="V37" s="1101">
        <v>3122912</v>
      </c>
      <c r="W37" s="1101">
        <v>0</v>
      </c>
      <c r="X37" s="1101">
        <v>0</v>
      </c>
      <c r="Y37" s="1101">
        <v>376613</v>
      </c>
      <c r="Z37" s="1101">
        <v>0</v>
      </c>
      <c r="AA37" s="1101">
        <v>0</v>
      </c>
      <c r="AB37" s="1101">
        <v>0</v>
      </c>
      <c r="AC37" s="1101">
        <v>0</v>
      </c>
      <c r="AD37" s="1101">
        <v>0</v>
      </c>
      <c r="AE37" s="1101">
        <v>0</v>
      </c>
      <c r="AF37" s="1101">
        <v>0</v>
      </c>
      <c r="AG37" s="1101">
        <v>0</v>
      </c>
      <c r="AH37" s="1101">
        <v>0</v>
      </c>
      <c r="AI37" s="1101">
        <v>0</v>
      </c>
      <c r="AJ37" s="1101">
        <v>0</v>
      </c>
      <c r="AK37" s="1101">
        <v>0</v>
      </c>
      <c r="AL37" s="1101">
        <v>0</v>
      </c>
      <c r="AM37" s="1101">
        <v>0</v>
      </c>
      <c r="AN37" s="1101">
        <v>3354441</v>
      </c>
      <c r="AO37" s="1101">
        <v>0</v>
      </c>
      <c r="AP37" s="1101">
        <v>0</v>
      </c>
      <c r="AQ37" s="1101">
        <v>0</v>
      </c>
      <c r="AR37" s="1101">
        <v>0</v>
      </c>
      <c r="AS37" s="1101">
        <v>0</v>
      </c>
      <c r="AT37" s="1101">
        <v>0</v>
      </c>
      <c r="AU37" s="1101">
        <v>0</v>
      </c>
      <c r="AV37" s="1101">
        <v>0</v>
      </c>
      <c r="AW37" s="1101">
        <v>0</v>
      </c>
      <c r="AX37" s="1101">
        <v>0</v>
      </c>
      <c r="AY37" s="1101">
        <v>0</v>
      </c>
      <c r="AZ37" s="1101">
        <v>0</v>
      </c>
      <c r="BA37" s="1101">
        <v>0</v>
      </c>
      <c r="BB37" s="1101">
        <v>0</v>
      </c>
      <c r="BC37" s="1101">
        <v>0</v>
      </c>
      <c r="BD37" s="1101">
        <v>0</v>
      </c>
      <c r="BE37" s="1101">
        <v>0</v>
      </c>
      <c r="BF37" s="1101">
        <v>-145362</v>
      </c>
      <c r="BG37" s="1101">
        <v>0</v>
      </c>
      <c r="BH37" s="1101">
        <v>0</v>
      </c>
      <c r="BI37" s="1101">
        <v>0</v>
      </c>
      <c r="BJ37" s="1101">
        <v>0</v>
      </c>
      <c r="BK37" s="1101">
        <v>0</v>
      </c>
      <c r="BL37" s="1101">
        <v>0</v>
      </c>
      <c r="BM37" s="1101">
        <v>0</v>
      </c>
      <c r="BN37" s="1101">
        <v>0</v>
      </c>
      <c r="BO37" s="1101">
        <v>0</v>
      </c>
      <c r="BP37" s="1101">
        <v>0</v>
      </c>
      <c r="BQ37" s="1101">
        <v>0</v>
      </c>
      <c r="BR37" s="1101">
        <v>0</v>
      </c>
      <c r="BS37" s="1101">
        <v>0</v>
      </c>
      <c r="BT37" s="1101">
        <v>0</v>
      </c>
      <c r="BU37" s="1101">
        <v>0</v>
      </c>
      <c r="BV37" s="1101">
        <v>0</v>
      </c>
      <c r="BW37" s="1101">
        <v>0</v>
      </c>
      <c r="BX37" s="1101">
        <v>-417459</v>
      </c>
      <c r="BY37" s="1101">
        <v>-1101672</v>
      </c>
      <c r="BZ37" s="1101">
        <v>0</v>
      </c>
      <c r="CA37" s="1101">
        <v>0</v>
      </c>
      <c r="CB37" s="1101">
        <v>0</v>
      </c>
      <c r="CC37" s="1101">
        <v>0</v>
      </c>
      <c r="CD37" s="1101">
        <v>0</v>
      </c>
      <c r="CE37" s="1101">
        <v>0</v>
      </c>
      <c r="CF37" s="1101">
        <v>0</v>
      </c>
      <c r="CG37" s="1101">
        <v>0</v>
      </c>
      <c r="CH37" s="1101">
        <v>0</v>
      </c>
      <c r="CI37" s="1101">
        <v>0</v>
      </c>
      <c r="CJ37" s="1101">
        <v>0</v>
      </c>
      <c r="CK37" s="1101">
        <v>0</v>
      </c>
      <c r="CL37" s="1101">
        <v>0</v>
      </c>
      <c r="CM37" s="1101">
        <v>0</v>
      </c>
      <c r="CN37" s="1101">
        <v>0</v>
      </c>
      <c r="CO37" s="1101">
        <v>0</v>
      </c>
      <c r="CP37" s="1101">
        <v>8648106</v>
      </c>
      <c r="CQ37" s="1101">
        <v>22631791</v>
      </c>
      <c r="CR37" s="1101">
        <v>0</v>
      </c>
      <c r="CS37" s="1101">
        <v>0</v>
      </c>
      <c r="CT37" s="1101">
        <v>0</v>
      </c>
      <c r="CU37" s="1101">
        <v>0</v>
      </c>
      <c r="CV37" s="1101">
        <v>0</v>
      </c>
      <c r="CW37" s="1101">
        <v>0</v>
      </c>
      <c r="CX37" s="1101">
        <v>0</v>
      </c>
      <c r="CY37" s="1101">
        <v>0</v>
      </c>
      <c r="CZ37" s="1101">
        <v>0</v>
      </c>
      <c r="DA37" s="1101">
        <v>0</v>
      </c>
      <c r="DB37" s="1101">
        <v>0</v>
      </c>
      <c r="DC37" s="1101">
        <v>0</v>
      </c>
      <c r="DD37" s="1101">
        <v>0</v>
      </c>
      <c r="DE37" s="1101">
        <v>0</v>
      </c>
      <c r="DF37" s="1101">
        <v>0</v>
      </c>
      <c r="DG37" s="1101">
        <v>0</v>
      </c>
      <c r="DH37" s="1101">
        <v>0</v>
      </c>
      <c r="DI37" s="1101">
        <v>0</v>
      </c>
      <c r="DJ37" s="1101">
        <v>0</v>
      </c>
      <c r="DK37" s="1101">
        <v>0</v>
      </c>
      <c r="DL37" s="1101">
        <v>0</v>
      </c>
      <c r="DM37" s="1101">
        <v>0</v>
      </c>
      <c r="DN37" s="1101">
        <v>0</v>
      </c>
      <c r="DO37" s="1101">
        <v>0</v>
      </c>
      <c r="DP37" s="1101">
        <v>0</v>
      </c>
      <c r="DQ37" s="1101">
        <v>0</v>
      </c>
      <c r="DR37" s="1101">
        <v>0</v>
      </c>
      <c r="DS37" s="1101">
        <v>0</v>
      </c>
      <c r="DT37" s="1101">
        <v>0</v>
      </c>
      <c r="DU37" s="1101">
        <v>0</v>
      </c>
      <c r="DV37" s="1101">
        <v>0</v>
      </c>
      <c r="DW37" s="1101">
        <v>0</v>
      </c>
      <c r="DX37" s="1101">
        <v>0</v>
      </c>
      <c r="DY37" s="1101">
        <v>0</v>
      </c>
      <c r="DZ37" s="1101">
        <v>0</v>
      </c>
      <c r="EA37" s="1101">
        <v>0</v>
      </c>
      <c r="EB37" s="1101">
        <v>0</v>
      </c>
      <c r="EC37" s="1101">
        <v>0</v>
      </c>
      <c r="ED37" s="1101">
        <v>0</v>
      </c>
      <c r="EE37" s="1101">
        <v>0</v>
      </c>
      <c r="EF37" s="1101">
        <v>0</v>
      </c>
      <c r="EG37" s="1101">
        <v>0</v>
      </c>
      <c r="EH37" s="1101">
        <v>0</v>
      </c>
      <c r="EI37" s="1101">
        <v>-926451</v>
      </c>
      <c r="EJ37" s="1101">
        <v>-6458848</v>
      </c>
      <c r="EK37" s="1101">
        <v>0</v>
      </c>
      <c r="EL37" s="1101">
        <v>0</v>
      </c>
      <c r="EM37" s="1101">
        <v>0</v>
      </c>
      <c r="EN37" s="1101">
        <v>0</v>
      </c>
      <c r="EO37" s="1101">
        <v>0</v>
      </c>
      <c r="EP37" s="1101">
        <v>0</v>
      </c>
      <c r="EQ37" s="1101">
        <v>0</v>
      </c>
      <c r="ER37" s="1101">
        <v>0</v>
      </c>
      <c r="ES37" s="1101">
        <v>0</v>
      </c>
      <c r="ET37" s="1101">
        <v>0</v>
      </c>
      <c r="EU37" s="1101">
        <v>0</v>
      </c>
      <c r="EV37" s="1101">
        <v>0</v>
      </c>
      <c r="EW37" s="1101">
        <v>0</v>
      </c>
      <c r="EX37" s="1101">
        <v>0</v>
      </c>
      <c r="EY37" s="1101">
        <v>0</v>
      </c>
      <c r="EZ37" s="1101">
        <v>0</v>
      </c>
      <c r="FA37" s="1101">
        <v>0</v>
      </c>
      <c r="FB37" s="1101">
        <v>0</v>
      </c>
      <c r="FC37" s="1101">
        <v>0</v>
      </c>
      <c r="FD37" s="1101">
        <v>0</v>
      </c>
      <c r="FE37" s="1101">
        <v>0</v>
      </c>
      <c r="FF37" s="1101">
        <v>0</v>
      </c>
      <c r="FG37" s="1101">
        <v>0</v>
      </c>
      <c r="FH37" s="1101">
        <v>0</v>
      </c>
      <c r="FI37" s="1101">
        <v>0</v>
      </c>
      <c r="FJ37" s="1101">
        <v>0</v>
      </c>
      <c r="FK37" s="1101">
        <v>0</v>
      </c>
      <c r="FL37" s="1101">
        <v>0</v>
      </c>
      <c r="FM37" s="1101">
        <v>0</v>
      </c>
      <c r="FN37" s="1101">
        <v>0</v>
      </c>
      <c r="FO37" s="1101">
        <v>0</v>
      </c>
      <c r="FP37" s="1101">
        <v>0</v>
      </c>
      <c r="FQ37" s="1101">
        <v>0</v>
      </c>
      <c r="FR37" s="1101">
        <v>0</v>
      </c>
      <c r="FS37" s="1101">
        <v>0</v>
      </c>
      <c r="FT37" s="1101">
        <v>0</v>
      </c>
      <c r="FU37" s="1101">
        <v>0</v>
      </c>
      <c r="FV37" s="1101">
        <v>0</v>
      </c>
      <c r="FW37" s="1101">
        <v>0</v>
      </c>
      <c r="FX37" s="1101">
        <v>0</v>
      </c>
      <c r="FY37" s="1101">
        <v>0</v>
      </c>
      <c r="FZ37" s="1101">
        <v>0</v>
      </c>
      <c r="GA37" s="1101">
        <v>0</v>
      </c>
      <c r="GB37" s="1101">
        <v>0</v>
      </c>
      <c r="GC37" s="1101">
        <v>6466914</v>
      </c>
      <c r="GD37" s="1101">
        <v>0</v>
      </c>
      <c r="GE37" s="1101">
        <v>0</v>
      </c>
      <c r="GF37" s="1101">
        <v>0</v>
      </c>
      <c r="GG37" s="1101">
        <v>0</v>
      </c>
      <c r="GH37" s="1101">
        <v>0</v>
      </c>
      <c r="GI37" s="1101">
        <v>0</v>
      </c>
      <c r="GJ37" s="1101">
        <v>0</v>
      </c>
      <c r="GK37" s="1101">
        <v>0</v>
      </c>
      <c r="GL37" s="1101">
        <v>0</v>
      </c>
      <c r="GM37" s="1101">
        <v>0</v>
      </c>
      <c r="GN37" s="1101">
        <v>0</v>
      </c>
      <c r="GO37" s="1101">
        <v>0</v>
      </c>
      <c r="GP37" s="1101">
        <v>0</v>
      </c>
      <c r="GQ37" s="1101">
        <v>0</v>
      </c>
      <c r="GR37" s="1101">
        <v>0</v>
      </c>
      <c r="GS37" s="1101">
        <v>0</v>
      </c>
      <c r="GT37" s="1101">
        <v>0</v>
      </c>
      <c r="GU37" s="1101">
        <v>0</v>
      </c>
      <c r="GV37" s="1101">
        <v>0</v>
      </c>
      <c r="GW37" s="1101">
        <v>0</v>
      </c>
      <c r="GX37" s="1101">
        <v>0</v>
      </c>
      <c r="GY37" s="1101">
        <v>0</v>
      </c>
      <c r="GZ37" s="1101">
        <v>0</v>
      </c>
      <c r="HA37" s="1101">
        <v>0</v>
      </c>
      <c r="HB37" s="1101">
        <v>0</v>
      </c>
      <c r="HC37" s="1101">
        <v>0</v>
      </c>
      <c r="HD37" s="1101">
        <v>0</v>
      </c>
      <c r="HE37" s="1101">
        <v>0</v>
      </c>
      <c r="HF37" s="1101">
        <v>0</v>
      </c>
      <c r="HG37" s="1101">
        <v>0</v>
      </c>
      <c r="HH37" s="1101">
        <v>0</v>
      </c>
      <c r="HI37" s="1101">
        <v>0</v>
      </c>
      <c r="HJ37" s="1101">
        <v>0</v>
      </c>
      <c r="HK37" s="1101">
        <v>0</v>
      </c>
      <c r="HL37" s="1101">
        <v>0</v>
      </c>
      <c r="HM37" s="1101">
        <v>0</v>
      </c>
      <c r="HN37" s="1101">
        <v>0</v>
      </c>
      <c r="HO37" s="1101">
        <v>0</v>
      </c>
      <c r="HP37" s="1101">
        <v>0</v>
      </c>
      <c r="HQ37" s="1101">
        <v>0</v>
      </c>
      <c r="HR37" s="1101">
        <v>0</v>
      </c>
      <c r="HS37" s="1101">
        <v>0</v>
      </c>
      <c r="HT37" s="1101">
        <v>0</v>
      </c>
      <c r="HU37" s="1101">
        <v>0</v>
      </c>
      <c r="HV37" s="1101">
        <v>0</v>
      </c>
      <c r="HW37" s="1101">
        <v>0</v>
      </c>
      <c r="HX37" s="1101">
        <v>0</v>
      </c>
      <c r="HY37" s="1101">
        <v>0</v>
      </c>
      <c r="HZ37" s="1101">
        <v>0</v>
      </c>
      <c r="IA37" s="1101">
        <v>0</v>
      </c>
      <c r="IB37" s="1101">
        <v>0</v>
      </c>
      <c r="IC37" s="1101">
        <v>0</v>
      </c>
      <c r="ID37" s="1101">
        <v>886773</v>
      </c>
      <c r="IE37" s="1101">
        <v>25959</v>
      </c>
      <c r="IF37" s="1101">
        <v>0</v>
      </c>
      <c r="IG37" s="1101">
        <v>21560648</v>
      </c>
      <c r="IH37" s="1101">
        <v>0</v>
      </c>
      <c r="II37" s="1101">
        <v>0</v>
      </c>
      <c r="IJ37" s="1101">
        <v>0</v>
      </c>
      <c r="IK37" s="1101">
        <v>0</v>
      </c>
      <c r="IL37" s="1101">
        <v>0</v>
      </c>
      <c r="IM37" s="1101">
        <v>11144</v>
      </c>
      <c r="IN37" s="1101">
        <v>722718</v>
      </c>
      <c r="IO37" s="1101">
        <v>0</v>
      </c>
      <c r="IP37" s="1101">
        <v>1276974</v>
      </c>
      <c r="IQ37" s="1101">
        <v>0</v>
      </c>
      <c r="IR37" s="1101">
        <v>62231</v>
      </c>
      <c r="IS37" s="1101">
        <v>0</v>
      </c>
      <c r="IT37" s="1101">
        <v>103</v>
      </c>
      <c r="IU37" s="1101">
        <v>1433</v>
      </c>
      <c r="IV37" s="1101">
        <v>0</v>
      </c>
      <c r="IW37" s="1101">
        <v>0</v>
      </c>
      <c r="IX37" s="1101">
        <v>0</v>
      </c>
      <c r="IY37" s="1101">
        <v>2368</v>
      </c>
      <c r="IZ37" s="1101">
        <v>0</v>
      </c>
      <c r="JA37" s="1101">
        <v>0</v>
      </c>
      <c r="JB37" s="1101">
        <v>0</v>
      </c>
      <c r="JC37" s="1101">
        <v>0</v>
      </c>
      <c r="JD37" s="1101">
        <v>0</v>
      </c>
      <c r="JE37" s="1101">
        <v>0</v>
      </c>
      <c r="JF37" s="1101">
        <v>0</v>
      </c>
      <c r="JG37" s="1101">
        <v>0</v>
      </c>
      <c r="JH37" s="1101">
        <v>496242</v>
      </c>
      <c r="JI37" s="1101">
        <v>0</v>
      </c>
      <c r="JJ37" s="1101">
        <v>0</v>
      </c>
      <c r="JK37" s="1101">
        <v>0</v>
      </c>
      <c r="JL37" s="1101">
        <v>0</v>
      </c>
      <c r="JM37" s="1101">
        <v>0</v>
      </c>
      <c r="JN37" s="1101">
        <v>0</v>
      </c>
      <c r="JO37" s="1101">
        <v>402312</v>
      </c>
      <c r="JP37" s="1101">
        <v>0</v>
      </c>
      <c r="JQ37" s="1101">
        <v>267165</v>
      </c>
      <c r="JR37" s="1101">
        <v>0</v>
      </c>
      <c r="JS37" s="1101">
        <v>0</v>
      </c>
      <c r="JT37" s="1101">
        <v>0</v>
      </c>
      <c r="JU37" s="1101">
        <v>0</v>
      </c>
      <c r="JV37" s="1101">
        <v>0</v>
      </c>
      <c r="JW37" s="1101">
        <v>0</v>
      </c>
      <c r="JX37" s="1101">
        <v>0</v>
      </c>
      <c r="JY37" s="1101">
        <v>467591</v>
      </c>
      <c r="JZ37" s="1101">
        <v>0</v>
      </c>
      <c r="KA37" s="1101">
        <v>0</v>
      </c>
      <c r="KB37" s="1101">
        <v>0</v>
      </c>
      <c r="KC37" s="1101">
        <v>0</v>
      </c>
      <c r="KD37" s="1101">
        <v>0</v>
      </c>
      <c r="KE37" s="1101">
        <v>0</v>
      </c>
      <c r="KF37" s="1101">
        <v>0</v>
      </c>
      <c r="KG37" s="1101">
        <v>924253</v>
      </c>
      <c r="KH37" s="1101">
        <v>0</v>
      </c>
      <c r="KI37" s="1101">
        <v>-826468</v>
      </c>
      <c r="KJ37" s="1101">
        <v>0</v>
      </c>
      <c r="KK37" s="1101">
        <v>0</v>
      </c>
      <c r="KL37" s="1101">
        <v>0</v>
      </c>
      <c r="KM37" s="1101">
        <v>0</v>
      </c>
      <c r="KN37" s="1101">
        <v>294234</v>
      </c>
      <c r="KO37" s="1101">
        <v>12400530</v>
      </c>
      <c r="KP37" s="1101">
        <v>4514884</v>
      </c>
      <c r="KQ37" s="1101">
        <v>0</v>
      </c>
      <c r="KR37" s="1101">
        <v>1153480</v>
      </c>
      <c r="KS37" s="1101">
        <v>0</v>
      </c>
      <c r="KT37" s="1101">
        <v>0</v>
      </c>
      <c r="KU37" s="1101">
        <v>0</v>
      </c>
      <c r="KV37" s="1101">
        <v>0</v>
      </c>
      <c r="KW37" s="1101">
        <v>0</v>
      </c>
      <c r="KX37" s="1101">
        <v>0</v>
      </c>
      <c r="KY37" s="1101">
        <v>60604</v>
      </c>
      <c r="KZ37" s="1101">
        <v>0</v>
      </c>
      <c r="LA37" s="1101">
        <v>52929</v>
      </c>
      <c r="LB37" s="1101">
        <v>0</v>
      </c>
      <c r="LC37" s="1101">
        <v>0</v>
      </c>
      <c r="LD37" s="1101">
        <v>0</v>
      </c>
      <c r="LE37" s="1101">
        <v>0</v>
      </c>
      <c r="LF37" s="1101">
        <v>0</v>
      </c>
      <c r="LG37" s="1101">
        <v>72441</v>
      </c>
      <c r="LH37" s="1101">
        <v>536982</v>
      </c>
      <c r="LI37" s="1101">
        <v>0</v>
      </c>
      <c r="LJ37" s="1101">
        <v>2322407</v>
      </c>
      <c r="LK37" s="1101">
        <v>0</v>
      </c>
      <c r="LL37" s="1101">
        <v>0</v>
      </c>
      <c r="LM37" s="1101">
        <v>0</v>
      </c>
      <c r="LN37" s="1101">
        <v>0</v>
      </c>
      <c r="LO37" s="1101">
        <v>0</v>
      </c>
      <c r="LP37" s="1101">
        <v>2394684</v>
      </c>
      <c r="LQ37" s="1101">
        <v>2142458</v>
      </c>
      <c r="LR37" s="1101">
        <v>0</v>
      </c>
      <c r="LS37" s="1101">
        <v>1549</v>
      </c>
      <c r="LT37" s="1101">
        <v>0</v>
      </c>
      <c r="LU37" s="1101">
        <v>0</v>
      </c>
      <c r="LV37" s="1101">
        <v>0</v>
      </c>
      <c r="LW37" s="1101">
        <v>0</v>
      </c>
      <c r="LX37" s="1101">
        <v>0</v>
      </c>
      <c r="LY37" s="1101">
        <v>3873520</v>
      </c>
      <c r="LZ37" s="1101">
        <v>4810719</v>
      </c>
      <c r="MA37" s="1101">
        <v>0</v>
      </c>
      <c r="MB37" s="1101">
        <v>185411</v>
      </c>
      <c r="MC37" s="1101">
        <v>0</v>
      </c>
      <c r="MD37" s="1101">
        <v>0</v>
      </c>
      <c r="ME37" s="1101">
        <v>0</v>
      </c>
      <c r="MF37" s="1101">
        <v>0</v>
      </c>
      <c r="MG37" s="1101">
        <v>0</v>
      </c>
      <c r="MH37" s="1101">
        <v>5263288</v>
      </c>
      <c r="MI37" s="1101">
        <v>1792855</v>
      </c>
      <c r="MJ37" s="1101">
        <v>0</v>
      </c>
      <c r="MK37" s="1101">
        <v>454952</v>
      </c>
      <c r="ML37" s="1101">
        <v>0</v>
      </c>
      <c r="MM37" s="1101">
        <v>12919</v>
      </c>
      <c r="MN37" s="1101">
        <v>0</v>
      </c>
      <c r="MO37" s="1101">
        <v>0</v>
      </c>
      <c r="MP37" s="1101">
        <v>0</v>
      </c>
      <c r="MQ37" s="1101">
        <v>3256294</v>
      </c>
      <c r="MR37" s="1101">
        <v>1934422</v>
      </c>
      <c r="MS37" s="1101">
        <v>0</v>
      </c>
      <c r="MT37" s="1101">
        <v>647065</v>
      </c>
      <c r="MU37" s="1101">
        <v>0</v>
      </c>
      <c r="MV37" s="1101">
        <v>0</v>
      </c>
      <c r="MW37" s="1101">
        <v>0</v>
      </c>
      <c r="MX37" s="1101">
        <v>0</v>
      </c>
      <c r="MY37" s="1101">
        <v>304733</v>
      </c>
      <c r="MZ37" s="1101">
        <v>4463273</v>
      </c>
      <c r="NA37" s="1101">
        <v>1111119</v>
      </c>
      <c r="NB37" s="1101">
        <v>0</v>
      </c>
      <c r="NC37" s="1101">
        <v>10904876</v>
      </c>
      <c r="ND37" s="1101">
        <v>0</v>
      </c>
      <c r="NE37" s="1101">
        <v>0</v>
      </c>
      <c r="NF37" s="1101">
        <v>0</v>
      </c>
      <c r="NG37" s="1101">
        <v>0</v>
      </c>
      <c r="NH37" s="1101">
        <v>0</v>
      </c>
      <c r="NI37" s="1101">
        <v>0</v>
      </c>
      <c r="NJ37" s="1101">
        <v>0</v>
      </c>
      <c r="NK37" s="1101">
        <v>730452</v>
      </c>
      <c r="NL37" s="1101">
        <v>0</v>
      </c>
      <c r="NM37" s="1101">
        <v>0</v>
      </c>
      <c r="NN37" s="1101">
        <v>0</v>
      </c>
      <c r="NO37" s="1101">
        <v>0</v>
      </c>
      <c r="NP37" s="1101">
        <v>0</v>
      </c>
      <c r="NQ37" s="1101">
        <v>0</v>
      </c>
      <c r="NR37" s="1101">
        <v>840576</v>
      </c>
      <c r="NS37" s="1101">
        <v>604090</v>
      </c>
      <c r="NT37" s="1101">
        <v>238473</v>
      </c>
      <c r="NU37" s="1101">
        <v>280122</v>
      </c>
      <c r="NV37" s="1101">
        <v>0</v>
      </c>
      <c r="NW37" s="1101">
        <v>0</v>
      </c>
      <c r="NX37" s="1101">
        <v>0</v>
      </c>
      <c r="NY37" s="1101">
        <v>0</v>
      </c>
      <c r="NZ37" s="1101">
        <v>0</v>
      </c>
      <c r="OA37" s="1101">
        <v>0</v>
      </c>
      <c r="OB37" s="1101">
        <v>-12471</v>
      </c>
      <c r="OC37" s="1101">
        <v>0</v>
      </c>
      <c r="OD37" s="1101">
        <v>1984496</v>
      </c>
      <c r="OE37" s="1101">
        <v>0</v>
      </c>
      <c r="OF37" s="1101">
        <v>0</v>
      </c>
      <c r="OG37" s="1101">
        <v>0</v>
      </c>
      <c r="OH37" s="1101">
        <v>0</v>
      </c>
      <c r="OI37" s="1101">
        <v>0</v>
      </c>
      <c r="OJ37" s="1101">
        <v>0</v>
      </c>
      <c r="OK37" s="1101">
        <v>0</v>
      </c>
      <c r="OL37" s="1101">
        <v>0</v>
      </c>
      <c r="OM37" s="1101">
        <v>0</v>
      </c>
      <c r="ON37" s="1101">
        <v>0</v>
      </c>
      <c r="OO37" s="1101">
        <v>0</v>
      </c>
      <c r="OP37" s="1101">
        <v>0</v>
      </c>
      <c r="OQ37" s="1101">
        <v>0</v>
      </c>
      <c r="OR37" s="1101">
        <v>-1122444</v>
      </c>
      <c r="OS37" s="1101">
        <v>-8161519</v>
      </c>
      <c r="OT37" s="1101">
        <v>9419388</v>
      </c>
      <c r="OU37" s="1101">
        <v>622662</v>
      </c>
      <c r="OV37" s="1101">
        <v>-4904769</v>
      </c>
      <c r="OW37" s="1101">
        <v>0</v>
      </c>
      <c r="OX37" s="1101">
        <v>-11019897</v>
      </c>
      <c r="OY37" s="1101">
        <v>0</v>
      </c>
      <c r="OZ37" s="1101">
        <v>-2267274</v>
      </c>
      <c r="PA37" s="1101">
        <v>5702442</v>
      </c>
      <c r="PB37" s="1101">
        <v>0</v>
      </c>
      <c r="PC37" s="1101">
        <v>0</v>
      </c>
      <c r="PD37" s="1101">
        <v>0</v>
      </c>
      <c r="PE37" s="1101">
        <v>0</v>
      </c>
      <c r="PF37" s="1101">
        <v>0</v>
      </c>
      <c r="PG37" s="1101">
        <v>0</v>
      </c>
      <c r="PH37" s="1101">
        <v>0</v>
      </c>
      <c r="PI37" s="1101">
        <v>0</v>
      </c>
      <c r="PJ37" s="1101">
        <v>0</v>
      </c>
      <c r="PK37" s="1101">
        <v>0</v>
      </c>
      <c r="PL37" s="1101">
        <v>0</v>
      </c>
      <c r="PM37" s="1101">
        <v>0</v>
      </c>
      <c r="PN37" s="1101">
        <v>0</v>
      </c>
      <c r="PO37" s="1101">
        <v>0</v>
      </c>
      <c r="PP37" s="1101">
        <v>0</v>
      </c>
      <c r="PQ37" s="1101">
        <v>0</v>
      </c>
      <c r="PR37" s="1101">
        <v>0</v>
      </c>
      <c r="PS37" s="1101">
        <v>0</v>
      </c>
      <c r="PT37" s="1101">
        <v>0</v>
      </c>
      <c r="PU37" s="1101">
        <v>1793758</v>
      </c>
      <c r="PV37" s="1101">
        <v>0</v>
      </c>
      <c r="PW37" s="1101">
        <v>0</v>
      </c>
      <c r="PX37" s="1101">
        <v>0</v>
      </c>
      <c r="PY37" s="1101">
        <v>136769</v>
      </c>
      <c r="PZ37" s="1101">
        <v>0</v>
      </c>
      <c r="QA37" s="1101">
        <v>0</v>
      </c>
      <c r="QB37" s="1101">
        <v>0</v>
      </c>
      <c r="QC37" s="1101">
        <v>0</v>
      </c>
      <c r="QD37" s="1101">
        <v>0</v>
      </c>
      <c r="QE37" s="1101">
        <v>0</v>
      </c>
      <c r="QF37" s="1101">
        <v>0</v>
      </c>
      <c r="QG37" s="1101">
        <v>0</v>
      </c>
      <c r="QH37" s="1101">
        <v>840</v>
      </c>
      <c r="QI37" s="1101">
        <v>0</v>
      </c>
      <c r="QJ37" s="1101">
        <v>0</v>
      </c>
      <c r="QK37" s="1101">
        <v>0</v>
      </c>
      <c r="QL37" s="1101">
        <v>0</v>
      </c>
      <c r="QM37" s="1101">
        <v>0</v>
      </c>
      <c r="QN37" s="1101">
        <v>0</v>
      </c>
      <c r="QO37" s="1101">
        <v>0</v>
      </c>
      <c r="QP37" s="1101">
        <v>0</v>
      </c>
      <c r="QQ37" s="1101">
        <v>0</v>
      </c>
      <c r="QR37" s="1101">
        <v>0</v>
      </c>
      <c r="QS37" s="1101">
        <v>0</v>
      </c>
      <c r="QT37" s="1101">
        <v>0</v>
      </c>
      <c r="QU37" s="1101">
        <v>0</v>
      </c>
      <c r="QV37" s="1101">
        <v>0</v>
      </c>
      <c r="QW37" s="1101">
        <v>0</v>
      </c>
      <c r="QX37" s="1101">
        <v>0</v>
      </c>
      <c r="QY37" s="1101">
        <v>0</v>
      </c>
      <c r="QZ37" s="1101">
        <v>0</v>
      </c>
      <c r="RA37" s="1101">
        <v>0</v>
      </c>
      <c r="RB37" s="1101">
        <v>0</v>
      </c>
      <c r="RC37" s="1101">
        <v>-12070890</v>
      </c>
      <c r="RD37" s="1101">
        <v>0</v>
      </c>
      <c r="RE37" s="1101">
        <v>0</v>
      </c>
      <c r="RF37" s="1101">
        <v>0</v>
      </c>
      <c r="RG37" s="1101">
        <v>0</v>
      </c>
      <c r="RH37" s="1101">
        <v>0</v>
      </c>
      <c r="RI37" s="1101">
        <v>0</v>
      </c>
      <c r="RJ37" s="1101">
        <v>0</v>
      </c>
      <c r="RK37" s="1101">
        <v>0</v>
      </c>
      <c r="RL37" s="1101">
        <v>0</v>
      </c>
      <c r="RM37" s="1101">
        <v>0</v>
      </c>
      <c r="RN37" s="1101">
        <v>0</v>
      </c>
      <c r="RO37" s="1101">
        <v>0</v>
      </c>
      <c r="RP37" s="1101">
        <v>0</v>
      </c>
      <c r="RQ37" s="1101">
        <v>0</v>
      </c>
      <c r="RR37" s="1101">
        <v>0</v>
      </c>
      <c r="RS37" s="1101">
        <v>0</v>
      </c>
      <c r="RT37" s="1101">
        <v>0</v>
      </c>
      <c r="RU37" s="1101">
        <v>0</v>
      </c>
      <c r="RV37" s="1101">
        <v>0</v>
      </c>
      <c r="RW37" s="1101">
        <v>0</v>
      </c>
      <c r="RX37" s="1101">
        <v>0</v>
      </c>
      <c r="RY37" s="1101">
        <v>0</v>
      </c>
      <c r="RZ37" s="1101">
        <v>0</v>
      </c>
      <c r="SA37" s="1101">
        <v>0</v>
      </c>
      <c r="SB37" s="1101">
        <v>0</v>
      </c>
      <c r="SC37" s="1101">
        <v>0</v>
      </c>
      <c r="SD37" s="1101">
        <v>415142</v>
      </c>
      <c r="SE37" s="1101">
        <v>0</v>
      </c>
      <c r="SF37" s="1101">
        <v>0</v>
      </c>
      <c r="SG37" s="1101">
        <v>0</v>
      </c>
      <c r="SH37" s="1101">
        <v>0</v>
      </c>
      <c r="SI37" s="1101">
        <v>0</v>
      </c>
      <c r="SJ37" s="1101">
        <v>0</v>
      </c>
      <c r="SK37" s="1101">
        <v>0</v>
      </c>
      <c r="SL37" s="1102">
        <v>0</v>
      </c>
      <c r="SM37" s="1101">
        <v>3085705</v>
      </c>
      <c r="SN37" s="1101">
        <v>2660958</v>
      </c>
      <c r="SO37" s="1102"/>
      <c r="SP37" s="1103"/>
      <c r="SQ37" s="1104">
        <v>37746811</v>
      </c>
      <c r="SR37" s="1104">
        <v>-7385299</v>
      </c>
      <c r="SS37" s="1105">
        <v>0</v>
      </c>
      <c r="ST37" s="1106">
        <v>0</v>
      </c>
      <c r="SU37" s="1106">
        <v>0</v>
      </c>
      <c r="SV37" s="1106">
        <v>44393</v>
      </c>
      <c r="SW37" s="1106">
        <v>0</v>
      </c>
      <c r="SX37" s="1106">
        <v>263851</v>
      </c>
      <c r="SY37" s="1106">
        <v>1416544</v>
      </c>
      <c r="SZ37" s="1106">
        <v>0</v>
      </c>
      <c r="TA37" s="1106">
        <v>238473</v>
      </c>
      <c r="TB37" s="1106">
        <v>0</v>
      </c>
      <c r="TC37" s="1105">
        <v>0</v>
      </c>
      <c r="TD37" s="1106">
        <v>0</v>
      </c>
      <c r="TE37" s="1106">
        <v>0</v>
      </c>
      <c r="TF37" s="1106">
        <v>0</v>
      </c>
      <c r="TG37" s="1106">
        <v>0</v>
      </c>
      <c r="TH37" s="1106">
        <v>0</v>
      </c>
      <c r="TI37" s="1106">
        <v>0</v>
      </c>
      <c r="TJ37" s="1106">
        <v>0</v>
      </c>
      <c r="TK37" s="1105">
        <v>0</v>
      </c>
      <c r="TL37" s="1106">
        <v>0</v>
      </c>
      <c r="TM37" s="1106">
        <v>0</v>
      </c>
      <c r="TN37" s="1106">
        <v>0</v>
      </c>
      <c r="TO37" s="1106">
        <v>0</v>
      </c>
      <c r="TP37" s="1106">
        <v>0</v>
      </c>
      <c r="TQ37" s="1106">
        <v>0</v>
      </c>
      <c r="TR37" s="1106">
        <v>0</v>
      </c>
      <c r="TS37" s="1105">
        <v>18068894</v>
      </c>
      <c r="TT37" s="1106">
        <v>113533</v>
      </c>
      <c r="TU37" s="1106">
        <v>2931830</v>
      </c>
      <c r="TV37" s="1106">
        <v>4538691</v>
      </c>
      <c r="TW37" s="1106">
        <v>8869650</v>
      </c>
      <c r="TX37" s="1106">
        <v>7524014</v>
      </c>
      <c r="TY37" s="1106">
        <v>6142514</v>
      </c>
      <c r="TZ37" s="1107">
        <v>16479268</v>
      </c>
      <c r="UA37" s="1107">
        <v>730452</v>
      </c>
      <c r="UB37" s="1105">
        <v>840</v>
      </c>
      <c r="UC37" s="1108">
        <v>1930527</v>
      </c>
      <c r="UD37" s="1108"/>
      <c r="UE37" s="1103"/>
      <c r="UF37" s="1109" t="s">
        <v>2453</v>
      </c>
      <c r="UG37" s="1110">
        <v>0</v>
      </c>
      <c r="UH37" s="1110" t="s">
        <v>2454</v>
      </c>
    </row>
    <row r="38" spans="1:554" s="776" customFormat="1" ht="15.75" thickBot="1">
      <c r="A38" s="1093">
        <v>340</v>
      </c>
      <c r="B38" s="1094" t="s">
        <v>124</v>
      </c>
      <c r="C38" s="1095" t="s">
        <v>334</v>
      </c>
      <c r="D38" s="1096" t="s">
        <v>2398</v>
      </c>
      <c r="E38" s="1448">
        <v>3592</v>
      </c>
      <c r="F38" s="1098">
        <v>363437688</v>
      </c>
      <c r="G38" s="1096" t="s">
        <v>2399</v>
      </c>
      <c r="H38" s="1100" t="s">
        <v>124</v>
      </c>
      <c r="I38" s="1100"/>
      <c r="J38" s="1100"/>
      <c r="K38" s="1100"/>
      <c r="L38" s="1100"/>
      <c r="M38" s="1101">
        <v>26399431</v>
      </c>
      <c r="N38" s="1101">
        <v>0</v>
      </c>
      <c r="O38" s="1101">
        <v>0</v>
      </c>
      <c r="P38" s="1101">
        <v>0</v>
      </c>
      <c r="Q38" s="1101">
        <v>0</v>
      </c>
      <c r="R38" s="1101">
        <v>0</v>
      </c>
      <c r="S38" s="1101">
        <v>0</v>
      </c>
      <c r="T38" s="1101">
        <v>0</v>
      </c>
      <c r="U38" s="1101">
        <v>0</v>
      </c>
      <c r="V38" s="1101">
        <v>28179</v>
      </c>
      <c r="W38" s="1101">
        <v>0</v>
      </c>
      <c r="X38" s="1101">
        <v>0</v>
      </c>
      <c r="Y38" s="1101">
        <v>4287787</v>
      </c>
      <c r="Z38" s="1101">
        <v>0</v>
      </c>
      <c r="AA38" s="1101">
        <v>0</v>
      </c>
      <c r="AB38" s="1101">
        <v>0</v>
      </c>
      <c r="AC38" s="1101">
        <v>0</v>
      </c>
      <c r="AD38" s="1101">
        <v>0</v>
      </c>
      <c r="AE38" s="1101">
        <v>0</v>
      </c>
      <c r="AF38" s="1101">
        <v>0</v>
      </c>
      <c r="AG38" s="1101">
        <v>0</v>
      </c>
      <c r="AH38" s="1101">
        <v>0</v>
      </c>
      <c r="AI38" s="1101">
        <v>0</v>
      </c>
      <c r="AJ38" s="1101">
        <v>0</v>
      </c>
      <c r="AK38" s="1101">
        <v>0</v>
      </c>
      <c r="AL38" s="1101">
        <v>0</v>
      </c>
      <c r="AM38" s="1101">
        <v>0</v>
      </c>
      <c r="AN38" s="1101">
        <v>4933200</v>
      </c>
      <c r="AO38" s="1101">
        <v>0</v>
      </c>
      <c r="AP38" s="1101">
        <v>0</v>
      </c>
      <c r="AQ38" s="1101">
        <v>0</v>
      </c>
      <c r="AR38" s="1101">
        <v>0</v>
      </c>
      <c r="AS38" s="1101">
        <v>0</v>
      </c>
      <c r="AT38" s="1101">
        <v>0</v>
      </c>
      <c r="AU38" s="1101">
        <v>0</v>
      </c>
      <c r="AV38" s="1101">
        <v>0</v>
      </c>
      <c r="AW38" s="1101">
        <v>0</v>
      </c>
      <c r="AX38" s="1101">
        <v>0</v>
      </c>
      <c r="AY38" s="1101">
        <v>0</v>
      </c>
      <c r="AZ38" s="1101">
        <v>0</v>
      </c>
      <c r="BA38" s="1101">
        <v>0</v>
      </c>
      <c r="BB38" s="1101">
        <v>0</v>
      </c>
      <c r="BC38" s="1101">
        <v>0</v>
      </c>
      <c r="BD38" s="1101">
        <v>0</v>
      </c>
      <c r="BE38" s="1101">
        <v>0</v>
      </c>
      <c r="BF38" s="1101">
        <v>-3442502</v>
      </c>
      <c r="BG38" s="1101">
        <v>0</v>
      </c>
      <c r="BH38" s="1101">
        <v>0</v>
      </c>
      <c r="BI38" s="1101">
        <v>0</v>
      </c>
      <c r="BJ38" s="1101">
        <v>0</v>
      </c>
      <c r="BK38" s="1101">
        <v>0</v>
      </c>
      <c r="BL38" s="1101">
        <v>0</v>
      </c>
      <c r="BM38" s="1101">
        <v>0</v>
      </c>
      <c r="BN38" s="1101">
        <v>0</v>
      </c>
      <c r="BO38" s="1101">
        <v>0</v>
      </c>
      <c r="BP38" s="1101">
        <v>0</v>
      </c>
      <c r="BQ38" s="1101">
        <v>0</v>
      </c>
      <c r="BR38" s="1101">
        <v>0</v>
      </c>
      <c r="BS38" s="1101">
        <v>0</v>
      </c>
      <c r="BT38" s="1101">
        <v>0</v>
      </c>
      <c r="BU38" s="1101">
        <v>0</v>
      </c>
      <c r="BV38" s="1101">
        <v>0</v>
      </c>
      <c r="BW38" s="1101">
        <v>0</v>
      </c>
      <c r="BX38" s="1101">
        <v>0</v>
      </c>
      <c r="BY38" s="1101">
        <v>0</v>
      </c>
      <c r="BZ38" s="1101">
        <v>0</v>
      </c>
      <c r="CA38" s="1101">
        <v>0</v>
      </c>
      <c r="CB38" s="1101">
        <v>0</v>
      </c>
      <c r="CC38" s="1101">
        <v>0</v>
      </c>
      <c r="CD38" s="1101">
        <v>0</v>
      </c>
      <c r="CE38" s="1101">
        <v>0</v>
      </c>
      <c r="CF38" s="1101">
        <v>0</v>
      </c>
      <c r="CG38" s="1101">
        <v>0</v>
      </c>
      <c r="CH38" s="1101">
        <v>0</v>
      </c>
      <c r="CI38" s="1101">
        <v>0</v>
      </c>
      <c r="CJ38" s="1101">
        <v>0</v>
      </c>
      <c r="CK38" s="1101">
        <v>0</v>
      </c>
      <c r="CL38" s="1101">
        <v>0</v>
      </c>
      <c r="CM38" s="1101">
        <v>0</v>
      </c>
      <c r="CN38" s="1101">
        <v>0</v>
      </c>
      <c r="CO38" s="1101">
        <v>0</v>
      </c>
      <c r="CP38" s="1101">
        <v>7164919</v>
      </c>
      <c r="CQ38" s="1101">
        <v>19823872</v>
      </c>
      <c r="CR38" s="1101">
        <v>0</v>
      </c>
      <c r="CS38" s="1101">
        <v>0</v>
      </c>
      <c r="CT38" s="1101">
        <v>0</v>
      </c>
      <c r="CU38" s="1101">
        <v>0</v>
      </c>
      <c r="CV38" s="1101">
        <v>0</v>
      </c>
      <c r="CW38" s="1101">
        <v>0</v>
      </c>
      <c r="CX38" s="1101">
        <v>0</v>
      </c>
      <c r="CY38" s="1101">
        <v>0</v>
      </c>
      <c r="CZ38" s="1101">
        <v>0</v>
      </c>
      <c r="DA38" s="1101">
        <v>0</v>
      </c>
      <c r="DB38" s="1101">
        <v>0</v>
      </c>
      <c r="DC38" s="1101">
        <v>0</v>
      </c>
      <c r="DD38" s="1101">
        <v>0</v>
      </c>
      <c r="DE38" s="1101">
        <v>0</v>
      </c>
      <c r="DF38" s="1101">
        <v>0</v>
      </c>
      <c r="DG38" s="1101">
        <v>0</v>
      </c>
      <c r="DH38" s="1101">
        <v>0</v>
      </c>
      <c r="DI38" s="1101">
        <v>0</v>
      </c>
      <c r="DJ38" s="1101">
        <v>0</v>
      </c>
      <c r="DK38" s="1101">
        <v>0</v>
      </c>
      <c r="DL38" s="1101">
        <v>0</v>
      </c>
      <c r="DM38" s="1101">
        <v>0</v>
      </c>
      <c r="DN38" s="1101">
        <v>0</v>
      </c>
      <c r="DO38" s="1101">
        <v>0</v>
      </c>
      <c r="DP38" s="1101">
        <v>0</v>
      </c>
      <c r="DQ38" s="1101">
        <v>-487495</v>
      </c>
      <c r="DR38" s="1101">
        <v>-1046245</v>
      </c>
      <c r="DS38" s="1101">
        <v>0</v>
      </c>
      <c r="DT38" s="1101">
        <v>0</v>
      </c>
      <c r="DU38" s="1101">
        <v>0</v>
      </c>
      <c r="DV38" s="1101">
        <v>0</v>
      </c>
      <c r="DW38" s="1101">
        <v>0</v>
      </c>
      <c r="DX38" s="1101">
        <v>0</v>
      </c>
      <c r="DY38" s="1101">
        <v>0</v>
      </c>
      <c r="DZ38" s="1101">
        <v>0</v>
      </c>
      <c r="EA38" s="1101">
        <v>-132158</v>
      </c>
      <c r="EB38" s="1101">
        <v>0</v>
      </c>
      <c r="EC38" s="1101">
        <v>0</v>
      </c>
      <c r="ED38" s="1101">
        <v>0</v>
      </c>
      <c r="EE38" s="1101">
        <v>0</v>
      </c>
      <c r="EF38" s="1101">
        <v>0</v>
      </c>
      <c r="EG38" s="1101">
        <v>0</v>
      </c>
      <c r="EH38" s="1101">
        <v>0</v>
      </c>
      <c r="EI38" s="1101">
        <v>-2060157</v>
      </c>
      <c r="EJ38" s="1101">
        <v>-5870431</v>
      </c>
      <c r="EK38" s="1101">
        <v>0</v>
      </c>
      <c r="EL38" s="1101">
        <v>0</v>
      </c>
      <c r="EM38" s="1101">
        <v>0</v>
      </c>
      <c r="EN38" s="1101">
        <v>0</v>
      </c>
      <c r="EO38" s="1101">
        <v>0</v>
      </c>
      <c r="EP38" s="1101">
        <v>0</v>
      </c>
      <c r="EQ38" s="1101">
        <v>0</v>
      </c>
      <c r="ER38" s="1101">
        <v>0</v>
      </c>
      <c r="ES38" s="1101">
        <v>0</v>
      </c>
      <c r="ET38" s="1101">
        <v>0</v>
      </c>
      <c r="EU38" s="1101">
        <v>0</v>
      </c>
      <c r="EV38" s="1101">
        <v>0</v>
      </c>
      <c r="EW38" s="1101">
        <v>0</v>
      </c>
      <c r="EX38" s="1101">
        <v>0</v>
      </c>
      <c r="EY38" s="1101">
        <v>0</v>
      </c>
      <c r="EZ38" s="1101">
        <v>0</v>
      </c>
      <c r="FA38" s="1101">
        <v>0</v>
      </c>
      <c r="FB38" s="1101">
        <v>0</v>
      </c>
      <c r="FC38" s="1101">
        <v>0</v>
      </c>
      <c r="FD38" s="1101">
        <v>0</v>
      </c>
      <c r="FE38" s="1101">
        <v>0</v>
      </c>
      <c r="FF38" s="1101">
        <v>0</v>
      </c>
      <c r="FG38" s="1101">
        <v>0</v>
      </c>
      <c r="FH38" s="1101">
        <v>0</v>
      </c>
      <c r="FI38" s="1101">
        <v>0</v>
      </c>
      <c r="FJ38" s="1101">
        <v>0</v>
      </c>
      <c r="FK38" s="1101">
        <v>0</v>
      </c>
      <c r="FL38" s="1101">
        <v>0</v>
      </c>
      <c r="FM38" s="1101">
        <v>0</v>
      </c>
      <c r="FN38" s="1101">
        <v>0</v>
      </c>
      <c r="FO38" s="1101">
        <v>0</v>
      </c>
      <c r="FP38" s="1101">
        <v>0</v>
      </c>
      <c r="FQ38" s="1101">
        <v>0</v>
      </c>
      <c r="FR38" s="1101">
        <v>0</v>
      </c>
      <c r="FS38" s="1101">
        <v>0</v>
      </c>
      <c r="FT38" s="1101">
        <v>0</v>
      </c>
      <c r="FU38" s="1101">
        <v>0</v>
      </c>
      <c r="FV38" s="1101">
        <v>0</v>
      </c>
      <c r="FW38" s="1101">
        <v>0</v>
      </c>
      <c r="FX38" s="1101">
        <v>0</v>
      </c>
      <c r="FY38" s="1101">
        <v>0</v>
      </c>
      <c r="FZ38" s="1101">
        <v>0</v>
      </c>
      <c r="GA38" s="1101">
        <v>0</v>
      </c>
      <c r="GB38" s="1101">
        <v>50290</v>
      </c>
      <c r="GC38" s="1101">
        <v>25000602</v>
      </c>
      <c r="GD38" s="1101">
        <v>460882</v>
      </c>
      <c r="GE38" s="1101">
        <v>0</v>
      </c>
      <c r="GF38" s="1101">
        <v>0</v>
      </c>
      <c r="GG38" s="1101">
        <v>0</v>
      </c>
      <c r="GH38" s="1101">
        <v>0</v>
      </c>
      <c r="GI38" s="1101">
        <v>0</v>
      </c>
      <c r="GJ38" s="1101">
        <v>0</v>
      </c>
      <c r="GK38" s="1101">
        <v>0</v>
      </c>
      <c r="GL38" s="1101">
        <v>0</v>
      </c>
      <c r="GM38" s="1101">
        <v>0</v>
      </c>
      <c r="GN38" s="1101">
        <v>0</v>
      </c>
      <c r="GO38" s="1101">
        <v>0</v>
      </c>
      <c r="GP38" s="1101">
        <v>0</v>
      </c>
      <c r="GQ38" s="1101">
        <v>0</v>
      </c>
      <c r="GR38" s="1101">
        <v>0</v>
      </c>
      <c r="GS38" s="1101">
        <v>0</v>
      </c>
      <c r="GT38" s="1101">
        <v>0</v>
      </c>
      <c r="GU38" s="1101">
        <v>0</v>
      </c>
      <c r="GV38" s="1101">
        <v>0</v>
      </c>
      <c r="GW38" s="1101">
        <v>0</v>
      </c>
      <c r="GX38" s="1101">
        <v>0</v>
      </c>
      <c r="GY38" s="1101">
        <v>0</v>
      </c>
      <c r="GZ38" s="1101">
        <v>0</v>
      </c>
      <c r="HA38" s="1101">
        <v>0</v>
      </c>
      <c r="HB38" s="1101">
        <v>0</v>
      </c>
      <c r="HC38" s="1101">
        <v>-2705</v>
      </c>
      <c r="HD38" s="1101">
        <v>-1081098</v>
      </c>
      <c r="HE38" s="1101">
        <v>-58877</v>
      </c>
      <c r="HF38" s="1101">
        <v>0</v>
      </c>
      <c r="HG38" s="1101">
        <v>0</v>
      </c>
      <c r="HH38" s="1101">
        <v>0</v>
      </c>
      <c r="HI38" s="1101">
        <v>0</v>
      </c>
      <c r="HJ38" s="1101">
        <v>0</v>
      </c>
      <c r="HK38" s="1101">
        <v>0</v>
      </c>
      <c r="HL38" s="1101">
        <v>0</v>
      </c>
      <c r="HM38" s="1101">
        <v>-998459</v>
      </c>
      <c r="HN38" s="1101">
        <v>-133610</v>
      </c>
      <c r="HO38" s="1101">
        <v>0</v>
      </c>
      <c r="HP38" s="1101">
        <v>0</v>
      </c>
      <c r="HQ38" s="1101">
        <v>0</v>
      </c>
      <c r="HR38" s="1101">
        <v>0</v>
      </c>
      <c r="HS38" s="1101">
        <v>0</v>
      </c>
      <c r="HT38" s="1101">
        <v>0</v>
      </c>
      <c r="HU38" s="1101">
        <v>-15177</v>
      </c>
      <c r="HV38" s="1101">
        <v>-6809983</v>
      </c>
      <c r="HW38" s="1101">
        <v>28610</v>
      </c>
      <c r="HX38" s="1101">
        <v>0</v>
      </c>
      <c r="HY38" s="1101">
        <v>0</v>
      </c>
      <c r="HZ38" s="1101">
        <v>0</v>
      </c>
      <c r="IA38" s="1101">
        <v>0</v>
      </c>
      <c r="IB38" s="1101">
        <v>0</v>
      </c>
      <c r="IC38" s="1101">
        <v>0</v>
      </c>
      <c r="ID38" s="1101">
        <v>1040585</v>
      </c>
      <c r="IE38" s="1101">
        <v>14208</v>
      </c>
      <c r="IF38" s="1101">
        <v>0</v>
      </c>
      <c r="IG38" s="1101">
        <v>22302052</v>
      </c>
      <c r="IH38" s="1101">
        <v>0</v>
      </c>
      <c r="II38" s="1101">
        <v>0</v>
      </c>
      <c r="IJ38" s="1101">
        <v>0</v>
      </c>
      <c r="IK38" s="1101">
        <v>0</v>
      </c>
      <c r="IL38" s="1101">
        <v>0</v>
      </c>
      <c r="IM38" s="1101">
        <v>17461</v>
      </c>
      <c r="IN38" s="1101">
        <v>1191103</v>
      </c>
      <c r="IO38" s="1101">
        <v>0</v>
      </c>
      <c r="IP38" s="1101">
        <v>1115726</v>
      </c>
      <c r="IQ38" s="1101">
        <v>3499</v>
      </c>
      <c r="IR38" s="1101">
        <v>-32922</v>
      </c>
      <c r="IS38" s="1101">
        <v>133875</v>
      </c>
      <c r="IT38" s="1101">
        <v>0</v>
      </c>
      <c r="IU38" s="1101">
        <v>0</v>
      </c>
      <c r="IV38" s="1101">
        <v>0</v>
      </c>
      <c r="IW38" s="1101">
        <v>0</v>
      </c>
      <c r="IX38" s="1101">
        <v>0</v>
      </c>
      <c r="IY38" s="1101">
        <v>0</v>
      </c>
      <c r="IZ38" s="1101">
        <v>0</v>
      </c>
      <c r="JA38" s="1101">
        <v>0</v>
      </c>
      <c r="JB38" s="1101">
        <v>0</v>
      </c>
      <c r="JC38" s="1101">
        <v>0</v>
      </c>
      <c r="JD38" s="1101">
        <v>0</v>
      </c>
      <c r="JE38" s="1101">
        <v>0</v>
      </c>
      <c r="JF38" s="1101">
        <v>267655</v>
      </c>
      <c r="JG38" s="1101">
        <v>1865</v>
      </c>
      <c r="JH38" s="1101">
        <v>6446240</v>
      </c>
      <c r="JI38" s="1101">
        <v>0</v>
      </c>
      <c r="JJ38" s="1101">
        <v>0</v>
      </c>
      <c r="JK38" s="1101">
        <v>250000</v>
      </c>
      <c r="JL38" s="1101">
        <v>0</v>
      </c>
      <c r="JM38" s="1101">
        <v>0</v>
      </c>
      <c r="JN38" s="1101">
        <v>75</v>
      </c>
      <c r="JO38" s="1101">
        <v>798876</v>
      </c>
      <c r="JP38" s="1101">
        <v>0</v>
      </c>
      <c r="JQ38" s="1101">
        <v>6643</v>
      </c>
      <c r="JR38" s="1101">
        <v>0</v>
      </c>
      <c r="JS38" s="1101">
        <v>0</v>
      </c>
      <c r="JT38" s="1101">
        <v>0</v>
      </c>
      <c r="JU38" s="1101">
        <v>0</v>
      </c>
      <c r="JV38" s="1101">
        <v>0</v>
      </c>
      <c r="JW38" s="1101">
        <v>0</v>
      </c>
      <c r="JX38" s="1101">
        <v>0</v>
      </c>
      <c r="JY38" s="1101">
        <v>13143360</v>
      </c>
      <c r="JZ38" s="1101">
        <v>0</v>
      </c>
      <c r="KA38" s="1101">
        <v>0</v>
      </c>
      <c r="KB38" s="1101">
        <v>0</v>
      </c>
      <c r="KC38" s="1101">
        <v>0</v>
      </c>
      <c r="KD38" s="1101">
        <v>0</v>
      </c>
      <c r="KE38" s="1101">
        <v>0</v>
      </c>
      <c r="KF38" s="1101">
        <v>1890</v>
      </c>
      <c r="KG38" s="1101">
        <v>895165</v>
      </c>
      <c r="KH38" s="1101">
        <v>10695</v>
      </c>
      <c r="KI38" s="1101">
        <v>244592</v>
      </c>
      <c r="KJ38" s="1101">
        <v>46907</v>
      </c>
      <c r="KK38" s="1101">
        <v>0</v>
      </c>
      <c r="KL38" s="1101">
        <v>625845</v>
      </c>
      <c r="KM38" s="1101">
        <v>0</v>
      </c>
      <c r="KN38" s="1101">
        <v>0</v>
      </c>
      <c r="KO38" s="1101">
        <v>23453277</v>
      </c>
      <c r="KP38" s="1101">
        <v>13823890</v>
      </c>
      <c r="KQ38" s="1101">
        <v>0</v>
      </c>
      <c r="KR38" s="1101">
        <v>657143</v>
      </c>
      <c r="KS38" s="1101">
        <v>0</v>
      </c>
      <c r="KT38" s="1101">
        <v>0</v>
      </c>
      <c r="KU38" s="1101">
        <v>0</v>
      </c>
      <c r="KV38" s="1101">
        <v>0</v>
      </c>
      <c r="KW38" s="1101">
        <v>0</v>
      </c>
      <c r="KX38" s="1101">
        <v>32586</v>
      </c>
      <c r="KY38" s="1101">
        <v>295367</v>
      </c>
      <c r="KZ38" s="1101">
        <v>0</v>
      </c>
      <c r="LA38" s="1101">
        <v>554210</v>
      </c>
      <c r="LB38" s="1101">
        <v>0</v>
      </c>
      <c r="LC38" s="1101">
        <v>0</v>
      </c>
      <c r="LD38" s="1101">
        <v>0</v>
      </c>
      <c r="LE38" s="1101">
        <v>0</v>
      </c>
      <c r="LF38" s="1101">
        <v>0</v>
      </c>
      <c r="LG38" s="1101">
        <v>126059</v>
      </c>
      <c r="LH38" s="1101">
        <v>403166</v>
      </c>
      <c r="LI38" s="1101">
        <v>0</v>
      </c>
      <c r="LJ38" s="1101">
        <v>552077</v>
      </c>
      <c r="LK38" s="1101">
        <v>0</v>
      </c>
      <c r="LL38" s="1101">
        <v>0</v>
      </c>
      <c r="LM38" s="1101">
        <v>0</v>
      </c>
      <c r="LN38" s="1101">
        <v>0</v>
      </c>
      <c r="LO38" s="1101">
        <v>0</v>
      </c>
      <c r="LP38" s="1101">
        <v>2885553</v>
      </c>
      <c r="LQ38" s="1101">
        <v>5075115</v>
      </c>
      <c r="LR38" s="1101">
        <v>0</v>
      </c>
      <c r="LS38" s="1101">
        <v>2469768</v>
      </c>
      <c r="LT38" s="1101">
        <v>0</v>
      </c>
      <c r="LU38" s="1101">
        <v>0</v>
      </c>
      <c r="LV38" s="1101">
        <v>0</v>
      </c>
      <c r="LW38" s="1101">
        <v>0</v>
      </c>
      <c r="LX38" s="1101">
        <v>0</v>
      </c>
      <c r="LY38" s="1101">
        <v>1448699</v>
      </c>
      <c r="LZ38" s="1101">
        <v>11188606</v>
      </c>
      <c r="MA38" s="1101">
        <v>0</v>
      </c>
      <c r="MB38" s="1101">
        <v>547336</v>
      </c>
      <c r="MC38" s="1101">
        <v>467508</v>
      </c>
      <c r="MD38" s="1101">
        <v>0</v>
      </c>
      <c r="ME38" s="1101">
        <v>0</v>
      </c>
      <c r="MF38" s="1101">
        <v>0</v>
      </c>
      <c r="MG38" s="1101">
        <v>0</v>
      </c>
      <c r="MH38" s="1101">
        <v>2037095</v>
      </c>
      <c r="MI38" s="1101">
        <v>6395159</v>
      </c>
      <c r="MJ38" s="1101">
        <v>0</v>
      </c>
      <c r="MK38" s="1101">
        <v>259456</v>
      </c>
      <c r="ML38" s="1101">
        <v>0</v>
      </c>
      <c r="MM38" s="1101">
        <v>0</v>
      </c>
      <c r="MN38" s="1101">
        <v>0</v>
      </c>
      <c r="MO38" s="1101">
        <v>0</v>
      </c>
      <c r="MP38" s="1101">
        <v>0</v>
      </c>
      <c r="MQ38" s="1101">
        <v>5845789</v>
      </c>
      <c r="MR38" s="1101">
        <v>1347704</v>
      </c>
      <c r="MS38" s="1101">
        <v>0</v>
      </c>
      <c r="MT38" s="1101">
        <v>67108</v>
      </c>
      <c r="MU38" s="1101">
        <v>0</v>
      </c>
      <c r="MV38" s="1101">
        <v>0</v>
      </c>
      <c r="MW38" s="1101">
        <v>40950</v>
      </c>
      <c r="MX38" s="1101">
        <v>1600</v>
      </c>
      <c r="MY38" s="1101">
        <v>0</v>
      </c>
      <c r="MZ38" s="1101">
        <v>0</v>
      </c>
      <c r="NA38" s="1101">
        <v>0</v>
      </c>
      <c r="NB38" s="1101">
        <v>0</v>
      </c>
      <c r="NC38" s="1101">
        <v>17262753</v>
      </c>
      <c r="ND38" s="1101">
        <v>0</v>
      </c>
      <c r="NE38" s="1101">
        <v>0</v>
      </c>
      <c r="NF38" s="1101">
        <v>0</v>
      </c>
      <c r="NG38" s="1101">
        <v>0</v>
      </c>
      <c r="NH38" s="1101">
        <v>0</v>
      </c>
      <c r="NI38" s="1101">
        <v>0</v>
      </c>
      <c r="NJ38" s="1101">
        <v>0</v>
      </c>
      <c r="NK38" s="1101">
        <v>8568034</v>
      </c>
      <c r="NL38" s="1101">
        <v>0</v>
      </c>
      <c r="NM38" s="1101">
        <v>0</v>
      </c>
      <c r="NN38" s="1101">
        <v>0</v>
      </c>
      <c r="NO38" s="1101">
        <v>0</v>
      </c>
      <c r="NP38" s="1101">
        <v>0</v>
      </c>
      <c r="NQ38" s="1101">
        <v>0</v>
      </c>
      <c r="NR38" s="1101">
        <v>669728</v>
      </c>
      <c r="NS38" s="1101">
        <v>145250</v>
      </c>
      <c r="NT38" s="1101">
        <v>0</v>
      </c>
      <c r="NU38" s="1101">
        <v>4772300</v>
      </c>
      <c r="NV38" s="1101">
        <v>0</v>
      </c>
      <c r="NW38" s="1101">
        <v>0</v>
      </c>
      <c r="NX38" s="1101">
        <v>0</v>
      </c>
      <c r="NY38" s="1101">
        <v>0</v>
      </c>
      <c r="NZ38" s="1101">
        <v>0</v>
      </c>
      <c r="OA38" s="1101">
        <v>0</v>
      </c>
      <c r="OB38" s="1101">
        <v>0</v>
      </c>
      <c r="OC38" s="1101">
        <v>0</v>
      </c>
      <c r="OD38" s="1101">
        <v>0</v>
      </c>
      <c r="OE38" s="1101">
        <v>0</v>
      </c>
      <c r="OF38" s="1101">
        <v>0</v>
      </c>
      <c r="OG38" s="1101">
        <v>0</v>
      </c>
      <c r="OH38" s="1101">
        <v>0</v>
      </c>
      <c r="OI38" s="1101">
        <v>358259</v>
      </c>
      <c r="OJ38" s="1101">
        <v>0</v>
      </c>
      <c r="OK38" s="1101">
        <v>0</v>
      </c>
      <c r="OL38" s="1101">
        <v>0</v>
      </c>
      <c r="OM38" s="1101">
        <v>0</v>
      </c>
      <c r="ON38" s="1101">
        <v>0</v>
      </c>
      <c r="OO38" s="1101">
        <v>0</v>
      </c>
      <c r="OP38" s="1101">
        <v>-1763329</v>
      </c>
      <c r="OQ38" s="1101">
        <v>0</v>
      </c>
      <c r="OR38" s="1101">
        <v>0</v>
      </c>
      <c r="OS38" s="1101">
        <v>-7245416</v>
      </c>
      <c r="OT38" s="1101">
        <v>6663901</v>
      </c>
      <c r="OU38" s="1101">
        <v>-4283502</v>
      </c>
      <c r="OV38" s="1101">
        <v>-15253613</v>
      </c>
      <c r="OW38" s="1101">
        <v>89852</v>
      </c>
      <c r="OX38" s="1101">
        <v>11879</v>
      </c>
      <c r="OY38" s="1101">
        <v>-1780356</v>
      </c>
      <c r="OZ38" s="1101">
        <v>4871850</v>
      </c>
      <c r="PA38" s="1101">
        <v>14221232</v>
      </c>
      <c r="PB38" s="1101">
        <v>0</v>
      </c>
      <c r="PC38" s="1101">
        <v>0</v>
      </c>
      <c r="PD38" s="1101">
        <v>0</v>
      </c>
      <c r="PE38" s="1101">
        <v>0</v>
      </c>
      <c r="PF38" s="1101">
        <v>0</v>
      </c>
      <c r="PG38" s="1101">
        <v>0</v>
      </c>
      <c r="PH38" s="1101">
        <v>-76777</v>
      </c>
      <c r="PI38" s="1101">
        <v>0</v>
      </c>
      <c r="PJ38" s="1101">
        <v>0</v>
      </c>
      <c r="PK38" s="1101">
        <v>0</v>
      </c>
      <c r="PL38" s="1101">
        <v>0</v>
      </c>
      <c r="PM38" s="1101">
        <v>0</v>
      </c>
      <c r="PN38" s="1101">
        <v>0</v>
      </c>
      <c r="PO38" s="1101">
        <v>0</v>
      </c>
      <c r="PP38" s="1101">
        <v>0</v>
      </c>
      <c r="PQ38" s="1101">
        <v>0</v>
      </c>
      <c r="PR38" s="1101">
        <v>-11178053</v>
      </c>
      <c r="PS38" s="1101">
        <v>0</v>
      </c>
      <c r="PT38" s="1101">
        <v>0</v>
      </c>
      <c r="PU38" s="1101">
        <v>2591997</v>
      </c>
      <c r="PV38" s="1101">
        <v>295990</v>
      </c>
      <c r="PW38" s="1101">
        <v>557890</v>
      </c>
      <c r="PX38" s="1101">
        <v>-67169</v>
      </c>
      <c r="PY38" s="1101">
        <v>3978257</v>
      </c>
      <c r="PZ38" s="1101">
        <v>348373</v>
      </c>
      <c r="QA38" s="1101">
        <v>0</v>
      </c>
      <c r="QB38" s="1101">
        <v>0</v>
      </c>
      <c r="QC38" s="1101">
        <v>0</v>
      </c>
      <c r="QD38" s="1101">
        <v>0</v>
      </c>
      <c r="QE38" s="1101">
        <v>0</v>
      </c>
      <c r="QF38" s="1101">
        <v>0</v>
      </c>
      <c r="QG38" s="1101">
        <v>0</v>
      </c>
      <c r="QH38" s="1101">
        <v>63270</v>
      </c>
      <c r="QI38" s="1101">
        <v>0</v>
      </c>
      <c r="QJ38" s="1101">
        <v>0</v>
      </c>
      <c r="QK38" s="1101">
        <v>0</v>
      </c>
      <c r="QL38" s="1101">
        <v>0</v>
      </c>
      <c r="QM38" s="1101">
        <v>0</v>
      </c>
      <c r="QN38" s="1101">
        <v>0</v>
      </c>
      <c r="QO38" s="1101">
        <v>0</v>
      </c>
      <c r="QP38" s="1101">
        <v>0</v>
      </c>
      <c r="QQ38" s="1101">
        <v>0</v>
      </c>
      <c r="QR38" s="1101">
        <v>76777</v>
      </c>
      <c r="QS38" s="1101">
        <v>6307803</v>
      </c>
      <c r="QT38" s="1101">
        <v>0</v>
      </c>
      <c r="QU38" s="1101">
        <v>0</v>
      </c>
      <c r="QV38" s="1101">
        <v>0</v>
      </c>
      <c r="QW38" s="1101">
        <v>0</v>
      </c>
      <c r="QX38" s="1101">
        <v>0</v>
      </c>
      <c r="QY38" s="1101">
        <v>0</v>
      </c>
      <c r="QZ38" s="1101">
        <v>0</v>
      </c>
      <c r="RA38" s="1101">
        <v>0</v>
      </c>
      <c r="RB38" s="1101">
        <v>0</v>
      </c>
      <c r="RC38" s="1101">
        <v>-17216719</v>
      </c>
      <c r="RD38" s="1101">
        <v>0</v>
      </c>
      <c r="RE38" s="1101">
        <v>0</v>
      </c>
      <c r="RF38" s="1101">
        <v>0</v>
      </c>
      <c r="RG38" s="1101">
        <v>0</v>
      </c>
      <c r="RH38" s="1101">
        <v>0</v>
      </c>
      <c r="RI38" s="1101">
        <v>0</v>
      </c>
      <c r="RJ38" s="1101">
        <v>0</v>
      </c>
      <c r="RK38" s="1101">
        <v>0</v>
      </c>
      <c r="RL38" s="1101">
        <v>0</v>
      </c>
      <c r="RM38" s="1101">
        <v>0</v>
      </c>
      <c r="RN38" s="1101">
        <v>0</v>
      </c>
      <c r="RO38" s="1101">
        <v>0</v>
      </c>
      <c r="RP38" s="1101">
        <v>0</v>
      </c>
      <c r="RQ38" s="1101">
        <v>0</v>
      </c>
      <c r="RR38" s="1101">
        <v>0</v>
      </c>
      <c r="RS38" s="1101">
        <v>0</v>
      </c>
      <c r="RT38" s="1101">
        <v>0</v>
      </c>
      <c r="RU38" s="1101">
        <v>0</v>
      </c>
      <c r="RV38" s="1101">
        <v>0</v>
      </c>
      <c r="RW38" s="1101">
        <v>0</v>
      </c>
      <c r="RX38" s="1101">
        <v>0</v>
      </c>
      <c r="RY38" s="1101">
        <v>4253750</v>
      </c>
      <c r="RZ38" s="1101">
        <v>0</v>
      </c>
      <c r="SA38" s="1101">
        <v>0</v>
      </c>
      <c r="SB38" s="1101">
        <v>0</v>
      </c>
      <c r="SC38" s="1101">
        <v>0</v>
      </c>
      <c r="SD38" s="1101">
        <v>0</v>
      </c>
      <c r="SE38" s="1101">
        <v>669728</v>
      </c>
      <c r="SF38" s="1101">
        <v>145250</v>
      </c>
      <c r="SG38" s="1101">
        <v>0</v>
      </c>
      <c r="SH38" s="1101">
        <v>4772300</v>
      </c>
      <c r="SI38" s="1101">
        <v>0</v>
      </c>
      <c r="SJ38" s="1101">
        <v>0</v>
      </c>
      <c r="SK38" s="1101">
        <v>1763329</v>
      </c>
      <c r="SL38" s="1102">
        <v>0</v>
      </c>
      <c r="SM38" s="1101">
        <v>0</v>
      </c>
      <c r="SN38" s="1101">
        <v>-926279</v>
      </c>
      <c r="SO38" s="1102"/>
      <c r="SP38" s="1103"/>
      <c r="SQ38" s="1104">
        <v>52500565</v>
      </c>
      <c r="SR38" s="1104">
        <v>-18667785</v>
      </c>
      <c r="SS38" s="1105">
        <v>82287</v>
      </c>
      <c r="ST38" s="1106">
        <v>27509</v>
      </c>
      <c r="SU38" s="1106">
        <v>0</v>
      </c>
      <c r="SV38" s="1106">
        <v>4754138</v>
      </c>
      <c r="SW38" s="1106">
        <v>0</v>
      </c>
      <c r="SX38" s="1106">
        <v>28360</v>
      </c>
      <c r="SY38" s="1106">
        <v>694984</v>
      </c>
      <c r="SZ38" s="1106">
        <v>0</v>
      </c>
      <c r="TA38" s="1106">
        <v>0</v>
      </c>
      <c r="TB38" s="1106">
        <v>0</v>
      </c>
      <c r="TC38" s="1105">
        <v>0</v>
      </c>
      <c r="TD38" s="1106">
        <v>0</v>
      </c>
      <c r="TE38" s="1106">
        <v>0</v>
      </c>
      <c r="TF38" s="1106">
        <v>0</v>
      </c>
      <c r="TG38" s="1106">
        <v>0</v>
      </c>
      <c r="TH38" s="1106">
        <v>0</v>
      </c>
      <c r="TI38" s="1106">
        <v>0</v>
      </c>
      <c r="TJ38" s="1106">
        <v>0</v>
      </c>
      <c r="TK38" s="1105">
        <v>0</v>
      </c>
      <c r="TL38" s="1106">
        <v>0</v>
      </c>
      <c r="TM38" s="1106">
        <v>0</v>
      </c>
      <c r="TN38" s="1106">
        <v>0</v>
      </c>
      <c r="TO38" s="1106">
        <v>0</v>
      </c>
      <c r="TP38" s="1106">
        <v>0</v>
      </c>
      <c r="TQ38" s="1106">
        <v>0</v>
      </c>
      <c r="TR38" s="1106">
        <v>0</v>
      </c>
      <c r="TS38" s="1105">
        <v>37934310</v>
      </c>
      <c r="TT38" s="1106">
        <v>882163</v>
      </c>
      <c r="TU38" s="1106">
        <v>1081302</v>
      </c>
      <c r="TV38" s="1106">
        <v>10430436</v>
      </c>
      <c r="TW38" s="1106">
        <v>13652149</v>
      </c>
      <c r="TX38" s="1106">
        <v>8691710</v>
      </c>
      <c r="TY38" s="1106">
        <v>7303151</v>
      </c>
      <c r="TZ38" s="1107">
        <v>17262753</v>
      </c>
      <c r="UA38" s="1107">
        <v>8568034</v>
      </c>
      <c r="UB38" s="1105">
        <v>0</v>
      </c>
      <c r="UC38" s="1108">
        <v>0</v>
      </c>
      <c r="UD38" s="1108"/>
      <c r="UE38" s="1103"/>
      <c r="UF38" s="1109" t="s">
        <v>2429</v>
      </c>
      <c r="UG38" s="1110" t="s">
        <v>2430</v>
      </c>
      <c r="UH38" s="1110" t="s">
        <v>2431</v>
      </c>
    </row>
    <row r="39" spans="1:554" s="776" customFormat="1" ht="36" customHeight="1" thickBot="1">
      <c r="A39" s="1093">
        <v>350</v>
      </c>
      <c r="B39" s="1094" t="s">
        <v>125</v>
      </c>
      <c r="C39" s="1095" t="s">
        <v>335</v>
      </c>
      <c r="D39" s="1096" t="s">
        <v>2398</v>
      </c>
      <c r="E39" s="1448">
        <v>3624</v>
      </c>
      <c r="F39" s="1098">
        <v>857769117</v>
      </c>
      <c r="G39" s="1096" t="s">
        <v>2399</v>
      </c>
      <c r="H39" s="1100" t="s">
        <v>125</v>
      </c>
      <c r="I39" s="1100"/>
      <c r="J39" s="1100"/>
      <c r="K39" s="1100"/>
      <c r="L39" s="1100"/>
      <c r="M39" s="1101">
        <v>47150002</v>
      </c>
      <c r="N39" s="1101">
        <v>0</v>
      </c>
      <c r="O39" s="1101">
        <v>0</v>
      </c>
      <c r="P39" s="1101">
        <v>0</v>
      </c>
      <c r="Q39" s="1101">
        <v>0</v>
      </c>
      <c r="R39" s="1101">
        <v>0</v>
      </c>
      <c r="S39" s="1101">
        <v>0</v>
      </c>
      <c r="T39" s="1101">
        <v>0</v>
      </c>
      <c r="U39" s="1101">
        <v>0</v>
      </c>
      <c r="V39" s="1101">
        <v>9316719</v>
      </c>
      <c r="W39" s="1101">
        <v>0</v>
      </c>
      <c r="X39" s="1101">
        <v>0</v>
      </c>
      <c r="Y39" s="1101">
        <v>2429352</v>
      </c>
      <c r="Z39" s="1101">
        <v>0</v>
      </c>
      <c r="AA39" s="1101">
        <v>0</v>
      </c>
      <c r="AB39" s="1101">
        <v>0</v>
      </c>
      <c r="AC39" s="1101">
        <v>0</v>
      </c>
      <c r="AD39" s="1101">
        <v>0</v>
      </c>
      <c r="AE39" s="1101">
        <v>0</v>
      </c>
      <c r="AF39" s="1101">
        <v>0</v>
      </c>
      <c r="AG39" s="1101">
        <v>0</v>
      </c>
      <c r="AH39" s="1101">
        <v>0</v>
      </c>
      <c r="AI39" s="1101">
        <v>0</v>
      </c>
      <c r="AJ39" s="1101">
        <v>0</v>
      </c>
      <c r="AK39" s="1101">
        <v>0</v>
      </c>
      <c r="AL39" s="1101">
        <v>0</v>
      </c>
      <c r="AM39" s="1101">
        <v>0</v>
      </c>
      <c r="AN39" s="1101">
        <v>11277793</v>
      </c>
      <c r="AO39" s="1101">
        <v>0</v>
      </c>
      <c r="AP39" s="1101">
        <v>0</v>
      </c>
      <c r="AQ39" s="1101">
        <v>0</v>
      </c>
      <c r="AR39" s="1101">
        <v>0</v>
      </c>
      <c r="AS39" s="1101">
        <v>0</v>
      </c>
      <c r="AT39" s="1101">
        <v>0</v>
      </c>
      <c r="AU39" s="1101">
        <v>0</v>
      </c>
      <c r="AV39" s="1101">
        <v>0</v>
      </c>
      <c r="AW39" s="1101">
        <v>0</v>
      </c>
      <c r="AX39" s="1101">
        <v>0</v>
      </c>
      <c r="AY39" s="1101">
        <v>0</v>
      </c>
      <c r="AZ39" s="1101">
        <v>0</v>
      </c>
      <c r="BA39" s="1101">
        <v>0</v>
      </c>
      <c r="BB39" s="1101">
        <v>0</v>
      </c>
      <c r="BC39" s="1101">
        <v>0</v>
      </c>
      <c r="BD39" s="1101">
        <v>0</v>
      </c>
      <c r="BE39" s="1101">
        <v>0</v>
      </c>
      <c r="BF39" s="1101">
        <v>-290751</v>
      </c>
      <c r="BG39" s="1101">
        <v>-39150</v>
      </c>
      <c r="BH39" s="1101">
        <v>0</v>
      </c>
      <c r="BI39" s="1101">
        <v>0</v>
      </c>
      <c r="BJ39" s="1101">
        <v>0</v>
      </c>
      <c r="BK39" s="1101">
        <v>0</v>
      </c>
      <c r="BL39" s="1101">
        <v>0</v>
      </c>
      <c r="BM39" s="1101">
        <v>0</v>
      </c>
      <c r="BN39" s="1101">
        <v>0</v>
      </c>
      <c r="BO39" s="1101">
        <v>0</v>
      </c>
      <c r="BP39" s="1101">
        <v>0</v>
      </c>
      <c r="BQ39" s="1101">
        <v>0</v>
      </c>
      <c r="BR39" s="1101">
        <v>0</v>
      </c>
      <c r="BS39" s="1101">
        <v>0</v>
      </c>
      <c r="BT39" s="1101">
        <v>0</v>
      </c>
      <c r="BU39" s="1101">
        <v>0</v>
      </c>
      <c r="BV39" s="1101">
        <v>0</v>
      </c>
      <c r="BW39" s="1101">
        <v>0</v>
      </c>
      <c r="BX39" s="1101">
        <v>0</v>
      </c>
      <c r="BY39" s="1101">
        <v>0</v>
      </c>
      <c r="BZ39" s="1101">
        <v>0</v>
      </c>
      <c r="CA39" s="1101">
        <v>0</v>
      </c>
      <c r="CB39" s="1101">
        <v>0</v>
      </c>
      <c r="CC39" s="1101">
        <v>0</v>
      </c>
      <c r="CD39" s="1101">
        <v>0</v>
      </c>
      <c r="CE39" s="1101">
        <v>0</v>
      </c>
      <c r="CF39" s="1101">
        <v>0</v>
      </c>
      <c r="CG39" s="1101">
        <v>0</v>
      </c>
      <c r="CH39" s="1101">
        <v>0</v>
      </c>
      <c r="CI39" s="1101">
        <v>0</v>
      </c>
      <c r="CJ39" s="1101">
        <v>0</v>
      </c>
      <c r="CK39" s="1101">
        <v>0</v>
      </c>
      <c r="CL39" s="1101">
        <v>0</v>
      </c>
      <c r="CM39" s="1101">
        <v>0</v>
      </c>
      <c r="CN39" s="1101">
        <v>0</v>
      </c>
      <c r="CO39" s="1101">
        <v>0</v>
      </c>
      <c r="CP39" s="1101">
        <v>18345811</v>
      </c>
      <c r="CQ39" s="1101">
        <v>72109475</v>
      </c>
      <c r="CR39" s="1101">
        <v>0</v>
      </c>
      <c r="CS39" s="1101">
        <v>0</v>
      </c>
      <c r="CT39" s="1101">
        <v>0</v>
      </c>
      <c r="CU39" s="1101">
        <v>0</v>
      </c>
      <c r="CV39" s="1101">
        <v>0</v>
      </c>
      <c r="CW39" s="1101">
        <v>0</v>
      </c>
      <c r="CX39" s="1101">
        <v>0</v>
      </c>
      <c r="CY39" s="1101">
        <v>0</v>
      </c>
      <c r="CZ39" s="1101">
        <v>0</v>
      </c>
      <c r="DA39" s="1101">
        <v>0</v>
      </c>
      <c r="DB39" s="1101">
        <v>0</v>
      </c>
      <c r="DC39" s="1101">
        <v>0</v>
      </c>
      <c r="DD39" s="1101">
        <v>0</v>
      </c>
      <c r="DE39" s="1101">
        <v>0</v>
      </c>
      <c r="DF39" s="1101">
        <v>0</v>
      </c>
      <c r="DG39" s="1101">
        <v>0</v>
      </c>
      <c r="DH39" s="1101">
        <v>0</v>
      </c>
      <c r="DI39" s="1101">
        <v>0</v>
      </c>
      <c r="DJ39" s="1101">
        <v>0</v>
      </c>
      <c r="DK39" s="1101">
        <v>0</v>
      </c>
      <c r="DL39" s="1101">
        <v>0</v>
      </c>
      <c r="DM39" s="1101">
        <v>0</v>
      </c>
      <c r="DN39" s="1101">
        <v>0</v>
      </c>
      <c r="DO39" s="1101">
        <v>0</v>
      </c>
      <c r="DP39" s="1101">
        <v>0</v>
      </c>
      <c r="DQ39" s="1101">
        <v>-1159264</v>
      </c>
      <c r="DR39" s="1101">
        <v>-10020259</v>
      </c>
      <c r="DS39" s="1101">
        <v>0</v>
      </c>
      <c r="DT39" s="1101">
        <v>0</v>
      </c>
      <c r="DU39" s="1101">
        <v>0</v>
      </c>
      <c r="DV39" s="1101">
        <v>0</v>
      </c>
      <c r="DW39" s="1101">
        <v>0</v>
      </c>
      <c r="DX39" s="1101">
        <v>0</v>
      </c>
      <c r="DY39" s="1101">
        <v>0</v>
      </c>
      <c r="DZ39" s="1101">
        <v>0</v>
      </c>
      <c r="EA39" s="1101">
        <v>0</v>
      </c>
      <c r="EB39" s="1101">
        <v>0</v>
      </c>
      <c r="EC39" s="1101">
        <v>0</v>
      </c>
      <c r="ED39" s="1101">
        <v>0</v>
      </c>
      <c r="EE39" s="1101">
        <v>0</v>
      </c>
      <c r="EF39" s="1101">
        <v>0</v>
      </c>
      <c r="EG39" s="1101">
        <v>0</v>
      </c>
      <c r="EH39" s="1101">
        <v>0</v>
      </c>
      <c r="EI39" s="1101">
        <v>-5670118</v>
      </c>
      <c r="EJ39" s="1101">
        <v>-16564063</v>
      </c>
      <c r="EK39" s="1101">
        <v>0</v>
      </c>
      <c r="EL39" s="1101">
        <v>0</v>
      </c>
      <c r="EM39" s="1101">
        <v>0</v>
      </c>
      <c r="EN39" s="1101">
        <v>0</v>
      </c>
      <c r="EO39" s="1101">
        <v>0</v>
      </c>
      <c r="EP39" s="1101">
        <v>0</v>
      </c>
      <c r="EQ39" s="1101">
        <v>0</v>
      </c>
      <c r="ER39" s="1101">
        <v>0</v>
      </c>
      <c r="ES39" s="1101">
        <v>0</v>
      </c>
      <c r="ET39" s="1101">
        <v>0</v>
      </c>
      <c r="EU39" s="1101">
        <v>0</v>
      </c>
      <c r="EV39" s="1101">
        <v>0</v>
      </c>
      <c r="EW39" s="1101">
        <v>0</v>
      </c>
      <c r="EX39" s="1101">
        <v>0</v>
      </c>
      <c r="EY39" s="1101">
        <v>0</v>
      </c>
      <c r="EZ39" s="1101">
        <v>0</v>
      </c>
      <c r="FA39" s="1101">
        <v>0</v>
      </c>
      <c r="FB39" s="1101">
        <v>0</v>
      </c>
      <c r="FC39" s="1101">
        <v>0</v>
      </c>
      <c r="FD39" s="1101">
        <v>0</v>
      </c>
      <c r="FE39" s="1101">
        <v>0</v>
      </c>
      <c r="FF39" s="1101">
        <v>0</v>
      </c>
      <c r="FG39" s="1101">
        <v>0</v>
      </c>
      <c r="FH39" s="1101">
        <v>0</v>
      </c>
      <c r="FI39" s="1101">
        <v>0</v>
      </c>
      <c r="FJ39" s="1101">
        <v>0</v>
      </c>
      <c r="FK39" s="1101">
        <v>0</v>
      </c>
      <c r="FL39" s="1101">
        <v>0</v>
      </c>
      <c r="FM39" s="1101">
        <v>0</v>
      </c>
      <c r="FN39" s="1101">
        <v>0</v>
      </c>
      <c r="FO39" s="1101">
        <v>0</v>
      </c>
      <c r="FP39" s="1101">
        <v>0</v>
      </c>
      <c r="FQ39" s="1101">
        <v>0</v>
      </c>
      <c r="FR39" s="1101">
        <v>0</v>
      </c>
      <c r="FS39" s="1101">
        <v>0</v>
      </c>
      <c r="FT39" s="1101">
        <v>0</v>
      </c>
      <c r="FU39" s="1101">
        <v>0</v>
      </c>
      <c r="FV39" s="1101">
        <v>0</v>
      </c>
      <c r="FW39" s="1101">
        <v>0</v>
      </c>
      <c r="FX39" s="1101">
        <v>0</v>
      </c>
      <c r="FY39" s="1101">
        <v>0</v>
      </c>
      <c r="FZ39" s="1101">
        <v>0</v>
      </c>
      <c r="GA39" s="1101">
        <v>0</v>
      </c>
      <c r="GB39" s="1101">
        <v>189736</v>
      </c>
      <c r="GC39" s="1101">
        <v>30847387</v>
      </c>
      <c r="GD39" s="1101">
        <v>6808865</v>
      </c>
      <c r="GE39" s="1101">
        <v>0</v>
      </c>
      <c r="GF39" s="1101">
        <v>0</v>
      </c>
      <c r="GG39" s="1101">
        <v>0</v>
      </c>
      <c r="GH39" s="1101">
        <v>0</v>
      </c>
      <c r="GI39" s="1101">
        <v>0</v>
      </c>
      <c r="GJ39" s="1101">
        <v>0</v>
      </c>
      <c r="GK39" s="1101">
        <v>0</v>
      </c>
      <c r="GL39" s="1101">
        <v>0</v>
      </c>
      <c r="GM39" s="1101">
        <v>0</v>
      </c>
      <c r="GN39" s="1101">
        <v>0</v>
      </c>
      <c r="GO39" s="1101">
        <v>0</v>
      </c>
      <c r="GP39" s="1101">
        <v>0</v>
      </c>
      <c r="GQ39" s="1101">
        <v>0</v>
      </c>
      <c r="GR39" s="1101">
        <v>0</v>
      </c>
      <c r="GS39" s="1101">
        <v>0</v>
      </c>
      <c r="GT39" s="1101">
        <v>0</v>
      </c>
      <c r="GU39" s="1101">
        <v>0</v>
      </c>
      <c r="GV39" s="1101">
        <v>0</v>
      </c>
      <c r="GW39" s="1101">
        <v>0</v>
      </c>
      <c r="GX39" s="1101">
        <v>0</v>
      </c>
      <c r="GY39" s="1101">
        <v>0</v>
      </c>
      <c r="GZ39" s="1101">
        <v>0</v>
      </c>
      <c r="HA39" s="1101">
        <v>0</v>
      </c>
      <c r="HB39" s="1101">
        <v>0</v>
      </c>
      <c r="HC39" s="1101">
        <v>-26447</v>
      </c>
      <c r="HD39" s="1101">
        <v>-4314275</v>
      </c>
      <c r="HE39" s="1101">
        <v>-720119</v>
      </c>
      <c r="HF39" s="1101">
        <v>0</v>
      </c>
      <c r="HG39" s="1101">
        <v>0</v>
      </c>
      <c r="HH39" s="1101">
        <v>0</v>
      </c>
      <c r="HI39" s="1101">
        <v>0</v>
      </c>
      <c r="HJ39" s="1101">
        <v>0</v>
      </c>
      <c r="HK39" s="1101">
        <v>0</v>
      </c>
      <c r="HL39" s="1101">
        <v>0</v>
      </c>
      <c r="HM39" s="1101">
        <v>0</v>
      </c>
      <c r="HN39" s="1101">
        <v>0</v>
      </c>
      <c r="HO39" s="1101">
        <v>0</v>
      </c>
      <c r="HP39" s="1101">
        <v>0</v>
      </c>
      <c r="HQ39" s="1101">
        <v>0</v>
      </c>
      <c r="HR39" s="1101">
        <v>0</v>
      </c>
      <c r="HS39" s="1101">
        <v>0</v>
      </c>
      <c r="HT39" s="1101">
        <v>0</v>
      </c>
      <c r="HU39" s="1101">
        <v>-43502</v>
      </c>
      <c r="HV39" s="1101">
        <v>-7420451</v>
      </c>
      <c r="HW39" s="1101">
        <v>-1834734</v>
      </c>
      <c r="HX39" s="1101">
        <v>0</v>
      </c>
      <c r="HY39" s="1101">
        <v>0</v>
      </c>
      <c r="HZ39" s="1101">
        <v>0</v>
      </c>
      <c r="IA39" s="1101">
        <v>0</v>
      </c>
      <c r="IB39" s="1101">
        <v>0</v>
      </c>
      <c r="IC39" s="1101">
        <v>0</v>
      </c>
      <c r="ID39" s="1101">
        <v>1926071</v>
      </c>
      <c r="IE39" s="1101">
        <v>0</v>
      </c>
      <c r="IF39" s="1101">
        <v>0</v>
      </c>
      <c r="IG39" s="1101">
        <v>72564573</v>
      </c>
      <c r="IH39" s="1101">
        <v>0</v>
      </c>
      <c r="II39" s="1101">
        <v>0</v>
      </c>
      <c r="IJ39" s="1101">
        <v>0</v>
      </c>
      <c r="IK39" s="1101">
        <v>0</v>
      </c>
      <c r="IL39" s="1101">
        <v>0</v>
      </c>
      <c r="IM39" s="1101">
        <v>23589</v>
      </c>
      <c r="IN39" s="1101">
        <v>2645269</v>
      </c>
      <c r="IO39" s="1101">
        <v>478819</v>
      </c>
      <c r="IP39" s="1101">
        <v>533459</v>
      </c>
      <c r="IQ39" s="1101">
        <v>0</v>
      </c>
      <c r="IR39" s="1101">
        <v>1389429</v>
      </c>
      <c r="IS39" s="1101">
        <v>240323</v>
      </c>
      <c r="IT39" s="1101">
        <v>0</v>
      </c>
      <c r="IU39" s="1101">
        <v>0</v>
      </c>
      <c r="IV39" s="1101">
        <v>0</v>
      </c>
      <c r="IW39" s="1101">
        <v>0</v>
      </c>
      <c r="IX39" s="1101">
        <v>0</v>
      </c>
      <c r="IY39" s="1101">
        <v>1129224</v>
      </c>
      <c r="IZ39" s="1101">
        <v>0</v>
      </c>
      <c r="JA39" s="1101">
        <v>0</v>
      </c>
      <c r="JB39" s="1101">
        <v>0</v>
      </c>
      <c r="JC39" s="1101">
        <v>0</v>
      </c>
      <c r="JD39" s="1101">
        <v>0</v>
      </c>
      <c r="JE39" s="1101">
        <v>0</v>
      </c>
      <c r="JF39" s="1101">
        <v>12189</v>
      </c>
      <c r="JG39" s="1101">
        <v>1000000</v>
      </c>
      <c r="JH39" s="1101">
        <v>7254236</v>
      </c>
      <c r="JI39" s="1101">
        <v>0</v>
      </c>
      <c r="JJ39" s="1101">
        <v>0</v>
      </c>
      <c r="JK39" s="1101">
        <v>3971300</v>
      </c>
      <c r="JL39" s="1101">
        <v>0</v>
      </c>
      <c r="JM39" s="1101">
        <v>0</v>
      </c>
      <c r="JN39" s="1101">
        <v>683467</v>
      </c>
      <c r="JO39" s="1101">
        <v>3534732</v>
      </c>
      <c r="JP39" s="1101">
        <v>0</v>
      </c>
      <c r="JQ39" s="1101">
        <v>571352</v>
      </c>
      <c r="JR39" s="1101">
        <v>0</v>
      </c>
      <c r="JS39" s="1101">
        <v>0</v>
      </c>
      <c r="JT39" s="1101">
        <v>0</v>
      </c>
      <c r="JU39" s="1101">
        <v>0</v>
      </c>
      <c r="JV39" s="1101">
        <v>0</v>
      </c>
      <c r="JW39" s="1101">
        <v>0</v>
      </c>
      <c r="JX39" s="1101">
        <v>0</v>
      </c>
      <c r="JY39" s="1101">
        <v>17374062</v>
      </c>
      <c r="JZ39" s="1101">
        <v>0</v>
      </c>
      <c r="KA39" s="1101">
        <v>0</v>
      </c>
      <c r="KB39" s="1101">
        <v>0</v>
      </c>
      <c r="KC39" s="1101">
        <v>0</v>
      </c>
      <c r="KD39" s="1101">
        <v>0</v>
      </c>
      <c r="KE39" s="1101">
        <v>0</v>
      </c>
      <c r="KF39" s="1101">
        <v>13610</v>
      </c>
      <c r="KG39" s="1101">
        <v>1522833</v>
      </c>
      <c r="KH39" s="1101">
        <v>162783</v>
      </c>
      <c r="KI39" s="1101">
        <v>10735</v>
      </c>
      <c r="KJ39" s="1101">
        <v>-168136</v>
      </c>
      <c r="KK39" s="1101">
        <v>0</v>
      </c>
      <c r="KL39" s="1101">
        <v>0</v>
      </c>
      <c r="KM39" s="1101">
        <v>0</v>
      </c>
      <c r="KN39" s="1101">
        <v>0</v>
      </c>
      <c r="KO39" s="1101">
        <v>42013236</v>
      </c>
      <c r="KP39" s="1101">
        <v>31394004</v>
      </c>
      <c r="KQ39" s="1101">
        <v>0</v>
      </c>
      <c r="KR39" s="1101">
        <v>2877495</v>
      </c>
      <c r="KS39" s="1101">
        <v>0</v>
      </c>
      <c r="KT39" s="1101">
        <v>0</v>
      </c>
      <c r="KU39" s="1101">
        <v>0</v>
      </c>
      <c r="KV39" s="1101">
        <v>0</v>
      </c>
      <c r="KW39" s="1101">
        <v>0</v>
      </c>
      <c r="KX39" s="1101">
        <v>917309</v>
      </c>
      <c r="KY39" s="1101">
        <v>1137843</v>
      </c>
      <c r="KZ39" s="1101">
        <v>0</v>
      </c>
      <c r="LA39" s="1101">
        <v>1633249</v>
      </c>
      <c r="LB39" s="1101">
        <v>0</v>
      </c>
      <c r="LC39" s="1101">
        <v>0</v>
      </c>
      <c r="LD39" s="1101">
        <v>0</v>
      </c>
      <c r="LE39" s="1101">
        <v>0</v>
      </c>
      <c r="LF39" s="1101">
        <v>0</v>
      </c>
      <c r="LG39" s="1101">
        <v>93387</v>
      </c>
      <c r="LH39" s="1101">
        <v>581489</v>
      </c>
      <c r="LI39" s="1101">
        <v>0</v>
      </c>
      <c r="LJ39" s="1101">
        <v>746951</v>
      </c>
      <c r="LK39" s="1101">
        <v>0</v>
      </c>
      <c r="LL39" s="1101">
        <v>0</v>
      </c>
      <c r="LM39" s="1101">
        <v>0</v>
      </c>
      <c r="LN39" s="1101">
        <v>0</v>
      </c>
      <c r="LO39" s="1101">
        <v>0</v>
      </c>
      <c r="LP39" s="1101">
        <v>5111192</v>
      </c>
      <c r="LQ39" s="1101">
        <v>10276478</v>
      </c>
      <c r="LR39" s="1101">
        <v>0</v>
      </c>
      <c r="LS39" s="1101">
        <v>994888</v>
      </c>
      <c r="LT39" s="1101">
        <v>0</v>
      </c>
      <c r="LU39" s="1101">
        <v>0</v>
      </c>
      <c r="LV39" s="1101">
        <v>0</v>
      </c>
      <c r="LW39" s="1101">
        <v>0</v>
      </c>
      <c r="LX39" s="1101">
        <v>0</v>
      </c>
      <c r="LY39" s="1101">
        <v>609664</v>
      </c>
      <c r="LZ39" s="1101">
        <v>8123407</v>
      </c>
      <c r="MA39" s="1101">
        <v>12548022</v>
      </c>
      <c r="MB39" s="1101">
        <v>1201694</v>
      </c>
      <c r="MC39" s="1101">
        <v>590966</v>
      </c>
      <c r="MD39" s="1101">
        <v>0</v>
      </c>
      <c r="ME39" s="1101">
        <v>55000</v>
      </c>
      <c r="MF39" s="1101">
        <v>0</v>
      </c>
      <c r="MG39" s="1101">
        <v>0</v>
      </c>
      <c r="MH39" s="1101">
        <v>8272374</v>
      </c>
      <c r="MI39" s="1101">
        <v>20284807</v>
      </c>
      <c r="MJ39" s="1101">
        <v>0</v>
      </c>
      <c r="MK39" s="1101">
        <v>6177247</v>
      </c>
      <c r="ML39" s="1101">
        <v>0</v>
      </c>
      <c r="MM39" s="1101">
        <v>0</v>
      </c>
      <c r="MN39" s="1101">
        <v>36226</v>
      </c>
      <c r="MO39" s="1101">
        <v>0</v>
      </c>
      <c r="MP39" s="1101">
        <v>0</v>
      </c>
      <c r="MQ39" s="1101">
        <v>3665093</v>
      </c>
      <c r="MR39" s="1101">
        <v>8406671</v>
      </c>
      <c r="MS39" s="1101">
        <v>0</v>
      </c>
      <c r="MT39" s="1101">
        <v>92694</v>
      </c>
      <c r="MU39" s="1101">
        <v>0</v>
      </c>
      <c r="MV39" s="1101">
        <v>0</v>
      </c>
      <c r="MW39" s="1101">
        <v>4919168</v>
      </c>
      <c r="MX39" s="1101">
        <v>0</v>
      </c>
      <c r="MY39" s="1101">
        <v>0</v>
      </c>
      <c r="MZ39" s="1101">
        <v>4963499</v>
      </c>
      <c r="NA39" s="1101">
        <v>5732002</v>
      </c>
      <c r="NB39" s="1101">
        <v>2719286</v>
      </c>
      <c r="NC39" s="1101">
        <v>20261040</v>
      </c>
      <c r="ND39" s="1101">
        <v>0</v>
      </c>
      <c r="NE39" s="1101">
        <v>0</v>
      </c>
      <c r="NF39" s="1101">
        <v>0</v>
      </c>
      <c r="NG39" s="1101">
        <v>0</v>
      </c>
      <c r="NH39" s="1101">
        <v>0</v>
      </c>
      <c r="NI39" s="1101">
        <v>0</v>
      </c>
      <c r="NJ39" s="1101">
        <v>3998145</v>
      </c>
      <c r="NK39" s="1101">
        <v>1237857</v>
      </c>
      <c r="NL39" s="1101">
        <v>21744086</v>
      </c>
      <c r="NM39" s="1101">
        <v>0</v>
      </c>
      <c r="NN39" s="1101">
        <v>0</v>
      </c>
      <c r="NO39" s="1101">
        <v>0</v>
      </c>
      <c r="NP39" s="1101">
        <v>0</v>
      </c>
      <c r="NQ39" s="1101">
        <v>0</v>
      </c>
      <c r="NR39" s="1101">
        <v>204653</v>
      </c>
      <c r="NS39" s="1101">
        <v>384004</v>
      </c>
      <c r="NT39" s="1101">
        <v>38701</v>
      </c>
      <c r="NU39" s="1101">
        <v>583941</v>
      </c>
      <c r="NV39" s="1101">
        <v>0</v>
      </c>
      <c r="NW39" s="1101">
        <v>0</v>
      </c>
      <c r="NX39" s="1101">
        <v>0</v>
      </c>
      <c r="NY39" s="1101">
        <v>0</v>
      </c>
      <c r="NZ39" s="1101">
        <v>0</v>
      </c>
      <c r="OA39" s="1101">
        <v>100</v>
      </c>
      <c r="OB39" s="1101">
        <v>256009</v>
      </c>
      <c r="OC39" s="1101">
        <v>50621</v>
      </c>
      <c r="OD39" s="1101">
        <v>968600</v>
      </c>
      <c r="OE39" s="1101">
        <v>0</v>
      </c>
      <c r="OF39" s="1101">
        <v>152086</v>
      </c>
      <c r="OG39" s="1101">
        <v>-502521</v>
      </c>
      <c r="OH39" s="1101">
        <v>256383</v>
      </c>
      <c r="OI39" s="1101">
        <v>18048863</v>
      </c>
      <c r="OJ39" s="1101">
        <v>0</v>
      </c>
      <c r="OK39" s="1101">
        <v>0</v>
      </c>
      <c r="OL39" s="1101">
        <v>0</v>
      </c>
      <c r="OM39" s="1101">
        <v>0</v>
      </c>
      <c r="ON39" s="1101">
        <v>0</v>
      </c>
      <c r="OO39" s="1101">
        <v>0</v>
      </c>
      <c r="OP39" s="1101">
        <v>-27267790</v>
      </c>
      <c r="OQ39" s="1101">
        <v>0</v>
      </c>
      <c r="OR39" s="1101">
        <v>-25600</v>
      </c>
      <c r="OS39" s="1101">
        <v>-12642786</v>
      </c>
      <c r="OT39" s="1101">
        <v>2224549</v>
      </c>
      <c r="OU39" s="1101">
        <v>5373680</v>
      </c>
      <c r="OV39" s="1101">
        <v>-25563260</v>
      </c>
      <c r="OW39" s="1101">
        <v>0</v>
      </c>
      <c r="OX39" s="1101">
        <v>465000</v>
      </c>
      <c r="OY39" s="1101">
        <v>5478898</v>
      </c>
      <c r="OZ39" s="1101">
        <v>25334155</v>
      </c>
      <c r="PA39" s="1101">
        <v>0</v>
      </c>
      <c r="PB39" s="1101">
        <v>0</v>
      </c>
      <c r="PC39" s="1101">
        <v>0</v>
      </c>
      <c r="PD39" s="1101">
        <v>0</v>
      </c>
      <c r="PE39" s="1101">
        <v>0</v>
      </c>
      <c r="PF39" s="1101">
        <v>0</v>
      </c>
      <c r="PG39" s="1101">
        <v>0</v>
      </c>
      <c r="PH39" s="1101">
        <v>0</v>
      </c>
      <c r="PI39" s="1101">
        <v>0</v>
      </c>
      <c r="PJ39" s="1101">
        <v>0</v>
      </c>
      <c r="PK39" s="1101">
        <v>0</v>
      </c>
      <c r="PL39" s="1101">
        <v>0</v>
      </c>
      <c r="PM39" s="1101">
        <v>-62086</v>
      </c>
      <c r="PN39" s="1101">
        <v>0</v>
      </c>
      <c r="PO39" s="1101">
        <v>0</v>
      </c>
      <c r="PP39" s="1101">
        <v>0</v>
      </c>
      <c r="PQ39" s="1101">
        <v>0</v>
      </c>
      <c r="PR39" s="1101">
        <v>-8927792</v>
      </c>
      <c r="PS39" s="1101">
        <v>0</v>
      </c>
      <c r="PT39" s="1101">
        <v>0</v>
      </c>
      <c r="PU39" s="1101">
        <v>6378087</v>
      </c>
      <c r="PV39" s="1101">
        <v>1121322</v>
      </c>
      <c r="PW39" s="1101">
        <v>0</v>
      </c>
      <c r="PX39" s="1101">
        <v>0</v>
      </c>
      <c r="PY39" s="1101">
        <v>2847216</v>
      </c>
      <c r="PZ39" s="1101">
        <v>0</v>
      </c>
      <c r="QA39" s="1101">
        <v>0</v>
      </c>
      <c r="QB39" s="1101">
        <v>-95477</v>
      </c>
      <c r="QC39" s="1101">
        <v>0</v>
      </c>
      <c r="QD39" s="1101">
        <v>0</v>
      </c>
      <c r="QE39" s="1101">
        <v>0</v>
      </c>
      <c r="QF39" s="1101">
        <v>0</v>
      </c>
      <c r="QG39" s="1101">
        <v>0</v>
      </c>
      <c r="QH39" s="1101">
        <v>23478</v>
      </c>
      <c r="QI39" s="1101">
        <v>0</v>
      </c>
      <c r="QJ39" s="1101">
        <v>0</v>
      </c>
      <c r="QK39" s="1101">
        <v>0</v>
      </c>
      <c r="QL39" s="1101">
        <v>0</v>
      </c>
      <c r="QM39" s="1101">
        <v>0</v>
      </c>
      <c r="QN39" s="1101">
        <v>0</v>
      </c>
      <c r="QO39" s="1101">
        <v>0</v>
      </c>
      <c r="QP39" s="1101">
        <v>0</v>
      </c>
      <c r="QQ39" s="1101">
        <v>0</v>
      </c>
      <c r="QR39" s="1101">
        <v>1905000</v>
      </c>
      <c r="QS39" s="1101">
        <v>-15748685</v>
      </c>
      <c r="QT39" s="1101">
        <v>33394968</v>
      </c>
      <c r="QU39" s="1101">
        <v>0</v>
      </c>
      <c r="QV39" s="1101">
        <v>0</v>
      </c>
      <c r="QW39" s="1101">
        <v>0</v>
      </c>
      <c r="QX39" s="1101">
        <v>0</v>
      </c>
      <c r="QY39" s="1101">
        <v>0</v>
      </c>
      <c r="QZ39" s="1101">
        <v>0</v>
      </c>
      <c r="RA39" s="1101">
        <v>0</v>
      </c>
      <c r="RB39" s="1101">
        <v>0</v>
      </c>
      <c r="RC39" s="1101">
        <v>-18823601</v>
      </c>
      <c r="RD39" s="1101">
        <v>0</v>
      </c>
      <c r="RE39" s="1101">
        <v>0</v>
      </c>
      <c r="RF39" s="1101">
        <v>0</v>
      </c>
      <c r="RG39" s="1101">
        <v>0</v>
      </c>
      <c r="RH39" s="1101">
        <v>0</v>
      </c>
      <c r="RI39" s="1101">
        <v>0</v>
      </c>
      <c r="RJ39" s="1101">
        <v>0</v>
      </c>
      <c r="RK39" s="1101">
        <v>0</v>
      </c>
      <c r="RL39" s="1101">
        <v>0</v>
      </c>
      <c r="RM39" s="1101">
        <v>0</v>
      </c>
      <c r="RN39" s="1101">
        <v>0</v>
      </c>
      <c r="RO39" s="1101">
        <v>0</v>
      </c>
      <c r="RP39" s="1101">
        <v>0</v>
      </c>
      <c r="RQ39" s="1101">
        <v>0</v>
      </c>
      <c r="RR39" s="1101">
        <v>0</v>
      </c>
      <c r="RS39" s="1101">
        <v>0</v>
      </c>
      <c r="RT39" s="1101">
        <v>0</v>
      </c>
      <c r="RU39" s="1101">
        <v>0</v>
      </c>
      <c r="RV39" s="1101">
        <v>0</v>
      </c>
      <c r="RW39" s="1101">
        <v>0</v>
      </c>
      <c r="RX39" s="1101">
        <v>0</v>
      </c>
      <c r="RY39" s="1101">
        <v>0</v>
      </c>
      <c r="RZ39" s="1101">
        <v>0</v>
      </c>
      <c r="SA39" s="1101">
        <v>0</v>
      </c>
      <c r="SB39" s="1101">
        <v>0</v>
      </c>
      <c r="SC39" s="1101">
        <v>0</v>
      </c>
      <c r="SD39" s="1101">
        <v>0</v>
      </c>
      <c r="SE39" s="1101">
        <v>0</v>
      </c>
      <c r="SF39" s="1101">
        <v>0</v>
      </c>
      <c r="SG39" s="1101">
        <v>0</v>
      </c>
      <c r="SH39" s="1101">
        <v>0</v>
      </c>
      <c r="SI39" s="1101">
        <v>0</v>
      </c>
      <c r="SJ39" s="1101">
        <v>0</v>
      </c>
      <c r="SK39" s="1101">
        <v>0</v>
      </c>
      <c r="SL39" s="1102">
        <v>0</v>
      </c>
      <c r="SM39" s="1101">
        <v>28504689</v>
      </c>
      <c r="SN39" s="1101">
        <v>17611883</v>
      </c>
      <c r="SO39" s="1102"/>
      <c r="SP39" s="1103"/>
      <c r="SQ39" s="1104">
        <v>128301274</v>
      </c>
      <c r="SR39" s="1104">
        <v>-47773232</v>
      </c>
      <c r="SS39" s="1105">
        <v>202380</v>
      </c>
      <c r="ST39" s="1106">
        <v>147141</v>
      </c>
      <c r="SU39" s="1106">
        <v>0</v>
      </c>
      <c r="SV39" s="1106">
        <v>181054</v>
      </c>
      <c r="SW39" s="1106">
        <v>396706</v>
      </c>
      <c r="SX39" s="1106">
        <v>243276</v>
      </c>
      <c r="SY39" s="1106">
        <v>32377</v>
      </c>
      <c r="SZ39" s="1106">
        <v>0</v>
      </c>
      <c r="TA39" s="1106">
        <v>8365</v>
      </c>
      <c r="TB39" s="1106">
        <v>0</v>
      </c>
      <c r="TC39" s="1105">
        <v>0</v>
      </c>
      <c r="TD39" s="1106">
        <v>0</v>
      </c>
      <c r="TE39" s="1106">
        <v>0</v>
      </c>
      <c r="TF39" s="1106">
        <v>0</v>
      </c>
      <c r="TG39" s="1106">
        <v>0</v>
      </c>
      <c r="TH39" s="1106">
        <v>0</v>
      </c>
      <c r="TI39" s="1106">
        <v>0</v>
      </c>
      <c r="TJ39" s="1106">
        <v>0</v>
      </c>
      <c r="TK39" s="1105">
        <v>0</v>
      </c>
      <c r="TL39" s="1106">
        <v>0</v>
      </c>
      <c r="TM39" s="1106">
        <v>0</v>
      </c>
      <c r="TN39" s="1106">
        <v>0</v>
      </c>
      <c r="TO39" s="1106">
        <v>0</v>
      </c>
      <c r="TP39" s="1106">
        <v>0</v>
      </c>
      <c r="TQ39" s="1106">
        <v>0</v>
      </c>
      <c r="TR39" s="1106">
        <v>0</v>
      </c>
      <c r="TS39" s="1105">
        <v>76284735</v>
      </c>
      <c r="TT39" s="1106">
        <v>3688401</v>
      </c>
      <c r="TU39" s="1106">
        <v>1421827</v>
      </c>
      <c r="TV39" s="1106">
        <v>16382558</v>
      </c>
      <c r="TW39" s="1106">
        <v>23128753</v>
      </c>
      <c r="TX39" s="1106">
        <v>34770654</v>
      </c>
      <c r="TY39" s="1106">
        <v>17083626</v>
      </c>
      <c r="TZ39" s="1107">
        <v>33675827</v>
      </c>
      <c r="UA39" s="1107">
        <v>26980088</v>
      </c>
      <c r="UB39" s="1105">
        <v>0</v>
      </c>
      <c r="UC39" s="1108">
        <v>0</v>
      </c>
      <c r="UD39" s="1108"/>
      <c r="UE39" s="1103"/>
      <c r="UF39" s="1109" t="s">
        <v>2470</v>
      </c>
      <c r="UG39" s="1110" t="s">
        <v>2471</v>
      </c>
      <c r="UH39" s="1110" t="s">
        <v>2472</v>
      </c>
    </row>
    <row r="40" spans="1:554" s="776" customFormat="1" ht="31.5" customHeight="1" thickBot="1">
      <c r="A40" s="1093">
        <v>360</v>
      </c>
      <c r="B40" s="1094" t="s">
        <v>126</v>
      </c>
      <c r="C40" s="1095" t="s">
        <v>336</v>
      </c>
      <c r="D40" s="1096" t="s">
        <v>2398</v>
      </c>
      <c r="E40" s="1097">
        <v>3642</v>
      </c>
      <c r="F40" s="1098">
        <v>1039037381</v>
      </c>
      <c r="G40" s="1096" t="s">
        <v>2399</v>
      </c>
      <c r="H40" s="1100" t="s">
        <v>126</v>
      </c>
      <c r="I40" s="1100"/>
      <c r="J40" s="1100"/>
      <c r="K40" s="1100"/>
      <c r="L40" s="1100"/>
      <c r="M40" s="1101">
        <v>62046473</v>
      </c>
      <c r="N40" s="1101">
        <v>0</v>
      </c>
      <c r="O40" s="1101">
        <v>0</v>
      </c>
      <c r="P40" s="1101">
        <v>0</v>
      </c>
      <c r="Q40" s="1101">
        <v>0</v>
      </c>
      <c r="R40" s="1101">
        <v>0</v>
      </c>
      <c r="S40" s="1101">
        <v>0</v>
      </c>
      <c r="T40" s="1101">
        <v>0</v>
      </c>
      <c r="U40" s="1101">
        <v>0</v>
      </c>
      <c r="V40" s="1101">
        <v>5511132</v>
      </c>
      <c r="W40" s="1101">
        <v>0</v>
      </c>
      <c r="X40" s="1101">
        <v>0</v>
      </c>
      <c r="Y40" s="1101">
        <v>290743</v>
      </c>
      <c r="Z40" s="1101">
        <v>0</v>
      </c>
      <c r="AA40" s="1101">
        <v>0</v>
      </c>
      <c r="AB40" s="1101">
        <v>0</v>
      </c>
      <c r="AC40" s="1101">
        <v>0</v>
      </c>
      <c r="AD40" s="1101">
        <v>0</v>
      </c>
      <c r="AE40" s="1101">
        <v>0</v>
      </c>
      <c r="AF40" s="1101">
        <v>0</v>
      </c>
      <c r="AG40" s="1101">
        <v>0</v>
      </c>
      <c r="AH40" s="1101">
        <v>0</v>
      </c>
      <c r="AI40" s="1101">
        <v>0</v>
      </c>
      <c r="AJ40" s="1101">
        <v>0</v>
      </c>
      <c r="AK40" s="1101">
        <v>0</v>
      </c>
      <c r="AL40" s="1101">
        <v>0</v>
      </c>
      <c r="AM40" s="1101">
        <v>0</v>
      </c>
      <c r="AN40" s="1101">
        <v>11719335</v>
      </c>
      <c r="AO40" s="1101">
        <v>0</v>
      </c>
      <c r="AP40" s="1101">
        <v>0</v>
      </c>
      <c r="AQ40" s="1101">
        <v>0</v>
      </c>
      <c r="AR40" s="1101">
        <v>0</v>
      </c>
      <c r="AS40" s="1101">
        <v>0</v>
      </c>
      <c r="AT40" s="1101">
        <v>0</v>
      </c>
      <c r="AU40" s="1101">
        <v>0</v>
      </c>
      <c r="AV40" s="1101">
        <v>0</v>
      </c>
      <c r="AW40" s="1101">
        <v>0</v>
      </c>
      <c r="AX40" s="1101">
        <v>0</v>
      </c>
      <c r="AY40" s="1101">
        <v>0</v>
      </c>
      <c r="AZ40" s="1101">
        <v>0</v>
      </c>
      <c r="BA40" s="1101">
        <v>0</v>
      </c>
      <c r="BB40" s="1101">
        <v>0</v>
      </c>
      <c r="BC40" s="1101">
        <v>0</v>
      </c>
      <c r="BD40" s="1101">
        <v>0</v>
      </c>
      <c r="BE40" s="1101">
        <v>0</v>
      </c>
      <c r="BF40" s="1101">
        <v>-4872104</v>
      </c>
      <c r="BG40" s="1101">
        <v>0</v>
      </c>
      <c r="BH40" s="1101">
        <v>0</v>
      </c>
      <c r="BI40" s="1101">
        <v>0</v>
      </c>
      <c r="BJ40" s="1101">
        <v>0</v>
      </c>
      <c r="BK40" s="1101">
        <v>0</v>
      </c>
      <c r="BL40" s="1101">
        <v>0</v>
      </c>
      <c r="BM40" s="1101">
        <v>0</v>
      </c>
      <c r="BN40" s="1101">
        <v>0</v>
      </c>
      <c r="BO40" s="1101">
        <v>0</v>
      </c>
      <c r="BP40" s="1101">
        <v>0</v>
      </c>
      <c r="BQ40" s="1101">
        <v>0</v>
      </c>
      <c r="BR40" s="1101">
        <v>0</v>
      </c>
      <c r="BS40" s="1101">
        <v>0</v>
      </c>
      <c r="BT40" s="1101">
        <v>0</v>
      </c>
      <c r="BU40" s="1101">
        <v>0</v>
      </c>
      <c r="BV40" s="1101">
        <v>0</v>
      </c>
      <c r="BW40" s="1101">
        <v>0</v>
      </c>
      <c r="BX40" s="1101">
        <v>0</v>
      </c>
      <c r="BY40" s="1101">
        <v>0</v>
      </c>
      <c r="BZ40" s="1101">
        <v>0</v>
      </c>
      <c r="CA40" s="1101">
        <v>0</v>
      </c>
      <c r="CB40" s="1101">
        <v>0</v>
      </c>
      <c r="CC40" s="1101">
        <v>0</v>
      </c>
      <c r="CD40" s="1101">
        <v>0</v>
      </c>
      <c r="CE40" s="1101">
        <v>0</v>
      </c>
      <c r="CF40" s="1101">
        <v>0</v>
      </c>
      <c r="CG40" s="1101">
        <v>0</v>
      </c>
      <c r="CH40" s="1101">
        <v>0</v>
      </c>
      <c r="CI40" s="1101">
        <v>0</v>
      </c>
      <c r="CJ40" s="1101">
        <v>0</v>
      </c>
      <c r="CK40" s="1101">
        <v>0</v>
      </c>
      <c r="CL40" s="1101">
        <v>0</v>
      </c>
      <c r="CM40" s="1101">
        <v>0</v>
      </c>
      <c r="CN40" s="1101">
        <v>0</v>
      </c>
      <c r="CO40" s="1101">
        <v>0</v>
      </c>
      <c r="CP40" s="1101">
        <v>25633239</v>
      </c>
      <c r="CQ40" s="1101">
        <v>36354034</v>
      </c>
      <c r="CR40" s="1101">
        <v>0</v>
      </c>
      <c r="CS40" s="1101">
        <v>0</v>
      </c>
      <c r="CT40" s="1101">
        <v>0</v>
      </c>
      <c r="CU40" s="1101">
        <v>0</v>
      </c>
      <c r="CV40" s="1101">
        <v>0</v>
      </c>
      <c r="CW40" s="1101">
        <v>0</v>
      </c>
      <c r="CX40" s="1101">
        <v>0</v>
      </c>
      <c r="CY40" s="1101">
        <v>0</v>
      </c>
      <c r="CZ40" s="1101">
        <v>0</v>
      </c>
      <c r="DA40" s="1101">
        <v>0</v>
      </c>
      <c r="DB40" s="1101">
        <v>0</v>
      </c>
      <c r="DC40" s="1101">
        <v>0</v>
      </c>
      <c r="DD40" s="1101">
        <v>0</v>
      </c>
      <c r="DE40" s="1101">
        <v>0</v>
      </c>
      <c r="DF40" s="1101">
        <v>0</v>
      </c>
      <c r="DG40" s="1101">
        <v>0</v>
      </c>
      <c r="DH40" s="1101">
        <v>0</v>
      </c>
      <c r="DI40" s="1101">
        <v>0</v>
      </c>
      <c r="DJ40" s="1101">
        <v>0</v>
      </c>
      <c r="DK40" s="1101">
        <v>0</v>
      </c>
      <c r="DL40" s="1101">
        <v>0</v>
      </c>
      <c r="DM40" s="1101">
        <v>0</v>
      </c>
      <c r="DN40" s="1101">
        <v>0</v>
      </c>
      <c r="DO40" s="1101">
        <v>0</v>
      </c>
      <c r="DP40" s="1101">
        <v>0</v>
      </c>
      <c r="DQ40" s="1101">
        <v>-3192164</v>
      </c>
      <c r="DR40" s="1101">
        <v>0</v>
      </c>
      <c r="DS40" s="1101">
        <v>0</v>
      </c>
      <c r="DT40" s="1101">
        <v>0</v>
      </c>
      <c r="DU40" s="1101">
        <v>0</v>
      </c>
      <c r="DV40" s="1101">
        <v>0</v>
      </c>
      <c r="DW40" s="1101">
        <v>0</v>
      </c>
      <c r="DX40" s="1101">
        <v>0</v>
      </c>
      <c r="DY40" s="1101">
        <v>0</v>
      </c>
      <c r="DZ40" s="1101">
        <v>0</v>
      </c>
      <c r="EA40" s="1101">
        <v>0</v>
      </c>
      <c r="EB40" s="1101">
        <v>0</v>
      </c>
      <c r="EC40" s="1101">
        <v>0</v>
      </c>
      <c r="ED40" s="1101">
        <v>0</v>
      </c>
      <c r="EE40" s="1101">
        <v>0</v>
      </c>
      <c r="EF40" s="1101">
        <v>0</v>
      </c>
      <c r="EG40" s="1101">
        <v>0</v>
      </c>
      <c r="EH40" s="1101">
        <v>0</v>
      </c>
      <c r="EI40" s="1101">
        <v>-6406898</v>
      </c>
      <c r="EJ40" s="1101">
        <v>-10355799</v>
      </c>
      <c r="EK40" s="1101">
        <v>0</v>
      </c>
      <c r="EL40" s="1101">
        <v>0</v>
      </c>
      <c r="EM40" s="1101">
        <v>0</v>
      </c>
      <c r="EN40" s="1101">
        <v>0</v>
      </c>
      <c r="EO40" s="1101">
        <v>0</v>
      </c>
      <c r="EP40" s="1101">
        <v>0</v>
      </c>
      <c r="EQ40" s="1101">
        <v>0</v>
      </c>
      <c r="ER40" s="1101">
        <v>0</v>
      </c>
      <c r="ES40" s="1101">
        <v>0</v>
      </c>
      <c r="ET40" s="1101">
        <v>0</v>
      </c>
      <c r="EU40" s="1101">
        <v>0</v>
      </c>
      <c r="EV40" s="1101">
        <v>0</v>
      </c>
      <c r="EW40" s="1101">
        <v>0</v>
      </c>
      <c r="EX40" s="1101">
        <v>0</v>
      </c>
      <c r="EY40" s="1101">
        <v>0</v>
      </c>
      <c r="EZ40" s="1101">
        <v>0</v>
      </c>
      <c r="FA40" s="1101">
        <v>0</v>
      </c>
      <c r="FB40" s="1101">
        <v>0</v>
      </c>
      <c r="FC40" s="1101">
        <v>0</v>
      </c>
      <c r="FD40" s="1101">
        <v>0</v>
      </c>
      <c r="FE40" s="1101">
        <v>0</v>
      </c>
      <c r="FF40" s="1101">
        <v>0</v>
      </c>
      <c r="FG40" s="1101">
        <v>0</v>
      </c>
      <c r="FH40" s="1101">
        <v>0</v>
      </c>
      <c r="FI40" s="1101">
        <v>0</v>
      </c>
      <c r="FJ40" s="1101">
        <v>0</v>
      </c>
      <c r="FK40" s="1101">
        <v>0</v>
      </c>
      <c r="FL40" s="1101">
        <v>0</v>
      </c>
      <c r="FM40" s="1101">
        <v>0</v>
      </c>
      <c r="FN40" s="1101">
        <v>0</v>
      </c>
      <c r="FO40" s="1101">
        <v>0</v>
      </c>
      <c r="FP40" s="1101">
        <v>0</v>
      </c>
      <c r="FQ40" s="1101">
        <v>0</v>
      </c>
      <c r="FR40" s="1101">
        <v>0</v>
      </c>
      <c r="FS40" s="1101">
        <v>0</v>
      </c>
      <c r="FT40" s="1101">
        <v>0</v>
      </c>
      <c r="FU40" s="1101">
        <v>0</v>
      </c>
      <c r="FV40" s="1101">
        <v>0</v>
      </c>
      <c r="FW40" s="1101">
        <v>0</v>
      </c>
      <c r="FX40" s="1101">
        <v>0</v>
      </c>
      <c r="FY40" s="1101">
        <v>0</v>
      </c>
      <c r="FZ40" s="1101">
        <v>0</v>
      </c>
      <c r="GA40" s="1101">
        <v>0</v>
      </c>
      <c r="GB40" s="1101">
        <v>540072</v>
      </c>
      <c r="GC40" s="1101">
        <v>10239026</v>
      </c>
      <c r="GD40" s="1101">
        <v>5465940</v>
      </c>
      <c r="GE40" s="1101">
        <v>0</v>
      </c>
      <c r="GF40" s="1101">
        <v>0</v>
      </c>
      <c r="GG40" s="1101">
        <v>0</v>
      </c>
      <c r="GH40" s="1101">
        <v>0</v>
      </c>
      <c r="GI40" s="1101">
        <v>0</v>
      </c>
      <c r="GJ40" s="1101">
        <v>0</v>
      </c>
      <c r="GK40" s="1101">
        <v>0</v>
      </c>
      <c r="GL40" s="1101">
        <v>0</v>
      </c>
      <c r="GM40" s="1101">
        <v>0</v>
      </c>
      <c r="GN40" s="1101">
        <v>0</v>
      </c>
      <c r="GO40" s="1101">
        <v>0</v>
      </c>
      <c r="GP40" s="1101">
        <v>0</v>
      </c>
      <c r="GQ40" s="1101">
        <v>0</v>
      </c>
      <c r="GR40" s="1101">
        <v>0</v>
      </c>
      <c r="GS40" s="1101">
        <v>0</v>
      </c>
      <c r="GT40" s="1101">
        <v>0</v>
      </c>
      <c r="GU40" s="1101">
        <v>0</v>
      </c>
      <c r="GV40" s="1101">
        <v>0</v>
      </c>
      <c r="GW40" s="1101">
        <v>0</v>
      </c>
      <c r="GX40" s="1101">
        <v>0</v>
      </c>
      <c r="GY40" s="1101">
        <v>0</v>
      </c>
      <c r="GZ40" s="1101">
        <v>0</v>
      </c>
      <c r="HA40" s="1101">
        <v>0</v>
      </c>
      <c r="HB40" s="1101">
        <v>0</v>
      </c>
      <c r="HC40" s="1101">
        <v>0</v>
      </c>
      <c r="HD40" s="1101">
        <v>0</v>
      </c>
      <c r="HE40" s="1101">
        <v>0</v>
      </c>
      <c r="HF40" s="1101">
        <v>0</v>
      </c>
      <c r="HG40" s="1101">
        <v>0</v>
      </c>
      <c r="HH40" s="1101">
        <v>0</v>
      </c>
      <c r="HI40" s="1101">
        <v>0</v>
      </c>
      <c r="HJ40" s="1101">
        <v>0</v>
      </c>
      <c r="HK40" s="1101">
        <v>0</v>
      </c>
      <c r="HL40" s="1101">
        <v>0</v>
      </c>
      <c r="HM40" s="1101">
        <v>0</v>
      </c>
      <c r="HN40" s="1101">
        <v>0</v>
      </c>
      <c r="HO40" s="1101">
        <v>0</v>
      </c>
      <c r="HP40" s="1101">
        <v>0</v>
      </c>
      <c r="HQ40" s="1101">
        <v>0</v>
      </c>
      <c r="HR40" s="1101">
        <v>0</v>
      </c>
      <c r="HS40" s="1101">
        <v>0</v>
      </c>
      <c r="HT40" s="1101">
        <v>0</v>
      </c>
      <c r="HU40" s="1101">
        <v>-1307741</v>
      </c>
      <c r="HV40" s="1101">
        <v>-2983387</v>
      </c>
      <c r="HW40" s="1101">
        <v>-336428</v>
      </c>
      <c r="HX40" s="1101">
        <v>0</v>
      </c>
      <c r="HY40" s="1101">
        <v>0</v>
      </c>
      <c r="HZ40" s="1101">
        <v>0</v>
      </c>
      <c r="IA40" s="1101">
        <v>0</v>
      </c>
      <c r="IB40" s="1101">
        <v>0</v>
      </c>
      <c r="IC40" s="1101">
        <v>0</v>
      </c>
      <c r="ID40" s="1101">
        <v>0</v>
      </c>
      <c r="IE40" s="1101">
        <v>0</v>
      </c>
      <c r="IF40" s="1101">
        <v>0</v>
      </c>
      <c r="IG40" s="1101">
        <v>89345091</v>
      </c>
      <c r="IH40" s="1101">
        <v>0</v>
      </c>
      <c r="II40" s="1101">
        <v>0</v>
      </c>
      <c r="IJ40" s="1101">
        <v>0</v>
      </c>
      <c r="IK40" s="1101">
        <v>0</v>
      </c>
      <c r="IL40" s="1101">
        <v>0</v>
      </c>
      <c r="IM40" s="1101">
        <v>58758</v>
      </c>
      <c r="IN40" s="1101">
        <v>965</v>
      </c>
      <c r="IO40" s="1101">
        <v>9298</v>
      </c>
      <c r="IP40" s="1101">
        <v>0</v>
      </c>
      <c r="IQ40" s="1101">
        <v>0</v>
      </c>
      <c r="IR40" s="1101">
        <v>1193536</v>
      </c>
      <c r="IS40" s="1101">
        <v>3381</v>
      </c>
      <c r="IT40" s="1101">
        <v>57348</v>
      </c>
      <c r="IU40" s="1101">
        <v>846313</v>
      </c>
      <c r="IV40" s="1101">
        <v>0</v>
      </c>
      <c r="IW40" s="1101">
        <v>0</v>
      </c>
      <c r="IX40" s="1101">
        <v>0</v>
      </c>
      <c r="IY40" s="1101">
        <v>245226</v>
      </c>
      <c r="IZ40" s="1101">
        <v>0</v>
      </c>
      <c r="JA40" s="1101">
        <v>0</v>
      </c>
      <c r="JB40" s="1101">
        <v>0</v>
      </c>
      <c r="JC40" s="1101">
        <v>0</v>
      </c>
      <c r="JD40" s="1101">
        <v>0</v>
      </c>
      <c r="JE40" s="1101">
        <v>-30280</v>
      </c>
      <c r="JF40" s="1101">
        <v>615759</v>
      </c>
      <c r="JG40" s="1101">
        <v>5</v>
      </c>
      <c r="JH40" s="1101">
        <v>2717236</v>
      </c>
      <c r="JI40" s="1101">
        <v>0</v>
      </c>
      <c r="JJ40" s="1101">
        <v>179050</v>
      </c>
      <c r="JK40" s="1101">
        <v>227586</v>
      </c>
      <c r="JL40" s="1101">
        <v>0</v>
      </c>
      <c r="JM40" s="1101">
        <v>0</v>
      </c>
      <c r="JN40" s="1101">
        <v>13679</v>
      </c>
      <c r="JO40" s="1101">
        <v>45703</v>
      </c>
      <c r="JP40" s="1101">
        <v>0</v>
      </c>
      <c r="JQ40" s="1101">
        <v>0</v>
      </c>
      <c r="JR40" s="1101">
        <v>0</v>
      </c>
      <c r="JS40" s="1101">
        <v>0</v>
      </c>
      <c r="JT40" s="1101">
        <v>0</v>
      </c>
      <c r="JU40" s="1101">
        <v>0</v>
      </c>
      <c r="JV40" s="1101">
        <v>0</v>
      </c>
      <c r="JW40" s="1101">
        <v>0</v>
      </c>
      <c r="JX40" s="1101">
        <v>0</v>
      </c>
      <c r="JY40" s="1101">
        <v>7508284</v>
      </c>
      <c r="JZ40" s="1101">
        <v>0</v>
      </c>
      <c r="KA40" s="1101">
        <v>0</v>
      </c>
      <c r="KB40" s="1101">
        <v>0</v>
      </c>
      <c r="KC40" s="1101">
        <v>0</v>
      </c>
      <c r="KD40" s="1101">
        <v>0</v>
      </c>
      <c r="KE40" s="1101">
        <v>0</v>
      </c>
      <c r="KF40" s="1101">
        <v>16726071</v>
      </c>
      <c r="KG40" s="1101">
        <v>2834946</v>
      </c>
      <c r="KH40" s="1101">
        <v>414425</v>
      </c>
      <c r="KI40" s="1101">
        <v>-3857101</v>
      </c>
      <c r="KJ40" s="1101">
        <v>0</v>
      </c>
      <c r="KK40" s="1101">
        <v>-7250</v>
      </c>
      <c r="KL40" s="1101">
        <v>3002150</v>
      </c>
      <c r="KM40" s="1101">
        <v>0</v>
      </c>
      <c r="KN40" s="1101">
        <v>-161095</v>
      </c>
      <c r="KO40" s="1101">
        <v>56432663</v>
      </c>
      <c r="KP40" s="1101">
        <v>17627133</v>
      </c>
      <c r="KQ40" s="1101">
        <v>0</v>
      </c>
      <c r="KR40" s="1101">
        <v>4651598</v>
      </c>
      <c r="KS40" s="1101">
        <v>0</v>
      </c>
      <c r="KT40" s="1101">
        <v>0</v>
      </c>
      <c r="KU40" s="1101">
        <v>0</v>
      </c>
      <c r="KV40" s="1101">
        <v>0</v>
      </c>
      <c r="KW40" s="1101">
        <v>-256984</v>
      </c>
      <c r="KX40" s="1101">
        <v>533226</v>
      </c>
      <c r="KY40" s="1101">
        <v>0</v>
      </c>
      <c r="KZ40" s="1101">
        <v>0</v>
      </c>
      <c r="LA40" s="1101">
        <v>4677662</v>
      </c>
      <c r="LB40" s="1101">
        <v>0</v>
      </c>
      <c r="LC40" s="1101">
        <v>0</v>
      </c>
      <c r="LD40" s="1101">
        <v>0</v>
      </c>
      <c r="LE40" s="1101">
        <v>0</v>
      </c>
      <c r="LF40" s="1101">
        <v>-59574</v>
      </c>
      <c r="LG40" s="1101">
        <v>325933</v>
      </c>
      <c r="LH40" s="1101">
        <v>303496</v>
      </c>
      <c r="LI40" s="1101">
        <v>0</v>
      </c>
      <c r="LJ40" s="1101">
        <v>1380192</v>
      </c>
      <c r="LK40" s="1101">
        <v>0</v>
      </c>
      <c r="LL40" s="1101">
        <v>0</v>
      </c>
      <c r="LM40" s="1101">
        <v>0</v>
      </c>
      <c r="LN40" s="1101">
        <v>0</v>
      </c>
      <c r="LO40" s="1101">
        <v>0</v>
      </c>
      <c r="LP40" s="1101">
        <v>5497602</v>
      </c>
      <c r="LQ40" s="1101">
        <v>4916743</v>
      </c>
      <c r="LR40" s="1101">
        <v>0</v>
      </c>
      <c r="LS40" s="1101">
        <v>3803766</v>
      </c>
      <c r="LT40" s="1101">
        <v>0</v>
      </c>
      <c r="LU40" s="1101">
        <v>0</v>
      </c>
      <c r="LV40" s="1101">
        <v>0</v>
      </c>
      <c r="LW40" s="1101">
        <v>0</v>
      </c>
      <c r="LX40" s="1101">
        <v>-2502731</v>
      </c>
      <c r="LY40" s="1101">
        <v>1372432</v>
      </c>
      <c r="LZ40" s="1101">
        <v>10158044</v>
      </c>
      <c r="MA40" s="1101">
        <v>0</v>
      </c>
      <c r="MB40" s="1101">
        <v>3660856</v>
      </c>
      <c r="MC40" s="1101">
        <v>0</v>
      </c>
      <c r="MD40" s="1101">
        <v>0</v>
      </c>
      <c r="ME40" s="1101">
        <v>0</v>
      </c>
      <c r="MF40" s="1101">
        <v>0</v>
      </c>
      <c r="MG40" s="1101">
        <v>-304752</v>
      </c>
      <c r="MH40" s="1101">
        <v>33447080</v>
      </c>
      <c r="MI40" s="1101">
        <v>12315212</v>
      </c>
      <c r="MJ40" s="1101">
        <v>0</v>
      </c>
      <c r="MK40" s="1101">
        <v>10066212</v>
      </c>
      <c r="ML40" s="1101">
        <v>0</v>
      </c>
      <c r="MM40" s="1101">
        <v>0</v>
      </c>
      <c r="MN40" s="1101">
        <v>-4574</v>
      </c>
      <c r="MO40" s="1101">
        <v>0</v>
      </c>
      <c r="MP40" s="1101">
        <v>-2308076</v>
      </c>
      <c r="MQ40" s="1101">
        <v>6534710</v>
      </c>
      <c r="MR40" s="1101">
        <v>5897155</v>
      </c>
      <c r="MS40" s="1101">
        <v>0</v>
      </c>
      <c r="MT40" s="1101">
        <v>0</v>
      </c>
      <c r="MU40" s="1101">
        <v>0</v>
      </c>
      <c r="MV40" s="1101">
        <v>0</v>
      </c>
      <c r="MW40" s="1101">
        <v>15018298</v>
      </c>
      <c r="MX40" s="1101">
        <v>0</v>
      </c>
      <c r="MY40" s="1101">
        <v>-13348311</v>
      </c>
      <c r="MZ40" s="1101">
        <v>-52028</v>
      </c>
      <c r="NA40" s="1101">
        <v>-7060266</v>
      </c>
      <c r="NB40" s="1101">
        <v>0</v>
      </c>
      <c r="NC40" s="1101">
        <v>34625677</v>
      </c>
      <c r="ND40" s="1101">
        <v>0</v>
      </c>
      <c r="NE40" s="1101">
        <v>0</v>
      </c>
      <c r="NF40" s="1101">
        <v>0</v>
      </c>
      <c r="NG40" s="1101">
        <v>0</v>
      </c>
      <c r="NH40" s="1101">
        <v>0</v>
      </c>
      <c r="NI40" s="1101">
        <v>0</v>
      </c>
      <c r="NJ40" s="1101">
        <v>0</v>
      </c>
      <c r="NK40" s="1101">
        <v>15885231</v>
      </c>
      <c r="NL40" s="1101">
        <v>0</v>
      </c>
      <c r="NM40" s="1101">
        <v>0</v>
      </c>
      <c r="NN40" s="1101">
        <v>0</v>
      </c>
      <c r="NO40" s="1101">
        <v>0</v>
      </c>
      <c r="NP40" s="1101">
        <v>0</v>
      </c>
      <c r="NQ40" s="1101">
        <v>0</v>
      </c>
      <c r="NR40" s="1101">
        <v>1168981</v>
      </c>
      <c r="NS40" s="1101">
        <v>1226135</v>
      </c>
      <c r="NT40" s="1101">
        <v>322298</v>
      </c>
      <c r="NU40" s="1101">
        <v>2715638</v>
      </c>
      <c r="NV40" s="1101">
        <v>0</v>
      </c>
      <c r="NW40" s="1101">
        <v>0</v>
      </c>
      <c r="NX40" s="1101">
        <v>0</v>
      </c>
      <c r="NY40" s="1101">
        <v>0</v>
      </c>
      <c r="NZ40" s="1101">
        <v>0</v>
      </c>
      <c r="OA40" s="1101">
        <v>0</v>
      </c>
      <c r="OB40" s="1101">
        <v>0</v>
      </c>
      <c r="OC40" s="1101">
        <v>0</v>
      </c>
      <c r="OD40" s="1101">
        <v>0</v>
      </c>
      <c r="OE40" s="1101">
        <v>0</v>
      </c>
      <c r="OF40" s="1101">
        <v>525803</v>
      </c>
      <c r="OG40" s="1101">
        <v>0</v>
      </c>
      <c r="OH40" s="1101">
        <v>0</v>
      </c>
      <c r="OI40" s="1101">
        <v>0</v>
      </c>
      <c r="OJ40" s="1101">
        <v>0</v>
      </c>
      <c r="OK40" s="1101">
        <v>0</v>
      </c>
      <c r="OL40" s="1101">
        <v>0</v>
      </c>
      <c r="OM40" s="1101">
        <v>0</v>
      </c>
      <c r="ON40" s="1101">
        <v>0</v>
      </c>
      <c r="OO40" s="1101">
        <v>0</v>
      </c>
      <c r="OP40" s="1101">
        <v>-13325302</v>
      </c>
      <c r="OQ40" s="1101">
        <v>0</v>
      </c>
      <c r="OR40" s="1101">
        <v>0</v>
      </c>
      <c r="OS40" s="1101">
        <v>-3767752</v>
      </c>
      <c r="OT40" s="1101">
        <v>0</v>
      </c>
      <c r="OU40" s="1101">
        <v>0</v>
      </c>
      <c r="OV40" s="1101">
        <v>0</v>
      </c>
      <c r="OW40" s="1101">
        <v>0</v>
      </c>
      <c r="OX40" s="1101">
        <v>0</v>
      </c>
      <c r="OY40" s="1101">
        <v>0</v>
      </c>
      <c r="OZ40" s="1101">
        <v>0</v>
      </c>
      <c r="PA40" s="1101">
        <v>0</v>
      </c>
      <c r="PB40" s="1101">
        <v>0</v>
      </c>
      <c r="PC40" s="1101">
        <v>0</v>
      </c>
      <c r="PD40" s="1101">
        <v>0</v>
      </c>
      <c r="PE40" s="1101">
        <v>0</v>
      </c>
      <c r="PF40" s="1101">
        <v>0</v>
      </c>
      <c r="PG40" s="1101">
        <v>0</v>
      </c>
      <c r="PH40" s="1101">
        <v>0</v>
      </c>
      <c r="PI40" s="1101">
        <v>0</v>
      </c>
      <c r="PJ40" s="1101">
        <v>0</v>
      </c>
      <c r="PK40" s="1101">
        <v>-8700020</v>
      </c>
      <c r="PL40" s="1101">
        <v>-1361931</v>
      </c>
      <c r="PM40" s="1101">
        <v>-1745665</v>
      </c>
      <c r="PN40" s="1101">
        <v>0</v>
      </c>
      <c r="PO40" s="1101">
        <v>0</v>
      </c>
      <c r="PP40" s="1101">
        <v>0</v>
      </c>
      <c r="PQ40" s="1101">
        <v>-2059502</v>
      </c>
      <c r="PR40" s="1101">
        <v>-1512902</v>
      </c>
      <c r="PS40" s="1101">
        <v>-523969</v>
      </c>
      <c r="PT40" s="1101">
        <v>85431864</v>
      </c>
      <c r="PU40" s="1101">
        <v>709272</v>
      </c>
      <c r="PV40" s="1101">
        <v>0</v>
      </c>
      <c r="PW40" s="1101">
        <v>0</v>
      </c>
      <c r="PX40" s="1101">
        <v>0</v>
      </c>
      <c r="PY40" s="1101">
        <v>16166641</v>
      </c>
      <c r="PZ40" s="1101">
        <v>0</v>
      </c>
      <c r="QA40" s="1101">
        <v>0</v>
      </c>
      <c r="QB40" s="1101">
        <v>0</v>
      </c>
      <c r="QC40" s="1101">
        <v>0</v>
      </c>
      <c r="QD40" s="1101">
        <v>0</v>
      </c>
      <c r="QE40" s="1101">
        <v>0</v>
      </c>
      <c r="QF40" s="1101">
        <v>0</v>
      </c>
      <c r="QG40" s="1101">
        <v>0</v>
      </c>
      <c r="QH40" s="1101">
        <v>898617</v>
      </c>
      <c r="QI40" s="1101">
        <v>0</v>
      </c>
      <c r="QJ40" s="1101">
        <v>0</v>
      </c>
      <c r="QK40" s="1101">
        <v>0</v>
      </c>
      <c r="QL40" s="1101">
        <v>8700000</v>
      </c>
      <c r="QM40" s="1101">
        <v>1187519</v>
      </c>
      <c r="QN40" s="1101">
        <v>1274250</v>
      </c>
      <c r="QO40" s="1101">
        <v>0</v>
      </c>
      <c r="QP40" s="1101">
        <v>0</v>
      </c>
      <c r="QQ40" s="1101">
        <v>0</v>
      </c>
      <c r="QR40" s="1101">
        <v>116793</v>
      </c>
      <c r="QS40" s="1101">
        <v>0</v>
      </c>
      <c r="QT40" s="1101">
        <v>0</v>
      </c>
      <c r="QU40" s="1101">
        <v>0</v>
      </c>
      <c r="QV40" s="1101">
        <v>0</v>
      </c>
      <c r="QW40" s="1101">
        <v>0</v>
      </c>
      <c r="QX40" s="1101">
        <v>0</v>
      </c>
      <c r="QY40" s="1101">
        <v>0</v>
      </c>
      <c r="QZ40" s="1101">
        <v>0</v>
      </c>
      <c r="RA40" s="1101">
        <v>0</v>
      </c>
      <c r="RB40" s="1101">
        <v>0</v>
      </c>
      <c r="RC40" s="1101">
        <v>-22977507</v>
      </c>
      <c r="RD40" s="1101">
        <v>0</v>
      </c>
      <c r="RE40" s="1101">
        <v>0</v>
      </c>
      <c r="RF40" s="1101">
        <v>0</v>
      </c>
      <c r="RG40" s="1101">
        <v>0</v>
      </c>
      <c r="RH40" s="1101">
        <v>0</v>
      </c>
      <c r="RI40" s="1101">
        <v>0</v>
      </c>
      <c r="RJ40" s="1101">
        <v>0</v>
      </c>
      <c r="RK40" s="1101">
        <v>0</v>
      </c>
      <c r="RL40" s="1101">
        <v>0</v>
      </c>
      <c r="RM40" s="1101">
        <v>0</v>
      </c>
      <c r="RN40" s="1101">
        <v>0</v>
      </c>
      <c r="RO40" s="1101">
        <v>0</v>
      </c>
      <c r="RP40" s="1101">
        <v>0</v>
      </c>
      <c r="RQ40" s="1101">
        <v>0</v>
      </c>
      <c r="RR40" s="1101">
        <v>0</v>
      </c>
      <c r="RS40" s="1101">
        <v>0</v>
      </c>
      <c r="RT40" s="1101">
        <v>0</v>
      </c>
      <c r="RU40" s="1101">
        <v>0</v>
      </c>
      <c r="RV40" s="1101">
        <v>0</v>
      </c>
      <c r="RW40" s="1101">
        <v>0</v>
      </c>
      <c r="RX40" s="1101">
        <v>0</v>
      </c>
      <c r="RY40" s="1101">
        <v>0</v>
      </c>
      <c r="RZ40" s="1101">
        <v>0</v>
      </c>
      <c r="SA40" s="1101">
        <v>0</v>
      </c>
      <c r="SB40" s="1101">
        <v>0</v>
      </c>
      <c r="SC40" s="1101">
        <v>0</v>
      </c>
      <c r="SD40" s="1101">
        <v>0</v>
      </c>
      <c r="SE40" s="1101">
        <v>1168981</v>
      </c>
      <c r="SF40" s="1101">
        <v>1226135</v>
      </c>
      <c r="SG40" s="1101">
        <v>322298</v>
      </c>
      <c r="SH40" s="1101">
        <v>2715638</v>
      </c>
      <c r="SI40" s="1101">
        <v>0</v>
      </c>
      <c r="SJ40" s="1101">
        <v>0</v>
      </c>
      <c r="SK40" s="1101">
        <v>13325302</v>
      </c>
      <c r="SL40" s="1102">
        <v>0</v>
      </c>
      <c r="SM40" s="1101">
        <v>0</v>
      </c>
      <c r="SN40" s="1101">
        <v>103282941</v>
      </c>
      <c r="SO40" s="1102"/>
      <c r="SP40" s="1103"/>
      <c r="SQ40" s="1104">
        <v>78232311</v>
      </c>
      <c r="SR40" s="1104">
        <v>-24582417</v>
      </c>
      <c r="SS40" s="1105">
        <v>256984</v>
      </c>
      <c r="ST40" s="1106">
        <v>59574</v>
      </c>
      <c r="SU40" s="1106">
        <v>0</v>
      </c>
      <c r="SV40" s="1106">
        <v>2502731</v>
      </c>
      <c r="SW40" s="1106">
        <v>304752</v>
      </c>
      <c r="SX40" s="1106">
        <v>2308076</v>
      </c>
      <c r="SY40" s="1106">
        <v>935</v>
      </c>
      <c r="SZ40" s="1106">
        <v>0</v>
      </c>
      <c r="TA40" s="1106">
        <v>0</v>
      </c>
      <c r="TB40" s="1106">
        <v>6000</v>
      </c>
      <c r="TC40" s="1105">
        <v>0</v>
      </c>
      <c r="TD40" s="1106">
        <v>0</v>
      </c>
      <c r="TE40" s="1106">
        <v>0</v>
      </c>
      <c r="TF40" s="1106">
        <v>0</v>
      </c>
      <c r="TG40" s="1106">
        <v>0</v>
      </c>
      <c r="TH40" s="1106">
        <v>408898</v>
      </c>
      <c r="TI40" s="1106">
        <v>0</v>
      </c>
      <c r="TJ40" s="1106">
        <v>0</v>
      </c>
      <c r="TK40" s="1105">
        <v>0</v>
      </c>
      <c r="TL40" s="1106">
        <v>0</v>
      </c>
      <c r="TM40" s="1106">
        <v>0</v>
      </c>
      <c r="TN40" s="1106">
        <v>0</v>
      </c>
      <c r="TO40" s="1106">
        <v>0</v>
      </c>
      <c r="TP40" s="1106">
        <v>0</v>
      </c>
      <c r="TQ40" s="1106">
        <v>0</v>
      </c>
      <c r="TR40" s="1106">
        <v>0</v>
      </c>
      <c r="TS40" s="1105">
        <v>78454410</v>
      </c>
      <c r="TT40" s="1106">
        <v>5151314</v>
      </c>
      <c r="TU40" s="1106">
        <v>2009621</v>
      </c>
      <c r="TV40" s="1106">
        <v>11715380</v>
      </c>
      <c r="TW40" s="1106">
        <v>14886580</v>
      </c>
      <c r="TX40" s="1106">
        <v>53515854</v>
      </c>
      <c r="TY40" s="1106">
        <v>14101852</v>
      </c>
      <c r="TZ40" s="1107">
        <v>27513383</v>
      </c>
      <c r="UA40" s="1107">
        <v>15885231</v>
      </c>
      <c r="UB40" s="1105">
        <v>69058121</v>
      </c>
      <c r="UC40" s="1108">
        <v>27165411</v>
      </c>
      <c r="UD40" s="1108"/>
      <c r="UE40" s="1103"/>
      <c r="UF40" s="1109" t="s">
        <v>2473</v>
      </c>
      <c r="UG40" s="1110" t="s">
        <v>2474</v>
      </c>
      <c r="UH40" s="1110" t="s">
        <v>2475</v>
      </c>
    </row>
    <row r="41" spans="1:554" s="776" customFormat="1" ht="27.75" customHeight="1" thickBot="1">
      <c r="A41" s="1093">
        <v>370</v>
      </c>
      <c r="B41" s="1094" t="s">
        <v>127</v>
      </c>
      <c r="C41" s="1095" t="s">
        <v>337</v>
      </c>
      <c r="D41" s="1096" t="s">
        <v>2398</v>
      </c>
      <c r="E41" s="1097">
        <v>3646</v>
      </c>
      <c r="F41" s="1098">
        <v>909102082</v>
      </c>
      <c r="G41" s="1096" t="s">
        <v>2399</v>
      </c>
      <c r="H41" s="1100" t="s">
        <v>127</v>
      </c>
      <c r="I41" s="1100"/>
      <c r="J41" s="1100"/>
      <c r="K41" s="1100"/>
      <c r="L41" s="1100"/>
      <c r="M41" s="1101">
        <v>75097158</v>
      </c>
      <c r="N41" s="1101">
        <v>0</v>
      </c>
      <c r="O41" s="1101">
        <v>0</v>
      </c>
      <c r="P41" s="1101">
        <v>0</v>
      </c>
      <c r="Q41" s="1101">
        <v>0</v>
      </c>
      <c r="R41" s="1101">
        <v>0</v>
      </c>
      <c r="S41" s="1101">
        <v>0</v>
      </c>
      <c r="T41" s="1101">
        <v>0</v>
      </c>
      <c r="U41" s="1101">
        <v>0</v>
      </c>
      <c r="V41" s="1101">
        <v>0</v>
      </c>
      <c r="W41" s="1101">
        <v>0</v>
      </c>
      <c r="X41" s="1101">
        <v>0</v>
      </c>
      <c r="Y41" s="1101">
        <v>6193003</v>
      </c>
      <c r="Z41" s="1101">
        <v>0</v>
      </c>
      <c r="AA41" s="1101">
        <v>0</v>
      </c>
      <c r="AB41" s="1101">
        <v>0</v>
      </c>
      <c r="AC41" s="1101">
        <v>0</v>
      </c>
      <c r="AD41" s="1101">
        <v>0</v>
      </c>
      <c r="AE41" s="1101">
        <v>0</v>
      </c>
      <c r="AF41" s="1101">
        <v>0</v>
      </c>
      <c r="AG41" s="1101">
        <v>0</v>
      </c>
      <c r="AH41" s="1101">
        <v>0</v>
      </c>
      <c r="AI41" s="1101">
        <v>0</v>
      </c>
      <c r="AJ41" s="1101">
        <v>0</v>
      </c>
      <c r="AK41" s="1101">
        <v>0</v>
      </c>
      <c r="AL41" s="1101">
        <v>0</v>
      </c>
      <c r="AM41" s="1101">
        <v>0</v>
      </c>
      <c r="AN41" s="1101">
        <v>14554133</v>
      </c>
      <c r="AO41" s="1101">
        <v>0</v>
      </c>
      <c r="AP41" s="1101">
        <v>0</v>
      </c>
      <c r="AQ41" s="1101">
        <v>0</v>
      </c>
      <c r="AR41" s="1101">
        <v>0</v>
      </c>
      <c r="AS41" s="1101">
        <v>0</v>
      </c>
      <c r="AT41" s="1101">
        <v>0</v>
      </c>
      <c r="AU41" s="1101">
        <v>0</v>
      </c>
      <c r="AV41" s="1101">
        <v>0</v>
      </c>
      <c r="AW41" s="1101">
        <v>0</v>
      </c>
      <c r="AX41" s="1101">
        <v>0</v>
      </c>
      <c r="AY41" s="1101">
        <v>0</v>
      </c>
      <c r="AZ41" s="1101">
        <v>0</v>
      </c>
      <c r="BA41" s="1101">
        <v>0</v>
      </c>
      <c r="BB41" s="1101">
        <v>0</v>
      </c>
      <c r="BC41" s="1101">
        <v>0</v>
      </c>
      <c r="BD41" s="1101">
        <v>0</v>
      </c>
      <c r="BE41" s="1101">
        <v>0</v>
      </c>
      <c r="BF41" s="1101">
        <v>0</v>
      </c>
      <c r="BG41" s="1101">
        <v>0</v>
      </c>
      <c r="BH41" s="1101">
        <v>0</v>
      </c>
      <c r="BI41" s="1101">
        <v>0</v>
      </c>
      <c r="BJ41" s="1101">
        <v>0</v>
      </c>
      <c r="BK41" s="1101">
        <v>0</v>
      </c>
      <c r="BL41" s="1101">
        <v>0</v>
      </c>
      <c r="BM41" s="1101">
        <v>0</v>
      </c>
      <c r="BN41" s="1101">
        <v>0</v>
      </c>
      <c r="BO41" s="1101">
        <v>0</v>
      </c>
      <c r="BP41" s="1101">
        <v>0</v>
      </c>
      <c r="BQ41" s="1101">
        <v>0</v>
      </c>
      <c r="BR41" s="1101">
        <v>0</v>
      </c>
      <c r="BS41" s="1101">
        <v>0</v>
      </c>
      <c r="BT41" s="1101">
        <v>0</v>
      </c>
      <c r="BU41" s="1101">
        <v>0</v>
      </c>
      <c r="BV41" s="1101">
        <v>0</v>
      </c>
      <c r="BW41" s="1101">
        <v>0</v>
      </c>
      <c r="BX41" s="1101">
        <v>0</v>
      </c>
      <c r="BY41" s="1101">
        <v>0</v>
      </c>
      <c r="BZ41" s="1101">
        <v>0</v>
      </c>
      <c r="CA41" s="1101">
        <v>0</v>
      </c>
      <c r="CB41" s="1101">
        <v>0</v>
      </c>
      <c r="CC41" s="1101">
        <v>0</v>
      </c>
      <c r="CD41" s="1101">
        <v>0</v>
      </c>
      <c r="CE41" s="1101">
        <v>0</v>
      </c>
      <c r="CF41" s="1101">
        <v>0</v>
      </c>
      <c r="CG41" s="1101">
        <v>0</v>
      </c>
      <c r="CH41" s="1101">
        <v>0</v>
      </c>
      <c r="CI41" s="1101">
        <v>0</v>
      </c>
      <c r="CJ41" s="1101">
        <v>0</v>
      </c>
      <c r="CK41" s="1101">
        <v>0</v>
      </c>
      <c r="CL41" s="1101">
        <v>0</v>
      </c>
      <c r="CM41" s="1101">
        <v>0</v>
      </c>
      <c r="CN41" s="1101">
        <v>0</v>
      </c>
      <c r="CO41" s="1101">
        <v>0</v>
      </c>
      <c r="CP41" s="1101">
        <v>38779077</v>
      </c>
      <c r="CQ41" s="1101">
        <v>85692866</v>
      </c>
      <c r="CR41" s="1101">
        <v>0</v>
      </c>
      <c r="CS41" s="1101">
        <v>0</v>
      </c>
      <c r="CT41" s="1101">
        <v>0</v>
      </c>
      <c r="CU41" s="1101">
        <v>0</v>
      </c>
      <c r="CV41" s="1101">
        <v>0</v>
      </c>
      <c r="CW41" s="1101">
        <v>0</v>
      </c>
      <c r="CX41" s="1101">
        <v>0</v>
      </c>
      <c r="CY41" s="1101">
        <v>-5958562</v>
      </c>
      <c r="CZ41" s="1101">
        <v>0</v>
      </c>
      <c r="DA41" s="1101">
        <v>0</v>
      </c>
      <c r="DB41" s="1101">
        <v>0</v>
      </c>
      <c r="DC41" s="1101">
        <v>0</v>
      </c>
      <c r="DD41" s="1101">
        <v>0</v>
      </c>
      <c r="DE41" s="1101">
        <v>0</v>
      </c>
      <c r="DF41" s="1101">
        <v>0</v>
      </c>
      <c r="DG41" s="1101">
        <v>0</v>
      </c>
      <c r="DH41" s="1101">
        <v>0</v>
      </c>
      <c r="DI41" s="1101">
        <v>-40224</v>
      </c>
      <c r="DJ41" s="1101">
        <v>0</v>
      </c>
      <c r="DK41" s="1101">
        <v>0</v>
      </c>
      <c r="DL41" s="1101">
        <v>0</v>
      </c>
      <c r="DM41" s="1101">
        <v>0</v>
      </c>
      <c r="DN41" s="1101">
        <v>0</v>
      </c>
      <c r="DO41" s="1101">
        <v>0</v>
      </c>
      <c r="DP41" s="1101">
        <v>0</v>
      </c>
      <c r="DQ41" s="1101">
        <v>-2419468</v>
      </c>
      <c r="DR41" s="1101">
        <v>0</v>
      </c>
      <c r="DS41" s="1101">
        <v>0</v>
      </c>
      <c r="DT41" s="1101">
        <v>0</v>
      </c>
      <c r="DU41" s="1101">
        <v>0</v>
      </c>
      <c r="DV41" s="1101">
        <v>0</v>
      </c>
      <c r="DW41" s="1101">
        <v>0</v>
      </c>
      <c r="DX41" s="1101">
        <v>0</v>
      </c>
      <c r="DY41" s="1101">
        <v>0</v>
      </c>
      <c r="DZ41" s="1101">
        <v>0</v>
      </c>
      <c r="EA41" s="1101">
        <v>-2881523</v>
      </c>
      <c r="EB41" s="1101">
        <v>0</v>
      </c>
      <c r="EC41" s="1101">
        <v>0</v>
      </c>
      <c r="ED41" s="1101">
        <v>0</v>
      </c>
      <c r="EE41" s="1101">
        <v>0</v>
      </c>
      <c r="EF41" s="1101">
        <v>0</v>
      </c>
      <c r="EG41" s="1101">
        <v>0</v>
      </c>
      <c r="EH41" s="1101">
        <v>0</v>
      </c>
      <c r="EI41" s="1101">
        <v>0</v>
      </c>
      <c r="EJ41" s="1101">
        <v>0</v>
      </c>
      <c r="EK41" s="1101">
        <v>0</v>
      </c>
      <c r="EL41" s="1101">
        <v>0</v>
      </c>
      <c r="EM41" s="1101">
        <v>0</v>
      </c>
      <c r="EN41" s="1101">
        <v>0</v>
      </c>
      <c r="EO41" s="1101">
        <v>0</v>
      </c>
      <c r="EP41" s="1101">
        <v>0</v>
      </c>
      <c r="EQ41" s="1101">
        <v>0</v>
      </c>
      <c r="ER41" s="1101">
        <v>0</v>
      </c>
      <c r="ES41" s="1101">
        <v>0</v>
      </c>
      <c r="ET41" s="1101">
        <v>0</v>
      </c>
      <c r="EU41" s="1101">
        <v>0</v>
      </c>
      <c r="EV41" s="1101">
        <v>0</v>
      </c>
      <c r="EW41" s="1101">
        <v>0</v>
      </c>
      <c r="EX41" s="1101">
        <v>0</v>
      </c>
      <c r="EY41" s="1101">
        <v>0</v>
      </c>
      <c r="EZ41" s="1101">
        <v>0</v>
      </c>
      <c r="FA41" s="1101">
        <v>0</v>
      </c>
      <c r="FB41" s="1101">
        <v>0</v>
      </c>
      <c r="FC41" s="1101">
        <v>0</v>
      </c>
      <c r="FD41" s="1101">
        <v>0</v>
      </c>
      <c r="FE41" s="1101">
        <v>0</v>
      </c>
      <c r="FF41" s="1101">
        <v>0</v>
      </c>
      <c r="FG41" s="1101">
        <v>0</v>
      </c>
      <c r="FH41" s="1101">
        <v>0</v>
      </c>
      <c r="FI41" s="1101">
        <v>0</v>
      </c>
      <c r="FJ41" s="1101">
        <v>0</v>
      </c>
      <c r="FK41" s="1101">
        <v>0</v>
      </c>
      <c r="FL41" s="1101">
        <v>0</v>
      </c>
      <c r="FM41" s="1101">
        <v>0</v>
      </c>
      <c r="FN41" s="1101">
        <v>0</v>
      </c>
      <c r="FO41" s="1101">
        <v>0</v>
      </c>
      <c r="FP41" s="1101">
        <v>0</v>
      </c>
      <c r="FQ41" s="1101">
        <v>0</v>
      </c>
      <c r="FR41" s="1101">
        <v>0</v>
      </c>
      <c r="FS41" s="1101">
        <v>0</v>
      </c>
      <c r="FT41" s="1101">
        <v>0</v>
      </c>
      <c r="FU41" s="1101">
        <v>0</v>
      </c>
      <c r="FV41" s="1101">
        <v>0</v>
      </c>
      <c r="FW41" s="1101">
        <v>0</v>
      </c>
      <c r="FX41" s="1101">
        <v>0</v>
      </c>
      <c r="FY41" s="1101">
        <v>0</v>
      </c>
      <c r="FZ41" s="1101">
        <v>0</v>
      </c>
      <c r="GA41" s="1101">
        <v>0</v>
      </c>
      <c r="GB41" s="1101">
        <v>581559</v>
      </c>
      <c r="GC41" s="1101">
        <v>18494260</v>
      </c>
      <c r="GD41" s="1101">
        <v>0</v>
      </c>
      <c r="GE41" s="1101">
        <v>0</v>
      </c>
      <c r="GF41" s="1101">
        <v>0</v>
      </c>
      <c r="GG41" s="1101">
        <v>0</v>
      </c>
      <c r="GH41" s="1101">
        <v>0</v>
      </c>
      <c r="GI41" s="1101">
        <v>0</v>
      </c>
      <c r="GJ41" s="1101">
        <v>0</v>
      </c>
      <c r="GK41" s="1101">
        <v>-87170</v>
      </c>
      <c r="GL41" s="1101">
        <v>0</v>
      </c>
      <c r="GM41" s="1101">
        <v>0</v>
      </c>
      <c r="GN41" s="1101">
        <v>0</v>
      </c>
      <c r="GO41" s="1101">
        <v>0</v>
      </c>
      <c r="GP41" s="1101">
        <v>0</v>
      </c>
      <c r="GQ41" s="1101">
        <v>0</v>
      </c>
      <c r="GR41" s="1101">
        <v>0</v>
      </c>
      <c r="GS41" s="1101">
        <v>0</v>
      </c>
      <c r="GT41" s="1101">
        <v>0</v>
      </c>
      <c r="GU41" s="1101">
        <v>-2325</v>
      </c>
      <c r="GV41" s="1101">
        <v>0</v>
      </c>
      <c r="GW41" s="1101">
        <v>0</v>
      </c>
      <c r="GX41" s="1101">
        <v>0</v>
      </c>
      <c r="GY41" s="1101">
        <v>0</v>
      </c>
      <c r="GZ41" s="1101">
        <v>0</v>
      </c>
      <c r="HA41" s="1101">
        <v>0</v>
      </c>
      <c r="HB41" s="1101">
        <v>0</v>
      </c>
      <c r="HC41" s="1101">
        <v>-3136288</v>
      </c>
      <c r="HD41" s="1101">
        <v>0</v>
      </c>
      <c r="HE41" s="1101">
        <v>0</v>
      </c>
      <c r="HF41" s="1101">
        <v>0</v>
      </c>
      <c r="HG41" s="1101">
        <v>0</v>
      </c>
      <c r="HH41" s="1101">
        <v>0</v>
      </c>
      <c r="HI41" s="1101">
        <v>0</v>
      </c>
      <c r="HJ41" s="1101">
        <v>0</v>
      </c>
      <c r="HK41" s="1101">
        <v>0</v>
      </c>
      <c r="HL41" s="1101">
        <v>0</v>
      </c>
      <c r="HM41" s="1101">
        <v>-921</v>
      </c>
      <c r="HN41" s="1101">
        <v>0</v>
      </c>
      <c r="HO41" s="1101">
        <v>0</v>
      </c>
      <c r="HP41" s="1101">
        <v>0</v>
      </c>
      <c r="HQ41" s="1101">
        <v>0</v>
      </c>
      <c r="HR41" s="1101">
        <v>0</v>
      </c>
      <c r="HS41" s="1101">
        <v>0</v>
      </c>
      <c r="HT41" s="1101">
        <v>0</v>
      </c>
      <c r="HU41" s="1101">
        <v>-10929553</v>
      </c>
      <c r="HV41" s="1101">
        <v>-28930394</v>
      </c>
      <c r="HW41" s="1101">
        <v>0</v>
      </c>
      <c r="HX41" s="1101">
        <v>0</v>
      </c>
      <c r="HY41" s="1101">
        <v>0</v>
      </c>
      <c r="HZ41" s="1101">
        <v>0</v>
      </c>
      <c r="IA41" s="1101">
        <v>0</v>
      </c>
      <c r="IB41" s="1101">
        <v>0</v>
      </c>
      <c r="IC41" s="1101">
        <v>0</v>
      </c>
      <c r="ID41" s="1101">
        <v>0</v>
      </c>
      <c r="IE41" s="1101">
        <v>0</v>
      </c>
      <c r="IF41" s="1101">
        <v>0</v>
      </c>
      <c r="IG41" s="1101">
        <v>42101935</v>
      </c>
      <c r="IH41" s="1101">
        <v>0</v>
      </c>
      <c r="II41" s="1101">
        <v>0</v>
      </c>
      <c r="IJ41" s="1101">
        <v>0</v>
      </c>
      <c r="IK41" s="1101">
        <v>0</v>
      </c>
      <c r="IL41" s="1101">
        <v>0</v>
      </c>
      <c r="IM41" s="1101">
        <v>41894</v>
      </c>
      <c r="IN41" s="1101">
        <v>9189109</v>
      </c>
      <c r="IO41" s="1101">
        <v>95078</v>
      </c>
      <c r="IP41" s="1101">
        <v>88877</v>
      </c>
      <c r="IQ41" s="1101">
        <v>16368</v>
      </c>
      <c r="IR41" s="1101">
        <v>876728</v>
      </c>
      <c r="IS41" s="1101">
        <v>73091</v>
      </c>
      <c r="IT41" s="1101">
        <v>0</v>
      </c>
      <c r="IU41" s="1101">
        <v>0</v>
      </c>
      <c r="IV41" s="1101">
        <v>0</v>
      </c>
      <c r="IW41" s="1101">
        <v>0</v>
      </c>
      <c r="IX41" s="1101">
        <v>0</v>
      </c>
      <c r="IY41" s="1101">
        <v>1195291</v>
      </c>
      <c r="IZ41" s="1101">
        <v>0</v>
      </c>
      <c r="JA41" s="1101">
        <v>0</v>
      </c>
      <c r="JB41" s="1101">
        <v>0</v>
      </c>
      <c r="JC41" s="1101">
        <v>0</v>
      </c>
      <c r="JD41" s="1101">
        <v>0</v>
      </c>
      <c r="JE41" s="1101">
        <v>0</v>
      </c>
      <c r="JF41" s="1101">
        <v>22961</v>
      </c>
      <c r="JG41" s="1101">
        <v>1000</v>
      </c>
      <c r="JH41" s="1101">
        <v>3264416</v>
      </c>
      <c r="JI41" s="1101">
        <v>0</v>
      </c>
      <c r="JJ41" s="1101">
        <v>0</v>
      </c>
      <c r="JK41" s="1101">
        <v>50000</v>
      </c>
      <c r="JL41" s="1101">
        <v>0</v>
      </c>
      <c r="JM41" s="1101">
        <v>0</v>
      </c>
      <c r="JN41" s="1101">
        <v>0</v>
      </c>
      <c r="JO41" s="1101">
        <v>-40009</v>
      </c>
      <c r="JP41" s="1101">
        <v>-1086</v>
      </c>
      <c r="JQ41" s="1101">
        <v>0</v>
      </c>
      <c r="JR41" s="1101">
        <v>0</v>
      </c>
      <c r="JS41" s="1101">
        <v>0</v>
      </c>
      <c r="JT41" s="1101">
        <v>0</v>
      </c>
      <c r="JU41" s="1101">
        <v>0</v>
      </c>
      <c r="JV41" s="1101">
        <v>0</v>
      </c>
      <c r="JW41" s="1101">
        <v>0</v>
      </c>
      <c r="JX41" s="1101">
        <v>0</v>
      </c>
      <c r="JY41" s="1101">
        <v>17712952</v>
      </c>
      <c r="JZ41" s="1101">
        <v>0</v>
      </c>
      <c r="KA41" s="1101">
        <v>0</v>
      </c>
      <c r="KB41" s="1101">
        <v>0</v>
      </c>
      <c r="KC41" s="1101">
        <v>0</v>
      </c>
      <c r="KD41" s="1101">
        <v>0</v>
      </c>
      <c r="KE41" s="1101">
        <v>0</v>
      </c>
      <c r="KF41" s="1101">
        <v>82550</v>
      </c>
      <c r="KG41" s="1101">
        <v>2432097</v>
      </c>
      <c r="KH41" s="1101">
        <v>1116351</v>
      </c>
      <c r="KI41" s="1101">
        <v>452177</v>
      </c>
      <c r="KJ41" s="1101">
        <v>0</v>
      </c>
      <c r="KK41" s="1101">
        <v>0</v>
      </c>
      <c r="KL41" s="1101">
        <v>0</v>
      </c>
      <c r="KM41" s="1101">
        <v>0</v>
      </c>
      <c r="KN41" s="1101">
        <v>0</v>
      </c>
      <c r="KO41" s="1101">
        <v>72802640</v>
      </c>
      <c r="KP41" s="1101">
        <v>11125399</v>
      </c>
      <c r="KQ41" s="1101">
        <v>0</v>
      </c>
      <c r="KR41" s="1101">
        <v>1449097</v>
      </c>
      <c r="KS41" s="1101">
        <v>0</v>
      </c>
      <c r="KT41" s="1101">
        <v>0</v>
      </c>
      <c r="KU41" s="1101">
        <v>0</v>
      </c>
      <c r="KV41" s="1101">
        <v>0</v>
      </c>
      <c r="KW41" s="1101">
        <v>0</v>
      </c>
      <c r="KX41" s="1101">
        <v>1413119</v>
      </c>
      <c r="KY41" s="1101">
        <v>367040</v>
      </c>
      <c r="KZ41" s="1101">
        <v>0</v>
      </c>
      <c r="LA41" s="1101">
        <v>2650066</v>
      </c>
      <c r="LB41" s="1101">
        <v>0</v>
      </c>
      <c r="LC41" s="1101">
        <v>0</v>
      </c>
      <c r="LD41" s="1101">
        <v>0</v>
      </c>
      <c r="LE41" s="1101">
        <v>0</v>
      </c>
      <c r="LF41" s="1101">
        <v>0</v>
      </c>
      <c r="LG41" s="1101">
        <v>843</v>
      </c>
      <c r="LH41" s="1101">
        <v>35013</v>
      </c>
      <c r="LI41" s="1101">
        <v>0</v>
      </c>
      <c r="LJ41" s="1101">
        <v>705305</v>
      </c>
      <c r="LK41" s="1101">
        <v>0</v>
      </c>
      <c r="LL41" s="1101">
        <v>0</v>
      </c>
      <c r="LM41" s="1101">
        <v>0</v>
      </c>
      <c r="LN41" s="1101">
        <v>0</v>
      </c>
      <c r="LO41" s="1101">
        <v>0</v>
      </c>
      <c r="LP41" s="1101">
        <v>12138769</v>
      </c>
      <c r="LQ41" s="1101">
        <v>16723156</v>
      </c>
      <c r="LR41" s="1101">
        <v>0</v>
      </c>
      <c r="LS41" s="1101">
        <v>738053</v>
      </c>
      <c r="LT41" s="1101">
        <v>0</v>
      </c>
      <c r="LU41" s="1101">
        <v>0</v>
      </c>
      <c r="LV41" s="1101">
        <v>0</v>
      </c>
      <c r="LW41" s="1101">
        <v>0</v>
      </c>
      <c r="LX41" s="1101">
        <v>0</v>
      </c>
      <c r="LY41" s="1101">
        <v>2346777</v>
      </c>
      <c r="LZ41" s="1101">
        <v>8209327</v>
      </c>
      <c r="MA41" s="1101">
        <v>0</v>
      </c>
      <c r="MB41" s="1101">
        <v>1868627</v>
      </c>
      <c r="MC41" s="1101">
        <v>0</v>
      </c>
      <c r="MD41" s="1101">
        <v>0</v>
      </c>
      <c r="ME41" s="1101">
        <v>0</v>
      </c>
      <c r="MF41" s="1101">
        <v>0</v>
      </c>
      <c r="MG41" s="1101">
        <v>0</v>
      </c>
      <c r="MH41" s="1101">
        <v>6852322</v>
      </c>
      <c r="MI41" s="1101">
        <v>22708349</v>
      </c>
      <c r="MJ41" s="1101">
        <v>0</v>
      </c>
      <c r="MK41" s="1101">
        <v>1391343</v>
      </c>
      <c r="ML41" s="1101">
        <v>0</v>
      </c>
      <c r="MM41" s="1101">
        <v>138469</v>
      </c>
      <c r="MN41" s="1101">
        <v>0</v>
      </c>
      <c r="MO41" s="1101">
        <v>0</v>
      </c>
      <c r="MP41" s="1101">
        <v>0</v>
      </c>
      <c r="MQ41" s="1101">
        <v>6759800</v>
      </c>
      <c r="MR41" s="1101">
        <v>7580771</v>
      </c>
      <c r="MS41" s="1101">
        <v>0</v>
      </c>
      <c r="MT41" s="1101">
        <v>0</v>
      </c>
      <c r="MU41" s="1101">
        <v>0</v>
      </c>
      <c r="MV41" s="1101">
        <v>0</v>
      </c>
      <c r="MW41" s="1101">
        <v>8803036</v>
      </c>
      <c r="MX41" s="1101">
        <v>0</v>
      </c>
      <c r="MY41" s="1101">
        <v>0</v>
      </c>
      <c r="MZ41" s="1101">
        <v>920999</v>
      </c>
      <c r="NA41" s="1101">
        <v>371048</v>
      </c>
      <c r="NB41" s="1101">
        <v>0</v>
      </c>
      <c r="NC41" s="1101">
        <v>3626035</v>
      </c>
      <c r="ND41" s="1101">
        <v>0</v>
      </c>
      <c r="NE41" s="1101">
        <v>0</v>
      </c>
      <c r="NF41" s="1101">
        <v>0</v>
      </c>
      <c r="NG41" s="1101">
        <v>0</v>
      </c>
      <c r="NH41" s="1101">
        <v>0</v>
      </c>
      <c r="NI41" s="1101">
        <v>0</v>
      </c>
      <c r="NJ41" s="1101">
        <v>0</v>
      </c>
      <c r="NK41" s="1101">
        <v>20998453</v>
      </c>
      <c r="NL41" s="1101">
        <v>31670</v>
      </c>
      <c r="NM41" s="1101">
        <v>0</v>
      </c>
      <c r="NN41" s="1101">
        <v>0</v>
      </c>
      <c r="NO41" s="1101">
        <v>0</v>
      </c>
      <c r="NP41" s="1101">
        <v>0</v>
      </c>
      <c r="NQ41" s="1101">
        <v>0</v>
      </c>
      <c r="NR41" s="1101">
        <v>579010</v>
      </c>
      <c r="NS41" s="1101">
        <v>205059</v>
      </c>
      <c r="NT41" s="1101">
        <v>0</v>
      </c>
      <c r="NU41" s="1101">
        <v>133596</v>
      </c>
      <c r="NV41" s="1101">
        <v>0</v>
      </c>
      <c r="NW41" s="1101">
        <v>0</v>
      </c>
      <c r="NX41" s="1101">
        <v>0</v>
      </c>
      <c r="NY41" s="1101">
        <v>0</v>
      </c>
      <c r="NZ41" s="1101">
        <v>0</v>
      </c>
      <c r="OA41" s="1101">
        <v>0</v>
      </c>
      <c r="OB41" s="1101">
        <v>0</v>
      </c>
      <c r="OC41" s="1101">
        <v>0</v>
      </c>
      <c r="OD41" s="1101">
        <v>0</v>
      </c>
      <c r="OE41" s="1101">
        <v>0</v>
      </c>
      <c r="OF41" s="1101">
        <v>0</v>
      </c>
      <c r="OG41" s="1101">
        <v>0</v>
      </c>
      <c r="OH41" s="1101">
        <v>1025</v>
      </c>
      <c r="OI41" s="1101">
        <v>120227</v>
      </c>
      <c r="OJ41" s="1101">
        <v>0</v>
      </c>
      <c r="OK41" s="1101">
        <v>0</v>
      </c>
      <c r="OL41" s="1101">
        <v>0</v>
      </c>
      <c r="OM41" s="1101">
        <v>0</v>
      </c>
      <c r="ON41" s="1101">
        <v>0</v>
      </c>
      <c r="OO41" s="1101">
        <v>0</v>
      </c>
      <c r="OP41" s="1101">
        <v>-8408177</v>
      </c>
      <c r="OQ41" s="1101">
        <v>0</v>
      </c>
      <c r="OR41" s="1101">
        <v>0</v>
      </c>
      <c r="OS41" s="1101">
        <v>-10399796</v>
      </c>
      <c r="OT41" s="1101">
        <v>6604078</v>
      </c>
      <c r="OU41" s="1101">
        <v>8746385</v>
      </c>
      <c r="OV41" s="1101">
        <v>-33882011</v>
      </c>
      <c r="OW41" s="1101">
        <v>267687</v>
      </c>
      <c r="OX41" s="1101">
        <v>-605987</v>
      </c>
      <c r="OY41" s="1101">
        <v>14032197</v>
      </c>
      <c r="OZ41" s="1101">
        <v>15565646</v>
      </c>
      <c r="PA41" s="1101">
        <v>0</v>
      </c>
      <c r="PB41" s="1101">
        <v>0</v>
      </c>
      <c r="PC41" s="1101">
        <v>0</v>
      </c>
      <c r="PD41" s="1101">
        <v>0</v>
      </c>
      <c r="PE41" s="1101">
        <v>0</v>
      </c>
      <c r="PF41" s="1101">
        <v>0</v>
      </c>
      <c r="PG41" s="1101">
        <v>0</v>
      </c>
      <c r="PH41" s="1101">
        <v>17938486</v>
      </c>
      <c r="PI41" s="1101">
        <v>0</v>
      </c>
      <c r="PJ41" s="1101">
        <v>0</v>
      </c>
      <c r="PK41" s="1101">
        <v>0</v>
      </c>
      <c r="PL41" s="1101">
        <v>0</v>
      </c>
      <c r="PM41" s="1101">
        <v>0</v>
      </c>
      <c r="PN41" s="1101">
        <v>0</v>
      </c>
      <c r="PO41" s="1101">
        <v>0</v>
      </c>
      <c r="PP41" s="1101">
        <v>0</v>
      </c>
      <c r="PQ41" s="1101">
        <v>0</v>
      </c>
      <c r="PR41" s="1101">
        <v>-15455033</v>
      </c>
      <c r="PS41" s="1101">
        <v>0</v>
      </c>
      <c r="PT41" s="1101">
        <v>0</v>
      </c>
      <c r="PU41" s="1101">
        <v>21789315</v>
      </c>
      <c r="PV41" s="1101">
        <v>0</v>
      </c>
      <c r="PW41" s="1101">
        <v>0</v>
      </c>
      <c r="PX41" s="1101">
        <v>0</v>
      </c>
      <c r="PY41" s="1101">
        <v>3175476</v>
      </c>
      <c r="PZ41" s="1101">
        <v>0</v>
      </c>
      <c r="QA41" s="1101">
        <v>0</v>
      </c>
      <c r="QB41" s="1101">
        <v>0</v>
      </c>
      <c r="QC41" s="1101">
        <v>0</v>
      </c>
      <c r="QD41" s="1101">
        <v>0</v>
      </c>
      <c r="QE41" s="1101">
        <v>0</v>
      </c>
      <c r="QF41" s="1101">
        <v>0</v>
      </c>
      <c r="QG41" s="1101">
        <v>0</v>
      </c>
      <c r="QH41" s="1101">
        <v>36018</v>
      </c>
      <c r="QI41" s="1101">
        <v>0</v>
      </c>
      <c r="QJ41" s="1101">
        <v>0</v>
      </c>
      <c r="QK41" s="1101">
        <v>0</v>
      </c>
      <c r="QL41" s="1101">
        <v>0</v>
      </c>
      <c r="QM41" s="1101">
        <v>0</v>
      </c>
      <c r="QN41" s="1101">
        <v>0</v>
      </c>
      <c r="QO41" s="1101">
        <v>0</v>
      </c>
      <c r="QP41" s="1101">
        <v>0</v>
      </c>
      <c r="QQ41" s="1101">
        <v>0</v>
      </c>
      <c r="QR41" s="1101">
        <v>-17938486</v>
      </c>
      <c r="QS41" s="1101">
        <v>9930000</v>
      </c>
      <c r="QT41" s="1101">
        <v>0</v>
      </c>
      <c r="QU41" s="1101">
        <v>0</v>
      </c>
      <c r="QV41" s="1101">
        <v>0</v>
      </c>
      <c r="QW41" s="1101">
        <v>0</v>
      </c>
      <c r="QX41" s="1101">
        <v>0</v>
      </c>
      <c r="QY41" s="1101">
        <v>0</v>
      </c>
      <c r="QZ41" s="1101">
        <v>0</v>
      </c>
      <c r="RA41" s="1101">
        <v>0</v>
      </c>
      <c r="RB41" s="1101">
        <v>0</v>
      </c>
      <c r="RC41" s="1101">
        <v>-21007708</v>
      </c>
      <c r="RD41" s="1101">
        <v>0</v>
      </c>
      <c r="RE41" s="1101">
        <v>0</v>
      </c>
      <c r="RF41" s="1101">
        <v>0</v>
      </c>
      <c r="RG41" s="1101">
        <v>0</v>
      </c>
      <c r="RH41" s="1101">
        <v>0</v>
      </c>
      <c r="RI41" s="1101">
        <v>0</v>
      </c>
      <c r="RJ41" s="1101">
        <v>0</v>
      </c>
      <c r="RK41" s="1101">
        <v>0</v>
      </c>
      <c r="RL41" s="1101">
        <v>0</v>
      </c>
      <c r="RM41" s="1101">
        <v>0</v>
      </c>
      <c r="RN41" s="1101">
        <v>0</v>
      </c>
      <c r="RO41" s="1101">
        <v>0</v>
      </c>
      <c r="RP41" s="1101">
        <v>0</v>
      </c>
      <c r="RQ41" s="1101">
        <v>0</v>
      </c>
      <c r="RR41" s="1101">
        <v>0</v>
      </c>
      <c r="RS41" s="1101">
        <v>0</v>
      </c>
      <c r="RT41" s="1101">
        <v>0</v>
      </c>
      <c r="RU41" s="1101">
        <v>0</v>
      </c>
      <c r="RV41" s="1101">
        <v>0</v>
      </c>
      <c r="RW41" s="1101">
        <v>0</v>
      </c>
      <c r="RX41" s="1101">
        <v>0</v>
      </c>
      <c r="RY41" s="1101">
        <v>0</v>
      </c>
      <c r="RZ41" s="1101">
        <v>0</v>
      </c>
      <c r="SA41" s="1101">
        <v>0</v>
      </c>
      <c r="SB41" s="1101">
        <v>0</v>
      </c>
      <c r="SC41" s="1101">
        <v>0</v>
      </c>
      <c r="SD41" s="1101">
        <v>0</v>
      </c>
      <c r="SE41" s="1101">
        <v>0</v>
      </c>
      <c r="SF41" s="1101">
        <v>0</v>
      </c>
      <c r="SG41" s="1101">
        <v>0</v>
      </c>
      <c r="SH41" s="1101">
        <v>0</v>
      </c>
      <c r="SI41" s="1101">
        <v>0</v>
      </c>
      <c r="SJ41" s="1101">
        <v>0</v>
      </c>
      <c r="SK41" s="1101">
        <v>0</v>
      </c>
      <c r="SL41" s="1102">
        <v>0</v>
      </c>
      <c r="SM41" s="1101">
        <v>9325842</v>
      </c>
      <c r="SN41" s="1101">
        <v>49696897</v>
      </c>
      <c r="SO41" s="1102"/>
      <c r="SP41" s="1103"/>
      <c r="SQ41" s="1104">
        <v>143547762</v>
      </c>
      <c r="SR41" s="1104">
        <v>-54386428</v>
      </c>
      <c r="SS41" s="1105">
        <v>93798</v>
      </c>
      <c r="ST41" s="1106">
        <v>28673</v>
      </c>
      <c r="SU41" s="1106">
        <v>0</v>
      </c>
      <c r="SV41" s="1106">
        <v>170452</v>
      </c>
      <c r="SW41" s="1106">
        <v>0</v>
      </c>
      <c r="SX41" s="1106">
        <v>543946</v>
      </c>
      <c r="SY41" s="1106">
        <v>80796</v>
      </c>
      <c r="SZ41" s="1106">
        <v>0</v>
      </c>
      <c r="TA41" s="1106">
        <v>0</v>
      </c>
      <c r="TB41" s="1106">
        <v>0</v>
      </c>
      <c r="TC41" s="1105">
        <v>0</v>
      </c>
      <c r="TD41" s="1106">
        <v>0</v>
      </c>
      <c r="TE41" s="1106">
        <v>0</v>
      </c>
      <c r="TF41" s="1106">
        <v>0</v>
      </c>
      <c r="TG41" s="1106">
        <v>0</v>
      </c>
      <c r="TH41" s="1106">
        <v>0</v>
      </c>
      <c r="TI41" s="1106">
        <v>0</v>
      </c>
      <c r="TJ41" s="1106">
        <v>0</v>
      </c>
      <c r="TK41" s="1105">
        <v>0</v>
      </c>
      <c r="TL41" s="1106">
        <v>0</v>
      </c>
      <c r="TM41" s="1106">
        <v>0</v>
      </c>
      <c r="TN41" s="1106">
        <v>0</v>
      </c>
      <c r="TO41" s="1106">
        <v>0</v>
      </c>
      <c r="TP41" s="1106">
        <v>0</v>
      </c>
      <c r="TQ41" s="1106">
        <v>0</v>
      </c>
      <c r="TR41" s="1106">
        <v>0</v>
      </c>
      <c r="TS41" s="1105">
        <v>85377136</v>
      </c>
      <c r="TT41" s="1106">
        <v>4430225</v>
      </c>
      <c r="TU41" s="1106">
        <v>741161</v>
      </c>
      <c r="TV41" s="1106">
        <v>29599978</v>
      </c>
      <c r="TW41" s="1106">
        <v>12424731</v>
      </c>
      <c r="TX41" s="1106">
        <v>31090483</v>
      </c>
      <c r="TY41" s="1106">
        <v>23143607</v>
      </c>
      <c r="TZ41" s="1107">
        <v>4918082</v>
      </c>
      <c r="UA41" s="1107">
        <v>21030123</v>
      </c>
      <c r="UB41" s="1105">
        <v>54316440</v>
      </c>
      <c r="UC41" s="1108">
        <v>24964791</v>
      </c>
      <c r="UD41" s="1108"/>
      <c r="UE41" s="1103"/>
      <c r="UF41" s="1109" t="s">
        <v>2432</v>
      </c>
      <c r="UG41" s="1110" t="s">
        <v>2433</v>
      </c>
      <c r="UH41" s="1110" t="s">
        <v>2434</v>
      </c>
    </row>
    <row r="42" spans="1:554" ht="16.5" thickBot="1">
      <c r="A42" s="474">
        <f>COUNT(A6:A41)</f>
        <v>36</v>
      </c>
      <c r="B42" s="471"/>
      <c r="C42" s="472"/>
      <c r="F42" s="527"/>
    </row>
    <row r="43" spans="1:554">
      <c r="E43" s="1007"/>
      <c r="F43" s="964"/>
    </row>
    <row r="45" spans="1:554">
      <c r="D45" s="963"/>
      <c r="F45" s="964"/>
    </row>
    <row r="46" spans="1:554">
      <c r="F46" s="964"/>
    </row>
    <row r="47" spans="1:554">
      <c r="E47" s="1007"/>
      <c r="F47" s="1098"/>
    </row>
    <row r="48" spans="1:554">
      <c r="B48" s="965"/>
      <c r="F48" s="964"/>
    </row>
    <row r="49" spans="1:554">
      <c r="F49" s="964"/>
    </row>
    <row r="50" spans="1:554" s="1110" customFormat="1" ht="45.75" thickBot="1">
      <c r="A50" s="1094">
        <v>50</v>
      </c>
      <c r="B50" s="1094" t="s">
        <v>1377</v>
      </c>
      <c r="C50" s="1095" t="s">
        <v>302</v>
      </c>
      <c r="D50" s="1096" t="s">
        <v>2398</v>
      </c>
      <c r="E50" s="1097">
        <v>3658</v>
      </c>
      <c r="F50" s="1098">
        <v>14149218778</v>
      </c>
      <c r="G50" s="1096" t="s">
        <v>2399</v>
      </c>
      <c r="H50" s="1100" t="s">
        <v>1377</v>
      </c>
      <c r="I50" s="1100"/>
      <c r="J50" s="1100"/>
      <c r="K50" s="1100"/>
      <c r="L50" s="1100"/>
      <c r="M50" s="1101">
        <v>340023735</v>
      </c>
      <c r="N50" s="1101">
        <v>0</v>
      </c>
      <c r="O50" s="1101">
        <v>0</v>
      </c>
      <c r="P50" s="1101">
        <v>0</v>
      </c>
      <c r="Q50" s="1101">
        <v>0</v>
      </c>
      <c r="R50" s="1101">
        <v>0</v>
      </c>
      <c r="S50" s="1101">
        <v>0</v>
      </c>
      <c r="T50" s="1101">
        <v>0</v>
      </c>
      <c r="U50" s="1101">
        <v>0</v>
      </c>
      <c r="V50" s="1101">
        <v>33668871</v>
      </c>
      <c r="W50" s="1101">
        <v>16612688</v>
      </c>
      <c r="X50" s="1101">
        <v>0</v>
      </c>
      <c r="Y50" s="1101">
        <v>12225198</v>
      </c>
      <c r="Z50" s="1101">
        <v>0</v>
      </c>
      <c r="AA50" s="1101">
        <v>0</v>
      </c>
      <c r="AB50" s="1101">
        <v>0</v>
      </c>
      <c r="AC50" s="1101">
        <v>0</v>
      </c>
      <c r="AD50" s="1101">
        <v>0</v>
      </c>
      <c r="AE50" s="1101">
        <v>0</v>
      </c>
      <c r="AF50" s="1101">
        <v>0</v>
      </c>
      <c r="AG50" s="1101">
        <v>0</v>
      </c>
      <c r="AH50" s="1101">
        <v>0</v>
      </c>
      <c r="AI50" s="1101">
        <v>0</v>
      </c>
      <c r="AJ50" s="1101">
        <v>0</v>
      </c>
      <c r="AK50" s="1101">
        <v>0</v>
      </c>
      <c r="AL50" s="1101">
        <v>0</v>
      </c>
      <c r="AM50" s="1101">
        <v>0</v>
      </c>
      <c r="AN50" s="1101">
        <v>0</v>
      </c>
      <c r="AO50" s="1101">
        <v>0</v>
      </c>
      <c r="AP50" s="1101">
        <v>0</v>
      </c>
      <c r="AQ50" s="1101">
        <v>0</v>
      </c>
      <c r="AR50" s="1101">
        <v>0</v>
      </c>
      <c r="AS50" s="1101">
        <v>0</v>
      </c>
      <c r="AT50" s="1101">
        <v>0</v>
      </c>
      <c r="AU50" s="1101">
        <v>0</v>
      </c>
      <c r="AV50" s="1101">
        <v>0</v>
      </c>
      <c r="AW50" s="1101">
        <v>417387000</v>
      </c>
      <c r="AX50" s="1101">
        <v>0</v>
      </c>
      <c r="AY50" s="1101">
        <v>0</v>
      </c>
      <c r="AZ50" s="1101">
        <v>0</v>
      </c>
      <c r="BA50" s="1101">
        <v>0</v>
      </c>
      <c r="BB50" s="1101">
        <v>0</v>
      </c>
      <c r="BC50" s="1101">
        <v>0</v>
      </c>
      <c r="BD50" s="1101">
        <v>0</v>
      </c>
      <c r="BE50" s="1101">
        <v>0</v>
      </c>
      <c r="BF50" s="1101">
        <v>-47589478</v>
      </c>
      <c r="BG50" s="1101">
        <v>-14919675</v>
      </c>
      <c r="BH50" s="1101">
        <v>0</v>
      </c>
      <c r="BI50" s="1101">
        <v>0</v>
      </c>
      <c r="BJ50" s="1101">
        <v>0</v>
      </c>
      <c r="BK50" s="1101">
        <v>0</v>
      </c>
      <c r="BL50" s="1101">
        <v>0</v>
      </c>
      <c r="BM50" s="1101">
        <v>0</v>
      </c>
      <c r="BN50" s="1101">
        <v>0</v>
      </c>
      <c r="BO50" s="1101">
        <v>0</v>
      </c>
      <c r="BP50" s="1101">
        <v>0</v>
      </c>
      <c r="BQ50" s="1101">
        <v>0</v>
      </c>
      <c r="BR50" s="1101">
        <v>0</v>
      </c>
      <c r="BS50" s="1101">
        <v>0</v>
      </c>
      <c r="BT50" s="1101">
        <v>0</v>
      </c>
      <c r="BU50" s="1101">
        <v>0</v>
      </c>
      <c r="BV50" s="1101">
        <v>0</v>
      </c>
      <c r="BW50" s="1101">
        <v>0</v>
      </c>
      <c r="BX50" s="1101">
        <v>0</v>
      </c>
      <c r="BY50" s="1101">
        <v>0</v>
      </c>
      <c r="BZ50" s="1101">
        <v>0</v>
      </c>
      <c r="CA50" s="1101">
        <v>0</v>
      </c>
      <c r="CB50" s="1101">
        <v>0</v>
      </c>
      <c r="CC50" s="1101">
        <v>0</v>
      </c>
      <c r="CD50" s="1101">
        <v>0</v>
      </c>
      <c r="CE50" s="1101">
        <v>0</v>
      </c>
      <c r="CF50" s="1101">
        <v>0</v>
      </c>
      <c r="CG50" s="1101">
        <v>0</v>
      </c>
      <c r="CH50" s="1101">
        <v>0</v>
      </c>
      <c r="CI50" s="1101">
        <v>0</v>
      </c>
      <c r="CJ50" s="1101">
        <v>0</v>
      </c>
      <c r="CK50" s="1101">
        <v>0</v>
      </c>
      <c r="CL50" s="1101">
        <v>0</v>
      </c>
      <c r="CM50" s="1101">
        <v>0</v>
      </c>
      <c r="CN50" s="1101">
        <v>0</v>
      </c>
      <c r="CO50" s="1101">
        <v>0</v>
      </c>
      <c r="CP50" s="1101">
        <v>113999067</v>
      </c>
      <c r="CQ50" s="1101">
        <v>510531739</v>
      </c>
      <c r="CR50" s="1101">
        <v>0</v>
      </c>
      <c r="CS50" s="1101">
        <v>0</v>
      </c>
      <c r="CT50" s="1101">
        <v>0</v>
      </c>
      <c r="CU50" s="1101">
        <v>0</v>
      </c>
      <c r="CV50" s="1101">
        <v>0</v>
      </c>
      <c r="CW50" s="1101">
        <v>0</v>
      </c>
      <c r="CX50" s="1101">
        <v>0</v>
      </c>
      <c r="CY50" s="1101">
        <v>0</v>
      </c>
      <c r="CZ50" s="1101">
        <v>0</v>
      </c>
      <c r="DA50" s="1101">
        <v>0</v>
      </c>
      <c r="DB50" s="1101">
        <v>0</v>
      </c>
      <c r="DC50" s="1101">
        <v>0</v>
      </c>
      <c r="DD50" s="1101">
        <v>0</v>
      </c>
      <c r="DE50" s="1101">
        <v>0</v>
      </c>
      <c r="DF50" s="1101">
        <v>0</v>
      </c>
      <c r="DG50" s="1101">
        <v>0</v>
      </c>
      <c r="DH50" s="1101">
        <v>0</v>
      </c>
      <c r="DI50" s="1101">
        <v>0</v>
      </c>
      <c r="DJ50" s="1101">
        <v>0</v>
      </c>
      <c r="DK50" s="1101">
        <v>0</v>
      </c>
      <c r="DL50" s="1101">
        <v>0</v>
      </c>
      <c r="DM50" s="1101">
        <v>0</v>
      </c>
      <c r="DN50" s="1101">
        <v>0</v>
      </c>
      <c r="DO50" s="1101">
        <v>0</v>
      </c>
      <c r="DP50" s="1101">
        <v>0</v>
      </c>
      <c r="DQ50" s="1101">
        <v>-2153425</v>
      </c>
      <c r="DR50" s="1101">
        <v>-16439042</v>
      </c>
      <c r="DS50" s="1101">
        <v>0</v>
      </c>
      <c r="DT50" s="1101">
        <v>0</v>
      </c>
      <c r="DU50" s="1101">
        <v>0</v>
      </c>
      <c r="DV50" s="1101">
        <v>0</v>
      </c>
      <c r="DW50" s="1101">
        <v>0</v>
      </c>
      <c r="DX50" s="1101">
        <v>0</v>
      </c>
      <c r="DY50" s="1101">
        <v>0</v>
      </c>
      <c r="DZ50" s="1101">
        <v>0</v>
      </c>
      <c r="EA50" s="1101">
        <v>0</v>
      </c>
      <c r="EB50" s="1101">
        <v>0</v>
      </c>
      <c r="EC50" s="1101">
        <v>0</v>
      </c>
      <c r="ED50" s="1101">
        <v>0</v>
      </c>
      <c r="EE50" s="1101">
        <v>0</v>
      </c>
      <c r="EF50" s="1101">
        <v>0</v>
      </c>
      <c r="EG50" s="1101">
        <v>0</v>
      </c>
      <c r="EH50" s="1101">
        <v>0</v>
      </c>
      <c r="EI50" s="1101">
        <v>-29147511</v>
      </c>
      <c r="EJ50" s="1101">
        <v>-121655829</v>
      </c>
      <c r="EK50" s="1101">
        <v>0</v>
      </c>
      <c r="EL50" s="1101">
        <v>0</v>
      </c>
      <c r="EM50" s="1101">
        <v>0</v>
      </c>
      <c r="EN50" s="1101">
        <v>0</v>
      </c>
      <c r="EO50" s="1101">
        <v>0</v>
      </c>
      <c r="EP50" s="1101">
        <v>0</v>
      </c>
      <c r="EQ50" s="1101">
        <v>0</v>
      </c>
      <c r="ER50" s="1101">
        <v>0</v>
      </c>
      <c r="ES50" s="1101">
        <v>0</v>
      </c>
      <c r="ET50" s="1101">
        <v>0</v>
      </c>
      <c r="EU50" s="1101">
        <v>0</v>
      </c>
      <c r="EV50" s="1101">
        <v>0</v>
      </c>
      <c r="EW50" s="1101">
        <v>0</v>
      </c>
      <c r="EX50" s="1101">
        <v>0</v>
      </c>
      <c r="EY50" s="1101">
        <v>0</v>
      </c>
      <c r="EZ50" s="1101">
        <v>0</v>
      </c>
      <c r="FA50" s="1101">
        <v>0</v>
      </c>
      <c r="FB50" s="1101">
        <v>0</v>
      </c>
      <c r="FC50" s="1101">
        <v>0</v>
      </c>
      <c r="FD50" s="1101">
        <v>0</v>
      </c>
      <c r="FE50" s="1101">
        <v>0</v>
      </c>
      <c r="FF50" s="1101">
        <v>0</v>
      </c>
      <c r="FG50" s="1101">
        <v>0</v>
      </c>
      <c r="FH50" s="1101">
        <v>0</v>
      </c>
      <c r="FI50" s="1101">
        <v>0</v>
      </c>
      <c r="FJ50" s="1101">
        <v>0</v>
      </c>
      <c r="FK50" s="1101">
        <v>0</v>
      </c>
      <c r="FL50" s="1101">
        <v>0</v>
      </c>
      <c r="FM50" s="1101">
        <v>0</v>
      </c>
      <c r="FN50" s="1101">
        <v>0</v>
      </c>
      <c r="FO50" s="1101">
        <v>0</v>
      </c>
      <c r="FP50" s="1101">
        <v>0</v>
      </c>
      <c r="FQ50" s="1101">
        <v>0</v>
      </c>
      <c r="FR50" s="1101">
        <v>0</v>
      </c>
      <c r="FS50" s="1101">
        <v>0</v>
      </c>
      <c r="FT50" s="1101">
        <v>0</v>
      </c>
      <c r="FU50" s="1101">
        <v>0</v>
      </c>
      <c r="FV50" s="1101">
        <v>0</v>
      </c>
      <c r="FW50" s="1101">
        <v>0</v>
      </c>
      <c r="FX50" s="1101">
        <v>0</v>
      </c>
      <c r="FY50" s="1101">
        <v>0</v>
      </c>
      <c r="FZ50" s="1101">
        <v>0</v>
      </c>
      <c r="GA50" s="1101">
        <v>0</v>
      </c>
      <c r="GB50" s="1101">
        <v>137021</v>
      </c>
      <c r="GC50" s="1101">
        <v>48901496</v>
      </c>
      <c r="GD50" s="1101">
        <v>44566198</v>
      </c>
      <c r="GE50" s="1101">
        <v>0</v>
      </c>
      <c r="GF50" s="1101">
        <v>0</v>
      </c>
      <c r="GG50" s="1101">
        <v>0</v>
      </c>
      <c r="GH50" s="1101">
        <v>0</v>
      </c>
      <c r="GI50" s="1101">
        <v>0</v>
      </c>
      <c r="GJ50" s="1101">
        <v>0</v>
      </c>
      <c r="GK50" s="1101">
        <v>0</v>
      </c>
      <c r="GL50" s="1101">
        <v>0</v>
      </c>
      <c r="GM50" s="1101">
        <v>0</v>
      </c>
      <c r="GN50" s="1101">
        <v>0</v>
      </c>
      <c r="GO50" s="1101">
        <v>0</v>
      </c>
      <c r="GP50" s="1101">
        <v>0</v>
      </c>
      <c r="GQ50" s="1101">
        <v>0</v>
      </c>
      <c r="GR50" s="1101">
        <v>0</v>
      </c>
      <c r="GS50" s="1101">
        <v>0</v>
      </c>
      <c r="GT50" s="1101">
        <v>0</v>
      </c>
      <c r="GU50" s="1101">
        <v>0</v>
      </c>
      <c r="GV50" s="1101">
        <v>0</v>
      </c>
      <c r="GW50" s="1101">
        <v>0</v>
      </c>
      <c r="GX50" s="1101">
        <v>0</v>
      </c>
      <c r="GY50" s="1101">
        <v>0</v>
      </c>
      <c r="GZ50" s="1101">
        <v>0</v>
      </c>
      <c r="HA50" s="1101">
        <v>0</v>
      </c>
      <c r="HB50" s="1101">
        <v>0</v>
      </c>
      <c r="HC50" s="1101">
        <v>0</v>
      </c>
      <c r="HD50" s="1101">
        <v>-1189957</v>
      </c>
      <c r="HE50" s="1101">
        <v>0</v>
      </c>
      <c r="HF50" s="1101">
        <v>0</v>
      </c>
      <c r="HG50" s="1101">
        <v>0</v>
      </c>
      <c r="HH50" s="1101">
        <v>0</v>
      </c>
      <c r="HI50" s="1101">
        <v>0</v>
      </c>
      <c r="HJ50" s="1101">
        <v>0</v>
      </c>
      <c r="HK50" s="1101">
        <v>0</v>
      </c>
      <c r="HL50" s="1101">
        <v>0</v>
      </c>
      <c r="HM50" s="1101">
        <v>0</v>
      </c>
      <c r="HN50" s="1101">
        <v>0</v>
      </c>
      <c r="HO50" s="1101">
        <v>0</v>
      </c>
      <c r="HP50" s="1101">
        <v>0</v>
      </c>
      <c r="HQ50" s="1101">
        <v>0</v>
      </c>
      <c r="HR50" s="1101">
        <v>0</v>
      </c>
      <c r="HS50" s="1101">
        <v>0</v>
      </c>
      <c r="HT50" s="1101">
        <v>0</v>
      </c>
      <c r="HU50" s="1101">
        <v>-35035</v>
      </c>
      <c r="HV50" s="1101">
        <v>-11652854</v>
      </c>
      <c r="HW50" s="1101">
        <v>-10205840</v>
      </c>
      <c r="HX50" s="1101">
        <v>0</v>
      </c>
      <c r="HY50" s="1101">
        <v>0</v>
      </c>
      <c r="HZ50" s="1101">
        <v>0</v>
      </c>
      <c r="IA50" s="1101">
        <v>0</v>
      </c>
      <c r="IB50" s="1101">
        <v>0</v>
      </c>
      <c r="IC50" s="1101">
        <v>0</v>
      </c>
      <c r="ID50" s="1101">
        <v>3582075</v>
      </c>
      <c r="IE50" s="1101">
        <v>116427262</v>
      </c>
      <c r="IF50" s="1101">
        <v>0</v>
      </c>
      <c r="IG50" s="1101">
        <v>488850050</v>
      </c>
      <c r="IH50" s="1101">
        <v>0</v>
      </c>
      <c r="II50" s="1101">
        <v>0</v>
      </c>
      <c r="IJ50" s="1101">
        <v>0</v>
      </c>
      <c r="IK50" s="1101">
        <v>0</v>
      </c>
      <c r="IL50" s="1101">
        <v>0</v>
      </c>
      <c r="IM50" s="1101">
        <v>13498767</v>
      </c>
      <c r="IN50" s="1101">
        <v>194920067</v>
      </c>
      <c r="IO50" s="1101">
        <v>29517692</v>
      </c>
      <c r="IP50" s="1101">
        <v>261529299</v>
      </c>
      <c r="IQ50" s="1101">
        <v>4304168</v>
      </c>
      <c r="IR50" s="1101">
        <v>373099</v>
      </c>
      <c r="IS50" s="1101">
        <v>52781461</v>
      </c>
      <c r="IT50" s="1101">
        <v>0</v>
      </c>
      <c r="IU50" s="1101">
        <v>0</v>
      </c>
      <c r="IV50" s="1101">
        <v>0</v>
      </c>
      <c r="IW50" s="1101">
        <v>35364338</v>
      </c>
      <c r="IX50" s="1101">
        <v>0</v>
      </c>
      <c r="IY50" s="1101">
        <v>3092192</v>
      </c>
      <c r="IZ50" s="1101">
        <v>0</v>
      </c>
      <c r="JA50" s="1101">
        <v>0</v>
      </c>
      <c r="JB50" s="1101">
        <v>0</v>
      </c>
      <c r="JC50" s="1101">
        <v>0</v>
      </c>
      <c r="JD50" s="1101">
        <v>0</v>
      </c>
      <c r="JE50" s="1101">
        <v>0</v>
      </c>
      <c r="JF50" s="1101">
        <v>94861083</v>
      </c>
      <c r="JG50" s="1101">
        <v>0</v>
      </c>
      <c r="JH50" s="1101">
        <v>345933234</v>
      </c>
      <c r="JI50" s="1101">
        <v>0</v>
      </c>
      <c r="JJ50" s="1101">
        <v>0</v>
      </c>
      <c r="JK50" s="1101">
        <v>0</v>
      </c>
      <c r="JL50" s="1101">
        <v>0</v>
      </c>
      <c r="JM50" s="1101">
        <v>0</v>
      </c>
      <c r="JN50" s="1101">
        <v>1600</v>
      </c>
      <c r="JO50" s="1101">
        <v>246418887</v>
      </c>
      <c r="JP50" s="1101">
        <v>0</v>
      </c>
      <c r="JQ50" s="1101">
        <v>26654703</v>
      </c>
      <c r="JR50" s="1101">
        <v>0</v>
      </c>
      <c r="JS50" s="1101">
        <v>0</v>
      </c>
      <c r="JT50" s="1101">
        <v>0</v>
      </c>
      <c r="JU50" s="1101">
        <v>0</v>
      </c>
      <c r="JV50" s="1101">
        <v>0</v>
      </c>
      <c r="JW50" s="1101">
        <v>0</v>
      </c>
      <c r="JX50" s="1101">
        <v>0</v>
      </c>
      <c r="JY50" s="1101">
        <v>166940890</v>
      </c>
      <c r="JZ50" s="1101">
        <v>0</v>
      </c>
      <c r="KA50" s="1101">
        <v>0</v>
      </c>
      <c r="KB50" s="1101">
        <v>0</v>
      </c>
      <c r="KC50" s="1101">
        <v>0</v>
      </c>
      <c r="KD50" s="1101">
        <v>0</v>
      </c>
      <c r="KE50" s="1101">
        <v>0</v>
      </c>
      <c r="KF50" s="1101">
        <v>185748</v>
      </c>
      <c r="KG50" s="1101">
        <v>18933333</v>
      </c>
      <c r="KH50" s="1101">
        <v>0</v>
      </c>
      <c r="KI50" s="1101">
        <v>0</v>
      </c>
      <c r="KJ50" s="1101">
        <v>1244118</v>
      </c>
      <c r="KK50" s="1101">
        <v>0</v>
      </c>
      <c r="KL50" s="1101">
        <v>0</v>
      </c>
      <c r="KM50" s="1101">
        <v>0</v>
      </c>
      <c r="KN50" s="1101">
        <v>-5424872</v>
      </c>
      <c r="KO50" s="1101">
        <v>487904565</v>
      </c>
      <c r="KP50" s="1101">
        <v>133085239</v>
      </c>
      <c r="KQ50" s="1101">
        <v>0</v>
      </c>
      <c r="KR50" s="1101">
        <v>62658793</v>
      </c>
      <c r="KS50" s="1101">
        <v>0</v>
      </c>
      <c r="KT50" s="1101">
        <v>0</v>
      </c>
      <c r="KU50" s="1101">
        <v>0</v>
      </c>
      <c r="KV50" s="1101">
        <v>0</v>
      </c>
      <c r="KW50" s="1101">
        <v>0</v>
      </c>
      <c r="KX50" s="1101">
        <v>54235527</v>
      </c>
      <c r="KY50" s="1101">
        <v>47285878</v>
      </c>
      <c r="KZ50" s="1101">
        <v>0</v>
      </c>
      <c r="LA50" s="1101">
        <v>455059862</v>
      </c>
      <c r="LB50" s="1101">
        <v>0</v>
      </c>
      <c r="LC50" s="1101">
        <v>0</v>
      </c>
      <c r="LD50" s="1101">
        <v>0</v>
      </c>
      <c r="LE50" s="1101">
        <v>0</v>
      </c>
      <c r="LF50" s="1101">
        <v>0</v>
      </c>
      <c r="LG50" s="1101">
        <v>3135876</v>
      </c>
      <c r="LH50" s="1101">
        <v>46908459</v>
      </c>
      <c r="LI50" s="1101">
        <v>0</v>
      </c>
      <c r="LJ50" s="1101">
        <v>48492557</v>
      </c>
      <c r="LK50" s="1101">
        <v>0</v>
      </c>
      <c r="LL50" s="1101">
        <v>0</v>
      </c>
      <c r="LM50" s="1101">
        <v>0</v>
      </c>
      <c r="LN50" s="1101">
        <v>0</v>
      </c>
      <c r="LO50" s="1101">
        <v>0</v>
      </c>
      <c r="LP50" s="1101">
        <v>116878004</v>
      </c>
      <c r="LQ50" s="1101">
        <v>174099884</v>
      </c>
      <c r="LR50" s="1101">
        <v>0</v>
      </c>
      <c r="LS50" s="1101">
        <v>54005330</v>
      </c>
      <c r="LT50" s="1101">
        <v>0</v>
      </c>
      <c r="LU50" s="1101">
        <v>0</v>
      </c>
      <c r="LV50" s="1101">
        <v>0</v>
      </c>
      <c r="LW50" s="1101">
        <v>0</v>
      </c>
      <c r="LX50" s="1101">
        <v>0</v>
      </c>
      <c r="LY50" s="1101">
        <v>15136139</v>
      </c>
      <c r="LZ50" s="1101">
        <v>26494555</v>
      </c>
      <c r="MA50" s="1101">
        <v>0</v>
      </c>
      <c r="MB50" s="1101">
        <v>1062128</v>
      </c>
      <c r="MC50" s="1101">
        <v>-900927</v>
      </c>
      <c r="MD50" s="1101">
        <v>0</v>
      </c>
      <c r="ME50" s="1101">
        <v>0</v>
      </c>
      <c r="MF50" s="1101">
        <v>0</v>
      </c>
      <c r="MG50" s="1101">
        <v>0</v>
      </c>
      <c r="MH50" s="1101">
        <v>86185983</v>
      </c>
      <c r="MI50" s="1101">
        <v>127373610</v>
      </c>
      <c r="MJ50" s="1101">
        <v>0</v>
      </c>
      <c r="MK50" s="1101">
        <v>30340414</v>
      </c>
      <c r="ML50" s="1101">
        <v>0</v>
      </c>
      <c r="MM50" s="1101">
        <v>0</v>
      </c>
      <c r="MN50" s="1101">
        <v>0</v>
      </c>
      <c r="MO50" s="1101">
        <v>0</v>
      </c>
      <c r="MP50" s="1101">
        <v>0</v>
      </c>
      <c r="MQ50" s="1101">
        <v>3796476</v>
      </c>
      <c r="MR50" s="1101">
        <v>151232000</v>
      </c>
      <c r="MS50" s="1101">
        <v>0</v>
      </c>
      <c r="MT50" s="1101">
        <v>1820</v>
      </c>
      <c r="MU50" s="1101">
        <v>0</v>
      </c>
      <c r="MV50" s="1101">
        <v>0</v>
      </c>
      <c r="MW50" s="1101">
        <v>52390512</v>
      </c>
      <c r="MX50" s="1101">
        <v>0</v>
      </c>
      <c r="MY50" s="1101">
        <v>0</v>
      </c>
      <c r="MZ50" s="1101">
        <v>56117404</v>
      </c>
      <c r="NA50" s="1101">
        <v>49236561</v>
      </c>
      <c r="NB50" s="1101">
        <v>0</v>
      </c>
      <c r="NC50" s="1101">
        <v>66363151</v>
      </c>
      <c r="ND50" s="1101">
        <v>0</v>
      </c>
      <c r="NE50" s="1101">
        <v>0</v>
      </c>
      <c r="NF50" s="1101">
        <v>0</v>
      </c>
      <c r="NG50" s="1101">
        <v>0</v>
      </c>
      <c r="NH50" s="1101">
        <v>0</v>
      </c>
      <c r="NI50" s="1101">
        <v>0</v>
      </c>
      <c r="NJ50" s="1101">
        <v>0</v>
      </c>
      <c r="NK50" s="1101">
        <v>215668285</v>
      </c>
      <c r="NL50" s="1101">
        <v>67393537</v>
      </c>
      <c r="NM50" s="1101">
        <v>0</v>
      </c>
      <c r="NN50" s="1101">
        <v>0</v>
      </c>
      <c r="NO50" s="1101">
        <v>0</v>
      </c>
      <c r="NP50" s="1101">
        <v>0</v>
      </c>
      <c r="NQ50" s="1101">
        <v>0</v>
      </c>
      <c r="NR50" s="1101">
        <v>9991958</v>
      </c>
      <c r="NS50" s="1101">
        <v>23191923</v>
      </c>
      <c r="NT50" s="1101">
        <v>758669</v>
      </c>
      <c r="NU50" s="1101">
        <v>51889479</v>
      </c>
      <c r="NV50" s="1101">
        <v>0</v>
      </c>
      <c r="NW50" s="1101">
        <v>0</v>
      </c>
      <c r="NX50" s="1101">
        <v>0</v>
      </c>
      <c r="NY50" s="1101">
        <v>0</v>
      </c>
      <c r="NZ50" s="1101">
        <v>0</v>
      </c>
      <c r="OA50" s="1101">
        <v>0</v>
      </c>
      <c r="OB50" s="1101">
        <v>786955</v>
      </c>
      <c r="OC50" s="1101">
        <v>165</v>
      </c>
      <c r="OD50" s="1101">
        <v>17775</v>
      </c>
      <c r="OE50" s="1101">
        <v>21853</v>
      </c>
      <c r="OF50" s="1101">
        <v>0</v>
      </c>
      <c r="OG50" s="1101">
        <v>0</v>
      </c>
      <c r="OH50" s="1101">
        <v>0</v>
      </c>
      <c r="OI50" s="1101">
        <v>903110</v>
      </c>
      <c r="OJ50" s="1101">
        <v>0</v>
      </c>
      <c r="OK50" s="1101">
        <v>0</v>
      </c>
      <c r="OL50" s="1101">
        <v>0</v>
      </c>
      <c r="OM50" s="1101">
        <v>0</v>
      </c>
      <c r="ON50" s="1101">
        <v>0</v>
      </c>
      <c r="OO50" s="1101">
        <v>0</v>
      </c>
      <c r="OP50" s="1101">
        <v>-368342747</v>
      </c>
      <c r="OQ50" s="1101">
        <v>0</v>
      </c>
      <c r="OR50" s="1101">
        <v>0</v>
      </c>
      <c r="OS50" s="1101">
        <v>-5112531</v>
      </c>
      <c r="OT50" s="1101">
        <v>-31300040</v>
      </c>
      <c r="OU50" s="1101">
        <v>9643304</v>
      </c>
      <c r="OV50" s="1101">
        <v>-72128367</v>
      </c>
      <c r="OW50" s="1101">
        <v>-1538052</v>
      </c>
      <c r="OX50" s="1101">
        <v>21139955</v>
      </c>
      <c r="OY50" s="1101">
        <v>95807968</v>
      </c>
      <c r="OZ50" s="1101">
        <v>0</v>
      </c>
      <c r="PA50" s="1101">
        <v>-624251</v>
      </c>
      <c r="PB50" s="1101">
        <v>0</v>
      </c>
      <c r="PC50" s="1101">
        <v>0</v>
      </c>
      <c r="PD50" s="1101">
        <v>0</v>
      </c>
      <c r="PE50" s="1101">
        <v>0</v>
      </c>
      <c r="PF50" s="1101">
        <v>0</v>
      </c>
      <c r="PG50" s="1101">
        <v>0</v>
      </c>
      <c r="PH50" s="1101">
        <v>223803726</v>
      </c>
      <c r="PI50" s="1101">
        <v>0</v>
      </c>
      <c r="PJ50" s="1101">
        <v>0</v>
      </c>
      <c r="PK50" s="1101">
        <v>-30627776</v>
      </c>
      <c r="PL50" s="1101">
        <v>-39467924</v>
      </c>
      <c r="PM50" s="1101">
        <v>-28087846</v>
      </c>
      <c r="PN50" s="1101">
        <v>-7516922</v>
      </c>
      <c r="PO50" s="1101">
        <v>0</v>
      </c>
      <c r="PP50" s="1101">
        <v>0</v>
      </c>
      <c r="PQ50" s="1101">
        <v>-190695</v>
      </c>
      <c r="PR50" s="1101">
        <v>0</v>
      </c>
      <c r="PS50" s="1101">
        <v>0</v>
      </c>
      <c r="PT50" s="1101">
        <v>8841424</v>
      </c>
      <c r="PU50" s="1101">
        <v>33878254</v>
      </c>
      <c r="PV50" s="1101">
        <v>-5452872</v>
      </c>
      <c r="PW50" s="1101">
        <v>15482504</v>
      </c>
      <c r="PX50" s="1101">
        <v>602215</v>
      </c>
      <c r="PY50" s="1101">
        <v>1221572845</v>
      </c>
      <c r="PZ50" s="1101">
        <v>9599976</v>
      </c>
      <c r="QA50" s="1101">
        <v>0</v>
      </c>
      <c r="QB50" s="1101">
        <v>0</v>
      </c>
      <c r="QC50" s="1101">
        <v>0</v>
      </c>
      <c r="QD50" s="1101">
        <v>0</v>
      </c>
      <c r="QE50" s="1101">
        <v>0</v>
      </c>
      <c r="QF50" s="1101">
        <v>0</v>
      </c>
      <c r="QG50" s="1101">
        <v>0</v>
      </c>
      <c r="QH50" s="1101">
        <v>81006331</v>
      </c>
      <c r="QI50" s="1101">
        <v>0</v>
      </c>
      <c r="QJ50" s="1101">
        <v>0</v>
      </c>
      <c r="QK50" s="1101">
        <v>0</v>
      </c>
      <c r="QL50" s="1101">
        <v>0</v>
      </c>
      <c r="QM50" s="1101">
        <v>0</v>
      </c>
      <c r="QN50" s="1101">
        <v>0</v>
      </c>
      <c r="QO50" s="1101">
        <v>0</v>
      </c>
      <c r="QP50" s="1101">
        <v>0</v>
      </c>
      <c r="QQ50" s="1101">
        <v>0</v>
      </c>
      <c r="QR50" s="1101">
        <v>0</v>
      </c>
      <c r="QS50" s="1101">
        <v>0</v>
      </c>
      <c r="QT50" s="1101">
        <v>0</v>
      </c>
      <c r="QU50" s="1101">
        <v>0</v>
      </c>
      <c r="QV50" s="1101">
        <v>0</v>
      </c>
      <c r="QW50" s="1101">
        <v>0</v>
      </c>
      <c r="QX50" s="1101">
        <v>0</v>
      </c>
      <c r="QY50" s="1101">
        <v>0</v>
      </c>
      <c r="QZ50" s="1101">
        <v>0</v>
      </c>
      <c r="RA50" s="1101">
        <v>0</v>
      </c>
      <c r="RB50" s="1101">
        <v>0</v>
      </c>
      <c r="RC50" s="1101">
        <v>-359826600</v>
      </c>
      <c r="RD50" s="1101">
        <v>0</v>
      </c>
      <c r="RE50" s="1101">
        <v>0</v>
      </c>
      <c r="RF50" s="1101">
        <v>0</v>
      </c>
      <c r="RG50" s="1101">
        <v>0</v>
      </c>
      <c r="RH50" s="1101">
        <v>0</v>
      </c>
      <c r="RI50" s="1101">
        <v>0</v>
      </c>
      <c r="RJ50" s="1101">
        <v>0</v>
      </c>
      <c r="RK50" s="1101">
        <v>0</v>
      </c>
      <c r="RL50" s="1101">
        <v>0</v>
      </c>
      <c r="RM50" s="1101">
        <v>0</v>
      </c>
      <c r="RN50" s="1101">
        <v>0</v>
      </c>
      <c r="RO50" s="1101">
        <v>0</v>
      </c>
      <c r="RP50" s="1101">
        <v>0</v>
      </c>
      <c r="RQ50" s="1101">
        <v>0</v>
      </c>
      <c r="RR50" s="1101">
        <v>0</v>
      </c>
      <c r="RS50" s="1101">
        <v>0</v>
      </c>
      <c r="RT50" s="1101">
        <v>0</v>
      </c>
      <c r="RU50" s="1101">
        <v>0</v>
      </c>
      <c r="RV50" s="1101">
        <v>0</v>
      </c>
      <c r="RW50" s="1101">
        <v>0</v>
      </c>
      <c r="RX50" s="1101">
        <v>0</v>
      </c>
      <c r="RY50" s="1101">
        <v>0</v>
      </c>
      <c r="RZ50" s="1101">
        <v>0</v>
      </c>
      <c r="SA50" s="1101">
        <v>0</v>
      </c>
      <c r="SB50" s="1101">
        <v>0</v>
      </c>
      <c r="SC50" s="1101">
        <v>0</v>
      </c>
      <c r="SD50" s="1101">
        <v>13671247</v>
      </c>
      <c r="SE50" s="1101">
        <v>0</v>
      </c>
      <c r="SF50" s="1101">
        <v>0</v>
      </c>
      <c r="SG50" s="1101">
        <v>0</v>
      </c>
      <c r="SH50" s="1101">
        <v>0</v>
      </c>
      <c r="SI50" s="1101">
        <v>0</v>
      </c>
      <c r="SJ50" s="1101">
        <v>0</v>
      </c>
      <c r="SK50" s="1101">
        <v>0</v>
      </c>
      <c r="SL50" s="1102">
        <v>0</v>
      </c>
      <c r="SM50" s="1101">
        <v>454174776</v>
      </c>
      <c r="SN50" s="1101">
        <v>1873594726</v>
      </c>
      <c r="SO50" s="1102"/>
      <c r="SP50" s="1103"/>
      <c r="SQ50" s="1104">
        <v>718135521</v>
      </c>
      <c r="SR50" s="1104">
        <v>-192479493</v>
      </c>
      <c r="SS50" s="1105">
        <v>4360528</v>
      </c>
      <c r="ST50" s="1106">
        <v>50255062</v>
      </c>
      <c r="SU50" s="1106">
        <v>3071158</v>
      </c>
      <c r="SV50" s="1106">
        <v>20230680</v>
      </c>
      <c r="SW50" s="1106">
        <v>24455</v>
      </c>
      <c r="SX50" s="1106">
        <v>6547079</v>
      </c>
      <c r="SY50" s="1106">
        <v>523347</v>
      </c>
      <c r="SZ50" s="1106">
        <v>0</v>
      </c>
      <c r="TA50" s="1106">
        <v>779664</v>
      </c>
      <c r="TB50" s="1106">
        <v>-598</v>
      </c>
      <c r="TC50" s="1105">
        <v>557129</v>
      </c>
      <c r="TD50" s="1106">
        <v>2818942</v>
      </c>
      <c r="TE50" s="1106">
        <v>563196</v>
      </c>
      <c r="TF50" s="1106">
        <v>0</v>
      </c>
      <c r="TG50" s="1106">
        <v>0</v>
      </c>
      <c r="TH50" s="1106">
        <v>0</v>
      </c>
      <c r="TI50" s="1106">
        <v>0</v>
      </c>
      <c r="TJ50" s="1106">
        <v>0</v>
      </c>
      <c r="TK50" s="1105">
        <v>1501173</v>
      </c>
      <c r="TL50" s="1106">
        <v>674575</v>
      </c>
      <c r="TM50" s="1106">
        <v>582410</v>
      </c>
      <c r="TN50" s="1106">
        <v>0</v>
      </c>
      <c r="TO50" s="1106">
        <v>0</v>
      </c>
      <c r="TP50" s="1106">
        <v>0</v>
      </c>
      <c r="TQ50" s="1106">
        <v>0</v>
      </c>
      <c r="TR50" s="1106">
        <v>0</v>
      </c>
      <c r="TS50" s="1105">
        <v>683648597</v>
      </c>
      <c r="TT50" s="1106">
        <v>556581267</v>
      </c>
      <c r="TU50" s="1106">
        <v>98536892</v>
      </c>
      <c r="TV50" s="1106">
        <v>344983218</v>
      </c>
      <c r="TW50" s="1106">
        <v>41791895</v>
      </c>
      <c r="TX50" s="1106">
        <v>243900007</v>
      </c>
      <c r="TY50" s="1106">
        <v>207420808</v>
      </c>
      <c r="TZ50" s="1107">
        <v>171717116</v>
      </c>
      <c r="UA50" s="1107">
        <v>283061822</v>
      </c>
      <c r="UB50" s="1105">
        <v>400044626</v>
      </c>
      <c r="UC50" s="1108">
        <v>1284524346</v>
      </c>
      <c r="UD50" s="1108"/>
      <c r="UE50" s="1103"/>
      <c r="UF50" s="1109" t="s">
        <v>2403</v>
      </c>
      <c r="UG50" s="1110" t="s">
        <v>2404</v>
      </c>
      <c r="UH50" s="1110" t="s">
        <v>2405</v>
      </c>
    </row>
    <row r="51" spans="1:554" s="1110" customFormat="1" ht="16.5" thickBot="1">
      <c r="A51" s="1093">
        <v>50</v>
      </c>
      <c r="B51" s="1131" t="s">
        <v>2223</v>
      </c>
      <c r="C51" s="1095" t="s">
        <v>302</v>
      </c>
      <c r="D51" s="1096"/>
      <c r="E51" s="1097"/>
      <c r="F51" s="1098">
        <v>216484864</v>
      </c>
      <c r="G51" s="1096"/>
      <c r="H51" s="1100"/>
      <c r="I51" s="1100"/>
      <c r="J51" s="1100"/>
      <c r="K51" s="1100"/>
      <c r="L51" s="1100"/>
      <c r="M51" s="1101">
        <v>0</v>
      </c>
      <c r="N51" s="1101">
        <v>10678165</v>
      </c>
      <c r="O51" s="1101">
        <v>0</v>
      </c>
      <c r="P51" s="1101">
        <v>0</v>
      </c>
      <c r="Q51" s="1101">
        <v>0</v>
      </c>
      <c r="R51" s="1101">
        <v>0</v>
      </c>
      <c r="S51" s="1101">
        <v>0</v>
      </c>
      <c r="T51" s="1101">
        <v>0</v>
      </c>
      <c r="U51" s="1101">
        <v>0</v>
      </c>
      <c r="V51" s="1101">
        <v>0</v>
      </c>
      <c r="W51" s="1101">
        <v>288517</v>
      </c>
      <c r="X51" s="1101">
        <v>0</v>
      </c>
      <c r="Y51" s="1101">
        <v>0</v>
      </c>
      <c r="Z51" s="1101">
        <v>0</v>
      </c>
      <c r="AA51" s="1101">
        <v>0</v>
      </c>
      <c r="AB51" s="1101">
        <v>0</v>
      </c>
      <c r="AC51" s="1101">
        <v>0</v>
      </c>
      <c r="AD51" s="1101">
        <v>0</v>
      </c>
      <c r="AE51" s="1101">
        <v>4524804</v>
      </c>
      <c r="AF51" s="1101">
        <v>89871621</v>
      </c>
      <c r="AG51" s="1101">
        <v>0</v>
      </c>
      <c r="AH51" s="1101">
        <v>8342638</v>
      </c>
      <c r="AI51" s="1101">
        <v>0</v>
      </c>
      <c r="AJ51" s="1101">
        <v>0</v>
      </c>
      <c r="AK51" s="1101">
        <v>0</v>
      </c>
      <c r="AL51" s="1101">
        <v>0</v>
      </c>
      <c r="AM51" s="1101">
        <v>0</v>
      </c>
      <c r="AN51" s="1101">
        <v>40056</v>
      </c>
      <c r="AO51" s="1101">
        <v>0</v>
      </c>
      <c r="AP51" s="1101">
        <v>0</v>
      </c>
      <c r="AQ51" s="1101">
        <v>102739063</v>
      </c>
      <c r="AR51" s="1101"/>
      <c r="AS51" s="1101"/>
      <c r="AT51" s="1101"/>
      <c r="AU51" s="1101"/>
      <c r="AV51" s="1101"/>
      <c r="AW51" s="1101"/>
      <c r="AX51" s="1101"/>
      <c r="AY51" s="1101"/>
      <c r="AZ51" s="1101"/>
      <c r="BA51" s="1101"/>
      <c r="BB51" s="1101"/>
      <c r="BC51" s="1101"/>
      <c r="BD51" s="1101"/>
      <c r="BE51" s="1101"/>
      <c r="BF51" s="1101"/>
      <c r="BG51" s="1101"/>
      <c r="BH51" s="1101"/>
      <c r="BI51" s="1101"/>
      <c r="BJ51" s="1101"/>
      <c r="BK51" s="1101"/>
      <c r="BL51" s="1101"/>
      <c r="BM51" s="1101"/>
      <c r="BN51" s="1101"/>
      <c r="BO51" s="1101"/>
      <c r="BP51" s="1101"/>
      <c r="BQ51" s="1101"/>
      <c r="BR51" s="1101"/>
      <c r="BS51" s="1101"/>
      <c r="BT51" s="1101"/>
      <c r="BU51" s="1101"/>
      <c r="BV51" s="1101"/>
      <c r="BW51" s="1101"/>
      <c r="BX51" s="1101"/>
      <c r="BY51" s="1101"/>
      <c r="BZ51" s="1101"/>
      <c r="CA51" s="1101"/>
      <c r="CB51" s="1101"/>
      <c r="CC51" s="1101"/>
      <c r="CD51" s="1101"/>
      <c r="CE51" s="1101"/>
      <c r="CF51" s="1101"/>
      <c r="CG51" s="1101"/>
      <c r="CH51" s="1101"/>
      <c r="CI51" s="1101"/>
      <c r="CJ51" s="1101"/>
      <c r="CK51" s="1101"/>
      <c r="CL51" s="1101"/>
      <c r="CM51" s="1101"/>
      <c r="CN51" s="1101"/>
      <c r="CO51" s="1101"/>
      <c r="CP51" s="1101"/>
      <c r="CQ51" s="1101"/>
      <c r="CR51" s="1101"/>
      <c r="CS51" s="1101"/>
      <c r="CT51" s="1101"/>
      <c r="CU51" s="1101"/>
      <c r="CV51" s="1101"/>
      <c r="CW51" s="1101"/>
      <c r="CX51" s="1101"/>
      <c r="CY51" s="1101"/>
      <c r="CZ51" s="1101"/>
      <c r="DA51" s="1101"/>
      <c r="DB51" s="1101"/>
      <c r="DC51" s="1101"/>
      <c r="DD51" s="1101"/>
      <c r="DE51" s="1101"/>
      <c r="DF51" s="1101"/>
      <c r="DG51" s="1101"/>
      <c r="DH51" s="1101"/>
      <c r="DI51" s="1101"/>
      <c r="DJ51" s="1101"/>
      <c r="DK51" s="1101"/>
      <c r="DL51" s="1101"/>
      <c r="DM51" s="1101"/>
      <c r="DN51" s="1101"/>
      <c r="DO51" s="1101"/>
      <c r="DP51" s="1101"/>
      <c r="DQ51" s="1101"/>
      <c r="DR51" s="1101"/>
      <c r="DS51" s="1101"/>
      <c r="DT51" s="1101"/>
      <c r="DU51" s="1101"/>
      <c r="DV51" s="1101"/>
      <c r="DW51" s="1101"/>
      <c r="DX51" s="1101"/>
      <c r="DY51" s="1101"/>
      <c r="DZ51" s="1101"/>
      <c r="EA51" s="1101"/>
      <c r="EB51" s="1101"/>
      <c r="EC51" s="1101"/>
      <c r="ED51" s="1101"/>
      <c r="EE51" s="1101"/>
      <c r="EF51" s="1101"/>
      <c r="EG51" s="1101"/>
      <c r="EH51" s="1101"/>
      <c r="EI51" s="1101"/>
      <c r="EJ51" s="1101"/>
      <c r="EK51" s="1101"/>
      <c r="EL51" s="1101"/>
      <c r="EM51" s="1101"/>
      <c r="EN51" s="1101"/>
      <c r="EO51" s="1101"/>
      <c r="EP51" s="1101"/>
      <c r="EQ51" s="1101"/>
      <c r="ER51" s="1101"/>
      <c r="ES51" s="1101"/>
      <c r="ET51" s="1101"/>
      <c r="EU51" s="1101"/>
      <c r="EV51" s="1101"/>
      <c r="EW51" s="1101"/>
      <c r="EX51" s="1101"/>
      <c r="EY51" s="1101"/>
      <c r="EZ51" s="1101"/>
      <c r="FA51" s="1101"/>
      <c r="FB51" s="1101"/>
      <c r="FC51" s="1101"/>
      <c r="FD51" s="1101"/>
      <c r="FE51" s="1101"/>
      <c r="FF51" s="1101"/>
      <c r="FG51" s="1101"/>
      <c r="FH51" s="1101"/>
      <c r="FI51" s="1101"/>
      <c r="FJ51" s="1101"/>
      <c r="FK51" s="1101"/>
      <c r="FL51" s="1101"/>
      <c r="FM51" s="1101"/>
      <c r="FN51" s="1101"/>
      <c r="FO51" s="1101"/>
      <c r="FP51" s="1101"/>
      <c r="FQ51" s="1101"/>
      <c r="FR51" s="1101"/>
      <c r="FS51" s="1101"/>
      <c r="FT51" s="1101"/>
      <c r="FU51" s="1101"/>
      <c r="FV51" s="1101"/>
      <c r="FW51" s="1101"/>
      <c r="FX51" s="1101"/>
      <c r="FY51" s="1101"/>
      <c r="FZ51" s="1101"/>
      <c r="GA51" s="1101"/>
      <c r="GB51" s="1101"/>
      <c r="GC51" s="1101"/>
      <c r="GD51" s="1101"/>
      <c r="GE51" s="1101"/>
      <c r="GF51" s="1101"/>
      <c r="GG51" s="1101"/>
      <c r="GH51" s="1101"/>
      <c r="GI51" s="1101"/>
      <c r="GJ51" s="1101"/>
      <c r="GK51" s="1101"/>
      <c r="GL51" s="1101"/>
      <c r="GM51" s="1101"/>
      <c r="GN51" s="1101"/>
      <c r="GO51" s="1101"/>
      <c r="GP51" s="1101"/>
      <c r="GQ51" s="1101"/>
      <c r="GR51" s="1101"/>
      <c r="GS51" s="1101"/>
      <c r="GT51" s="1101"/>
      <c r="GU51" s="1101"/>
      <c r="GV51" s="1101"/>
      <c r="GW51" s="1101"/>
      <c r="GX51" s="1101"/>
      <c r="GY51" s="1101"/>
      <c r="GZ51" s="1101"/>
      <c r="HA51" s="1101"/>
      <c r="HB51" s="1101"/>
      <c r="HC51" s="1101"/>
      <c r="HD51" s="1101"/>
      <c r="HE51" s="1101"/>
      <c r="HF51" s="1101"/>
      <c r="HG51" s="1101"/>
      <c r="HH51" s="1101"/>
      <c r="HI51" s="1101"/>
      <c r="HJ51" s="1101"/>
      <c r="HK51" s="1101"/>
      <c r="HL51" s="1101"/>
      <c r="HM51" s="1101"/>
      <c r="HN51" s="1101"/>
      <c r="HO51" s="1101"/>
      <c r="HP51" s="1101"/>
      <c r="HQ51" s="1101"/>
      <c r="HR51" s="1101"/>
      <c r="HS51" s="1101"/>
      <c r="HT51" s="1101"/>
      <c r="HU51" s="1101"/>
      <c r="HV51" s="1101"/>
      <c r="HW51" s="1101"/>
      <c r="HX51" s="1101"/>
      <c r="HY51" s="1101"/>
      <c r="HZ51" s="1101"/>
      <c r="IA51" s="1101"/>
      <c r="IB51" s="1101"/>
      <c r="IC51" s="1101"/>
      <c r="ID51" s="1101"/>
      <c r="IE51" s="1101"/>
      <c r="IF51" s="1101"/>
      <c r="IG51" s="1101"/>
      <c r="IH51" s="1101"/>
      <c r="II51" s="1101"/>
      <c r="IJ51" s="1101"/>
      <c r="IK51" s="1101"/>
      <c r="IL51" s="1101"/>
      <c r="IM51" s="1101"/>
      <c r="IN51" s="1101"/>
      <c r="IO51" s="1101"/>
      <c r="IP51" s="1101"/>
      <c r="IQ51" s="1101"/>
      <c r="IR51" s="1101"/>
      <c r="IS51" s="1101"/>
      <c r="IT51" s="1101"/>
      <c r="IU51" s="1101"/>
      <c r="IV51" s="1101"/>
      <c r="IW51" s="1101"/>
      <c r="IX51" s="1101"/>
      <c r="IY51" s="1101"/>
      <c r="IZ51" s="1101"/>
      <c r="JA51" s="1101"/>
      <c r="JB51" s="1101"/>
      <c r="JC51" s="1101"/>
      <c r="JD51" s="1101"/>
      <c r="JE51" s="1101"/>
      <c r="JF51" s="1101"/>
      <c r="JG51" s="1101"/>
      <c r="JH51" s="1101"/>
      <c r="JI51" s="1101"/>
      <c r="JJ51" s="1101"/>
      <c r="JK51" s="1101"/>
      <c r="JL51" s="1101"/>
      <c r="JM51" s="1101"/>
      <c r="JN51" s="1101"/>
      <c r="JO51" s="1101"/>
      <c r="JP51" s="1101"/>
      <c r="JQ51" s="1101"/>
      <c r="JR51" s="1101"/>
      <c r="JS51" s="1101"/>
      <c r="JT51" s="1101"/>
      <c r="JU51" s="1101"/>
      <c r="JV51" s="1101"/>
      <c r="JW51" s="1101"/>
      <c r="JX51" s="1101"/>
      <c r="JY51" s="1101"/>
      <c r="JZ51" s="1101"/>
      <c r="KA51" s="1101"/>
      <c r="KB51" s="1101"/>
      <c r="KC51" s="1101"/>
      <c r="KD51" s="1101"/>
      <c r="KE51" s="1101"/>
      <c r="KF51" s="1101"/>
      <c r="KG51" s="1101"/>
      <c r="KH51" s="1101"/>
      <c r="KI51" s="1101"/>
      <c r="KJ51" s="1101"/>
      <c r="KK51" s="1101"/>
      <c r="KL51" s="1101"/>
      <c r="KM51" s="1101"/>
      <c r="KN51" s="1101"/>
      <c r="KO51" s="1101"/>
      <c r="KP51" s="1101"/>
      <c r="KQ51" s="1101"/>
      <c r="KR51" s="1101"/>
      <c r="KS51" s="1101"/>
      <c r="KT51" s="1101"/>
      <c r="KU51" s="1101"/>
      <c r="KV51" s="1101"/>
      <c r="KW51" s="1101"/>
      <c r="KX51" s="1101"/>
      <c r="KY51" s="1101"/>
      <c r="KZ51" s="1101"/>
      <c r="LA51" s="1101"/>
      <c r="LB51" s="1101"/>
      <c r="LC51" s="1101"/>
      <c r="LD51" s="1101"/>
      <c r="LE51" s="1101"/>
      <c r="LF51" s="1101"/>
      <c r="LG51" s="1101"/>
      <c r="LH51" s="1101"/>
      <c r="LI51" s="1101"/>
      <c r="LJ51" s="1101"/>
      <c r="LK51" s="1101"/>
      <c r="LL51" s="1101"/>
      <c r="LM51" s="1101"/>
      <c r="LN51" s="1101"/>
      <c r="LO51" s="1101"/>
      <c r="LP51" s="1101"/>
      <c r="LQ51" s="1101"/>
      <c r="LR51" s="1101"/>
      <c r="LS51" s="1101"/>
      <c r="LT51" s="1101"/>
      <c r="LU51" s="1101"/>
      <c r="LV51" s="1101"/>
      <c r="LW51" s="1101"/>
      <c r="LX51" s="1101"/>
      <c r="LY51" s="1101"/>
      <c r="LZ51" s="1101"/>
      <c r="MA51" s="1101"/>
      <c r="MB51" s="1101"/>
      <c r="MC51" s="1101"/>
      <c r="MD51" s="1101"/>
      <c r="ME51" s="1101"/>
      <c r="MF51" s="1101"/>
      <c r="MG51" s="1101"/>
      <c r="MH51" s="1101"/>
      <c r="MI51" s="1101"/>
      <c r="MJ51" s="1101"/>
      <c r="MK51" s="1101"/>
      <c r="ML51" s="1101"/>
      <c r="MM51" s="1101"/>
      <c r="MN51" s="1101"/>
      <c r="MO51" s="1101"/>
      <c r="MP51" s="1101"/>
      <c r="MQ51" s="1101"/>
      <c r="MR51" s="1101"/>
      <c r="MS51" s="1101"/>
      <c r="MT51" s="1101"/>
      <c r="MU51" s="1101"/>
      <c r="MV51" s="1101"/>
      <c r="MW51" s="1101"/>
      <c r="MX51" s="1101"/>
      <c r="MY51" s="1101"/>
      <c r="MZ51" s="1101"/>
      <c r="NA51" s="1101"/>
      <c r="NB51" s="1101"/>
      <c r="NC51" s="1101"/>
      <c r="ND51" s="1101"/>
      <c r="NE51" s="1101"/>
      <c r="NF51" s="1101"/>
      <c r="NG51" s="1101"/>
      <c r="NH51" s="1101"/>
      <c r="NI51" s="1101"/>
      <c r="NJ51" s="1101"/>
      <c r="NK51" s="1101"/>
      <c r="NL51" s="1101"/>
      <c r="NM51" s="1101"/>
      <c r="NN51" s="1101"/>
      <c r="NO51" s="1101"/>
      <c r="NP51" s="1101"/>
      <c r="NQ51" s="1101"/>
      <c r="NR51" s="1101"/>
      <c r="NS51" s="1101"/>
      <c r="NT51" s="1101"/>
      <c r="NU51" s="1101"/>
      <c r="NV51" s="1101"/>
      <c r="NW51" s="1101"/>
      <c r="NX51" s="1101"/>
      <c r="NY51" s="1101"/>
      <c r="NZ51" s="1101"/>
      <c r="OA51" s="1101"/>
      <c r="OB51" s="1101"/>
      <c r="OC51" s="1101"/>
      <c r="OD51" s="1101"/>
      <c r="OE51" s="1101"/>
      <c r="OF51" s="1101"/>
      <c r="OG51" s="1101"/>
      <c r="OH51" s="1101"/>
      <c r="OI51" s="1101"/>
      <c r="OJ51" s="1101"/>
      <c r="OK51" s="1101"/>
      <c r="OL51" s="1101"/>
      <c r="OM51" s="1101"/>
      <c r="ON51" s="1101"/>
      <c r="OO51" s="1101"/>
      <c r="OP51" s="1101"/>
      <c r="OQ51" s="1101"/>
      <c r="OR51" s="1101"/>
      <c r="OS51" s="1101"/>
      <c r="OT51" s="1101"/>
      <c r="OU51" s="1101"/>
      <c r="OV51" s="1101"/>
      <c r="OW51" s="1101"/>
      <c r="OX51" s="1101"/>
      <c r="OY51" s="1101"/>
      <c r="OZ51" s="1101"/>
      <c r="PA51" s="1101"/>
      <c r="PB51" s="1101"/>
      <c r="PC51" s="1101"/>
      <c r="PD51" s="1101"/>
      <c r="PE51" s="1101"/>
      <c r="PF51" s="1101"/>
      <c r="PG51" s="1101"/>
      <c r="PH51" s="1101"/>
      <c r="PI51" s="1101"/>
      <c r="PJ51" s="1101"/>
      <c r="PK51" s="1101"/>
      <c r="PL51" s="1101"/>
      <c r="PM51" s="1101"/>
      <c r="PN51" s="1101"/>
      <c r="PO51" s="1101"/>
      <c r="PP51" s="1101"/>
      <c r="PQ51" s="1101"/>
      <c r="PR51" s="1101"/>
      <c r="PS51" s="1101"/>
      <c r="PT51" s="1101"/>
      <c r="PU51" s="1101"/>
      <c r="PV51" s="1101"/>
      <c r="PW51" s="1101"/>
      <c r="PX51" s="1101"/>
      <c r="PY51" s="1101"/>
      <c r="PZ51" s="1101"/>
      <c r="QA51" s="1101"/>
      <c r="QB51" s="1101"/>
      <c r="QC51" s="1101"/>
      <c r="QD51" s="1101"/>
      <c r="QE51" s="1101"/>
      <c r="QF51" s="1101"/>
      <c r="QG51" s="1101"/>
      <c r="QH51" s="1101"/>
      <c r="QI51" s="1101"/>
      <c r="QJ51" s="1101"/>
      <c r="QK51" s="1101"/>
      <c r="QL51" s="1101"/>
      <c r="QM51" s="1101"/>
      <c r="QN51" s="1101"/>
      <c r="QO51" s="1101"/>
      <c r="QP51" s="1101"/>
      <c r="QQ51" s="1101"/>
      <c r="QR51" s="1101"/>
      <c r="QS51" s="1101"/>
      <c r="QT51" s="1101"/>
      <c r="QU51" s="1101"/>
      <c r="QV51" s="1101"/>
      <c r="QW51" s="1101"/>
      <c r="QX51" s="1101"/>
      <c r="QY51" s="1101"/>
      <c r="QZ51" s="1101"/>
      <c r="RA51" s="1101"/>
      <c r="RB51" s="1101"/>
      <c r="RC51" s="1101"/>
      <c r="RD51" s="1101"/>
      <c r="RE51" s="1101"/>
      <c r="RF51" s="1101"/>
      <c r="RG51" s="1101"/>
      <c r="RH51" s="1101"/>
      <c r="RI51" s="1101"/>
      <c r="RJ51" s="1101"/>
      <c r="RK51" s="1101"/>
      <c r="RL51" s="1101"/>
      <c r="RM51" s="1101"/>
      <c r="RN51" s="1101"/>
      <c r="RO51" s="1101"/>
      <c r="RP51" s="1101"/>
      <c r="RQ51" s="1101"/>
      <c r="RR51" s="1101"/>
      <c r="RS51" s="1101"/>
      <c r="RT51" s="1101"/>
      <c r="RU51" s="1101"/>
      <c r="RV51" s="1101"/>
      <c r="RW51" s="1101"/>
      <c r="RX51" s="1101"/>
      <c r="RY51" s="1101"/>
      <c r="RZ51" s="1101"/>
      <c r="SA51" s="1101"/>
      <c r="SB51" s="1101"/>
      <c r="SC51" s="1101"/>
      <c r="SD51" s="1101"/>
      <c r="SE51" s="1101"/>
      <c r="SF51" s="1101"/>
      <c r="SG51" s="1101"/>
      <c r="SH51" s="1101"/>
      <c r="SI51" s="1101"/>
      <c r="SJ51" s="1101"/>
      <c r="SK51" s="1101"/>
      <c r="SL51" s="1102"/>
      <c r="SM51" s="1101"/>
      <c r="SN51" s="1101"/>
      <c r="SO51" s="1102"/>
      <c r="SP51" s="1103"/>
      <c r="SQ51" s="1104"/>
      <c r="SR51" s="1104"/>
      <c r="SS51" s="1105"/>
      <c r="ST51" s="1106"/>
      <c r="SU51" s="1106"/>
      <c r="SV51" s="1106"/>
      <c r="SW51" s="1106"/>
      <c r="SX51" s="1106"/>
      <c r="SY51" s="1106"/>
      <c r="SZ51" s="1106"/>
      <c r="TA51" s="1106"/>
      <c r="TB51" s="1106"/>
      <c r="TC51" s="1105"/>
      <c r="TD51" s="1106"/>
      <c r="TE51" s="1106"/>
      <c r="TF51" s="1106"/>
      <c r="TG51" s="1106"/>
      <c r="TH51" s="1106"/>
      <c r="TI51" s="1106"/>
      <c r="TJ51" s="1106"/>
      <c r="TK51" s="1105"/>
      <c r="TL51" s="1106"/>
      <c r="TM51" s="1106"/>
      <c r="TN51" s="1106"/>
      <c r="TO51" s="1106"/>
      <c r="TP51" s="1106"/>
      <c r="TQ51" s="1106"/>
      <c r="TR51" s="1106"/>
      <c r="TS51" s="1105"/>
      <c r="TT51" s="1106"/>
      <c r="TU51" s="1106"/>
      <c r="TV51" s="1106"/>
      <c r="TW51" s="1106"/>
      <c r="TX51" s="1106"/>
      <c r="TY51" s="1106"/>
      <c r="TZ51" s="1107"/>
      <c r="UA51" s="1107"/>
      <c r="UB51" s="1105"/>
      <c r="UC51" s="1108"/>
      <c r="UD51" s="1108"/>
      <c r="UE51" s="1103"/>
      <c r="UF51" s="1109"/>
    </row>
    <row r="52" spans="1:554" s="776" customFormat="1" ht="48" thickBot="1">
      <c r="A52" s="1526">
        <v>90</v>
      </c>
      <c r="B52" s="1533" t="s">
        <v>1378</v>
      </c>
      <c r="C52" s="1527" t="s">
        <v>1379</v>
      </c>
      <c r="D52" s="776" t="s">
        <v>2398</v>
      </c>
      <c r="E52" s="1097">
        <v>3599</v>
      </c>
      <c r="F52" s="1098">
        <v>2359759799</v>
      </c>
      <c r="G52" s="776" t="s">
        <v>2399</v>
      </c>
      <c r="H52" s="776" t="s">
        <v>1378</v>
      </c>
      <c r="M52" s="776">
        <v>150506095</v>
      </c>
      <c r="N52" s="776">
        <v>0</v>
      </c>
      <c r="O52" s="776">
        <v>0</v>
      </c>
      <c r="P52" s="776">
        <v>0</v>
      </c>
      <c r="Q52" s="776">
        <v>0</v>
      </c>
      <c r="R52" s="776">
        <v>0</v>
      </c>
      <c r="S52" s="776">
        <v>0</v>
      </c>
      <c r="T52" s="776">
        <v>0</v>
      </c>
      <c r="U52" s="776">
        <v>0</v>
      </c>
      <c r="V52" s="776">
        <v>43339683</v>
      </c>
      <c r="W52" s="776">
        <v>2171900</v>
      </c>
      <c r="X52" s="776">
        <v>0</v>
      </c>
      <c r="Y52" s="776">
        <v>1736305</v>
      </c>
      <c r="Z52" s="776">
        <v>0</v>
      </c>
      <c r="AA52" s="776">
        <v>0</v>
      </c>
      <c r="AB52" s="776">
        <v>0</v>
      </c>
      <c r="AC52" s="776">
        <v>0</v>
      </c>
      <c r="AD52" s="776">
        <v>0</v>
      </c>
      <c r="AE52" s="776">
        <v>0</v>
      </c>
      <c r="AF52" s="776">
        <v>0</v>
      </c>
      <c r="AG52" s="776">
        <v>0</v>
      </c>
      <c r="AH52" s="776">
        <v>0</v>
      </c>
      <c r="AI52" s="776">
        <v>0</v>
      </c>
      <c r="AJ52" s="776">
        <v>0</v>
      </c>
      <c r="AK52" s="776">
        <v>0</v>
      </c>
      <c r="AL52" s="776">
        <v>0</v>
      </c>
      <c r="AM52" s="776">
        <v>0</v>
      </c>
      <c r="AN52" s="776">
        <v>0</v>
      </c>
      <c r="AO52" s="776">
        <v>0</v>
      </c>
      <c r="AP52" s="776">
        <v>0</v>
      </c>
      <c r="AQ52" s="776">
        <v>0</v>
      </c>
      <c r="AR52" s="776">
        <v>0</v>
      </c>
      <c r="AS52" s="776">
        <v>0</v>
      </c>
      <c r="AT52" s="776">
        <v>0</v>
      </c>
      <c r="AU52" s="776">
        <v>0</v>
      </c>
      <c r="AV52" s="776">
        <v>0</v>
      </c>
      <c r="AW52" s="776">
        <v>0</v>
      </c>
      <c r="AX52" s="776">
        <v>0</v>
      </c>
      <c r="AY52" s="776">
        <v>0</v>
      </c>
      <c r="AZ52" s="776">
        <v>0</v>
      </c>
      <c r="BA52" s="776">
        <v>0</v>
      </c>
      <c r="BB52" s="776">
        <v>0</v>
      </c>
      <c r="BC52" s="776">
        <v>0</v>
      </c>
      <c r="BD52" s="776">
        <v>0</v>
      </c>
      <c r="BE52" s="776">
        <v>0</v>
      </c>
      <c r="BF52" s="776">
        <v>-8083538</v>
      </c>
      <c r="BG52" s="776">
        <v>0</v>
      </c>
      <c r="BH52" s="776">
        <v>0</v>
      </c>
      <c r="BI52" s="776">
        <v>0</v>
      </c>
      <c r="BJ52" s="776">
        <v>0</v>
      </c>
      <c r="BK52" s="776">
        <v>0</v>
      </c>
      <c r="BL52" s="776">
        <v>0</v>
      </c>
      <c r="BM52" s="776">
        <v>0</v>
      </c>
      <c r="BN52" s="776">
        <v>0</v>
      </c>
      <c r="BO52" s="776">
        <v>0</v>
      </c>
      <c r="BP52" s="776">
        <v>-5458</v>
      </c>
      <c r="BQ52" s="776">
        <v>0</v>
      </c>
      <c r="BR52" s="776">
        <v>0</v>
      </c>
      <c r="BS52" s="776">
        <v>0</v>
      </c>
      <c r="BT52" s="776">
        <v>0</v>
      </c>
      <c r="BU52" s="776">
        <v>0</v>
      </c>
      <c r="BV52" s="776">
        <v>0</v>
      </c>
      <c r="BW52" s="776">
        <v>0</v>
      </c>
      <c r="BX52" s="776">
        <v>0</v>
      </c>
      <c r="BY52" s="776">
        <v>0</v>
      </c>
      <c r="BZ52" s="776">
        <v>0</v>
      </c>
      <c r="CA52" s="776">
        <v>0</v>
      </c>
      <c r="CB52" s="776">
        <v>0</v>
      </c>
      <c r="CC52" s="776">
        <v>0</v>
      </c>
      <c r="CD52" s="776">
        <v>0</v>
      </c>
      <c r="CE52" s="776">
        <v>0</v>
      </c>
      <c r="CF52" s="776">
        <v>0</v>
      </c>
      <c r="CG52" s="776">
        <v>0</v>
      </c>
      <c r="CH52" s="776">
        <v>0</v>
      </c>
      <c r="CI52" s="776">
        <v>0</v>
      </c>
      <c r="CJ52" s="776">
        <v>0</v>
      </c>
      <c r="CK52" s="776">
        <v>0</v>
      </c>
      <c r="CL52" s="776">
        <v>0</v>
      </c>
      <c r="CM52" s="776">
        <v>0</v>
      </c>
      <c r="CN52" s="776">
        <v>0</v>
      </c>
      <c r="CO52" s="776">
        <v>0</v>
      </c>
      <c r="CP52" s="776">
        <v>53689674</v>
      </c>
      <c r="CQ52" s="776">
        <v>173472068</v>
      </c>
      <c r="CR52" s="776">
        <v>0</v>
      </c>
      <c r="CS52" s="776">
        <v>0</v>
      </c>
      <c r="CT52" s="776">
        <v>0</v>
      </c>
      <c r="CU52" s="776">
        <v>0</v>
      </c>
      <c r="CV52" s="776">
        <v>0</v>
      </c>
      <c r="CW52" s="776">
        <v>0</v>
      </c>
      <c r="CX52" s="776">
        <v>0</v>
      </c>
      <c r="CY52" s="776">
        <v>0</v>
      </c>
      <c r="CZ52" s="776">
        <v>0</v>
      </c>
      <c r="DA52" s="776">
        <v>0</v>
      </c>
      <c r="DB52" s="776">
        <v>0</v>
      </c>
      <c r="DC52" s="776">
        <v>0</v>
      </c>
      <c r="DD52" s="776">
        <v>0</v>
      </c>
      <c r="DE52" s="776">
        <v>0</v>
      </c>
      <c r="DF52" s="776">
        <v>0</v>
      </c>
      <c r="DG52" s="776">
        <v>0</v>
      </c>
      <c r="DH52" s="776">
        <v>0</v>
      </c>
      <c r="DI52" s="776">
        <v>0</v>
      </c>
      <c r="DJ52" s="776">
        <v>0</v>
      </c>
      <c r="DK52" s="776">
        <v>0</v>
      </c>
      <c r="DL52" s="776">
        <v>0</v>
      </c>
      <c r="DM52" s="776">
        <v>0</v>
      </c>
      <c r="DN52" s="776">
        <v>0</v>
      </c>
      <c r="DO52" s="776">
        <v>0</v>
      </c>
      <c r="DP52" s="776">
        <v>0</v>
      </c>
      <c r="DQ52" s="776">
        <v>-3160046</v>
      </c>
      <c r="DR52" s="776">
        <v>-4969663</v>
      </c>
      <c r="DS52" s="776">
        <v>0</v>
      </c>
      <c r="DT52" s="776">
        <v>0</v>
      </c>
      <c r="DU52" s="776">
        <v>0</v>
      </c>
      <c r="DV52" s="776">
        <v>0</v>
      </c>
      <c r="DW52" s="776">
        <v>0</v>
      </c>
      <c r="DX52" s="776">
        <v>0</v>
      </c>
      <c r="DY52" s="776">
        <v>0</v>
      </c>
      <c r="DZ52" s="776">
        <v>0</v>
      </c>
      <c r="EA52" s="776">
        <v>0</v>
      </c>
      <c r="EB52" s="776">
        <v>0</v>
      </c>
      <c r="EC52" s="776">
        <v>0</v>
      </c>
      <c r="ED52" s="776">
        <v>0</v>
      </c>
      <c r="EE52" s="776">
        <v>0</v>
      </c>
      <c r="EF52" s="776">
        <v>0</v>
      </c>
      <c r="EG52" s="776">
        <v>0</v>
      </c>
      <c r="EH52" s="776">
        <v>0</v>
      </c>
      <c r="EI52" s="776">
        <v>-24272401</v>
      </c>
      <c r="EJ52" s="776">
        <v>-93444137</v>
      </c>
      <c r="EK52" s="776">
        <v>0</v>
      </c>
      <c r="EL52" s="776">
        <v>0</v>
      </c>
      <c r="EM52" s="776">
        <v>0</v>
      </c>
      <c r="EN52" s="776">
        <v>0</v>
      </c>
      <c r="EO52" s="776">
        <v>0</v>
      </c>
      <c r="EP52" s="776">
        <v>0</v>
      </c>
      <c r="EQ52" s="776">
        <v>0</v>
      </c>
      <c r="ER52" s="776">
        <v>0</v>
      </c>
      <c r="ES52" s="776">
        <v>0</v>
      </c>
      <c r="ET52" s="776">
        <v>0</v>
      </c>
      <c r="EU52" s="776">
        <v>0</v>
      </c>
      <c r="EV52" s="776">
        <v>0</v>
      </c>
      <c r="EW52" s="776">
        <v>0</v>
      </c>
      <c r="EX52" s="776">
        <v>0</v>
      </c>
      <c r="EY52" s="776">
        <v>0</v>
      </c>
      <c r="EZ52" s="776">
        <v>0</v>
      </c>
      <c r="FA52" s="776">
        <v>0</v>
      </c>
      <c r="FB52" s="776">
        <v>0</v>
      </c>
      <c r="FC52" s="776">
        <v>0</v>
      </c>
      <c r="FD52" s="776">
        <v>0</v>
      </c>
      <c r="FE52" s="776">
        <v>0</v>
      </c>
      <c r="FF52" s="776">
        <v>0</v>
      </c>
      <c r="FG52" s="776">
        <v>0</v>
      </c>
      <c r="FH52" s="776">
        <v>0</v>
      </c>
      <c r="FI52" s="776">
        <v>0</v>
      </c>
      <c r="FJ52" s="776">
        <v>0</v>
      </c>
      <c r="FK52" s="776">
        <v>0</v>
      </c>
      <c r="FL52" s="776">
        <v>0</v>
      </c>
      <c r="FM52" s="776">
        <v>0</v>
      </c>
      <c r="FN52" s="776">
        <v>0</v>
      </c>
      <c r="FO52" s="776">
        <v>0</v>
      </c>
      <c r="FP52" s="776">
        <v>0</v>
      </c>
      <c r="FQ52" s="776">
        <v>0</v>
      </c>
      <c r="FR52" s="776">
        <v>0</v>
      </c>
      <c r="FS52" s="776">
        <v>0</v>
      </c>
      <c r="FT52" s="776">
        <v>0</v>
      </c>
      <c r="FU52" s="776">
        <v>0</v>
      </c>
      <c r="FV52" s="776">
        <v>0</v>
      </c>
      <c r="FW52" s="776">
        <v>0</v>
      </c>
      <c r="FX52" s="776">
        <v>0</v>
      </c>
      <c r="FY52" s="776">
        <v>0</v>
      </c>
      <c r="FZ52" s="776">
        <v>0</v>
      </c>
      <c r="GA52" s="776">
        <v>0</v>
      </c>
      <c r="GB52" s="776">
        <v>2744958</v>
      </c>
      <c r="GC52" s="776">
        <v>28544935</v>
      </c>
      <c r="GD52" s="776">
        <v>23767122</v>
      </c>
      <c r="GE52" s="776">
        <v>0</v>
      </c>
      <c r="GF52" s="776">
        <v>0</v>
      </c>
      <c r="GG52" s="776">
        <v>0</v>
      </c>
      <c r="GH52" s="776">
        <v>0</v>
      </c>
      <c r="GI52" s="776">
        <v>0</v>
      </c>
      <c r="GJ52" s="776">
        <v>0</v>
      </c>
      <c r="GK52" s="776">
        <v>0</v>
      </c>
      <c r="GL52" s="776">
        <v>0</v>
      </c>
      <c r="GM52" s="776">
        <v>0</v>
      </c>
      <c r="GN52" s="776">
        <v>0</v>
      </c>
      <c r="GO52" s="776">
        <v>0</v>
      </c>
      <c r="GP52" s="776">
        <v>0</v>
      </c>
      <c r="GQ52" s="776">
        <v>0</v>
      </c>
      <c r="GR52" s="776">
        <v>0</v>
      </c>
      <c r="GS52" s="776">
        <v>0</v>
      </c>
      <c r="GT52" s="776">
        <v>0</v>
      </c>
      <c r="GU52" s="776">
        <v>0</v>
      </c>
      <c r="GV52" s="776">
        <v>0</v>
      </c>
      <c r="GW52" s="776">
        <v>0</v>
      </c>
      <c r="GX52" s="776">
        <v>0</v>
      </c>
      <c r="GY52" s="776">
        <v>0</v>
      </c>
      <c r="GZ52" s="776">
        <v>0</v>
      </c>
      <c r="HA52" s="776">
        <v>0</v>
      </c>
      <c r="HB52" s="776">
        <v>0</v>
      </c>
      <c r="HC52" s="776">
        <v>0</v>
      </c>
      <c r="HD52" s="776">
        <v>0</v>
      </c>
      <c r="HE52" s="776">
        <v>-992344</v>
      </c>
      <c r="HF52" s="776">
        <v>0</v>
      </c>
      <c r="HG52" s="776">
        <v>0</v>
      </c>
      <c r="HH52" s="776">
        <v>0</v>
      </c>
      <c r="HI52" s="776">
        <v>0</v>
      </c>
      <c r="HJ52" s="776">
        <v>0</v>
      </c>
      <c r="HK52" s="776">
        <v>0</v>
      </c>
      <c r="HL52" s="776">
        <v>0</v>
      </c>
      <c r="HM52" s="776">
        <v>0</v>
      </c>
      <c r="HN52" s="776">
        <v>0</v>
      </c>
      <c r="HO52" s="776">
        <v>0</v>
      </c>
      <c r="HP52" s="776">
        <v>0</v>
      </c>
      <c r="HQ52" s="776">
        <v>0</v>
      </c>
      <c r="HR52" s="776">
        <v>0</v>
      </c>
      <c r="HS52" s="776">
        <v>0</v>
      </c>
      <c r="HT52" s="776">
        <v>0</v>
      </c>
      <c r="HU52" s="776">
        <v>0</v>
      </c>
      <c r="HV52" s="776">
        <v>0</v>
      </c>
      <c r="HW52" s="776">
        <v>-10657035</v>
      </c>
      <c r="HX52" s="776">
        <v>0</v>
      </c>
      <c r="HY52" s="776">
        <v>0</v>
      </c>
      <c r="HZ52" s="776">
        <v>0</v>
      </c>
      <c r="IA52" s="776">
        <v>0</v>
      </c>
      <c r="IB52" s="776">
        <v>0</v>
      </c>
      <c r="IC52" s="776">
        <v>0</v>
      </c>
      <c r="ID52" s="776">
        <v>7698367</v>
      </c>
      <c r="IE52" s="776">
        <v>5768186</v>
      </c>
      <c r="IF52" s="776">
        <v>0</v>
      </c>
      <c r="IG52" s="776">
        <v>242716956</v>
      </c>
      <c r="IH52" s="776">
        <v>0</v>
      </c>
      <c r="II52" s="776">
        <v>0</v>
      </c>
      <c r="IJ52" s="776">
        <v>0</v>
      </c>
      <c r="IK52" s="776">
        <v>0</v>
      </c>
      <c r="IL52" s="776">
        <v>0</v>
      </c>
      <c r="IM52" s="776">
        <v>199759</v>
      </c>
      <c r="IN52" s="776">
        <v>6221890</v>
      </c>
      <c r="IO52" s="776">
        <v>551986</v>
      </c>
      <c r="IP52" s="776">
        <v>2290245</v>
      </c>
      <c r="IQ52" s="776">
        <v>28490</v>
      </c>
      <c r="IR52" s="776">
        <v>38535</v>
      </c>
      <c r="IS52" s="776">
        <v>211764</v>
      </c>
      <c r="IT52" s="776">
        <v>0</v>
      </c>
      <c r="IU52" s="776">
        <v>0</v>
      </c>
      <c r="IV52" s="776">
        <v>0</v>
      </c>
      <c r="IW52" s="776">
        <v>30879827</v>
      </c>
      <c r="IX52" s="776">
        <v>0</v>
      </c>
      <c r="IY52" s="776">
        <v>242919</v>
      </c>
      <c r="IZ52" s="776">
        <v>0</v>
      </c>
      <c r="JA52" s="776">
        <v>0</v>
      </c>
      <c r="JB52" s="776">
        <v>0</v>
      </c>
      <c r="JC52" s="776">
        <v>0</v>
      </c>
      <c r="JD52" s="776">
        <v>0</v>
      </c>
      <c r="JE52" s="776">
        <v>0</v>
      </c>
      <c r="JF52" s="776">
        <v>42631989</v>
      </c>
      <c r="JG52" s="776">
        <v>100000</v>
      </c>
      <c r="JH52" s="776">
        <v>17301353</v>
      </c>
      <c r="JI52" s="776">
        <v>0</v>
      </c>
      <c r="JJ52" s="776">
        <v>0</v>
      </c>
      <c r="JK52" s="776">
        <v>0</v>
      </c>
      <c r="JL52" s="776">
        <v>0</v>
      </c>
      <c r="JM52" s="776">
        <v>0</v>
      </c>
      <c r="JN52" s="776">
        <v>0</v>
      </c>
      <c r="JO52" s="776">
        <v>4947182</v>
      </c>
      <c r="JP52" s="776">
        <v>0</v>
      </c>
      <c r="JQ52" s="776">
        <v>2428534</v>
      </c>
      <c r="JR52" s="776">
        <v>0</v>
      </c>
      <c r="JS52" s="776">
        <v>0</v>
      </c>
      <c r="JT52" s="776">
        <v>0</v>
      </c>
      <c r="JU52" s="776">
        <v>0</v>
      </c>
      <c r="JV52" s="776">
        <v>0</v>
      </c>
      <c r="JW52" s="776">
        <v>0</v>
      </c>
      <c r="JX52" s="776">
        <v>0</v>
      </c>
      <c r="JY52" s="776">
        <v>4036238</v>
      </c>
      <c r="JZ52" s="776">
        <v>0</v>
      </c>
      <c r="KA52" s="776">
        <v>0</v>
      </c>
      <c r="KB52" s="776">
        <v>0</v>
      </c>
      <c r="KC52" s="776">
        <v>0</v>
      </c>
      <c r="KD52" s="776">
        <v>0</v>
      </c>
      <c r="KE52" s="776">
        <v>0</v>
      </c>
      <c r="KF52" s="776">
        <v>332331</v>
      </c>
      <c r="KG52" s="776">
        <v>29444629</v>
      </c>
      <c r="KH52" s="776">
        <v>0</v>
      </c>
      <c r="KI52" s="776">
        <v>641124</v>
      </c>
      <c r="KJ52" s="776">
        <v>581801</v>
      </c>
      <c r="KK52" s="776">
        <v>0</v>
      </c>
      <c r="KL52" s="776">
        <v>0</v>
      </c>
      <c r="KM52" s="776">
        <v>0</v>
      </c>
      <c r="KN52" s="776">
        <v>-123671</v>
      </c>
      <c r="KO52" s="776">
        <v>129046996</v>
      </c>
      <c r="KP52" s="776">
        <v>35894317</v>
      </c>
      <c r="KQ52" s="776">
        <v>0</v>
      </c>
      <c r="KR52" s="776">
        <v>12932063</v>
      </c>
      <c r="KS52" s="776">
        <v>0</v>
      </c>
      <c r="KT52" s="776">
        <v>0</v>
      </c>
      <c r="KU52" s="776">
        <v>0</v>
      </c>
      <c r="KV52" s="776">
        <v>0</v>
      </c>
      <c r="KW52" s="776">
        <v>0</v>
      </c>
      <c r="KX52" s="776">
        <v>5002830</v>
      </c>
      <c r="KY52" s="776">
        <v>23866798</v>
      </c>
      <c r="KZ52" s="776">
        <v>0</v>
      </c>
      <c r="LA52" s="776">
        <v>17126275</v>
      </c>
      <c r="LB52" s="776">
        <v>0</v>
      </c>
      <c r="LC52" s="776">
        <v>0</v>
      </c>
      <c r="LD52" s="776">
        <v>0</v>
      </c>
      <c r="LE52" s="776">
        <v>0</v>
      </c>
      <c r="LF52" s="776">
        <v>0</v>
      </c>
      <c r="LG52" s="776">
        <v>2453395</v>
      </c>
      <c r="LH52" s="776">
        <v>525375</v>
      </c>
      <c r="LI52" s="776">
        <v>0</v>
      </c>
      <c r="LJ52" s="776">
        <v>10581556</v>
      </c>
      <c r="LK52" s="776">
        <v>0</v>
      </c>
      <c r="LL52" s="776">
        <v>0</v>
      </c>
      <c r="LM52" s="776">
        <v>0</v>
      </c>
      <c r="LN52" s="776">
        <v>0</v>
      </c>
      <c r="LO52" s="776">
        <v>0</v>
      </c>
      <c r="LP52" s="776">
        <v>25120974</v>
      </c>
      <c r="LQ52" s="776">
        <v>31984571</v>
      </c>
      <c r="LR52" s="776">
        <v>0</v>
      </c>
      <c r="LS52" s="776">
        <v>6239461</v>
      </c>
      <c r="LT52" s="776">
        <v>0</v>
      </c>
      <c r="LU52" s="776">
        <v>0</v>
      </c>
      <c r="LV52" s="776">
        <v>0</v>
      </c>
      <c r="LW52" s="776">
        <v>0</v>
      </c>
      <c r="LX52" s="776">
        <v>0</v>
      </c>
      <c r="LY52" s="776">
        <v>9941288</v>
      </c>
      <c r="LZ52" s="776">
        <v>13198836</v>
      </c>
      <c r="MA52" s="776">
        <v>0</v>
      </c>
      <c r="MB52" s="776">
        <v>20106225</v>
      </c>
      <c r="MC52" s="776">
        <v>-539663</v>
      </c>
      <c r="MD52" s="776">
        <v>0</v>
      </c>
      <c r="ME52" s="776">
        <v>0</v>
      </c>
      <c r="MF52" s="776">
        <v>0</v>
      </c>
      <c r="MG52" s="776">
        <v>0</v>
      </c>
      <c r="MH52" s="776">
        <v>14312885</v>
      </c>
      <c r="MI52" s="776">
        <v>22658074</v>
      </c>
      <c r="MJ52" s="776">
        <v>0</v>
      </c>
      <c r="MK52" s="776">
        <v>633902</v>
      </c>
      <c r="ML52" s="776">
        <v>0</v>
      </c>
      <c r="MM52" s="776">
        <v>0</v>
      </c>
      <c r="MN52" s="776">
        <v>0</v>
      </c>
      <c r="MO52" s="776">
        <v>0</v>
      </c>
      <c r="MP52" s="776">
        <v>0</v>
      </c>
      <c r="MQ52" s="776">
        <v>11635597</v>
      </c>
      <c r="MR52" s="776">
        <v>24796004</v>
      </c>
      <c r="MS52" s="776">
        <v>0</v>
      </c>
      <c r="MT52" s="776">
        <v>62670</v>
      </c>
      <c r="MU52" s="776">
        <v>0</v>
      </c>
      <c r="MV52" s="776">
        <v>0</v>
      </c>
      <c r="MW52" s="776">
        <v>3189482</v>
      </c>
      <c r="MX52" s="776">
        <v>0</v>
      </c>
      <c r="MY52" s="776">
        <v>0</v>
      </c>
      <c r="MZ52" s="776">
        <v>13625931</v>
      </c>
      <c r="NA52" s="776">
        <v>1621656</v>
      </c>
      <c r="NB52" s="776">
        <v>0</v>
      </c>
      <c r="NC52" s="776">
        <v>101852978</v>
      </c>
      <c r="ND52" s="776">
        <v>0</v>
      </c>
      <c r="NE52" s="776">
        <v>0</v>
      </c>
      <c r="NF52" s="776">
        <v>0</v>
      </c>
      <c r="NG52" s="776">
        <v>0</v>
      </c>
      <c r="NH52" s="776">
        <v>0</v>
      </c>
      <c r="NI52" s="776">
        <v>0</v>
      </c>
      <c r="NJ52" s="776">
        <v>1490634</v>
      </c>
      <c r="NK52" s="776">
        <v>23595257</v>
      </c>
      <c r="NL52" s="776">
        <v>172681</v>
      </c>
      <c r="NM52" s="776">
        <v>0</v>
      </c>
      <c r="NN52" s="776">
        <v>0</v>
      </c>
      <c r="NO52" s="776">
        <v>0</v>
      </c>
      <c r="NP52" s="776">
        <v>0</v>
      </c>
      <c r="NQ52" s="776">
        <v>0</v>
      </c>
      <c r="NR52" s="776">
        <v>211846</v>
      </c>
      <c r="NS52" s="776">
        <v>5929372</v>
      </c>
      <c r="NT52" s="776">
        <v>27998</v>
      </c>
      <c r="NU52" s="776">
        <v>7170703</v>
      </c>
      <c r="NV52" s="776">
        <v>0</v>
      </c>
      <c r="NW52" s="776">
        <v>0</v>
      </c>
      <c r="NX52" s="776">
        <v>0</v>
      </c>
      <c r="NY52" s="776">
        <v>0</v>
      </c>
      <c r="NZ52" s="776">
        <v>0</v>
      </c>
      <c r="OA52" s="776">
        <v>0</v>
      </c>
      <c r="OB52" s="776">
        <v>0</v>
      </c>
      <c r="OC52" s="776">
        <v>0</v>
      </c>
      <c r="OD52" s="776">
        <v>0</v>
      </c>
      <c r="OE52" s="776">
        <v>0</v>
      </c>
      <c r="OF52" s="776">
        <v>0</v>
      </c>
      <c r="OG52" s="776">
        <v>0</v>
      </c>
      <c r="OH52" s="776">
        <v>0</v>
      </c>
      <c r="OI52" s="776">
        <v>0</v>
      </c>
      <c r="OJ52" s="776">
        <v>0</v>
      </c>
      <c r="OK52" s="776">
        <v>0</v>
      </c>
      <c r="OL52" s="776">
        <v>0</v>
      </c>
      <c r="OM52" s="776">
        <v>0</v>
      </c>
      <c r="ON52" s="776">
        <v>0</v>
      </c>
      <c r="OO52" s="776">
        <v>0</v>
      </c>
      <c r="OP52" s="776">
        <v>-49323529</v>
      </c>
      <c r="OQ52" s="776">
        <v>0</v>
      </c>
      <c r="OR52" s="776">
        <v>0</v>
      </c>
      <c r="OS52" s="776">
        <v>9922515</v>
      </c>
      <c r="OT52" s="776">
        <v>20304778</v>
      </c>
      <c r="OU52" s="776">
        <v>12734911</v>
      </c>
      <c r="OV52" s="776">
        <v>-91429228</v>
      </c>
      <c r="OW52" s="776">
        <v>753982</v>
      </c>
      <c r="OX52" s="776">
        <v>40063416</v>
      </c>
      <c r="OY52" s="776">
        <v>16841153</v>
      </c>
      <c r="OZ52" s="776">
        <v>0</v>
      </c>
      <c r="PA52" s="776">
        <v>16495</v>
      </c>
      <c r="PB52" s="776">
        <v>0</v>
      </c>
      <c r="PC52" s="776">
        <v>0</v>
      </c>
      <c r="PD52" s="776">
        <v>0</v>
      </c>
      <c r="PE52" s="776">
        <v>0</v>
      </c>
      <c r="PF52" s="776">
        <v>0</v>
      </c>
      <c r="PG52" s="776">
        <v>0</v>
      </c>
      <c r="PH52" s="776">
        <v>34597718</v>
      </c>
      <c r="PI52" s="776">
        <v>0</v>
      </c>
      <c r="PJ52" s="776">
        <v>0</v>
      </c>
      <c r="PK52" s="776">
        <v>-18020350</v>
      </c>
      <c r="PL52" s="776">
        <v>-744396</v>
      </c>
      <c r="PM52" s="776">
        <v>-1452840</v>
      </c>
      <c r="PN52" s="776">
        <v>0</v>
      </c>
      <c r="PO52" s="776">
        <v>0</v>
      </c>
      <c r="PP52" s="776">
        <v>0</v>
      </c>
      <c r="PQ52" s="776">
        <v>0</v>
      </c>
      <c r="PR52" s="776">
        <v>0</v>
      </c>
      <c r="PS52" s="776">
        <v>0</v>
      </c>
      <c r="PT52" s="776">
        <v>0</v>
      </c>
      <c r="PU52" s="776">
        <v>10545330</v>
      </c>
      <c r="PV52" s="776">
        <v>1767447</v>
      </c>
      <c r="PW52" s="776">
        <v>257414</v>
      </c>
      <c r="PX52" s="776">
        <v>91225</v>
      </c>
      <c r="PY52" s="776">
        <v>19955342</v>
      </c>
      <c r="PZ52" s="776">
        <v>678066</v>
      </c>
      <c r="QA52" s="776">
        <v>0</v>
      </c>
      <c r="QB52" s="776">
        <v>0</v>
      </c>
      <c r="QC52" s="776">
        <v>0</v>
      </c>
      <c r="QD52" s="776">
        <v>0</v>
      </c>
      <c r="QE52" s="776">
        <v>0</v>
      </c>
      <c r="QF52" s="776">
        <v>0</v>
      </c>
      <c r="QG52" s="776">
        <v>0</v>
      </c>
      <c r="QH52" s="776">
        <v>5251830</v>
      </c>
      <c r="QI52" s="776">
        <v>0</v>
      </c>
      <c r="QJ52" s="776">
        <v>0</v>
      </c>
      <c r="QK52" s="776">
        <v>0</v>
      </c>
      <c r="QL52" s="776">
        <v>0</v>
      </c>
      <c r="QM52" s="776">
        <v>0</v>
      </c>
      <c r="QN52" s="776">
        <v>0</v>
      </c>
      <c r="QO52" s="776">
        <v>0</v>
      </c>
      <c r="QP52" s="776">
        <v>0</v>
      </c>
      <c r="QQ52" s="776">
        <v>0</v>
      </c>
      <c r="QR52" s="776">
        <v>0</v>
      </c>
      <c r="QS52" s="776">
        <v>0</v>
      </c>
      <c r="QT52" s="776">
        <v>0</v>
      </c>
      <c r="QU52" s="776">
        <v>0</v>
      </c>
      <c r="QV52" s="776">
        <v>0</v>
      </c>
      <c r="QW52" s="776">
        <v>0</v>
      </c>
      <c r="QX52" s="776">
        <v>0</v>
      </c>
      <c r="QY52" s="776">
        <v>0</v>
      </c>
      <c r="QZ52" s="776">
        <v>0</v>
      </c>
      <c r="RA52" s="776">
        <v>0</v>
      </c>
      <c r="RB52" s="776">
        <v>0</v>
      </c>
      <c r="RC52" s="776">
        <v>-51895679</v>
      </c>
      <c r="RD52" s="776">
        <v>0</v>
      </c>
      <c r="RE52" s="776">
        <v>0</v>
      </c>
      <c r="RF52" s="776">
        <v>0</v>
      </c>
      <c r="RG52" s="776">
        <v>0</v>
      </c>
      <c r="RH52" s="776">
        <v>0</v>
      </c>
      <c r="RI52" s="776">
        <v>0</v>
      </c>
      <c r="RJ52" s="776">
        <v>0</v>
      </c>
      <c r="RK52" s="776">
        <v>0</v>
      </c>
      <c r="RL52" s="776">
        <v>0</v>
      </c>
      <c r="RM52" s="776">
        <v>0</v>
      </c>
      <c r="RN52" s="776">
        <v>0</v>
      </c>
      <c r="RO52" s="776">
        <v>0</v>
      </c>
      <c r="RP52" s="776">
        <v>0</v>
      </c>
      <c r="RQ52" s="776">
        <v>0</v>
      </c>
      <c r="RR52" s="776">
        <v>0</v>
      </c>
      <c r="RS52" s="776">
        <v>0</v>
      </c>
      <c r="RT52" s="776">
        <v>0</v>
      </c>
      <c r="RU52" s="776">
        <v>0</v>
      </c>
      <c r="RV52" s="776">
        <v>0</v>
      </c>
      <c r="RW52" s="776">
        <v>0</v>
      </c>
      <c r="RX52" s="776">
        <v>0</v>
      </c>
      <c r="RY52" s="776">
        <v>0</v>
      </c>
      <c r="RZ52" s="776">
        <v>0</v>
      </c>
      <c r="SA52" s="776">
        <v>0</v>
      </c>
      <c r="SB52" s="776">
        <v>0</v>
      </c>
      <c r="SC52" s="776">
        <v>0</v>
      </c>
      <c r="SD52" s="776">
        <v>-54186</v>
      </c>
      <c r="SE52" s="776">
        <v>0</v>
      </c>
      <c r="SF52" s="776">
        <v>0</v>
      </c>
      <c r="SG52" s="776">
        <v>0</v>
      </c>
      <c r="SH52" s="776">
        <v>0</v>
      </c>
      <c r="SI52" s="776">
        <v>0</v>
      </c>
      <c r="SJ52" s="776">
        <v>0</v>
      </c>
      <c r="SK52" s="776">
        <v>0</v>
      </c>
      <c r="SL52" s="776">
        <v>0</v>
      </c>
      <c r="SM52" s="776">
        <v>62663449</v>
      </c>
      <c r="SN52" s="776">
        <v>160057662</v>
      </c>
      <c r="SQ52" s="776">
        <v>282218757</v>
      </c>
      <c r="SR52" s="776">
        <v>-137495626</v>
      </c>
      <c r="SS52" s="776">
        <v>246829</v>
      </c>
      <c r="ST52" s="776">
        <v>5121837</v>
      </c>
      <c r="SU52" s="776">
        <v>561319</v>
      </c>
      <c r="SV52" s="776">
        <v>6627272</v>
      </c>
      <c r="SW52" s="776">
        <v>20760</v>
      </c>
      <c r="SX52" s="776">
        <v>237483</v>
      </c>
      <c r="SY52" s="776">
        <v>401341</v>
      </c>
      <c r="SZ52" s="776">
        <v>6399</v>
      </c>
      <c r="TA52" s="776">
        <v>27998</v>
      </c>
      <c r="TB52" s="776">
        <v>0</v>
      </c>
      <c r="TC52" s="776">
        <v>3157</v>
      </c>
      <c r="TD52" s="776">
        <v>947334</v>
      </c>
      <c r="TE52" s="776">
        <v>0</v>
      </c>
      <c r="TF52" s="776">
        <v>0</v>
      </c>
      <c r="TG52" s="776">
        <v>0</v>
      </c>
      <c r="TH52" s="776">
        <v>0</v>
      </c>
      <c r="TI52" s="776">
        <v>0</v>
      </c>
      <c r="TJ52" s="776">
        <v>0</v>
      </c>
      <c r="TK52" s="776">
        <v>0</v>
      </c>
      <c r="TL52" s="776">
        <v>0</v>
      </c>
      <c r="TM52" s="776">
        <v>0</v>
      </c>
      <c r="TN52" s="776">
        <v>0</v>
      </c>
      <c r="TO52" s="776">
        <v>0</v>
      </c>
      <c r="TP52" s="776">
        <v>0</v>
      </c>
      <c r="TQ52" s="776">
        <v>0</v>
      </c>
      <c r="TR52" s="776">
        <v>0</v>
      </c>
      <c r="TS52" s="776">
        <v>177873376</v>
      </c>
      <c r="TT52" s="776">
        <v>45995903</v>
      </c>
      <c r="TU52" s="776">
        <v>13560326</v>
      </c>
      <c r="TV52" s="776">
        <v>63345006</v>
      </c>
      <c r="TW52" s="776">
        <v>42706686</v>
      </c>
      <c r="TX52" s="776">
        <v>37604861</v>
      </c>
      <c r="TY52" s="776">
        <v>39683753</v>
      </c>
      <c r="TZ52" s="776">
        <v>117100565</v>
      </c>
      <c r="UA52" s="776">
        <v>25258572</v>
      </c>
      <c r="UB52" s="776">
        <v>110797424</v>
      </c>
      <c r="UC52" s="776">
        <v>33294824</v>
      </c>
      <c r="UF52" s="776" t="s">
        <v>2412</v>
      </c>
      <c r="UG52" s="776" t="s">
        <v>2413</v>
      </c>
      <c r="UH52" s="776" t="s">
        <v>2414</v>
      </c>
    </row>
    <row r="53" spans="1:554" s="776" customFormat="1" ht="16.5" thickBot="1">
      <c r="A53" s="1094">
        <v>90</v>
      </c>
      <c r="B53" s="1131" t="s">
        <v>2223</v>
      </c>
      <c r="C53" s="1095" t="s">
        <v>1379</v>
      </c>
      <c r="F53" s="1098">
        <v>118336147</v>
      </c>
      <c r="M53" s="776">
        <v>0</v>
      </c>
      <c r="N53" s="776">
        <v>20318634</v>
      </c>
      <c r="O53" s="776">
        <v>0</v>
      </c>
      <c r="P53" s="776">
        <v>0</v>
      </c>
      <c r="Q53" s="776">
        <v>0</v>
      </c>
      <c r="R53" s="776">
        <v>0</v>
      </c>
      <c r="S53" s="776">
        <v>0</v>
      </c>
      <c r="T53" s="776">
        <v>0</v>
      </c>
      <c r="U53" s="776">
        <v>0</v>
      </c>
      <c r="V53" s="776">
        <v>0</v>
      </c>
      <c r="W53" s="776">
        <v>0</v>
      </c>
      <c r="X53" s="776">
        <v>0</v>
      </c>
      <c r="Y53" s="776">
        <v>0</v>
      </c>
      <c r="Z53" s="776">
        <v>0</v>
      </c>
      <c r="AA53" s="776">
        <v>0</v>
      </c>
      <c r="AB53" s="776">
        <v>0</v>
      </c>
      <c r="AC53" s="776">
        <v>0</v>
      </c>
      <c r="AD53" s="776">
        <v>0</v>
      </c>
      <c r="AE53" s="776">
        <v>11986502</v>
      </c>
      <c r="AF53" s="776">
        <v>37095167</v>
      </c>
      <c r="AG53" s="776">
        <v>0</v>
      </c>
      <c r="AH53" s="776">
        <v>-117253</v>
      </c>
      <c r="AI53" s="776">
        <v>0</v>
      </c>
      <c r="AJ53" s="776">
        <v>0</v>
      </c>
      <c r="AK53" s="776">
        <v>0</v>
      </c>
      <c r="AL53" s="776">
        <v>0</v>
      </c>
      <c r="AM53" s="776">
        <v>0</v>
      </c>
      <c r="AN53" s="776">
        <v>88681</v>
      </c>
      <c r="AO53" s="776">
        <v>0</v>
      </c>
      <c r="AP53" s="776">
        <v>0</v>
      </c>
      <c r="AQ53" s="776">
        <v>48964416</v>
      </c>
    </row>
    <row r="54" spans="1:554" s="776" customFormat="1" ht="15.75" thickBot="1">
      <c r="A54" s="1094"/>
      <c r="B54" s="1094"/>
      <c r="C54" s="1095"/>
      <c r="F54" s="1098"/>
      <c r="M54" s="1449"/>
      <c r="V54" s="1449"/>
      <c r="AE54" s="1449"/>
      <c r="AN54" s="1449"/>
    </row>
    <row r="55" spans="1:554" ht="13.5" thickBot="1">
      <c r="F55" s="964"/>
    </row>
    <row r="56" spans="1:554" s="776" customFormat="1" ht="31.5" customHeight="1" thickBot="1">
      <c r="A56" s="1526">
        <v>230</v>
      </c>
      <c r="B56" s="1533" t="s">
        <v>2243</v>
      </c>
      <c r="C56" s="1527" t="s">
        <v>322</v>
      </c>
      <c r="D56" s="1096" t="s">
        <v>2398</v>
      </c>
      <c r="E56" s="1097">
        <v>3652</v>
      </c>
      <c r="F56" s="1098">
        <v>5110503145</v>
      </c>
      <c r="G56" s="1096" t="s">
        <v>2399</v>
      </c>
      <c r="H56" s="1099" t="s">
        <v>2243</v>
      </c>
      <c r="I56" s="1100"/>
      <c r="J56" s="1100"/>
      <c r="K56" s="1100"/>
      <c r="L56" s="1100"/>
      <c r="M56" s="1101">
        <v>204365435</v>
      </c>
      <c r="N56" s="1101">
        <v>0</v>
      </c>
      <c r="O56" s="1101">
        <v>0</v>
      </c>
      <c r="P56" s="1101">
        <v>0</v>
      </c>
      <c r="Q56" s="1101">
        <v>0</v>
      </c>
      <c r="R56" s="1101">
        <v>0</v>
      </c>
      <c r="S56" s="1101">
        <v>0</v>
      </c>
      <c r="T56" s="1101">
        <v>0</v>
      </c>
      <c r="U56" s="1101">
        <v>0</v>
      </c>
      <c r="V56" s="1101">
        <v>264519</v>
      </c>
      <c r="W56" s="1101">
        <v>0</v>
      </c>
      <c r="X56" s="1101">
        <v>0</v>
      </c>
      <c r="Y56" s="1101">
        <v>44433568</v>
      </c>
      <c r="Z56" s="1101">
        <v>0</v>
      </c>
      <c r="AA56" s="1101">
        <v>0</v>
      </c>
      <c r="AB56" s="1101">
        <v>0</v>
      </c>
      <c r="AC56" s="1101">
        <v>0</v>
      </c>
      <c r="AD56" s="1101">
        <v>0</v>
      </c>
      <c r="AE56" s="1101">
        <v>0</v>
      </c>
      <c r="AF56" s="1101">
        <v>0</v>
      </c>
      <c r="AG56" s="1101">
        <v>0</v>
      </c>
      <c r="AH56" s="1101">
        <v>0</v>
      </c>
      <c r="AI56" s="1101">
        <v>0</v>
      </c>
      <c r="AJ56" s="1101">
        <v>0</v>
      </c>
      <c r="AK56" s="1101">
        <v>0</v>
      </c>
      <c r="AL56" s="1101">
        <v>0</v>
      </c>
      <c r="AM56" s="1101">
        <v>0</v>
      </c>
      <c r="AN56" s="1101">
        <v>54514004</v>
      </c>
      <c r="AO56" s="1101">
        <v>0</v>
      </c>
      <c r="AP56" s="1101">
        <v>0</v>
      </c>
      <c r="AQ56" s="1101">
        <v>0</v>
      </c>
      <c r="AR56" s="1101">
        <v>0</v>
      </c>
      <c r="AS56" s="1101">
        <v>0</v>
      </c>
      <c r="AT56" s="1101">
        <v>0</v>
      </c>
      <c r="AU56" s="1101">
        <v>0</v>
      </c>
      <c r="AV56" s="1101">
        <v>0</v>
      </c>
      <c r="AW56" s="1101">
        <v>0</v>
      </c>
      <c r="AX56" s="1101">
        <v>0</v>
      </c>
      <c r="AY56" s="1101">
        <v>0</v>
      </c>
      <c r="AZ56" s="1101">
        <v>0</v>
      </c>
      <c r="BA56" s="1101">
        <v>0</v>
      </c>
      <c r="BB56" s="1101">
        <v>0</v>
      </c>
      <c r="BC56" s="1101">
        <v>0</v>
      </c>
      <c r="BD56" s="1101">
        <v>0</v>
      </c>
      <c r="BE56" s="1101">
        <v>0</v>
      </c>
      <c r="BF56" s="1101">
        <v>-25020117</v>
      </c>
      <c r="BG56" s="1101">
        <v>-6174155</v>
      </c>
      <c r="BH56" s="1101">
        <v>0</v>
      </c>
      <c r="BI56" s="1101">
        <v>0</v>
      </c>
      <c r="BJ56" s="1101">
        <v>0</v>
      </c>
      <c r="BK56" s="1101">
        <v>0</v>
      </c>
      <c r="BL56" s="1101">
        <v>0</v>
      </c>
      <c r="BM56" s="1101">
        <v>0</v>
      </c>
      <c r="BN56" s="1101">
        <v>0</v>
      </c>
      <c r="BO56" s="1101">
        <v>0</v>
      </c>
      <c r="BP56" s="1101">
        <v>0</v>
      </c>
      <c r="BQ56" s="1101">
        <v>0</v>
      </c>
      <c r="BR56" s="1101">
        <v>0</v>
      </c>
      <c r="BS56" s="1101">
        <v>0</v>
      </c>
      <c r="BT56" s="1101">
        <v>0</v>
      </c>
      <c r="BU56" s="1101">
        <v>0</v>
      </c>
      <c r="BV56" s="1101">
        <v>0</v>
      </c>
      <c r="BW56" s="1101">
        <v>0</v>
      </c>
      <c r="BX56" s="1101">
        <v>0</v>
      </c>
      <c r="BY56" s="1101">
        <v>0</v>
      </c>
      <c r="BZ56" s="1101">
        <v>0</v>
      </c>
      <c r="CA56" s="1101">
        <v>0</v>
      </c>
      <c r="CB56" s="1101">
        <v>0</v>
      </c>
      <c r="CC56" s="1101">
        <v>0</v>
      </c>
      <c r="CD56" s="1101">
        <v>0</v>
      </c>
      <c r="CE56" s="1101">
        <v>0</v>
      </c>
      <c r="CF56" s="1101">
        <v>0</v>
      </c>
      <c r="CG56" s="1101">
        <v>0</v>
      </c>
      <c r="CH56" s="1101">
        <v>0</v>
      </c>
      <c r="CI56" s="1101">
        <v>0</v>
      </c>
      <c r="CJ56" s="1101">
        <v>0</v>
      </c>
      <c r="CK56" s="1101">
        <v>0</v>
      </c>
      <c r="CL56" s="1101">
        <v>0</v>
      </c>
      <c r="CM56" s="1101">
        <v>0</v>
      </c>
      <c r="CN56" s="1101">
        <v>0</v>
      </c>
      <c r="CO56" s="1101">
        <v>0</v>
      </c>
      <c r="CP56" s="1101">
        <v>86843827</v>
      </c>
      <c r="CQ56" s="1101">
        <v>322213411</v>
      </c>
      <c r="CR56" s="1101">
        <v>0</v>
      </c>
      <c r="CS56" s="1101">
        <v>0</v>
      </c>
      <c r="CT56" s="1101">
        <v>0</v>
      </c>
      <c r="CU56" s="1101">
        <v>0</v>
      </c>
      <c r="CV56" s="1101">
        <v>0</v>
      </c>
      <c r="CW56" s="1101">
        <v>0</v>
      </c>
      <c r="CX56" s="1101">
        <v>0</v>
      </c>
      <c r="CY56" s="1101">
        <v>0</v>
      </c>
      <c r="CZ56" s="1101">
        <v>0</v>
      </c>
      <c r="DA56" s="1101">
        <v>0</v>
      </c>
      <c r="DB56" s="1101">
        <v>0</v>
      </c>
      <c r="DC56" s="1101">
        <v>0</v>
      </c>
      <c r="DD56" s="1101">
        <v>0</v>
      </c>
      <c r="DE56" s="1101">
        <v>0</v>
      </c>
      <c r="DF56" s="1101">
        <v>0</v>
      </c>
      <c r="DG56" s="1101">
        <v>0</v>
      </c>
      <c r="DH56" s="1101">
        <v>0</v>
      </c>
      <c r="DI56" s="1101">
        <v>0</v>
      </c>
      <c r="DJ56" s="1101">
        <v>0</v>
      </c>
      <c r="DK56" s="1101">
        <v>0</v>
      </c>
      <c r="DL56" s="1101">
        <v>0</v>
      </c>
      <c r="DM56" s="1101">
        <v>0</v>
      </c>
      <c r="DN56" s="1101">
        <v>0</v>
      </c>
      <c r="DO56" s="1101">
        <v>0</v>
      </c>
      <c r="DP56" s="1101">
        <v>0</v>
      </c>
      <c r="DQ56" s="1101">
        <v>-2520916</v>
      </c>
      <c r="DR56" s="1101">
        <v>-8475373</v>
      </c>
      <c r="DS56" s="1101">
        <v>0</v>
      </c>
      <c r="DT56" s="1101">
        <v>0</v>
      </c>
      <c r="DU56" s="1101">
        <v>0</v>
      </c>
      <c r="DV56" s="1101">
        <v>0</v>
      </c>
      <c r="DW56" s="1101">
        <v>0</v>
      </c>
      <c r="DX56" s="1101">
        <v>0</v>
      </c>
      <c r="DY56" s="1101">
        <v>0</v>
      </c>
      <c r="DZ56" s="1101">
        <v>0</v>
      </c>
      <c r="EA56" s="1101">
        <v>0</v>
      </c>
      <c r="EB56" s="1101">
        <v>0</v>
      </c>
      <c r="EC56" s="1101">
        <v>0</v>
      </c>
      <c r="ED56" s="1101">
        <v>0</v>
      </c>
      <c r="EE56" s="1101">
        <v>0</v>
      </c>
      <c r="EF56" s="1101">
        <v>0</v>
      </c>
      <c r="EG56" s="1101">
        <v>0</v>
      </c>
      <c r="EH56" s="1101">
        <v>0</v>
      </c>
      <c r="EI56" s="1101">
        <v>-22639776</v>
      </c>
      <c r="EJ56" s="1101">
        <v>-84729531</v>
      </c>
      <c r="EK56" s="1101">
        <v>0</v>
      </c>
      <c r="EL56" s="1101">
        <v>0</v>
      </c>
      <c r="EM56" s="1101">
        <v>0</v>
      </c>
      <c r="EN56" s="1101">
        <v>0</v>
      </c>
      <c r="EO56" s="1101">
        <v>0</v>
      </c>
      <c r="EP56" s="1101">
        <v>0</v>
      </c>
      <c r="EQ56" s="1101">
        <v>0</v>
      </c>
      <c r="ER56" s="1101">
        <v>-4</v>
      </c>
      <c r="ES56" s="1101">
        <v>-914</v>
      </c>
      <c r="ET56" s="1101">
        <v>-504</v>
      </c>
      <c r="EU56" s="1101">
        <v>0</v>
      </c>
      <c r="EV56" s="1101">
        <v>0</v>
      </c>
      <c r="EW56" s="1101">
        <v>0</v>
      </c>
      <c r="EX56" s="1101">
        <v>0</v>
      </c>
      <c r="EY56" s="1101">
        <v>0</v>
      </c>
      <c r="EZ56" s="1101">
        <v>0</v>
      </c>
      <c r="FA56" s="1101">
        <v>0</v>
      </c>
      <c r="FB56" s="1101">
        <v>0</v>
      </c>
      <c r="FC56" s="1101">
        <v>0</v>
      </c>
      <c r="FD56" s="1101">
        <v>0</v>
      </c>
      <c r="FE56" s="1101">
        <v>0</v>
      </c>
      <c r="FF56" s="1101">
        <v>0</v>
      </c>
      <c r="FG56" s="1101">
        <v>0</v>
      </c>
      <c r="FH56" s="1101">
        <v>0</v>
      </c>
      <c r="FI56" s="1101">
        <v>0</v>
      </c>
      <c r="FJ56" s="1101">
        <v>0</v>
      </c>
      <c r="FK56" s="1101">
        <v>0</v>
      </c>
      <c r="FL56" s="1101">
        <v>0</v>
      </c>
      <c r="FM56" s="1101">
        <v>0</v>
      </c>
      <c r="FN56" s="1101">
        <v>0</v>
      </c>
      <c r="FO56" s="1101">
        <v>0</v>
      </c>
      <c r="FP56" s="1101">
        <v>0</v>
      </c>
      <c r="FQ56" s="1101">
        <v>0</v>
      </c>
      <c r="FR56" s="1101">
        <v>0</v>
      </c>
      <c r="FS56" s="1101">
        <v>0</v>
      </c>
      <c r="FT56" s="1101">
        <v>0</v>
      </c>
      <c r="FU56" s="1101">
        <v>0</v>
      </c>
      <c r="FV56" s="1101">
        <v>0</v>
      </c>
      <c r="FW56" s="1101">
        <v>0</v>
      </c>
      <c r="FX56" s="1101">
        <v>0</v>
      </c>
      <c r="FY56" s="1101">
        <v>0</v>
      </c>
      <c r="FZ56" s="1101">
        <v>0</v>
      </c>
      <c r="GA56" s="1101">
        <v>0</v>
      </c>
      <c r="GB56" s="1101">
        <v>374365</v>
      </c>
      <c r="GC56" s="1101">
        <v>124661384</v>
      </c>
      <c r="GD56" s="1101">
        <v>30007470</v>
      </c>
      <c r="GE56" s="1101">
        <v>0</v>
      </c>
      <c r="GF56" s="1101">
        <v>0</v>
      </c>
      <c r="GG56" s="1101">
        <v>0</v>
      </c>
      <c r="GH56" s="1101">
        <v>0</v>
      </c>
      <c r="GI56" s="1101">
        <v>0</v>
      </c>
      <c r="GJ56" s="1101">
        <v>0</v>
      </c>
      <c r="GK56" s="1101">
        <v>0</v>
      </c>
      <c r="GL56" s="1101">
        <v>0</v>
      </c>
      <c r="GM56" s="1101">
        <v>0</v>
      </c>
      <c r="GN56" s="1101">
        <v>0</v>
      </c>
      <c r="GO56" s="1101">
        <v>0</v>
      </c>
      <c r="GP56" s="1101">
        <v>0</v>
      </c>
      <c r="GQ56" s="1101">
        <v>0</v>
      </c>
      <c r="GR56" s="1101">
        <v>0</v>
      </c>
      <c r="GS56" s="1101">
        <v>0</v>
      </c>
      <c r="GT56" s="1101">
        <v>0</v>
      </c>
      <c r="GU56" s="1101">
        <v>0</v>
      </c>
      <c r="GV56" s="1101">
        <v>0</v>
      </c>
      <c r="GW56" s="1101">
        <v>0</v>
      </c>
      <c r="GX56" s="1101">
        <v>0</v>
      </c>
      <c r="GY56" s="1101">
        <v>0</v>
      </c>
      <c r="GZ56" s="1101">
        <v>0</v>
      </c>
      <c r="HA56" s="1101">
        <v>0</v>
      </c>
      <c r="HB56" s="1101">
        <v>0</v>
      </c>
      <c r="HC56" s="1101">
        <v>-2821</v>
      </c>
      <c r="HD56" s="1101">
        <v>-3176447</v>
      </c>
      <c r="HE56" s="1101">
        <v>-249050</v>
      </c>
      <c r="HF56" s="1101">
        <v>0</v>
      </c>
      <c r="HG56" s="1101">
        <v>0</v>
      </c>
      <c r="HH56" s="1101">
        <v>0</v>
      </c>
      <c r="HI56" s="1101">
        <v>0</v>
      </c>
      <c r="HJ56" s="1101">
        <v>0</v>
      </c>
      <c r="HK56" s="1101">
        <v>0</v>
      </c>
      <c r="HL56" s="1101">
        <v>0</v>
      </c>
      <c r="HM56" s="1101">
        <v>0</v>
      </c>
      <c r="HN56" s="1101">
        <v>0</v>
      </c>
      <c r="HO56" s="1101">
        <v>0</v>
      </c>
      <c r="HP56" s="1101">
        <v>0</v>
      </c>
      <c r="HQ56" s="1101">
        <v>0</v>
      </c>
      <c r="HR56" s="1101">
        <v>0</v>
      </c>
      <c r="HS56" s="1101">
        <v>0</v>
      </c>
      <c r="HT56" s="1101">
        <v>0</v>
      </c>
      <c r="HU56" s="1101">
        <v>-97543</v>
      </c>
      <c r="HV56" s="1101">
        <v>-32780636</v>
      </c>
      <c r="HW56" s="1101">
        <v>-8423391</v>
      </c>
      <c r="HX56" s="1101">
        <v>0</v>
      </c>
      <c r="HY56" s="1101">
        <v>0</v>
      </c>
      <c r="HZ56" s="1101">
        <v>0</v>
      </c>
      <c r="IA56" s="1101">
        <v>0</v>
      </c>
      <c r="IB56" s="1101">
        <v>0</v>
      </c>
      <c r="IC56" s="1101">
        <v>0</v>
      </c>
      <c r="ID56" s="1101">
        <v>6273088</v>
      </c>
      <c r="IE56" s="1101">
        <v>22112</v>
      </c>
      <c r="IF56" s="1101">
        <v>0</v>
      </c>
      <c r="IG56" s="1101">
        <v>257433724</v>
      </c>
      <c r="IH56" s="1101">
        <v>71458</v>
      </c>
      <c r="II56" s="1101">
        <v>0</v>
      </c>
      <c r="IJ56" s="1101">
        <v>0</v>
      </c>
      <c r="IK56" s="1101">
        <v>0</v>
      </c>
      <c r="IL56" s="1101">
        <v>0</v>
      </c>
      <c r="IM56" s="1101">
        <v>1687756</v>
      </c>
      <c r="IN56" s="1101">
        <v>7508407</v>
      </c>
      <c r="IO56" s="1101">
        <v>0</v>
      </c>
      <c r="IP56" s="1101">
        <v>26202</v>
      </c>
      <c r="IQ56" s="1101">
        <v>42997</v>
      </c>
      <c r="IR56" s="1101">
        <v>80786262</v>
      </c>
      <c r="IS56" s="1101">
        <v>276921</v>
      </c>
      <c r="IT56" s="1101">
        <v>158</v>
      </c>
      <c r="IU56" s="1101">
        <v>0</v>
      </c>
      <c r="IV56" s="1101">
        <v>0</v>
      </c>
      <c r="IW56" s="1101">
        <v>11544843</v>
      </c>
      <c r="IX56" s="1101">
        <v>0</v>
      </c>
      <c r="IY56" s="1101">
        <v>89835</v>
      </c>
      <c r="IZ56" s="1101">
        <v>0</v>
      </c>
      <c r="JA56" s="1101">
        <v>0</v>
      </c>
      <c r="JB56" s="1101">
        <v>0</v>
      </c>
      <c r="JC56" s="1101">
        <v>0</v>
      </c>
      <c r="JD56" s="1101">
        <v>0</v>
      </c>
      <c r="JE56" s="1101">
        <v>-6274088</v>
      </c>
      <c r="JF56" s="1101">
        <v>1235995</v>
      </c>
      <c r="JG56" s="1101">
        <v>0</v>
      </c>
      <c r="JH56" s="1101">
        <v>82236427</v>
      </c>
      <c r="JI56" s="1101">
        <v>0</v>
      </c>
      <c r="JJ56" s="1101">
        <v>24349</v>
      </c>
      <c r="JK56" s="1101">
        <v>0</v>
      </c>
      <c r="JL56" s="1101">
        <v>0</v>
      </c>
      <c r="JM56" s="1101">
        <v>0</v>
      </c>
      <c r="JN56" s="1101">
        <v>1680</v>
      </c>
      <c r="JO56" s="1101">
        <v>90969900</v>
      </c>
      <c r="JP56" s="1101">
        <v>0</v>
      </c>
      <c r="JQ56" s="1101">
        <v>257581</v>
      </c>
      <c r="JR56" s="1101">
        <v>0</v>
      </c>
      <c r="JS56" s="1101">
        <v>0</v>
      </c>
      <c r="JT56" s="1101">
        <v>0</v>
      </c>
      <c r="JU56" s="1101">
        <v>0</v>
      </c>
      <c r="JV56" s="1101">
        <v>0</v>
      </c>
      <c r="JW56" s="1101">
        <v>0</v>
      </c>
      <c r="JX56" s="1101">
        <v>0</v>
      </c>
      <c r="JY56" s="1101">
        <v>47444235</v>
      </c>
      <c r="JZ56" s="1101">
        <v>0</v>
      </c>
      <c r="KA56" s="1101">
        <v>0</v>
      </c>
      <c r="KB56" s="1101">
        <v>0</v>
      </c>
      <c r="KC56" s="1101">
        <v>0</v>
      </c>
      <c r="KD56" s="1101">
        <v>0</v>
      </c>
      <c r="KE56" s="1101">
        <v>0</v>
      </c>
      <c r="KF56" s="1101">
        <v>0</v>
      </c>
      <c r="KG56" s="1101">
        <v>57624149</v>
      </c>
      <c r="KH56" s="1101">
        <v>34212062</v>
      </c>
      <c r="KI56" s="1101">
        <v>19481148</v>
      </c>
      <c r="KJ56" s="1101">
        <v>0</v>
      </c>
      <c r="KK56" s="1101">
        <v>0</v>
      </c>
      <c r="KL56" s="1101">
        <v>0</v>
      </c>
      <c r="KM56" s="1101">
        <v>0</v>
      </c>
      <c r="KN56" s="1101">
        <v>0</v>
      </c>
      <c r="KO56" s="1101">
        <v>162229762</v>
      </c>
      <c r="KP56" s="1101">
        <v>95225094</v>
      </c>
      <c r="KQ56" s="1101">
        <v>0</v>
      </c>
      <c r="KR56" s="1101">
        <v>4854369</v>
      </c>
      <c r="KS56" s="1101">
        <v>0</v>
      </c>
      <c r="KT56" s="1101">
        <v>0</v>
      </c>
      <c r="KU56" s="1101">
        <v>0</v>
      </c>
      <c r="KV56" s="1101">
        <v>0</v>
      </c>
      <c r="KW56" s="1101">
        <v>0</v>
      </c>
      <c r="KX56" s="1101">
        <v>17911797</v>
      </c>
      <c r="KY56" s="1101">
        <v>46191424</v>
      </c>
      <c r="KZ56" s="1101">
        <v>0</v>
      </c>
      <c r="LA56" s="1101">
        <v>105312118</v>
      </c>
      <c r="LB56" s="1101">
        <v>0</v>
      </c>
      <c r="LC56" s="1101">
        <v>0</v>
      </c>
      <c r="LD56" s="1101">
        <v>0</v>
      </c>
      <c r="LE56" s="1101">
        <v>0</v>
      </c>
      <c r="LF56" s="1101">
        <v>0</v>
      </c>
      <c r="LG56" s="1101">
        <v>2871893</v>
      </c>
      <c r="LH56" s="1101">
        <v>12302619</v>
      </c>
      <c r="LI56" s="1101">
        <v>0</v>
      </c>
      <c r="LJ56" s="1101">
        <v>20772349</v>
      </c>
      <c r="LK56" s="1101">
        <v>0</v>
      </c>
      <c r="LL56" s="1101">
        <v>0</v>
      </c>
      <c r="LM56" s="1101">
        <v>0</v>
      </c>
      <c r="LN56" s="1101">
        <v>0</v>
      </c>
      <c r="LO56" s="1101">
        <v>0</v>
      </c>
      <c r="LP56" s="1101">
        <v>48274350</v>
      </c>
      <c r="LQ56" s="1101">
        <v>98680979</v>
      </c>
      <c r="LR56" s="1101">
        <v>0</v>
      </c>
      <c r="LS56" s="1101">
        <v>37564405</v>
      </c>
      <c r="LT56" s="1101">
        <v>0</v>
      </c>
      <c r="LU56" s="1101">
        <v>0</v>
      </c>
      <c r="LV56" s="1101">
        <v>0</v>
      </c>
      <c r="LW56" s="1101">
        <v>0</v>
      </c>
      <c r="LX56" s="1101">
        <v>0</v>
      </c>
      <c r="LY56" s="1101">
        <v>7172274</v>
      </c>
      <c r="LZ56" s="1101">
        <v>20926775</v>
      </c>
      <c r="MA56" s="1101">
        <v>0</v>
      </c>
      <c r="MB56" s="1101">
        <v>10092959</v>
      </c>
      <c r="MC56" s="1101">
        <v>0</v>
      </c>
      <c r="MD56" s="1101">
        <v>0</v>
      </c>
      <c r="ME56" s="1101">
        <v>0</v>
      </c>
      <c r="MF56" s="1101">
        <v>0</v>
      </c>
      <c r="MG56" s="1101">
        <v>0</v>
      </c>
      <c r="MH56" s="1101">
        <v>11281170</v>
      </c>
      <c r="MI56" s="1101">
        <v>73557160</v>
      </c>
      <c r="MJ56" s="1101">
        <v>0</v>
      </c>
      <c r="MK56" s="1101">
        <v>779991</v>
      </c>
      <c r="ML56" s="1101">
        <v>0</v>
      </c>
      <c r="MM56" s="1101">
        <v>0</v>
      </c>
      <c r="MN56" s="1101">
        <v>0</v>
      </c>
      <c r="MO56" s="1101">
        <v>0</v>
      </c>
      <c r="MP56" s="1101">
        <v>0</v>
      </c>
      <c r="MQ56" s="1101">
        <v>20082479</v>
      </c>
      <c r="MR56" s="1101">
        <v>26962386</v>
      </c>
      <c r="MS56" s="1101">
        <v>0</v>
      </c>
      <c r="MT56" s="1101">
        <v>12313097</v>
      </c>
      <c r="MU56" s="1101">
        <v>0</v>
      </c>
      <c r="MV56" s="1101">
        <v>0</v>
      </c>
      <c r="MW56" s="1101">
        <v>0</v>
      </c>
      <c r="MX56" s="1101">
        <v>0</v>
      </c>
      <c r="MY56" s="1101">
        <v>0</v>
      </c>
      <c r="MZ56" s="1101">
        <v>-3113055</v>
      </c>
      <c r="NA56" s="1101">
        <v>28418559</v>
      </c>
      <c r="NB56" s="1101">
        <v>0</v>
      </c>
      <c r="NC56" s="1101">
        <v>53425218</v>
      </c>
      <c r="ND56" s="1101">
        <v>0</v>
      </c>
      <c r="NE56" s="1101">
        <v>0</v>
      </c>
      <c r="NF56" s="1101">
        <v>0</v>
      </c>
      <c r="NG56" s="1101">
        <v>0</v>
      </c>
      <c r="NH56" s="1101">
        <v>0</v>
      </c>
      <c r="NI56" s="1101">
        <v>0</v>
      </c>
      <c r="NJ56" s="1101">
        <v>0</v>
      </c>
      <c r="NK56" s="1101">
        <v>99097370</v>
      </c>
      <c r="NL56" s="1101">
        <v>34979424</v>
      </c>
      <c r="NM56" s="1101">
        <v>0</v>
      </c>
      <c r="NN56" s="1101">
        <v>0</v>
      </c>
      <c r="NO56" s="1101">
        <v>0</v>
      </c>
      <c r="NP56" s="1101">
        <v>0</v>
      </c>
      <c r="NQ56" s="1101">
        <v>0</v>
      </c>
      <c r="NR56" s="1101">
        <v>6100784</v>
      </c>
      <c r="NS56" s="1101">
        <v>3664448</v>
      </c>
      <c r="NT56" s="1101">
        <v>183264</v>
      </c>
      <c r="NU56" s="1101">
        <v>3576800</v>
      </c>
      <c r="NV56" s="1101">
        <v>0</v>
      </c>
      <c r="NW56" s="1101">
        <v>0</v>
      </c>
      <c r="NX56" s="1101">
        <v>0</v>
      </c>
      <c r="NY56" s="1101">
        <v>0</v>
      </c>
      <c r="NZ56" s="1101">
        <v>0</v>
      </c>
      <c r="OA56" s="1101">
        <v>4007816</v>
      </c>
      <c r="OB56" s="1101">
        <v>0</v>
      </c>
      <c r="OC56" s="1101">
        <v>68030</v>
      </c>
      <c r="OD56" s="1101">
        <v>0</v>
      </c>
      <c r="OE56" s="1101">
        <v>67713</v>
      </c>
      <c r="OF56" s="1101">
        <v>21805891</v>
      </c>
      <c r="OG56" s="1101">
        <v>118335844</v>
      </c>
      <c r="OH56" s="1101">
        <v>0</v>
      </c>
      <c r="OI56" s="1101">
        <v>0</v>
      </c>
      <c r="OJ56" s="1101">
        <v>0</v>
      </c>
      <c r="OK56" s="1101">
        <v>0</v>
      </c>
      <c r="OL56" s="1101">
        <v>0</v>
      </c>
      <c r="OM56" s="1101">
        <v>0</v>
      </c>
      <c r="ON56" s="1101">
        <v>0</v>
      </c>
      <c r="OO56" s="1101">
        <v>0</v>
      </c>
      <c r="OP56" s="1101">
        <v>143289196</v>
      </c>
      <c r="OQ56" s="1101">
        <v>0</v>
      </c>
      <c r="OR56" s="1101">
        <v>0</v>
      </c>
      <c r="OS56" s="1101">
        <v>-67832770</v>
      </c>
      <c r="OT56" s="1101">
        <v>27804237</v>
      </c>
      <c r="OU56" s="1101">
        <v>-6679305</v>
      </c>
      <c r="OV56" s="1101">
        <v>-107070855</v>
      </c>
      <c r="OW56" s="1101">
        <v>0</v>
      </c>
      <c r="OX56" s="1101">
        <v>-2015890</v>
      </c>
      <c r="OY56" s="1101">
        <v>70803301</v>
      </c>
      <c r="OZ56" s="1101">
        <v>143940333</v>
      </c>
      <c r="PA56" s="1101">
        <v>168626923</v>
      </c>
      <c r="PB56" s="1101">
        <v>0</v>
      </c>
      <c r="PC56" s="1101">
        <v>0</v>
      </c>
      <c r="PD56" s="1101">
        <v>0</v>
      </c>
      <c r="PE56" s="1101">
        <v>0</v>
      </c>
      <c r="PF56" s="1101">
        <v>0</v>
      </c>
      <c r="PG56" s="1101">
        <v>0</v>
      </c>
      <c r="PH56" s="1101">
        <v>48101000</v>
      </c>
      <c r="PI56" s="1101">
        <v>0</v>
      </c>
      <c r="PJ56" s="1101">
        <v>0</v>
      </c>
      <c r="PK56" s="1101">
        <v>0</v>
      </c>
      <c r="PL56" s="1101">
        <v>0</v>
      </c>
      <c r="PM56" s="1101">
        <v>0</v>
      </c>
      <c r="PN56" s="1101">
        <v>0</v>
      </c>
      <c r="PO56" s="1101">
        <v>0</v>
      </c>
      <c r="PP56" s="1101">
        <v>0</v>
      </c>
      <c r="PQ56" s="1101">
        <v>0</v>
      </c>
      <c r="PR56" s="1101">
        <v>-145875990</v>
      </c>
      <c r="PS56" s="1101">
        <v>0</v>
      </c>
      <c r="PT56" s="1101">
        <v>0</v>
      </c>
      <c r="PU56" s="1101">
        <v>-4254641</v>
      </c>
      <c r="PV56" s="1101">
        <v>0</v>
      </c>
      <c r="PW56" s="1101">
        <v>0</v>
      </c>
      <c r="PX56" s="1101">
        <v>0</v>
      </c>
      <c r="PY56" s="1101">
        <v>121230358</v>
      </c>
      <c r="PZ56" s="1101">
        <v>0</v>
      </c>
      <c r="QA56" s="1101">
        <v>0</v>
      </c>
      <c r="QB56" s="1101">
        <v>0</v>
      </c>
      <c r="QC56" s="1101">
        <v>0</v>
      </c>
      <c r="QD56" s="1101">
        <v>0</v>
      </c>
      <c r="QE56" s="1101">
        <v>0</v>
      </c>
      <c r="QF56" s="1101">
        <v>0</v>
      </c>
      <c r="QG56" s="1101">
        <v>0</v>
      </c>
      <c r="QH56" s="1101">
        <v>29671553</v>
      </c>
      <c r="QI56" s="1101">
        <v>0</v>
      </c>
      <c r="QJ56" s="1101">
        <v>0</v>
      </c>
      <c r="QK56" s="1101">
        <v>0</v>
      </c>
      <c r="QL56" s="1101">
        <v>0</v>
      </c>
      <c r="QM56" s="1101">
        <v>0</v>
      </c>
      <c r="QN56" s="1101">
        <v>0</v>
      </c>
      <c r="QO56" s="1101">
        <v>0</v>
      </c>
      <c r="QP56" s="1101">
        <v>0</v>
      </c>
      <c r="QQ56" s="1101">
        <v>0</v>
      </c>
      <c r="QR56" s="1101">
        <v>-48101000</v>
      </c>
      <c r="QS56" s="1101">
        <v>0</v>
      </c>
      <c r="QT56" s="1101">
        <v>0</v>
      </c>
      <c r="QU56" s="1101">
        <v>0</v>
      </c>
      <c r="QV56" s="1101">
        <v>0</v>
      </c>
      <c r="QW56" s="1101">
        <v>0</v>
      </c>
      <c r="QX56" s="1101">
        <v>0</v>
      </c>
      <c r="QY56" s="1101">
        <v>0</v>
      </c>
      <c r="QZ56" s="1101">
        <v>0</v>
      </c>
      <c r="RA56" s="1101">
        <v>0</v>
      </c>
      <c r="RB56" s="1101">
        <v>0</v>
      </c>
      <c r="RC56" s="1101">
        <v>-91094771</v>
      </c>
      <c r="RD56" s="1101">
        <v>0</v>
      </c>
      <c r="RE56" s="1101">
        <v>0</v>
      </c>
      <c r="RF56" s="1101">
        <v>0</v>
      </c>
      <c r="RG56" s="1101">
        <v>0</v>
      </c>
      <c r="RH56" s="1101">
        <v>0</v>
      </c>
      <c r="RI56" s="1101">
        <v>0</v>
      </c>
      <c r="RJ56" s="1101">
        <v>0</v>
      </c>
      <c r="RK56" s="1101">
        <v>0</v>
      </c>
      <c r="RL56" s="1101">
        <v>0</v>
      </c>
      <c r="RM56" s="1101">
        <v>0</v>
      </c>
      <c r="RN56" s="1101">
        <v>0</v>
      </c>
      <c r="RO56" s="1101">
        <v>0</v>
      </c>
      <c r="RP56" s="1101">
        <v>0</v>
      </c>
      <c r="RQ56" s="1101">
        <v>0</v>
      </c>
      <c r="RR56" s="1101">
        <v>0</v>
      </c>
      <c r="RS56" s="1101">
        <v>0</v>
      </c>
      <c r="RT56" s="1101">
        <v>0</v>
      </c>
      <c r="RU56" s="1101">
        <v>0</v>
      </c>
      <c r="RV56" s="1101">
        <v>0</v>
      </c>
      <c r="RW56" s="1101">
        <v>0</v>
      </c>
      <c r="RX56" s="1101">
        <v>0</v>
      </c>
      <c r="RY56" s="1101">
        <v>0</v>
      </c>
      <c r="RZ56" s="1101">
        <v>0</v>
      </c>
      <c r="SA56" s="1101">
        <v>0</v>
      </c>
      <c r="SB56" s="1101">
        <v>0</v>
      </c>
      <c r="SC56" s="1101">
        <v>0</v>
      </c>
      <c r="SD56" s="1101">
        <v>121400</v>
      </c>
      <c r="SE56" s="1101">
        <v>6100784</v>
      </c>
      <c r="SF56" s="1101">
        <v>3664448</v>
      </c>
      <c r="SG56" s="1101">
        <v>183264</v>
      </c>
      <c r="SH56" s="1101">
        <v>3576800</v>
      </c>
      <c r="SI56" s="1101">
        <v>0</v>
      </c>
      <c r="SJ56" s="1101">
        <v>0</v>
      </c>
      <c r="SK56" s="1101">
        <v>-143289196</v>
      </c>
      <c r="SL56" s="1102">
        <v>0</v>
      </c>
      <c r="SM56" s="1101">
        <v>0</v>
      </c>
      <c r="SN56" s="1101">
        <v>342481323</v>
      </c>
      <c r="SO56" s="1102"/>
      <c r="SP56" s="1103"/>
      <c r="SQ56" s="1104">
        <v>564100457</v>
      </c>
      <c r="SR56" s="1104">
        <v>-163095484</v>
      </c>
      <c r="SS56" s="1105">
        <v>143828</v>
      </c>
      <c r="ST56" s="1106">
        <v>10173606</v>
      </c>
      <c r="SU56" s="1106">
        <v>-263669</v>
      </c>
      <c r="SV56" s="1106">
        <v>2793216</v>
      </c>
      <c r="SW56" s="1106">
        <v>21097</v>
      </c>
      <c r="SX56" s="1106">
        <v>285334</v>
      </c>
      <c r="SY56" s="1106">
        <v>188620</v>
      </c>
      <c r="SZ56" s="1106">
        <v>0</v>
      </c>
      <c r="TA56" s="1106">
        <v>183264</v>
      </c>
      <c r="TB56" s="1106">
        <v>311761</v>
      </c>
      <c r="TC56" s="1105">
        <v>0</v>
      </c>
      <c r="TD56" s="1106">
        <v>0</v>
      </c>
      <c r="TE56" s="1106">
        <v>0</v>
      </c>
      <c r="TF56" s="1106">
        <v>0</v>
      </c>
      <c r="TG56" s="1106">
        <v>0</v>
      </c>
      <c r="TH56" s="1106">
        <v>0</v>
      </c>
      <c r="TI56" s="1106">
        <v>0</v>
      </c>
      <c r="TJ56" s="1106">
        <v>0</v>
      </c>
      <c r="TK56" s="1105">
        <v>0</v>
      </c>
      <c r="TL56" s="1106">
        <v>120392</v>
      </c>
      <c r="TM56" s="1106">
        <v>0</v>
      </c>
      <c r="TN56" s="1106">
        <v>0</v>
      </c>
      <c r="TO56" s="1106">
        <v>0</v>
      </c>
      <c r="TP56" s="1106">
        <v>0</v>
      </c>
      <c r="TQ56" s="1106">
        <v>0</v>
      </c>
      <c r="TR56" s="1106">
        <v>0</v>
      </c>
      <c r="TS56" s="1105">
        <v>262309225</v>
      </c>
      <c r="TT56" s="1106">
        <v>169415339</v>
      </c>
      <c r="TU56" s="1106">
        <v>35946861</v>
      </c>
      <c r="TV56" s="1106">
        <v>184519734</v>
      </c>
      <c r="TW56" s="1106">
        <v>38192008</v>
      </c>
      <c r="TX56" s="1106">
        <v>85618321</v>
      </c>
      <c r="TY56" s="1106">
        <v>59357962</v>
      </c>
      <c r="TZ56" s="1107">
        <v>78730722</v>
      </c>
      <c r="UA56" s="1107">
        <v>134076794</v>
      </c>
      <c r="UB56" s="1105">
        <v>464672324</v>
      </c>
      <c r="UC56" s="1108">
        <v>116975717</v>
      </c>
      <c r="UD56" s="1108"/>
      <c r="UE56" s="1103"/>
      <c r="UF56" s="1109" t="s">
        <v>2438</v>
      </c>
      <c r="UG56" s="1110" t="s">
        <v>2439</v>
      </c>
      <c r="UH56" s="1110" t="s">
        <v>2440</v>
      </c>
    </row>
    <row r="57" spans="1:554" s="776" customFormat="1" ht="16.5" thickBot="1">
      <c r="A57" s="1094">
        <v>230</v>
      </c>
      <c r="B57" s="1131" t="s">
        <v>2223</v>
      </c>
      <c r="C57" s="1095" t="s">
        <v>322</v>
      </c>
      <c r="F57" s="1098">
        <v>0</v>
      </c>
      <c r="M57" s="776">
        <v>0</v>
      </c>
      <c r="N57" s="776">
        <v>0</v>
      </c>
      <c r="O57" s="776">
        <v>0</v>
      </c>
      <c r="P57" s="776">
        <v>0</v>
      </c>
      <c r="Q57" s="776">
        <v>0</v>
      </c>
      <c r="R57" s="776">
        <v>0</v>
      </c>
      <c r="S57" s="776">
        <v>0</v>
      </c>
      <c r="T57" s="776">
        <v>0</v>
      </c>
      <c r="U57" s="776">
        <v>0</v>
      </c>
      <c r="V57" s="776">
        <v>0</v>
      </c>
      <c r="W57" s="776">
        <v>0</v>
      </c>
      <c r="X57" s="776">
        <v>0</v>
      </c>
      <c r="Y57" s="776">
        <v>0</v>
      </c>
      <c r="Z57" s="776">
        <v>0</v>
      </c>
      <c r="AA57" s="776">
        <v>0</v>
      </c>
      <c r="AB57" s="776">
        <v>0</v>
      </c>
      <c r="AC57" s="776">
        <v>0</v>
      </c>
      <c r="AD57" s="776">
        <v>0</v>
      </c>
      <c r="AE57" s="776">
        <v>0</v>
      </c>
      <c r="AF57" s="776">
        <v>0</v>
      </c>
      <c r="AG57" s="776">
        <v>0</v>
      </c>
      <c r="AH57" s="776">
        <v>0</v>
      </c>
      <c r="AI57" s="776">
        <v>0</v>
      </c>
      <c r="AJ57" s="776">
        <v>0</v>
      </c>
      <c r="AK57" s="776">
        <v>0</v>
      </c>
      <c r="AL57" s="776">
        <v>0</v>
      </c>
      <c r="AM57" s="776">
        <v>0</v>
      </c>
      <c r="AN57" s="776">
        <v>0</v>
      </c>
      <c r="AO57" s="776">
        <v>0</v>
      </c>
      <c r="AP57" s="776">
        <v>0</v>
      </c>
      <c r="AQ57" s="776">
        <v>0</v>
      </c>
    </row>
    <row r="58" spans="1:554" s="776" customFormat="1" ht="15.75" thickBot="1">
      <c r="A58" s="1094"/>
      <c r="B58" s="1094"/>
      <c r="C58" s="1527"/>
      <c r="F58" s="1098"/>
      <c r="M58" s="1449"/>
      <c r="V58" s="1449"/>
      <c r="AE58" s="1449"/>
      <c r="AN58" s="1449"/>
    </row>
    <row r="59" spans="1:554" ht="13.5" thickBot="1">
      <c r="F59" s="964"/>
    </row>
    <row r="60" spans="1:554" s="776" customFormat="1" ht="51" customHeight="1" thickBot="1">
      <c r="A60" s="1526">
        <v>280</v>
      </c>
      <c r="B60" s="1533" t="s">
        <v>2246</v>
      </c>
      <c r="C60" s="1527" t="s">
        <v>327</v>
      </c>
      <c r="D60" s="1096" t="s">
        <v>2398</v>
      </c>
      <c r="E60" s="1097">
        <v>3606</v>
      </c>
      <c r="F60" s="1098">
        <v>1449484770</v>
      </c>
      <c r="G60" s="1096" t="s">
        <v>2399</v>
      </c>
      <c r="H60" s="1099" t="s">
        <v>2246</v>
      </c>
      <c r="I60" s="1100"/>
      <c r="J60" s="1100"/>
      <c r="K60" s="1100"/>
      <c r="L60" s="1100"/>
      <c r="M60" s="1101">
        <v>69852319</v>
      </c>
      <c r="N60" s="1101">
        <v>0</v>
      </c>
      <c r="O60" s="1101">
        <v>0</v>
      </c>
      <c r="P60" s="1101">
        <v>0</v>
      </c>
      <c r="Q60" s="1101">
        <v>0</v>
      </c>
      <c r="R60" s="1101">
        <v>0</v>
      </c>
      <c r="S60" s="1101">
        <v>0</v>
      </c>
      <c r="T60" s="1101">
        <v>0</v>
      </c>
      <c r="U60" s="1101">
        <v>0</v>
      </c>
      <c r="V60" s="1101">
        <v>0</v>
      </c>
      <c r="W60" s="1101">
        <v>0</v>
      </c>
      <c r="X60" s="1101">
        <v>0</v>
      </c>
      <c r="Y60" s="1101">
        <v>20264665</v>
      </c>
      <c r="Z60" s="1101">
        <v>0</v>
      </c>
      <c r="AA60" s="1101">
        <v>0</v>
      </c>
      <c r="AB60" s="1101">
        <v>0</v>
      </c>
      <c r="AC60" s="1101">
        <v>0</v>
      </c>
      <c r="AD60" s="1101">
        <v>0</v>
      </c>
      <c r="AE60" s="1101">
        <v>0</v>
      </c>
      <c r="AF60" s="1101">
        <v>0</v>
      </c>
      <c r="AG60" s="1101">
        <v>0</v>
      </c>
      <c r="AH60" s="1101">
        <v>0</v>
      </c>
      <c r="AI60" s="1101">
        <v>0</v>
      </c>
      <c r="AJ60" s="1101">
        <v>0</v>
      </c>
      <c r="AK60" s="1101">
        <v>0</v>
      </c>
      <c r="AL60" s="1101">
        <v>0</v>
      </c>
      <c r="AM60" s="1101">
        <v>0</v>
      </c>
      <c r="AN60" s="1101">
        <v>18236811</v>
      </c>
      <c r="AO60" s="1101">
        <v>0</v>
      </c>
      <c r="AP60" s="1101">
        <v>0</v>
      </c>
      <c r="AQ60" s="1101">
        <v>0</v>
      </c>
      <c r="AR60" s="1101">
        <v>0</v>
      </c>
      <c r="AS60" s="1101">
        <v>0</v>
      </c>
      <c r="AT60" s="1101">
        <v>0</v>
      </c>
      <c r="AU60" s="1101">
        <v>0</v>
      </c>
      <c r="AV60" s="1101">
        <v>0</v>
      </c>
      <c r="AW60" s="1101">
        <v>0</v>
      </c>
      <c r="AX60" s="1101">
        <v>0</v>
      </c>
      <c r="AY60" s="1101">
        <v>0</v>
      </c>
      <c r="AZ60" s="1101">
        <v>0</v>
      </c>
      <c r="BA60" s="1101">
        <v>0</v>
      </c>
      <c r="BB60" s="1101">
        <v>0</v>
      </c>
      <c r="BC60" s="1101">
        <v>0</v>
      </c>
      <c r="BD60" s="1101">
        <v>0</v>
      </c>
      <c r="BE60" s="1101">
        <v>0</v>
      </c>
      <c r="BF60" s="1101">
        <v>0</v>
      </c>
      <c r="BG60" s="1101">
        <v>0</v>
      </c>
      <c r="BH60" s="1101">
        <v>0</v>
      </c>
      <c r="BI60" s="1101">
        <v>0</v>
      </c>
      <c r="BJ60" s="1101">
        <v>0</v>
      </c>
      <c r="BK60" s="1101">
        <v>0</v>
      </c>
      <c r="BL60" s="1101">
        <v>0</v>
      </c>
      <c r="BM60" s="1101">
        <v>0</v>
      </c>
      <c r="BN60" s="1101">
        <v>0</v>
      </c>
      <c r="BO60" s="1101">
        <v>0</v>
      </c>
      <c r="BP60" s="1101">
        <v>0</v>
      </c>
      <c r="BQ60" s="1101">
        <v>0</v>
      </c>
      <c r="BR60" s="1101">
        <v>0</v>
      </c>
      <c r="BS60" s="1101">
        <v>0</v>
      </c>
      <c r="BT60" s="1101">
        <v>0</v>
      </c>
      <c r="BU60" s="1101">
        <v>0</v>
      </c>
      <c r="BV60" s="1101">
        <v>0</v>
      </c>
      <c r="BW60" s="1101">
        <v>0</v>
      </c>
      <c r="BX60" s="1101">
        <v>0</v>
      </c>
      <c r="BY60" s="1101">
        <v>0</v>
      </c>
      <c r="BZ60" s="1101">
        <v>0</v>
      </c>
      <c r="CA60" s="1101">
        <v>0</v>
      </c>
      <c r="CB60" s="1101">
        <v>0</v>
      </c>
      <c r="CC60" s="1101">
        <v>0</v>
      </c>
      <c r="CD60" s="1101">
        <v>0</v>
      </c>
      <c r="CE60" s="1101">
        <v>0</v>
      </c>
      <c r="CF60" s="1101">
        <v>0</v>
      </c>
      <c r="CG60" s="1101">
        <v>0</v>
      </c>
      <c r="CH60" s="1101">
        <v>0</v>
      </c>
      <c r="CI60" s="1101">
        <v>0</v>
      </c>
      <c r="CJ60" s="1101">
        <v>0</v>
      </c>
      <c r="CK60" s="1101">
        <v>0</v>
      </c>
      <c r="CL60" s="1101">
        <v>0</v>
      </c>
      <c r="CM60" s="1101">
        <v>0</v>
      </c>
      <c r="CN60" s="1101">
        <v>0</v>
      </c>
      <c r="CO60" s="1101">
        <v>0</v>
      </c>
      <c r="CP60" s="1101">
        <v>39045930</v>
      </c>
      <c r="CQ60" s="1101">
        <v>112188056</v>
      </c>
      <c r="CR60" s="1101">
        <v>0</v>
      </c>
      <c r="CS60" s="1101">
        <v>0</v>
      </c>
      <c r="CT60" s="1101">
        <v>0</v>
      </c>
      <c r="CU60" s="1101">
        <v>0</v>
      </c>
      <c r="CV60" s="1101">
        <v>0</v>
      </c>
      <c r="CW60" s="1101">
        <v>0</v>
      </c>
      <c r="CX60" s="1101">
        <v>0</v>
      </c>
      <c r="CY60" s="1101">
        <v>-5049720</v>
      </c>
      <c r="CZ60" s="1101">
        <v>-70060</v>
      </c>
      <c r="DA60" s="1101">
        <v>0</v>
      </c>
      <c r="DB60" s="1101">
        <v>0</v>
      </c>
      <c r="DC60" s="1101">
        <v>0</v>
      </c>
      <c r="DD60" s="1101">
        <v>0</v>
      </c>
      <c r="DE60" s="1101">
        <v>0</v>
      </c>
      <c r="DF60" s="1101">
        <v>0</v>
      </c>
      <c r="DG60" s="1101">
        <v>0</v>
      </c>
      <c r="DH60" s="1101">
        <v>0</v>
      </c>
      <c r="DI60" s="1101">
        <v>0</v>
      </c>
      <c r="DJ60" s="1101">
        <v>0</v>
      </c>
      <c r="DK60" s="1101">
        <v>0</v>
      </c>
      <c r="DL60" s="1101">
        <v>0</v>
      </c>
      <c r="DM60" s="1101">
        <v>0</v>
      </c>
      <c r="DN60" s="1101">
        <v>0</v>
      </c>
      <c r="DO60" s="1101">
        <v>0</v>
      </c>
      <c r="DP60" s="1101">
        <v>0</v>
      </c>
      <c r="DQ60" s="1101">
        <v>-3784272</v>
      </c>
      <c r="DR60" s="1101">
        <v>-6976456</v>
      </c>
      <c r="DS60" s="1101">
        <v>0</v>
      </c>
      <c r="DT60" s="1101">
        <v>0</v>
      </c>
      <c r="DU60" s="1101">
        <v>0</v>
      </c>
      <c r="DV60" s="1101">
        <v>0</v>
      </c>
      <c r="DW60" s="1101">
        <v>0</v>
      </c>
      <c r="DX60" s="1101">
        <v>0</v>
      </c>
      <c r="DY60" s="1101">
        <v>0</v>
      </c>
      <c r="DZ60" s="1101">
        <v>0</v>
      </c>
      <c r="EA60" s="1101">
        <v>0</v>
      </c>
      <c r="EB60" s="1101">
        <v>0</v>
      </c>
      <c r="EC60" s="1101">
        <v>0</v>
      </c>
      <c r="ED60" s="1101">
        <v>0</v>
      </c>
      <c r="EE60" s="1101">
        <v>0</v>
      </c>
      <c r="EF60" s="1101">
        <v>0</v>
      </c>
      <c r="EG60" s="1101">
        <v>0</v>
      </c>
      <c r="EH60" s="1101">
        <v>0</v>
      </c>
      <c r="EI60" s="1101">
        <v>0</v>
      </c>
      <c r="EJ60" s="1101">
        <v>-42289638</v>
      </c>
      <c r="EK60" s="1101">
        <v>0</v>
      </c>
      <c r="EL60" s="1101">
        <v>0</v>
      </c>
      <c r="EM60" s="1101">
        <v>0</v>
      </c>
      <c r="EN60" s="1101">
        <v>0</v>
      </c>
      <c r="EO60" s="1101">
        <v>0</v>
      </c>
      <c r="EP60" s="1101">
        <v>0</v>
      </c>
      <c r="EQ60" s="1101">
        <v>0</v>
      </c>
      <c r="ER60" s="1101">
        <v>0</v>
      </c>
      <c r="ES60" s="1101">
        <v>0</v>
      </c>
      <c r="ET60" s="1101">
        <v>0</v>
      </c>
      <c r="EU60" s="1101">
        <v>0</v>
      </c>
      <c r="EV60" s="1101">
        <v>0</v>
      </c>
      <c r="EW60" s="1101">
        <v>0</v>
      </c>
      <c r="EX60" s="1101">
        <v>0</v>
      </c>
      <c r="EY60" s="1101">
        <v>0</v>
      </c>
      <c r="EZ60" s="1101">
        <v>0</v>
      </c>
      <c r="FA60" s="1101">
        <v>0</v>
      </c>
      <c r="FB60" s="1101">
        <v>0</v>
      </c>
      <c r="FC60" s="1101">
        <v>0</v>
      </c>
      <c r="FD60" s="1101">
        <v>0</v>
      </c>
      <c r="FE60" s="1101">
        <v>0</v>
      </c>
      <c r="FF60" s="1101">
        <v>0</v>
      </c>
      <c r="FG60" s="1101">
        <v>0</v>
      </c>
      <c r="FH60" s="1101">
        <v>0</v>
      </c>
      <c r="FI60" s="1101">
        <v>0</v>
      </c>
      <c r="FJ60" s="1101">
        <v>0</v>
      </c>
      <c r="FK60" s="1101">
        <v>0</v>
      </c>
      <c r="FL60" s="1101">
        <v>0</v>
      </c>
      <c r="FM60" s="1101">
        <v>0</v>
      </c>
      <c r="FN60" s="1101">
        <v>0</v>
      </c>
      <c r="FO60" s="1101">
        <v>0</v>
      </c>
      <c r="FP60" s="1101">
        <v>0</v>
      </c>
      <c r="FQ60" s="1101">
        <v>0</v>
      </c>
      <c r="FR60" s="1101">
        <v>0</v>
      </c>
      <c r="FS60" s="1101">
        <v>0</v>
      </c>
      <c r="FT60" s="1101">
        <v>0</v>
      </c>
      <c r="FU60" s="1101">
        <v>0</v>
      </c>
      <c r="FV60" s="1101">
        <v>0</v>
      </c>
      <c r="FW60" s="1101">
        <v>0</v>
      </c>
      <c r="FX60" s="1101">
        <v>0</v>
      </c>
      <c r="FY60" s="1101">
        <v>0</v>
      </c>
      <c r="FZ60" s="1101">
        <v>0</v>
      </c>
      <c r="GA60" s="1101">
        <v>0</v>
      </c>
      <c r="GB60" s="1101">
        <v>457509</v>
      </c>
      <c r="GC60" s="1101">
        <v>83809733</v>
      </c>
      <c r="GD60" s="1101">
        <v>10765137</v>
      </c>
      <c r="GE60" s="1101">
        <v>0</v>
      </c>
      <c r="GF60" s="1101">
        <v>0</v>
      </c>
      <c r="GG60" s="1101">
        <v>0</v>
      </c>
      <c r="GH60" s="1101">
        <v>0</v>
      </c>
      <c r="GI60" s="1101">
        <v>0</v>
      </c>
      <c r="GJ60" s="1101">
        <v>0</v>
      </c>
      <c r="GK60" s="1101">
        <v>0</v>
      </c>
      <c r="GL60" s="1101">
        <v>0</v>
      </c>
      <c r="GM60" s="1101">
        <v>0</v>
      </c>
      <c r="GN60" s="1101">
        <v>0</v>
      </c>
      <c r="GO60" s="1101">
        <v>0</v>
      </c>
      <c r="GP60" s="1101">
        <v>0</v>
      </c>
      <c r="GQ60" s="1101">
        <v>0</v>
      </c>
      <c r="GR60" s="1101">
        <v>0</v>
      </c>
      <c r="GS60" s="1101">
        <v>0</v>
      </c>
      <c r="GT60" s="1101">
        <v>0</v>
      </c>
      <c r="GU60" s="1101">
        <v>0</v>
      </c>
      <c r="GV60" s="1101">
        <v>0</v>
      </c>
      <c r="GW60" s="1101">
        <v>0</v>
      </c>
      <c r="GX60" s="1101">
        <v>0</v>
      </c>
      <c r="GY60" s="1101">
        <v>0</v>
      </c>
      <c r="GZ60" s="1101">
        <v>0</v>
      </c>
      <c r="HA60" s="1101">
        <v>0</v>
      </c>
      <c r="HB60" s="1101">
        <v>0</v>
      </c>
      <c r="HC60" s="1101">
        <v>0</v>
      </c>
      <c r="HD60" s="1101">
        <v>-6987310</v>
      </c>
      <c r="HE60" s="1101">
        <v>-144662</v>
      </c>
      <c r="HF60" s="1101">
        <v>0</v>
      </c>
      <c r="HG60" s="1101">
        <v>0</v>
      </c>
      <c r="HH60" s="1101">
        <v>0</v>
      </c>
      <c r="HI60" s="1101">
        <v>0</v>
      </c>
      <c r="HJ60" s="1101">
        <v>0</v>
      </c>
      <c r="HK60" s="1101">
        <v>0</v>
      </c>
      <c r="HL60" s="1101">
        <v>0</v>
      </c>
      <c r="HM60" s="1101">
        <v>0</v>
      </c>
      <c r="HN60" s="1101">
        <v>0</v>
      </c>
      <c r="HO60" s="1101">
        <v>0</v>
      </c>
      <c r="HP60" s="1101">
        <v>0</v>
      </c>
      <c r="HQ60" s="1101">
        <v>0</v>
      </c>
      <c r="HR60" s="1101">
        <v>0</v>
      </c>
      <c r="HS60" s="1101">
        <v>0</v>
      </c>
      <c r="HT60" s="1101">
        <v>0</v>
      </c>
      <c r="HU60" s="1101">
        <v>0</v>
      </c>
      <c r="HV60" s="1101">
        <v>0</v>
      </c>
      <c r="HW60" s="1101">
        <v>0</v>
      </c>
      <c r="HX60" s="1101">
        <v>0</v>
      </c>
      <c r="HY60" s="1101">
        <v>0</v>
      </c>
      <c r="HZ60" s="1101">
        <v>0</v>
      </c>
      <c r="IA60" s="1101">
        <v>0</v>
      </c>
      <c r="IB60" s="1101">
        <v>0</v>
      </c>
      <c r="IC60" s="1101">
        <v>0</v>
      </c>
      <c r="ID60" s="1101">
        <v>0</v>
      </c>
      <c r="IE60" s="1101">
        <v>0</v>
      </c>
      <c r="IF60" s="1101">
        <v>0</v>
      </c>
      <c r="IG60" s="1101">
        <v>76077865</v>
      </c>
      <c r="IH60" s="1101">
        <v>0</v>
      </c>
      <c r="II60" s="1101">
        <v>0</v>
      </c>
      <c r="IJ60" s="1101">
        <v>0</v>
      </c>
      <c r="IK60" s="1101">
        <v>0</v>
      </c>
      <c r="IL60" s="1101">
        <v>0</v>
      </c>
      <c r="IM60" s="1101">
        <v>0</v>
      </c>
      <c r="IN60" s="1101">
        <v>7090794</v>
      </c>
      <c r="IO60" s="1101">
        <v>0</v>
      </c>
      <c r="IP60" s="1101">
        <v>0</v>
      </c>
      <c r="IQ60" s="1101">
        <v>0</v>
      </c>
      <c r="IR60" s="1101">
        <v>14761016</v>
      </c>
      <c r="IS60" s="1101">
        <v>841</v>
      </c>
      <c r="IT60" s="1101">
        <v>0</v>
      </c>
      <c r="IU60" s="1101">
        <v>0</v>
      </c>
      <c r="IV60" s="1101">
        <v>0</v>
      </c>
      <c r="IW60" s="1101">
        <v>0</v>
      </c>
      <c r="IX60" s="1101">
        <v>0</v>
      </c>
      <c r="IY60" s="1101">
        <v>4694576</v>
      </c>
      <c r="IZ60" s="1101">
        <v>0</v>
      </c>
      <c r="JA60" s="1101">
        <v>0</v>
      </c>
      <c r="JB60" s="1101">
        <v>0</v>
      </c>
      <c r="JC60" s="1101">
        <v>0</v>
      </c>
      <c r="JD60" s="1101">
        <v>0</v>
      </c>
      <c r="JE60" s="1101">
        <v>0</v>
      </c>
      <c r="JF60" s="1101">
        <v>85228</v>
      </c>
      <c r="JG60" s="1101">
        <v>5382</v>
      </c>
      <c r="JH60" s="1101">
        <v>3705110</v>
      </c>
      <c r="JI60" s="1101">
        <v>0</v>
      </c>
      <c r="JJ60" s="1101">
        <v>0</v>
      </c>
      <c r="JK60" s="1101">
        <v>0</v>
      </c>
      <c r="JL60" s="1101">
        <v>0</v>
      </c>
      <c r="JM60" s="1101">
        <v>0</v>
      </c>
      <c r="JN60" s="1101">
        <v>166799</v>
      </c>
      <c r="JO60" s="1101">
        <v>1935023</v>
      </c>
      <c r="JP60" s="1101">
        <v>167824</v>
      </c>
      <c r="JQ60" s="1101">
        <v>1551867</v>
      </c>
      <c r="JR60" s="1101">
        <v>0</v>
      </c>
      <c r="JS60" s="1101">
        <v>0</v>
      </c>
      <c r="JT60" s="1101">
        <v>0</v>
      </c>
      <c r="JU60" s="1101">
        <v>0</v>
      </c>
      <c r="JV60" s="1101">
        <v>0</v>
      </c>
      <c r="JW60" s="1101">
        <v>0</v>
      </c>
      <c r="JX60" s="1101">
        <v>20353</v>
      </c>
      <c r="JY60" s="1101">
        <v>31797848</v>
      </c>
      <c r="JZ60" s="1101">
        <v>596930</v>
      </c>
      <c r="KA60" s="1101">
        <v>0</v>
      </c>
      <c r="KB60" s="1101">
        <v>0</v>
      </c>
      <c r="KC60" s="1101">
        <v>0</v>
      </c>
      <c r="KD60" s="1101">
        <v>0</v>
      </c>
      <c r="KE60" s="1101">
        <v>0</v>
      </c>
      <c r="KF60" s="1101">
        <v>4023600</v>
      </c>
      <c r="KG60" s="1101">
        <v>568659</v>
      </c>
      <c r="KH60" s="1101">
        <v>1348389</v>
      </c>
      <c r="KI60" s="1101">
        <v>2618015</v>
      </c>
      <c r="KJ60" s="1101">
        <v>-65</v>
      </c>
      <c r="KK60" s="1101">
        <v>100</v>
      </c>
      <c r="KL60" s="1101">
        <v>-2665486</v>
      </c>
      <c r="KM60" s="1101">
        <v>0</v>
      </c>
      <c r="KN60" s="1101">
        <v>0</v>
      </c>
      <c r="KO60" s="1101">
        <v>62045770</v>
      </c>
      <c r="KP60" s="1101">
        <v>38805407</v>
      </c>
      <c r="KQ60" s="1101">
        <v>0</v>
      </c>
      <c r="KR60" s="1101">
        <v>9539499</v>
      </c>
      <c r="KS60" s="1101">
        <v>0</v>
      </c>
      <c r="KT60" s="1101">
        <v>0</v>
      </c>
      <c r="KU60" s="1101">
        <v>0</v>
      </c>
      <c r="KV60" s="1101">
        <v>0</v>
      </c>
      <c r="KW60" s="1101">
        <v>0</v>
      </c>
      <c r="KX60" s="1101">
        <v>1101638</v>
      </c>
      <c r="KY60" s="1101">
        <v>3124285</v>
      </c>
      <c r="KZ60" s="1101">
        <v>0</v>
      </c>
      <c r="LA60" s="1101">
        <v>6485300</v>
      </c>
      <c r="LB60" s="1101">
        <v>0</v>
      </c>
      <c r="LC60" s="1101">
        <v>0</v>
      </c>
      <c r="LD60" s="1101">
        <v>0</v>
      </c>
      <c r="LE60" s="1101">
        <v>0</v>
      </c>
      <c r="LF60" s="1101">
        <v>0</v>
      </c>
      <c r="LG60" s="1101">
        <v>5229583</v>
      </c>
      <c r="LH60" s="1101">
        <v>360592</v>
      </c>
      <c r="LI60" s="1101">
        <v>1802</v>
      </c>
      <c r="LJ60" s="1101">
        <v>10553906</v>
      </c>
      <c r="LK60" s="1101">
        <v>0</v>
      </c>
      <c r="LL60" s="1101">
        <v>0</v>
      </c>
      <c r="LM60" s="1101">
        <v>0</v>
      </c>
      <c r="LN60" s="1101">
        <v>0</v>
      </c>
      <c r="LO60" s="1101">
        <v>0</v>
      </c>
      <c r="LP60" s="1101">
        <v>9742825</v>
      </c>
      <c r="LQ60" s="1101">
        <v>34845113</v>
      </c>
      <c r="LR60" s="1101">
        <v>0</v>
      </c>
      <c r="LS60" s="1101">
        <v>4407114</v>
      </c>
      <c r="LT60" s="1101">
        <v>3870</v>
      </c>
      <c r="LU60" s="1101">
        <v>0</v>
      </c>
      <c r="LV60" s="1101">
        <v>0</v>
      </c>
      <c r="LW60" s="1101">
        <v>0</v>
      </c>
      <c r="LX60" s="1101">
        <v>0</v>
      </c>
      <c r="LY60" s="1101">
        <v>5091368</v>
      </c>
      <c r="LZ60" s="1101">
        <v>22938568</v>
      </c>
      <c r="MA60" s="1101">
        <v>0</v>
      </c>
      <c r="MB60" s="1101">
        <v>1264808</v>
      </c>
      <c r="MC60" s="1101">
        <v>0</v>
      </c>
      <c r="MD60" s="1101">
        <v>0</v>
      </c>
      <c r="ME60" s="1101">
        <v>44335</v>
      </c>
      <c r="MF60" s="1101">
        <v>0</v>
      </c>
      <c r="MG60" s="1101">
        <v>0</v>
      </c>
      <c r="MH60" s="1101">
        <v>6679959</v>
      </c>
      <c r="MI60" s="1101">
        <v>17217586</v>
      </c>
      <c r="MJ60" s="1101">
        <v>0</v>
      </c>
      <c r="MK60" s="1101">
        <v>720317</v>
      </c>
      <c r="ML60" s="1101">
        <v>0</v>
      </c>
      <c r="MM60" s="1101">
        <v>32983</v>
      </c>
      <c r="MN60" s="1101">
        <v>16355</v>
      </c>
      <c r="MO60" s="1101">
        <v>0</v>
      </c>
      <c r="MP60" s="1101">
        <v>0</v>
      </c>
      <c r="MQ60" s="1101">
        <v>9976740</v>
      </c>
      <c r="MR60" s="1101">
        <v>11254318</v>
      </c>
      <c r="MS60" s="1101">
        <v>0</v>
      </c>
      <c r="MT60" s="1101">
        <v>3333668</v>
      </c>
      <c r="MU60" s="1101">
        <v>0</v>
      </c>
      <c r="MV60" s="1101">
        <v>0</v>
      </c>
      <c r="MW60" s="1101">
        <v>227295</v>
      </c>
      <c r="MX60" s="1101">
        <v>0</v>
      </c>
      <c r="MY60" s="1101">
        <v>0</v>
      </c>
      <c r="MZ60" s="1101">
        <v>15418808</v>
      </c>
      <c r="NA60" s="1101">
        <v>18434412</v>
      </c>
      <c r="NB60" s="1101">
        <v>0</v>
      </c>
      <c r="NC60" s="1101">
        <v>16370363</v>
      </c>
      <c r="ND60" s="1101">
        <v>507545</v>
      </c>
      <c r="NE60" s="1101">
        <v>0</v>
      </c>
      <c r="NF60" s="1101">
        <v>0</v>
      </c>
      <c r="NG60" s="1101">
        <v>0</v>
      </c>
      <c r="NH60" s="1101">
        <v>0</v>
      </c>
      <c r="NI60" s="1101">
        <v>0</v>
      </c>
      <c r="NJ60" s="1101">
        <v>3237447</v>
      </c>
      <c r="NK60" s="1101">
        <v>39457535</v>
      </c>
      <c r="NL60" s="1101">
        <v>1082072</v>
      </c>
      <c r="NM60" s="1101">
        <v>0</v>
      </c>
      <c r="NN60" s="1101">
        <v>0</v>
      </c>
      <c r="NO60" s="1101">
        <v>0</v>
      </c>
      <c r="NP60" s="1101">
        <v>0</v>
      </c>
      <c r="NQ60" s="1101">
        <v>0</v>
      </c>
      <c r="NR60" s="1101">
        <v>809208</v>
      </c>
      <c r="NS60" s="1101">
        <v>3019514</v>
      </c>
      <c r="NT60" s="1101">
        <v>107282</v>
      </c>
      <c r="NU60" s="1101">
        <v>796543</v>
      </c>
      <c r="NV60" s="1101">
        <v>0</v>
      </c>
      <c r="NW60" s="1101">
        <v>0</v>
      </c>
      <c r="NX60" s="1101">
        <v>0</v>
      </c>
      <c r="NY60" s="1101">
        <v>0</v>
      </c>
      <c r="NZ60" s="1101">
        <v>0</v>
      </c>
      <c r="OA60" s="1101">
        <v>115776</v>
      </c>
      <c r="OB60" s="1101">
        <v>233986</v>
      </c>
      <c r="OC60" s="1101">
        <v>0</v>
      </c>
      <c r="OD60" s="1101">
        <v>0</v>
      </c>
      <c r="OE60" s="1101">
        <v>0</v>
      </c>
      <c r="OF60" s="1101">
        <v>0</v>
      </c>
      <c r="OG60" s="1101">
        <v>0</v>
      </c>
      <c r="OH60" s="1101">
        <v>0</v>
      </c>
      <c r="OI60" s="1101">
        <v>0</v>
      </c>
      <c r="OJ60" s="1101">
        <v>0</v>
      </c>
      <c r="OK60" s="1101">
        <v>0</v>
      </c>
      <c r="OL60" s="1101">
        <v>0</v>
      </c>
      <c r="OM60" s="1101">
        <v>0</v>
      </c>
      <c r="ON60" s="1101">
        <v>0</v>
      </c>
      <c r="OO60" s="1101">
        <v>0</v>
      </c>
      <c r="OP60" s="1101">
        <v>-53780567</v>
      </c>
      <c r="OQ60" s="1101">
        <v>0</v>
      </c>
      <c r="OR60" s="1101">
        <v>0</v>
      </c>
      <c r="OS60" s="1101">
        <v>-4700429</v>
      </c>
      <c r="OT60" s="1101">
        <v>-2475068</v>
      </c>
      <c r="OU60" s="1101">
        <v>100000</v>
      </c>
      <c r="OV60" s="1101">
        <v>405250</v>
      </c>
      <c r="OW60" s="1101">
        <v>0</v>
      </c>
      <c r="OX60" s="1101">
        <v>0</v>
      </c>
      <c r="OY60" s="1101">
        <v>1304843</v>
      </c>
      <c r="OZ60" s="1101">
        <v>0</v>
      </c>
      <c r="PA60" s="1101">
        <v>0</v>
      </c>
      <c r="PB60" s="1101">
        <v>0</v>
      </c>
      <c r="PC60" s="1101">
        <v>0</v>
      </c>
      <c r="PD60" s="1101">
        <v>0</v>
      </c>
      <c r="PE60" s="1101">
        <v>0</v>
      </c>
      <c r="PF60" s="1101">
        <v>0</v>
      </c>
      <c r="PG60" s="1101">
        <v>0</v>
      </c>
      <c r="PH60" s="1101">
        <v>0</v>
      </c>
      <c r="PI60" s="1101">
        <v>0</v>
      </c>
      <c r="PJ60" s="1101">
        <v>0</v>
      </c>
      <c r="PK60" s="1101">
        <v>0</v>
      </c>
      <c r="PL60" s="1101">
        <v>0</v>
      </c>
      <c r="PM60" s="1101">
        <v>0</v>
      </c>
      <c r="PN60" s="1101">
        <v>0</v>
      </c>
      <c r="PO60" s="1101">
        <v>0</v>
      </c>
      <c r="PP60" s="1101">
        <v>0</v>
      </c>
      <c r="PQ60" s="1101">
        <v>0</v>
      </c>
      <c r="PR60" s="1101">
        <v>0</v>
      </c>
      <c r="PS60" s="1101">
        <v>0</v>
      </c>
      <c r="PT60" s="1101">
        <v>0</v>
      </c>
      <c r="PU60" s="1101">
        <v>15685431</v>
      </c>
      <c r="PV60" s="1101">
        <v>0</v>
      </c>
      <c r="PW60" s="1101">
        <v>0</v>
      </c>
      <c r="PX60" s="1101">
        <v>0</v>
      </c>
      <c r="PY60" s="1101">
        <v>14688347</v>
      </c>
      <c r="PZ60" s="1101">
        <v>0</v>
      </c>
      <c r="QA60" s="1101">
        <v>0</v>
      </c>
      <c r="QB60" s="1101">
        <v>0</v>
      </c>
      <c r="QC60" s="1101">
        <v>0</v>
      </c>
      <c r="QD60" s="1101">
        <v>0</v>
      </c>
      <c r="QE60" s="1101">
        <v>0</v>
      </c>
      <c r="QF60" s="1101">
        <v>0</v>
      </c>
      <c r="QG60" s="1101">
        <v>0</v>
      </c>
      <c r="QH60" s="1101">
        <v>2876883</v>
      </c>
      <c r="QI60" s="1101">
        <v>0</v>
      </c>
      <c r="QJ60" s="1101">
        <v>0</v>
      </c>
      <c r="QK60" s="1101">
        <v>0</v>
      </c>
      <c r="QL60" s="1101">
        <v>0</v>
      </c>
      <c r="QM60" s="1101">
        <v>0</v>
      </c>
      <c r="QN60" s="1101">
        <v>0</v>
      </c>
      <c r="QO60" s="1101">
        <v>0</v>
      </c>
      <c r="QP60" s="1101">
        <v>0</v>
      </c>
      <c r="QQ60" s="1101">
        <v>0</v>
      </c>
      <c r="QR60" s="1101">
        <v>0</v>
      </c>
      <c r="QS60" s="1101">
        <v>0</v>
      </c>
      <c r="QT60" s="1101">
        <v>0</v>
      </c>
      <c r="QU60" s="1101">
        <v>0</v>
      </c>
      <c r="QV60" s="1101">
        <v>0</v>
      </c>
      <c r="QW60" s="1101">
        <v>0</v>
      </c>
      <c r="QX60" s="1101">
        <v>0</v>
      </c>
      <c r="QY60" s="1101">
        <v>0</v>
      </c>
      <c r="QZ60" s="1101">
        <v>0</v>
      </c>
      <c r="RA60" s="1101">
        <v>-39583907</v>
      </c>
      <c r="RB60" s="1101">
        <v>0</v>
      </c>
      <c r="RC60" s="1101">
        <v>0</v>
      </c>
      <c r="RD60" s="1101">
        <v>0</v>
      </c>
      <c r="RE60" s="1101">
        <v>0</v>
      </c>
      <c r="RF60" s="1101">
        <v>0</v>
      </c>
      <c r="RG60" s="1101">
        <v>0</v>
      </c>
      <c r="RH60" s="1101">
        <v>0</v>
      </c>
      <c r="RI60" s="1101">
        <v>0</v>
      </c>
      <c r="RJ60" s="1101">
        <v>0</v>
      </c>
      <c r="RK60" s="1101">
        <v>0</v>
      </c>
      <c r="RL60" s="1101">
        <v>0</v>
      </c>
      <c r="RM60" s="1101">
        <v>0</v>
      </c>
      <c r="RN60" s="1101">
        <v>0</v>
      </c>
      <c r="RO60" s="1101">
        <v>0</v>
      </c>
      <c r="RP60" s="1101">
        <v>0</v>
      </c>
      <c r="RQ60" s="1101">
        <v>0</v>
      </c>
      <c r="RR60" s="1101">
        <v>0</v>
      </c>
      <c r="RS60" s="1101">
        <v>0</v>
      </c>
      <c r="RT60" s="1101">
        <v>0</v>
      </c>
      <c r="RU60" s="1101">
        <v>0</v>
      </c>
      <c r="RV60" s="1101">
        <v>0</v>
      </c>
      <c r="RW60" s="1101">
        <v>0</v>
      </c>
      <c r="RX60" s="1101">
        <v>0</v>
      </c>
      <c r="RY60" s="1101">
        <v>0</v>
      </c>
      <c r="RZ60" s="1101">
        <v>0</v>
      </c>
      <c r="SA60" s="1101">
        <v>0</v>
      </c>
      <c r="SB60" s="1101">
        <v>0</v>
      </c>
      <c r="SC60" s="1101">
        <v>0</v>
      </c>
      <c r="SD60" s="1101">
        <v>0</v>
      </c>
      <c r="SE60" s="1101">
        <v>809208</v>
      </c>
      <c r="SF60" s="1101">
        <v>3019514</v>
      </c>
      <c r="SG60" s="1101">
        <v>107282</v>
      </c>
      <c r="SH60" s="1101">
        <v>796543</v>
      </c>
      <c r="SI60" s="1101">
        <v>0</v>
      </c>
      <c r="SJ60" s="1101">
        <v>0</v>
      </c>
      <c r="SK60" s="1101">
        <v>53780567</v>
      </c>
      <c r="SL60" s="1102">
        <v>0</v>
      </c>
      <c r="SM60" s="1101">
        <v>0</v>
      </c>
      <c r="SN60" s="1101">
        <v>65249586</v>
      </c>
      <c r="SO60" s="1102"/>
      <c r="SP60" s="1103"/>
      <c r="SQ60" s="1104">
        <v>246266365</v>
      </c>
      <c r="SR60" s="1104">
        <v>-65302118</v>
      </c>
      <c r="SS60" s="1105">
        <v>301194</v>
      </c>
      <c r="ST60" s="1106">
        <v>378626</v>
      </c>
      <c r="SU60" s="1106">
        <v>501663</v>
      </c>
      <c r="SV60" s="1106">
        <v>3205392</v>
      </c>
      <c r="SW60" s="1106">
        <v>30301</v>
      </c>
      <c r="SX60" s="1106">
        <v>38971</v>
      </c>
      <c r="SY60" s="1106">
        <v>169118</v>
      </c>
      <c r="SZ60" s="1106">
        <v>0</v>
      </c>
      <c r="TA60" s="1106">
        <v>107282</v>
      </c>
      <c r="TB60" s="1106">
        <v>0</v>
      </c>
      <c r="TC60" s="1105">
        <v>0</v>
      </c>
      <c r="TD60" s="1106">
        <v>0</v>
      </c>
      <c r="TE60" s="1106">
        <v>0</v>
      </c>
      <c r="TF60" s="1106">
        <v>0</v>
      </c>
      <c r="TG60" s="1106">
        <v>0</v>
      </c>
      <c r="TH60" s="1106">
        <v>0</v>
      </c>
      <c r="TI60" s="1106">
        <v>0</v>
      </c>
      <c r="TJ60" s="1106">
        <v>0</v>
      </c>
      <c r="TK60" s="1105">
        <v>0</v>
      </c>
      <c r="TL60" s="1106">
        <v>0</v>
      </c>
      <c r="TM60" s="1106">
        <v>0</v>
      </c>
      <c r="TN60" s="1106">
        <v>0</v>
      </c>
      <c r="TO60" s="1106">
        <v>0</v>
      </c>
      <c r="TP60" s="1106">
        <v>0</v>
      </c>
      <c r="TQ60" s="1106">
        <v>0</v>
      </c>
      <c r="TR60" s="1106">
        <v>0</v>
      </c>
      <c r="TS60" s="1105">
        <v>110390676</v>
      </c>
      <c r="TT60" s="1106">
        <v>10711223</v>
      </c>
      <c r="TU60" s="1106">
        <v>16145883</v>
      </c>
      <c r="TV60" s="1106">
        <v>48998922</v>
      </c>
      <c r="TW60" s="1106">
        <v>29339079</v>
      </c>
      <c r="TX60" s="1106">
        <v>24667200</v>
      </c>
      <c r="TY60" s="1106">
        <v>24792021</v>
      </c>
      <c r="TZ60" s="1107">
        <v>50731128</v>
      </c>
      <c r="UA60" s="1107">
        <v>43777054</v>
      </c>
      <c r="UB60" s="1105">
        <v>28755149</v>
      </c>
      <c r="UC60" s="1108">
        <v>14688347</v>
      </c>
      <c r="UD60" s="1108"/>
      <c r="UE60" s="1103"/>
      <c r="UF60" s="1109" t="s">
        <v>2435</v>
      </c>
      <c r="UG60" s="1110" t="s">
        <v>2436</v>
      </c>
      <c r="UH60" s="1110" t="s">
        <v>2437</v>
      </c>
    </row>
    <row r="61" spans="1:554" s="776" customFormat="1" ht="16.5" thickBot="1">
      <c r="A61" s="1094">
        <v>280</v>
      </c>
      <c r="B61" s="1131" t="s">
        <v>2223</v>
      </c>
      <c r="C61" s="1095" t="s">
        <v>327</v>
      </c>
      <c r="F61" s="1098">
        <v>2035052</v>
      </c>
      <c r="M61" s="776">
        <v>0</v>
      </c>
      <c r="N61" s="776">
        <v>0</v>
      </c>
      <c r="O61" s="776">
        <v>0</v>
      </c>
      <c r="P61" s="776">
        <v>0</v>
      </c>
      <c r="Q61" s="776">
        <v>0</v>
      </c>
      <c r="R61" s="776">
        <v>0</v>
      </c>
      <c r="S61" s="776">
        <v>0</v>
      </c>
      <c r="T61" s="776">
        <v>0</v>
      </c>
      <c r="U61" s="776">
        <v>0</v>
      </c>
      <c r="V61" s="776">
        <v>0</v>
      </c>
      <c r="W61" s="776">
        <v>0</v>
      </c>
      <c r="X61" s="776">
        <v>0</v>
      </c>
      <c r="Y61" s="776">
        <v>0</v>
      </c>
      <c r="Z61" s="776">
        <v>0</v>
      </c>
      <c r="AA61" s="776">
        <v>0</v>
      </c>
      <c r="AB61" s="776">
        <v>0</v>
      </c>
      <c r="AC61" s="776">
        <v>0</v>
      </c>
      <c r="AD61" s="776">
        <v>0</v>
      </c>
      <c r="AE61" s="776">
        <v>0</v>
      </c>
      <c r="AF61" s="776">
        <v>1017526</v>
      </c>
      <c r="AG61" s="776">
        <v>0</v>
      </c>
      <c r="AH61" s="776">
        <v>0</v>
      </c>
      <c r="AI61" s="776">
        <v>0</v>
      </c>
      <c r="AJ61" s="776">
        <v>0</v>
      </c>
      <c r="AK61" s="776">
        <v>0</v>
      </c>
      <c r="AL61" s="776">
        <v>0</v>
      </c>
      <c r="AM61" s="776">
        <v>0</v>
      </c>
      <c r="AN61" s="776">
        <v>0</v>
      </c>
      <c r="AO61" s="776">
        <v>0</v>
      </c>
      <c r="AP61" s="776">
        <v>0</v>
      </c>
      <c r="AQ61" s="776">
        <v>1017526</v>
      </c>
    </row>
    <row r="62" spans="1:554" s="776" customFormat="1" ht="15.75" thickBot="1">
      <c r="A62" s="1526"/>
      <c r="B62" s="1526"/>
      <c r="C62" s="1527"/>
      <c r="F62" s="1098"/>
      <c r="M62" s="1449"/>
      <c r="V62" s="1449"/>
      <c r="AE62" s="1449"/>
      <c r="AN62" s="1449"/>
    </row>
    <row r="73" spans="1:3" ht="16.5" thickBot="1">
      <c r="A73" s="478"/>
      <c r="B73" s="469" t="s">
        <v>338</v>
      </c>
      <c r="C73" s="479"/>
    </row>
    <row r="74" spans="1:3" ht="15.75" thickBot="1">
      <c r="A74" s="470">
        <v>490</v>
      </c>
      <c r="B74" s="471" t="s">
        <v>339</v>
      </c>
      <c r="C74" s="472" t="s">
        <v>236</v>
      </c>
    </row>
    <row r="75" spans="1:3" ht="15.75" thickBot="1">
      <c r="A75" s="470">
        <v>500</v>
      </c>
      <c r="B75" s="471" t="s">
        <v>340</v>
      </c>
      <c r="C75" s="472" t="s">
        <v>341</v>
      </c>
    </row>
    <row r="76" spans="1:3" ht="30.75" thickBot="1">
      <c r="A76" s="470">
        <v>510</v>
      </c>
      <c r="B76" s="471" t="s">
        <v>342</v>
      </c>
      <c r="C76" s="472" t="s">
        <v>343</v>
      </c>
    </row>
    <row r="77" spans="1:3" ht="30.75" thickBot="1">
      <c r="A77" s="470">
        <v>520</v>
      </c>
      <c r="B77" s="471" t="s">
        <v>344</v>
      </c>
      <c r="C77" s="472" t="s">
        <v>345</v>
      </c>
    </row>
    <row r="78" spans="1:3" ht="30.75" thickBot="1">
      <c r="A78" s="470">
        <v>530</v>
      </c>
      <c r="B78" s="471" t="s">
        <v>346</v>
      </c>
      <c r="C78" s="472" t="s">
        <v>347</v>
      </c>
    </row>
    <row r="79" spans="1:3" ht="30.75" thickBot="1">
      <c r="A79" s="470">
        <v>540</v>
      </c>
      <c r="B79" s="471" t="s">
        <v>348</v>
      </c>
      <c r="C79" s="472" t="s">
        <v>349</v>
      </c>
    </row>
    <row r="80" spans="1:3" ht="30.75" thickBot="1">
      <c r="A80" s="470">
        <v>550</v>
      </c>
      <c r="B80" s="471" t="s">
        <v>350</v>
      </c>
      <c r="C80" s="472" t="s">
        <v>351</v>
      </c>
    </row>
    <row r="81" spans="1:3" ht="16.5" thickBot="1">
      <c r="A81" s="474">
        <f>COUNT(A74:A80)</f>
        <v>7</v>
      </c>
      <c r="B81" s="471"/>
      <c r="C81" s="472"/>
    </row>
    <row r="82" spans="1:3" ht="15.75">
      <c r="A82" s="475"/>
      <c r="B82" s="476"/>
      <c r="C82" s="477"/>
    </row>
    <row r="90" spans="1:3" ht="30.75" thickBot="1">
      <c r="A90" s="470">
        <v>40</v>
      </c>
      <c r="B90" s="471" t="s">
        <v>219</v>
      </c>
      <c r="C90" s="472" t="s">
        <v>301</v>
      </c>
    </row>
    <row r="91" spans="1:3" ht="30.75" thickBot="1">
      <c r="A91" s="470">
        <v>50</v>
      </c>
      <c r="B91" s="471" t="s">
        <v>95</v>
      </c>
      <c r="C91" s="472" t="s">
        <v>302</v>
      </c>
    </row>
    <row r="92" spans="1:3" ht="30.75" thickBot="1">
      <c r="A92" s="470">
        <v>60</v>
      </c>
      <c r="B92" s="471" t="s">
        <v>96</v>
      </c>
      <c r="C92" s="472" t="s">
        <v>303</v>
      </c>
    </row>
    <row r="93" spans="1:3" ht="30.75" thickBot="1">
      <c r="A93" s="470">
        <v>70</v>
      </c>
      <c r="B93" s="471" t="s">
        <v>97</v>
      </c>
      <c r="C93" s="472" t="s">
        <v>304</v>
      </c>
    </row>
    <row r="94" spans="1:3" ht="30.75" thickBot="1">
      <c r="A94" s="470">
        <v>80</v>
      </c>
      <c r="B94" s="471" t="s">
        <v>98</v>
      </c>
      <c r="C94" s="472" t="s">
        <v>305</v>
      </c>
    </row>
    <row r="95" spans="1:3" ht="30.75" thickBot="1">
      <c r="A95" s="470">
        <v>90</v>
      </c>
      <c r="B95" s="471" t="s">
        <v>99</v>
      </c>
      <c r="C95" s="472" t="s">
        <v>306</v>
      </c>
    </row>
    <row r="96" spans="1:3" ht="30.75" thickBot="1">
      <c r="A96" s="470">
        <v>100</v>
      </c>
      <c r="B96" s="471" t="s">
        <v>100</v>
      </c>
      <c r="C96" s="472" t="s">
        <v>307</v>
      </c>
    </row>
    <row r="97" spans="1:3" ht="30.75" thickBot="1">
      <c r="A97" s="470">
        <v>110</v>
      </c>
      <c r="B97" s="471" t="s">
        <v>101</v>
      </c>
      <c r="C97" s="472" t="s">
        <v>308</v>
      </c>
    </row>
    <row r="98" spans="1:3" ht="30.75" thickBot="1">
      <c r="A98" s="470">
        <v>120</v>
      </c>
      <c r="B98" s="471" t="s">
        <v>102</v>
      </c>
      <c r="C98" s="472" t="s">
        <v>309</v>
      </c>
    </row>
    <row r="99" spans="1:3" ht="15.75" thickBot="1">
      <c r="A99" s="470">
        <v>130</v>
      </c>
      <c r="B99" s="471" t="s">
        <v>103</v>
      </c>
      <c r="C99" s="472" t="s">
        <v>310</v>
      </c>
    </row>
    <row r="100" spans="1:3" ht="30.75" thickBot="1">
      <c r="A100" s="470">
        <v>140</v>
      </c>
      <c r="B100" s="471" t="s">
        <v>106</v>
      </c>
      <c r="C100" s="472" t="s">
        <v>311</v>
      </c>
    </row>
    <row r="101" spans="1:3" ht="15.75" thickBot="1">
      <c r="A101" s="470">
        <v>150</v>
      </c>
      <c r="B101" s="471" t="s">
        <v>107</v>
      </c>
      <c r="C101" s="472" t="s">
        <v>312</v>
      </c>
    </row>
    <row r="102" spans="1:3" ht="15.75" thickBot="1">
      <c r="A102" s="470">
        <v>160</v>
      </c>
      <c r="B102" s="471" t="s">
        <v>108</v>
      </c>
      <c r="C102" s="472" t="s">
        <v>313</v>
      </c>
    </row>
    <row r="103" spans="1:3" ht="30.75" thickBot="1">
      <c r="A103" s="470">
        <v>170</v>
      </c>
      <c r="B103" s="471" t="s">
        <v>109</v>
      </c>
      <c r="C103" s="472" t="s">
        <v>314</v>
      </c>
    </row>
    <row r="104" spans="1:3" ht="30.75" thickBot="1">
      <c r="A104" s="470">
        <v>180</v>
      </c>
      <c r="B104" s="471" t="s">
        <v>110</v>
      </c>
      <c r="C104" s="472" t="s">
        <v>315</v>
      </c>
    </row>
    <row r="105" spans="1:3" ht="30.75" thickBot="1">
      <c r="A105" s="470">
        <v>190</v>
      </c>
      <c r="B105" s="471" t="s">
        <v>111</v>
      </c>
      <c r="C105" s="472" t="s">
        <v>316</v>
      </c>
    </row>
    <row r="106" spans="1:3" ht="15.75" thickBot="1">
      <c r="A106" s="470">
        <v>200</v>
      </c>
      <c r="B106" s="471" t="s">
        <v>112</v>
      </c>
      <c r="C106" s="472" t="s">
        <v>317</v>
      </c>
    </row>
    <row r="107" spans="1:3" ht="30.75" thickBot="1">
      <c r="A107" s="470">
        <v>210</v>
      </c>
      <c r="B107" s="471" t="s">
        <v>113</v>
      </c>
      <c r="C107" s="472" t="s">
        <v>318</v>
      </c>
    </row>
    <row r="108" spans="1:3" ht="30.75" thickBot="1">
      <c r="A108" s="470">
        <v>220</v>
      </c>
      <c r="B108" s="471" t="s">
        <v>114</v>
      </c>
      <c r="C108" s="472" t="s">
        <v>319</v>
      </c>
    </row>
    <row r="109" spans="1:3" ht="30.75" thickBot="1">
      <c r="A109" s="470">
        <v>223</v>
      </c>
      <c r="B109" s="473" t="s">
        <v>271</v>
      </c>
      <c r="C109" s="472" t="s">
        <v>320</v>
      </c>
    </row>
    <row r="110" spans="1:3" ht="30.75" thickBot="1">
      <c r="A110" s="470">
        <v>226</v>
      </c>
      <c r="B110" s="473" t="s">
        <v>272</v>
      </c>
      <c r="C110" s="472" t="s">
        <v>321</v>
      </c>
    </row>
    <row r="111" spans="1:3" ht="15.75" thickBot="1">
      <c r="A111" s="470">
        <v>230</v>
      </c>
      <c r="B111" s="471" t="s">
        <v>115</v>
      </c>
      <c r="C111" s="472" t="s">
        <v>322</v>
      </c>
    </row>
    <row r="112" spans="1:3" ht="30.75" thickBot="1">
      <c r="A112" s="470">
        <v>240</v>
      </c>
      <c r="B112" s="471" t="s">
        <v>116</v>
      </c>
      <c r="C112" s="472" t="s">
        <v>323</v>
      </c>
    </row>
    <row r="113" spans="1:3" ht="30.75" thickBot="1">
      <c r="A113" s="470">
        <v>250</v>
      </c>
      <c r="B113" s="471" t="s">
        <v>117</v>
      </c>
      <c r="C113" s="472" t="s">
        <v>324</v>
      </c>
    </row>
    <row r="114" spans="1:3" ht="30.75" thickBot="1">
      <c r="A114" s="470">
        <v>260</v>
      </c>
      <c r="B114" s="471" t="s">
        <v>118</v>
      </c>
      <c r="C114" s="472" t="s">
        <v>325</v>
      </c>
    </row>
    <row r="115" spans="1:3" ht="15.75" thickBot="1">
      <c r="A115" s="470">
        <v>270</v>
      </c>
      <c r="B115" s="471" t="s">
        <v>215</v>
      </c>
      <c r="C115" s="472" t="s">
        <v>326</v>
      </c>
    </row>
    <row r="116" spans="1:3" ht="15.75" thickBot="1">
      <c r="A116" s="470">
        <v>280</v>
      </c>
      <c r="B116" s="471" t="s">
        <v>119</v>
      </c>
      <c r="C116" s="472" t="s">
        <v>327</v>
      </c>
    </row>
    <row r="117" spans="1:3" ht="15.75" thickBot="1">
      <c r="A117" s="470">
        <v>290</v>
      </c>
      <c r="B117" s="471" t="s">
        <v>1289</v>
      </c>
      <c r="C117" s="472" t="s">
        <v>328</v>
      </c>
    </row>
    <row r="118" spans="1:3" ht="15.75" thickBot="1">
      <c r="A118" s="470">
        <v>300</v>
      </c>
      <c r="B118" s="471" t="s">
        <v>120</v>
      </c>
      <c r="C118" s="472" t="s">
        <v>329</v>
      </c>
    </row>
    <row r="119" spans="1:3" ht="15.75" thickBot="1">
      <c r="A119" s="470">
        <v>310</v>
      </c>
      <c r="B119" s="471" t="s">
        <v>121</v>
      </c>
      <c r="C119" s="472" t="s">
        <v>330</v>
      </c>
    </row>
    <row r="120" spans="1:3" ht="15.75" thickBot="1">
      <c r="A120" s="470">
        <v>320</v>
      </c>
      <c r="B120" s="471" t="s">
        <v>122</v>
      </c>
      <c r="C120" s="472" t="s">
        <v>331</v>
      </c>
    </row>
    <row r="121" spans="1:3" ht="15.75" thickBot="1">
      <c r="A121" s="470">
        <v>330</v>
      </c>
      <c r="B121" s="471" t="s">
        <v>123</v>
      </c>
      <c r="C121" s="472" t="s">
        <v>332</v>
      </c>
    </row>
    <row r="122" spans="1:3" ht="30.75" thickBot="1">
      <c r="A122" s="470">
        <v>333</v>
      </c>
      <c r="B122" s="473" t="s">
        <v>270</v>
      </c>
      <c r="C122" s="472" t="s">
        <v>333</v>
      </c>
    </row>
    <row r="123" spans="1:3" ht="15.75" thickBot="1">
      <c r="A123" s="470">
        <v>340</v>
      </c>
      <c r="B123" s="471" t="s">
        <v>124</v>
      </c>
      <c r="C123" s="472" t="s">
        <v>334</v>
      </c>
    </row>
    <row r="124" spans="1:3" ht="30.75" thickBot="1">
      <c r="A124" s="470">
        <v>350</v>
      </c>
      <c r="B124" s="471" t="s">
        <v>125</v>
      </c>
      <c r="C124" s="472" t="s">
        <v>335</v>
      </c>
    </row>
    <row r="125" spans="1:3" ht="15.75" thickBot="1">
      <c r="A125" s="470">
        <v>360</v>
      </c>
      <c r="B125" s="471" t="s">
        <v>126</v>
      </c>
      <c r="C125" s="472" t="s">
        <v>336</v>
      </c>
    </row>
    <row r="126" spans="1:3" ht="15.75" thickBot="1">
      <c r="A126" s="470">
        <v>370</v>
      </c>
      <c r="B126" s="471" t="s">
        <v>127</v>
      </c>
      <c r="C126" s="472" t="s">
        <v>337</v>
      </c>
    </row>
  </sheetData>
  <mergeCells count="63">
    <mergeCell ref="UF3:UH3"/>
    <mergeCell ref="M3:U3"/>
    <mergeCell ref="SS3:TB3"/>
    <mergeCell ref="TC3:TJ3"/>
    <mergeCell ref="TK3:TR3"/>
    <mergeCell ref="TS3:UA3"/>
    <mergeCell ref="UB3:UC3"/>
    <mergeCell ref="RD3:RL3"/>
    <mergeCell ref="RM3:RU3"/>
    <mergeCell ref="RV3:SD3"/>
    <mergeCell ref="SE3:SM3"/>
    <mergeCell ref="SQ3:SR3"/>
    <mergeCell ref="PK3:PS3"/>
    <mergeCell ref="PT3:QB3"/>
    <mergeCell ref="QC3:QK3"/>
    <mergeCell ref="QL3:QT3"/>
    <mergeCell ref="NI3:NQ3"/>
    <mergeCell ref="QU3:RC3"/>
    <mergeCell ref="NR3:NZ3"/>
    <mergeCell ref="OA3:OI3"/>
    <mergeCell ref="OJ3:OR3"/>
    <mergeCell ref="OS3:PA3"/>
    <mergeCell ref="PB3:PJ3"/>
    <mergeCell ref="LP3:LX3"/>
    <mergeCell ref="LY3:MG3"/>
    <mergeCell ref="MH3:MP3"/>
    <mergeCell ref="MQ3:MY3"/>
    <mergeCell ref="MZ3:NH3"/>
    <mergeCell ref="JW3:KE3"/>
    <mergeCell ref="KF3:KN3"/>
    <mergeCell ref="KO3:KW3"/>
    <mergeCell ref="KX3:LF3"/>
    <mergeCell ref="LG3:LO3"/>
    <mergeCell ref="ID3:IL3"/>
    <mergeCell ref="IM3:IU3"/>
    <mergeCell ref="IV3:JD3"/>
    <mergeCell ref="JE3:JM3"/>
    <mergeCell ref="JN3:JV3"/>
    <mergeCell ref="GK3:GS3"/>
    <mergeCell ref="GT3:HB3"/>
    <mergeCell ref="HC3:HK3"/>
    <mergeCell ref="HL3:HT3"/>
    <mergeCell ref="HU3:IC3"/>
    <mergeCell ref="ER3:EZ3"/>
    <mergeCell ref="FA3:FI3"/>
    <mergeCell ref="FJ3:FR3"/>
    <mergeCell ref="FS3:GA3"/>
    <mergeCell ref="GB3:GJ3"/>
    <mergeCell ref="CY3:DG3"/>
    <mergeCell ref="DH3:DP3"/>
    <mergeCell ref="DQ3:DY3"/>
    <mergeCell ref="DZ3:EH3"/>
    <mergeCell ref="EI3:EQ3"/>
    <mergeCell ref="BF3:BN3"/>
    <mergeCell ref="BO3:BW3"/>
    <mergeCell ref="BX3:CF3"/>
    <mergeCell ref="CG3:CO3"/>
    <mergeCell ref="CP3:CX3"/>
    <mergeCell ref="B1:E1"/>
    <mergeCell ref="V3:AD3"/>
    <mergeCell ref="AE3:AM3"/>
    <mergeCell ref="AN3:AV3"/>
    <mergeCell ref="AW3:BE3"/>
  </mergeCells>
  <hyperlinks>
    <hyperlink ref="I1" location="Index!A1" display="Return to Index" xr:uid="{00000000-0004-0000-BA00-000000000000}"/>
  </hyperlinks>
  <pageMargins left="0.7" right="0.7" top="0.75" bottom="0.75" header="0.3" footer="0.3"/>
  <pageSetup orientation="portrait" r:id="rId1"/>
  <legacyDrawing r:id="rId2"/>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dimension ref="A1:X71"/>
  <sheetViews>
    <sheetView showGridLines="0" workbookViewId="0">
      <pane xSplit="3" ySplit="6" topLeftCell="N36" activePane="bottomRight" state="frozen"/>
      <selection activeCell="F74" sqref="E74:F74"/>
      <selection pane="topRight" activeCell="F74" sqref="E74:F74"/>
      <selection pane="bottomLeft" activeCell="F74" sqref="E74:F74"/>
      <selection pane="bottomRight" activeCell="C53" sqref="C53"/>
    </sheetView>
  </sheetViews>
  <sheetFormatPr defaultRowHeight="15" customHeight="1"/>
  <cols>
    <col min="1" max="2" width="9.5703125" style="514" customWidth="1"/>
    <col min="3" max="3" width="35.7109375" style="523" customWidth="1"/>
    <col min="4" max="8" width="10.7109375" style="706" customWidth="1"/>
    <col min="9" max="9" width="11.7109375" style="706" customWidth="1"/>
    <col min="10" max="10" width="10.7109375" style="706" customWidth="1"/>
    <col min="11" max="12" width="11.7109375" style="706" customWidth="1"/>
    <col min="13" max="13" width="2.85546875" style="524" customWidth="1"/>
    <col min="14" max="14" width="12.42578125" style="53" customWidth="1"/>
    <col min="15" max="15" width="12.5703125" style="523" customWidth="1"/>
    <col min="16" max="16" width="12.28515625" customWidth="1"/>
    <col min="18" max="18" width="13.140625" style="874" customWidth="1"/>
    <col min="20" max="20" width="11.5703125" customWidth="1"/>
    <col min="22" max="22" width="15.85546875" customWidth="1"/>
    <col min="23" max="23" width="12.7109375" customWidth="1"/>
  </cols>
  <sheetData>
    <row r="1" spans="1:23" s="36" customFormat="1" ht="15" customHeight="1" thickBot="1">
      <c r="A1" s="263"/>
      <c r="B1" s="263"/>
      <c r="D1" s="695"/>
      <c r="E1" s="695"/>
      <c r="F1" s="709" t="s">
        <v>685</v>
      </c>
      <c r="G1" s="695"/>
      <c r="H1" s="695"/>
      <c r="K1" s="695"/>
      <c r="M1" s="694"/>
      <c r="N1" s="55"/>
      <c r="O1" s="855" t="s">
        <v>1200</v>
      </c>
      <c r="R1" s="872"/>
    </row>
    <row r="2" spans="1:23" s="36" customFormat="1" ht="15" customHeight="1">
      <c r="A2" s="709"/>
      <c r="B2" s="709"/>
      <c r="D2" s="695"/>
      <c r="E2" s="695"/>
      <c r="F2" s="709" t="s">
        <v>2483</v>
      </c>
      <c r="G2" s="695"/>
      <c r="H2" s="695"/>
      <c r="K2" s="695"/>
      <c r="M2" s="694"/>
      <c r="N2" s="55"/>
      <c r="O2" s="55"/>
      <c r="R2" s="873" t="s">
        <v>1216</v>
      </c>
    </row>
    <row r="3" spans="1:23" ht="15" customHeight="1">
      <c r="C3" s="264" t="s">
        <v>2482</v>
      </c>
      <c r="D3"/>
      <c r="E3" s="696"/>
      <c r="F3" s="696"/>
      <c r="G3"/>
      <c r="H3"/>
      <c r="I3"/>
      <c r="J3"/>
      <c r="K3"/>
      <c r="L3"/>
      <c r="M3" s="53"/>
      <c r="N3" s="697" t="s">
        <v>686</v>
      </c>
      <c r="O3" s="53"/>
    </row>
    <row r="4" spans="1:23" ht="15" customHeight="1">
      <c r="C4" s="53"/>
      <c r="D4"/>
      <c r="E4"/>
      <c r="F4" s="514"/>
      <c r="G4" s="698"/>
      <c r="H4" s="698"/>
      <c r="I4"/>
      <c r="J4" s="514"/>
      <c r="K4" s="514"/>
      <c r="L4" s="514" t="s">
        <v>687</v>
      </c>
      <c r="M4" s="480"/>
      <c r="N4" s="697" t="s">
        <v>688</v>
      </c>
      <c r="O4" s="53"/>
      <c r="P4" s="1780" t="s">
        <v>1306</v>
      </c>
      <c r="Q4" s="1775"/>
      <c r="R4" s="1775"/>
      <c r="S4" s="1776"/>
      <c r="U4" s="1785" t="s">
        <v>2120</v>
      </c>
      <c r="V4" s="1785"/>
    </row>
    <row r="5" spans="1:23" ht="15" customHeight="1">
      <c r="A5" s="514" t="s">
        <v>1170</v>
      </c>
      <c r="B5" s="263" t="s">
        <v>1232</v>
      </c>
      <c r="C5" s="53"/>
      <c r="D5" s="514" t="s">
        <v>689</v>
      </c>
      <c r="E5" s="514" t="s">
        <v>690</v>
      </c>
      <c r="F5" s="514" t="s">
        <v>691</v>
      </c>
      <c r="G5" s="698"/>
      <c r="H5" s="698"/>
      <c r="I5" s="514" t="s">
        <v>692</v>
      </c>
      <c r="J5"/>
      <c r="K5" s="514"/>
      <c r="L5" s="514" t="s">
        <v>693</v>
      </c>
      <c r="M5" s="480"/>
      <c r="N5" s="480" t="s">
        <v>2198</v>
      </c>
      <c r="O5" s="53"/>
      <c r="P5" s="1783" t="s">
        <v>1217</v>
      </c>
      <c r="R5" s="1781" t="s">
        <v>1215</v>
      </c>
      <c r="U5" s="1785"/>
      <c r="V5" s="1785"/>
    </row>
    <row r="6" spans="1:23" ht="15" customHeight="1">
      <c r="C6" s="53"/>
      <c r="D6" s="699" t="s">
        <v>694</v>
      </c>
      <c r="E6" s="699" t="s">
        <v>694</v>
      </c>
      <c r="F6" s="700" t="s">
        <v>695</v>
      </c>
      <c r="G6" s="701" t="s">
        <v>696</v>
      </c>
      <c r="H6" s="701" t="s">
        <v>697</v>
      </c>
      <c r="I6" s="700" t="s">
        <v>698</v>
      </c>
      <c r="J6" s="702" t="s">
        <v>699</v>
      </c>
      <c r="K6" s="700" t="s">
        <v>227</v>
      </c>
      <c r="L6" s="700" t="s">
        <v>700</v>
      </c>
      <c r="M6" s="522"/>
      <c r="N6" s="703" t="s">
        <v>701</v>
      </c>
      <c r="O6" s="53"/>
      <c r="P6" s="1784"/>
      <c r="Q6" s="371"/>
      <c r="R6" s="1782"/>
      <c r="S6" s="371"/>
    </row>
    <row r="7" spans="1:23" ht="15" customHeight="1">
      <c r="A7" s="907"/>
      <c r="B7" s="907"/>
      <c r="C7" s="53"/>
      <c r="D7" s="514"/>
      <c r="E7" s="698"/>
      <c r="F7" s="698"/>
      <c r="G7" s="514"/>
      <c r="H7" s="514"/>
      <c r="I7" s="514"/>
      <c r="J7"/>
      <c r="K7"/>
      <c r="L7"/>
      <c r="M7" s="53"/>
      <c r="O7" s="53"/>
    </row>
    <row r="8" spans="1:23" ht="14.25" customHeight="1">
      <c r="A8" s="907">
        <v>3656</v>
      </c>
      <c r="B8" s="1451">
        <v>40</v>
      </c>
      <c r="C8" s="523" t="s">
        <v>219</v>
      </c>
      <c r="D8" s="526">
        <v>380921</v>
      </c>
      <c r="E8" s="526">
        <v>387471</v>
      </c>
      <c r="F8" s="526">
        <v>768392</v>
      </c>
      <c r="G8" s="526">
        <v>185250</v>
      </c>
      <c r="H8" s="526">
        <v>18546</v>
      </c>
      <c r="I8" s="526">
        <v>0</v>
      </c>
      <c r="J8" s="526">
        <v>0</v>
      </c>
      <c r="K8" s="526">
        <v>972188</v>
      </c>
      <c r="L8" s="526">
        <v>34362.15</v>
      </c>
      <c r="M8"/>
      <c r="N8" s="1067">
        <f t="shared" ref="N8:N27" si="0">ROUND(SUM((($F8)/30)+($G8/24)+($H8/18)+($I8/24)+($J8/34)),2)</f>
        <v>34362.15</v>
      </c>
      <c r="P8" s="962">
        <f t="shared" ref="P8:P44" si="1">VLOOKUP(A8,$U$8:$V$44,2,FALSE)</f>
        <v>2456.3000000000002</v>
      </c>
      <c r="Q8" s="782"/>
      <c r="R8" s="875"/>
      <c r="S8" s="782"/>
      <c r="U8" s="1323">
        <v>20</v>
      </c>
      <c r="V8" s="1324">
        <v>61.66</v>
      </c>
      <c r="W8" s="962"/>
    </row>
    <row r="9" spans="1:23" s="1115" customFormat="1" ht="29.25" customHeight="1">
      <c r="A9" s="1121">
        <v>3658</v>
      </c>
      <c r="B9" s="1115">
        <v>51</v>
      </c>
      <c r="C9" s="1112" t="s">
        <v>1373</v>
      </c>
      <c r="D9" s="1114">
        <v>615979</v>
      </c>
      <c r="E9" s="1114">
        <v>491065</v>
      </c>
      <c r="F9" s="1114">
        <v>1107044</v>
      </c>
      <c r="G9" s="1114">
        <v>100040</v>
      </c>
      <c r="H9" s="1114">
        <v>81077</v>
      </c>
      <c r="I9" s="1114">
        <v>47059</v>
      </c>
      <c r="J9" s="1114">
        <v>0</v>
      </c>
      <c r="K9" s="1114">
        <v>1335220</v>
      </c>
      <c r="L9" s="1114">
        <v>47534.87</v>
      </c>
      <c r="N9" s="1116">
        <f t="shared" si="0"/>
        <v>47534.87</v>
      </c>
      <c r="O9" s="1122"/>
      <c r="P9" s="1118">
        <f t="shared" si="1"/>
        <v>5350.62</v>
      </c>
      <c r="Q9" s="1119"/>
      <c r="R9" s="1120"/>
      <c r="S9" s="1119"/>
      <c r="U9" s="1323">
        <v>3541</v>
      </c>
      <c r="V9" s="1324">
        <v>633.51</v>
      </c>
      <c r="W9" s="1118"/>
    </row>
    <row r="10" spans="1:23" ht="15" customHeight="1">
      <c r="A10" s="907">
        <v>9741</v>
      </c>
      <c r="B10" s="1451">
        <v>60</v>
      </c>
      <c r="C10" s="523" t="s">
        <v>96</v>
      </c>
      <c r="D10" s="526">
        <v>259276</v>
      </c>
      <c r="E10" s="526">
        <v>301332</v>
      </c>
      <c r="F10" s="526">
        <v>560608</v>
      </c>
      <c r="G10" s="526">
        <v>95219</v>
      </c>
      <c r="H10" s="526">
        <v>26373</v>
      </c>
      <c r="I10" s="526">
        <v>1159</v>
      </c>
      <c r="J10" s="526">
        <v>0</v>
      </c>
      <c r="K10" s="526">
        <v>683359</v>
      </c>
      <c r="L10" s="526">
        <v>24167.85</v>
      </c>
      <c r="M10"/>
      <c r="N10" s="1067">
        <f t="shared" si="0"/>
        <v>24167.85</v>
      </c>
      <c r="P10" s="962">
        <f t="shared" si="1"/>
        <v>2224.7799999999997</v>
      </c>
      <c r="Q10" s="782"/>
      <c r="R10" s="875"/>
      <c r="S10" s="782"/>
      <c r="U10" s="1323">
        <v>3565</v>
      </c>
      <c r="V10" s="1324">
        <v>659.05</v>
      </c>
      <c r="W10" s="962"/>
    </row>
    <row r="11" spans="1:23" ht="15" customHeight="1">
      <c r="A11" s="907">
        <v>3661</v>
      </c>
      <c r="B11" s="1451">
        <v>70</v>
      </c>
      <c r="C11" s="523" t="s">
        <v>97</v>
      </c>
      <c r="D11" s="526">
        <v>274454</v>
      </c>
      <c r="E11" s="526">
        <v>220558</v>
      </c>
      <c r="F11" s="526">
        <v>495012</v>
      </c>
      <c r="G11" s="526">
        <v>47887</v>
      </c>
      <c r="H11" s="526">
        <v>9134</v>
      </c>
      <c r="I11" s="526">
        <v>11656</v>
      </c>
      <c r="J11" s="526">
        <v>0</v>
      </c>
      <c r="K11" s="526">
        <v>563689</v>
      </c>
      <c r="L11" s="526">
        <v>19488.8</v>
      </c>
      <c r="M11"/>
      <c r="N11" s="1067">
        <f t="shared" si="0"/>
        <v>19488.8</v>
      </c>
      <c r="O11" s="705"/>
      <c r="P11" s="962">
        <f t="shared" si="1"/>
        <v>1425.6999999999998</v>
      </c>
      <c r="Q11" s="782"/>
      <c r="R11" s="875"/>
      <c r="S11" s="782"/>
      <c r="U11" s="1323">
        <v>3581</v>
      </c>
      <c r="V11" s="1324">
        <v>917.01</v>
      </c>
      <c r="W11" s="962"/>
    </row>
    <row r="12" spans="1:23" s="1115" customFormat="1" ht="27.75" customHeight="1">
      <c r="A12" s="1113">
        <v>3599</v>
      </c>
      <c r="B12" s="1115">
        <v>91</v>
      </c>
      <c r="C12" s="1112" t="s">
        <v>1371</v>
      </c>
      <c r="D12" s="1114">
        <v>403993</v>
      </c>
      <c r="E12" s="1114">
        <v>304806</v>
      </c>
      <c r="F12" s="1114">
        <v>708799</v>
      </c>
      <c r="G12" s="1114">
        <v>106383</v>
      </c>
      <c r="H12" s="1114">
        <v>5816</v>
      </c>
      <c r="I12" s="1114">
        <v>0</v>
      </c>
      <c r="J12" s="1114">
        <v>0</v>
      </c>
      <c r="K12" s="1114">
        <v>820998</v>
      </c>
      <c r="L12" s="1114">
        <v>28382.37</v>
      </c>
      <c r="N12" s="1116">
        <f t="shared" si="0"/>
        <v>28382.37</v>
      </c>
      <c r="O12" s="1117"/>
      <c r="P12" s="1118">
        <f t="shared" si="1"/>
        <v>1837.9</v>
      </c>
      <c r="Q12" s="1119"/>
      <c r="R12" s="1120"/>
      <c r="S12" s="1119"/>
      <c r="U12" s="1323">
        <v>3592</v>
      </c>
      <c r="V12" s="1324">
        <v>539.89</v>
      </c>
      <c r="W12" s="1118"/>
    </row>
    <row r="13" spans="1:23" ht="15" customHeight="1">
      <c r="A13" s="907">
        <v>9930</v>
      </c>
      <c r="B13" s="1451">
        <v>100</v>
      </c>
      <c r="C13" s="523" t="s">
        <v>100</v>
      </c>
      <c r="D13" s="526">
        <v>53764</v>
      </c>
      <c r="E13" s="526">
        <v>51520</v>
      </c>
      <c r="F13" s="526">
        <v>105284</v>
      </c>
      <c r="G13" s="526">
        <v>17909</v>
      </c>
      <c r="H13" s="526">
        <v>0</v>
      </c>
      <c r="I13" s="526">
        <v>0</v>
      </c>
      <c r="J13" s="526">
        <v>0</v>
      </c>
      <c r="K13" s="526">
        <v>123193</v>
      </c>
      <c r="L13" s="526">
        <v>4255.68</v>
      </c>
      <c r="M13"/>
      <c r="N13" s="1067">
        <f t="shared" si="0"/>
        <v>4255.68</v>
      </c>
      <c r="P13" s="962">
        <f t="shared" si="1"/>
        <v>398.1</v>
      </c>
      <c r="Q13" s="782"/>
      <c r="R13" s="875"/>
      <c r="S13" s="782"/>
      <c r="U13" s="1323">
        <v>3594</v>
      </c>
      <c r="V13" s="1324">
        <v>2595.37</v>
      </c>
      <c r="W13" s="962"/>
    </row>
    <row r="14" spans="1:23" ht="15" customHeight="1">
      <c r="A14" s="907">
        <v>10115</v>
      </c>
      <c r="B14" s="1451">
        <v>110</v>
      </c>
      <c r="C14" s="523" t="s">
        <v>101</v>
      </c>
      <c r="D14" s="526">
        <v>433932</v>
      </c>
      <c r="E14" s="526">
        <v>313731</v>
      </c>
      <c r="F14" s="526">
        <v>747663</v>
      </c>
      <c r="G14" s="526">
        <v>65710</v>
      </c>
      <c r="H14" s="526">
        <v>13258</v>
      </c>
      <c r="I14" s="526">
        <v>0</v>
      </c>
      <c r="J14" s="526">
        <v>0</v>
      </c>
      <c r="K14" s="526">
        <v>826631</v>
      </c>
      <c r="L14" s="526">
        <v>28396.57</v>
      </c>
      <c r="M14"/>
      <c r="N14" s="1067">
        <f t="shared" si="0"/>
        <v>28396.57</v>
      </c>
      <c r="P14" s="962">
        <f t="shared" si="1"/>
        <v>2230.35</v>
      </c>
      <c r="Q14" s="782"/>
      <c r="R14" s="875"/>
      <c r="S14" s="782"/>
      <c r="U14" s="1458">
        <v>3599</v>
      </c>
      <c r="V14" s="1324">
        <v>1837.9</v>
      </c>
      <c r="W14" s="962"/>
    </row>
    <row r="15" spans="1:23" ht="15" customHeight="1">
      <c r="A15" s="907">
        <v>11163</v>
      </c>
      <c r="B15" s="1451">
        <v>120</v>
      </c>
      <c r="C15" s="523" t="s">
        <v>102</v>
      </c>
      <c r="D15" s="526">
        <v>75065</v>
      </c>
      <c r="E15" s="526">
        <v>103408</v>
      </c>
      <c r="F15" s="526">
        <v>178473</v>
      </c>
      <c r="G15" s="526">
        <v>37333</v>
      </c>
      <c r="H15" s="526">
        <v>1846</v>
      </c>
      <c r="I15" s="526">
        <v>0</v>
      </c>
      <c r="J15" s="526">
        <v>0</v>
      </c>
      <c r="K15" s="526">
        <v>217652</v>
      </c>
      <c r="L15" s="526">
        <v>7607.2</v>
      </c>
      <c r="M15"/>
      <c r="N15" s="1067">
        <f t="shared" si="0"/>
        <v>7607.2</v>
      </c>
      <c r="P15" s="962">
        <f t="shared" si="1"/>
        <v>737.26</v>
      </c>
      <c r="Q15" s="782"/>
      <c r="R15" s="875"/>
      <c r="S15" s="782"/>
      <c r="U15" s="1323">
        <v>3606</v>
      </c>
      <c r="V15" s="1324">
        <v>1473.12</v>
      </c>
      <c r="W15" s="962"/>
    </row>
    <row r="16" spans="1:23" ht="15" customHeight="1">
      <c r="A16" s="907">
        <v>3632</v>
      </c>
      <c r="B16" s="1451">
        <v>130</v>
      </c>
      <c r="C16" s="523" t="s">
        <v>103</v>
      </c>
      <c r="D16" s="526">
        <v>775974</v>
      </c>
      <c r="E16" s="526">
        <v>650778</v>
      </c>
      <c r="F16" s="526">
        <v>1426752</v>
      </c>
      <c r="G16" s="526">
        <v>130827</v>
      </c>
      <c r="H16" s="526">
        <v>79479</v>
      </c>
      <c r="I16" s="526">
        <v>17399</v>
      </c>
      <c r="J16" s="526">
        <v>0</v>
      </c>
      <c r="K16" s="526">
        <v>1654457</v>
      </c>
      <c r="L16" s="526">
        <v>58149.98</v>
      </c>
      <c r="M16"/>
      <c r="N16" s="1067">
        <f t="shared" si="0"/>
        <v>58149.98</v>
      </c>
      <c r="P16" s="962">
        <f t="shared" si="1"/>
        <v>4745.28</v>
      </c>
      <c r="Q16" s="782"/>
      <c r="R16" s="875"/>
      <c r="S16" s="782"/>
      <c r="U16" s="1323">
        <v>3615</v>
      </c>
      <c r="V16" s="1324">
        <v>2391.8000000000002</v>
      </c>
      <c r="W16" s="962"/>
    </row>
    <row r="17" spans="1:23" ht="15" customHeight="1">
      <c r="A17" s="907">
        <v>10298</v>
      </c>
      <c r="B17">
        <v>140</v>
      </c>
      <c r="C17" s="523" t="s">
        <v>106</v>
      </c>
      <c r="D17" s="526">
        <v>32519</v>
      </c>
      <c r="E17" s="526">
        <v>15165</v>
      </c>
      <c r="F17" s="526">
        <v>47684</v>
      </c>
      <c r="G17" s="526">
        <v>2495</v>
      </c>
      <c r="H17" s="526">
        <v>710</v>
      </c>
      <c r="I17" s="526">
        <v>0</v>
      </c>
      <c r="J17" s="526">
        <v>0</v>
      </c>
      <c r="K17" s="526">
        <v>50889</v>
      </c>
      <c r="L17" s="526">
        <v>1732.87</v>
      </c>
      <c r="M17"/>
      <c r="N17" s="1067">
        <f t="shared" si="0"/>
        <v>1732.87</v>
      </c>
      <c r="P17" s="962">
        <f t="shared" si="1"/>
        <v>224.55</v>
      </c>
      <c r="Q17" s="782"/>
      <c r="R17" s="875"/>
      <c r="S17" s="782"/>
      <c r="U17" s="1323">
        <v>3624</v>
      </c>
      <c r="V17" s="1324">
        <v>1232.71</v>
      </c>
      <c r="W17" s="962"/>
    </row>
    <row r="18" spans="1:23" ht="15" customHeight="1">
      <c r="A18" s="907">
        <v>3630</v>
      </c>
      <c r="B18">
        <v>150</v>
      </c>
      <c r="C18" s="523" t="s">
        <v>107</v>
      </c>
      <c r="D18" s="526">
        <v>155895</v>
      </c>
      <c r="E18" s="526">
        <v>67899</v>
      </c>
      <c r="F18" s="526">
        <v>223794</v>
      </c>
      <c r="G18" s="526">
        <v>12378</v>
      </c>
      <c r="H18" s="526">
        <v>1688</v>
      </c>
      <c r="I18" s="526">
        <v>0</v>
      </c>
      <c r="J18" s="526">
        <v>0</v>
      </c>
      <c r="K18" s="526">
        <v>237860</v>
      </c>
      <c r="L18" s="526">
        <v>8069.33</v>
      </c>
      <c r="M18"/>
      <c r="N18" s="1067">
        <f t="shared" si="0"/>
        <v>8069.33</v>
      </c>
      <c r="P18" s="962">
        <f t="shared" si="1"/>
        <v>858.8</v>
      </c>
      <c r="Q18" s="782"/>
      <c r="R18" s="875"/>
      <c r="S18" s="782"/>
      <c r="U18" s="1323">
        <v>3625</v>
      </c>
      <c r="V18" s="1324">
        <v>186.60999999999999</v>
      </c>
      <c r="W18" s="962"/>
    </row>
    <row r="19" spans="1:23" ht="15" customHeight="1">
      <c r="A19" s="907">
        <v>3631</v>
      </c>
      <c r="B19">
        <v>160</v>
      </c>
      <c r="C19" s="523" t="s">
        <v>108</v>
      </c>
      <c r="D19" s="526">
        <v>162274</v>
      </c>
      <c r="E19" s="526">
        <v>136548</v>
      </c>
      <c r="F19" s="526">
        <v>298822</v>
      </c>
      <c r="G19" s="526">
        <v>34872</v>
      </c>
      <c r="H19" s="526">
        <v>2553</v>
      </c>
      <c r="I19" s="526">
        <v>0</v>
      </c>
      <c r="J19" s="526">
        <v>0</v>
      </c>
      <c r="K19" s="526">
        <v>336247</v>
      </c>
      <c r="L19" s="526">
        <v>11555.57</v>
      </c>
      <c r="M19"/>
      <c r="N19" s="1067">
        <f t="shared" si="0"/>
        <v>11555.57</v>
      </c>
      <c r="P19" s="962">
        <f t="shared" si="1"/>
        <v>871.73</v>
      </c>
      <c r="Q19" s="782"/>
      <c r="R19" s="875"/>
      <c r="S19" s="782"/>
      <c r="U19" s="1323">
        <v>3630</v>
      </c>
      <c r="V19" s="1324">
        <v>858.8</v>
      </c>
      <c r="W19" s="962"/>
    </row>
    <row r="20" spans="1:23" ht="15" customHeight="1">
      <c r="A20" s="907">
        <v>11161</v>
      </c>
      <c r="B20">
        <v>170</v>
      </c>
      <c r="C20" s="523" t="s">
        <v>109</v>
      </c>
      <c r="D20" s="526">
        <v>113441</v>
      </c>
      <c r="E20" s="526">
        <v>99005</v>
      </c>
      <c r="F20" s="526">
        <v>212446</v>
      </c>
      <c r="G20" s="526">
        <v>47950</v>
      </c>
      <c r="H20" s="526">
        <v>4623</v>
      </c>
      <c r="I20" s="526">
        <v>0</v>
      </c>
      <c r="J20" s="526">
        <v>0</v>
      </c>
      <c r="K20" s="526">
        <v>265019</v>
      </c>
      <c r="L20" s="526">
        <v>9336.2800000000007</v>
      </c>
      <c r="M20"/>
      <c r="N20" s="1067">
        <f t="shared" si="0"/>
        <v>9336.2800000000007</v>
      </c>
      <c r="P20" s="962">
        <f t="shared" si="1"/>
        <v>828.6</v>
      </c>
      <c r="Q20" s="782"/>
      <c r="R20" s="875"/>
      <c r="S20" s="782"/>
      <c r="U20" s="1323">
        <v>3631</v>
      </c>
      <c r="V20" s="1324">
        <v>871.73</v>
      </c>
      <c r="W20" s="962"/>
    </row>
    <row r="21" spans="1:23" ht="15" customHeight="1">
      <c r="A21" s="907">
        <v>3639</v>
      </c>
      <c r="B21">
        <v>180</v>
      </c>
      <c r="C21" s="523" t="s">
        <v>110</v>
      </c>
      <c r="D21" s="526">
        <v>80949</v>
      </c>
      <c r="E21" s="526">
        <v>54810</v>
      </c>
      <c r="F21" s="526">
        <v>135759</v>
      </c>
      <c r="G21" s="526">
        <v>22740</v>
      </c>
      <c r="H21" s="526">
        <v>2579</v>
      </c>
      <c r="I21" s="526">
        <v>0</v>
      </c>
      <c r="J21" s="526">
        <v>0</v>
      </c>
      <c r="K21" s="526">
        <v>161078</v>
      </c>
      <c r="L21" s="526">
        <v>5616.08</v>
      </c>
      <c r="M21"/>
      <c r="N21" s="1067">
        <f t="shared" si="0"/>
        <v>5616.08</v>
      </c>
      <c r="P21" s="962">
        <f t="shared" si="1"/>
        <v>671.01</v>
      </c>
      <c r="Q21" s="782"/>
      <c r="R21" s="875"/>
      <c r="S21" s="782"/>
      <c r="U21" s="1323">
        <v>3632</v>
      </c>
      <c r="V21" s="1324">
        <v>4745.28</v>
      </c>
      <c r="W21" s="962"/>
    </row>
    <row r="22" spans="1:23" ht="15" customHeight="1">
      <c r="A22" s="907">
        <v>9651</v>
      </c>
      <c r="B22">
        <v>190</v>
      </c>
      <c r="C22" s="523" t="s">
        <v>111</v>
      </c>
      <c r="D22" s="526">
        <v>96559</v>
      </c>
      <c r="E22" s="526">
        <v>81003</v>
      </c>
      <c r="F22" s="526">
        <v>177562</v>
      </c>
      <c r="G22" s="526">
        <v>24605</v>
      </c>
      <c r="H22" s="526">
        <v>330</v>
      </c>
      <c r="I22" s="526">
        <v>0</v>
      </c>
      <c r="J22" s="526">
        <v>0</v>
      </c>
      <c r="K22" s="526">
        <v>202497</v>
      </c>
      <c r="L22" s="526">
        <v>6962.28</v>
      </c>
      <c r="M22"/>
      <c r="N22" s="1067">
        <f t="shared" si="0"/>
        <v>6962.28</v>
      </c>
      <c r="P22" s="962">
        <f t="shared" si="1"/>
        <v>452.36</v>
      </c>
      <c r="Q22" s="782"/>
      <c r="R22" s="875"/>
      <c r="S22" s="782"/>
      <c r="U22" s="1323">
        <v>3639</v>
      </c>
      <c r="V22" s="1324">
        <v>671.01</v>
      </c>
      <c r="W22" s="962"/>
    </row>
    <row r="23" spans="1:23" ht="15" customHeight="1">
      <c r="A23" s="907">
        <v>3665</v>
      </c>
      <c r="B23" s="1451">
        <v>200</v>
      </c>
      <c r="C23" s="523" t="s">
        <v>112</v>
      </c>
      <c r="D23" s="526">
        <v>97377</v>
      </c>
      <c r="E23" s="526">
        <v>85208</v>
      </c>
      <c r="F23" s="526">
        <v>182585</v>
      </c>
      <c r="G23" s="526">
        <v>38053</v>
      </c>
      <c r="H23" s="526">
        <v>958</v>
      </c>
      <c r="I23" s="526">
        <v>0</v>
      </c>
      <c r="J23" s="526">
        <v>0</v>
      </c>
      <c r="K23" s="526">
        <v>221596</v>
      </c>
      <c r="L23" s="526">
        <v>7724.93</v>
      </c>
      <c r="M23"/>
      <c r="N23" s="1067">
        <f t="shared" si="0"/>
        <v>7724.93</v>
      </c>
      <c r="P23" s="962">
        <f t="shared" si="1"/>
        <v>769.66000000000008</v>
      </c>
      <c r="Q23" s="782"/>
      <c r="R23" s="875"/>
      <c r="S23" s="782"/>
      <c r="U23" s="1323">
        <v>3642</v>
      </c>
      <c r="V23" s="1324">
        <v>906.9</v>
      </c>
      <c r="W23" s="962"/>
    </row>
    <row r="24" spans="1:23" ht="15" customHeight="1">
      <c r="A24" s="907">
        <v>3565</v>
      </c>
      <c r="B24" s="1451">
        <v>210</v>
      </c>
      <c r="C24" s="523" t="s">
        <v>113</v>
      </c>
      <c r="D24" s="526">
        <v>95104</v>
      </c>
      <c r="E24" s="526">
        <v>100895</v>
      </c>
      <c r="F24" s="526">
        <v>195999</v>
      </c>
      <c r="G24" s="526">
        <v>58601</v>
      </c>
      <c r="H24" s="526">
        <v>6056</v>
      </c>
      <c r="I24" s="526">
        <v>0</v>
      </c>
      <c r="J24" s="526">
        <v>0</v>
      </c>
      <c r="K24" s="526">
        <v>260656</v>
      </c>
      <c r="L24" s="526">
        <v>9311.4500000000007</v>
      </c>
      <c r="M24"/>
      <c r="N24" s="1067">
        <f t="shared" si="0"/>
        <v>9311.4500000000007</v>
      </c>
      <c r="P24" s="962">
        <f t="shared" si="1"/>
        <v>659.05</v>
      </c>
      <c r="Q24" s="782"/>
      <c r="R24" s="875"/>
      <c r="S24" s="782"/>
      <c r="U24" s="1323">
        <v>3644</v>
      </c>
      <c r="V24" s="1324">
        <v>3644.48</v>
      </c>
      <c r="W24" s="962"/>
    </row>
    <row r="25" spans="1:23" ht="15" customHeight="1">
      <c r="A25" s="907">
        <v>29269</v>
      </c>
      <c r="B25">
        <v>220</v>
      </c>
      <c r="C25" s="523" t="s">
        <v>114</v>
      </c>
      <c r="D25" s="526">
        <v>18876</v>
      </c>
      <c r="E25" s="526">
        <v>23556</v>
      </c>
      <c r="F25" s="526">
        <v>42432</v>
      </c>
      <c r="G25" s="526">
        <v>5134</v>
      </c>
      <c r="H25" s="526">
        <v>418</v>
      </c>
      <c r="I25" s="526">
        <v>0</v>
      </c>
      <c r="J25" s="526">
        <v>0</v>
      </c>
      <c r="K25" s="526">
        <v>47984</v>
      </c>
      <c r="L25" s="526">
        <v>1651.54</v>
      </c>
      <c r="M25"/>
      <c r="N25" s="1067">
        <f t="shared" si="0"/>
        <v>1651.54</v>
      </c>
      <c r="P25" s="962">
        <f t="shared" si="1"/>
        <v>219.21</v>
      </c>
      <c r="Q25" s="782"/>
      <c r="R25" s="875"/>
      <c r="S25" s="782"/>
      <c r="U25" s="1323">
        <v>3646</v>
      </c>
      <c r="V25" s="1324">
        <v>1349.4299999999998</v>
      </c>
      <c r="W25" s="962"/>
    </row>
    <row r="26" spans="1:23" ht="15" customHeight="1">
      <c r="A26" s="907">
        <v>42295</v>
      </c>
      <c r="B26">
        <v>223</v>
      </c>
      <c r="C26" s="523" t="s">
        <v>271</v>
      </c>
      <c r="D26" s="526">
        <v>3893</v>
      </c>
      <c r="E26" s="526">
        <v>34202</v>
      </c>
      <c r="F26" s="526">
        <v>38095</v>
      </c>
      <c r="G26" s="526">
        <v>8091</v>
      </c>
      <c r="H26" s="526">
        <v>0</v>
      </c>
      <c r="I26" s="526">
        <v>0</v>
      </c>
      <c r="J26" s="526">
        <v>0</v>
      </c>
      <c r="K26" s="526">
        <v>46186</v>
      </c>
      <c r="L26" s="526">
        <v>1606.96</v>
      </c>
      <c r="M26"/>
      <c r="N26" s="1067">
        <f t="shared" si="0"/>
        <v>1606.96</v>
      </c>
      <c r="P26" s="962">
        <f t="shared" si="1"/>
        <v>196.74</v>
      </c>
      <c r="Q26" s="782"/>
      <c r="R26" s="875"/>
      <c r="S26" s="782"/>
      <c r="U26" s="1323">
        <v>3652</v>
      </c>
      <c r="V26" s="1324">
        <v>3533.3999999999996</v>
      </c>
      <c r="W26" s="962"/>
    </row>
    <row r="27" spans="1:23" ht="15" customHeight="1">
      <c r="A27" s="907">
        <v>42485</v>
      </c>
      <c r="B27">
        <v>226</v>
      </c>
      <c r="C27" s="523" t="s">
        <v>272</v>
      </c>
      <c r="D27" s="696">
        <v>59102</v>
      </c>
      <c r="E27" s="696">
        <v>71975</v>
      </c>
      <c r="F27" s="696">
        <v>131077</v>
      </c>
      <c r="G27" s="696">
        <v>9459</v>
      </c>
      <c r="H27" s="526">
        <v>0</v>
      </c>
      <c r="I27" s="526">
        <v>0</v>
      </c>
      <c r="J27" s="526">
        <v>0</v>
      </c>
      <c r="K27" s="526">
        <v>140536</v>
      </c>
      <c r="L27" s="526">
        <v>4763.3599999999997</v>
      </c>
      <c r="M27"/>
      <c r="N27" s="1067">
        <f t="shared" si="0"/>
        <v>4763.3599999999997</v>
      </c>
      <c r="P27" s="962">
        <f t="shared" si="1"/>
        <v>489.3</v>
      </c>
      <c r="Q27" s="782"/>
      <c r="R27" s="875"/>
      <c r="S27" s="782"/>
      <c r="U27" s="1323">
        <v>3656</v>
      </c>
      <c r="V27" s="1324">
        <v>2456.3000000000002</v>
      </c>
      <c r="W27" s="962"/>
    </row>
    <row r="28" spans="1:23" s="1110" customFormat="1" ht="29.25" customHeight="1">
      <c r="A28" s="1113">
        <v>3652</v>
      </c>
      <c r="B28" s="1541">
        <v>231</v>
      </c>
      <c r="C28" s="1112" t="s">
        <v>2244</v>
      </c>
      <c r="D28" s="1100">
        <v>519419</v>
      </c>
      <c r="E28" s="1100">
        <v>467639</v>
      </c>
      <c r="F28" s="1100">
        <v>987058</v>
      </c>
      <c r="G28" s="1100">
        <v>85761</v>
      </c>
      <c r="H28" s="1100">
        <v>31529</v>
      </c>
      <c r="I28" s="1100">
        <v>38789</v>
      </c>
      <c r="J28" s="1100">
        <v>15888</v>
      </c>
      <c r="K28" s="1100">
        <v>1159025</v>
      </c>
      <c r="L28" s="1100">
        <v>40310.42</v>
      </c>
      <c r="N28" s="1535">
        <f>ROUND(SUM((($F28)/30)+($G28/24)+($H28/18)+($I28/24)+($J28/34)),2)</f>
        <v>40310.42</v>
      </c>
      <c r="O28" s="1535"/>
      <c r="P28" s="1536">
        <f t="shared" si="1"/>
        <v>3533.3999999999996</v>
      </c>
      <c r="Q28" s="1537"/>
      <c r="R28" s="1538"/>
      <c r="S28" s="1537"/>
      <c r="U28" s="1323">
        <v>3658</v>
      </c>
      <c r="V28" s="1324">
        <v>5350.62</v>
      </c>
      <c r="W28" s="1536"/>
    </row>
    <row r="29" spans="1:23" ht="15" customHeight="1">
      <c r="A29" s="907">
        <v>11711</v>
      </c>
      <c r="B29">
        <v>240</v>
      </c>
      <c r="C29" s="523" t="s">
        <v>116</v>
      </c>
      <c r="D29" s="526">
        <v>44323</v>
      </c>
      <c r="E29" s="526">
        <v>108357</v>
      </c>
      <c r="F29" s="526">
        <v>152680</v>
      </c>
      <c r="G29" s="526">
        <v>36255</v>
      </c>
      <c r="H29" s="526">
        <v>2928</v>
      </c>
      <c r="I29" s="526">
        <v>0</v>
      </c>
      <c r="J29" s="526">
        <v>0</v>
      </c>
      <c r="K29" s="526">
        <v>191863</v>
      </c>
      <c r="L29" s="526">
        <v>6762.63</v>
      </c>
      <c r="M29"/>
      <c r="N29" s="1067">
        <f t="shared" ref="N29:N44" si="2">ROUND(SUM((($F29)/30)+($G29/24)+($H29/18)+($I29/24)+($J29/34)),2)</f>
        <v>6762.63</v>
      </c>
      <c r="O29" s="1067"/>
      <c r="P29" s="962">
        <f t="shared" si="1"/>
        <v>666.72</v>
      </c>
      <c r="Q29" s="782"/>
      <c r="R29" s="875"/>
      <c r="S29" s="782"/>
      <c r="U29" s="1539">
        <v>3661</v>
      </c>
      <c r="V29" s="1540">
        <v>1425.6999999999998</v>
      </c>
      <c r="W29" s="962"/>
    </row>
    <row r="30" spans="1:23" ht="15" customHeight="1">
      <c r="A30" s="907">
        <v>12826</v>
      </c>
      <c r="B30">
        <v>250</v>
      </c>
      <c r="C30" s="523" t="s">
        <v>117</v>
      </c>
      <c r="D30" s="526">
        <v>133483</v>
      </c>
      <c r="E30" s="526">
        <v>167904</v>
      </c>
      <c r="F30" s="526">
        <v>301387</v>
      </c>
      <c r="G30" s="526">
        <v>27523</v>
      </c>
      <c r="H30" s="526">
        <v>0</v>
      </c>
      <c r="I30" s="526">
        <v>0</v>
      </c>
      <c r="J30" s="526">
        <v>0</v>
      </c>
      <c r="K30" s="526">
        <v>328910</v>
      </c>
      <c r="L30" s="526">
        <v>11193.03</v>
      </c>
      <c r="M30"/>
      <c r="N30" s="1067">
        <f t="shared" si="2"/>
        <v>11193.03</v>
      </c>
      <c r="O30" s="1067"/>
      <c r="P30" s="962">
        <f t="shared" si="1"/>
        <v>955.93000000000006</v>
      </c>
      <c r="Q30" s="782"/>
      <c r="R30" s="875"/>
      <c r="S30" s="782"/>
      <c r="U30" s="1323">
        <v>3665</v>
      </c>
      <c r="V30" s="1324">
        <v>769.66000000000008</v>
      </c>
      <c r="W30" s="962"/>
    </row>
    <row r="31" spans="1:23" ht="15" customHeight="1">
      <c r="A31" s="907">
        <v>13231</v>
      </c>
      <c r="B31">
        <v>260</v>
      </c>
      <c r="C31" s="523" t="s">
        <v>118</v>
      </c>
      <c r="D31" s="526">
        <v>29725</v>
      </c>
      <c r="E31" s="526">
        <v>47880</v>
      </c>
      <c r="F31" s="526">
        <v>77605</v>
      </c>
      <c r="G31" s="526">
        <v>24424</v>
      </c>
      <c r="H31" s="526">
        <v>0</v>
      </c>
      <c r="I31" s="526">
        <v>0</v>
      </c>
      <c r="J31" s="526">
        <v>0</v>
      </c>
      <c r="K31" s="526">
        <v>102029</v>
      </c>
      <c r="L31" s="526">
        <v>3604.5</v>
      </c>
      <c r="M31"/>
      <c r="N31" s="1067">
        <f t="shared" si="2"/>
        <v>3604.5</v>
      </c>
      <c r="O31" s="1067"/>
      <c r="P31" s="962">
        <f t="shared" si="1"/>
        <v>290.24</v>
      </c>
      <c r="Q31" s="782"/>
      <c r="R31" s="875"/>
      <c r="S31" s="782"/>
      <c r="U31" s="1323">
        <v>9651</v>
      </c>
      <c r="V31" s="1324">
        <v>452.36</v>
      </c>
      <c r="W31" s="962"/>
    </row>
    <row r="32" spans="1:23" ht="15" customHeight="1">
      <c r="A32" s="907">
        <v>3581</v>
      </c>
      <c r="B32">
        <v>270</v>
      </c>
      <c r="C32" s="523" t="s">
        <v>215</v>
      </c>
      <c r="D32" s="526">
        <v>123515</v>
      </c>
      <c r="E32" s="526">
        <v>87444</v>
      </c>
      <c r="F32" s="526">
        <v>210959</v>
      </c>
      <c r="G32" s="526">
        <v>147224</v>
      </c>
      <c r="H32" s="526">
        <v>5589</v>
      </c>
      <c r="I32" s="526">
        <v>960</v>
      </c>
      <c r="J32" s="526">
        <v>0</v>
      </c>
      <c r="K32" s="526">
        <v>364732</v>
      </c>
      <c r="L32" s="526">
        <v>13516.8</v>
      </c>
      <c r="M32"/>
      <c r="N32" s="1067">
        <f t="shared" si="2"/>
        <v>13516.8</v>
      </c>
      <c r="O32" s="1067"/>
      <c r="P32" s="962">
        <f t="shared" si="1"/>
        <v>917.01</v>
      </c>
      <c r="Q32" s="782"/>
      <c r="R32" s="875"/>
      <c r="S32" s="782"/>
      <c r="U32" s="1323">
        <v>9741</v>
      </c>
      <c r="V32" s="1324">
        <v>2224.7799999999997</v>
      </c>
      <c r="W32" s="962"/>
    </row>
    <row r="33" spans="1:23" s="1110" customFormat="1" ht="28.5" customHeight="1">
      <c r="A33" s="1121">
        <v>3606</v>
      </c>
      <c r="B33" s="1115">
        <v>281</v>
      </c>
      <c r="C33" s="1112" t="s">
        <v>2247</v>
      </c>
      <c r="D33" s="1100">
        <v>254219</v>
      </c>
      <c r="E33" s="1100">
        <v>212077</v>
      </c>
      <c r="F33" s="1100">
        <v>466296</v>
      </c>
      <c r="G33" s="1100">
        <v>42588</v>
      </c>
      <c r="H33" s="1100">
        <v>4975</v>
      </c>
      <c r="I33" s="1100">
        <v>0</v>
      </c>
      <c r="J33" s="1100">
        <v>0</v>
      </c>
      <c r="K33" s="1100">
        <v>513859</v>
      </c>
      <c r="L33" s="1100">
        <v>17594.09</v>
      </c>
      <c r="N33" s="1535">
        <f t="shared" si="2"/>
        <v>17594.09</v>
      </c>
      <c r="O33" s="1535"/>
      <c r="P33" s="1536">
        <f t="shared" si="1"/>
        <v>1473.12</v>
      </c>
      <c r="Q33" s="1537"/>
      <c r="R33" s="1538"/>
      <c r="S33" s="1537"/>
      <c r="U33" s="1323">
        <v>9930</v>
      </c>
      <c r="V33" s="1324">
        <v>398.1</v>
      </c>
      <c r="W33" s="1536"/>
    </row>
    <row r="34" spans="1:23" ht="13.5" customHeight="1">
      <c r="A34" s="907">
        <v>3615</v>
      </c>
      <c r="B34" s="1451">
        <v>290</v>
      </c>
      <c r="C34" s="523" t="s">
        <v>1273</v>
      </c>
      <c r="D34" s="526">
        <v>497745</v>
      </c>
      <c r="E34" s="526">
        <v>345299</v>
      </c>
      <c r="F34" s="526">
        <v>843044</v>
      </c>
      <c r="G34" s="526">
        <v>64855</v>
      </c>
      <c r="H34" s="526">
        <v>5749</v>
      </c>
      <c r="I34" s="526">
        <v>4130</v>
      </c>
      <c r="J34" s="526">
        <v>0</v>
      </c>
      <c r="K34" s="526">
        <v>917778</v>
      </c>
      <c r="L34" s="526">
        <v>31295.23</v>
      </c>
      <c r="M34"/>
      <c r="N34" s="1067">
        <f t="shared" si="2"/>
        <v>31295.23</v>
      </c>
      <c r="O34" s="1067"/>
      <c r="P34" s="962">
        <f t="shared" si="1"/>
        <v>2391.8000000000002</v>
      </c>
      <c r="Q34" s="782"/>
      <c r="R34" s="875"/>
      <c r="S34" s="782"/>
      <c r="U34" s="1539">
        <v>10115</v>
      </c>
      <c r="V34" s="1540">
        <v>2230.35</v>
      </c>
      <c r="W34" s="962"/>
    </row>
    <row r="35" spans="1:23" ht="15" customHeight="1">
      <c r="A35" s="1032">
        <v>20</v>
      </c>
      <c r="B35" s="1451">
        <v>300</v>
      </c>
      <c r="C35" s="523" t="s">
        <v>1420</v>
      </c>
      <c r="D35" s="526">
        <v>1533</v>
      </c>
      <c r="E35" s="526">
        <v>12715</v>
      </c>
      <c r="F35" s="526">
        <v>14248</v>
      </c>
      <c r="G35" s="526">
        <v>1722</v>
      </c>
      <c r="H35" s="526">
        <v>0</v>
      </c>
      <c r="I35" s="526">
        <v>0</v>
      </c>
      <c r="J35" s="526">
        <v>0</v>
      </c>
      <c r="K35" s="526">
        <v>15970</v>
      </c>
      <c r="L35" s="526">
        <v>546.68333329999996</v>
      </c>
      <c r="M35"/>
      <c r="N35" s="1067">
        <f t="shared" si="2"/>
        <v>546.67999999999995</v>
      </c>
      <c r="O35" s="1067"/>
      <c r="P35" s="962">
        <f t="shared" si="1"/>
        <v>61.66</v>
      </c>
      <c r="Q35" s="782"/>
      <c r="R35" s="875"/>
      <c r="S35" s="782"/>
      <c r="U35" s="1323">
        <v>10298</v>
      </c>
      <c r="V35" s="1324">
        <v>224.55</v>
      </c>
      <c r="W35" s="962"/>
    </row>
    <row r="36" spans="1:23" ht="15" customHeight="1">
      <c r="A36" s="1033">
        <v>3625</v>
      </c>
      <c r="B36">
        <v>300</v>
      </c>
      <c r="C36" s="523" t="s">
        <v>120</v>
      </c>
      <c r="D36" s="526">
        <v>18971</v>
      </c>
      <c r="E36" s="526">
        <v>8025</v>
      </c>
      <c r="F36" s="526">
        <v>26996</v>
      </c>
      <c r="G36" s="526">
        <v>6383</v>
      </c>
      <c r="H36" s="526">
        <v>0</v>
      </c>
      <c r="I36" s="526">
        <v>0</v>
      </c>
      <c r="J36" s="526">
        <v>0</v>
      </c>
      <c r="K36" s="526">
        <v>33379</v>
      </c>
      <c r="L36" s="526">
        <v>1165.83</v>
      </c>
      <c r="M36"/>
      <c r="N36" s="1067">
        <f t="shared" si="2"/>
        <v>1165.83</v>
      </c>
      <c r="O36" s="1067">
        <f>N36+N35</f>
        <v>1712.5099999999998</v>
      </c>
      <c r="P36" s="962">
        <f t="shared" si="1"/>
        <v>186.60999999999999</v>
      </c>
      <c r="Q36" s="705">
        <f>P36+P35</f>
        <v>248.26999999999998</v>
      </c>
      <c r="R36" s="875"/>
      <c r="S36" s="705">
        <f>R36+R35</f>
        <v>0</v>
      </c>
      <c r="U36" s="1323">
        <v>11161</v>
      </c>
      <c r="V36" s="1324">
        <v>828.6</v>
      </c>
      <c r="W36" s="962"/>
    </row>
    <row r="37" spans="1:23" ht="15" customHeight="1">
      <c r="A37" s="907">
        <v>3644</v>
      </c>
      <c r="B37" s="1451">
        <v>310</v>
      </c>
      <c r="C37" s="523" t="s">
        <v>121</v>
      </c>
      <c r="D37" s="526">
        <v>555390</v>
      </c>
      <c r="E37" s="526">
        <v>338434</v>
      </c>
      <c r="F37" s="526">
        <v>893824</v>
      </c>
      <c r="G37" s="526">
        <v>74761</v>
      </c>
      <c r="H37" s="526">
        <v>46849</v>
      </c>
      <c r="I37" s="526">
        <v>12562</v>
      </c>
      <c r="J37" s="526">
        <v>0</v>
      </c>
      <c r="K37" s="526">
        <v>1027996</v>
      </c>
      <c r="L37" s="526">
        <v>36035.31</v>
      </c>
      <c r="M37"/>
      <c r="N37" s="1067">
        <f t="shared" si="2"/>
        <v>36035.31</v>
      </c>
      <c r="O37" s="1067"/>
      <c r="P37" s="962">
        <f t="shared" si="1"/>
        <v>3644.48</v>
      </c>
      <c r="Q37" s="782"/>
      <c r="R37" s="875"/>
      <c r="S37" s="782"/>
      <c r="U37" s="1323">
        <v>11163</v>
      </c>
      <c r="V37" s="1324">
        <v>737.26</v>
      </c>
      <c r="W37" s="962"/>
    </row>
    <row r="38" spans="1:23" ht="15" customHeight="1">
      <c r="A38" s="907">
        <v>3541</v>
      </c>
      <c r="B38">
        <v>320</v>
      </c>
      <c r="C38" s="523" t="s">
        <v>122</v>
      </c>
      <c r="D38" s="526">
        <v>134465</v>
      </c>
      <c r="E38" s="526">
        <v>56680</v>
      </c>
      <c r="F38" s="526">
        <v>191145</v>
      </c>
      <c r="G38" s="526">
        <v>27174</v>
      </c>
      <c r="H38" s="526">
        <v>0</v>
      </c>
      <c r="I38" s="526">
        <v>2733</v>
      </c>
      <c r="J38" s="526">
        <v>0</v>
      </c>
      <c r="K38" s="526">
        <v>221052</v>
      </c>
      <c r="L38" s="526">
        <v>7617.63</v>
      </c>
      <c r="M38"/>
      <c r="N38" s="1067">
        <f t="shared" si="2"/>
        <v>7617.63</v>
      </c>
      <c r="O38" s="1067"/>
      <c r="P38" s="962">
        <f t="shared" si="1"/>
        <v>633.51</v>
      </c>
      <c r="Q38" s="782"/>
      <c r="R38" s="875"/>
      <c r="S38" s="782"/>
      <c r="U38" s="1323">
        <v>11711</v>
      </c>
      <c r="V38" s="1324">
        <v>666.72</v>
      </c>
      <c r="W38" s="962"/>
    </row>
    <row r="39" spans="1:23" ht="15" customHeight="1">
      <c r="A39" s="907">
        <v>3594</v>
      </c>
      <c r="B39" s="1451">
        <v>330</v>
      </c>
      <c r="C39" s="523" t="s">
        <v>123</v>
      </c>
      <c r="D39" s="526">
        <v>460650</v>
      </c>
      <c r="E39" s="526">
        <v>401111</v>
      </c>
      <c r="F39" s="526">
        <v>861761</v>
      </c>
      <c r="G39" s="526">
        <v>110708</v>
      </c>
      <c r="H39" s="526">
        <v>24214</v>
      </c>
      <c r="I39" s="526">
        <v>1040</v>
      </c>
      <c r="J39" s="526">
        <v>0</v>
      </c>
      <c r="K39" s="526">
        <v>997723</v>
      </c>
      <c r="L39" s="526">
        <v>34726.76</v>
      </c>
      <c r="M39"/>
      <c r="N39" s="1067">
        <f t="shared" si="2"/>
        <v>34726.76</v>
      </c>
      <c r="O39" s="1067"/>
      <c r="P39" s="962">
        <f t="shared" si="1"/>
        <v>2595.37</v>
      </c>
      <c r="Q39" s="782"/>
      <c r="R39" s="875"/>
      <c r="S39" s="782"/>
      <c r="U39" s="1323">
        <v>12826</v>
      </c>
      <c r="V39" s="1324">
        <v>955.93000000000006</v>
      </c>
      <c r="W39" s="962"/>
    </row>
    <row r="40" spans="1:23" ht="15" customHeight="1">
      <c r="A40" s="907">
        <v>42421</v>
      </c>
      <c r="B40">
        <v>335</v>
      </c>
      <c r="C40" s="523" t="s">
        <v>270</v>
      </c>
      <c r="D40" s="526">
        <v>33739</v>
      </c>
      <c r="E40" s="526">
        <v>48374</v>
      </c>
      <c r="F40" s="526">
        <v>82113</v>
      </c>
      <c r="G40" s="526">
        <v>6954</v>
      </c>
      <c r="H40" s="526">
        <v>0</v>
      </c>
      <c r="I40" s="526">
        <v>10495</v>
      </c>
      <c r="J40" s="526">
        <v>0</v>
      </c>
      <c r="K40" s="526">
        <v>99562</v>
      </c>
      <c r="L40" s="526">
        <v>3464.14</v>
      </c>
      <c r="M40"/>
      <c r="N40" s="1067">
        <f t="shared" si="2"/>
        <v>3464.14</v>
      </c>
      <c r="O40" s="1067"/>
      <c r="P40" s="962">
        <f t="shared" si="1"/>
        <v>262.55</v>
      </c>
      <c r="Q40" s="782"/>
      <c r="R40" s="875"/>
      <c r="S40" s="782"/>
      <c r="U40" s="1323">
        <v>13231</v>
      </c>
      <c r="V40" s="1324">
        <v>290.24</v>
      </c>
      <c r="W40" s="962"/>
    </row>
    <row r="41" spans="1:23" ht="15" customHeight="1">
      <c r="A41" s="907">
        <v>3592</v>
      </c>
      <c r="B41">
        <v>340</v>
      </c>
      <c r="C41" s="523" t="s">
        <v>124</v>
      </c>
      <c r="D41" s="526">
        <v>65714</v>
      </c>
      <c r="E41" s="526">
        <v>51132</v>
      </c>
      <c r="F41" s="526">
        <v>116846</v>
      </c>
      <c r="G41" s="526">
        <v>10011</v>
      </c>
      <c r="H41" s="526">
        <v>186</v>
      </c>
      <c r="I41" s="526">
        <v>0</v>
      </c>
      <c r="J41" s="526">
        <v>0</v>
      </c>
      <c r="K41" s="526">
        <v>127043</v>
      </c>
      <c r="L41" s="526">
        <v>4322.33</v>
      </c>
      <c r="M41"/>
      <c r="N41" s="1067">
        <f t="shared" si="2"/>
        <v>4322.33</v>
      </c>
      <c r="O41" s="1067"/>
      <c r="P41" s="962">
        <f t="shared" si="1"/>
        <v>539.89</v>
      </c>
      <c r="Q41" s="782"/>
      <c r="R41" s="875"/>
      <c r="S41" s="782"/>
      <c r="U41" s="1323">
        <v>29269</v>
      </c>
      <c r="V41" s="1324">
        <v>219.21</v>
      </c>
      <c r="W41" s="962"/>
    </row>
    <row r="42" spans="1:23" ht="15" customHeight="1">
      <c r="A42" s="907">
        <v>3624</v>
      </c>
      <c r="B42">
        <v>350</v>
      </c>
      <c r="C42" s="523" t="s">
        <v>125</v>
      </c>
      <c r="D42" s="526">
        <v>165936</v>
      </c>
      <c r="E42" s="526">
        <v>108737</v>
      </c>
      <c r="F42" s="526">
        <v>274673</v>
      </c>
      <c r="G42" s="526">
        <v>27413</v>
      </c>
      <c r="H42" s="526">
        <v>1278</v>
      </c>
      <c r="I42" s="526">
        <v>0</v>
      </c>
      <c r="J42" s="526">
        <v>0</v>
      </c>
      <c r="K42" s="526">
        <v>303364</v>
      </c>
      <c r="L42" s="526">
        <v>10368.98</v>
      </c>
      <c r="M42"/>
      <c r="N42" s="1067">
        <f t="shared" si="2"/>
        <v>10368.98</v>
      </c>
      <c r="O42" s="1067"/>
      <c r="P42" s="962">
        <f t="shared" si="1"/>
        <v>1232.71</v>
      </c>
      <c r="Q42" s="782"/>
      <c r="R42" s="875"/>
      <c r="S42" s="782"/>
      <c r="U42" s="1323">
        <v>42295</v>
      </c>
      <c r="V42" s="1324">
        <v>196.74</v>
      </c>
      <c r="W42" s="962"/>
    </row>
    <row r="43" spans="1:23" ht="15" customHeight="1">
      <c r="A43" s="907">
        <v>3642</v>
      </c>
      <c r="B43" s="1451">
        <v>360</v>
      </c>
      <c r="C43" s="523" t="s">
        <v>126</v>
      </c>
      <c r="D43" s="526">
        <v>93673</v>
      </c>
      <c r="E43" s="526">
        <v>47268</v>
      </c>
      <c r="F43" s="526">
        <v>140941</v>
      </c>
      <c r="G43" s="526">
        <v>12200</v>
      </c>
      <c r="H43" s="526">
        <v>2195</v>
      </c>
      <c r="I43" s="526">
        <v>26816</v>
      </c>
      <c r="J43" s="526">
        <v>0</v>
      </c>
      <c r="K43" s="526">
        <v>182152</v>
      </c>
      <c r="L43" s="526">
        <v>6445.64</v>
      </c>
      <c r="M43"/>
      <c r="N43" s="1067">
        <f t="shared" si="2"/>
        <v>6445.64</v>
      </c>
      <c r="O43" s="1067"/>
      <c r="P43" s="962">
        <f t="shared" si="1"/>
        <v>906.9</v>
      </c>
      <c r="Q43" s="782"/>
      <c r="R43" s="875"/>
      <c r="S43" s="782"/>
      <c r="U43" s="1323">
        <v>42421</v>
      </c>
      <c r="V43" s="1324">
        <v>262.55</v>
      </c>
      <c r="W43" s="962"/>
    </row>
    <row r="44" spans="1:23" ht="15" customHeight="1">
      <c r="A44" s="907">
        <v>3646</v>
      </c>
      <c r="B44" s="1451">
        <v>370</v>
      </c>
      <c r="C44" s="523" t="s">
        <v>127</v>
      </c>
      <c r="D44" s="526">
        <v>123320</v>
      </c>
      <c r="E44" s="526">
        <v>123985</v>
      </c>
      <c r="F44" s="526">
        <v>247305</v>
      </c>
      <c r="G44" s="526">
        <v>84429</v>
      </c>
      <c r="H44" s="526">
        <v>15348</v>
      </c>
      <c r="I44" s="526">
        <v>9901</v>
      </c>
      <c r="J44" s="526">
        <v>0</v>
      </c>
      <c r="K44" s="526">
        <v>356983</v>
      </c>
      <c r="L44" s="526">
        <v>13026.58</v>
      </c>
      <c r="M44"/>
      <c r="N44" s="1067">
        <f t="shared" si="2"/>
        <v>13026.58</v>
      </c>
      <c r="O44" s="1067"/>
      <c r="P44" s="962">
        <f t="shared" si="1"/>
        <v>1349.4299999999998</v>
      </c>
      <c r="Q44" s="782"/>
      <c r="R44" s="875"/>
      <c r="S44" s="782"/>
      <c r="U44" s="1323">
        <v>42485</v>
      </c>
      <c r="V44" s="1324">
        <v>489.3</v>
      </c>
      <c r="W44" s="962"/>
    </row>
    <row r="45" spans="1:23" ht="15" customHeight="1">
      <c r="A45" s="1066"/>
      <c r="B45" s="1066"/>
      <c r="C45" s="53"/>
      <c r="D45" s="526"/>
      <c r="E45" s="526"/>
      <c r="F45" s="526"/>
      <c r="G45" s="526"/>
      <c r="H45" s="526"/>
      <c r="I45" s="526"/>
      <c r="J45" s="526"/>
      <c r="K45" s="526"/>
      <c r="L45" s="526"/>
      <c r="M45"/>
      <c r="N45" s="1067"/>
      <c r="O45" s="1067"/>
      <c r="P45" s="962"/>
      <c r="Q45" s="782"/>
      <c r="R45" s="875"/>
      <c r="S45" s="782"/>
      <c r="W45" s="710"/>
    </row>
    <row r="46" spans="1:23" ht="15" customHeight="1">
      <c r="A46" s="1066"/>
      <c r="B46" s="1066"/>
      <c r="C46" s="53"/>
      <c r="D46" s="526"/>
      <c r="E46" s="526"/>
      <c r="F46" s="526"/>
      <c r="G46" s="526"/>
      <c r="H46" s="526"/>
      <c r="I46" s="526"/>
      <c r="J46" s="526"/>
      <c r="K46" s="526"/>
      <c r="L46" s="526"/>
      <c r="M46"/>
      <c r="N46" s="1067"/>
      <c r="O46" s="1067"/>
      <c r="P46" s="962"/>
      <c r="Q46" s="782"/>
      <c r="R46" s="875"/>
      <c r="S46" s="782"/>
      <c r="W46" s="710"/>
    </row>
    <row r="47" spans="1:23" ht="15" customHeight="1">
      <c r="A47" s="1066"/>
      <c r="B47" s="1066"/>
      <c r="C47" s="53"/>
      <c r="D47" s="526"/>
      <c r="E47" s="526"/>
      <c r="F47" s="526"/>
      <c r="G47" s="526"/>
      <c r="H47" s="526"/>
      <c r="I47" s="526"/>
      <c r="J47" s="526"/>
      <c r="K47" s="526"/>
      <c r="L47" s="526"/>
      <c r="M47"/>
      <c r="N47" s="1067"/>
      <c r="O47" s="1067"/>
      <c r="P47" s="962"/>
      <c r="Q47" s="782"/>
      <c r="R47" s="875"/>
      <c r="S47" s="782"/>
      <c r="W47" s="710"/>
    </row>
    <row r="48" spans="1:23" ht="15" customHeight="1">
      <c r="A48" s="1066"/>
      <c r="B48" s="1066"/>
      <c r="C48" s="53"/>
      <c r="D48" s="526"/>
      <c r="E48" s="526"/>
      <c r="F48" s="526"/>
      <c r="G48" s="526"/>
      <c r="H48" s="526"/>
      <c r="I48" s="526"/>
      <c r="J48" s="526"/>
      <c r="K48" s="526"/>
      <c r="L48" s="526"/>
      <c r="M48"/>
      <c r="N48" s="1067"/>
      <c r="O48" s="1067"/>
      <c r="P48" s="962"/>
      <c r="Q48" s="782"/>
      <c r="R48" s="875"/>
      <c r="S48" s="782"/>
      <c r="V48">
        <f>SUM(V8:V45)</f>
        <v>49288.63</v>
      </c>
      <c r="W48" s="710"/>
    </row>
    <row r="49" spans="1:24" ht="15" customHeight="1">
      <c r="A49" s="907">
        <v>445566</v>
      </c>
      <c r="B49" s="907"/>
      <c r="C49" s="53" t="s">
        <v>234</v>
      </c>
      <c r="D49" s="704">
        <f>SUM(D8:D48)</f>
        <v>7445167</v>
      </c>
      <c r="E49" s="704">
        <f t="shared" ref="E49:L49" si="3">SUM(E8:E48)</f>
        <v>6227996</v>
      </c>
      <c r="F49" s="704">
        <f t="shared" si="3"/>
        <v>13673163</v>
      </c>
      <c r="G49" s="704">
        <f t="shared" si="3"/>
        <v>1841321</v>
      </c>
      <c r="H49" s="704">
        <f t="shared" si="3"/>
        <v>396284</v>
      </c>
      <c r="I49" s="704">
        <f t="shared" si="3"/>
        <v>184699</v>
      </c>
      <c r="J49" s="704">
        <f t="shared" si="3"/>
        <v>15888</v>
      </c>
      <c r="K49" s="704">
        <f t="shared" si="3"/>
        <v>16111355</v>
      </c>
      <c r="L49" s="1452">
        <f t="shared" si="3"/>
        <v>562672.70333330007</v>
      </c>
      <c r="M49"/>
      <c r="N49" s="525">
        <f>SUM(N8:N48)</f>
        <v>562672.70000000007</v>
      </c>
      <c r="O49" s="53"/>
      <c r="P49" s="525">
        <f>SUM(P8:P48)</f>
        <v>49288.630000000019</v>
      </c>
      <c r="Q49" s="871"/>
      <c r="R49" s="876"/>
      <c r="S49" s="871"/>
      <c r="U49" s="480"/>
      <c r="V49" s="781"/>
      <c r="W49" s="525">
        <f>SUM(W8:W44)</f>
        <v>0</v>
      </c>
    </row>
    <row r="50" spans="1:24" ht="15" customHeight="1">
      <c r="U50" s="480"/>
      <c r="V50" s="781"/>
    </row>
    <row r="51" spans="1:24" ht="15" customHeight="1">
      <c r="C51" s="1779" t="s">
        <v>702</v>
      </c>
      <c r="D51" s="1779"/>
      <c r="E51" s="1779"/>
      <c r="F51" s="1779"/>
      <c r="G51" s="1779"/>
      <c r="H51" s="1779"/>
      <c r="I51" s="1779"/>
      <c r="J51" s="1779"/>
      <c r="K51" s="1779"/>
      <c r="L51" s="1779"/>
      <c r="M51" s="706"/>
      <c r="N51" s="1034">
        <v>562672.70000000007</v>
      </c>
      <c r="O51" s="53"/>
      <c r="P51">
        <v>49292.42000000002</v>
      </c>
      <c r="R51" s="874" t="s">
        <v>1237</v>
      </c>
      <c r="V51" s="781">
        <v>49288.63</v>
      </c>
    </row>
    <row r="52" spans="1:24" ht="15" customHeight="1">
      <c r="A52" s="514">
        <f>COUNT(A8:A44)</f>
        <v>37</v>
      </c>
      <c r="N52" s="710">
        <f>N49-N51</f>
        <v>0</v>
      </c>
      <c r="P52" s="710">
        <f>P49-P51</f>
        <v>-3.7900000000008731</v>
      </c>
    </row>
    <row r="53" spans="1:24" ht="15" customHeight="1">
      <c r="D53" s="1453">
        <v>7445167</v>
      </c>
      <c r="E53" s="1453">
        <v>6227996</v>
      </c>
      <c r="F53" s="1453">
        <v>13673163</v>
      </c>
      <c r="G53" s="1453">
        <v>1841321</v>
      </c>
      <c r="H53" s="1453">
        <v>396284</v>
      </c>
      <c r="I53" s="1453">
        <v>184699</v>
      </c>
      <c r="J53" s="1453">
        <v>15888</v>
      </c>
      <c r="K53" s="1453">
        <v>16111355</v>
      </c>
      <c r="L53" s="1454">
        <v>562672.70333330007</v>
      </c>
      <c r="P53" s="782"/>
      <c r="Q53" s="782"/>
      <c r="R53" s="877"/>
      <c r="S53" s="782"/>
    </row>
    <row r="54" spans="1:24" ht="15" customHeight="1">
      <c r="D54" s="706">
        <f t="shared" ref="D54:L54" si="4">D53-D49</f>
        <v>0</v>
      </c>
      <c r="E54" s="706">
        <f t="shared" si="4"/>
        <v>0</v>
      </c>
      <c r="F54" s="706">
        <f t="shared" si="4"/>
        <v>0</v>
      </c>
      <c r="G54" s="706">
        <f t="shared" si="4"/>
        <v>0</v>
      </c>
      <c r="H54" s="706">
        <f t="shared" si="4"/>
        <v>0</v>
      </c>
      <c r="I54" s="706">
        <f t="shared" si="4"/>
        <v>0</v>
      </c>
      <c r="J54" s="706">
        <f t="shared" si="4"/>
        <v>0</v>
      </c>
      <c r="K54" s="706">
        <f t="shared" si="4"/>
        <v>0</v>
      </c>
      <c r="L54" s="706">
        <f t="shared" si="4"/>
        <v>0</v>
      </c>
      <c r="N54" s="1456" t="s">
        <v>1234</v>
      </c>
      <c r="P54" s="1456" t="s">
        <v>1234</v>
      </c>
      <c r="V54" s="31"/>
      <c r="W54" s="31"/>
      <c r="X54" s="31"/>
    </row>
    <row r="55" spans="1:24" ht="15" customHeight="1">
      <c r="N55" s="1457">
        <v>44553</v>
      </c>
      <c r="P55" s="1457">
        <v>44552</v>
      </c>
    </row>
    <row r="56" spans="1:24" ht="15" customHeight="1">
      <c r="C56" s="523" t="s">
        <v>2199</v>
      </c>
      <c r="L56" s="909"/>
      <c r="N56" s="909"/>
      <c r="U56" s="35"/>
    </row>
    <row r="57" spans="1:24" ht="15" customHeight="1">
      <c r="C57" s="523" t="s">
        <v>1328</v>
      </c>
      <c r="N57" s="909" t="s">
        <v>2369</v>
      </c>
      <c r="P57" s="264" t="s">
        <v>2481</v>
      </c>
    </row>
    <row r="59" spans="1:24" ht="15" customHeight="1">
      <c r="C59" s="523" t="s">
        <v>1235</v>
      </c>
      <c r="N59" s="905">
        <f>'Univ_IE_Keys NA'!$T$47</f>
        <v>562672.70000000007</v>
      </c>
    </row>
    <row r="60" spans="1:24" ht="15" customHeight="1">
      <c r="C60" s="523" t="s">
        <v>1236</v>
      </c>
      <c r="N60" s="904">
        <f>N59-N51</f>
        <v>0</v>
      </c>
      <c r="P60" s="1006" t="s">
        <v>1365</v>
      </c>
    </row>
    <row r="62" spans="1:24" ht="15" customHeight="1">
      <c r="N62" s="1561" t="s">
        <v>2367</v>
      </c>
      <c r="O62" s="1562"/>
      <c r="P62" s="1563"/>
    </row>
    <row r="63" spans="1:24" ht="15" customHeight="1">
      <c r="C63" s="1331">
        <v>203599</v>
      </c>
      <c r="D63" s="1455" t="s">
        <v>1385</v>
      </c>
      <c r="E63" s="1333"/>
      <c r="F63" s="1334"/>
      <c r="G63" s="1334"/>
      <c r="H63" s="1334"/>
      <c r="I63" s="1333"/>
      <c r="J63" s="1333"/>
      <c r="K63" s="1335"/>
      <c r="N63" s="1336">
        <v>204</v>
      </c>
      <c r="P63" s="539">
        <v>118.35</v>
      </c>
    </row>
    <row r="64" spans="1:24" ht="15" customHeight="1">
      <c r="C64" s="1331">
        <v>203658</v>
      </c>
      <c r="D64" s="1332" t="s">
        <v>1383</v>
      </c>
      <c r="E64" s="1333"/>
      <c r="F64" s="1334"/>
      <c r="G64" s="1334"/>
      <c r="H64" s="1334"/>
      <c r="I64" s="1333"/>
      <c r="J64" s="1333"/>
      <c r="K64" s="1335"/>
      <c r="N64" s="1336">
        <v>196</v>
      </c>
      <c r="P64" s="539">
        <v>205.53</v>
      </c>
    </row>
    <row r="65" spans="3:16" ht="15" customHeight="1">
      <c r="C65" s="1331">
        <v>203652</v>
      </c>
      <c r="D65" s="1332" t="s">
        <v>2250</v>
      </c>
      <c r="E65" s="1333"/>
      <c r="F65" s="1334"/>
      <c r="G65" s="1334"/>
      <c r="H65" s="1334"/>
      <c r="I65" s="1333"/>
      <c r="J65" s="1333"/>
      <c r="K65" s="1335"/>
      <c r="N65" s="1336">
        <v>0</v>
      </c>
      <c r="P65" s="539">
        <v>0</v>
      </c>
    </row>
    <row r="66" spans="3:16" ht="15" customHeight="1">
      <c r="C66" s="1331">
        <v>203652</v>
      </c>
      <c r="D66" s="1332" t="s">
        <v>2252</v>
      </c>
      <c r="E66" s="1333"/>
      <c r="F66" s="1334"/>
      <c r="G66" s="1334"/>
      <c r="H66" s="1334"/>
      <c r="I66" s="1333"/>
      <c r="J66" s="1333"/>
      <c r="K66" s="1335"/>
      <c r="N66" s="1336">
        <v>0</v>
      </c>
      <c r="P66" s="539">
        <v>0</v>
      </c>
    </row>
    <row r="67" spans="3:16" ht="15" customHeight="1">
      <c r="C67" s="1337"/>
      <c r="D67" s="264"/>
      <c r="E67" s="526"/>
      <c r="F67" s="526"/>
      <c r="G67" s="526"/>
      <c r="H67" s="526"/>
      <c r="I67" s="526"/>
      <c r="J67" s="1338"/>
      <c r="K67" s="1067"/>
      <c r="N67" s="1339"/>
    </row>
    <row r="68" spans="3:16" ht="15" customHeight="1">
      <c r="D68" s="1340" t="s">
        <v>1378</v>
      </c>
      <c r="N68" s="1034">
        <f>N$63+N$12</f>
        <v>28586.37</v>
      </c>
      <c r="O68" s="1341"/>
      <c r="P68" s="1034">
        <f>P$63+P$12</f>
        <v>1956.25</v>
      </c>
    </row>
    <row r="69" spans="3:16" ht="15" customHeight="1">
      <c r="D69" s="1340" t="s">
        <v>1377</v>
      </c>
      <c r="N69" s="1034">
        <f>N$64+N$9</f>
        <v>47730.87</v>
      </c>
      <c r="O69" s="1341"/>
      <c r="P69" s="1034">
        <f>P$64+P$9</f>
        <v>5556.15</v>
      </c>
    </row>
    <row r="70" spans="3:16" ht="15" customHeight="1">
      <c r="D70" s="1340" t="s">
        <v>2243</v>
      </c>
      <c r="N70" s="1034">
        <f>N$65+N$28</f>
        <v>40310.42</v>
      </c>
      <c r="P70" s="1034">
        <f>P$65+P$28</f>
        <v>3533.3999999999996</v>
      </c>
    </row>
    <row r="71" spans="3:16" ht="15" customHeight="1">
      <c r="D71" s="1340" t="s">
        <v>2246</v>
      </c>
      <c r="N71" s="1034">
        <f>N$66+N$33</f>
        <v>17594.09</v>
      </c>
      <c r="P71" s="1034">
        <f>P$66+P$33</f>
        <v>1473.12</v>
      </c>
    </row>
  </sheetData>
  <sortState xmlns:xlrd2="http://schemas.microsoft.com/office/spreadsheetml/2017/richdata2" ref="U8:W45">
    <sortCondition ref="U8:U45"/>
  </sortState>
  <mergeCells count="5">
    <mergeCell ref="C51:L51"/>
    <mergeCell ref="P4:S4"/>
    <mergeCell ref="R5:R6"/>
    <mergeCell ref="P5:P6"/>
    <mergeCell ref="U4:V5"/>
  </mergeCells>
  <hyperlinks>
    <hyperlink ref="O1" location="Index!A1" display="Return to Index" xr:uid="{00000000-0004-0000-BB00-000000000000}"/>
  </hyperlinks>
  <printOptions horizontalCentered="1"/>
  <pageMargins left="0.5" right="0.5" top="0.5" bottom="0.5" header="0.5" footer="0.25"/>
  <pageSetup scale="85" orientation="landscape" horizontalDpi="300" verticalDpi="300" r:id="rId1"/>
  <headerFooter alignWithMargins="0">
    <oddFooter>&amp;L&amp;9--THECB  11/15/10&amp;R&amp;9SRSCHLevFYStateFunded.xls</oddFooter>
  </headerFooter>
</worksheet>
</file>

<file path=xl/worksheets/sheet1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dimension ref="A1:AA674"/>
  <sheetViews>
    <sheetView showGridLines="0" workbookViewId="0">
      <pane xSplit="3" ySplit="6" topLeftCell="L7" activePane="bottomRight" state="frozen"/>
      <selection activeCell="F74" sqref="E74:F74"/>
      <selection pane="topRight" activeCell="F74" sqref="E74:F74"/>
      <selection pane="bottomLeft" activeCell="F74" sqref="E74:F74"/>
      <selection pane="bottomRight" activeCell="Y7" sqref="Y7"/>
    </sheetView>
  </sheetViews>
  <sheetFormatPr defaultColWidth="8.85546875" defaultRowHeight="12.75" outlineLevelRow="1"/>
  <cols>
    <col min="1" max="1" width="10.28515625" style="1186" customWidth="1"/>
    <col min="2" max="2" width="37.42578125" style="1185" customWidth="1"/>
    <col min="3" max="3" width="9.140625" style="1186" customWidth="1"/>
    <col min="4" max="8" width="6.28515625" style="1187" customWidth="1"/>
    <col min="9" max="10" width="7.140625" style="1186" bestFit="1" customWidth="1"/>
    <col min="11" max="19" width="7.140625" style="1187" bestFit="1" customWidth="1"/>
    <col min="20" max="20" width="8.85546875" style="1186"/>
    <col min="21" max="25" width="9.140625" style="1185" customWidth="1"/>
    <col min="26" max="16384" width="8.85546875" style="1185"/>
  </cols>
  <sheetData>
    <row r="1" spans="1:27" ht="13.5" thickBot="1">
      <c r="A1" s="1184" t="s">
        <v>1423</v>
      </c>
      <c r="D1" s="1786" t="s">
        <v>1424</v>
      </c>
      <c r="E1" s="1787"/>
      <c r="F1" s="1787"/>
      <c r="G1" s="1787"/>
      <c r="H1" s="1787"/>
      <c r="I1" s="1788"/>
      <c r="P1" s="1188" t="s">
        <v>1200</v>
      </c>
      <c r="V1" s="1447" t="s">
        <v>2222</v>
      </c>
      <c r="W1" s="1447"/>
      <c r="X1" s="1447"/>
      <c r="Y1" s="1447"/>
    </row>
    <row r="2" spans="1:27">
      <c r="A2" s="1189" t="s">
        <v>1425</v>
      </c>
      <c r="T2" s="1190"/>
    </row>
    <row r="3" spans="1:27">
      <c r="A3" s="1191" t="s">
        <v>1426</v>
      </c>
    </row>
    <row r="4" spans="1:27">
      <c r="A4" s="1191" t="s">
        <v>1427</v>
      </c>
      <c r="D4" s="1187">
        <v>1</v>
      </c>
      <c r="E4" s="1187">
        <v>2</v>
      </c>
      <c r="F4" s="1187">
        <v>3</v>
      </c>
      <c r="G4" s="1187">
        <v>4</v>
      </c>
      <c r="H4" s="1187">
        <v>5</v>
      </c>
      <c r="I4" s="1187">
        <v>6</v>
      </c>
      <c r="J4" s="1187">
        <v>7</v>
      </c>
      <c r="K4" s="1187">
        <v>8</v>
      </c>
      <c r="L4" s="1187">
        <v>9</v>
      </c>
      <c r="M4" s="1187">
        <v>10</v>
      </c>
      <c r="N4" s="1187">
        <v>11</v>
      </c>
      <c r="O4" s="1187">
        <v>12</v>
      </c>
      <c r="P4" s="1187">
        <v>13</v>
      </c>
      <c r="Q4" s="1187">
        <v>14</v>
      </c>
      <c r="R4" s="1187">
        <v>15</v>
      </c>
      <c r="S4" s="1187">
        <v>16</v>
      </c>
      <c r="T4" s="1187">
        <v>17</v>
      </c>
      <c r="U4" s="1187">
        <v>18</v>
      </c>
      <c r="V4" s="1187">
        <v>19</v>
      </c>
      <c r="W4" s="1187">
        <v>20</v>
      </c>
      <c r="X4" s="1187">
        <v>21</v>
      </c>
      <c r="Y4" s="1187">
        <v>22</v>
      </c>
      <c r="Z4" s="1187">
        <v>23</v>
      </c>
      <c r="AA4" s="1187">
        <v>24</v>
      </c>
    </row>
    <row r="5" spans="1:27">
      <c r="B5" s="1186"/>
      <c r="D5" s="1187">
        <v>2000</v>
      </c>
      <c r="E5" s="1187">
        <v>2001</v>
      </c>
      <c r="F5" s="1187">
        <v>2002</v>
      </c>
      <c r="G5" s="1187">
        <v>2003</v>
      </c>
      <c r="H5" s="1187">
        <v>2004</v>
      </c>
      <c r="I5" s="1186">
        <v>2005</v>
      </c>
      <c r="J5" s="1186">
        <v>2006</v>
      </c>
      <c r="K5" s="1186">
        <v>2007</v>
      </c>
      <c r="L5" s="1186">
        <v>2008</v>
      </c>
      <c r="M5" s="1186">
        <v>2009</v>
      </c>
      <c r="N5" s="1186">
        <v>2010</v>
      </c>
      <c r="O5" s="1186">
        <v>2011</v>
      </c>
      <c r="P5" s="1186">
        <v>2012</v>
      </c>
      <c r="Q5" s="1187">
        <v>2013</v>
      </c>
      <c r="R5" s="1186">
        <v>2014</v>
      </c>
      <c r="S5" s="1186">
        <v>2015</v>
      </c>
      <c r="T5" s="1186">
        <v>2016</v>
      </c>
      <c r="U5" s="1186">
        <v>2017</v>
      </c>
      <c r="V5" s="1186">
        <v>2018</v>
      </c>
      <c r="W5" s="1186">
        <v>2019</v>
      </c>
      <c r="X5" s="1186">
        <v>2020</v>
      </c>
      <c r="Y5" s="1186">
        <v>2021</v>
      </c>
    </row>
    <row r="6" spans="1:27" ht="15">
      <c r="A6" s="1192" t="s">
        <v>1428</v>
      </c>
      <c r="B6" s="1192" t="s">
        <v>1429</v>
      </c>
      <c r="C6" s="1193" t="s">
        <v>1430</v>
      </c>
      <c r="D6" s="1194" t="s">
        <v>1431</v>
      </c>
      <c r="E6" s="1194" t="s">
        <v>1432</v>
      </c>
      <c r="F6" s="1194" t="s">
        <v>1433</v>
      </c>
      <c r="G6" s="1194" t="s">
        <v>1434</v>
      </c>
      <c r="H6" s="1194" t="s">
        <v>1435</v>
      </c>
      <c r="I6" s="1192" t="s">
        <v>1436</v>
      </c>
      <c r="J6" s="1192" t="s">
        <v>1437</v>
      </c>
      <c r="K6" s="1194" t="s">
        <v>1438</v>
      </c>
      <c r="L6" s="1194" t="s">
        <v>1439</v>
      </c>
      <c r="M6" s="1194" t="s">
        <v>1440</v>
      </c>
      <c r="N6" s="1194" t="s">
        <v>1441</v>
      </c>
      <c r="O6" s="1194" t="s">
        <v>1442</v>
      </c>
      <c r="P6" s="1194" t="s">
        <v>1443</v>
      </c>
      <c r="Q6" s="1194" t="s">
        <v>1444</v>
      </c>
      <c r="R6" s="1194" t="s">
        <v>1445</v>
      </c>
      <c r="S6" s="1194" t="s">
        <v>1446</v>
      </c>
      <c r="T6" s="1194" t="s">
        <v>1447</v>
      </c>
      <c r="U6" s="1194" t="s">
        <v>2196</v>
      </c>
      <c r="V6" s="1194" t="s">
        <v>2221</v>
      </c>
      <c r="W6" s="1194" t="s">
        <v>2267</v>
      </c>
      <c r="X6" s="1194" t="s">
        <v>2375</v>
      </c>
      <c r="Y6" s="1194" t="s">
        <v>2376</v>
      </c>
    </row>
    <row r="7" spans="1:27" s="1191" customFormat="1" ht="15">
      <c r="A7" s="1195">
        <v>999999</v>
      </c>
      <c r="B7" s="1196" t="s">
        <v>1448</v>
      </c>
      <c r="C7" s="1197">
        <v>9</v>
      </c>
      <c r="D7" s="1197" t="s">
        <v>1449</v>
      </c>
      <c r="E7" s="1197" t="s">
        <v>1449</v>
      </c>
      <c r="F7" s="1197" t="s">
        <v>1449</v>
      </c>
      <c r="G7" s="1197" t="s">
        <v>1449</v>
      </c>
      <c r="H7" s="1197" t="s">
        <v>1449</v>
      </c>
      <c r="I7" s="1197" t="s">
        <v>1449</v>
      </c>
      <c r="J7" s="1197" t="s">
        <v>1449</v>
      </c>
      <c r="K7" s="1197" t="s">
        <v>1449</v>
      </c>
      <c r="L7" s="1197" t="s">
        <v>1449</v>
      </c>
      <c r="M7" s="1197" t="s">
        <v>1449</v>
      </c>
      <c r="N7" s="1197" t="s">
        <v>1449</v>
      </c>
      <c r="O7" s="1197" t="s">
        <v>1449</v>
      </c>
      <c r="P7" s="1197" t="s">
        <v>1449</v>
      </c>
      <c r="Q7" s="1197" t="s">
        <v>1449</v>
      </c>
      <c r="R7" s="1197" t="s">
        <v>1449</v>
      </c>
      <c r="S7" s="1197" t="s">
        <v>1449</v>
      </c>
      <c r="T7" s="1197" t="s">
        <v>1449</v>
      </c>
      <c r="U7" s="1197" t="s">
        <v>1449</v>
      </c>
      <c r="V7" s="1197" t="s">
        <v>1449</v>
      </c>
      <c r="W7" s="1197" t="s">
        <v>1449</v>
      </c>
      <c r="X7" s="1197" t="s">
        <v>1449</v>
      </c>
      <c r="Y7" s="1197" t="s">
        <v>1449</v>
      </c>
    </row>
    <row r="8" spans="1:27">
      <c r="A8" s="1198">
        <v>309</v>
      </c>
      <c r="B8" s="1199" t="s">
        <v>1450</v>
      </c>
      <c r="C8" s="1200">
        <v>3</v>
      </c>
      <c r="D8" s="1201" t="str">
        <f t="shared" ref="D8:I24" si="0">$J8</f>
        <v>D</v>
      </c>
      <c r="E8" s="1201" t="str">
        <f t="shared" si="0"/>
        <v>D</v>
      </c>
      <c r="F8" s="1201" t="str">
        <f t="shared" si="0"/>
        <v>D</v>
      </c>
      <c r="G8" s="1201" t="str">
        <f t="shared" si="0"/>
        <v>D</v>
      </c>
      <c r="H8" s="1201" t="str">
        <f t="shared" si="0"/>
        <v>D</v>
      </c>
      <c r="I8" s="1201" t="str">
        <f t="shared" si="0"/>
        <v>D</v>
      </c>
      <c r="J8" s="1202" t="s">
        <v>1319</v>
      </c>
      <c r="K8" s="1203" t="s">
        <v>1319</v>
      </c>
      <c r="L8" s="1203" t="s">
        <v>1319</v>
      </c>
      <c r="M8" s="1203" t="s">
        <v>1319</v>
      </c>
      <c r="N8" s="1203" t="s">
        <v>1319</v>
      </c>
      <c r="O8" s="1203" t="s">
        <v>1319</v>
      </c>
      <c r="P8" s="1203" t="s">
        <v>1319</v>
      </c>
      <c r="Q8" s="1203" t="s">
        <v>1319</v>
      </c>
      <c r="R8" s="1203" t="s">
        <v>1319</v>
      </c>
      <c r="S8" s="1204" t="s">
        <v>1319</v>
      </c>
      <c r="T8" s="1202" t="s">
        <v>1451</v>
      </c>
      <c r="U8" s="1202" t="s">
        <v>1451</v>
      </c>
      <c r="V8" s="1202" t="s">
        <v>1451</v>
      </c>
      <c r="W8" s="1202" t="s">
        <v>1451</v>
      </c>
      <c r="X8" s="1202" t="s">
        <v>1451</v>
      </c>
      <c r="Y8" s="1202" t="s">
        <v>1451</v>
      </c>
    </row>
    <row r="9" spans="1:27">
      <c r="A9" s="1198">
        <v>307</v>
      </c>
      <c r="B9" s="1199" t="s">
        <v>1452</v>
      </c>
      <c r="C9" s="1200">
        <v>3</v>
      </c>
      <c r="D9" s="1201" t="str">
        <f t="shared" si="0"/>
        <v>D</v>
      </c>
      <c r="E9" s="1201" t="str">
        <f t="shared" si="0"/>
        <v>D</v>
      </c>
      <c r="F9" s="1201" t="str">
        <f t="shared" si="0"/>
        <v>D</v>
      </c>
      <c r="G9" s="1201" t="str">
        <f t="shared" si="0"/>
        <v>D</v>
      </c>
      <c r="H9" s="1201" t="str">
        <f t="shared" si="0"/>
        <v>D</v>
      </c>
      <c r="I9" s="1201" t="str">
        <f t="shared" si="0"/>
        <v>D</v>
      </c>
      <c r="J9" s="1202" t="s">
        <v>1319</v>
      </c>
      <c r="K9" s="1203" t="s">
        <v>1319</v>
      </c>
      <c r="L9" s="1203" t="s">
        <v>1319</v>
      </c>
      <c r="M9" s="1203" t="s">
        <v>1319</v>
      </c>
      <c r="N9" s="1203" t="s">
        <v>1319</v>
      </c>
      <c r="O9" s="1203" t="s">
        <v>1319</v>
      </c>
      <c r="P9" s="1203" t="s">
        <v>1319</v>
      </c>
      <c r="Q9" s="1203" t="s">
        <v>1319</v>
      </c>
      <c r="R9" s="1203" t="s">
        <v>1319</v>
      </c>
      <c r="S9" s="1204" t="s">
        <v>1319</v>
      </c>
      <c r="T9" s="1202" t="s">
        <v>1451</v>
      </c>
      <c r="U9" s="1202" t="s">
        <v>1451</v>
      </c>
      <c r="V9" s="1202" t="s">
        <v>1451</v>
      </c>
      <c r="W9" s="1202" t="s">
        <v>1451</v>
      </c>
      <c r="X9" s="1202" t="s">
        <v>1451</v>
      </c>
      <c r="Y9" s="1202" t="s">
        <v>1451</v>
      </c>
    </row>
    <row r="10" spans="1:27">
      <c r="A10" s="1198">
        <v>23413</v>
      </c>
      <c r="B10" s="1199" t="s">
        <v>1453</v>
      </c>
      <c r="C10" s="1200">
        <v>3</v>
      </c>
      <c r="D10" s="1201" t="str">
        <f t="shared" si="0"/>
        <v>D</v>
      </c>
      <c r="E10" s="1201" t="str">
        <f t="shared" si="0"/>
        <v>D</v>
      </c>
      <c r="F10" s="1201" t="str">
        <f t="shared" si="0"/>
        <v>D</v>
      </c>
      <c r="G10" s="1201" t="str">
        <f t="shared" si="0"/>
        <v>D</v>
      </c>
      <c r="H10" s="1201" t="str">
        <f t="shared" si="0"/>
        <v>D</v>
      </c>
      <c r="I10" s="1201" t="str">
        <f t="shared" si="0"/>
        <v>D</v>
      </c>
      <c r="J10" s="1202" t="s">
        <v>1319</v>
      </c>
      <c r="K10" s="1203" t="s">
        <v>1319</v>
      </c>
      <c r="L10" s="1203" t="s">
        <v>1319</v>
      </c>
      <c r="M10" s="1203" t="s">
        <v>1319</v>
      </c>
      <c r="N10" s="1203" t="s">
        <v>1319</v>
      </c>
      <c r="O10" s="1203" t="s">
        <v>1319</v>
      </c>
      <c r="P10" s="1203" t="s">
        <v>1319</v>
      </c>
      <c r="Q10" s="1203" t="s">
        <v>1319</v>
      </c>
      <c r="R10" s="1203" t="s">
        <v>1319</v>
      </c>
      <c r="S10" s="1204" t="s">
        <v>1319</v>
      </c>
      <c r="T10" s="1202" t="s">
        <v>1451</v>
      </c>
      <c r="U10" s="1202" t="s">
        <v>1451</v>
      </c>
      <c r="V10" s="1202" t="s">
        <v>1451</v>
      </c>
      <c r="W10" s="1202" t="s">
        <v>1451</v>
      </c>
      <c r="X10" s="1202" t="s">
        <v>1451</v>
      </c>
      <c r="Y10" s="1202" t="s">
        <v>1451</v>
      </c>
    </row>
    <row r="11" spans="1:27" s="1210" customFormat="1">
      <c r="A11" s="1205">
        <v>9163</v>
      </c>
      <c r="B11" s="1206" t="s">
        <v>1454</v>
      </c>
      <c r="C11" s="1200">
        <v>3</v>
      </c>
      <c r="D11" s="1201" t="str">
        <f t="shared" si="0"/>
        <v>D</v>
      </c>
      <c r="E11" s="1201" t="str">
        <f t="shared" si="0"/>
        <v>D</v>
      </c>
      <c r="F11" s="1201" t="str">
        <f t="shared" si="0"/>
        <v>D</v>
      </c>
      <c r="G11" s="1201" t="str">
        <f t="shared" si="0"/>
        <v>D</v>
      </c>
      <c r="H11" s="1201" t="str">
        <f t="shared" si="0"/>
        <v>D</v>
      </c>
      <c r="I11" s="1201" t="str">
        <f t="shared" si="0"/>
        <v>D</v>
      </c>
      <c r="J11" s="1207" t="s">
        <v>1319</v>
      </c>
      <c r="K11" s="1208" t="s">
        <v>1319</v>
      </c>
      <c r="L11" s="1208" t="s">
        <v>1319</v>
      </c>
      <c r="M11" s="1208" t="s">
        <v>1319</v>
      </c>
      <c r="N11" s="1208" t="s">
        <v>1319</v>
      </c>
      <c r="O11" s="1208" t="s">
        <v>1319</v>
      </c>
      <c r="P11" s="1208" t="s">
        <v>1319</v>
      </c>
      <c r="Q11" s="1208" t="s">
        <v>1319</v>
      </c>
      <c r="R11" s="1208" t="s">
        <v>1319</v>
      </c>
      <c r="S11" s="1209" t="s">
        <v>1319</v>
      </c>
      <c r="T11" s="1202" t="s">
        <v>1451</v>
      </c>
      <c r="U11" s="1202" t="s">
        <v>1451</v>
      </c>
      <c r="V11" s="1202" t="s">
        <v>1451</v>
      </c>
      <c r="W11" s="1202" t="s">
        <v>1451</v>
      </c>
      <c r="X11" s="1202" t="s">
        <v>1451</v>
      </c>
      <c r="Y11" s="1202" t="s">
        <v>1451</v>
      </c>
    </row>
    <row r="12" spans="1:27">
      <c r="A12" s="1198">
        <v>3608</v>
      </c>
      <c r="B12" s="1199" t="s">
        <v>1455</v>
      </c>
      <c r="C12" s="1200">
        <v>3</v>
      </c>
      <c r="D12" s="1201" t="str">
        <f t="shared" si="0"/>
        <v>D</v>
      </c>
      <c r="E12" s="1201" t="str">
        <f t="shared" si="0"/>
        <v>D</v>
      </c>
      <c r="F12" s="1201" t="str">
        <f t="shared" si="0"/>
        <v>D</v>
      </c>
      <c r="G12" s="1201" t="str">
        <f t="shared" si="0"/>
        <v>D</v>
      </c>
      <c r="H12" s="1201" t="str">
        <f t="shared" si="0"/>
        <v>D</v>
      </c>
      <c r="I12" s="1201" t="str">
        <f t="shared" si="0"/>
        <v>D</v>
      </c>
      <c r="J12" s="1202" t="s">
        <v>1319</v>
      </c>
      <c r="K12" s="1203" t="s">
        <v>1319</v>
      </c>
      <c r="L12" s="1203" t="s">
        <v>1319</v>
      </c>
      <c r="M12" s="1203" t="s">
        <v>1319</v>
      </c>
      <c r="N12" s="1203" t="s">
        <v>1319</v>
      </c>
      <c r="O12" s="1203" t="s">
        <v>1319</v>
      </c>
      <c r="P12" s="1203" t="s">
        <v>1319</v>
      </c>
      <c r="Q12" s="1203" t="s">
        <v>1319</v>
      </c>
      <c r="R12" s="1203" t="s">
        <v>1319</v>
      </c>
      <c r="S12" s="1204" t="s">
        <v>1319</v>
      </c>
      <c r="T12" s="1202" t="s">
        <v>1451</v>
      </c>
      <c r="U12" s="1202" t="s">
        <v>1451</v>
      </c>
      <c r="V12" s="1202" t="s">
        <v>1451</v>
      </c>
      <c r="W12" s="1202" t="s">
        <v>1451</v>
      </c>
      <c r="X12" s="1202" t="s">
        <v>1451</v>
      </c>
      <c r="Y12" s="1202" t="s">
        <v>1451</v>
      </c>
    </row>
    <row r="13" spans="1:27">
      <c r="A13" s="1198">
        <v>3607</v>
      </c>
      <c r="B13" s="1199" t="s">
        <v>1456</v>
      </c>
      <c r="C13" s="1200">
        <v>3</v>
      </c>
      <c r="D13" s="1201">
        <f t="shared" si="0"/>
        <v>6</v>
      </c>
      <c r="E13" s="1201">
        <f t="shared" si="0"/>
        <v>6</v>
      </c>
      <c r="F13" s="1201">
        <f t="shared" si="0"/>
        <v>6</v>
      </c>
      <c r="G13" s="1201">
        <f t="shared" si="0"/>
        <v>6</v>
      </c>
      <c r="H13" s="1201">
        <f t="shared" si="0"/>
        <v>6</v>
      </c>
      <c r="I13" s="1201">
        <f t="shared" si="0"/>
        <v>6</v>
      </c>
      <c r="J13" s="1202">
        <v>6</v>
      </c>
      <c r="K13" s="1203">
        <v>6</v>
      </c>
      <c r="L13" s="1203">
        <v>6</v>
      </c>
      <c r="M13" s="1203">
        <v>6</v>
      </c>
      <c r="N13" s="1203">
        <v>6</v>
      </c>
      <c r="O13" s="1203">
        <v>6</v>
      </c>
      <c r="P13" s="1203">
        <v>6</v>
      </c>
      <c r="Q13" s="1203">
        <v>6</v>
      </c>
      <c r="R13" s="1203">
        <v>6</v>
      </c>
      <c r="S13" s="1204">
        <v>6</v>
      </c>
      <c r="T13" s="1202" t="s">
        <v>1451</v>
      </c>
      <c r="U13" s="1202" t="s">
        <v>1451</v>
      </c>
      <c r="V13" s="1202" t="s">
        <v>1451</v>
      </c>
      <c r="W13" s="1202" t="s">
        <v>1451</v>
      </c>
      <c r="X13" s="1202" t="s">
        <v>1451</v>
      </c>
      <c r="Y13" s="1202" t="s">
        <v>1451</v>
      </c>
    </row>
    <row r="14" spans="1:27">
      <c r="A14" s="1198">
        <v>3539</v>
      </c>
      <c r="B14" s="1199" t="s">
        <v>1457</v>
      </c>
      <c r="C14" s="1200">
        <v>3</v>
      </c>
      <c r="D14" s="1201">
        <f t="shared" si="0"/>
        <v>8</v>
      </c>
      <c r="E14" s="1201">
        <f t="shared" si="0"/>
        <v>8</v>
      </c>
      <c r="F14" s="1201">
        <f t="shared" si="0"/>
        <v>8</v>
      </c>
      <c r="G14" s="1201">
        <f t="shared" si="0"/>
        <v>8</v>
      </c>
      <c r="H14" s="1201">
        <f t="shared" si="0"/>
        <v>8</v>
      </c>
      <c r="I14" s="1201">
        <f t="shared" si="0"/>
        <v>8</v>
      </c>
      <c r="J14" s="1202">
        <v>8</v>
      </c>
      <c r="K14" s="1203">
        <v>8</v>
      </c>
      <c r="L14" s="1203">
        <v>8</v>
      </c>
      <c r="M14" s="1203">
        <v>8</v>
      </c>
      <c r="N14" s="1203">
        <v>8</v>
      </c>
      <c r="O14" s="1203">
        <v>8</v>
      </c>
      <c r="P14" s="1203">
        <v>8</v>
      </c>
      <c r="Q14" s="1203">
        <v>8</v>
      </c>
      <c r="R14" s="1203">
        <v>8</v>
      </c>
      <c r="S14" s="1204">
        <v>8</v>
      </c>
      <c r="T14" s="1202" t="s">
        <v>1458</v>
      </c>
      <c r="U14" s="1202" t="s">
        <v>1458</v>
      </c>
      <c r="V14" s="1202" t="s">
        <v>1458</v>
      </c>
      <c r="W14" s="1202" t="s">
        <v>1458</v>
      </c>
      <c r="X14" s="1202" t="s">
        <v>1458</v>
      </c>
      <c r="Y14" s="1202" t="s">
        <v>1458</v>
      </c>
    </row>
    <row r="15" spans="1:27">
      <c r="A15" s="1198">
        <v>3540</v>
      </c>
      <c r="B15" s="1199" t="s">
        <v>1459</v>
      </c>
      <c r="C15" s="1200">
        <v>3</v>
      </c>
      <c r="D15" s="1201">
        <f t="shared" si="0"/>
        <v>7</v>
      </c>
      <c r="E15" s="1201">
        <f t="shared" si="0"/>
        <v>7</v>
      </c>
      <c r="F15" s="1201">
        <f t="shared" si="0"/>
        <v>7</v>
      </c>
      <c r="G15" s="1201">
        <f t="shared" si="0"/>
        <v>7</v>
      </c>
      <c r="H15" s="1201">
        <f t="shared" si="0"/>
        <v>7</v>
      </c>
      <c r="I15" s="1201">
        <f t="shared" si="0"/>
        <v>7</v>
      </c>
      <c r="J15" s="1202">
        <v>7</v>
      </c>
      <c r="K15" s="1203">
        <v>7</v>
      </c>
      <c r="L15" s="1203">
        <v>7</v>
      </c>
      <c r="M15" s="1203">
        <v>7</v>
      </c>
      <c r="N15" s="1203">
        <v>7</v>
      </c>
      <c r="O15" s="1203">
        <v>7</v>
      </c>
      <c r="P15" s="1203">
        <v>7</v>
      </c>
      <c r="Q15" s="1203">
        <v>7</v>
      </c>
      <c r="R15" s="1203">
        <v>7</v>
      </c>
      <c r="S15" s="1204">
        <v>7</v>
      </c>
      <c r="T15" s="1202" t="s">
        <v>1460</v>
      </c>
      <c r="U15" s="1202" t="s">
        <v>1460</v>
      </c>
      <c r="V15" s="1202" t="s">
        <v>1460</v>
      </c>
      <c r="W15" s="1202" t="s">
        <v>1460</v>
      </c>
      <c r="X15" s="1202" t="s">
        <v>1460</v>
      </c>
      <c r="Y15" s="1202" t="s">
        <v>1460</v>
      </c>
    </row>
    <row r="16" spans="1:27">
      <c r="A16" s="1198">
        <v>6661</v>
      </c>
      <c r="B16" s="1199" t="s">
        <v>1461</v>
      </c>
      <c r="C16" s="1200">
        <v>3</v>
      </c>
      <c r="D16" s="1201">
        <f t="shared" si="0"/>
        <v>8</v>
      </c>
      <c r="E16" s="1201">
        <f t="shared" si="0"/>
        <v>8</v>
      </c>
      <c r="F16" s="1201">
        <f t="shared" si="0"/>
        <v>8</v>
      </c>
      <c r="G16" s="1201">
        <f t="shared" si="0"/>
        <v>8</v>
      </c>
      <c r="H16" s="1201">
        <f t="shared" si="0"/>
        <v>8</v>
      </c>
      <c r="I16" s="1201">
        <f t="shared" si="0"/>
        <v>8</v>
      </c>
      <c r="J16" s="1202">
        <v>8</v>
      </c>
      <c r="K16" s="1203">
        <v>8</v>
      </c>
      <c r="L16" s="1203">
        <v>8</v>
      </c>
      <c r="M16" s="1203">
        <v>8</v>
      </c>
      <c r="N16" s="1203">
        <v>8</v>
      </c>
      <c r="O16" s="1203">
        <v>8</v>
      </c>
      <c r="P16" s="1203">
        <v>8</v>
      </c>
      <c r="Q16" s="1203">
        <v>8</v>
      </c>
      <c r="R16" s="1203">
        <v>8</v>
      </c>
      <c r="S16" s="1204">
        <v>8</v>
      </c>
      <c r="T16" s="1202" t="s">
        <v>1458</v>
      </c>
      <c r="U16" s="1202" t="s">
        <v>1458</v>
      </c>
      <c r="V16" s="1202" t="s">
        <v>1458</v>
      </c>
      <c r="W16" s="1202" t="s">
        <v>1458</v>
      </c>
      <c r="X16" s="1202" t="s">
        <v>1458</v>
      </c>
      <c r="Y16" s="1202" t="s">
        <v>1458</v>
      </c>
    </row>
    <row r="17" spans="1:25">
      <c r="A17" s="1198">
        <v>12015</v>
      </c>
      <c r="B17" s="1199" t="s">
        <v>1462</v>
      </c>
      <c r="C17" s="1200">
        <v>3</v>
      </c>
      <c r="D17" s="1201">
        <f t="shared" si="0"/>
        <v>6</v>
      </c>
      <c r="E17" s="1201">
        <f t="shared" si="0"/>
        <v>6</v>
      </c>
      <c r="F17" s="1201">
        <f t="shared" si="0"/>
        <v>6</v>
      </c>
      <c r="G17" s="1201">
        <f t="shared" si="0"/>
        <v>6</v>
      </c>
      <c r="H17" s="1201">
        <f t="shared" si="0"/>
        <v>6</v>
      </c>
      <c r="I17" s="1201">
        <f t="shared" si="0"/>
        <v>6</v>
      </c>
      <c r="J17" s="1202">
        <v>6</v>
      </c>
      <c r="K17" s="1203">
        <v>6</v>
      </c>
      <c r="L17" s="1203">
        <v>6</v>
      </c>
      <c r="M17" s="1203">
        <v>6</v>
      </c>
      <c r="N17" s="1203">
        <v>6</v>
      </c>
      <c r="O17" s="1203">
        <v>6</v>
      </c>
      <c r="P17" s="1203">
        <v>6</v>
      </c>
      <c r="Q17" s="1203">
        <v>6</v>
      </c>
      <c r="R17" s="1203">
        <v>6</v>
      </c>
      <c r="S17" s="1204">
        <v>6</v>
      </c>
      <c r="T17" s="1202" t="s">
        <v>1451</v>
      </c>
      <c r="U17" s="1202" t="s">
        <v>1451</v>
      </c>
      <c r="V17" s="1202" t="s">
        <v>1451</v>
      </c>
      <c r="W17" s="1202" t="s">
        <v>1451</v>
      </c>
      <c r="X17" s="1202" t="s">
        <v>1451</v>
      </c>
      <c r="Y17" s="1202" t="s">
        <v>1451</v>
      </c>
    </row>
    <row r="18" spans="1:25">
      <c r="A18" s="1198">
        <v>3549</v>
      </c>
      <c r="B18" s="1199" t="s">
        <v>1463</v>
      </c>
      <c r="C18" s="1200">
        <v>3</v>
      </c>
      <c r="D18" s="1201">
        <f t="shared" si="0"/>
        <v>7</v>
      </c>
      <c r="E18" s="1201">
        <f t="shared" si="0"/>
        <v>7</v>
      </c>
      <c r="F18" s="1201">
        <f t="shared" si="0"/>
        <v>7</v>
      </c>
      <c r="G18" s="1201">
        <f t="shared" si="0"/>
        <v>7</v>
      </c>
      <c r="H18" s="1201">
        <f t="shared" si="0"/>
        <v>7</v>
      </c>
      <c r="I18" s="1201">
        <f t="shared" si="0"/>
        <v>7</v>
      </c>
      <c r="J18" s="1202">
        <v>7</v>
      </c>
      <c r="K18" s="1203">
        <v>7</v>
      </c>
      <c r="L18" s="1203">
        <v>7</v>
      </c>
      <c r="M18" s="1203">
        <v>7</v>
      </c>
      <c r="N18" s="1203">
        <v>7</v>
      </c>
      <c r="O18" s="1203">
        <v>7</v>
      </c>
      <c r="P18" s="1203">
        <v>7</v>
      </c>
      <c r="Q18" s="1203">
        <v>7</v>
      </c>
      <c r="R18" s="1203">
        <v>7</v>
      </c>
      <c r="S18" s="1204">
        <v>7</v>
      </c>
      <c r="T18" s="1202" t="s">
        <v>1460</v>
      </c>
      <c r="U18" s="1202" t="s">
        <v>1460</v>
      </c>
      <c r="V18" s="1202" t="s">
        <v>1460</v>
      </c>
      <c r="W18" s="1202" t="s">
        <v>1460</v>
      </c>
      <c r="X18" s="1202" t="s">
        <v>1460</v>
      </c>
      <c r="Y18" s="1202" t="s">
        <v>1460</v>
      </c>
    </row>
    <row r="19" spans="1:25">
      <c r="A19" s="1198">
        <v>7857</v>
      </c>
      <c r="B19" s="1199" t="s">
        <v>1464</v>
      </c>
      <c r="C19" s="1200">
        <v>3</v>
      </c>
      <c r="D19" s="1201">
        <f t="shared" si="0"/>
        <v>8</v>
      </c>
      <c r="E19" s="1201">
        <f t="shared" si="0"/>
        <v>8</v>
      </c>
      <c r="F19" s="1201">
        <f t="shared" si="0"/>
        <v>8</v>
      </c>
      <c r="G19" s="1201">
        <f t="shared" si="0"/>
        <v>8</v>
      </c>
      <c r="H19" s="1201">
        <f t="shared" si="0"/>
        <v>8</v>
      </c>
      <c r="I19" s="1201">
        <f t="shared" si="0"/>
        <v>8</v>
      </c>
      <c r="J19" s="1202">
        <v>8</v>
      </c>
      <c r="K19" s="1203">
        <v>8</v>
      </c>
      <c r="L19" s="1203">
        <v>8</v>
      </c>
      <c r="M19" s="1203">
        <v>8</v>
      </c>
      <c r="N19" s="1203">
        <v>8</v>
      </c>
      <c r="O19" s="1203">
        <v>8</v>
      </c>
      <c r="P19" s="1203">
        <v>8</v>
      </c>
      <c r="Q19" s="1203">
        <v>8</v>
      </c>
      <c r="R19" s="1203">
        <v>8</v>
      </c>
      <c r="S19" s="1204">
        <v>8</v>
      </c>
      <c r="T19" s="1202" t="s">
        <v>1458</v>
      </c>
      <c r="U19" s="1202" t="s">
        <v>1458</v>
      </c>
      <c r="V19" s="1202" t="s">
        <v>1458</v>
      </c>
      <c r="W19" s="1202" t="s">
        <v>1458</v>
      </c>
      <c r="X19" s="1202" t="s">
        <v>1458</v>
      </c>
      <c r="Y19" s="1202" t="s">
        <v>1458</v>
      </c>
    </row>
    <row r="20" spans="1:25">
      <c r="A20" s="1198">
        <v>4003</v>
      </c>
      <c r="B20" s="1199" t="s">
        <v>1465</v>
      </c>
      <c r="C20" s="1200">
        <v>3</v>
      </c>
      <c r="D20" s="1201">
        <f t="shared" si="0"/>
        <v>7</v>
      </c>
      <c r="E20" s="1201">
        <f t="shared" si="0"/>
        <v>7</v>
      </c>
      <c r="F20" s="1201">
        <f t="shared" si="0"/>
        <v>7</v>
      </c>
      <c r="G20" s="1201">
        <f t="shared" si="0"/>
        <v>7</v>
      </c>
      <c r="H20" s="1201">
        <f t="shared" si="0"/>
        <v>7</v>
      </c>
      <c r="I20" s="1201">
        <f t="shared" si="0"/>
        <v>7</v>
      </c>
      <c r="J20" s="1202">
        <v>7</v>
      </c>
      <c r="K20" s="1203">
        <v>7</v>
      </c>
      <c r="L20" s="1203">
        <v>7</v>
      </c>
      <c r="M20" s="1203">
        <v>7</v>
      </c>
      <c r="N20" s="1203">
        <v>7</v>
      </c>
      <c r="O20" s="1203">
        <v>7</v>
      </c>
      <c r="P20" s="1203">
        <v>7</v>
      </c>
      <c r="Q20" s="1203">
        <v>7</v>
      </c>
      <c r="R20" s="1203">
        <v>7</v>
      </c>
      <c r="S20" s="1204">
        <v>7</v>
      </c>
      <c r="T20" s="1202" t="s">
        <v>1460</v>
      </c>
      <c r="U20" s="1202" t="s">
        <v>1460</v>
      </c>
      <c r="V20" s="1202" t="s">
        <v>1460</v>
      </c>
      <c r="W20" s="1202" t="s">
        <v>1460</v>
      </c>
      <c r="X20" s="1202" t="s">
        <v>1460</v>
      </c>
      <c r="Y20" s="1202" t="s">
        <v>1460</v>
      </c>
    </row>
    <row r="21" spans="1:25">
      <c r="A21" s="1198">
        <v>3553</v>
      </c>
      <c r="B21" s="1199" t="s">
        <v>1466</v>
      </c>
      <c r="C21" s="1200">
        <v>3</v>
      </c>
      <c r="D21" s="1201">
        <f t="shared" si="0"/>
        <v>8</v>
      </c>
      <c r="E21" s="1201">
        <f t="shared" si="0"/>
        <v>8</v>
      </c>
      <c r="F21" s="1201">
        <f t="shared" si="0"/>
        <v>8</v>
      </c>
      <c r="G21" s="1201">
        <f t="shared" si="0"/>
        <v>8</v>
      </c>
      <c r="H21" s="1201">
        <f t="shared" si="0"/>
        <v>8</v>
      </c>
      <c r="I21" s="1201">
        <f t="shared" si="0"/>
        <v>8</v>
      </c>
      <c r="J21" s="1202">
        <v>8</v>
      </c>
      <c r="K21" s="1203">
        <v>8</v>
      </c>
      <c r="L21" s="1203">
        <v>8</v>
      </c>
      <c r="M21" s="1203">
        <v>8</v>
      </c>
      <c r="N21" s="1203">
        <v>8</v>
      </c>
      <c r="O21" s="1203">
        <v>8</v>
      </c>
      <c r="P21" s="1203">
        <v>8</v>
      </c>
      <c r="Q21" s="1203">
        <v>8</v>
      </c>
      <c r="R21" s="1203">
        <v>8</v>
      </c>
      <c r="S21" s="1204">
        <v>8</v>
      </c>
      <c r="T21" s="1202" t="s">
        <v>1458</v>
      </c>
      <c r="U21" s="1202" t="s">
        <v>1458</v>
      </c>
      <c r="V21" s="1202" t="s">
        <v>1458</v>
      </c>
      <c r="W21" s="1202" t="s">
        <v>1458</v>
      </c>
      <c r="X21" s="1202" t="s">
        <v>1458</v>
      </c>
      <c r="Y21" s="1202" t="s">
        <v>1458</v>
      </c>
    </row>
    <row r="22" spans="1:25">
      <c r="A22" s="1198">
        <v>3554</v>
      </c>
      <c r="B22" s="1199" t="s">
        <v>1467</v>
      </c>
      <c r="C22" s="1200">
        <v>3</v>
      </c>
      <c r="D22" s="1201">
        <f t="shared" si="0"/>
        <v>9</v>
      </c>
      <c r="E22" s="1201">
        <f t="shared" si="0"/>
        <v>9</v>
      </c>
      <c r="F22" s="1201">
        <f t="shared" si="0"/>
        <v>9</v>
      </c>
      <c r="G22" s="1201">
        <f t="shared" si="0"/>
        <v>9</v>
      </c>
      <c r="H22" s="1201">
        <f t="shared" si="0"/>
        <v>9</v>
      </c>
      <c r="I22" s="1201">
        <f t="shared" si="0"/>
        <v>9</v>
      </c>
      <c r="J22" s="1202">
        <v>9</v>
      </c>
      <c r="K22" s="1203">
        <v>9</v>
      </c>
      <c r="L22" s="1203">
        <v>9</v>
      </c>
      <c r="M22" s="1203">
        <v>9</v>
      </c>
      <c r="N22" s="1203">
        <v>9</v>
      </c>
      <c r="O22" s="1203">
        <v>9</v>
      </c>
      <c r="P22" s="1203">
        <v>9</v>
      </c>
      <c r="Q22" s="1203">
        <v>9</v>
      </c>
      <c r="R22" s="1203">
        <v>9</v>
      </c>
      <c r="S22" s="1204">
        <v>9</v>
      </c>
      <c r="T22" s="1202" t="s">
        <v>1468</v>
      </c>
      <c r="U22" s="1202" t="s">
        <v>1468</v>
      </c>
      <c r="V22" s="1202" t="s">
        <v>1468</v>
      </c>
      <c r="W22" s="1202" t="s">
        <v>1468</v>
      </c>
      <c r="X22" s="1202" t="s">
        <v>1468</v>
      </c>
      <c r="Y22" s="1202" t="s">
        <v>1468</v>
      </c>
    </row>
    <row r="23" spans="1:25">
      <c r="A23" s="1198">
        <v>3546</v>
      </c>
      <c r="B23" s="1199" t="s">
        <v>1469</v>
      </c>
      <c r="C23" s="1200">
        <v>3</v>
      </c>
      <c r="D23" s="1201">
        <f t="shared" si="0"/>
        <v>8</v>
      </c>
      <c r="E23" s="1201">
        <f t="shared" si="0"/>
        <v>8</v>
      </c>
      <c r="F23" s="1201">
        <f t="shared" si="0"/>
        <v>8</v>
      </c>
      <c r="G23" s="1201">
        <f t="shared" si="0"/>
        <v>8</v>
      </c>
      <c r="H23" s="1201">
        <f t="shared" si="0"/>
        <v>8</v>
      </c>
      <c r="I23" s="1201">
        <f t="shared" si="0"/>
        <v>8</v>
      </c>
      <c r="J23" s="1202">
        <v>8</v>
      </c>
      <c r="K23" s="1203">
        <v>8</v>
      </c>
      <c r="L23" s="1203">
        <v>8</v>
      </c>
      <c r="M23" s="1203">
        <v>8</v>
      </c>
      <c r="N23" s="1203">
        <v>8</v>
      </c>
      <c r="O23" s="1203">
        <v>8</v>
      </c>
      <c r="P23" s="1203">
        <v>8</v>
      </c>
      <c r="Q23" s="1203">
        <v>8</v>
      </c>
      <c r="R23" s="1203">
        <v>8</v>
      </c>
      <c r="S23" s="1204">
        <v>8</v>
      </c>
      <c r="T23" s="1202" t="s">
        <v>1458</v>
      </c>
      <c r="U23" s="1202" t="s">
        <v>1458</v>
      </c>
      <c r="V23" s="1202" t="s">
        <v>1458</v>
      </c>
      <c r="W23" s="1202" t="s">
        <v>1458</v>
      </c>
      <c r="X23" s="1202" t="s">
        <v>1458</v>
      </c>
      <c r="Y23" s="1202" t="s">
        <v>1458</v>
      </c>
    </row>
    <row r="24" spans="1:25">
      <c r="A24" s="1198">
        <v>7096</v>
      </c>
      <c r="B24" s="1199" t="s">
        <v>1470</v>
      </c>
      <c r="C24" s="1200">
        <v>3</v>
      </c>
      <c r="D24" s="1201">
        <f t="shared" si="0"/>
        <v>8</v>
      </c>
      <c r="E24" s="1201">
        <f>$J24</f>
        <v>8</v>
      </c>
      <c r="F24" s="1201">
        <f>$J24</f>
        <v>8</v>
      </c>
      <c r="G24" s="1201">
        <f>$J24</f>
        <v>8</v>
      </c>
      <c r="H24" s="1201">
        <f>$J24</f>
        <v>8</v>
      </c>
      <c r="I24" s="1201">
        <f>$J24</f>
        <v>8</v>
      </c>
      <c r="J24" s="1202">
        <v>8</v>
      </c>
      <c r="K24" s="1203">
        <v>8</v>
      </c>
      <c r="L24" s="1203">
        <v>8</v>
      </c>
      <c r="M24" s="1203">
        <v>8</v>
      </c>
      <c r="N24" s="1203">
        <v>8</v>
      </c>
      <c r="O24" s="1203">
        <v>8</v>
      </c>
      <c r="P24" s="1203">
        <v>8</v>
      </c>
      <c r="Q24" s="1203">
        <v>8</v>
      </c>
      <c r="R24" s="1203">
        <v>8</v>
      </c>
      <c r="S24" s="1204">
        <v>8</v>
      </c>
      <c r="T24" s="1202" t="s">
        <v>1458</v>
      </c>
      <c r="U24" s="1202" t="s">
        <v>1458</v>
      </c>
      <c r="V24" s="1202" t="s">
        <v>1458</v>
      </c>
      <c r="W24" s="1202" t="s">
        <v>1458</v>
      </c>
      <c r="X24" s="1202" t="s">
        <v>1458</v>
      </c>
      <c r="Y24" s="1202" t="s">
        <v>1458</v>
      </c>
    </row>
    <row r="25" spans="1:25">
      <c r="A25" s="1198">
        <v>23614</v>
      </c>
      <c r="B25" s="1199" t="s">
        <v>1471</v>
      </c>
      <c r="C25" s="1200">
        <v>3</v>
      </c>
      <c r="D25" s="1201">
        <f t="shared" ref="D25:I40" si="1">$J25</f>
        <v>6</v>
      </c>
      <c r="E25" s="1201">
        <f t="shared" si="1"/>
        <v>6</v>
      </c>
      <c r="F25" s="1201">
        <f t="shared" si="1"/>
        <v>6</v>
      </c>
      <c r="G25" s="1201">
        <f t="shared" si="1"/>
        <v>6</v>
      </c>
      <c r="H25" s="1201">
        <f t="shared" si="1"/>
        <v>6</v>
      </c>
      <c r="I25" s="1201">
        <f t="shared" si="1"/>
        <v>6</v>
      </c>
      <c r="J25" s="1202">
        <v>6</v>
      </c>
      <c r="K25" s="1203">
        <v>6</v>
      </c>
      <c r="L25" s="1203">
        <v>6</v>
      </c>
      <c r="M25" s="1203">
        <v>6</v>
      </c>
      <c r="N25" s="1203">
        <v>6</v>
      </c>
      <c r="O25" s="1203">
        <v>6</v>
      </c>
      <c r="P25" s="1203">
        <v>6</v>
      </c>
      <c r="Q25" s="1203">
        <v>6</v>
      </c>
      <c r="R25" s="1203">
        <v>6</v>
      </c>
      <c r="S25" s="1204">
        <v>6</v>
      </c>
      <c r="T25" s="1202" t="s">
        <v>1451</v>
      </c>
      <c r="U25" s="1202" t="s">
        <v>1451</v>
      </c>
      <c r="V25" s="1202" t="s">
        <v>1451</v>
      </c>
      <c r="W25" s="1202" t="s">
        <v>1451</v>
      </c>
      <c r="X25" s="1202" t="s">
        <v>1451</v>
      </c>
      <c r="Y25" s="1202" t="s">
        <v>1451</v>
      </c>
    </row>
    <row r="26" spans="1:25">
      <c r="A26" s="1198">
        <v>9331</v>
      </c>
      <c r="B26" s="1199" t="s">
        <v>1472</v>
      </c>
      <c r="C26" s="1200">
        <v>3</v>
      </c>
      <c r="D26" s="1201">
        <f t="shared" si="1"/>
        <v>6</v>
      </c>
      <c r="E26" s="1201">
        <f t="shared" si="1"/>
        <v>6</v>
      </c>
      <c r="F26" s="1201">
        <f t="shared" si="1"/>
        <v>6</v>
      </c>
      <c r="G26" s="1201">
        <f t="shared" si="1"/>
        <v>6</v>
      </c>
      <c r="H26" s="1201">
        <f t="shared" si="1"/>
        <v>6</v>
      </c>
      <c r="I26" s="1201">
        <f t="shared" si="1"/>
        <v>6</v>
      </c>
      <c r="J26" s="1202">
        <v>6</v>
      </c>
      <c r="K26" s="1203">
        <v>6</v>
      </c>
      <c r="L26" s="1203">
        <v>6</v>
      </c>
      <c r="M26" s="1203">
        <v>6</v>
      </c>
      <c r="N26" s="1203">
        <v>6</v>
      </c>
      <c r="O26" s="1203">
        <v>6</v>
      </c>
      <c r="P26" s="1203">
        <v>6</v>
      </c>
      <c r="Q26" s="1203">
        <v>6</v>
      </c>
      <c r="R26" s="1203">
        <v>6</v>
      </c>
      <c r="S26" s="1204">
        <v>6</v>
      </c>
      <c r="T26" s="1202" t="s">
        <v>1451</v>
      </c>
      <c r="U26" s="1202" t="s">
        <v>1451</v>
      </c>
      <c r="V26" s="1202" t="s">
        <v>1451</v>
      </c>
      <c r="W26" s="1202" t="s">
        <v>1451</v>
      </c>
      <c r="X26" s="1202" t="s">
        <v>1451</v>
      </c>
      <c r="Y26" s="1202" t="s">
        <v>1451</v>
      </c>
    </row>
    <row r="27" spans="1:25">
      <c r="A27" s="1198">
        <v>21002</v>
      </c>
      <c r="B27" s="1199" t="s">
        <v>1473</v>
      </c>
      <c r="C27" s="1200">
        <v>3</v>
      </c>
      <c r="D27" s="1201" t="str">
        <f t="shared" si="1"/>
        <v>D</v>
      </c>
      <c r="E27" s="1201" t="str">
        <f t="shared" si="1"/>
        <v>D</v>
      </c>
      <c r="F27" s="1201" t="str">
        <f t="shared" si="1"/>
        <v>D</v>
      </c>
      <c r="G27" s="1201" t="str">
        <f t="shared" si="1"/>
        <v>D</v>
      </c>
      <c r="H27" s="1201" t="str">
        <f t="shared" si="1"/>
        <v>D</v>
      </c>
      <c r="I27" s="1201" t="str">
        <f t="shared" si="1"/>
        <v>D</v>
      </c>
      <c r="J27" s="1202" t="s">
        <v>1319</v>
      </c>
      <c r="K27" s="1203" t="s">
        <v>1319</v>
      </c>
      <c r="L27" s="1203" t="s">
        <v>1319</v>
      </c>
      <c r="M27" s="1203" t="s">
        <v>1319</v>
      </c>
      <c r="N27" s="1203" t="s">
        <v>1319</v>
      </c>
      <c r="O27" s="1203" t="s">
        <v>1319</v>
      </c>
      <c r="P27" s="1203" t="s">
        <v>1319</v>
      </c>
      <c r="Q27" s="1203" t="s">
        <v>1319</v>
      </c>
      <c r="R27" s="1203" t="s">
        <v>1319</v>
      </c>
      <c r="S27" s="1204" t="s">
        <v>1319</v>
      </c>
      <c r="T27" s="1202" t="s">
        <v>1451</v>
      </c>
      <c r="U27" s="1202" t="s">
        <v>1451</v>
      </c>
      <c r="V27" s="1202" t="s">
        <v>1451</v>
      </c>
      <c r="W27" s="1202" t="s">
        <v>1451</v>
      </c>
      <c r="X27" s="1202" t="s">
        <v>1451</v>
      </c>
      <c r="Y27" s="1202" t="s">
        <v>1451</v>
      </c>
    </row>
    <row r="28" spans="1:25">
      <c r="A28" s="1198">
        <v>3561</v>
      </c>
      <c r="B28" s="1199" t="s">
        <v>1474</v>
      </c>
      <c r="C28" s="1200">
        <v>3</v>
      </c>
      <c r="D28" s="1201" t="str">
        <f t="shared" si="1"/>
        <v>D</v>
      </c>
      <c r="E28" s="1201" t="str">
        <f t="shared" si="1"/>
        <v>D</v>
      </c>
      <c r="F28" s="1201" t="str">
        <f t="shared" si="1"/>
        <v>D</v>
      </c>
      <c r="G28" s="1201" t="str">
        <f t="shared" si="1"/>
        <v>D</v>
      </c>
      <c r="H28" s="1201" t="str">
        <f t="shared" si="1"/>
        <v>D</v>
      </c>
      <c r="I28" s="1201" t="str">
        <f t="shared" si="1"/>
        <v>D</v>
      </c>
      <c r="J28" s="1202" t="s">
        <v>1319</v>
      </c>
      <c r="K28" s="1203" t="s">
        <v>1319</v>
      </c>
      <c r="L28" s="1203" t="s">
        <v>1319</v>
      </c>
      <c r="M28" s="1203" t="s">
        <v>1319</v>
      </c>
      <c r="N28" s="1203" t="s">
        <v>1319</v>
      </c>
      <c r="O28" s="1203" t="s">
        <v>1319</v>
      </c>
      <c r="P28" s="1203" t="s">
        <v>1319</v>
      </c>
      <c r="Q28" s="1203" t="s">
        <v>1319</v>
      </c>
      <c r="R28" s="1203" t="s">
        <v>1319</v>
      </c>
      <c r="S28" s="1204" t="s">
        <v>1319</v>
      </c>
      <c r="T28" s="1202" t="s">
        <v>1451</v>
      </c>
      <c r="U28" s="1202" t="s">
        <v>1451</v>
      </c>
      <c r="V28" s="1202" t="s">
        <v>1451</v>
      </c>
      <c r="W28" s="1202" t="s">
        <v>1451</v>
      </c>
      <c r="X28" s="1202" t="s">
        <v>1451</v>
      </c>
      <c r="Y28" s="1202" t="s">
        <v>1451</v>
      </c>
    </row>
    <row r="29" spans="1:25">
      <c r="A29" s="1198">
        <v>8510</v>
      </c>
      <c r="B29" s="1199" t="s">
        <v>1475</v>
      </c>
      <c r="C29" s="1200">
        <v>3</v>
      </c>
      <c r="D29" s="1201" t="str">
        <f t="shared" si="1"/>
        <v>D</v>
      </c>
      <c r="E29" s="1201" t="str">
        <f t="shared" si="1"/>
        <v>D</v>
      </c>
      <c r="F29" s="1201" t="str">
        <f t="shared" si="1"/>
        <v>D</v>
      </c>
      <c r="G29" s="1201" t="str">
        <f t="shared" si="1"/>
        <v>D</v>
      </c>
      <c r="H29" s="1201" t="str">
        <f t="shared" si="1"/>
        <v>D</v>
      </c>
      <c r="I29" s="1201" t="str">
        <f t="shared" si="1"/>
        <v>D</v>
      </c>
      <c r="J29" s="1202" t="s">
        <v>1319</v>
      </c>
      <c r="K29" s="1203" t="s">
        <v>1319</v>
      </c>
      <c r="L29" s="1203" t="s">
        <v>1319</v>
      </c>
      <c r="M29" s="1203" t="s">
        <v>1319</v>
      </c>
      <c r="N29" s="1203" t="s">
        <v>1319</v>
      </c>
      <c r="O29" s="1203" t="s">
        <v>1319</v>
      </c>
      <c r="P29" s="1203" t="s">
        <v>1319</v>
      </c>
      <c r="Q29" s="1203" t="s">
        <v>1319</v>
      </c>
      <c r="R29" s="1203" t="s">
        <v>1319</v>
      </c>
      <c r="S29" s="1204" t="s">
        <v>1319</v>
      </c>
      <c r="T29" s="1202" t="s">
        <v>1451</v>
      </c>
      <c r="U29" s="1202" t="s">
        <v>1451</v>
      </c>
      <c r="V29" s="1202" t="s">
        <v>1451</v>
      </c>
      <c r="W29" s="1202" t="s">
        <v>1451</v>
      </c>
      <c r="X29" s="1202" t="s">
        <v>1451</v>
      </c>
      <c r="Y29" s="1202" t="s">
        <v>1451</v>
      </c>
    </row>
    <row r="30" spans="1:25">
      <c r="A30" s="1198">
        <v>4453</v>
      </c>
      <c r="B30" s="1199" t="s">
        <v>1476</v>
      </c>
      <c r="C30" s="1200">
        <v>3</v>
      </c>
      <c r="D30" s="1201" t="str">
        <f t="shared" si="1"/>
        <v>D</v>
      </c>
      <c r="E30" s="1201" t="str">
        <f t="shared" si="1"/>
        <v>D</v>
      </c>
      <c r="F30" s="1201" t="str">
        <f t="shared" si="1"/>
        <v>D</v>
      </c>
      <c r="G30" s="1201" t="str">
        <f t="shared" si="1"/>
        <v>D</v>
      </c>
      <c r="H30" s="1201" t="str">
        <f t="shared" si="1"/>
        <v>D</v>
      </c>
      <c r="I30" s="1201" t="str">
        <f t="shared" si="1"/>
        <v>D</v>
      </c>
      <c r="J30" s="1202" t="s">
        <v>1319</v>
      </c>
      <c r="K30" s="1203" t="s">
        <v>1319</v>
      </c>
      <c r="L30" s="1203" t="s">
        <v>1319</v>
      </c>
      <c r="M30" s="1203" t="s">
        <v>1319</v>
      </c>
      <c r="N30" s="1203" t="s">
        <v>1319</v>
      </c>
      <c r="O30" s="1203" t="s">
        <v>1319</v>
      </c>
      <c r="P30" s="1203" t="s">
        <v>1319</v>
      </c>
      <c r="Q30" s="1203" t="s">
        <v>1319</v>
      </c>
      <c r="R30" s="1203" t="s">
        <v>1319</v>
      </c>
      <c r="S30" s="1204" t="s">
        <v>1319</v>
      </c>
      <c r="T30" s="1202" t="s">
        <v>1451</v>
      </c>
      <c r="U30" s="1202" t="s">
        <v>1451</v>
      </c>
      <c r="V30" s="1202" t="s">
        <v>1451</v>
      </c>
      <c r="W30" s="1202" t="s">
        <v>1451</v>
      </c>
      <c r="X30" s="1202" t="s">
        <v>1451</v>
      </c>
      <c r="Y30" s="1202" t="s">
        <v>1451</v>
      </c>
    </row>
    <row r="31" spans="1:25">
      <c r="A31" s="1198">
        <v>8503</v>
      </c>
      <c r="B31" s="1199" t="s">
        <v>1477</v>
      </c>
      <c r="C31" s="1200">
        <v>3</v>
      </c>
      <c r="D31" s="1201" t="str">
        <f t="shared" si="1"/>
        <v>D</v>
      </c>
      <c r="E31" s="1201" t="str">
        <f t="shared" si="1"/>
        <v>D</v>
      </c>
      <c r="F31" s="1201" t="str">
        <f t="shared" si="1"/>
        <v>D</v>
      </c>
      <c r="G31" s="1201" t="str">
        <f t="shared" si="1"/>
        <v>D</v>
      </c>
      <c r="H31" s="1201" t="str">
        <f t="shared" si="1"/>
        <v>D</v>
      </c>
      <c r="I31" s="1201" t="str">
        <f t="shared" si="1"/>
        <v>D</v>
      </c>
      <c r="J31" s="1202" t="s">
        <v>1319</v>
      </c>
      <c r="K31" s="1203" t="s">
        <v>1319</v>
      </c>
      <c r="L31" s="1203" t="s">
        <v>1319</v>
      </c>
      <c r="M31" s="1203" t="s">
        <v>1319</v>
      </c>
      <c r="N31" s="1203" t="s">
        <v>1319</v>
      </c>
      <c r="O31" s="1203" t="s">
        <v>1319</v>
      </c>
      <c r="P31" s="1203" t="s">
        <v>1319</v>
      </c>
      <c r="Q31" s="1203" t="s">
        <v>1319</v>
      </c>
      <c r="R31" s="1203" t="s">
        <v>1319</v>
      </c>
      <c r="S31" s="1204" t="s">
        <v>1319</v>
      </c>
      <c r="T31" s="1202" t="s">
        <v>1451</v>
      </c>
      <c r="U31" s="1202" t="s">
        <v>1451</v>
      </c>
      <c r="V31" s="1202" t="s">
        <v>1451</v>
      </c>
      <c r="W31" s="1202" t="s">
        <v>1451</v>
      </c>
      <c r="X31" s="1202" t="s">
        <v>1451</v>
      </c>
      <c r="Y31" s="1202" t="s">
        <v>1451</v>
      </c>
    </row>
    <row r="32" spans="1:25">
      <c r="A32" s="1198">
        <v>20774</v>
      </c>
      <c r="B32" s="1199" t="s">
        <v>1478</v>
      </c>
      <c r="C32" s="1200">
        <v>3</v>
      </c>
      <c r="D32" s="1201" t="str">
        <f t="shared" si="1"/>
        <v>D</v>
      </c>
      <c r="E32" s="1201" t="str">
        <f t="shared" si="1"/>
        <v>D</v>
      </c>
      <c r="F32" s="1201" t="str">
        <f t="shared" si="1"/>
        <v>D</v>
      </c>
      <c r="G32" s="1201" t="str">
        <f t="shared" si="1"/>
        <v>D</v>
      </c>
      <c r="H32" s="1201" t="str">
        <f t="shared" si="1"/>
        <v>D</v>
      </c>
      <c r="I32" s="1201" t="str">
        <f t="shared" si="1"/>
        <v>D</v>
      </c>
      <c r="J32" s="1202" t="s">
        <v>1319</v>
      </c>
      <c r="K32" s="1203" t="s">
        <v>1319</v>
      </c>
      <c r="L32" s="1203" t="s">
        <v>1319</v>
      </c>
      <c r="M32" s="1203" t="s">
        <v>1319</v>
      </c>
      <c r="N32" s="1203" t="s">
        <v>1319</v>
      </c>
      <c r="O32" s="1203" t="s">
        <v>1319</v>
      </c>
      <c r="P32" s="1203" t="s">
        <v>1319</v>
      </c>
      <c r="Q32" s="1203" t="s">
        <v>1319</v>
      </c>
      <c r="R32" s="1203" t="s">
        <v>1319</v>
      </c>
      <c r="S32" s="1204" t="s">
        <v>1319</v>
      </c>
      <c r="T32" s="1202" t="s">
        <v>1451</v>
      </c>
      <c r="U32" s="1202" t="s">
        <v>1451</v>
      </c>
      <c r="V32" s="1202" t="s">
        <v>1451</v>
      </c>
      <c r="W32" s="1202" t="s">
        <v>1451</v>
      </c>
      <c r="X32" s="1202" t="s">
        <v>1451</v>
      </c>
      <c r="Y32" s="1202" t="s">
        <v>1451</v>
      </c>
    </row>
    <row r="33" spans="1:25">
      <c r="A33" s="1198">
        <v>8504</v>
      </c>
      <c r="B33" s="1199" t="s">
        <v>1479</v>
      </c>
      <c r="C33" s="1200">
        <v>3</v>
      </c>
      <c r="D33" s="1201" t="str">
        <f t="shared" si="1"/>
        <v>D</v>
      </c>
      <c r="E33" s="1201" t="str">
        <f t="shared" si="1"/>
        <v>D</v>
      </c>
      <c r="F33" s="1201" t="str">
        <f t="shared" si="1"/>
        <v>D</v>
      </c>
      <c r="G33" s="1201" t="str">
        <f t="shared" si="1"/>
        <v>D</v>
      </c>
      <c r="H33" s="1201" t="str">
        <f t="shared" si="1"/>
        <v>D</v>
      </c>
      <c r="I33" s="1201" t="str">
        <f t="shared" si="1"/>
        <v>D</v>
      </c>
      <c r="J33" s="1202" t="s">
        <v>1319</v>
      </c>
      <c r="K33" s="1203" t="s">
        <v>1319</v>
      </c>
      <c r="L33" s="1203" t="s">
        <v>1319</v>
      </c>
      <c r="M33" s="1203" t="s">
        <v>1319</v>
      </c>
      <c r="N33" s="1203" t="s">
        <v>1319</v>
      </c>
      <c r="O33" s="1203" t="s">
        <v>1319</v>
      </c>
      <c r="P33" s="1203" t="s">
        <v>1319</v>
      </c>
      <c r="Q33" s="1203" t="s">
        <v>1319</v>
      </c>
      <c r="R33" s="1203" t="s">
        <v>1319</v>
      </c>
      <c r="S33" s="1204" t="s">
        <v>1319</v>
      </c>
      <c r="T33" s="1202" t="s">
        <v>1451</v>
      </c>
      <c r="U33" s="1202" t="s">
        <v>1451</v>
      </c>
      <c r="V33" s="1202" t="s">
        <v>1451</v>
      </c>
      <c r="W33" s="1202" t="s">
        <v>1451</v>
      </c>
      <c r="X33" s="1202" t="s">
        <v>1451</v>
      </c>
      <c r="Y33" s="1202" t="s">
        <v>1451</v>
      </c>
    </row>
    <row r="34" spans="1:25">
      <c r="A34" s="1198">
        <v>3563</v>
      </c>
      <c r="B34" s="1199" t="s">
        <v>1480</v>
      </c>
      <c r="C34" s="1200">
        <v>3</v>
      </c>
      <c r="D34" s="1201">
        <f t="shared" si="1"/>
        <v>7</v>
      </c>
      <c r="E34" s="1201">
        <f t="shared" si="1"/>
        <v>7</v>
      </c>
      <c r="F34" s="1201">
        <f t="shared" si="1"/>
        <v>7</v>
      </c>
      <c r="G34" s="1201">
        <f t="shared" si="1"/>
        <v>7</v>
      </c>
      <c r="H34" s="1201">
        <f t="shared" si="1"/>
        <v>7</v>
      </c>
      <c r="I34" s="1201">
        <f t="shared" si="1"/>
        <v>7</v>
      </c>
      <c r="J34" s="1202">
        <v>7</v>
      </c>
      <c r="K34" s="1203">
        <v>7</v>
      </c>
      <c r="L34" s="1203">
        <v>7</v>
      </c>
      <c r="M34" s="1203">
        <v>7</v>
      </c>
      <c r="N34" s="1203">
        <v>7</v>
      </c>
      <c r="O34" s="1203">
        <v>7</v>
      </c>
      <c r="P34" s="1203">
        <v>7</v>
      </c>
      <c r="Q34" s="1203">
        <v>7</v>
      </c>
      <c r="R34" s="1203">
        <v>7</v>
      </c>
      <c r="S34" s="1204">
        <v>7</v>
      </c>
      <c r="T34" s="1202" t="s">
        <v>1460</v>
      </c>
      <c r="U34" s="1202" t="s">
        <v>1460</v>
      </c>
      <c r="V34" s="1202" t="s">
        <v>1460</v>
      </c>
      <c r="W34" s="1202" t="s">
        <v>1460</v>
      </c>
      <c r="X34" s="1202" t="s">
        <v>1460</v>
      </c>
      <c r="Y34" s="1202" t="s">
        <v>1460</v>
      </c>
    </row>
    <row r="35" spans="1:25">
      <c r="A35" s="1198">
        <v>10387</v>
      </c>
      <c r="B35" s="1199" t="s">
        <v>1481</v>
      </c>
      <c r="C35" s="1200">
        <v>3</v>
      </c>
      <c r="D35" s="1201">
        <f t="shared" si="1"/>
        <v>6</v>
      </c>
      <c r="E35" s="1201">
        <f t="shared" si="1"/>
        <v>6</v>
      </c>
      <c r="F35" s="1201">
        <f t="shared" si="1"/>
        <v>6</v>
      </c>
      <c r="G35" s="1201">
        <f t="shared" si="1"/>
        <v>6</v>
      </c>
      <c r="H35" s="1201">
        <f t="shared" si="1"/>
        <v>6</v>
      </c>
      <c r="I35" s="1201">
        <f t="shared" si="1"/>
        <v>6</v>
      </c>
      <c r="J35" s="1202">
        <v>6</v>
      </c>
      <c r="K35" s="1203">
        <v>6</v>
      </c>
      <c r="L35" s="1203">
        <v>6</v>
      </c>
      <c r="M35" s="1203">
        <v>6</v>
      </c>
      <c r="N35" s="1203">
        <v>6</v>
      </c>
      <c r="O35" s="1203">
        <v>6</v>
      </c>
      <c r="P35" s="1203">
        <v>6</v>
      </c>
      <c r="Q35" s="1203">
        <v>6</v>
      </c>
      <c r="R35" s="1203">
        <v>6</v>
      </c>
      <c r="S35" s="1204">
        <v>6</v>
      </c>
      <c r="T35" s="1202" t="s">
        <v>1451</v>
      </c>
      <c r="U35" s="1202" t="s">
        <v>1451</v>
      </c>
      <c r="V35" s="1202" t="s">
        <v>1451</v>
      </c>
      <c r="W35" s="1202" t="s">
        <v>1451</v>
      </c>
      <c r="X35" s="1202" t="s">
        <v>1451</v>
      </c>
      <c r="Y35" s="1202" t="s">
        <v>1451</v>
      </c>
    </row>
    <row r="36" spans="1:25">
      <c r="A36" s="1198">
        <v>3568</v>
      </c>
      <c r="B36" s="1199" t="s">
        <v>1482</v>
      </c>
      <c r="C36" s="1200">
        <v>3</v>
      </c>
      <c r="D36" s="1201">
        <f t="shared" si="1"/>
        <v>9</v>
      </c>
      <c r="E36" s="1201">
        <f t="shared" si="1"/>
        <v>9</v>
      </c>
      <c r="F36" s="1201">
        <f t="shared" si="1"/>
        <v>9</v>
      </c>
      <c r="G36" s="1201">
        <f t="shared" si="1"/>
        <v>9</v>
      </c>
      <c r="H36" s="1201">
        <f t="shared" si="1"/>
        <v>9</v>
      </c>
      <c r="I36" s="1201">
        <f t="shared" si="1"/>
        <v>9</v>
      </c>
      <c r="J36" s="1202">
        <v>9</v>
      </c>
      <c r="K36" s="1203">
        <v>9</v>
      </c>
      <c r="L36" s="1203">
        <v>9</v>
      </c>
      <c r="M36" s="1203">
        <v>9</v>
      </c>
      <c r="N36" s="1203">
        <v>9</v>
      </c>
      <c r="O36" s="1203">
        <v>9</v>
      </c>
      <c r="P36" s="1203">
        <v>9</v>
      </c>
      <c r="Q36" s="1203">
        <v>9</v>
      </c>
      <c r="R36" s="1203">
        <v>9</v>
      </c>
      <c r="S36" s="1204">
        <v>9</v>
      </c>
      <c r="T36" s="1202" t="s">
        <v>1468</v>
      </c>
      <c r="U36" s="1202" t="s">
        <v>1468</v>
      </c>
      <c r="V36" s="1202" t="s">
        <v>1468</v>
      </c>
      <c r="W36" s="1202" t="s">
        <v>1468</v>
      </c>
      <c r="X36" s="1202" t="s">
        <v>1468</v>
      </c>
      <c r="Y36" s="1202" t="s">
        <v>1468</v>
      </c>
    </row>
    <row r="37" spans="1:25">
      <c r="A37" s="1198">
        <v>6662</v>
      </c>
      <c r="B37" s="1199" t="s">
        <v>1483</v>
      </c>
      <c r="C37" s="1200">
        <v>3</v>
      </c>
      <c r="D37" s="1201">
        <f t="shared" si="1"/>
        <v>9</v>
      </c>
      <c r="E37" s="1201">
        <f t="shared" si="1"/>
        <v>9</v>
      </c>
      <c r="F37" s="1201">
        <f t="shared" si="1"/>
        <v>9</v>
      </c>
      <c r="G37" s="1201">
        <f t="shared" si="1"/>
        <v>9</v>
      </c>
      <c r="H37" s="1201">
        <f t="shared" si="1"/>
        <v>9</v>
      </c>
      <c r="I37" s="1201">
        <f t="shared" si="1"/>
        <v>9</v>
      </c>
      <c r="J37" s="1202">
        <v>9</v>
      </c>
      <c r="K37" s="1203">
        <v>9</v>
      </c>
      <c r="L37" s="1203">
        <v>9</v>
      </c>
      <c r="M37" s="1203">
        <v>9</v>
      </c>
      <c r="N37" s="1203">
        <v>9</v>
      </c>
      <c r="O37" s="1203">
        <v>9</v>
      </c>
      <c r="P37" s="1203">
        <v>9</v>
      </c>
      <c r="Q37" s="1203">
        <v>9</v>
      </c>
      <c r="R37" s="1203">
        <v>9</v>
      </c>
      <c r="S37" s="1204">
        <v>9</v>
      </c>
      <c r="T37" s="1202" t="s">
        <v>1468</v>
      </c>
      <c r="U37" s="1202" t="s">
        <v>1468</v>
      </c>
      <c r="V37" s="1202" t="s">
        <v>1468</v>
      </c>
      <c r="W37" s="1202" t="s">
        <v>1468</v>
      </c>
      <c r="X37" s="1202" t="s">
        <v>1468</v>
      </c>
      <c r="Y37" s="1202" t="s">
        <v>1468</v>
      </c>
    </row>
    <row r="38" spans="1:25">
      <c r="A38" s="1198">
        <v>3570</v>
      </c>
      <c r="B38" s="1199" t="s">
        <v>1484</v>
      </c>
      <c r="C38" s="1200">
        <v>3</v>
      </c>
      <c r="D38" s="1201">
        <f t="shared" si="1"/>
        <v>8</v>
      </c>
      <c r="E38" s="1201">
        <f t="shared" si="1"/>
        <v>8</v>
      </c>
      <c r="F38" s="1201">
        <f t="shared" si="1"/>
        <v>8</v>
      </c>
      <c r="G38" s="1201">
        <f t="shared" si="1"/>
        <v>8</v>
      </c>
      <c r="H38" s="1201">
        <f t="shared" si="1"/>
        <v>8</v>
      </c>
      <c r="I38" s="1201">
        <f t="shared" si="1"/>
        <v>8</v>
      </c>
      <c r="J38" s="1202">
        <v>8</v>
      </c>
      <c r="K38" s="1203">
        <v>8</v>
      </c>
      <c r="L38" s="1203">
        <v>8</v>
      </c>
      <c r="M38" s="1203">
        <v>8</v>
      </c>
      <c r="N38" s="1203">
        <v>8</v>
      </c>
      <c r="O38" s="1203">
        <v>8</v>
      </c>
      <c r="P38" s="1203">
        <v>8</v>
      </c>
      <c r="Q38" s="1203">
        <v>8</v>
      </c>
      <c r="R38" s="1203">
        <v>8</v>
      </c>
      <c r="S38" s="1204">
        <v>8</v>
      </c>
      <c r="T38" s="1202" t="s">
        <v>1458</v>
      </c>
      <c r="U38" s="1202" t="s">
        <v>1458</v>
      </c>
      <c r="V38" s="1202" t="s">
        <v>1458</v>
      </c>
      <c r="W38" s="1202" t="s">
        <v>1458</v>
      </c>
      <c r="X38" s="1202" t="s">
        <v>1458</v>
      </c>
      <c r="Y38" s="1202" t="s">
        <v>1458</v>
      </c>
    </row>
    <row r="39" spans="1:25">
      <c r="A39" s="1198">
        <v>3573</v>
      </c>
      <c r="B39" s="1199" t="s">
        <v>1485</v>
      </c>
      <c r="C39" s="1200">
        <v>3</v>
      </c>
      <c r="D39" s="1201">
        <f t="shared" si="1"/>
        <v>8</v>
      </c>
      <c r="E39" s="1201">
        <f t="shared" si="1"/>
        <v>8</v>
      </c>
      <c r="F39" s="1201">
        <f t="shared" si="1"/>
        <v>8</v>
      </c>
      <c r="G39" s="1201">
        <f t="shared" si="1"/>
        <v>8</v>
      </c>
      <c r="H39" s="1201">
        <f t="shared" si="1"/>
        <v>8</v>
      </c>
      <c r="I39" s="1201">
        <f t="shared" si="1"/>
        <v>8</v>
      </c>
      <c r="J39" s="1202">
        <v>8</v>
      </c>
      <c r="K39" s="1203">
        <v>8</v>
      </c>
      <c r="L39" s="1203">
        <v>8</v>
      </c>
      <c r="M39" s="1203">
        <v>8</v>
      </c>
      <c r="N39" s="1203">
        <v>8</v>
      </c>
      <c r="O39" s="1203">
        <v>8</v>
      </c>
      <c r="P39" s="1203">
        <v>8</v>
      </c>
      <c r="Q39" s="1203">
        <v>8</v>
      </c>
      <c r="R39" s="1203">
        <v>8</v>
      </c>
      <c r="S39" s="1204">
        <v>8</v>
      </c>
      <c r="T39" s="1202" t="s">
        <v>1458</v>
      </c>
      <c r="U39" s="1202" t="s">
        <v>1458</v>
      </c>
      <c r="V39" s="1202" t="s">
        <v>1458</v>
      </c>
      <c r="W39" s="1202" t="s">
        <v>1458</v>
      </c>
      <c r="X39" s="1202" t="s">
        <v>1458</v>
      </c>
      <c r="Y39" s="1202" t="s">
        <v>1458</v>
      </c>
    </row>
    <row r="40" spans="1:25">
      <c r="A40" s="1198">
        <v>10633</v>
      </c>
      <c r="B40" s="1199" t="s">
        <v>1486</v>
      </c>
      <c r="C40" s="1200">
        <v>3</v>
      </c>
      <c r="D40" s="1201">
        <f t="shared" si="1"/>
        <v>6</v>
      </c>
      <c r="E40" s="1201">
        <f t="shared" si="1"/>
        <v>6</v>
      </c>
      <c r="F40" s="1201">
        <f t="shared" si="1"/>
        <v>6</v>
      </c>
      <c r="G40" s="1201">
        <f t="shared" si="1"/>
        <v>6</v>
      </c>
      <c r="H40" s="1201">
        <f t="shared" si="1"/>
        <v>6</v>
      </c>
      <c r="I40" s="1201">
        <f t="shared" si="1"/>
        <v>6</v>
      </c>
      <c r="J40" s="1202">
        <v>6</v>
      </c>
      <c r="K40" s="1203">
        <v>6</v>
      </c>
      <c r="L40" s="1203">
        <v>6</v>
      </c>
      <c r="M40" s="1203">
        <v>6</v>
      </c>
      <c r="N40" s="1203">
        <v>6</v>
      </c>
      <c r="O40" s="1203">
        <v>6</v>
      </c>
      <c r="P40" s="1203">
        <v>6</v>
      </c>
      <c r="Q40" s="1203">
        <v>6</v>
      </c>
      <c r="R40" s="1203">
        <v>6</v>
      </c>
      <c r="S40" s="1204">
        <v>6</v>
      </c>
      <c r="T40" s="1202" t="s">
        <v>1451</v>
      </c>
      <c r="U40" s="1202" t="s">
        <v>1451</v>
      </c>
      <c r="V40" s="1202" t="s">
        <v>1451</v>
      </c>
      <c r="W40" s="1202" t="s">
        <v>1451</v>
      </c>
      <c r="X40" s="1202" t="s">
        <v>1451</v>
      </c>
      <c r="Y40" s="1202" t="s">
        <v>1451</v>
      </c>
    </row>
    <row r="41" spans="1:25">
      <c r="A41" s="1198">
        <v>103574</v>
      </c>
      <c r="B41" s="1199" t="s">
        <v>1487</v>
      </c>
      <c r="C41" s="1200">
        <v>3</v>
      </c>
      <c r="D41" s="1201">
        <f t="shared" ref="D41:I56" si="2">$J41</f>
        <v>9</v>
      </c>
      <c r="E41" s="1201">
        <f t="shared" si="2"/>
        <v>9</v>
      </c>
      <c r="F41" s="1201">
        <f t="shared" si="2"/>
        <v>9</v>
      </c>
      <c r="G41" s="1201">
        <f t="shared" si="2"/>
        <v>9</v>
      </c>
      <c r="H41" s="1201">
        <f t="shared" si="2"/>
        <v>9</v>
      </c>
      <c r="I41" s="1201">
        <f t="shared" si="2"/>
        <v>9</v>
      </c>
      <c r="J41" s="1202">
        <v>9</v>
      </c>
      <c r="K41" s="1203">
        <v>9</v>
      </c>
      <c r="L41" s="1203">
        <v>9</v>
      </c>
      <c r="M41" s="1203">
        <v>9</v>
      </c>
      <c r="N41" s="1203">
        <v>9</v>
      </c>
      <c r="O41" s="1203">
        <v>9</v>
      </c>
      <c r="P41" s="1203">
        <v>9</v>
      </c>
      <c r="Q41" s="1203">
        <v>9</v>
      </c>
      <c r="R41" s="1203">
        <v>9</v>
      </c>
      <c r="S41" s="1204">
        <v>9</v>
      </c>
      <c r="T41" s="1202" t="s">
        <v>1468</v>
      </c>
      <c r="U41" s="1202" t="s">
        <v>1468</v>
      </c>
      <c r="V41" s="1202" t="s">
        <v>1468</v>
      </c>
      <c r="W41" s="1202" t="s">
        <v>1468</v>
      </c>
      <c r="X41" s="1202" t="s">
        <v>1468</v>
      </c>
      <c r="Y41" s="1202" t="s">
        <v>1468</v>
      </c>
    </row>
    <row r="42" spans="1:25">
      <c r="A42" s="1198">
        <v>3574</v>
      </c>
      <c r="B42" s="1199" t="s">
        <v>1488</v>
      </c>
      <c r="C42" s="1200">
        <v>3</v>
      </c>
      <c r="D42" s="1201" t="str">
        <f t="shared" si="2"/>
        <v>D</v>
      </c>
      <c r="E42" s="1201" t="str">
        <f t="shared" si="2"/>
        <v>D</v>
      </c>
      <c r="F42" s="1201" t="str">
        <f t="shared" si="2"/>
        <v>D</v>
      </c>
      <c r="G42" s="1201" t="str">
        <f t="shared" si="2"/>
        <v>D</v>
      </c>
      <c r="H42" s="1201" t="str">
        <f t="shared" si="2"/>
        <v>D</v>
      </c>
      <c r="I42" s="1201" t="str">
        <f t="shared" si="2"/>
        <v>D</v>
      </c>
      <c r="J42" s="1202" t="s">
        <v>1319</v>
      </c>
      <c r="K42" s="1203" t="s">
        <v>1319</v>
      </c>
      <c r="L42" s="1203" t="s">
        <v>1319</v>
      </c>
      <c r="M42" s="1203" t="s">
        <v>1319</v>
      </c>
      <c r="N42" s="1203" t="s">
        <v>1319</v>
      </c>
      <c r="O42" s="1203" t="s">
        <v>1319</v>
      </c>
      <c r="P42" s="1203" t="s">
        <v>1319</v>
      </c>
      <c r="Q42" s="1203" t="s">
        <v>1319</v>
      </c>
      <c r="R42" s="1203" t="s">
        <v>1319</v>
      </c>
      <c r="S42" s="1204" t="s">
        <v>1319</v>
      </c>
      <c r="T42" s="1202" t="s">
        <v>1468</v>
      </c>
      <c r="U42" s="1202" t="s">
        <v>1468</v>
      </c>
      <c r="V42" s="1202" t="s">
        <v>1468</v>
      </c>
      <c r="W42" s="1202" t="s">
        <v>1468</v>
      </c>
      <c r="X42" s="1202" t="s">
        <v>1468</v>
      </c>
      <c r="Y42" s="1202" t="s">
        <v>1468</v>
      </c>
    </row>
    <row r="43" spans="1:25">
      <c r="A43" s="1198">
        <v>3580</v>
      </c>
      <c r="B43" s="1199" t="s">
        <v>1489</v>
      </c>
      <c r="C43" s="1200">
        <v>3</v>
      </c>
      <c r="D43" s="1201">
        <f t="shared" si="2"/>
        <v>8</v>
      </c>
      <c r="E43" s="1201">
        <f t="shared" si="2"/>
        <v>8</v>
      </c>
      <c r="F43" s="1201">
        <f t="shared" si="2"/>
        <v>8</v>
      </c>
      <c r="G43" s="1201">
        <f t="shared" si="2"/>
        <v>8</v>
      </c>
      <c r="H43" s="1201">
        <f t="shared" si="2"/>
        <v>8</v>
      </c>
      <c r="I43" s="1201">
        <f t="shared" si="2"/>
        <v>8</v>
      </c>
      <c r="J43" s="1202">
        <v>8</v>
      </c>
      <c r="K43" s="1203">
        <v>8</v>
      </c>
      <c r="L43" s="1203">
        <v>8</v>
      </c>
      <c r="M43" s="1203">
        <v>8</v>
      </c>
      <c r="N43" s="1203">
        <v>8</v>
      </c>
      <c r="O43" s="1203">
        <v>8</v>
      </c>
      <c r="P43" s="1203">
        <v>8</v>
      </c>
      <c r="Q43" s="1203">
        <v>8</v>
      </c>
      <c r="R43" s="1203">
        <v>8</v>
      </c>
      <c r="S43" s="1204">
        <v>8</v>
      </c>
      <c r="T43" s="1202" t="s">
        <v>1458</v>
      </c>
      <c r="U43" s="1202" t="s">
        <v>1458</v>
      </c>
      <c r="V43" s="1202" t="s">
        <v>1458</v>
      </c>
      <c r="W43" s="1202" t="s">
        <v>1458</v>
      </c>
      <c r="X43" s="1202" t="s">
        <v>1458</v>
      </c>
      <c r="Y43" s="1202" t="s">
        <v>1458</v>
      </c>
    </row>
    <row r="44" spans="1:25">
      <c r="A44" s="1198">
        <v>3582</v>
      </c>
      <c r="B44" s="1199" t="s">
        <v>1490</v>
      </c>
      <c r="C44" s="1200">
        <v>3</v>
      </c>
      <c r="D44" s="1201">
        <f t="shared" si="2"/>
        <v>7</v>
      </c>
      <c r="E44" s="1201">
        <f t="shared" si="2"/>
        <v>7</v>
      </c>
      <c r="F44" s="1201">
        <f t="shared" si="2"/>
        <v>7</v>
      </c>
      <c r="G44" s="1201">
        <f t="shared" si="2"/>
        <v>7</v>
      </c>
      <c r="H44" s="1201">
        <f t="shared" si="2"/>
        <v>7</v>
      </c>
      <c r="I44" s="1201">
        <f t="shared" si="2"/>
        <v>7</v>
      </c>
      <c r="J44" s="1202">
        <v>7</v>
      </c>
      <c r="K44" s="1203">
        <v>7</v>
      </c>
      <c r="L44" s="1203">
        <v>7</v>
      </c>
      <c r="M44" s="1203">
        <v>7</v>
      </c>
      <c r="N44" s="1203">
        <v>7</v>
      </c>
      <c r="O44" s="1203">
        <v>7</v>
      </c>
      <c r="P44" s="1203">
        <v>7</v>
      </c>
      <c r="Q44" s="1203">
        <v>7</v>
      </c>
      <c r="R44" s="1203">
        <v>7</v>
      </c>
      <c r="S44" s="1204">
        <v>7</v>
      </c>
      <c r="T44" s="1202" t="s">
        <v>1460</v>
      </c>
      <c r="U44" s="1202" t="s">
        <v>1460</v>
      </c>
      <c r="V44" s="1202" t="s">
        <v>1460</v>
      </c>
      <c r="W44" s="1202" t="s">
        <v>1460</v>
      </c>
      <c r="X44" s="1202" t="s">
        <v>1460</v>
      </c>
      <c r="Y44" s="1202" t="s">
        <v>1460</v>
      </c>
    </row>
    <row r="45" spans="1:25">
      <c r="A45" s="1198">
        <v>3583</v>
      </c>
      <c r="B45" s="1199" t="s">
        <v>1491</v>
      </c>
      <c r="C45" s="1200">
        <v>3</v>
      </c>
      <c r="D45" s="1201">
        <f t="shared" si="2"/>
        <v>8</v>
      </c>
      <c r="E45" s="1201">
        <f t="shared" si="2"/>
        <v>8</v>
      </c>
      <c r="F45" s="1201">
        <f t="shared" si="2"/>
        <v>8</v>
      </c>
      <c r="G45" s="1201">
        <f t="shared" si="2"/>
        <v>8</v>
      </c>
      <c r="H45" s="1201">
        <f t="shared" si="2"/>
        <v>8</v>
      </c>
      <c r="I45" s="1201">
        <f t="shared" si="2"/>
        <v>8</v>
      </c>
      <c r="J45" s="1202">
        <v>8</v>
      </c>
      <c r="K45" s="1203">
        <v>8</v>
      </c>
      <c r="L45" s="1203">
        <v>8</v>
      </c>
      <c r="M45" s="1203">
        <v>8</v>
      </c>
      <c r="N45" s="1203">
        <v>8</v>
      </c>
      <c r="O45" s="1203">
        <v>8</v>
      </c>
      <c r="P45" s="1203">
        <v>8</v>
      </c>
      <c r="Q45" s="1203">
        <v>8</v>
      </c>
      <c r="R45" s="1203">
        <v>8</v>
      </c>
      <c r="S45" s="1204">
        <v>8</v>
      </c>
      <c r="T45" s="1202" t="s">
        <v>1458</v>
      </c>
      <c r="U45" s="1202" t="s">
        <v>1458</v>
      </c>
      <c r="V45" s="1202" t="s">
        <v>1458</v>
      </c>
      <c r="W45" s="1202" t="s">
        <v>1458</v>
      </c>
      <c r="X45" s="1202" t="s">
        <v>1458</v>
      </c>
      <c r="Y45" s="1202" t="s">
        <v>1458</v>
      </c>
    </row>
    <row r="46" spans="1:25">
      <c r="A46" s="1198">
        <v>717</v>
      </c>
      <c r="B46" s="1199" t="s">
        <v>1492</v>
      </c>
      <c r="C46" s="1200">
        <v>3</v>
      </c>
      <c r="D46" s="1201" t="str">
        <f t="shared" si="2"/>
        <v>D</v>
      </c>
      <c r="E46" s="1201" t="str">
        <f t="shared" si="2"/>
        <v>D</v>
      </c>
      <c r="F46" s="1201" t="str">
        <f t="shared" si="2"/>
        <v>D</v>
      </c>
      <c r="G46" s="1201" t="str">
        <f t="shared" si="2"/>
        <v>D</v>
      </c>
      <c r="H46" s="1201" t="str">
        <f t="shared" si="2"/>
        <v>D</v>
      </c>
      <c r="I46" s="1201" t="str">
        <f t="shared" si="2"/>
        <v>D</v>
      </c>
      <c r="J46" s="1202" t="s">
        <v>1319</v>
      </c>
      <c r="K46" s="1203" t="s">
        <v>1319</v>
      </c>
      <c r="L46" s="1203" t="s">
        <v>1319</v>
      </c>
      <c r="M46" s="1203" t="s">
        <v>1319</v>
      </c>
      <c r="N46" s="1203" t="s">
        <v>1319</v>
      </c>
      <c r="O46" s="1203" t="s">
        <v>1319</v>
      </c>
      <c r="P46" s="1203" t="s">
        <v>1319</v>
      </c>
      <c r="Q46" s="1203" t="s">
        <v>1319</v>
      </c>
      <c r="R46" s="1203" t="s">
        <v>1319</v>
      </c>
      <c r="S46" s="1204" t="s">
        <v>1319</v>
      </c>
      <c r="T46" s="1202" t="s">
        <v>1451</v>
      </c>
      <c r="U46" s="1202" t="s">
        <v>1451</v>
      </c>
      <c r="V46" s="1202" t="s">
        <v>1451</v>
      </c>
      <c r="W46" s="1202" t="s">
        <v>1451</v>
      </c>
      <c r="X46" s="1202" t="s">
        <v>1451</v>
      </c>
      <c r="Y46" s="1202" t="s">
        <v>1451</v>
      </c>
    </row>
    <row r="47" spans="1:25">
      <c r="A47" s="1198">
        <v>719</v>
      </c>
      <c r="B47" s="1199" t="s">
        <v>1493</v>
      </c>
      <c r="C47" s="1200">
        <v>3</v>
      </c>
      <c r="D47" s="1201" t="str">
        <f t="shared" si="2"/>
        <v>D</v>
      </c>
      <c r="E47" s="1201" t="str">
        <f t="shared" si="2"/>
        <v>D</v>
      </c>
      <c r="F47" s="1201" t="str">
        <f t="shared" si="2"/>
        <v>D</v>
      </c>
      <c r="G47" s="1201" t="str">
        <f t="shared" si="2"/>
        <v>D</v>
      </c>
      <c r="H47" s="1201" t="str">
        <f t="shared" si="2"/>
        <v>D</v>
      </c>
      <c r="I47" s="1201" t="str">
        <f t="shared" si="2"/>
        <v>D</v>
      </c>
      <c r="J47" s="1202" t="s">
        <v>1319</v>
      </c>
      <c r="K47" s="1203" t="s">
        <v>1319</v>
      </c>
      <c r="L47" s="1203" t="s">
        <v>1319</v>
      </c>
      <c r="M47" s="1203" t="s">
        <v>1319</v>
      </c>
      <c r="N47" s="1203" t="s">
        <v>1319</v>
      </c>
      <c r="O47" s="1203" t="s">
        <v>1319</v>
      </c>
      <c r="P47" s="1203" t="s">
        <v>1319</v>
      </c>
      <c r="Q47" s="1203" t="s">
        <v>1319</v>
      </c>
      <c r="R47" s="1203" t="s">
        <v>1319</v>
      </c>
      <c r="S47" s="1204" t="s">
        <v>1319</v>
      </c>
      <c r="T47" s="1202" t="s">
        <v>1451</v>
      </c>
      <c r="U47" s="1202" t="s">
        <v>1451</v>
      </c>
      <c r="V47" s="1202" t="s">
        <v>1451</v>
      </c>
      <c r="W47" s="1202" t="s">
        <v>1451</v>
      </c>
      <c r="X47" s="1202" t="s">
        <v>1451</v>
      </c>
      <c r="Y47" s="1202" t="s">
        <v>1451</v>
      </c>
    </row>
    <row r="48" spans="1:25">
      <c r="A48" s="1198">
        <v>721</v>
      </c>
      <c r="B48" s="1199" t="s">
        <v>1494</v>
      </c>
      <c r="C48" s="1200">
        <v>3</v>
      </c>
      <c r="D48" s="1201" t="str">
        <f t="shared" si="2"/>
        <v>D</v>
      </c>
      <c r="E48" s="1201" t="str">
        <f t="shared" si="2"/>
        <v>D</v>
      </c>
      <c r="F48" s="1201" t="str">
        <f t="shared" si="2"/>
        <v>D</v>
      </c>
      <c r="G48" s="1201" t="str">
        <f t="shared" si="2"/>
        <v>D</v>
      </c>
      <c r="H48" s="1201" t="str">
        <f t="shared" si="2"/>
        <v>D</v>
      </c>
      <c r="I48" s="1201" t="str">
        <f t="shared" si="2"/>
        <v>D</v>
      </c>
      <c r="J48" s="1202" t="s">
        <v>1319</v>
      </c>
      <c r="K48" s="1203" t="s">
        <v>1319</v>
      </c>
      <c r="L48" s="1203" t="s">
        <v>1319</v>
      </c>
      <c r="M48" s="1203" t="s">
        <v>1319</v>
      </c>
      <c r="N48" s="1203" t="s">
        <v>1319</v>
      </c>
      <c r="O48" s="1203" t="s">
        <v>1319</v>
      </c>
      <c r="P48" s="1203" t="s">
        <v>1319</v>
      </c>
      <c r="Q48" s="1203" t="s">
        <v>1319</v>
      </c>
      <c r="R48" s="1203" t="s">
        <v>1319</v>
      </c>
      <c r="S48" s="1204" t="s">
        <v>1319</v>
      </c>
      <c r="T48" s="1202" t="s">
        <v>1451</v>
      </c>
      <c r="U48" s="1202" t="s">
        <v>1451</v>
      </c>
      <c r="V48" s="1202" t="s">
        <v>1451</v>
      </c>
      <c r="W48" s="1202" t="s">
        <v>1451</v>
      </c>
      <c r="X48" s="1202" t="s">
        <v>1451</v>
      </c>
      <c r="Y48" s="1202" t="s">
        <v>1451</v>
      </c>
    </row>
    <row r="49" spans="1:25">
      <c r="A49" s="1198">
        <v>722</v>
      </c>
      <c r="B49" s="1199" t="s">
        <v>1495</v>
      </c>
      <c r="C49" s="1200">
        <v>3</v>
      </c>
      <c r="D49" s="1201" t="str">
        <f t="shared" si="2"/>
        <v>D</v>
      </c>
      <c r="E49" s="1201" t="str">
        <f t="shared" si="2"/>
        <v>D</v>
      </c>
      <c r="F49" s="1201" t="str">
        <f t="shared" si="2"/>
        <v>D</v>
      </c>
      <c r="G49" s="1201" t="str">
        <f t="shared" si="2"/>
        <v>D</v>
      </c>
      <c r="H49" s="1201" t="str">
        <f t="shared" si="2"/>
        <v>D</v>
      </c>
      <c r="I49" s="1201" t="str">
        <f t="shared" si="2"/>
        <v>D</v>
      </c>
      <c r="J49" s="1202" t="s">
        <v>1319</v>
      </c>
      <c r="K49" s="1203" t="s">
        <v>1319</v>
      </c>
      <c r="L49" s="1203" t="s">
        <v>1319</v>
      </c>
      <c r="M49" s="1203" t="s">
        <v>1319</v>
      </c>
      <c r="N49" s="1203" t="s">
        <v>1319</v>
      </c>
      <c r="O49" s="1203" t="s">
        <v>1319</v>
      </c>
      <c r="P49" s="1203" t="s">
        <v>1319</v>
      </c>
      <c r="Q49" s="1203" t="s">
        <v>1319</v>
      </c>
      <c r="R49" s="1203" t="s">
        <v>1319</v>
      </c>
      <c r="S49" s="1204" t="s">
        <v>1319</v>
      </c>
      <c r="T49" s="1202" t="s">
        <v>1451</v>
      </c>
      <c r="U49" s="1202" t="s">
        <v>1451</v>
      </c>
      <c r="V49" s="1202" t="s">
        <v>1451</v>
      </c>
      <c r="W49" s="1202" t="s">
        <v>1451</v>
      </c>
      <c r="X49" s="1202" t="s">
        <v>1451</v>
      </c>
      <c r="Y49" s="1202" t="s">
        <v>1451</v>
      </c>
    </row>
    <row r="50" spans="1:25">
      <c r="A50" s="1198">
        <v>720</v>
      </c>
      <c r="B50" s="1199" t="s">
        <v>1496</v>
      </c>
      <c r="C50" s="1200">
        <v>3</v>
      </c>
      <c r="D50" s="1201" t="str">
        <f t="shared" si="2"/>
        <v>D</v>
      </c>
      <c r="E50" s="1201" t="str">
        <f t="shared" si="2"/>
        <v>D</v>
      </c>
      <c r="F50" s="1201" t="str">
        <f t="shared" si="2"/>
        <v>D</v>
      </c>
      <c r="G50" s="1201" t="str">
        <f t="shared" si="2"/>
        <v>D</v>
      </c>
      <c r="H50" s="1201" t="str">
        <f t="shared" si="2"/>
        <v>D</v>
      </c>
      <c r="I50" s="1201" t="str">
        <f t="shared" si="2"/>
        <v>D</v>
      </c>
      <c r="J50" s="1202" t="s">
        <v>1319</v>
      </c>
      <c r="K50" s="1203" t="s">
        <v>1319</v>
      </c>
      <c r="L50" s="1203" t="s">
        <v>1319</v>
      </c>
      <c r="M50" s="1203" t="s">
        <v>1319</v>
      </c>
      <c r="N50" s="1203" t="s">
        <v>1319</v>
      </c>
      <c r="O50" s="1203" t="s">
        <v>1319</v>
      </c>
      <c r="P50" s="1203" t="s">
        <v>1319</v>
      </c>
      <c r="Q50" s="1203" t="s">
        <v>1319</v>
      </c>
      <c r="R50" s="1203" t="s">
        <v>1319</v>
      </c>
      <c r="S50" s="1204" t="s">
        <v>1319</v>
      </c>
      <c r="T50" s="1202" t="s">
        <v>1451</v>
      </c>
      <c r="U50" s="1202" t="s">
        <v>1451</v>
      </c>
      <c r="V50" s="1202" t="s">
        <v>1451</v>
      </c>
      <c r="W50" s="1202" t="s">
        <v>1451</v>
      </c>
      <c r="X50" s="1202" t="s">
        <v>1451</v>
      </c>
      <c r="Y50" s="1202" t="s">
        <v>1451</v>
      </c>
    </row>
    <row r="51" spans="1:25">
      <c r="A51" s="1198">
        <v>821</v>
      </c>
      <c r="B51" s="1199" t="s">
        <v>1497</v>
      </c>
      <c r="C51" s="1200">
        <v>3</v>
      </c>
      <c r="D51" s="1201" t="str">
        <f t="shared" si="2"/>
        <v>D</v>
      </c>
      <c r="E51" s="1201" t="str">
        <f t="shared" si="2"/>
        <v>D</v>
      </c>
      <c r="F51" s="1201" t="str">
        <f t="shared" si="2"/>
        <v>D</v>
      </c>
      <c r="G51" s="1201" t="str">
        <f t="shared" si="2"/>
        <v>D</v>
      </c>
      <c r="H51" s="1201" t="str">
        <f t="shared" si="2"/>
        <v>D</v>
      </c>
      <c r="I51" s="1201" t="str">
        <f t="shared" si="2"/>
        <v>D</v>
      </c>
      <c r="J51" s="1202" t="s">
        <v>1319</v>
      </c>
      <c r="K51" s="1203" t="s">
        <v>1319</v>
      </c>
      <c r="L51" s="1203" t="s">
        <v>1319</v>
      </c>
      <c r="M51" s="1203" t="s">
        <v>1319</v>
      </c>
      <c r="N51" s="1203" t="s">
        <v>1319</v>
      </c>
      <c r="O51" s="1203" t="s">
        <v>1319</v>
      </c>
      <c r="P51" s="1203" t="s">
        <v>1319</v>
      </c>
      <c r="Q51" s="1203" t="s">
        <v>1319</v>
      </c>
      <c r="R51" s="1203" t="s">
        <v>1319</v>
      </c>
      <c r="S51" s="1204" t="s">
        <v>1319</v>
      </c>
      <c r="T51" s="1202" t="s">
        <v>1451</v>
      </c>
      <c r="U51" s="1202" t="s">
        <v>1451</v>
      </c>
      <c r="V51" s="1202" t="s">
        <v>1451</v>
      </c>
      <c r="W51" s="1202" t="s">
        <v>1451</v>
      </c>
      <c r="X51" s="1202" t="s">
        <v>1451</v>
      </c>
      <c r="Y51" s="1202" t="s">
        <v>1451</v>
      </c>
    </row>
    <row r="52" spans="1:25">
      <c r="A52" s="1198">
        <v>11145</v>
      </c>
      <c r="B52" s="1199" t="s">
        <v>1498</v>
      </c>
      <c r="C52" s="1200">
        <v>3</v>
      </c>
      <c r="D52" s="1201">
        <f t="shared" si="2"/>
        <v>6</v>
      </c>
      <c r="E52" s="1201">
        <f t="shared" si="2"/>
        <v>6</v>
      </c>
      <c r="F52" s="1201">
        <f t="shared" si="2"/>
        <v>6</v>
      </c>
      <c r="G52" s="1201">
        <f t="shared" si="2"/>
        <v>6</v>
      </c>
      <c r="H52" s="1201">
        <f t="shared" si="2"/>
        <v>6</v>
      </c>
      <c r="I52" s="1201">
        <f t="shared" si="2"/>
        <v>6</v>
      </c>
      <c r="J52" s="1202">
        <v>6</v>
      </c>
      <c r="K52" s="1203">
        <v>6</v>
      </c>
      <c r="L52" s="1203">
        <v>6</v>
      </c>
      <c r="M52" s="1203">
        <v>6</v>
      </c>
      <c r="N52" s="1203">
        <v>6</v>
      </c>
      <c r="O52" s="1203">
        <v>6</v>
      </c>
      <c r="P52" s="1203">
        <v>6</v>
      </c>
      <c r="Q52" s="1203">
        <v>6</v>
      </c>
      <c r="R52" s="1203">
        <v>6</v>
      </c>
      <c r="S52" s="1204">
        <v>6</v>
      </c>
      <c r="T52" s="1202" t="s">
        <v>1451</v>
      </c>
      <c r="U52" s="1202" t="s">
        <v>1451</v>
      </c>
      <c r="V52" s="1202" t="s">
        <v>1451</v>
      </c>
      <c r="W52" s="1202" t="s">
        <v>1451</v>
      </c>
      <c r="X52" s="1202" t="s">
        <v>1451</v>
      </c>
      <c r="Y52" s="1202" t="s">
        <v>1451</v>
      </c>
    </row>
    <row r="53" spans="1:25">
      <c r="A53" s="1198">
        <v>3590</v>
      </c>
      <c r="B53" s="1199" t="s">
        <v>1499</v>
      </c>
      <c r="C53" s="1200">
        <v>3</v>
      </c>
      <c r="D53" s="1201">
        <f t="shared" si="2"/>
        <v>8</v>
      </c>
      <c r="E53" s="1201">
        <f t="shared" si="2"/>
        <v>8</v>
      </c>
      <c r="F53" s="1201">
        <f t="shared" si="2"/>
        <v>8</v>
      </c>
      <c r="G53" s="1201">
        <f t="shared" si="2"/>
        <v>8</v>
      </c>
      <c r="H53" s="1201">
        <f t="shared" si="2"/>
        <v>8</v>
      </c>
      <c r="I53" s="1201">
        <f t="shared" si="2"/>
        <v>8</v>
      </c>
      <c r="J53" s="1202">
        <v>8</v>
      </c>
      <c r="K53" s="1203">
        <v>8</v>
      </c>
      <c r="L53" s="1203">
        <v>8</v>
      </c>
      <c r="M53" s="1203">
        <v>8</v>
      </c>
      <c r="N53" s="1203">
        <v>8</v>
      </c>
      <c r="O53" s="1203">
        <v>8</v>
      </c>
      <c r="P53" s="1203">
        <v>8</v>
      </c>
      <c r="Q53" s="1203">
        <v>8</v>
      </c>
      <c r="R53" s="1203">
        <v>8</v>
      </c>
      <c r="S53" s="1204">
        <v>8</v>
      </c>
      <c r="T53" s="1202" t="s">
        <v>1458</v>
      </c>
      <c r="U53" s="1202" t="s">
        <v>1458</v>
      </c>
      <c r="V53" s="1202" t="s">
        <v>1458</v>
      </c>
      <c r="W53" s="1202" t="s">
        <v>1458</v>
      </c>
      <c r="X53" s="1202" t="s">
        <v>1458</v>
      </c>
      <c r="Y53" s="1202" t="s">
        <v>1458</v>
      </c>
    </row>
    <row r="54" spans="1:25">
      <c r="A54" s="1198">
        <v>9797</v>
      </c>
      <c r="B54" s="1199" t="s">
        <v>1500</v>
      </c>
      <c r="C54" s="1200">
        <v>3</v>
      </c>
      <c r="D54" s="1201">
        <f t="shared" si="2"/>
        <v>8</v>
      </c>
      <c r="E54" s="1201">
        <f t="shared" si="2"/>
        <v>8</v>
      </c>
      <c r="F54" s="1201">
        <f t="shared" si="2"/>
        <v>8</v>
      </c>
      <c r="G54" s="1201">
        <f t="shared" si="2"/>
        <v>8</v>
      </c>
      <c r="H54" s="1201">
        <f t="shared" si="2"/>
        <v>8</v>
      </c>
      <c r="I54" s="1201">
        <f t="shared" si="2"/>
        <v>8</v>
      </c>
      <c r="J54" s="1202">
        <v>8</v>
      </c>
      <c r="K54" s="1203">
        <v>8</v>
      </c>
      <c r="L54" s="1203">
        <v>8</v>
      </c>
      <c r="M54" s="1203">
        <v>8</v>
      </c>
      <c r="N54" s="1203">
        <v>8</v>
      </c>
      <c r="O54" s="1203">
        <v>8</v>
      </c>
      <c r="P54" s="1203">
        <v>8</v>
      </c>
      <c r="Q54" s="1203">
        <v>8</v>
      </c>
      <c r="R54" s="1203">
        <v>8</v>
      </c>
      <c r="S54" s="1204">
        <v>8</v>
      </c>
      <c r="T54" s="1202" t="s">
        <v>1458</v>
      </c>
      <c r="U54" s="1202" t="s">
        <v>1458</v>
      </c>
      <c r="V54" s="1202" t="s">
        <v>1458</v>
      </c>
      <c r="W54" s="1202" t="s">
        <v>1458</v>
      </c>
      <c r="X54" s="1202" t="s">
        <v>1458</v>
      </c>
      <c r="Y54" s="1202" t="s">
        <v>1458</v>
      </c>
    </row>
    <row r="55" spans="1:25">
      <c r="A55" s="1198">
        <v>3593</v>
      </c>
      <c r="B55" s="1199" t="s">
        <v>1501</v>
      </c>
      <c r="C55" s="1200">
        <v>3</v>
      </c>
      <c r="D55" s="1201">
        <f t="shared" si="2"/>
        <v>8</v>
      </c>
      <c r="E55" s="1201">
        <f t="shared" si="2"/>
        <v>8</v>
      </c>
      <c r="F55" s="1201">
        <f t="shared" si="2"/>
        <v>8</v>
      </c>
      <c r="G55" s="1201">
        <f t="shared" si="2"/>
        <v>8</v>
      </c>
      <c r="H55" s="1201">
        <f t="shared" si="2"/>
        <v>8</v>
      </c>
      <c r="I55" s="1201">
        <f t="shared" si="2"/>
        <v>8</v>
      </c>
      <c r="J55" s="1211">
        <v>8</v>
      </c>
      <c r="K55" s="1212">
        <v>8</v>
      </c>
      <c r="L55" s="1212">
        <v>8</v>
      </c>
      <c r="M55" s="1212">
        <v>8</v>
      </c>
      <c r="N55" s="1212">
        <v>8</v>
      </c>
      <c r="O55" s="1212">
        <v>8</v>
      </c>
      <c r="P55" s="1212">
        <v>8</v>
      </c>
      <c r="Q55" s="1212">
        <v>8</v>
      </c>
      <c r="R55" s="1212">
        <v>7</v>
      </c>
      <c r="S55" s="1213">
        <v>7</v>
      </c>
      <c r="T55" s="1202" t="s">
        <v>1460</v>
      </c>
      <c r="U55" s="1202" t="s">
        <v>1460</v>
      </c>
      <c r="V55" s="1202" t="s">
        <v>1460</v>
      </c>
      <c r="W55" s="1202" t="s">
        <v>1460</v>
      </c>
      <c r="X55" s="1202" t="s">
        <v>1460</v>
      </c>
      <c r="Y55" s="1202" t="s">
        <v>1460</v>
      </c>
    </row>
    <row r="56" spans="1:25">
      <c r="A56" s="1198">
        <v>3558</v>
      </c>
      <c r="B56" s="1199" t="s">
        <v>1502</v>
      </c>
      <c r="C56" s="1200">
        <v>3</v>
      </c>
      <c r="D56" s="1201">
        <f t="shared" si="2"/>
        <v>8</v>
      </c>
      <c r="E56" s="1201">
        <f t="shared" si="2"/>
        <v>8</v>
      </c>
      <c r="F56" s="1201">
        <f t="shared" si="2"/>
        <v>8</v>
      </c>
      <c r="G56" s="1201">
        <f t="shared" si="2"/>
        <v>8</v>
      </c>
      <c r="H56" s="1201">
        <f t="shared" si="2"/>
        <v>8</v>
      </c>
      <c r="I56" s="1201">
        <f t="shared" si="2"/>
        <v>8</v>
      </c>
      <c r="J56" s="1211">
        <v>8</v>
      </c>
      <c r="K56" s="1212">
        <v>8</v>
      </c>
      <c r="L56" s="1212">
        <v>8</v>
      </c>
      <c r="M56" s="1212">
        <v>8</v>
      </c>
      <c r="N56" s="1212">
        <v>8</v>
      </c>
      <c r="O56" s="1212">
        <v>8</v>
      </c>
      <c r="P56" s="1212">
        <v>8</v>
      </c>
      <c r="Q56" s="1212">
        <v>8</v>
      </c>
      <c r="R56" s="1212">
        <v>7</v>
      </c>
      <c r="S56" s="1213">
        <v>7</v>
      </c>
      <c r="T56" s="1202" t="s">
        <v>1460</v>
      </c>
      <c r="U56" s="1202" t="s">
        <v>1460</v>
      </c>
      <c r="V56" s="1202" t="s">
        <v>1460</v>
      </c>
      <c r="W56" s="1202" t="s">
        <v>1460</v>
      </c>
      <c r="X56" s="1202" t="s">
        <v>1460</v>
      </c>
      <c r="Y56" s="1202" t="s">
        <v>1460</v>
      </c>
    </row>
    <row r="57" spans="1:25">
      <c r="A57" s="1198">
        <v>505</v>
      </c>
      <c r="B57" s="1199" t="s">
        <v>1503</v>
      </c>
      <c r="C57" s="1200">
        <v>3</v>
      </c>
      <c r="D57" s="1201" t="str">
        <f t="shared" ref="D57:I73" si="3">$J57</f>
        <v>D</v>
      </c>
      <c r="E57" s="1201" t="str">
        <f t="shared" si="3"/>
        <v>D</v>
      </c>
      <c r="F57" s="1201" t="str">
        <f t="shared" si="3"/>
        <v>D</v>
      </c>
      <c r="G57" s="1201" t="str">
        <f t="shared" si="3"/>
        <v>D</v>
      </c>
      <c r="H57" s="1201" t="str">
        <f t="shared" si="3"/>
        <v>D</v>
      </c>
      <c r="I57" s="1201" t="str">
        <f t="shared" si="3"/>
        <v>D</v>
      </c>
      <c r="J57" s="1202" t="s">
        <v>1319</v>
      </c>
      <c r="K57" s="1203" t="s">
        <v>1319</v>
      </c>
      <c r="L57" s="1203" t="s">
        <v>1319</v>
      </c>
      <c r="M57" s="1203" t="s">
        <v>1319</v>
      </c>
      <c r="N57" s="1203" t="s">
        <v>1319</v>
      </c>
      <c r="O57" s="1203" t="s">
        <v>1319</v>
      </c>
      <c r="P57" s="1203" t="s">
        <v>1319</v>
      </c>
      <c r="Q57" s="1203" t="s">
        <v>1319</v>
      </c>
      <c r="R57" s="1203" t="s">
        <v>1319</v>
      </c>
      <c r="S57" s="1204" t="s">
        <v>1319</v>
      </c>
      <c r="T57" s="1202" t="e">
        <v>#N/A</v>
      </c>
      <c r="U57" s="1202" t="e">
        <v>#N/A</v>
      </c>
      <c r="V57" s="1202" t="e">
        <v>#N/A</v>
      </c>
      <c r="W57" s="1202" t="e">
        <v>#N/A</v>
      </c>
      <c r="X57" s="1202" t="e">
        <v>#N/A</v>
      </c>
      <c r="Y57" s="1202" t="e">
        <v>#N/A</v>
      </c>
    </row>
    <row r="58" spans="1:25">
      <c r="A58" s="1198">
        <v>506</v>
      </c>
      <c r="B58" s="1199" t="s">
        <v>1504</v>
      </c>
      <c r="C58" s="1200">
        <v>3</v>
      </c>
      <c r="D58" s="1201" t="str">
        <f t="shared" si="3"/>
        <v>D</v>
      </c>
      <c r="E58" s="1201" t="str">
        <f t="shared" si="3"/>
        <v>D</v>
      </c>
      <c r="F58" s="1201" t="str">
        <f t="shared" si="3"/>
        <v>D</v>
      </c>
      <c r="G58" s="1201" t="str">
        <f t="shared" si="3"/>
        <v>D</v>
      </c>
      <c r="H58" s="1201" t="str">
        <f t="shared" si="3"/>
        <v>D</v>
      </c>
      <c r="I58" s="1201" t="str">
        <f t="shared" si="3"/>
        <v>D</v>
      </c>
      <c r="J58" s="1202" t="s">
        <v>1319</v>
      </c>
      <c r="K58" s="1203" t="s">
        <v>1319</v>
      </c>
      <c r="L58" s="1203" t="s">
        <v>1319</v>
      </c>
      <c r="M58" s="1203" t="s">
        <v>1319</v>
      </c>
      <c r="N58" s="1203" t="s">
        <v>1319</v>
      </c>
      <c r="O58" s="1203" t="s">
        <v>1319</v>
      </c>
      <c r="P58" s="1203" t="s">
        <v>1319</v>
      </c>
      <c r="Q58" s="1203" t="s">
        <v>1319</v>
      </c>
      <c r="R58" s="1203" t="s">
        <v>1319</v>
      </c>
      <c r="S58" s="1204" t="s">
        <v>1319</v>
      </c>
      <c r="T58" s="1202" t="e">
        <v>#N/A</v>
      </c>
      <c r="U58" s="1202" t="e">
        <v>#N/A</v>
      </c>
      <c r="V58" s="1202" t="e">
        <v>#N/A</v>
      </c>
      <c r="W58" s="1202" t="e">
        <v>#N/A</v>
      </c>
      <c r="X58" s="1202" t="e">
        <v>#N/A</v>
      </c>
      <c r="Y58" s="1202" t="e">
        <v>#N/A</v>
      </c>
    </row>
    <row r="59" spans="1:25">
      <c r="A59" s="1198">
        <v>23154</v>
      </c>
      <c r="B59" s="1199" t="s">
        <v>1505</v>
      </c>
      <c r="C59" s="1200">
        <v>3</v>
      </c>
      <c r="D59" s="1201">
        <f t="shared" si="3"/>
        <v>9</v>
      </c>
      <c r="E59" s="1201">
        <f t="shared" si="3"/>
        <v>9</v>
      </c>
      <c r="F59" s="1201">
        <f t="shared" si="3"/>
        <v>9</v>
      </c>
      <c r="G59" s="1201">
        <f t="shared" si="3"/>
        <v>9</v>
      </c>
      <c r="H59" s="1201">
        <f t="shared" si="3"/>
        <v>9</v>
      </c>
      <c r="I59" s="1201">
        <f t="shared" si="3"/>
        <v>9</v>
      </c>
      <c r="J59" s="1202">
        <v>9</v>
      </c>
      <c r="K59" s="1203">
        <v>9</v>
      </c>
      <c r="L59" s="1203">
        <v>9</v>
      </c>
      <c r="M59" s="1203">
        <v>9</v>
      </c>
      <c r="N59" s="1203">
        <v>9</v>
      </c>
      <c r="O59" s="1203">
        <v>9</v>
      </c>
      <c r="P59" s="1203">
        <v>9</v>
      </c>
      <c r="Q59" s="1203">
        <v>9</v>
      </c>
      <c r="R59" s="1203">
        <v>9</v>
      </c>
      <c r="S59" s="1204">
        <v>9</v>
      </c>
      <c r="T59" s="1202" t="s">
        <v>1468</v>
      </c>
      <c r="U59" s="1202" t="s">
        <v>1468</v>
      </c>
      <c r="V59" s="1202" t="s">
        <v>1468</v>
      </c>
      <c r="W59" s="1202" t="s">
        <v>1468</v>
      </c>
      <c r="X59" s="1202" t="s">
        <v>1468</v>
      </c>
      <c r="Y59" s="1202" t="s">
        <v>1468</v>
      </c>
    </row>
    <row r="60" spans="1:25">
      <c r="A60" s="1198">
        <v>3596</v>
      </c>
      <c r="B60" s="1199" t="s">
        <v>1506</v>
      </c>
      <c r="C60" s="1200">
        <v>3</v>
      </c>
      <c r="D60" s="1201">
        <f t="shared" si="3"/>
        <v>8</v>
      </c>
      <c r="E60" s="1201">
        <f t="shared" si="3"/>
        <v>8</v>
      </c>
      <c r="F60" s="1201">
        <f t="shared" si="3"/>
        <v>8</v>
      </c>
      <c r="G60" s="1201">
        <f t="shared" si="3"/>
        <v>8</v>
      </c>
      <c r="H60" s="1201">
        <f t="shared" si="3"/>
        <v>8</v>
      </c>
      <c r="I60" s="1201">
        <f t="shared" si="3"/>
        <v>8</v>
      </c>
      <c r="J60" s="1202">
        <v>8</v>
      </c>
      <c r="K60" s="1203">
        <v>8</v>
      </c>
      <c r="L60" s="1203">
        <v>8</v>
      </c>
      <c r="M60" s="1203">
        <v>8</v>
      </c>
      <c r="N60" s="1203">
        <v>8</v>
      </c>
      <c r="O60" s="1203">
        <v>8</v>
      </c>
      <c r="P60" s="1203">
        <v>8</v>
      </c>
      <c r="Q60" s="1203">
        <v>8</v>
      </c>
      <c r="R60" s="1203">
        <v>8</v>
      </c>
      <c r="S60" s="1204">
        <v>8</v>
      </c>
      <c r="T60" s="1202" t="s">
        <v>1458</v>
      </c>
      <c r="U60" s="1202" t="s">
        <v>1458</v>
      </c>
      <c r="V60" s="1202" t="s">
        <v>1458</v>
      </c>
      <c r="W60" s="1202" t="s">
        <v>1458</v>
      </c>
      <c r="X60" s="1202" t="s">
        <v>1458</v>
      </c>
      <c r="Y60" s="1202" t="s">
        <v>1458</v>
      </c>
    </row>
    <row r="61" spans="1:25">
      <c r="A61" s="1198">
        <v>3600</v>
      </c>
      <c r="B61" s="1199" t="s">
        <v>1507</v>
      </c>
      <c r="C61" s="1200">
        <v>3</v>
      </c>
      <c r="D61" s="1201">
        <f t="shared" si="3"/>
        <v>9</v>
      </c>
      <c r="E61" s="1201">
        <f t="shared" si="3"/>
        <v>9</v>
      </c>
      <c r="F61" s="1201">
        <f t="shared" si="3"/>
        <v>9</v>
      </c>
      <c r="G61" s="1201">
        <f t="shared" si="3"/>
        <v>9</v>
      </c>
      <c r="H61" s="1201">
        <f t="shared" si="3"/>
        <v>9</v>
      </c>
      <c r="I61" s="1201">
        <f t="shared" si="3"/>
        <v>9</v>
      </c>
      <c r="J61" s="1202">
        <v>9</v>
      </c>
      <c r="K61" s="1203">
        <v>9</v>
      </c>
      <c r="L61" s="1203">
        <v>9</v>
      </c>
      <c r="M61" s="1203">
        <v>9</v>
      </c>
      <c r="N61" s="1203">
        <v>9</v>
      </c>
      <c r="O61" s="1203">
        <v>9</v>
      </c>
      <c r="P61" s="1203">
        <v>9</v>
      </c>
      <c r="Q61" s="1203">
        <v>9</v>
      </c>
      <c r="R61" s="1203">
        <v>9</v>
      </c>
      <c r="S61" s="1204">
        <v>9</v>
      </c>
      <c r="T61" s="1202" t="s">
        <v>1468</v>
      </c>
      <c r="U61" s="1202" t="s">
        <v>1468</v>
      </c>
      <c r="V61" s="1202" t="s">
        <v>1468</v>
      </c>
      <c r="W61" s="1202" t="s">
        <v>1468</v>
      </c>
      <c r="X61" s="1202" t="s">
        <v>1468</v>
      </c>
      <c r="Y61" s="1202" t="s">
        <v>1468</v>
      </c>
    </row>
    <row r="62" spans="1:25">
      <c r="A62" s="1198">
        <v>3601</v>
      </c>
      <c r="B62" s="1199" t="s">
        <v>1508</v>
      </c>
      <c r="C62" s="1200">
        <v>3</v>
      </c>
      <c r="D62" s="1201">
        <f t="shared" si="3"/>
        <v>8</v>
      </c>
      <c r="E62" s="1201">
        <f t="shared" si="3"/>
        <v>8</v>
      </c>
      <c r="F62" s="1201">
        <f t="shared" si="3"/>
        <v>8</v>
      </c>
      <c r="G62" s="1201">
        <f t="shared" si="3"/>
        <v>8</v>
      </c>
      <c r="H62" s="1201">
        <f t="shared" si="3"/>
        <v>8</v>
      </c>
      <c r="I62" s="1201">
        <f t="shared" si="3"/>
        <v>8</v>
      </c>
      <c r="J62" s="1202">
        <v>8</v>
      </c>
      <c r="K62" s="1203">
        <v>8</v>
      </c>
      <c r="L62" s="1203">
        <v>8</v>
      </c>
      <c r="M62" s="1203">
        <v>8</v>
      </c>
      <c r="N62" s="1203">
        <v>8</v>
      </c>
      <c r="O62" s="1203">
        <v>8</v>
      </c>
      <c r="P62" s="1203">
        <v>8</v>
      </c>
      <c r="Q62" s="1203">
        <v>8</v>
      </c>
      <c r="R62" s="1203">
        <v>8</v>
      </c>
      <c r="S62" s="1204">
        <v>8</v>
      </c>
      <c r="T62" s="1202" t="s">
        <v>1458</v>
      </c>
      <c r="U62" s="1202" t="s">
        <v>1458</v>
      </c>
      <c r="V62" s="1202" t="s">
        <v>1458</v>
      </c>
      <c r="W62" s="1202" t="s">
        <v>1458</v>
      </c>
      <c r="X62" s="1202" t="s">
        <v>1458</v>
      </c>
      <c r="Y62" s="1202" t="s">
        <v>1458</v>
      </c>
    </row>
    <row r="63" spans="1:25">
      <c r="A63" s="1198">
        <v>3603</v>
      </c>
      <c r="B63" s="1199" t="s">
        <v>1509</v>
      </c>
      <c r="C63" s="1200">
        <v>3</v>
      </c>
      <c r="D63" s="1201">
        <f t="shared" si="3"/>
        <v>9</v>
      </c>
      <c r="E63" s="1201">
        <f t="shared" si="3"/>
        <v>9</v>
      </c>
      <c r="F63" s="1201">
        <f t="shared" si="3"/>
        <v>9</v>
      </c>
      <c r="G63" s="1201">
        <f t="shared" si="3"/>
        <v>9</v>
      </c>
      <c r="H63" s="1201">
        <f t="shared" si="3"/>
        <v>9</v>
      </c>
      <c r="I63" s="1201">
        <f t="shared" si="3"/>
        <v>9</v>
      </c>
      <c r="J63" s="1202">
        <v>9</v>
      </c>
      <c r="K63" s="1203">
        <v>9</v>
      </c>
      <c r="L63" s="1203">
        <v>9</v>
      </c>
      <c r="M63" s="1203">
        <v>9</v>
      </c>
      <c r="N63" s="1203">
        <v>9</v>
      </c>
      <c r="O63" s="1203">
        <v>9</v>
      </c>
      <c r="P63" s="1203">
        <v>9</v>
      </c>
      <c r="Q63" s="1203">
        <v>9</v>
      </c>
      <c r="R63" s="1203">
        <v>9</v>
      </c>
      <c r="S63" s="1204">
        <v>9</v>
      </c>
      <c r="T63" s="1202" t="s">
        <v>1468</v>
      </c>
      <c r="U63" s="1202" t="s">
        <v>1468</v>
      </c>
      <c r="V63" s="1202" t="s">
        <v>1468</v>
      </c>
      <c r="W63" s="1202" t="s">
        <v>1468</v>
      </c>
      <c r="X63" s="1202" t="s">
        <v>1468</v>
      </c>
      <c r="Y63" s="1202" t="s">
        <v>1468</v>
      </c>
    </row>
    <row r="64" spans="1:25">
      <c r="A64" s="1198">
        <v>3609</v>
      </c>
      <c r="B64" s="1199" t="s">
        <v>1510</v>
      </c>
      <c r="C64" s="1200">
        <v>3</v>
      </c>
      <c r="D64" s="1201" t="str">
        <f t="shared" si="3"/>
        <v>D</v>
      </c>
      <c r="E64" s="1201" t="str">
        <f t="shared" si="3"/>
        <v>D</v>
      </c>
      <c r="F64" s="1201" t="str">
        <f t="shared" si="3"/>
        <v>D</v>
      </c>
      <c r="G64" s="1201" t="str">
        <f t="shared" si="3"/>
        <v>D</v>
      </c>
      <c r="H64" s="1201" t="str">
        <f t="shared" si="3"/>
        <v>D</v>
      </c>
      <c r="I64" s="1201" t="str">
        <f t="shared" si="3"/>
        <v>D</v>
      </c>
      <c r="J64" s="1202" t="s">
        <v>1319</v>
      </c>
      <c r="K64" s="1203" t="s">
        <v>1319</v>
      </c>
      <c r="L64" s="1203" t="s">
        <v>1319</v>
      </c>
      <c r="M64" s="1203" t="s">
        <v>1319</v>
      </c>
      <c r="N64" s="1203" t="s">
        <v>1319</v>
      </c>
      <c r="O64" s="1203" t="s">
        <v>1319</v>
      </c>
      <c r="P64" s="1203" t="s">
        <v>1319</v>
      </c>
      <c r="Q64" s="1203" t="s">
        <v>1319</v>
      </c>
      <c r="R64" s="1203" t="s">
        <v>1319</v>
      </c>
      <c r="S64" s="1204" t="s">
        <v>1319</v>
      </c>
      <c r="T64" s="1202" t="s">
        <v>1451</v>
      </c>
      <c r="U64" s="1202" t="s">
        <v>1451</v>
      </c>
      <c r="V64" s="1202" t="s">
        <v>1451</v>
      </c>
      <c r="W64" s="1202" t="s">
        <v>1451</v>
      </c>
      <c r="X64" s="1202" t="s">
        <v>1451</v>
      </c>
      <c r="Y64" s="1202" t="s">
        <v>1451</v>
      </c>
    </row>
    <row r="65" spans="1:25">
      <c r="A65" s="1198">
        <v>12713</v>
      </c>
      <c r="B65" s="1199" t="s">
        <v>1511</v>
      </c>
      <c r="C65" s="1200">
        <v>3</v>
      </c>
      <c r="D65" s="1201" t="str">
        <f t="shared" si="3"/>
        <v>D</v>
      </c>
      <c r="E65" s="1201" t="str">
        <f t="shared" si="3"/>
        <v>D</v>
      </c>
      <c r="F65" s="1201" t="str">
        <f t="shared" si="3"/>
        <v>D</v>
      </c>
      <c r="G65" s="1201" t="str">
        <f t="shared" si="3"/>
        <v>D</v>
      </c>
      <c r="H65" s="1201" t="str">
        <f t="shared" si="3"/>
        <v>D</v>
      </c>
      <c r="I65" s="1201" t="str">
        <f t="shared" si="3"/>
        <v>D</v>
      </c>
      <c r="J65" s="1202" t="s">
        <v>1319</v>
      </c>
      <c r="K65" s="1203" t="s">
        <v>1319</v>
      </c>
      <c r="L65" s="1203" t="s">
        <v>1319</v>
      </c>
      <c r="M65" s="1203" t="s">
        <v>1319</v>
      </c>
      <c r="N65" s="1203" t="s">
        <v>1319</v>
      </c>
      <c r="O65" s="1203" t="s">
        <v>1319</v>
      </c>
      <c r="P65" s="1203" t="s">
        <v>1319</v>
      </c>
      <c r="Q65" s="1203" t="s">
        <v>1319</v>
      </c>
      <c r="R65" s="1203" t="s">
        <v>1319</v>
      </c>
      <c r="S65" s="1204" t="s">
        <v>1319</v>
      </c>
      <c r="T65" s="1202" t="s">
        <v>1451</v>
      </c>
      <c r="U65" s="1202" t="s">
        <v>1451</v>
      </c>
      <c r="V65" s="1202" t="s">
        <v>1451</v>
      </c>
      <c r="W65" s="1202" t="s">
        <v>1451</v>
      </c>
      <c r="X65" s="1202" t="s">
        <v>1451</v>
      </c>
      <c r="Y65" s="1202" t="s">
        <v>1451</v>
      </c>
    </row>
    <row r="66" spans="1:25">
      <c r="A66" s="1198">
        <v>90</v>
      </c>
      <c r="B66" s="1199" t="s">
        <v>1512</v>
      </c>
      <c r="C66" s="1200">
        <v>3</v>
      </c>
      <c r="D66" s="1201" t="str">
        <f t="shared" si="3"/>
        <v>D</v>
      </c>
      <c r="E66" s="1201" t="str">
        <f t="shared" si="3"/>
        <v>D</v>
      </c>
      <c r="F66" s="1201" t="str">
        <f t="shared" si="3"/>
        <v>D</v>
      </c>
      <c r="G66" s="1201" t="str">
        <f t="shared" si="3"/>
        <v>D</v>
      </c>
      <c r="H66" s="1201" t="str">
        <f t="shared" si="3"/>
        <v>D</v>
      </c>
      <c r="I66" s="1201" t="str">
        <f t="shared" si="3"/>
        <v>D</v>
      </c>
      <c r="J66" s="1202" t="s">
        <v>1319</v>
      </c>
      <c r="K66" s="1203" t="s">
        <v>1319</v>
      </c>
      <c r="L66" s="1203" t="s">
        <v>1319</v>
      </c>
      <c r="M66" s="1203" t="s">
        <v>1319</v>
      </c>
      <c r="N66" s="1203" t="s">
        <v>1319</v>
      </c>
      <c r="O66" s="1203" t="s">
        <v>1319</v>
      </c>
      <c r="P66" s="1203" t="s">
        <v>1319</v>
      </c>
      <c r="Q66" s="1203" t="s">
        <v>1319</v>
      </c>
      <c r="R66" s="1203" t="s">
        <v>1319</v>
      </c>
      <c r="S66" s="1204" t="s">
        <v>1319</v>
      </c>
      <c r="T66" s="1202" t="s">
        <v>1451</v>
      </c>
      <c r="U66" s="1202" t="s">
        <v>1451</v>
      </c>
      <c r="V66" s="1202" t="s">
        <v>1451</v>
      </c>
      <c r="W66" s="1202" t="s">
        <v>1451</v>
      </c>
      <c r="X66" s="1202" t="s">
        <v>1451</v>
      </c>
      <c r="Y66" s="1202" t="s">
        <v>1451</v>
      </c>
    </row>
    <row r="67" spans="1:25">
      <c r="A67" s="1198">
        <v>29137</v>
      </c>
      <c r="B67" s="1199" t="s">
        <v>1513</v>
      </c>
      <c r="C67" s="1200">
        <v>3</v>
      </c>
      <c r="D67" s="1201">
        <f t="shared" si="3"/>
        <v>6</v>
      </c>
      <c r="E67" s="1201">
        <f t="shared" si="3"/>
        <v>6</v>
      </c>
      <c r="F67" s="1201">
        <f t="shared" si="3"/>
        <v>6</v>
      </c>
      <c r="G67" s="1201">
        <f t="shared" si="3"/>
        <v>6</v>
      </c>
      <c r="H67" s="1201">
        <f t="shared" si="3"/>
        <v>6</v>
      </c>
      <c r="I67" s="1201">
        <f t="shared" si="3"/>
        <v>6</v>
      </c>
      <c r="J67" s="1202">
        <v>6</v>
      </c>
      <c r="K67" s="1203">
        <v>6</v>
      </c>
      <c r="L67" s="1203">
        <v>6</v>
      </c>
      <c r="M67" s="1203">
        <v>6</v>
      </c>
      <c r="N67" s="1203">
        <v>6</v>
      </c>
      <c r="O67" s="1203">
        <v>6</v>
      </c>
      <c r="P67" s="1203">
        <v>6</v>
      </c>
      <c r="Q67" s="1203">
        <v>6</v>
      </c>
      <c r="R67" s="1203">
        <v>6</v>
      </c>
      <c r="S67" s="1204">
        <v>6</v>
      </c>
      <c r="T67" s="1202" t="s">
        <v>1451</v>
      </c>
      <c r="U67" s="1202" t="s">
        <v>1451</v>
      </c>
      <c r="V67" s="1202" t="s">
        <v>1451</v>
      </c>
      <c r="W67" s="1202" t="s">
        <v>1451</v>
      </c>
      <c r="X67" s="1202" t="s">
        <v>1451</v>
      </c>
      <c r="Y67" s="1202" t="s">
        <v>1451</v>
      </c>
    </row>
    <row r="68" spans="1:25">
      <c r="A68" s="1198">
        <v>3611</v>
      </c>
      <c r="B68" s="1199" t="s">
        <v>1514</v>
      </c>
      <c r="C68" s="1200">
        <v>3</v>
      </c>
      <c r="D68" s="1201">
        <f t="shared" si="3"/>
        <v>7</v>
      </c>
      <c r="E68" s="1201">
        <f t="shared" si="3"/>
        <v>7</v>
      </c>
      <c r="F68" s="1201">
        <f t="shared" si="3"/>
        <v>7</v>
      </c>
      <c r="G68" s="1201">
        <f t="shared" si="3"/>
        <v>7</v>
      </c>
      <c r="H68" s="1201">
        <f t="shared" si="3"/>
        <v>7</v>
      </c>
      <c r="I68" s="1201">
        <f t="shared" si="3"/>
        <v>7</v>
      </c>
      <c r="J68" s="1202">
        <v>7</v>
      </c>
      <c r="K68" s="1203">
        <v>7</v>
      </c>
      <c r="L68" s="1203">
        <v>7</v>
      </c>
      <c r="M68" s="1203">
        <v>7</v>
      </c>
      <c r="N68" s="1203">
        <v>7</v>
      </c>
      <c r="O68" s="1203">
        <v>7</v>
      </c>
      <c r="P68" s="1203">
        <v>7</v>
      </c>
      <c r="Q68" s="1203">
        <v>7</v>
      </c>
      <c r="R68" s="1203">
        <v>7</v>
      </c>
      <c r="S68" s="1204">
        <v>7</v>
      </c>
      <c r="T68" s="1202" t="s">
        <v>1460</v>
      </c>
      <c r="U68" s="1202" t="s">
        <v>1460</v>
      </c>
      <c r="V68" s="1202" t="s">
        <v>1460</v>
      </c>
      <c r="W68" s="1202" t="s">
        <v>1460</v>
      </c>
      <c r="X68" s="1202" t="s">
        <v>1460</v>
      </c>
      <c r="Y68" s="1202" t="s">
        <v>1460</v>
      </c>
    </row>
    <row r="69" spans="1:25">
      <c r="A69" s="1198">
        <v>31034</v>
      </c>
      <c r="B69" s="1199" t="s">
        <v>1515</v>
      </c>
      <c r="C69" s="1200">
        <v>3</v>
      </c>
      <c r="D69" s="1201">
        <f t="shared" si="3"/>
        <v>6</v>
      </c>
      <c r="E69" s="1201">
        <f t="shared" si="3"/>
        <v>6</v>
      </c>
      <c r="F69" s="1201">
        <f t="shared" si="3"/>
        <v>6</v>
      </c>
      <c r="G69" s="1201">
        <f t="shared" si="3"/>
        <v>6</v>
      </c>
      <c r="H69" s="1201">
        <f t="shared" si="3"/>
        <v>6</v>
      </c>
      <c r="I69" s="1201">
        <f t="shared" si="3"/>
        <v>6</v>
      </c>
      <c r="J69" s="1202">
        <v>6</v>
      </c>
      <c r="K69" s="1203">
        <v>6</v>
      </c>
      <c r="L69" s="1203">
        <v>6</v>
      </c>
      <c r="M69" s="1203">
        <v>6</v>
      </c>
      <c r="N69" s="1203">
        <v>6</v>
      </c>
      <c r="O69" s="1203">
        <v>6</v>
      </c>
      <c r="P69" s="1203">
        <v>6</v>
      </c>
      <c r="Q69" s="1203">
        <v>6</v>
      </c>
      <c r="R69" s="1203">
        <v>6</v>
      </c>
      <c r="S69" s="1204">
        <v>6</v>
      </c>
      <c r="T69" s="1202" t="s">
        <v>1451</v>
      </c>
      <c r="U69" s="1202" t="s">
        <v>1451</v>
      </c>
      <c r="V69" s="1202" t="s">
        <v>1451</v>
      </c>
      <c r="W69" s="1202" t="s">
        <v>1451</v>
      </c>
      <c r="X69" s="1202" t="s">
        <v>1451</v>
      </c>
      <c r="Y69" s="1202" t="s">
        <v>1451</v>
      </c>
    </row>
    <row r="70" spans="1:25">
      <c r="A70" s="1198">
        <v>574</v>
      </c>
      <c r="B70" s="1199" t="s">
        <v>1516</v>
      </c>
      <c r="C70" s="1200">
        <v>3</v>
      </c>
      <c r="D70" s="1201" t="str">
        <f t="shared" si="3"/>
        <v>D</v>
      </c>
      <c r="E70" s="1201" t="str">
        <f t="shared" si="3"/>
        <v>D</v>
      </c>
      <c r="F70" s="1201" t="str">
        <f t="shared" si="3"/>
        <v>D</v>
      </c>
      <c r="G70" s="1201" t="str">
        <f t="shared" si="3"/>
        <v>D</v>
      </c>
      <c r="H70" s="1201" t="str">
        <f t="shared" si="3"/>
        <v>D</v>
      </c>
      <c r="I70" s="1201" t="str">
        <f t="shared" si="3"/>
        <v>D</v>
      </c>
      <c r="J70" s="1202" t="s">
        <v>1319</v>
      </c>
      <c r="K70" s="1203" t="s">
        <v>1319</v>
      </c>
      <c r="L70" s="1203" t="s">
        <v>1319</v>
      </c>
      <c r="M70" s="1203" t="s">
        <v>1319</v>
      </c>
      <c r="N70" s="1203" t="s">
        <v>1319</v>
      </c>
      <c r="O70" s="1203" t="s">
        <v>1319</v>
      </c>
      <c r="P70" s="1203" t="s">
        <v>1319</v>
      </c>
      <c r="Q70" s="1203" t="s">
        <v>1319</v>
      </c>
      <c r="R70" s="1203" t="s">
        <v>1319</v>
      </c>
      <c r="S70" s="1204" t="s">
        <v>1319</v>
      </c>
      <c r="T70" s="1202" t="s">
        <v>1468</v>
      </c>
      <c r="U70" s="1202" t="s">
        <v>1468</v>
      </c>
      <c r="V70" s="1202" t="s">
        <v>1468</v>
      </c>
      <c r="W70" s="1202" t="s">
        <v>1468</v>
      </c>
      <c r="X70" s="1202" t="s">
        <v>1468</v>
      </c>
      <c r="Y70" s="1202" t="s">
        <v>1468</v>
      </c>
    </row>
    <row r="71" spans="1:25" s="1214" customFormat="1">
      <c r="A71" s="1198">
        <v>3614</v>
      </c>
      <c r="B71" s="1199" t="s">
        <v>1517</v>
      </c>
      <c r="C71" s="1200">
        <v>3</v>
      </c>
      <c r="D71" s="1201">
        <f t="shared" si="3"/>
        <v>8</v>
      </c>
      <c r="E71" s="1201">
        <f t="shared" si="3"/>
        <v>8</v>
      </c>
      <c r="F71" s="1201">
        <f t="shared" si="3"/>
        <v>8</v>
      </c>
      <c r="G71" s="1201">
        <f t="shared" si="3"/>
        <v>8</v>
      </c>
      <c r="H71" s="1201">
        <f t="shared" si="3"/>
        <v>8</v>
      </c>
      <c r="I71" s="1201">
        <f t="shared" si="3"/>
        <v>8</v>
      </c>
      <c r="J71" s="1202">
        <v>8</v>
      </c>
      <c r="K71" s="1203">
        <v>8</v>
      </c>
      <c r="L71" s="1203">
        <v>8</v>
      </c>
      <c r="M71" s="1203">
        <v>8</v>
      </c>
      <c r="N71" s="1203">
        <v>8</v>
      </c>
      <c r="O71" s="1203">
        <v>8</v>
      </c>
      <c r="P71" s="1203">
        <v>8</v>
      </c>
      <c r="Q71" s="1203">
        <v>8</v>
      </c>
      <c r="R71" s="1203">
        <v>8</v>
      </c>
      <c r="S71" s="1204">
        <v>8</v>
      </c>
      <c r="T71" s="1202" t="s">
        <v>1458</v>
      </c>
      <c r="U71" s="1202" t="s">
        <v>1458</v>
      </c>
      <c r="V71" s="1202" t="s">
        <v>1458</v>
      </c>
      <c r="W71" s="1202" t="s">
        <v>1458</v>
      </c>
      <c r="X71" s="1202" t="s">
        <v>1458</v>
      </c>
      <c r="Y71" s="1202" t="s">
        <v>1458</v>
      </c>
    </row>
    <row r="72" spans="1:25" s="1222" customFormat="1">
      <c r="A72" s="1215">
        <v>8897</v>
      </c>
      <c r="B72" s="1216" t="s">
        <v>1518</v>
      </c>
      <c r="C72" s="1217">
        <v>3</v>
      </c>
      <c r="D72" s="1218" t="str">
        <f t="shared" si="3"/>
        <v>D</v>
      </c>
      <c r="E72" s="1218" t="str">
        <f t="shared" si="3"/>
        <v>D</v>
      </c>
      <c r="F72" s="1218" t="str">
        <f t="shared" si="3"/>
        <v>D</v>
      </c>
      <c r="G72" s="1218" t="str">
        <f t="shared" si="3"/>
        <v>D</v>
      </c>
      <c r="H72" s="1218" t="str">
        <f t="shared" si="3"/>
        <v>D</v>
      </c>
      <c r="I72" s="1218" t="str">
        <f t="shared" si="3"/>
        <v>D</v>
      </c>
      <c r="J72" s="1219" t="s">
        <v>1319</v>
      </c>
      <c r="K72" s="1220" t="s">
        <v>1319</v>
      </c>
      <c r="L72" s="1220" t="s">
        <v>1319</v>
      </c>
      <c r="M72" s="1220" t="s">
        <v>1319</v>
      </c>
      <c r="N72" s="1220" t="s">
        <v>1319</v>
      </c>
      <c r="O72" s="1220" t="s">
        <v>1319</v>
      </c>
      <c r="P72" s="1220" t="s">
        <v>1319</v>
      </c>
      <c r="Q72" s="1220" t="s">
        <v>1319</v>
      </c>
      <c r="R72" s="1220" t="s">
        <v>1319</v>
      </c>
      <c r="S72" s="1221" t="s">
        <v>1319</v>
      </c>
      <c r="T72" s="1219" t="s">
        <v>1451</v>
      </c>
      <c r="U72" s="1219" t="s">
        <v>1451</v>
      </c>
      <c r="V72" s="1219" t="s">
        <v>1451</v>
      </c>
      <c r="W72" s="1219" t="s">
        <v>1451</v>
      </c>
      <c r="X72" s="1219" t="s">
        <v>1451</v>
      </c>
      <c r="Y72" s="1219" t="s">
        <v>1451</v>
      </c>
    </row>
    <row r="73" spans="1:25">
      <c r="A73" s="1198">
        <v>8899</v>
      </c>
      <c r="B73" s="1199" t="s">
        <v>1519</v>
      </c>
      <c r="C73" s="1200">
        <v>3</v>
      </c>
      <c r="D73" s="1201" t="str">
        <f t="shared" si="3"/>
        <v>D</v>
      </c>
      <c r="E73" s="1201" t="str">
        <f t="shared" si="3"/>
        <v>D</v>
      </c>
      <c r="F73" s="1201" t="str">
        <f t="shared" si="3"/>
        <v>D</v>
      </c>
      <c r="G73" s="1201" t="str">
        <f t="shared" si="3"/>
        <v>D</v>
      </c>
      <c r="H73" s="1201" t="str">
        <f t="shared" si="3"/>
        <v>D</v>
      </c>
      <c r="I73" s="1201" t="str">
        <f t="shared" si="3"/>
        <v>D</v>
      </c>
      <c r="J73" s="1202" t="s">
        <v>1319</v>
      </c>
      <c r="K73" s="1203" t="s">
        <v>1319</v>
      </c>
      <c r="L73" s="1203" t="s">
        <v>1319</v>
      </c>
      <c r="M73" s="1203" t="s">
        <v>1319</v>
      </c>
      <c r="N73" s="1203" t="s">
        <v>1319</v>
      </c>
      <c r="O73" s="1203" t="s">
        <v>1319</v>
      </c>
      <c r="P73" s="1203" t="s">
        <v>1319</v>
      </c>
      <c r="Q73" s="1203" t="s">
        <v>1319</v>
      </c>
      <c r="R73" s="1203" t="s">
        <v>1319</v>
      </c>
      <c r="S73" s="1204" t="s">
        <v>1319</v>
      </c>
      <c r="T73" s="1202" t="s">
        <v>1451</v>
      </c>
      <c r="U73" s="1202" t="s">
        <v>1451</v>
      </c>
      <c r="V73" s="1202" t="s">
        <v>1451</v>
      </c>
      <c r="W73" s="1202" t="s">
        <v>1451</v>
      </c>
      <c r="X73" s="1202" t="s">
        <v>1451</v>
      </c>
      <c r="Y73" s="1202" t="s">
        <v>1451</v>
      </c>
    </row>
    <row r="74" spans="1:25">
      <c r="A74" s="1198">
        <v>10964</v>
      </c>
      <c r="B74" s="1199" t="s">
        <v>1520</v>
      </c>
      <c r="C74" s="1200">
        <v>3</v>
      </c>
      <c r="D74" s="1201" t="str">
        <f t="shared" ref="D74:I89" si="4">$J74</f>
        <v>D</v>
      </c>
      <c r="E74" s="1201" t="str">
        <f t="shared" si="4"/>
        <v>D</v>
      </c>
      <c r="F74" s="1201" t="str">
        <f t="shared" si="4"/>
        <v>D</v>
      </c>
      <c r="G74" s="1201" t="str">
        <f t="shared" si="4"/>
        <v>D</v>
      </c>
      <c r="H74" s="1201" t="str">
        <f t="shared" si="4"/>
        <v>D</v>
      </c>
      <c r="I74" s="1201" t="str">
        <f t="shared" si="4"/>
        <v>D</v>
      </c>
      <c r="J74" s="1202" t="s">
        <v>1319</v>
      </c>
      <c r="K74" s="1203" t="s">
        <v>1319</v>
      </c>
      <c r="L74" s="1203" t="s">
        <v>1319</v>
      </c>
      <c r="M74" s="1203" t="s">
        <v>1319</v>
      </c>
      <c r="N74" s="1203" t="s">
        <v>1319</v>
      </c>
      <c r="O74" s="1203" t="s">
        <v>1319</v>
      </c>
      <c r="P74" s="1203" t="s">
        <v>1319</v>
      </c>
      <c r="Q74" s="1203" t="s">
        <v>1319</v>
      </c>
      <c r="R74" s="1203" t="s">
        <v>1319</v>
      </c>
      <c r="S74" s="1204" t="s">
        <v>1319</v>
      </c>
      <c r="T74" s="1202" t="s">
        <v>1451</v>
      </c>
      <c r="U74" s="1202" t="s">
        <v>1451</v>
      </c>
      <c r="V74" s="1202" t="s">
        <v>1451</v>
      </c>
      <c r="W74" s="1202" t="s">
        <v>1451</v>
      </c>
      <c r="X74" s="1202" t="s">
        <v>1451</v>
      </c>
      <c r="Y74" s="1202" t="s">
        <v>1451</v>
      </c>
    </row>
    <row r="75" spans="1:25">
      <c r="A75" s="1198">
        <v>8900</v>
      </c>
      <c r="B75" s="1199" t="s">
        <v>1521</v>
      </c>
      <c r="C75" s="1200">
        <v>3</v>
      </c>
      <c r="D75" s="1201" t="str">
        <f t="shared" si="4"/>
        <v>D</v>
      </c>
      <c r="E75" s="1201" t="str">
        <f t="shared" si="4"/>
        <v>D</v>
      </c>
      <c r="F75" s="1201" t="str">
        <f t="shared" si="4"/>
        <v>D</v>
      </c>
      <c r="G75" s="1201" t="str">
        <f t="shared" si="4"/>
        <v>D</v>
      </c>
      <c r="H75" s="1201" t="str">
        <f t="shared" si="4"/>
        <v>D</v>
      </c>
      <c r="I75" s="1201" t="str">
        <f t="shared" si="4"/>
        <v>D</v>
      </c>
      <c r="J75" s="1202" t="s">
        <v>1319</v>
      </c>
      <c r="K75" s="1203" t="s">
        <v>1319</v>
      </c>
      <c r="L75" s="1203" t="s">
        <v>1319</v>
      </c>
      <c r="M75" s="1203" t="s">
        <v>1319</v>
      </c>
      <c r="N75" s="1203" t="s">
        <v>1319</v>
      </c>
      <c r="O75" s="1203" t="s">
        <v>1319</v>
      </c>
      <c r="P75" s="1203" t="s">
        <v>1319</v>
      </c>
      <c r="Q75" s="1203" t="s">
        <v>1319</v>
      </c>
      <c r="R75" s="1203" t="s">
        <v>1319</v>
      </c>
      <c r="S75" s="1204" t="s">
        <v>1319</v>
      </c>
      <c r="T75" s="1202" t="s">
        <v>1451</v>
      </c>
      <c r="U75" s="1202" t="s">
        <v>1451</v>
      </c>
      <c r="V75" s="1202" t="s">
        <v>1451</v>
      </c>
      <c r="W75" s="1202" t="s">
        <v>1451</v>
      </c>
      <c r="X75" s="1202" t="s">
        <v>1451</v>
      </c>
      <c r="Y75" s="1202" t="s">
        <v>1451</v>
      </c>
    </row>
    <row r="76" spans="1:25">
      <c r="A76" s="1198">
        <v>326</v>
      </c>
      <c r="B76" s="1199" t="s">
        <v>1522</v>
      </c>
      <c r="C76" s="1200">
        <v>3</v>
      </c>
      <c r="D76" s="1201" t="str">
        <f t="shared" si="4"/>
        <v>D</v>
      </c>
      <c r="E76" s="1201" t="str">
        <f t="shared" si="4"/>
        <v>D</v>
      </c>
      <c r="F76" s="1201" t="str">
        <f t="shared" si="4"/>
        <v>D</v>
      </c>
      <c r="G76" s="1201" t="str">
        <f t="shared" si="4"/>
        <v>D</v>
      </c>
      <c r="H76" s="1201" t="str">
        <f t="shared" si="4"/>
        <v>D</v>
      </c>
      <c r="I76" s="1201" t="str">
        <f t="shared" si="4"/>
        <v>D</v>
      </c>
      <c r="J76" s="1202" t="s">
        <v>1319</v>
      </c>
      <c r="K76" s="1203" t="s">
        <v>1319</v>
      </c>
      <c r="L76" s="1203" t="s">
        <v>1319</v>
      </c>
      <c r="M76" s="1203" t="s">
        <v>1319</v>
      </c>
      <c r="N76" s="1203" t="s">
        <v>1319</v>
      </c>
      <c r="O76" s="1203" t="s">
        <v>1319</v>
      </c>
      <c r="P76" s="1203" t="s">
        <v>1319</v>
      </c>
      <c r="Q76" s="1203" t="s">
        <v>1319</v>
      </c>
      <c r="R76" s="1203" t="s">
        <v>1319</v>
      </c>
      <c r="S76" s="1204" t="s">
        <v>1319</v>
      </c>
      <c r="T76" s="1202" t="s">
        <v>1451</v>
      </c>
      <c r="U76" s="1202" t="s">
        <v>1451</v>
      </c>
      <c r="V76" s="1202" t="s">
        <v>1451</v>
      </c>
      <c r="W76" s="1202" t="s">
        <v>1451</v>
      </c>
      <c r="X76" s="1202" t="s">
        <v>1451</v>
      </c>
      <c r="Y76" s="1202" t="s">
        <v>1451</v>
      </c>
    </row>
    <row r="77" spans="1:25">
      <c r="A77" s="1198">
        <v>8901</v>
      </c>
      <c r="B77" s="1199" t="s">
        <v>1523</v>
      </c>
      <c r="C77" s="1200">
        <v>3</v>
      </c>
      <c r="D77" s="1201" t="str">
        <f t="shared" si="4"/>
        <v>D</v>
      </c>
      <c r="E77" s="1201" t="str">
        <f t="shared" si="4"/>
        <v>D</v>
      </c>
      <c r="F77" s="1201" t="str">
        <f t="shared" si="4"/>
        <v>D</v>
      </c>
      <c r="G77" s="1201" t="str">
        <f t="shared" si="4"/>
        <v>D</v>
      </c>
      <c r="H77" s="1201" t="str">
        <f t="shared" si="4"/>
        <v>D</v>
      </c>
      <c r="I77" s="1201" t="str">
        <f t="shared" si="4"/>
        <v>D</v>
      </c>
      <c r="J77" s="1202" t="s">
        <v>1319</v>
      </c>
      <c r="K77" s="1203" t="s">
        <v>1319</v>
      </c>
      <c r="L77" s="1203" t="s">
        <v>1319</v>
      </c>
      <c r="M77" s="1203" t="s">
        <v>1319</v>
      </c>
      <c r="N77" s="1203" t="s">
        <v>1319</v>
      </c>
      <c r="O77" s="1203" t="s">
        <v>1319</v>
      </c>
      <c r="P77" s="1203" t="s">
        <v>1319</v>
      </c>
      <c r="Q77" s="1203" t="s">
        <v>1319</v>
      </c>
      <c r="R77" s="1203" t="s">
        <v>1319</v>
      </c>
      <c r="S77" s="1204" t="s">
        <v>1319</v>
      </c>
      <c r="T77" s="1202" t="s">
        <v>1451</v>
      </c>
      <c r="U77" s="1202" t="s">
        <v>1451</v>
      </c>
      <c r="V77" s="1202" t="s">
        <v>1451</v>
      </c>
      <c r="W77" s="1202" t="s">
        <v>1451</v>
      </c>
      <c r="X77" s="1202" t="s">
        <v>1451</v>
      </c>
      <c r="Y77" s="1202" t="s">
        <v>1451</v>
      </c>
    </row>
    <row r="78" spans="1:25">
      <c r="A78" s="1198">
        <v>3626</v>
      </c>
      <c r="B78" s="1199" t="s">
        <v>1524</v>
      </c>
      <c r="C78" s="1200">
        <v>3</v>
      </c>
      <c r="D78" s="1201">
        <f t="shared" si="4"/>
        <v>6</v>
      </c>
      <c r="E78" s="1201">
        <f t="shared" si="4"/>
        <v>6</v>
      </c>
      <c r="F78" s="1201">
        <f t="shared" si="4"/>
        <v>6</v>
      </c>
      <c r="G78" s="1201">
        <f t="shared" si="4"/>
        <v>6</v>
      </c>
      <c r="H78" s="1201">
        <f t="shared" si="4"/>
        <v>6</v>
      </c>
      <c r="I78" s="1201">
        <f t="shared" si="4"/>
        <v>6</v>
      </c>
      <c r="J78" s="1202">
        <v>6</v>
      </c>
      <c r="K78" s="1203">
        <v>6</v>
      </c>
      <c r="L78" s="1203">
        <v>6</v>
      </c>
      <c r="M78" s="1203">
        <v>6</v>
      </c>
      <c r="N78" s="1203">
        <v>6</v>
      </c>
      <c r="O78" s="1203">
        <v>6</v>
      </c>
      <c r="P78" s="1203">
        <v>6</v>
      </c>
      <c r="Q78" s="1203">
        <v>6</v>
      </c>
      <c r="R78" s="1203">
        <v>6</v>
      </c>
      <c r="S78" s="1204">
        <v>6</v>
      </c>
      <c r="T78" s="1202" t="s">
        <v>1451</v>
      </c>
      <c r="U78" s="1202" t="s">
        <v>1451</v>
      </c>
      <c r="V78" s="1202" t="s">
        <v>1451</v>
      </c>
      <c r="W78" s="1202" t="s">
        <v>1451</v>
      </c>
      <c r="X78" s="1202" t="s">
        <v>1451</v>
      </c>
      <c r="Y78" s="1202" t="s">
        <v>1451</v>
      </c>
    </row>
    <row r="79" spans="1:25">
      <c r="A79" s="1198">
        <v>3627</v>
      </c>
      <c r="B79" s="1199" t="s">
        <v>1525</v>
      </c>
      <c r="C79" s="1200">
        <v>3</v>
      </c>
      <c r="D79" s="1201">
        <f t="shared" si="4"/>
        <v>8</v>
      </c>
      <c r="E79" s="1201">
        <f t="shared" si="4"/>
        <v>8</v>
      </c>
      <c r="F79" s="1201">
        <f t="shared" si="4"/>
        <v>8</v>
      </c>
      <c r="G79" s="1201">
        <f t="shared" si="4"/>
        <v>8</v>
      </c>
      <c r="H79" s="1201">
        <f t="shared" si="4"/>
        <v>8</v>
      </c>
      <c r="I79" s="1201">
        <f t="shared" si="4"/>
        <v>8</v>
      </c>
      <c r="J79" s="1202">
        <v>8</v>
      </c>
      <c r="K79" s="1203">
        <v>8</v>
      </c>
      <c r="L79" s="1203">
        <v>8</v>
      </c>
      <c r="M79" s="1203">
        <v>8</v>
      </c>
      <c r="N79" s="1203">
        <v>8</v>
      </c>
      <c r="O79" s="1203">
        <v>8</v>
      </c>
      <c r="P79" s="1203">
        <v>8</v>
      </c>
      <c r="Q79" s="1203">
        <v>8</v>
      </c>
      <c r="R79" s="1203">
        <v>8</v>
      </c>
      <c r="S79" s="1204">
        <v>8</v>
      </c>
      <c r="T79" s="1202" t="s">
        <v>1458</v>
      </c>
      <c r="U79" s="1202" t="s">
        <v>1458</v>
      </c>
      <c r="V79" s="1202" t="s">
        <v>1458</v>
      </c>
      <c r="W79" s="1202" t="s">
        <v>1458</v>
      </c>
      <c r="X79" s="1202" t="s">
        <v>1458</v>
      </c>
      <c r="Y79" s="1202" t="s">
        <v>1458</v>
      </c>
    </row>
    <row r="80" spans="1:25">
      <c r="A80" s="1198">
        <v>3628</v>
      </c>
      <c r="B80" s="1199" t="s">
        <v>1526</v>
      </c>
      <c r="C80" s="1200">
        <v>3</v>
      </c>
      <c r="D80" s="1201">
        <f t="shared" si="4"/>
        <v>8</v>
      </c>
      <c r="E80" s="1201">
        <f t="shared" si="4"/>
        <v>8</v>
      </c>
      <c r="F80" s="1201">
        <f t="shared" si="4"/>
        <v>8</v>
      </c>
      <c r="G80" s="1201">
        <f t="shared" si="4"/>
        <v>8</v>
      </c>
      <c r="H80" s="1201">
        <f t="shared" si="4"/>
        <v>8</v>
      </c>
      <c r="I80" s="1201">
        <f t="shared" si="4"/>
        <v>8</v>
      </c>
      <c r="J80" s="1202">
        <v>8</v>
      </c>
      <c r="K80" s="1203">
        <v>8</v>
      </c>
      <c r="L80" s="1203">
        <v>8</v>
      </c>
      <c r="M80" s="1203">
        <v>8</v>
      </c>
      <c r="N80" s="1203">
        <v>8</v>
      </c>
      <c r="O80" s="1203">
        <v>8</v>
      </c>
      <c r="P80" s="1203">
        <v>8</v>
      </c>
      <c r="Q80" s="1203">
        <v>8</v>
      </c>
      <c r="R80" s="1203">
        <v>8</v>
      </c>
      <c r="S80" s="1204">
        <v>8</v>
      </c>
      <c r="T80" s="1202" t="s">
        <v>1458</v>
      </c>
      <c r="U80" s="1202" t="s">
        <v>1458</v>
      </c>
      <c r="V80" s="1202" t="s">
        <v>1458</v>
      </c>
      <c r="W80" s="1202" t="s">
        <v>1458</v>
      </c>
      <c r="X80" s="1202" t="s">
        <v>1458</v>
      </c>
      <c r="Y80" s="1202" t="s">
        <v>1458</v>
      </c>
    </row>
    <row r="81" spans="1:25">
      <c r="A81" s="1198">
        <v>3643</v>
      </c>
      <c r="B81" s="1199" t="s">
        <v>1527</v>
      </c>
      <c r="C81" s="1200">
        <v>3</v>
      </c>
      <c r="D81" s="1201">
        <f t="shared" si="4"/>
        <v>7</v>
      </c>
      <c r="E81" s="1201">
        <f t="shared" si="4"/>
        <v>7</v>
      </c>
      <c r="F81" s="1201">
        <f t="shared" si="4"/>
        <v>7</v>
      </c>
      <c r="G81" s="1201">
        <f t="shared" si="4"/>
        <v>7</v>
      </c>
      <c r="H81" s="1201">
        <f t="shared" si="4"/>
        <v>7</v>
      </c>
      <c r="I81" s="1201">
        <f t="shared" si="4"/>
        <v>7</v>
      </c>
      <c r="J81" s="1211">
        <v>7</v>
      </c>
      <c r="K81" s="1212">
        <v>7</v>
      </c>
      <c r="L81" s="1212">
        <v>7</v>
      </c>
      <c r="M81" s="1212">
        <v>7</v>
      </c>
      <c r="N81" s="1212">
        <v>7</v>
      </c>
      <c r="O81" s="1212">
        <v>7</v>
      </c>
      <c r="P81" s="1212">
        <v>7</v>
      </c>
      <c r="Q81" s="1212">
        <v>7</v>
      </c>
      <c r="R81" s="1212">
        <v>8</v>
      </c>
      <c r="S81" s="1213">
        <v>8</v>
      </c>
      <c r="T81" s="1202" t="s">
        <v>1458</v>
      </c>
      <c r="U81" s="1202" t="s">
        <v>1458</v>
      </c>
      <c r="V81" s="1202" t="s">
        <v>1458</v>
      </c>
      <c r="W81" s="1202" t="s">
        <v>1458</v>
      </c>
      <c r="X81" s="1202" t="s">
        <v>1458</v>
      </c>
      <c r="Y81" s="1202" t="s">
        <v>1458</v>
      </c>
    </row>
    <row r="82" spans="1:25">
      <c r="A82" s="1198">
        <v>510</v>
      </c>
      <c r="B82" s="1199" t="s">
        <v>1528</v>
      </c>
      <c r="C82" s="1200">
        <v>3</v>
      </c>
      <c r="D82" s="1201" t="str">
        <f t="shared" si="4"/>
        <v>D</v>
      </c>
      <c r="E82" s="1201" t="str">
        <f t="shared" si="4"/>
        <v>D</v>
      </c>
      <c r="F82" s="1201" t="str">
        <f t="shared" si="4"/>
        <v>D</v>
      </c>
      <c r="G82" s="1201" t="str">
        <f t="shared" si="4"/>
        <v>D</v>
      </c>
      <c r="H82" s="1201" t="str">
        <f t="shared" si="4"/>
        <v>D</v>
      </c>
      <c r="I82" s="1201" t="str">
        <f t="shared" si="4"/>
        <v>D</v>
      </c>
      <c r="J82" s="1202" t="s">
        <v>1319</v>
      </c>
      <c r="K82" s="1203" t="s">
        <v>1319</v>
      </c>
      <c r="L82" s="1203" t="s">
        <v>1319</v>
      </c>
      <c r="M82" s="1203" t="s">
        <v>1319</v>
      </c>
      <c r="N82" s="1203" t="s">
        <v>1319</v>
      </c>
      <c r="O82" s="1203" t="s">
        <v>1319</v>
      </c>
      <c r="P82" s="1203" t="s">
        <v>1319</v>
      </c>
      <c r="Q82" s="1203" t="s">
        <v>1319</v>
      </c>
      <c r="R82" s="1203" t="s">
        <v>1319</v>
      </c>
      <c r="S82" s="1204" t="s">
        <v>1319</v>
      </c>
      <c r="T82" s="1202" t="e">
        <v>#N/A</v>
      </c>
      <c r="U82" s="1202" t="e">
        <v>#N/A</v>
      </c>
      <c r="V82" s="1202" t="e">
        <v>#N/A</v>
      </c>
      <c r="W82" s="1202" t="e">
        <v>#N/A</v>
      </c>
      <c r="X82" s="1202" t="e">
        <v>#N/A</v>
      </c>
      <c r="Y82" s="1202" t="e">
        <v>#N/A</v>
      </c>
    </row>
    <row r="83" spans="1:25">
      <c r="A83" s="1198">
        <v>509</v>
      </c>
      <c r="B83" s="1199" t="s">
        <v>1529</v>
      </c>
      <c r="C83" s="1200">
        <v>3</v>
      </c>
      <c r="D83" s="1201" t="str">
        <f t="shared" si="4"/>
        <v>D</v>
      </c>
      <c r="E83" s="1201" t="str">
        <f t="shared" si="4"/>
        <v>D</v>
      </c>
      <c r="F83" s="1201" t="str">
        <f t="shared" si="4"/>
        <v>D</v>
      </c>
      <c r="G83" s="1201" t="str">
        <f t="shared" si="4"/>
        <v>D</v>
      </c>
      <c r="H83" s="1201" t="str">
        <f t="shared" si="4"/>
        <v>D</v>
      </c>
      <c r="I83" s="1201" t="str">
        <f t="shared" si="4"/>
        <v>D</v>
      </c>
      <c r="J83" s="1202" t="s">
        <v>1319</v>
      </c>
      <c r="K83" s="1203" t="s">
        <v>1319</v>
      </c>
      <c r="L83" s="1203" t="s">
        <v>1319</v>
      </c>
      <c r="M83" s="1203" t="s">
        <v>1319</v>
      </c>
      <c r="N83" s="1203" t="s">
        <v>1319</v>
      </c>
      <c r="O83" s="1203" t="s">
        <v>1319</v>
      </c>
      <c r="P83" s="1203" t="s">
        <v>1319</v>
      </c>
      <c r="Q83" s="1203" t="s">
        <v>1319</v>
      </c>
      <c r="R83" s="1203" t="s">
        <v>1319</v>
      </c>
      <c r="S83" s="1204" t="s">
        <v>1319</v>
      </c>
      <c r="T83" s="1202" t="e">
        <v>#N/A</v>
      </c>
      <c r="U83" s="1202" t="e">
        <v>#N/A</v>
      </c>
      <c r="V83" s="1202" t="e">
        <v>#N/A</v>
      </c>
      <c r="W83" s="1202" t="e">
        <v>#N/A</v>
      </c>
      <c r="X83" s="1202" t="e">
        <v>#N/A</v>
      </c>
      <c r="Y83" s="1202" t="e">
        <v>#N/A</v>
      </c>
    </row>
    <row r="84" spans="1:25">
      <c r="A84" s="1198">
        <v>511</v>
      </c>
      <c r="B84" s="1199" t="s">
        <v>1530</v>
      </c>
      <c r="C84" s="1200">
        <v>3</v>
      </c>
      <c r="D84" s="1201" t="str">
        <f t="shared" si="4"/>
        <v>D</v>
      </c>
      <c r="E84" s="1201" t="str">
        <f t="shared" si="4"/>
        <v>D</v>
      </c>
      <c r="F84" s="1201" t="str">
        <f t="shared" si="4"/>
        <v>D</v>
      </c>
      <c r="G84" s="1201" t="str">
        <f t="shared" si="4"/>
        <v>D</v>
      </c>
      <c r="H84" s="1201" t="str">
        <f t="shared" si="4"/>
        <v>D</v>
      </c>
      <c r="I84" s="1201" t="str">
        <f t="shared" si="4"/>
        <v>D</v>
      </c>
      <c r="J84" s="1202" t="s">
        <v>1319</v>
      </c>
      <c r="K84" s="1203" t="s">
        <v>1319</v>
      </c>
      <c r="L84" s="1203" t="s">
        <v>1319</v>
      </c>
      <c r="M84" s="1203" t="s">
        <v>1319</v>
      </c>
      <c r="N84" s="1203" t="s">
        <v>1319</v>
      </c>
      <c r="O84" s="1203" t="s">
        <v>1319</v>
      </c>
      <c r="P84" s="1203" t="s">
        <v>1319</v>
      </c>
      <c r="Q84" s="1203" t="s">
        <v>1319</v>
      </c>
      <c r="R84" s="1203" t="s">
        <v>1319</v>
      </c>
      <c r="S84" s="1204" t="s">
        <v>1319</v>
      </c>
      <c r="T84" s="1202" t="e">
        <v>#N/A</v>
      </c>
      <c r="U84" s="1202" t="e">
        <v>#N/A</v>
      </c>
      <c r="V84" s="1202" t="e">
        <v>#N/A</v>
      </c>
      <c r="W84" s="1202" t="e">
        <v>#N/A</v>
      </c>
      <c r="X84" s="1202" t="e">
        <v>#N/A</v>
      </c>
      <c r="Y84" s="1202" t="e">
        <v>#N/A</v>
      </c>
    </row>
    <row r="85" spans="1:25">
      <c r="A85" s="1198">
        <v>3572</v>
      </c>
      <c r="B85" s="1199" t="s">
        <v>1531</v>
      </c>
      <c r="C85" s="1200">
        <v>3</v>
      </c>
      <c r="D85" s="1201">
        <f t="shared" si="4"/>
        <v>8</v>
      </c>
      <c r="E85" s="1201">
        <f t="shared" si="4"/>
        <v>8</v>
      </c>
      <c r="F85" s="1201">
        <f t="shared" si="4"/>
        <v>8</v>
      </c>
      <c r="G85" s="1201">
        <f t="shared" si="4"/>
        <v>8</v>
      </c>
      <c r="H85" s="1201">
        <f t="shared" si="4"/>
        <v>8</v>
      </c>
      <c r="I85" s="1201">
        <f t="shared" si="4"/>
        <v>8</v>
      </c>
      <c r="J85" s="1202">
        <v>8</v>
      </c>
      <c r="K85" s="1203">
        <v>8</v>
      </c>
      <c r="L85" s="1203">
        <v>8</v>
      </c>
      <c r="M85" s="1203">
        <v>8</v>
      </c>
      <c r="N85" s="1203">
        <v>8</v>
      </c>
      <c r="O85" s="1203">
        <v>8</v>
      </c>
      <c r="P85" s="1203">
        <v>8</v>
      </c>
      <c r="Q85" s="1203">
        <v>8</v>
      </c>
      <c r="R85" s="1203">
        <v>8</v>
      </c>
      <c r="S85" s="1204">
        <v>8</v>
      </c>
      <c r="T85" s="1202" t="s">
        <v>1458</v>
      </c>
      <c r="U85" s="1202" t="s">
        <v>1458</v>
      </c>
      <c r="V85" s="1202" t="s">
        <v>1458</v>
      </c>
      <c r="W85" s="1202" t="s">
        <v>1458</v>
      </c>
      <c r="X85" s="1202" t="s">
        <v>1458</v>
      </c>
      <c r="Y85" s="1202" t="s">
        <v>1458</v>
      </c>
    </row>
    <row r="86" spans="1:25">
      <c r="A86" s="1198">
        <v>3648</v>
      </c>
      <c r="B86" s="1199" t="s">
        <v>1532</v>
      </c>
      <c r="C86" s="1200">
        <v>3</v>
      </c>
      <c r="D86" s="1201">
        <f t="shared" si="4"/>
        <v>7</v>
      </c>
      <c r="E86" s="1201">
        <f t="shared" si="4"/>
        <v>7</v>
      </c>
      <c r="F86" s="1201">
        <f t="shared" si="4"/>
        <v>7</v>
      </c>
      <c r="G86" s="1201">
        <f t="shared" si="4"/>
        <v>7</v>
      </c>
      <c r="H86" s="1201">
        <f t="shared" si="4"/>
        <v>7</v>
      </c>
      <c r="I86" s="1201">
        <f t="shared" si="4"/>
        <v>7</v>
      </c>
      <c r="J86" s="1202">
        <v>7</v>
      </c>
      <c r="K86" s="1203">
        <v>7</v>
      </c>
      <c r="L86" s="1203">
        <v>7</v>
      </c>
      <c r="M86" s="1203">
        <v>7</v>
      </c>
      <c r="N86" s="1203">
        <v>7</v>
      </c>
      <c r="O86" s="1203">
        <v>7</v>
      </c>
      <c r="P86" s="1203">
        <v>7</v>
      </c>
      <c r="Q86" s="1203">
        <v>7</v>
      </c>
      <c r="R86" s="1203">
        <v>7</v>
      </c>
      <c r="S86" s="1204">
        <v>7</v>
      </c>
      <c r="T86" s="1202" t="s">
        <v>1460</v>
      </c>
      <c r="U86" s="1202" t="s">
        <v>1460</v>
      </c>
      <c r="V86" s="1202" t="s">
        <v>1460</v>
      </c>
      <c r="W86" s="1202" t="s">
        <v>1460</v>
      </c>
      <c r="X86" s="1202" t="s">
        <v>1460</v>
      </c>
      <c r="Y86" s="1202" t="s">
        <v>1460</v>
      </c>
    </row>
    <row r="87" spans="1:25">
      <c r="A87" s="1198">
        <v>10060</v>
      </c>
      <c r="B87" s="1199" t="s">
        <v>1533</v>
      </c>
      <c r="C87" s="1200">
        <v>3</v>
      </c>
      <c r="D87" s="1201">
        <f t="shared" si="4"/>
        <v>9</v>
      </c>
      <c r="E87" s="1201">
        <f t="shared" si="4"/>
        <v>9</v>
      </c>
      <c r="F87" s="1201">
        <f t="shared" si="4"/>
        <v>9</v>
      </c>
      <c r="G87" s="1201">
        <f t="shared" si="4"/>
        <v>9</v>
      </c>
      <c r="H87" s="1201">
        <f t="shared" si="4"/>
        <v>9</v>
      </c>
      <c r="I87" s="1201">
        <f t="shared" si="4"/>
        <v>9</v>
      </c>
      <c r="J87" s="1202">
        <v>9</v>
      </c>
      <c r="K87" s="1203">
        <v>9</v>
      </c>
      <c r="L87" s="1203">
        <v>9</v>
      </c>
      <c r="M87" s="1203">
        <v>9</v>
      </c>
      <c r="N87" s="1203">
        <v>9</v>
      </c>
      <c r="O87" s="1203">
        <v>9</v>
      </c>
      <c r="P87" s="1203">
        <v>9</v>
      </c>
      <c r="Q87" s="1203">
        <v>9</v>
      </c>
      <c r="R87" s="1203">
        <v>9</v>
      </c>
      <c r="S87" s="1204">
        <v>9</v>
      </c>
      <c r="T87" s="1202" t="s">
        <v>1468</v>
      </c>
      <c r="U87" s="1202" t="s">
        <v>1468</v>
      </c>
      <c r="V87" s="1202" t="s">
        <v>1468</v>
      </c>
      <c r="W87" s="1202" t="s">
        <v>1468</v>
      </c>
      <c r="X87" s="1202" t="s">
        <v>1468</v>
      </c>
      <c r="Y87" s="1202" t="s">
        <v>1468</v>
      </c>
    </row>
    <row r="88" spans="1:25">
      <c r="A88" s="1198">
        <v>3662</v>
      </c>
      <c r="B88" s="1199" t="s">
        <v>1534</v>
      </c>
      <c r="C88" s="1200">
        <v>3</v>
      </c>
      <c r="D88" s="1201">
        <f t="shared" si="4"/>
        <v>8</v>
      </c>
      <c r="E88" s="1201">
        <f t="shared" si="4"/>
        <v>8</v>
      </c>
      <c r="F88" s="1201">
        <f t="shared" si="4"/>
        <v>8</v>
      </c>
      <c r="G88" s="1201">
        <f t="shared" si="4"/>
        <v>8</v>
      </c>
      <c r="H88" s="1201">
        <f t="shared" si="4"/>
        <v>8</v>
      </c>
      <c r="I88" s="1201">
        <f t="shared" si="4"/>
        <v>8</v>
      </c>
      <c r="J88" s="1202">
        <v>8</v>
      </c>
      <c r="K88" s="1203">
        <v>8</v>
      </c>
      <c r="L88" s="1203">
        <v>8</v>
      </c>
      <c r="M88" s="1203">
        <v>8</v>
      </c>
      <c r="N88" s="1203">
        <v>8</v>
      </c>
      <c r="O88" s="1203">
        <v>8</v>
      </c>
      <c r="P88" s="1203">
        <v>8</v>
      </c>
      <c r="Q88" s="1203">
        <v>8</v>
      </c>
      <c r="R88" s="1203">
        <v>8</v>
      </c>
      <c r="S88" s="1204">
        <v>8</v>
      </c>
      <c r="T88" s="1202" t="s">
        <v>1458</v>
      </c>
      <c r="U88" s="1202" t="s">
        <v>1458</v>
      </c>
      <c r="V88" s="1202" t="s">
        <v>1458</v>
      </c>
      <c r="W88" s="1202" t="s">
        <v>1458</v>
      </c>
      <c r="X88" s="1202" t="s">
        <v>1458</v>
      </c>
      <c r="Y88" s="1202" t="s">
        <v>1458</v>
      </c>
    </row>
    <row r="89" spans="1:25">
      <c r="A89" s="1198">
        <v>3664</v>
      </c>
      <c r="B89" s="1199" t="s">
        <v>1535</v>
      </c>
      <c r="C89" s="1200">
        <v>3</v>
      </c>
      <c r="D89" s="1201">
        <f t="shared" si="4"/>
        <v>8</v>
      </c>
      <c r="E89" s="1201">
        <f t="shared" si="4"/>
        <v>8</v>
      </c>
      <c r="F89" s="1201">
        <f t="shared" si="4"/>
        <v>8</v>
      </c>
      <c r="G89" s="1201">
        <f t="shared" si="4"/>
        <v>8</v>
      </c>
      <c r="H89" s="1201">
        <f t="shared" si="4"/>
        <v>8</v>
      </c>
      <c r="I89" s="1201">
        <f t="shared" si="4"/>
        <v>8</v>
      </c>
      <c r="J89" s="1202">
        <v>8</v>
      </c>
      <c r="K89" s="1203">
        <v>8</v>
      </c>
      <c r="L89" s="1203">
        <v>8</v>
      </c>
      <c r="M89" s="1203">
        <v>8</v>
      </c>
      <c r="N89" s="1203">
        <v>8</v>
      </c>
      <c r="O89" s="1203">
        <v>8</v>
      </c>
      <c r="P89" s="1203">
        <v>8</v>
      </c>
      <c r="Q89" s="1203">
        <v>8</v>
      </c>
      <c r="R89" s="1203">
        <v>8</v>
      </c>
      <c r="S89" s="1204">
        <v>8</v>
      </c>
      <c r="T89" s="1202" t="s">
        <v>1458</v>
      </c>
      <c r="U89" s="1202" t="s">
        <v>1458</v>
      </c>
      <c r="V89" s="1202" t="s">
        <v>1458</v>
      </c>
      <c r="W89" s="1202" t="s">
        <v>1458</v>
      </c>
      <c r="X89" s="1202" t="s">
        <v>1458</v>
      </c>
      <c r="Y89" s="1202" t="s">
        <v>1458</v>
      </c>
    </row>
    <row r="90" spans="1:25">
      <c r="A90" s="1198">
        <v>9549</v>
      </c>
      <c r="B90" s="1199" t="s">
        <v>1536</v>
      </c>
      <c r="C90" s="1200">
        <v>3</v>
      </c>
      <c r="D90" s="1201">
        <f t="shared" ref="D90:I91" si="5">$J90</f>
        <v>9</v>
      </c>
      <c r="E90" s="1201">
        <f t="shared" si="5"/>
        <v>9</v>
      </c>
      <c r="F90" s="1201">
        <f t="shared" si="5"/>
        <v>9</v>
      </c>
      <c r="G90" s="1201">
        <f t="shared" si="5"/>
        <v>9</v>
      </c>
      <c r="H90" s="1201">
        <f t="shared" si="5"/>
        <v>9</v>
      </c>
      <c r="I90" s="1201">
        <f t="shared" si="5"/>
        <v>9</v>
      </c>
      <c r="J90" s="1202">
        <v>9</v>
      </c>
      <c r="K90" s="1203">
        <v>9</v>
      </c>
      <c r="L90" s="1203">
        <v>9</v>
      </c>
      <c r="M90" s="1203">
        <v>9</v>
      </c>
      <c r="N90" s="1203">
        <v>9</v>
      </c>
      <c r="O90" s="1203">
        <v>9</v>
      </c>
      <c r="P90" s="1203">
        <v>9</v>
      </c>
      <c r="Q90" s="1203">
        <v>9</v>
      </c>
      <c r="R90" s="1203">
        <v>9</v>
      </c>
      <c r="S90" s="1204">
        <v>9</v>
      </c>
      <c r="T90" s="1202" t="s">
        <v>1468</v>
      </c>
      <c r="U90" s="1202" t="s">
        <v>1468</v>
      </c>
      <c r="V90" s="1202" t="s">
        <v>1468</v>
      </c>
      <c r="W90" s="1202" t="s">
        <v>1468</v>
      </c>
      <c r="X90" s="1202" t="s">
        <v>1468</v>
      </c>
      <c r="Y90" s="1202" t="s">
        <v>1468</v>
      </c>
    </row>
    <row r="91" spans="1:25">
      <c r="A91" s="1223">
        <v>3668</v>
      </c>
      <c r="B91" s="1224" t="s">
        <v>1537</v>
      </c>
      <c r="C91" s="1200">
        <v>3</v>
      </c>
      <c r="D91" s="1201">
        <f t="shared" si="5"/>
        <v>8</v>
      </c>
      <c r="E91" s="1201">
        <f t="shared" si="5"/>
        <v>8</v>
      </c>
      <c r="F91" s="1201">
        <f t="shared" si="5"/>
        <v>8</v>
      </c>
      <c r="G91" s="1201">
        <f t="shared" si="5"/>
        <v>8</v>
      </c>
      <c r="H91" s="1201">
        <f t="shared" si="5"/>
        <v>8</v>
      </c>
      <c r="I91" s="1201">
        <f t="shared" si="5"/>
        <v>8</v>
      </c>
      <c r="J91" s="1203">
        <v>8</v>
      </c>
      <c r="K91" s="1203">
        <v>8</v>
      </c>
      <c r="L91" s="1203">
        <v>8</v>
      </c>
      <c r="M91" s="1203">
        <v>8</v>
      </c>
      <c r="N91" s="1203">
        <v>8</v>
      </c>
      <c r="O91" s="1203">
        <v>8</v>
      </c>
      <c r="P91" s="1203">
        <v>8</v>
      </c>
      <c r="Q91" s="1203">
        <v>8</v>
      </c>
      <c r="R91" s="1203">
        <v>8</v>
      </c>
      <c r="S91" s="1204">
        <v>8</v>
      </c>
      <c r="T91" s="1202" t="s">
        <v>1458</v>
      </c>
      <c r="U91" s="1202" t="s">
        <v>1458</v>
      </c>
      <c r="V91" s="1202" t="s">
        <v>1458</v>
      </c>
      <c r="W91" s="1202" t="s">
        <v>1458</v>
      </c>
      <c r="X91" s="1202" t="s">
        <v>1458</v>
      </c>
      <c r="Y91" s="1202" t="s">
        <v>1458</v>
      </c>
    </row>
    <row r="92" spans="1:25">
      <c r="A92" s="1225">
        <v>3541</v>
      </c>
      <c r="B92" s="1226" t="s">
        <v>1538</v>
      </c>
      <c r="C92" s="1227">
        <v>1</v>
      </c>
      <c r="D92" s="1212"/>
      <c r="E92" s="1212"/>
      <c r="F92" s="1212"/>
      <c r="G92" s="1212"/>
      <c r="H92" s="1212"/>
      <c r="I92" s="1227">
        <v>5</v>
      </c>
      <c r="J92" s="1227">
        <v>5</v>
      </c>
      <c r="K92" s="1227">
        <v>5</v>
      </c>
      <c r="L92" s="1227">
        <v>5</v>
      </c>
      <c r="M92" s="1227">
        <v>5</v>
      </c>
      <c r="N92" s="1227">
        <v>5</v>
      </c>
      <c r="O92" s="1227">
        <v>5</v>
      </c>
      <c r="P92" s="1227">
        <v>5</v>
      </c>
      <c r="Q92" s="1227">
        <v>5</v>
      </c>
      <c r="R92" s="1227">
        <v>5</v>
      </c>
      <c r="S92" s="1228">
        <v>5</v>
      </c>
      <c r="T92" s="1202" t="s">
        <v>1539</v>
      </c>
      <c r="U92" s="1202" t="s">
        <v>1539</v>
      </c>
      <c r="V92" s="1202" t="s">
        <v>1539</v>
      </c>
      <c r="W92" s="1202" t="s">
        <v>1539</v>
      </c>
      <c r="X92" s="1202" t="s">
        <v>1539</v>
      </c>
      <c r="Y92" s="1202" t="s">
        <v>1539</v>
      </c>
    </row>
    <row r="93" spans="1:25">
      <c r="A93" s="1198">
        <v>3592</v>
      </c>
      <c r="B93" s="1199" t="s">
        <v>1540</v>
      </c>
      <c r="C93" s="1211">
        <v>1</v>
      </c>
      <c r="D93" s="1212"/>
      <c r="E93" s="1212"/>
      <c r="F93" s="1212"/>
      <c r="G93" s="1212"/>
      <c r="H93" s="1212"/>
      <c r="I93" s="1211">
        <v>5</v>
      </c>
      <c r="J93" s="1211">
        <v>5</v>
      </c>
      <c r="K93" s="1212">
        <v>5</v>
      </c>
      <c r="L93" s="1212">
        <v>5</v>
      </c>
      <c r="M93" s="1212">
        <v>5</v>
      </c>
      <c r="N93" s="1212">
        <v>5</v>
      </c>
      <c r="O93" s="1212">
        <v>5</v>
      </c>
      <c r="P93" s="1212">
        <v>5</v>
      </c>
      <c r="Q93" s="1212">
        <v>5</v>
      </c>
      <c r="R93" s="1212">
        <v>5</v>
      </c>
      <c r="S93" s="1213">
        <v>5</v>
      </c>
      <c r="T93" s="1202" t="s">
        <v>1539</v>
      </c>
      <c r="U93" s="1202" t="s">
        <v>1539</v>
      </c>
      <c r="V93" s="1202" t="s">
        <v>1539</v>
      </c>
      <c r="W93" s="1202" t="s">
        <v>1539</v>
      </c>
      <c r="X93" s="1202" t="s">
        <v>1539</v>
      </c>
      <c r="Y93" s="1202" t="s">
        <v>1539</v>
      </c>
    </row>
    <row r="94" spans="1:25">
      <c r="A94" s="1198">
        <v>3625</v>
      </c>
      <c r="B94" s="1199" t="s">
        <v>1541</v>
      </c>
      <c r="C94" s="1211">
        <v>1</v>
      </c>
      <c r="D94" s="1212"/>
      <c r="E94" s="1212"/>
      <c r="F94" s="1212"/>
      <c r="G94" s="1212"/>
      <c r="H94" s="1212"/>
      <c r="I94" s="1211">
        <v>5</v>
      </c>
      <c r="J94" s="1211">
        <v>5</v>
      </c>
      <c r="K94" s="1212">
        <v>5</v>
      </c>
      <c r="L94" s="1212">
        <v>5</v>
      </c>
      <c r="M94" s="1212">
        <v>5</v>
      </c>
      <c r="N94" s="1212">
        <v>5</v>
      </c>
      <c r="O94" s="1212">
        <v>5</v>
      </c>
      <c r="P94" s="1212">
        <v>5</v>
      </c>
      <c r="Q94" s="1212">
        <v>5</v>
      </c>
      <c r="R94" s="1212">
        <v>5</v>
      </c>
      <c r="S94" s="1213">
        <v>5</v>
      </c>
      <c r="T94" s="1202" t="s">
        <v>1539</v>
      </c>
      <c r="U94" s="1202" t="s">
        <v>1539</v>
      </c>
      <c r="V94" s="1202" t="s">
        <v>1539</v>
      </c>
      <c r="W94" s="1202" t="s">
        <v>1539</v>
      </c>
      <c r="X94" s="1202" t="s">
        <v>1539</v>
      </c>
      <c r="Y94" s="1202" t="s">
        <v>1539</v>
      </c>
    </row>
    <row r="95" spans="1:25">
      <c r="A95" s="1198">
        <v>20</v>
      </c>
      <c r="B95" s="1199" t="s">
        <v>1542</v>
      </c>
      <c r="C95" s="1211">
        <v>1</v>
      </c>
      <c r="D95" s="1212"/>
      <c r="E95" s="1212"/>
      <c r="F95" s="1212"/>
      <c r="G95" s="1212"/>
      <c r="H95" s="1212"/>
      <c r="I95" s="1211">
        <v>5</v>
      </c>
      <c r="J95" s="1211">
        <v>5</v>
      </c>
      <c r="K95" s="1212">
        <v>5</v>
      </c>
      <c r="L95" s="1212">
        <v>5</v>
      </c>
      <c r="M95" s="1212">
        <v>5</v>
      </c>
      <c r="N95" s="1212">
        <v>5</v>
      </c>
      <c r="O95" s="1212">
        <v>5</v>
      </c>
      <c r="P95" s="1212">
        <v>5</v>
      </c>
      <c r="Q95" s="1212">
        <v>5</v>
      </c>
      <c r="R95" s="1212">
        <v>5</v>
      </c>
      <c r="S95" s="1213">
        <v>5</v>
      </c>
      <c r="T95" s="1202" t="s">
        <v>1539</v>
      </c>
      <c r="U95" s="1202" t="s">
        <v>1539</v>
      </c>
      <c r="V95" s="1202" t="s">
        <v>1539</v>
      </c>
      <c r="W95" s="1202" t="s">
        <v>1539</v>
      </c>
      <c r="X95" s="1202" t="s">
        <v>1539</v>
      </c>
      <c r="Y95" s="1202" t="s">
        <v>1539</v>
      </c>
    </row>
    <row r="96" spans="1:25">
      <c r="A96" s="1198">
        <v>10298</v>
      </c>
      <c r="B96" s="1199" t="s">
        <v>1543</v>
      </c>
      <c r="C96" s="1211">
        <v>1</v>
      </c>
      <c r="D96" s="1212"/>
      <c r="E96" s="1212"/>
      <c r="F96" s="1212"/>
      <c r="G96" s="1212"/>
      <c r="H96" s="1212"/>
      <c r="I96" s="1211">
        <v>5</v>
      </c>
      <c r="J96" s="1211">
        <v>5</v>
      </c>
      <c r="K96" s="1212">
        <v>5</v>
      </c>
      <c r="L96" s="1212">
        <v>5</v>
      </c>
      <c r="M96" s="1212">
        <v>5</v>
      </c>
      <c r="N96" s="1212">
        <v>5</v>
      </c>
      <c r="O96" s="1212">
        <v>5</v>
      </c>
      <c r="P96" s="1212">
        <v>5</v>
      </c>
      <c r="Q96" s="1212">
        <v>5</v>
      </c>
      <c r="R96" s="1212">
        <v>5</v>
      </c>
      <c r="S96" s="1213">
        <v>5</v>
      </c>
      <c r="T96" s="1202" t="s">
        <v>1539</v>
      </c>
      <c r="U96" s="1202" t="s">
        <v>1539</v>
      </c>
      <c r="V96" s="1202" t="s">
        <v>1539</v>
      </c>
      <c r="W96" s="1202" t="s">
        <v>1539</v>
      </c>
      <c r="X96" s="1202" t="s">
        <v>1539</v>
      </c>
      <c r="Y96" s="1202" t="s">
        <v>1539</v>
      </c>
    </row>
    <row r="97" spans="1:25">
      <c r="A97" s="1198">
        <v>42295</v>
      </c>
      <c r="B97" s="1199" t="s">
        <v>1544</v>
      </c>
      <c r="C97" s="1211">
        <v>1</v>
      </c>
      <c r="D97" s="1212"/>
      <c r="E97" s="1212"/>
      <c r="F97" s="1212"/>
      <c r="G97" s="1212"/>
      <c r="H97" s="1212"/>
      <c r="I97" s="1212" t="s">
        <v>1172</v>
      </c>
      <c r="J97" s="1212" t="s">
        <v>1172</v>
      </c>
      <c r="K97" s="1212" t="s">
        <v>1172</v>
      </c>
      <c r="L97" s="1212" t="s">
        <v>1172</v>
      </c>
      <c r="M97" s="1212" t="s">
        <v>1172</v>
      </c>
      <c r="N97" s="1212" t="s">
        <v>1175</v>
      </c>
      <c r="O97" s="1212">
        <v>5</v>
      </c>
      <c r="P97" s="1212">
        <v>5</v>
      </c>
      <c r="Q97" s="1212">
        <v>5</v>
      </c>
      <c r="R97" s="1212">
        <v>5</v>
      </c>
      <c r="S97" s="1213">
        <v>5</v>
      </c>
      <c r="T97" s="1202" t="s">
        <v>1539</v>
      </c>
      <c r="U97" s="1202" t="s">
        <v>1539</v>
      </c>
      <c r="V97" s="1202" t="s">
        <v>1539</v>
      </c>
      <c r="W97" s="1202" t="s">
        <v>1539</v>
      </c>
      <c r="X97" s="1202" t="s">
        <v>1539</v>
      </c>
      <c r="Y97" s="1202" t="s">
        <v>1539</v>
      </c>
    </row>
    <row r="98" spans="1:25">
      <c r="A98" s="1198">
        <v>29269</v>
      </c>
      <c r="B98" s="1199" t="s">
        <v>1545</v>
      </c>
      <c r="C98" s="1211">
        <v>1</v>
      </c>
      <c r="D98" s="1212"/>
      <c r="E98" s="1212"/>
      <c r="F98" s="1212"/>
      <c r="G98" s="1212"/>
      <c r="H98" s="1212"/>
      <c r="I98" s="1211">
        <v>5</v>
      </c>
      <c r="J98" s="1211">
        <v>5</v>
      </c>
      <c r="K98" s="1212">
        <v>5</v>
      </c>
      <c r="L98" s="1212">
        <v>5</v>
      </c>
      <c r="M98" s="1212">
        <v>5</v>
      </c>
      <c r="N98" s="1212">
        <v>5</v>
      </c>
      <c r="O98" s="1212">
        <v>5</v>
      </c>
      <c r="P98" s="1212">
        <v>5</v>
      </c>
      <c r="Q98" s="1212">
        <v>5</v>
      </c>
      <c r="R98" s="1212">
        <v>5</v>
      </c>
      <c r="S98" s="1213">
        <v>5</v>
      </c>
      <c r="T98" s="1202" t="s">
        <v>1539</v>
      </c>
      <c r="U98" s="1202" t="s">
        <v>1539</v>
      </c>
      <c r="V98" s="1202" t="s">
        <v>1539</v>
      </c>
      <c r="W98" s="1202" t="s">
        <v>1539</v>
      </c>
      <c r="X98" s="1202" t="s">
        <v>1539</v>
      </c>
      <c r="Y98" s="1202" t="s">
        <v>1539</v>
      </c>
    </row>
    <row r="99" spans="1:25">
      <c r="A99" s="1223">
        <v>42485</v>
      </c>
      <c r="B99" s="1224" t="s">
        <v>1546</v>
      </c>
      <c r="C99" s="1212">
        <v>1</v>
      </c>
      <c r="D99" s="1212"/>
      <c r="E99" s="1212"/>
      <c r="F99" s="1212"/>
      <c r="G99" s="1212"/>
      <c r="H99" s="1212"/>
      <c r="I99" s="1212" t="s">
        <v>1172</v>
      </c>
      <c r="J99" s="1212" t="s">
        <v>1172</v>
      </c>
      <c r="K99" s="1212" t="s">
        <v>1172</v>
      </c>
      <c r="L99" s="1212" t="s">
        <v>1172</v>
      </c>
      <c r="M99" s="1212" t="s">
        <v>1172</v>
      </c>
      <c r="N99" s="1212" t="s">
        <v>1175</v>
      </c>
      <c r="O99" s="1212">
        <v>5</v>
      </c>
      <c r="P99" s="1212">
        <v>5</v>
      </c>
      <c r="Q99" s="1212">
        <v>5</v>
      </c>
      <c r="R99" s="1212">
        <v>5</v>
      </c>
      <c r="S99" s="1213">
        <v>5</v>
      </c>
      <c r="T99" s="1202" t="s">
        <v>1539</v>
      </c>
      <c r="U99" s="1202" t="s">
        <v>1539</v>
      </c>
      <c r="V99" s="1202" t="s">
        <v>1539</v>
      </c>
      <c r="W99" s="1202" t="s">
        <v>1539</v>
      </c>
      <c r="X99" s="1202" t="s">
        <v>1539</v>
      </c>
      <c r="Y99" s="1202" t="s">
        <v>1539</v>
      </c>
    </row>
    <row r="100" spans="1:25">
      <c r="A100" s="1198">
        <v>11711</v>
      </c>
      <c r="B100" s="1199" t="s">
        <v>1547</v>
      </c>
      <c r="C100" s="1211">
        <v>1</v>
      </c>
      <c r="D100" s="1212"/>
      <c r="E100" s="1212"/>
      <c r="F100" s="1212"/>
      <c r="G100" s="1212"/>
      <c r="H100" s="1212"/>
      <c r="I100" s="1211">
        <v>5</v>
      </c>
      <c r="J100" s="1211">
        <v>5</v>
      </c>
      <c r="K100" s="1212">
        <v>5</v>
      </c>
      <c r="L100" s="1212">
        <v>5</v>
      </c>
      <c r="M100" s="1212">
        <v>5</v>
      </c>
      <c r="N100" s="1212">
        <v>5</v>
      </c>
      <c r="O100" s="1212">
        <v>5</v>
      </c>
      <c r="P100" s="1212">
        <v>5</v>
      </c>
      <c r="Q100" s="1212">
        <v>5</v>
      </c>
      <c r="R100" s="1212">
        <v>5</v>
      </c>
      <c r="S100" s="1213">
        <v>5</v>
      </c>
      <c r="T100" s="1202" t="s">
        <v>1539</v>
      </c>
      <c r="U100" s="1202" t="s">
        <v>1539</v>
      </c>
      <c r="V100" s="1202" t="s">
        <v>1539</v>
      </c>
      <c r="W100" s="1202" t="s">
        <v>1539</v>
      </c>
      <c r="X100" s="1202" t="s">
        <v>1539</v>
      </c>
      <c r="Y100" s="1202" t="s">
        <v>1539</v>
      </c>
    </row>
    <row r="101" spans="1:25">
      <c r="A101" s="1198">
        <v>12826</v>
      </c>
      <c r="B101" s="1199" t="s">
        <v>1548</v>
      </c>
      <c r="C101" s="1211">
        <v>1</v>
      </c>
      <c r="D101" s="1212"/>
      <c r="E101" s="1212"/>
      <c r="F101" s="1212"/>
      <c r="G101" s="1212"/>
      <c r="H101" s="1212"/>
      <c r="I101" s="1211">
        <v>5</v>
      </c>
      <c r="J101" s="1211">
        <v>5</v>
      </c>
      <c r="K101" s="1212">
        <v>5</v>
      </c>
      <c r="L101" s="1212">
        <v>5</v>
      </c>
      <c r="M101" s="1212">
        <v>5</v>
      </c>
      <c r="N101" s="1212">
        <v>5</v>
      </c>
      <c r="O101" s="1212">
        <v>5</v>
      </c>
      <c r="P101" s="1212">
        <v>5</v>
      </c>
      <c r="Q101" s="1212">
        <v>5</v>
      </c>
      <c r="R101" s="1212">
        <v>5</v>
      </c>
      <c r="S101" s="1213">
        <v>5</v>
      </c>
      <c r="T101" s="1202" t="s">
        <v>1539</v>
      </c>
      <c r="U101" s="1202" t="s">
        <v>1539</v>
      </c>
      <c r="V101" s="1202" t="s">
        <v>1539</v>
      </c>
      <c r="W101" s="1202" t="s">
        <v>1539</v>
      </c>
      <c r="X101" s="1202" t="s">
        <v>1539</v>
      </c>
      <c r="Y101" s="1202" t="s">
        <v>1539</v>
      </c>
    </row>
    <row r="102" spans="1:25">
      <c r="A102" s="1198">
        <v>13231</v>
      </c>
      <c r="B102" s="1199" t="s">
        <v>1549</v>
      </c>
      <c r="C102" s="1211">
        <v>1</v>
      </c>
      <c r="D102" s="1212"/>
      <c r="E102" s="1212"/>
      <c r="F102" s="1212"/>
      <c r="G102" s="1212"/>
      <c r="H102" s="1212"/>
      <c r="I102" s="1211">
        <v>5</v>
      </c>
      <c r="J102" s="1211">
        <v>5</v>
      </c>
      <c r="K102" s="1212">
        <v>5</v>
      </c>
      <c r="L102" s="1212">
        <v>5</v>
      </c>
      <c r="M102" s="1212">
        <v>5</v>
      </c>
      <c r="N102" s="1212">
        <v>5</v>
      </c>
      <c r="O102" s="1212">
        <v>5</v>
      </c>
      <c r="P102" s="1212">
        <v>5</v>
      </c>
      <c r="Q102" s="1212">
        <v>5</v>
      </c>
      <c r="R102" s="1212">
        <v>5</v>
      </c>
      <c r="S102" s="1213">
        <v>5</v>
      </c>
      <c r="T102" s="1202" t="s">
        <v>1539</v>
      </c>
      <c r="U102" s="1202" t="s">
        <v>1539</v>
      </c>
      <c r="V102" s="1202" t="s">
        <v>1539</v>
      </c>
      <c r="W102" s="1202" t="s">
        <v>1539</v>
      </c>
      <c r="X102" s="1202" t="s">
        <v>1539</v>
      </c>
      <c r="Y102" s="1202" t="s">
        <v>1539</v>
      </c>
    </row>
    <row r="103" spans="1:25">
      <c r="A103" s="1198">
        <v>30646</v>
      </c>
      <c r="B103" s="1199" t="s">
        <v>1550</v>
      </c>
      <c r="C103" s="1211">
        <v>1</v>
      </c>
      <c r="D103" s="1212"/>
      <c r="E103" s="1212"/>
      <c r="F103" s="1212"/>
      <c r="G103" s="1212"/>
      <c r="H103" s="1212"/>
      <c r="I103" s="1211">
        <v>5</v>
      </c>
      <c r="J103" s="1211">
        <v>5</v>
      </c>
      <c r="K103" s="1212">
        <v>5</v>
      </c>
      <c r="L103" s="1212">
        <v>5</v>
      </c>
      <c r="M103" s="1212">
        <v>5</v>
      </c>
      <c r="N103" s="1212">
        <v>5</v>
      </c>
      <c r="O103" s="1212">
        <v>5</v>
      </c>
      <c r="P103" s="1212">
        <v>5</v>
      </c>
      <c r="Q103" s="1212">
        <v>5</v>
      </c>
      <c r="R103" s="1212">
        <v>5</v>
      </c>
      <c r="S103" s="1213">
        <v>5</v>
      </c>
      <c r="T103" s="1202" t="s">
        <v>1539</v>
      </c>
      <c r="U103" s="1202" t="s">
        <v>1539</v>
      </c>
      <c r="V103" s="1202" t="s">
        <v>1539</v>
      </c>
      <c r="W103" s="1202" t="s">
        <v>1539</v>
      </c>
      <c r="X103" s="1202" t="s">
        <v>1539</v>
      </c>
      <c r="Y103" s="1202" t="s">
        <v>1539</v>
      </c>
    </row>
    <row r="104" spans="1:25">
      <c r="A104" s="1198">
        <v>11163</v>
      </c>
      <c r="B104" s="1199" t="s">
        <v>1551</v>
      </c>
      <c r="C104" s="1211">
        <v>1</v>
      </c>
      <c r="D104" s="1212"/>
      <c r="E104" s="1212"/>
      <c r="F104" s="1212"/>
      <c r="G104" s="1212"/>
      <c r="H104" s="1212"/>
      <c r="I104" s="1211">
        <v>5</v>
      </c>
      <c r="J104" s="1211">
        <v>5</v>
      </c>
      <c r="K104" s="1212">
        <v>5</v>
      </c>
      <c r="L104" s="1212">
        <v>5</v>
      </c>
      <c r="M104" s="1212">
        <v>5</v>
      </c>
      <c r="N104" s="1212">
        <v>5</v>
      </c>
      <c r="O104" s="1212">
        <v>5</v>
      </c>
      <c r="P104" s="1212">
        <v>5</v>
      </c>
      <c r="Q104" s="1212">
        <v>5</v>
      </c>
      <c r="R104" s="1212">
        <v>5</v>
      </c>
      <c r="S104" s="1213">
        <v>5</v>
      </c>
      <c r="T104" s="1202" t="s">
        <v>1539</v>
      </c>
      <c r="U104" s="1202" t="s">
        <v>1539</v>
      </c>
      <c r="V104" s="1202" t="s">
        <v>1539</v>
      </c>
      <c r="W104" s="1202" t="s">
        <v>1539</v>
      </c>
      <c r="X104" s="1202" t="s">
        <v>1539</v>
      </c>
      <c r="Y104" s="1202" t="s">
        <v>1539</v>
      </c>
    </row>
    <row r="105" spans="1:25">
      <c r="A105" s="1198">
        <v>9930</v>
      </c>
      <c r="B105" s="1199" t="s">
        <v>1552</v>
      </c>
      <c r="C105" s="1211">
        <v>1</v>
      </c>
      <c r="D105" s="1212"/>
      <c r="E105" s="1212"/>
      <c r="F105" s="1212"/>
      <c r="G105" s="1212"/>
      <c r="H105" s="1212"/>
      <c r="I105" s="1211">
        <v>5</v>
      </c>
      <c r="J105" s="1211">
        <v>5</v>
      </c>
      <c r="K105" s="1212">
        <v>5</v>
      </c>
      <c r="L105" s="1212">
        <v>5</v>
      </c>
      <c r="M105" s="1212">
        <v>5</v>
      </c>
      <c r="N105" s="1212">
        <v>5</v>
      </c>
      <c r="O105" s="1212">
        <v>5</v>
      </c>
      <c r="P105" s="1212">
        <v>5</v>
      </c>
      <c r="Q105" s="1212">
        <v>5</v>
      </c>
      <c r="R105" s="1212">
        <v>5</v>
      </c>
      <c r="S105" s="1213">
        <v>5</v>
      </c>
      <c r="T105" s="1202" t="s">
        <v>1539</v>
      </c>
      <c r="U105" s="1202" t="s">
        <v>1539</v>
      </c>
      <c r="V105" s="1202" t="s">
        <v>1539</v>
      </c>
      <c r="W105" s="1202" t="s">
        <v>1539</v>
      </c>
      <c r="X105" s="1202" t="s">
        <v>1539</v>
      </c>
      <c r="Y105" s="1202" t="s">
        <v>1539</v>
      </c>
    </row>
    <row r="106" spans="1:25">
      <c r="A106" s="1223">
        <v>42421</v>
      </c>
      <c r="B106" s="1224" t="s">
        <v>1553</v>
      </c>
      <c r="C106" s="1212">
        <v>1</v>
      </c>
      <c r="D106" s="1212"/>
      <c r="E106" s="1212"/>
      <c r="F106" s="1212"/>
      <c r="G106" s="1212"/>
      <c r="H106" s="1212"/>
      <c r="I106" s="1212" t="s">
        <v>1172</v>
      </c>
      <c r="J106" s="1212" t="s">
        <v>1172</v>
      </c>
      <c r="K106" s="1212" t="s">
        <v>1172</v>
      </c>
      <c r="L106" s="1212" t="s">
        <v>1172</v>
      </c>
      <c r="M106" s="1212" t="s">
        <v>1172</v>
      </c>
      <c r="N106" s="1212" t="s">
        <v>1175</v>
      </c>
      <c r="O106" s="1212">
        <v>5</v>
      </c>
      <c r="P106" s="1212">
        <v>5</v>
      </c>
      <c r="Q106" s="1212">
        <v>5</v>
      </c>
      <c r="R106" s="1212">
        <v>5</v>
      </c>
      <c r="S106" s="1213">
        <v>5</v>
      </c>
      <c r="T106" s="1202" t="s">
        <v>1539</v>
      </c>
      <c r="U106" s="1202" t="s">
        <v>1539</v>
      </c>
      <c r="V106" s="1202" t="s">
        <v>1539</v>
      </c>
      <c r="W106" s="1202" t="s">
        <v>1539</v>
      </c>
      <c r="X106" s="1202" t="s">
        <v>1539</v>
      </c>
      <c r="Y106" s="1202" t="s">
        <v>1539</v>
      </c>
    </row>
    <row r="107" spans="1:25">
      <c r="A107" s="1198">
        <v>3581</v>
      </c>
      <c r="B107" s="1199" t="s">
        <v>1554</v>
      </c>
      <c r="C107" s="1211">
        <v>1</v>
      </c>
      <c r="D107" s="1212"/>
      <c r="E107" s="1212"/>
      <c r="F107" s="1212"/>
      <c r="G107" s="1212"/>
      <c r="H107" s="1212"/>
      <c r="I107" s="1211">
        <v>4</v>
      </c>
      <c r="J107" s="1211">
        <v>4</v>
      </c>
      <c r="K107" s="1212">
        <v>4</v>
      </c>
      <c r="L107" s="1212">
        <v>4</v>
      </c>
      <c r="M107" s="1212">
        <v>4</v>
      </c>
      <c r="N107" s="1212">
        <v>4</v>
      </c>
      <c r="O107" s="1212">
        <v>4</v>
      </c>
      <c r="P107" s="1212">
        <v>4</v>
      </c>
      <c r="Q107" s="1212">
        <v>4</v>
      </c>
      <c r="R107" s="1212">
        <v>4</v>
      </c>
      <c r="S107" s="1213">
        <v>4</v>
      </c>
      <c r="T107" s="1202" t="s">
        <v>1555</v>
      </c>
      <c r="U107" s="1202" t="s">
        <v>1555</v>
      </c>
      <c r="V107" s="1202" t="s">
        <v>1555</v>
      </c>
      <c r="W107" s="1202" t="s">
        <v>1555</v>
      </c>
      <c r="X107" s="1202" t="s">
        <v>1555</v>
      </c>
      <c r="Y107" s="1202" t="s">
        <v>1555</v>
      </c>
    </row>
    <row r="108" spans="1:25">
      <c r="A108" s="1198">
        <v>3630</v>
      </c>
      <c r="B108" s="1199" t="s">
        <v>1556</v>
      </c>
      <c r="C108" s="1211">
        <v>1</v>
      </c>
      <c r="D108" s="1212"/>
      <c r="E108" s="1212"/>
      <c r="F108" s="1212"/>
      <c r="G108" s="1212"/>
      <c r="H108" s="1212"/>
      <c r="I108" s="1211">
        <v>4</v>
      </c>
      <c r="J108" s="1211">
        <v>4</v>
      </c>
      <c r="K108" s="1212">
        <v>4</v>
      </c>
      <c r="L108" s="1212">
        <v>4</v>
      </c>
      <c r="M108" s="1212">
        <v>4</v>
      </c>
      <c r="N108" s="1212">
        <v>4</v>
      </c>
      <c r="O108" s="1212">
        <v>4</v>
      </c>
      <c r="P108" s="1212">
        <v>4</v>
      </c>
      <c r="Q108" s="1212">
        <v>4</v>
      </c>
      <c r="R108" s="1212">
        <v>4</v>
      </c>
      <c r="S108" s="1213">
        <v>4</v>
      </c>
      <c r="T108" s="1202" t="s">
        <v>1555</v>
      </c>
      <c r="U108" s="1202" t="s">
        <v>1555</v>
      </c>
      <c r="V108" s="1202" t="s">
        <v>1555</v>
      </c>
      <c r="W108" s="1202" t="s">
        <v>1555</v>
      </c>
      <c r="X108" s="1202" t="s">
        <v>1555</v>
      </c>
      <c r="Y108" s="1202" t="s">
        <v>1555</v>
      </c>
    </row>
    <row r="109" spans="1:25">
      <c r="A109" s="1198">
        <v>3624</v>
      </c>
      <c r="B109" s="1199" t="s">
        <v>1557</v>
      </c>
      <c r="C109" s="1211">
        <v>1</v>
      </c>
      <c r="D109" s="1212"/>
      <c r="E109" s="1212"/>
      <c r="F109" s="1212"/>
      <c r="G109" s="1212"/>
      <c r="H109" s="1212"/>
      <c r="I109" s="1211">
        <v>4</v>
      </c>
      <c r="J109" s="1211">
        <v>4</v>
      </c>
      <c r="K109" s="1212">
        <v>4</v>
      </c>
      <c r="L109" s="1212">
        <v>4</v>
      </c>
      <c r="M109" s="1212">
        <v>4</v>
      </c>
      <c r="N109" s="1212">
        <v>4</v>
      </c>
      <c r="O109" s="1212">
        <v>4</v>
      </c>
      <c r="P109" s="1212">
        <v>4</v>
      </c>
      <c r="Q109" s="1212">
        <v>4</v>
      </c>
      <c r="R109" s="1212">
        <v>4</v>
      </c>
      <c r="S109" s="1213">
        <v>4</v>
      </c>
      <c r="T109" s="1202" t="s">
        <v>1555</v>
      </c>
      <c r="U109" s="1202" t="s">
        <v>1555</v>
      </c>
      <c r="V109" s="1202" t="s">
        <v>1555</v>
      </c>
      <c r="W109" s="1202" t="s">
        <v>1555</v>
      </c>
      <c r="X109" s="1202" t="s">
        <v>1555</v>
      </c>
      <c r="Y109" s="1202" t="s">
        <v>1555</v>
      </c>
    </row>
    <row r="110" spans="1:25">
      <c r="A110" s="1198">
        <v>3631</v>
      </c>
      <c r="B110" s="1199" t="s">
        <v>1558</v>
      </c>
      <c r="C110" s="1211">
        <v>1</v>
      </c>
      <c r="D110" s="1212"/>
      <c r="E110" s="1212"/>
      <c r="F110" s="1212"/>
      <c r="G110" s="1212"/>
      <c r="H110" s="1212"/>
      <c r="I110" s="1211">
        <v>4</v>
      </c>
      <c r="J110" s="1211">
        <v>4</v>
      </c>
      <c r="K110" s="1212">
        <v>4</v>
      </c>
      <c r="L110" s="1212">
        <v>4</v>
      </c>
      <c r="M110" s="1212">
        <v>4</v>
      </c>
      <c r="N110" s="1212">
        <v>4</v>
      </c>
      <c r="O110" s="1212">
        <v>4</v>
      </c>
      <c r="P110" s="1212">
        <v>4</v>
      </c>
      <c r="Q110" s="1212">
        <v>4</v>
      </c>
      <c r="R110" s="1212">
        <v>4</v>
      </c>
      <c r="S110" s="1213">
        <v>4</v>
      </c>
      <c r="T110" s="1202" t="s">
        <v>1555</v>
      </c>
      <c r="U110" s="1202" t="s">
        <v>1555</v>
      </c>
      <c r="V110" s="1202" t="s">
        <v>1555</v>
      </c>
      <c r="W110" s="1202" t="s">
        <v>1555</v>
      </c>
      <c r="X110" s="1202" t="s">
        <v>1555</v>
      </c>
      <c r="Y110" s="1202" t="s">
        <v>1555</v>
      </c>
    </row>
    <row r="111" spans="1:25">
      <c r="A111" s="1198">
        <v>9651</v>
      </c>
      <c r="B111" s="1199" t="s">
        <v>1559</v>
      </c>
      <c r="C111" s="1211">
        <v>1</v>
      </c>
      <c r="D111" s="1212"/>
      <c r="E111" s="1212"/>
      <c r="F111" s="1212"/>
      <c r="G111" s="1212"/>
      <c r="H111" s="1212"/>
      <c r="I111" s="1211">
        <v>4</v>
      </c>
      <c r="J111" s="1211">
        <v>4</v>
      </c>
      <c r="K111" s="1212">
        <v>4</v>
      </c>
      <c r="L111" s="1212">
        <v>4</v>
      </c>
      <c r="M111" s="1212">
        <v>4</v>
      </c>
      <c r="N111" s="1212">
        <v>4</v>
      </c>
      <c r="O111" s="1212">
        <v>4</v>
      </c>
      <c r="P111" s="1212">
        <v>4</v>
      </c>
      <c r="Q111" s="1212">
        <v>4</v>
      </c>
      <c r="R111" s="1212">
        <v>4</v>
      </c>
      <c r="S111" s="1213">
        <v>4</v>
      </c>
      <c r="T111" s="1202" t="s">
        <v>1555</v>
      </c>
      <c r="U111" s="1202" t="s">
        <v>1555</v>
      </c>
      <c r="V111" s="1202" t="s">
        <v>1555</v>
      </c>
      <c r="W111" s="1202" t="s">
        <v>1555</v>
      </c>
      <c r="X111" s="1202" t="s">
        <v>1555</v>
      </c>
      <c r="Y111" s="1202" t="s">
        <v>1555</v>
      </c>
    </row>
    <row r="112" spans="1:25">
      <c r="A112" s="1198">
        <v>3665</v>
      </c>
      <c r="B112" s="1199" t="s">
        <v>1560</v>
      </c>
      <c r="C112" s="1211">
        <v>1</v>
      </c>
      <c r="D112" s="1212"/>
      <c r="E112" s="1212"/>
      <c r="F112" s="1212"/>
      <c r="G112" s="1212"/>
      <c r="H112" s="1212"/>
      <c r="I112" s="1211">
        <v>4</v>
      </c>
      <c r="J112" s="1211">
        <v>4</v>
      </c>
      <c r="K112" s="1212">
        <v>4</v>
      </c>
      <c r="L112" s="1212">
        <v>4</v>
      </c>
      <c r="M112" s="1212">
        <v>4</v>
      </c>
      <c r="N112" s="1212">
        <v>4</v>
      </c>
      <c r="O112" s="1212">
        <v>4</v>
      </c>
      <c r="P112" s="1212">
        <v>4</v>
      </c>
      <c r="Q112" s="1212">
        <v>4</v>
      </c>
      <c r="R112" s="1212">
        <v>4</v>
      </c>
      <c r="S112" s="1213">
        <v>4</v>
      </c>
      <c r="T112" s="1202" t="s">
        <v>1555</v>
      </c>
      <c r="U112" s="1202" t="s">
        <v>1555</v>
      </c>
      <c r="V112" s="1202" t="s">
        <v>1555</v>
      </c>
      <c r="W112" s="1202" t="s">
        <v>1555</v>
      </c>
      <c r="X112" s="1202" t="s">
        <v>1555</v>
      </c>
      <c r="Y112" s="1202" t="s">
        <v>1555</v>
      </c>
    </row>
    <row r="113" spans="1:25">
      <c r="A113" s="1198">
        <v>3606</v>
      </c>
      <c r="B113" s="1199" t="s">
        <v>1561</v>
      </c>
      <c r="C113" s="1211">
        <v>1</v>
      </c>
      <c r="D113" s="1212"/>
      <c r="E113" s="1212"/>
      <c r="F113" s="1212"/>
      <c r="G113" s="1212"/>
      <c r="H113" s="1212"/>
      <c r="I113" s="1211">
        <v>3</v>
      </c>
      <c r="J113" s="1211">
        <v>3</v>
      </c>
      <c r="K113" s="1212">
        <v>3</v>
      </c>
      <c r="L113" s="1212">
        <v>3</v>
      </c>
      <c r="M113" s="1212">
        <v>3</v>
      </c>
      <c r="N113" s="1212">
        <v>3</v>
      </c>
      <c r="O113" s="1212">
        <v>3</v>
      </c>
      <c r="P113" s="1212">
        <v>3</v>
      </c>
      <c r="Q113" s="1212">
        <v>3</v>
      </c>
      <c r="R113" s="1212">
        <v>3</v>
      </c>
      <c r="S113" s="1213">
        <v>3</v>
      </c>
      <c r="T113" s="1202" t="s">
        <v>1562</v>
      </c>
      <c r="U113" s="1202" t="s">
        <v>1562</v>
      </c>
      <c r="V113" s="1202" t="s">
        <v>1562</v>
      </c>
      <c r="W113" s="1202" t="s">
        <v>1562</v>
      </c>
      <c r="X113" s="1202" t="s">
        <v>1562</v>
      </c>
      <c r="Y113" s="1202" t="s">
        <v>1562</v>
      </c>
    </row>
    <row r="114" spans="1:25">
      <c r="A114" s="1198">
        <v>11161</v>
      </c>
      <c r="B114" s="1199" t="s">
        <v>1563</v>
      </c>
      <c r="C114" s="1211">
        <v>1</v>
      </c>
      <c r="D114" s="1212"/>
      <c r="E114" s="1212"/>
      <c r="F114" s="1212"/>
      <c r="G114" s="1212"/>
      <c r="H114" s="1212"/>
      <c r="I114" s="1211">
        <v>4</v>
      </c>
      <c r="J114" s="1211">
        <v>4</v>
      </c>
      <c r="K114" s="1212">
        <v>4</v>
      </c>
      <c r="L114" s="1212">
        <v>4</v>
      </c>
      <c r="M114" s="1212">
        <v>3</v>
      </c>
      <c r="N114" s="1212">
        <v>3</v>
      </c>
      <c r="O114" s="1212">
        <v>3</v>
      </c>
      <c r="P114" s="1212">
        <v>3</v>
      </c>
      <c r="Q114" s="1212">
        <v>3</v>
      </c>
      <c r="R114" s="1212">
        <v>3</v>
      </c>
      <c r="S114" s="1213">
        <v>3</v>
      </c>
      <c r="T114" s="1202" t="s">
        <v>1562</v>
      </c>
      <c r="U114" s="1202" t="s">
        <v>1562</v>
      </c>
      <c r="V114" s="1202" t="s">
        <v>1562</v>
      </c>
      <c r="W114" s="1202" t="s">
        <v>1562</v>
      </c>
      <c r="X114" s="1202" t="s">
        <v>1562</v>
      </c>
      <c r="Y114" s="1202" t="s">
        <v>1562</v>
      </c>
    </row>
    <row r="115" spans="1:25">
      <c r="A115" s="1198">
        <v>3565</v>
      </c>
      <c r="B115" s="1199" t="s">
        <v>1564</v>
      </c>
      <c r="C115" s="1211">
        <v>1</v>
      </c>
      <c r="D115" s="1212"/>
      <c r="E115" s="1212"/>
      <c r="F115" s="1212"/>
      <c r="G115" s="1212"/>
      <c r="H115" s="1212"/>
      <c r="I115" s="1211">
        <v>3</v>
      </c>
      <c r="J115" s="1211">
        <v>3</v>
      </c>
      <c r="K115" s="1212">
        <v>3</v>
      </c>
      <c r="L115" s="1212">
        <v>3</v>
      </c>
      <c r="M115" s="1212">
        <v>3</v>
      </c>
      <c r="N115" s="1212">
        <v>3</v>
      </c>
      <c r="O115" s="1212">
        <v>3</v>
      </c>
      <c r="P115" s="1212">
        <v>3</v>
      </c>
      <c r="Q115" s="1212">
        <v>3</v>
      </c>
      <c r="R115" s="1212">
        <v>3</v>
      </c>
      <c r="S115" s="1213">
        <v>3</v>
      </c>
      <c r="T115" s="1202" t="s">
        <v>1562</v>
      </c>
      <c r="U115" s="1202" t="s">
        <v>1562</v>
      </c>
      <c r="V115" s="1202" t="s">
        <v>1562</v>
      </c>
      <c r="W115" s="1202" t="s">
        <v>1562</v>
      </c>
      <c r="X115" s="1202" t="s">
        <v>1562</v>
      </c>
      <c r="Y115" s="1202" t="s">
        <v>1562</v>
      </c>
    </row>
    <row r="116" spans="1:25">
      <c r="A116" s="1198">
        <v>3639</v>
      </c>
      <c r="B116" s="1199" t="s">
        <v>1565</v>
      </c>
      <c r="C116" s="1211">
        <v>1</v>
      </c>
      <c r="D116" s="1212"/>
      <c r="E116" s="1212"/>
      <c r="F116" s="1212"/>
      <c r="G116" s="1212"/>
      <c r="H116" s="1212"/>
      <c r="I116" s="1211">
        <v>3</v>
      </c>
      <c r="J116" s="1211">
        <v>3</v>
      </c>
      <c r="K116" s="1212">
        <v>3</v>
      </c>
      <c r="L116" s="1212">
        <v>3</v>
      </c>
      <c r="M116" s="1212">
        <v>3</v>
      </c>
      <c r="N116" s="1212">
        <v>3</v>
      </c>
      <c r="O116" s="1212">
        <v>3</v>
      </c>
      <c r="P116" s="1212">
        <v>3</v>
      </c>
      <c r="Q116" s="1212">
        <v>3</v>
      </c>
      <c r="R116" s="1212">
        <v>3</v>
      </c>
      <c r="S116" s="1213">
        <v>3</v>
      </c>
      <c r="T116" s="1202" t="s">
        <v>1562</v>
      </c>
      <c r="U116" s="1202" t="s">
        <v>1562</v>
      </c>
      <c r="V116" s="1202" t="s">
        <v>1562</v>
      </c>
      <c r="W116" s="1202" t="s">
        <v>1562</v>
      </c>
      <c r="X116" s="1202" t="s">
        <v>1562</v>
      </c>
      <c r="Y116" s="1202" t="s">
        <v>1562</v>
      </c>
    </row>
    <row r="117" spans="1:25">
      <c r="A117" s="1198">
        <v>3642</v>
      </c>
      <c r="B117" s="1199" t="s">
        <v>1566</v>
      </c>
      <c r="C117" s="1211">
        <v>1</v>
      </c>
      <c r="D117" s="1212"/>
      <c r="E117" s="1212"/>
      <c r="F117" s="1212"/>
      <c r="G117" s="1212"/>
      <c r="H117" s="1212"/>
      <c r="I117" s="1211">
        <v>3</v>
      </c>
      <c r="J117" s="1211">
        <v>3</v>
      </c>
      <c r="K117" s="1212">
        <v>3</v>
      </c>
      <c r="L117" s="1212">
        <v>3</v>
      </c>
      <c r="M117" s="1212">
        <v>3</v>
      </c>
      <c r="N117" s="1212">
        <v>3</v>
      </c>
      <c r="O117" s="1212">
        <v>3</v>
      </c>
      <c r="P117" s="1212">
        <v>3</v>
      </c>
      <c r="Q117" s="1212">
        <v>3</v>
      </c>
      <c r="R117" s="1212">
        <v>3</v>
      </c>
      <c r="S117" s="1213">
        <v>3</v>
      </c>
      <c r="T117" s="1202" t="s">
        <v>1562</v>
      </c>
      <c r="U117" s="1202" t="s">
        <v>1562</v>
      </c>
      <c r="V117" s="1202" t="s">
        <v>1562</v>
      </c>
      <c r="W117" s="1202" t="s">
        <v>1562</v>
      </c>
      <c r="X117" s="1202" t="s">
        <v>1562</v>
      </c>
      <c r="Y117" s="1202" t="s">
        <v>1562</v>
      </c>
    </row>
    <row r="118" spans="1:25">
      <c r="A118" s="1198">
        <v>3646</v>
      </c>
      <c r="B118" s="1199" t="s">
        <v>1567</v>
      </c>
      <c r="C118" s="1211">
        <v>1</v>
      </c>
      <c r="D118" s="1212"/>
      <c r="E118" s="1212"/>
      <c r="F118" s="1212"/>
      <c r="G118" s="1212"/>
      <c r="H118" s="1212"/>
      <c r="I118" s="1211">
        <v>3</v>
      </c>
      <c r="J118" s="1211">
        <v>3</v>
      </c>
      <c r="K118" s="1212">
        <v>3</v>
      </c>
      <c r="L118" s="1212">
        <v>3</v>
      </c>
      <c r="M118" s="1212">
        <v>3</v>
      </c>
      <c r="N118" s="1212">
        <v>3</v>
      </c>
      <c r="O118" s="1212">
        <v>3</v>
      </c>
      <c r="P118" s="1212">
        <v>3</v>
      </c>
      <c r="Q118" s="1212">
        <v>3</v>
      </c>
      <c r="R118" s="1212">
        <v>3</v>
      </c>
      <c r="S118" s="1213">
        <v>3</v>
      </c>
      <c r="T118" s="1202" t="s">
        <v>1562</v>
      </c>
      <c r="U118" s="1202" t="s">
        <v>1562</v>
      </c>
      <c r="V118" s="1202" t="s">
        <v>1562</v>
      </c>
      <c r="W118" s="1202" t="s">
        <v>1562</v>
      </c>
      <c r="X118" s="1202" t="s">
        <v>1562</v>
      </c>
      <c r="Y118" s="1202" t="s">
        <v>1562</v>
      </c>
    </row>
    <row r="119" spans="1:25">
      <c r="A119" s="1198">
        <v>103599</v>
      </c>
      <c r="B119" s="1199" t="s">
        <v>1568</v>
      </c>
      <c r="C119" s="1211">
        <v>1</v>
      </c>
      <c r="D119" s="1212"/>
      <c r="E119" s="1212"/>
      <c r="F119" s="1212"/>
      <c r="G119" s="1212"/>
      <c r="H119" s="1212"/>
      <c r="I119" s="1211">
        <v>4</v>
      </c>
      <c r="J119" s="1211">
        <v>4</v>
      </c>
      <c r="K119" s="1212">
        <v>4</v>
      </c>
      <c r="L119" s="1212">
        <v>4</v>
      </c>
      <c r="M119" s="1212">
        <v>4</v>
      </c>
      <c r="N119" s="1212">
        <v>4</v>
      </c>
      <c r="O119" s="1212">
        <v>4</v>
      </c>
      <c r="P119" s="1212">
        <v>4</v>
      </c>
      <c r="Q119" s="1212">
        <v>4</v>
      </c>
      <c r="R119" s="1212">
        <v>3</v>
      </c>
      <c r="S119" s="1213">
        <v>3</v>
      </c>
      <c r="T119" s="1202"/>
      <c r="U119" s="1202"/>
      <c r="V119" s="1202"/>
      <c r="W119" s="1202"/>
      <c r="X119" s="1202"/>
      <c r="Y119" s="1202"/>
    </row>
    <row r="120" spans="1:25">
      <c r="A120" s="1198">
        <v>3599</v>
      </c>
      <c r="B120" s="1199" t="s">
        <v>1569</v>
      </c>
      <c r="C120" s="1211"/>
      <c r="D120" s="1212"/>
      <c r="E120" s="1212"/>
      <c r="F120" s="1212"/>
      <c r="G120" s="1212"/>
      <c r="H120" s="1212"/>
      <c r="I120" s="1211"/>
      <c r="J120" s="1211"/>
      <c r="K120" s="1212"/>
      <c r="L120" s="1212"/>
      <c r="M120" s="1212"/>
      <c r="N120" s="1212"/>
      <c r="O120" s="1212"/>
      <c r="P120" s="1212"/>
      <c r="Q120" s="1212"/>
      <c r="R120" s="1212">
        <v>3</v>
      </c>
      <c r="S120" s="1213">
        <v>3</v>
      </c>
      <c r="T120" s="1202" t="s">
        <v>1562</v>
      </c>
      <c r="U120" s="1202" t="s">
        <v>1562</v>
      </c>
      <c r="V120" s="1202" t="s">
        <v>1562</v>
      </c>
      <c r="W120" s="1202" t="s">
        <v>1562</v>
      </c>
      <c r="X120" s="1202" t="s">
        <v>1562</v>
      </c>
      <c r="Y120" s="1202" t="s">
        <v>1562</v>
      </c>
    </row>
    <row r="121" spans="1:25">
      <c r="A121" s="1198">
        <v>3615</v>
      </c>
      <c r="B121" s="1199" t="s">
        <v>1570</v>
      </c>
      <c r="C121" s="1211">
        <v>1</v>
      </c>
      <c r="D121" s="1212"/>
      <c r="E121" s="1212"/>
      <c r="F121" s="1212"/>
      <c r="G121" s="1212"/>
      <c r="H121" s="1212"/>
      <c r="I121" s="1211">
        <v>3</v>
      </c>
      <c r="J121" s="1211">
        <v>3</v>
      </c>
      <c r="K121" s="1212">
        <v>3</v>
      </c>
      <c r="L121" s="1212">
        <v>3</v>
      </c>
      <c r="M121" s="1212">
        <v>3</v>
      </c>
      <c r="N121" s="1212">
        <v>3</v>
      </c>
      <c r="O121" s="1212">
        <v>3</v>
      </c>
      <c r="P121" s="1212">
        <v>2</v>
      </c>
      <c r="Q121" s="1212">
        <v>2</v>
      </c>
      <c r="R121" s="1212">
        <v>2</v>
      </c>
      <c r="S121" s="1213">
        <v>2</v>
      </c>
      <c r="T121" s="1202" t="s">
        <v>1571</v>
      </c>
      <c r="U121" s="1202" t="s">
        <v>1571</v>
      </c>
      <c r="V121" s="1202" t="s">
        <v>1571</v>
      </c>
      <c r="W121" s="1202" t="s">
        <v>1571</v>
      </c>
      <c r="X121" s="1202" t="s">
        <v>1571</v>
      </c>
      <c r="Y121" s="1202" t="s">
        <v>1571</v>
      </c>
    </row>
    <row r="122" spans="1:25">
      <c r="A122" s="1198">
        <v>3644</v>
      </c>
      <c r="B122" s="1199" t="s">
        <v>1572</v>
      </c>
      <c r="C122" s="1211">
        <v>1</v>
      </c>
      <c r="D122" s="1212"/>
      <c r="E122" s="1212"/>
      <c r="F122" s="1212"/>
      <c r="G122" s="1212"/>
      <c r="H122" s="1212"/>
      <c r="I122" s="1211">
        <v>2</v>
      </c>
      <c r="J122" s="1211">
        <v>2</v>
      </c>
      <c r="K122" s="1212">
        <v>2</v>
      </c>
      <c r="L122" s="1212">
        <v>2</v>
      </c>
      <c r="M122" s="1212">
        <v>2</v>
      </c>
      <c r="N122" s="1212">
        <v>2</v>
      </c>
      <c r="O122" s="1212">
        <v>2</v>
      </c>
      <c r="P122" s="1212">
        <v>2</v>
      </c>
      <c r="Q122" s="1212">
        <v>2</v>
      </c>
      <c r="R122" s="1212">
        <v>2</v>
      </c>
      <c r="S122" s="1213">
        <v>2</v>
      </c>
      <c r="T122" s="1202" t="s">
        <v>1571</v>
      </c>
      <c r="U122" s="1202" t="s">
        <v>1571</v>
      </c>
      <c r="V122" s="1202" t="s">
        <v>1571</v>
      </c>
      <c r="W122" s="1202" t="s">
        <v>1571</v>
      </c>
      <c r="X122" s="1202" t="s">
        <v>1571</v>
      </c>
      <c r="Y122" s="1202" t="s">
        <v>1571</v>
      </c>
    </row>
    <row r="123" spans="1:25">
      <c r="A123" s="1198">
        <v>3656</v>
      </c>
      <c r="B123" s="1199" t="s">
        <v>1573</v>
      </c>
      <c r="C123" s="1211">
        <v>1</v>
      </c>
      <c r="D123" s="1212"/>
      <c r="E123" s="1212"/>
      <c r="F123" s="1212"/>
      <c r="G123" s="1212"/>
      <c r="H123" s="1212"/>
      <c r="I123" s="1211">
        <v>2</v>
      </c>
      <c r="J123" s="1211">
        <v>2</v>
      </c>
      <c r="K123" s="1212">
        <v>2</v>
      </c>
      <c r="L123" s="1212">
        <v>2</v>
      </c>
      <c r="M123" s="1212">
        <v>2</v>
      </c>
      <c r="N123" s="1212">
        <v>2</v>
      </c>
      <c r="O123" s="1212">
        <v>2</v>
      </c>
      <c r="P123" s="1212">
        <v>2</v>
      </c>
      <c r="Q123" s="1212">
        <v>2</v>
      </c>
      <c r="R123" s="1212">
        <v>2</v>
      </c>
      <c r="S123" s="1213">
        <v>2</v>
      </c>
      <c r="T123" s="1202" t="s">
        <v>1571</v>
      </c>
      <c r="U123" s="1202" t="s">
        <v>1571</v>
      </c>
      <c r="V123" s="1202" t="s">
        <v>1571</v>
      </c>
      <c r="W123" s="1202" t="s">
        <v>1571</v>
      </c>
      <c r="X123" s="1202" t="s">
        <v>1571</v>
      </c>
      <c r="Y123" s="1202" t="s">
        <v>1571</v>
      </c>
    </row>
    <row r="124" spans="1:25">
      <c r="A124" s="1198">
        <v>9741</v>
      </c>
      <c r="B124" s="1199" t="s">
        <v>1574</v>
      </c>
      <c r="C124" s="1211">
        <v>1</v>
      </c>
      <c r="D124" s="1212"/>
      <c r="E124" s="1212"/>
      <c r="F124" s="1212"/>
      <c r="G124" s="1212"/>
      <c r="H124" s="1212"/>
      <c r="I124" s="1211">
        <v>2</v>
      </c>
      <c r="J124" s="1211">
        <v>2</v>
      </c>
      <c r="K124" s="1212">
        <v>2</v>
      </c>
      <c r="L124" s="1212">
        <v>2</v>
      </c>
      <c r="M124" s="1212">
        <v>2</v>
      </c>
      <c r="N124" s="1212">
        <v>2</v>
      </c>
      <c r="O124" s="1212">
        <v>2</v>
      </c>
      <c r="P124" s="1212">
        <v>2</v>
      </c>
      <c r="Q124" s="1212">
        <v>2</v>
      </c>
      <c r="R124" s="1212">
        <v>2</v>
      </c>
      <c r="S124" s="1213">
        <v>2</v>
      </c>
      <c r="T124" s="1202" t="s">
        <v>1571</v>
      </c>
      <c r="U124" s="1202" t="s">
        <v>1571</v>
      </c>
      <c r="V124" s="1202" t="s">
        <v>1571</v>
      </c>
      <c r="W124" s="1202" t="s">
        <v>1571</v>
      </c>
      <c r="X124" s="1202" t="s">
        <v>1571</v>
      </c>
      <c r="Y124" s="1202" t="s">
        <v>1571</v>
      </c>
    </row>
    <row r="125" spans="1:25">
      <c r="A125" s="1198">
        <v>3661</v>
      </c>
      <c r="B125" s="1199" t="s">
        <v>1575</v>
      </c>
      <c r="C125" s="1211">
        <v>1</v>
      </c>
      <c r="D125" s="1212"/>
      <c r="E125" s="1212"/>
      <c r="F125" s="1212"/>
      <c r="G125" s="1212"/>
      <c r="H125" s="1212"/>
      <c r="I125" s="1211">
        <v>2</v>
      </c>
      <c r="J125" s="1211">
        <v>2</v>
      </c>
      <c r="K125" s="1212">
        <v>2</v>
      </c>
      <c r="L125" s="1212">
        <v>2</v>
      </c>
      <c r="M125" s="1212">
        <v>2</v>
      </c>
      <c r="N125" s="1212">
        <v>2</v>
      </c>
      <c r="O125" s="1212">
        <v>2</v>
      </c>
      <c r="P125" s="1212">
        <v>2</v>
      </c>
      <c r="Q125" s="1212">
        <v>2</v>
      </c>
      <c r="R125" s="1212">
        <v>2</v>
      </c>
      <c r="S125" s="1213">
        <v>2</v>
      </c>
      <c r="T125" s="1202" t="s">
        <v>1571</v>
      </c>
      <c r="U125" s="1202" t="s">
        <v>1571</v>
      </c>
      <c r="V125" s="1202" t="s">
        <v>1571</v>
      </c>
      <c r="W125" s="1202" t="s">
        <v>1571</v>
      </c>
      <c r="X125" s="1202" t="s">
        <v>1571</v>
      </c>
      <c r="Y125" s="1202" t="s">
        <v>1571</v>
      </c>
    </row>
    <row r="126" spans="1:25">
      <c r="A126" s="1198">
        <v>10115</v>
      </c>
      <c r="B126" s="1199" t="s">
        <v>1576</v>
      </c>
      <c r="C126" s="1211">
        <v>1</v>
      </c>
      <c r="D126" s="1212"/>
      <c r="E126" s="1212"/>
      <c r="F126" s="1212"/>
      <c r="G126" s="1212"/>
      <c r="H126" s="1212"/>
      <c r="I126" s="1211">
        <v>2</v>
      </c>
      <c r="J126" s="1211">
        <v>2</v>
      </c>
      <c r="K126" s="1212">
        <v>2</v>
      </c>
      <c r="L126" s="1212">
        <v>2</v>
      </c>
      <c r="M126" s="1212">
        <v>2</v>
      </c>
      <c r="N126" s="1212">
        <v>2</v>
      </c>
      <c r="O126" s="1212">
        <v>2</v>
      </c>
      <c r="P126" s="1212">
        <v>2</v>
      </c>
      <c r="Q126" s="1212">
        <v>2</v>
      </c>
      <c r="R126" s="1212">
        <v>2</v>
      </c>
      <c r="S126" s="1213">
        <v>2</v>
      </c>
      <c r="T126" s="1202" t="s">
        <v>1571</v>
      </c>
      <c r="U126" s="1202" t="s">
        <v>1571</v>
      </c>
      <c r="V126" s="1202" t="s">
        <v>1571</v>
      </c>
      <c r="W126" s="1202" t="s">
        <v>1571</v>
      </c>
      <c r="X126" s="1202" t="s">
        <v>1571</v>
      </c>
      <c r="Y126" s="1202" t="s">
        <v>1571</v>
      </c>
    </row>
    <row r="127" spans="1:25">
      <c r="A127" s="1198">
        <v>3652</v>
      </c>
      <c r="B127" s="1199" t="s">
        <v>1577</v>
      </c>
      <c r="C127" s="1211">
        <v>1</v>
      </c>
      <c r="D127" s="1212"/>
      <c r="E127" s="1212"/>
      <c r="F127" s="1212"/>
      <c r="G127" s="1212"/>
      <c r="H127" s="1212"/>
      <c r="I127" s="1211">
        <v>2</v>
      </c>
      <c r="J127" s="1211">
        <v>2</v>
      </c>
      <c r="K127" s="1212">
        <v>2</v>
      </c>
      <c r="L127" s="1212">
        <v>2</v>
      </c>
      <c r="M127" s="1212">
        <v>2</v>
      </c>
      <c r="N127" s="1212">
        <v>2</v>
      </c>
      <c r="O127" s="1212">
        <v>2</v>
      </c>
      <c r="P127" s="1212">
        <v>2</v>
      </c>
      <c r="Q127" s="1212">
        <v>2</v>
      </c>
      <c r="R127" s="1212">
        <v>2</v>
      </c>
      <c r="S127" s="1213">
        <v>2</v>
      </c>
      <c r="T127" s="1202" t="s">
        <v>1571</v>
      </c>
      <c r="U127" s="1202" t="s">
        <v>1571</v>
      </c>
      <c r="V127" s="1202" t="s">
        <v>1571</v>
      </c>
      <c r="W127" s="1202" t="s">
        <v>1571</v>
      </c>
      <c r="X127" s="1202" t="s">
        <v>1571</v>
      </c>
      <c r="Y127" s="1202" t="s">
        <v>1571</v>
      </c>
    </row>
    <row r="128" spans="1:25">
      <c r="A128" s="1198">
        <v>3594</v>
      </c>
      <c r="B128" s="1199" t="s">
        <v>1578</v>
      </c>
      <c r="C128" s="1211">
        <v>1</v>
      </c>
      <c r="D128" s="1212"/>
      <c r="E128" s="1212"/>
      <c r="F128" s="1212"/>
      <c r="G128" s="1212"/>
      <c r="H128" s="1212"/>
      <c r="I128" s="1211">
        <v>2</v>
      </c>
      <c r="J128" s="1211">
        <v>2</v>
      </c>
      <c r="K128" s="1212">
        <v>2</v>
      </c>
      <c r="L128" s="1212">
        <v>2</v>
      </c>
      <c r="M128" s="1212">
        <v>2</v>
      </c>
      <c r="N128" s="1212">
        <v>2</v>
      </c>
      <c r="O128" s="1212">
        <v>2</v>
      </c>
      <c r="P128" s="1212">
        <v>2</v>
      </c>
      <c r="Q128" s="1212">
        <v>2</v>
      </c>
      <c r="R128" s="1212">
        <v>2</v>
      </c>
      <c r="S128" s="1213">
        <v>2</v>
      </c>
      <c r="T128" s="1202" t="s">
        <v>1571</v>
      </c>
      <c r="U128" s="1202" t="s">
        <v>1571</v>
      </c>
      <c r="V128" s="1202" t="s">
        <v>1571</v>
      </c>
      <c r="W128" s="1202" t="s">
        <v>1571</v>
      </c>
      <c r="X128" s="1202" t="s">
        <v>1571</v>
      </c>
      <c r="Y128" s="1202" t="s">
        <v>1571</v>
      </c>
    </row>
    <row r="129" spans="1:25">
      <c r="A129" s="1198">
        <v>3632</v>
      </c>
      <c r="B129" s="1199" t="s">
        <v>1579</v>
      </c>
      <c r="C129" s="1211">
        <v>1</v>
      </c>
      <c r="D129" s="1212"/>
      <c r="E129" s="1212"/>
      <c r="F129" s="1212"/>
      <c r="G129" s="1212"/>
      <c r="H129" s="1212"/>
      <c r="I129" s="1211">
        <v>1</v>
      </c>
      <c r="J129" s="1211">
        <v>1</v>
      </c>
      <c r="K129" s="1212">
        <v>1</v>
      </c>
      <c r="L129" s="1212">
        <v>1</v>
      </c>
      <c r="M129" s="1212">
        <v>1</v>
      </c>
      <c r="N129" s="1212">
        <v>1</v>
      </c>
      <c r="O129" s="1212">
        <v>1</v>
      </c>
      <c r="P129" s="1212">
        <v>1</v>
      </c>
      <c r="Q129" s="1212">
        <v>1</v>
      </c>
      <c r="R129" s="1212">
        <v>1</v>
      </c>
      <c r="S129" s="1213">
        <v>1</v>
      </c>
      <c r="T129" s="1202" t="s">
        <v>1580</v>
      </c>
      <c r="U129" s="1202" t="s">
        <v>1580</v>
      </c>
      <c r="V129" s="1202" t="s">
        <v>1580</v>
      </c>
      <c r="W129" s="1202" t="s">
        <v>1580</v>
      </c>
      <c r="X129" s="1202" t="s">
        <v>1580</v>
      </c>
      <c r="Y129" s="1202" t="s">
        <v>1580</v>
      </c>
    </row>
    <row r="130" spans="1:25" s="1230" customFormat="1">
      <c r="A130" s="1198">
        <v>3658</v>
      </c>
      <c r="B130" s="1199" t="s">
        <v>1581</v>
      </c>
      <c r="C130" s="1211">
        <v>1</v>
      </c>
      <c r="D130" s="1212"/>
      <c r="E130" s="1212"/>
      <c r="F130" s="1212"/>
      <c r="G130" s="1212"/>
      <c r="H130" s="1212"/>
      <c r="I130" s="1211">
        <v>1</v>
      </c>
      <c r="J130" s="1211">
        <v>1</v>
      </c>
      <c r="K130" s="1212">
        <v>1</v>
      </c>
      <c r="L130" s="1212">
        <v>1</v>
      </c>
      <c r="M130" s="1212">
        <v>1</v>
      </c>
      <c r="N130" s="1212">
        <v>1</v>
      </c>
      <c r="O130" s="1212">
        <v>1</v>
      </c>
      <c r="P130" s="1212">
        <v>1</v>
      </c>
      <c r="Q130" s="1212">
        <v>1</v>
      </c>
      <c r="R130" s="1212">
        <v>1</v>
      </c>
      <c r="S130" s="1213">
        <v>1</v>
      </c>
      <c r="T130" s="1202" t="s">
        <v>1580</v>
      </c>
      <c r="U130" s="1202" t="s">
        <v>1580</v>
      </c>
      <c r="V130" s="1202" t="s">
        <v>1580</v>
      </c>
      <c r="W130" s="1202" t="s">
        <v>1580</v>
      </c>
      <c r="X130" s="1202" t="s">
        <v>1580</v>
      </c>
      <c r="Y130" s="1202" t="s">
        <v>1580</v>
      </c>
    </row>
    <row r="131" spans="1:25" hidden="1" outlineLevel="1">
      <c r="A131" s="1231">
        <v>3537</v>
      </c>
      <c r="B131" s="1232" t="s">
        <v>1582</v>
      </c>
      <c r="C131" s="1233">
        <v>2</v>
      </c>
      <c r="D131" s="1233"/>
      <c r="E131" s="1233"/>
      <c r="F131" s="1233"/>
      <c r="G131" s="1233"/>
      <c r="H131" s="1233"/>
      <c r="I131" s="1233">
        <v>0</v>
      </c>
      <c r="J131" s="1233">
        <v>0</v>
      </c>
      <c r="K131" s="1233">
        <v>0</v>
      </c>
      <c r="L131" s="1233">
        <v>0</v>
      </c>
      <c r="M131" s="1233">
        <v>0</v>
      </c>
      <c r="N131" s="1233">
        <v>0</v>
      </c>
      <c r="O131" s="1233">
        <v>0</v>
      </c>
      <c r="P131" s="1233">
        <v>0</v>
      </c>
      <c r="Q131" s="1233">
        <v>0</v>
      </c>
      <c r="R131" s="1233">
        <v>0</v>
      </c>
      <c r="S131" s="1233">
        <v>0</v>
      </c>
      <c r="U131" s="1229"/>
      <c r="V131" s="1229"/>
      <c r="W131" s="1229"/>
      <c r="X131" s="1229"/>
      <c r="Y131" s="1229"/>
    </row>
    <row r="132" spans="1:25" hidden="1" outlineLevel="1">
      <c r="A132" s="1198">
        <v>429094</v>
      </c>
      <c r="B132" s="1199" t="s">
        <v>1583</v>
      </c>
      <c r="C132" s="1211">
        <v>8</v>
      </c>
      <c r="D132" s="1212"/>
      <c r="E132" s="1212"/>
      <c r="F132" s="1212"/>
      <c r="G132" s="1212"/>
      <c r="H132" s="1212"/>
      <c r="I132" s="1211">
        <v>0</v>
      </c>
      <c r="J132" s="1202">
        <v>0</v>
      </c>
      <c r="K132" s="1203">
        <v>0</v>
      </c>
      <c r="L132" s="1203">
        <v>0</v>
      </c>
      <c r="M132" s="1203">
        <v>0</v>
      </c>
      <c r="N132" s="1203">
        <v>0</v>
      </c>
      <c r="O132" s="1203">
        <v>0</v>
      </c>
      <c r="P132" s="1203">
        <v>0</v>
      </c>
      <c r="Q132" s="1203">
        <v>0</v>
      </c>
      <c r="R132" s="1203">
        <v>0</v>
      </c>
      <c r="S132" s="1203">
        <v>0</v>
      </c>
      <c r="U132" s="1229"/>
      <c r="V132" s="1229"/>
      <c r="W132" s="1229"/>
      <c r="X132" s="1229"/>
      <c r="Y132" s="1229"/>
    </row>
    <row r="133" spans="1:25" hidden="1" outlineLevel="1">
      <c r="A133" s="1198">
        <v>367316</v>
      </c>
      <c r="B133" s="1199" t="s">
        <v>1584</v>
      </c>
      <c r="C133" s="1211">
        <v>8</v>
      </c>
      <c r="D133" s="1212"/>
      <c r="E133" s="1212"/>
      <c r="F133" s="1212"/>
      <c r="G133" s="1212"/>
      <c r="H133" s="1212"/>
      <c r="I133" s="1211">
        <v>0</v>
      </c>
      <c r="J133" s="1202">
        <v>0</v>
      </c>
      <c r="K133" s="1203">
        <v>0</v>
      </c>
      <c r="L133" s="1203">
        <v>0</v>
      </c>
      <c r="M133" s="1203">
        <v>0</v>
      </c>
      <c r="N133" s="1203">
        <v>0</v>
      </c>
      <c r="O133" s="1203">
        <v>0</v>
      </c>
      <c r="P133" s="1203">
        <v>0</v>
      </c>
      <c r="Q133" s="1203">
        <v>0</v>
      </c>
      <c r="R133" s="1203">
        <v>0</v>
      </c>
      <c r="S133" s="1203">
        <v>0</v>
      </c>
    </row>
    <row r="134" spans="1:25" hidden="1" outlineLevel="1">
      <c r="A134" s="1198">
        <v>429085</v>
      </c>
      <c r="B134" s="1199" t="s">
        <v>1585</v>
      </c>
      <c r="C134" s="1211">
        <v>8</v>
      </c>
      <c r="D134" s="1212"/>
      <c r="E134" s="1212"/>
      <c r="F134" s="1212"/>
      <c r="G134" s="1212"/>
      <c r="H134" s="1212"/>
      <c r="I134" s="1211">
        <v>0</v>
      </c>
      <c r="J134" s="1202">
        <v>0</v>
      </c>
      <c r="K134" s="1203">
        <v>0</v>
      </c>
      <c r="L134" s="1203">
        <v>0</v>
      </c>
      <c r="M134" s="1203">
        <v>0</v>
      </c>
      <c r="N134" s="1203">
        <v>0</v>
      </c>
      <c r="O134" s="1203">
        <v>0</v>
      </c>
      <c r="P134" s="1203">
        <v>0</v>
      </c>
      <c r="Q134" s="1203">
        <v>0</v>
      </c>
      <c r="R134" s="1203">
        <v>0</v>
      </c>
      <c r="S134" s="1203">
        <v>0</v>
      </c>
    </row>
    <row r="135" spans="1:25" hidden="1" outlineLevel="1">
      <c r="A135" s="1198">
        <v>22594</v>
      </c>
      <c r="B135" s="1199" t="s">
        <v>1586</v>
      </c>
      <c r="C135" s="1211">
        <v>2</v>
      </c>
      <c r="D135" s="1212"/>
      <c r="E135" s="1212"/>
      <c r="F135" s="1212"/>
      <c r="G135" s="1212"/>
      <c r="H135" s="1212"/>
      <c r="I135" s="1211">
        <v>0</v>
      </c>
      <c r="J135" s="1211">
        <v>0</v>
      </c>
      <c r="K135" s="1212">
        <v>0</v>
      </c>
      <c r="L135" s="1212">
        <v>0</v>
      </c>
      <c r="M135" s="1212">
        <v>0</v>
      </c>
      <c r="N135" s="1212">
        <v>0</v>
      </c>
      <c r="O135" s="1212">
        <v>0</v>
      </c>
      <c r="P135" s="1212">
        <v>0</v>
      </c>
      <c r="Q135" s="1212">
        <v>0</v>
      </c>
      <c r="R135" s="1212">
        <v>0</v>
      </c>
      <c r="S135" s="1212">
        <v>0</v>
      </c>
    </row>
    <row r="136" spans="1:25" hidden="1" outlineLevel="1">
      <c r="A136" s="1198">
        <v>449889</v>
      </c>
      <c r="B136" s="1199" t="s">
        <v>1587</v>
      </c>
      <c r="C136" s="1211">
        <v>8</v>
      </c>
      <c r="D136" s="1212"/>
      <c r="E136" s="1212"/>
      <c r="F136" s="1212"/>
      <c r="G136" s="1212"/>
      <c r="H136" s="1212"/>
      <c r="I136" s="1211">
        <v>0</v>
      </c>
      <c r="J136" s="1202">
        <v>0</v>
      </c>
      <c r="K136" s="1203">
        <v>0</v>
      </c>
      <c r="L136" s="1203">
        <v>0</v>
      </c>
      <c r="M136" s="1203">
        <v>0</v>
      </c>
      <c r="N136" s="1203">
        <v>0</v>
      </c>
      <c r="O136" s="1203">
        <v>0</v>
      </c>
      <c r="P136" s="1203">
        <v>0</v>
      </c>
      <c r="Q136" s="1203">
        <v>0</v>
      </c>
      <c r="R136" s="1203">
        <v>0</v>
      </c>
      <c r="S136" s="1203">
        <v>0</v>
      </c>
    </row>
    <row r="137" spans="1:25" hidden="1" outlineLevel="1">
      <c r="A137" s="1198">
        <v>21136</v>
      </c>
      <c r="B137" s="1199" t="s">
        <v>1588</v>
      </c>
      <c r="C137" s="1211">
        <v>8</v>
      </c>
      <c r="D137" s="1212"/>
      <c r="E137" s="1212"/>
      <c r="F137" s="1212"/>
      <c r="G137" s="1212"/>
      <c r="H137" s="1212"/>
      <c r="I137" s="1211">
        <v>0</v>
      </c>
      <c r="J137" s="1202">
        <v>0</v>
      </c>
      <c r="K137" s="1203">
        <v>0</v>
      </c>
      <c r="L137" s="1203">
        <v>0</v>
      </c>
      <c r="M137" s="1203">
        <v>0</v>
      </c>
      <c r="N137" s="1203">
        <v>0</v>
      </c>
      <c r="O137" s="1203">
        <v>0</v>
      </c>
      <c r="P137" s="1203">
        <v>0</v>
      </c>
      <c r="Q137" s="1203">
        <v>0</v>
      </c>
      <c r="R137" s="1203">
        <v>0</v>
      </c>
      <c r="S137" s="1203">
        <v>0</v>
      </c>
    </row>
    <row r="138" spans="1:25" hidden="1" outlineLevel="1">
      <c r="A138" s="1198">
        <v>444389</v>
      </c>
      <c r="B138" s="1199" t="s">
        <v>1589</v>
      </c>
      <c r="C138" s="1211">
        <v>8</v>
      </c>
      <c r="D138" s="1212"/>
      <c r="E138" s="1212"/>
      <c r="F138" s="1212"/>
      <c r="G138" s="1212"/>
      <c r="H138" s="1212"/>
      <c r="I138" s="1211">
        <v>0</v>
      </c>
      <c r="J138" s="1202">
        <v>0</v>
      </c>
      <c r="K138" s="1203">
        <v>0</v>
      </c>
      <c r="L138" s="1203">
        <v>0</v>
      </c>
      <c r="M138" s="1203">
        <v>0</v>
      </c>
      <c r="N138" s="1203">
        <v>0</v>
      </c>
      <c r="O138" s="1203">
        <v>0</v>
      </c>
      <c r="P138" s="1203">
        <v>0</v>
      </c>
      <c r="Q138" s="1203">
        <v>0</v>
      </c>
      <c r="R138" s="1203">
        <v>0</v>
      </c>
      <c r="S138" s="1203">
        <v>0</v>
      </c>
    </row>
    <row r="139" spans="1:25" hidden="1" outlineLevel="1">
      <c r="A139" s="1198">
        <v>459815</v>
      </c>
      <c r="B139" s="1199" t="s">
        <v>1590</v>
      </c>
      <c r="C139" s="1211">
        <v>8</v>
      </c>
      <c r="D139" s="1212"/>
      <c r="E139" s="1212"/>
      <c r="F139" s="1212"/>
      <c r="G139" s="1212"/>
      <c r="H139" s="1212"/>
      <c r="I139" s="1211">
        <v>0</v>
      </c>
      <c r="J139" s="1202">
        <v>0</v>
      </c>
      <c r="K139" s="1203">
        <v>0</v>
      </c>
      <c r="L139" s="1203">
        <v>0</v>
      </c>
      <c r="M139" s="1203">
        <v>0</v>
      </c>
      <c r="N139" s="1203">
        <v>0</v>
      </c>
      <c r="O139" s="1203">
        <v>0</v>
      </c>
      <c r="P139" s="1203">
        <v>0</v>
      </c>
      <c r="Q139" s="1203">
        <v>0</v>
      </c>
      <c r="R139" s="1203">
        <v>0</v>
      </c>
      <c r="S139" s="1203">
        <v>0</v>
      </c>
    </row>
    <row r="140" spans="1:25" hidden="1" outlineLevel="1">
      <c r="A140" s="1198">
        <v>440129</v>
      </c>
      <c r="B140" s="1199" t="s">
        <v>1591</v>
      </c>
      <c r="C140" s="1211">
        <v>8</v>
      </c>
      <c r="D140" s="1212"/>
      <c r="E140" s="1212"/>
      <c r="F140" s="1212"/>
      <c r="G140" s="1212"/>
      <c r="H140" s="1212"/>
      <c r="I140" s="1211">
        <v>0</v>
      </c>
      <c r="J140" s="1202">
        <v>0</v>
      </c>
      <c r="K140" s="1203">
        <v>0</v>
      </c>
      <c r="L140" s="1203">
        <v>0</v>
      </c>
      <c r="M140" s="1203">
        <v>0</v>
      </c>
      <c r="N140" s="1203">
        <v>0</v>
      </c>
      <c r="O140" s="1203">
        <v>0</v>
      </c>
      <c r="P140" s="1203">
        <v>0</v>
      </c>
      <c r="Q140" s="1203">
        <v>0</v>
      </c>
      <c r="R140" s="1203">
        <v>0</v>
      </c>
      <c r="S140" s="1203">
        <v>0</v>
      </c>
    </row>
    <row r="141" spans="1:25" hidden="1" outlineLevel="1">
      <c r="A141" s="1198">
        <v>442222</v>
      </c>
      <c r="B141" s="1199" t="s">
        <v>1592</v>
      </c>
      <c r="C141" s="1211">
        <v>8</v>
      </c>
      <c r="D141" s="1212"/>
      <c r="E141" s="1212"/>
      <c r="F141" s="1212"/>
      <c r="G141" s="1212"/>
      <c r="H141" s="1212"/>
      <c r="I141" s="1211">
        <v>0</v>
      </c>
      <c r="J141" s="1202">
        <v>0</v>
      </c>
      <c r="K141" s="1203">
        <v>0</v>
      </c>
      <c r="L141" s="1203">
        <v>0</v>
      </c>
      <c r="M141" s="1203">
        <v>0</v>
      </c>
      <c r="N141" s="1203">
        <v>0</v>
      </c>
      <c r="O141" s="1203">
        <v>0</v>
      </c>
      <c r="P141" s="1203">
        <v>0</v>
      </c>
      <c r="Q141" s="1203">
        <v>0</v>
      </c>
      <c r="R141" s="1203">
        <v>0</v>
      </c>
      <c r="S141" s="1203">
        <v>0</v>
      </c>
    </row>
    <row r="142" spans="1:25" hidden="1" outlineLevel="1">
      <c r="A142" s="1198">
        <v>1081</v>
      </c>
      <c r="B142" s="1199" t="s">
        <v>1593</v>
      </c>
      <c r="C142" s="1211">
        <v>8</v>
      </c>
      <c r="D142" s="1212"/>
      <c r="E142" s="1212"/>
      <c r="F142" s="1212"/>
      <c r="G142" s="1212"/>
      <c r="H142" s="1212"/>
      <c r="I142" s="1211">
        <v>0</v>
      </c>
      <c r="J142" s="1202">
        <v>0</v>
      </c>
      <c r="K142" s="1203">
        <v>0</v>
      </c>
      <c r="L142" s="1203">
        <v>0</v>
      </c>
      <c r="M142" s="1203">
        <v>0</v>
      </c>
      <c r="N142" s="1203">
        <v>0</v>
      </c>
      <c r="O142" s="1203">
        <v>0</v>
      </c>
      <c r="P142" s="1203">
        <v>0</v>
      </c>
      <c r="Q142" s="1203">
        <v>0</v>
      </c>
      <c r="R142" s="1203">
        <v>0</v>
      </c>
      <c r="S142" s="1203">
        <v>0</v>
      </c>
    </row>
    <row r="143" spans="1:25" hidden="1" outlineLevel="1">
      <c r="A143" s="1198">
        <v>1090</v>
      </c>
      <c r="B143" s="1199" t="s">
        <v>1594</v>
      </c>
      <c r="C143" s="1211">
        <v>8</v>
      </c>
      <c r="D143" s="1212"/>
      <c r="E143" s="1212"/>
      <c r="F143" s="1212"/>
      <c r="G143" s="1212"/>
      <c r="H143" s="1212"/>
      <c r="I143" s="1211">
        <v>0</v>
      </c>
      <c r="J143" s="1202">
        <v>0</v>
      </c>
      <c r="K143" s="1203">
        <v>0</v>
      </c>
      <c r="L143" s="1203">
        <v>0</v>
      </c>
      <c r="M143" s="1203">
        <v>0</v>
      </c>
      <c r="N143" s="1203">
        <v>0</v>
      </c>
      <c r="O143" s="1203">
        <v>0</v>
      </c>
      <c r="P143" s="1203">
        <v>0</v>
      </c>
      <c r="Q143" s="1203">
        <v>0</v>
      </c>
      <c r="R143" s="1203">
        <v>0</v>
      </c>
      <c r="S143" s="1203">
        <v>0</v>
      </c>
    </row>
    <row r="144" spans="1:25" hidden="1" outlineLevel="1">
      <c r="A144" s="1198">
        <v>222877</v>
      </c>
      <c r="B144" s="1199" t="s">
        <v>1595</v>
      </c>
      <c r="C144" s="1211">
        <v>8</v>
      </c>
      <c r="D144" s="1212"/>
      <c r="E144" s="1212"/>
      <c r="F144" s="1212"/>
      <c r="G144" s="1212"/>
      <c r="H144" s="1212"/>
      <c r="I144" s="1211">
        <v>0</v>
      </c>
      <c r="J144" s="1202">
        <v>0</v>
      </c>
      <c r="K144" s="1203">
        <v>0</v>
      </c>
      <c r="L144" s="1203">
        <v>0</v>
      </c>
      <c r="M144" s="1203">
        <v>0</v>
      </c>
      <c r="N144" s="1203">
        <v>0</v>
      </c>
      <c r="O144" s="1203">
        <v>0</v>
      </c>
      <c r="P144" s="1203">
        <v>0</v>
      </c>
      <c r="Q144" s="1203">
        <v>0</v>
      </c>
      <c r="R144" s="1203">
        <v>0</v>
      </c>
      <c r="S144" s="1203">
        <v>0</v>
      </c>
    </row>
    <row r="145" spans="1:19" hidden="1" outlineLevel="1">
      <c r="A145" s="1198">
        <v>1953</v>
      </c>
      <c r="B145" s="1199" t="s">
        <v>1596</v>
      </c>
      <c r="C145" s="1211">
        <v>8</v>
      </c>
      <c r="D145" s="1212"/>
      <c r="E145" s="1212"/>
      <c r="F145" s="1212"/>
      <c r="G145" s="1212"/>
      <c r="H145" s="1212"/>
      <c r="I145" s="1211">
        <v>0</v>
      </c>
      <c r="J145" s="1202">
        <v>0</v>
      </c>
      <c r="K145" s="1203">
        <v>0</v>
      </c>
      <c r="L145" s="1203">
        <v>0</v>
      </c>
      <c r="M145" s="1203">
        <v>0</v>
      </c>
      <c r="N145" s="1203">
        <v>0</v>
      </c>
      <c r="O145" s="1203">
        <v>0</v>
      </c>
      <c r="P145" s="1203">
        <v>0</v>
      </c>
      <c r="Q145" s="1203">
        <v>0</v>
      </c>
      <c r="R145" s="1203">
        <v>0</v>
      </c>
      <c r="S145" s="1203">
        <v>0</v>
      </c>
    </row>
    <row r="146" spans="1:19" hidden="1" outlineLevel="1">
      <c r="A146" s="1198">
        <v>1881</v>
      </c>
      <c r="B146" s="1199" t="s">
        <v>1597</v>
      </c>
      <c r="C146" s="1211">
        <v>8</v>
      </c>
      <c r="D146" s="1212"/>
      <c r="E146" s="1212"/>
      <c r="F146" s="1212"/>
      <c r="G146" s="1212"/>
      <c r="H146" s="1212"/>
      <c r="I146" s="1211">
        <v>0</v>
      </c>
      <c r="J146" s="1202">
        <v>0</v>
      </c>
      <c r="K146" s="1203">
        <v>0</v>
      </c>
      <c r="L146" s="1203">
        <v>0</v>
      </c>
      <c r="M146" s="1203">
        <v>0</v>
      </c>
      <c r="N146" s="1203">
        <v>0</v>
      </c>
      <c r="O146" s="1203">
        <v>0</v>
      </c>
      <c r="P146" s="1203">
        <v>0</v>
      </c>
      <c r="Q146" s="1203">
        <v>0</v>
      </c>
      <c r="R146" s="1203">
        <v>0</v>
      </c>
      <c r="S146" s="1203">
        <v>0</v>
      </c>
    </row>
    <row r="147" spans="1:19" hidden="1" outlineLevel="1">
      <c r="A147" s="1198">
        <v>900055</v>
      </c>
      <c r="B147" s="1199" t="s">
        <v>1598</v>
      </c>
      <c r="C147" s="1211">
        <v>8</v>
      </c>
      <c r="D147" s="1212"/>
      <c r="E147" s="1212"/>
      <c r="F147" s="1212"/>
      <c r="G147" s="1212"/>
      <c r="H147" s="1212"/>
      <c r="I147" s="1211">
        <v>0</v>
      </c>
      <c r="J147" s="1202">
        <v>0</v>
      </c>
      <c r="K147" s="1203">
        <v>0</v>
      </c>
      <c r="L147" s="1203">
        <v>0</v>
      </c>
      <c r="M147" s="1203">
        <v>0</v>
      </c>
      <c r="N147" s="1203">
        <v>0</v>
      </c>
      <c r="O147" s="1203">
        <v>0</v>
      </c>
      <c r="P147" s="1203">
        <v>0</v>
      </c>
      <c r="Q147" s="1203">
        <v>0</v>
      </c>
      <c r="R147" s="1203">
        <v>0</v>
      </c>
      <c r="S147" s="1203">
        <v>0</v>
      </c>
    </row>
    <row r="148" spans="1:19" hidden="1" outlineLevel="1">
      <c r="A148" s="1198">
        <v>900056</v>
      </c>
      <c r="B148" s="1199" t="s">
        <v>1599</v>
      </c>
      <c r="C148" s="1211">
        <v>8</v>
      </c>
      <c r="D148" s="1212"/>
      <c r="E148" s="1212"/>
      <c r="F148" s="1212"/>
      <c r="G148" s="1212"/>
      <c r="H148" s="1212"/>
      <c r="I148" s="1211">
        <v>0</v>
      </c>
      <c r="J148" s="1202">
        <v>0</v>
      </c>
      <c r="K148" s="1203">
        <v>0</v>
      </c>
      <c r="L148" s="1203">
        <v>0</v>
      </c>
      <c r="M148" s="1203">
        <v>0</v>
      </c>
      <c r="N148" s="1203">
        <v>0</v>
      </c>
      <c r="O148" s="1203">
        <v>0</v>
      </c>
      <c r="P148" s="1203">
        <v>0</v>
      </c>
      <c r="Q148" s="1203">
        <v>0</v>
      </c>
      <c r="R148" s="1203">
        <v>0</v>
      </c>
      <c r="S148" s="1203">
        <v>0</v>
      </c>
    </row>
    <row r="149" spans="1:19" hidden="1" outlineLevel="1">
      <c r="A149" s="1198">
        <v>900057</v>
      </c>
      <c r="B149" s="1199" t="s">
        <v>1600</v>
      </c>
      <c r="C149" s="1211">
        <v>8</v>
      </c>
      <c r="D149" s="1212"/>
      <c r="E149" s="1212"/>
      <c r="F149" s="1212"/>
      <c r="G149" s="1212"/>
      <c r="H149" s="1212"/>
      <c r="I149" s="1211">
        <v>0</v>
      </c>
      <c r="J149" s="1202">
        <v>0</v>
      </c>
      <c r="K149" s="1203">
        <v>0</v>
      </c>
      <c r="L149" s="1203">
        <v>0</v>
      </c>
      <c r="M149" s="1203">
        <v>0</v>
      </c>
      <c r="N149" s="1203">
        <v>0</v>
      </c>
      <c r="O149" s="1203">
        <v>0</v>
      </c>
      <c r="P149" s="1203">
        <v>0</v>
      </c>
      <c r="Q149" s="1203">
        <v>0</v>
      </c>
      <c r="R149" s="1203">
        <v>0</v>
      </c>
      <c r="S149" s="1203">
        <v>0</v>
      </c>
    </row>
    <row r="150" spans="1:19" hidden="1" outlineLevel="1">
      <c r="A150" s="1198">
        <v>249247</v>
      </c>
      <c r="B150" s="1199" t="s">
        <v>1601</v>
      </c>
      <c r="C150" s="1211">
        <v>8</v>
      </c>
      <c r="D150" s="1212"/>
      <c r="E150" s="1212"/>
      <c r="F150" s="1212"/>
      <c r="G150" s="1212"/>
      <c r="H150" s="1212"/>
      <c r="I150" s="1211">
        <v>0</v>
      </c>
      <c r="J150" s="1202">
        <v>0</v>
      </c>
      <c r="K150" s="1203">
        <v>0</v>
      </c>
      <c r="L150" s="1203">
        <v>0</v>
      </c>
      <c r="M150" s="1203">
        <v>0</v>
      </c>
      <c r="N150" s="1203">
        <v>0</v>
      </c>
      <c r="O150" s="1203">
        <v>0</v>
      </c>
      <c r="P150" s="1203">
        <v>0</v>
      </c>
      <c r="Q150" s="1203">
        <v>0</v>
      </c>
      <c r="R150" s="1203">
        <v>0</v>
      </c>
      <c r="S150" s="1203">
        <v>0</v>
      </c>
    </row>
    <row r="151" spans="1:19" hidden="1" outlineLevel="1">
      <c r="A151" s="1198">
        <v>250920</v>
      </c>
      <c r="B151" s="1199" t="s">
        <v>1602</v>
      </c>
      <c r="C151" s="1211">
        <v>8</v>
      </c>
      <c r="D151" s="1212"/>
      <c r="E151" s="1212"/>
      <c r="F151" s="1212"/>
      <c r="G151" s="1212"/>
      <c r="H151" s="1212"/>
      <c r="I151" s="1211">
        <v>0</v>
      </c>
      <c r="J151" s="1202">
        <v>0</v>
      </c>
      <c r="K151" s="1203">
        <v>0</v>
      </c>
      <c r="L151" s="1203">
        <v>0</v>
      </c>
      <c r="M151" s="1203">
        <v>0</v>
      </c>
      <c r="N151" s="1203">
        <v>0</v>
      </c>
      <c r="O151" s="1203">
        <v>0</v>
      </c>
      <c r="P151" s="1203">
        <v>0</v>
      </c>
      <c r="Q151" s="1203">
        <v>0</v>
      </c>
      <c r="R151" s="1203">
        <v>0</v>
      </c>
      <c r="S151" s="1203">
        <v>0</v>
      </c>
    </row>
    <row r="152" spans="1:19" hidden="1" outlineLevel="1">
      <c r="A152" s="1198">
        <v>3543</v>
      </c>
      <c r="B152" s="1199" t="s">
        <v>1603</v>
      </c>
      <c r="C152" s="1211">
        <v>2</v>
      </c>
      <c r="D152" s="1212"/>
      <c r="E152" s="1212"/>
      <c r="F152" s="1212"/>
      <c r="G152" s="1212"/>
      <c r="H152" s="1212"/>
      <c r="I152" s="1211">
        <v>0</v>
      </c>
      <c r="J152" s="1211">
        <v>0</v>
      </c>
      <c r="K152" s="1212">
        <v>0</v>
      </c>
      <c r="L152" s="1212">
        <v>0</v>
      </c>
      <c r="M152" s="1212">
        <v>0</v>
      </c>
      <c r="N152" s="1212">
        <v>0</v>
      </c>
      <c r="O152" s="1212">
        <v>0</v>
      </c>
      <c r="P152" s="1212">
        <v>0</v>
      </c>
      <c r="Q152" s="1212">
        <v>0</v>
      </c>
      <c r="R152" s="1212">
        <v>0</v>
      </c>
      <c r="S152" s="1212">
        <v>0</v>
      </c>
    </row>
    <row r="153" spans="1:19" hidden="1" outlineLevel="1">
      <c r="A153" s="1198">
        <v>247825</v>
      </c>
      <c r="B153" s="1199" t="s">
        <v>1604</v>
      </c>
      <c r="C153" s="1211">
        <v>8</v>
      </c>
      <c r="D153" s="1212"/>
      <c r="E153" s="1212"/>
      <c r="F153" s="1212"/>
      <c r="G153" s="1212"/>
      <c r="H153" s="1212"/>
      <c r="I153" s="1211">
        <v>0</v>
      </c>
      <c r="J153" s="1202">
        <v>0</v>
      </c>
      <c r="K153" s="1203">
        <v>0</v>
      </c>
      <c r="L153" s="1203">
        <v>0</v>
      </c>
      <c r="M153" s="1203">
        <v>0</v>
      </c>
      <c r="N153" s="1203">
        <v>0</v>
      </c>
      <c r="O153" s="1203">
        <v>0</v>
      </c>
      <c r="P153" s="1203">
        <v>0</v>
      </c>
      <c r="Q153" s="1203">
        <v>0</v>
      </c>
      <c r="R153" s="1203">
        <v>0</v>
      </c>
      <c r="S153" s="1203">
        <v>0</v>
      </c>
    </row>
    <row r="154" spans="1:19" hidden="1" outlineLevel="1">
      <c r="A154" s="1198">
        <v>3478</v>
      </c>
      <c r="B154" s="1199" t="s">
        <v>1605</v>
      </c>
      <c r="C154" s="1211">
        <v>8</v>
      </c>
      <c r="D154" s="1212"/>
      <c r="E154" s="1212"/>
      <c r="F154" s="1212"/>
      <c r="G154" s="1212"/>
      <c r="H154" s="1212"/>
      <c r="I154" s="1211">
        <v>0</v>
      </c>
      <c r="J154" s="1202">
        <v>0</v>
      </c>
      <c r="K154" s="1203">
        <v>0</v>
      </c>
      <c r="L154" s="1203">
        <v>0</v>
      </c>
      <c r="M154" s="1203">
        <v>0</v>
      </c>
      <c r="N154" s="1203">
        <v>0</v>
      </c>
      <c r="O154" s="1203">
        <v>0</v>
      </c>
      <c r="P154" s="1203">
        <v>0</v>
      </c>
      <c r="Q154" s="1203">
        <v>0</v>
      </c>
      <c r="R154" s="1203">
        <v>0</v>
      </c>
      <c r="S154" s="1203">
        <v>0</v>
      </c>
    </row>
    <row r="155" spans="1:19" hidden="1" outlineLevel="1">
      <c r="A155" s="1198">
        <v>223001</v>
      </c>
      <c r="B155" s="1199" t="s">
        <v>1606</v>
      </c>
      <c r="C155" s="1211">
        <v>8</v>
      </c>
      <c r="D155" s="1212"/>
      <c r="E155" s="1212"/>
      <c r="F155" s="1212"/>
      <c r="G155" s="1212"/>
      <c r="H155" s="1212"/>
      <c r="I155" s="1211">
        <v>0</v>
      </c>
      <c r="J155" s="1202">
        <v>0</v>
      </c>
      <c r="K155" s="1203">
        <v>0</v>
      </c>
      <c r="L155" s="1203">
        <v>0</v>
      </c>
      <c r="M155" s="1203">
        <v>0</v>
      </c>
      <c r="N155" s="1203">
        <v>0</v>
      </c>
      <c r="O155" s="1203">
        <v>0</v>
      </c>
      <c r="P155" s="1203">
        <v>0</v>
      </c>
      <c r="Q155" s="1203">
        <v>0</v>
      </c>
      <c r="R155" s="1203">
        <v>0</v>
      </c>
      <c r="S155" s="1203">
        <v>0</v>
      </c>
    </row>
    <row r="156" spans="1:19" hidden="1" outlineLevel="1">
      <c r="A156" s="1198">
        <v>484</v>
      </c>
      <c r="B156" s="1199" t="s">
        <v>1607</v>
      </c>
      <c r="C156" s="1211">
        <v>5</v>
      </c>
      <c r="D156" s="1212"/>
      <c r="E156" s="1212"/>
      <c r="F156" s="1212"/>
      <c r="G156" s="1212"/>
      <c r="H156" s="1212"/>
      <c r="I156" s="1211">
        <v>0</v>
      </c>
      <c r="J156" s="1202">
        <v>0</v>
      </c>
      <c r="K156" s="1203">
        <v>0</v>
      </c>
      <c r="L156" s="1203">
        <v>0</v>
      </c>
      <c r="M156" s="1203">
        <v>0</v>
      </c>
      <c r="N156" s="1203">
        <v>0</v>
      </c>
      <c r="O156" s="1203">
        <v>0</v>
      </c>
      <c r="P156" s="1203">
        <v>0</v>
      </c>
      <c r="Q156" s="1203">
        <v>0</v>
      </c>
      <c r="R156" s="1203">
        <v>0</v>
      </c>
      <c r="S156" s="1203">
        <v>0</v>
      </c>
    </row>
    <row r="157" spans="1:19" hidden="1" outlineLevel="1">
      <c r="A157" s="1198">
        <v>223083</v>
      </c>
      <c r="B157" s="1199" t="s">
        <v>1608</v>
      </c>
      <c r="C157" s="1211">
        <v>8</v>
      </c>
      <c r="D157" s="1212"/>
      <c r="E157" s="1212"/>
      <c r="F157" s="1212"/>
      <c r="G157" s="1212"/>
      <c r="H157" s="1212"/>
      <c r="I157" s="1211">
        <v>0</v>
      </c>
      <c r="J157" s="1202">
        <v>0</v>
      </c>
      <c r="K157" s="1203">
        <v>0</v>
      </c>
      <c r="L157" s="1203">
        <v>0</v>
      </c>
      <c r="M157" s="1203">
        <v>0</v>
      </c>
      <c r="N157" s="1203">
        <v>0</v>
      </c>
      <c r="O157" s="1203">
        <v>0</v>
      </c>
      <c r="P157" s="1203">
        <v>0</v>
      </c>
      <c r="Q157" s="1203">
        <v>0</v>
      </c>
      <c r="R157" s="1203">
        <v>0</v>
      </c>
      <c r="S157" s="1203">
        <v>0</v>
      </c>
    </row>
    <row r="158" spans="1:19" hidden="1" outlineLevel="1">
      <c r="A158" s="1198">
        <v>900070</v>
      </c>
      <c r="B158" s="1199" t="s">
        <v>1609</v>
      </c>
      <c r="C158" s="1211">
        <v>8</v>
      </c>
      <c r="D158" s="1212"/>
      <c r="E158" s="1212"/>
      <c r="F158" s="1212"/>
      <c r="G158" s="1212"/>
      <c r="H158" s="1212"/>
      <c r="I158" s="1211">
        <v>0</v>
      </c>
      <c r="J158" s="1202">
        <v>0</v>
      </c>
      <c r="K158" s="1203">
        <v>0</v>
      </c>
      <c r="L158" s="1203">
        <v>0</v>
      </c>
      <c r="M158" s="1203">
        <v>0</v>
      </c>
      <c r="N158" s="1203">
        <v>0</v>
      </c>
      <c r="O158" s="1203">
        <v>0</v>
      </c>
      <c r="P158" s="1203">
        <v>0</v>
      </c>
      <c r="Q158" s="1203">
        <v>0</v>
      </c>
      <c r="R158" s="1203">
        <v>0</v>
      </c>
      <c r="S158" s="1203">
        <v>0</v>
      </c>
    </row>
    <row r="159" spans="1:19" hidden="1" outlineLevel="1">
      <c r="A159" s="1198">
        <v>23312</v>
      </c>
      <c r="B159" s="1199" t="s">
        <v>1610</v>
      </c>
      <c r="C159" s="1211">
        <v>8</v>
      </c>
      <c r="D159" s="1212"/>
      <c r="E159" s="1212"/>
      <c r="F159" s="1212"/>
      <c r="G159" s="1212"/>
      <c r="H159" s="1212"/>
      <c r="I159" s="1211">
        <v>0</v>
      </c>
      <c r="J159" s="1202">
        <v>0</v>
      </c>
      <c r="K159" s="1203">
        <v>0</v>
      </c>
      <c r="L159" s="1203">
        <v>0</v>
      </c>
      <c r="M159" s="1203">
        <v>0</v>
      </c>
      <c r="N159" s="1203">
        <v>0</v>
      </c>
      <c r="O159" s="1203">
        <v>0</v>
      </c>
      <c r="P159" s="1203">
        <v>0</v>
      </c>
      <c r="Q159" s="1203">
        <v>0</v>
      </c>
      <c r="R159" s="1203">
        <v>0</v>
      </c>
      <c r="S159" s="1203">
        <v>0</v>
      </c>
    </row>
    <row r="160" spans="1:19" hidden="1" outlineLevel="1">
      <c r="A160" s="1198">
        <v>1466</v>
      </c>
      <c r="B160" s="1199" t="s">
        <v>1611</v>
      </c>
      <c r="C160" s="1211">
        <v>8</v>
      </c>
      <c r="D160" s="1212"/>
      <c r="E160" s="1212"/>
      <c r="F160" s="1212"/>
      <c r="G160" s="1212"/>
      <c r="H160" s="1212"/>
      <c r="I160" s="1211">
        <v>0</v>
      </c>
      <c r="J160" s="1202">
        <v>0</v>
      </c>
      <c r="K160" s="1203">
        <v>0</v>
      </c>
      <c r="L160" s="1203">
        <v>0</v>
      </c>
      <c r="M160" s="1203">
        <v>0</v>
      </c>
      <c r="N160" s="1203">
        <v>0</v>
      </c>
      <c r="O160" s="1203">
        <v>0</v>
      </c>
      <c r="P160" s="1203">
        <v>0</v>
      </c>
      <c r="Q160" s="1203">
        <v>0</v>
      </c>
      <c r="R160" s="1203">
        <v>0</v>
      </c>
      <c r="S160" s="1203">
        <v>0</v>
      </c>
    </row>
    <row r="161" spans="1:19" hidden="1" outlineLevel="1">
      <c r="A161" s="1198">
        <v>407</v>
      </c>
      <c r="B161" s="1199" t="s">
        <v>1612</v>
      </c>
      <c r="C161" s="1211">
        <v>5</v>
      </c>
      <c r="D161" s="1212"/>
      <c r="E161" s="1212"/>
      <c r="F161" s="1212"/>
      <c r="G161" s="1212"/>
      <c r="H161" s="1212"/>
      <c r="I161" s="1211">
        <v>0</v>
      </c>
      <c r="J161" s="1202">
        <v>0</v>
      </c>
      <c r="K161" s="1203">
        <v>0</v>
      </c>
      <c r="L161" s="1203">
        <v>0</v>
      </c>
      <c r="M161" s="1203">
        <v>0</v>
      </c>
      <c r="N161" s="1203">
        <v>0</v>
      </c>
      <c r="O161" s="1203">
        <v>0</v>
      </c>
      <c r="P161" s="1203">
        <v>0</v>
      </c>
      <c r="Q161" s="1203">
        <v>0</v>
      </c>
      <c r="R161" s="1203">
        <v>0</v>
      </c>
      <c r="S161" s="1203">
        <v>0</v>
      </c>
    </row>
    <row r="162" spans="1:19" hidden="1" outlineLevel="1">
      <c r="A162" s="1198">
        <v>4949</v>
      </c>
      <c r="B162" s="1199" t="s">
        <v>1613</v>
      </c>
      <c r="C162" s="1211">
        <v>5</v>
      </c>
      <c r="D162" s="1212"/>
      <c r="E162" s="1212"/>
      <c r="F162" s="1212"/>
      <c r="G162" s="1212"/>
      <c r="H162" s="1212"/>
      <c r="I162" s="1211">
        <v>0</v>
      </c>
      <c r="J162" s="1202">
        <v>0</v>
      </c>
      <c r="K162" s="1203">
        <v>0</v>
      </c>
      <c r="L162" s="1203">
        <v>0</v>
      </c>
      <c r="M162" s="1203">
        <v>0</v>
      </c>
      <c r="N162" s="1203">
        <v>0</v>
      </c>
      <c r="O162" s="1203">
        <v>0</v>
      </c>
      <c r="P162" s="1203">
        <v>0</v>
      </c>
      <c r="Q162" s="1203">
        <v>0</v>
      </c>
      <c r="R162" s="1203">
        <v>0</v>
      </c>
      <c r="S162" s="1203">
        <v>0</v>
      </c>
    </row>
    <row r="163" spans="1:19" hidden="1" outlineLevel="1">
      <c r="A163" s="1198">
        <v>104949</v>
      </c>
      <c r="B163" s="1199" t="s">
        <v>1614</v>
      </c>
      <c r="C163" s="1211">
        <v>5</v>
      </c>
      <c r="D163" s="1212"/>
      <c r="E163" s="1212"/>
      <c r="F163" s="1212"/>
      <c r="G163" s="1212"/>
      <c r="H163" s="1212"/>
      <c r="I163" s="1211">
        <v>0</v>
      </c>
      <c r="J163" s="1202">
        <v>0</v>
      </c>
      <c r="K163" s="1203">
        <v>0</v>
      </c>
      <c r="L163" s="1203">
        <v>0</v>
      </c>
      <c r="M163" s="1203">
        <v>0</v>
      </c>
      <c r="N163" s="1203">
        <v>0</v>
      </c>
      <c r="O163" s="1203">
        <v>0</v>
      </c>
      <c r="P163" s="1203">
        <v>0</v>
      </c>
      <c r="Q163" s="1203">
        <v>0</v>
      </c>
      <c r="R163" s="1203">
        <v>0</v>
      </c>
      <c r="S163" s="1203">
        <v>0</v>
      </c>
    </row>
    <row r="164" spans="1:19" hidden="1" outlineLevel="1">
      <c r="A164" s="1198">
        <v>41</v>
      </c>
      <c r="B164" s="1199" t="s">
        <v>1615</v>
      </c>
      <c r="C164" s="1211">
        <v>5</v>
      </c>
      <c r="D164" s="1212"/>
      <c r="E164" s="1212"/>
      <c r="F164" s="1212"/>
      <c r="G164" s="1212"/>
      <c r="H164" s="1212"/>
      <c r="I164" s="1211">
        <v>0</v>
      </c>
      <c r="J164" s="1202">
        <v>0</v>
      </c>
      <c r="K164" s="1203">
        <v>0</v>
      </c>
      <c r="L164" s="1203">
        <v>0</v>
      </c>
      <c r="M164" s="1203">
        <v>0</v>
      </c>
      <c r="N164" s="1203">
        <v>0</v>
      </c>
      <c r="O164" s="1203">
        <v>0</v>
      </c>
      <c r="P164" s="1203">
        <v>0</v>
      </c>
      <c r="Q164" s="1203">
        <v>0</v>
      </c>
      <c r="R164" s="1203">
        <v>0</v>
      </c>
      <c r="S164" s="1203">
        <v>0</v>
      </c>
    </row>
    <row r="165" spans="1:19" hidden="1" outlineLevel="1">
      <c r="A165" s="1198">
        <v>100967</v>
      </c>
      <c r="B165" s="1199" t="s">
        <v>1616</v>
      </c>
      <c r="C165" s="1211">
        <v>5</v>
      </c>
      <c r="D165" s="1212"/>
      <c r="E165" s="1212"/>
      <c r="F165" s="1212"/>
      <c r="G165" s="1212"/>
      <c r="H165" s="1212"/>
      <c r="I165" s="1211">
        <v>0</v>
      </c>
      <c r="J165" s="1202">
        <v>0</v>
      </c>
      <c r="K165" s="1203">
        <v>0</v>
      </c>
      <c r="L165" s="1203">
        <v>0</v>
      </c>
      <c r="M165" s="1203">
        <v>0</v>
      </c>
      <c r="N165" s="1203">
        <v>0</v>
      </c>
      <c r="O165" s="1203">
        <v>0</v>
      </c>
      <c r="P165" s="1203">
        <v>0</v>
      </c>
      <c r="Q165" s="1203">
        <v>0</v>
      </c>
      <c r="R165" s="1203">
        <v>0</v>
      </c>
      <c r="S165" s="1203">
        <v>0</v>
      </c>
    </row>
    <row r="166" spans="1:19" hidden="1" outlineLevel="1">
      <c r="A166" s="1198">
        <v>451</v>
      </c>
      <c r="B166" s="1199" t="s">
        <v>1617</v>
      </c>
      <c r="C166" s="1211">
        <v>5</v>
      </c>
      <c r="D166" s="1212"/>
      <c r="E166" s="1212"/>
      <c r="F166" s="1212"/>
      <c r="G166" s="1212"/>
      <c r="H166" s="1212"/>
      <c r="I166" s="1211">
        <v>0</v>
      </c>
      <c r="J166" s="1202">
        <v>0</v>
      </c>
      <c r="K166" s="1203">
        <v>0</v>
      </c>
      <c r="L166" s="1203">
        <v>0</v>
      </c>
      <c r="M166" s="1203">
        <v>0</v>
      </c>
      <c r="N166" s="1203">
        <v>0</v>
      </c>
      <c r="O166" s="1203">
        <v>0</v>
      </c>
      <c r="P166" s="1203">
        <v>0</v>
      </c>
      <c r="Q166" s="1203">
        <v>0</v>
      </c>
      <c r="R166" s="1203">
        <v>0</v>
      </c>
      <c r="S166" s="1203">
        <v>0</v>
      </c>
    </row>
    <row r="167" spans="1:19" hidden="1" outlineLevel="1">
      <c r="A167" s="1198">
        <v>3545</v>
      </c>
      <c r="B167" s="1199" t="s">
        <v>1618</v>
      </c>
      <c r="C167" s="1211">
        <v>2</v>
      </c>
      <c r="D167" s="1212"/>
      <c r="E167" s="1212"/>
      <c r="F167" s="1212"/>
      <c r="G167" s="1212"/>
      <c r="H167" s="1212"/>
      <c r="I167" s="1211">
        <v>0</v>
      </c>
      <c r="J167" s="1211">
        <v>0</v>
      </c>
      <c r="K167" s="1212">
        <v>0</v>
      </c>
      <c r="L167" s="1212">
        <v>0</v>
      </c>
      <c r="M167" s="1212">
        <v>0</v>
      </c>
      <c r="N167" s="1212">
        <v>0</v>
      </c>
      <c r="O167" s="1212">
        <v>0</v>
      </c>
      <c r="P167" s="1212">
        <v>0</v>
      </c>
      <c r="Q167" s="1212">
        <v>0</v>
      </c>
      <c r="R167" s="1212">
        <v>0</v>
      </c>
      <c r="S167" s="1212">
        <v>0</v>
      </c>
    </row>
    <row r="168" spans="1:19" hidden="1" outlineLevel="1">
      <c r="A168" s="1198">
        <v>2397</v>
      </c>
      <c r="B168" s="1199" t="s">
        <v>1619</v>
      </c>
      <c r="C168" s="1211">
        <v>8</v>
      </c>
      <c r="D168" s="1212"/>
      <c r="E168" s="1212"/>
      <c r="F168" s="1212"/>
      <c r="G168" s="1212"/>
      <c r="H168" s="1212"/>
      <c r="I168" s="1211">
        <v>0</v>
      </c>
      <c r="J168" s="1202">
        <v>0</v>
      </c>
      <c r="K168" s="1203">
        <v>0</v>
      </c>
      <c r="L168" s="1203">
        <v>0</v>
      </c>
      <c r="M168" s="1203">
        <v>0</v>
      </c>
      <c r="N168" s="1203">
        <v>0</v>
      </c>
      <c r="O168" s="1203">
        <v>0</v>
      </c>
      <c r="P168" s="1203">
        <v>0</v>
      </c>
      <c r="Q168" s="1203">
        <v>0</v>
      </c>
      <c r="R168" s="1203">
        <v>0</v>
      </c>
      <c r="S168" s="1203">
        <v>0</v>
      </c>
    </row>
    <row r="169" spans="1:19" hidden="1" outlineLevel="1">
      <c r="A169" s="1198">
        <v>1767</v>
      </c>
      <c r="B169" s="1199" t="s">
        <v>1620</v>
      </c>
      <c r="C169" s="1211">
        <v>8</v>
      </c>
      <c r="D169" s="1212"/>
      <c r="E169" s="1212"/>
      <c r="F169" s="1212"/>
      <c r="G169" s="1212"/>
      <c r="H169" s="1212"/>
      <c r="I169" s="1211">
        <v>0</v>
      </c>
      <c r="J169" s="1202">
        <v>0</v>
      </c>
      <c r="K169" s="1203">
        <v>0</v>
      </c>
      <c r="L169" s="1203">
        <v>0</v>
      </c>
      <c r="M169" s="1203">
        <v>0</v>
      </c>
      <c r="N169" s="1203">
        <v>0</v>
      </c>
      <c r="O169" s="1203">
        <v>0</v>
      </c>
      <c r="P169" s="1203">
        <v>0</v>
      </c>
      <c r="Q169" s="1203">
        <v>0</v>
      </c>
      <c r="R169" s="1203">
        <v>0</v>
      </c>
      <c r="S169" s="1203">
        <v>0</v>
      </c>
    </row>
    <row r="170" spans="1:19" hidden="1" outlineLevel="1">
      <c r="A170" s="1198">
        <v>450</v>
      </c>
      <c r="B170" s="1199" t="s">
        <v>1621</v>
      </c>
      <c r="C170" s="1211">
        <v>5</v>
      </c>
      <c r="D170" s="1212"/>
      <c r="E170" s="1212"/>
      <c r="F170" s="1212"/>
      <c r="G170" s="1212"/>
      <c r="H170" s="1212"/>
      <c r="I170" s="1211">
        <v>0</v>
      </c>
      <c r="J170" s="1202">
        <v>0</v>
      </c>
      <c r="K170" s="1203">
        <v>0</v>
      </c>
      <c r="L170" s="1203">
        <v>0</v>
      </c>
      <c r="M170" s="1203">
        <v>0</v>
      </c>
      <c r="N170" s="1203">
        <v>0</v>
      </c>
      <c r="O170" s="1203">
        <v>0</v>
      </c>
      <c r="P170" s="1203">
        <v>0</v>
      </c>
      <c r="Q170" s="1203">
        <v>0</v>
      </c>
      <c r="R170" s="1203">
        <v>0</v>
      </c>
      <c r="S170" s="1203">
        <v>0</v>
      </c>
    </row>
    <row r="171" spans="1:19" hidden="1" outlineLevel="1">
      <c r="A171" s="1198">
        <v>41618</v>
      </c>
      <c r="B171" s="1199" t="s">
        <v>1622</v>
      </c>
      <c r="C171" s="1211">
        <v>8</v>
      </c>
      <c r="D171" s="1212"/>
      <c r="E171" s="1212"/>
      <c r="F171" s="1212"/>
      <c r="G171" s="1212"/>
      <c r="H171" s="1212"/>
      <c r="I171" s="1211">
        <v>0</v>
      </c>
      <c r="J171" s="1202">
        <v>0</v>
      </c>
      <c r="K171" s="1203">
        <v>0</v>
      </c>
      <c r="L171" s="1203">
        <v>0</v>
      </c>
      <c r="M171" s="1203">
        <v>0</v>
      </c>
      <c r="N171" s="1203">
        <v>0</v>
      </c>
      <c r="O171" s="1203">
        <v>0</v>
      </c>
      <c r="P171" s="1203">
        <v>0</v>
      </c>
      <c r="Q171" s="1203">
        <v>0</v>
      </c>
      <c r="R171" s="1203">
        <v>0</v>
      </c>
      <c r="S171" s="1203">
        <v>0</v>
      </c>
    </row>
    <row r="172" spans="1:19" hidden="1" outlineLevel="1">
      <c r="A172" s="1198">
        <v>445160</v>
      </c>
      <c r="B172" s="1199" t="s">
        <v>1623</v>
      </c>
      <c r="C172" s="1211">
        <v>8</v>
      </c>
      <c r="D172" s="1212"/>
      <c r="E172" s="1212"/>
      <c r="F172" s="1212"/>
      <c r="G172" s="1212"/>
      <c r="H172" s="1212"/>
      <c r="I172" s="1211">
        <v>0</v>
      </c>
      <c r="J172" s="1202">
        <v>0</v>
      </c>
      <c r="K172" s="1203">
        <v>0</v>
      </c>
      <c r="L172" s="1203">
        <v>0</v>
      </c>
      <c r="M172" s="1203">
        <v>0</v>
      </c>
      <c r="N172" s="1203">
        <v>0</v>
      </c>
      <c r="O172" s="1203">
        <v>0</v>
      </c>
      <c r="P172" s="1203">
        <v>0</v>
      </c>
      <c r="Q172" s="1203">
        <v>0</v>
      </c>
      <c r="R172" s="1203">
        <v>0</v>
      </c>
      <c r="S172" s="1203">
        <v>0</v>
      </c>
    </row>
    <row r="173" spans="1:19" hidden="1" outlineLevel="1">
      <c r="A173" s="1198">
        <v>445179</v>
      </c>
      <c r="B173" s="1199" t="s">
        <v>1624</v>
      </c>
      <c r="C173" s="1211">
        <v>8</v>
      </c>
      <c r="D173" s="1212"/>
      <c r="E173" s="1212"/>
      <c r="F173" s="1212"/>
      <c r="G173" s="1212"/>
      <c r="H173" s="1212"/>
      <c r="I173" s="1211">
        <v>0</v>
      </c>
      <c r="J173" s="1202">
        <v>0</v>
      </c>
      <c r="K173" s="1203">
        <v>0</v>
      </c>
      <c r="L173" s="1203">
        <v>0</v>
      </c>
      <c r="M173" s="1203">
        <v>0</v>
      </c>
      <c r="N173" s="1203">
        <v>0</v>
      </c>
      <c r="O173" s="1203">
        <v>0</v>
      </c>
      <c r="P173" s="1203">
        <v>0</v>
      </c>
      <c r="Q173" s="1203">
        <v>0</v>
      </c>
      <c r="R173" s="1203">
        <v>0</v>
      </c>
      <c r="S173" s="1203">
        <v>0</v>
      </c>
    </row>
    <row r="174" spans="1:19" hidden="1" outlineLevel="1">
      <c r="A174" s="1198">
        <v>460613</v>
      </c>
      <c r="B174" s="1199" t="s">
        <v>1625</v>
      </c>
      <c r="C174" s="1211">
        <v>8</v>
      </c>
      <c r="D174" s="1212"/>
      <c r="E174" s="1212"/>
      <c r="F174" s="1212"/>
      <c r="G174" s="1212"/>
      <c r="H174" s="1212"/>
      <c r="I174" s="1211">
        <v>0</v>
      </c>
      <c r="J174" s="1202">
        <v>0</v>
      </c>
      <c r="K174" s="1203">
        <v>0</v>
      </c>
      <c r="L174" s="1203">
        <v>0</v>
      </c>
      <c r="M174" s="1203">
        <v>0</v>
      </c>
      <c r="N174" s="1203">
        <v>0</v>
      </c>
      <c r="O174" s="1203">
        <v>0</v>
      </c>
      <c r="P174" s="1203">
        <v>0</v>
      </c>
      <c r="Q174" s="1203">
        <v>0</v>
      </c>
      <c r="R174" s="1203">
        <v>0</v>
      </c>
      <c r="S174" s="1203">
        <v>0</v>
      </c>
    </row>
    <row r="175" spans="1:19" hidden="1" outlineLevel="1">
      <c r="A175" s="1198">
        <v>32673</v>
      </c>
      <c r="B175" s="1199" t="s">
        <v>1626</v>
      </c>
      <c r="C175" s="1211">
        <v>8</v>
      </c>
      <c r="D175" s="1212"/>
      <c r="E175" s="1212"/>
      <c r="F175" s="1212"/>
      <c r="G175" s="1212"/>
      <c r="H175" s="1212"/>
      <c r="I175" s="1211">
        <v>0</v>
      </c>
      <c r="J175" s="1202">
        <v>0</v>
      </c>
      <c r="K175" s="1203">
        <v>0</v>
      </c>
      <c r="L175" s="1203">
        <v>0</v>
      </c>
      <c r="M175" s="1203">
        <v>0</v>
      </c>
      <c r="N175" s="1203">
        <v>0</v>
      </c>
      <c r="O175" s="1203">
        <v>0</v>
      </c>
      <c r="P175" s="1203">
        <v>0</v>
      </c>
      <c r="Q175" s="1203">
        <v>0</v>
      </c>
      <c r="R175" s="1203">
        <v>0</v>
      </c>
      <c r="S175" s="1203">
        <v>0</v>
      </c>
    </row>
    <row r="176" spans="1:19" hidden="1" outlineLevel="1">
      <c r="A176" s="1198">
        <v>223667</v>
      </c>
      <c r="B176" s="1199" t="s">
        <v>1627</v>
      </c>
      <c r="C176" s="1211">
        <v>8</v>
      </c>
      <c r="D176" s="1212"/>
      <c r="E176" s="1212"/>
      <c r="F176" s="1212"/>
      <c r="G176" s="1212"/>
      <c r="H176" s="1212"/>
      <c r="I176" s="1211">
        <v>0</v>
      </c>
      <c r="J176" s="1202">
        <v>0</v>
      </c>
      <c r="K176" s="1203">
        <v>0</v>
      </c>
      <c r="L176" s="1203">
        <v>0</v>
      </c>
      <c r="M176" s="1203">
        <v>0</v>
      </c>
      <c r="N176" s="1203">
        <v>0</v>
      </c>
      <c r="O176" s="1203">
        <v>0</v>
      </c>
      <c r="P176" s="1203">
        <v>0</v>
      </c>
      <c r="Q176" s="1203">
        <v>0</v>
      </c>
      <c r="R176" s="1203">
        <v>0</v>
      </c>
      <c r="S176" s="1203">
        <v>0</v>
      </c>
    </row>
    <row r="177" spans="1:19" hidden="1" outlineLevel="1">
      <c r="A177" s="1198">
        <v>224439</v>
      </c>
      <c r="B177" s="1199" t="s">
        <v>1628</v>
      </c>
      <c r="C177" s="1211">
        <v>8</v>
      </c>
      <c r="D177" s="1212"/>
      <c r="E177" s="1212"/>
      <c r="F177" s="1212"/>
      <c r="G177" s="1212"/>
      <c r="H177" s="1212"/>
      <c r="I177" s="1211">
        <v>0</v>
      </c>
      <c r="J177" s="1202">
        <v>0</v>
      </c>
      <c r="K177" s="1203">
        <v>0</v>
      </c>
      <c r="L177" s="1203">
        <v>0</v>
      </c>
      <c r="M177" s="1203">
        <v>0</v>
      </c>
      <c r="N177" s="1203">
        <v>0</v>
      </c>
      <c r="O177" s="1203">
        <v>0</v>
      </c>
      <c r="P177" s="1203">
        <v>0</v>
      </c>
      <c r="Q177" s="1203">
        <v>0</v>
      </c>
      <c r="R177" s="1203">
        <v>0</v>
      </c>
      <c r="S177" s="1203">
        <v>0</v>
      </c>
    </row>
    <row r="178" spans="1:19" hidden="1" outlineLevel="1">
      <c r="A178" s="1198">
        <v>468574</v>
      </c>
      <c r="B178" s="1199" t="s">
        <v>1629</v>
      </c>
      <c r="C178" s="1211">
        <v>8</v>
      </c>
      <c r="D178" s="1212"/>
      <c r="E178" s="1212"/>
      <c r="F178" s="1212"/>
      <c r="G178" s="1212"/>
      <c r="H178" s="1212"/>
      <c r="I178" s="1211">
        <v>0</v>
      </c>
      <c r="J178" s="1202">
        <v>0</v>
      </c>
      <c r="K178" s="1203">
        <v>0</v>
      </c>
      <c r="L178" s="1203">
        <v>0</v>
      </c>
      <c r="M178" s="1203">
        <v>0</v>
      </c>
      <c r="N178" s="1203">
        <v>0</v>
      </c>
      <c r="O178" s="1203">
        <v>0</v>
      </c>
      <c r="P178" s="1203">
        <v>0</v>
      </c>
      <c r="Q178" s="1203">
        <v>0</v>
      </c>
      <c r="R178" s="1203">
        <v>0</v>
      </c>
      <c r="S178" s="1203">
        <v>0</v>
      </c>
    </row>
    <row r="179" spans="1:19" hidden="1" outlineLevel="1">
      <c r="A179" s="1198">
        <v>3024</v>
      </c>
      <c r="B179" s="1199" t="s">
        <v>1630</v>
      </c>
      <c r="C179" s="1211">
        <v>8</v>
      </c>
      <c r="D179" s="1212"/>
      <c r="E179" s="1212"/>
      <c r="F179" s="1212"/>
      <c r="G179" s="1212"/>
      <c r="H179" s="1212"/>
      <c r="I179" s="1211">
        <v>0</v>
      </c>
      <c r="J179" s="1202">
        <v>0</v>
      </c>
      <c r="K179" s="1203">
        <v>0</v>
      </c>
      <c r="L179" s="1203">
        <v>0</v>
      </c>
      <c r="M179" s="1203">
        <v>0</v>
      </c>
      <c r="N179" s="1203">
        <v>0</v>
      </c>
      <c r="O179" s="1203">
        <v>0</v>
      </c>
      <c r="P179" s="1203">
        <v>0</v>
      </c>
      <c r="Q179" s="1203">
        <v>0</v>
      </c>
      <c r="R179" s="1203">
        <v>0</v>
      </c>
      <c r="S179" s="1203">
        <v>0</v>
      </c>
    </row>
    <row r="180" spans="1:19" hidden="1" outlineLevel="1">
      <c r="A180" s="1198">
        <v>6385</v>
      </c>
      <c r="B180" s="1199" t="s">
        <v>1631</v>
      </c>
      <c r="C180" s="1211">
        <v>8</v>
      </c>
      <c r="D180" s="1212"/>
      <c r="E180" s="1212"/>
      <c r="F180" s="1212"/>
      <c r="G180" s="1212"/>
      <c r="H180" s="1212"/>
      <c r="I180" s="1211">
        <v>0</v>
      </c>
      <c r="J180" s="1202">
        <v>0</v>
      </c>
      <c r="K180" s="1203">
        <v>0</v>
      </c>
      <c r="L180" s="1203">
        <v>0</v>
      </c>
      <c r="M180" s="1203">
        <v>0</v>
      </c>
      <c r="N180" s="1203">
        <v>0</v>
      </c>
      <c r="O180" s="1203">
        <v>0</v>
      </c>
      <c r="P180" s="1203">
        <v>0</v>
      </c>
      <c r="Q180" s="1203">
        <v>0</v>
      </c>
      <c r="R180" s="1203">
        <v>0</v>
      </c>
      <c r="S180" s="1203">
        <v>0</v>
      </c>
    </row>
    <row r="181" spans="1:19" hidden="1" outlineLevel="1">
      <c r="A181" s="1198">
        <v>454</v>
      </c>
      <c r="B181" s="1199" t="s">
        <v>1632</v>
      </c>
      <c r="C181" s="1211">
        <v>5</v>
      </c>
      <c r="D181" s="1212"/>
      <c r="E181" s="1212"/>
      <c r="F181" s="1212"/>
      <c r="G181" s="1212"/>
      <c r="H181" s="1212"/>
      <c r="I181" s="1211">
        <v>0</v>
      </c>
      <c r="J181" s="1202">
        <v>0</v>
      </c>
      <c r="K181" s="1203">
        <v>0</v>
      </c>
      <c r="L181" s="1203">
        <v>0</v>
      </c>
      <c r="M181" s="1203">
        <v>0</v>
      </c>
      <c r="N181" s="1203">
        <v>0</v>
      </c>
      <c r="O181" s="1203">
        <v>0</v>
      </c>
      <c r="P181" s="1203">
        <v>0</v>
      </c>
      <c r="Q181" s="1203">
        <v>0</v>
      </c>
      <c r="R181" s="1203">
        <v>0</v>
      </c>
      <c r="S181" s="1203">
        <v>0</v>
      </c>
    </row>
    <row r="182" spans="1:19" hidden="1" outlineLevel="1">
      <c r="A182" s="1198">
        <v>3556</v>
      </c>
      <c r="B182" s="1199" t="s">
        <v>1633</v>
      </c>
      <c r="C182" s="1211">
        <v>8</v>
      </c>
      <c r="D182" s="1212"/>
      <c r="E182" s="1212"/>
      <c r="F182" s="1212"/>
      <c r="G182" s="1212"/>
      <c r="H182" s="1212"/>
      <c r="I182" s="1211">
        <v>0</v>
      </c>
      <c r="J182" s="1202">
        <v>0</v>
      </c>
      <c r="K182" s="1203">
        <v>0</v>
      </c>
      <c r="L182" s="1203">
        <v>0</v>
      </c>
      <c r="M182" s="1203">
        <v>0</v>
      </c>
      <c r="N182" s="1203">
        <v>0</v>
      </c>
      <c r="O182" s="1203">
        <v>0</v>
      </c>
      <c r="P182" s="1203">
        <v>0</v>
      </c>
      <c r="Q182" s="1203">
        <v>0</v>
      </c>
      <c r="R182" s="1203">
        <v>0</v>
      </c>
      <c r="S182" s="1203">
        <v>0</v>
      </c>
    </row>
    <row r="183" spans="1:19" hidden="1" outlineLevel="1">
      <c r="A183" s="1198">
        <v>388520</v>
      </c>
      <c r="B183" s="1199" t="s">
        <v>1634</v>
      </c>
      <c r="C183" s="1211">
        <v>8</v>
      </c>
      <c r="D183" s="1212"/>
      <c r="E183" s="1212"/>
      <c r="F183" s="1212"/>
      <c r="G183" s="1212"/>
      <c r="H183" s="1212"/>
      <c r="I183" s="1211">
        <v>0</v>
      </c>
      <c r="J183" s="1202">
        <v>0</v>
      </c>
      <c r="K183" s="1203">
        <v>0</v>
      </c>
      <c r="L183" s="1203">
        <v>0</v>
      </c>
      <c r="M183" s="1203">
        <v>0</v>
      </c>
      <c r="N183" s="1203">
        <v>0</v>
      </c>
      <c r="O183" s="1203">
        <v>0</v>
      </c>
      <c r="P183" s="1203">
        <v>0</v>
      </c>
      <c r="Q183" s="1203">
        <v>0</v>
      </c>
      <c r="R183" s="1203">
        <v>0</v>
      </c>
      <c r="S183" s="1203">
        <v>0</v>
      </c>
    </row>
    <row r="184" spans="1:19" hidden="1" outlineLevel="1">
      <c r="A184" s="1198">
        <v>460181</v>
      </c>
      <c r="B184" s="1199" t="s">
        <v>1635</v>
      </c>
      <c r="C184" s="1211">
        <v>8</v>
      </c>
      <c r="D184" s="1212"/>
      <c r="E184" s="1212"/>
      <c r="F184" s="1212"/>
      <c r="G184" s="1212"/>
      <c r="H184" s="1212"/>
      <c r="I184" s="1211">
        <v>0</v>
      </c>
      <c r="J184" s="1202">
        <v>0</v>
      </c>
      <c r="K184" s="1203">
        <v>0</v>
      </c>
      <c r="L184" s="1203">
        <v>0</v>
      </c>
      <c r="M184" s="1203">
        <v>0</v>
      </c>
      <c r="N184" s="1203">
        <v>0</v>
      </c>
      <c r="O184" s="1203">
        <v>0</v>
      </c>
      <c r="P184" s="1203">
        <v>0</v>
      </c>
      <c r="Q184" s="1203">
        <v>0</v>
      </c>
      <c r="R184" s="1203">
        <v>0</v>
      </c>
      <c r="S184" s="1203">
        <v>0</v>
      </c>
    </row>
    <row r="185" spans="1:19" hidden="1" outlineLevel="1">
      <c r="A185" s="1198">
        <v>460206</v>
      </c>
      <c r="B185" s="1199" t="s">
        <v>1636</v>
      </c>
      <c r="C185" s="1211">
        <v>8</v>
      </c>
      <c r="D185" s="1212"/>
      <c r="E185" s="1212"/>
      <c r="F185" s="1212"/>
      <c r="G185" s="1212"/>
      <c r="H185" s="1212"/>
      <c r="I185" s="1211">
        <v>0</v>
      </c>
      <c r="J185" s="1202">
        <v>0</v>
      </c>
      <c r="K185" s="1203">
        <v>0</v>
      </c>
      <c r="L185" s="1203">
        <v>0</v>
      </c>
      <c r="M185" s="1203">
        <v>0</v>
      </c>
      <c r="N185" s="1203">
        <v>0</v>
      </c>
      <c r="O185" s="1203">
        <v>0</v>
      </c>
      <c r="P185" s="1203">
        <v>0</v>
      </c>
      <c r="Q185" s="1203">
        <v>0</v>
      </c>
      <c r="R185" s="1203">
        <v>0</v>
      </c>
      <c r="S185" s="1203">
        <v>0</v>
      </c>
    </row>
    <row r="186" spans="1:19" hidden="1" outlineLevel="1">
      <c r="A186" s="1198">
        <v>441742</v>
      </c>
      <c r="B186" s="1199" t="s">
        <v>1637</v>
      </c>
      <c r="C186" s="1211">
        <v>8</v>
      </c>
      <c r="D186" s="1212"/>
      <c r="E186" s="1212"/>
      <c r="F186" s="1212"/>
      <c r="G186" s="1212"/>
      <c r="H186" s="1212"/>
      <c r="I186" s="1211">
        <v>0</v>
      </c>
      <c r="J186" s="1202">
        <v>0</v>
      </c>
      <c r="K186" s="1203">
        <v>0</v>
      </c>
      <c r="L186" s="1203">
        <v>0</v>
      </c>
      <c r="M186" s="1203">
        <v>0</v>
      </c>
      <c r="N186" s="1203">
        <v>0</v>
      </c>
      <c r="O186" s="1203">
        <v>0</v>
      </c>
      <c r="P186" s="1203">
        <v>0</v>
      </c>
      <c r="Q186" s="1203">
        <v>0</v>
      </c>
      <c r="R186" s="1203">
        <v>0</v>
      </c>
      <c r="S186" s="1203">
        <v>0</v>
      </c>
    </row>
    <row r="187" spans="1:19" hidden="1" outlineLevel="1">
      <c r="A187" s="1198">
        <v>3557</v>
      </c>
      <c r="B187" s="1199" t="s">
        <v>1638</v>
      </c>
      <c r="C187" s="1211">
        <v>2</v>
      </c>
      <c r="D187" s="1212"/>
      <c r="E187" s="1212"/>
      <c r="F187" s="1212"/>
      <c r="G187" s="1212"/>
      <c r="H187" s="1212"/>
      <c r="I187" s="1211">
        <v>0</v>
      </c>
      <c r="J187" s="1211">
        <v>0</v>
      </c>
      <c r="K187" s="1212">
        <v>0</v>
      </c>
      <c r="L187" s="1212">
        <v>0</v>
      </c>
      <c r="M187" s="1212">
        <v>0</v>
      </c>
      <c r="N187" s="1212">
        <v>0</v>
      </c>
      <c r="O187" s="1212">
        <v>0</v>
      </c>
      <c r="P187" s="1212">
        <v>0</v>
      </c>
      <c r="Q187" s="1212">
        <v>0</v>
      </c>
      <c r="R187" s="1212">
        <v>0</v>
      </c>
      <c r="S187" s="1212">
        <v>0</v>
      </c>
    </row>
    <row r="188" spans="1:19" hidden="1" outlineLevel="1">
      <c r="A188" s="1198">
        <v>456</v>
      </c>
      <c r="B188" s="1199" t="s">
        <v>1639</v>
      </c>
      <c r="C188" s="1211">
        <v>5</v>
      </c>
      <c r="D188" s="1212"/>
      <c r="E188" s="1212"/>
      <c r="F188" s="1212"/>
      <c r="G188" s="1212"/>
      <c r="H188" s="1212"/>
      <c r="I188" s="1211">
        <v>0</v>
      </c>
      <c r="J188" s="1202">
        <v>0</v>
      </c>
      <c r="K188" s="1203">
        <v>0</v>
      </c>
      <c r="L188" s="1203">
        <v>0</v>
      </c>
      <c r="M188" s="1203">
        <v>0</v>
      </c>
      <c r="N188" s="1203">
        <v>0</v>
      </c>
      <c r="O188" s="1203">
        <v>0</v>
      </c>
      <c r="P188" s="1203">
        <v>0</v>
      </c>
      <c r="Q188" s="1203">
        <v>0</v>
      </c>
      <c r="R188" s="1203">
        <v>0</v>
      </c>
      <c r="S188" s="1203">
        <v>0</v>
      </c>
    </row>
    <row r="189" spans="1:19" hidden="1" outlineLevel="1">
      <c r="A189" s="1198">
        <v>22209</v>
      </c>
      <c r="B189" s="1199" t="s">
        <v>1640</v>
      </c>
      <c r="C189" s="1211">
        <v>8</v>
      </c>
      <c r="D189" s="1212"/>
      <c r="E189" s="1212"/>
      <c r="F189" s="1212"/>
      <c r="G189" s="1212"/>
      <c r="H189" s="1212"/>
      <c r="I189" s="1211">
        <v>0</v>
      </c>
      <c r="J189" s="1202">
        <v>0</v>
      </c>
      <c r="K189" s="1203">
        <v>0</v>
      </c>
      <c r="L189" s="1203">
        <v>0</v>
      </c>
      <c r="M189" s="1203">
        <v>0</v>
      </c>
      <c r="N189" s="1203">
        <v>0</v>
      </c>
      <c r="O189" s="1203">
        <v>0</v>
      </c>
      <c r="P189" s="1203">
        <v>0</v>
      </c>
      <c r="Q189" s="1203">
        <v>0</v>
      </c>
      <c r="R189" s="1203">
        <v>0</v>
      </c>
      <c r="S189" s="1203">
        <v>0</v>
      </c>
    </row>
    <row r="190" spans="1:19" hidden="1" outlineLevel="1">
      <c r="A190" s="1198">
        <v>21193</v>
      </c>
      <c r="B190" s="1199" t="s">
        <v>1641</v>
      </c>
      <c r="C190" s="1211">
        <v>8</v>
      </c>
      <c r="D190" s="1212"/>
      <c r="E190" s="1212"/>
      <c r="F190" s="1212"/>
      <c r="G190" s="1212"/>
      <c r="H190" s="1212"/>
      <c r="I190" s="1211">
        <v>0</v>
      </c>
      <c r="J190" s="1202">
        <v>0</v>
      </c>
      <c r="K190" s="1203">
        <v>0</v>
      </c>
      <c r="L190" s="1203">
        <v>0</v>
      </c>
      <c r="M190" s="1203">
        <v>0</v>
      </c>
      <c r="N190" s="1203">
        <v>0</v>
      </c>
      <c r="O190" s="1203">
        <v>0</v>
      </c>
      <c r="P190" s="1203">
        <v>0</v>
      </c>
      <c r="Q190" s="1203">
        <v>0</v>
      </c>
      <c r="R190" s="1203">
        <v>0</v>
      </c>
      <c r="S190" s="1203">
        <v>0</v>
      </c>
    </row>
    <row r="191" spans="1:19" hidden="1" outlineLevel="1">
      <c r="A191" s="1198">
        <v>224183</v>
      </c>
      <c r="B191" s="1199" t="s">
        <v>1642</v>
      </c>
      <c r="C191" s="1211">
        <v>8</v>
      </c>
      <c r="D191" s="1212"/>
      <c r="E191" s="1212"/>
      <c r="F191" s="1212"/>
      <c r="G191" s="1212"/>
      <c r="H191" s="1212"/>
      <c r="I191" s="1211">
        <v>0</v>
      </c>
      <c r="J191" s="1202">
        <v>0</v>
      </c>
      <c r="K191" s="1203">
        <v>0</v>
      </c>
      <c r="L191" s="1203">
        <v>0</v>
      </c>
      <c r="M191" s="1203">
        <v>0</v>
      </c>
      <c r="N191" s="1203">
        <v>0</v>
      </c>
      <c r="O191" s="1203">
        <v>0</v>
      </c>
      <c r="P191" s="1203">
        <v>0</v>
      </c>
      <c r="Q191" s="1203">
        <v>0</v>
      </c>
      <c r="R191" s="1203">
        <v>0</v>
      </c>
      <c r="S191" s="1203">
        <v>0</v>
      </c>
    </row>
    <row r="192" spans="1:19" hidden="1" outlineLevel="1">
      <c r="A192" s="1198">
        <v>486</v>
      </c>
      <c r="B192" s="1199" t="s">
        <v>1643</v>
      </c>
      <c r="C192" s="1211">
        <v>5</v>
      </c>
      <c r="D192" s="1212"/>
      <c r="E192" s="1212"/>
      <c r="F192" s="1212"/>
      <c r="G192" s="1212"/>
      <c r="H192" s="1212"/>
      <c r="I192" s="1211">
        <v>0</v>
      </c>
      <c r="J192" s="1202">
        <v>0</v>
      </c>
      <c r="K192" s="1203">
        <v>0</v>
      </c>
      <c r="L192" s="1203">
        <v>0</v>
      </c>
      <c r="M192" s="1203">
        <v>0</v>
      </c>
      <c r="N192" s="1203">
        <v>0</v>
      </c>
      <c r="O192" s="1203">
        <v>0</v>
      </c>
      <c r="P192" s="1203">
        <v>0</v>
      </c>
      <c r="Q192" s="1203">
        <v>0</v>
      </c>
      <c r="R192" s="1203">
        <v>0</v>
      </c>
      <c r="S192" s="1203">
        <v>0</v>
      </c>
    </row>
    <row r="193" spans="1:19" hidden="1" outlineLevel="1">
      <c r="A193" s="1198">
        <v>226675</v>
      </c>
      <c r="B193" s="1199" t="s">
        <v>1644</v>
      </c>
      <c r="C193" s="1211">
        <v>8</v>
      </c>
      <c r="D193" s="1212"/>
      <c r="E193" s="1212"/>
      <c r="F193" s="1212"/>
      <c r="G193" s="1212"/>
      <c r="H193" s="1212"/>
      <c r="I193" s="1211">
        <v>0</v>
      </c>
      <c r="J193" s="1202">
        <v>0</v>
      </c>
      <c r="K193" s="1203">
        <v>0</v>
      </c>
      <c r="L193" s="1203">
        <v>0</v>
      </c>
      <c r="M193" s="1203">
        <v>0</v>
      </c>
      <c r="N193" s="1203">
        <v>0</v>
      </c>
      <c r="O193" s="1203">
        <v>0</v>
      </c>
      <c r="P193" s="1203">
        <v>0</v>
      </c>
      <c r="Q193" s="1203">
        <v>0</v>
      </c>
      <c r="R193" s="1203">
        <v>0</v>
      </c>
      <c r="S193" s="1203">
        <v>0</v>
      </c>
    </row>
    <row r="194" spans="1:19" hidden="1" outlineLevel="1">
      <c r="A194" s="1198">
        <v>2542</v>
      </c>
      <c r="B194" s="1199" t="s">
        <v>1645</v>
      </c>
      <c r="C194" s="1211">
        <v>8</v>
      </c>
      <c r="D194" s="1212"/>
      <c r="E194" s="1212"/>
      <c r="F194" s="1212"/>
      <c r="G194" s="1212"/>
      <c r="H194" s="1212"/>
      <c r="I194" s="1211">
        <v>0</v>
      </c>
      <c r="J194" s="1202">
        <v>0</v>
      </c>
      <c r="K194" s="1203">
        <v>0</v>
      </c>
      <c r="L194" s="1203">
        <v>0</v>
      </c>
      <c r="M194" s="1203">
        <v>0</v>
      </c>
      <c r="N194" s="1203">
        <v>0</v>
      </c>
      <c r="O194" s="1203">
        <v>0</v>
      </c>
      <c r="P194" s="1203">
        <v>0</v>
      </c>
      <c r="Q194" s="1203">
        <v>0</v>
      </c>
      <c r="R194" s="1203">
        <v>0</v>
      </c>
      <c r="S194" s="1203">
        <v>0</v>
      </c>
    </row>
    <row r="195" spans="1:19" hidden="1" outlineLevel="1">
      <c r="A195" s="1198">
        <v>379782</v>
      </c>
      <c r="B195" s="1199" t="s">
        <v>1646</v>
      </c>
      <c r="C195" s="1211">
        <v>8</v>
      </c>
      <c r="D195" s="1212"/>
      <c r="E195" s="1212"/>
      <c r="F195" s="1212"/>
      <c r="G195" s="1212"/>
      <c r="H195" s="1212"/>
      <c r="I195" s="1211">
        <v>0</v>
      </c>
      <c r="J195" s="1202">
        <v>0</v>
      </c>
      <c r="K195" s="1203">
        <v>0</v>
      </c>
      <c r="L195" s="1203">
        <v>0</v>
      </c>
      <c r="M195" s="1203">
        <v>0</v>
      </c>
      <c r="N195" s="1203">
        <v>0</v>
      </c>
      <c r="O195" s="1203">
        <v>0</v>
      </c>
      <c r="P195" s="1203">
        <v>0</v>
      </c>
      <c r="Q195" s="1203">
        <v>0</v>
      </c>
      <c r="R195" s="1203">
        <v>0</v>
      </c>
      <c r="S195" s="1203">
        <v>0</v>
      </c>
    </row>
    <row r="196" spans="1:19" hidden="1" outlineLevel="1">
      <c r="A196" s="1198">
        <v>444565</v>
      </c>
      <c r="B196" s="1199" t="s">
        <v>1647</v>
      </c>
      <c r="C196" s="1211">
        <v>8</v>
      </c>
      <c r="D196" s="1212"/>
      <c r="E196" s="1212"/>
      <c r="F196" s="1212"/>
      <c r="G196" s="1212"/>
      <c r="H196" s="1212"/>
      <c r="I196" s="1211">
        <v>0</v>
      </c>
      <c r="J196" s="1202">
        <v>0</v>
      </c>
      <c r="K196" s="1203">
        <v>0</v>
      </c>
      <c r="L196" s="1203">
        <v>0</v>
      </c>
      <c r="M196" s="1203">
        <v>0</v>
      </c>
      <c r="N196" s="1203">
        <v>0</v>
      </c>
      <c r="O196" s="1203">
        <v>0</v>
      </c>
      <c r="P196" s="1203">
        <v>0</v>
      </c>
      <c r="Q196" s="1203">
        <v>0</v>
      </c>
      <c r="R196" s="1203">
        <v>0</v>
      </c>
      <c r="S196" s="1203">
        <v>0</v>
      </c>
    </row>
    <row r="197" spans="1:19" hidden="1" outlineLevel="1">
      <c r="A197" s="1198">
        <v>7304</v>
      </c>
      <c r="B197" s="1199" t="s">
        <v>1648</v>
      </c>
      <c r="C197" s="1211">
        <v>8</v>
      </c>
      <c r="D197" s="1212"/>
      <c r="E197" s="1212"/>
      <c r="F197" s="1212"/>
      <c r="G197" s="1212"/>
      <c r="H197" s="1212"/>
      <c r="I197" s="1211">
        <v>0</v>
      </c>
      <c r="J197" s="1202">
        <v>0</v>
      </c>
      <c r="K197" s="1203">
        <v>0</v>
      </c>
      <c r="L197" s="1203">
        <v>0</v>
      </c>
      <c r="M197" s="1203">
        <v>0</v>
      </c>
      <c r="N197" s="1203">
        <v>0</v>
      </c>
      <c r="O197" s="1203">
        <v>0</v>
      </c>
      <c r="P197" s="1203">
        <v>0</v>
      </c>
      <c r="Q197" s="1203">
        <v>0</v>
      </c>
      <c r="R197" s="1203">
        <v>0</v>
      </c>
      <c r="S197" s="1203">
        <v>0</v>
      </c>
    </row>
    <row r="198" spans="1:19" hidden="1" outlineLevel="1">
      <c r="A198" s="1198">
        <v>3560</v>
      </c>
      <c r="B198" s="1199" t="s">
        <v>1649</v>
      </c>
      <c r="C198" s="1211">
        <v>2</v>
      </c>
      <c r="D198" s="1212"/>
      <c r="E198" s="1212"/>
      <c r="F198" s="1212"/>
      <c r="G198" s="1212"/>
      <c r="H198" s="1212"/>
      <c r="I198" s="1211">
        <v>0</v>
      </c>
      <c r="J198" s="1211">
        <v>0</v>
      </c>
      <c r="K198" s="1212">
        <v>0</v>
      </c>
      <c r="L198" s="1212">
        <v>0</v>
      </c>
      <c r="M198" s="1212">
        <v>0</v>
      </c>
      <c r="N198" s="1212">
        <v>0</v>
      </c>
      <c r="O198" s="1212">
        <v>0</v>
      </c>
      <c r="P198" s="1212">
        <v>0</v>
      </c>
      <c r="Q198" s="1212">
        <v>0</v>
      </c>
      <c r="R198" s="1212">
        <v>0</v>
      </c>
      <c r="S198" s="1212">
        <v>0</v>
      </c>
    </row>
    <row r="199" spans="1:19" hidden="1" outlineLevel="1">
      <c r="A199" s="1198">
        <v>10761</v>
      </c>
      <c r="B199" s="1199" t="s">
        <v>1650</v>
      </c>
      <c r="C199" s="1211">
        <v>8</v>
      </c>
      <c r="D199" s="1212"/>
      <c r="E199" s="1212"/>
      <c r="F199" s="1212"/>
      <c r="G199" s="1212"/>
      <c r="H199" s="1212"/>
      <c r="I199" s="1211">
        <v>0</v>
      </c>
      <c r="J199" s="1202">
        <v>0</v>
      </c>
      <c r="K199" s="1203">
        <v>0</v>
      </c>
      <c r="L199" s="1203">
        <v>0</v>
      </c>
      <c r="M199" s="1203">
        <v>0</v>
      </c>
      <c r="N199" s="1203">
        <v>0</v>
      </c>
      <c r="O199" s="1203">
        <v>0</v>
      </c>
      <c r="P199" s="1203">
        <v>0</v>
      </c>
      <c r="Q199" s="1203">
        <v>0</v>
      </c>
      <c r="R199" s="1203">
        <v>0</v>
      </c>
      <c r="S199" s="1203">
        <v>0</v>
      </c>
    </row>
    <row r="200" spans="1:19" hidden="1" outlineLevel="1">
      <c r="A200" s="1198">
        <v>437732</v>
      </c>
      <c r="B200" s="1199" t="s">
        <v>1651</v>
      </c>
      <c r="C200" s="1211">
        <v>8</v>
      </c>
      <c r="D200" s="1212"/>
      <c r="E200" s="1212"/>
      <c r="F200" s="1212"/>
      <c r="G200" s="1212"/>
      <c r="H200" s="1212"/>
      <c r="I200" s="1211">
        <v>0</v>
      </c>
      <c r="J200" s="1202">
        <v>0</v>
      </c>
      <c r="K200" s="1203">
        <v>0</v>
      </c>
      <c r="L200" s="1203">
        <v>0</v>
      </c>
      <c r="M200" s="1203">
        <v>0</v>
      </c>
      <c r="N200" s="1203">
        <v>0</v>
      </c>
      <c r="O200" s="1203">
        <v>0</v>
      </c>
      <c r="P200" s="1203">
        <v>0</v>
      </c>
      <c r="Q200" s="1203">
        <v>0</v>
      </c>
      <c r="R200" s="1203">
        <v>0</v>
      </c>
      <c r="S200" s="1203">
        <v>0</v>
      </c>
    </row>
    <row r="201" spans="1:19" hidden="1" outlineLevel="1">
      <c r="A201" s="1198">
        <v>900001</v>
      </c>
      <c r="B201" s="1199" t="s">
        <v>1652</v>
      </c>
      <c r="C201" s="1211">
        <v>8</v>
      </c>
      <c r="D201" s="1212"/>
      <c r="E201" s="1212"/>
      <c r="F201" s="1212"/>
      <c r="G201" s="1212"/>
      <c r="H201" s="1212"/>
      <c r="I201" s="1211">
        <v>0</v>
      </c>
      <c r="J201" s="1202">
        <v>0</v>
      </c>
      <c r="K201" s="1203">
        <v>0</v>
      </c>
      <c r="L201" s="1203">
        <v>0</v>
      </c>
      <c r="M201" s="1203">
        <v>0</v>
      </c>
      <c r="N201" s="1203">
        <v>0</v>
      </c>
      <c r="O201" s="1203">
        <v>0</v>
      </c>
      <c r="P201" s="1203">
        <v>0</v>
      </c>
      <c r="Q201" s="1203">
        <v>0</v>
      </c>
      <c r="R201" s="1203">
        <v>0</v>
      </c>
      <c r="S201" s="1203">
        <v>0</v>
      </c>
    </row>
    <row r="202" spans="1:19" hidden="1" outlineLevel="1">
      <c r="A202" s="1198">
        <v>900002</v>
      </c>
      <c r="B202" s="1199" t="s">
        <v>1653</v>
      </c>
      <c r="C202" s="1211">
        <v>8</v>
      </c>
      <c r="D202" s="1212"/>
      <c r="E202" s="1212"/>
      <c r="F202" s="1212"/>
      <c r="G202" s="1212"/>
      <c r="H202" s="1212"/>
      <c r="I202" s="1211">
        <v>0</v>
      </c>
      <c r="J202" s="1202">
        <v>0</v>
      </c>
      <c r="K202" s="1203">
        <v>0</v>
      </c>
      <c r="L202" s="1203">
        <v>0</v>
      </c>
      <c r="M202" s="1203">
        <v>0</v>
      </c>
      <c r="N202" s="1203">
        <v>0</v>
      </c>
      <c r="O202" s="1203">
        <v>0</v>
      </c>
      <c r="P202" s="1203">
        <v>0</v>
      </c>
      <c r="Q202" s="1203">
        <v>0</v>
      </c>
      <c r="R202" s="1203">
        <v>0</v>
      </c>
      <c r="S202" s="1203">
        <v>0</v>
      </c>
    </row>
    <row r="203" spans="1:19" hidden="1" outlineLevel="1">
      <c r="A203" s="1198">
        <v>900003</v>
      </c>
      <c r="B203" s="1199" t="s">
        <v>1654</v>
      </c>
      <c r="C203" s="1211">
        <v>8</v>
      </c>
      <c r="D203" s="1212"/>
      <c r="E203" s="1212"/>
      <c r="F203" s="1212"/>
      <c r="G203" s="1212"/>
      <c r="H203" s="1212"/>
      <c r="I203" s="1211">
        <v>0</v>
      </c>
      <c r="J203" s="1202">
        <v>0</v>
      </c>
      <c r="K203" s="1203">
        <v>0</v>
      </c>
      <c r="L203" s="1203">
        <v>0</v>
      </c>
      <c r="M203" s="1203">
        <v>0</v>
      </c>
      <c r="N203" s="1203">
        <v>0</v>
      </c>
      <c r="O203" s="1203">
        <v>0</v>
      </c>
      <c r="P203" s="1203">
        <v>0</v>
      </c>
      <c r="Q203" s="1203">
        <v>0</v>
      </c>
      <c r="R203" s="1203">
        <v>0</v>
      </c>
      <c r="S203" s="1203">
        <v>0</v>
      </c>
    </row>
    <row r="204" spans="1:19" hidden="1" outlineLevel="1">
      <c r="A204" s="1198">
        <v>900004</v>
      </c>
      <c r="B204" s="1199" t="s">
        <v>1655</v>
      </c>
      <c r="C204" s="1211">
        <v>8</v>
      </c>
      <c r="D204" s="1212"/>
      <c r="E204" s="1212"/>
      <c r="F204" s="1212"/>
      <c r="G204" s="1212"/>
      <c r="H204" s="1212"/>
      <c r="I204" s="1211">
        <v>0</v>
      </c>
      <c r="J204" s="1202">
        <v>0</v>
      </c>
      <c r="K204" s="1203">
        <v>0</v>
      </c>
      <c r="L204" s="1203">
        <v>0</v>
      </c>
      <c r="M204" s="1203">
        <v>0</v>
      </c>
      <c r="N204" s="1203">
        <v>0</v>
      </c>
      <c r="O204" s="1203">
        <v>0</v>
      </c>
      <c r="P204" s="1203">
        <v>0</v>
      </c>
      <c r="Q204" s="1203">
        <v>0</v>
      </c>
      <c r="R204" s="1203">
        <v>0</v>
      </c>
      <c r="S204" s="1203">
        <v>0</v>
      </c>
    </row>
    <row r="205" spans="1:19" hidden="1" outlineLevel="1">
      <c r="A205" s="1198">
        <v>900005</v>
      </c>
      <c r="B205" s="1199" t="s">
        <v>1656</v>
      </c>
      <c r="C205" s="1211">
        <v>8</v>
      </c>
      <c r="D205" s="1212"/>
      <c r="E205" s="1212"/>
      <c r="F205" s="1212"/>
      <c r="G205" s="1212"/>
      <c r="H205" s="1212"/>
      <c r="I205" s="1211">
        <v>0</v>
      </c>
      <c r="J205" s="1202">
        <v>0</v>
      </c>
      <c r="K205" s="1203">
        <v>0</v>
      </c>
      <c r="L205" s="1203">
        <v>0</v>
      </c>
      <c r="M205" s="1203">
        <v>0</v>
      </c>
      <c r="N205" s="1203">
        <v>0</v>
      </c>
      <c r="O205" s="1203">
        <v>0</v>
      </c>
      <c r="P205" s="1203">
        <v>0</v>
      </c>
      <c r="Q205" s="1203">
        <v>0</v>
      </c>
      <c r="R205" s="1203">
        <v>0</v>
      </c>
      <c r="S205" s="1203">
        <v>0</v>
      </c>
    </row>
    <row r="206" spans="1:19" hidden="1" outlineLevel="1">
      <c r="A206" s="1198">
        <v>900006</v>
      </c>
      <c r="B206" s="1199" t="s">
        <v>1657</v>
      </c>
      <c r="C206" s="1211">
        <v>8</v>
      </c>
      <c r="D206" s="1212"/>
      <c r="E206" s="1212"/>
      <c r="F206" s="1212"/>
      <c r="G206" s="1212"/>
      <c r="H206" s="1212"/>
      <c r="I206" s="1211">
        <v>0</v>
      </c>
      <c r="J206" s="1202">
        <v>0</v>
      </c>
      <c r="K206" s="1203">
        <v>0</v>
      </c>
      <c r="L206" s="1203">
        <v>0</v>
      </c>
      <c r="M206" s="1203">
        <v>0</v>
      </c>
      <c r="N206" s="1203">
        <v>0</v>
      </c>
      <c r="O206" s="1203">
        <v>0</v>
      </c>
      <c r="P206" s="1203">
        <v>0</v>
      </c>
      <c r="Q206" s="1203">
        <v>0</v>
      </c>
      <c r="R206" s="1203">
        <v>0</v>
      </c>
      <c r="S206" s="1203">
        <v>0</v>
      </c>
    </row>
    <row r="207" spans="1:19" hidden="1" outlineLevel="1">
      <c r="A207" s="1198">
        <v>900007</v>
      </c>
      <c r="B207" s="1199" t="s">
        <v>1658</v>
      </c>
      <c r="C207" s="1211">
        <v>8</v>
      </c>
      <c r="D207" s="1212"/>
      <c r="E207" s="1212"/>
      <c r="F207" s="1212"/>
      <c r="G207" s="1212"/>
      <c r="H207" s="1212"/>
      <c r="I207" s="1211">
        <v>0</v>
      </c>
      <c r="J207" s="1202">
        <v>0</v>
      </c>
      <c r="K207" s="1203">
        <v>0</v>
      </c>
      <c r="L207" s="1203">
        <v>0</v>
      </c>
      <c r="M207" s="1203">
        <v>0</v>
      </c>
      <c r="N207" s="1203">
        <v>0</v>
      </c>
      <c r="O207" s="1203">
        <v>0</v>
      </c>
      <c r="P207" s="1203">
        <v>0</v>
      </c>
      <c r="Q207" s="1203">
        <v>0</v>
      </c>
      <c r="R207" s="1203">
        <v>0</v>
      </c>
      <c r="S207" s="1203">
        <v>0</v>
      </c>
    </row>
    <row r="208" spans="1:19" hidden="1" outlineLevel="1">
      <c r="A208" s="1198">
        <v>900008</v>
      </c>
      <c r="B208" s="1199" t="s">
        <v>1659</v>
      </c>
      <c r="C208" s="1211">
        <v>8</v>
      </c>
      <c r="D208" s="1212"/>
      <c r="E208" s="1212"/>
      <c r="F208" s="1212"/>
      <c r="G208" s="1212"/>
      <c r="H208" s="1212"/>
      <c r="I208" s="1211">
        <v>0</v>
      </c>
      <c r="J208" s="1202">
        <v>0</v>
      </c>
      <c r="K208" s="1203">
        <v>0</v>
      </c>
      <c r="L208" s="1203">
        <v>0</v>
      </c>
      <c r="M208" s="1203">
        <v>0</v>
      </c>
      <c r="N208" s="1203">
        <v>0</v>
      </c>
      <c r="O208" s="1203">
        <v>0</v>
      </c>
      <c r="P208" s="1203">
        <v>0</v>
      </c>
      <c r="Q208" s="1203">
        <v>0</v>
      </c>
      <c r="R208" s="1203">
        <v>0</v>
      </c>
      <c r="S208" s="1203">
        <v>0</v>
      </c>
    </row>
    <row r="209" spans="1:19" hidden="1" outlineLevel="1">
      <c r="A209" s="1198">
        <v>224402</v>
      </c>
      <c r="B209" s="1199" t="s">
        <v>1660</v>
      </c>
      <c r="C209" s="1211">
        <v>8</v>
      </c>
      <c r="D209" s="1212"/>
      <c r="E209" s="1212"/>
      <c r="F209" s="1212"/>
      <c r="G209" s="1212"/>
      <c r="H209" s="1212"/>
      <c r="I209" s="1211">
        <v>0</v>
      </c>
      <c r="J209" s="1202">
        <v>0</v>
      </c>
      <c r="K209" s="1203">
        <v>0</v>
      </c>
      <c r="L209" s="1203">
        <v>0</v>
      </c>
      <c r="M209" s="1203">
        <v>0</v>
      </c>
      <c r="N209" s="1203">
        <v>0</v>
      </c>
      <c r="O209" s="1203">
        <v>0</v>
      </c>
      <c r="P209" s="1203">
        <v>0</v>
      </c>
      <c r="Q209" s="1203">
        <v>0</v>
      </c>
      <c r="R209" s="1203">
        <v>0</v>
      </c>
      <c r="S209" s="1203">
        <v>0</v>
      </c>
    </row>
    <row r="210" spans="1:19" hidden="1" outlineLevel="1">
      <c r="A210" s="1198">
        <v>458</v>
      </c>
      <c r="B210" s="1199" t="s">
        <v>1661</v>
      </c>
      <c r="C210" s="1211">
        <v>5</v>
      </c>
      <c r="D210" s="1212"/>
      <c r="E210" s="1212"/>
      <c r="F210" s="1212"/>
      <c r="G210" s="1212"/>
      <c r="H210" s="1212"/>
      <c r="I210" s="1211">
        <v>0</v>
      </c>
      <c r="J210" s="1202">
        <v>0</v>
      </c>
      <c r="K210" s="1203">
        <v>0</v>
      </c>
      <c r="L210" s="1203">
        <v>0</v>
      </c>
      <c r="M210" s="1203">
        <v>0</v>
      </c>
      <c r="N210" s="1203">
        <v>0</v>
      </c>
      <c r="O210" s="1203">
        <v>0</v>
      </c>
      <c r="P210" s="1203">
        <v>0</v>
      </c>
      <c r="Q210" s="1203">
        <v>0</v>
      </c>
      <c r="R210" s="1203">
        <v>0</v>
      </c>
      <c r="S210" s="1203">
        <v>0</v>
      </c>
    </row>
    <row r="211" spans="1:19" hidden="1" outlineLevel="1">
      <c r="A211" s="1198">
        <v>3154</v>
      </c>
      <c r="B211" s="1199" t="s">
        <v>1662</v>
      </c>
      <c r="C211" s="1211">
        <v>8</v>
      </c>
      <c r="D211" s="1212"/>
      <c r="E211" s="1212"/>
      <c r="F211" s="1212"/>
      <c r="G211" s="1212"/>
      <c r="H211" s="1212"/>
      <c r="I211" s="1211">
        <v>0</v>
      </c>
      <c r="J211" s="1202">
        <v>0</v>
      </c>
      <c r="K211" s="1203">
        <v>0</v>
      </c>
      <c r="L211" s="1203">
        <v>0</v>
      </c>
      <c r="M211" s="1203">
        <v>0</v>
      </c>
      <c r="N211" s="1203">
        <v>0</v>
      </c>
      <c r="O211" s="1203">
        <v>0</v>
      </c>
      <c r="P211" s="1203">
        <v>0</v>
      </c>
      <c r="Q211" s="1203">
        <v>0</v>
      </c>
      <c r="R211" s="1203">
        <v>0</v>
      </c>
      <c r="S211" s="1203">
        <v>0</v>
      </c>
    </row>
    <row r="212" spans="1:19" hidden="1" outlineLevel="1">
      <c r="A212" s="1198">
        <v>3564</v>
      </c>
      <c r="B212" s="1199" t="s">
        <v>1663</v>
      </c>
      <c r="C212" s="1211">
        <v>2</v>
      </c>
      <c r="D212" s="1212"/>
      <c r="E212" s="1212"/>
      <c r="F212" s="1212"/>
      <c r="G212" s="1212"/>
      <c r="H212" s="1212"/>
      <c r="I212" s="1211">
        <v>0</v>
      </c>
      <c r="J212" s="1211">
        <v>0</v>
      </c>
      <c r="K212" s="1212">
        <v>0</v>
      </c>
      <c r="L212" s="1212">
        <v>0</v>
      </c>
      <c r="M212" s="1212">
        <v>0</v>
      </c>
      <c r="N212" s="1212">
        <v>0</v>
      </c>
      <c r="O212" s="1212">
        <v>0</v>
      </c>
      <c r="P212" s="1212">
        <v>0</v>
      </c>
      <c r="Q212" s="1212">
        <v>0</v>
      </c>
      <c r="R212" s="1212">
        <v>0</v>
      </c>
      <c r="S212" s="1212">
        <v>0</v>
      </c>
    </row>
    <row r="213" spans="1:19" hidden="1" outlineLevel="1">
      <c r="A213" s="1198">
        <v>900058</v>
      </c>
      <c r="B213" s="1199" t="s">
        <v>1664</v>
      </c>
      <c r="C213" s="1211">
        <v>8</v>
      </c>
      <c r="D213" s="1212"/>
      <c r="E213" s="1212"/>
      <c r="F213" s="1212"/>
      <c r="G213" s="1212"/>
      <c r="H213" s="1212"/>
      <c r="I213" s="1211">
        <v>0</v>
      </c>
      <c r="J213" s="1202">
        <v>0</v>
      </c>
      <c r="K213" s="1203">
        <v>0</v>
      </c>
      <c r="L213" s="1203">
        <v>0</v>
      </c>
      <c r="M213" s="1203">
        <v>0</v>
      </c>
      <c r="N213" s="1203">
        <v>0</v>
      </c>
      <c r="O213" s="1203">
        <v>0</v>
      </c>
      <c r="P213" s="1203">
        <v>0</v>
      </c>
      <c r="Q213" s="1203">
        <v>0</v>
      </c>
      <c r="R213" s="1203">
        <v>0</v>
      </c>
      <c r="S213" s="1203">
        <v>0</v>
      </c>
    </row>
    <row r="214" spans="1:19" hidden="1" outlineLevel="1">
      <c r="A214" s="1198">
        <v>900009</v>
      </c>
      <c r="B214" s="1199" t="s">
        <v>1665</v>
      </c>
      <c r="C214" s="1211">
        <v>8</v>
      </c>
      <c r="D214" s="1212"/>
      <c r="E214" s="1212"/>
      <c r="F214" s="1212"/>
      <c r="G214" s="1212"/>
      <c r="H214" s="1212"/>
      <c r="I214" s="1211">
        <v>0</v>
      </c>
      <c r="J214" s="1202">
        <v>0</v>
      </c>
      <c r="K214" s="1203">
        <v>0</v>
      </c>
      <c r="L214" s="1203">
        <v>0</v>
      </c>
      <c r="M214" s="1203">
        <v>0</v>
      </c>
      <c r="N214" s="1203">
        <v>0</v>
      </c>
      <c r="O214" s="1203">
        <v>0</v>
      </c>
      <c r="P214" s="1203">
        <v>0</v>
      </c>
      <c r="Q214" s="1203">
        <v>0</v>
      </c>
      <c r="R214" s="1203">
        <v>0</v>
      </c>
      <c r="S214" s="1203">
        <v>0</v>
      </c>
    </row>
    <row r="215" spans="1:19" hidden="1" outlineLevel="1">
      <c r="A215" s="1198">
        <v>900010</v>
      </c>
      <c r="B215" s="1199" t="s">
        <v>1666</v>
      </c>
      <c r="C215" s="1211">
        <v>8</v>
      </c>
      <c r="D215" s="1212"/>
      <c r="E215" s="1212"/>
      <c r="F215" s="1212"/>
      <c r="G215" s="1212"/>
      <c r="H215" s="1212"/>
      <c r="I215" s="1211">
        <v>0</v>
      </c>
      <c r="J215" s="1202">
        <v>0</v>
      </c>
      <c r="K215" s="1203">
        <v>0</v>
      </c>
      <c r="L215" s="1203">
        <v>0</v>
      </c>
      <c r="M215" s="1203">
        <v>0</v>
      </c>
      <c r="N215" s="1203">
        <v>0</v>
      </c>
      <c r="O215" s="1203">
        <v>0</v>
      </c>
      <c r="P215" s="1203">
        <v>0</v>
      </c>
      <c r="Q215" s="1203">
        <v>0</v>
      </c>
      <c r="R215" s="1203">
        <v>0</v>
      </c>
      <c r="S215" s="1203">
        <v>0</v>
      </c>
    </row>
    <row r="216" spans="1:19" hidden="1" outlineLevel="1">
      <c r="A216" s="1198">
        <v>1479</v>
      </c>
      <c r="B216" s="1199" t="s">
        <v>1667</v>
      </c>
      <c r="C216" s="1211">
        <v>8</v>
      </c>
      <c r="D216" s="1212"/>
      <c r="E216" s="1212"/>
      <c r="F216" s="1212"/>
      <c r="G216" s="1212"/>
      <c r="H216" s="1212"/>
      <c r="I216" s="1211">
        <v>0</v>
      </c>
      <c r="J216" s="1202">
        <v>0</v>
      </c>
      <c r="K216" s="1203">
        <v>0</v>
      </c>
      <c r="L216" s="1203">
        <v>0</v>
      </c>
      <c r="M216" s="1203">
        <v>0</v>
      </c>
      <c r="N216" s="1203">
        <v>0</v>
      </c>
      <c r="O216" s="1203">
        <v>0</v>
      </c>
      <c r="P216" s="1203">
        <v>0</v>
      </c>
      <c r="Q216" s="1203">
        <v>0</v>
      </c>
      <c r="R216" s="1203">
        <v>0</v>
      </c>
      <c r="S216" s="1203">
        <v>0</v>
      </c>
    </row>
    <row r="217" spans="1:19" hidden="1" outlineLevel="1">
      <c r="A217" s="1198">
        <v>224712</v>
      </c>
      <c r="B217" s="1199" t="s">
        <v>1668</v>
      </c>
      <c r="C217" s="1211">
        <v>8</v>
      </c>
      <c r="D217" s="1212"/>
      <c r="E217" s="1212"/>
      <c r="F217" s="1212"/>
      <c r="G217" s="1212"/>
      <c r="H217" s="1212"/>
      <c r="I217" s="1211">
        <v>0</v>
      </c>
      <c r="J217" s="1202">
        <v>0</v>
      </c>
      <c r="K217" s="1203">
        <v>0</v>
      </c>
      <c r="L217" s="1203">
        <v>0</v>
      </c>
      <c r="M217" s="1203">
        <v>0</v>
      </c>
      <c r="N217" s="1203">
        <v>0</v>
      </c>
      <c r="O217" s="1203">
        <v>0</v>
      </c>
      <c r="P217" s="1203">
        <v>0</v>
      </c>
      <c r="Q217" s="1203">
        <v>0</v>
      </c>
      <c r="R217" s="1203">
        <v>0</v>
      </c>
      <c r="S217" s="1203">
        <v>0</v>
      </c>
    </row>
    <row r="218" spans="1:19" hidden="1" outlineLevel="1">
      <c r="A218" s="1198">
        <v>443854</v>
      </c>
      <c r="B218" s="1199" t="s">
        <v>1669</v>
      </c>
      <c r="C218" s="1211">
        <v>8</v>
      </c>
      <c r="D218" s="1212"/>
      <c r="E218" s="1212"/>
      <c r="F218" s="1212"/>
      <c r="G218" s="1212"/>
      <c r="H218" s="1212"/>
      <c r="I218" s="1211">
        <v>0</v>
      </c>
      <c r="J218" s="1202">
        <v>0</v>
      </c>
      <c r="K218" s="1203">
        <v>0</v>
      </c>
      <c r="L218" s="1203">
        <v>0</v>
      </c>
      <c r="M218" s="1203">
        <v>0</v>
      </c>
      <c r="N218" s="1203">
        <v>0</v>
      </c>
      <c r="O218" s="1203">
        <v>0</v>
      </c>
      <c r="P218" s="1203">
        <v>0</v>
      </c>
      <c r="Q218" s="1203">
        <v>0</v>
      </c>
      <c r="R218" s="1203">
        <v>0</v>
      </c>
      <c r="S218" s="1203">
        <v>0</v>
      </c>
    </row>
    <row r="219" spans="1:19" hidden="1" outlineLevel="1">
      <c r="A219" s="1198">
        <v>442790</v>
      </c>
      <c r="B219" s="1199" t="s">
        <v>1670</v>
      </c>
      <c r="C219" s="1211">
        <v>8</v>
      </c>
      <c r="D219" s="1212"/>
      <c r="E219" s="1212"/>
      <c r="F219" s="1212"/>
      <c r="G219" s="1212"/>
      <c r="H219" s="1212"/>
      <c r="I219" s="1211">
        <v>0</v>
      </c>
      <c r="J219" s="1202">
        <v>0</v>
      </c>
      <c r="K219" s="1203">
        <v>0</v>
      </c>
      <c r="L219" s="1203">
        <v>0</v>
      </c>
      <c r="M219" s="1203">
        <v>0</v>
      </c>
      <c r="N219" s="1203">
        <v>0</v>
      </c>
      <c r="O219" s="1203">
        <v>0</v>
      </c>
      <c r="P219" s="1203">
        <v>0</v>
      </c>
      <c r="Q219" s="1203">
        <v>0</v>
      </c>
      <c r="R219" s="1203">
        <v>0</v>
      </c>
      <c r="S219" s="1203">
        <v>0</v>
      </c>
    </row>
    <row r="220" spans="1:19" hidden="1" outlineLevel="1">
      <c r="A220" s="1198">
        <v>445197</v>
      </c>
      <c r="B220" s="1199" t="s">
        <v>1671</v>
      </c>
      <c r="C220" s="1211">
        <v>8</v>
      </c>
      <c r="D220" s="1212"/>
      <c r="E220" s="1212"/>
      <c r="F220" s="1212"/>
      <c r="G220" s="1212"/>
      <c r="H220" s="1212"/>
      <c r="I220" s="1211">
        <v>0</v>
      </c>
      <c r="J220" s="1202">
        <v>0</v>
      </c>
      <c r="K220" s="1203">
        <v>0</v>
      </c>
      <c r="L220" s="1203">
        <v>0</v>
      </c>
      <c r="M220" s="1203">
        <v>0</v>
      </c>
      <c r="N220" s="1203">
        <v>0</v>
      </c>
      <c r="O220" s="1203">
        <v>0</v>
      </c>
      <c r="P220" s="1203">
        <v>0</v>
      </c>
      <c r="Q220" s="1203">
        <v>0</v>
      </c>
      <c r="R220" s="1203">
        <v>0</v>
      </c>
      <c r="S220" s="1203">
        <v>0</v>
      </c>
    </row>
    <row r="221" spans="1:19" hidden="1" outlineLevel="1">
      <c r="A221" s="1198">
        <v>460358</v>
      </c>
      <c r="B221" s="1199" t="s">
        <v>1672</v>
      </c>
      <c r="C221" s="1211">
        <v>8</v>
      </c>
      <c r="D221" s="1212"/>
      <c r="E221" s="1212"/>
      <c r="F221" s="1212"/>
      <c r="G221" s="1212"/>
      <c r="H221" s="1212"/>
      <c r="I221" s="1211">
        <v>0</v>
      </c>
      <c r="J221" s="1202">
        <v>0</v>
      </c>
      <c r="K221" s="1203">
        <v>0</v>
      </c>
      <c r="L221" s="1203">
        <v>0</v>
      </c>
      <c r="M221" s="1203">
        <v>0</v>
      </c>
      <c r="N221" s="1203">
        <v>0</v>
      </c>
      <c r="O221" s="1203">
        <v>0</v>
      </c>
      <c r="P221" s="1203">
        <v>0</v>
      </c>
      <c r="Q221" s="1203">
        <v>0</v>
      </c>
      <c r="R221" s="1203">
        <v>0</v>
      </c>
      <c r="S221" s="1203">
        <v>0</v>
      </c>
    </row>
    <row r="222" spans="1:19" hidden="1" outlineLevel="1">
      <c r="A222" s="1198">
        <v>442727</v>
      </c>
      <c r="B222" s="1199" t="s">
        <v>1673</v>
      </c>
      <c r="C222" s="1211">
        <v>8</v>
      </c>
      <c r="D222" s="1212"/>
      <c r="E222" s="1212"/>
      <c r="F222" s="1212"/>
      <c r="G222" s="1212"/>
      <c r="H222" s="1212"/>
      <c r="I222" s="1211">
        <v>0</v>
      </c>
      <c r="J222" s="1202">
        <v>0</v>
      </c>
      <c r="K222" s="1203">
        <v>0</v>
      </c>
      <c r="L222" s="1203">
        <v>0</v>
      </c>
      <c r="M222" s="1203">
        <v>0</v>
      </c>
      <c r="N222" s="1203">
        <v>0</v>
      </c>
      <c r="O222" s="1203">
        <v>0</v>
      </c>
      <c r="P222" s="1203">
        <v>0</v>
      </c>
      <c r="Q222" s="1203">
        <v>0</v>
      </c>
      <c r="R222" s="1203">
        <v>0</v>
      </c>
      <c r="S222" s="1203">
        <v>0</v>
      </c>
    </row>
    <row r="223" spans="1:19" hidden="1" outlineLevel="1">
      <c r="A223" s="1198">
        <v>438656</v>
      </c>
      <c r="B223" s="1199" t="s">
        <v>1674</v>
      </c>
      <c r="C223" s="1211">
        <v>8</v>
      </c>
      <c r="D223" s="1212"/>
      <c r="E223" s="1212"/>
      <c r="F223" s="1212"/>
      <c r="G223" s="1212"/>
      <c r="H223" s="1212"/>
      <c r="I223" s="1211">
        <v>0</v>
      </c>
      <c r="J223" s="1202">
        <v>0</v>
      </c>
      <c r="K223" s="1203">
        <v>0</v>
      </c>
      <c r="L223" s="1203">
        <v>0</v>
      </c>
      <c r="M223" s="1203">
        <v>0</v>
      </c>
      <c r="N223" s="1203">
        <v>0</v>
      </c>
      <c r="O223" s="1203">
        <v>0</v>
      </c>
      <c r="P223" s="1203">
        <v>0</v>
      </c>
      <c r="Q223" s="1203">
        <v>0</v>
      </c>
      <c r="R223" s="1203">
        <v>0</v>
      </c>
      <c r="S223" s="1203">
        <v>0</v>
      </c>
    </row>
    <row r="224" spans="1:19" hidden="1" outlineLevel="1">
      <c r="A224" s="1198">
        <v>441016</v>
      </c>
      <c r="B224" s="1199" t="s">
        <v>1675</v>
      </c>
      <c r="C224" s="1211">
        <v>8</v>
      </c>
      <c r="D224" s="1212"/>
      <c r="E224" s="1212"/>
      <c r="F224" s="1212"/>
      <c r="G224" s="1212"/>
      <c r="H224" s="1212"/>
      <c r="I224" s="1211">
        <v>0</v>
      </c>
      <c r="J224" s="1202">
        <v>0</v>
      </c>
      <c r="K224" s="1203">
        <v>0</v>
      </c>
      <c r="L224" s="1203">
        <v>0</v>
      </c>
      <c r="M224" s="1203">
        <v>0</v>
      </c>
      <c r="N224" s="1203">
        <v>0</v>
      </c>
      <c r="O224" s="1203">
        <v>0</v>
      </c>
      <c r="P224" s="1203">
        <v>0</v>
      </c>
      <c r="Q224" s="1203">
        <v>0</v>
      </c>
      <c r="R224" s="1203">
        <v>0</v>
      </c>
      <c r="S224" s="1203">
        <v>0</v>
      </c>
    </row>
    <row r="225" spans="1:19" hidden="1" outlineLevel="1">
      <c r="A225" s="1198">
        <v>392415</v>
      </c>
      <c r="B225" s="1199" t="s">
        <v>1676</v>
      </c>
      <c r="C225" s="1211">
        <v>8</v>
      </c>
      <c r="D225" s="1212"/>
      <c r="E225" s="1212"/>
      <c r="F225" s="1212"/>
      <c r="G225" s="1212"/>
      <c r="H225" s="1212"/>
      <c r="I225" s="1211">
        <v>0</v>
      </c>
      <c r="J225" s="1202">
        <v>0</v>
      </c>
      <c r="K225" s="1203">
        <v>0</v>
      </c>
      <c r="L225" s="1203">
        <v>0</v>
      </c>
      <c r="M225" s="1203">
        <v>0</v>
      </c>
      <c r="N225" s="1203">
        <v>0</v>
      </c>
      <c r="O225" s="1203">
        <v>0</v>
      </c>
      <c r="P225" s="1203">
        <v>0</v>
      </c>
      <c r="Q225" s="1203">
        <v>0</v>
      </c>
      <c r="R225" s="1203">
        <v>0</v>
      </c>
      <c r="S225" s="1203">
        <v>0</v>
      </c>
    </row>
    <row r="226" spans="1:19" hidden="1" outlineLevel="1">
      <c r="A226" s="1198">
        <v>225788</v>
      </c>
      <c r="B226" s="1199" t="s">
        <v>1677</v>
      </c>
      <c r="C226" s="1211">
        <v>8</v>
      </c>
      <c r="D226" s="1212"/>
      <c r="E226" s="1212"/>
      <c r="F226" s="1212"/>
      <c r="G226" s="1212"/>
      <c r="H226" s="1212"/>
      <c r="I226" s="1211">
        <v>0</v>
      </c>
      <c r="J226" s="1202">
        <v>0</v>
      </c>
      <c r="K226" s="1203">
        <v>0</v>
      </c>
      <c r="L226" s="1203">
        <v>0</v>
      </c>
      <c r="M226" s="1203">
        <v>0</v>
      </c>
      <c r="N226" s="1203">
        <v>0</v>
      </c>
      <c r="O226" s="1203">
        <v>0</v>
      </c>
      <c r="P226" s="1203">
        <v>0</v>
      </c>
      <c r="Q226" s="1203">
        <v>0</v>
      </c>
      <c r="R226" s="1203">
        <v>0</v>
      </c>
      <c r="S226" s="1203">
        <v>0</v>
      </c>
    </row>
    <row r="227" spans="1:19" hidden="1" outlineLevel="1">
      <c r="A227" s="1198">
        <v>225779</v>
      </c>
      <c r="B227" s="1199" t="s">
        <v>1678</v>
      </c>
      <c r="C227" s="1211">
        <v>8</v>
      </c>
      <c r="D227" s="1212"/>
      <c r="E227" s="1212"/>
      <c r="F227" s="1212"/>
      <c r="G227" s="1212"/>
      <c r="H227" s="1212"/>
      <c r="I227" s="1211">
        <v>0</v>
      </c>
      <c r="J227" s="1202">
        <v>0</v>
      </c>
      <c r="K227" s="1203">
        <v>0</v>
      </c>
      <c r="L227" s="1203">
        <v>0</v>
      </c>
      <c r="M227" s="1203">
        <v>0</v>
      </c>
      <c r="N227" s="1203">
        <v>0</v>
      </c>
      <c r="O227" s="1203">
        <v>0</v>
      </c>
      <c r="P227" s="1203">
        <v>0</v>
      </c>
      <c r="Q227" s="1203">
        <v>0</v>
      </c>
      <c r="R227" s="1203">
        <v>0</v>
      </c>
      <c r="S227" s="1203">
        <v>0</v>
      </c>
    </row>
    <row r="228" spans="1:19" hidden="1" outlineLevel="1">
      <c r="A228" s="1198">
        <v>406033</v>
      </c>
      <c r="B228" s="1199" t="s">
        <v>1679</v>
      </c>
      <c r="C228" s="1211">
        <v>8</v>
      </c>
      <c r="D228" s="1212"/>
      <c r="E228" s="1212"/>
      <c r="F228" s="1212"/>
      <c r="G228" s="1212"/>
      <c r="H228" s="1212"/>
      <c r="I228" s="1211">
        <v>0</v>
      </c>
      <c r="J228" s="1202">
        <v>0</v>
      </c>
      <c r="K228" s="1203">
        <v>0</v>
      </c>
      <c r="L228" s="1203">
        <v>0</v>
      </c>
      <c r="M228" s="1203">
        <v>0</v>
      </c>
      <c r="N228" s="1203">
        <v>0</v>
      </c>
      <c r="O228" s="1203">
        <v>0</v>
      </c>
      <c r="P228" s="1203">
        <v>0</v>
      </c>
      <c r="Q228" s="1203">
        <v>0</v>
      </c>
      <c r="R228" s="1203">
        <v>0</v>
      </c>
      <c r="S228" s="1203">
        <v>0</v>
      </c>
    </row>
    <row r="229" spans="1:19" hidden="1" outlineLevel="1">
      <c r="A229" s="1198">
        <v>1443</v>
      </c>
      <c r="B229" s="1199" t="s">
        <v>1680</v>
      </c>
      <c r="C229" s="1211">
        <v>8</v>
      </c>
      <c r="D229" s="1212"/>
      <c r="E229" s="1212"/>
      <c r="F229" s="1212"/>
      <c r="G229" s="1212"/>
      <c r="H229" s="1212"/>
      <c r="I229" s="1211">
        <v>0</v>
      </c>
      <c r="J229" s="1202">
        <v>0</v>
      </c>
      <c r="K229" s="1203">
        <v>0</v>
      </c>
      <c r="L229" s="1203">
        <v>0</v>
      </c>
      <c r="M229" s="1203">
        <v>0</v>
      </c>
      <c r="N229" s="1203">
        <v>0</v>
      </c>
      <c r="O229" s="1203">
        <v>0</v>
      </c>
      <c r="P229" s="1203">
        <v>0</v>
      </c>
      <c r="Q229" s="1203">
        <v>0</v>
      </c>
      <c r="R229" s="1203">
        <v>0</v>
      </c>
      <c r="S229" s="1203">
        <v>0</v>
      </c>
    </row>
    <row r="230" spans="1:19" hidden="1" outlineLevel="1">
      <c r="A230" s="1198">
        <v>476337</v>
      </c>
      <c r="B230" s="1199" t="s">
        <v>1681</v>
      </c>
      <c r="C230" s="1211">
        <v>8</v>
      </c>
      <c r="D230" s="1212"/>
      <c r="E230" s="1212"/>
      <c r="F230" s="1212"/>
      <c r="G230" s="1212"/>
      <c r="H230" s="1212"/>
      <c r="I230" s="1211">
        <v>0</v>
      </c>
      <c r="J230" s="1202">
        <v>0</v>
      </c>
      <c r="K230" s="1203">
        <v>0</v>
      </c>
      <c r="L230" s="1203">
        <v>0</v>
      </c>
      <c r="M230" s="1203">
        <v>0</v>
      </c>
      <c r="N230" s="1203">
        <v>0</v>
      </c>
      <c r="O230" s="1203">
        <v>0</v>
      </c>
      <c r="P230" s="1203">
        <v>0</v>
      </c>
      <c r="Q230" s="1203">
        <v>0</v>
      </c>
      <c r="R230" s="1203">
        <v>0</v>
      </c>
      <c r="S230" s="1203">
        <v>0</v>
      </c>
    </row>
    <row r="231" spans="1:19" hidden="1" outlineLevel="1">
      <c r="A231" s="1198">
        <v>3778</v>
      </c>
      <c r="B231" s="1199" t="s">
        <v>1682</v>
      </c>
      <c r="C231" s="1211">
        <v>8</v>
      </c>
      <c r="D231" s="1212"/>
      <c r="E231" s="1212"/>
      <c r="F231" s="1212"/>
      <c r="G231" s="1212"/>
      <c r="H231" s="1212"/>
      <c r="I231" s="1211">
        <v>0</v>
      </c>
      <c r="J231" s="1202">
        <v>0</v>
      </c>
      <c r="K231" s="1203">
        <v>0</v>
      </c>
      <c r="L231" s="1203">
        <v>0</v>
      </c>
      <c r="M231" s="1203">
        <v>0</v>
      </c>
      <c r="N231" s="1203">
        <v>0</v>
      </c>
      <c r="O231" s="1203">
        <v>0</v>
      </c>
      <c r="P231" s="1203">
        <v>0</v>
      </c>
      <c r="Q231" s="1203">
        <v>0</v>
      </c>
      <c r="R231" s="1203">
        <v>0</v>
      </c>
      <c r="S231" s="1203">
        <v>0</v>
      </c>
    </row>
    <row r="232" spans="1:19" hidden="1" outlineLevel="1">
      <c r="A232" s="1198">
        <v>900053</v>
      </c>
      <c r="B232" s="1199" t="s">
        <v>1683</v>
      </c>
      <c r="C232" s="1211">
        <v>8</v>
      </c>
      <c r="D232" s="1212"/>
      <c r="E232" s="1212"/>
      <c r="F232" s="1212"/>
      <c r="G232" s="1212"/>
      <c r="H232" s="1212"/>
      <c r="I232" s="1211">
        <v>0</v>
      </c>
      <c r="J232" s="1202">
        <v>0</v>
      </c>
      <c r="K232" s="1203">
        <v>0</v>
      </c>
      <c r="L232" s="1203">
        <v>0</v>
      </c>
      <c r="M232" s="1203">
        <v>0</v>
      </c>
      <c r="N232" s="1203">
        <v>0</v>
      </c>
      <c r="O232" s="1203">
        <v>0</v>
      </c>
      <c r="P232" s="1203">
        <v>0</v>
      </c>
      <c r="Q232" s="1203">
        <v>0</v>
      </c>
      <c r="R232" s="1203">
        <v>0</v>
      </c>
      <c r="S232" s="1203">
        <v>0</v>
      </c>
    </row>
    <row r="233" spans="1:19" hidden="1" outlineLevel="1">
      <c r="A233" s="1198">
        <v>1074</v>
      </c>
      <c r="B233" s="1199" t="s">
        <v>1684</v>
      </c>
      <c r="C233" s="1211">
        <v>8</v>
      </c>
      <c r="D233" s="1212"/>
      <c r="E233" s="1212"/>
      <c r="F233" s="1212"/>
      <c r="G233" s="1212"/>
      <c r="H233" s="1212"/>
      <c r="I233" s="1211">
        <v>0</v>
      </c>
      <c r="J233" s="1202">
        <v>0</v>
      </c>
      <c r="K233" s="1203">
        <v>0</v>
      </c>
      <c r="L233" s="1203">
        <v>0</v>
      </c>
      <c r="M233" s="1203">
        <v>0</v>
      </c>
      <c r="N233" s="1203">
        <v>0</v>
      </c>
      <c r="O233" s="1203">
        <v>0</v>
      </c>
      <c r="P233" s="1203">
        <v>0</v>
      </c>
      <c r="Q233" s="1203">
        <v>0</v>
      </c>
      <c r="R233" s="1203">
        <v>0</v>
      </c>
      <c r="S233" s="1203">
        <v>0</v>
      </c>
    </row>
    <row r="234" spans="1:19" hidden="1" outlineLevel="1">
      <c r="A234" s="1198">
        <v>41223</v>
      </c>
      <c r="B234" s="1199" t="s">
        <v>1685</v>
      </c>
      <c r="C234" s="1211">
        <v>8</v>
      </c>
      <c r="D234" s="1212"/>
      <c r="E234" s="1212"/>
      <c r="F234" s="1212"/>
      <c r="G234" s="1212"/>
      <c r="H234" s="1212"/>
      <c r="I234" s="1211">
        <v>0</v>
      </c>
      <c r="J234" s="1202">
        <v>0</v>
      </c>
      <c r="K234" s="1203">
        <v>0</v>
      </c>
      <c r="L234" s="1203">
        <v>0</v>
      </c>
      <c r="M234" s="1203">
        <v>0</v>
      </c>
      <c r="N234" s="1203">
        <v>0</v>
      </c>
      <c r="O234" s="1203">
        <v>0</v>
      </c>
      <c r="P234" s="1203">
        <v>0</v>
      </c>
      <c r="Q234" s="1203">
        <v>0</v>
      </c>
      <c r="R234" s="1203">
        <v>0</v>
      </c>
      <c r="S234" s="1203">
        <v>0</v>
      </c>
    </row>
    <row r="235" spans="1:19" hidden="1" outlineLevel="1">
      <c r="A235" s="1198">
        <v>10508</v>
      </c>
      <c r="B235" s="1199" t="s">
        <v>1686</v>
      </c>
      <c r="C235" s="1211">
        <v>8</v>
      </c>
      <c r="D235" s="1212"/>
      <c r="E235" s="1212"/>
      <c r="F235" s="1212"/>
      <c r="G235" s="1212"/>
      <c r="H235" s="1212"/>
      <c r="I235" s="1211">
        <v>0</v>
      </c>
      <c r="J235" s="1202">
        <v>0</v>
      </c>
      <c r="K235" s="1203">
        <v>0</v>
      </c>
      <c r="L235" s="1203">
        <v>0</v>
      </c>
      <c r="M235" s="1203">
        <v>0</v>
      </c>
      <c r="N235" s="1203">
        <v>0</v>
      </c>
      <c r="O235" s="1203">
        <v>0</v>
      </c>
      <c r="P235" s="1203">
        <v>0</v>
      </c>
      <c r="Q235" s="1203">
        <v>0</v>
      </c>
      <c r="R235" s="1203">
        <v>0</v>
      </c>
      <c r="S235" s="1203">
        <v>0</v>
      </c>
    </row>
    <row r="236" spans="1:19" hidden="1" outlineLevel="1">
      <c r="A236" s="1198">
        <v>10509</v>
      </c>
      <c r="B236" s="1199" t="s">
        <v>1687</v>
      </c>
      <c r="C236" s="1211">
        <v>8</v>
      </c>
      <c r="D236" s="1212"/>
      <c r="E236" s="1212"/>
      <c r="F236" s="1212"/>
      <c r="G236" s="1212"/>
      <c r="H236" s="1212"/>
      <c r="I236" s="1211">
        <v>0</v>
      </c>
      <c r="J236" s="1202">
        <v>0</v>
      </c>
      <c r="K236" s="1203">
        <v>0</v>
      </c>
      <c r="L236" s="1203">
        <v>0</v>
      </c>
      <c r="M236" s="1203">
        <v>0</v>
      </c>
      <c r="N236" s="1203">
        <v>0</v>
      </c>
      <c r="O236" s="1203">
        <v>0</v>
      </c>
      <c r="P236" s="1203">
        <v>0</v>
      </c>
      <c r="Q236" s="1203">
        <v>0</v>
      </c>
      <c r="R236" s="1203">
        <v>0</v>
      </c>
      <c r="S236" s="1203">
        <v>0</v>
      </c>
    </row>
    <row r="237" spans="1:19" hidden="1" outlineLevel="1">
      <c r="A237" s="1198">
        <v>3571</v>
      </c>
      <c r="B237" s="1199" t="s">
        <v>1688</v>
      </c>
      <c r="C237" s="1211">
        <v>2</v>
      </c>
      <c r="D237" s="1212"/>
      <c r="E237" s="1212"/>
      <c r="F237" s="1212"/>
      <c r="G237" s="1212"/>
      <c r="H237" s="1212"/>
      <c r="I237" s="1211">
        <v>0</v>
      </c>
      <c r="J237" s="1211">
        <v>0</v>
      </c>
      <c r="K237" s="1212">
        <v>0</v>
      </c>
      <c r="L237" s="1212">
        <v>0</v>
      </c>
      <c r="M237" s="1212">
        <v>0</v>
      </c>
      <c r="N237" s="1212">
        <v>0</v>
      </c>
      <c r="O237" s="1212">
        <v>0</v>
      </c>
      <c r="P237" s="1212">
        <v>0</v>
      </c>
      <c r="Q237" s="1212">
        <v>0</v>
      </c>
      <c r="R237" s="1212">
        <v>0</v>
      </c>
      <c r="S237" s="1212">
        <v>0</v>
      </c>
    </row>
    <row r="238" spans="1:19" hidden="1" outlineLevel="1">
      <c r="A238" s="1198">
        <v>460</v>
      </c>
      <c r="B238" s="1199" t="s">
        <v>1689</v>
      </c>
      <c r="C238" s="1211">
        <v>5</v>
      </c>
      <c r="D238" s="1212"/>
      <c r="E238" s="1212"/>
      <c r="F238" s="1212"/>
      <c r="G238" s="1212"/>
      <c r="H238" s="1212"/>
      <c r="I238" s="1211">
        <v>0</v>
      </c>
      <c r="J238" s="1202">
        <v>0</v>
      </c>
      <c r="K238" s="1203">
        <v>0</v>
      </c>
      <c r="L238" s="1203">
        <v>0</v>
      </c>
      <c r="M238" s="1203">
        <v>0</v>
      </c>
      <c r="N238" s="1203">
        <v>0</v>
      </c>
      <c r="O238" s="1203">
        <v>0</v>
      </c>
      <c r="P238" s="1203">
        <v>0</v>
      </c>
      <c r="Q238" s="1203">
        <v>0</v>
      </c>
      <c r="R238" s="1203">
        <v>0</v>
      </c>
      <c r="S238" s="1203">
        <v>0</v>
      </c>
    </row>
    <row r="239" spans="1:19" hidden="1" outlineLevel="1">
      <c r="A239" s="1198">
        <v>1387</v>
      </c>
      <c r="B239" s="1199" t="s">
        <v>1690</v>
      </c>
      <c r="C239" s="1211">
        <v>8</v>
      </c>
      <c r="D239" s="1212"/>
      <c r="E239" s="1212"/>
      <c r="F239" s="1212"/>
      <c r="G239" s="1212"/>
      <c r="H239" s="1212"/>
      <c r="I239" s="1211">
        <v>0</v>
      </c>
      <c r="J239" s="1202">
        <v>0</v>
      </c>
      <c r="K239" s="1203">
        <v>0</v>
      </c>
      <c r="L239" s="1203">
        <v>0</v>
      </c>
      <c r="M239" s="1203">
        <v>0</v>
      </c>
      <c r="N239" s="1203">
        <v>0</v>
      </c>
      <c r="O239" s="1203">
        <v>0</v>
      </c>
      <c r="P239" s="1203">
        <v>0</v>
      </c>
      <c r="Q239" s="1203">
        <v>0</v>
      </c>
      <c r="R239" s="1203">
        <v>0</v>
      </c>
      <c r="S239" s="1203">
        <v>0</v>
      </c>
    </row>
    <row r="240" spans="1:19" hidden="1" outlineLevel="1">
      <c r="A240" s="1198">
        <v>3576</v>
      </c>
      <c r="B240" s="1199" t="s">
        <v>1691</v>
      </c>
      <c r="C240" s="1211">
        <v>2</v>
      </c>
      <c r="D240" s="1212"/>
      <c r="E240" s="1212"/>
      <c r="F240" s="1212"/>
      <c r="G240" s="1212"/>
      <c r="H240" s="1212"/>
      <c r="I240" s="1211">
        <v>0</v>
      </c>
      <c r="J240" s="1211">
        <v>0</v>
      </c>
      <c r="K240" s="1212">
        <v>0</v>
      </c>
      <c r="L240" s="1212">
        <v>0</v>
      </c>
      <c r="M240" s="1212">
        <v>0</v>
      </c>
      <c r="N240" s="1212">
        <v>0</v>
      </c>
      <c r="O240" s="1212">
        <v>0</v>
      </c>
      <c r="P240" s="1212">
        <v>0</v>
      </c>
      <c r="Q240" s="1212">
        <v>0</v>
      </c>
      <c r="R240" s="1212">
        <v>0</v>
      </c>
      <c r="S240" s="1212">
        <v>0</v>
      </c>
    </row>
    <row r="241" spans="1:19" hidden="1" outlineLevel="1">
      <c r="A241" s="1198">
        <v>3575</v>
      </c>
      <c r="B241" s="1199" t="s">
        <v>1692</v>
      </c>
      <c r="C241" s="1211">
        <v>2</v>
      </c>
      <c r="D241" s="1212"/>
      <c r="E241" s="1212"/>
      <c r="F241" s="1212"/>
      <c r="G241" s="1212"/>
      <c r="H241" s="1212"/>
      <c r="I241" s="1211">
        <v>0</v>
      </c>
      <c r="J241" s="1211">
        <v>0</v>
      </c>
      <c r="K241" s="1212">
        <v>0</v>
      </c>
      <c r="L241" s="1212">
        <v>0</v>
      </c>
      <c r="M241" s="1212">
        <v>0</v>
      </c>
      <c r="N241" s="1212">
        <v>0</v>
      </c>
      <c r="O241" s="1212">
        <v>0</v>
      </c>
      <c r="P241" s="1212">
        <v>0</v>
      </c>
      <c r="Q241" s="1212">
        <v>0</v>
      </c>
      <c r="R241" s="1212">
        <v>0</v>
      </c>
      <c r="S241" s="1212">
        <v>0</v>
      </c>
    </row>
    <row r="242" spans="1:19" hidden="1" outlineLevel="1">
      <c r="A242" s="1198">
        <v>3577</v>
      </c>
      <c r="B242" s="1199" t="s">
        <v>1693</v>
      </c>
      <c r="C242" s="1211">
        <v>2</v>
      </c>
      <c r="D242" s="1212"/>
      <c r="E242" s="1212"/>
      <c r="F242" s="1212"/>
      <c r="G242" s="1212"/>
      <c r="H242" s="1212"/>
      <c r="I242" s="1211">
        <v>0</v>
      </c>
      <c r="J242" s="1211">
        <v>0</v>
      </c>
      <c r="K242" s="1212">
        <v>0</v>
      </c>
      <c r="L242" s="1212">
        <v>0</v>
      </c>
      <c r="M242" s="1212">
        <v>0</v>
      </c>
      <c r="N242" s="1212">
        <v>0</v>
      </c>
      <c r="O242" s="1212">
        <v>0</v>
      </c>
      <c r="P242" s="1212">
        <v>0</v>
      </c>
      <c r="Q242" s="1212">
        <v>0</v>
      </c>
      <c r="R242" s="1212">
        <v>0</v>
      </c>
      <c r="S242" s="1212">
        <v>0</v>
      </c>
    </row>
    <row r="243" spans="1:19" hidden="1" outlineLevel="1">
      <c r="A243" s="1198">
        <v>3674</v>
      </c>
      <c r="B243" s="1199" t="s">
        <v>1694</v>
      </c>
      <c r="C243" s="1211">
        <v>8</v>
      </c>
      <c r="D243" s="1212"/>
      <c r="E243" s="1212"/>
      <c r="F243" s="1212"/>
      <c r="G243" s="1212"/>
      <c r="H243" s="1212"/>
      <c r="I243" s="1211">
        <v>0</v>
      </c>
      <c r="J243" s="1202">
        <v>0</v>
      </c>
      <c r="K243" s="1203">
        <v>0</v>
      </c>
      <c r="L243" s="1203">
        <v>0</v>
      </c>
      <c r="M243" s="1203">
        <v>0</v>
      </c>
      <c r="N243" s="1203">
        <v>0</v>
      </c>
      <c r="O243" s="1203">
        <v>0</v>
      </c>
      <c r="P243" s="1203">
        <v>0</v>
      </c>
      <c r="Q243" s="1203">
        <v>0</v>
      </c>
      <c r="R243" s="1203">
        <v>0</v>
      </c>
      <c r="S243" s="1203">
        <v>0</v>
      </c>
    </row>
    <row r="244" spans="1:19" hidden="1" outlineLevel="1">
      <c r="A244" s="1198">
        <v>1807</v>
      </c>
      <c r="B244" s="1199" t="s">
        <v>1695</v>
      </c>
      <c r="C244" s="1211">
        <v>8</v>
      </c>
      <c r="D244" s="1212"/>
      <c r="E244" s="1212"/>
      <c r="F244" s="1212"/>
      <c r="G244" s="1212"/>
      <c r="H244" s="1212"/>
      <c r="I244" s="1211">
        <v>0</v>
      </c>
      <c r="J244" s="1202">
        <v>0</v>
      </c>
      <c r="K244" s="1203">
        <v>0</v>
      </c>
      <c r="L244" s="1203">
        <v>0</v>
      </c>
      <c r="M244" s="1203">
        <v>0</v>
      </c>
      <c r="N244" s="1203">
        <v>0</v>
      </c>
      <c r="O244" s="1203">
        <v>0</v>
      </c>
      <c r="P244" s="1203">
        <v>0</v>
      </c>
      <c r="Q244" s="1203">
        <v>0</v>
      </c>
      <c r="R244" s="1203">
        <v>0</v>
      </c>
      <c r="S244" s="1203">
        <v>0</v>
      </c>
    </row>
    <row r="245" spans="1:19" hidden="1" outlineLevel="1">
      <c r="A245" s="1198">
        <v>1822</v>
      </c>
      <c r="B245" s="1199" t="s">
        <v>1696</v>
      </c>
      <c r="C245" s="1211">
        <v>8</v>
      </c>
      <c r="D245" s="1212"/>
      <c r="E245" s="1212"/>
      <c r="F245" s="1212"/>
      <c r="G245" s="1212"/>
      <c r="H245" s="1212"/>
      <c r="I245" s="1211">
        <v>0</v>
      </c>
      <c r="J245" s="1202">
        <v>0</v>
      </c>
      <c r="K245" s="1203">
        <v>0</v>
      </c>
      <c r="L245" s="1203">
        <v>0</v>
      </c>
      <c r="M245" s="1203">
        <v>0</v>
      </c>
      <c r="N245" s="1203">
        <v>0</v>
      </c>
      <c r="O245" s="1203">
        <v>0</v>
      </c>
      <c r="P245" s="1203">
        <v>0</v>
      </c>
      <c r="Q245" s="1203">
        <v>0</v>
      </c>
      <c r="R245" s="1203">
        <v>0</v>
      </c>
      <c r="S245" s="1203">
        <v>0</v>
      </c>
    </row>
    <row r="246" spans="1:19" hidden="1" outlineLevel="1">
      <c r="A246" s="1198">
        <v>900059</v>
      </c>
      <c r="B246" s="1199" t="s">
        <v>1697</v>
      </c>
      <c r="C246" s="1211">
        <v>8</v>
      </c>
      <c r="D246" s="1212"/>
      <c r="E246" s="1212"/>
      <c r="F246" s="1212"/>
      <c r="G246" s="1212"/>
      <c r="H246" s="1212"/>
      <c r="I246" s="1211">
        <v>0</v>
      </c>
      <c r="J246" s="1202">
        <v>0</v>
      </c>
      <c r="K246" s="1203">
        <v>0</v>
      </c>
      <c r="L246" s="1203">
        <v>0</v>
      </c>
      <c r="M246" s="1203">
        <v>0</v>
      </c>
      <c r="N246" s="1203">
        <v>0</v>
      </c>
      <c r="O246" s="1203">
        <v>0</v>
      </c>
      <c r="P246" s="1203">
        <v>0</v>
      </c>
      <c r="Q246" s="1203">
        <v>0</v>
      </c>
      <c r="R246" s="1203">
        <v>0</v>
      </c>
      <c r="S246" s="1203">
        <v>0</v>
      </c>
    </row>
    <row r="247" spans="1:19" hidden="1" outlineLevel="1">
      <c r="A247" s="1198">
        <v>900028</v>
      </c>
      <c r="B247" s="1199" t="s">
        <v>1698</v>
      </c>
      <c r="C247" s="1211">
        <v>8</v>
      </c>
      <c r="D247" s="1212"/>
      <c r="E247" s="1212"/>
      <c r="F247" s="1212"/>
      <c r="G247" s="1212"/>
      <c r="H247" s="1212"/>
      <c r="I247" s="1211">
        <v>0</v>
      </c>
      <c r="J247" s="1202">
        <v>0</v>
      </c>
      <c r="K247" s="1203">
        <v>0</v>
      </c>
      <c r="L247" s="1203">
        <v>0</v>
      </c>
      <c r="M247" s="1203">
        <v>0</v>
      </c>
      <c r="N247" s="1203">
        <v>0</v>
      </c>
      <c r="O247" s="1203">
        <v>0</v>
      </c>
      <c r="P247" s="1203">
        <v>0</v>
      </c>
      <c r="Q247" s="1203">
        <v>0</v>
      </c>
      <c r="R247" s="1203">
        <v>0</v>
      </c>
      <c r="S247" s="1203">
        <v>0</v>
      </c>
    </row>
    <row r="248" spans="1:19" hidden="1" outlineLevel="1">
      <c r="A248" s="1198">
        <v>367361</v>
      </c>
      <c r="B248" s="1199" t="s">
        <v>1699</v>
      </c>
      <c r="C248" s="1211">
        <v>8</v>
      </c>
      <c r="D248" s="1212"/>
      <c r="E248" s="1212"/>
      <c r="F248" s="1212"/>
      <c r="G248" s="1212"/>
      <c r="H248" s="1212"/>
      <c r="I248" s="1211">
        <v>0</v>
      </c>
      <c r="J248" s="1202">
        <v>0</v>
      </c>
      <c r="K248" s="1203">
        <v>0</v>
      </c>
      <c r="L248" s="1203">
        <v>0</v>
      </c>
      <c r="M248" s="1203">
        <v>0</v>
      </c>
      <c r="N248" s="1203">
        <v>0</v>
      </c>
      <c r="O248" s="1203">
        <v>0</v>
      </c>
      <c r="P248" s="1203">
        <v>0</v>
      </c>
      <c r="Q248" s="1203">
        <v>0</v>
      </c>
      <c r="R248" s="1203">
        <v>0</v>
      </c>
      <c r="S248" s="1203">
        <v>0</v>
      </c>
    </row>
    <row r="249" spans="1:19" hidden="1" outlineLevel="1">
      <c r="A249" s="1198">
        <v>443696</v>
      </c>
      <c r="B249" s="1199" t="s">
        <v>1700</v>
      </c>
      <c r="C249" s="1211">
        <v>8</v>
      </c>
      <c r="D249" s="1212"/>
      <c r="E249" s="1212"/>
      <c r="F249" s="1212"/>
      <c r="G249" s="1212"/>
      <c r="H249" s="1212"/>
      <c r="I249" s="1211">
        <v>0</v>
      </c>
      <c r="J249" s="1202">
        <v>0</v>
      </c>
      <c r="K249" s="1203">
        <v>0</v>
      </c>
      <c r="L249" s="1203">
        <v>0</v>
      </c>
      <c r="M249" s="1203">
        <v>0</v>
      </c>
      <c r="N249" s="1203">
        <v>0</v>
      </c>
      <c r="O249" s="1203">
        <v>0</v>
      </c>
      <c r="P249" s="1203">
        <v>0</v>
      </c>
      <c r="Q249" s="1203">
        <v>0</v>
      </c>
      <c r="R249" s="1203">
        <v>0</v>
      </c>
      <c r="S249" s="1203">
        <v>0</v>
      </c>
    </row>
    <row r="250" spans="1:19" hidden="1" outlineLevel="1">
      <c r="A250" s="1198">
        <v>440776</v>
      </c>
      <c r="B250" s="1199" t="s">
        <v>1701</v>
      </c>
      <c r="C250" s="1211">
        <v>8</v>
      </c>
      <c r="D250" s="1212"/>
      <c r="E250" s="1212"/>
      <c r="F250" s="1212"/>
      <c r="G250" s="1212"/>
      <c r="H250" s="1212"/>
      <c r="I250" s="1211">
        <v>0</v>
      </c>
      <c r="J250" s="1202">
        <v>0</v>
      </c>
      <c r="K250" s="1203">
        <v>0</v>
      </c>
      <c r="L250" s="1203">
        <v>0</v>
      </c>
      <c r="M250" s="1203">
        <v>0</v>
      </c>
      <c r="N250" s="1203">
        <v>0</v>
      </c>
      <c r="O250" s="1203">
        <v>0</v>
      </c>
      <c r="P250" s="1203">
        <v>0</v>
      </c>
      <c r="Q250" s="1203">
        <v>0</v>
      </c>
      <c r="R250" s="1203">
        <v>0</v>
      </c>
      <c r="S250" s="1203">
        <v>0</v>
      </c>
    </row>
    <row r="251" spans="1:19" hidden="1" outlineLevel="1">
      <c r="A251" s="1198">
        <v>450465</v>
      </c>
      <c r="B251" s="1199" t="s">
        <v>1702</v>
      </c>
      <c r="C251" s="1211">
        <v>8</v>
      </c>
      <c r="D251" s="1212"/>
      <c r="E251" s="1212"/>
      <c r="F251" s="1212"/>
      <c r="G251" s="1212"/>
      <c r="H251" s="1212"/>
      <c r="I251" s="1211">
        <v>0</v>
      </c>
      <c r="J251" s="1202">
        <v>0</v>
      </c>
      <c r="K251" s="1203">
        <v>0</v>
      </c>
      <c r="L251" s="1203">
        <v>0</v>
      </c>
      <c r="M251" s="1203">
        <v>0</v>
      </c>
      <c r="N251" s="1203">
        <v>0</v>
      </c>
      <c r="O251" s="1203">
        <v>0</v>
      </c>
      <c r="P251" s="1203">
        <v>0</v>
      </c>
      <c r="Q251" s="1203">
        <v>0</v>
      </c>
      <c r="R251" s="1203">
        <v>0</v>
      </c>
      <c r="S251" s="1203">
        <v>0</v>
      </c>
    </row>
    <row r="252" spans="1:19" hidden="1" outlineLevel="1">
      <c r="A252" s="1198">
        <v>225849</v>
      </c>
      <c r="B252" s="1199" t="s">
        <v>1703</v>
      </c>
      <c r="C252" s="1211">
        <v>8</v>
      </c>
      <c r="D252" s="1212"/>
      <c r="E252" s="1212"/>
      <c r="F252" s="1212"/>
      <c r="G252" s="1212"/>
      <c r="H252" s="1212"/>
      <c r="I252" s="1211">
        <v>0</v>
      </c>
      <c r="J252" s="1202">
        <v>0</v>
      </c>
      <c r="K252" s="1203">
        <v>0</v>
      </c>
      <c r="L252" s="1203">
        <v>0</v>
      </c>
      <c r="M252" s="1203">
        <v>0</v>
      </c>
      <c r="N252" s="1203">
        <v>0</v>
      </c>
      <c r="O252" s="1203">
        <v>0</v>
      </c>
      <c r="P252" s="1203">
        <v>0</v>
      </c>
      <c r="Q252" s="1203">
        <v>0</v>
      </c>
      <c r="R252" s="1203">
        <v>0</v>
      </c>
      <c r="S252" s="1203">
        <v>0</v>
      </c>
    </row>
    <row r="253" spans="1:19" hidden="1" outlineLevel="1">
      <c r="A253" s="1198">
        <v>366696</v>
      </c>
      <c r="B253" s="1199" t="s">
        <v>1704</v>
      </c>
      <c r="C253" s="1211">
        <v>8</v>
      </c>
      <c r="D253" s="1212"/>
      <c r="E253" s="1212"/>
      <c r="F253" s="1212"/>
      <c r="G253" s="1212"/>
      <c r="H253" s="1212"/>
      <c r="I253" s="1211">
        <v>0</v>
      </c>
      <c r="J253" s="1202">
        <v>0</v>
      </c>
      <c r="K253" s="1203">
        <v>0</v>
      </c>
      <c r="L253" s="1203">
        <v>0</v>
      </c>
      <c r="M253" s="1203">
        <v>0</v>
      </c>
      <c r="N253" s="1203">
        <v>0</v>
      </c>
      <c r="O253" s="1203">
        <v>0</v>
      </c>
      <c r="P253" s="1203">
        <v>0</v>
      </c>
      <c r="Q253" s="1203">
        <v>0</v>
      </c>
      <c r="R253" s="1203">
        <v>0</v>
      </c>
      <c r="S253" s="1203">
        <v>0</v>
      </c>
    </row>
    <row r="254" spans="1:19" hidden="1" outlineLevel="1">
      <c r="A254" s="1198">
        <v>225858</v>
      </c>
      <c r="B254" s="1199" t="s">
        <v>1705</v>
      </c>
      <c r="C254" s="1211">
        <v>8</v>
      </c>
      <c r="D254" s="1212"/>
      <c r="E254" s="1212"/>
      <c r="F254" s="1212"/>
      <c r="G254" s="1212"/>
      <c r="H254" s="1212"/>
      <c r="I254" s="1211">
        <v>0</v>
      </c>
      <c r="J254" s="1202">
        <v>0</v>
      </c>
      <c r="K254" s="1203">
        <v>0</v>
      </c>
      <c r="L254" s="1203">
        <v>0</v>
      </c>
      <c r="M254" s="1203">
        <v>0</v>
      </c>
      <c r="N254" s="1203">
        <v>0</v>
      </c>
      <c r="O254" s="1203">
        <v>0</v>
      </c>
      <c r="P254" s="1203">
        <v>0</v>
      </c>
      <c r="Q254" s="1203">
        <v>0</v>
      </c>
      <c r="R254" s="1203">
        <v>0</v>
      </c>
      <c r="S254" s="1203">
        <v>0</v>
      </c>
    </row>
    <row r="255" spans="1:19" hidden="1" outlineLevel="1">
      <c r="A255" s="1198">
        <v>434052</v>
      </c>
      <c r="B255" s="1199" t="s">
        <v>1706</v>
      </c>
      <c r="C255" s="1211">
        <v>8</v>
      </c>
      <c r="D255" s="1212"/>
      <c r="E255" s="1212"/>
      <c r="F255" s="1212"/>
      <c r="G255" s="1212"/>
      <c r="H255" s="1212"/>
      <c r="I255" s="1211">
        <v>0</v>
      </c>
      <c r="J255" s="1202">
        <v>0</v>
      </c>
      <c r="K255" s="1203">
        <v>0</v>
      </c>
      <c r="L255" s="1203">
        <v>0</v>
      </c>
      <c r="M255" s="1203">
        <v>0</v>
      </c>
      <c r="N255" s="1203">
        <v>0</v>
      </c>
      <c r="O255" s="1203">
        <v>0</v>
      </c>
      <c r="P255" s="1203">
        <v>0</v>
      </c>
      <c r="Q255" s="1203">
        <v>0</v>
      </c>
      <c r="R255" s="1203">
        <v>0</v>
      </c>
      <c r="S255" s="1203">
        <v>0</v>
      </c>
    </row>
    <row r="256" spans="1:19" hidden="1" outlineLevel="1">
      <c r="A256" s="1198">
        <v>377069</v>
      </c>
      <c r="B256" s="1199" t="s">
        <v>1707</v>
      </c>
      <c r="C256" s="1211">
        <v>8</v>
      </c>
      <c r="D256" s="1212"/>
      <c r="E256" s="1212"/>
      <c r="F256" s="1212"/>
      <c r="G256" s="1212"/>
      <c r="H256" s="1212"/>
      <c r="I256" s="1211">
        <v>0</v>
      </c>
      <c r="J256" s="1202">
        <v>0</v>
      </c>
      <c r="K256" s="1203">
        <v>0</v>
      </c>
      <c r="L256" s="1203">
        <v>0</v>
      </c>
      <c r="M256" s="1203">
        <v>0</v>
      </c>
      <c r="N256" s="1203">
        <v>0</v>
      </c>
      <c r="O256" s="1203">
        <v>0</v>
      </c>
      <c r="P256" s="1203">
        <v>0</v>
      </c>
      <c r="Q256" s="1203">
        <v>0</v>
      </c>
      <c r="R256" s="1203">
        <v>0</v>
      </c>
      <c r="S256" s="1203">
        <v>0</v>
      </c>
    </row>
    <row r="257" spans="1:19" hidden="1" outlineLevel="1">
      <c r="A257" s="1198">
        <v>427663</v>
      </c>
      <c r="B257" s="1199" t="s">
        <v>1708</v>
      </c>
      <c r="C257" s="1211">
        <v>8</v>
      </c>
      <c r="D257" s="1212"/>
      <c r="E257" s="1212"/>
      <c r="F257" s="1212"/>
      <c r="G257" s="1212"/>
      <c r="H257" s="1212"/>
      <c r="I257" s="1211">
        <v>0</v>
      </c>
      <c r="J257" s="1202">
        <v>0</v>
      </c>
      <c r="K257" s="1203">
        <v>0</v>
      </c>
      <c r="L257" s="1203">
        <v>0</v>
      </c>
      <c r="M257" s="1203">
        <v>0</v>
      </c>
      <c r="N257" s="1203">
        <v>0</v>
      </c>
      <c r="O257" s="1203">
        <v>0</v>
      </c>
      <c r="P257" s="1203">
        <v>0</v>
      </c>
      <c r="Q257" s="1203">
        <v>0</v>
      </c>
      <c r="R257" s="1203">
        <v>0</v>
      </c>
      <c r="S257" s="1203">
        <v>0</v>
      </c>
    </row>
    <row r="258" spans="1:19" hidden="1" outlineLevel="1">
      <c r="A258" s="1198">
        <v>459657</v>
      </c>
      <c r="B258" s="1199" t="s">
        <v>1709</v>
      </c>
      <c r="C258" s="1211">
        <v>8</v>
      </c>
      <c r="D258" s="1212"/>
      <c r="E258" s="1212"/>
      <c r="F258" s="1212"/>
      <c r="G258" s="1212"/>
      <c r="H258" s="1212"/>
      <c r="I258" s="1211">
        <v>0</v>
      </c>
      <c r="J258" s="1202">
        <v>0</v>
      </c>
      <c r="K258" s="1203">
        <v>0</v>
      </c>
      <c r="L258" s="1203">
        <v>0</v>
      </c>
      <c r="M258" s="1203">
        <v>0</v>
      </c>
      <c r="N258" s="1203">
        <v>0</v>
      </c>
      <c r="O258" s="1203">
        <v>0</v>
      </c>
      <c r="P258" s="1203">
        <v>0</v>
      </c>
      <c r="Q258" s="1203">
        <v>0</v>
      </c>
      <c r="R258" s="1203">
        <v>0</v>
      </c>
      <c r="S258" s="1203">
        <v>0</v>
      </c>
    </row>
    <row r="259" spans="1:19" hidden="1" outlineLevel="1">
      <c r="A259" s="1198">
        <v>366678</v>
      </c>
      <c r="B259" s="1199" t="s">
        <v>1710</v>
      </c>
      <c r="C259" s="1211">
        <v>8</v>
      </c>
      <c r="D259" s="1212"/>
      <c r="E259" s="1212"/>
      <c r="F259" s="1212"/>
      <c r="G259" s="1212"/>
      <c r="H259" s="1212"/>
      <c r="I259" s="1211">
        <v>0</v>
      </c>
      <c r="J259" s="1202">
        <v>0</v>
      </c>
      <c r="K259" s="1203">
        <v>0</v>
      </c>
      <c r="L259" s="1203">
        <v>0</v>
      </c>
      <c r="M259" s="1203">
        <v>0</v>
      </c>
      <c r="N259" s="1203">
        <v>0</v>
      </c>
      <c r="O259" s="1203">
        <v>0</v>
      </c>
      <c r="P259" s="1203">
        <v>0</v>
      </c>
      <c r="Q259" s="1203">
        <v>0</v>
      </c>
      <c r="R259" s="1203">
        <v>0</v>
      </c>
      <c r="S259" s="1203">
        <v>0</v>
      </c>
    </row>
    <row r="260" spans="1:19" hidden="1" outlineLevel="1">
      <c r="A260" s="1198">
        <v>7329</v>
      </c>
      <c r="B260" s="1199" t="s">
        <v>1711</v>
      </c>
      <c r="C260" s="1211">
        <v>8</v>
      </c>
      <c r="D260" s="1212"/>
      <c r="E260" s="1212"/>
      <c r="F260" s="1212"/>
      <c r="G260" s="1212"/>
      <c r="H260" s="1212"/>
      <c r="I260" s="1211">
        <v>0</v>
      </c>
      <c r="J260" s="1202">
        <v>0</v>
      </c>
      <c r="K260" s="1203">
        <v>0</v>
      </c>
      <c r="L260" s="1203">
        <v>0</v>
      </c>
      <c r="M260" s="1203">
        <v>0</v>
      </c>
      <c r="N260" s="1203">
        <v>0</v>
      </c>
      <c r="O260" s="1203">
        <v>0</v>
      </c>
      <c r="P260" s="1203">
        <v>0</v>
      </c>
      <c r="Q260" s="1203">
        <v>0</v>
      </c>
      <c r="R260" s="1203">
        <v>0</v>
      </c>
      <c r="S260" s="1203">
        <v>0</v>
      </c>
    </row>
    <row r="261" spans="1:19" hidden="1" outlineLevel="1">
      <c r="A261" s="1198">
        <v>470898</v>
      </c>
      <c r="B261" s="1199" t="s">
        <v>1712</v>
      </c>
      <c r="C261" s="1211">
        <v>8</v>
      </c>
      <c r="D261" s="1212"/>
      <c r="E261" s="1212"/>
      <c r="F261" s="1212"/>
      <c r="G261" s="1212"/>
      <c r="H261" s="1212"/>
      <c r="I261" s="1211">
        <v>0</v>
      </c>
      <c r="J261" s="1202">
        <v>0</v>
      </c>
      <c r="K261" s="1203">
        <v>0</v>
      </c>
      <c r="L261" s="1203">
        <v>0</v>
      </c>
      <c r="M261" s="1203">
        <v>0</v>
      </c>
      <c r="N261" s="1203">
        <v>0</v>
      </c>
      <c r="O261" s="1203">
        <v>0</v>
      </c>
      <c r="P261" s="1203">
        <v>0</v>
      </c>
      <c r="Q261" s="1203">
        <v>0</v>
      </c>
      <c r="R261" s="1203">
        <v>0</v>
      </c>
      <c r="S261" s="1203">
        <v>0</v>
      </c>
    </row>
    <row r="262" spans="1:19" hidden="1" outlineLevel="1">
      <c r="A262" s="1198">
        <v>3579</v>
      </c>
      <c r="B262" s="1199" t="s">
        <v>1713</v>
      </c>
      <c r="C262" s="1211">
        <v>4</v>
      </c>
      <c r="D262" s="1212"/>
      <c r="E262" s="1212"/>
      <c r="F262" s="1212"/>
      <c r="G262" s="1212"/>
      <c r="H262" s="1212"/>
      <c r="I262" s="1211">
        <v>0</v>
      </c>
      <c r="J262" s="1202">
        <v>0</v>
      </c>
      <c r="K262" s="1203">
        <v>0</v>
      </c>
      <c r="L262" s="1203">
        <v>0</v>
      </c>
      <c r="M262" s="1203">
        <v>0</v>
      </c>
      <c r="N262" s="1203">
        <v>0</v>
      </c>
      <c r="O262" s="1203">
        <v>0</v>
      </c>
      <c r="P262" s="1203">
        <v>0</v>
      </c>
      <c r="Q262" s="1203">
        <v>0</v>
      </c>
      <c r="R262" s="1203">
        <v>0</v>
      </c>
      <c r="S262" s="1203">
        <v>0</v>
      </c>
    </row>
    <row r="263" spans="1:19" hidden="1" outlineLevel="1">
      <c r="A263" s="1198">
        <v>3637</v>
      </c>
      <c r="B263" s="1199" t="s">
        <v>1714</v>
      </c>
      <c r="C263" s="1211">
        <v>2</v>
      </c>
      <c r="D263" s="1212"/>
      <c r="E263" s="1212"/>
      <c r="F263" s="1212"/>
      <c r="G263" s="1212"/>
      <c r="H263" s="1212"/>
      <c r="I263" s="1211">
        <v>0</v>
      </c>
      <c r="J263" s="1211">
        <v>0</v>
      </c>
      <c r="K263" s="1212">
        <v>0</v>
      </c>
      <c r="L263" s="1212">
        <v>0</v>
      </c>
      <c r="M263" s="1212">
        <v>0</v>
      </c>
      <c r="N263" s="1212">
        <v>0</v>
      </c>
      <c r="O263" s="1212">
        <v>0</v>
      </c>
      <c r="P263" s="1212">
        <v>0</v>
      </c>
      <c r="Q263" s="1212">
        <v>0</v>
      </c>
      <c r="R263" s="1212">
        <v>0</v>
      </c>
      <c r="S263" s="1212">
        <v>0</v>
      </c>
    </row>
    <row r="264" spans="1:19" hidden="1" outlineLevel="1">
      <c r="A264" s="1198">
        <v>1100</v>
      </c>
      <c r="B264" s="1199" t="s">
        <v>1715</v>
      </c>
      <c r="C264" s="1211">
        <v>8</v>
      </c>
      <c r="D264" s="1212"/>
      <c r="E264" s="1212"/>
      <c r="F264" s="1212"/>
      <c r="G264" s="1212"/>
      <c r="H264" s="1212"/>
      <c r="I264" s="1211">
        <v>0</v>
      </c>
      <c r="J264" s="1202">
        <v>0</v>
      </c>
      <c r="K264" s="1203">
        <v>0</v>
      </c>
      <c r="L264" s="1203">
        <v>0</v>
      </c>
      <c r="M264" s="1203">
        <v>0</v>
      </c>
      <c r="N264" s="1203">
        <v>0</v>
      </c>
      <c r="O264" s="1203">
        <v>0</v>
      </c>
      <c r="P264" s="1203">
        <v>0</v>
      </c>
      <c r="Q264" s="1203">
        <v>0</v>
      </c>
      <c r="R264" s="1203">
        <v>0</v>
      </c>
      <c r="S264" s="1203">
        <v>0</v>
      </c>
    </row>
    <row r="265" spans="1:19" hidden="1" outlineLevel="1">
      <c r="A265" s="1198">
        <v>462</v>
      </c>
      <c r="B265" s="1199" t="s">
        <v>1716</v>
      </c>
      <c r="C265" s="1211">
        <v>5</v>
      </c>
      <c r="D265" s="1212"/>
      <c r="E265" s="1212"/>
      <c r="F265" s="1212"/>
      <c r="G265" s="1212"/>
      <c r="H265" s="1212"/>
      <c r="I265" s="1211">
        <v>0</v>
      </c>
      <c r="J265" s="1202">
        <v>0</v>
      </c>
      <c r="K265" s="1203">
        <v>0</v>
      </c>
      <c r="L265" s="1203">
        <v>0</v>
      </c>
      <c r="M265" s="1203">
        <v>0</v>
      </c>
      <c r="N265" s="1203">
        <v>0</v>
      </c>
      <c r="O265" s="1203">
        <v>0</v>
      </c>
      <c r="P265" s="1203">
        <v>0</v>
      </c>
      <c r="Q265" s="1203">
        <v>0</v>
      </c>
      <c r="R265" s="1203">
        <v>0</v>
      </c>
      <c r="S265" s="1203">
        <v>0</v>
      </c>
    </row>
    <row r="266" spans="1:19" hidden="1" outlineLevel="1">
      <c r="A266" s="1198">
        <v>35343</v>
      </c>
      <c r="B266" s="1199" t="s">
        <v>1717</v>
      </c>
      <c r="C266" s="1211">
        <v>8</v>
      </c>
      <c r="D266" s="1212"/>
      <c r="E266" s="1212"/>
      <c r="F266" s="1212"/>
      <c r="G266" s="1212"/>
      <c r="H266" s="1212"/>
      <c r="I266" s="1211">
        <v>0</v>
      </c>
      <c r="J266" s="1202">
        <v>0</v>
      </c>
      <c r="K266" s="1203">
        <v>0</v>
      </c>
      <c r="L266" s="1203">
        <v>0</v>
      </c>
      <c r="M266" s="1203">
        <v>0</v>
      </c>
      <c r="N266" s="1203">
        <v>0</v>
      </c>
      <c r="O266" s="1203">
        <v>0</v>
      </c>
      <c r="P266" s="1203">
        <v>0</v>
      </c>
      <c r="Q266" s="1203">
        <v>0</v>
      </c>
      <c r="R266" s="1203">
        <v>0</v>
      </c>
      <c r="S266" s="1203">
        <v>0</v>
      </c>
    </row>
    <row r="267" spans="1:19" hidden="1" outlineLevel="1">
      <c r="A267" s="1198">
        <v>440323</v>
      </c>
      <c r="B267" s="1199" t="s">
        <v>1718</v>
      </c>
      <c r="C267" s="1211">
        <v>8</v>
      </c>
      <c r="D267" s="1212"/>
      <c r="E267" s="1212"/>
      <c r="F267" s="1212"/>
      <c r="G267" s="1212"/>
      <c r="H267" s="1212"/>
      <c r="I267" s="1211">
        <v>0</v>
      </c>
      <c r="J267" s="1202">
        <v>0</v>
      </c>
      <c r="K267" s="1203">
        <v>0</v>
      </c>
      <c r="L267" s="1203">
        <v>0</v>
      </c>
      <c r="M267" s="1203">
        <v>0</v>
      </c>
      <c r="N267" s="1203">
        <v>0</v>
      </c>
      <c r="O267" s="1203">
        <v>0</v>
      </c>
      <c r="P267" s="1203">
        <v>0</v>
      </c>
      <c r="Q267" s="1203">
        <v>0</v>
      </c>
      <c r="R267" s="1203">
        <v>0</v>
      </c>
      <c r="S267" s="1203">
        <v>0</v>
      </c>
    </row>
    <row r="268" spans="1:19" hidden="1" outlineLevel="1">
      <c r="A268" s="1198">
        <v>382896</v>
      </c>
      <c r="B268" s="1199" t="s">
        <v>1719</v>
      </c>
      <c r="C268" s="1211">
        <v>8</v>
      </c>
      <c r="D268" s="1212"/>
      <c r="E268" s="1212"/>
      <c r="F268" s="1212"/>
      <c r="G268" s="1212"/>
      <c r="H268" s="1212"/>
      <c r="I268" s="1211">
        <v>0</v>
      </c>
      <c r="J268" s="1202">
        <v>0</v>
      </c>
      <c r="K268" s="1203">
        <v>0</v>
      </c>
      <c r="L268" s="1203">
        <v>0</v>
      </c>
      <c r="M268" s="1203">
        <v>0</v>
      </c>
      <c r="N268" s="1203">
        <v>0</v>
      </c>
      <c r="O268" s="1203">
        <v>0</v>
      </c>
      <c r="P268" s="1203">
        <v>0</v>
      </c>
      <c r="Q268" s="1203">
        <v>0</v>
      </c>
      <c r="R268" s="1203">
        <v>0</v>
      </c>
      <c r="S268" s="1203">
        <v>0</v>
      </c>
    </row>
    <row r="269" spans="1:19" hidden="1" outlineLevel="1">
      <c r="A269" s="1198">
        <v>445328</v>
      </c>
      <c r="B269" s="1199" t="s">
        <v>1720</v>
      </c>
      <c r="C269" s="1211">
        <v>8</v>
      </c>
      <c r="D269" s="1212"/>
      <c r="E269" s="1212"/>
      <c r="F269" s="1212"/>
      <c r="G269" s="1212"/>
      <c r="H269" s="1212"/>
      <c r="I269" s="1211">
        <v>0</v>
      </c>
      <c r="J269" s="1202">
        <v>0</v>
      </c>
      <c r="K269" s="1203">
        <v>0</v>
      </c>
      <c r="L269" s="1203">
        <v>0</v>
      </c>
      <c r="M269" s="1203">
        <v>0</v>
      </c>
      <c r="N269" s="1203">
        <v>0</v>
      </c>
      <c r="O269" s="1203">
        <v>0</v>
      </c>
      <c r="P269" s="1203">
        <v>0</v>
      </c>
      <c r="Q269" s="1203">
        <v>0</v>
      </c>
      <c r="R269" s="1203">
        <v>0</v>
      </c>
      <c r="S269" s="1203">
        <v>0</v>
      </c>
    </row>
    <row r="270" spans="1:19" hidden="1" outlineLevel="1">
      <c r="A270" s="1198">
        <v>440332</v>
      </c>
      <c r="B270" s="1199" t="s">
        <v>1721</v>
      </c>
      <c r="C270" s="1211">
        <v>8</v>
      </c>
      <c r="D270" s="1212"/>
      <c r="E270" s="1212"/>
      <c r="F270" s="1212"/>
      <c r="G270" s="1212"/>
      <c r="H270" s="1212"/>
      <c r="I270" s="1211">
        <v>0</v>
      </c>
      <c r="J270" s="1202">
        <v>0</v>
      </c>
      <c r="K270" s="1203">
        <v>0</v>
      </c>
      <c r="L270" s="1203">
        <v>0</v>
      </c>
      <c r="M270" s="1203">
        <v>0</v>
      </c>
      <c r="N270" s="1203">
        <v>0</v>
      </c>
      <c r="O270" s="1203">
        <v>0</v>
      </c>
      <c r="P270" s="1203">
        <v>0</v>
      </c>
      <c r="Q270" s="1203">
        <v>0</v>
      </c>
      <c r="R270" s="1203">
        <v>0</v>
      </c>
      <c r="S270" s="1203">
        <v>0</v>
      </c>
    </row>
    <row r="271" spans="1:19" hidden="1" outlineLevel="1">
      <c r="A271" s="1198">
        <v>445346</v>
      </c>
      <c r="B271" s="1199" t="s">
        <v>1722</v>
      </c>
      <c r="C271" s="1211">
        <v>8</v>
      </c>
      <c r="D271" s="1212"/>
      <c r="E271" s="1212"/>
      <c r="F271" s="1212"/>
      <c r="G271" s="1212"/>
      <c r="H271" s="1212"/>
      <c r="I271" s="1211">
        <v>0</v>
      </c>
      <c r="J271" s="1202">
        <v>0</v>
      </c>
      <c r="K271" s="1203">
        <v>0</v>
      </c>
      <c r="L271" s="1203">
        <v>0</v>
      </c>
      <c r="M271" s="1203">
        <v>0</v>
      </c>
      <c r="N271" s="1203">
        <v>0</v>
      </c>
      <c r="O271" s="1203">
        <v>0</v>
      </c>
      <c r="P271" s="1203">
        <v>0</v>
      </c>
      <c r="Q271" s="1203">
        <v>0</v>
      </c>
      <c r="R271" s="1203">
        <v>0</v>
      </c>
      <c r="S271" s="1203">
        <v>0</v>
      </c>
    </row>
    <row r="272" spans="1:19" hidden="1" outlineLevel="1">
      <c r="A272" s="1198">
        <v>227836</v>
      </c>
      <c r="B272" s="1199" t="s">
        <v>1723</v>
      </c>
      <c r="C272" s="1211">
        <v>8</v>
      </c>
      <c r="D272" s="1212"/>
      <c r="E272" s="1212"/>
      <c r="F272" s="1212"/>
      <c r="G272" s="1212"/>
      <c r="H272" s="1212"/>
      <c r="I272" s="1211">
        <v>0</v>
      </c>
      <c r="J272" s="1202">
        <v>0</v>
      </c>
      <c r="K272" s="1203">
        <v>0</v>
      </c>
      <c r="L272" s="1203">
        <v>0</v>
      </c>
      <c r="M272" s="1203">
        <v>0</v>
      </c>
      <c r="N272" s="1203">
        <v>0</v>
      </c>
      <c r="O272" s="1203">
        <v>0</v>
      </c>
      <c r="P272" s="1203">
        <v>0</v>
      </c>
      <c r="Q272" s="1203">
        <v>0</v>
      </c>
      <c r="R272" s="1203">
        <v>0</v>
      </c>
      <c r="S272" s="1203">
        <v>0</v>
      </c>
    </row>
    <row r="273" spans="1:19" hidden="1" outlineLevel="1">
      <c r="A273" s="1198">
        <v>445337</v>
      </c>
      <c r="B273" s="1199" t="s">
        <v>1724</v>
      </c>
      <c r="C273" s="1211">
        <v>8</v>
      </c>
      <c r="D273" s="1212"/>
      <c r="E273" s="1212"/>
      <c r="F273" s="1212"/>
      <c r="G273" s="1212"/>
      <c r="H273" s="1212"/>
      <c r="I273" s="1211">
        <v>0</v>
      </c>
      <c r="J273" s="1202">
        <v>0</v>
      </c>
      <c r="K273" s="1203">
        <v>0</v>
      </c>
      <c r="L273" s="1203">
        <v>0</v>
      </c>
      <c r="M273" s="1203">
        <v>0</v>
      </c>
      <c r="N273" s="1203">
        <v>0</v>
      </c>
      <c r="O273" s="1203">
        <v>0</v>
      </c>
      <c r="P273" s="1203">
        <v>0</v>
      </c>
      <c r="Q273" s="1203">
        <v>0</v>
      </c>
      <c r="R273" s="1203">
        <v>0</v>
      </c>
      <c r="S273" s="1203">
        <v>0</v>
      </c>
    </row>
    <row r="274" spans="1:19" hidden="1" outlineLevel="1">
      <c r="A274" s="1198">
        <v>431886</v>
      </c>
      <c r="B274" s="1199" t="s">
        <v>1725</v>
      </c>
      <c r="C274" s="1211">
        <v>8</v>
      </c>
      <c r="D274" s="1212"/>
      <c r="E274" s="1212"/>
      <c r="F274" s="1212"/>
      <c r="G274" s="1212"/>
      <c r="H274" s="1212"/>
      <c r="I274" s="1211">
        <v>0</v>
      </c>
      <c r="J274" s="1202">
        <v>0</v>
      </c>
      <c r="K274" s="1203">
        <v>0</v>
      </c>
      <c r="L274" s="1203">
        <v>0</v>
      </c>
      <c r="M274" s="1203">
        <v>0</v>
      </c>
      <c r="N274" s="1203">
        <v>0</v>
      </c>
      <c r="O274" s="1203">
        <v>0</v>
      </c>
      <c r="P274" s="1203">
        <v>0</v>
      </c>
      <c r="Q274" s="1203">
        <v>0</v>
      </c>
      <c r="R274" s="1203">
        <v>0</v>
      </c>
      <c r="S274" s="1203">
        <v>0</v>
      </c>
    </row>
    <row r="275" spans="1:19" hidden="1" outlineLevel="1">
      <c r="A275" s="1198">
        <v>458690</v>
      </c>
      <c r="B275" s="1199" t="s">
        <v>1726</v>
      </c>
      <c r="C275" s="1211">
        <v>8</v>
      </c>
      <c r="D275" s="1212"/>
      <c r="E275" s="1212"/>
      <c r="F275" s="1212"/>
      <c r="G275" s="1212"/>
      <c r="H275" s="1212"/>
      <c r="I275" s="1211">
        <v>0</v>
      </c>
      <c r="J275" s="1202">
        <v>0</v>
      </c>
      <c r="K275" s="1203">
        <v>0</v>
      </c>
      <c r="L275" s="1203">
        <v>0</v>
      </c>
      <c r="M275" s="1203">
        <v>0</v>
      </c>
      <c r="N275" s="1203">
        <v>0</v>
      </c>
      <c r="O275" s="1203">
        <v>0</v>
      </c>
      <c r="P275" s="1203">
        <v>0</v>
      </c>
      <c r="Q275" s="1203">
        <v>0</v>
      </c>
      <c r="R275" s="1203">
        <v>0</v>
      </c>
      <c r="S275" s="1203">
        <v>0</v>
      </c>
    </row>
    <row r="276" spans="1:19" hidden="1" outlineLevel="1">
      <c r="A276" s="1198">
        <v>443827</v>
      </c>
      <c r="B276" s="1199" t="s">
        <v>1727</v>
      </c>
      <c r="C276" s="1211">
        <v>8</v>
      </c>
      <c r="D276" s="1212"/>
      <c r="E276" s="1212"/>
      <c r="F276" s="1212"/>
      <c r="G276" s="1212"/>
      <c r="H276" s="1212"/>
      <c r="I276" s="1211">
        <v>0</v>
      </c>
      <c r="J276" s="1202">
        <v>0</v>
      </c>
      <c r="K276" s="1203">
        <v>0</v>
      </c>
      <c r="L276" s="1203">
        <v>0</v>
      </c>
      <c r="M276" s="1203">
        <v>0</v>
      </c>
      <c r="N276" s="1203">
        <v>0</v>
      </c>
      <c r="O276" s="1203">
        <v>0</v>
      </c>
      <c r="P276" s="1203">
        <v>0</v>
      </c>
      <c r="Q276" s="1203">
        <v>0</v>
      </c>
      <c r="R276" s="1203">
        <v>0</v>
      </c>
      <c r="S276" s="1203">
        <v>0</v>
      </c>
    </row>
    <row r="277" spans="1:19" hidden="1" outlineLevel="1">
      <c r="A277" s="1198">
        <v>443836</v>
      </c>
      <c r="B277" s="1199" t="s">
        <v>1728</v>
      </c>
      <c r="C277" s="1211">
        <v>8</v>
      </c>
      <c r="D277" s="1212"/>
      <c r="E277" s="1212"/>
      <c r="F277" s="1212"/>
      <c r="G277" s="1212"/>
      <c r="H277" s="1212"/>
      <c r="I277" s="1211">
        <v>0</v>
      </c>
      <c r="J277" s="1202">
        <v>0</v>
      </c>
      <c r="K277" s="1203">
        <v>0</v>
      </c>
      <c r="L277" s="1203">
        <v>0</v>
      </c>
      <c r="M277" s="1203">
        <v>0</v>
      </c>
      <c r="N277" s="1203">
        <v>0</v>
      </c>
      <c r="O277" s="1203">
        <v>0</v>
      </c>
      <c r="P277" s="1203">
        <v>0</v>
      </c>
      <c r="Q277" s="1203">
        <v>0</v>
      </c>
      <c r="R277" s="1203">
        <v>0</v>
      </c>
      <c r="S277" s="1203">
        <v>0</v>
      </c>
    </row>
    <row r="278" spans="1:19" hidden="1" outlineLevel="1">
      <c r="A278" s="1198">
        <v>246266</v>
      </c>
      <c r="B278" s="1199" t="s">
        <v>1729</v>
      </c>
      <c r="C278" s="1211">
        <v>8</v>
      </c>
      <c r="D278" s="1212"/>
      <c r="E278" s="1212"/>
      <c r="F278" s="1212"/>
      <c r="G278" s="1212"/>
      <c r="H278" s="1212"/>
      <c r="I278" s="1211">
        <v>0</v>
      </c>
      <c r="J278" s="1202">
        <v>0</v>
      </c>
      <c r="K278" s="1203">
        <v>0</v>
      </c>
      <c r="L278" s="1203">
        <v>0</v>
      </c>
      <c r="M278" s="1203">
        <v>0</v>
      </c>
      <c r="N278" s="1203">
        <v>0</v>
      </c>
      <c r="O278" s="1203">
        <v>0</v>
      </c>
      <c r="P278" s="1203">
        <v>0</v>
      </c>
      <c r="Q278" s="1203">
        <v>0</v>
      </c>
      <c r="R278" s="1203">
        <v>0</v>
      </c>
      <c r="S278" s="1203">
        <v>0</v>
      </c>
    </row>
    <row r="279" spans="1:19" hidden="1" outlineLevel="1">
      <c r="A279" s="1198">
        <v>364955</v>
      </c>
      <c r="B279" s="1199" t="s">
        <v>1730</v>
      </c>
      <c r="C279" s="1211">
        <v>8</v>
      </c>
      <c r="D279" s="1212"/>
      <c r="E279" s="1212"/>
      <c r="F279" s="1212"/>
      <c r="G279" s="1212"/>
      <c r="H279" s="1212"/>
      <c r="I279" s="1211">
        <v>0</v>
      </c>
      <c r="J279" s="1202">
        <v>0</v>
      </c>
      <c r="K279" s="1203">
        <v>0</v>
      </c>
      <c r="L279" s="1203">
        <v>0</v>
      </c>
      <c r="M279" s="1203">
        <v>0</v>
      </c>
      <c r="N279" s="1203">
        <v>0</v>
      </c>
      <c r="O279" s="1203">
        <v>0</v>
      </c>
      <c r="P279" s="1203">
        <v>0</v>
      </c>
      <c r="Q279" s="1203">
        <v>0</v>
      </c>
      <c r="R279" s="1203">
        <v>0</v>
      </c>
      <c r="S279" s="1203">
        <v>0</v>
      </c>
    </row>
    <row r="280" spans="1:19" hidden="1" outlineLevel="1">
      <c r="A280" s="1198">
        <v>4586</v>
      </c>
      <c r="B280" s="1199" t="s">
        <v>1731</v>
      </c>
      <c r="C280" s="1211">
        <v>8</v>
      </c>
      <c r="D280" s="1212"/>
      <c r="E280" s="1212"/>
      <c r="F280" s="1212"/>
      <c r="G280" s="1212"/>
      <c r="H280" s="1212"/>
      <c r="I280" s="1211">
        <v>0</v>
      </c>
      <c r="J280" s="1202">
        <v>0</v>
      </c>
      <c r="K280" s="1203">
        <v>0</v>
      </c>
      <c r="L280" s="1203">
        <v>0</v>
      </c>
      <c r="M280" s="1203">
        <v>0</v>
      </c>
      <c r="N280" s="1203">
        <v>0</v>
      </c>
      <c r="O280" s="1203">
        <v>0</v>
      </c>
      <c r="P280" s="1203">
        <v>0</v>
      </c>
      <c r="Q280" s="1203">
        <v>0</v>
      </c>
      <c r="R280" s="1203">
        <v>0</v>
      </c>
      <c r="S280" s="1203">
        <v>0</v>
      </c>
    </row>
    <row r="281" spans="1:19" hidden="1" outlineLevel="1">
      <c r="A281" s="1198">
        <v>225991</v>
      </c>
      <c r="B281" s="1199" t="s">
        <v>1732</v>
      </c>
      <c r="C281" s="1211">
        <v>8</v>
      </c>
      <c r="D281" s="1212"/>
      <c r="E281" s="1212"/>
      <c r="F281" s="1212"/>
      <c r="G281" s="1212"/>
      <c r="H281" s="1212"/>
      <c r="I281" s="1211">
        <v>0</v>
      </c>
      <c r="J281" s="1202">
        <v>0</v>
      </c>
      <c r="K281" s="1203">
        <v>0</v>
      </c>
      <c r="L281" s="1203">
        <v>0</v>
      </c>
      <c r="M281" s="1203">
        <v>0</v>
      </c>
      <c r="N281" s="1203">
        <v>0</v>
      </c>
      <c r="O281" s="1203">
        <v>0</v>
      </c>
      <c r="P281" s="1203">
        <v>0</v>
      </c>
      <c r="Q281" s="1203">
        <v>0</v>
      </c>
      <c r="R281" s="1203">
        <v>0</v>
      </c>
      <c r="S281" s="1203">
        <v>0</v>
      </c>
    </row>
    <row r="282" spans="1:19" hidden="1" outlineLevel="1">
      <c r="A282" s="1198">
        <v>1703</v>
      </c>
      <c r="B282" s="1199" t="s">
        <v>1733</v>
      </c>
      <c r="C282" s="1211">
        <v>8</v>
      </c>
      <c r="D282" s="1212"/>
      <c r="E282" s="1212"/>
      <c r="F282" s="1212"/>
      <c r="G282" s="1212"/>
      <c r="H282" s="1212"/>
      <c r="I282" s="1211">
        <v>0</v>
      </c>
      <c r="J282" s="1202">
        <v>0</v>
      </c>
      <c r="K282" s="1203">
        <v>0</v>
      </c>
      <c r="L282" s="1203">
        <v>0</v>
      </c>
      <c r="M282" s="1203">
        <v>0</v>
      </c>
      <c r="N282" s="1203">
        <v>0</v>
      </c>
      <c r="O282" s="1203">
        <v>0</v>
      </c>
      <c r="P282" s="1203">
        <v>0</v>
      </c>
      <c r="Q282" s="1203">
        <v>0</v>
      </c>
      <c r="R282" s="1203">
        <v>0</v>
      </c>
      <c r="S282" s="1203">
        <v>0</v>
      </c>
    </row>
    <row r="283" spans="1:19" hidden="1" outlineLevel="1">
      <c r="A283" s="1198">
        <v>7171</v>
      </c>
      <c r="B283" s="1199" t="s">
        <v>1734</v>
      </c>
      <c r="C283" s="1211">
        <v>8</v>
      </c>
      <c r="D283" s="1212"/>
      <c r="E283" s="1212"/>
      <c r="F283" s="1212"/>
      <c r="G283" s="1212"/>
      <c r="H283" s="1212"/>
      <c r="I283" s="1211">
        <v>0</v>
      </c>
      <c r="J283" s="1202">
        <v>0</v>
      </c>
      <c r="K283" s="1203">
        <v>0</v>
      </c>
      <c r="L283" s="1203">
        <v>0</v>
      </c>
      <c r="M283" s="1203">
        <v>0</v>
      </c>
      <c r="N283" s="1203">
        <v>0</v>
      </c>
      <c r="O283" s="1203">
        <v>0</v>
      </c>
      <c r="P283" s="1203">
        <v>0</v>
      </c>
      <c r="Q283" s="1203">
        <v>0</v>
      </c>
      <c r="R283" s="1203">
        <v>0</v>
      </c>
      <c r="S283" s="1203">
        <v>0</v>
      </c>
    </row>
    <row r="284" spans="1:19" hidden="1" outlineLevel="1">
      <c r="A284" s="1198">
        <v>23124</v>
      </c>
      <c r="B284" s="1199" t="s">
        <v>1735</v>
      </c>
      <c r="C284" s="1211">
        <v>8</v>
      </c>
      <c r="D284" s="1212"/>
      <c r="E284" s="1212"/>
      <c r="F284" s="1212"/>
      <c r="G284" s="1212"/>
      <c r="H284" s="1212"/>
      <c r="I284" s="1211">
        <v>0</v>
      </c>
      <c r="J284" s="1202">
        <v>0</v>
      </c>
      <c r="K284" s="1203">
        <v>0</v>
      </c>
      <c r="L284" s="1203">
        <v>0</v>
      </c>
      <c r="M284" s="1203">
        <v>0</v>
      </c>
      <c r="N284" s="1203">
        <v>0</v>
      </c>
      <c r="O284" s="1203">
        <v>0</v>
      </c>
      <c r="P284" s="1203">
        <v>0</v>
      </c>
      <c r="Q284" s="1203">
        <v>0</v>
      </c>
      <c r="R284" s="1203">
        <v>0</v>
      </c>
      <c r="S284" s="1203">
        <v>0</v>
      </c>
    </row>
    <row r="285" spans="1:19" hidden="1" outlineLevel="1">
      <c r="A285" s="1198">
        <v>30908</v>
      </c>
      <c r="B285" s="1199" t="s">
        <v>1736</v>
      </c>
      <c r="C285" s="1211">
        <v>8</v>
      </c>
      <c r="D285" s="1212"/>
      <c r="E285" s="1212"/>
      <c r="F285" s="1212"/>
      <c r="G285" s="1212"/>
      <c r="H285" s="1212"/>
      <c r="I285" s="1211">
        <v>0</v>
      </c>
      <c r="J285" s="1202">
        <v>0</v>
      </c>
      <c r="K285" s="1203">
        <v>0</v>
      </c>
      <c r="L285" s="1203">
        <v>0</v>
      </c>
      <c r="M285" s="1203">
        <v>0</v>
      </c>
      <c r="N285" s="1203">
        <v>0</v>
      </c>
      <c r="O285" s="1203">
        <v>0</v>
      </c>
      <c r="P285" s="1203">
        <v>0</v>
      </c>
      <c r="Q285" s="1203">
        <v>0</v>
      </c>
      <c r="R285" s="1203">
        <v>0</v>
      </c>
      <c r="S285" s="1203">
        <v>0</v>
      </c>
    </row>
    <row r="286" spans="1:19" hidden="1" outlineLevel="1">
      <c r="A286" s="1198">
        <v>23192</v>
      </c>
      <c r="B286" s="1199" t="s">
        <v>1737</v>
      </c>
      <c r="C286" s="1211">
        <v>8</v>
      </c>
      <c r="D286" s="1212"/>
      <c r="E286" s="1212"/>
      <c r="F286" s="1212"/>
      <c r="G286" s="1212"/>
      <c r="H286" s="1212"/>
      <c r="I286" s="1211">
        <v>0</v>
      </c>
      <c r="J286" s="1202">
        <v>0</v>
      </c>
      <c r="K286" s="1203">
        <v>0</v>
      </c>
      <c r="L286" s="1203">
        <v>0</v>
      </c>
      <c r="M286" s="1203">
        <v>0</v>
      </c>
      <c r="N286" s="1203">
        <v>0</v>
      </c>
      <c r="O286" s="1203">
        <v>0</v>
      </c>
      <c r="P286" s="1203">
        <v>0</v>
      </c>
      <c r="Q286" s="1203">
        <v>0</v>
      </c>
      <c r="R286" s="1203">
        <v>0</v>
      </c>
      <c r="S286" s="1203">
        <v>0</v>
      </c>
    </row>
    <row r="287" spans="1:19" hidden="1" outlineLevel="1">
      <c r="A287" s="1198">
        <v>36273</v>
      </c>
      <c r="B287" s="1199" t="s">
        <v>1738</v>
      </c>
      <c r="C287" s="1211">
        <v>3</v>
      </c>
      <c r="D287" s="1212"/>
      <c r="E287" s="1212"/>
      <c r="F287" s="1212"/>
      <c r="G287" s="1212"/>
      <c r="H287" s="1212"/>
      <c r="I287" s="1211">
        <v>0</v>
      </c>
      <c r="J287" s="1202">
        <v>0</v>
      </c>
      <c r="K287" s="1203">
        <v>0</v>
      </c>
      <c r="L287" s="1203">
        <v>0</v>
      </c>
      <c r="M287" s="1203">
        <v>0</v>
      </c>
      <c r="N287" s="1203">
        <v>0</v>
      </c>
      <c r="O287" s="1203">
        <v>0</v>
      </c>
      <c r="P287" s="1203">
        <v>0</v>
      </c>
      <c r="Q287" s="1203">
        <v>0</v>
      </c>
      <c r="R287" s="1203">
        <v>0</v>
      </c>
      <c r="S287" s="1203">
        <v>0</v>
      </c>
    </row>
    <row r="288" spans="1:19" hidden="1" outlineLevel="1">
      <c r="A288" s="1198">
        <v>23582</v>
      </c>
      <c r="B288" s="1199" t="s">
        <v>1739</v>
      </c>
      <c r="C288" s="1211">
        <v>3</v>
      </c>
      <c r="D288" s="1212"/>
      <c r="E288" s="1212"/>
      <c r="F288" s="1212"/>
      <c r="G288" s="1212"/>
      <c r="H288" s="1212"/>
      <c r="I288" s="1211">
        <v>0</v>
      </c>
      <c r="J288" s="1202">
        <v>0</v>
      </c>
      <c r="K288" s="1203">
        <v>0</v>
      </c>
      <c r="L288" s="1203">
        <v>0</v>
      </c>
      <c r="M288" s="1203">
        <v>0</v>
      </c>
      <c r="N288" s="1203">
        <v>0</v>
      </c>
      <c r="O288" s="1203">
        <v>0</v>
      </c>
      <c r="P288" s="1203">
        <v>0</v>
      </c>
      <c r="Q288" s="1203">
        <v>0</v>
      </c>
      <c r="R288" s="1203">
        <v>0</v>
      </c>
      <c r="S288" s="1203">
        <v>0</v>
      </c>
    </row>
    <row r="289" spans="1:19" hidden="1" outlineLevel="1">
      <c r="A289" s="1198">
        <v>23485</v>
      </c>
      <c r="B289" s="1199" t="s">
        <v>1740</v>
      </c>
      <c r="C289" s="1211">
        <v>3</v>
      </c>
      <c r="D289" s="1212"/>
      <c r="E289" s="1212"/>
      <c r="F289" s="1212"/>
      <c r="G289" s="1212"/>
      <c r="H289" s="1212"/>
      <c r="I289" s="1211">
        <v>0</v>
      </c>
      <c r="J289" s="1202">
        <v>0</v>
      </c>
      <c r="K289" s="1203">
        <v>0</v>
      </c>
      <c r="L289" s="1203">
        <v>0</v>
      </c>
      <c r="M289" s="1203">
        <v>0</v>
      </c>
      <c r="N289" s="1203">
        <v>0</v>
      </c>
      <c r="O289" s="1203">
        <v>0</v>
      </c>
      <c r="P289" s="1203">
        <v>0</v>
      </c>
      <c r="Q289" s="1203">
        <v>0</v>
      </c>
      <c r="R289" s="1203">
        <v>0</v>
      </c>
      <c r="S289" s="1203">
        <v>0</v>
      </c>
    </row>
    <row r="290" spans="1:19" hidden="1" outlineLevel="1">
      <c r="A290" s="1198">
        <v>364973</v>
      </c>
      <c r="B290" s="1199" t="s">
        <v>1741</v>
      </c>
      <c r="C290" s="1211">
        <v>8</v>
      </c>
      <c r="D290" s="1212"/>
      <c r="E290" s="1212"/>
      <c r="F290" s="1212"/>
      <c r="G290" s="1212"/>
      <c r="H290" s="1212"/>
      <c r="I290" s="1211">
        <v>0</v>
      </c>
      <c r="J290" s="1202">
        <v>0</v>
      </c>
      <c r="K290" s="1203">
        <v>0</v>
      </c>
      <c r="L290" s="1203">
        <v>0</v>
      </c>
      <c r="M290" s="1203">
        <v>0</v>
      </c>
      <c r="N290" s="1203">
        <v>0</v>
      </c>
      <c r="O290" s="1203">
        <v>0</v>
      </c>
      <c r="P290" s="1203">
        <v>0</v>
      </c>
      <c r="Q290" s="1203">
        <v>0</v>
      </c>
      <c r="R290" s="1203">
        <v>0</v>
      </c>
      <c r="S290" s="1203">
        <v>0</v>
      </c>
    </row>
    <row r="291" spans="1:19" hidden="1" outlineLevel="1">
      <c r="A291" s="1198">
        <v>446899</v>
      </c>
      <c r="B291" s="1199" t="s">
        <v>1742</v>
      </c>
      <c r="C291" s="1211">
        <v>8</v>
      </c>
      <c r="D291" s="1212"/>
      <c r="E291" s="1212"/>
      <c r="F291" s="1212"/>
      <c r="G291" s="1212"/>
      <c r="H291" s="1212"/>
      <c r="I291" s="1211">
        <v>0</v>
      </c>
      <c r="J291" s="1202">
        <v>0</v>
      </c>
      <c r="K291" s="1203">
        <v>0</v>
      </c>
      <c r="L291" s="1203">
        <v>0</v>
      </c>
      <c r="M291" s="1203">
        <v>0</v>
      </c>
      <c r="N291" s="1203">
        <v>0</v>
      </c>
      <c r="O291" s="1203">
        <v>0</v>
      </c>
      <c r="P291" s="1203">
        <v>0</v>
      </c>
      <c r="Q291" s="1203">
        <v>0</v>
      </c>
      <c r="R291" s="1203">
        <v>0</v>
      </c>
      <c r="S291" s="1203">
        <v>0</v>
      </c>
    </row>
    <row r="292" spans="1:19" hidden="1" outlineLevel="1">
      <c r="A292" s="1198">
        <v>3584</v>
      </c>
      <c r="B292" s="1199" t="s">
        <v>1743</v>
      </c>
      <c r="C292" s="1211">
        <v>2</v>
      </c>
      <c r="D292" s="1212"/>
      <c r="E292" s="1212"/>
      <c r="F292" s="1212"/>
      <c r="G292" s="1212"/>
      <c r="H292" s="1212"/>
      <c r="I292" s="1211">
        <v>0</v>
      </c>
      <c r="J292" s="1211">
        <v>0</v>
      </c>
      <c r="K292" s="1212">
        <v>0</v>
      </c>
      <c r="L292" s="1212">
        <v>0</v>
      </c>
      <c r="M292" s="1212">
        <v>0</v>
      </c>
      <c r="N292" s="1212">
        <v>0</v>
      </c>
      <c r="O292" s="1212">
        <v>0</v>
      </c>
      <c r="P292" s="1212">
        <v>0</v>
      </c>
      <c r="Q292" s="1212">
        <v>0</v>
      </c>
      <c r="R292" s="1212">
        <v>0</v>
      </c>
      <c r="S292" s="1212">
        <v>0</v>
      </c>
    </row>
    <row r="293" spans="1:19" hidden="1" outlineLevel="1">
      <c r="A293" s="1198">
        <v>376950</v>
      </c>
      <c r="B293" s="1199" t="s">
        <v>1744</v>
      </c>
      <c r="C293" s="1211">
        <v>8</v>
      </c>
      <c r="D293" s="1212"/>
      <c r="E293" s="1212"/>
      <c r="F293" s="1212"/>
      <c r="G293" s="1212"/>
      <c r="H293" s="1212"/>
      <c r="I293" s="1211">
        <v>0</v>
      </c>
      <c r="J293" s="1202">
        <v>0</v>
      </c>
      <c r="K293" s="1203">
        <v>0</v>
      </c>
      <c r="L293" s="1203">
        <v>0</v>
      </c>
      <c r="M293" s="1203">
        <v>0</v>
      </c>
      <c r="N293" s="1203">
        <v>0</v>
      </c>
      <c r="O293" s="1203">
        <v>0</v>
      </c>
      <c r="P293" s="1203">
        <v>0</v>
      </c>
      <c r="Q293" s="1203">
        <v>0</v>
      </c>
      <c r="R293" s="1203">
        <v>0</v>
      </c>
      <c r="S293" s="1203">
        <v>0</v>
      </c>
    </row>
    <row r="294" spans="1:19" hidden="1" outlineLevel="1">
      <c r="A294" s="1198">
        <v>226277</v>
      </c>
      <c r="B294" s="1199" t="s">
        <v>1745</v>
      </c>
      <c r="C294" s="1211">
        <v>8</v>
      </c>
      <c r="D294" s="1212"/>
      <c r="E294" s="1212"/>
      <c r="F294" s="1212"/>
      <c r="G294" s="1212"/>
      <c r="H294" s="1212"/>
      <c r="I294" s="1211">
        <v>0</v>
      </c>
      <c r="J294" s="1202">
        <v>0</v>
      </c>
      <c r="K294" s="1203">
        <v>0</v>
      </c>
      <c r="L294" s="1203">
        <v>0</v>
      </c>
      <c r="M294" s="1203">
        <v>0</v>
      </c>
      <c r="N294" s="1203">
        <v>0</v>
      </c>
      <c r="O294" s="1203">
        <v>0</v>
      </c>
      <c r="P294" s="1203">
        <v>0</v>
      </c>
      <c r="Q294" s="1203">
        <v>0</v>
      </c>
      <c r="R294" s="1203">
        <v>0</v>
      </c>
      <c r="S294" s="1203">
        <v>0</v>
      </c>
    </row>
    <row r="295" spans="1:19" hidden="1" outlineLevel="1">
      <c r="A295" s="1198">
        <v>3585</v>
      </c>
      <c r="B295" s="1199" t="s">
        <v>1746</v>
      </c>
      <c r="C295" s="1211">
        <v>4</v>
      </c>
      <c r="D295" s="1212"/>
      <c r="E295" s="1212"/>
      <c r="F295" s="1212"/>
      <c r="G295" s="1212"/>
      <c r="H295" s="1212"/>
      <c r="I295" s="1211">
        <v>0</v>
      </c>
      <c r="J295" s="1202">
        <v>0</v>
      </c>
      <c r="K295" s="1203">
        <v>0</v>
      </c>
      <c r="L295" s="1203">
        <v>0</v>
      </c>
      <c r="M295" s="1203">
        <v>0</v>
      </c>
      <c r="N295" s="1203">
        <v>0</v>
      </c>
      <c r="O295" s="1203">
        <v>0</v>
      </c>
      <c r="P295" s="1203">
        <v>0</v>
      </c>
      <c r="Q295" s="1203">
        <v>0</v>
      </c>
      <c r="R295" s="1203">
        <v>0</v>
      </c>
      <c r="S295" s="1203">
        <v>0</v>
      </c>
    </row>
    <row r="296" spans="1:19" hidden="1" outlineLevel="1">
      <c r="A296" s="1198">
        <v>2016</v>
      </c>
      <c r="B296" s="1199" t="s">
        <v>1747</v>
      </c>
      <c r="C296" s="1211">
        <v>8</v>
      </c>
      <c r="D296" s="1212"/>
      <c r="E296" s="1212"/>
      <c r="F296" s="1212"/>
      <c r="G296" s="1212"/>
      <c r="H296" s="1212"/>
      <c r="I296" s="1211">
        <v>0</v>
      </c>
      <c r="J296" s="1202">
        <v>0</v>
      </c>
      <c r="K296" s="1203">
        <v>0</v>
      </c>
      <c r="L296" s="1203">
        <v>0</v>
      </c>
      <c r="M296" s="1203">
        <v>0</v>
      </c>
      <c r="N296" s="1203">
        <v>0</v>
      </c>
      <c r="O296" s="1203">
        <v>0</v>
      </c>
      <c r="P296" s="1203">
        <v>0</v>
      </c>
      <c r="Q296" s="1203">
        <v>0</v>
      </c>
      <c r="R296" s="1203">
        <v>0</v>
      </c>
      <c r="S296" s="1203">
        <v>0</v>
      </c>
    </row>
    <row r="297" spans="1:19" hidden="1" outlineLevel="1">
      <c r="A297" s="1198">
        <v>3586</v>
      </c>
      <c r="B297" s="1199" t="s">
        <v>1748</v>
      </c>
      <c r="C297" s="1211">
        <v>2</v>
      </c>
      <c r="D297" s="1212"/>
      <c r="E297" s="1212"/>
      <c r="F297" s="1212"/>
      <c r="G297" s="1212"/>
      <c r="H297" s="1212"/>
      <c r="I297" s="1211">
        <v>0</v>
      </c>
      <c r="J297" s="1211">
        <v>0</v>
      </c>
      <c r="K297" s="1212">
        <v>0</v>
      </c>
      <c r="L297" s="1212">
        <v>0</v>
      </c>
      <c r="M297" s="1212">
        <v>0</v>
      </c>
      <c r="N297" s="1212">
        <v>0</v>
      </c>
      <c r="O297" s="1212">
        <v>0</v>
      </c>
      <c r="P297" s="1212">
        <v>0</v>
      </c>
      <c r="Q297" s="1212">
        <v>0</v>
      </c>
      <c r="R297" s="1212">
        <v>0</v>
      </c>
      <c r="S297" s="1212">
        <v>0</v>
      </c>
    </row>
    <row r="298" spans="1:19" hidden="1" outlineLevel="1">
      <c r="A298" s="1198">
        <v>463</v>
      </c>
      <c r="B298" s="1199" t="s">
        <v>1749</v>
      </c>
      <c r="C298" s="1211">
        <v>5</v>
      </c>
      <c r="D298" s="1212"/>
      <c r="E298" s="1212"/>
      <c r="F298" s="1212"/>
      <c r="G298" s="1212"/>
      <c r="H298" s="1212"/>
      <c r="I298" s="1211">
        <v>0</v>
      </c>
      <c r="J298" s="1202">
        <v>0</v>
      </c>
      <c r="K298" s="1203">
        <v>0</v>
      </c>
      <c r="L298" s="1203">
        <v>0</v>
      </c>
      <c r="M298" s="1203">
        <v>0</v>
      </c>
      <c r="N298" s="1203">
        <v>0</v>
      </c>
      <c r="O298" s="1203">
        <v>0</v>
      </c>
      <c r="P298" s="1203">
        <v>0</v>
      </c>
      <c r="Q298" s="1203">
        <v>0</v>
      </c>
      <c r="R298" s="1203">
        <v>0</v>
      </c>
      <c r="S298" s="1203">
        <v>0</v>
      </c>
    </row>
    <row r="299" spans="1:19" hidden="1" outlineLevel="1">
      <c r="A299" s="1198">
        <v>3591</v>
      </c>
      <c r="B299" s="1199" t="s">
        <v>1750</v>
      </c>
      <c r="C299" s="1211">
        <v>2</v>
      </c>
      <c r="D299" s="1212"/>
      <c r="E299" s="1212"/>
      <c r="F299" s="1212"/>
      <c r="G299" s="1212"/>
      <c r="H299" s="1212"/>
      <c r="I299" s="1211">
        <v>0</v>
      </c>
      <c r="J299" s="1211">
        <v>0</v>
      </c>
      <c r="K299" s="1212">
        <v>0</v>
      </c>
      <c r="L299" s="1212">
        <v>0</v>
      </c>
      <c r="M299" s="1212">
        <v>0</v>
      </c>
      <c r="N299" s="1212">
        <v>0</v>
      </c>
      <c r="O299" s="1212">
        <v>0</v>
      </c>
      <c r="P299" s="1212">
        <v>0</v>
      </c>
      <c r="Q299" s="1212">
        <v>0</v>
      </c>
      <c r="R299" s="1212">
        <v>0</v>
      </c>
      <c r="S299" s="1212">
        <v>0</v>
      </c>
    </row>
    <row r="300" spans="1:19" hidden="1" outlineLevel="1">
      <c r="A300" s="1198">
        <v>2017</v>
      </c>
      <c r="B300" s="1199" t="s">
        <v>1751</v>
      </c>
      <c r="C300" s="1211">
        <v>8</v>
      </c>
      <c r="D300" s="1212"/>
      <c r="E300" s="1212"/>
      <c r="F300" s="1212"/>
      <c r="G300" s="1212"/>
      <c r="H300" s="1212"/>
      <c r="I300" s="1211">
        <v>0</v>
      </c>
      <c r="J300" s="1202">
        <v>0</v>
      </c>
      <c r="K300" s="1203">
        <v>0</v>
      </c>
      <c r="L300" s="1203">
        <v>0</v>
      </c>
      <c r="M300" s="1203">
        <v>0</v>
      </c>
      <c r="N300" s="1203">
        <v>0</v>
      </c>
      <c r="O300" s="1203">
        <v>0</v>
      </c>
      <c r="P300" s="1203">
        <v>0</v>
      </c>
      <c r="Q300" s="1203">
        <v>0</v>
      </c>
      <c r="R300" s="1203">
        <v>0</v>
      </c>
      <c r="S300" s="1203">
        <v>0</v>
      </c>
    </row>
    <row r="301" spans="1:19" hidden="1" outlineLevel="1">
      <c r="A301" s="1198">
        <v>464</v>
      </c>
      <c r="B301" s="1199" t="s">
        <v>1752</v>
      </c>
      <c r="C301" s="1211">
        <v>5</v>
      </c>
      <c r="D301" s="1212"/>
      <c r="E301" s="1212"/>
      <c r="F301" s="1212"/>
      <c r="G301" s="1212"/>
      <c r="H301" s="1212"/>
      <c r="I301" s="1211">
        <v>0</v>
      </c>
      <c r="J301" s="1202">
        <v>0</v>
      </c>
      <c r="K301" s="1203">
        <v>0</v>
      </c>
      <c r="L301" s="1203">
        <v>0</v>
      </c>
      <c r="M301" s="1203">
        <v>0</v>
      </c>
      <c r="N301" s="1203">
        <v>0</v>
      </c>
      <c r="O301" s="1203">
        <v>0</v>
      </c>
      <c r="P301" s="1203">
        <v>0</v>
      </c>
      <c r="Q301" s="1203">
        <v>0</v>
      </c>
      <c r="R301" s="1203">
        <v>0</v>
      </c>
      <c r="S301" s="1203">
        <v>0</v>
      </c>
    </row>
    <row r="302" spans="1:19" hidden="1" outlineLevel="1">
      <c r="A302" s="1198">
        <v>417752</v>
      </c>
      <c r="B302" s="1199" t="s">
        <v>1753</v>
      </c>
      <c r="C302" s="1211">
        <v>8</v>
      </c>
      <c r="D302" s="1212"/>
      <c r="E302" s="1212"/>
      <c r="F302" s="1212"/>
      <c r="G302" s="1212"/>
      <c r="H302" s="1212"/>
      <c r="I302" s="1211">
        <v>0</v>
      </c>
      <c r="J302" s="1202">
        <v>0</v>
      </c>
      <c r="K302" s="1203">
        <v>0</v>
      </c>
      <c r="L302" s="1203">
        <v>0</v>
      </c>
      <c r="M302" s="1203">
        <v>0</v>
      </c>
      <c r="N302" s="1203">
        <v>0</v>
      </c>
      <c r="O302" s="1203">
        <v>0</v>
      </c>
      <c r="P302" s="1203">
        <v>0</v>
      </c>
      <c r="Q302" s="1203">
        <v>0</v>
      </c>
      <c r="R302" s="1203">
        <v>0</v>
      </c>
      <c r="S302" s="1203">
        <v>0</v>
      </c>
    </row>
    <row r="303" spans="1:19" hidden="1" outlineLevel="1">
      <c r="A303" s="1198">
        <v>452</v>
      </c>
      <c r="B303" s="1199" t="s">
        <v>1754</v>
      </c>
      <c r="C303" s="1211">
        <v>5</v>
      </c>
      <c r="D303" s="1212"/>
      <c r="E303" s="1212"/>
      <c r="F303" s="1212"/>
      <c r="G303" s="1212"/>
      <c r="H303" s="1212"/>
      <c r="I303" s="1211">
        <v>0</v>
      </c>
      <c r="J303" s="1202">
        <v>0</v>
      </c>
      <c r="K303" s="1203">
        <v>0</v>
      </c>
      <c r="L303" s="1203">
        <v>0</v>
      </c>
      <c r="M303" s="1203">
        <v>0</v>
      </c>
      <c r="N303" s="1203">
        <v>0</v>
      </c>
      <c r="O303" s="1203">
        <v>0</v>
      </c>
      <c r="P303" s="1203">
        <v>0</v>
      </c>
      <c r="Q303" s="1203">
        <v>0</v>
      </c>
      <c r="R303" s="1203">
        <v>0</v>
      </c>
      <c r="S303" s="1203">
        <v>0</v>
      </c>
    </row>
    <row r="304" spans="1:19" hidden="1" outlineLevel="1">
      <c r="A304" s="1198">
        <v>466</v>
      </c>
      <c r="B304" s="1199" t="s">
        <v>1755</v>
      </c>
      <c r="C304" s="1211">
        <v>5</v>
      </c>
      <c r="D304" s="1212"/>
      <c r="E304" s="1212"/>
      <c r="F304" s="1212"/>
      <c r="G304" s="1212"/>
      <c r="H304" s="1212"/>
      <c r="I304" s="1211">
        <v>0</v>
      </c>
      <c r="J304" s="1202">
        <v>0</v>
      </c>
      <c r="K304" s="1203">
        <v>0</v>
      </c>
      <c r="L304" s="1203">
        <v>0</v>
      </c>
      <c r="M304" s="1203">
        <v>0</v>
      </c>
      <c r="N304" s="1203">
        <v>0</v>
      </c>
      <c r="O304" s="1203">
        <v>0</v>
      </c>
      <c r="P304" s="1203">
        <v>0</v>
      </c>
      <c r="Q304" s="1203">
        <v>0</v>
      </c>
      <c r="R304" s="1203">
        <v>0</v>
      </c>
      <c r="S304" s="1203">
        <v>0</v>
      </c>
    </row>
    <row r="305" spans="1:19" hidden="1" outlineLevel="1">
      <c r="A305" s="1198">
        <v>7783</v>
      </c>
      <c r="B305" s="1199" t="s">
        <v>1756</v>
      </c>
      <c r="C305" s="1211">
        <v>8</v>
      </c>
      <c r="D305" s="1212"/>
      <c r="E305" s="1212"/>
      <c r="F305" s="1212"/>
      <c r="G305" s="1212"/>
      <c r="H305" s="1212"/>
      <c r="I305" s="1211">
        <v>0</v>
      </c>
      <c r="J305" s="1202">
        <v>0</v>
      </c>
      <c r="K305" s="1203">
        <v>0</v>
      </c>
      <c r="L305" s="1203">
        <v>0</v>
      </c>
      <c r="M305" s="1203">
        <v>0</v>
      </c>
      <c r="N305" s="1203">
        <v>0</v>
      </c>
      <c r="O305" s="1203">
        <v>0</v>
      </c>
      <c r="P305" s="1203">
        <v>0</v>
      </c>
      <c r="Q305" s="1203">
        <v>0</v>
      </c>
      <c r="R305" s="1203">
        <v>0</v>
      </c>
      <c r="S305" s="1203">
        <v>0</v>
      </c>
    </row>
    <row r="306" spans="1:19" hidden="1" outlineLevel="1">
      <c r="A306" s="1198">
        <v>1657</v>
      </c>
      <c r="B306" s="1199" t="s">
        <v>1757</v>
      </c>
      <c r="C306" s="1211">
        <v>8</v>
      </c>
      <c r="D306" s="1212"/>
      <c r="E306" s="1212"/>
      <c r="F306" s="1212"/>
      <c r="G306" s="1212"/>
      <c r="H306" s="1212"/>
      <c r="I306" s="1211">
        <v>0</v>
      </c>
      <c r="J306" s="1202">
        <v>0</v>
      </c>
      <c r="K306" s="1203">
        <v>0</v>
      </c>
      <c r="L306" s="1203">
        <v>0</v>
      </c>
      <c r="M306" s="1203">
        <v>0</v>
      </c>
      <c r="N306" s="1203">
        <v>0</v>
      </c>
      <c r="O306" s="1203">
        <v>0</v>
      </c>
      <c r="P306" s="1203">
        <v>0</v>
      </c>
      <c r="Q306" s="1203">
        <v>0</v>
      </c>
      <c r="R306" s="1203">
        <v>0</v>
      </c>
      <c r="S306" s="1203">
        <v>0</v>
      </c>
    </row>
    <row r="307" spans="1:19" hidden="1" outlineLevel="1">
      <c r="A307" s="1198">
        <v>2367</v>
      </c>
      <c r="B307" s="1199" t="s">
        <v>1758</v>
      </c>
      <c r="C307" s="1211">
        <v>8</v>
      </c>
      <c r="D307" s="1212"/>
      <c r="E307" s="1212"/>
      <c r="F307" s="1212"/>
      <c r="G307" s="1212"/>
      <c r="H307" s="1212"/>
      <c r="I307" s="1211">
        <v>0</v>
      </c>
      <c r="J307" s="1202">
        <v>0</v>
      </c>
      <c r="K307" s="1203">
        <v>0</v>
      </c>
      <c r="L307" s="1203">
        <v>0</v>
      </c>
      <c r="M307" s="1203">
        <v>0</v>
      </c>
      <c r="N307" s="1203">
        <v>0</v>
      </c>
      <c r="O307" s="1203">
        <v>0</v>
      </c>
      <c r="P307" s="1203">
        <v>0</v>
      </c>
      <c r="Q307" s="1203">
        <v>0</v>
      </c>
      <c r="R307" s="1203">
        <v>0</v>
      </c>
      <c r="S307" s="1203">
        <v>0</v>
      </c>
    </row>
    <row r="308" spans="1:19" hidden="1" outlineLevel="1">
      <c r="A308" s="1198">
        <v>2994</v>
      </c>
      <c r="B308" s="1199" t="s">
        <v>1759</v>
      </c>
      <c r="C308" s="1211">
        <v>8</v>
      </c>
      <c r="D308" s="1212"/>
      <c r="E308" s="1212"/>
      <c r="F308" s="1212"/>
      <c r="G308" s="1212"/>
      <c r="H308" s="1212"/>
      <c r="I308" s="1211">
        <v>0</v>
      </c>
      <c r="J308" s="1202">
        <v>0</v>
      </c>
      <c r="K308" s="1203">
        <v>0</v>
      </c>
      <c r="L308" s="1203">
        <v>0</v>
      </c>
      <c r="M308" s="1203">
        <v>0</v>
      </c>
      <c r="N308" s="1203">
        <v>0</v>
      </c>
      <c r="O308" s="1203">
        <v>0</v>
      </c>
      <c r="P308" s="1203">
        <v>0</v>
      </c>
      <c r="Q308" s="1203">
        <v>0</v>
      </c>
      <c r="R308" s="1203">
        <v>0</v>
      </c>
      <c r="S308" s="1203">
        <v>0</v>
      </c>
    </row>
    <row r="309" spans="1:19" hidden="1" outlineLevel="1">
      <c r="A309" s="1198">
        <v>900029</v>
      </c>
      <c r="B309" s="1199" t="s">
        <v>1760</v>
      </c>
      <c r="C309" s="1211">
        <v>8</v>
      </c>
      <c r="D309" s="1212"/>
      <c r="E309" s="1212"/>
      <c r="F309" s="1212"/>
      <c r="G309" s="1212"/>
      <c r="H309" s="1212"/>
      <c r="I309" s="1211">
        <v>0</v>
      </c>
      <c r="J309" s="1202">
        <v>0</v>
      </c>
      <c r="K309" s="1203">
        <v>0</v>
      </c>
      <c r="L309" s="1203">
        <v>0</v>
      </c>
      <c r="M309" s="1203">
        <v>0</v>
      </c>
      <c r="N309" s="1203">
        <v>0</v>
      </c>
      <c r="O309" s="1203">
        <v>0</v>
      </c>
      <c r="P309" s="1203">
        <v>0</v>
      </c>
      <c r="Q309" s="1203">
        <v>0</v>
      </c>
      <c r="R309" s="1203">
        <v>0</v>
      </c>
      <c r="S309" s="1203">
        <v>0</v>
      </c>
    </row>
    <row r="310" spans="1:19" hidden="1" outlineLevel="1">
      <c r="A310" s="1198">
        <v>900030</v>
      </c>
      <c r="B310" s="1199" t="s">
        <v>1761</v>
      </c>
      <c r="C310" s="1211">
        <v>8</v>
      </c>
      <c r="D310" s="1212"/>
      <c r="E310" s="1212"/>
      <c r="F310" s="1212"/>
      <c r="G310" s="1212"/>
      <c r="H310" s="1212"/>
      <c r="I310" s="1211">
        <v>0</v>
      </c>
      <c r="J310" s="1202">
        <v>0</v>
      </c>
      <c r="K310" s="1203">
        <v>0</v>
      </c>
      <c r="L310" s="1203">
        <v>0</v>
      </c>
      <c r="M310" s="1203">
        <v>0</v>
      </c>
      <c r="N310" s="1203">
        <v>0</v>
      </c>
      <c r="O310" s="1203">
        <v>0</v>
      </c>
      <c r="P310" s="1203">
        <v>0</v>
      </c>
      <c r="Q310" s="1203">
        <v>0</v>
      </c>
      <c r="R310" s="1203">
        <v>0</v>
      </c>
      <c r="S310" s="1203">
        <v>0</v>
      </c>
    </row>
    <row r="311" spans="1:19" hidden="1" outlineLevel="1">
      <c r="A311" s="1198">
        <v>900031</v>
      </c>
      <c r="B311" s="1199" t="s">
        <v>1762</v>
      </c>
      <c r="C311" s="1211">
        <v>8</v>
      </c>
      <c r="D311" s="1212"/>
      <c r="E311" s="1212"/>
      <c r="F311" s="1212"/>
      <c r="G311" s="1212"/>
      <c r="H311" s="1212"/>
      <c r="I311" s="1211">
        <v>0</v>
      </c>
      <c r="J311" s="1202">
        <v>0</v>
      </c>
      <c r="K311" s="1203">
        <v>0</v>
      </c>
      <c r="L311" s="1203">
        <v>0</v>
      </c>
      <c r="M311" s="1203">
        <v>0</v>
      </c>
      <c r="N311" s="1203">
        <v>0</v>
      </c>
      <c r="O311" s="1203">
        <v>0</v>
      </c>
      <c r="P311" s="1203">
        <v>0</v>
      </c>
      <c r="Q311" s="1203">
        <v>0</v>
      </c>
      <c r="R311" s="1203">
        <v>0</v>
      </c>
      <c r="S311" s="1203">
        <v>0</v>
      </c>
    </row>
    <row r="312" spans="1:19" hidden="1" outlineLevel="1">
      <c r="A312" s="1198">
        <v>900032</v>
      </c>
      <c r="B312" s="1199" t="s">
        <v>1763</v>
      </c>
      <c r="C312" s="1211">
        <v>8</v>
      </c>
      <c r="D312" s="1212"/>
      <c r="E312" s="1212"/>
      <c r="F312" s="1212"/>
      <c r="G312" s="1212"/>
      <c r="H312" s="1212"/>
      <c r="I312" s="1211">
        <v>0</v>
      </c>
      <c r="J312" s="1202">
        <v>0</v>
      </c>
      <c r="K312" s="1203">
        <v>0</v>
      </c>
      <c r="L312" s="1203">
        <v>0</v>
      </c>
      <c r="M312" s="1203">
        <v>0</v>
      </c>
      <c r="N312" s="1203">
        <v>0</v>
      </c>
      <c r="O312" s="1203">
        <v>0</v>
      </c>
      <c r="P312" s="1203">
        <v>0</v>
      </c>
      <c r="Q312" s="1203">
        <v>0</v>
      </c>
      <c r="R312" s="1203">
        <v>0</v>
      </c>
      <c r="S312" s="1203">
        <v>0</v>
      </c>
    </row>
    <row r="313" spans="1:19" hidden="1" outlineLevel="1">
      <c r="A313" s="1198">
        <v>451875</v>
      </c>
      <c r="B313" s="1199" t="s">
        <v>1764</v>
      </c>
      <c r="C313" s="1211">
        <v>8</v>
      </c>
      <c r="D313" s="1212"/>
      <c r="E313" s="1212"/>
      <c r="F313" s="1212"/>
      <c r="G313" s="1212"/>
      <c r="H313" s="1212"/>
      <c r="I313" s="1211">
        <v>0</v>
      </c>
      <c r="J313" s="1202">
        <v>0</v>
      </c>
      <c r="K313" s="1203">
        <v>0</v>
      </c>
      <c r="L313" s="1203">
        <v>0</v>
      </c>
      <c r="M313" s="1203">
        <v>0</v>
      </c>
      <c r="N313" s="1203">
        <v>0</v>
      </c>
      <c r="O313" s="1203">
        <v>0</v>
      </c>
      <c r="P313" s="1203">
        <v>0</v>
      </c>
      <c r="Q313" s="1203">
        <v>0</v>
      </c>
      <c r="R313" s="1203">
        <v>0</v>
      </c>
      <c r="S313" s="1203">
        <v>0</v>
      </c>
    </row>
    <row r="314" spans="1:19" hidden="1" outlineLevel="1">
      <c r="A314" s="1198">
        <v>900033</v>
      </c>
      <c r="B314" s="1199" t="s">
        <v>1765</v>
      </c>
      <c r="C314" s="1211">
        <v>8</v>
      </c>
      <c r="D314" s="1212"/>
      <c r="E314" s="1212"/>
      <c r="F314" s="1212"/>
      <c r="G314" s="1212"/>
      <c r="H314" s="1212"/>
      <c r="I314" s="1211">
        <v>0</v>
      </c>
      <c r="J314" s="1202">
        <v>0</v>
      </c>
      <c r="K314" s="1203">
        <v>0</v>
      </c>
      <c r="L314" s="1203">
        <v>0</v>
      </c>
      <c r="M314" s="1203">
        <v>0</v>
      </c>
      <c r="N314" s="1203">
        <v>0</v>
      </c>
      <c r="O314" s="1203">
        <v>0</v>
      </c>
      <c r="P314" s="1203">
        <v>0</v>
      </c>
      <c r="Q314" s="1203">
        <v>0</v>
      </c>
      <c r="R314" s="1203">
        <v>0</v>
      </c>
      <c r="S314" s="1203">
        <v>0</v>
      </c>
    </row>
    <row r="315" spans="1:19" hidden="1" outlineLevel="1">
      <c r="A315" s="1198">
        <v>11460</v>
      </c>
      <c r="B315" s="1199" t="s">
        <v>1766</v>
      </c>
      <c r="C315" s="1211">
        <v>8</v>
      </c>
      <c r="D315" s="1212"/>
      <c r="E315" s="1212"/>
      <c r="F315" s="1212"/>
      <c r="G315" s="1212"/>
      <c r="H315" s="1212"/>
      <c r="I315" s="1211">
        <v>0</v>
      </c>
      <c r="J315" s="1202">
        <v>0</v>
      </c>
      <c r="K315" s="1203">
        <v>0</v>
      </c>
      <c r="L315" s="1203">
        <v>0</v>
      </c>
      <c r="M315" s="1203">
        <v>0</v>
      </c>
      <c r="N315" s="1203">
        <v>0</v>
      </c>
      <c r="O315" s="1203">
        <v>0</v>
      </c>
      <c r="P315" s="1203">
        <v>0</v>
      </c>
      <c r="Q315" s="1203">
        <v>0</v>
      </c>
      <c r="R315" s="1203">
        <v>0</v>
      </c>
      <c r="S315" s="1203">
        <v>0</v>
      </c>
    </row>
    <row r="316" spans="1:19" hidden="1" outlineLevel="1">
      <c r="A316" s="1198">
        <v>900034</v>
      </c>
      <c r="B316" s="1199" t="s">
        <v>1767</v>
      </c>
      <c r="C316" s="1211">
        <v>8</v>
      </c>
      <c r="D316" s="1212"/>
      <c r="E316" s="1212"/>
      <c r="F316" s="1212"/>
      <c r="G316" s="1212"/>
      <c r="H316" s="1212"/>
      <c r="I316" s="1211">
        <v>0</v>
      </c>
      <c r="J316" s="1202">
        <v>0</v>
      </c>
      <c r="K316" s="1203">
        <v>0</v>
      </c>
      <c r="L316" s="1203">
        <v>0</v>
      </c>
      <c r="M316" s="1203">
        <v>0</v>
      </c>
      <c r="N316" s="1203">
        <v>0</v>
      </c>
      <c r="O316" s="1203">
        <v>0</v>
      </c>
      <c r="P316" s="1203">
        <v>0</v>
      </c>
      <c r="Q316" s="1203">
        <v>0</v>
      </c>
      <c r="R316" s="1203">
        <v>0</v>
      </c>
      <c r="S316" s="1203">
        <v>0</v>
      </c>
    </row>
    <row r="317" spans="1:19" hidden="1" outlineLevel="1">
      <c r="A317" s="1198">
        <v>900035</v>
      </c>
      <c r="B317" s="1199" t="s">
        <v>1768</v>
      </c>
      <c r="C317" s="1211">
        <v>8</v>
      </c>
      <c r="D317" s="1212"/>
      <c r="E317" s="1212"/>
      <c r="F317" s="1212"/>
      <c r="G317" s="1212"/>
      <c r="H317" s="1212"/>
      <c r="I317" s="1211">
        <v>0</v>
      </c>
      <c r="J317" s="1202">
        <v>0</v>
      </c>
      <c r="K317" s="1203">
        <v>0</v>
      </c>
      <c r="L317" s="1203">
        <v>0</v>
      </c>
      <c r="M317" s="1203">
        <v>0</v>
      </c>
      <c r="N317" s="1203">
        <v>0</v>
      </c>
      <c r="O317" s="1203">
        <v>0</v>
      </c>
      <c r="P317" s="1203">
        <v>0</v>
      </c>
      <c r="Q317" s="1203">
        <v>0</v>
      </c>
      <c r="R317" s="1203">
        <v>0</v>
      </c>
      <c r="S317" s="1203">
        <v>0</v>
      </c>
    </row>
    <row r="318" spans="1:19" hidden="1" outlineLevel="1">
      <c r="A318" s="1198">
        <v>35043</v>
      </c>
      <c r="B318" s="1199" t="s">
        <v>1769</v>
      </c>
      <c r="C318" s="1211">
        <v>8</v>
      </c>
      <c r="D318" s="1212"/>
      <c r="E318" s="1212"/>
      <c r="F318" s="1212"/>
      <c r="G318" s="1212"/>
      <c r="H318" s="1212"/>
      <c r="I318" s="1211">
        <v>0</v>
      </c>
      <c r="J318" s="1202">
        <v>0</v>
      </c>
      <c r="K318" s="1203">
        <v>0</v>
      </c>
      <c r="L318" s="1203">
        <v>0</v>
      </c>
      <c r="M318" s="1203">
        <v>0</v>
      </c>
      <c r="N318" s="1203">
        <v>0</v>
      </c>
      <c r="O318" s="1203">
        <v>0</v>
      </c>
      <c r="P318" s="1203">
        <v>0</v>
      </c>
      <c r="Q318" s="1203">
        <v>0</v>
      </c>
      <c r="R318" s="1203">
        <v>0</v>
      </c>
      <c r="S318" s="1203">
        <v>0</v>
      </c>
    </row>
    <row r="319" spans="1:19" hidden="1" outlineLevel="1">
      <c r="A319" s="1198">
        <v>3988</v>
      </c>
      <c r="B319" s="1199" t="s">
        <v>1770</v>
      </c>
      <c r="C319" s="1211">
        <v>8</v>
      </c>
      <c r="D319" s="1212"/>
      <c r="E319" s="1212"/>
      <c r="F319" s="1212"/>
      <c r="G319" s="1212"/>
      <c r="H319" s="1212"/>
      <c r="I319" s="1211">
        <v>0</v>
      </c>
      <c r="J319" s="1202">
        <v>0</v>
      </c>
      <c r="K319" s="1203">
        <v>0</v>
      </c>
      <c r="L319" s="1203">
        <v>0</v>
      </c>
      <c r="M319" s="1203">
        <v>0</v>
      </c>
      <c r="N319" s="1203">
        <v>0</v>
      </c>
      <c r="O319" s="1203">
        <v>0</v>
      </c>
      <c r="P319" s="1203">
        <v>0</v>
      </c>
      <c r="Q319" s="1203">
        <v>0</v>
      </c>
      <c r="R319" s="1203">
        <v>0</v>
      </c>
      <c r="S319" s="1203">
        <v>0</v>
      </c>
    </row>
    <row r="320" spans="1:19" hidden="1" outlineLevel="1">
      <c r="A320" s="1198">
        <v>467</v>
      </c>
      <c r="B320" s="1199" t="s">
        <v>1771</v>
      </c>
      <c r="C320" s="1211">
        <v>5</v>
      </c>
      <c r="D320" s="1212"/>
      <c r="E320" s="1212"/>
      <c r="F320" s="1212"/>
      <c r="G320" s="1212"/>
      <c r="H320" s="1212"/>
      <c r="I320" s="1211">
        <v>0</v>
      </c>
      <c r="J320" s="1202">
        <v>0</v>
      </c>
      <c r="K320" s="1203">
        <v>0</v>
      </c>
      <c r="L320" s="1203">
        <v>0</v>
      </c>
      <c r="M320" s="1203">
        <v>0</v>
      </c>
      <c r="N320" s="1203">
        <v>0</v>
      </c>
      <c r="O320" s="1203">
        <v>0</v>
      </c>
      <c r="P320" s="1203">
        <v>0</v>
      </c>
      <c r="Q320" s="1203">
        <v>0</v>
      </c>
      <c r="R320" s="1203">
        <v>0</v>
      </c>
      <c r="S320" s="1203">
        <v>0</v>
      </c>
    </row>
    <row r="321" spans="1:19" hidden="1" outlineLevel="1">
      <c r="A321" s="1198">
        <v>41795</v>
      </c>
      <c r="B321" s="1199" t="s">
        <v>1772</v>
      </c>
      <c r="C321" s="1211">
        <v>8</v>
      </c>
      <c r="D321" s="1212"/>
      <c r="E321" s="1212"/>
      <c r="F321" s="1212"/>
      <c r="G321" s="1212"/>
      <c r="H321" s="1212"/>
      <c r="I321" s="1211">
        <v>0</v>
      </c>
      <c r="J321" s="1202">
        <v>0</v>
      </c>
      <c r="K321" s="1203">
        <v>0</v>
      </c>
      <c r="L321" s="1203">
        <v>0</v>
      </c>
      <c r="M321" s="1203">
        <v>0</v>
      </c>
      <c r="N321" s="1203">
        <v>0</v>
      </c>
      <c r="O321" s="1203">
        <v>0</v>
      </c>
      <c r="P321" s="1203">
        <v>0</v>
      </c>
      <c r="Q321" s="1203">
        <v>0</v>
      </c>
      <c r="R321" s="1203">
        <v>0</v>
      </c>
      <c r="S321" s="1203">
        <v>0</v>
      </c>
    </row>
    <row r="322" spans="1:19" hidden="1" outlineLevel="1">
      <c r="A322" s="1198">
        <v>38133</v>
      </c>
      <c r="B322" s="1199" t="s">
        <v>1773</v>
      </c>
      <c r="C322" s="1211">
        <v>8</v>
      </c>
      <c r="D322" s="1212"/>
      <c r="E322" s="1212"/>
      <c r="F322" s="1212"/>
      <c r="G322" s="1212"/>
      <c r="H322" s="1212"/>
      <c r="I322" s="1211">
        <v>0</v>
      </c>
      <c r="J322" s="1202">
        <v>0</v>
      </c>
      <c r="K322" s="1203">
        <v>0</v>
      </c>
      <c r="L322" s="1203">
        <v>0</v>
      </c>
      <c r="M322" s="1203">
        <v>0</v>
      </c>
      <c r="N322" s="1203">
        <v>0</v>
      </c>
      <c r="O322" s="1203">
        <v>0</v>
      </c>
      <c r="P322" s="1203">
        <v>0</v>
      </c>
      <c r="Q322" s="1203">
        <v>0</v>
      </c>
      <c r="R322" s="1203">
        <v>0</v>
      </c>
      <c r="S322" s="1203">
        <v>0</v>
      </c>
    </row>
    <row r="323" spans="1:19" hidden="1" outlineLevel="1">
      <c r="A323" s="1198">
        <v>1883</v>
      </c>
      <c r="B323" s="1199" t="s">
        <v>1774</v>
      </c>
      <c r="C323" s="1211">
        <v>8</v>
      </c>
      <c r="D323" s="1212"/>
      <c r="E323" s="1212"/>
      <c r="F323" s="1212"/>
      <c r="G323" s="1212"/>
      <c r="H323" s="1212"/>
      <c r="I323" s="1211">
        <v>0</v>
      </c>
      <c r="J323" s="1202">
        <v>0</v>
      </c>
      <c r="K323" s="1203">
        <v>0</v>
      </c>
      <c r="L323" s="1203">
        <v>0</v>
      </c>
      <c r="M323" s="1203">
        <v>0</v>
      </c>
      <c r="N323" s="1203">
        <v>0</v>
      </c>
      <c r="O323" s="1203">
        <v>0</v>
      </c>
      <c r="P323" s="1203">
        <v>0</v>
      </c>
      <c r="Q323" s="1203">
        <v>0</v>
      </c>
      <c r="R323" s="1203">
        <v>0</v>
      </c>
      <c r="S323" s="1203">
        <v>0</v>
      </c>
    </row>
    <row r="324" spans="1:19" hidden="1" outlineLevel="1">
      <c r="A324" s="1198">
        <v>3163</v>
      </c>
      <c r="B324" s="1199" t="s">
        <v>1775</v>
      </c>
      <c r="C324" s="1211">
        <v>8</v>
      </c>
      <c r="D324" s="1212"/>
      <c r="E324" s="1212"/>
      <c r="F324" s="1212"/>
      <c r="G324" s="1212"/>
      <c r="H324" s="1212"/>
      <c r="I324" s="1211">
        <v>0</v>
      </c>
      <c r="J324" s="1202">
        <v>0</v>
      </c>
      <c r="K324" s="1203">
        <v>0</v>
      </c>
      <c r="L324" s="1203">
        <v>0</v>
      </c>
      <c r="M324" s="1203">
        <v>0</v>
      </c>
      <c r="N324" s="1203">
        <v>0</v>
      </c>
      <c r="O324" s="1203">
        <v>0</v>
      </c>
      <c r="P324" s="1203">
        <v>0</v>
      </c>
      <c r="Q324" s="1203">
        <v>0</v>
      </c>
      <c r="R324" s="1203">
        <v>0</v>
      </c>
      <c r="S324" s="1203">
        <v>0</v>
      </c>
    </row>
    <row r="325" spans="1:19" hidden="1" outlineLevel="1">
      <c r="A325" s="1198">
        <v>2021</v>
      </c>
      <c r="B325" s="1199" t="s">
        <v>1776</v>
      </c>
      <c r="C325" s="1211">
        <v>8</v>
      </c>
      <c r="D325" s="1212"/>
      <c r="E325" s="1212"/>
      <c r="F325" s="1212"/>
      <c r="G325" s="1212"/>
      <c r="H325" s="1212"/>
      <c r="I325" s="1211">
        <v>0</v>
      </c>
      <c r="J325" s="1202">
        <v>0</v>
      </c>
      <c r="K325" s="1203">
        <v>0</v>
      </c>
      <c r="L325" s="1203">
        <v>0</v>
      </c>
      <c r="M325" s="1203">
        <v>0</v>
      </c>
      <c r="N325" s="1203">
        <v>0</v>
      </c>
      <c r="O325" s="1203">
        <v>0</v>
      </c>
      <c r="P325" s="1203">
        <v>0</v>
      </c>
      <c r="Q325" s="1203">
        <v>0</v>
      </c>
      <c r="R325" s="1203">
        <v>0</v>
      </c>
      <c r="S325" s="1203">
        <v>0</v>
      </c>
    </row>
    <row r="326" spans="1:19" hidden="1" outlineLevel="1">
      <c r="A326" s="1198">
        <v>1739</v>
      </c>
      <c r="B326" s="1199" t="s">
        <v>1777</v>
      </c>
      <c r="C326" s="1211">
        <v>8</v>
      </c>
      <c r="D326" s="1212"/>
      <c r="E326" s="1212"/>
      <c r="F326" s="1212"/>
      <c r="G326" s="1212"/>
      <c r="H326" s="1212"/>
      <c r="I326" s="1211">
        <v>0</v>
      </c>
      <c r="J326" s="1202">
        <v>0</v>
      </c>
      <c r="K326" s="1203">
        <v>0</v>
      </c>
      <c r="L326" s="1203">
        <v>0</v>
      </c>
      <c r="M326" s="1203">
        <v>0</v>
      </c>
      <c r="N326" s="1203">
        <v>0</v>
      </c>
      <c r="O326" s="1203">
        <v>0</v>
      </c>
      <c r="P326" s="1203">
        <v>0</v>
      </c>
      <c r="Q326" s="1203">
        <v>0</v>
      </c>
      <c r="R326" s="1203">
        <v>0</v>
      </c>
      <c r="S326" s="1203">
        <v>0</v>
      </c>
    </row>
    <row r="327" spans="1:19" hidden="1" outlineLevel="1">
      <c r="A327" s="1198">
        <v>227243</v>
      </c>
      <c r="B327" s="1199" t="s">
        <v>1778</v>
      </c>
      <c r="C327" s="1211">
        <v>8</v>
      </c>
      <c r="D327" s="1212"/>
      <c r="E327" s="1212"/>
      <c r="F327" s="1212"/>
      <c r="G327" s="1212"/>
      <c r="H327" s="1212"/>
      <c r="I327" s="1211">
        <v>0</v>
      </c>
      <c r="J327" s="1202">
        <v>0</v>
      </c>
      <c r="K327" s="1203">
        <v>0</v>
      </c>
      <c r="L327" s="1203">
        <v>0</v>
      </c>
      <c r="M327" s="1203">
        <v>0</v>
      </c>
      <c r="N327" s="1203">
        <v>0</v>
      </c>
      <c r="O327" s="1203">
        <v>0</v>
      </c>
      <c r="P327" s="1203">
        <v>0</v>
      </c>
      <c r="Q327" s="1203">
        <v>0</v>
      </c>
      <c r="R327" s="1203">
        <v>0</v>
      </c>
      <c r="S327" s="1203">
        <v>0</v>
      </c>
    </row>
    <row r="328" spans="1:19" hidden="1" outlineLevel="1">
      <c r="A328" s="1198">
        <v>900036</v>
      </c>
      <c r="B328" s="1199" t="s">
        <v>1779</v>
      </c>
      <c r="C328" s="1211">
        <v>8</v>
      </c>
      <c r="D328" s="1212"/>
      <c r="E328" s="1212"/>
      <c r="F328" s="1212"/>
      <c r="G328" s="1212"/>
      <c r="H328" s="1212"/>
      <c r="I328" s="1211">
        <v>0</v>
      </c>
      <c r="J328" s="1202">
        <v>0</v>
      </c>
      <c r="K328" s="1203">
        <v>0</v>
      </c>
      <c r="L328" s="1203">
        <v>0</v>
      </c>
      <c r="M328" s="1203">
        <v>0</v>
      </c>
      <c r="N328" s="1203">
        <v>0</v>
      </c>
      <c r="O328" s="1203">
        <v>0</v>
      </c>
      <c r="P328" s="1203">
        <v>0</v>
      </c>
      <c r="Q328" s="1203">
        <v>0</v>
      </c>
      <c r="R328" s="1203">
        <v>0</v>
      </c>
      <c r="S328" s="1203">
        <v>0</v>
      </c>
    </row>
    <row r="329" spans="1:19" hidden="1" outlineLevel="1">
      <c r="A329" s="1198">
        <v>1509</v>
      </c>
      <c r="B329" s="1199" t="s">
        <v>1780</v>
      </c>
      <c r="C329" s="1211">
        <v>8</v>
      </c>
      <c r="D329" s="1212"/>
      <c r="E329" s="1212"/>
      <c r="F329" s="1212"/>
      <c r="G329" s="1212"/>
      <c r="H329" s="1212"/>
      <c r="I329" s="1211">
        <v>0</v>
      </c>
      <c r="J329" s="1202">
        <v>0</v>
      </c>
      <c r="K329" s="1203">
        <v>0</v>
      </c>
      <c r="L329" s="1203">
        <v>0</v>
      </c>
      <c r="M329" s="1203">
        <v>0</v>
      </c>
      <c r="N329" s="1203">
        <v>0</v>
      </c>
      <c r="O329" s="1203">
        <v>0</v>
      </c>
      <c r="P329" s="1203">
        <v>0</v>
      </c>
      <c r="Q329" s="1203">
        <v>0</v>
      </c>
      <c r="R329" s="1203">
        <v>0</v>
      </c>
      <c r="S329" s="1203">
        <v>0</v>
      </c>
    </row>
    <row r="330" spans="1:19" hidden="1" outlineLevel="1">
      <c r="A330" s="1198">
        <v>900037</v>
      </c>
      <c r="B330" s="1199" t="s">
        <v>1781</v>
      </c>
      <c r="C330" s="1211">
        <v>8</v>
      </c>
      <c r="D330" s="1212"/>
      <c r="E330" s="1212"/>
      <c r="F330" s="1212"/>
      <c r="G330" s="1212"/>
      <c r="H330" s="1212"/>
      <c r="I330" s="1211">
        <v>0</v>
      </c>
      <c r="J330" s="1202">
        <v>0</v>
      </c>
      <c r="K330" s="1203">
        <v>0</v>
      </c>
      <c r="L330" s="1203">
        <v>0</v>
      </c>
      <c r="M330" s="1203">
        <v>0</v>
      </c>
      <c r="N330" s="1203">
        <v>0</v>
      </c>
      <c r="O330" s="1203">
        <v>0</v>
      </c>
      <c r="P330" s="1203">
        <v>0</v>
      </c>
      <c r="Q330" s="1203">
        <v>0</v>
      </c>
      <c r="R330" s="1203">
        <v>0</v>
      </c>
      <c r="S330" s="1203">
        <v>0</v>
      </c>
    </row>
    <row r="331" spans="1:19" hidden="1" outlineLevel="1">
      <c r="A331" s="1198">
        <v>227289</v>
      </c>
      <c r="B331" s="1199" t="s">
        <v>1782</v>
      </c>
      <c r="C331" s="1211">
        <v>8</v>
      </c>
      <c r="D331" s="1212"/>
      <c r="E331" s="1212"/>
      <c r="F331" s="1212"/>
      <c r="G331" s="1212"/>
      <c r="H331" s="1212"/>
      <c r="I331" s="1211">
        <v>0</v>
      </c>
      <c r="J331" s="1202">
        <v>0</v>
      </c>
      <c r="K331" s="1203">
        <v>0</v>
      </c>
      <c r="L331" s="1203">
        <v>0</v>
      </c>
      <c r="M331" s="1203">
        <v>0</v>
      </c>
      <c r="N331" s="1203">
        <v>0</v>
      </c>
      <c r="O331" s="1203">
        <v>0</v>
      </c>
      <c r="P331" s="1203">
        <v>0</v>
      </c>
      <c r="Q331" s="1203">
        <v>0</v>
      </c>
      <c r="R331" s="1203">
        <v>0</v>
      </c>
      <c r="S331" s="1203">
        <v>0</v>
      </c>
    </row>
    <row r="332" spans="1:19" hidden="1" outlineLevel="1">
      <c r="A332" s="1198">
        <v>3100</v>
      </c>
      <c r="B332" s="1199" t="s">
        <v>1783</v>
      </c>
      <c r="C332" s="1211">
        <v>8</v>
      </c>
      <c r="D332" s="1212"/>
      <c r="E332" s="1212"/>
      <c r="F332" s="1212"/>
      <c r="G332" s="1212"/>
      <c r="H332" s="1212"/>
      <c r="I332" s="1211">
        <v>0</v>
      </c>
      <c r="J332" s="1202">
        <v>0</v>
      </c>
      <c r="K332" s="1203">
        <v>0</v>
      </c>
      <c r="L332" s="1203">
        <v>0</v>
      </c>
      <c r="M332" s="1203">
        <v>0</v>
      </c>
      <c r="N332" s="1203">
        <v>0</v>
      </c>
      <c r="O332" s="1203">
        <v>0</v>
      </c>
      <c r="P332" s="1203">
        <v>0</v>
      </c>
      <c r="Q332" s="1203">
        <v>0</v>
      </c>
      <c r="R332" s="1203">
        <v>0</v>
      </c>
      <c r="S332" s="1203">
        <v>0</v>
      </c>
    </row>
    <row r="333" spans="1:19" hidden="1" outlineLevel="1">
      <c r="A333" s="1198">
        <v>3985</v>
      </c>
      <c r="B333" s="1199" t="s">
        <v>1784</v>
      </c>
      <c r="C333" s="1211">
        <v>8</v>
      </c>
      <c r="D333" s="1212"/>
      <c r="E333" s="1212"/>
      <c r="F333" s="1212"/>
      <c r="G333" s="1212"/>
      <c r="H333" s="1212"/>
      <c r="I333" s="1211">
        <v>0</v>
      </c>
      <c r="J333" s="1202">
        <v>0</v>
      </c>
      <c r="K333" s="1203">
        <v>0</v>
      </c>
      <c r="L333" s="1203">
        <v>0</v>
      </c>
      <c r="M333" s="1203">
        <v>0</v>
      </c>
      <c r="N333" s="1203">
        <v>0</v>
      </c>
      <c r="O333" s="1203">
        <v>0</v>
      </c>
      <c r="P333" s="1203">
        <v>0</v>
      </c>
      <c r="Q333" s="1203">
        <v>0</v>
      </c>
      <c r="R333" s="1203">
        <v>0</v>
      </c>
      <c r="S333" s="1203">
        <v>0</v>
      </c>
    </row>
    <row r="334" spans="1:19" hidden="1" outlineLevel="1">
      <c r="A334" s="1198">
        <v>3211</v>
      </c>
      <c r="B334" s="1199" t="s">
        <v>1785</v>
      </c>
      <c r="C334" s="1211">
        <v>8</v>
      </c>
      <c r="D334" s="1212"/>
      <c r="E334" s="1212"/>
      <c r="F334" s="1212"/>
      <c r="G334" s="1212"/>
      <c r="H334" s="1212"/>
      <c r="I334" s="1211">
        <v>0</v>
      </c>
      <c r="J334" s="1202">
        <v>0</v>
      </c>
      <c r="K334" s="1203">
        <v>0</v>
      </c>
      <c r="L334" s="1203">
        <v>0</v>
      </c>
      <c r="M334" s="1203">
        <v>0</v>
      </c>
      <c r="N334" s="1203">
        <v>0</v>
      </c>
      <c r="O334" s="1203">
        <v>0</v>
      </c>
      <c r="P334" s="1203">
        <v>0</v>
      </c>
      <c r="Q334" s="1203">
        <v>0</v>
      </c>
      <c r="R334" s="1203">
        <v>0</v>
      </c>
      <c r="S334" s="1203">
        <v>0</v>
      </c>
    </row>
    <row r="335" spans="1:19" hidden="1" outlineLevel="1">
      <c r="A335" s="1198">
        <v>3210</v>
      </c>
      <c r="B335" s="1199" t="s">
        <v>1786</v>
      </c>
      <c r="C335" s="1211">
        <v>8</v>
      </c>
      <c r="D335" s="1212"/>
      <c r="E335" s="1212"/>
      <c r="F335" s="1212"/>
      <c r="G335" s="1212"/>
      <c r="H335" s="1212"/>
      <c r="I335" s="1211">
        <v>0</v>
      </c>
      <c r="J335" s="1202">
        <v>0</v>
      </c>
      <c r="K335" s="1203">
        <v>0</v>
      </c>
      <c r="L335" s="1203">
        <v>0</v>
      </c>
      <c r="M335" s="1203">
        <v>0</v>
      </c>
      <c r="N335" s="1203">
        <v>0</v>
      </c>
      <c r="O335" s="1203">
        <v>0</v>
      </c>
      <c r="P335" s="1203">
        <v>0</v>
      </c>
      <c r="Q335" s="1203">
        <v>0</v>
      </c>
      <c r="R335" s="1203">
        <v>0</v>
      </c>
      <c r="S335" s="1203">
        <v>0</v>
      </c>
    </row>
    <row r="336" spans="1:19" hidden="1" outlineLevel="1">
      <c r="A336" s="1198">
        <v>3598</v>
      </c>
      <c r="B336" s="1199" t="s">
        <v>1787</v>
      </c>
      <c r="C336" s="1211">
        <v>2</v>
      </c>
      <c r="D336" s="1212"/>
      <c r="E336" s="1212"/>
      <c r="F336" s="1212"/>
      <c r="G336" s="1212"/>
      <c r="H336" s="1212"/>
      <c r="I336" s="1211">
        <v>0</v>
      </c>
      <c r="J336" s="1211">
        <v>0</v>
      </c>
      <c r="K336" s="1212">
        <v>0</v>
      </c>
      <c r="L336" s="1212">
        <v>0</v>
      </c>
      <c r="M336" s="1212">
        <v>0</v>
      </c>
      <c r="N336" s="1212">
        <v>0</v>
      </c>
      <c r="O336" s="1212">
        <v>0</v>
      </c>
      <c r="P336" s="1212">
        <v>0</v>
      </c>
      <c r="Q336" s="1212">
        <v>0</v>
      </c>
      <c r="R336" s="1212">
        <v>0</v>
      </c>
      <c r="S336" s="1212">
        <v>0</v>
      </c>
    </row>
    <row r="337" spans="1:19" hidden="1" outlineLevel="1">
      <c r="A337" s="1198">
        <v>3212</v>
      </c>
      <c r="B337" s="1199" t="s">
        <v>1788</v>
      </c>
      <c r="C337" s="1211">
        <v>8</v>
      </c>
      <c r="D337" s="1212"/>
      <c r="E337" s="1212"/>
      <c r="F337" s="1212"/>
      <c r="G337" s="1212"/>
      <c r="H337" s="1212"/>
      <c r="I337" s="1211">
        <v>0</v>
      </c>
      <c r="J337" s="1202">
        <v>0</v>
      </c>
      <c r="K337" s="1203">
        <v>0</v>
      </c>
      <c r="L337" s="1203">
        <v>0</v>
      </c>
      <c r="M337" s="1203">
        <v>0</v>
      </c>
      <c r="N337" s="1203">
        <v>0</v>
      </c>
      <c r="O337" s="1203">
        <v>0</v>
      </c>
      <c r="P337" s="1203">
        <v>0</v>
      </c>
      <c r="Q337" s="1203">
        <v>0</v>
      </c>
      <c r="R337" s="1203">
        <v>0</v>
      </c>
      <c r="S337" s="1203">
        <v>0</v>
      </c>
    </row>
    <row r="338" spans="1:19" hidden="1" outlineLevel="1">
      <c r="A338" s="1198">
        <v>2498</v>
      </c>
      <c r="B338" s="1199" t="s">
        <v>1789</v>
      </c>
      <c r="C338" s="1211">
        <v>8</v>
      </c>
      <c r="D338" s="1212"/>
      <c r="E338" s="1212"/>
      <c r="F338" s="1212"/>
      <c r="G338" s="1212"/>
      <c r="H338" s="1212"/>
      <c r="I338" s="1211">
        <v>0</v>
      </c>
      <c r="J338" s="1202">
        <v>0</v>
      </c>
      <c r="K338" s="1203">
        <v>0</v>
      </c>
      <c r="L338" s="1203">
        <v>0</v>
      </c>
      <c r="M338" s="1203">
        <v>0</v>
      </c>
      <c r="N338" s="1203">
        <v>0</v>
      </c>
      <c r="O338" s="1203">
        <v>0</v>
      </c>
      <c r="P338" s="1203">
        <v>0</v>
      </c>
      <c r="Q338" s="1203">
        <v>0</v>
      </c>
      <c r="R338" s="1203">
        <v>0</v>
      </c>
      <c r="S338" s="1203">
        <v>0</v>
      </c>
    </row>
    <row r="339" spans="1:19" hidden="1" outlineLevel="1">
      <c r="A339" s="1198">
        <v>900060</v>
      </c>
      <c r="B339" s="1199" t="s">
        <v>1790</v>
      </c>
      <c r="C339" s="1211">
        <v>8</v>
      </c>
      <c r="D339" s="1212"/>
      <c r="E339" s="1212"/>
      <c r="F339" s="1212"/>
      <c r="G339" s="1212"/>
      <c r="H339" s="1212"/>
      <c r="I339" s="1211">
        <v>0</v>
      </c>
      <c r="J339" s="1202">
        <v>0</v>
      </c>
      <c r="K339" s="1203">
        <v>0</v>
      </c>
      <c r="L339" s="1203">
        <v>0</v>
      </c>
      <c r="M339" s="1203">
        <v>0</v>
      </c>
      <c r="N339" s="1203">
        <v>0</v>
      </c>
      <c r="O339" s="1203">
        <v>0</v>
      </c>
      <c r="P339" s="1203">
        <v>0</v>
      </c>
      <c r="Q339" s="1203">
        <v>0</v>
      </c>
      <c r="R339" s="1203">
        <v>0</v>
      </c>
      <c r="S339" s="1203">
        <v>0</v>
      </c>
    </row>
    <row r="340" spans="1:19" hidden="1" outlineLevel="1">
      <c r="A340" s="1198">
        <v>23053</v>
      </c>
      <c r="B340" s="1199" t="s">
        <v>1791</v>
      </c>
      <c r="C340" s="1211">
        <v>2</v>
      </c>
      <c r="D340" s="1212"/>
      <c r="E340" s="1212"/>
      <c r="F340" s="1212"/>
      <c r="G340" s="1212"/>
      <c r="H340" s="1212"/>
      <c r="I340" s="1211">
        <v>0</v>
      </c>
      <c r="J340" s="1211">
        <v>0</v>
      </c>
      <c r="K340" s="1212">
        <v>0</v>
      </c>
      <c r="L340" s="1212">
        <v>0</v>
      </c>
      <c r="M340" s="1212">
        <v>0</v>
      </c>
      <c r="N340" s="1212">
        <v>0</v>
      </c>
      <c r="O340" s="1212">
        <v>0</v>
      </c>
      <c r="P340" s="1212">
        <v>0</v>
      </c>
      <c r="Q340" s="1212">
        <v>0</v>
      </c>
      <c r="R340" s="1212">
        <v>0</v>
      </c>
      <c r="S340" s="1212">
        <v>0</v>
      </c>
    </row>
    <row r="341" spans="1:19" hidden="1" outlineLevel="1">
      <c r="A341" s="1198">
        <v>3602</v>
      </c>
      <c r="B341" s="1199" t="s">
        <v>1792</v>
      </c>
      <c r="C341" s="1211">
        <v>2</v>
      </c>
      <c r="D341" s="1212"/>
      <c r="E341" s="1212"/>
      <c r="F341" s="1212"/>
      <c r="G341" s="1212"/>
      <c r="H341" s="1212"/>
      <c r="I341" s="1211">
        <v>0</v>
      </c>
      <c r="J341" s="1211">
        <v>0</v>
      </c>
      <c r="K341" s="1212">
        <v>0</v>
      </c>
      <c r="L341" s="1212">
        <v>0</v>
      </c>
      <c r="M341" s="1212">
        <v>0</v>
      </c>
      <c r="N341" s="1212">
        <v>0</v>
      </c>
      <c r="O341" s="1212">
        <v>0</v>
      </c>
      <c r="P341" s="1212">
        <v>0</v>
      </c>
      <c r="Q341" s="1212">
        <v>0</v>
      </c>
      <c r="R341" s="1212">
        <v>0</v>
      </c>
      <c r="S341" s="1212">
        <v>0</v>
      </c>
    </row>
    <row r="342" spans="1:19" hidden="1" outlineLevel="1">
      <c r="A342" s="1198">
        <v>460136</v>
      </c>
      <c r="B342" s="1199" t="s">
        <v>1793</v>
      </c>
      <c r="C342" s="1211">
        <v>8</v>
      </c>
      <c r="D342" s="1212"/>
      <c r="E342" s="1212"/>
      <c r="F342" s="1212"/>
      <c r="G342" s="1212"/>
      <c r="H342" s="1212"/>
      <c r="I342" s="1211">
        <v>0</v>
      </c>
      <c r="J342" s="1202">
        <v>0</v>
      </c>
      <c r="K342" s="1203">
        <v>0</v>
      </c>
      <c r="L342" s="1203">
        <v>0</v>
      </c>
      <c r="M342" s="1203">
        <v>0</v>
      </c>
      <c r="N342" s="1203">
        <v>0</v>
      </c>
      <c r="O342" s="1203">
        <v>0</v>
      </c>
      <c r="P342" s="1203">
        <v>0</v>
      </c>
      <c r="Q342" s="1203">
        <v>0</v>
      </c>
      <c r="R342" s="1203">
        <v>0</v>
      </c>
      <c r="S342" s="1203">
        <v>0</v>
      </c>
    </row>
    <row r="343" spans="1:19" hidden="1" outlineLevel="1">
      <c r="A343" s="1198">
        <v>10814</v>
      </c>
      <c r="B343" s="1199" t="s">
        <v>1794</v>
      </c>
      <c r="C343" s="1211">
        <v>8</v>
      </c>
      <c r="D343" s="1212"/>
      <c r="E343" s="1212"/>
      <c r="F343" s="1212"/>
      <c r="G343" s="1212"/>
      <c r="H343" s="1212"/>
      <c r="I343" s="1211">
        <v>0</v>
      </c>
      <c r="J343" s="1202">
        <v>0</v>
      </c>
      <c r="K343" s="1203">
        <v>0</v>
      </c>
      <c r="L343" s="1203">
        <v>0</v>
      </c>
      <c r="M343" s="1203">
        <v>0</v>
      </c>
      <c r="N343" s="1203">
        <v>0</v>
      </c>
      <c r="O343" s="1203">
        <v>0</v>
      </c>
      <c r="P343" s="1203">
        <v>0</v>
      </c>
      <c r="Q343" s="1203">
        <v>0</v>
      </c>
      <c r="R343" s="1203">
        <v>0</v>
      </c>
      <c r="S343" s="1203">
        <v>0</v>
      </c>
    </row>
    <row r="344" spans="1:19" hidden="1" outlineLevel="1">
      <c r="A344" s="1198">
        <v>469</v>
      </c>
      <c r="B344" s="1199" t="s">
        <v>1795</v>
      </c>
      <c r="C344" s="1211">
        <v>5</v>
      </c>
      <c r="D344" s="1212"/>
      <c r="E344" s="1212"/>
      <c r="F344" s="1212"/>
      <c r="G344" s="1212"/>
      <c r="H344" s="1212"/>
      <c r="I344" s="1211">
        <v>0</v>
      </c>
      <c r="J344" s="1202">
        <v>0</v>
      </c>
      <c r="K344" s="1203">
        <v>0</v>
      </c>
      <c r="L344" s="1203">
        <v>0</v>
      </c>
      <c r="M344" s="1203">
        <v>0</v>
      </c>
      <c r="N344" s="1203">
        <v>0</v>
      </c>
      <c r="O344" s="1203">
        <v>0</v>
      </c>
      <c r="P344" s="1203">
        <v>0</v>
      </c>
      <c r="Q344" s="1203">
        <v>0</v>
      </c>
      <c r="R344" s="1203">
        <v>0</v>
      </c>
      <c r="S344" s="1203">
        <v>0</v>
      </c>
    </row>
    <row r="345" spans="1:19" hidden="1" outlineLevel="1">
      <c r="A345" s="1198">
        <v>447388</v>
      </c>
      <c r="B345" s="1199" t="s">
        <v>1796</v>
      </c>
      <c r="C345" s="1211">
        <v>8</v>
      </c>
      <c r="D345" s="1212"/>
      <c r="E345" s="1212"/>
      <c r="F345" s="1212"/>
      <c r="G345" s="1212"/>
      <c r="H345" s="1212"/>
      <c r="I345" s="1211">
        <v>0</v>
      </c>
      <c r="J345" s="1202">
        <v>0</v>
      </c>
      <c r="K345" s="1203">
        <v>0</v>
      </c>
      <c r="L345" s="1203">
        <v>0</v>
      </c>
      <c r="M345" s="1203">
        <v>0</v>
      </c>
      <c r="N345" s="1203">
        <v>0</v>
      </c>
      <c r="O345" s="1203">
        <v>0</v>
      </c>
      <c r="P345" s="1203">
        <v>0</v>
      </c>
      <c r="Q345" s="1203">
        <v>0</v>
      </c>
      <c r="R345" s="1203">
        <v>0</v>
      </c>
      <c r="S345" s="1203">
        <v>0</v>
      </c>
    </row>
    <row r="346" spans="1:19" hidden="1" outlineLevel="1">
      <c r="A346" s="1198">
        <v>1401</v>
      </c>
      <c r="B346" s="1199" t="s">
        <v>1797</v>
      </c>
      <c r="C346" s="1211">
        <v>8</v>
      </c>
      <c r="D346" s="1212"/>
      <c r="E346" s="1212"/>
      <c r="F346" s="1212"/>
      <c r="G346" s="1212"/>
      <c r="H346" s="1212"/>
      <c r="I346" s="1211">
        <v>0</v>
      </c>
      <c r="J346" s="1202">
        <v>0</v>
      </c>
      <c r="K346" s="1203">
        <v>0</v>
      </c>
      <c r="L346" s="1203">
        <v>0</v>
      </c>
      <c r="M346" s="1203">
        <v>0</v>
      </c>
      <c r="N346" s="1203">
        <v>0</v>
      </c>
      <c r="O346" s="1203">
        <v>0</v>
      </c>
      <c r="P346" s="1203">
        <v>0</v>
      </c>
      <c r="Q346" s="1203">
        <v>0</v>
      </c>
      <c r="R346" s="1203">
        <v>0</v>
      </c>
      <c r="S346" s="1203">
        <v>0</v>
      </c>
    </row>
    <row r="347" spans="1:19" hidden="1" outlineLevel="1">
      <c r="A347" s="1198">
        <v>468</v>
      </c>
      <c r="B347" s="1199" t="s">
        <v>1798</v>
      </c>
      <c r="C347" s="1211">
        <v>5</v>
      </c>
      <c r="D347" s="1212"/>
      <c r="E347" s="1212"/>
      <c r="F347" s="1212"/>
      <c r="G347" s="1212"/>
      <c r="H347" s="1212"/>
      <c r="I347" s="1211">
        <v>0</v>
      </c>
      <c r="J347" s="1202">
        <v>0</v>
      </c>
      <c r="K347" s="1203">
        <v>0</v>
      </c>
      <c r="L347" s="1203">
        <v>0</v>
      </c>
      <c r="M347" s="1203">
        <v>0</v>
      </c>
      <c r="N347" s="1203">
        <v>0</v>
      </c>
      <c r="O347" s="1203">
        <v>0</v>
      </c>
      <c r="P347" s="1203">
        <v>0</v>
      </c>
      <c r="Q347" s="1203">
        <v>0</v>
      </c>
      <c r="R347" s="1203">
        <v>0</v>
      </c>
      <c r="S347" s="1203">
        <v>0</v>
      </c>
    </row>
    <row r="348" spans="1:19" hidden="1" outlineLevel="1">
      <c r="A348" s="1198">
        <v>439507</v>
      </c>
      <c r="B348" s="1199" t="s">
        <v>1799</v>
      </c>
      <c r="C348" s="1211">
        <v>8</v>
      </c>
      <c r="D348" s="1212"/>
      <c r="E348" s="1212"/>
      <c r="F348" s="1212"/>
      <c r="G348" s="1212"/>
      <c r="H348" s="1212"/>
      <c r="I348" s="1211">
        <v>0</v>
      </c>
      <c r="J348" s="1202">
        <v>0</v>
      </c>
      <c r="K348" s="1203">
        <v>0</v>
      </c>
      <c r="L348" s="1203">
        <v>0</v>
      </c>
      <c r="M348" s="1203">
        <v>0</v>
      </c>
      <c r="N348" s="1203">
        <v>0</v>
      </c>
      <c r="O348" s="1203">
        <v>0</v>
      </c>
      <c r="P348" s="1203">
        <v>0</v>
      </c>
      <c r="Q348" s="1203">
        <v>0</v>
      </c>
      <c r="R348" s="1203">
        <v>0</v>
      </c>
      <c r="S348" s="1203">
        <v>0</v>
      </c>
    </row>
    <row r="349" spans="1:19" hidden="1" outlineLevel="1">
      <c r="A349" s="1198">
        <v>9193</v>
      </c>
      <c r="B349" s="1199" t="s">
        <v>1800</v>
      </c>
      <c r="C349" s="1211">
        <v>8</v>
      </c>
      <c r="D349" s="1212"/>
      <c r="E349" s="1212"/>
      <c r="F349" s="1212"/>
      <c r="G349" s="1212"/>
      <c r="H349" s="1212"/>
      <c r="I349" s="1211">
        <v>0</v>
      </c>
      <c r="J349" s="1202">
        <v>0</v>
      </c>
      <c r="K349" s="1203">
        <v>0</v>
      </c>
      <c r="L349" s="1203">
        <v>0</v>
      </c>
      <c r="M349" s="1203">
        <v>0</v>
      </c>
      <c r="N349" s="1203">
        <v>0</v>
      </c>
      <c r="O349" s="1203">
        <v>0</v>
      </c>
      <c r="P349" s="1203">
        <v>0</v>
      </c>
      <c r="Q349" s="1203">
        <v>0</v>
      </c>
      <c r="R349" s="1203">
        <v>0</v>
      </c>
      <c r="S349" s="1203">
        <v>0</v>
      </c>
    </row>
    <row r="350" spans="1:19" hidden="1" outlineLevel="1">
      <c r="A350" s="1198">
        <v>223463</v>
      </c>
      <c r="B350" s="1199" t="s">
        <v>1801</v>
      </c>
      <c r="C350" s="1211">
        <v>8</v>
      </c>
      <c r="D350" s="1212"/>
      <c r="E350" s="1212"/>
      <c r="F350" s="1212"/>
      <c r="G350" s="1212"/>
      <c r="H350" s="1212"/>
      <c r="I350" s="1211">
        <v>0</v>
      </c>
      <c r="J350" s="1202">
        <v>0</v>
      </c>
      <c r="K350" s="1203">
        <v>0</v>
      </c>
      <c r="L350" s="1203">
        <v>0</v>
      </c>
      <c r="M350" s="1203">
        <v>0</v>
      </c>
      <c r="N350" s="1203">
        <v>0</v>
      </c>
      <c r="O350" s="1203">
        <v>0</v>
      </c>
      <c r="P350" s="1203">
        <v>0</v>
      </c>
      <c r="Q350" s="1203">
        <v>0</v>
      </c>
      <c r="R350" s="1203">
        <v>0</v>
      </c>
      <c r="S350" s="1203">
        <v>0</v>
      </c>
    </row>
    <row r="351" spans="1:19" hidden="1" outlineLevel="1">
      <c r="A351" s="1198">
        <v>445203</v>
      </c>
      <c r="B351" s="1199" t="s">
        <v>1802</v>
      </c>
      <c r="C351" s="1211">
        <v>8</v>
      </c>
      <c r="D351" s="1212"/>
      <c r="E351" s="1212"/>
      <c r="F351" s="1212"/>
      <c r="G351" s="1212"/>
      <c r="H351" s="1212"/>
      <c r="I351" s="1211">
        <v>0</v>
      </c>
      <c r="J351" s="1202">
        <v>0</v>
      </c>
      <c r="K351" s="1203">
        <v>0</v>
      </c>
      <c r="L351" s="1203">
        <v>0</v>
      </c>
      <c r="M351" s="1203">
        <v>0</v>
      </c>
      <c r="N351" s="1203">
        <v>0</v>
      </c>
      <c r="O351" s="1203">
        <v>0</v>
      </c>
      <c r="P351" s="1203">
        <v>0</v>
      </c>
      <c r="Q351" s="1203">
        <v>0</v>
      </c>
      <c r="R351" s="1203">
        <v>0</v>
      </c>
      <c r="S351" s="1203">
        <v>0</v>
      </c>
    </row>
    <row r="352" spans="1:19" hidden="1" outlineLevel="1">
      <c r="A352" s="1198">
        <v>445223</v>
      </c>
      <c r="B352" s="1199" t="s">
        <v>1803</v>
      </c>
      <c r="C352" s="1211">
        <v>8</v>
      </c>
      <c r="D352" s="1212"/>
      <c r="E352" s="1212"/>
      <c r="F352" s="1212"/>
      <c r="G352" s="1212"/>
      <c r="H352" s="1212"/>
      <c r="I352" s="1211">
        <v>0</v>
      </c>
      <c r="J352" s="1202">
        <v>0</v>
      </c>
      <c r="K352" s="1203">
        <v>0</v>
      </c>
      <c r="L352" s="1203">
        <v>0</v>
      </c>
      <c r="M352" s="1203">
        <v>0</v>
      </c>
      <c r="N352" s="1203">
        <v>0</v>
      </c>
      <c r="O352" s="1203">
        <v>0</v>
      </c>
      <c r="P352" s="1203">
        <v>0</v>
      </c>
      <c r="Q352" s="1203">
        <v>0</v>
      </c>
      <c r="R352" s="1203">
        <v>0</v>
      </c>
      <c r="S352" s="1203">
        <v>0</v>
      </c>
    </row>
    <row r="353" spans="1:19" hidden="1" outlineLevel="1">
      <c r="A353" s="1198">
        <v>380094</v>
      </c>
      <c r="B353" s="1199" t="s">
        <v>1804</v>
      </c>
      <c r="C353" s="1211">
        <v>8</v>
      </c>
      <c r="D353" s="1212"/>
      <c r="E353" s="1212"/>
      <c r="F353" s="1212"/>
      <c r="G353" s="1212"/>
      <c r="H353" s="1212"/>
      <c r="I353" s="1211">
        <v>0</v>
      </c>
      <c r="J353" s="1202">
        <v>0</v>
      </c>
      <c r="K353" s="1203">
        <v>0</v>
      </c>
      <c r="L353" s="1203">
        <v>0</v>
      </c>
      <c r="M353" s="1203">
        <v>0</v>
      </c>
      <c r="N353" s="1203">
        <v>0</v>
      </c>
      <c r="O353" s="1203">
        <v>0</v>
      </c>
      <c r="P353" s="1203">
        <v>0</v>
      </c>
      <c r="Q353" s="1203">
        <v>0</v>
      </c>
      <c r="R353" s="1203">
        <v>0</v>
      </c>
      <c r="S353" s="1203">
        <v>0</v>
      </c>
    </row>
    <row r="354" spans="1:19" hidden="1" outlineLevel="1">
      <c r="A354" s="1198">
        <v>377111</v>
      </c>
      <c r="B354" s="1199" t="s">
        <v>1805</v>
      </c>
      <c r="C354" s="1211">
        <v>8</v>
      </c>
      <c r="D354" s="1212"/>
      <c r="E354" s="1212"/>
      <c r="F354" s="1212"/>
      <c r="G354" s="1212"/>
      <c r="H354" s="1212"/>
      <c r="I354" s="1211">
        <v>0</v>
      </c>
      <c r="J354" s="1202">
        <v>0</v>
      </c>
      <c r="K354" s="1203">
        <v>0</v>
      </c>
      <c r="L354" s="1203">
        <v>0</v>
      </c>
      <c r="M354" s="1203">
        <v>0</v>
      </c>
      <c r="N354" s="1203">
        <v>0</v>
      </c>
      <c r="O354" s="1203">
        <v>0</v>
      </c>
      <c r="P354" s="1203">
        <v>0</v>
      </c>
      <c r="Q354" s="1203">
        <v>0</v>
      </c>
      <c r="R354" s="1203">
        <v>0</v>
      </c>
      <c r="S354" s="1203">
        <v>0</v>
      </c>
    </row>
    <row r="355" spans="1:19" hidden="1" outlineLevel="1">
      <c r="A355" s="1198">
        <v>3604</v>
      </c>
      <c r="B355" s="1199" t="s">
        <v>1806</v>
      </c>
      <c r="C355" s="1211">
        <v>2</v>
      </c>
      <c r="D355" s="1212"/>
      <c r="E355" s="1212"/>
      <c r="F355" s="1212"/>
      <c r="G355" s="1212"/>
      <c r="H355" s="1212"/>
      <c r="I355" s="1211">
        <v>0</v>
      </c>
      <c r="J355" s="1211">
        <v>0</v>
      </c>
      <c r="K355" s="1212">
        <v>0</v>
      </c>
      <c r="L355" s="1212">
        <v>0</v>
      </c>
      <c r="M355" s="1212">
        <v>0</v>
      </c>
      <c r="N355" s="1212">
        <v>0</v>
      </c>
      <c r="O355" s="1212">
        <v>0</v>
      </c>
      <c r="P355" s="1212">
        <v>0</v>
      </c>
      <c r="Q355" s="1212">
        <v>0</v>
      </c>
      <c r="R355" s="1212">
        <v>0</v>
      </c>
      <c r="S355" s="1212">
        <v>0</v>
      </c>
    </row>
    <row r="356" spans="1:19" hidden="1" outlineLevel="1">
      <c r="A356" s="1198">
        <v>475185</v>
      </c>
      <c r="B356" s="1199" t="s">
        <v>1807</v>
      </c>
      <c r="C356" s="1211">
        <v>8</v>
      </c>
      <c r="D356" s="1212"/>
      <c r="E356" s="1212"/>
      <c r="F356" s="1212"/>
      <c r="G356" s="1212"/>
      <c r="H356" s="1212"/>
      <c r="I356" s="1211">
        <v>0</v>
      </c>
      <c r="J356" s="1202">
        <v>0</v>
      </c>
      <c r="K356" s="1203">
        <v>0</v>
      </c>
      <c r="L356" s="1203">
        <v>0</v>
      </c>
      <c r="M356" s="1203">
        <v>0</v>
      </c>
      <c r="N356" s="1203">
        <v>0</v>
      </c>
      <c r="O356" s="1203">
        <v>0</v>
      </c>
      <c r="P356" s="1203">
        <v>0</v>
      </c>
      <c r="Q356" s="1203">
        <v>0</v>
      </c>
      <c r="R356" s="1203">
        <v>0</v>
      </c>
      <c r="S356" s="1203">
        <v>0</v>
      </c>
    </row>
    <row r="357" spans="1:19" hidden="1" outlineLevel="1">
      <c r="A357" s="1198">
        <v>900061</v>
      </c>
      <c r="B357" s="1199" t="s">
        <v>1808</v>
      </c>
      <c r="C357" s="1211">
        <v>8</v>
      </c>
      <c r="D357" s="1212"/>
      <c r="E357" s="1212"/>
      <c r="F357" s="1212"/>
      <c r="G357" s="1212"/>
      <c r="H357" s="1212"/>
      <c r="I357" s="1211">
        <v>0</v>
      </c>
      <c r="J357" s="1202">
        <v>0</v>
      </c>
      <c r="K357" s="1203">
        <v>0</v>
      </c>
      <c r="L357" s="1203">
        <v>0</v>
      </c>
      <c r="M357" s="1203">
        <v>0</v>
      </c>
      <c r="N357" s="1203">
        <v>0</v>
      </c>
      <c r="O357" s="1203">
        <v>0</v>
      </c>
      <c r="P357" s="1203">
        <v>0</v>
      </c>
      <c r="Q357" s="1203">
        <v>0</v>
      </c>
      <c r="R357" s="1203">
        <v>0</v>
      </c>
      <c r="S357" s="1203">
        <v>0</v>
      </c>
    </row>
    <row r="358" spans="1:19" hidden="1" outlineLevel="1">
      <c r="A358" s="1198">
        <v>2335</v>
      </c>
      <c r="B358" s="1199" t="s">
        <v>1809</v>
      </c>
      <c r="C358" s="1211">
        <v>8</v>
      </c>
      <c r="D358" s="1212"/>
      <c r="E358" s="1212"/>
      <c r="F358" s="1212"/>
      <c r="G358" s="1212"/>
      <c r="H358" s="1212"/>
      <c r="I358" s="1211">
        <v>0</v>
      </c>
      <c r="J358" s="1202">
        <v>0</v>
      </c>
      <c r="K358" s="1203">
        <v>0</v>
      </c>
      <c r="L358" s="1203">
        <v>0</v>
      </c>
      <c r="M358" s="1203">
        <v>0</v>
      </c>
      <c r="N358" s="1203">
        <v>0</v>
      </c>
      <c r="O358" s="1203">
        <v>0</v>
      </c>
      <c r="P358" s="1203">
        <v>0</v>
      </c>
      <c r="Q358" s="1203">
        <v>0</v>
      </c>
      <c r="R358" s="1203">
        <v>0</v>
      </c>
      <c r="S358" s="1203">
        <v>0</v>
      </c>
    </row>
    <row r="359" spans="1:19" hidden="1" outlineLevel="1">
      <c r="A359" s="1198">
        <v>40653</v>
      </c>
      <c r="B359" s="1199" t="s">
        <v>1810</v>
      </c>
      <c r="C359" s="1211">
        <v>8</v>
      </c>
      <c r="D359" s="1212"/>
      <c r="E359" s="1212"/>
      <c r="F359" s="1212"/>
      <c r="G359" s="1212"/>
      <c r="H359" s="1212"/>
      <c r="I359" s="1211">
        <v>0</v>
      </c>
      <c r="J359" s="1202">
        <v>0</v>
      </c>
      <c r="K359" s="1203">
        <v>0</v>
      </c>
      <c r="L359" s="1203">
        <v>0</v>
      </c>
      <c r="M359" s="1203">
        <v>0</v>
      </c>
      <c r="N359" s="1203">
        <v>0</v>
      </c>
      <c r="O359" s="1203">
        <v>0</v>
      </c>
      <c r="P359" s="1203">
        <v>0</v>
      </c>
      <c r="Q359" s="1203">
        <v>0</v>
      </c>
      <c r="R359" s="1203">
        <v>0</v>
      </c>
      <c r="S359" s="1203">
        <v>0</v>
      </c>
    </row>
    <row r="360" spans="1:19" hidden="1" outlineLevel="1">
      <c r="A360" s="1198">
        <v>9800</v>
      </c>
      <c r="B360" s="1199" t="s">
        <v>1811</v>
      </c>
      <c r="C360" s="1211">
        <v>8</v>
      </c>
      <c r="D360" s="1212"/>
      <c r="E360" s="1212"/>
      <c r="F360" s="1212"/>
      <c r="G360" s="1212"/>
      <c r="H360" s="1212"/>
      <c r="I360" s="1211">
        <v>0</v>
      </c>
      <c r="J360" s="1202">
        <v>0</v>
      </c>
      <c r="K360" s="1203">
        <v>0</v>
      </c>
      <c r="L360" s="1203">
        <v>0</v>
      </c>
      <c r="M360" s="1203">
        <v>0</v>
      </c>
      <c r="N360" s="1203">
        <v>0</v>
      </c>
      <c r="O360" s="1203">
        <v>0</v>
      </c>
      <c r="P360" s="1203">
        <v>0</v>
      </c>
      <c r="Q360" s="1203">
        <v>0</v>
      </c>
      <c r="R360" s="1203">
        <v>0</v>
      </c>
      <c r="S360" s="1203">
        <v>0</v>
      </c>
    </row>
    <row r="361" spans="1:19" hidden="1" outlineLevel="1">
      <c r="A361" s="1198">
        <v>2051</v>
      </c>
      <c r="B361" s="1199" t="s">
        <v>1812</v>
      </c>
      <c r="C361" s="1211">
        <v>8</v>
      </c>
      <c r="D361" s="1212"/>
      <c r="E361" s="1212"/>
      <c r="F361" s="1212"/>
      <c r="G361" s="1212"/>
      <c r="H361" s="1212"/>
      <c r="I361" s="1211">
        <v>0</v>
      </c>
      <c r="J361" s="1202">
        <v>0</v>
      </c>
      <c r="K361" s="1203">
        <v>0</v>
      </c>
      <c r="L361" s="1203">
        <v>0</v>
      </c>
      <c r="M361" s="1203">
        <v>0</v>
      </c>
      <c r="N361" s="1203">
        <v>0</v>
      </c>
      <c r="O361" s="1203">
        <v>0</v>
      </c>
      <c r="P361" s="1203">
        <v>0</v>
      </c>
      <c r="Q361" s="1203">
        <v>0</v>
      </c>
      <c r="R361" s="1203">
        <v>0</v>
      </c>
      <c r="S361" s="1203">
        <v>0</v>
      </c>
    </row>
    <row r="362" spans="1:19" hidden="1" outlineLevel="1">
      <c r="A362" s="1198">
        <v>1526</v>
      </c>
      <c r="B362" s="1199" t="s">
        <v>1813</v>
      </c>
      <c r="C362" s="1211">
        <v>8</v>
      </c>
      <c r="D362" s="1212"/>
      <c r="E362" s="1212"/>
      <c r="F362" s="1212"/>
      <c r="G362" s="1212"/>
      <c r="H362" s="1212"/>
      <c r="I362" s="1211">
        <v>0</v>
      </c>
      <c r="J362" s="1202">
        <v>0</v>
      </c>
      <c r="K362" s="1203">
        <v>0</v>
      </c>
      <c r="L362" s="1203">
        <v>0</v>
      </c>
      <c r="M362" s="1203">
        <v>0</v>
      </c>
      <c r="N362" s="1203">
        <v>0</v>
      </c>
      <c r="O362" s="1203">
        <v>0</v>
      </c>
      <c r="P362" s="1203">
        <v>0</v>
      </c>
      <c r="Q362" s="1203">
        <v>0</v>
      </c>
      <c r="R362" s="1203">
        <v>0</v>
      </c>
      <c r="S362" s="1203">
        <v>0</v>
      </c>
    </row>
    <row r="363" spans="1:19" hidden="1" outlineLevel="1">
      <c r="A363" s="1198">
        <v>900062</v>
      </c>
      <c r="B363" s="1199" t="s">
        <v>1814</v>
      </c>
      <c r="C363" s="1211">
        <v>8</v>
      </c>
      <c r="D363" s="1212"/>
      <c r="E363" s="1212"/>
      <c r="F363" s="1212"/>
      <c r="G363" s="1212"/>
      <c r="H363" s="1212"/>
      <c r="I363" s="1211">
        <v>0</v>
      </c>
      <c r="J363" s="1202">
        <v>0</v>
      </c>
      <c r="K363" s="1203">
        <v>0</v>
      </c>
      <c r="L363" s="1203">
        <v>0</v>
      </c>
      <c r="M363" s="1203">
        <v>0</v>
      </c>
      <c r="N363" s="1203">
        <v>0</v>
      </c>
      <c r="O363" s="1203">
        <v>0</v>
      </c>
      <c r="P363" s="1203">
        <v>0</v>
      </c>
      <c r="Q363" s="1203">
        <v>0</v>
      </c>
      <c r="R363" s="1203">
        <v>0</v>
      </c>
      <c r="S363" s="1203">
        <v>0</v>
      </c>
    </row>
    <row r="364" spans="1:19" hidden="1" outlineLevel="1">
      <c r="A364" s="1198">
        <v>2506</v>
      </c>
      <c r="B364" s="1199" t="s">
        <v>1815</v>
      </c>
      <c r="C364" s="1211">
        <v>8</v>
      </c>
      <c r="D364" s="1212"/>
      <c r="E364" s="1212"/>
      <c r="F364" s="1212"/>
      <c r="G364" s="1212"/>
      <c r="H364" s="1212"/>
      <c r="I364" s="1211">
        <v>0</v>
      </c>
      <c r="J364" s="1202">
        <v>0</v>
      </c>
      <c r="K364" s="1203">
        <v>0</v>
      </c>
      <c r="L364" s="1203">
        <v>0</v>
      </c>
      <c r="M364" s="1203">
        <v>0</v>
      </c>
      <c r="N364" s="1203">
        <v>0</v>
      </c>
      <c r="O364" s="1203">
        <v>0</v>
      </c>
      <c r="P364" s="1203">
        <v>0</v>
      </c>
      <c r="Q364" s="1203">
        <v>0</v>
      </c>
      <c r="R364" s="1203">
        <v>0</v>
      </c>
      <c r="S364" s="1203">
        <v>0</v>
      </c>
    </row>
    <row r="365" spans="1:19" hidden="1" outlineLevel="1">
      <c r="A365" s="1198">
        <v>388</v>
      </c>
      <c r="B365" s="1199" t="s">
        <v>1816</v>
      </c>
      <c r="C365" s="1211">
        <v>8</v>
      </c>
      <c r="D365" s="1212"/>
      <c r="E365" s="1212"/>
      <c r="F365" s="1212"/>
      <c r="G365" s="1212"/>
      <c r="H365" s="1212"/>
      <c r="I365" s="1211">
        <v>0</v>
      </c>
      <c r="J365" s="1202">
        <v>0</v>
      </c>
      <c r="K365" s="1203">
        <v>0</v>
      </c>
      <c r="L365" s="1203">
        <v>0</v>
      </c>
      <c r="M365" s="1203">
        <v>0</v>
      </c>
      <c r="N365" s="1203">
        <v>0</v>
      </c>
      <c r="O365" s="1203">
        <v>0</v>
      </c>
      <c r="P365" s="1203">
        <v>0</v>
      </c>
      <c r="Q365" s="1203">
        <v>0</v>
      </c>
      <c r="R365" s="1203">
        <v>0</v>
      </c>
      <c r="S365" s="1203">
        <v>0</v>
      </c>
    </row>
    <row r="366" spans="1:19" hidden="1" outlineLevel="1">
      <c r="A366" s="1198">
        <v>470</v>
      </c>
      <c r="B366" s="1199" t="s">
        <v>1817</v>
      </c>
      <c r="C366" s="1211">
        <v>5</v>
      </c>
      <c r="D366" s="1212"/>
      <c r="E366" s="1212"/>
      <c r="F366" s="1212"/>
      <c r="G366" s="1212"/>
      <c r="H366" s="1212"/>
      <c r="I366" s="1211">
        <v>0</v>
      </c>
      <c r="J366" s="1202">
        <v>0</v>
      </c>
      <c r="K366" s="1203">
        <v>0</v>
      </c>
      <c r="L366" s="1203">
        <v>0</v>
      </c>
      <c r="M366" s="1203">
        <v>0</v>
      </c>
      <c r="N366" s="1203">
        <v>0</v>
      </c>
      <c r="O366" s="1203">
        <v>0</v>
      </c>
      <c r="P366" s="1203">
        <v>0</v>
      </c>
      <c r="Q366" s="1203">
        <v>0</v>
      </c>
      <c r="R366" s="1203">
        <v>0</v>
      </c>
      <c r="S366" s="1203">
        <v>0</v>
      </c>
    </row>
    <row r="367" spans="1:19" hidden="1" outlineLevel="1">
      <c r="A367" s="1198">
        <v>404514</v>
      </c>
      <c r="B367" s="1199" t="s">
        <v>1818</v>
      </c>
      <c r="C367" s="1211">
        <v>8</v>
      </c>
      <c r="D367" s="1212"/>
      <c r="E367" s="1212"/>
      <c r="F367" s="1212"/>
      <c r="G367" s="1212"/>
      <c r="H367" s="1212"/>
      <c r="I367" s="1211">
        <v>0</v>
      </c>
      <c r="J367" s="1202">
        <v>0</v>
      </c>
      <c r="K367" s="1203">
        <v>0</v>
      </c>
      <c r="L367" s="1203">
        <v>0</v>
      </c>
      <c r="M367" s="1203">
        <v>0</v>
      </c>
      <c r="N367" s="1203">
        <v>0</v>
      </c>
      <c r="O367" s="1203">
        <v>0</v>
      </c>
      <c r="P367" s="1203">
        <v>0</v>
      </c>
      <c r="Q367" s="1203">
        <v>0</v>
      </c>
      <c r="R367" s="1203">
        <v>0</v>
      </c>
      <c r="S367" s="1203">
        <v>0</v>
      </c>
    </row>
    <row r="368" spans="1:19" hidden="1" outlineLevel="1">
      <c r="A368" s="1198">
        <v>445142</v>
      </c>
      <c r="B368" s="1199" t="s">
        <v>1819</v>
      </c>
      <c r="C368" s="1211">
        <v>8</v>
      </c>
      <c r="D368" s="1212"/>
      <c r="E368" s="1212"/>
      <c r="F368" s="1212"/>
      <c r="G368" s="1212"/>
      <c r="H368" s="1212"/>
      <c r="I368" s="1211">
        <v>0</v>
      </c>
      <c r="J368" s="1202">
        <v>0</v>
      </c>
      <c r="K368" s="1203">
        <v>0</v>
      </c>
      <c r="L368" s="1203">
        <v>0</v>
      </c>
      <c r="M368" s="1203">
        <v>0</v>
      </c>
      <c r="N368" s="1203">
        <v>0</v>
      </c>
      <c r="O368" s="1203">
        <v>0</v>
      </c>
      <c r="P368" s="1203">
        <v>0</v>
      </c>
      <c r="Q368" s="1203">
        <v>0</v>
      </c>
      <c r="R368" s="1203">
        <v>0</v>
      </c>
      <c r="S368" s="1203">
        <v>0</v>
      </c>
    </row>
    <row r="369" spans="1:19" hidden="1" outlineLevel="1">
      <c r="A369" s="1198">
        <v>404499</v>
      </c>
      <c r="B369" s="1199" t="s">
        <v>1820</v>
      </c>
      <c r="C369" s="1211">
        <v>8</v>
      </c>
      <c r="D369" s="1212"/>
      <c r="E369" s="1212"/>
      <c r="F369" s="1212"/>
      <c r="G369" s="1212"/>
      <c r="H369" s="1212"/>
      <c r="I369" s="1211">
        <v>0</v>
      </c>
      <c r="J369" s="1202">
        <v>0</v>
      </c>
      <c r="K369" s="1203">
        <v>0</v>
      </c>
      <c r="L369" s="1203">
        <v>0</v>
      </c>
      <c r="M369" s="1203">
        <v>0</v>
      </c>
      <c r="N369" s="1203">
        <v>0</v>
      </c>
      <c r="O369" s="1203">
        <v>0</v>
      </c>
      <c r="P369" s="1203">
        <v>0</v>
      </c>
      <c r="Q369" s="1203">
        <v>0</v>
      </c>
      <c r="R369" s="1203">
        <v>0</v>
      </c>
      <c r="S369" s="1203">
        <v>0</v>
      </c>
    </row>
    <row r="370" spans="1:19" hidden="1" outlineLevel="1">
      <c r="A370" s="1198">
        <v>456311</v>
      </c>
      <c r="B370" s="1199" t="s">
        <v>1821</v>
      </c>
      <c r="C370" s="1211">
        <v>8</v>
      </c>
      <c r="D370" s="1212"/>
      <c r="E370" s="1212"/>
      <c r="F370" s="1212"/>
      <c r="G370" s="1212"/>
      <c r="H370" s="1212"/>
      <c r="I370" s="1211">
        <v>0</v>
      </c>
      <c r="J370" s="1202">
        <v>0</v>
      </c>
      <c r="K370" s="1203">
        <v>0</v>
      </c>
      <c r="L370" s="1203">
        <v>0</v>
      </c>
      <c r="M370" s="1203">
        <v>0</v>
      </c>
      <c r="N370" s="1203">
        <v>0</v>
      </c>
      <c r="O370" s="1203">
        <v>0</v>
      </c>
      <c r="P370" s="1203">
        <v>0</v>
      </c>
      <c r="Q370" s="1203">
        <v>0</v>
      </c>
      <c r="R370" s="1203">
        <v>0</v>
      </c>
      <c r="S370" s="1203">
        <v>0</v>
      </c>
    </row>
    <row r="371" spans="1:19" hidden="1" outlineLevel="1">
      <c r="A371" s="1198">
        <v>475051</v>
      </c>
      <c r="B371" s="1199" t="s">
        <v>1822</v>
      </c>
      <c r="C371" s="1211">
        <v>8</v>
      </c>
      <c r="D371" s="1212"/>
      <c r="E371" s="1212"/>
      <c r="F371" s="1212"/>
      <c r="G371" s="1212"/>
      <c r="H371" s="1212"/>
      <c r="I371" s="1211">
        <v>0</v>
      </c>
      <c r="J371" s="1202">
        <v>0</v>
      </c>
      <c r="K371" s="1203">
        <v>0</v>
      </c>
      <c r="L371" s="1203">
        <v>0</v>
      </c>
      <c r="M371" s="1203">
        <v>0</v>
      </c>
      <c r="N371" s="1203">
        <v>0</v>
      </c>
      <c r="O371" s="1203">
        <v>0</v>
      </c>
      <c r="P371" s="1203">
        <v>0</v>
      </c>
      <c r="Q371" s="1203">
        <v>0</v>
      </c>
      <c r="R371" s="1203">
        <v>0</v>
      </c>
      <c r="S371" s="1203">
        <v>0</v>
      </c>
    </row>
    <row r="372" spans="1:19" hidden="1" outlineLevel="1">
      <c r="A372" s="1198">
        <v>377218</v>
      </c>
      <c r="B372" s="1199" t="s">
        <v>1823</v>
      </c>
      <c r="C372" s="1211">
        <v>8</v>
      </c>
      <c r="D372" s="1212"/>
      <c r="E372" s="1212"/>
      <c r="F372" s="1212"/>
      <c r="G372" s="1212"/>
      <c r="H372" s="1212"/>
      <c r="I372" s="1211">
        <v>0</v>
      </c>
      <c r="J372" s="1202">
        <v>0</v>
      </c>
      <c r="K372" s="1203">
        <v>0</v>
      </c>
      <c r="L372" s="1203">
        <v>0</v>
      </c>
      <c r="M372" s="1203">
        <v>0</v>
      </c>
      <c r="N372" s="1203">
        <v>0</v>
      </c>
      <c r="O372" s="1203">
        <v>0</v>
      </c>
      <c r="P372" s="1203">
        <v>0</v>
      </c>
      <c r="Q372" s="1203">
        <v>0</v>
      </c>
      <c r="R372" s="1203">
        <v>0</v>
      </c>
      <c r="S372" s="1203">
        <v>0</v>
      </c>
    </row>
    <row r="373" spans="1:19" hidden="1" outlineLevel="1">
      <c r="A373" s="1198">
        <v>3610</v>
      </c>
      <c r="B373" s="1199" t="s">
        <v>1824</v>
      </c>
      <c r="C373" s="1211">
        <v>2</v>
      </c>
      <c r="D373" s="1212"/>
      <c r="E373" s="1212"/>
      <c r="F373" s="1212"/>
      <c r="G373" s="1212"/>
      <c r="H373" s="1212"/>
      <c r="I373" s="1211">
        <v>0</v>
      </c>
      <c r="J373" s="1211">
        <v>0</v>
      </c>
      <c r="K373" s="1212">
        <v>0</v>
      </c>
      <c r="L373" s="1212">
        <v>0</v>
      </c>
      <c r="M373" s="1212">
        <v>0</v>
      </c>
      <c r="N373" s="1212">
        <v>0</v>
      </c>
      <c r="O373" s="1212">
        <v>0</v>
      </c>
      <c r="P373" s="1212">
        <v>0</v>
      </c>
      <c r="Q373" s="1212">
        <v>0</v>
      </c>
      <c r="R373" s="1212">
        <v>0</v>
      </c>
      <c r="S373" s="1212">
        <v>0</v>
      </c>
    </row>
    <row r="374" spans="1:19" hidden="1" outlineLevel="1">
      <c r="A374" s="1198">
        <v>507</v>
      </c>
      <c r="B374" s="1199" t="s">
        <v>1825</v>
      </c>
      <c r="C374" s="1211">
        <v>3</v>
      </c>
      <c r="D374" s="1212"/>
      <c r="E374" s="1212"/>
      <c r="F374" s="1212"/>
      <c r="G374" s="1212"/>
      <c r="H374" s="1212"/>
      <c r="I374" s="1211">
        <v>0</v>
      </c>
      <c r="J374" s="1202">
        <v>0</v>
      </c>
      <c r="K374" s="1203">
        <v>0</v>
      </c>
      <c r="L374" s="1203">
        <v>0</v>
      </c>
      <c r="M374" s="1203">
        <v>0</v>
      </c>
      <c r="N374" s="1203">
        <v>0</v>
      </c>
      <c r="O374" s="1203">
        <v>0</v>
      </c>
      <c r="P374" s="1203">
        <v>0</v>
      </c>
      <c r="Q374" s="1203">
        <v>0</v>
      </c>
      <c r="R374" s="1203">
        <v>0</v>
      </c>
      <c r="S374" s="1203">
        <v>0</v>
      </c>
    </row>
    <row r="375" spans="1:19" hidden="1" outlineLevel="1">
      <c r="A375" s="1198">
        <v>508</v>
      </c>
      <c r="B375" s="1199" t="s">
        <v>1826</v>
      </c>
      <c r="C375" s="1211">
        <v>3</v>
      </c>
      <c r="D375" s="1212"/>
      <c r="E375" s="1212"/>
      <c r="F375" s="1212"/>
      <c r="G375" s="1212"/>
      <c r="H375" s="1212"/>
      <c r="I375" s="1211">
        <v>0</v>
      </c>
      <c r="J375" s="1202">
        <v>0</v>
      </c>
      <c r="K375" s="1203">
        <v>0</v>
      </c>
      <c r="L375" s="1203">
        <v>0</v>
      </c>
      <c r="M375" s="1203">
        <v>0</v>
      </c>
      <c r="N375" s="1203">
        <v>0</v>
      </c>
      <c r="O375" s="1203">
        <v>0</v>
      </c>
      <c r="P375" s="1203">
        <v>0</v>
      </c>
      <c r="Q375" s="1203">
        <v>0</v>
      </c>
      <c r="R375" s="1203">
        <v>0</v>
      </c>
      <c r="S375" s="1203">
        <v>0</v>
      </c>
    </row>
    <row r="376" spans="1:19" hidden="1" outlineLevel="1">
      <c r="A376" s="1198">
        <v>4977</v>
      </c>
      <c r="B376" s="1199" t="s">
        <v>1827</v>
      </c>
      <c r="C376" s="1211">
        <v>2</v>
      </c>
      <c r="D376" s="1212"/>
      <c r="E376" s="1212"/>
      <c r="F376" s="1212"/>
      <c r="G376" s="1212"/>
      <c r="H376" s="1212"/>
      <c r="I376" s="1211">
        <v>0</v>
      </c>
      <c r="J376" s="1211">
        <v>0</v>
      </c>
      <c r="K376" s="1212">
        <v>0</v>
      </c>
      <c r="L376" s="1212">
        <v>0</v>
      </c>
      <c r="M376" s="1212">
        <v>0</v>
      </c>
      <c r="N376" s="1212">
        <v>0</v>
      </c>
      <c r="O376" s="1212">
        <v>0</v>
      </c>
      <c r="P376" s="1212">
        <v>0</v>
      </c>
      <c r="Q376" s="1212">
        <v>0</v>
      </c>
      <c r="R376" s="1212">
        <v>0</v>
      </c>
      <c r="S376" s="1212">
        <v>0</v>
      </c>
    </row>
    <row r="377" spans="1:19" hidden="1" outlineLevel="1">
      <c r="A377" s="1198">
        <v>13039</v>
      </c>
      <c r="B377" s="1199" t="s">
        <v>1828</v>
      </c>
      <c r="C377" s="1211">
        <v>8</v>
      </c>
      <c r="D377" s="1212"/>
      <c r="E377" s="1212"/>
      <c r="F377" s="1212"/>
      <c r="G377" s="1212"/>
      <c r="H377" s="1212"/>
      <c r="I377" s="1211">
        <v>0</v>
      </c>
      <c r="J377" s="1202">
        <v>0</v>
      </c>
      <c r="K377" s="1203">
        <v>0</v>
      </c>
      <c r="L377" s="1203">
        <v>0</v>
      </c>
      <c r="M377" s="1203">
        <v>0</v>
      </c>
      <c r="N377" s="1203">
        <v>0</v>
      </c>
      <c r="O377" s="1203">
        <v>0</v>
      </c>
      <c r="P377" s="1203">
        <v>0</v>
      </c>
      <c r="Q377" s="1203">
        <v>0</v>
      </c>
      <c r="R377" s="1203">
        <v>0</v>
      </c>
      <c r="S377" s="1203">
        <v>0</v>
      </c>
    </row>
    <row r="378" spans="1:19" hidden="1" outlineLevel="1">
      <c r="A378" s="1198">
        <v>900038</v>
      </c>
      <c r="B378" s="1199" t="s">
        <v>1829</v>
      </c>
      <c r="C378" s="1211">
        <v>8</v>
      </c>
      <c r="D378" s="1212"/>
      <c r="E378" s="1212"/>
      <c r="F378" s="1212"/>
      <c r="G378" s="1212"/>
      <c r="H378" s="1212"/>
      <c r="I378" s="1211">
        <v>0</v>
      </c>
      <c r="J378" s="1202">
        <v>0</v>
      </c>
      <c r="K378" s="1203">
        <v>0</v>
      </c>
      <c r="L378" s="1203">
        <v>0</v>
      </c>
      <c r="M378" s="1203">
        <v>0</v>
      </c>
      <c r="N378" s="1203">
        <v>0</v>
      </c>
      <c r="O378" s="1203">
        <v>0</v>
      </c>
      <c r="P378" s="1203">
        <v>0</v>
      </c>
      <c r="Q378" s="1203">
        <v>0</v>
      </c>
      <c r="R378" s="1203">
        <v>0</v>
      </c>
      <c r="S378" s="1203">
        <v>0</v>
      </c>
    </row>
    <row r="379" spans="1:19" hidden="1" outlineLevel="1">
      <c r="A379" s="1198">
        <v>900039</v>
      </c>
      <c r="B379" s="1199" t="s">
        <v>1830</v>
      </c>
      <c r="C379" s="1211">
        <v>8</v>
      </c>
      <c r="D379" s="1212"/>
      <c r="E379" s="1212"/>
      <c r="F379" s="1212"/>
      <c r="G379" s="1212"/>
      <c r="H379" s="1212"/>
      <c r="I379" s="1211">
        <v>0</v>
      </c>
      <c r="J379" s="1202">
        <v>0</v>
      </c>
      <c r="K379" s="1203">
        <v>0</v>
      </c>
      <c r="L379" s="1203">
        <v>0</v>
      </c>
      <c r="M379" s="1203">
        <v>0</v>
      </c>
      <c r="N379" s="1203">
        <v>0</v>
      </c>
      <c r="O379" s="1203">
        <v>0</v>
      </c>
      <c r="P379" s="1203">
        <v>0</v>
      </c>
      <c r="Q379" s="1203">
        <v>0</v>
      </c>
      <c r="R379" s="1203">
        <v>0</v>
      </c>
      <c r="S379" s="1203">
        <v>0</v>
      </c>
    </row>
    <row r="380" spans="1:19" hidden="1" outlineLevel="1">
      <c r="A380" s="1198">
        <v>3179</v>
      </c>
      <c r="B380" s="1199" t="s">
        <v>1831</v>
      </c>
      <c r="C380" s="1211">
        <v>8</v>
      </c>
      <c r="D380" s="1212"/>
      <c r="E380" s="1212"/>
      <c r="F380" s="1212"/>
      <c r="G380" s="1212"/>
      <c r="H380" s="1212"/>
      <c r="I380" s="1211">
        <v>0</v>
      </c>
      <c r="J380" s="1202">
        <v>0</v>
      </c>
      <c r="K380" s="1203">
        <v>0</v>
      </c>
      <c r="L380" s="1203">
        <v>0</v>
      </c>
      <c r="M380" s="1203">
        <v>0</v>
      </c>
      <c r="N380" s="1203">
        <v>0</v>
      </c>
      <c r="O380" s="1203">
        <v>0</v>
      </c>
      <c r="P380" s="1203">
        <v>0</v>
      </c>
      <c r="Q380" s="1203">
        <v>0</v>
      </c>
      <c r="R380" s="1203">
        <v>0</v>
      </c>
      <c r="S380" s="1203">
        <v>0</v>
      </c>
    </row>
    <row r="381" spans="1:19" hidden="1" outlineLevel="1">
      <c r="A381" s="1198">
        <v>1107</v>
      </c>
      <c r="B381" s="1199" t="s">
        <v>1832</v>
      </c>
      <c r="C381" s="1211">
        <v>8</v>
      </c>
      <c r="D381" s="1212"/>
      <c r="E381" s="1212"/>
      <c r="F381" s="1212"/>
      <c r="G381" s="1212"/>
      <c r="H381" s="1212"/>
      <c r="I381" s="1211">
        <v>0</v>
      </c>
      <c r="J381" s="1202">
        <v>0</v>
      </c>
      <c r="K381" s="1203">
        <v>0</v>
      </c>
      <c r="L381" s="1203">
        <v>0</v>
      </c>
      <c r="M381" s="1203">
        <v>0</v>
      </c>
      <c r="N381" s="1203">
        <v>0</v>
      </c>
      <c r="O381" s="1203">
        <v>0</v>
      </c>
      <c r="P381" s="1203">
        <v>0</v>
      </c>
      <c r="Q381" s="1203">
        <v>0</v>
      </c>
      <c r="R381" s="1203">
        <v>0</v>
      </c>
      <c r="S381" s="1203">
        <v>0</v>
      </c>
    </row>
    <row r="382" spans="1:19" hidden="1" outlineLevel="1">
      <c r="A382" s="1198">
        <v>3613</v>
      </c>
      <c r="B382" s="1199" t="s">
        <v>1833</v>
      </c>
      <c r="C382" s="1211">
        <v>2</v>
      </c>
      <c r="D382" s="1212"/>
      <c r="E382" s="1212"/>
      <c r="F382" s="1212"/>
      <c r="G382" s="1212"/>
      <c r="H382" s="1212"/>
      <c r="I382" s="1211">
        <v>0</v>
      </c>
      <c r="J382" s="1211">
        <v>0</v>
      </c>
      <c r="K382" s="1212">
        <v>0</v>
      </c>
      <c r="L382" s="1212">
        <v>0</v>
      </c>
      <c r="M382" s="1212">
        <v>0</v>
      </c>
      <c r="N382" s="1212">
        <v>0</v>
      </c>
      <c r="O382" s="1212">
        <v>0</v>
      </c>
      <c r="P382" s="1212">
        <v>0</v>
      </c>
      <c r="Q382" s="1212">
        <v>0</v>
      </c>
      <c r="R382" s="1212">
        <v>0</v>
      </c>
      <c r="S382" s="1212">
        <v>0</v>
      </c>
    </row>
    <row r="383" spans="1:19" hidden="1" outlineLevel="1">
      <c r="A383" s="1198">
        <v>228291</v>
      </c>
      <c r="B383" s="1199" t="s">
        <v>1834</v>
      </c>
      <c r="C383" s="1211">
        <v>8</v>
      </c>
      <c r="D383" s="1212"/>
      <c r="E383" s="1212"/>
      <c r="F383" s="1212"/>
      <c r="G383" s="1212"/>
      <c r="H383" s="1212"/>
      <c r="I383" s="1211">
        <v>0</v>
      </c>
      <c r="J383" s="1202">
        <v>0</v>
      </c>
      <c r="K383" s="1203">
        <v>0</v>
      </c>
      <c r="L383" s="1203">
        <v>0</v>
      </c>
      <c r="M383" s="1203">
        <v>0</v>
      </c>
      <c r="N383" s="1203">
        <v>0</v>
      </c>
      <c r="O383" s="1203">
        <v>0</v>
      </c>
      <c r="P383" s="1203">
        <v>0</v>
      </c>
      <c r="Q383" s="1203">
        <v>0</v>
      </c>
      <c r="R383" s="1203">
        <v>0</v>
      </c>
      <c r="S383" s="1203">
        <v>0</v>
      </c>
    </row>
    <row r="384" spans="1:19" hidden="1" outlineLevel="1">
      <c r="A384" s="1198">
        <v>451556</v>
      </c>
      <c r="B384" s="1199" t="s">
        <v>1835</v>
      </c>
      <c r="C384" s="1211">
        <v>8</v>
      </c>
      <c r="D384" s="1212"/>
      <c r="E384" s="1212"/>
      <c r="F384" s="1212"/>
      <c r="G384" s="1212"/>
      <c r="H384" s="1212"/>
      <c r="I384" s="1211">
        <v>0</v>
      </c>
      <c r="J384" s="1202">
        <v>0</v>
      </c>
      <c r="K384" s="1203">
        <v>0</v>
      </c>
      <c r="L384" s="1203">
        <v>0</v>
      </c>
      <c r="M384" s="1203">
        <v>0</v>
      </c>
      <c r="N384" s="1203">
        <v>0</v>
      </c>
      <c r="O384" s="1203">
        <v>0</v>
      </c>
      <c r="P384" s="1203">
        <v>0</v>
      </c>
      <c r="Q384" s="1203">
        <v>0</v>
      </c>
      <c r="R384" s="1203">
        <v>0</v>
      </c>
      <c r="S384" s="1203">
        <v>0</v>
      </c>
    </row>
    <row r="385" spans="1:19" hidden="1" outlineLevel="1">
      <c r="A385" s="1198">
        <v>3619</v>
      </c>
      <c r="B385" s="1199" t="s">
        <v>1836</v>
      </c>
      <c r="C385" s="1211">
        <v>2</v>
      </c>
      <c r="D385" s="1212"/>
      <c r="E385" s="1212"/>
      <c r="F385" s="1212"/>
      <c r="G385" s="1212"/>
      <c r="H385" s="1212"/>
      <c r="I385" s="1211">
        <v>0</v>
      </c>
      <c r="J385" s="1211">
        <v>0</v>
      </c>
      <c r="K385" s="1212">
        <v>0</v>
      </c>
      <c r="L385" s="1212">
        <v>0</v>
      </c>
      <c r="M385" s="1212">
        <v>0</v>
      </c>
      <c r="N385" s="1212">
        <v>0</v>
      </c>
      <c r="O385" s="1212">
        <v>0</v>
      </c>
      <c r="P385" s="1212">
        <v>0</v>
      </c>
      <c r="Q385" s="1212">
        <v>0</v>
      </c>
      <c r="R385" s="1212">
        <v>0</v>
      </c>
      <c r="S385" s="1212">
        <v>0</v>
      </c>
    </row>
    <row r="386" spans="1:19" hidden="1" outlineLevel="1">
      <c r="A386" s="1198">
        <v>3616</v>
      </c>
      <c r="B386" s="1199" t="s">
        <v>1837</v>
      </c>
      <c r="C386" s="1211">
        <v>2</v>
      </c>
      <c r="D386" s="1212"/>
      <c r="E386" s="1212"/>
      <c r="F386" s="1212"/>
      <c r="G386" s="1212"/>
      <c r="H386" s="1212"/>
      <c r="I386" s="1211">
        <v>0</v>
      </c>
      <c r="J386" s="1211">
        <v>0</v>
      </c>
      <c r="K386" s="1212">
        <v>0</v>
      </c>
      <c r="L386" s="1212">
        <v>0</v>
      </c>
      <c r="M386" s="1212">
        <v>0</v>
      </c>
      <c r="N386" s="1212">
        <v>0</v>
      </c>
      <c r="O386" s="1212">
        <v>0</v>
      </c>
      <c r="P386" s="1212">
        <v>0</v>
      </c>
      <c r="Q386" s="1212">
        <v>0</v>
      </c>
      <c r="R386" s="1212">
        <v>0</v>
      </c>
      <c r="S386" s="1212">
        <v>0</v>
      </c>
    </row>
    <row r="387" spans="1:19" hidden="1" outlineLevel="1">
      <c r="A387" s="1198">
        <v>3618</v>
      </c>
      <c r="B387" s="1199" t="s">
        <v>1838</v>
      </c>
      <c r="C387" s="1211">
        <v>2</v>
      </c>
      <c r="D387" s="1212"/>
      <c r="E387" s="1212"/>
      <c r="F387" s="1212"/>
      <c r="G387" s="1212"/>
      <c r="H387" s="1212"/>
      <c r="I387" s="1211">
        <v>0</v>
      </c>
      <c r="J387" s="1211">
        <v>0</v>
      </c>
      <c r="K387" s="1212">
        <v>0</v>
      </c>
      <c r="L387" s="1212">
        <v>0</v>
      </c>
      <c r="M387" s="1212">
        <v>0</v>
      </c>
      <c r="N387" s="1212">
        <v>0</v>
      </c>
      <c r="O387" s="1212">
        <v>0</v>
      </c>
      <c r="P387" s="1212">
        <v>0</v>
      </c>
      <c r="Q387" s="1212">
        <v>0</v>
      </c>
      <c r="R387" s="1212">
        <v>0</v>
      </c>
      <c r="S387" s="1212">
        <v>0</v>
      </c>
    </row>
    <row r="388" spans="1:19" hidden="1" outlineLevel="1">
      <c r="A388" s="1198">
        <v>474</v>
      </c>
      <c r="B388" s="1199" t="s">
        <v>1839</v>
      </c>
      <c r="C388" s="1211">
        <v>5</v>
      </c>
      <c r="D388" s="1212"/>
      <c r="E388" s="1212"/>
      <c r="F388" s="1212"/>
      <c r="G388" s="1212"/>
      <c r="H388" s="1212"/>
      <c r="I388" s="1211">
        <v>0</v>
      </c>
      <c r="J388" s="1202">
        <v>0</v>
      </c>
      <c r="K388" s="1203">
        <v>0</v>
      </c>
      <c r="L388" s="1203">
        <v>0</v>
      </c>
      <c r="M388" s="1203">
        <v>0</v>
      </c>
      <c r="N388" s="1203">
        <v>0</v>
      </c>
      <c r="O388" s="1203">
        <v>0</v>
      </c>
      <c r="P388" s="1203">
        <v>0</v>
      </c>
      <c r="Q388" s="1203">
        <v>0</v>
      </c>
      <c r="R388" s="1203">
        <v>0</v>
      </c>
      <c r="S388" s="1203">
        <v>0</v>
      </c>
    </row>
    <row r="389" spans="1:19" hidden="1" outlineLevel="1">
      <c r="A389" s="1198">
        <v>3620</v>
      </c>
      <c r="B389" s="1199" t="s">
        <v>1840</v>
      </c>
      <c r="C389" s="1211">
        <v>2</v>
      </c>
      <c r="D389" s="1212"/>
      <c r="E389" s="1212"/>
      <c r="F389" s="1212"/>
      <c r="G389" s="1212"/>
      <c r="H389" s="1212"/>
      <c r="I389" s="1211">
        <v>0</v>
      </c>
      <c r="J389" s="1211">
        <v>0</v>
      </c>
      <c r="K389" s="1212">
        <v>0</v>
      </c>
      <c r="L389" s="1212">
        <v>0</v>
      </c>
      <c r="M389" s="1212">
        <v>0</v>
      </c>
      <c r="N389" s="1212">
        <v>0</v>
      </c>
      <c r="O389" s="1212">
        <v>0</v>
      </c>
      <c r="P389" s="1212">
        <v>0</v>
      </c>
      <c r="Q389" s="1212">
        <v>0</v>
      </c>
      <c r="R389" s="1212">
        <v>0</v>
      </c>
      <c r="S389" s="1212">
        <v>0</v>
      </c>
    </row>
    <row r="390" spans="1:19" hidden="1" outlineLevel="1">
      <c r="A390" s="1198">
        <v>472</v>
      </c>
      <c r="B390" s="1199" t="s">
        <v>1841</v>
      </c>
      <c r="C390" s="1211">
        <v>5</v>
      </c>
      <c r="D390" s="1212"/>
      <c r="E390" s="1212"/>
      <c r="F390" s="1212"/>
      <c r="G390" s="1212"/>
      <c r="H390" s="1212"/>
      <c r="I390" s="1211">
        <v>0</v>
      </c>
      <c r="J390" s="1202">
        <v>0</v>
      </c>
      <c r="K390" s="1203">
        <v>0</v>
      </c>
      <c r="L390" s="1203">
        <v>0</v>
      </c>
      <c r="M390" s="1203">
        <v>0</v>
      </c>
      <c r="N390" s="1203">
        <v>0</v>
      </c>
      <c r="O390" s="1203">
        <v>0</v>
      </c>
      <c r="P390" s="1203">
        <v>0</v>
      </c>
      <c r="Q390" s="1203">
        <v>0</v>
      </c>
      <c r="R390" s="1203">
        <v>0</v>
      </c>
      <c r="S390" s="1203">
        <v>0</v>
      </c>
    </row>
    <row r="391" spans="1:19" hidden="1" outlineLevel="1">
      <c r="A391" s="1198">
        <v>2211</v>
      </c>
      <c r="B391" s="1199" t="s">
        <v>1842</v>
      </c>
      <c r="C391" s="1211">
        <v>8</v>
      </c>
      <c r="D391" s="1212"/>
      <c r="E391" s="1212"/>
      <c r="F391" s="1212"/>
      <c r="G391" s="1212"/>
      <c r="H391" s="1212"/>
      <c r="I391" s="1211">
        <v>0</v>
      </c>
      <c r="J391" s="1202">
        <v>0</v>
      </c>
      <c r="K391" s="1203">
        <v>0</v>
      </c>
      <c r="L391" s="1203">
        <v>0</v>
      </c>
      <c r="M391" s="1203">
        <v>0</v>
      </c>
      <c r="N391" s="1203">
        <v>0</v>
      </c>
      <c r="O391" s="1203">
        <v>0</v>
      </c>
      <c r="P391" s="1203">
        <v>0</v>
      </c>
      <c r="Q391" s="1203">
        <v>0</v>
      </c>
      <c r="R391" s="1203">
        <v>0</v>
      </c>
      <c r="S391" s="1203">
        <v>0</v>
      </c>
    </row>
    <row r="392" spans="1:19" hidden="1" outlineLevel="1">
      <c r="A392" s="1198">
        <v>3621</v>
      </c>
      <c r="B392" s="1199" t="s">
        <v>1843</v>
      </c>
      <c r="C392" s="1211">
        <v>2</v>
      </c>
      <c r="D392" s="1212"/>
      <c r="E392" s="1212"/>
      <c r="F392" s="1212"/>
      <c r="G392" s="1212"/>
      <c r="H392" s="1212"/>
      <c r="I392" s="1211">
        <v>0</v>
      </c>
      <c r="J392" s="1211">
        <v>0</v>
      </c>
      <c r="K392" s="1212">
        <v>0</v>
      </c>
      <c r="L392" s="1212">
        <v>0</v>
      </c>
      <c r="M392" s="1212">
        <v>0</v>
      </c>
      <c r="N392" s="1212">
        <v>0</v>
      </c>
      <c r="O392" s="1212">
        <v>0</v>
      </c>
      <c r="P392" s="1212">
        <v>0</v>
      </c>
      <c r="Q392" s="1212">
        <v>0</v>
      </c>
      <c r="R392" s="1212">
        <v>0</v>
      </c>
      <c r="S392" s="1212">
        <v>0</v>
      </c>
    </row>
    <row r="393" spans="1:19" hidden="1" outlineLevel="1">
      <c r="A393" s="1198">
        <v>3623</v>
      </c>
      <c r="B393" s="1199" t="s">
        <v>1844</v>
      </c>
      <c r="C393" s="1211">
        <v>2</v>
      </c>
      <c r="D393" s="1212"/>
      <c r="E393" s="1212"/>
      <c r="F393" s="1212"/>
      <c r="G393" s="1212"/>
      <c r="H393" s="1212"/>
      <c r="I393" s="1211">
        <v>0</v>
      </c>
      <c r="J393" s="1211">
        <v>0</v>
      </c>
      <c r="K393" s="1212">
        <v>0</v>
      </c>
      <c r="L393" s="1212">
        <v>0</v>
      </c>
      <c r="M393" s="1212">
        <v>0</v>
      </c>
      <c r="N393" s="1212">
        <v>0</v>
      </c>
      <c r="O393" s="1212">
        <v>0</v>
      </c>
      <c r="P393" s="1212">
        <v>0</v>
      </c>
      <c r="Q393" s="1212">
        <v>0</v>
      </c>
      <c r="R393" s="1212">
        <v>0</v>
      </c>
      <c r="S393" s="1212">
        <v>0</v>
      </c>
    </row>
    <row r="394" spans="1:19" hidden="1" outlineLevel="1">
      <c r="A394" s="1198">
        <v>2838</v>
      </c>
      <c r="B394" s="1199" t="s">
        <v>1845</v>
      </c>
      <c r="C394" s="1211">
        <v>8</v>
      </c>
      <c r="D394" s="1212"/>
      <c r="E394" s="1212"/>
      <c r="F394" s="1212"/>
      <c r="G394" s="1212"/>
      <c r="H394" s="1212"/>
      <c r="I394" s="1211">
        <v>0</v>
      </c>
      <c r="J394" s="1202">
        <v>0</v>
      </c>
      <c r="K394" s="1203">
        <v>0</v>
      </c>
      <c r="L394" s="1203">
        <v>0</v>
      </c>
      <c r="M394" s="1203">
        <v>0</v>
      </c>
      <c r="N394" s="1203">
        <v>0</v>
      </c>
      <c r="O394" s="1203">
        <v>0</v>
      </c>
      <c r="P394" s="1203">
        <v>0</v>
      </c>
      <c r="Q394" s="1203">
        <v>0</v>
      </c>
      <c r="R394" s="1203">
        <v>0</v>
      </c>
      <c r="S394" s="1203">
        <v>0</v>
      </c>
    </row>
    <row r="395" spans="1:19" hidden="1" outlineLevel="1">
      <c r="A395" s="1198">
        <v>900041</v>
      </c>
      <c r="B395" s="1199" t="s">
        <v>1846</v>
      </c>
      <c r="C395" s="1211">
        <v>8</v>
      </c>
      <c r="D395" s="1212"/>
      <c r="E395" s="1212"/>
      <c r="F395" s="1212"/>
      <c r="G395" s="1212"/>
      <c r="H395" s="1212"/>
      <c r="I395" s="1211">
        <v>0</v>
      </c>
      <c r="J395" s="1202">
        <v>0</v>
      </c>
      <c r="K395" s="1203">
        <v>0</v>
      </c>
      <c r="L395" s="1203">
        <v>0</v>
      </c>
      <c r="M395" s="1203">
        <v>0</v>
      </c>
      <c r="N395" s="1203">
        <v>0</v>
      </c>
      <c r="O395" s="1203">
        <v>0</v>
      </c>
      <c r="P395" s="1203">
        <v>0</v>
      </c>
      <c r="Q395" s="1203">
        <v>0</v>
      </c>
      <c r="R395" s="1203">
        <v>0</v>
      </c>
      <c r="S395" s="1203">
        <v>0</v>
      </c>
    </row>
    <row r="396" spans="1:19" hidden="1" outlineLevel="1">
      <c r="A396" s="1198">
        <v>900042</v>
      </c>
      <c r="B396" s="1199" t="s">
        <v>1847</v>
      </c>
      <c r="C396" s="1211">
        <v>8</v>
      </c>
      <c r="D396" s="1212"/>
      <c r="E396" s="1212"/>
      <c r="F396" s="1212"/>
      <c r="G396" s="1212"/>
      <c r="H396" s="1212"/>
      <c r="I396" s="1211">
        <v>0</v>
      </c>
      <c r="J396" s="1202">
        <v>0</v>
      </c>
      <c r="K396" s="1203">
        <v>0</v>
      </c>
      <c r="L396" s="1203">
        <v>0</v>
      </c>
      <c r="M396" s="1203">
        <v>0</v>
      </c>
      <c r="N396" s="1203">
        <v>0</v>
      </c>
      <c r="O396" s="1203">
        <v>0</v>
      </c>
      <c r="P396" s="1203">
        <v>0</v>
      </c>
      <c r="Q396" s="1203">
        <v>0</v>
      </c>
      <c r="R396" s="1203">
        <v>0</v>
      </c>
      <c r="S396" s="1203">
        <v>0</v>
      </c>
    </row>
    <row r="397" spans="1:19" hidden="1" outlineLevel="1">
      <c r="A397" s="1198">
        <v>900046</v>
      </c>
      <c r="B397" s="1199" t="s">
        <v>1848</v>
      </c>
      <c r="C397" s="1211">
        <v>8</v>
      </c>
      <c r="D397" s="1212"/>
      <c r="E397" s="1212"/>
      <c r="F397" s="1212"/>
      <c r="G397" s="1212"/>
      <c r="H397" s="1212"/>
      <c r="I397" s="1211">
        <v>0</v>
      </c>
      <c r="J397" s="1202">
        <v>0</v>
      </c>
      <c r="K397" s="1203">
        <v>0</v>
      </c>
      <c r="L397" s="1203">
        <v>0</v>
      </c>
      <c r="M397" s="1203">
        <v>0</v>
      </c>
      <c r="N397" s="1203">
        <v>0</v>
      </c>
      <c r="O397" s="1203">
        <v>0</v>
      </c>
      <c r="P397" s="1203">
        <v>0</v>
      </c>
      <c r="Q397" s="1203">
        <v>0</v>
      </c>
      <c r="R397" s="1203">
        <v>0</v>
      </c>
      <c r="S397" s="1203">
        <v>0</v>
      </c>
    </row>
    <row r="398" spans="1:19" hidden="1" outlineLevel="1">
      <c r="A398" s="1198">
        <v>900044</v>
      </c>
      <c r="B398" s="1199" t="s">
        <v>1849</v>
      </c>
      <c r="C398" s="1211">
        <v>8</v>
      </c>
      <c r="D398" s="1212"/>
      <c r="E398" s="1212"/>
      <c r="F398" s="1212"/>
      <c r="G398" s="1212"/>
      <c r="H398" s="1212"/>
      <c r="I398" s="1211">
        <v>0</v>
      </c>
      <c r="J398" s="1202">
        <v>0</v>
      </c>
      <c r="K398" s="1203">
        <v>0</v>
      </c>
      <c r="L398" s="1203">
        <v>0</v>
      </c>
      <c r="M398" s="1203">
        <v>0</v>
      </c>
      <c r="N398" s="1203">
        <v>0</v>
      </c>
      <c r="O398" s="1203">
        <v>0</v>
      </c>
      <c r="P398" s="1203">
        <v>0</v>
      </c>
      <c r="Q398" s="1203">
        <v>0</v>
      </c>
      <c r="R398" s="1203">
        <v>0</v>
      </c>
      <c r="S398" s="1203">
        <v>0</v>
      </c>
    </row>
    <row r="399" spans="1:19" hidden="1" outlineLevel="1">
      <c r="A399" s="1198">
        <v>900040</v>
      </c>
      <c r="B399" s="1199" t="s">
        <v>1850</v>
      </c>
      <c r="C399" s="1211">
        <v>8</v>
      </c>
      <c r="D399" s="1212"/>
      <c r="E399" s="1212"/>
      <c r="F399" s="1212"/>
      <c r="G399" s="1212"/>
      <c r="H399" s="1212"/>
      <c r="I399" s="1211">
        <v>0</v>
      </c>
      <c r="J399" s="1202">
        <v>0</v>
      </c>
      <c r="K399" s="1203">
        <v>0</v>
      </c>
      <c r="L399" s="1203">
        <v>0</v>
      </c>
      <c r="M399" s="1203">
        <v>0</v>
      </c>
      <c r="N399" s="1203">
        <v>0</v>
      </c>
      <c r="O399" s="1203">
        <v>0</v>
      </c>
      <c r="P399" s="1203">
        <v>0</v>
      </c>
      <c r="Q399" s="1203">
        <v>0</v>
      </c>
      <c r="R399" s="1203">
        <v>0</v>
      </c>
      <c r="S399" s="1203">
        <v>0</v>
      </c>
    </row>
    <row r="400" spans="1:19" hidden="1" outlineLevel="1">
      <c r="A400" s="1198">
        <v>900043</v>
      </c>
      <c r="B400" s="1199" t="s">
        <v>1851</v>
      </c>
      <c r="C400" s="1211">
        <v>8</v>
      </c>
      <c r="D400" s="1212"/>
      <c r="E400" s="1212"/>
      <c r="F400" s="1212"/>
      <c r="G400" s="1212"/>
      <c r="H400" s="1212"/>
      <c r="I400" s="1211">
        <v>0</v>
      </c>
      <c r="J400" s="1202">
        <v>0</v>
      </c>
      <c r="K400" s="1203">
        <v>0</v>
      </c>
      <c r="L400" s="1203">
        <v>0</v>
      </c>
      <c r="M400" s="1203">
        <v>0</v>
      </c>
      <c r="N400" s="1203">
        <v>0</v>
      </c>
      <c r="O400" s="1203">
        <v>0</v>
      </c>
      <c r="P400" s="1203">
        <v>0</v>
      </c>
      <c r="Q400" s="1203">
        <v>0</v>
      </c>
      <c r="R400" s="1203">
        <v>0</v>
      </c>
      <c r="S400" s="1203">
        <v>0</v>
      </c>
    </row>
    <row r="401" spans="1:19" hidden="1" outlineLevel="1">
      <c r="A401" s="1198">
        <v>900045</v>
      </c>
      <c r="B401" s="1199" t="s">
        <v>1852</v>
      </c>
      <c r="C401" s="1211">
        <v>8</v>
      </c>
      <c r="D401" s="1212"/>
      <c r="E401" s="1212"/>
      <c r="F401" s="1212"/>
      <c r="G401" s="1212"/>
      <c r="H401" s="1212"/>
      <c r="I401" s="1211">
        <v>0</v>
      </c>
      <c r="J401" s="1202">
        <v>0</v>
      </c>
      <c r="K401" s="1203">
        <v>0</v>
      </c>
      <c r="L401" s="1203">
        <v>0</v>
      </c>
      <c r="M401" s="1203">
        <v>0</v>
      </c>
      <c r="N401" s="1203">
        <v>0</v>
      </c>
      <c r="O401" s="1203">
        <v>0</v>
      </c>
      <c r="P401" s="1203">
        <v>0</v>
      </c>
      <c r="Q401" s="1203">
        <v>0</v>
      </c>
      <c r="R401" s="1203">
        <v>0</v>
      </c>
      <c r="S401" s="1203">
        <v>0</v>
      </c>
    </row>
    <row r="402" spans="1:19" hidden="1" outlineLevel="1">
      <c r="A402" s="1198">
        <v>900047</v>
      </c>
      <c r="B402" s="1199" t="s">
        <v>1853</v>
      </c>
      <c r="C402" s="1211">
        <v>8</v>
      </c>
      <c r="D402" s="1212"/>
      <c r="E402" s="1212"/>
      <c r="F402" s="1212"/>
      <c r="G402" s="1212"/>
      <c r="H402" s="1212"/>
      <c r="I402" s="1211">
        <v>0</v>
      </c>
      <c r="J402" s="1202">
        <v>0</v>
      </c>
      <c r="K402" s="1203">
        <v>0</v>
      </c>
      <c r="L402" s="1203">
        <v>0</v>
      </c>
      <c r="M402" s="1203">
        <v>0</v>
      </c>
      <c r="N402" s="1203">
        <v>0</v>
      </c>
      <c r="O402" s="1203">
        <v>0</v>
      </c>
      <c r="P402" s="1203">
        <v>0</v>
      </c>
      <c r="Q402" s="1203">
        <v>0</v>
      </c>
      <c r="R402" s="1203">
        <v>0</v>
      </c>
      <c r="S402" s="1203">
        <v>0</v>
      </c>
    </row>
    <row r="403" spans="1:19" hidden="1" outlineLevel="1">
      <c r="A403" s="1198">
        <v>900073</v>
      </c>
      <c r="B403" s="1199" t="s">
        <v>1854</v>
      </c>
      <c r="C403" s="1211">
        <v>8</v>
      </c>
      <c r="D403" s="1212"/>
      <c r="E403" s="1212"/>
      <c r="F403" s="1212"/>
      <c r="G403" s="1212"/>
      <c r="H403" s="1212"/>
      <c r="I403" s="1211">
        <v>0</v>
      </c>
      <c r="J403" s="1202">
        <v>0</v>
      </c>
      <c r="K403" s="1203">
        <v>0</v>
      </c>
      <c r="L403" s="1203">
        <v>0</v>
      </c>
      <c r="M403" s="1203">
        <v>0</v>
      </c>
      <c r="N403" s="1203">
        <v>0</v>
      </c>
      <c r="O403" s="1203">
        <v>0</v>
      </c>
      <c r="P403" s="1203">
        <v>0</v>
      </c>
      <c r="Q403" s="1203">
        <v>0</v>
      </c>
      <c r="R403" s="1203">
        <v>0</v>
      </c>
      <c r="S403" s="1203">
        <v>0</v>
      </c>
    </row>
    <row r="404" spans="1:19" hidden="1" outlineLevel="1">
      <c r="A404" s="1198">
        <v>900074</v>
      </c>
      <c r="B404" s="1199" t="s">
        <v>1855</v>
      </c>
      <c r="C404" s="1211">
        <v>8</v>
      </c>
      <c r="D404" s="1212"/>
      <c r="E404" s="1212"/>
      <c r="F404" s="1212"/>
      <c r="G404" s="1212"/>
      <c r="H404" s="1212"/>
      <c r="I404" s="1211">
        <v>0</v>
      </c>
      <c r="J404" s="1202">
        <v>0</v>
      </c>
      <c r="K404" s="1203">
        <v>0</v>
      </c>
      <c r="L404" s="1203">
        <v>0</v>
      </c>
      <c r="M404" s="1203">
        <v>0</v>
      </c>
      <c r="N404" s="1203">
        <v>0</v>
      </c>
      <c r="O404" s="1203">
        <v>0</v>
      </c>
      <c r="P404" s="1203">
        <v>0</v>
      </c>
      <c r="Q404" s="1203">
        <v>0</v>
      </c>
      <c r="R404" s="1203">
        <v>0</v>
      </c>
      <c r="S404" s="1203">
        <v>0</v>
      </c>
    </row>
    <row r="405" spans="1:19" hidden="1" outlineLevel="1">
      <c r="A405" s="1198">
        <v>1459</v>
      </c>
      <c r="B405" s="1199" t="s">
        <v>1856</v>
      </c>
      <c r="C405" s="1211">
        <v>8</v>
      </c>
      <c r="D405" s="1212"/>
      <c r="E405" s="1212"/>
      <c r="F405" s="1212"/>
      <c r="G405" s="1212"/>
      <c r="H405" s="1212"/>
      <c r="I405" s="1211">
        <v>0</v>
      </c>
      <c r="J405" s="1202">
        <v>0</v>
      </c>
      <c r="K405" s="1203">
        <v>0</v>
      </c>
      <c r="L405" s="1203">
        <v>0</v>
      </c>
      <c r="M405" s="1203">
        <v>0</v>
      </c>
      <c r="N405" s="1203">
        <v>0</v>
      </c>
      <c r="O405" s="1203">
        <v>0</v>
      </c>
      <c r="P405" s="1203">
        <v>0</v>
      </c>
      <c r="Q405" s="1203">
        <v>0</v>
      </c>
      <c r="R405" s="1203">
        <v>0</v>
      </c>
      <c r="S405" s="1203">
        <v>0</v>
      </c>
    </row>
    <row r="406" spans="1:19" hidden="1" outlineLevel="1">
      <c r="A406" s="1198">
        <v>900048</v>
      </c>
      <c r="B406" s="1199" t="s">
        <v>1857</v>
      </c>
      <c r="C406" s="1211">
        <v>8</v>
      </c>
      <c r="D406" s="1212"/>
      <c r="E406" s="1212"/>
      <c r="F406" s="1212"/>
      <c r="G406" s="1212"/>
      <c r="H406" s="1212"/>
      <c r="I406" s="1211">
        <v>0</v>
      </c>
      <c r="J406" s="1202">
        <v>0</v>
      </c>
      <c r="K406" s="1203">
        <v>0</v>
      </c>
      <c r="L406" s="1203">
        <v>0</v>
      </c>
      <c r="M406" s="1203">
        <v>0</v>
      </c>
      <c r="N406" s="1203">
        <v>0</v>
      </c>
      <c r="O406" s="1203">
        <v>0</v>
      </c>
      <c r="P406" s="1203">
        <v>0</v>
      </c>
      <c r="Q406" s="1203">
        <v>0</v>
      </c>
      <c r="R406" s="1203">
        <v>0</v>
      </c>
      <c r="S406" s="1203">
        <v>0</v>
      </c>
    </row>
    <row r="407" spans="1:19" hidden="1" outlineLevel="1">
      <c r="A407" s="1198">
        <v>900049</v>
      </c>
      <c r="B407" s="1199" t="s">
        <v>1858</v>
      </c>
      <c r="C407" s="1211">
        <v>8</v>
      </c>
      <c r="D407" s="1212"/>
      <c r="E407" s="1212"/>
      <c r="F407" s="1212"/>
      <c r="G407" s="1212"/>
      <c r="H407" s="1212"/>
      <c r="I407" s="1211">
        <v>0</v>
      </c>
      <c r="J407" s="1202">
        <v>0</v>
      </c>
      <c r="K407" s="1203">
        <v>0</v>
      </c>
      <c r="L407" s="1203">
        <v>0</v>
      </c>
      <c r="M407" s="1203">
        <v>0</v>
      </c>
      <c r="N407" s="1203">
        <v>0</v>
      </c>
      <c r="O407" s="1203">
        <v>0</v>
      </c>
      <c r="P407" s="1203">
        <v>0</v>
      </c>
      <c r="Q407" s="1203">
        <v>0</v>
      </c>
      <c r="R407" s="1203">
        <v>0</v>
      </c>
      <c r="S407" s="1203">
        <v>0</v>
      </c>
    </row>
    <row r="408" spans="1:19" hidden="1" outlineLevel="1">
      <c r="A408" s="1198">
        <v>514</v>
      </c>
      <c r="B408" s="1199" t="s">
        <v>1859</v>
      </c>
      <c r="C408" s="1211">
        <v>5</v>
      </c>
      <c r="D408" s="1212"/>
      <c r="E408" s="1212"/>
      <c r="F408" s="1212"/>
      <c r="G408" s="1212"/>
      <c r="H408" s="1212"/>
      <c r="I408" s="1211">
        <v>0</v>
      </c>
      <c r="J408" s="1202">
        <v>0</v>
      </c>
      <c r="K408" s="1203">
        <v>0</v>
      </c>
      <c r="L408" s="1203">
        <v>0</v>
      </c>
      <c r="M408" s="1203">
        <v>0</v>
      </c>
      <c r="N408" s="1203">
        <v>0</v>
      </c>
      <c r="O408" s="1203">
        <v>0</v>
      </c>
      <c r="P408" s="1203">
        <v>0</v>
      </c>
      <c r="Q408" s="1203">
        <v>0</v>
      </c>
      <c r="R408" s="1203">
        <v>0</v>
      </c>
      <c r="S408" s="1203">
        <v>0</v>
      </c>
    </row>
    <row r="409" spans="1:19" hidden="1" outlineLevel="1">
      <c r="A409" s="1198">
        <v>82</v>
      </c>
      <c r="B409" s="1199" t="s">
        <v>1860</v>
      </c>
      <c r="C409" s="1211">
        <v>5</v>
      </c>
      <c r="D409" s="1212"/>
      <c r="E409" s="1212"/>
      <c r="F409" s="1212"/>
      <c r="G409" s="1212"/>
      <c r="H409" s="1212"/>
      <c r="I409" s="1211">
        <v>0</v>
      </c>
      <c r="J409" s="1202">
        <v>0</v>
      </c>
      <c r="K409" s="1203">
        <v>0</v>
      </c>
      <c r="L409" s="1203">
        <v>0</v>
      </c>
      <c r="M409" s="1203">
        <v>0</v>
      </c>
      <c r="N409" s="1203">
        <v>0</v>
      </c>
      <c r="O409" s="1203">
        <v>0</v>
      </c>
      <c r="P409" s="1203">
        <v>0</v>
      </c>
      <c r="Q409" s="1203">
        <v>0</v>
      </c>
      <c r="R409" s="1203">
        <v>0</v>
      </c>
      <c r="S409" s="1203">
        <v>0</v>
      </c>
    </row>
    <row r="410" spans="1:19" hidden="1" outlineLevel="1">
      <c r="A410" s="1198">
        <v>89</v>
      </c>
      <c r="B410" s="1199" t="s">
        <v>1861</v>
      </c>
      <c r="C410" s="1211">
        <v>5</v>
      </c>
      <c r="D410" s="1212"/>
      <c r="E410" s="1212"/>
      <c r="F410" s="1212"/>
      <c r="G410" s="1212"/>
      <c r="H410" s="1212"/>
      <c r="I410" s="1211">
        <v>0</v>
      </c>
      <c r="J410" s="1202">
        <v>0</v>
      </c>
      <c r="K410" s="1203">
        <v>0</v>
      </c>
      <c r="L410" s="1203">
        <v>0</v>
      </c>
      <c r="M410" s="1203">
        <v>0</v>
      </c>
      <c r="N410" s="1203">
        <v>0</v>
      </c>
      <c r="O410" s="1203">
        <v>0</v>
      </c>
      <c r="P410" s="1203">
        <v>0</v>
      </c>
      <c r="Q410" s="1203">
        <v>0</v>
      </c>
      <c r="R410" s="1203">
        <v>0</v>
      </c>
      <c r="S410" s="1203">
        <v>0</v>
      </c>
    </row>
    <row r="411" spans="1:19" hidden="1" outlineLevel="1">
      <c r="A411" s="1198">
        <v>851</v>
      </c>
      <c r="B411" s="1199" t="s">
        <v>1862</v>
      </c>
      <c r="C411" s="1211">
        <v>5</v>
      </c>
      <c r="D411" s="1212"/>
      <c r="E411" s="1212"/>
      <c r="F411" s="1212"/>
      <c r="G411" s="1212"/>
      <c r="H411" s="1212"/>
      <c r="I411" s="1211">
        <v>0</v>
      </c>
      <c r="J411" s="1202">
        <v>0</v>
      </c>
      <c r="K411" s="1203">
        <v>0</v>
      </c>
      <c r="L411" s="1203">
        <v>0</v>
      </c>
      <c r="M411" s="1203">
        <v>0</v>
      </c>
      <c r="N411" s="1203">
        <v>0</v>
      </c>
      <c r="O411" s="1203">
        <v>0</v>
      </c>
      <c r="P411" s="1203">
        <v>0</v>
      </c>
      <c r="Q411" s="1203">
        <v>0</v>
      </c>
      <c r="R411" s="1203">
        <v>0</v>
      </c>
      <c r="S411" s="1203">
        <v>0</v>
      </c>
    </row>
    <row r="412" spans="1:19" hidden="1" outlineLevel="1">
      <c r="A412" s="1198">
        <v>406</v>
      </c>
      <c r="B412" s="1199" t="s">
        <v>1863</v>
      </c>
      <c r="C412" s="1211">
        <v>5</v>
      </c>
      <c r="D412" s="1212"/>
      <c r="E412" s="1212"/>
      <c r="F412" s="1212"/>
      <c r="G412" s="1212"/>
      <c r="H412" s="1212"/>
      <c r="I412" s="1211">
        <v>0</v>
      </c>
      <c r="J412" s="1202">
        <v>0</v>
      </c>
      <c r="K412" s="1203">
        <v>0</v>
      </c>
      <c r="L412" s="1203">
        <v>0</v>
      </c>
      <c r="M412" s="1203">
        <v>0</v>
      </c>
      <c r="N412" s="1203">
        <v>0</v>
      </c>
      <c r="O412" s="1203">
        <v>0</v>
      </c>
      <c r="P412" s="1203">
        <v>0</v>
      </c>
      <c r="Q412" s="1203">
        <v>0</v>
      </c>
      <c r="R412" s="1203">
        <v>0</v>
      </c>
      <c r="S412" s="1203">
        <v>0</v>
      </c>
    </row>
    <row r="413" spans="1:19" hidden="1" outlineLevel="1">
      <c r="A413" s="1198">
        <v>4948</v>
      </c>
      <c r="B413" s="1199" t="s">
        <v>1864</v>
      </c>
      <c r="C413" s="1211">
        <v>5</v>
      </c>
      <c r="D413" s="1212"/>
      <c r="E413" s="1212"/>
      <c r="F413" s="1212"/>
      <c r="G413" s="1212"/>
      <c r="H413" s="1212"/>
      <c r="I413" s="1211">
        <v>0</v>
      </c>
      <c r="J413" s="1202">
        <v>0</v>
      </c>
      <c r="K413" s="1203">
        <v>0</v>
      </c>
      <c r="L413" s="1203">
        <v>0</v>
      </c>
      <c r="M413" s="1203">
        <v>0</v>
      </c>
      <c r="N413" s="1203">
        <v>0</v>
      </c>
      <c r="O413" s="1203">
        <v>0</v>
      </c>
      <c r="P413" s="1203">
        <v>0</v>
      </c>
      <c r="Q413" s="1203">
        <v>0</v>
      </c>
      <c r="R413" s="1203">
        <v>0</v>
      </c>
      <c r="S413" s="1203">
        <v>0</v>
      </c>
    </row>
    <row r="414" spans="1:19" hidden="1" outlineLevel="1">
      <c r="A414" s="1198">
        <v>405</v>
      </c>
      <c r="B414" s="1199" t="s">
        <v>1865</v>
      </c>
      <c r="C414" s="1211">
        <v>5</v>
      </c>
      <c r="D414" s="1212"/>
      <c r="E414" s="1212"/>
      <c r="F414" s="1212"/>
      <c r="G414" s="1212"/>
      <c r="H414" s="1212"/>
      <c r="I414" s="1211">
        <v>0</v>
      </c>
      <c r="J414" s="1202">
        <v>0</v>
      </c>
      <c r="K414" s="1203">
        <v>0</v>
      </c>
      <c r="L414" s="1203">
        <v>0</v>
      </c>
      <c r="M414" s="1203">
        <v>0</v>
      </c>
      <c r="N414" s="1203">
        <v>0</v>
      </c>
      <c r="O414" s="1203">
        <v>0</v>
      </c>
      <c r="P414" s="1203">
        <v>0</v>
      </c>
      <c r="Q414" s="1203">
        <v>0</v>
      </c>
      <c r="R414" s="1203">
        <v>0</v>
      </c>
      <c r="S414" s="1203">
        <v>0</v>
      </c>
    </row>
    <row r="415" spans="1:19" hidden="1" outlineLevel="1">
      <c r="A415" s="1198">
        <v>104948</v>
      </c>
      <c r="B415" s="1199" t="s">
        <v>1866</v>
      </c>
      <c r="C415" s="1211">
        <v>5</v>
      </c>
      <c r="D415" s="1212"/>
      <c r="E415" s="1212"/>
      <c r="F415" s="1212"/>
      <c r="G415" s="1212"/>
      <c r="H415" s="1212"/>
      <c r="I415" s="1211">
        <v>0</v>
      </c>
      <c r="J415" s="1202">
        <v>0</v>
      </c>
      <c r="K415" s="1203">
        <v>0</v>
      </c>
      <c r="L415" s="1203">
        <v>0</v>
      </c>
      <c r="M415" s="1203">
        <v>0</v>
      </c>
      <c r="N415" s="1203">
        <v>0</v>
      </c>
      <c r="O415" s="1203">
        <v>0</v>
      </c>
      <c r="P415" s="1203">
        <v>0</v>
      </c>
      <c r="Q415" s="1203">
        <v>0</v>
      </c>
      <c r="R415" s="1203">
        <v>0</v>
      </c>
      <c r="S415" s="1203">
        <v>0</v>
      </c>
    </row>
    <row r="416" spans="1:19" hidden="1" outlineLevel="1">
      <c r="A416" s="1198">
        <v>79</v>
      </c>
      <c r="B416" s="1199" t="s">
        <v>1867</v>
      </c>
      <c r="C416" s="1211">
        <v>5</v>
      </c>
      <c r="D416" s="1212"/>
      <c r="E416" s="1212"/>
      <c r="F416" s="1212"/>
      <c r="G416" s="1212"/>
      <c r="H416" s="1212"/>
      <c r="I416" s="1211">
        <v>0</v>
      </c>
      <c r="J416" s="1202">
        <v>0</v>
      </c>
      <c r="K416" s="1203">
        <v>0</v>
      </c>
      <c r="L416" s="1203">
        <v>0</v>
      </c>
      <c r="M416" s="1203">
        <v>0</v>
      </c>
      <c r="N416" s="1203">
        <v>0</v>
      </c>
      <c r="O416" s="1203">
        <v>0</v>
      </c>
      <c r="P416" s="1203">
        <v>0</v>
      </c>
      <c r="Q416" s="1203">
        <v>0</v>
      </c>
      <c r="R416" s="1203">
        <v>0</v>
      </c>
      <c r="S416" s="1203">
        <v>0</v>
      </c>
    </row>
    <row r="417" spans="1:19" hidden="1" outlineLevel="1">
      <c r="A417" s="1198">
        <v>88</v>
      </c>
      <c r="B417" s="1199" t="s">
        <v>1868</v>
      </c>
      <c r="C417" s="1211">
        <v>5</v>
      </c>
      <c r="D417" s="1212"/>
      <c r="E417" s="1212"/>
      <c r="F417" s="1212"/>
      <c r="G417" s="1212"/>
      <c r="H417" s="1212"/>
      <c r="I417" s="1211">
        <v>0</v>
      </c>
      <c r="J417" s="1202">
        <v>0</v>
      </c>
      <c r="K417" s="1203">
        <v>0</v>
      </c>
      <c r="L417" s="1203">
        <v>0</v>
      </c>
      <c r="M417" s="1203">
        <v>0</v>
      </c>
      <c r="N417" s="1203">
        <v>0</v>
      </c>
      <c r="O417" s="1203">
        <v>0</v>
      </c>
      <c r="P417" s="1203">
        <v>0</v>
      </c>
      <c r="Q417" s="1203">
        <v>0</v>
      </c>
      <c r="R417" s="1203">
        <v>0</v>
      </c>
      <c r="S417" s="1203">
        <v>0</v>
      </c>
    </row>
    <row r="418" spans="1:19" hidden="1" outlineLevel="1">
      <c r="A418" s="1198">
        <v>84</v>
      </c>
      <c r="B418" s="1199" t="s">
        <v>1869</v>
      </c>
      <c r="C418" s="1211">
        <v>5</v>
      </c>
      <c r="D418" s="1212"/>
      <c r="E418" s="1212"/>
      <c r="F418" s="1212"/>
      <c r="G418" s="1212"/>
      <c r="H418" s="1212"/>
      <c r="I418" s="1211">
        <v>0</v>
      </c>
      <c r="J418" s="1202">
        <v>0</v>
      </c>
      <c r="K418" s="1203">
        <v>0</v>
      </c>
      <c r="L418" s="1203">
        <v>0</v>
      </c>
      <c r="M418" s="1203">
        <v>0</v>
      </c>
      <c r="N418" s="1203">
        <v>0</v>
      </c>
      <c r="O418" s="1203">
        <v>0</v>
      </c>
      <c r="P418" s="1203">
        <v>0</v>
      </c>
      <c r="Q418" s="1203">
        <v>0</v>
      </c>
      <c r="R418" s="1203">
        <v>0</v>
      </c>
      <c r="S418" s="1203">
        <v>0</v>
      </c>
    </row>
    <row r="419" spans="1:19" hidden="1" outlineLevel="1">
      <c r="A419" s="1198">
        <v>80</v>
      </c>
      <c r="B419" s="1199" t="s">
        <v>1870</v>
      </c>
      <c r="C419" s="1211">
        <v>5</v>
      </c>
      <c r="D419" s="1212"/>
      <c r="E419" s="1212"/>
      <c r="F419" s="1212"/>
      <c r="G419" s="1212"/>
      <c r="H419" s="1212"/>
      <c r="I419" s="1211">
        <v>0</v>
      </c>
      <c r="J419" s="1202">
        <v>0</v>
      </c>
      <c r="K419" s="1203">
        <v>0</v>
      </c>
      <c r="L419" s="1203">
        <v>0</v>
      </c>
      <c r="M419" s="1203">
        <v>0</v>
      </c>
      <c r="N419" s="1203">
        <v>0</v>
      </c>
      <c r="O419" s="1203">
        <v>0</v>
      </c>
      <c r="P419" s="1203">
        <v>0</v>
      </c>
      <c r="Q419" s="1203">
        <v>0</v>
      </c>
      <c r="R419" s="1203">
        <v>0</v>
      </c>
      <c r="S419" s="1203">
        <v>0</v>
      </c>
    </row>
    <row r="420" spans="1:19" hidden="1" outlineLevel="1">
      <c r="A420" s="1198">
        <v>850</v>
      </c>
      <c r="B420" s="1199" t="s">
        <v>1871</v>
      </c>
      <c r="C420" s="1211">
        <v>5</v>
      </c>
      <c r="D420" s="1212"/>
      <c r="E420" s="1212"/>
      <c r="F420" s="1212"/>
      <c r="G420" s="1212"/>
      <c r="H420" s="1212"/>
      <c r="I420" s="1211">
        <v>0</v>
      </c>
      <c r="J420" s="1202">
        <v>0</v>
      </c>
      <c r="K420" s="1203">
        <v>0</v>
      </c>
      <c r="L420" s="1203">
        <v>0</v>
      </c>
      <c r="M420" s="1203">
        <v>0</v>
      </c>
      <c r="N420" s="1203">
        <v>0</v>
      </c>
      <c r="O420" s="1203">
        <v>0</v>
      </c>
      <c r="P420" s="1203">
        <v>0</v>
      </c>
      <c r="Q420" s="1203">
        <v>0</v>
      </c>
      <c r="R420" s="1203">
        <v>0</v>
      </c>
      <c r="S420" s="1203">
        <v>0</v>
      </c>
    </row>
    <row r="421" spans="1:19" hidden="1" outlineLevel="1">
      <c r="A421" s="1198">
        <v>852</v>
      </c>
      <c r="B421" s="1199" t="s">
        <v>1872</v>
      </c>
      <c r="C421" s="1211">
        <v>5</v>
      </c>
      <c r="D421" s="1212"/>
      <c r="E421" s="1212"/>
      <c r="F421" s="1212"/>
      <c r="G421" s="1212"/>
      <c r="H421" s="1212"/>
      <c r="I421" s="1211">
        <v>0</v>
      </c>
      <c r="J421" s="1202">
        <v>0</v>
      </c>
      <c r="K421" s="1203">
        <v>0</v>
      </c>
      <c r="L421" s="1203">
        <v>0</v>
      </c>
      <c r="M421" s="1203">
        <v>0</v>
      </c>
      <c r="N421" s="1203">
        <v>0</v>
      </c>
      <c r="O421" s="1203">
        <v>0</v>
      </c>
      <c r="P421" s="1203">
        <v>0</v>
      </c>
      <c r="Q421" s="1203">
        <v>0</v>
      </c>
      <c r="R421" s="1203">
        <v>0</v>
      </c>
      <c r="S421" s="1203">
        <v>0</v>
      </c>
    </row>
    <row r="422" spans="1:19" hidden="1" outlineLevel="1">
      <c r="A422" s="1198">
        <v>86</v>
      </c>
      <c r="B422" s="1199" t="s">
        <v>1873</v>
      </c>
      <c r="C422" s="1211">
        <v>5</v>
      </c>
      <c r="D422" s="1212"/>
      <c r="E422" s="1212"/>
      <c r="F422" s="1212"/>
      <c r="G422" s="1212"/>
      <c r="H422" s="1212"/>
      <c r="I422" s="1211">
        <v>0</v>
      </c>
      <c r="J422" s="1202">
        <v>0</v>
      </c>
      <c r="K422" s="1203">
        <v>0</v>
      </c>
      <c r="L422" s="1203">
        <v>0</v>
      </c>
      <c r="M422" s="1203">
        <v>0</v>
      </c>
      <c r="N422" s="1203">
        <v>0</v>
      </c>
      <c r="O422" s="1203">
        <v>0</v>
      </c>
      <c r="P422" s="1203">
        <v>0</v>
      </c>
      <c r="Q422" s="1203">
        <v>0</v>
      </c>
      <c r="R422" s="1203">
        <v>0</v>
      </c>
      <c r="S422" s="1203">
        <v>0</v>
      </c>
    </row>
    <row r="423" spans="1:19" hidden="1" outlineLevel="1">
      <c r="A423" s="1198">
        <v>856</v>
      </c>
      <c r="B423" s="1199" t="s">
        <v>1874</v>
      </c>
      <c r="C423" s="1211">
        <v>5</v>
      </c>
      <c r="D423" s="1212"/>
      <c r="E423" s="1212"/>
      <c r="F423" s="1212"/>
      <c r="G423" s="1212"/>
      <c r="H423" s="1212"/>
      <c r="I423" s="1211">
        <v>0</v>
      </c>
      <c r="J423" s="1202">
        <v>0</v>
      </c>
      <c r="K423" s="1203">
        <v>0</v>
      </c>
      <c r="L423" s="1203">
        <v>0</v>
      </c>
      <c r="M423" s="1203">
        <v>0</v>
      </c>
      <c r="N423" s="1203">
        <v>0</v>
      </c>
      <c r="O423" s="1203">
        <v>0</v>
      </c>
      <c r="P423" s="1203">
        <v>0</v>
      </c>
      <c r="Q423" s="1203">
        <v>0</v>
      </c>
      <c r="R423" s="1203">
        <v>0</v>
      </c>
      <c r="S423" s="1203">
        <v>0</v>
      </c>
    </row>
    <row r="424" spans="1:19" hidden="1" outlineLevel="1">
      <c r="A424" s="1198">
        <v>857</v>
      </c>
      <c r="B424" s="1199" t="s">
        <v>1875</v>
      </c>
      <c r="C424" s="1211">
        <v>5</v>
      </c>
      <c r="D424" s="1212"/>
      <c r="E424" s="1212"/>
      <c r="F424" s="1212"/>
      <c r="G424" s="1212"/>
      <c r="H424" s="1212"/>
      <c r="I424" s="1211">
        <v>0</v>
      </c>
      <c r="J424" s="1202">
        <v>0</v>
      </c>
      <c r="K424" s="1203">
        <v>0</v>
      </c>
      <c r="L424" s="1203">
        <v>0</v>
      </c>
      <c r="M424" s="1203">
        <v>0</v>
      </c>
      <c r="N424" s="1203">
        <v>0</v>
      </c>
      <c r="O424" s="1203">
        <v>0</v>
      </c>
      <c r="P424" s="1203">
        <v>0</v>
      </c>
      <c r="Q424" s="1203">
        <v>0</v>
      </c>
      <c r="R424" s="1203">
        <v>0</v>
      </c>
      <c r="S424" s="1203">
        <v>0</v>
      </c>
    </row>
    <row r="425" spans="1:19" hidden="1" outlineLevel="1">
      <c r="A425" s="1198">
        <v>853</v>
      </c>
      <c r="B425" s="1199" t="s">
        <v>1876</v>
      </c>
      <c r="C425" s="1211">
        <v>5</v>
      </c>
      <c r="D425" s="1212"/>
      <c r="E425" s="1212"/>
      <c r="F425" s="1212"/>
      <c r="G425" s="1212"/>
      <c r="H425" s="1212"/>
      <c r="I425" s="1211">
        <v>0</v>
      </c>
      <c r="J425" s="1202">
        <v>0</v>
      </c>
      <c r="K425" s="1203">
        <v>0</v>
      </c>
      <c r="L425" s="1203">
        <v>0</v>
      </c>
      <c r="M425" s="1203">
        <v>0</v>
      </c>
      <c r="N425" s="1203">
        <v>0</v>
      </c>
      <c r="O425" s="1203">
        <v>0</v>
      </c>
      <c r="P425" s="1203">
        <v>0</v>
      </c>
      <c r="Q425" s="1203">
        <v>0</v>
      </c>
      <c r="R425" s="1203">
        <v>0</v>
      </c>
      <c r="S425" s="1203">
        <v>0</v>
      </c>
    </row>
    <row r="426" spans="1:19" hidden="1" outlineLevel="1">
      <c r="A426" s="1198">
        <v>83</v>
      </c>
      <c r="B426" s="1199" t="s">
        <v>1877</v>
      </c>
      <c r="C426" s="1211">
        <v>5</v>
      </c>
      <c r="D426" s="1212"/>
      <c r="E426" s="1212"/>
      <c r="F426" s="1212"/>
      <c r="G426" s="1212"/>
      <c r="H426" s="1212"/>
      <c r="I426" s="1211">
        <v>0</v>
      </c>
      <c r="J426" s="1202">
        <v>0</v>
      </c>
      <c r="K426" s="1203">
        <v>0</v>
      </c>
      <c r="L426" s="1203">
        <v>0</v>
      </c>
      <c r="M426" s="1203">
        <v>0</v>
      </c>
      <c r="N426" s="1203">
        <v>0</v>
      </c>
      <c r="O426" s="1203">
        <v>0</v>
      </c>
      <c r="P426" s="1203">
        <v>0</v>
      </c>
      <c r="Q426" s="1203">
        <v>0</v>
      </c>
      <c r="R426" s="1203">
        <v>0</v>
      </c>
      <c r="S426" s="1203">
        <v>0</v>
      </c>
    </row>
    <row r="427" spans="1:19" hidden="1" outlineLevel="1">
      <c r="A427" s="1198">
        <v>87</v>
      </c>
      <c r="B427" s="1199" t="s">
        <v>1878</v>
      </c>
      <c r="C427" s="1211">
        <v>5</v>
      </c>
      <c r="D427" s="1212"/>
      <c r="E427" s="1212"/>
      <c r="F427" s="1212"/>
      <c r="G427" s="1212"/>
      <c r="H427" s="1212"/>
      <c r="I427" s="1211">
        <v>0</v>
      </c>
      <c r="J427" s="1202">
        <v>0</v>
      </c>
      <c r="K427" s="1203">
        <v>0</v>
      </c>
      <c r="L427" s="1203">
        <v>0</v>
      </c>
      <c r="M427" s="1203">
        <v>0</v>
      </c>
      <c r="N427" s="1203">
        <v>0</v>
      </c>
      <c r="O427" s="1203">
        <v>0</v>
      </c>
      <c r="P427" s="1203">
        <v>0</v>
      </c>
      <c r="Q427" s="1203">
        <v>0</v>
      </c>
      <c r="R427" s="1203">
        <v>0</v>
      </c>
      <c r="S427" s="1203">
        <v>0</v>
      </c>
    </row>
    <row r="428" spans="1:19" hidden="1" outlineLevel="1">
      <c r="A428" s="1198">
        <v>854</v>
      </c>
      <c r="B428" s="1199" t="s">
        <v>1879</v>
      </c>
      <c r="C428" s="1211">
        <v>5</v>
      </c>
      <c r="D428" s="1212"/>
      <c r="E428" s="1212"/>
      <c r="F428" s="1212"/>
      <c r="G428" s="1212"/>
      <c r="H428" s="1212"/>
      <c r="I428" s="1211">
        <v>0</v>
      </c>
      <c r="J428" s="1202">
        <v>0</v>
      </c>
      <c r="K428" s="1203">
        <v>0</v>
      </c>
      <c r="L428" s="1203">
        <v>0</v>
      </c>
      <c r="M428" s="1203">
        <v>0</v>
      </c>
      <c r="N428" s="1203">
        <v>0</v>
      </c>
      <c r="O428" s="1203">
        <v>0</v>
      </c>
      <c r="P428" s="1203">
        <v>0</v>
      </c>
      <c r="Q428" s="1203">
        <v>0</v>
      </c>
      <c r="R428" s="1203">
        <v>0</v>
      </c>
      <c r="S428" s="1203">
        <v>0</v>
      </c>
    </row>
    <row r="429" spans="1:19" hidden="1" outlineLevel="1">
      <c r="A429" s="1198">
        <v>479</v>
      </c>
      <c r="B429" s="1199" t="s">
        <v>1880</v>
      </c>
      <c r="C429" s="1211">
        <v>5</v>
      </c>
      <c r="D429" s="1212"/>
      <c r="E429" s="1212"/>
      <c r="F429" s="1212"/>
      <c r="G429" s="1212"/>
      <c r="H429" s="1212"/>
      <c r="I429" s="1211">
        <v>0</v>
      </c>
      <c r="J429" s="1202">
        <v>0</v>
      </c>
      <c r="K429" s="1203">
        <v>0</v>
      </c>
      <c r="L429" s="1203">
        <v>0</v>
      </c>
      <c r="M429" s="1203">
        <v>0</v>
      </c>
      <c r="N429" s="1203">
        <v>0</v>
      </c>
      <c r="O429" s="1203">
        <v>0</v>
      </c>
      <c r="P429" s="1203">
        <v>0</v>
      </c>
      <c r="Q429" s="1203">
        <v>0</v>
      </c>
      <c r="R429" s="1203">
        <v>0</v>
      </c>
      <c r="S429" s="1203">
        <v>0</v>
      </c>
    </row>
    <row r="430" spans="1:19" hidden="1" outlineLevel="1">
      <c r="A430" s="1198">
        <v>3522</v>
      </c>
      <c r="B430" s="1199" t="s">
        <v>1881</v>
      </c>
      <c r="C430" s="1211">
        <v>8</v>
      </c>
      <c r="D430" s="1212"/>
      <c r="E430" s="1212"/>
      <c r="F430" s="1212"/>
      <c r="G430" s="1212"/>
      <c r="H430" s="1212"/>
      <c r="I430" s="1211">
        <v>0</v>
      </c>
      <c r="J430" s="1202">
        <v>0</v>
      </c>
      <c r="K430" s="1203">
        <v>0</v>
      </c>
      <c r="L430" s="1203">
        <v>0</v>
      </c>
      <c r="M430" s="1203">
        <v>0</v>
      </c>
      <c r="N430" s="1203">
        <v>0</v>
      </c>
      <c r="O430" s="1203">
        <v>0</v>
      </c>
      <c r="P430" s="1203">
        <v>0</v>
      </c>
      <c r="Q430" s="1203">
        <v>0</v>
      </c>
      <c r="R430" s="1203">
        <v>0</v>
      </c>
      <c r="S430" s="1203">
        <v>0</v>
      </c>
    </row>
    <row r="431" spans="1:19" hidden="1" outlineLevel="1">
      <c r="A431" s="1198">
        <v>9768</v>
      </c>
      <c r="B431" s="1199" t="s">
        <v>1882</v>
      </c>
      <c r="C431" s="1211">
        <v>5</v>
      </c>
      <c r="D431" s="1212"/>
      <c r="E431" s="1212"/>
      <c r="F431" s="1212"/>
      <c r="G431" s="1212"/>
      <c r="H431" s="1212"/>
      <c r="I431" s="1211">
        <v>0</v>
      </c>
      <c r="J431" s="1202">
        <v>0</v>
      </c>
      <c r="K431" s="1203">
        <v>0</v>
      </c>
      <c r="L431" s="1203">
        <v>0</v>
      </c>
      <c r="M431" s="1203">
        <v>0</v>
      </c>
      <c r="N431" s="1203">
        <v>0</v>
      </c>
      <c r="O431" s="1203">
        <v>0</v>
      </c>
      <c r="P431" s="1203">
        <v>0</v>
      </c>
      <c r="Q431" s="1203">
        <v>0</v>
      </c>
      <c r="R431" s="1203">
        <v>0</v>
      </c>
      <c r="S431" s="1203">
        <v>0</v>
      </c>
    </row>
    <row r="432" spans="1:19" hidden="1" outlineLevel="1">
      <c r="A432" s="1198">
        <v>518</v>
      </c>
      <c r="B432" s="1199" t="s">
        <v>1883</v>
      </c>
      <c r="C432" s="1211">
        <v>5</v>
      </c>
      <c r="D432" s="1212"/>
      <c r="E432" s="1212"/>
      <c r="F432" s="1212"/>
      <c r="G432" s="1212"/>
      <c r="H432" s="1212"/>
      <c r="I432" s="1211">
        <v>0</v>
      </c>
      <c r="J432" s="1202">
        <v>0</v>
      </c>
      <c r="K432" s="1203">
        <v>0</v>
      </c>
      <c r="L432" s="1203">
        <v>0</v>
      </c>
      <c r="M432" s="1203">
        <v>0</v>
      </c>
      <c r="N432" s="1203">
        <v>0</v>
      </c>
      <c r="O432" s="1203">
        <v>0</v>
      </c>
      <c r="P432" s="1203">
        <v>0</v>
      </c>
      <c r="Q432" s="1203">
        <v>0</v>
      </c>
      <c r="R432" s="1203">
        <v>0</v>
      </c>
      <c r="S432" s="1203">
        <v>0</v>
      </c>
    </row>
    <row r="433" spans="1:19" hidden="1" outlineLevel="1">
      <c r="A433" s="1198">
        <v>81</v>
      </c>
      <c r="B433" s="1199" t="s">
        <v>1884</v>
      </c>
      <c r="C433" s="1211">
        <v>5</v>
      </c>
      <c r="D433" s="1212"/>
      <c r="E433" s="1212"/>
      <c r="F433" s="1212"/>
      <c r="G433" s="1212"/>
      <c r="H433" s="1212"/>
      <c r="I433" s="1211">
        <v>0</v>
      </c>
      <c r="J433" s="1202">
        <v>0</v>
      </c>
      <c r="K433" s="1203">
        <v>0</v>
      </c>
      <c r="L433" s="1203">
        <v>0</v>
      </c>
      <c r="M433" s="1203">
        <v>0</v>
      </c>
      <c r="N433" s="1203">
        <v>0</v>
      </c>
      <c r="O433" s="1203">
        <v>0</v>
      </c>
      <c r="P433" s="1203">
        <v>0</v>
      </c>
      <c r="Q433" s="1203">
        <v>0</v>
      </c>
      <c r="R433" s="1203">
        <v>0</v>
      </c>
      <c r="S433" s="1203">
        <v>0</v>
      </c>
    </row>
    <row r="434" spans="1:19" hidden="1" outlineLevel="1">
      <c r="A434" s="1198">
        <v>3629</v>
      </c>
      <c r="B434" s="1199" t="s">
        <v>1885</v>
      </c>
      <c r="C434" s="1211">
        <v>5</v>
      </c>
      <c r="D434" s="1212"/>
      <c r="E434" s="1212"/>
      <c r="F434" s="1212"/>
      <c r="G434" s="1212"/>
      <c r="H434" s="1212"/>
      <c r="I434" s="1211">
        <v>0</v>
      </c>
      <c r="J434" s="1202">
        <v>0</v>
      </c>
      <c r="K434" s="1203">
        <v>0</v>
      </c>
      <c r="L434" s="1203">
        <v>0</v>
      </c>
      <c r="M434" s="1203">
        <v>0</v>
      </c>
      <c r="N434" s="1203">
        <v>0</v>
      </c>
      <c r="O434" s="1203">
        <v>0</v>
      </c>
      <c r="P434" s="1203">
        <v>0</v>
      </c>
      <c r="Q434" s="1203">
        <v>0</v>
      </c>
      <c r="R434" s="1203">
        <v>0</v>
      </c>
      <c r="S434" s="1203">
        <v>0</v>
      </c>
    </row>
    <row r="435" spans="1:19" hidden="1" outlineLevel="1">
      <c r="A435" s="1198">
        <v>556</v>
      </c>
      <c r="B435" s="1199" t="s">
        <v>1886</v>
      </c>
      <c r="C435" s="1211">
        <v>5</v>
      </c>
      <c r="D435" s="1212"/>
      <c r="E435" s="1212"/>
      <c r="F435" s="1212"/>
      <c r="G435" s="1212"/>
      <c r="H435" s="1212"/>
      <c r="I435" s="1211">
        <v>0</v>
      </c>
      <c r="J435" s="1202">
        <v>0</v>
      </c>
      <c r="K435" s="1203">
        <v>0</v>
      </c>
      <c r="L435" s="1203">
        <v>0</v>
      </c>
      <c r="M435" s="1203">
        <v>0</v>
      </c>
      <c r="N435" s="1203">
        <v>0</v>
      </c>
      <c r="O435" s="1203">
        <v>0</v>
      </c>
      <c r="P435" s="1203">
        <v>0</v>
      </c>
      <c r="Q435" s="1203">
        <v>0</v>
      </c>
      <c r="R435" s="1203">
        <v>0</v>
      </c>
      <c r="S435" s="1203">
        <v>0</v>
      </c>
    </row>
    <row r="436" spans="1:19" hidden="1" outlineLevel="1">
      <c r="A436" s="1198">
        <v>488</v>
      </c>
      <c r="B436" s="1199" t="s">
        <v>1887</v>
      </c>
      <c r="C436" s="1211">
        <v>5</v>
      </c>
      <c r="D436" s="1212"/>
      <c r="E436" s="1212"/>
      <c r="F436" s="1212"/>
      <c r="G436" s="1212"/>
      <c r="H436" s="1212"/>
      <c r="I436" s="1211">
        <v>0</v>
      </c>
      <c r="J436" s="1202">
        <v>0</v>
      </c>
      <c r="K436" s="1203">
        <v>0</v>
      </c>
      <c r="L436" s="1203">
        <v>0</v>
      </c>
      <c r="M436" s="1203">
        <v>0</v>
      </c>
      <c r="N436" s="1203">
        <v>0</v>
      </c>
      <c r="O436" s="1203">
        <v>0</v>
      </c>
      <c r="P436" s="1203">
        <v>0</v>
      </c>
      <c r="Q436" s="1203">
        <v>0</v>
      </c>
      <c r="R436" s="1203">
        <v>0</v>
      </c>
      <c r="S436" s="1203">
        <v>0</v>
      </c>
    </row>
    <row r="437" spans="1:19" hidden="1" outlineLevel="1">
      <c r="A437" s="1198">
        <v>3635</v>
      </c>
      <c r="B437" s="1199" t="s">
        <v>1888</v>
      </c>
      <c r="C437" s="1211">
        <v>2</v>
      </c>
      <c r="D437" s="1212"/>
      <c r="E437" s="1212"/>
      <c r="F437" s="1212"/>
      <c r="G437" s="1212"/>
      <c r="H437" s="1212"/>
      <c r="I437" s="1211">
        <v>0</v>
      </c>
      <c r="J437" s="1211">
        <v>0</v>
      </c>
      <c r="K437" s="1212">
        <v>0</v>
      </c>
      <c r="L437" s="1212">
        <v>0</v>
      </c>
      <c r="M437" s="1212">
        <v>0</v>
      </c>
      <c r="N437" s="1212">
        <v>0</v>
      </c>
      <c r="O437" s="1212">
        <v>0</v>
      </c>
      <c r="P437" s="1212">
        <v>0</v>
      </c>
      <c r="Q437" s="1212">
        <v>0</v>
      </c>
      <c r="R437" s="1212">
        <v>0</v>
      </c>
      <c r="S437" s="1212">
        <v>0</v>
      </c>
    </row>
    <row r="438" spans="1:19" hidden="1" outlineLevel="1">
      <c r="A438" s="1198">
        <v>3636</v>
      </c>
      <c r="B438" s="1199" t="s">
        <v>1889</v>
      </c>
      <c r="C438" s="1211">
        <v>2</v>
      </c>
      <c r="D438" s="1212"/>
      <c r="E438" s="1212"/>
      <c r="F438" s="1212"/>
      <c r="G438" s="1212"/>
      <c r="H438" s="1212"/>
      <c r="I438" s="1211">
        <v>0</v>
      </c>
      <c r="J438" s="1211">
        <v>0</v>
      </c>
      <c r="K438" s="1212">
        <v>0</v>
      </c>
      <c r="L438" s="1212">
        <v>0</v>
      </c>
      <c r="M438" s="1212">
        <v>0</v>
      </c>
      <c r="N438" s="1212">
        <v>0</v>
      </c>
      <c r="O438" s="1212">
        <v>0</v>
      </c>
      <c r="P438" s="1212">
        <v>0</v>
      </c>
      <c r="Q438" s="1212">
        <v>0</v>
      </c>
      <c r="R438" s="1212">
        <v>0</v>
      </c>
      <c r="S438" s="1212">
        <v>0</v>
      </c>
    </row>
    <row r="439" spans="1:19" hidden="1" outlineLevel="1">
      <c r="A439" s="1198">
        <v>3638</v>
      </c>
      <c r="B439" s="1199" t="s">
        <v>1890</v>
      </c>
      <c r="C439" s="1211">
        <v>2</v>
      </c>
      <c r="D439" s="1212"/>
      <c r="E439" s="1212"/>
      <c r="F439" s="1212"/>
      <c r="G439" s="1212"/>
      <c r="H439" s="1212"/>
      <c r="I439" s="1211">
        <v>0</v>
      </c>
      <c r="J439" s="1211">
        <v>0</v>
      </c>
      <c r="K439" s="1212">
        <v>0</v>
      </c>
      <c r="L439" s="1212">
        <v>0</v>
      </c>
      <c r="M439" s="1212">
        <v>0</v>
      </c>
      <c r="N439" s="1212">
        <v>0</v>
      </c>
      <c r="O439" s="1212">
        <v>0</v>
      </c>
      <c r="P439" s="1212">
        <v>0</v>
      </c>
      <c r="Q439" s="1212">
        <v>0</v>
      </c>
      <c r="R439" s="1212">
        <v>0</v>
      </c>
      <c r="S439" s="1212">
        <v>0</v>
      </c>
    </row>
    <row r="440" spans="1:19" hidden="1" outlineLevel="1">
      <c r="A440" s="1198">
        <v>476</v>
      </c>
      <c r="B440" s="1199" t="s">
        <v>1891</v>
      </c>
      <c r="C440" s="1211">
        <v>5</v>
      </c>
      <c r="D440" s="1212"/>
      <c r="E440" s="1212"/>
      <c r="F440" s="1212"/>
      <c r="G440" s="1212"/>
      <c r="H440" s="1212"/>
      <c r="I440" s="1211">
        <v>0</v>
      </c>
      <c r="J440" s="1202">
        <v>0</v>
      </c>
      <c r="K440" s="1203">
        <v>0</v>
      </c>
      <c r="L440" s="1203">
        <v>0</v>
      </c>
      <c r="M440" s="1203">
        <v>0</v>
      </c>
      <c r="N440" s="1203">
        <v>0</v>
      </c>
      <c r="O440" s="1203">
        <v>0</v>
      </c>
      <c r="P440" s="1203">
        <v>0</v>
      </c>
      <c r="Q440" s="1203">
        <v>0</v>
      </c>
      <c r="R440" s="1203">
        <v>0</v>
      </c>
      <c r="S440" s="1203">
        <v>0</v>
      </c>
    </row>
    <row r="441" spans="1:19" hidden="1" outlineLevel="1">
      <c r="A441" s="1198">
        <v>478</v>
      </c>
      <c r="B441" s="1199" t="s">
        <v>1892</v>
      </c>
      <c r="C441" s="1211">
        <v>5</v>
      </c>
      <c r="D441" s="1212"/>
      <c r="E441" s="1212"/>
      <c r="F441" s="1212"/>
      <c r="G441" s="1212"/>
      <c r="H441" s="1212"/>
      <c r="I441" s="1211">
        <v>0</v>
      </c>
      <c r="J441" s="1202">
        <v>0</v>
      </c>
      <c r="K441" s="1203">
        <v>0</v>
      </c>
      <c r="L441" s="1203">
        <v>0</v>
      </c>
      <c r="M441" s="1203">
        <v>0</v>
      </c>
      <c r="N441" s="1203">
        <v>0</v>
      </c>
      <c r="O441" s="1203">
        <v>0</v>
      </c>
      <c r="P441" s="1203">
        <v>0</v>
      </c>
      <c r="Q441" s="1203">
        <v>0</v>
      </c>
      <c r="R441" s="1203">
        <v>0</v>
      </c>
      <c r="S441" s="1203">
        <v>0</v>
      </c>
    </row>
    <row r="442" spans="1:19" hidden="1" outlineLevel="1">
      <c r="A442" s="1198">
        <v>3641</v>
      </c>
      <c r="B442" s="1199" t="s">
        <v>1893</v>
      </c>
      <c r="C442" s="1211">
        <v>2</v>
      </c>
      <c r="D442" s="1212"/>
      <c r="E442" s="1212"/>
      <c r="F442" s="1212"/>
      <c r="G442" s="1212"/>
      <c r="H442" s="1212"/>
      <c r="I442" s="1211">
        <v>0</v>
      </c>
      <c r="J442" s="1211">
        <v>0</v>
      </c>
      <c r="K442" s="1212">
        <v>0</v>
      </c>
      <c r="L442" s="1212">
        <v>0</v>
      </c>
      <c r="M442" s="1212">
        <v>0</v>
      </c>
      <c r="N442" s="1212">
        <v>0</v>
      </c>
      <c r="O442" s="1212">
        <v>0</v>
      </c>
      <c r="P442" s="1212">
        <v>0</v>
      </c>
      <c r="Q442" s="1212">
        <v>0</v>
      </c>
      <c r="R442" s="1212">
        <v>0</v>
      </c>
      <c r="S442" s="1212">
        <v>0</v>
      </c>
    </row>
    <row r="443" spans="1:19" hidden="1" outlineLevel="1">
      <c r="A443" s="1198">
        <v>516</v>
      </c>
      <c r="B443" s="1199" t="s">
        <v>1894</v>
      </c>
      <c r="C443" s="1211">
        <v>5</v>
      </c>
      <c r="D443" s="1212"/>
      <c r="E443" s="1212"/>
      <c r="F443" s="1212"/>
      <c r="G443" s="1212"/>
      <c r="H443" s="1212"/>
      <c r="I443" s="1211">
        <v>0</v>
      </c>
      <c r="J443" s="1202">
        <v>0</v>
      </c>
      <c r="K443" s="1203">
        <v>0</v>
      </c>
      <c r="L443" s="1203">
        <v>0</v>
      </c>
      <c r="M443" s="1203">
        <v>0</v>
      </c>
      <c r="N443" s="1203">
        <v>0</v>
      </c>
      <c r="O443" s="1203">
        <v>0</v>
      </c>
      <c r="P443" s="1203">
        <v>0</v>
      </c>
      <c r="Q443" s="1203">
        <v>0</v>
      </c>
      <c r="R443" s="1203">
        <v>0</v>
      </c>
      <c r="S443" s="1203">
        <v>0</v>
      </c>
    </row>
    <row r="444" spans="1:19" hidden="1" outlineLevel="1">
      <c r="A444" s="1198">
        <v>9642</v>
      </c>
      <c r="B444" s="1199" t="s">
        <v>1895</v>
      </c>
      <c r="C444" s="1211">
        <v>3</v>
      </c>
      <c r="D444" s="1212"/>
      <c r="E444" s="1212"/>
      <c r="F444" s="1212"/>
      <c r="G444" s="1212"/>
      <c r="H444" s="1212"/>
      <c r="I444" s="1211">
        <v>0</v>
      </c>
      <c r="J444" s="1202">
        <v>0</v>
      </c>
      <c r="K444" s="1203">
        <v>0</v>
      </c>
      <c r="L444" s="1203">
        <v>0</v>
      </c>
      <c r="M444" s="1203">
        <v>0</v>
      </c>
      <c r="N444" s="1203">
        <v>0</v>
      </c>
      <c r="O444" s="1203">
        <v>0</v>
      </c>
      <c r="P444" s="1203">
        <v>0</v>
      </c>
      <c r="Q444" s="1203">
        <v>0</v>
      </c>
      <c r="R444" s="1203">
        <v>0</v>
      </c>
      <c r="S444" s="1203">
        <v>0</v>
      </c>
    </row>
    <row r="445" spans="1:19" hidden="1" outlineLevel="1">
      <c r="A445" s="1198">
        <v>9225</v>
      </c>
      <c r="B445" s="1199" t="s">
        <v>1896</v>
      </c>
      <c r="C445" s="1211">
        <v>3</v>
      </c>
      <c r="D445" s="1212"/>
      <c r="E445" s="1212"/>
      <c r="F445" s="1212"/>
      <c r="G445" s="1212"/>
      <c r="H445" s="1212"/>
      <c r="I445" s="1211">
        <v>0</v>
      </c>
      <c r="J445" s="1202">
        <v>0</v>
      </c>
      <c r="K445" s="1203">
        <v>0</v>
      </c>
      <c r="L445" s="1203">
        <v>0</v>
      </c>
      <c r="M445" s="1203">
        <v>0</v>
      </c>
      <c r="N445" s="1203">
        <v>0</v>
      </c>
      <c r="O445" s="1203">
        <v>0</v>
      </c>
      <c r="P445" s="1203">
        <v>0</v>
      </c>
      <c r="Q445" s="1203">
        <v>0</v>
      </c>
      <c r="R445" s="1203">
        <v>0</v>
      </c>
      <c r="S445" s="1203">
        <v>0</v>
      </c>
    </row>
    <row r="446" spans="1:19" hidden="1" outlineLevel="1">
      <c r="A446" s="1198">
        <v>33965</v>
      </c>
      <c r="B446" s="1199" t="s">
        <v>1897</v>
      </c>
      <c r="C446" s="1211">
        <v>3</v>
      </c>
      <c r="D446" s="1212"/>
      <c r="E446" s="1212"/>
      <c r="F446" s="1212"/>
      <c r="G446" s="1212"/>
      <c r="H446" s="1212"/>
      <c r="I446" s="1211">
        <v>0</v>
      </c>
      <c r="J446" s="1202">
        <v>0</v>
      </c>
      <c r="K446" s="1203">
        <v>0</v>
      </c>
      <c r="L446" s="1203">
        <v>0</v>
      </c>
      <c r="M446" s="1203">
        <v>0</v>
      </c>
      <c r="N446" s="1203">
        <v>0</v>
      </c>
      <c r="O446" s="1203">
        <v>0</v>
      </c>
      <c r="P446" s="1203">
        <v>0</v>
      </c>
      <c r="Q446" s="1203">
        <v>0</v>
      </c>
      <c r="R446" s="1203">
        <v>0</v>
      </c>
      <c r="S446" s="1203">
        <v>0</v>
      </c>
    </row>
    <row r="447" spans="1:19" hidden="1" outlineLevel="1">
      <c r="A447" s="1198">
        <v>3634</v>
      </c>
      <c r="B447" s="1199" t="s">
        <v>1898</v>
      </c>
      <c r="C447" s="1211">
        <v>3</v>
      </c>
      <c r="D447" s="1212"/>
      <c r="E447" s="1212"/>
      <c r="F447" s="1212"/>
      <c r="G447" s="1212"/>
      <c r="H447" s="1212"/>
      <c r="I447" s="1211">
        <v>0</v>
      </c>
      <c r="J447" s="1202">
        <v>0</v>
      </c>
      <c r="K447" s="1203">
        <v>0</v>
      </c>
      <c r="L447" s="1203">
        <v>0</v>
      </c>
      <c r="M447" s="1203">
        <v>0</v>
      </c>
      <c r="N447" s="1203">
        <v>0</v>
      </c>
      <c r="O447" s="1203">
        <v>0</v>
      </c>
      <c r="P447" s="1203">
        <v>0</v>
      </c>
      <c r="Q447" s="1203">
        <v>0</v>
      </c>
      <c r="R447" s="1203">
        <v>0</v>
      </c>
      <c r="S447" s="1203">
        <v>0</v>
      </c>
    </row>
    <row r="448" spans="1:19" hidden="1" outlineLevel="1">
      <c r="A448" s="1198">
        <v>9932</v>
      </c>
      <c r="B448" s="1199" t="s">
        <v>1899</v>
      </c>
      <c r="C448" s="1211">
        <v>3</v>
      </c>
      <c r="D448" s="1212"/>
      <c r="E448" s="1212"/>
      <c r="F448" s="1212"/>
      <c r="G448" s="1212"/>
      <c r="H448" s="1212"/>
      <c r="I448" s="1211">
        <v>0</v>
      </c>
      <c r="J448" s="1202">
        <v>0</v>
      </c>
      <c r="K448" s="1203">
        <v>0</v>
      </c>
      <c r="L448" s="1203">
        <v>0</v>
      </c>
      <c r="M448" s="1203">
        <v>0</v>
      </c>
      <c r="N448" s="1203">
        <v>0</v>
      </c>
      <c r="O448" s="1203">
        <v>0</v>
      </c>
      <c r="P448" s="1203">
        <v>0</v>
      </c>
      <c r="Q448" s="1203">
        <v>0</v>
      </c>
      <c r="R448" s="1203">
        <v>0</v>
      </c>
      <c r="S448" s="1203">
        <v>0</v>
      </c>
    </row>
    <row r="449" spans="1:19" hidden="1" outlineLevel="1">
      <c r="A449" s="1198">
        <v>110</v>
      </c>
      <c r="B449" s="1199" t="s">
        <v>1900</v>
      </c>
      <c r="C449" s="1211">
        <v>5</v>
      </c>
      <c r="D449" s="1212"/>
      <c r="E449" s="1212"/>
      <c r="F449" s="1212"/>
      <c r="G449" s="1212"/>
      <c r="H449" s="1212"/>
      <c r="I449" s="1211">
        <v>0</v>
      </c>
      <c r="J449" s="1202">
        <v>0</v>
      </c>
      <c r="K449" s="1203">
        <v>0</v>
      </c>
      <c r="L449" s="1203">
        <v>0</v>
      </c>
      <c r="M449" s="1203">
        <v>0</v>
      </c>
      <c r="N449" s="1203">
        <v>0</v>
      </c>
      <c r="O449" s="1203">
        <v>0</v>
      </c>
      <c r="P449" s="1203">
        <v>0</v>
      </c>
      <c r="Q449" s="1203">
        <v>0</v>
      </c>
      <c r="R449" s="1203">
        <v>0</v>
      </c>
      <c r="S449" s="1203">
        <v>0</v>
      </c>
    </row>
    <row r="450" spans="1:19" hidden="1" outlineLevel="1">
      <c r="A450" s="1198">
        <v>412</v>
      </c>
      <c r="B450" s="1199" t="s">
        <v>1901</v>
      </c>
      <c r="C450" s="1211">
        <v>5</v>
      </c>
      <c r="D450" s="1212"/>
      <c r="E450" s="1212"/>
      <c r="F450" s="1212"/>
      <c r="G450" s="1212"/>
      <c r="H450" s="1212"/>
      <c r="I450" s="1211">
        <v>0</v>
      </c>
      <c r="J450" s="1202">
        <v>0</v>
      </c>
      <c r="K450" s="1203">
        <v>0</v>
      </c>
      <c r="L450" s="1203">
        <v>0</v>
      </c>
      <c r="M450" s="1203">
        <v>0</v>
      </c>
      <c r="N450" s="1203">
        <v>0</v>
      </c>
      <c r="O450" s="1203">
        <v>0</v>
      </c>
      <c r="P450" s="1203">
        <v>0</v>
      </c>
      <c r="Q450" s="1203">
        <v>0</v>
      </c>
      <c r="R450" s="1203">
        <v>0</v>
      </c>
      <c r="S450" s="1203">
        <v>0</v>
      </c>
    </row>
    <row r="451" spans="1:19" hidden="1" outlineLevel="1">
      <c r="A451" s="1198">
        <v>439154</v>
      </c>
      <c r="B451" s="1199" t="s">
        <v>1902</v>
      </c>
      <c r="C451" s="1211">
        <v>5</v>
      </c>
      <c r="D451" s="1212"/>
      <c r="E451" s="1212"/>
      <c r="F451" s="1212"/>
      <c r="G451" s="1212"/>
      <c r="H451" s="1212"/>
      <c r="I451" s="1211">
        <v>0</v>
      </c>
      <c r="J451" s="1202">
        <v>0</v>
      </c>
      <c r="K451" s="1203">
        <v>0</v>
      </c>
      <c r="L451" s="1203">
        <v>0</v>
      </c>
      <c r="M451" s="1203">
        <v>0</v>
      </c>
      <c r="N451" s="1203">
        <v>0</v>
      </c>
      <c r="O451" s="1203">
        <v>0</v>
      </c>
      <c r="P451" s="1203">
        <v>0</v>
      </c>
      <c r="Q451" s="1203">
        <v>0</v>
      </c>
      <c r="R451" s="1203">
        <v>0</v>
      </c>
      <c r="S451" s="1203">
        <v>0</v>
      </c>
    </row>
    <row r="452" spans="1:19" hidden="1" outlineLevel="1">
      <c r="A452" s="1198">
        <v>3645</v>
      </c>
      <c r="B452" s="1199" t="s">
        <v>1903</v>
      </c>
      <c r="C452" s="1211">
        <v>2</v>
      </c>
      <c r="D452" s="1212"/>
      <c r="E452" s="1212"/>
      <c r="F452" s="1212"/>
      <c r="G452" s="1212"/>
      <c r="H452" s="1212"/>
      <c r="I452" s="1211">
        <v>0</v>
      </c>
      <c r="J452" s="1211">
        <v>0</v>
      </c>
      <c r="K452" s="1212">
        <v>0</v>
      </c>
      <c r="L452" s="1212">
        <v>0</v>
      </c>
      <c r="M452" s="1212">
        <v>0</v>
      </c>
      <c r="N452" s="1212">
        <v>0</v>
      </c>
      <c r="O452" s="1212">
        <v>0</v>
      </c>
      <c r="P452" s="1212">
        <v>0</v>
      </c>
      <c r="Q452" s="1212">
        <v>0</v>
      </c>
      <c r="R452" s="1212">
        <v>0</v>
      </c>
      <c r="S452" s="1212">
        <v>0</v>
      </c>
    </row>
    <row r="453" spans="1:19" hidden="1" outlineLevel="1">
      <c r="A453" s="1198">
        <v>451820</v>
      </c>
      <c r="B453" s="1199" t="s">
        <v>1904</v>
      </c>
      <c r="C453" s="1211">
        <v>8</v>
      </c>
      <c r="D453" s="1212"/>
      <c r="E453" s="1212"/>
      <c r="F453" s="1212"/>
      <c r="G453" s="1212"/>
      <c r="H453" s="1212"/>
      <c r="I453" s="1211">
        <v>0</v>
      </c>
      <c r="J453" s="1202">
        <v>0</v>
      </c>
      <c r="K453" s="1203">
        <v>0</v>
      </c>
      <c r="L453" s="1203">
        <v>0</v>
      </c>
      <c r="M453" s="1203">
        <v>0</v>
      </c>
      <c r="N453" s="1203">
        <v>0</v>
      </c>
      <c r="O453" s="1203">
        <v>0</v>
      </c>
      <c r="P453" s="1203">
        <v>0</v>
      </c>
      <c r="Q453" s="1203">
        <v>0</v>
      </c>
      <c r="R453" s="1203">
        <v>0</v>
      </c>
      <c r="S453" s="1203">
        <v>0</v>
      </c>
    </row>
    <row r="454" spans="1:19" hidden="1" outlineLevel="1">
      <c r="A454" s="1198">
        <v>224776</v>
      </c>
      <c r="B454" s="1199" t="s">
        <v>1905</v>
      </c>
      <c r="C454" s="1211">
        <v>8</v>
      </c>
      <c r="D454" s="1212"/>
      <c r="E454" s="1212"/>
      <c r="F454" s="1212"/>
      <c r="G454" s="1212"/>
      <c r="H454" s="1212"/>
      <c r="I454" s="1211">
        <v>0</v>
      </c>
      <c r="J454" s="1202">
        <v>0</v>
      </c>
      <c r="K454" s="1203">
        <v>0</v>
      </c>
      <c r="L454" s="1203">
        <v>0</v>
      </c>
      <c r="M454" s="1203">
        <v>0</v>
      </c>
      <c r="N454" s="1203">
        <v>0</v>
      </c>
      <c r="O454" s="1203">
        <v>0</v>
      </c>
      <c r="P454" s="1203">
        <v>0</v>
      </c>
      <c r="Q454" s="1203">
        <v>0</v>
      </c>
      <c r="R454" s="1203">
        <v>0</v>
      </c>
      <c r="S454" s="1203">
        <v>0</v>
      </c>
    </row>
    <row r="455" spans="1:19" hidden="1" outlineLevel="1">
      <c r="A455" s="1198">
        <v>468015</v>
      </c>
      <c r="B455" s="1199" t="s">
        <v>1906</v>
      </c>
      <c r="C455" s="1211">
        <v>8</v>
      </c>
      <c r="D455" s="1212"/>
      <c r="E455" s="1212"/>
      <c r="F455" s="1212"/>
      <c r="G455" s="1212"/>
      <c r="H455" s="1212"/>
      <c r="I455" s="1211">
        <v>0</v>
      </c>
      <c r="J455" s="1202">
        <v>0</v>
      </c>
      <c r="K455" s="1203">
        <v>0</v>
      </c>
      <c r="L455" s="1203">
        <v>0</v>
      </c>
      <c r="M455" s="1203">
        <v>0</v>
      </c>
      <c r="N455" s="1203">
        <v>0</v>
      </c>
      <c r="O455" s="1203">
        <v>0</v>
      </c>
      <c r="P455" s="1203">
        <v>0</v>
      </c>
      <c r="Q455" s="1203">
        <v>0</v>
      </c>
      <c r="R455" s="1203">
        <v>0</v>
      </c>
      <c r="S455" s="1203">
        <v>0</v>
      </c>
    </row>
    <row r="456" spans="1:19" hidden="1" outlineLevel="1">
      <c r="A456" s="1198">
        <v>222938</v>
      </c>
      <c r="B456" s="1199" t="s">
        <v>1907</v>
      </c>
      <c r="C456" s="1211">
        <v>8</v>
      </c>
      <c r="D456" s="1212"/>
      <c r="E456" s="1212"/>
      <c r="F456" s="1212"/>
      <c r="G456" s="1212"/>
      <c r="H456" s="1212"/>
      <c r="I456" s="1211">
        <v>0</v>
      </c>
      <c r="J456" s="1202">
        <v>0</v>
      </c>
      <c r="K456" s="1203">
        <v>0</v>
      </c>
      <c r="L456" s="1203">
        <v>0</v>
      </c>
      <c r="M456" s="1203">
        <v>0</v>
      </c>
      <c r="N456" s="1203">
        <v>0</v>
      </c>
      <c r="O456" s="1203">
        <v>0</v>
      </c>
      <c r="P456" s="1203">
        <v>0</v>
      </c>
      <c r="Q456" s="1203">
        <v>0</v>
      </c>
      <c r="R456" s="1203">
        <v>0</v>
      </c>
      <c r="S456" s="1203">
        <v>0</v>
      </c>
    </row>
    <row r="457" spans="1:19" hidden="1" outlineLevel="1">
      <c r="A457" s="1198">
        <v>900050</v>
      </c>
      <c r="B457" s="1199" t="s">
        <v>1908</v>
      </c>
      <c r="C457" s="1211">
        <v>8</v>
      </c>
      <c r="D457" s="1212"/>
      <c r="E457" s="1212"/>
      <c r="F457" s="1212"/>
      <c r="G457" s="1212"/>
      <c r="H457" s="1212"/>
      <c r="I457" s="1211">
        <v>0</v>
      </c>
      <c r="J457" s="1202">
        <v>0</v>
      </c>
      <c r="K457" s="1203">
        <v>0</v>
      </c>
      <c r="L457" s="1203">
        <v>0</v>
      </c>
      <c r="M457" s="1203">
        <v>0</v>
      </c>
      <c r="N457" s="1203">
        <v>0</v>
      </c>
      <c r="O457" s="1203">
        <v>0</v>
      </c>
      <c r="P457" s="1203">
        <v>0</v>
      </c>
      <c r="Q457" s="1203">
        <v>0</v>
      </c>
      <c r="R457" s="1203">
        <v>0</v>
      </c>
      <c r="S457" s="1203">
        <v>0</v>
      </c>
    </row>
    <row r="458" spans="1:19" hidden="1" outlineLevel="1">
      <c r="A458" s="1198">
        <v>458982</v>
      </c>
      <c r="B458" s="1199" t="s">
        <v>1909</v>
      </c>
      <c r="C458" s="1211">
        <v>8</v>
      </c>
      <c r="D458" s="1212"/>
      <c r="E458" s="1212"/>
      <c r="F458" s="1212"/>
      <c r="G458" s="1212"/>
      <c r="H458" s="1212"/>
      <c r="I458" s="1211">
        <v>0</v>
      </c>
      <c r="J458" s="1202">
        <v>0</v>
      </c>
      <c r="K458" s="1203">
        <v>0</v>
      </c>
      <c r="L458" s="1203">
        <v>0</v>
      </c>
      <c r="M458" s="1203">
        <v>0</v>
      </c>
      <c r="N458" s="1203">
        <v>0</v>
      </c>
      <c r="O458" s="1203">
        <v>0</v>
      </c>
      <c r="P458" s="1203">
        <v>0</v>
      </c>
      <c r="Q458" s="1203">
        <v>0</v>
      </c>
      <c r="R458" s="1203">
        <v>0</v>
      </c>
      <c r="S458" s="1203">
        <v>0</v>
      </c>
    </row>
    <row r="459" spans="1:19" hidden="1" outlineLevel="1">
      <c r="A459" s="1198">
        <v>437635</v>
      </c>
      <c r="B459" s="1199" t="s">
        <v>1910</v>
      </c>
      <c r="C459" s="1211">
        <v>8</v>
      </c>
      <c r="D459" s="1212"/>
      <c r="E459" s="1212"/>
      <c r="F459" s="1212"/>
      <c r="G459" s="1212"/>
      <c r="H459" s="1212"/>
      <c r="I459" s="1211">
        <v>0</v>
      </c>
      <c r="J459" s="1202">
        <v>0</v>
      </c>
      <c r="K459" s="1203">
        <v>0</v>
      </c>
      <c r="L459" s="1203">
        <v>0</v>
      </c>
      <c r="M459" s="1203">
        <v>0</v>
      </c>
      <c r="N459" s="1203">
        <v>0</v>
      </c>
      <c r="O459" s="1203">
        <v>0</v>
      </c>
      <c r="P459" s="1203">
        <v>0</v>
      </c>
      <c r="Q459" s="1203">
        <v>0</v>
      </c>
      <c r="R459" s="1203">
        <v>0</v>
      </c>
      <c r="S459" s="1203">
        <v>0</v>
      </c>
    </row>
    <row r="460" spans="1:19" hidden="1" outlineLevel="1">
      <c r="A460" s="1198">
        <v>900063</v>
      </c>
      <c r="B460" s="1199" t="s">
        <v>1911</v>
      </c>
      <c r="C460" s="1211">
        <v>8</v>
      </c>
      <c r="D460" s="1212"/>
      <c r="E460" s="1212"/>
      <c r="F460" s="1212"/>
      <c r="G460" s="1212"/>
      <c r="H460" s="1212"/>
      <c r="I460" s="1211">
        <v>0</v>
      </c>
      <c r="J460" s="1202">
        <v>0</v>
      </c>
      <c r="K460" s="1203">
        <v>0</v>
      </c>
      <c r="L460" s="1203">
        <v>0</v>
      </c>
      <c r="M460" s="1203">
        <v>0</v>
      </c>
      <c r="N460" s="1203">
        <v>0</v>
      </c>
      <c r="O460" s="1203">
        <v>0</v>
      </c>
      <c r="P460" s="1203">
        <v>0</v>
      </c>
      <c r="Q460" s="1203">
        <v>0</v>
      </c>
      <c r="R460" s="1203">
        <v>0</v>
      </c>
      <c r="S460" s="1203">
        <v>0</v>
      </c>
    </row>
    <row r="461" spans="1:19" hidden="1" outlineLevel="1">
      <c r="A461" s="1198">
        <v>900064</v>
      </c>
      <c r="B461" s="1199" t="s">
        <v>1912</v>
      </c>
      <c r="C461" s="1211">
        <v>8</v>
      </c>
      <c r="D461" s="1212"/>
      <c r="E461" s="1212"/>
      <c r="F461" s="1212"/>
      <c r="G461" s="1212"/>
      <c r="H461" s="1212"/>
      <c r="I461" s="1211">
        <v>0</v>
      </c>
      <c r="J461" s="1202">
        <v>0</v>
      </c>
      <c r="K461" s="1203">
        <v>0</v>
      </c>
      <c r="L461" s="1203">
        <v>0</v>
      </c>
      <c r="M461" s="1203">
        <v>0</v>
      </c>
      <c r="N461" s="1203">
        <v>0</v>
      </c>
      <c r="O461" s="1203">
        <v>0</v>
      </c>
      <c r="P461" s="1203">
        <v>0</v>
      </c>
      <c r="Q461" s="1203">
        <v>0</v>
      </c>
      <c r="R461" s="1203">
        <v>0</v>
      </c>
      <c r="S461" s="1203">
        <v>0</v>
      </c>
    </row>
    <row r="462" spans="1:19" hidden="1" outlineLevel="1">
      <c r="A462" s="1198">
        <v>392257</v>
      </c>
      <c r="B462" s="1199" t="s">
        <v>1913</v>
      </c>
      <c r="C462" s="1211">
        <v>8</v>
      </c>
      <c r="D462" s="1212"/>
      <c r="E462" s="1212"/>
      <c r="F462" s="1212"/>
      <c r="G462" s="1212"/>
      <c r="H462" s="1212"/>
      <c r="I462" s="1211">
        <v>0</v>
      </c>
      <c r="J462" s="1202">
        <v>0</v>
      </c>
      <c r="K462" s="1203">
        <v>0</v>
      </c>
      <c r="L462" s="1203">
        <v>0</v>
      </c>
      <c r="M462" s="1203">
        <v>0</v>
      </c>
      <c r="N462" s="1203">
        <v>0</v>
      </c>
      <c r="O462" s="1203">
        <v>0</v>
      </c>
      <c r="P462" s="1203">
        <v>0</v>
      </c>
      <c r="Q462" s="1203">
        <v>0</v>
      </c>
      <c r="R462" s="1203">
        <v>0</v>
      </c>
      <c r="S462" s="1203">
        <v>0</v>
      </c>
    </row>
    <row r="463" spans="1:19" hidden="1" outlineLevel="1">
      <c r="A463" s="1198">
        <v>447591</v>
      </c>
      <c r="B463" s="1199" t="s">
        <v>1914</v>
      </c>
      <c r="C463" s="1211">
        <v>8</v>
      </c>
      <c r="D463" s="1212"/>
      <c r="E463" s="1212"/>
      <c r="F463" s="1212"/>
      <c r="G463" s="1212"/>
      <c r="H463" s="1212"/>
      <c r="I463" s="1211">
        <v>0</v>
      </c>
      <c r="J463" s="1202">
        <v>0</v>
      </c>
      <c r="K463" s="1203">
        <v>0</v>
      </c>
      <c r="L463" s="1203">
        <v>0</v>
      </c>
      <c r="M463" s="1203">
        <v>0</v>
      </c>
      <c r="N463" s="1203">
        <v>0</v>
      </c>
      <c r="O463" s="1203">
        <v>0</v>
      </c>
      <c r="P463" s="1203">
        <v>0</v>
      </c>
      <c r="Q463" s="1203">
        <v>0</v>
      </c>
      <c r="R463" s="1203">
        <v>0</v>
      </c>
      <c r="S463" s="1203">
        <v>0</v>
      </c>
    </row>
    <row r="464" spans="1:19" hidden="1" outlineLevel="1">
      <c r="A464" s="1198">
        <v>449250</v>
      </c>
      <c r="B464" s="1199" t="s">
        <v>1915</v>
      </c>
      <c r="C464" s="1211">
        <v>8</v>
      </c>
      <c r="D464" s="1212"/>
      <c r="E464" s="1212"/>
      <c r="F464" s="1212"/>
      <c r="G464" s="1212"/>
      <c r="H464" s="1212"/>
      <c r="I464" s="1211">
        <v>0</v>
      </c>
      <c r="J464" s="1202">
        <v>0</v>
      </c>
      <c r="K464" s="1203">
        <v>0</v>
      </c>
      <c r="L464" s="1203">
        <v>0</v>
      </c>
      <c r="M464" s="1203">
        <v>0</v>
      </c>
      <c r="N464" s="1203">
        <v>0</v>
      </c>
      <c r="O464" s="1203">
        <v>0</v>
      </c>
      <c r="P464" s="1203">
        <v>0</v>
      </c>
      <c r="Q464" s="1203">
        <v>0</v>
      </c>
      <c r="R464" s="1203">
        <v>0</v>
      </c>
      <c r="S464" s="1203">
        <v>0</v>
      </c>
    </row>
    <row r="465" spans="1:19" hidden="1" outlineLevel="1">
      <c r="A465" s="1198">
        <v>420352</v>
      </c>
      <c r="B465" s="1199" t="s">
        <v>1916</v>
      </c>
      <c r="C465" s="1211">
        <v>2</v>
      </c>
      <c r="D465" s="1212"/>
      <c r="E465" s="1212"/>
      <c r="F465" s="1212"/>
      <c r="G465" s="1212"/>
      <c r="H465" s="1212"/>
      <c r="I465" s="1211">
        <v>0</v>
      </c>
      <c r="J465" s="1211">
        <v>0</v>
      </c>
      <c r="K465" s="1212">
        <v>0</v>
      </c>
      <c r="L465" s="1212">
        <v>0</v>
      </c>
      <c r="M465" s="1212">
        <v>0</v>
      </c>
      <c r="N465" s="1212">
        <v>0</v>
      </c>
      <c r="O465" s="1212">
        <v>0</v>
      </c>
      <c r="P465" s="1212">
        <v>0</v>
      </c>
      <c r="Q465" s="1212">
        <v>0</v>
      </c>
      <c r="R465" s="1212">
        <v>0</v>
      </c>
      <c r="S465" s="1212">
        <v>0</v>
      </c>
    </row>
    <row r="466" spans="1:19" hidden="1" outlineLevel="1">
      <c r="A466" s="1198">
        <v>3655</v>
      </c>
      <c r="B466" s="1199" t="s">
        <v>1917</v>
      </c>
      <c r="C466" s="1211">
        <v>5</v>
      </c>
      <c r="D466" s="1212"/>
      <c r="E466" s="1212"/>
      <c r="F466" s="1212"/>
      <c r="G466" s="1212"/>
      <c r="H466" s="1212"/>
      <c r="I466" s="1211">
        <v>0</v>
      </c>
      <c r="J466" s="1202">
        <v>0</v>
      </c>
      <c r="K466" s="1203">
        <v>0</v>
      </c>
      <c r="L466" s="1203">
        <v>0</v>
      </c>
      <c r="M466" s="1203">
        <v>0</v>
      </c>
      <c r="N466" s="1203">
        <v>0</v>
      </c>
      <c r="O466" s="1203">
        <v>0</v>
      </c>
      <c r="P466" s="1203">
        <v>0</v>
      </c>
      <c r="Q466" s="1203">
        <v>0</v>
      </c>
      <c r="R466" s="1203">
        <v>0</v>
      </c>
      <c r="S466" s="1203">
        <v>0</v>
      </c>
    </row>
    <row r="467" spans="1:19" hidden="1" outlineLevel="1">
      <c r="A467" s="1198">
        <v>30</v>
      </c>
      <c r="B467" s="1199" t="s">
        <v>1918</v>
      </c>
      <c r="C467" s="1211">
        <v>5</v>
      </c>
      <c r="D467" s="1212"/>
      <c r="E467" s="1212"/>
      <c r="F467" s="1212"/>
      <c r="G467" s="1212"/>
      <c r="H467" s="1212"/>
      <c r="I467" s="1211">
        <v>0</v>
      </c>
      <c r="J467" s="1202">
        <v>0</v>
      </c>
      <c r="K467" s="1203">
        <v>0</v>
      </c>
      <c r="L467" s="1203">
        <v>0</v>
      </c>
      <c r="M467" s="1203">
        <v>0</v>
      </c>
      <c r="N467" s="1203">
        <v>0</v>
      </c>
      <c r="O467" s="1203">
        <v>0</v>
      </c>
      <c r="P467" s="1203">
        <v>0</v>
      </c>
      <c r="Q467" s="1203">
        <v>0</v>
      </c>
      <c r="R467" s="1203">
        <v>0</v>
      </c>
      <c r="S467" s="1203">
        <v>0</v>
      </c>
    </row>
    <row r="468" spans="1:19" hidden="1" outlineLevel="1">
      <c r="A468" s="1198">
        <v>1070</v>
      </c>
      <c r="B468" s="1199" t="s">
        <v>1919</v>
      </c>
      <c r="C468" s="1211">
        <v>8</v>
      </c>
      <c r="D468" s="1212"/>
      <c r="E468" s="1212"/>
      <c r="F468" s="1212"/>
      <c r="G468" s="1212"/>
      <c r="H468" s="1212"/>
      <c r="I468" s="1211">
        <v>0</v>
      </c>
      <c r="J468" s="1202">
        <v>0</v>
      </c>
      <c r="K468" s="1203">
        <v>0</v>
      </c>
      <c r="L468" s="1203">
        <v>0</v>
      </c>
      <c r="M468" s="1203">
        <v>0</v>
      </c>
      <c r="N468" s="1203">
        <v>0</v>
      </c>
      <c r="O468" s="1203">
        <v>0</v>
      </c>
      <c r="P468" s="1203">
        <v>0</v>
      </c>
      <c r="Q468" s="1203">
        <v>0</v>
      </c>
      <c r="R468" s="1203">
        <v>0</v>
      </c>
      <c r="S468" s="1203">
        <v>0</v>
      </c>
    </row>
    <row r="469" spans="1:19" hidden="1" outlineLevel="1">
      <c r="A469" s="1198">
        <v>3647</v>
      </c>
      <c r="B469" s="1199" t="s">
        <v>1920</v>
      </c>
      <c r="C469" s="1211">
        <v>2</v>
      </c>
      <c r="D469" s="1212"/>
      <c r="E469" s="1212"/>
      <c r="F469" s="1212"/>
      <c r="G469" s="1212"/>
      <c r="H469" s="1212"/>
      <c r="I469" s="1211">
        <v>0</v>
      </c>
      <c r="J469" s="1211">
        <v>0</v>
      </c>
      <c r="K469" s="1212">
        <v>0</v>
      </c>
      <c r="L469" s="1212">
        <v>0</v>
      </c>
      <c r="M469" s="1212">
        <v>0</v>
      </c>
      <c r="N469" s="1212">
        <v>0</v>
      </c>
      <c r="O469" s="1212">
        <v>0</v>
      </c>
      <c r="P469" s="1212">
        <v>0</v>
      </c>
      <c r="Q469" s="1212">
        <v>0</v>
      </c>
      <c r="R469" s="1212">
        <v>0</v>
      </c>
      <c r="S469" s="1212">
        <v>0</v>
      </c>
    </row>
    <row r="470" spans="1:19" hidden="1" outlineLevel="1">
      <c r="A470" s="1198">
        <v>1047</v>
      </c>
      <c r="B470" s="1199" t="s">
        <v>1921</v>
      </c>
      <c r="C470" s="1211">
        <v>8</v>
      </c>
      <c r="D470" s="1212"/>
      <c r="E470" s="1212"/>
      <c r="F470" s="1212"/>
      <c r="G470" s="1212"/>
      <c r="H470" s="1212"/>
      <c r="I470" s="1211">
        <v>0</v>
      </c>
      <c r="J470" s="1202">
        <v>0</v>
      </c>
      <c r="K470" s="1203">
        <v>0</v>
      </c>
      <c r="L470" s="1203">
        <v>0</v>
      </c>
      <c r="M470" s="1203">
        <v>0</v>
      </c>
      <c r="N470" s="1203">
        <v>0</v>
      </c>
      <c r="O470" s="1203">
        <v>0</v>
      </c>
      <c r="P470" s="1203">
        <v>0</v>
      </c>
      <c r="Q470" s="1203">
        <v>0</v>
      </c>
      <c r="R470" s="1203">
        <v>0</v>
      </c>
      <c r="S470" s="1203">
        <v>0</v>
      </c>
    </row>
    <row r="471" spans="1:19" hidden="1" outlineLevel="1">
      <c r="A471" s="1198">
        <v>900051</v>
      </c>
      <c r="B471" s="1199" t="s">
        <v>1922</v>
      </c>
      <c r="C471" s="1211">
        <v>8</v>
      </c>
      <c r="D471" s="1212"/>
      <c r="E471" s="1212"/>
      <c r="F471" s="1212"/>
      <c r="G471" s="1212"/>
      <c r="H471" s="1212"/>
      <c r="I471" s="1211">
        <v>0</v>
      </c>
      <c r="J471" s="1202">
        <v>0</v>
      </c>
      <c r="K471" s="1203">
        <v>0</v>
      </c>
      <c r="L471" s="1203">
        <v>0</v>
      </c>
      <c r="M471" s="1203">
        <v>0</v>
      </c>
      <c r="N471" s="1203">
        <v>0</v>
      </c>
      <c r="O471" s="1203">
        <v>0</v>
      </c>
      <c r="P471" s="1203">
        <v>0</v>
      </c>
      <c r="Q471" s="1203">
        <v>0</v>
      </c>
      <c r="R471" s="1203">
        <v>0</v>
      </c>
      <c r="S471" s="1203">
        <v>0</v>
      </c>
    </row>
    <row r="472" spans="1:19" hidden="1" outlineLevel="1">
      <c r="A472" s="1198">
        <v>900052</v>
      </c>
      <c r="B472" s="1199" t="s">
        <v>1923</v>
      </c>
      <c r="C472" s="1211">
        <v>8</v>
      </c>
      <c r="D472" s="1212"/>
      <c r="E472" s="1212"/>
      <c r="F472" s="1212"/>
      <c r="G472" s="1212"/>
      <c r="H472" s="1212"/>
      <c r="I472" s="1211">
        <v>0</v>
      </c>
      <c r="J472" s="1202">
        <v>0</v>
      </c>
      <c r="K472" s="1203">
        <v>0</v>
      </c>
      <c r="L472" s="1203">
        <v>0</v>
      </c>
      <c r="M472" s="1203">
        <v>0</v>
      </c>
      <c r="N472" s="1203">
        <v>0</v>
      </c>
      <c r="O472" s="1203">
        <v>0</v>
      </c>
      <c r="P472" s="1203">
        <v>0</v>
      </c>
      <c r="Q472" s="1203">
        <v>0</v>
      </c>
      <c r="R472" s="1203">
        <v>0</v>
      </c>
      <c r="S472" s="1203">
        <v>0</v>
      </c>
    </row>
    <row r="473" spans="1:19" hidden="1" outlineLevel="1">
      <c r="A473" s="1198">
        <v>420</v>
      </c>
      <c r="B473" s="1199" t="s">
        <v>1924</v>
      </c>
      <c r="C473" s="1211">
        <v>5</v>
      </c>
      <c r="D473" s="1212"/>
      <c r="E473" s="1212"/>
      <c r="F473" s="1212"/>
      <c r="G473" s="1212"/>
      <c r="H473" s="1212"/>
      <c r="I473" s="1211">
        <v>0</v>
      </c>
      <c r="J473" s="1202">
        <v>0</v>
      </c>
      <c r="K473" s="1203">
        <v>0</v>
      </c>
      <c r="L473" s="1203">
        <v>0</v>
      </c>
      <c r="M473" s="1203">
        <v>0</v>
      </c>
      <c r="N473" s="1203">
        <v>0</v>
      </c>
      <c r="O473" s="1203">
        <v>0</v>
      </c>
      <c r="P473" s="1203">
        <v>0</v>
      </c>
      <c r="Q473" s="1203">
        <v>0</v>
      </c>
      <c r="R473" s="1203">
        <v>0</v>
      </c>
      <c r="S473" s="1203">
        <v>0</v>
      </c>
    </row>
    <row r="474" spans="1:19" hidden="1" outlineLevel="1">
      <c r="A474" s="1198">
        <v>418</v>
      </c>
      <c r="B474" s="1199" t="s">
        <v>1925</v>
      </c>
      <c r="C474" s="1211">
        <v>5</v>
      </c>
      <c r="D474" s="1212"/>
      <c r="E474" s="1212"/>
      <c r="F474" s="1212"/>
      <c r="G474" s="1212"/>
      <c r="H474" s="1212"/>
      <c r="I474" s="1211">
        <v>0</v>
      </c>
      <c r="J474" s="1202">
        <v>0</v>
      </c>
      <c r="K474" s="1203">
        <v>0</v>
      </c>
      <c r="L474" s="1203">
        <v>0</v>
      </c>
      <c r="M474" s="1203">
        <v>0</v>
      </c>
      <c r="N474" s="1203">
        <v>0</v>
      </c>
      <c r="O474" s="1203">
        <v>0</v>
      </c>
      <c r="P474" s="1203">
        <v>0</v>
      </c>
      <c r="Q474" s="1203">
        <v>0</v>
      </c>
      <c r="R474" s="1203">
        <v>0</v>
      </c>
      <c r="S474" s="1203">
        <v>0</v>
      </c>
    </row>
    <row r="475" spans="1:19" hidden="1" outlineLevel="1">
      <c r="A475" s="1198">
        <v>210674</v>
      </c>
      <c r="B475" s="1199" t="s">
        <v>1926</v>
      </c>
      <c r="C475" s="1211">
        <v>5</v>
      </c>
      <c r="D475" s="1212"/>
      <c r="E475" s="1212"/>
      <c r="F475" s="1212"/>
      <c r="G475" s="1212"/>
      <c r="H475" s="1212"/>
      <c r="I475" s="1211">
        <v>0</v>
      </c>
      <c r="J475" s="1202">
        <v>0</v>
      </c>
      <c r="K475" s="1203">
        <v>0</v>
      </c>
      <c r="L475" s="1203">
        <v>0</v>
      </c>
      <c r="M475" s="1203">
        <v>0</v>
      </c>
      <c r="N475" s="1203">
        <v>0</v>
      </c>
      <c r="O475" s="1203">
        <v>0</v>
      </c>
      <c r="P475" s="1203">
        <v>0</v>
      </c>
      <c r="Q475" s="1203">
        <v>0</v>
      </c>
      <c r="R475" s="1203">
        <v>0</v>
      </c>
      <c r="S475" s="1203">
        <v>0</v>
      </c>
    </row>
    <row r="476" spans="1:19" hidden="1" outlineLevel="1">
      <c r="A476" s="1198">
        <v>866</v>
      </c>
      <c r="B476" s="1199" t="s">
        <v>1927</v>
      </c>
      <c r="C476" s="1211">
        <v>5</v>
      </c>
      <c r="D476" s="1212"/>
      <c r="E476" s="1212"/>
      <c r="F476" s="1212"/>
      <c r="G476" s="1212"/>
      <c r="H476" s="1212"/>
      <c r="I476" s="1211">
        <v>0</v>
      </c>
      <c r="J476" s="1202">
        <v>0</v>
      </c>
      <c r="K476" s="1203">
        <v>0</v>
      </c>
      <c r="L476" s="1203">
        <v>0</v>
      </c>
      <c r="M476" s="1203">
        <v>0</v>
      </c>
      <c r="N476" s="1203">
        <v>0</v>
      </c>
      <c r="O476" s="1203">
        <v>0</v>
      </c>
      <c r="P476" s="1203">
        <v>0</v>
      </c>
      <c r="Q476" s="1203">
        <v>0</v>
      </c>
      <c r="R476" s="1203">
        <v>0</v>
      </c>
      <c r="S476" s="1203">
        <v>0</v>
      </c>
    </row>
    <row r="477" spans="1:19" hidden="1" outlineLevel="1">
      <c r="A477" s="1198">
        <v>2029</v>
      </c>
      <c r="B477" s="1199" t="s">
        <v>1928</v>
      </c>
      <c r="C477" s="1211">
        <v>8</v>
      </c>
      <c r="D477" s="1212"/>
      <c r="E477" s="1212"/>
      <c r="F477" s="1212"/>
      <c r="G477" s="1212"/>
      <c r="H477" s="1212"/>
      <c r="I477" s="1211">
        <v>0</v>
      </c>
      <c r="J477" s="1202">
        <v>0</v>
      </c>
      <c r="K477" s="1203">
        <v>0</v>
      </c>
      <c r="L477" s="1203">
        <v>0</v>
      </c>
      <c r="M477" s="1203">
        <v>0</v>
      </c>
      <c r="N477" s="1203">
        <v>0</v>
      </c>
      <c r="O477" s="1203">
        <v>0</v>
      </c>
      <c r="P477" s="1203">
        <v>0</v>
      </c>
      <c r="Q477" s="1203">
        <v>0</v>
      </c>
      <c r="R477" s="1203">
        <v>0</v>
      </c>
      <c r="S477" s="1203">
        <v>0</v>
      </c>
    </row>
    <row r="478" spans="1:19" hidden="1" outlineLevel="1">
      <c r="A478" s="1198">
        <v>900065</v>
      </c>
      <c r="B478" s="1199" t="s">
        <v>1929</v>
      </c>
      <c r="C478" s="1211">
        <v>8</v>
      </c>
      <c r="D478" s="1212"/>
      <c r="E478" s="1212"/>
      <c r="F478" s="1212"/>
      <c r="G478" s="1212"/>
      <c r="H478" s="1212"/>
      <c r="I478" s="1211">
        <v>0</v>
      </c>
      <c r="J478" s="1202">
        <v>0</v>
      </c>
      <c r="K478" s="1203">
        <v>0</v>
      </c>
      <c r="L478" s="1203">
        <v>0</v>
      </c>
      <c r="M478" s="1203">
        <v>0</v>
      </c>
      <c r="N478" s="1203">
        <v>0</v>
      </c>
      <c r="O478" s="1203">
        <v>0</v>
      </c>
      <c r="P478" s="1203">
        <v>0</v>
      </c>
      <c r="Q478" s="1203">
        <v>0</v>
      </c>
      <c r="R478" s="1203">
        <v>0</v>
      </c>
      <c r="S478" s="1203">
        <v>0</v>
      </c>
    </row>
    <row r="479" spans="1:19" hidden="1" outlineLevel="1">
      <c r="A479" s="1198">
        <v>555</v>
      </c>
      <c r="B479" s="1199" t="s">
        <v>1930</v>
      </c>
      <c r="C479" s="1211">
        <v>5</v>
      </c>
      <c r="D479" s="1212"/>
      <c r="E479" s="1212"/>
      <c r="F479" s="1212"/>
      <c r="G479" s="1212"/>
      <c r="H479" s="1212"/>
      <c r="I479" s="1211">
        <v>0</v>
      </c>
      <c r="J479" s="1202">
        <v>0</v>
      </c>
      <c r="K479" s="1203">
        <v>0</v>
      </c>
      <c r="L479" s="1203">
        <v>0</v>
      </c>
      <c r="M479" s="1203">
        <v>0</v>
      </c>
      <c r="N479" s="1203">
        <v>0</v>
      </c>
      <c r="O479" s="1203">
        <v>0</v>
      </c>
      <c r="P479" s="1203">
        <v>0</v>
      </c>
      <c r="Q479" s="1203">
        <v>0</v>
      </c>
      <c r="R479" s="1203">
        <v>0</v>
      </c>
      <c r="S479" s="1203">
        <v>0</v>
      </c>
    </row>
    <row r="480" spans="1:19" hidden="1" outlineLevel="1">
      <c r="A480" s="1198">
        <v>712</v>
      </c>
      <c r="B480" s="1199" t="s">
        <v>1931</v>
      </c>
      <c r="C480" s="1211">
        <v>5</v>
      </c>
      <c r="D480" s="1212"/>
      <c r="E480" s="1212"/>
      <c r="F480" s="1212"/>
      <c r="G480" s="1212"/>
      <c r="H480" s="1212"/>
      <c r="I480" s="1211">
        <v>0</v>
      </c>
      <c r="J480" s="1202">
        <v>0</v>
      </c>
      <c r="K480" s="1203">
        <v>0</v>
      </c>
      <c r="L480" s="1203">
        <v>0</v>
      </c>
      <c r="M480" s="1203">
        <v>0</v>
      </c>
      <c r="N480" s="1203">
        <v>0</v>
      </c>
      <c r="O480" s="1203">
        <v>0</v>
      </c>
      <c r="P480" s="1203">
        <v>0</v>
      </c>
      <c r="Q480" s="1203">
        <v>0</v>
      </c>
      <c r="R480" s="1203">
        <v>0</v>
      </c>
      <c r="S480" s="1203">
        <v>0</v>
      </c>
    </row>
    <row r="481" spans="1:19" hidden="1" outlineLevel="1">
      <c r="A481" s="1198">
        <v>716</v>
      </c>
      <c r="B481" s="1199" t="s">
        <v>1932</v>
      </c>
      <c r="C481" s="1211">
        <v>5</v>
      </c>
      <c r="D481" s="1212"/>
      <c r="E481" s="1212"/>
      <c r="F481" s="1212"/>
      <c r="G481" s="1212"/>
      <c r="H481" s="1212"/>
      <c r="I481" s="1211">
        <v>0</v>
      </c>
      <c r="J481" s="1202">
        <v>0</v>
      </c>
      <c r="K481" s="1203">
        <v>0</v>
      </c>
      <c r="L481" s="1203">
        <v>0</v>
      </c>
      <c r="M481" s="1203">
        <v>0</v>
      </c>
      <c r="N481" s="1203">
        <v>0</v>
      </c>
      <c r="O481" s="1203">
        <v>0</v>
      </c>
      <c r="P481" s="1203">
        <v>0</v>
      </c>
      <c r="Q481" s="1203">
        <v>0</v>
      </c>
      <c r="R481" s="1203">
        <v>0</v>
      </c>
      <c r="S481" s="1203">
        <v>0</v>
      </c>
    </row>
    <row r="482" spans="1:19" hidden="1" outlineLevel="1">
      <c r="A482" s="1198">
        <v>576</v>
      </c>
      <c r="B482" s="1199" t="s">
        <v>1933</v>
      </c>
      <c r="C482" s="1211">
        <v>5</v>
      </c>
      <c r="D482" s="1212"/>
      <c r="E482" s="1212"/>
      <c r="F482" s="1212"/>
      <c r="G482" s="1212"/>
      <c r="H482" s="1212"/>
      <c r="I482" s="1211">
        <v>0</v>
      </c>
      <c r="J482" s="1202">
        <v>0</v>
      </c>
      <c r="K482" s="1203">
        <v>0</v>
      </c>
      <c r="L482" s="1203">
        <v>0</v>
      </c>
      <c r="M482" s="1203">
        <v>0</v>
      </c>
      <c r="N482" s="1203">
        <v>0</v>
      </c>
      <c r="O482" s="1203">
        <v>0</v>
      </c>
      <c r="P482" s="1203">
        <v>0</v>
      </c>
      <c r="Q482" s="1203">
        <v>0</v>
      </c>
      <c r="R482" s="1203">
        <v>0</v>
      </c>
      <c r="S482" s="1203">
        <v>0</v>
      </c>
    </row>
    <row r="483" spans="1:19" hidden="1" outlineLevel="1">
      <c r="A483" s="1198">
        <v>31795</v>
      </c>
      <c r="B483" s="1199" t="s">
        <v>1934</v>
      </c>
      <c r="C483" s="1211">
        <v>8</v>
      </c>
      <c r="D483" s="1212"/>
      <c r="E483" s="1212"/>
      <c r="F483" s="1212"/>
      <c r="G483" s="1212"/>
      <c r="H483" s="1212"/>
      <c r="I483" s="1211">
        <v>0</v>
      </c>
      <c r="J483" s="1202">
        <v>0</v>
      </c>
      <c r="K483" s="1203">
        <v>0</v>
      </c>
      <c r="L483" s="1203">
        <v>0</v>
      </c>
      <c r="M483" s="1203">
        <v>0</v>
      </c>
      <c r="N483" s="1203">
        <v>0</v>
      </c>
      <c r="O483" s="1203">
        <v>0</v>
      </c>
      <c r="P483" s="1203">
        <v>0</v>
      </c>
      <c r="Q483" s="1203">
        <v>0</v>
      </c>
      <c r="R483" s="1203">
        <v>0</v>
      </c>
      <c r="S483" s="1203">
        <v>0</v>
      </c>
    </row>
    <row r="484" spans="1:19" hidden="1" outlineLevel="1">
      <c r="A484" s="1198">
        <v>707</v>
      </c>
      <c r="B484" s="1199" t="s">
        <v>1935</v>
      </c>
      <c r="C484" s="1211">
        <v>5</v>
      </c>
      <c r="D484" s="1212"/>
      <c r="E484" s="1212"/>
      <c r="F484" s="1212"/>
      <c r="G484" s="1212"/>
      <c r="H484" s="1212"/>
      <c r="I484" s="1211">
        <v>0</v>
      </c>
      <c r="J484" s="1202">
        <v>0</v>
      </c>
      <c r="K484" s="1203">
        <v>0</v>
      </c>
      <c r="L484" s="1203">
        <v>0</v>
      </c>
      <c r="M484" s="1203">
        <v>0</v>
      </c>
      <c r="N484" s="1203">
        <v>0</v>
      </c>
      <c r="O484" s="1203">
        <v>0</v>
      </c>
      <c r="P484" s="1203">
        <v>0</v>
      </c>
      <c r="Q484" s="1203">
        <v>0</v>
      </c>
      <c r="R484" s="1203">
        <v>0</v>
      </c>
      <c r="S484" s="1203">
        <v>0</v>
      </c>
    </row>
    <row r="485" spans="1:19" hidden="1" outlineLevel="1">
      <c r="A485" s="1198">
        <v>439127</v>
      </c>
      <c r="B485" s="1199" t="s">
        <v>1936</v>
      </c>
      <c r="C485" s="1211">
        <v>8</v>
      </c>
      <c r="D485" s="1212"/>
      <c r="E485" s="1212"/>
      <c r="F485" s="1212"/>
      <c r="G485" s="1212"/>
      <c r="H485" s="1212"/>
      <c r="I485" s="1211">
        <v>0</v>
      </c>
      <c r="J485" s="1202">
        <v>0</v>
      </c>
      <c r="K485" s="1203">
        <v>0</v>
      </c>
      <c r="L485" s="1203">
        <v>0</v>
      </c>
      <c r="M485" s="1203">
        <v>0</v>
      </c>
      <c r="N485" s="1203">
        <v>0</v>
      </c>
      <c r="O485" s="1203">
        <v>0</v>
      </c>
      <c r="P485" s="1203">
        <v>0</v>
      </c>
      <c r="Q485" s="1203">
        <v>0</v>
      </c>
      <c r="R485" s="1203">
        <v>0</v>
      </c>
      <c r="S485" s="1203">
        <v>0</v>
      </c>
    </row>
    <row r="486" spans="1:19" hidden="1" outlineLevel="1">
      <c r="A486" s="1198">
        <v>443605</v>
      </c>
      <c r="B486" s="1199" t="s">
        <v>1937</v>
      </c>
      <c r="C486" s="1211">
        <v>8</v>
      </c>
      <c r="D486" s="1212"/>
      <c r="E486" s="1212"/>
      <c r="F486" s="1212"/>
      <c r="G486" s="1212"/>
      <c r="H486" s="1212"/>
      <c r="I486" s="1211">
        <v>0</v>
      </c>
      <c r="J486" s="1202">
        <v>0</v>
      </c>
      <c r="K486" s="1203">
        <v>0</v>
      </c>
      <c r="L486" s="1203">
        <v>0</v>
      </c>
      <c r="M486" s="1203">
        <v>0</v>
      </c>
      <c r="N486" s="1203">
        <v>0</v>
      </c>
      <c r="O486" s="1203">
        <v>0</v>
      </c>
      <c r="P486" s="1203">
        <v>0</v>
      </c>
      <c r="Q486" s="1203">
        <v>0</v>
      </c>
      <c r="R486" s="1203">
        <v>0</v>
      </c>
      <c r="S486" s="1203">
        <v>0</v>
      </c>
    </row>
    <row r="487" spans="1:19" hidden="1" outlineLevel="1">
      <c r="A487" s="1198">
        <v>229036</v>
      </c>
      <c r="B487" s="1199" t="s">
        <v>1938</v>
      </c>
      <c r="C487" s="1211">
        <v>8</v>
      </c>
      <c r="D487" s="1212"/>
      <c r="E487" s="1212"/>
      <c r="F487" s="1212"/>
      <c r="G487" s="1212"/>
      <c r="H487" s="1212"/>
      <c r="I487" s="1211">
        <v>0</v>
      </c>
      <c r="J487" s="1202">
        <v>0</v>
      </c>
      <c r="K487" s="1203">
        <v>0</v>
      </c>
      <c r="L487" s="1203">
        <v>0</v>
      </c>
      <c r="M487" s="1203">
        <v>0</v>
      </c>
      <c r="N487" s="1203">
        <v>0</v>
      </c>
      <c r="O487" s="1203">
        <v>0</v>
      </c>
      <c r="P487" s="1203">
        <v>0</v>
      </c>
      <c r="Q487" s="1203">
        <v>0</v>
      </c>
      <c r="R487" s="1203">
        <v>0</v>
      </c>
      <c r="S487" s="1203">
        <v>0</v>
      </c>
    </row>
    <row r="488" spans="1:19" hidden="1" outlineLevel="1">
      <c r="A488" s="1198">
        <v>382054</v>
      </c>
      <c r="B488" s="1199" t="s">
        <v>1939</v>
      </c>
      <c r="C488" s="1211">
        <v>8</v>
      </c>
      <c r="D488" s="1212"/>
      <c r="E488" s="1212"/>
      <c r="F488" s="1212"/>
      <c r="G488" s="1212"/>
      <c r="H488" s="1212"/>
      <c r="I488" s="1211">
        <v>0</v>
      </c>
      <c r="J488" s="1202">
        <v>0</v>
      </c>
      <c r="K488" s="1203">
        <v>0</v>
      </c>
      <c r="L488" s="1203">
        <v>0</v>
      </c>
      <c r="M488" s="1203">
        <v>0</v>
      </c>
      <c r="N488" s="1203">
        <v>0</v>
      </c>
      <c r="O488" s="1203">
        <v>0</v>
      </c>
      <c r="P488" s="1203">
        <v>0</v>
      </c>
      <c r="Q488" s="1203">
        <v>0</v>
      </c>
      <c r="R488" s="1203">
        <v>0</v>
      </c>
      <c r="S488" s="1203">
        <v>0</v>
      </c>
    </row>
    <row r="489" spans="1:19" hidden="1" outlineLevel="1">
      <c r="A489" s="1198">
        <v>413</v>
      </c>
      <c r="B489" s="1199" t="s">
        <v>1940</v>
      </c>
      <c r="C489" s="1211">
        <v>5</v>
      </c>
      <c r="D489" s="1212"/>
      <c r="E489" s="1212"/>
      <c r="F489" s="1212"/>
      <c r="G489" s="1212"/>
      <c r="H489" s="1212"/>
      <c r="I489" s="1211">
        <v>0</v>
      </c>
      <c r="J489" s="1202">
        <v>0</v>
      </c>
      <c r="K489" s="1203">
        <v>0</v>
      </c>
      <c r="L489" s="1203">
        <v>0</v>
      </c>
      <c r="M489" s="1203">
        <v>0</v>
      </c>
      <c r="N489" s="1203">
        <v>0</v>
      </c>
      <c r="O489" s="1203">
        <v>0</v>
      </c>
      <c r="P489" s="1203">
        <v>0</v>
      </c>
      <c r="Q489" s="1203">
        <v>0</v>
      </c>
      <c r="R489" s="1203">
        <v>0</v>
      </c>
      <c r="S489" s="1203">
        <v>0</v>
      </c>
    </row>
    <row r="490" spans="1:19" hidden="1" outlineLevel="1">
      <c r="A490" s="1198">
        <v>416</v>
      </c>
      <c r="B490" s="1199" t="s">
        <v>1941</v>
      </c>
      <c r="C490" s="1211">
        <v>5</v>
      </c>
      <c r="D490" s="1212"/>
      <c r="E490" s="1212"/>
      <c r="F490" s="1212"/>
      <c r="G490" s="1212"/>
      <c r="H490" s="1212"/>
      <c r="I490" s="1211">
        <v>0</v>
      </c>
      <c r="J490" s="1202">
        <v>0</v>
      </c>
      <c r="K490" s="1203">
        <v>0</v>
      </c>
      <c r="L490" s="1203">
        <v>0</v>
      </c>
      <c r="M490" s="1203">
        <v>0</v>
      </c>
      <c r="N490" s="1203">
        <v>0</v>
      </c>
      <c r="O490" s="1203">
        <v>0</v>
      </c>
      <c r="P490" s="1203">
        <v>0</v>
      </c>
      <c r="Q490" s="1203">
        <v>0</v>
      </c>
      <c r="R490" s="1203">
        <v>0</v>
      </c>
      <c r="S490" s="1203">
        <v>0</v>
      </c>
    </row>
    <row r="491" spans="1:19" hidden="1" outlineLevel="1">
      <c r="A491" s="1198">
        <v>415</v>
      </c>
      <c r="B491" s="1199" t="s">
        <v>1942</v>
      </c>
      <c r="C491" s="1211">
        <v>5</v>
      </c>
      <c r="D491" s="1212"/>
      <c r="E491" s="1212"/>
      <c r="F491" s="1212"/>
      <c r="G491" s="1212"/>
      <c r="H491" s="1212"/>
      <c r="I491" s="1211">
        <v>0</v>
      </c>
      <c r="J491" s="1202">
        <v>0</v>
      </c>
      <c r="K491" s="1203">
        <v>0</v>
      </c>
      <c r="L491" s="1203">
        <v>0</v>
      </c>
      <c r="M491" s="1203">
        <v>0</v>
      </c>
      <c r="N491" s="1203">
        <v>0</v>
      </c>
      <c r="O491" s="1203">
        <v>0</v>
      </c>
      <c r="P491" s="1203">
        <v>0</v>
      </c>
      <c r="Q491" s="1203">
        <v>0</v>
      </c>
      <c r="R491" s="1203">
        <v>0</v>
      </c>
      <c r="S491" s="1203">
        <v>0</v>
      </c>
    </row>
    <row r="492" spans="1:19" hidden="1" outlineLevel="1">
      <c r="A492" s="1198">
        <v>861</v>
      </c>
      <c r="B492" s="1199" t="s">
        <v>1943</v>
      </c>
      <c r="C492" s="1211">
        <v>5</v>
      </c>
      <c r="D492" s="1212"/>
      <c r="E492" s="1212"/>
      <c r="F492" s="1212"/>
      <c r="G492" s="1212"/>
      <c r="H492" s="1212"/>
      <c r="I492" s="1211">
        <v>0</v>
      </c>
      <c r="J492" s="1202">
        <v>0</v>
      </c>
      <c r="K492" s="1203">
        <v>0</v>
      </c>
      <c r="L492" s="1203">
        <v>0</v>
      </c>
      <c r="M492" s="1203">
        <v>0</v>
      </c>
      <c r="N492" s="1203">
        <v>0</v>
      </c>
      <c r="O492" s="1203">
        <v>0</v>
      </c>
      <c r="P492" s="1203">
        <v>0</v>
      </c>
      <c r="Q492" s="1203">
        <v>0</v>
      </c>
      <c r="R492" s="1203">
        <v>0</v>
      </c>
      <c r="S492" s="1203">
        <v>0</v>
      </c>
    </row>
    <row r="493" spans="1:19" hidden="1" outlineLevel="1">
      <c r="A493" s="1198">
        <v>860</v>
      </c>
      <c r="B493" s="1199" t="s">
        <v>1944</v>
      </c>
      <c r="C493" s="1211">
        <v>5</v>
      </c>
      <c r="D493" s="1212"/>
      <c r="E493" s="1212"/>
      <c r="F493" s="1212"/>
      <c r="G493" s="1212"/>
      <c r="H493" s="1212"/>
      <c r="I493" s="1211">
        <v>0</v>
      </c>
      <c r="J493" s="1202">
        <v>0</v>
      </c>
      <c r="K493" s="1203">
        <v>0</v>
      </c>
      <c r="L493" s="1203">
        <v>0</v>
      </c>
      <c r="M493" s="1203">
        <v>0</v>
      </c>
      <c r="N493" s="1203">
        <v>0</v>
      </c>
      <c r="O493" s="1203">
        <v>0</v>
      </c>
      <c r="P493" s="1203">
        <v>0</v>
      </c>
      <c r="Q493" s="1203">
        <v>0</v>
      </c>
      <c r="R493" s="1203">
        <v>0</v>
      </c>
      <c r="S493" s="1203">
        <v>0</v>
      </c>
    </row>
    <row r="494" spans="1:19" hidden="1" outlineLevel="1">
      <c r="A494" s="1198">
        <v>862</v>
      </c>
      <c r="B494" s="1199" t="s">
        <v>1945</v>
      </c>
      <c r="C494" s="1211">
        <v>5</v>
      </c>
      <c r="D494" s="1212"/>
      <c r="E494" s="1212"/>
      <c r="F494" s="1212"/>
      <c r="G494" s="1212"/>
      <c r="H494" s="1212"/>
      <c r="I494" s="1211">
        <v>0</v>
      </c>
      <c r="J494" s="1202">
        <v>0</v>
      </c>
      <c r="K494" s="1203">
        <v>0</v>
      </c>
      <c r="L494" s="1203">
        <v>0</v>
      </c>
      <c r="M494" s="1203">
        <v>0</v>
      </c>
      <c r="N494" s="1203">
        <v>0</v>
      </c>
      <c r="O494" s="1203">
        <v>0</v>
      </c>
      <c r="P494" s="1203">
        <v>0</v>
      </c>
      <c r="Q494" s="1203">
        <v>0</v>
      </c>
      <c r="R494" s="1203">
        <v>0</v>
      </c>
      <c r="S494" s="1203">
        <v>0</v>
      </c>
    </row>
    <row r="495" spans="1:19" hidden="1" outlineLevel="1">
      <c r="A495" s="1198">
        <v>863</v>
      </c>
      <c r="B495" s="1199" t="s">
        <v>1946</v>
      </c>
      <c r="C495" s="1211">
        <v>5</v>
      </c>
      <c r="D495" s="1212"/>
      <c r="E495" s="1212"/>
      <c r="F495" s="1212"/>
      <c r="G495" s="1212"/>
      <c r="H495" s="1212"/>
      <c r="I495" s="1211">
        <v>0</v>
      </c>
      <c r="J495" s="1202">
        <v>0</v>
      </c>
      <c r="K495" s="1203">
        <v>0</v>
      </c>
      <c r="L495" s="1203">
        <v>0</v>
      </c>
      <c r="M495" s="1203">
        <v>0</v>
      </c>
      <c r="N495" s="1203">
        <v>0</v>
      </c>
      <c r="O495" s="1203">
        <v>0</v>
      </c>
      <c r="P495" s="1203">
        <v>0</v>
      </c>
      <c r="Q495" s="1203">
        <v>0</v>
      </c>
      <c r="R495" s="1203">
        <v>0</v>
      </c>
      <c r="S495" s="1203">
        <v>0</v>
      </c>
    </row>
    <row r="496" spans="1:19" hidden="1" outlineLevel="1">
      <c r="A496" s="1198">
        <v>864</v>
      </c>
      <c r="B496" s="1199" t="s">
        <v>1947</v>
      </c>
      <c r="C496" s="1211">
        <v>5</v>
      </c>
      <c r="D496" s="1212"/>
      <c r="E496" s="1212"/>
      <c r="F496" s="1212"/>
      <c r="G496" s="1212"/>
      <c r="H496" s="1212"/>
      <c r="I496" s="1211">
        <v>0</v>
      </c>
      <c r="J496" s="1202">
        <v>0</v>
      </c>
      <c r="K496" s="1203">
        <v>0</v>
      </c>
      <c r="L496" s="1203">
        <v>0</v>
      </c>
      <c r="M496" s="1203">
        <v>0</v>
      </c>
      <c r="N496" s="1203">
        <v>0</v>
      </c>
      <c r="O496" s="1203">
        <v>0</v>
      </c>
      <c r="P496" s="1203">
        <v>0</v>
      </c>
      <c r="Q496" s="1203">
        <v>0</v>
      </c>
      <c r="R496" s="1203">
        <v>0</v>
      </c>
      <c r="S496" s="1203">
        <v>0</v>
      </c>
    </row>
    <row r="497" spans="1:19" hidden="1" outlineLevel="1">
      <c r="A497" s="1198">
        <v>10674</v>
      </c>
      <c r="B497" s="1199" t="s">
        <v>1948</v>
      </c>
      <c r="C497" s="1211">
        <v>5</v>
      </c>
      <c r="D497" s="1212"/>
      <c r="E497" s="1212"/>
      <c r="F497" s="1212"/>
      <c r="G497" s="1212"/>
      <c r="H497" s="1212"/>
      <c r="I497" s="1211">
        <v>0</v>
      </c>
      <c r="J497" s="1202">
        <v>0</v>
      </c>
      <c r="K497" s="1203">
        <v>0</v>
      </c>
      <c r="L497" s="1203">
        <v>0</v>
      </c>
      <c r="M497" s="1203">
        <v>0</v>
      </c>
      <c r="N497" s="1203">
        <v>0</v>
      </c>
      <c r="O497" s="1203">
        <v>0</v>
      </c>
      <c r="P497" s="1203">
        <v>0</v>
      </c>
      <c r="Q497" s="1203">
        <v>0</v>
      </c>
      <c r="R497" s="1203">
        <v>0</v>
      </c>
      <c r="S497" s="1203">
        <v>0</v>
      </c>
    </row>
    <row r="498" spans="1:19" hidden="1" outlineLevel="1">
      <c r="A498" s="1198">
        <v>110674</v>
      </c>
      <c r="B498" s="1199" t="s">
        <v>1949</v>
      </c>
      <c r="C498" s="1211">
        <v>5</v>
      </c>
      <c r="D498" s="1212"/>
      <c r="E498" s="1212"/>
      <c r="F498" s="1212"/>
      <c r="G498" s="1212"/>
      <c r="H498" s="1212"/>
      <c r="I498" s="1211">
        <v>0</v>
      </c>
      <c r="J498" s="1202">
        <v>0</v>
      </c>
      <c r="K498" s="1203">
        <v>0</v>
      </c>
      <c r="L498" s="1203">
        <v>0</v>
      </c>
      <c r="M498" s="1203">
        <v>0</v>
      </c>
      <c r="N498" s="1203">
        <v>0</v>
      </c>
      <c r="O498" s="1203">
        <v>0</v>
      </c>
      <c r="P498" s="1203">
        <v>0</v>
      </c>
      <c r="Q498" s="1203">
        <v>0</v>
      </c>
      <c r="R498" s="1203">
        <v>0</v>
      </c>
      <c r="S498" s="1203">
        <v>0</v>
      </c>
    </row>
    <row r="499" spans="1:19" hidden="1" outlineLevel="1">
      <c r="A499" s="1198">
        <v>727</v>
      </c>
      <c r="B499" s="1199" t="s">
        <v>1950</v>
      </c>
      <c r="C499" s="1211">
        <v>5</v>
      </c>
      <c r="D499" s="1212"/>
      <c r="E499" s="1212"/>
      <c r="F499" s="1212"/>
      <c r="G499" s="1212"/>
      <c r="H499" s="1212"/>
      <c r="I499" s="1211">
        <v>0</v>
      </c>
      <c r="J499" s="1202">
        <v>0</v>
      </c>
      <c r="K499" s="1203">
        <v>0</v>
      </c>
      <c r="L499" s="1203">
        <v>0</v>
      </c>
      <c r="M499" s="1203">
        <v>0</v>
      </c>
      <c r="N499" s="1203">
        <v>0</v>
      </c>
      <c r="O499" s="1203">
        <v>0</v>
      </c>
      <c r="P499" s="1203">
        <v>0</v>
      </c>
      <c r="Q499" s="1203">
        <v>0</v>
      </c>
      <c r="R499" s="1203">
        <v>0</v>
      </c>
      <c r="S499" s="1203">
        <v>0</v>
      </c>
    </row>
    <row r="500" spans="1:19" hidden="1" outlineLevel="1">
      <c r="A500" s="1198">
        <v>557</v>
      </c>
      <c r="B500" s="1199" t="s">
        <v>1951</v>
      </c>
      <c r="C500" s="1211">
        <v>5</v>
      </c>
      <c r="D500" s="1212"/>
      <c r="E500" s="1212"/>
      <c r="F500" s="1212"/>
      <c r="G500" s="1212"/>
      <c r="H500" s="1212"/>
      <c r="I500" s="1211">
        <v>0</v>
      </c>
      <c r="J500" s="1202">
        <v>0</v>
      </c>
      <c r="K500" s="1203">
        <v>0</v>
      </c>
      <c r="L500" s="1203">
        <v>0</v>
      </c>
      <c r="M500" s="1203">
        <v>0</v>
      </c>
      <c r="N500" s="1203">
        <v>0</v>
      </c>
      <c r="O500" s="1203">
        <v>0</v>
      </c>
      <c r="P500" s="1203">
        <v>0</v>
      </c>
      <c r="Q500" s="1203">
        <v>0</v>
      </c>
      <c r="R500" s="1203">
        <v>0</v>
      </c>
      <c r="S500" s="1203">
        <v>0</v>
      </c>
    </row>
    <row r="501" spans="1:19" hidden="1" outlineLevel="1">
      <c r="A501" s="1198">
        <v>1776</v>
      </c>
      <c r="B501" s="1199" t="s">
        <v>1952</v>
      </c>
      <c r="C501" s="1211">
        <v>8</v>
      </c>
      <c r="D501" s="1212"/>
      <c r="E501" s="1212"/>
      <c r="F501" s="1212"/>
      <c r="G501" s="1212"/>
      <c r="H501" s="1212"/>
      <c r="I501" s="1211">
        <v>0</v>
      </c>
      <c r="J501" s="1202">
        <v>0</v>
      </c>
      <c r="K501" s="1203">
        <v>0</v>
      </c>
      <c r="L501" s="1203">
        <v>0</v>
      </c>
      <c r="M501" s="1203">
        <v>0</v>
      </c>
      <c r="N501" s="1203">
        <v>0</v>
      </c>
      <c r="O501" s="1203">
        <v>0</v>
      </c>
      <c r="P501" s="1203">
        <v>0</v>
      </c>
      <c r="Q501" s="1203">
        <v>0</v>
      </c>
      <c r="R501" s="1203">
        <v>0</v>
      </c>
      <c r="S501" s="1203">
        <v>0</v>
      </c>
    </row>
    <row r="502" spans="1:19" hidden="1" outlineLevel="1">
      <c r="A502" s="1198">
        <v>3588</v>
      </c>
      <c r="B502" s="1199" t="s">
        <v>1953</v>
      </c>
      <c r="C502" s="1211">
        <v>2</v>
      </c>
      <c r="D502" s="1212"/>
      <c r="E502" s="1212"/>
      <c r="F502" s="1212"/>
      <c r="G502" s="1212"/>
      <c r="H502" s="1212"/>
      <c r="I502" s="1211">
        <v>0</v>
      </c>
      <c r="J502" s="1211">
        <v>0</v>
      </c>
      <c r="K502" s="1212">
        <v>0</v>
      </c>
      <c r="L502" s="1212">
        <v>0</v>
      </c>
      <c r="M502" s="1212">
        <v>0</v>
      </c>
      <c r="N502" s="1212">
        <v>0</v>
      </c>
      <c r="O502" s="1212">
        <v>0</v>
      </c>
      <c r="P502" s="1212">
        <v>0</v>
      </c>
      <c r="Q502" s="1212">
        <v>0</v>
      </c>
      <c r="R502" s="1212">
        <v>0</v>
      </c>
      <c r="S502" s="1212">
        <v>0</v>
      </c>
    </row>
    <row r="503" spans="1:19" hidden="1" outlineLevel="1">
      <c r="A503" s="1198">
        <v>2222</v>
      </c>
      <c r="B503" s="1199" t="s">
        <v>1954</v>
      </c>
      <c r="C503" s="1211">
        <v>8</v>
      </c>
      <c r="D503" s="1212"/>
      <c r="E503" s="1212"/>
      <c r="F503" s="1212"/>
      <c r="G503" s="1212"/>
      <c r="H503" s="1212"/>
      <c r="I503" s="1211">
        <v>0</v>
      </c>
      <c r="J503" s="1202">
        <v>0</v>
      </c>
      <c r="K503" s="1203">
        <v>0</v>
      </c>
      <c r="L503" s="1203">
        <v>0</v>
      </c>
      <c r="M503" s="1203">
        <v>0</v>
      </c>
      <c r="N503" s="1203">
        <v>0</v>
      </c>
      <c r="O503" s="1203">
        <v>0</v>
      </c>
      <c r="P503" s="1203">
        <v>0</v>
      </c>
      <c r="Q503" s="1203">
        <v>0</v>
      </c>
      <c r="R503" s="1203">
        <v>0</v>
      </c>
      <c r="S503" s="1203">
        <v>0</v>
      </c>
    </row>
    <row r="504" spans="1:19" hidden="1" outlineLevel="1">
      <c r="A504" s="1198">
        <v>103594</v>
      </c>
      <c r="B504" s="1199" t="s">
        <v>1955</v>
      </c>
      <c r="C504" s="1211">
        <v>5</v>
      </c>
      <c r="D504" s="1212"/>
      <c r="E504" s="1212"/>
      <c r="F504" s="1212"/>
      <c r="G504" s="1212"/>
      <c r="H504" s="1212"/>
      <c r="I504" s="1211">
        <v>0</v>
      </c>
      <c r="J504" s="1202">
        <v>0</v>
      </c>
      <c r="K504" s="1203">
        <v>0</v>
      </c>
      <c r="L504" s="1203">
        <v>0</v>
      </c>
      <c r="M504" s="1203">
        <v>0</v>
      </c>
      <c r="N504" s="1203">
        <v>0</v>
      </c>
      <c r="O504" s="1203">
        <v>0</v>
      </c>
      <c r="P504" s="1203">
        <v>0</v>
      </c>
      <c r="Q504" s="1203">
        <v>0</v>
      </c>
      <c r="R504" s="1203">
        <v>0</v>
      </c>
      <c r="S504" s="1203">
        <v>0</v>
      </c>
    </row>
    <row r="505" spans="1:19" hidden="1" outlineLevel="1">
      <c r="A505" s="1198">
        <v>3578</v>
      </c>
      <c r="B505" s="1199" t="s">
        <v>1956</v>
      </c>
      <c r="C505" s="1211">
        <v>2</v>
      </c>
      <c r="D505" s="1212"/>
      <c r="E505" s="1212"/>
      <c r="F505" s="1212"/>
      <c r="G505" s="1212"/>
      <c r="H505" s="1212"/>
      <c r="I505" s="1211">
        <v>0</v>
      </c>
      <c r="J505" s="1211">
        <v>0</v>
      </c>
      <c r="K505" s="1212">
        <v>0</v>
      </c>
      <c r="L505" s="1212">
        <v>0</v>
      </c>
      <c r="M505" s="1212">
        <v>0</v>
      </c>
      <c r="N505" s="1212">
        <v>0</v>
      </c>
      <c r="O505" s="1212">
        <v>0</v>
      </c>
      <c r="P505" s="1212">
        <v>0</v>
      </c>
      <c r="Q505" s="1212">
        <v>0</v>
      </c>
      <c r="R505" s="1212">
        <v>0</v>
      </c>
      <c r="S505" s="1212">
        <v>0</v>
      </c>
    </row>
    <row r="506" spans="1:19" hidden="1" outlineLevel="1">
      <c r="A506" s="1198">
        <v>3353</v>
      </c>
      <c r="B506" s="1199" t="s">
        <v>1957</v>
      </c>
      <c r="C506" s="1211">
        <v>8</v>
      </c>
      <c r="D506" s="1212"/>
      <c r="E506" s="1212"/>
      <c r="F506" s="1212"/>
      <c r="G506" s="1212"/>
      <c r="H506" s="1212"/>
      <c r="I506" s="1211">
        <v>0</v>
      </c>
      <c r="J506" s="1202">
        <v>0</v>
      </c>
      <c r="K506" s="1203">
        <v>0</v>
      </c>
      <c r="L506" s="1203">
        <v>0</v>
      </c>
      <c r="M506" s="1203">
        <v>0</v>
      </c>
      <c r="N506" s="1203">
        <v>0</v>
      </c>
      <c r="O506" s="1203">
        <v>0</v>
      </c>
      <c r="P506" s="1203">
        <v>0</v>
      </c>
      <c r="Q506" s="1203">
        <v>0</v>
      </c>
      <c r="R506" s="1203">
        <v>0</v>
      </c>
      <c r="S506" s="1203">
        <v>0</v>
      </c>
    </row>
    <row r="507" spans="1:19" hidden="1" outlineLevel="1">
      <c r="A507" s="1198">
        <v>229416</v>
      </c>
      <c r="B507" s="1199" t="s">
        <v>1958</v>
      </c>
      <c r="C507" s="1211">
        <v>8</v>
      </c>
      <c r="D507" s="1212"/>
      <c r="E507" s="1212"/>
      <c r="F507" s="1212"/>
      <c r="G507" s="1212"/>
      <c r="H507" s="1212"/>
      <c r="I507" s="1211">
        <v>0</v>
      </c>
      <c r="J507" s="1202">
        <v>0</v>
      </c>
      <c r="K507" s="1203">
        <v>0</v>
      </c>
      <c r="L507" s="1203">
        <v>0</v>
      </c>
      <c r="M507" s="1203">
        <v>0</v>
      </c>
      <c r="N507" s="1203">
        <v>0</v>
      </c>
      <c r="O507" s="1203">
        <v>0</v>
      </c>
      <c r="P507" s="1203">
        <v>0</v>
      </c>
      <c r="Q507" s="1203">
        <v>0</v>
      </c>
      <c r="R507" s="1203">
        <v>0</v>
      </c>
      <c r="S507" s="1203">
        <v>0</v>
      </c>
    </row>
    <row r="508" spans="1:19" hidden="1" outlineLevel="1">
      <c r="A508" s="1198">
        <v>1109</v>
      </c>
      <c r="B508" s="1199" t="s">
        <v>1959</v>
      </c>
      <c r="C508" s="1211">
        <v>8</v>
      </c>
      <c r="D508" s="1212"/>
      <c r="E508" s="1212"/>
      <c r="F508" s="1212"/>
      <c r="G508" s="1212"/>
      <c r="H508" s="1212"/>
      <c r="I508" s="1211">
        <v>0</v>
      </c>
      <c r="J508" s="1202">
        <v>0</v>
      </c>
      <c r="K508" s="1203">
        <v>0</v>
      </c>
      <c r="L508" s="1203">
        <v>0</v>
      </c>
      <c r="M508" s="1203">
        <v>0</v>
      </c>
      <c r="N508" s="1203">
        <v>0</v>
      </c>
      <c r="O508" s="1203">
        <v>0</v>
      </c>
      <c r="P508" s="1203">
        <v>0</v>
      </c>
      <c r="Q508" s="1203">
        <v>0</v>
      </c>
      <c r="R508" s="1203">
        <v>0</v>
      </c>
      <c r="S508" s="1203">
        <v>0</v>
      </c>
    </row>
    <row r="509" spans="1:19" hidden="1" outlineLevel="1">
      <c r="A509" s="1198">
        <v>3125</v>
      </c>
      <c r="B509" s="1199" t="s">
        <v>1960</v>
      </c>
      <c r="C509" s="1211">
        <v>8</v>
      </c>
      <c r="D509" s="1212"/>
      <c r="E509" s="1212"/>
      <c r="F509" s="1212"/>
      <c r="G509" s="1212"/>
      <c r="H509" s="1212"/>
      <c r="I509" s="1211">
        <v>0</v>
      </c>
      <c r="J509" s="1202">
        <v>0</v>
      </c>
      <c r="K509" s="1203">
        <v>0</v>
      </c>
      <c r="L509" s="1203">
        <v>0</v>
      </c>
      <c r="M509" s="1203">
        <v>0</v>
      </c>
      <c r="N509" s="1203">
        <v>0</v>
      </c>
      <c r="O509" s="1203">
        <v>0</v>
      </c>
      <c r="P509" s="1203">
        <v>0</v>
      </c>
      <c r="Q509" s="1203">
        <v>0</v>
      </c>
      <c r="R509" s="1203">
        <v>0</v>
      </c>
      <c r="S509" s="1203">
        <v>0</v>
      </c>
    </row>
    <row r="510" spans="1:19" hidden="1" outlineLevel="1">
      <c r="A510" s="1198">
        <v>3651</v>
      </c>
      <c r="B510" s="1199" t="s">
        <v>1961</v>
      </c>
      <c r="C510" s="1211">
        <v>2</v>
      </c>
      <c r="D510" s="1212"/>
      <c r="E510" s="1212"/>
      <c r="F510" s="1212"/>
      <c r="G510" s="1212"/>
      <c r="H510" s="1212"/>
      <c r="I510" s="1211">
        <v>0</v>
      </c>
      <c r="J510" s="1211">
        <v>0</v>
      </c>
      <c r="K510" s="1212">
        <v>0</v>
      </c>
      <c r="L510" s="1212">
        <v>0</v>
      </c>
      <c r="M510" s="1212">
        <v>0</v>
      </c>
      <c r="N510" s="1212">
        <v>0</v>
      </c>
      <c r="O510" s="1212">
        <v>0</v>
      </c>
      <c r="P510" s="1212">
        <v>0</v>
      </c>
      <c r="Q510" s="1212">
        <v>0</v>
      </c>
      <c r="R510" s="1212">
        <v>0</v>
      </c>
      <c r="S510" s="1212">
        <v>0</v>
      </c>
    </row>
    <row r="511" spans="1:19" hidden="1" outlineLevel="1">
      <c r="A511" s="1198">
        <v>1535</v>
      </c>
      <c r="B511" s="1199" t="s">
        <v>1962</v>
      </c>
      <c r="C511" s="1211">
        <v>8</v>
      </c>
      <c r="D511" s="1212"/>
      <c r="E511" s="1212"/>
      <c r="F511" s="1212"/>
      <c r="G511" s="1212"/>
      <c r="H511" s="1212"/>
      <c r="I511" s="1211">
        <v>0</v>
      </c>
      <c r="J511" s="1202">
        <v>0</v>
      </c>
      <c r="K511" s="1203">
        <v>0</v>
      </c>
      <c r="L511" s="1203">
        <v>0</v>
      </c>
      <c r="M511" s="1203">
        <v>0</v>
      </c>
      <c r="N511" s="1203">
        <v>0</v>
      </c>
      <c r="O511" s="1203">
        <v>0</v>
      </c>
      <c r="P511" s="1203">
        <v>0</v>
      </c>
      <c r="Q511" s="1203">
        <v>0</v>
      </c>
      <c r="R511" s="1203">
        <v>0</v>
      </c>
      <c r="S511" s="1203">
        <v>0</v>
      </c>
    </row>
    <row r="512" spans="1:19" hidden="1" outlineLevel="1">
      <c r="A512" s="1198">
        <v>900066</v>
      </c>
      <c r="B512" s="1199" t="s">
        <v>1963</v>
      </c>
      <c r="C512" s="1211">
        <v>8</v>
      </c>
      <c r="D512" s="1212"/>
      <c r="E512" s="1212"/>
      <c r="F512" s="1212"/>
      <c r="G512" s="1212"/>
      <c r="H512" s="1212"/>
      <c r="I512" s="1211">
        <v>0</v>
      </c>
      <c r="J512" s="1202">
        <v>0</v>
      </c>
      <c r="K512" s="1203">
        <v>0</v>
      </c>
      <c r="L512" s="1203">
        <v>0</v>
      </c>
      <c r="M512" s="1203">
        <v>0</v>
      </c>
      <c r="N512" s="1203">
        <v>0</v>
      </c>
      <c r="O512" s="1203">
        <v>0</v>
      </c>
      <c r="P512" s="1203">
        <v>0</v>
      </c>
      <c r="Q512" s="1203">
        <v>0</v>
      </c>
      <c r="R512" s="1203">
        <v>0</v>
      </c>
      <c r="S512" s="1203">
        <v>0</v>
      </c>
    </row>
    <row r="513" spans="1:19" hidden="1" outlineLevel="1">
      <c r="A513" s="1198">
        <v>11721</v>
      </c>
      <c r="B513" s="1199" t="s">
        <v>1964</v>
      </c>
      <c r="C513" s="1211">
        <v>5</v>
      </c>
      <c r="D513" s="1212"/>
      <c r="E513" s="1212"/>
      <c r="F513" s="1212"/>
      <c r="G513" s="1212"/>
      <c r="H513" s="1212"/>
      <c r="I513" s="1211">
        <v>0</v>
      </c>
      <c r="J513" s="1202">
        <v>0</v>
      </c>
      <c r="K513" s="1203">
        <v>0</v>
      </c>
      <c r="L513" s="1203">
        <v>0</v>
      </c>
      <c r="M513" s="1203">
        <v>0</v>
      </c>
      <c r="N513" s="1203">
        <v>0</v>
      </c>
      <c r="O513" s="1203">
        <v>0</v>
      </c>
      <c r="P513" s="1203">
        <v>0</v>
      </c>
      <c r="Q513" s="1203">
        <v>0</v>
      </c>
      <c r="R513" s="1203">
        <v>0</v>
      </c>
      <c r="S513" s="1203">
        <v>0</v>
      </c>
    </row>
    <row r="514" spans="1:19" hidden="1" outlineLevel="1">
      <c r="A514" s="1198">
        <v>11644</v>
      </c>
      <c r="B514" s="1199" t="s">
        <v>1965</v>
      </c>
      <c r="C514" s="1211">
        <v>8</v>
      </c>
      <c r="D514" s="1212"/>
      <c r="E514" s="1212"/>
      <c r="F514" s="1212"/>
      <c r="G514" s="1212"/>
      <c r="H514" s="1212"/>
      <c r="I514" s="1211">
        <v>0</v>
      </c>
      <c r="J514" s="1202">
        <v>0</v>
      </c>
      <c r="K514" s="1203">
        <v>0</v>
      </c>
      <c r="L514" s="1203">
        <v>0</v>
      </c>
      <c r="M514" s="1203">
        <v>0</v>
      </c>
      <c r="N514" s="1203">
        <v>0</v>
      </c>
      <c r="O514" s="1203">
        <v>0</v>
      </c>
      <c r="P514" s="1203">
        <v>0</v>
      </c>
      <c r="Q514" s="1203">
        <v>0</v>
      </c>
      <c r="R514" s="1203">
        <v>0</v>
      </c>
      <c r="S514" s="1203">
        <v>0</v>
      </c>
    </row>
    <row r="515" spans="1:19" hidden="1" outlineLevel="1">
      <c r="A515" s="1198">
        <v>2516</v>
      </c>
      <c r="B515" s="1199" t="s">
        <v>1966</v>
      </c>
      <c r="C515" s="1211">
        <v>8</v>
      </c>
      <c r="D515" s="1212"/>
      <c r="E515" s="1212"/>
      <c r="F515" s="1212"/>
      <c r="G515" s="1212"/>
      <c r="H515" s="1212"/>
      <c r="I515" s="1211">
        <v>0</v>
      </c>
      <c r="J515" s="1202">
        <v>0</v>
      </c>
      <c r="K515" s="1203">
        <v>0</v>
      </c>
      <c r="L515" s="1203">
        <v>0</v>
      </c>
      <c r="M515" s="1203">
        <v>0</v>
      </c>
      <c r="N515" s="1203">
        <v>0</v>
      </c>
      <c r="O515" s="1203">
        <v>0</v>
      </c>
      <c r="P515" s="1203">
        <v>0</v>
      </c>
      <c r="Q515" s="1203">
        <v>0</v>
      </c>
      <c r="R515" s="1203">
        <v>0</v>
      </c>
      <c r="S515" s="1203">
        <v>0</v>
      </c>
    </row>
    <row r="516" spans="1:19" hidden="1" outlineLevel="1">
      <c r="A516" s="1198">
        <v>3378</v>
      </c>
      <c r="B516" s="1199" t="s">
        <v>1967</v>
      </c>
      <c r="C516" s="1211">
        <v>8</v>
      </c>
      <c r="D516" s="1212"/>
      <c r="E516" s="1212"/>
      <c r="F516" s="1212"/>
      <c r="G516" s="1212"/>
      <c r="H516" s="1212"/>
      <c r="I516" s="1211">
        <v>0</v>
      </c>
      <c r="J516" s="1202">
        <v>0</v>
      </c>
      <c r="K516" s="1203">
        <v>0</v>
      </c>
      <c r="L516" s="1203">
        <v>0</v>
      </c>
      <c r="M516" s="1203">
        <v>0</v>
      </c>
      <c r="N516" s="1203">
        <v>0</v>
      </c>
      <c r="O516" s="1203">
        <v>0</v>
      </c>
      <c r="P516" s="1203">
        <v>0</v>
      </c>
      <c r="Q516" s="1203">
        <v>0</v>
      </c>
      <c r="R516" s="1203">
        <v>0</v>
      </c>
      <c r="S516" s="1203">
        <v>0</v>
      </c>
    </row>
    <row r="517" spans="1:19" hidden="1" outlineLevel="1">
      <c r="A517" s="1198">
        <v>900068</v>
      </c>
      <c r="B517" s="1199" t="s">
        <v>1968</v>
      </c>
      <c r="C517" s="1211">
        <v>8</v>
      </c>
      <c r="D517" s="1212"/>
      <c r="E517" s="1212"/>
      <c r="F517" s="1212"/>
      <c r="G517" s="1212"/>
      <c r="H517" s="1212"/>
      <c r="I517" s="1211">
        <v>0</v>
      </c>
      <c r="J517" s="1202">
        <v>0</v>
      </c>
      <c r="K517" s="1203">
        <v>0</v>
      </c>
      <c r="L517" s="1203">
        <v>0</v>
      </c>
      <c r="M517" s="1203">
        <v>0</v>
      </c>
      <c r="N517" s="1203">
        <v>0</v>
      </c>
      <c r="O517" s="1203">
        <v>0</v>
      </c>
      <c r="P517" s="1203">
        <v>0</v>
      </c>
      <c r="Q517" s="1203">
        <v>0</v>
      </c>
      <c r="R517" s="1203">
        <v>0</v>
      </c>
      <c r="S517" s="1203">
        <v>0</v>
      </c>
    </row>
    <row r="518" spans="1:19" hidden="1" outlineLevel="1">
      <c r="A518" s="1198">
        <v>900011</v>
      </c>
      <c r="B518" s="1199" t="s">
        <v>1969</v>
      </c>
      <c r="C518" s="1211">
        <v>8</v>
      </c>
      <c r="D518" s="1212"/>
      <c r="E518" s="1212"/>
      <c r="F518" s="1212"/>
      <c r="G518" s="1212"/>
      <c r="H518" s="1212"/>
      <c r="I518" s="1211">
        <v>0</v>
      </c>
      <c r="J518" s="1202">
        <v>0</v>
      </c>
      <c r="K518" s="1203">
        <v>0</v>
      </c>
      <c r="L518" s="1203">
        <v>0</v>
      </c>
      <c r="M518" s="1203">
        <v>0</v>
      </c>
      <c r="N518" s="1203">
        <v>0</v>
      </c>
      <c r="O518" s="1203">
        <v>0</v>
      </c>
      <c r="P518" s="1203">
        <v>0</v>
      </c>
      <c r="Q518" s="1203">
        <v>0</v>
      </c>
      <c r="R518" s="1203">
        <v>0</v>
      </c>
      <c r="S518" s="1203">
        <v>0</v>
      </c>
    </row>
    <row r="519" spans="1:19" hidden="1" outlineLevel="1">
      <c r="A519" s="1198">
        <v>446747</v>
      </c>
      <c r="B519" s="1199" t="s">
        <v>1970</v>
      </c>
      <c r="C519" s="1211">
        <v>8</v>
      </c>
      <c r="D519" s="1212"/>
      <c r="E519" s="1212"/>
      <c r="F519" s="1212"/>
      <c r="G519" s="1212"/>
      <c r="H519" s="1212"/>
      <c r="I519" s="1211">
        <v>0</v>
      </c>
      <c r="J519" s="1202">
        <v>0</v>
      </c>
      <c r="K519" s="1203">
        <v>0</v>
      </c>
      <c r="L519" s="1203">
        <v>0</v>
      </c>
      <c r="M519" s="1203">
        <v>0</v>
      </c>
      <c r="N519" s="1203">
        <v>0</v>
      </c>
      <c r="O519" s="1203">
        <v>0</v>
      </c>
      <c r="P519" s="1203">
        <v>0</v>
      </c>
      <c r="Q519" s="1203">
        <v>0</v>
      </c>
      <c r="R519" s="1203">
        <v>0</v>
      </c>
      <c r="S519" s="1203">
        <v>0</v>
      </c>
    </row>
    <row r="520" spans="1:19" hidden="1" outlineLevel="1">
      <c r="A520" s="1198">
        <v>440439</v>
      </c>
      <c r="B520" s="1199" t="s">
        <v>1971</v>
      </c>
      <c r="C520" s="1211">
        <v>8</v>
      </c>
      <c r="D520" s="1212"/>
      <c r="E520" s="1212"/>
      <c r="F520" s="1212"/>
      <c r="G520" s="1212"/>
      <c r="H520" s="1212"/>
      <c r="I520" s="1211">
        <v>0</v>
      </c>
      <c r="J520" s="1202">
        <v>0</v>
      </c>
      <c r="K520" s="1203">
        <v>0</v>
      </c>
      <c r="L520" s="1203">
        <v>0</v>
      </c>
      <c r="M520" s="1203">
        <v>0</v>
      </c>
      <c r="N520" s="1203">
        <v>0</v>
      </c>
      <c r="O520" s="1203">
        <v>0</v>
      </c>
      <c r="P520" s="1203">
        <v>0</v>
      </c>
      <c r="Q520" s="1203">
        <v>0</v>
      </c>
      <c r="R520" s="1203">
        <v>0</v>
      </c>
      <c r="S520" s="1203">
        <v>0</v>
      </c>
    </row>
    <row r="521" spans="1:19" hidden="1" outlineLevel="1">
      <c r="A521" s="1198">
        <v>900012</v>
      </c>
      <c r="B521" s="1199" t="s">
        <v>1972</v>
      </c>
      <c r="C521" s="1211">
        <v>8</v>
      </c>
      <c r="D521" s="1212"/>
      <c r="E521" s="1212"/>
      <c r="F521" s="1212"/>
      <c r="G521" s="1212"/>
      <c r="H521" s="1212"/>
      <c r="I521" s="1211">
        <v>0</v>
      </c>
      <c r="J521" s="1202">
        <v>0</v>
      </c>
      <c r="K521" s="1203">
        <v>0</v>
      </c>
      <c r="L521" s="1203">
        <v>0</v>
      </c>
      <c r="M521" s="1203">
        <v>0</v>
      </c>
      <c r="N521" s="1203">
        <v>0</v>
      </c>
      <c r="O521" s="1203">
        <v>0</v>
      </c>
      <c r="P521" s="1203">
        <v>0</v>
      </c>
      <c r="Q521" s="1203">
        <v>0</v>
      </c>
      <c r="R521" s="1203">
        <v>0</v>
      </c>
      <c r="S521" s="1203">
        <v>0</v>
      </c>
    </row>
    <row r="522" spans="1:19" hidden="1" outlineLevel="1">
      <c r="A522" s="1198">
        <v>900071</v>
      </c>
      <c r="B522" s="1199" t="s">
        <v>1973</v>
      </c>
      <c r="C522" s="1211">
        <v>8</v>
      </c>
      <c r="D522" s="1212"/>
      <c r="E522" s="1212"/>
      <c r="F522" s="1212"/>
      <c r="G522" s="1212"/>
      <c r="H522" s="1212"/>
      <c r="I522" s="1211">
        <v>0</v>
      </c>
      <c r="J522" s="1202">
        <v>0</v>
      </c>
      <c r="K522" s="1203">
        <v>0</v>
      </c>
      <c r="L522" s="1203">
        <v>0</v>
      </c>
      <c r="M522" s="1203">
        <v>0</v>
      </c>
      <c r="N522" s="1203">
        <v>0</v>
      </c>
      <c r="O522" s="1203">
        <v>0</v>
      </c>
      <c r="P522" s="1203">
        <v>0</v>
      </c>
      <c r="Q522" s="1203">
        <v>0</v>
      </c>
      <c r="R522" s="1203">
        <v>0</v>
      </c>
      <c r="S522" s="1203">
        <v>0</v>
      </c>
    </row>
    <row r="523" spans="1:19" hidden="1" outlineLevel="1">
      <c r="A523" s="1198">
        <v>900069</v>
      </c>
      <c r="B523" s="1199" t="s">
        <v>1974</v>
      </c>
      <c r="C523" s="1211">
        <v>8</v>
      </c>
      <c r="D523" s="1212"/>
      <c r="E523" s="1212"/>
      <c r="F523" s="1212"/>
      <c r="G523" s="1212"/>
      <c r="H523" s="1212"/>
      <c r="I523" s="1211">
        <v>0</v>
      </c>
      <c r="J523" s="1202">
        <v>0</v>
      </c>
      <c r="K523" s="1203">
        <v>0</v>
      </c>
      <c r="L523" s="1203">
        <v>0</v>
      </c>
      <c r="M523" s="1203">
        <v>0</v>
      </c>
      <c r="N523" s="1203">
        <v>0</v>
      </c>
      <c r="O523" s="1203">
        <v>0</v>
      </c>
      <c r="P523" s="1203">
        <v>0</v>
      </c>
      <c r="Q523" s="1203">
        <v>0</v>
      </c>
      <c r="R523" s="1203">
        <v>0</v>
      </c>
      <c r="S523" s="1203">
        <v>0</v>
      </c>
    </row>
    <row r="524" spans="1:19" hidden="1" outlineLevel="1">
      <c r="A524" s="1198">
        <v>900013</v>
      </c>
      <c r="B524" s="1199" t="s">
        <v>1975</v>
      </c>
      <c r="C524" s="1211">
        <v>8</v>
      </c>
      <c r="D524" s="1212"/>
      <c r="E524" s="1212"/>
      <c r="F524" s="1212"/>
      <c r="G524" s="1212"/>
      <c r="H524" s="1212"/>
      <c r="I524" s="1211">
        <v>0</v>
      </c>
      <c r="J524" s="1202">
        <v>0</v>
      </c>
      <c r="K524" s="1203">
        <v>0</v>
      </c>
      <c r="L524" s="1203">
        <v>0</v>
      </c>
      <c r="M524" s="1203">
        <v>0</v>
      </c>
      <c r="N524" s="1203">
        <v>0</v>
      </c>
      <c r="O524" s="1203">
        <v>0</v>
      </c>
      <c r="P524" s="1203">
        <v>0</v>
      </c>
      <c r="Q524" s="1203">
        <v>0</v>
      </c>
      <c r="R524" s="1203">
        <v>0</v>
      </c>
      <c r="S524" s="1203">
        <v>0</v>
      </c>
    </row>
    <row r="525" spans="1:19" hidden="1" outlineLevel="1">
      <c r="A525" s="1198">
        <v>900014</v>
      </c>
      <c r="B525" s="1199" t="s">
        <v>1976</v>
      </c>
      <c r="C525" s="1211">
        <v>8</v>
      </c>
      <c r="D525" s="1212"/>
      <c r="E525" s="1212"/>
      <c r="F525" s="1212"/>
      <c r="G525" s="1212"/>
      <c r="H525" s="1212"/>
      <c r="I525" s="1211">
        <v>0</v>
      </c>
      <c r="J525" s="1202">
        <v>0</v>
      </c>
      <c r="K525" s="1203">
        <v>0</v>
      </c>
      <c r="L525" s="1203">
        <v>0</v>
      </c>
      <c r="M525" s="1203">
        <v>0</v>
      </c>
      <c r="N525" s="1203">
        <v>0</v>
      </c>
      <c r="O525" s="1203">
        <v>0</v>
      </c>
      <c r="P525" s="1203">
        <v>0</v>
      </c>
      <c r="Q525" s="1203">
        <v>0</v>
      </c>
      <c r="R525" s="1203">
        <v>0</v>
      </c>
      <c r="S525" s="1203">
        <v>0</v>
      </c>
    </row>
    <row r="526" spans="1:19" hidden="1" outlineLevel="1">
      <c r="A526" s="1198">
        <v>900015</v>
      </c>
      <c r="B526" s="1199" t="s">
        <v>1977</v>
      </c>
      <c r="C526" s="1211">
        <v>8</v>
      </c>
      <c r="D526" s="1212"/>
      <c r="E526" s="1212"/>
      <c r="F526" s="1212"/>
      <c r="G526" s="1212"/>
      <c r="H526" s="1212"/>
      <c r="I526" s="1211">
        <v>0</v>
      </c>
      <c r="J526" s="1202">
        <v>0</v>
      </c>
      <c r="K526" s="1203">
        <v>0</v>
      </c>
      <c r="L526" s="1203">
        <v>0</v>
      </c>
      <c r="M526" s="1203">
        <v>0</v>
      </c>
      <c r="N526" s="1203">
        <v>0</v>
      </c>
      <c r="O526" s="1203">
        <v>0</v>
      </c>
      <c r="P526" s="1203">
        <v>0</v>
      </c>
      <c r="Q526" s="1203">
        <v>0</v>
      </c>
      <c r="R526" s="1203">
        <v>0</v>
      </c>
      <c r="S526" s="1203">
        <v>0</v>
      </c>
    </row>
    <row r="527" spans="1:19" hidden="1" outlineLevel="1">
      <c r="A527" s="1198">
        <v>440448</v>
      </c>
      <c r="B527" s="1199" t="s">
        <v>1978</v>
      </c>
      <c r="C527" s="1211">
        <v>8</v>
      </c>
      <c r="D527" s="1212"/>
      <c r="E527" s="1212"/>
      <c r="F527" s="1212"/>
      <c r="G527" s="1212"/>
      <c r="H527" s="1212"/>
      <c r="I527" s="1211">
        <v>0</v>
      </c>
      <c r="J527" s="1202">
        <v>0</v>
      </c>
      <c r="K527" s="1203">
        <v>0</v>
      </c>
      <c r="L527" s="1203">
        <v>0</v>
      </c>
      <c r="M527" s="1203">
        <v>0</v>
      </c>
      <c r="N527" s="1203">
        <v>0</v>
      </c>
      <c r="O527" s="1203">
        <v>0</v>
      </c>
      <c r="P527" s="1203">
        <v>0</v>
      </c>
      <c r="Q527" s="1203">
        <v>0</v>
      </c>
      <c r="R527" s="1203">
        <v>0</v>
      </c>
      <c r="S527" s="1203">
        <v>0</v>
      </c>
    </row>
    <row r="528" spans="1:19" hidden="1" outlineLevel="1">
      <c r="A528" s="1198">
        <v>900016</v>
      </c>
      <c r="B528" s="1199" t="s">
        <v>1979</v>
      </c>
      <c r="C528" s="1211">
        <v>8</v>
      </c>
      <c r="D528" s="1212"/>
      <c r="E528" s="1212"/>
      <c r="F528" s="1212"/>
      <c r="G528" s="1212"/>
      <c r="H528" s="1212"/>
      <c r="I528" s="1211">
        <v>0</v>
      </c>
      <c r="J528" s="1202">
        <v>0</v>
      </c>
      <c r="K528" s="1203">
        <v>0</v>
      </c>
      <c r="L528" s="1203">
        <v>0</v>
      </c>
      <c r="M528" s="1203">
        <v>0</v>
      </c>
      <c r="N528" s="1203">
        <v>0</v>
      </c>
      <c r="O528" s="1203">
        <v>0</v>
      </c>
      <c r="P528" s="1203">
        <v>0</v>
      </c>
      <c r="Q528" s="1203">
        <v>0</v>
      </c>
      <c r="R528" s="1203">
        <v>0</v>
      </c>
      <c r="S528" s="1203">
        <v>0</v>
      </c>
    </row>
    <row r="529" spans="1:19" hidden="1" outlineLevel="1">
      <c r="A529" s="1198">
        <v>900017</v>
      </c>
      <c r="B529" s="1199" t="s">
        <v>1980</v>
      </c>
      <c r="C529" s="1211">
        <v>8</v>
      </c>
      <c r="D529" s="1212"/>
      <c r="E529" s="1212"/>
      <c r="F529" s="1212"/>
      <c r="G529" s="1212"/>
      <c r="H529" s="1212"/>
      <c r="I529" s="1211">
        <v>0</v>
      </c>
      <c r="J529" s="1202">
        <v>0</v>
      </c>
      <c r="K529" s="1203">
        <v>0</v>
      </c>
      <c r="L529" s="1203">
        <v>0</v>
      </c>
      <c r="M529" s="1203">
        <v>0</v>
      </c>
      <c r="N529" s="1203">
        <v>0</v>
      </c>
      <c r="O529" s="1203">
        <v>0</v>
      </c>
      <c r="P529" s="1203">
        <v>0</v>
      </c>
      <c r="Q529" s="1203">
        <v>0</v>
      </c>
      <c r="R529" s="1203">
        <v>0</v>
      </c>
      <c r="S529" s="1203">
        <v>0</v>
      </c>
    </row>
    <row r="530" spans="1:19" hidden="1" outlineLevel="1">
      <c r="A530" s="1198">
        <v>900018</v>
      </c>
      <c r="B530" s="1199" t="s">
        <v>1981</v>
      </c>
      <c r="C530" s="1211">
        <v>8</v>
      </c>
      <c r="D530" s="1212"/>
      <c r="E530" s="1212"/>
      <c r="F530" s="1212"/>
      <c r="G530" s="1212"/>
      <c r="H530" s="1212"/>
      <c r="I530" s="1211">
        <v>0</v>
      </c>
      <c r="J530" s="1202">
        <v>0</v>
      </c>
      <c r="K530" s="1203">
        <v>0</v>
      </c>
      <c r="L530" s="1203">
        <v>0</v>
      </c>
      <c r="M530" s="1203">
        <v>0</v>
      </c>
      <c r="N530" s="1203">
        <v>0</v>
      </c>
      <c r="O530" s="1203">
        <v>0</v>
      </c>
      <c r="P530" s="1203">
        <v>0</v>
      </c>
      <c r="Q530" s="1203">
        <v>0</v>
      </c>
      <c r="R530" s="1203">
        <v>0</v>
      </c>
      <c r="S530" s="1203">
        <v>0</v>
      </c>
    </row>
    <row r="531" spans="1:19" hidden="1" outlineLevel="1">
      <c r="A531" s="1198">
        <v>900019</v>
      </c>
      <c r="B531" s="1199" t="s">
        <v>1982</v>
      </c>
      <c r="C531" s="1211">
        <v>8</v>
      </c>
      <c r="D531" s="1212"/>
      <c r="E531" s="1212"/>
      <c r="F531" s="1212"/>
      <c r="G531" s="1212"/>
      <c r="H531" s="1212"/>
      <c r="I531" s="1211">
        <v>0</v>
      </c>
      <c r="J531" s="1202">
        <v>0</v>
      </c>
      <c r="K531" s="1203">
        <v>0</v>
      </c>
      <c r="L531" s="1203">
        <v>0</v>
      </c>
      <c r="M531" s="1203">
        <v>0</v>
      </c>
      <c r="N531" s="1203">
        <v>0</v>
      </c>
      <c r="O531" s="1203">
        <v>0</v>
      </c>
      <c r="P531" s="1203">
        <v>0</v>
      </c>
      <c r="Q531" s="1203">
        <v>0</v>
      </c>
      <c r="R531" s="1203">
        <v>0</v>
      </c>
      <c r="S531" s="1203">
        <v>0</v>
      </c>
    </row>
    <row r="532" spans="1:19" hidden="1" outlineLevel="1">
      <c r="A532" s="1198">
        <v>479770</v>
      </c>
      <c r="B532" s="1199" t="s">
        <v>1983</v>
      </c>
      <c r="C532" s="1211">
        <v>8</v>
      </c>
      <c r="D532" s="1212"/>
      <c r="E532" s="1212"/>
      <c r="F532" s="1212"/>
      <c r="G532" s="1212"/>
      <c r="H532" s="1212"/>
      <c r="I532" s="1211">
        <v>0</v>
      </c>
      <c r="J532" s="1202">
        <v>0</v>
      </c>
      <c r="K532" s="1203">
        <v>0</v>
      </c>
      <c r="L532" s="1203">
        <v>0</v>
      </c>
      <c r="M532" s="1203">
        <v>0</v>
      </c>
      <c r="N532" s="1203">
        <v>0</v>
      </c>
      <c r="O532" s="1203">
        <v>0</v>
      </c>
      <c r="P532" s="1203">
        <v>0</v>
      </c>
      <c r="Q532" s="1203">
        <v>0</v>
      </c>
      <c r="R532" s="1203">
        <v>0</v>
      </c>
      <c r="S532" s="1203">
        <v>0</v>
      </c>
    </row>
    <row r="533" spans="1:19" hidden="1" outlineLevel="1">
      <c r="A533" s="1198">
        <v>900020</v>
      </c>
      <c r="B533" s="1199" t="s">
        <v>1984</v>
      </c>
      <c r="C533" s="1211">
        <v>8</v>
      </c>
      <c r="D533" s="1212"/>
      <c r="E533" s="1212"/>
      <c r="F533" s="1212"/>
      <c r="G533" s="1212"/>
      <c r="H533" s="1212"/>
      <c r="I533" s="1211">
        <v>0</v>
      </c>
      <c r="J533" s="1202">
        <v>0</v>
      </c>
      <c r="K533" s="1203">
        <v>0</v>
      </c>
      <c r="L533" s="1203">
        <v>0</v>
      </c>
      <c r="M533" s="1203">
        <v>0</v>
      </c>
      <c r="N533" s="1203">
        <v>0</v>
      </c>
      <c r="O533" s="1203">
        <v>0</v>
      </c>
      <c r="P533" s="1203">
        <v>0</v>
      </c>
      <c r="Q533" s="1203">
        <v>0</v>
      </c>
      <c r="R533" s="1203">
        <v>0</v>
      </c>
      <c r="S533" s="1203">
        <v>0</v>
      </c>
    </row>
    <row r="534" spans="1:19" hidden="1" outlineLevel="1">
      <c r="A534" s="1198">
        <v>372213</v>
      </c>
      <c r="B534" s="1199" t="s">
        <v>1985</v>
      </c>
      <c r="C534" s="1211">
        <v>8</v>
      </c>
      <c r="D534" s="1212"/>
      <c r="E534" s="1212"/>
      <c r="F534" s="1212"/>
      <c r="G534" s="1212"/>
      <c r="H534" s="1212"/>
      <c r="I534" s="1211">
        <v>0</v>
      </c>
      <c r="J534" s="1202">
        <v>0</v>
      </c>
      <c r="K534" s="1203">
        <v>0</v>
      </c>
      <c r="L534" s="1203">
        <v>0</v>
      </c>
      <c r="M534" s="1203">
        <v>0</v>
      </c>
      <c r="N534" s="1203">
        <v>0</v>
      </c>
      <c r="O534" s="1203">
        <v>0</v>
      </c>
      <c r="P534" s="1203">
        <v>0</v>
      </c>
      <c r="Q534" s="1203">
        <v>0</v>
      </c>
      <c r="R534" s="1203">
        <v>0</v>
      </c>
      <c r="S534" s="1203">
        <v>0</v>
      </c>
    </row>
    <row r="535" spans="1:19" hidden="1" outlineLevel="1">
      <c r="A535" s="1198">
        <v>446738</v>
      </c>
      <c r="B535" s="1199" t="s">
        <v>1986</v>
      </c>
      <c r="C535" s="1211">
        <v>8</v>
      </c>
      <c r="D535" s="1212"/>
      <c r="E535" s="1212"/>
      <c r="F535" s="1212"/>
      <c r="G535" s="1212"/>
      <c r="H535" s="1212"/>
      <c r="I535" s="1211">
        <v>0</v>
      </c>
      <c r="J535" s="1202">
        <v>0</v>
      </c>
      <c r="K535" s="1203">
        <v>0</v>
      </c>
      <c r="L535" s="1203">
        <v>0</v>
      </c>
      <c r="M535" s="1203">
        <v>0</v>
      </c>
      <c r="N535" s="1203">
        <v>0</v>
      </c>
      <c r="O535" s="1203">
        <v>0</v>
      </c>
      <c r="P535" s="1203">
        <v>0</v>
      </c>
      <c r="Q535" s="1203">
        <v>0</v>
      </c>
      <c r="R535" s="1203">
        <v>0</v>
      </c>
      <c r="S535" s="1203">
        <v>0</v>
      </c>
    </row>
    <row r="536" spans="1:19" hidden="1" outlineLevel="1">
      <c r="A536" s="1198">
        <v>900021</v>
      </c>
      <c r="B536" s="1199" t="s">
        <v>1987</v>
      </c>
      <c r="C536" s="1211">
        <v>8</v>
      </c>
      <c r="D536" s="1212"/>
      <c r="E536" s="1212"/>
      <c r="F536" s="1212"/>
      <c r="G536" s="1212"/>
      <c r="H536" s="1212"/>
      <c r="I536" s="1211">
        <v>0</v>
      </c>
      <c r="J536" s="1202">
        <v>0</v>
      </c>
      <c r="K536" s="1203">
        <v>0</v>
      </c>
      <c r="L536" s="1203">
        <v>0</v>
      </c>
      <c r="M536" s="1203">
        <v>0</v>
      </c>
      <c r="N536" s="1203">
        <v>0</v>
      </c>
      <c r="O536" s="1203">
        <v>0</v>
      </c>
      <c r="P536" s="1203">
        <v>0</v>
      </c>
      <c r="Q536" s="1203">
        <v>0</v>
      </c>
      <c r="R536" s="1203">
        <v>0</v>
      </c>
      <c r="S536" s="1203">
        <v>0</v>
      </c>
    </row>
    <row r="537" spans="1:19" hidden="1" outlineLevel="1">
      <c r="A537" s="1198">
        <v>900022</v>
      </c>
      <c r="B537" s="1199" t="s">
        <v>1988</v>
      </c>
      <c r="C537" s="1211">
        <v>8</v>
      </c>
      <c r="D537" s="1212"/>
      <c r="E537" s="1212"/>
      <c r="F537" s="1212"/>
      <c r="G537" s="1212"/>
      <c r="H537" s="1212"/>
      <c r="I537" s="1211">
        <v>0</v>
      </c>
      <c r="J537" s="1202">
        <v>0</v>
      </c>
      <c r="K537" s="1203">
        <v>0</v>
      </c>
      <c r="L537" s="1203">
        <v>0</v>
      </c>
      <c r="M537" s="1203">
        <v>0</v>
      </c>
      <c r="N537" s="1203">
        <v>0</v>
      </c>
      <c r="O537" s="1203">
        <v>0</v>
      </c>
      <c r="P537" s="1203">
        <v>0</v>
      </c>
      <c r="Q537" s="1203">
        <v>0</v>
      </c>
      <c r="R537" s="1203">
        <v>0</v>
      </c>
      <c r="S537" s="1203">
        <v>0</v>
      </c>
    </row>
    <row r="538" spans="1:19" hidden="1" outlineLevel="1">
      <c r="A538" s="1198">
        <v>900023</v>
      </c>
      <c r="B538" s="1199" t="s">
        <v>1989</v>
      </c>
      <c r="C538" s="1211">
        <v>8</v>
      </c>
      <c r="D538" s="1212"/>
      <c r="E538" s="1212"/>
      <c r="F538" s="1212"/>
      <c r="G538" s="1212"/>
      <c r="H538" s="1212"/>
      <c r="I538" s="1211">
        <v>0</v>
      </c>
      <c r="J538" s="1202">
        <v>0</v>
      </c>
      <c r="K538" s="1203">
        <v>0</v>
      </c>
      <c r="L538" s="1203">
        <v>0</v>
      </c>
      <c r="M538" s="1203">
        <v>0</v>
      </c>
      <c r="N538" s="1203">
        <v>0</v>
      </c>
      <c r="O538" s="1203">
        <v>0</v>
      </c>
      <c r="P538" s="1203">
        <v>0</v>
      </c>
      <c r="Q538" s="1203">
        <v>0</v>
      </c>
      <c r="R538" s="1203">
        <v>0</v>
      </c>
      <c r="S538" s="1203">
        <v>0</v>
      </c>
    </row>
    <row r="539" spans="1:19" hidden="1" outlineLevel="1">
      <c r="A539" s="1198">
        <v>1057</v>
      </c>
      <c r="B539" s="1199" t="s">
        <v>1990</v>
      </c>
      <c r="C539" s="1211">
        <v>8</v>
      </c>
      <c r="D539" s="1212"/>
      <c r="E539" s="1212"/>
      <c r="F539" s="1212"/>
      <c r="G539" s="1212"/>
      <c r="H539" s="1212"/>
      <c r="I539" s="1211">
        <v>0</v>
      </c>
      <c r="J539" s="1202">
        <v>0</v>
      </c>
      <c r="K539" s="1203">
        <v>0</v>
      </c>
      <c r="L539" s="1203">
        <v>0</v>
      </c>
      <c r="M539" s="1203">
        <v>0</v>
      </c>
      <c r="N539" s="1203">
        <v>0</v>
      </c>
      <c r="O539" s="1203">
        <v>0</v>
      </c>
      <c r="P539" s="1203">
        <v>0</v>
      </c>
      <c r="Q539" s="1203">
        <v>0</v>
      </c>
      <c r="R539" s="1203">
        <v>0</v>
      </c>
      <c r="S539" s="1203">
        <v>0</v>
      </c>
    </row>
    <row r="540" spans="1:19" hidden="1" outlineLevel="1">
      <c r="A540" s="1198">
        <v>1328</v>
      </c>
      <c r="B540" s="1199" t="s">
        <v>1991</v>
      </c>
      <c r="C540" s="1211">
        <v>8</v>
      </c>
      <c r="D540" s="1212"/>
      <c r="E540" s="1212"/>
      <c r="F540" s="1212"/>
      <c r="G540" s="1212"/>
      <c r="H540" s="1212"/>
      <c r="I540" s="1211">
        <v>0</v>
      </c>
      <c r="J540" s="1202">
        <v>0</v>
      </c>
      <c r="K540" s="1203">
        <v>0</v>
      </c>
      <c r="L540" s="1203">
        <v>0</v>
      </c>
      <c r="M540" s="1203">
        <v>0</v>
      </c>
      <c r="N540" s="1203">
        <v>0</v>
      </c>
      <c r="O540" s="1203">
        <v>0</v>
      </c>
      <c r="P540" s="1203">
        <v>0</v>
      </c>
      <c r="Q540" s="1203">
        <v>0</v>
      </c>
      <c r="R540" s="1203">
        <v>0</v>
      </c>
      <c r="S540" s="1203">
        <v>0</v>
      </c>
    </row>
    <row r="541" spans="1:19" hidden="1" outlineLevel="1">
      <c r="A541" s="1198">
        <v>3654</v>
      </c>
      <c r="B541" s="1199" t="s">
        <v>1992</v>
      </c>
      <c r="C541" s="1211">
        <v>2</v>
      </c>
      <c r="D541" s="1212"/>
      <c r="E541" s="1212"/>
      <c r="F541" s="1212"/>
      <c r="G541" s="1212"/>
      <c r="H541" s="1212"/>
      <c r="I541" s="1211">
        <v>0</v>
      </c>
      <c r="J541" s="1211">
        <v>0</v>
      </c>
      <c r="K541" s="1212">
        <v>0</v>
      </c>
      <c r="L541" s="1212">
        <v>0</v>
      </c>
      <c r="M541" s="1212">
        <v>0</v>
      </c>
      <c r="N541" s="1212">
        <v>0</v>
      </c>
      <c r="O541" s="1212">
        <v>0</v>
      </c>
      <c r="P541" s="1212">
        <v>0</v>
      </c>
      <c r="Q541" s="1212">
        <v>0</v>
      </c>
      <c r="R541" s="1212">
        <v>0</v>
      </c>
      <c r="S541" s="1212">
        <v>0</v>
      </c>
    </row>
    <row r="542" spans="1:19" hidden="1" outlineLevel="1">
      <c r="A542" s="1198">
        <v>31713</v>
      </c>
      <c r="B542" s="1199" t="s">
        <v>1993</v>
      </c>
      <c r="C542" s="1211">
        <v>8</v>
      </c>
      <c r="D542" s="1212"/>
      <c r="E542" s="1212"/>
      <c r="F542" s="1212"/>
      <c r="G542" s="1212"/>
      <c r="H542" s="1212"/>
      <c r="I542" s="1211">
        <v>0</v>
      </c>
      <c r="J542" s="1202">
        <v>0</v>
      </c>
      <c r="K542" s="1203">
        <v>0</v>
      </c>
      <c r="L542" s="1203">
        <v>0</v>
      </c>
      <c r="M542" s="1203">
        <v>0</v>
      </c>
      <c r="N542" s="1203">
        <v>0</v>
      </c>
      <c r="O542" s="1203">
        <v>0</v>
      </c>
      <c r="P542" s="1203">
        <v>0</v>
      </c>
      <c r="Q542" s="1203">
        <v>0</v>
      </c>
      <c r="R542" s="1203">
        <v>0</v>
      </c>
      <c r="S542" s="1203">
        <v>0</v>
      </c>
    </row>
    <row r="543" spans="1:19" hidden="1" outlineLevel="1">
      <c r="A543" s="1198">
        <v>3675</v>
      </c>
      <c r="B543" s="1199" t="s">
        <v>1994</v>
      </c>
      <c r="C543" s="1211">
        <v>8</v>
      </c>
      <c r="D543" s="1212"/>
      <c r="E543" s="1212"/>
      <c r="F543" s="1212"/>
      <c r="G543" s="1212"/>
      <c r="H543" s="1212"/>
      <c r="I543" s="1211">
        <v>0</v>
      </c>
      <c r="J543" s="1202">
        <v>0</v>
      </c>
      <c r="K543" s="1203">
        <v>0</v>
      </c>
      <c r="L543" s="1203">
        <v>0</v>
      </c>
      <c r="M543" s="1203">
        <v>0</v>
      </c>
      <c r="N543" s="1203">
        <v>0</v>
      </c>
      <c r="O543" s="1203">
        <v>0</v>
      </c>
      <c r="P543" s="1203">
        <v>0</v>
      </c>
      <c r="Q543" s="1203">
        <v>0</v>
      </c>
      <c r="R543" s="1203">
        <v>0</v>
      </c>
      <c r="S543" s="1203">
        <v>0</v>
      </c>
    </row>
    <row r="544" spans="1:19" hidden="1" outlineLevel="1">
      <c r="A544" s="1198">
        <v>3955</v>
      </c>
      <c r="B544" s="1199" t="s">
        <v>1995</v>
      </c>
      <c r="C544" s="1211">
        <v>8</v>
      </c>
      <c r="D544" s="1212"/>
      <c r="E544" s="1212"/>
      <c r="F544" s="1212"/>
      <c r="G544" s="1212"/>
      <c r="H544" s="1212"/>
      <c r="I544" s="1211">
        <v>0</v>
      </c>
      <c r="J544" s="1202">
        <v>0</v>
      </c>
      <c r="K544" s="1203">
        <v>0</v>
      </c>
      <c r="L544" s="1203">
        <v>0</v>
      </c>
      <c r="M544" s="1203">
        <v>0</v>
      </c>
      <c r="N544" s="1203">
        <v>0</v>
      </c>
      <c r="O544" s="1203">
        <v>0</v>
      </c>
      <c r="P544" s="1203">
        <v>0</v>
      </c>
      <c r="Q544" s="1203">
        <v>0</v>
      </c>
      <c r="R544" s="1203">
        <v>0</v>
      </c>
      <c r="S544" s="1203">
        <v>0</v>
      </c>
    </row>
    <row r="545" spans="1:19" hidden="1" outlineLevel="1">
      <c r="A545" s="1198">
        <v>3919</v>
      </c>
      <c r="B545" s="1199" t="s">
        <v>1996</v>
      </c>
      <c r="C545" s="1211">
        <v>8</v>
      </c>
      <c r="D545" s="1212"/>
      <c r="E545" s="1212"/>
      <c r="F545" s="1212"/>
      <c r="G545" s="1212"/>
      <c r="H545" s="1212"/>
      <c r="I545" s="1211">
        <v>0</v>
      </c>
      <c r="J545" s="1202">
        <v>0</v>
      </c>
      <c r="K545" s="1203">
        <v>0</v>
      </c>
      <c r="L545" s="1203">
        <v>0</v>
      </c>
      <c r="M545" s="1203">
        <v>0</v>
      </c>
      <c r="N545" s="1203">
        <v>0</v>
      </c>
      <c r="O545" s="1203">
        <v>0</v>
      </c>
      <c r="P545" s="1203">
        <v>0</v>
      </c>
      <c r="Q545" s="1203">
        <v>0</v>
      </c>
      <c r="R545" s="1203">
        <v>0</v>
      </c>
      <c r="S545" s="1203">
        <v>0</v>
      </c>
    </row>
    <row r="546" spans="1:19" hidden="1" outlineLevel="1">
      <c r="A546" s="1198">
        <v>123594</v>
      </c>
      <c r="B546" s="1199" t="s">
        <v>1997</v>
      </c>
      <c r="C546" s="1211">
        <v>1</v>
      </c>
      <c r="D546" s="1212"/>
      <c r="E546" s="1212"/>
      <c r="F546" s="1212"/>
      <c r="G546" s="1212"/>
      <c r="H546" s="1212"/>
      <c r="I546" s="1211">
        <v>0</v>
      </c>
      <c r="J546" s="1211">
        <v>0</v>
      </c>
      <c r="K546" s="1212">
        <v>0</v>
      </c>
      <c r="L546" s="1212">
        <v>0</v>
      </c>
      <c r="M546" s="1212">
        <v>0</v>
      </c>
      <c r="N546" s="1212">
        <v>0</v>
      </c>
      <c r="O546" s="1212">
        <v>0</v>
      </c>
      <c r="P546" s="1212">
        <v>0</v>
      </c>
      <c r="Q546" s="1212">
        <v>0</v>
      </c>
      <c r="R546" s="1212">
        <v>0</v>
      </c>
      <c r="S546" s="1212">
        <v>0</v>
      </c>
    </row>
    <row r="547" spans="1:19" hidden="1" outlineLevel="1">
      <c r="A547" s="1198">
        <v>131</v>
      </c>
      <c r="B547" s="1199" t="s">
        <v>1998</v>
      </c>
      <c r="C547" s="1211">
        <v>5</v>
      </c>
      <c r="D547" s="1212"/>
      <c r="E547" s="1212"/>
      <c r="F547" s="1212"/>
      <c r="G547" s="1212"/>
      <c r="H547" s="1212"/>
      <c r="I547" s="1211">
        <v>0</v>
      </c>
      <c r="J547" s="1202">
        <v>0</v>
      </c>
      <c r="K547" s="1203">
        <v>0</v>
      </c>
      <c r="L547" s="1203">
        <v>0</v>
      </c>
      <c r="M547" s="1203">
        <v>0</v>
      </c>
      <c r="N547" s="1203">
        <v>0</v>
      </c>
      <c r="O547" s="1203">
        <v>0</v>
      </c>
      <c r="P547" s="1203">
        <v>0</v>
      </c>
      <c r="Q547" s="1203">
        <v>0</v>
      </c>
      <c r="R547" s="1203">
        <v>0</v>
      </c>
      <c r="S547" s="1203">
        <v>0</v>
      </c>
    </row>
    <row r="548" spans="1:19" hidden="1" outlineLevel="1">
      <c r="A548" s="1198">
        <v>130</v>
      </c>
      <c r="B548" s="1199" t="s">
        <v>1999</v>
      </c>
      <c r="C548" s="1211">
        <v>5</v>
      </c>
      <c r="D548" s="1212"/>
      <c r="E548" s="1212"/>
      <c r="F548" s="1212"/>
      <c r="G548" s="1212"/>
      <c r="H548" s="1212"/>
      <c r="I548" s="1211">
        <v>0</v>
      </c>
      <c r="J548" s="1202">
        <v>0</v>
      </c>
      <c r="K548" s="1203">
        <v>0</v>
      </c>
      <c r="L548" s="1203">
        <v>0</v>
      </c>
      <c r="M548" s="1203">
        <v>0</v>
      </c>
      <c r="N548" s="1203">
        <v>0</v>
      </c>
      <c r="O548" s="1203">
        <v>0</v>
      </c>
      <c r="P548" s="1203">
        <v>0</v>
      </c>
      <c r="Q548" s="1203">
        <v>0</v>
      </c>
      <c r="R548" s="1203">
        <v>0</v>
      </c>
      <c r="S548" s="1203">
        <v>0</v>
      </c>
    </row>
    <row r="549" spans="1:19" hidden="1" outlineLevel="1">
      <c r="A549" s="1198">
        <v>133</v>
      </c>
      <c r="B549" s="1199" t="s">
        <v>2000</v>
      </c>
      <c r="C549" s="1211">
        <v>5</v>
      </c>
      <c r="D549" s="1212"/>
      <c r="E549" s="1212"/>
      <c r="F549" s="1212"/>
      <c r="G549" s="1212"/>
      <c r="H549" s="1212"/>
      <c r="I549" s="1211">
        <v>0</v>
      </c>
      <c r="J549" s="1202">
        <v>0</v>
      </c>
      <c r="K549" s="1203">
        <v>0</v>
      </c>
      <c r="L549" s="1203">
        <v>0</v>
      </c>
      <c r="M549" s="1203">
        <v>0</v>
      </c>
      <c r="N549" s="1203">
        <v>0</v>
      </c>
      <c r="O549" s="1203">
        <v>0</v>
      </c>
      <c r="P549" s="1203">
        <v>0</v>
      </c>
      <c r="Q549" s="1203">
        <v>0</v>
      </c>
      <c r="R549" s="1203">
        <v>0</v>
      </c>
      <c r="S549" s="1203">
        <v>0</v>
      </c>
    </row>
    <row r="550" spans="1:19" hidden="1" outlineLevel="1">
      <c r="A550" s="1198">
        <v>136</v>
      </c>
      <c r="B550" s="1199" t="s">
        <v>2001</v>
      </c>
      <c r="C550" s="1211">
        <v>5</v>
      </c>
      <c r="D550" s="1212"/>
      <c r="E550" s="1212"/>
      <c r="F550" s="1212"/>
      <c r="G550" s="1212"/>
      <c r="H550" s="1212"/>
      <c r="I550" s="1211">
        <v>0</v>
      </c>
      <c r="J550" s="1202">
        <v>0</v>
      </c>
      <c r="K550" s="1203">
        <v>0</v>
      </c>
      <c r="L550" s="1203">
        <v>0</v>
      </c>
      <c r="M550" s="1203">
        <v>0</v>
      </c>
      <c r="N550" s="1203">
        <v>0</v>
      </c>
      <c r="O550" s="1203">
        <v>0</v>
      </c>
      <c r="P550" s="1203">
        <v>0</v>
      </c>
      <c r="Q550" s="1203">
        <v>0</v>
      </c>
      <c r="R550" s="1203">
        <v>0</v>
      </c>
      <c r="S550" s="1203">
        <v>0</v>
      </c>
    </row>
    <row r="551" spans="1:19" hidden="1" outlineLevel="1">
      <c r="A551" s="1198">
        <v>134</v>
      </c>
      <c r="B551" s="1199" t="s">
        <v>2002</v>
      </c>
      <c r="C551" s="1211">
        <v>5</v>
      </c>
      <c r="D551" s="1212"/>
      <c r="E551" s="1212"/>
      <c r="F551" s="1212"/>
      <c r="G551" s="1212"/>
      <c r="H551" s="1212"/>
      <c r="I551" s="1211">
        <v>0</v>
      </c>
      <c r="J551" s="1202">
        <v>0</v>
      </c>
      <c r="K551" s="1203">
        <v>0</v>
      </c>
      <c r="L551" s="1203">
        <v>0</v>
      </c>
      <c r="M551" s="1203">
        <v>0</v>
      </c>
      <c r="N551" s="1203">
        <v>0</v>
      </c>
      <c r="O551" s="1203">
        <v>0</v>
      </c>
      <c r="P551" s="1203">
        <v>0</v>
      </c>
      <c r="Q551" s="1203">
        <v>0</v>
      </c>
      <c r="R551" s="1203">
        <v>0</v>
      </c>
      <c r="S551" s="1203">
        <v>0</v>
      </c>
    </row>
    <row r="552" spans="1:19" hidden="1" outlineLevel="1">
      <c r="A552" s="1198">
        <v>411</v>
      </c>
      <c r="B552" s="1199" t="s">
        <v>2003</v>
      </c>
      <c r="C552" s="1211">
        <v>5</v>
      </c>
      <c r="D552" s="1212"/>
      <c r="E552" s="1212"/>
      <c r="F552" s="1212"/>
      <c r="G552" s="1212"/>
      <c r="H552" s="1212"/>
      <c r="I552" s="1211">
        <v>0</v>
      </c>
      <c r="J552" s="1202">
        <v>0</v>
      </c>
      <c r="K552" s="1203">
        <v>0</v>
      </c>
      <c r="L552" s="1203">
        <v>0</v>
      </c>
      <c r="M552" s="1203">
        <v>0</v>
      </c>
      <c r="N552" s="1203">
        <v>0</v>
      </c>
      <c r="O552" s="1203">
        <v>0</v>
      </c>
      <c r="P552" s="1203">
        <v>0</v>
      </c>
      <c r="Q552" s="1203">
        <v>0</v>
      </c>
      <c r="R552" s="1203">
        <v>0</v>
      </c>
      <c r="S552" s="1203">
        <v>0</v>
      </c>
    </row>
    <row r="553" spans="1:19" hidden="1" outlineLevel="1">
      <c r="A553" s="1198">
        <v>9799</v>
      </c>
      <c r="B553" s="1199" t="s">
        <v>2004</v>
      </c>
      <c r="C553" s="1211">
        <v>5</v>
      </c>
      <c r="D553" s="1212"/>
      <c r="E553" s="1212"/>
      <c r="F553" s="1212"/>
      <c r="G553" s="1212"/>
      <c r="H553" s="1212"/>
      <c r="I553" s="1211">
        <v>0</v>
      </c>
      <c r="J553" s="1202">
        <v>0</v>
      </c>
      <c r="K553" s="1203">
        <v>0</v>
      </c>
      <c r="L553" s="1203">
        <v>0</v>
      </c>
      <c r="M553" s="1203">
        <v>0</v>
      </c>
      <c r="N553" s="1203">
        <v>0</v>
      </c>
      <c r="O553" s="1203">
        <v>0</v>
      </c>
      <c r="P553" s="1203">
        <v>0</v>
      </c>
      <c r="Q553" s="1203">
        <v>0</v>
      </c>
      <c r="R553" s="1203">
        <v>0</v>
      </c>
      <c r="S553" s="1203">
        <v>0</v>
      </c>
    </row>
    <row r="554" spans="1:19" hidden="1" outlineLevel="1">
      <c r="A554" s="1198">
        <v>304</v>
      </c>
      <c r="B554" s="1199" t="s">
        <v>2005</v>
      </c>
      <c r="C554" s="1211">
        <v>5</v>
      </c>
      <c r="D554" s="1212"/>
      <c r="E554" s="1212"/>
      <c r="F554" s="1212"/>
      <c r="G554" s="1212"/>
      <c r="H554" s="1212"/>
      <c r="I554" s="1211">
        <v>0</v>
      </c>
      <c r="J554" s="1202">
        <v>0</v>
      </c>
      <c r="K554" s="1203">
        <v>0</v>
      </c>
      <c r="L554" s="1203">
        <v>0</v>
      </c>
      <c r="M554" s="1203">
        <v>0</v>
      </c>
      <c r="N554" s="1203">
        <v>0</v>
      </c>
      <c r="O554" s="1203">
        <v>0</v>
      </c>
      <c r="P554" s="1203">
        <v>0</v>
      </c>
      <c r="Q554" s="1203">
        <v>0</v>
      </c>
      <c r="R554" s="1203">
        <v>0</v>
      </c>
      <c r="S554" s="1203">
        <v>0</v>
      </c>
    </row>
    <row r="555" spans="1:19" hidden="1" outlineLevel="1">
      <c r="A555" s="1198">
        <v>4951</v>
      </c>
      <c r="B555" s="1199" t="s">
        <v>2006</v>
      </c>
      <c r="C555" s="1211">
        <v>5</v>
      </c>
      <c r="D555" s="1212"/>
      <c r="E555" s="1212"/>
      <c r="F555" s="1212"/>
      <c r="G555" s="1212"/>
      <c r="H555" s="1212"/>
      <c r="I555" s="1211">
        <v>0</v>
      </c>
      <c r="J555" s="1202">
        <v>0</v>
      </c>
      <c r="K555" s="1203">
        <v>0</v>
      </c>
      <c r="L555" s="1203">
        <v>0</v>
      </c>
      <c r="M555" s="1203">
        <v>0</v>
      </c>
      <c r="N555" s="1203">
        <v>0</v>
      </c>
      <c r="O555" s="1203">
        <v>0</v>
      </c>
      <c r="P555" s="1203">
        <v>0</v>
      </c>
      <c r="Q555" s="1203">
        <v>0</v>
      </c>
      <c r="R555" s="1203">
        <v>0</v>
      </c>
      <c r="S555" s="1203">
        <v>0</v>
      </c>
    </row>
    <row r="556" spans="1:19" hidden="1" outlineLevel="1">
      <c r="A556" s="1198">
        <v>401</v>
      </c>
      <c r="B556" s="1199" t="s">
        <v>2007</v>
      </c>
      <c r="C556" s="1211">
        <v>5</v>
      </c>
      <c r="D556" s="1212"/>
      <c r="E556" s="1212"/>
      <c r="F556" s="1212"/>
      <c r="G556" s="1212"/>
      <c r="H556" s="1212"/>
      <c r="I556" s="1211">
        <v>0</v>
      </c>
      <c r="J556" s="1202">
        <v>0</v>
      </c>
      <c r="K556" s="1203">
        <v>0</v>
      </c>
      <c r="L556" s="1203">
        <v>0</v>
      </c>
      <c r="M556" s="1203">
        <v>0</v>
      </c>
      <c r="N556" s="1203">
        <v>0</v>
      </c>
      <c r="O556" s="1203">
        <v>0</v>
      </c>
      <c r="P556" s="1203">
        <v>0</v>
      </c>
      <c r="Q556" s="1203">
        <v>0</v>
      </c>
      <c r="R556" s="1203">
        <v>0</v>
      </c>
      <c r="S556" s="1203">
        <v>0</v>
      </c>
    </row>
    <row r="557" spans="1:19" hidden="1" outlineLevel="1">
      <c r="A557" s="1198">
        <v>4954</v>
      </c>
      <c r="B557" s="1199" t="s">
        <v>2008</v>
      </c>
      <c r="C557" s="1211">
        <v>5</v>
      </c>
      <c r="D557" s="1212"/>
      <c r="E557" s="1212"/>
      <c r="F557" s="1212"/>
      <c r="G557" s="1212"/>
      <c r="H557" s="1212"/>
      <c r="I557" s="1211">
        <v>0</v>
      </c>
      <c r="J557" s="1202">
        <v>0</v>
      </c>
      <c r="K557" s="1203">
        <v>0</v>
      </c>
      <c r="L557" s="1203">
        <v>0</v>
      </c>
      <c r="M557" s="1203">
        <v>0</v>
      </c>
      <c r="N557" s="1203">
        <v>0</v>
      </c>
      <c r="O557" s="1203">
        <v>0</v>
      </c>
      <c r="P557" s="1203">
        <v>0</v>
      </c>
      <c r="Q557" s="1203">
        <v>0</v>
      </c>
      <c r="R557" s="1203">
        <v>0</v>
      </c>
      <c r="S557" s="1203">
        <v>0</v>
      </c>
    </row>
    <row r="558" spans="1:19" hidden="1" outlineLevel="1">
      <c r="A558" s="1198">
        <v>301</v>
      </c>
      <c r="B558" s="1199" t="s">
        <v>2009</v>
      </c>
      <c r="C558" s="1211">
        <v>5</v>
      </c>
      <c r="D558" s="1212"/>
      <c r="E558" s="1212"/>
      <c r="F558" s="1212"/>
      <c r="G558" s="1212"/>
      <c r="H558" s="1212"/>
      <c r="I558" s="1211">
        <v>0</v>
      </c>
      <c r="J558" s="1202">
        <v>0</v>
      </c>
      <c r="K558" s="1203">
        <v>0</v>
      </c>
      <c r="L558" s="1203">
        <v>0</v>
      </c>
      <c r="M558" s="1203">
        <v>0</v>
      </c>
      <c r="N558" s="1203">
        <v>0</v>
      </c>
      <c r="O558" s="1203">
        <v>0</v>
      </c>
      <c r="P558" s="1203">
        <v>0</v>
      </c>
      <c r="Q558" s="1203">
        <v>0</v>
      </c>
      <c r="R558" s="1203">
        <v>0</v>
      </c>
      <c r="S558" s="1203">
        <v>0</v>
      </c>
    </row>
    <row r="559" spans="1:19" hidden="1" outlineLevel="1">
      <c r="A559" s="1198">
        <v>414</v>
      </c>
      <c r="B559" s="1199" t="s">
        <v>2010</v>
      </c>
      <c r="C559" s="1211">
        <v>5</v>
      </c>
      <c r="D559" s="1212"/>
      <c r="E559" s="1212"/>
      <c r="F559" s="1212"/>
      <c r="G559" s="1212"/>
      <c r="H559" s="1212"/>
      <c r="I559" s="1211">
        <v>0</v>
      </c>
      <c r="J559" s="1202">
        <v>0</v>
      </c>
      <c r="K559" s="1203">
        <v>0</v>
      </c>
      <c r="L559" s="1203">
        <v>0</v>
      </c>
      <c r="M559" s="1203">
        <v>0</v>
      </c>
      <c r="N559" s="1203">
        <v>0</v>
      </c>
      <c r="O559" s="1203">
        <v>0</v>
      </c>
      <c r="P559" s="1203">
        <v>0</v>
      </c>
      <c r="Q559" s="1203">
        <v>0</v>
      </c>
      <c r="R559" s="1203">
        <v>0</v>
      </c>
      <c r="S559" s="1203">
        <v>0</v>
      </c>
    </row>
    <row r="560" spans="1:19" hidden="1" outlineLevel="1">
      <c r="A560" s="1198">
        <v>11618</v>
      </c>
      <c r="B560" s="1199" t="s">
        <v>2011</v>
      </c>
      <c r="C560" s="1211">
        <v>5</v>
      </c>
      <c r="D560" s="1212"/>
      <c r="E560" s="1212"/>
      <c r="F560" s="1212"/>
      <c r="G560" s="1212"/>
      <c r="H560" s="1212"/>
      <c r="I560" s="1211">
        <v>0</v>
      </c>
      <c r="J560" s="1202">
        <v>0</v>
      </c>
      <c r="K560" s="1203">
        <v>0</v>
      </c>
      <c r="L560" s="1203">
        <v>0</v>
      </c>
      <c r="M560" s="1203">
        <v>0</v>
      </c>
      <c r="N560" s="1203">
        <v>0</v>
      </c>
      <c r="O560" s="1203">
        <v>0</v>
      </c>
      <c r="P560" s="1203">
        <v>0</v>
      </c>
      <c r="Q560" s="1203">
        <v>0</v>
      </c>
      <c r="R560" s="1203">
        <v>0</v>
      </c>
      <c r="S560" s="1203">
        <v>0</v>
      </c>
    </row>
    <row r="561" spans="1:19" hidden="1" outlineLevel="1">
      <c r="A561" s="1198">
        <v>404</v>
      </c>
      <c r="B561" s="1199" t="s">
        <v>2012</v>
      </c>
      <c r="C561" s="1211">
        <v>5</v>
      </c>
      <c r="D561" s="1212"/>
      <c r="E561" s="1212"/>
      <c r="F561" s="1212"/>
      <c r="G561" s="1212"/>
      <c r="H561" s="1212"/>
      <c r="I561" s="1211">
        <v>0</v>
      </c>
      <c r="J561" s="1202">
        <v>0</v>
      </c>
      <c r="K561" s="1203">
        <v>0</v>
      </c>
      <c r="L561" s="1203">
        <v>0</v>
      </c>
      <c r="M561" s="1203">
        <v>0</v>
      </c>
      <c r="N561" s="1203">
        <v>0</v>
      </c>
      <c r="O561" s="1203">
        <v>0</v>
      </c>
      <c r="P561" s="1203">
        <v>0</v>
      </c>
      <c r="Q561" s="1203">
        <v>0</v>
      </c>
      <c r="R561" s="1203">
        <v>0</v>
      </c>
      <c r="S561" s="1203">
        <v>0</v>
      </c>
    </row>
    <row r="562" spans="1:19" hidden="1" outlineLevel="1">
      <c r="A562" s="1198">
        <v>40</v>
      </c>
      <c r="B562" s="1199" t="s">
        <v>2013</v>
      </c>
      <c r="C562" s="1211">
        <v>5</v>
      </c>
      <c r="D562" s="1212"/>
      <c r="E562" s="1212"/>
      <c r="F562" s="1212"/>
      <c r="G562" s="1212"/>
      <c r="H562" s="1212"/>
      <c r="I562" s="1211">
        <v>0</v>
      </c>
      <c r="J562" s="1202">
        <v>0</v>
      </c>
      <c r="K562" s="1203">
        <v>0</v>
      </c>
      <c r="L562" s="1203">
        <v>0</v>
      </c>
      <c r="M562" s="1203">
        <v>0</v>
      </c>
      <c r="N562" s="1203">
        <v>0</v>
      </c>
      <c r="O562" s="1203">
        <v>0</v>
      </c>
      <c r="P562" s="1203">
        <v>0</v>
      </c>
      <c r="Q562" s="1203">
        <v>0</v>
      </c>
      <c r="R562" s="1203">
        <v>0</v>
      </c>
      <c r="S562" s="1203">
        <v>0</v>
      </c>
    </row>
    <row r="563" spans="1:19" hidden="1" outlineLevel="1">
      <c r="A563" s="1198">
        <v>306</v>
      </c>
      <c r="B563" s="1199" t="s">
        <v>2014</v>
      </c>
      <c r="C563" s="1211">
        <v>5</v>
      </c>
      <c r="D563" s="1212"/>
      <c r="E563" s="1212"/>
      <c r="F563" s="1212"/>
      <c r="G563" s="1212"/>
      <c r="H563" s="1212"/>
      <c r="I563" s="1211">
        <v>0</v>
      </c>
      <c r="J563" s="1202">
        <v>0</v>
      </c>
      <c r="K563" s="1203">
        <v>0</v>
      </c>
      <c r="L563" s="1203">
        <v>0</v>
      </c>
      <c r="M563" s="1203">
        <v>0</v>
      </c>
      <c r="N563" s="1203">
        <v>0</v>
      </c>
      <c r="O563" s="1203">
        <v>0</v>
      </c>
      <c r="P563" s="1203">
        <v>0</v>
      </c>
      <c r="Q563" s="1203">
        <v>0</v>
      </c>
      <c r="R563" s="1203">
        <v>0</v>
      </c>
      <c r="S563" s="1203">
        <v>0</v>
      </c>
    </row>
    <row r="564" spans="1:19" hidden="1" outlineLevel="1">
      <c r="A564" s="1198">
        <v>880</v>
      </c>
      <c r="B564" s="1199" t="s">
        <v>2015</v>
      </c>
      <c r="C564" s="1211">
        <v>5</v>
      </c>
      <c r="D564" s="1212"/>
      <c r="E564" s="1212"/>
      <c r="F564" s="1212"/>
      <c r="G564" s="1212"/>
      <c r="H564" s="1212"/>
      <c r="I564" s="1211">
        <v>0</v>
      </c>
      <c r="J564" s="1202">
        <v>0</v>
      </c>
      <c r="K564" s="1203">
        <v>0</v>
      </c>
      <c r="L564" s="1203">
        <v>0</v>
      </c>
      <c r="M564" s="1203">
        <v>0</v>
      </c>
      <c r="N564" s="1203">
        <v>0</v>
      </c>
      <c r="O564" s="1203">
        <v>0</v>
      </c>
      <c r="P564" s="1203">
        <v>0</v>
      </c>
      <c r="Q564" s="1203">
        <v>0</v>
      </c>
      <c r="R564" s="1203">
        <v>0</v>
      </c>
      <c r="S564" s="1203">
        <v>0</v>
      </c>
    </row>
    <row r="565" spans="1:19" hidden="1" outlineLevel="1">
      <c r="A565" s="1198">
        <v>882</v>
      </c>
      <c r="B565" s="1199" t="s">
        <v>2016</v>
      </c>
      <c r="C565" s="1211">
        <v>5</v>
      </c>
      <c r="D565" s="1212"/>
      <c r="E565" s="1212"/>
      <c r="F565" s="1212"/>
      <c r="G565" s="1212"/>
      <c r="H565" s="1212"/>
      <c r="I565" s="1211">
        <v>0</v>
      </c>
      <c r="J565" s="1202">
        <v>0</v>
      </c>
      <c r="K565" s="1203">
        <v>0</v>
      </c>
      <c r="L565" s="1203">
        <v>0</v>
      </c>
      <c r="M565" s="1203">
        <v>0</v>
      </c>
      <c r="N565" s="1203">
        <v>0</v>
      </c>
      <c r="O565" s="1203">
        <v>0</v>
      </c>
      <c r="P565" s="1203">
        <v>0</v>
      </c>
      <c r="Q565" s="1203">
        <v>0</v>
      </c>
      <c r="R565" s="1203">
        <v>0</v>
      </c>
      <c r="S565" s="1203">
        <v>0</v>
      </c>
    </row>
    <row r="566" spans="1:19" hidden="1" outlineLevel="1">
      <c r="A566" s="1198">
        <v>884</v>
      </c>
      <c r="B566" s="1199" t="s">
        <v>2017</v>
      </c>
      <c r="C566" s="1211">
        <v>5</v>
      </c>
      <c r="D566" s="1212"/>
      <c r="E566" s="1212"/>
      <c r="F566" s="1212"/>
      <c r="G566" s="1212"/>
      <c r="H566" s="1212"/>
      <c r="I566" s="1211">
        <v>0</v>
      </c>
      <c r="J566" s="1202">
        <v>0</v>
      </c>
      <c r="K566" s="1203">
        <v>0</v>
      </c>
      <c r="L566" s="1203">
        <v>0</v>
      </c>
      <c r="M566" s="1203">
        <v>0</v>
      </c>
      <c r="N566" s="1203">
        <v>0</v>
      </c>
      <c r="O566" s="1203">
        <v>0</v>
      </c>
      <c r="P566" s="1203">
        <v>0</v>
      </c>
      <c r="Q566" s="1203">
        <v>0</v>
      </c>
      <c r="R566" s="1203">
        <v>0</v>
      </c>
      <c r="S566" s="1203">
        <v>0</v>
      </c>
    </row>
    <row r="567" spans="1:19" hidden="1" outlineLevel="1">
      <c r="A567" s="1198">
        <v>886</v>
      </c>
      <c r="B567" s="1199" t="s">
        <v>2018</v>
      </c>
      <c r="C567" s="1211">
        <v>5</v>
      </c>
      <c r="D567" s="1212"/>
      <c r="E567" s="1212"/>
      <c r="F567" s="1212"/>
      <c r="G567" s="1212"/>
      <c r="H567" s="1212"/>
      <c r="I567" s="1211">
        <v>0</v>
      </c>
      <c r="J567" s="1202">
        <v>0</v>
      </c>
      <c r="K567" s="1203">
        <v>0</v>
      </c>
      <c r="L567" s="1203">
        <v>0</v>
      </c>
      <c r="M567" s="1203">
        <v>0</v>
      </c>
      <c r="N567" s="1203">
        <v>0</v>
      </c>
      <c r="O567" s="1203">
        <v>0</v>
      </c>
      <c r="P567" s="1203">
        <v>0</v>
      </c>
      <c r="Q567" s="1203">
        <v>0</v>
      </c>
      <c r="R567" s="1203">
        <v>0</v>
      </c>
      <c r="S567" s="1203">
        <v>0</v>
      </c>
    </row>
    <row r="568" spans="1:19" hidden="1" outlineLevel="1">
      <c r="A568" s="1198">
        <v>25554</v>
      </c>
      <c r="B568" s="1199" t="s">
        <v>2019</v>
      </c>
      <c r="C568" s="1211">
        <v>5</v>
      </c>
      <c r="D568" s="1212"/>
      <c r="E568" s="1212"/>
      <c r="F568" s="1212"/>
      <c r="G568" s="1212"/>
      <c r="H568" s="1212"/>
      <c r="I568" s="1211">
        <v>0</v>
      </c>
      <c r="J568" s="1202">
        <v>0</v>
      </c>
      <c r="K568" s="1203">
        <v>0</v>
      </c>
      <c r="L568" s="1203">
        <v>0</v>
      </c>
      <c r="M568" s="1203">
        <v>0</v>
      </c>
      <c r="N568" s="1203">
        <v>0</v>
      </c>
      <c r="O568" s="1203">
        <v>0</v>
      </c>
      <c r="P568" s="1203">
        <v>0</v>
      </c>
      <c r="Q568" s="1203">
        <v>0</v>
      </c>
      <c r="R568" s="1203">
        <v>0</v>
      </c>
      <c r="S568" s="1203">
        <v>0</v>
      </c>
    </row>
    <row r="569" spans="1:19" hidden="1" outlineLevel="1">
      <c r="A569" s="1198">
        <v>898</v>
      </c>
      <c r="B569" s="1199" t="s">
        <v>2020</v>
      </c>
      <c r="C569" s="1211">
        <v>5</v>
      </c>
      <c r="D569" s="1212"/>
      <c r="E569" s="1212"/>
      <c r="F569" s="1212"/>
      <c r="G569" s="1212"/>
      <c r="H569" s="1212"/>
      <c r="I569" s="1211">
        <v>0</v>
      </c>
      <c r="J569" s="1202">
        <v>0</v>
      </c>
      <c r="K569" s="1203">
        <v>0</v>
      </c>
      <c r="L569" s="1203">
        <v>0</v>
      </c>
      <c r="M569" s="1203">
        <v>0</v>
      </c>
      <c r="N569" s="1203">
        <v>0</v>
      </c>
      <c r="O569" s="1203">
        <v>0</v>
      </c>
      <c r="P569" s="1203">
        <v>0</v>
      </c>
      <c r="Q569" s="1203">
        <v>0</v>
      </c>
      <c r="R569" s="1203">
        <v>0</v>
      </c>
      <c r="S569" s="1203">
        <v>0</v>
      </c>
    </row>
    <row r="570" spans="1:19" hidden="1" outlineLevel="1">
      <c r="A570" s="1198">
        <v>896</v>
      </c>
      <c r="B570" s="1199" t="s">
        <v>2021</v>
      </c>
      <c r="C570" s="1211">
        <v>5</v>
      </c>
      <c r="D570" s="1212"/>
      <c r="E570" s="1212"/>
      <c r="F570" s="1212"/>
      <c r="G570" s="1212"/>
      <c r="H570" s="1212"/>
      <c r="I570" s="1211">
        <v>0</v>
      </c>
      <c r="J570" s="1202">
        <v>0</v>
      </c>
      <c r="K570" s="1203">
        <v>0</v>
      </c>
      <c r="L570" s="1203">
        <v>0</v>
      </c>
      <c r="M570" s="1203">
        <v>0</v>
      </c>
      <c r="N570" s="1203">
        <v>0</v>
      </c>
      <c r="O570" s="1203">
        <v>0</v>
      </c>
      <c r="P570" s="1203">
        <v>0</v>
      </c>
      <c r="Q570" s="1203">
        <v>0</v>
      </c>
      <c r="R570" s="1203">
        <v>0</v>
      </c>
      <c r="S570" s="1203">
        <v>0</v>
      </c>
    </row>
    <row r="571" spans="1:19" hidden="1" outlineLevel="1">
      <c r="A571" s="1198">
        <v>104952</v>
      </c>
      <c r="B571" s="1199" t="s">
        <v>2022</v>
      </c>
      <c r="C571" s="1211">
        <v>5</v>
      </c>
      <c r="D571" s="1212"/>
      <c r="E571" s="1212"/>
      <c r="F571" s="1212"/>
      <c r="G571" s="1212"/>
      <c r="H571" s="1212"/>
      <c r="I571" s="1211">
        <v>0</v>
      </c>
      <c r="J571" s="1202">
        <v>0</v>
      </c>
      <c r="K571" s="1203">
        <v>0</v>
      </c>
      <c r="L571" s="1203">
        <v>0</v>
      </c>
      <c r="M571" s="1203">
        <v>0</v>
      </c>
      <c r="N571" s="1203">
        <v>0</v>
      </c>
      <c r="O571" s="1203">
        <v>0</v>
      </c>
      <c r="P571" s="1203">
        <v>0</v>
      </c>
      <c r="Q571" s="1203">
        <v>0</v>
      </c>
      <c r="R571" s="1203">
        <v>0</v>
      </c>
      <c r="S571" s="1203">
        <v>0</v>
      </c>
    </row>
    <row r="572" spans="1:19" hidden="1" outlineLevel="1">
      <c r="A572" s="1198">
        <v>305</v>
      </c>
      <c r="B572" s="1199" t="s">
        <v>2023</v>
      </c>
      <c r="C572" s="1211">
        <v>5</v>
      </c>
      <c r="D572" s="1212"/>
      <c r="E572" s="1212"/>
      <c r="F572" s="1212"/>
      <c r="G572" s="1212"/>
      <c r="H572" s="1212"/>
      <c r="I572" s="1211">
        <v>0</v>
      </c>
      <c r="J572" s="1202">
        <v>0</v>
      </c>
      <c r="K572" s="1203">
        <v>0</v>
      </c>
      <c r="L572" s="1203">
        <v>0</v>
      </c>
      <c r="M572" s="1203">
        <v>0</v>
      </c>
      <c r="N572" s="1203">
        <v>0</v>
      </c>
      <c r="O572" s="1203">
        <v>0</v>
      </c>
      <c r="P572" s="1203">
        <v>0</v>
      </c>
      <c r="Q572" s="1203">
        <v>0</v>
      </c>
      <c r="R572" s="1203">
        <v>0</v>
      </c>
      <c r="S572" s="1203">
        <v>0</v>
      </c>
    </row>
    <row r="573" spans="1:19" hidden="1" outlineLevel="1">
      <c r="A573" s="1198">
        <v>109348</v>
      </c>
      <c r="B573" s="1199" t="s">
        <v>2024</v>
      </c>
      <c r="C573" s="1211">
        <v>5</v>
      </c>
      <c r="D573" s="1212"/>
      <c r="E573" s="1212"/>
      <c r="F573" s="1212"/>
      <c r="G573" s="1212"/>
      <c r="H573" s="1212"/>
      <c r="I573" s="1211">
        <v>0</v>
      </c>
      <c r="J573" s="1202">
        <v>0</v>
      </c>
      <c r="K573" s="1203">
        <v>0</v>
      </c>
      <c r="L573" s="1203">
        <v>0</v>
      </c>
      <c r="M573" s="1203">
        <v>0</v>
      </c>
      <c r="N573" s="1203">
        <v>0</v>
      </c>
      <c r="O573" s="1203">
        <v>0</v>
      </c>
      <c r="P573" s="1203">
        <v>0</v>
      </c>
      <c r="Q573" s="1203">
        <v>0</v>
      </c>
      <c r="R573" s="1203">
        <v>0</v>
      </c>
      <c r="S573" s="1203">
        <v>0</v>
      </c>
    </row>
    <row r="574" spans="1:19" hidden="1" outlineLevel="1">
      <c r="A574" s="1198">
        <v>4952</v>
      </c>
      <c r="B574" s="1199" t="s">
        <v>2025</v>
      </c>
      <c r="C574" s="1211">
        <v>5</v>
      </c>
      <c r="D574" s="1212"/>
      <c r="E574" s="1212"/>
      <c r="F574" s="1212"/>
      <c r="G574" s="1212"/>
      <c r="H574" s="1212"/>
      <c r="I574" s="1211">
        <v>0</v>
      </c>
      <c r="J574" s="1202">
        <v>0</v>
      </c>
      <c r="K574" s="1203">
        <v>0</v>
      </c>
      <c r="L574" s="1203">
        <v>0</v>
      </c>
      <c r="M574" s="1203">
        <v>0</v>
      </c>
      <c r="N574" s="1203">
        <v>0</v>
      </c>
      <c r="O574" s="1203">
        <v>0</v>
      </c>
      <c r="P574" s="1203">
        <v>0</v>
      </c>
      <c r="Q574" s="1203">
        <v>0</v>
      </c>
      <c r="R574" s="1203">
        <v>0</v>
      </c>
      <c r="S574" s="1203">
        <v>0</v>
      </c>
    </row>
    <row r="575" spans="1:19" hidden="1" outlineLevel="1">
      <c r="A575" s="1198">
        <v>9348</v>
      </c>
      <c r="B575" s="1199" t="s">
        <v>2026</v>
      </c>
      <c r="C575" s="1211">
        <v>5</v>
      </c>
      <c r="D575" s="1212"/>
      <c r="E575" s="1212"/>
      <c r="F575" s="1212"/>
      <c r="G575" s="1212"/>
      <c r="H575" s="1212"/>
      <c r="I575" s="1211">
        <v>0</v>
      </c>
      <c r="J575" s="1202">
        <v>0</v>
      </c>
      <c r="K575" s="1203">
        <v>0</v>
      </c>
      <c r="L575" s="1203">
        <v>0</v>
      </c>
      <c r="M575" s="1203">
        <v>0</v>
      </c>
      <c r="N575" s="1203">
        <v>0</v>
      </c>
      <c r="O575" s="1203">
        <v>0</v>
      </c>
      <c r="P575" s="1203">
        <v>0</v>
      </c>
      <c r="Q575" s="1203">
        <v>0</v>
      </c>
      <c r="R575" s="1203">
        <v>0</v>
      </c>
      <c r="S575" s="1203">
        <v>0</v>
      </c>
    </row>
    <row r="576" spans="1:19" hidden="1" outlineLevel="1">
      <c r="A576" s="1198">
        <v>3659</v>
      </c>
      <c r="B576" s="1199" t="s">
        <v>2027</v>
      </c>
      <c r="C576" s="1211">
        <v>5</v>
      </c>
      <c r="D576" s="1212"/>
      <c r="E576" s="1212"/>
      <c r="F576" s="1212"/>
      <c r="G576" s="1212"/>
      <c r="H576" s="1212"/>
      <c r="I576" s="1211">
        <v>0</v>
      </c>
      <c r="J576" s="1202">
        <v>0</v>
      </c>
      <c r="K576" s="1203">
        <v>0</v>
      </c>
      <c r="L576" s="1203">
        <v>0</v>
      </c>
      <c r="M576" s="1203">
        <v>0</v>
      </c>
      <c r="N576" s="1203">
        <v>0</v>
      </c>
      <c r="O576" s="1203">
        <v>0</v>
      </c>
      <c r="P576" s="1203">
        <v>0</v>
      </c>
      <c r="Q576" s="1203">
        <v>0</v>
      </c>
      <c r="R576" s="1203">
        <v>0</v>
      </c>
      <c r="S576" s="1203">
        <v>0</v>
      </c>
    </row>
    <row r="577" spans="1:19" hidden="1" outlineLevel="1">
      <c r="A577" s="1198">
        <v>203</v>
      </c>
      <c r="B577" s="1199" t="s">
        <v>2028</v>
      </c>
      <c r="C577" s="1211">
        <v>5</v>
      </c>
      <c r="D577" s="1212"/>
      <c r="E577" s="1212"/>
      <c r="F577" s="1212"/>
      <c r="G577" s="1212"/>
      <c r="H577" s="1212"/>
      <c r="I577" s="1211">
        <v>0</v>
      </c>
      <c r="J577" s="1202">
        <v>0</v>
      </c>
      <c r="K577" s="1203">
        <v>0</v>
      </c>
      <c r="L577" s="1203">
        <v>0</v>
      </c>
      <c r="M577" s="1203">
        <v>0</v>
      </c>
      <c r="N577" s="1203">
        <v>0</v>
      </c>
      <c r="O577" s="1203">
        <v>0</v>
      </c>
      <c r="P577" s="1203">
        <v>0</v>
      </c>
      <c r="Q577" s="1203">
        <v>0</v>
      </c>
      <c r="R577" s="1203">
        <v>0</v>
      </c>
      <c r="S577" s="1203">
        <v>0</v>
      </c>
    </row>
    <row r="578" spans="1:19" hidden="1" outlineLevel="1">
      <c r="A578" s="1198">
        <v>403</v>
      </c>
      <c r="B578" s="1199" t="s">
        <v>2029</v>
      </c>
      <c r="C578" s="1211">
        <v>5</v>
      </c>
      <c r="D578" s="1212"/>
      <c r="E578" s="1212"/>
      <c r="F578" s="1212"/>
      <c r="G578" s="1212"/>
      <c r="H578" s="1212"/>
      <c r="I578" s="1211">
        <v>0</v>
      </c>
      <c r="J578" s="1202">
        <v>0</v>
      </c>
      <c r="K578" s="1203">
        <v>0</v>
      </c>
      <c r="L578" s="1203">
        <v>0</v>
      </c>
      <c r="M578" s="1203">
        <v>0</v>
      </c>
      <c r="N578" s="1203">
        <v>0</v>
      </c>
      <c r="O578" s="1203">
        <v>0</v>
      </c>
      <c r="P578" s="1203">
        <v>0</v>
      </c>
      <c r="Q578" s="1203">
        <v>0</v>
      </c>
      <c r="R578" s="1203">
        <v>0</v>
      </c>
      <c r="S578" s="1203">
        <v>0</v>
      </c>
    </row>
    <row r="579" spans="1:19" hidden="1" outlineLevel="1">
      <c r="A579" s="1198">
        <v>303</v>
      </c>
      <c r="B579" s="1199" t="s">
        <v>2030</v>
      </c>
      <c r="C579" s="1211">
        <v>5</v>
      </c>
      <c r="D579" s="1212"/>
      <c r="E579" s="1212"/>
      <c r="F579" s="1212"/>
      <c r="G579" s="1212"/>
      <c r="H579" s="1212"/>
      <c r="I579" s="1211">
        <v>0</v>
      </c>
      <c r="J579" s="1202">
        <v>0</v>
      </c>
      <c r="K579" s="1203">
        <v>0</v>
      </c>
      <c r="L579" s="1203">
        <v>0</v>
      </c>
      <c r="M579" s="1203">
        <v>0</v>
      </c>
      <c r="N579" s="1203">
        <v>0</v>
      </c>
      <c r="O579" s="1203">
        <v>0</v>
      </c>
      <c r="P579" s="1203">
        <v>0</v>
      </c>
      <c r="Q579" s="1203">
        <v>0</v>
      </c>
      <c r="R579" s="1203">
        <v>0</v>
      </c>
      <c r="S579" s="1203">
        <v>0</v>
      </c>
    </row>
    <row r="580" spans="1:19" hidden="1" outlineLevel="1">
      <c r="A580" s="1198">
        <v>6956</v>
      </c>
      <c r="B580" s="1199" t="s">
        <v>2031</v>
      </c>
      <c r="C580" s="1211">
        <v>5</v>
      </c>
      <c r="D580" s="1212"/>
      <c r="E580" s="1212"/>
      <c r="F580" s="1212"/>
      <c r="G580" s="1212"/>
      <c r="H580" s="1212"/>
      <c r="I580" s="1211">
        <v>0</v>
      </c>
      <c r="J580" s="1202">
        <v>0</v>
      </c>
      <c r="K580" s="1203">
        <v>0</v>
      </c>
      <c r="L580" s="1203">
        <v>0</v>
      </c>
      <c r="M580" s="1203">
        <v>0</v>
      </c>
      <c r="N580" s="1203">
        <v>0</v>
      </c>
      <c r="O580" s="1203">
        <v>0</v>
      </c>
      <c r="P580" s="1203">
        <v>0</v>
      </c>
      <c r="Q580" s="1203">
        <v>0</v>
      </c>
      <c r="R580" s="1203">
        <v>0</v>
      </c>
      <c r="S580" s="1203">
        <v>0</v>
      </c>
    </row>
    <row r="581" spans="1:19" hidden="1" outlineLevel="1">
      <c r="A581" s="1198">
        <v>402</v>
      </c>
      <c r="B581" s="1199" t="s">
        <v>2032</v>
      </c>
      <c r="C581" s="1211">
        <v>5</v>
      </c>
      <c r="D581" s="1212"/>
      <c r="E581" s="1212"/>
      <c r="F581" s="1212"/>
      <c r="G581" s="1212"/>
      <c r="H581" s="1212"/>
      <c r="I581" s="1211">
        <v>0</v>
      </c>
      <c r="J581" s="1202">
        <v>0</v>
      </c>
      <c r="K581" s="1203">
        <v>0</v>
      </c>
      <c r="L581" s="1203">
        <v>0</v>
      </c>
      <c r="M581" s="1203">
        <v>0</v>
      </c>
      <c r="N581" s="1203">
        <v>0</v>
      </c>
      <c r="O581" s="1203">
        <v>0</v>
      </c>
      <c r="P581" s="1203">
        <v>0</v>
      </c>
      <c r="Q581" s="1203">
        <v>0</v>
      </c>
      <c r="R581" s="1203">
        <v>0</v>
      </c>
      <c r="S581" s="1203">
        <v>0</v>
      </c>
    </row>
    <row r="582" spans="1:19" hidden="1" outlineLevel="1">
      <c r="A582" s="1198">
        <v>201</v>
      </c>
      <c r="B582" s="1199" t="s">
        <v>2033</v>
      </c>
      <c r="C582" s="1211">
        <v>5</v>
      </c>
      <c r="D582" s="1212"/>
      <c r="E582" s="1212"/>
      <c r="F582" s="1212"/>
      <c r="G582" s="1212"/>
      <c r="H582" s="1212"/>
      <c r="I582" s="1211">
        <v>0</v>
      </c>
      <c r="J582" s="1202">
        <v>0</v>
      </c>
      <c r="K582" s="1203">
        <v>0</v>
      </c>
      <c r="L582" s="1203">
        <v>0</v>
      </c>
      <c r="M582" s="1203">
        <v>0</v>
      </c>
      <c r="N582" s="1203">
        <v>0</v>
      </c>
      <c r="O582" s="1203">
        <v>0</v>
      </c>
      <c r="P582" s="1203">
        <v>0</v>
      </c>
      <c r="Q582" s="1203">
        <v>0</v>
      </c>
      <c r="R582" s="1203">
        <v>0</v>
      </c>
      <c r="S582" s="1203">
        <v>0</v>
      </c>
    </row>
    <row r="583" spans="1:19" hidden="1" outlineLevel="1">
      <c r="A583" s="1198">
        <v>302</v>
      </c>
      <c r="B583" s="1199" t="s">
        <v>2034</v>
      </c>
      <c r="C583" s="1211">
        <v>5</v>
      </c>
      <c r="D583" s="1212"/>
      <c r="E583" s="1212"/>
      <c r="F583" s="1212"/>
      <c r="G583" s="1212"/>
      <c r="H583" s="1212"/>
      <c r="I583" s="1211">
        <v>0</v>
      </c>
      <c r="J583" s="1202">
        <v>0</v>
      </c>
      <c r="K583" s="1203">
        <v>0</v>
      </c>
      <c r="L583" s="1203">
        <v>0</v>
      </c>
      <c r="M583" s="1203">
        <v>0</v>
      </c>
      <c r="N583" s="1203">
        <v>0</v>
      </c>
      <c r="O583" s="1203">
        <v>0</v>
      </c>
      <c r="P583" s="1203">
        <v>0</v>
      </c>
      <c r="Q583" s="1203">
        <v>0</v>
      </c>
      <c r="R583" s="1203">
        <v>0</v>
      </c>
      <c r="S583" s="1203">
        <v>0</v>
      </c>
    </row>
    <row r="584" spans="1:19" hidden="1" outlineLevel="1">
      <c r="A584" s="1198">
        <v>3660</v>
      </c>
      <c r="B584" s="1199" t="s">
        <v>2035</v>
      </c>
      <c r="C584" s="1211">
        <v>5</v>
      </c>
      <c r="D584" s="1212"/>
      <c r="E584" s="1212"/>
      <c r="F584" s="1212"/>
      <c r="G584" s="1212"/>
      <c r="H584" s="1212"/>
      <c r="I584" s="1211">
        <v>0</v>
      </c>
      <c r="J584" s="1202">
        <v>0</v>
      </c>
      <c r="K584" s="1203">
        <v>0</v>
      </c>
      <c r="L584" s="1203">
        <v>0</v>
      </c>
      <c r="M584" s="1203">
        <v>0</v>
      </c>
      <c r="N584" s="1203">
        <v>0</v>
      </c>
      <c r="O584" s="1203">
        <v>0</v>
      </c>
      <c r="P584" s="1203">
        <v>0</v>
      </c>
      <c r="Q584" s="1203">
        <v>0</v>
      </c>
      <c r="R584" s="1203">
        <v>0</v>
      </c>
      <c r="S584" s="1203">
        <v>0</v>
      </c>
    </row>
    <row r="585" spans="1:19" hidden="1" outlineLevel="1">
      <c r="A585" s="1198">
        <v>101</v>
      </c>
      <c r="B585" s="1199" t="s">
        <v>2036</v>
      </c>
      <c r="C585" s="1211">
        <v>5</v>
      </c>
      <c r="D585" s="1212"/>
      <c r="E585" s="1212"/>
      <c r="F585" s="1212"/>
      <c r="G585" s="1212"/>
      <c r="H585" s="1212"/>
      <c r="I585" s="1211">
        <v>0</v>
      </c>
      <c r="J585" s="1202">
        <v>0</v>
      </c>
      <c r="K585" s="1203">
        <v>0</v>
      </c>
      <c r="L585" s="1203">
        <v>0</v>
      </c>
      <c r="M585" s="1203">
        <v>0</v>
      </c>
      <c r="N585" s="1203">
        <v>0</v>
      </c>
      <c r="O585" s="1203">
        <v>0</v>
      </c>
      <c r="P585" s="1203">
        <v>0</v>
      </c>
      <c r="Q585" s="1203">
        <v>0</v>
      </c>
      <c r="R585" s="1203">
        <v>0</v>
      </c>
      <c r="S585" s="1203">
        <v>0</v>
      </c>
    </row>
    <row r="586" spans="1:19" hidden="1" outlineLevel="1">
      <c r="A586" s="1198">
        <v>10019</v>
      </c>
      <c r="B586" s="1199" t="s">
        <v>2037</v>
      </c>
      <c r="C586" s="1211">
        <v>5</v>
      </c>
      <c r="D586" s="1212"/>
      <c r="E586" s="1212"/>
      <c r="F586" s="1212"/>
      <c r="G586" s="1212"/>
      <c r="H586" s="1212"/>
      <c r="I586" s="1211">
        <v>0</v>
      </c>
      <c r="J586" s="1202">
        <v>0</v>
      </c>
      <c r="K586" s="1203">
        <v>0</v>
      </c>
      <c r="L586" s="1203">
        <v>0</v>
      </c>
      <c r="M586" s="1203">
        <v>0</v>
      </c>
      <c r="N586" s="1203">
        <v>0</v>
      </c>
      <c r="O586" s="1203">
        <v>0</v>
      </c>
      <c r="P586" s="1203">
        <v>0</v>
      </c>
      <c r="Q586" s="1203">
        <v>0</v>
      </c>
      <c r="R586" s="1203">
        <v>0</v>
      </c>
      <c r="S586" s="1203">
        <v>0</v>
      </c>
    </row>
    <row r="587" spans="1:19" hidden="1" outlineLevel="1">
      <c r="A587" s="1198">
        <v>871</v>
      </c>
      <c r="B587" s="1199" t="s">
        <v>2038</v>
      </c>
      <c r="C587" s="1211">
        <v>5</v>
      </c>
      <c r="D587" s="1212"/>
      <c r="E587" s="1212"/>
      <c r="F587" s="1212"/>
      <c r="G587" s="1212"/>
      <c r="H587" s="1212"/>
      <c r="I587" s="1211">
        <v>0</v>
      </c>
      <c r="J587" s="1202">
        <v>0</v>
      </c>
      <c r="K587" s="1203">
        <v>0</v>
      </c>
      <c r="L587" s="1203">
        <v>0</v>
      </c>
      <c r="M587" s="1203">
        <v>0</v>
      </c>
      <c r="N587" s="1203">
        <v>0</v>
      </c>
      <c r="O587" s="1203">
        <v>0</v>
      </c>
      <c r="P587" s="1203">
        <v>0</v>
      </c>
      <c r="Q587" s="1203">
        <v>0</v>
      </c>
      <c r="R587" s="1203">
        <v>0</v>
      </c>
      <c r="S587" s="1203">
        <v>0</v>
      </c>
    </row>
    <row r="588" spans="1:19" hidden="1" outlineLevel="1">
      <c r="A588" s="1198">
        <v>872</v>
      </c>
      <c r="B588" s="1199" t="s">
        <v>2039</v>
      </c>
      <c r="C588" s="1211">
        <v>5</v>
      </c>
      <c r="D588" s="1212"/>
      <c r="E588" s="1212"/>
      <c r="F588" s="1212"/>
      <c r="G588" s="1212"/>
      <c r="H588" s="1212"/>
      <c r="I588" s="1211">
        <v>0</v>
      </c>
      <c r="J588" s="1202">
        <v>0</v>
      </c>
      <c r="K588" s="1203">
        <v>0</v>
      </c>
      <c r="L588" s="1203">
        <v>0</v>
      </c>
      <c r="M588" s="1203">
        <v>0</v>
      </c>
      <c r="N588" s="1203">
        <v>0</v>
      </c>
      <c r="O588" s="1203">
        <v>0</v>
      </c>
      <c r="P588" s="1203">
        <v>0</v>
      </c>
      <c r="Q588" s="1203">
        <v>0</v>
      </c>
      <c r="R588" s="1203">
        <v>0</v>
      </c>
      <c r="S588" s="1203">
        <v>0</v>
      </c>
    </row>
    <row r="589" spans="1:19" hidden="1" outlineLevel="1">
      <c r="A589" s="1198">
        <v>874</v>
      </c>
      <c r="B589" s="1199" t="s">
        <v>2040</v>
      </c>
      <c r="C589" s="1211">
        <v>5</v>
      </c>
      <c r="D589" s="1212"/>
      <c r="E589" s="1212"/>
      <c r="F589" s="1212"/>
      <c r="G589" s="1212"/>
      <c r="H589" s="1212"/>
      <c r="I589" s="1211">
        <v>0</v>
      </c>
      <c r="J589" s="1202">
        <v>0</v>
      </c>
      <c r="K589" s="1203">
        <v>0</v>
      </c>
      <c r="L589" s="1203">
        <v>0</v>
      </c>
      <c r="M589" s="1203">
        <v>0</v>
      </c>
      <c r="N589" s="1203">
        <v>0</v>
      </c>
      <c r="O589" s="1203">
        <v>0</v>
      </c>
      <c r="P589" s="1203">
        <v>0</v>
      </c>
      <c r="Q589" s="1203">
        <v>0</v>
      </c>
      <c r="R589" s="1203">
        <v>0</v>
      </c>
      <c r="S589" s="1203">
        <v>0</v>
      </c>
    </row>
    <row r="590" spans="1:19" hidden="1" outlineLevel="1">
      <c r="A590" s="1198">
        <v>876</v>
      </c>
      <c r="B590" s="1199" t="s">
        <v>2041</v>
      </c>
      <c r="C590" s="1211">
        <v>5</v>
      </c>
      <c r="D590" s="1212"/>
      <c r="E590" s="1212"/>
      <c r="F590" s="1212"/>
      <c r="G590" s="1212"/>
      <c r="H590" s="1212"/>
      <c r="I590" s="1211">
        <v>0</v>
      </c>
      <c r="J590" s="1202">
        <v>0</v>
      </c>
      <c r="K590" s="1203">
        <v>0</v>
      </c>
      <c r="L590" s="1203">
        <v>0</v>
      </c>
      <c r="M590" s="1203">
        <v>0</v>
      </c>
      <c r="N590" s="1203">
        <v>0</v>
      </c>
      <c r="O590" s="1203">
        <v>0</v>
      </c>
      <c r="P590" s="1203">
        <v>0</v>
      </c>
      <c r="Q590" s="1203">
        <v>0</v>
      </c>
      <c r="R590" s="1203">
        <v>0</v>
      </c>
      <c r="S590" s="1203">
        <v>0</v>
      </c>
    </row>
    <row r="591" spans="1:19" hidden="1" outlineLevel="1">
      <c r="A591" s="1198">
        <v>878</v>
      </c>
      <c r="B591" s="1199" t="s">
        <v>2042</v>
      </c>
      <c r="C591" s="1211">
        <v>5</v>
      </c>
      <c r="D591" s="1212"/>
      <c r="E591" s="1212"/>
      <c r="F591" s="1212"/>
      <c r="G591" s="1212"/>
      <c r="H591" s="1212"/>
      <c r="I591" s="1211">
        <v>0</v>
      </c>
      <c r="J591" s="1202">
        <v>0</v>
      </c>
      <c r="K591" s="1203">
        <v>0</v>
      </c>
      <c r="L591" s="1203">
        <v>0</v>
      </c>
      <c r="M591" s="1203">
        <v>0</v>
      </c>
      <c r="N591" s="1203">
        <v>0</v>
      </c>
      <c r="O591" s="1203">
        <v>0</v>
      </c>
      <c r="P591" s="1203">
        <v>0</v>
      </c>
      <c r="Q591" s="1203">
        <v>0</v>
      </c>
      <c r="R591" s="1203">
        <v>0</v>
      </c>
      <c r="S591" s="1203">
        <v>0</v>
      </c>
    </row>
    <row r="592" spans="1:19" hidden="1" outlineLevel="1">
      <c r="A592" s="1198">
        <v>870</v>
      </c>
      <c r="B592" s="1199" t="s">
        <v>2043</v>
      </c>
      <c r="C592" s="1211">
        <v>5</v>
      </c>
      <c r="D592" s="1212"/>
      <c r="E592" s="1212"/>
      <c r="F592" s="1212"/>
      <c r="G592" s="1212"/>
      <c r="H592" s="1212"/>
      <c r="I592" s="1211">
        <v>0</v>
      </c>
      <c r="J592" s="1202">
        <v>0</v>
      </c>
      <c r="K592" s="1203">
        <v>0</v>
      </c>
      <c r="L592" s="1203">
        <v>0</v>
      </c>
      <c r="M592" s="1203">
        <v>0</v>
      </c>
      <c r="N592" s="1203">
        <v>0</v>
      </c>
      <c r="O592" s="1203">
        <v>0</v>
      </c>
      <c r="P592" s="1203">
        <v>0</v>
      </c>
      <c r="Q592" s="1203">
        <v>0</v>
      </c>
      <c r="R592" s="1203">
        <v>0</v>
      </c>
      <c r="S592" s="1203">
        <v>0</v>
      </c>
    </row>
    <row r="593" spans="1:19" hidden="1" outlineLevel="1">
      <c r="A593" s="1198">
        <v>480</v>
      </c>
      <c r="B593" s="1199" t="s">
        <v>2044</v>
      </c>
      <c r="C593" s="1211">
        <v>5</v>
      </c>
      <c r="D593" s="1212"/>
      <c r="E593" s="1212"/>
      <c r="F593" s="1212"/>
      <c r="G593" s="1212"/>
      <c r="H593" s="1212"/>
      <c r="I593" s="1211">
        <v>0</v>
      </c>
      <c r="J593" s="1202">
        <v>0</v>
      </c>
      <c r="K593" s="1203">
        <v>0</v>
      </c>
      <c r="L593" s="1203">
        <v>0</v>
      </c>
      <c r="M593" s="1203">
        <v>0</v>
      </c>
      <c r="N593" s="1203">
        <v>0</v>
      </c>
      <c r="O593" s="1203">
        <v>0</v>
      </c>
      <c r="P593" s="1203">
        <v>0</v>
      </c>
      <c r="Q593" s="1203">
        <v>0</v>
      </c>
      <c r="R593" s="1203">
        <v>0</v>
      </c>
      <c r="S593" s="1203">
        <v>0</v>
      </c>
    </row>
    <row r="594" spans="1:19" hidden="1" outlineLevel="1">
      <c r="A594" s="1198">
        <v>3535</v>
      </c>
      <c r="B594" s="1199" t="s">
        <v>2045</v>
      </c>
      <c r="C594" s="1211">
        <v>8</v>
      </c>
      <c r="D594" s="1212"/>
      <c r="E594" s="1212"/>
      <c r="F594" s="1212"/>
      <c r="G594" s="1212"/>
      <c r="H594" s="1212"/>
      <c r="I594" s="1211">
        <v>0</v>
      </c>
      <c r="J594" s="1202">
        <v>0</v>
      </c>
      <c r="K594" s="1203">
        <v>0</v>
      </c>
      <c r="L594" s="1203">
        <v>0</v>
      </c>
      <c r="M594" s="1203">
        <v>0</v>
      </c>
      <c r="N594" s="1203">
        <v>0</v>
      </c>
      <c r="O594" s="1203">
        <v>0</v>
      </c>
      <c r="P594" s="1203">
        <v>0</v>
      </c>
      <c r="Q594" s="1203">
        <v>0</v>
      </c>
      <c r="R594" s="1203">
        <v>0</v>
      </c>
      <c r="S594" s="1203">
        <v>0</v>
      </c>
    </row>
    <row r="595" spans="1:19" hidden="1" outlineLevel="1">
      <c r="A595" s="1198">
        <v>450553</v>
      </c>
      <c r="B595" s="1199" t="s">
        <v>2046</v>
      </c>
      <c r="C595" s="1211">
        <v>8</v>
      </c>
      <c r="D595" s="1212"/>
      <c r="E595" s="1212"/>
      <c r="F595" s="1212"/>
      <c r="G595" s="1212"/>
      <c r="H595" s="1212"/>
      <c r="I595" s="1211">
        <v>0</v>
      </c>
      <c r="J595" s="1202">
        <v>0</v>
      </c>
      <c r="K595" s="1203">
        <v>0</v>
      </c>
      <c r="L595" s="1203">
        <v>0</v>
      </c>
      <c r="M595" s="1203">
        <v>0</v>
      </c>
      <c r="N595" s="1203">
        <v>0</v>
      </c>
      <c r="O595" s="1203">
        <v>0</v>
      </c>
      <c r="P595" s="1203">
        <v>0</v>
      </c>
      <c r="Q595" s="1203">
        <v>0</v>
      </c>
      <c r="R595" s="1203">
        <v>0</v>
      </c>
      <c r="S595" s="1203">
        <v>0</v>
      </c>
    </row>
    <row r="596" spans="1:19" hidden="1" outlineLevel="1">
      <c r="A596" s="1198">
        <v>223472</v>
      </c>
      <c r="B596" s="1199" t="s">
        <v>2047</v>
      </c>
      <c r="C596" s="1211">
        <v>8</v>
      </c>
      <c r="D596" s="1212"/>
      <c r="E596" s="1212"/>
      <c r="F596" s="1212"/>
      <c r="G596" s="1212"/>
      <c r="H596" s="1212"/>
      <c r="I596" s="1211">
        <v>0</v>
      </c>
      <c r="J596" s="1202">
        <v>0</v>
      </c>
      <c r="K596" s="1203">
        <v>0</v>
      </c>
      <c r="L596" s="1203">
        <v>0</v>
      </c>
      <c r="M596" s="1203">
        <v>0</v>
      </c>
      <c r="N596" s="1203">
        <v>0</v>
      </c>
      <c r="O596" s="1203">
        <v>0</v>
      </c>
      <c r="P596" s="1203">
        <v>0</v>
      </c>
      <c r="Q596" s="1203">
        <v>0</v>
      </c>
      <c r="R596" s="1203">
        <v>0</v>
      </c>
      <c r="S596" s="1203">
        <v>0</v>
      </c>
    </row>
    <row r="597" spans="1:19" hidden="1" outlineLevel="1">
      <c r="A597" s="1198">
        <v>441928</v>
      </c>
      <c r="B597" s="1199" t="s">
        <v>2048</v>
      </c>
      <c r="C597" s="1211">
        <v>8</v>
      </c>
      <c r="D597" s="1212"/>
      <c r="E597" s="1212"/>
      <c r="F597" s="1212"/>
      <c r="G597" s="1212"/>
      <c r="H597" s="1212"/>
      <c r="I597" s="1211">
        <v>0</v>
      </c>
      <c r="J597" s="1202">
        <v>0</v>
      </c>
      <c r="K597" s="1203">
        <v>0</v>
      </c>
      <c r="L597" s="1203">
        <v>0</v>
      </c>
      <c r="M597" s="1203">
        <v>0</v>
      </c>
      <c r="N597" s="1203">
        <v>0</v>
      </c>
      <c r="O597" s="1203">
        <v>0</v>
      </c>
      <c r="P597" s="1203">
        <v>0</v>
      </c>
      <c r="Q597" s="1203">
        <v>0</v>
      </c>
      <c r="R597" s="1203">
        <v>0</v>
      </c>
      <c r="S597" s="1203">
        <v>0</v>
      </c>
    </row>
    <row r="598" spans="1:19" hidden="1" outlineLevel="1">
      <c r="A598" s="1198">
        <v>420307</v>
      </c>
      <c r="B598" s="1199" t="s">
        <v>2049</v>
      </c>
      <c r="C598" s="1211">
        <v>8</v>
      </c>
      <c r="D598" s="1212"/>
      <c r="E598" s="1212"/>
      <c r="F598" s="1212"/>
      <c r="G598" s="1212"/>
      <c r="H598" s="1212"/>
      <c r="I598" s="1211">
        <v>0</v>
      </c>
      <c r="J598" s="1202">
        <v>0</v>
      </c>
      <c r="K598" s="1203">
        <v>0</v>
      </c>
      <c r="L598" s="1203">
        <v>0</v>
      </c>
      <c r="M598" s="1203">
        <v>0</v>
      </c>
      <c r="N598" s="1203">
        <v>0</v>
      </c>
      <c r="O598" s="1203">
        <v>0</v>
      </c>
      <c r="P598" s="1203">
        <v>0</v>
      </c>
      <c r="Q598" s="1203">
        <v>0</v>
      </c>
      <c r="R598" s="1203">
        <v>0</v>
      </c>
      <c r="S598" s="1203">
        <v>0</v>
      </c>
    </row>
    <row r="599" spans="1:19" hidden="1" outlineLevel="1">
      <c r="A599" s="1198">
        <v>900072</v>
      </c>
      <c r="B599" s="1199" t="s">
        <v>2050</v>
      </c>
      <c r="C599" s="1211">
        <v>8</v>
      </c>
      <c r="D599" s="1212"/>
      <c r="E599" s="1212"/>
      <c r="F599" s="1212"/>
      <c r="G599" s="1212"/>
      <c r="H599" s="1212"/>
      <c r="I599" s="1211">
        <v>0</v>
      </c>
      <c r="J599" s="1202">
        <v>0</v>
      </c>
      <c r="K599" s="1203">
        <v>0</v>
      </c>
      <c r="L599" s="1203">
        <v>0</v>
      </c>
      <c r="M599" s="1203">
        <v>0</v>
      </c>
      <c r="N599" s="1203">
        <v>0</v>
      </c>
      <c r="O599" s="1203">
        <v>0</v>
      </c>
      <c r="P599" s="1203">
        <v>0</v>
      </c>
      <c r="Q599" s="1203">
        <v>0</v>
      </c>
      <c r="R599" s="1203">
        <v>0</v>
      </c>
      <c r="S599" s="1203">
        <v>0</v>
      </c>
    </row>
    <row r="600" spans="1:19" hidden="1" outlineLevel="1">
      <c r="A600" s="1198">
        <v>365204</v>
      </c>
      <c r="B600" s="1199" t="s">
        <v>2051</v>
      </c>
      <c r="C600" s="1211">
        <v>8</v>
      </c>
      <c r="D600" s="1212"/>
      <c r="E600" s="1212"/>
      <c r="F600" s="1212"/>
      <c r="G600" s="1212"/>
      <c r="H600" s="1212"/>
      <c r="I600" s="1211">
        <v>0</v>
      </c>
      <c r="J600" s="1202">
        <v>0</v>
      </c>
      <c r="K600" s="1203">
        <v>0</v>
      </c>
      <c r="L600" s="1203">
        <v>0</v>
      </c>
      <c r="M600" s="1203">
        <v>0</v>
      </c>
      <c r="N600" s="1203">
        <v>0</v>
      </c>
      <c r="O600" s="1203">
        <v>0</v>
      </c>
      <c r="P600" s="1203">
        <v>0</v>
      </c>
      <c r="Q600" s="1203">
        <v>0</v>
      </c>
      <c r="R600" s="1203">
        <v>0</v>
      </c>
      <c r="S600" s="1203">
        <v>0</v>
      </c>
    </row>
    <row r="601" spans="1:19" hidden="1" outlineLevel="1">
      <c r="A601" s="1198">
        <v>900024</v>
      </c>
      <c r="B601" s="1199" t="s">
        <v>2052</v>
      </c>
      <c r="C601" s="1211">
        <v>8</v>
      </c>
      <c r="D601" s="1212"/>
      <c r="E601" s="1212"/>
      <c r="F601" s="1212"/>
      <c r="G601" s="1212"/>
      <c r="H601" s="1212"/>
      <c r="I601" s="1211">
        <v>0</v>
      </c>
      <c r="J601" s="1202">
        <v>0</v>
      </c>
      <c r="K601" s="1203">
        <v>0</v>
      </c>
      <c r="L601" s="1203">
        <v>0</v>
      </c>
      <c r="M601" s="1203">
        <v>0</v>
      </c>
      <c r="N601" s="1203">
        <v>0</v>
      </c>
      <c r="O601" s="1203">
        <v>0</v>
      </c>
      <c r="P601" s="1203">
        <v>0</v>
      </c>
      <c r="Q601" s="1203">
        <v>0</v>
      </c>
      <c r="R601" s="1203">
        <v>0</v>
      </c>
      <c r="S601" s="1203">
        <v>0</v>
      </c>
    </row>
    <row r="602" spans="1:19" hidden="1" outlineLevel="1">
      <c r="A602" s="1198">
        <v>900025</v>
      </c>
      <c r="B602" s="1199" t="s">
        <v>2053</v>
      </c>
      <c r="C602" s="1211">
        <v>8</v>
      </c>
      <c r="D602" s="1212"/>
      <c r="E602" s="1212"/>
      <c r="F602" s="1212"/>
      <c r="G602" s="1212"/>
      <c r="H602" s="1212"/>
      <c r="I602" s="1211">
        <v>0</v>
      </c>
      <c r="J602" s="1202">
        <v>0</v>
      </c>
      <c r="K602" s="1203">
        <v>0</v>
      </c>
      <c r="L602" s="1203">
        <v>0</v>
      </c>
      <c r="M602" s="1203">
        <v>0</v>
      </c>
      <c r="N602" s="1203">
        <v>0</v>
      </c>
      <c r="O602" s="1203">
        <v>0</v>
      </c>
      <c r="P602" s="1203">
        <v>0</v>
      </c>
      <c r="Q602" s="1203">
        <v>0</v>
      </c>
      <c r="R602" s="1203">
        <v>0</v>
      </c>
      <c r="S602" s="1203">
        <v>0</v>
      </c>
    </row>
    <row r="603" spans="1:19" hidden="1" outlineLevel="1">
      <c r="A603" s="1198">
        <v>900054</v>
      </c>
      <c r="B603" s="1199" t="s">
        <v>2054</v>
      </c>
      <c r="C603" s="1211">
        <v>8</v>
      </c>
      <c r="D603" s="1212"/>
      <c r="E603" s="1212"/>
      <c r="F603" s="1212"/>
      <c r="G603" s="1212"/>
      <c r="H603" s="1212"/>
      <c r="I603" s="1211">
        <v>0</v>
      </c>
      <c r="J603" s="1202">
        <v>0</v>
      </c>
      <c r="K603" s="1203">
        <v>0</v>
      </c>
      <c r="L603" s="1203">
        <v>0</v>
      </c>
      <c r="M603" s="1203">
        <v>0</v>
      </c>
      <c r="N603" s="1203">
        <v>0</v>
      </c>
      <c r="O603" s="1203">
        <v>0</v>
      </c>
      <c r="P603" s="1203">
        <v>0</v>
      </c>
      <c r="Q603" s="1203">
        <v>0</v>
      </c>
      <c r="R603" s="1203">
        <v>0</v>
      </c>
      <c r="S603" s="1203">
        <v>0</v>
      </c>
    </row>
    <row r="604" spans="1:19" hidden="1" outlineLevel="1">
      <c r="A604" s="1198">
        <v>900067</v>
      </c>
      <c r="B604" s="1199" t="s">
        <v>2055</v>
      </c>
      <c r="C604" s="1211">
        <v>8</v>
      </c>
      <c r="D604" s="1212"/>
      <c r="E604" s="1212"/>
      <c r="F604" s="1212"/>
      <c r="G604" s="1212"/>
      <c r="H604" s="1212"/>
      <c r="I604" s="1211">
        <v>0</v>
      </c>
      <c r="J604" s="1202">
        <v>0</v>
      </c>
      <c r="K604" s="1203">
        <v>0</v>
      </c>
      <c r="L604" s="1203">
        <v>0</v>
      </c>
      <c r="M604" s="1203">
        <v>0</v>
      </c>
      <c r="N604" s="1203">
        <v>0</v>
      </c>
      <c r="O604" s="1203">
        <v>0</v>
      </c>
      <c r="P604" s="1203">
        <v>0</v>
      </c>
      <c r="Q604" s="1203">
        <v>0</v>
      </c>
      <c r="R604" s="1203">
        <v>0</v>
      </c>
      <c r="S604" s="1203">
        <v>0</v>
      </c>
    </row>
    <row r="605" spans="1:19" hidden="1" outlineLevel="1">
      <c r="A605" s="1198">
        <v>900027</v>
      </c>
      <c r="B605" s="1199" t="s">
        <v>2056</v>
      </c>
      <c r="C605" s="1211">
        <v>8</v>
      </c>
      <c r="D605" s="1212"/>
      <c r="E605" s="1212"/>
      <c r="F605" s="1212"/>
      <c r="G605" s="1212"/>
      <c r="H605" s="1212"/>
      <c r="I605" s="1211">
        <v>0</v>
      </c>
      <c r="J605" s="1202">
        <v>0</v>
      </c>
      <c r="K605" s="1203">
        <v>0</v>
      </c>
      <c r="L605" s="1203">
        <v>0</v>
      </c>
      <c r="M605" s="1203">
        <v>0</v>
      </c>
      <c r="N605" s="1203">
        <v>0</v>
      </c>
      <c r="O605" s="1203">
        <v>0</v>
      </c>
      <c r="P605" s="1203">
        <v>0</v>
      </c>
      <c r="Q605" s="1203">
        <v>0</v>
      </c>
      <c r="R605" s="1203">
        <v>0</v>
      </c>
      <c r="S605" s="1203">
        <v>0</v>
      </c>
    </row>
    <row r="606" spans="1:19" hidden="1" outlineLevel="1">
      <c r="A606" s="1198">
        <v>900026</v>
      </c>
      <c r="B606" s="1199" t="s">
        <v>2057</v>
      </c>
      <c r="C606" s="1211">
        <v>8</v>
      </c>
      <c r="D606" s="1212"/>
      <c r="E606" s="1212"/>
      <c r="F606" s="1212"/>
      <c r="G606" s="1212"/>
      <c r="H606" s="1212"/>
      <c r="I606" s="1211">
        <v>0</v>
      </c>
      <c r="J606" s="1202">
        <v>0</v>
      </c>
      <c r="K606" s="1203">
        <v>0</v>
      </c>
      <c r="L606" s="1203">
        <v>0</v>
      </c>
      <c r="M606" s="1203">
        <v>0</v>
      </c>
      <c r="N606" s="1203">
        <v>0</v>
      </c>
      <c r="O606" s="1203">
        <v>0</v>
      </c>
      <c r="P606" s="1203">
        <v>0</v>
      </c>
      <c r="Q606" s="1203">
        <v>0</v>
      </c>
      <c r="R606" s="1203">
        <v>0</v>
      </c>
      <c r="S606" s="1203">
        <v>0</v>
      </c>
    </row>
    <row r="607" spans="1:19" hidden="1" outlineLevel="1">
      <c r="A607" s="1198">
        <v>226879</v>
      </c>
      <c r="B607" s="1199" t="s">
        <v>2058</v>
      </c>
      <c r="C607" s="1211">
        <v>8</v>
      </c>
      <c r="D607" s="1212"/>
      <c r="E607" s="1212"/>
      <c r="F607" s="1212"/>
      <c r="G607" s="1212"/>
      <c r="H607" s="1212"/>
      <c r="I607" s="1211">
        <v>0</v>
      </c>
      <c r="J607" s="1202">
        <v>0</v>
      </c>
      <c r="K607" s="1203">
        <v>0</v>
      </c>
      <c r="L607" s="1203">
        <v>0</v>
      </c>
      <c r="M607" s="1203">
        <v>0</v>
      </c>
      <c r="N607" s="1203">
        <v>0</v>
      </c>
      <c r="O607" s="1203">
        <v>0</v>
      </c>
      <c r="P607" s="1203">
        <v>0</v>
      </c>
      <c r="Q607" s="1203">
        <v>0</v>
      </c>
      <c r="R607" s="1203">
        <v>0</v>
      </c>
      <c r="S607" s="1203">
        <v>0</v>
      </c>
    </row>
    <row r="608" spans="1:19" hidden="1" outlineLevel="1">
      <c r="A608" s="1198">
        <v>25042</v>
      </c>
      <c r="B608" s="1199" t="s">
        <v>2059</v>
      </c>
      <c r="C608" s="1211">
        <v>8</v>
      </c>
      <c r="D608" s="1212"/>
      <c r="E608" s="1212"/>
      <c r="F608" s="1212"/>
      <c r="G608" s="1212"/>
      <c r="H608" s="1212"/>
      <c r="I608" s="1211">
        <v>0</v>
      </c>
      <c r="J608" s="1202">
        <v>0</v>
      </c>
      <c r="K608" s="1203">
        <v>0</v>
      </c>
      <c r="L608" s="1203">
        <v>0</v>
      </c>
      <c r="M608" s="1203">
        <v>0</v>
      </c>
      <c r="N608" s="1203">
        <v>0</v>
      </c>
      <c r="O608" s="1203">
        <v>0</v>
      </c>
      <c r="P608" s="1203">
        <v>0</v>
      </c>
      <c r="Q608" s="1203">
        <v>0</v>
      </c>
      <c r="R608" s="1203">
        <v>0</v>
      </c>
      <c r="S608" s="1203">
        <v>0</v>
      </c>
    </row>
    <row r="609" spans="1:19" hidden="1" outlineLevel="1">
      <c r="A609" s="1198">
        <v>1897</v>
      </c>
      <c r="B609" s="1199" t="s">
        <v>2060</v>
      </c>
      <c r="C609" s="1211">
        <v>8</v>
      </c>
      <c r="D609" s="1212"/>
      <c r="E609" s="1212"/>
      <c r="F609" s="1212"/>
      <c r="G609" s="1212"/>
      <c r="H609" s="1212"/>
      <c r="I609" s="1211">
        <v>0</v>
      </c>
      <c r="J609" s="1202">
        <v>0</v>
      </c>
      <c r="K609" s="1203">
        <v>0</v>
      </c>
      <c r="L609" s="1203">
        <v>0</v>
      </c>
      <c r="M609" s="1203">
        <v>0</v>
      </c>
      <c r="N609" s="1203">
        <v>0</v>
      </c>
      <c r="O609" s="1203">
        <v>0</v>
      </c>
      <c r="P609" s="1203">
        <v>0</v>
      </c>
      <c r="Q609" s="1203">
        <v>0</v>
      </c>
      <c r="R609" s="1203">
        <v>0</v>
      </c>
      <c r="S609" s="1203">
        <v>0</v>
      </c>
    </row>
    <row r="610" spans="1:19" hidden="1" outlineLevel="1">
      <c r="A610" s="1198">
        <v>3663</v>
      </c>
      <c r="B610" s="1199" t="s">
        <v>2061</v>
      </c>
      <c r="C610" s="1211">
        <v>2</v>
      </c>
      <c r="D610" s="1212"/>
      <c r="E610" s="1212"/>
      <c r="F610" s="1212"/>
      <c r="G610" s="1212"/>
      <c r="H610" s="1212"/>
      <c r="I610" s="1211">
        <v>0</v>
      </c>
      <c r="J610" s="1211">
        <v>0</v>
      </c>
      <c r="K610" s="1212">
        <v>0</v>
      </c>
      <c r="L610" s="1212">
        <v>0</v>
      </c>
      <c r="M610" s="1212">
        <v>0</v>
      </c>
      <c r="N610" s="1212">
        <v>0</v>
      </c>
      <c r="O610" s="1212">
        <v>0</v>
      </c>
      <c r="P610" s="1212">
        <v>0</v>
      </c>
      <c r="Q610" s="1212">
        <v>0</v>
      </c>
      <c r="R610" s="1212">
        <v>0</v>
      </c>
      <c r="S610" s="1212">
        <v>0</v>
      </c>
    </row>
    <row r="611" spans="1:19" hidden="1" outlineLevel="1">
      <c r="A611" s="1198">
        <v>2521</v>
      </c>
      <c r="B611" s="1199" t="s">
        <v>2062</v>
      </c>
      <c r="C611" s="1211">
        <v>8</v>
      </c>
      <c r="D611" s="1212"/>
      <c r="E611" s="1212"/>
      <c r="F611" s="1212"/>
      <c r="G611" s="1212"/>
      <c r="H611" s="1212"/>
      <c r="I611" s="1211">
        <v>0</v>
      </c>
      <c r="J611" s="1202">
        <v>0</v>
      </c>
      <c r="K611" s="1203">
        <v>0</v>
      </c>
      <c r="L611" s="1203">
        <v>0</v>
      </c>
      <c r="M611" s="1203">
        <v>0</v>
      </c>
      <c r="N611" s="1203">
        <v>0</v>
      </c>
      <c r="O611" s="1203">
        <v>0</v>
      </c>
      <c r="P611" s="1203">
        <v>0</v>
      </c>
      <c r="Q611" s="1203">
        <v>0</v>
      </c>
      <c r="R611" s="1203">
        <v>0</v>
      </c>
      <c r="S611" s="1203">
        <v>0</v>
      </c>
    </row>
    <row r="612" spans="1:19" hidden="1" outlineLevel="1">
      <c r="A612" s="1198">
        <v>36983</v>
      </c>
      <c r="B612" s="1199" t="s">
        <v>2063</v>
      </c>
      <c r="C612" s="1211">
        <v>8</v>
      </c>
      <c r="D612" s="1212"/>
      <c r="E612" s="1212"/>
      <c r="F612" s="1212"/>
      <c r="G612" s="1212"/>
      <c r="H612" s="1212"/>
      <c r="I612" s="1211">
        <v>0</v>
      </c>
      <c r="J612" s="1202">
        <v>0</v>
      </c>
      <c r="K612" s="1203">
        <v>0</v>
      </c>
      <c r="L612" s="1203">
        <v>0</v>
      </c>
      <c r="M612" s="1203">
        <v>0</v>
      </c>
      <c r="N612" s="1203">
        <v>0</v>
      </c>
      <c r="O612" s="1203">
        <v>0</v>
      </c>
      <c r="P612" s="1203">
        <v>0</v>
      </c>
      <c r="Q612" s="1203">
        <v>0</v>
      </c>
      <c r="R612" s="1203">
        <v>0</v>
      </c>
      <c r="S612" s="1203">
        <v>0</v>
      </c>
    </row>
    <row r="613" spans="1:19" hidden="1" outlineLevel="1">
      <c r="A613" s="1198">
        <v>3827</v>
      </c>
      <c r="B613" s="1199" t="s">
        <v>2064</v>
      </c>
      <c r="C613" s="1211">
        <v>8</v>
      </c>
      <c r="D613" s="1212"/>
      <c r="E613" s="1212"/>
      <c r="F613" s="1212"/>
      <c r="G613" s="1212"/>
      <c r="H613" s="1212"/>
      <c r="I613" s="1211">
        <v>0</v>
      </c>
      <c r="J613" s="1202">
        <v>0</v>
      </c>
      <c r="K613" s="1203">
        <v>0</v>
      </c>
      <c r="L613" s="1203">
        <v>0</v>
      </c>
      <c r="M613" s="1203">
        <v>0</v>
      </c>
      <c r="N613" s="1203">
        <v>0</v>
      </c>
      <c r="O613" s="1203">
        <v>0</v>
      </c>
      <c r="P613" s="1203">
        <v>0</v>
      </c>
      <c r="Q613" s="1203">
        <v>0</v>
      </c>
      <c r="R613" s="1203">
        <v>0</v>
      </c>
      <c r="S613" s="1203">
        <v>0</v>
      </c>
    </row>
    <row r="614" spans="1:19" hidden="1" outlineLevel="1">
      <c r="A614" s="1198">
        <v>33394</v>
      </c>
      <c r="B614" s="1199" t="s">
        <v>2065</v>
      </c>
      <c r="C614" s="1211">
        <v>8</v>
      </c>
      <c r="D614" s="1212"/>
      <c r="E614" s="1212"/>
      <c r="F614" s="1212"/>
      <c r="G614" s="1212"/>
      <c r="H614" s="1212"/>
      <c r="I614" s="1211">
        <v>0</v>
      </c>
      <c r="J614" s="1202">
        <v>0</v>
      </c>
      <c r="K614" s="1203">
        <v>0</v>
      </c>
      <c r="L614" s="1203">
        <v>0</v>
      </c>
      <c r="M614" s="1203">
        <v>0</v>
      </c>
      <c r="N614" s="1203">
        <v>0</v>
      </c>
      <c r="O614" s="1203">
        <v>0</v>
      </c>
      <c r="P614" s="1203">
        <v>0</v>
      </c>
      <c r="Q614" s="1203">
        <v>0</v>
      </c>
      <c r="R614" s="1203">
        <v>0</v>
      </c>
      <c r="S614" s="1203">
        <v>0</v>
      </c>
    </row>
    <row r="615" spans="1:19" hidden="1" outlineLevel="1">
      <c r="A615" s="1198">
        <v>2002</v>
      </c>
      <c r="B615" s="1199" t="s">
        <v>2066</v>
      </c>
      <c r="C615" s="1211">
        <v>8</v>
      </c>
      <c r="D615" s="1212"/>
      <c r="E615" s="1212"/>
      <c r="F615" s="1212"/>
      <c r="G615" s="1212"/>
      <c r="H615" s="1212"/>
      <c r="I615" s="1211">
        <v>0</v>
      </c>
      <c r="J615" s="1202">
        <v>0</v>
      </c>
      <c r="K615" s="1203">
        <v>0</v>
      </c>
      <c r="L615" s="1203">
        <v>0</v>
      </c>
      <c r="M615" s="1203">
        <v>0</v>
      </c>
      <c r="N615" s="1203">
        <v>0</v>
      </c>
      <c r="O615" s="1203">
        <v>0</v>
      </c>
      <c r="P615" s="1203">
        <v>0</v>
      </c>
      <c r="Q615" s="1203">
        <v>0</v>
      </c>
      <c r="R615" s="1203">
        <v>0</v>
      </c>
      <c r="S615" s="1203">
        <v>0</v>
      </c>
    </row>
    <row r="616" spans="1:19" hidden="1" outlineLevel="1">
      <c r="A616" s="1198">
        <v>2330</v>
      </c>
      <c r="B616" s="1199" t="s">
        <v>2067</v>
      </c>
      <c r="C616" s="1211">
        <v>8</v>
      </c>
      <c r="D616" s="1212"/>
      <c r="E616" s="1212"/>
      <c r="F616" s="1212"/>
      <c r="G616" s="1212"/>
      <c r="H616" s="1212"/>
      <c r="I616" s="1211">
        <v>0</v>
      </c>
      <c r="J616" s="1202">
        <v>0</v>
      </c>
      <c r="K616" s="1203">
        <v>0</v>
      </c>
      <c r="L616" s="1203">
        <v>0</v>
      </c>
      <c r="M616" s="1203">
        <v>0</v>
      </c>
      <c r="N616" s="1203">
        <v>0</v>
      </c>
      <c r="O616" s="1203">
        <v>0</v>
      </c>
      <c r="P616" s="1203">
        <v>0</v>
      </c>
      <c r="Q616" s="1203">
        <v>0</v>
      </c>
      <c r="R616" s="1203">
        <v>0</v>
      </c>
      <c r="S616" s="1203">
        <v>0</v>
      </c>
    </row>
    <row r="617" spans="1:19" hidden="1" outlineLevel="1">
      <c r="A617" s="1198">
        <v>224660</v>
      </c>
      <c r="B617" s="1199" t="s">
        <v>2068</v>
      </c>
      <c r="C617" s="1211">
        <v>8</v>
      </c>
      <c r="D617" s="1212"/>
      <c r="E617" s="1212"/>
      <c r="F617" s="1212"/>
      <c r="G617" s="1212"/>
      <c r="H617" s="1212"/>
      <c r="I617" s="1211">
        <v>0</v>
      </c>
      <c r="J617" s="1202">
        <v>0</v>
      </c>
      <c r="K617" s="1203">
        <v>0</v>
      </c>
      <c r="L617" s="1203">
        <v>0</v>
      </c>
      <c r="M617" s="1203">
        <v>0</v>
      </c>
      <c r="N617" s="1203">
        <v>0</v>
      </c>
      <c r="O617" s="1203">
        <v>0</v>
      </c>
      <c r="P617" s="1203">
        <v>0</v>
      </c>
      <c r="Q617" s="1203">
        <v>0</v>
      </c>
      <c r="R617" s="1203">
        <v>0</v>
      </c>
      <c r="S617" s="1203">
        <v>0</v>
      </c>
    </row>
    <row r="618" spans="1:19" hidden="1" outlineLevel="1">
      <c r="A618" s="1198">
        <v>224679</v>
      </c>
      <c r="B618" s="1199" t="s">
        <v>2069</v>
      </c>
      <c r="C618" s="1211">
        <v>8</v>
      </c>
      <c r="D618" s="1212"/>
      <c r="E618" s="1212"/>
      <c r="F618" s="1212"/>
      <c r="G618" s="1212"/>
      <c r="H618" s="1212"/>
      <c r="I618" s="1211">
        <v>0</v>
      </c>
      <c r="J618" s="1202">
        <v>0</v>
      </c>
      <c r="K618" s="1203">
        <v>0</v>
      </c>
      <c r="L618" s="1203">
        <v>0</v>
      </c>
      <c r="M618" s="1203">
        <v>0</v>
      </c>
      <c r="N618" s="1203">
        <v>0</v>
      </c>
      <c r="O618" s="1203">
        <v>0</v>
      </c>
      <c r="P618" s="1203">
        <v>0</v>
      </c>
      <c r="Q618" s="1203">
        <v>0</v>
      </c>
      <c r="R618" s="1203">
        <v>0</v>
      </c>
      <c r="S618" s="1203">
        <v>0</v>
      </c>
    </row>
    <row r="619" spans="1:19" hidden="1" outlineLevel="1">
      <c r="A619" s="1198">
        <v>3393</v>
      </c>
      <c r="B619" s="1199" t="s">
        <v>2070</v>
      </c>
      <c r="C619" s="1211">
        <v>8</v>
      </c>
      <c r="D619" s="1212"/>
      <c r="E619" s="1212"/>
      <c r="F619" s="1212"/>
      <c r="G619" s="1212"/>
      <c r="H619" s="1212"/>
      <c r="I619" s="1211">
        <v>0</v>
      </c>
      <c r="J619" s="1202">
        <v>0</v>
      </c>
      <c r="K619" s="1203">
        <v>0</v>
      </c>
      <c r="L619" s="1203">
        <v>0</v>
      </c>
      <c r="M619" s="1203">
        <v>0</v>
      </c>
      <c r="N619" s="1203">
        <v>0</v>
      </c>
      <c r="O619" s="1203">
        <v>0</v>
      </c>
      <c r="P619" s="1203">
        <v>0</v>
      </c>
      <c r="Q619" s="1203">
        <v>0</v>
      </c>
      <c r="R619" s="1203">
        <v>0</v>
      </c>
      <c r="S619" s="1203">
        <v>0</v>
      </c>
    </row>
    <row r="620" spans="1:19" hidden="1" outlineLevel="1">
      <c r="A620" s="1198">
        <v>442505</v>
      </c>
      <c r="B620" s="1199" t="s">
        <v>2071</v>
      </c>
      <c r="C620" s="1211">
        <v>8</v>
      </c>
      <c r="D620" s="1212"/>
      <c r="E620" s="1212"/>
      <c r="F620" s="1212"/>
      <c r="G620" s="1212"/>
      <c r="H620" s="1212"/>
      <c r="I620" s="1211">
        <v>0</v>
      </c>
      <c r="J620" s="1202">
        <v>0</v>
      </c>
      <c r="K620" s="1203">
        <v>0</v>
      </c>
      <c r="L620" s="1203">
        <v>0</v>
      </c>
      <c r="M620" s="1203">
        <v>0</v>
      </c>
      <c r="N620" s="1203">
        <v>0</v>
      </c>
      <c r="O620" s="1203">
        <v>0</v>
      </c>
      <c r="P620" s="1203">
        <v>0</v>
      </c>
      <c r="Q620" s="1203">
        <v>0</v>
      </c>
      <c r="R620" s="1203">
        <v>0</v>
      </c>
      <c r="S620" s="1203">
        <v>0</v>
      </c>
    </row>
    <row r="621" spans="1:19" hidden="1" outlineLevel="1">
      <c r="A621" s="1198">
        <v>442499</v>
      </c>
      <c r="B621" s="1199" t="s">
        <v>2072</v>
      </c>
      <c r="C621" s="1211">
        <v>8</v>
      </c>
      <c r="D621" s="1212"/>
      <c r="E621" s="1212"/>
      <c r="F621" s="1212"/>
      <c r="G621" s="1212"/>
      <c r="H621" s="1212"/>
      <c r="I621" s="1211">
        <v>0</v>
      </c>
      <c r="J621" s="1202">
        <v>0</v>
      </c>
      <c r="K621" s="1203">
        <v>0</v>
      </c>
      <c r="L621" s="1203">
        <v>0</v>
      </c>
      <c r="M621" s="1203">
        <v>0</v>
      </c>
      <c r="N621" s="1203">
        <v>0</v>
      </c>
      <c r="O621" s="1203">
        <v>0</v>
      </c>
      <c r="P621" s="1203">
        <v>0</v>
      </c>
      <c r="Q621" s="1203">
        <v>0</v>
      </c>
      <c r="R621" s="1203">
        <v>0</v>
      </c>
      <c r="S621" s="1203">
        <v>0</v>
      </c>
    </row>
    <row r="622" spans="1:19" hidden="1" outlineLevel="1">
      <c r="A622" s="1198">
        <v>444060</v>
      </c>
      <c r="B622" s="1199" t="s">
        <v>2073</v>
      </c>
      <c r="C622" s="1211">
        <v>8</v>
      </c>
      <c r="D622" s="1212"/>
      <c r="E622" s="1212"/>
      <c r="F622" s="1212"/>
      <c r="G622" s="1212"/>
      <c r="H622" s="1212"/>
      <c r="I622" s="1211">
        <v>0</v>
      </c>
      <c r="J622" s="1202">
        <v>0</v>
      </c>
      <c r="K622" s="1203">
        <v>0</v>
      </c>
      <c r="L622" s="1203">
        <v>0</v>
      </c>
      <c r="M622" s="1203">
        <v>0</v>
      </c>
      <c r="N622" s="1203">
        <v>0</v>
      </c>
      <c r="O622" s="1203">
        <v>0</v>
      </c>
      <c r="P622" s="1203">
        <v>0</v>
      </c>
      <c r="Q622" s="1203">
        <v>0</v>
      </c>
      <c r="R622" s="1203">
        <v>0</v>
      </c>
      <c r="S622" s="1203">
        <v>0</v>
      </c>
    </row>
    <row r="623" spans="1:19" hidden="1" outlineLevel="1">
      <c r="A623" s="1198">
        <v>3669</v>
      </c>
      <c r="B623" s="1199" t="s">
        <v>2074</v>
      </c>
      <c r="C623" s="1211">
        <v>2</v>
      </c>
      <c r="D623" s="1212"/>
      <c r="E623" s="1212"/>
      <c r="F623" s="1212"/>
      <c r="G623" s="1212"/>
      <c r="H623" s="1212"/>
      <c r="I623" s="1211">
        <v>0</v>
      </c>
      <c r="J623" s="1211">
        <v>0</v>
      </c>
      <c r="K623" s="1212">
        <v>0</v>
      </c>
      <c r="L623" s="1212">
        <v>0</v>
      </c>
      <c r="M623" s="1212">
        <v>0</v>
      </c>
      <c r="N623" s="1212">
        <v>0</v>
      </c>
      <c r="O623" s="1212">
        <v>0</v>
      </c>
      <c r="P623" s="1212">
        <v>0</v>
      </c>
      <c r="Q623" s="1212">
        <v>0</v>
      </c>
      <c r="R623" s="1212">
        <v>0</v>
      </c>
      <c r="S623" s="1212">
        <v>0</v>
      </c>
    </row>
    <row r="624" spans="1:19" hidden="1" outlineLevel="1">
      <c r="A624" s="1198">
        <v>482</v>
      </c>
      <c r="B624" s="1199" t="s">
        <v>2075</v>
      </c>
      <c r="C624" s="1211">
        <v>5</v>
      </c>
      <c r="D624" s="1212"/>
      <c r="E624" s="1212"/>
      <c r="F624" s="1212"/>
      <c r="G624" s="1212"/>
      <c r="H624" s="1212"/>
      <c r="I624" s="1211">
        <v>0</v>
      </c>
      <c r="J624" s="1202">
        <v>0</v>
      </c>
      <c r="K624" s="1203">
        <v>0</v>
      </c>
      <c r="L624" s="1203">
        <v>0</v>
      </c>
      <c r="M624" s="1203">
        <v>0</v>
      </c>
      <c r="N624" s="1203">
        <v>0</v>
      </c>
      <c r="O624" s="1203">
        <v>0</v>
      </c>
      <c r="P624" s="1203">
        <v>0</v>
      </c>
      <c r="Q624" s="1203">
        <v>0</v>
      </c>
      <c r="R624" s="1203">
        <v>0</v>
      </c>
      <c r="S624" s="1203">
        <v>0</v>
      </c>
    </row>
    <row r="625" spans="1:20" collapsed="1"/>
    <row r="626" spans="1:20" ht="13.5" thickBot="1">
      <c r="A626" s="1184" t="s">
        <v>2076</v>
      </c>
    </row>
    <row r="627" spans="1:20">
      <c r="A627" s="1186">
        <v>1</v>
      </c>
      <c r="B627" s="1185" t="s">
        <v>15</v>
      </c>
      <c r="C627" s="1234" t="s">
        <v>1580</v>
      </c>
      <c r="R627" s="1187">
        <f t="shared" ref="R627:S631" si="6">COUNTIF(R$92:R$130,$A627)</f>
        <v>2</v>
      </c>
      <c r="S627" s="1187">
        <f t="shared" si="6"/>
        <v>2</v>
      </c>
      <c r="T627" s="1187">
        <f>COUNTIF(T$92:T$130,$C627)</f>
        <v>2</v>
      </c>
    </row>
    <row r="628" spans="1:20">
      <c r="A628" s="1186">
        <v>2</v>
      </c>
      <c r="B628" s="1185" t="s">
        <v>1133</v>
      </c>
      <c r="C628" s="1235" t="s">
        <v>1571</v>
      </c>
      <c r="R628" s="1187">
        <f t="shared" si="6"/>
        <v>8</v>
      </c>
      <c r="S628" s="1187">
        <f t="shared" si="6"/>
        <v>8</v>
      </c>
      <c r="T628" s="1187">
        <f>COUNTIF(T$92:T$130,$C628)</f>
        <v>8</v>
      </c>
    </row>
    <row r="629" spans="1:20">
      <c r="A629" s="1186">
        <v>3</v>
      </c>
      <c r="B629" s="1185" t="s">
        <v>697</v>
      </c>
      <c r="C629" s="1235" t="s">
        <v>1562</v>
      </c>
      <c r="R629" s="1187">
        <f t="shared" si="6"/>
        <v>8</v>
      </c>
      <c r="S629" s="1187">
        <f t="shared" si="6"/>
        <v>8</v>
      </c>
      <c r="T629" s="1187">
        <f>COUNTIF(T$92:T$130,$C629)</f>
        <v>7</v>
      </c>
    </row>
    <row r="630" spans="1:20">
      <c r="A630" s="1186">
        <v>4</v>
      </c>
      <c r="B630" s="1185" t="s">
        <v>1132</v>
      </c>
      <c r="C630" s="1236" t="s">
        <v>1555</v>
      </c>
      <c r="R630" s="1187">
        <f t="shared" si="6"/>
        <v>6</v>
      </c>
      <c r="S630" s="1187">
        <f t="shared" si="6"/>
        <v>6</v>
      </c>
      <c r="T630" s="1187">
        <f>COUNTIF(T$92:T$130,$C630)</f>
        <v>6</v>
      </c>
    </row>
    <row r="631" spans="1:20" ht="13.5" thickBot="1">
      <c r="A631" s="1186">
        <v>5</v>
      </c>
      <c r="B631" s="1237" t="s">
        <v>696</v>
      </c>
      <c r="C631" s="1238" t="s">
        <v>1539</v>
      </c>
      <c r="R631" s="1239">
        <f t="shared" si="6"/>
        <v>15</v>
      </c>
      <c r="S631" s="1239">
        <f t="shared" si="6"/>
        <v>15</v>
      </c>
      <c r="T631" s="1239">
        <f>COUNTIF(T$92:T$130,$C631)</f>
        <v>15</v>
      </c>
    </row>
    <row r="632" spans="1:20" ht="13.5" thickBot="1">
      <c r="R632" s="1240">
        <f>SUM(R627:R631)</f>
        <v>39</v>
      </c>
      <c r="S632" s="1240">
        <f>SUM(S627:S631)</f>
        <v>39</v>
      </c>
      <c r="T632" s="1241">
        <f>SUM(T627:T631)</f>
        <v>38</v>
      </c>
    </row>
    <row r="633" spans="1:20" ht="13.5" thickTop="1">
      <c r="A633" s="1184" t="s">
        <v>2077</v>
      </c>
    </row>
    <row r="634" spans="1:20">
      <c r="A634" s="1186">
        <v>6</v>
      </c>
      <c r="B634" s="1185" t="s">
        <v>2078</v>
      </c>
      <c r="C634" s="1186" t="s">
        <v>1451</v>
      </c>
      <c r="R634" s="1187">
        <f>COUNTIF(R$8:R$91,$A634)</f>
        <v>10</v>
      </c>
      <c r="S634" s="1187">
        <f>COUNTIF(S$8:S$91,$A634)</f>
        <v>10</v>
      </c>
      <c r="T634" s="1187">
        <f>COUNTIF(T$8:T$91,$C634)</f>
        <v>37</v>
      </c>
    </row>
    <row r="635" spans="1:20">
      <c r="A635" s="1186">
        <v>7</v>
      </c>
      <c r="B635" s="1185" t="s">
        <v>2079</v>
      </c>
      <c r="C635" s="1186" t="s">
        <v>1460</v>
      </c>
      <c r="R635" s="1187">
        <f t="shared" ref="R635:S637" si="7">COUNTIF(R$8:R$91,$A635)</f>
        <v>9</v>
      </c>
      <c r="S635" s="1187">
        <f t="shared" si="7"/>
        <v>9</v>
      </c>
      <c r="T635" s="1187">
        <f t="shared" ref="T635:T637" si="8">COUNTIF(T$8:T$91,$C635)</f>
        <v>9</v>
      </c>
    </row>
    <row r="636" spans="1:20">
      <c r="A636" s="1186">
        <v>8</v>
      </c>
      <c r="B636" s="1185" t="s">
        <v>2080</v>
      </c>
      <c r="C636" s="1186" t="s">
        <v>1458</v>
      </c>
      <c r="R636" s="1187">
        <f t="shared" si="7"/>
        <v>22</v>
      </c>
      <c r="S636" s="1187">
        <f t="shared" si="7"/>
        <v>22</v>
      </c>
      <c r="T636" s="1187">
        <f t="shared" si="8"/>
        <v>22</v>
      </c>
    </row>
    <row r="637" spans="1:20">
      <c r="A637" s="1186">
        <v>9</v>
      </c>
      <c r="B637" s="1185" t="s">
        <v>2081</v>
      </c>
      <c r="C637" s="1186" t="s">
        <v>1468</v>
      </c>
      <c r="R637" s="1187">
        <f t="shared" si="7"/>
        <v>9</v>
      </c>
      <c r="S637" s="1187">
        <f t="shared" si="7"/>
        <v>9</v>
      </c>
      <c r="T637" s="1187">
        <f t="shared" si="8"/>
        <v>11</v>
      </c>
    </row>
    <row r="638" spans="1:20" ht="13.5" thickBot="1">
      <c r="R638" s="1240">
        <f>SUM(R634:R637)</f>
        <v>50</v>
      </c>
      <c r="S638" s="1240">
        <f>SUM(S634:S637)</f>
        <v>50</v>
      </c>
      <c r="T638" s="1241">
        <f>SUM(T634:T637)</f>
        <v>79</v>
      </c>
    </row>
    <row r="639" spans="1:20" ht="13.5" thickTop="1"/>
    <row r="640" spans="1:20" ht="15.75">
      <c r="A640" s="1242" t="s">
        <v>2082</v>
      </c>
      <c r="B640" s="1210"/>
      <c r="C640" s="1210"/>
      <c r="D640" s="1243"/>
      <c r="E640" s="1243"/>
      <c r="F640" s="1243"/>
      <c r="G640" s="1243"/>
      <c r="H640" s="1243"/>
      <c r="I640" s="1210"/>
      <c r="J640" s="1210"/>
      <c r="K640" s="1210"/>
    </row>
    <row r="641" spans="1:13" ht="15">
      <c r="A641" s="1244" t="s">
        <v>2083</v>
      </c>
      <c r="B641" s="1210"/>
      <c r="C641" s="1210"/>
      <c r="D641" s="1243"/>
      <c r="E641" s="1243"/>
      <c r="F641" s="1243"/>
      <c r="G641" s="1243"/>
      <c r="H641" s="1243"/>
      <c r="I641" s="1210"/>
      <c r="J641" s="1244"/>
      <c r="K641" s="1210"/>
    </row>
    <row r="642" spans="1:13" ht="15.75" thickBot="1">
      <c r="A642" s="1244" t="s">
        <v>2084</v>
      </c>
      <c r="B642" s="1245" t="s">
        <v>2085</v>
      </c>
      <c r="C642" s="1210"/>
      <c r="D642" s="1243"/>
      <c r="E642" s="1243"/>
      <c r="F642" s="1243"/>
      <c r="G642" s="1243"/>
      <c r="H642" s="1243"/>
      <c r="I642" s="1210"/>
      <c r="J642" s="1244" t="s">
        <v>2084</v>
      </c>
      <c r="K642" s="1245" t="s">
        <v>2086</v>
      </c>
    </row>
    <row r="643" spans="1:13">
      <c r="A643" s="1186">
        <v>1</v>
      </c>
      <c r="B643" s="1210" t="s">
        <v>2087</v>
      </c>
      <c r="C643" s="1210"/>
      <c r="D643" s="1243"/>
      <c r="E643" s="1243"/>
      <c r="F643" s="1243"/>
      <c r="G643" s="1243"/>
      <c r="H643" s="1243"/>
      <c r="I643" s="1234" t="s">
        <v>1580</v>
      </c>
      <c r="J643" s="1246">
        <v>1</v>
      </c>
      <c r="K643" s="1247" t="s">
        <v>15</v>
      </c>
      <c r="L643" s="1248"/>
      <c r="M643" s="1249"/>
    </row>
    <row r="644" spans="1:13">
      <c r="A644" s="1186">
        <v>2</v>
      </c>
      <c r="B644" s="1210" t="s">
        <v>2088</v>
      </c>
      <c r="C644" s="1210"/>
      <c r="D644" s="1243"/>
      <c r="E644" s="1243"/>
      <c r="F644" s="1243"/>
      <c r="G644" s="1243"/>
      <c r="H644" s="1243"/>
      <c r="I644" s="1235" t="s">
        <v>1571</v>
      </c>
      <c r="J644" s="1250">
        <v>2</v>
      </c>
      <c r="K644" s="1251" t="s">
        <v>1133</v>
      </c>
      <c r="L644" s="1252"/>
      <c r="M644" s="1253"/>
    </row>
    <row r="645" spans="1:13">
      <c r="A645" s="1186">
        <v>3</v>
      </c>
      <c r="B645" s="1210" t="s">
        <v>2089</v>
      </c>
      <c r="C645" s="1210"/>
      <c r="D645" s="1243"/>
      <c r="E645" s="1243"/>
      <c r="F645" s="1243"/>
      <c r="G645" s="1243"/>
      <c r="H645" s="1243"/>
      <c r="I645" s="1235" t="s">
        <v>1562</v>
      </c>
      <c r="J645" s="1250">
        <v>3</v>
      </c>
      <c r="K645" s="1251" t="s">
        <v>697</v>
      </c>
      <c r="L645" s="1252"/>
      <c r="M645" s="1253"/>
    </row>
    <row r="646" spans="1:13">
      <c r="A646" s="1186">
        <v>4</v>
      </c>
      <c r="B646" s="1210" t="s">
        <v>2090</v>
      </c>
      <c r="C646" s="1210"/>
      <c r="D646" s="1243"/>
      <c r="E646" s="1243"/>
      <c r="F646" s="1243"/>
      <c r="G646" s="1243"/>
      <c r="H646" s="1243"/>
      <c r="I646" s="1236" t="s">
        <v>1555</v>
      </c>
      <c r="J646" s="1250">
        <v>4</v>
      </c>
      <c r="K646" s="1251" t="s">
        <v>1132</v>
      </c>
      <c r="L646" s="1252"/>
      <c r="M646" s="1253"/>
    </row>
    <row r="647" spans="1:13" ht="13.5" thickBot="1">
      <c r="A647" s="1186">
        <v>5</v>
      </c>
      <c r="B647" s="1210" t="s">
        <v>2091</v>
      </c>
      <c r="C647" s="1210"/>
      <c r="D647" s="1243"/>
      <c r="E647" s="1243"/>
      <c r="F647" s="1243"/>
      <c r="G647" s="1243"/>
      <c r="H647" s="1243"/>
      <c r="I647" s="1238" t="s">
        <v>1539</v>
      </c>
      <c r="J647" s="1254">
        <v>5</v>
      </c>
      <c r="K647" s="1255" t="s">
        <v>696</v>
      </c>
      <c r="L647" s="1256"/>
      <c r="M647" s="1257"/>
    </row>
    <row r="648" spans="1:13" ht="15">
      <c r="A648" s="1186">
        <v>7</v>
      </c>
      <c r="B648" s="1210" t="s">
        <v>2092</v>
      </c>
      <c r="C648" s="1258" t="s">
        <v>2093</v>
      </c>
      <c r="D648" s="1259"/>
      <c r="E648" s="1259"/>
      <c r="F648" s="1259"/>
      <c r="G648" s="1259"/>
      <c r="H648" s="1259"/>
      <c r="I648" s="1260" t="s">
        <v>1451</v>
      </c>
      <c r="J648" s="1261">
        <v>6</v>
      </c>
      <c r="K648" s="1262" t="s">
        <v>2078</v>
      </c>
      <c r="L648" s="1261"/>
      <c r="M648" s="1249"/>
    </row>
    <row r="649" spans="1:13">
      <c r="A649" s="1186">
        <v>8</v>
      </c>
      <c r="B649" s="1210" t="s">
        <v>2094</v>
      </c>
      <c r="C649" s="1210"/>
      <c r="D649" s="1243"/>
      <c r="E649" s="1243"/>
      <c r="F649" s="1243"/>
      <c r="G649" s="1243"/>
      <c r="H649" s="1243"/>
      <c r="I649" s="1263" t="s">
        <v>1460</v>
      </c>
      <c r="J649" s="1264">
        <v>7</v>
      </c>
      <c r="K649" s="1265" t="s">
        <v>2079</v>
      </c>
      <c r="L649" s="1264"/>
      <c r="M649" s="1253"/>
    </row>
    <row r="650" spans="1:13" ht="15">
      <c r="A650" s="1186">
        <v>9</v>
      </c>
      <c r="B650" s="1210" t="s">
        <v>2095</v>
      </c>
      <c r="C650" s="1258" t="s">
        <v>2093</v>
      </c>
      <c r="D650" s="1259"/>
      <c r="E650" s="1259"/>
      <c r="F650" s="1259"/>
      <c r="G650" s="1259"/>
      <c r="H650" s="1259"/>
      <c r="I650" s="1263" t="s">
        <v>1458</v>
      </c>
      <c r="J650" s="1264">
        <v>8</v>
      </c>
      <c r="K650" s="1265" t="s">
        <v>2080</v>
      </c>
      <c r="L650" s="1264"/>
      <c r="M650" s="1253"/>
    </row>
    <row r="651" spans="1:13" ht="15.75" thickBot="1">
      <c r="A651" s="1186" t="s">
        <v>1177</v>
      </c>
      <c r="B651" s="1210" t="s">
        <v>2096</v>
      </c>
      <c r="C651" s="1258" t="s">
        <v>2093</v>
      </c>
      <c r="D651" s="1259"/>
      <c r="E651" s="1259"/>
      <c r="F651" s="1259"/>
      <c r="G651" s="1259"/>
      <c r="H651" s="1259"/>
      <c r="I651" s="1266" t="s">
        <v>1468</v>
      </c>
      <c r="J651" s="1267">
        <v>9</v>
      </c>
      <c r="K651" s="1268" t="s">
        <v>2081</v>
      </c>
      <c r="L651" s="1267"/>
      <c r="M651" s="1257"/>
    </row>
    <row r="652" spans="1:13">
      <c r="B652" s="1210"/>
      <c r="C652" s="1210"/>
      <c r="D652" s="1243"/>
      <c r="E652" s="1243"/>
      <c r="F652" s="1243"/>
      <c r="G652" s="1243"/>
      <c r="H652" s="1243"/>
      <c r="I652" s="1210"/>
      <c r="J652" s="1186">
        <v>0</v>
      </c>
      <c r="K652" s="1210" t="s">
        <v>2097</v>
      </c>
    </row>
    <row r="653" spans="1:13">
      <c r="B653" s="1210"/>
      <c r="C653" s="1210"/>
      <c r="D653" s="1243"/>
      <c r="E653" s="1243"/>
      <c r="F653" s="1243"/>
      <c r="G653" s="1243"/>
      <c r="H653" s="1243"/>
      <c r="I653" s="1210"/>
      <c r="J653" s="1186" t="s">
        <v>1319</v>
      </c>
      <c r="K653" s="1210" t="s">
        <v>2098</v>
      </c>
    </row>
    <row r="654" spans="1:13">
      <c r="B654" s="1210"/>
      <c r="C654" s="1210"/>
      <c r="D654" s="1243"/>
      <c r="E654" s="1243"/>
      <c r="F654" s="1243"/>
      <c r="G654" s="1243"/>
      <c r="H654" s="1243"/>
      <c r="I654" s="1210"/>
      <c r="J654" s="1186" t="s">
        <v>1172</v>
      </c>
      <c r="K654" s="1210" t="s">
        <v>2099</v>
      </c>
    </row>
    <row r="655" spans="1:13">
      <c r="B655" s="1210"/>
      <c r="C655" s="1210"/>
      <c r="D655" s="1243"/>
      <c r="E655" s="1243"/>
      <c r="F655" s="1243"/>
      <c r="G655" s="1243"/>
      <c r="H655" s="1243"/>
      <c r="I655" s="1210"/>
      <c r="J655" s="1186" t="s">
        <v>1175</v>
      </c>
      <c r="K655" s="1210" t="s">
        <v>2100</v>
      </c>
    </row>
    <row r="656" spans="1:13">
      <c r="B656" s="1210"/>
      <c r="C656" s="1210"/>
      <c r="D656" s="1243"/>
      <c r="E656" s="1243"/>
      <c r="F656" s="1243"/>
      <c r="G656" s="1243"/>
      <c r="H656" s="1243"/>
      <c r="I656" s="1210"/>
      <c r="J656" s="1210"/>
      <c r="K656" s="1210"/>
    </row>
    <row r="657" spans="1:11" ht="15.75">
      <c r="A657" s="1242" t="s">
        <v>2101</v>
      </c>
      <c r="B657" s="1210"/>
      <c r="C657" s="1210"/>
      <c r="D657" s="1243"/>
      <c r="E657" s="1243"/>
      <c r="F657" s="1243"/>
      <c r="G657" s="1243"/>
      <c r="H657" s="1243"/>
      <c r="I657" s="1210"/>
      <c r="J657" s="1210"/>
      <c r="K657" s="1210"/>
    </row>
    <row r="658" spans="1:11" ht="15">
      <c r="A658" s="1244" t="s">
        <v>2102</v>
      </c>
      <c r="B658" s="1210"/>
      <c r="C658" s="1210"/>
      <c r="D658" s="1243"/>
      <c r="E658" s="1243"/>
      <c r="F658" s="1243"/>
      <c r="G658" s="1243"/>
      <c r="H658" s="1243"/>
      <c r="I658" s="1210"/>
      <c r="J658" s="1210"/>
      <c r="K658" s="1210"/>
    </row>
    <row r="659" spans="1:11" ht="15">
      <c r="A659" s="1186" t="s">
        <v>2103</v>
      </c>
      <c r="B659" s="1210" t="s">
        <v>2104</v>
      </c>
      <c r="C659" s="1269"/>
      <c r="D659" s="1270"/>
      <c r="E659" s="1270"/>
      <c r="F659" s="1270"/>
      <c r="G659" s="1270"/>
      <c r="H659" s="1270"/>
      <c r="I659" s="1269"/>
      <c r="J659" s="1210"/>
      <c r="K659" s="1210"/>
    </row>
    <row r="660" spans="1:11">
      <c r="A660" s="1186" t="s">
        <v>2105</v>
      </c>
      <c r="B660" s="1210" t="s">
        <v>2077</v>
      </c>
      <c r="C660" s="1210"/>
      <c r="D660" s="1243"/>
      <c r="E660" s="1243"/>
      <c r="F660" s="1243"/>
      <c r="G660" s="1243"/>
      <c r="H660" s="1243"/>
      <c r="I660" s="1210"/>
      <c r="J660" s="1210"/>
      <c r="K660" s="1210"/>
    </row>
    <row r="661" spans="1:11">
      <c r="B661" s="1210"/>
      <c r="C661" s="1210"/>
      <c r="D661" s="1243"/>
      <c r="E661" s="1243"/>
      <c r="F661" s="1243"/>
      <c r="G661" s="1243"/>
      <c r="H661" s="1243"/>
      <c r="I661" s="1210"/>
      <c r="J661" s="1210"/>
      <c r="K661" s="1210"/>
    </row>
    <row r="662" spans="1:11" ht="15">
      <c r="A662" s="1244" t="s">
        <v>2106</v>
      </c>
      <c r="B662" s="1210"/>
      <c r="C662" s="1210"/>
      <c r="D662" s="1243"/>
      <c r="E662" s="1243"/>
      <c r="F662" s="1243"/>
      <c r="G662" s="1243"/>
      <c r="H662" s="1243"/>
      <c r="I662" s="1210"/>
      <c r="J662" s="1210"/>
      <c r="K662" s="1210"/>
    </row>
    <row r="663" spans="1:11" ht="15">
      <c r="A663" s="1271" t="s">
        <v>2107</v>
      </c>
      <c r="B663" s="1210"/>
      <c r="C663" s="1210"/>
      <c r="D663" s="1243"/>
      <c r="E663" s="1243"/>
      <c r="F663" s="1243"/>
      <c r="G663" s="1243"/>
      <c r="H663" s="1243"/>
      <c r="I663" s="1210"/>
      <c r="J663" s="1210"/>
      <c r="K663" s="1210"/>
    </row>
    <row r="664" spans="1:11">
      <c r="B664" s="1210"/>
      <c r="C664" s="1210"/>
      <c r="D664" s="1243"/>
      <c r="E664" s="1243"/>
      <c r="F664" s="1243"/>
      <c r="G664" s="1243"/>
      <c r="H664" s="1243"/>
      <c r="I664" s="1210"/>
      <c r="J664" s="1210"/>
      <c r="K664" s="1210"/>
    </row>
    <row r="665" spans="1:11" ht="15">
      <c r="A665" s="1244" t="s">
        <v>2108</v>
      </c>
      <c r="B665" s="1210"/>
      <c r="C665" s="1210"/>
      <c r="D665" s="1243"/>
      <c r="E665" s="1243"/>
      <c r="F665" s="1243"/>
      <c r="G665" s="1243"/>
      <c r="H665" s="1243"/>
      <c r="I665" s="1210"/>
      <c r="J665" s="1210"/>
      <c r="K665" s="1210"/>
    </row>
    <row r="666" spans="1:11">
      <c r="A666" s="1272" t="s">
        <v>2109</v>
      </c>
      <c r="B666" s="1210"/>
      <c r="C666" s="1210"/>
      <c r="D666" s="1243"/>
      <c r="E666" s="1243"/>
      <c r="F666" s="1243"/>
      <c r="G666" s="1243"/>
      <c r="H666" s="1243"/>
      <c r="I666" s="1210"/>
      <c r="J666" s="1210"/>
      <c r="K666" s="1210"/>
    </row>
    <row r="667" spans="1:11" ht="15">
      <c r="A667" s="1258" t="s">
        <v>2110</v>
      </c>
      <c r="B667" s="1210"/>
      <c r="C667" s="1210"/>
      <c r="D667" s="1243"/>
      <c r="E667" s="1243"/>
      <c r="F667" s="1243"/>
      <c r="G667" s="1243"/>
      <c r="H667" s="1243"/>
      <c r="I667" s="1210"/>
      <c r="J667" s="1210"/>
      <c r="K667" s="1210"/>
    </row>
    <row r="668" spans="1:11" ht="15">
      <c r="A668" s="1259" t="s">
        <v>2111</v>
      </c>
      <c r="B668" s="1273" t="s">
        <v>2112</v>
      </c>
      <c r="C668" s="1210"/>
      <c r="D668" s="1243"/>
      <c r="E668" s="1243"/>
      <c r="F668" s="1243"/>
      <c r="G668" s="1243"/>
      <c r="H668" s="1243"/>
      <c r="I668" s="1210"/>
      <c r="J668" s="1210"/>
      <c r="K668" s="1210"/>
    </row>
    <row r="669" spans="1:11" ht="15">
      <c r="A669" s="1258" t="s">
        <v>2113</v>
      </c>
      <c r="B669" s="1274" t="s">
        <v>2114</v>
      </c>
      <c r="C669" s="1210"/>
      <c r="D669" s="1243"/>
      <c r="E669" s="1243"/>
      <c r="F669" s="1243"/>
      <c r="G669" s="1243"/>
      <c r="H669" s="1243"/>
      <c r="I669" s="1210"/>
      <c r="J669" s="1210"/>
      <c r="K669" s="1210"/>
    </row>
    <row r="670" spans="1:11">
      <c r="B670" s="1210"/>
      <c r="C670" s="1210"/>
      <c r="D670" s="1243"/>
      <c r="E670" s="1243"/>
      <c r="F670" s="1243"/>
      <c r="G670" s="1243"/>
      <c r="H670" s="1243"/>
      <c r="I670" s="1210"/>
      <c r="J670" s="1210"/>
      <c r="K670" s="1210"/>
    </row>
    <row r="671" spans="1:11" ht="15">
      <c r="A671" s="1244" t="s">
        <v>2115</v>
      </c>
      <c r="B671" s="1210"/>
      <c r="C671" s="1210"/>
      <c r="D671" s="1243"/>
      <c r="E671" s="1243"/>
      <c r="F671" s="1243"/>
      <c r="G671" s="1243"/>
      <c r="H671" s="1243"/>
      <c r="I671" s="1210"/>
      <c r="J671" s="1210"/>
      <c r="K671" s="1210"/>
    </row>
    <row r="672" spans="1:11">
      <c r="A672" s="1272" t="s">
        <v>2116</v>
      </c>
      <c r="B672" s="1210"/>
      <c r="C672" s="1210"/>
      <c r="D672" s="1243"/>
      <c r="E672" s="1243"/>
      <c r="F672" s="1243"/>
      <c r="G672" s="1243"/>
      <c r="H672" s="1243"/>
      <c r="I672" s="1210"/>
      <c r="J672" s="1210"/>
      <c r="K672" s="1210"/>
    </row>
    <row r="673" spans="2:11">
      <c r="B673" s="1210"/>
      <c r="C673" s="1210"/>
      <c r="D673" s="1243"/>
      <c r="E673" s="1243"/>
      <c r="F673" s="1243"/>
      <c r="G673" s="1243"/>
      <c r="H673" s="1243"/>
      <c r="I673" s="1210"/>
      <c r="J673" s="1210"/>
      <c r="K673" s="1210"/>
    </row>
    <row r="674" spans="2:11">
      <c r="B674" s="1210"/>
      <c r="C674" s="1210"/>
      <c r="D674" s="1243"/>
      <c r="E674" s="1243"/>
      <c r="F674" s="1243"/>
      <c r="G674" s="1243"/>
      <c r="H674" s="1243"/>
      <c r="I674" s="1210"/>
      <c r="J674" s="1210"/>
      <c r="K674" s="1210"/>
    </row>
  </sheetData>
  <mergeCells count="1">
    <mergeCell ref="D1:I1"/>
  </mergeCells>
  <hyperlinks>
    <hyperlink ref="B668" r:id="rId1" xr:uid="{00000000-0004-0000-BC00-000000000000}"/>
    <hyperlink ref="B669" r:id="rId2" xr:uid="{00000000-0004-0000-BC00-000001000000}"/>
    <hyperlink ref="A2" location="PeerGroups!A660" display="Link to Key" xr:uid="{00000000-0004-0000-BC00-000002000000}"/>
    <hyperlink ref="P1" location="Index!A1" display="Return to Index" xr:uid="{00000000-0004-0000-BC00-000003000000}"/>
    <hyperlink ref="V1" r:id="rId3" xr:uid="{00000000-0004-0000-BC00-000004000000}"/>
  </hyperlinks>
  <pageMargins left="0.7" right="0.7" top="0.75" bottom="0.75" header="0.3" footer="0.3"/>
  <pageSetup orientation="portrait" r:id="rId4"/>
  <legacyDrawing r:id="rId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H280"/>
  <sheetViews>
    <sheetView showGridLines="0" workbookViewId="0">
      <pane ySplit="3" topLeftCell="A4" activePane="bottomLeft" state="frozen"/>
      <selection activeCell="F74" sqref="E74:F74"/>
      <selection pane="bottomLeft" activeCell="F74" sqref="E74:F74"/>
    </sheetView>
  </sheetViews>
  <sheetFormatPr defaultRowHeight="12.75"/>
  <cols>
    <col min="1" max="1" width="49.85546875" customWidth="1"/>
    <col min="2" max="2" width="1" customWidth="1"/>
    <col min="3" max="3" width="16.42578125" customWidth="1"/>
    <col min="4" max="4" width="11.28515625" customWidth="1"/>
    <col min="5" max="5" width="9.42578125" style="1486" customWidth="1"/>
    <col min="9" max="9" width="42.140625" customWidth="1"/>
  </cols>
  <sheetData>
    <row r="1" spans="1:8" ht="15.75" thickBot="1">
      <c r="A1" s="1485" t="s">
        <v>2224</v>
      </c>
      <c r="H1" s="855" t="s">
        <v>1200</v>
      </c>
    </row>
    <row r="2" spans="1:8">
      <c r="A2" s="1497" t="s">
        <v>2230</v>
      </c>
    </row>
    <row r="3" spans="1:8" ht="15">
      <c r="C3" s="1680" t="s">
        <v>2242</v>
      </c>
      <c r="D3" s="1681"/>
      <c r="E3" s="1682"/>
    </row>
    <row r="4" spans="1:8" ht="15.75" customHeight="1">
      <c r="A4" s="1487" t="s">
        <v>219</v>
      </c>
      <c r="C4" s="1488" t="s">
        <v>86</v>
      </c>
      <c r="D4" s="1488" t="s">
        <v>129</v>
      </c>
      <c r="E4" s="1489" t="s">
        <v>2226</v>
      </c>
    </row>
    <row r="5" spans="1:8">
      <c r="A5" s="75" t="s">
        <v>0</v>
      </c>
      <c r="C5" s="83">
        <f>'Smmy Acad SbS'!D$15</f>
        <v>160771184</v>
      </c>
      <c r="D5" s="83">
        <f>'Smmy Acad SbS'!E$15</f>
        <v>4679</v>
      </c>
      <c r="E5" s="1490">
        <f>ROUND(C5/C$9,3)</f>
        <v>0.19900000000000001</v>
      </c>
    </row>
    <row r="6" spans="1:8">
      <c r="A6" s="75" t="s">
        <v>87</v>
      </c>
      <c r="C6" s="86">
        <f>'Smmy Acad SbS'!D$26</f>
        <v>348479934</v>
      </c>
      <c r="D6" s="87">
        <f>'Smmy Acad SbS'!E$26</f>
        <v>10142</v>
      </c>
      <c r="E6" s="1486">
        <f>ROUND(C6/C$9,3)</f>
        <v>0.432</v>
      </c>
    </row>
    <row r="7" spans="1:8">
      <c r="A7" s="75" t="s">
        <v>6</v>
      </c>
      <c r="C7" s="86">
        <f>'Smmy Acad SbS'!D$29</f>
        <v>176364560</v>
      </c>
      <c r="D7" s="86">
        <f>'Smmy Acad SbS'!E$29</f>
        <v>5133</v>
      </c>
      <c r="E7" s="1486">
        <f>ROUND(C7/C$9,3)</f>
        <v>0.219</v>
      </c>
    </row>
    <row r="8" spans="1:8">
      <c r="A8" s="75" t="s">
        <v>8</v>
      </c>
      <c r="C8" s="86">
        <f>'Smmy Acad SbS'!D$38</f>
        <v>120382321</v>
      </c>
      <c r="D8" s="86">
        <f>'Smmy Acad SbS'!E$38</f>
        <v>3503</v>
      </c>
      <c r="E8" s="1486">
        <f>ROUND(C8/C$9,3)</f>
        <v>0.14899999999999999</v>
      </c>
    </row>
    <row r="9" spans="1:8">
      <c r="A9" s="1491" t="s">
        <v>68</v>
      </c>
      <c r="C9" s="92">
        <f t="shared" ref="C9:D9" si="0">SUM(C5:C8)</f>
        <v>805997999</v>
      </c>
      <c r="D9" s="1493">
        <f t="shared" si="0"/>
        <v>23457</v>
      </c>
      <c r="E9" s="1492">
        <f>ROUND(C9/C$9,3)</f>
        <v>1</v>
      </c>
    </row>
    <row r="11" spans="1:8" ht="26.25">
      <c r="A11" s="1487" t="s">
        <v>2225</v>
      </c>
      <c r="C11" s="1488" t="s">
        <v>86</v>
      </c>
      <c r="D11" s="1488" t="s">
        <v>129</v>
      </c>
      <c r="E11" s="1489" t="s">
        <v>2226</v>
      </c>
    </row>
    <row r="12" spans="1:8">
      <c r="A12" s="75" t="s">
        <v>0</v>
      </c>
      <c r="C12" s="83">
        <f>'Smmy Acad SbS'!F$15</f>
        <v>779759446</v>
      </c>
      <c r="D12" s="83">
        <f>'Smmy Acad SbS'!G$15</f>
        <v>16405</v>
      </c>
      <c r="E12" s="1490">
        <f>ROUND(C12/C$16,3)</f>
        <v>0.24099999999999999</v>
      </c>
    </row>
    <row r="13" spans="1:8">
      <c r="A13" s="75" t="s">
        <v>87</v>
      </c>
      <c r="C13" s="86">
        <f>'Smmy Acad SbS'!F$26</f>
        <v>521364736</v>
      </c>
      <c r="D13" s="87">
        <f>'Smmy Acad SbS'!G$26</f>
        <v>10968</v>
      </c>
      <c r="E13" s="1486">
        <f>ROUND(C13/C$16,3)</f>
        <v>0.161</v>
      </c>
    </row>
    <row r="14" spans="1:8">
      <c r="A14" s="75" t="s">
        <v>6</v>
      </c>
      <c r="C14" s="86">
        <f>'Smmy Acad SbS'!F$29</f>
        <v>599352881</v>
      </c>
      <c r="D14" s="87">
        <f>'Smmy Acad SbS'!G$29</f>
        <v>12609</v>
      </c>
      <c r="E14" s="1486">
        <f>ROUND(C14/C$16,3)</f>
        <v>0.185</v>
      </c>
    </row>
    <row r="15" spans="1:8">
      <c r="A15" s="75" t="s">
        <v>8</v>
      </c>
      <c r="C15" s="86">
        <f>'Smmy Acad SbS'!F$38</f>
        <v>1336140297</v>
      </c>
      <c r="D15" s="87">
        <f>'Smmy Acad SbS'!G$38</f>
        <v>28109</v>
      </c>
      <c r="E15" s="1486">
        <f>ROUND(C15/C$16,3)</f>
        <v>0.41299999999999998</v>
      </c>
    </row>
    <row r="16" spans="1:8">
      <c r="A16" s="1491" t="s">
        <v>68</v>
      </c>
      <c r="C16" s="92">
        <f t="shared" ref="C16:D16" si="1">SUM(C12:C15)</f>
        <v>3236617360</v>
      </c>
      <c r="D16" s="1493">
        <f t="shared" si="1"/>
        <v>68091</v>
      </c>
      <c r="E16" s="1492">
        <f>ROUND(C16/C$16,3)</f>
        <v>1</v>
      </c>
    </row>
    <row r="18" spans="1:5" ht="15">
      <c r="A18" s="1487" t="s">
        <v>96</v>
      </c>
      <c r="C18" s="1488" t="s">
        <v>86</v>
      </c>
      <c r="D18" s="1488" t="s">
        <v>129</v>
      </c>
      <c r="E18" s="1489" t="s">
        <v>2226</v>
      </c>
    </row>
    <row r="19" spans="1:5">
      <c r="A19" s="75" t="s">
        <v>0</v>
      </c>
      <c r="C19" s="83">
        <f>'Smmy Acad SbS'!H$15</f>
        <v>129433047</v>
      </c>
      <c r="D19" s="83">
        <f>'Smmy Acad SbS'!I$15</f>
        <v>5356</v>
      </c>
      <c r="E19" s="1490">
        <f>ROUND(C19/C$23,3)</f>
        <v>0.183</v>
      </c>
    </row>
    <row r="20" spans="1:5">
      <c r="A20" s="75" t="s">
        <v>87</v>
      </c>
      <c r="C20" s="86">
        <f>'Smmy Acad SbS'!H$26</f>
        <v>299924258</v>
      </c>
      <c r="D20" s="87">
        <f>'Smmy Acad SbS'!I$26</f>
        <v>12410</v>
      </c>
      <c r="E20" s="1486">
        <f>ROUND(C20/C$23,3)</f>
        <v>0.42399999999999999</v>
      </c>
    </row>
    <row r="21" spans="1:5">
      <c r="A21" s="75" t="s">
        <v>6</v>
      </c>
      <c r="C21" s="86">
        <f>'Smmy Acad SbS'!H$29</f>
        <v>143175656</v>
      </c>
      <c r="D21" s="87">
        <f>'Smmy Acad SbS'!I$29</f>
        <v>5924</v>
      </c>
      <c r="E21" s="1486">
        <f>ROUND(C21/C$23,3)</f>
        <v>0.20300000000000001</v>
      </c>
    </row>
    <row r="22" spans="1:5">
      <c r="A22" s="75" t="s">
        <v>8</v>
      </c>
      <c r="C22" s="86">
        <f>'Smmy Acad SbS'!H$38</f>
        <v>134232894</v>
      </c>
      <c r="D22" s="87">
        <f>'Smmy Acad SbS'!I$38</f>
        <v>5555</v>
      </c>
      <c r="E22" s="1486">
        <f>ROUND(C22/C$23,3)</f>
        <v>0.19</v>
      </c>
    </row>
    <row r="23" spans="1:5">
      <c r="A23" s="1491" t="s">
        <v>68</v>
      </c>
      <c r="C23" s="92">
        <f t="shared" ref="C23:D23" si="2">SUM(C19:C22)</f>
        <v>706765855</v>
      </c>
      <c r="D23" s="1493">
        <f t="shared" si="2"/>
        <v>29245</v>
      </c>
      <c r="E23" s="1492">
        <f>ROUND(C23/C$23,3)</f>
        <v>1</v>
      </c>
    </row>
    <row r="25" spans="1:5" ht="15">
      <c r="A25" s="1487" t="s">
        <v>97</v>
      </c>
      <c r="C25" s="1488" t="s">
        <v>86</v>
      </c>
      <c r="D25" s="1488" t="s">
        <v>129</v>
      </c>
      <c r="E25" s="1489" t="s">
        <v>2226</v>
      </c>
    </row>
    <row r="26" spans="1:5">
      <c r="A26" s="75" t="s">
        <v>0</v>
      </c>
      <c r="C26" s="83">
        <f>'Smmy Acad SbS'!J$15</f>
        <v>133335593</v>
      </c>
      <c r="D26" s="83">
        <f>'Smmy Acad SbS'!K$15</f>
        <v>6842</v>
      </c>
      <c r="E26" s="1490">
        <f>ROUND(C26/C$30,3)</f>
        <v>0.245</v>
      </c>
    </row>
    <row r="27" spans="1:5">
      <c r="A27" s="75" t="s">
        <v>87</v>
      </c>
      <c r="C27" s="86">
        <f>'Smmy Acad SbS'!J$26</f>
        <v>148988894</v>
      </c>
      <c r="D27" s="87">
        <f>'Smmy Acad SbS'!K$26</f>
        <v>7645</v>
      </c>
      <c r="E27" s="1486">
        <f>ROUND(C27/C$30,3)</f>
        <v>0.27300000000000002</v>
      </c>
    </row>
    <row r="28" spans="1:5">
      <c r="A28" s="75" t="s">
        <v>6</v>
      </c>
      <c r="C28" s="86">
        <f>'Smmy Acad SbS'!J$29</f>
        <v>206524165</v>
      </c>
      <c r="D28" s="87">
        <f>'Smmy Acad SbS'!K$29</f>
        <v>10597</v>
      </c>
      <c r="E28" s="1486">
        <f>ROUND(C28/C$30,3)</f>
        <v>0.379</v>
      </c>
    </row>
    <row r="29" spans="1:5">
      <c r="A29" s="75" t="s">
        <v>8</v>
      </c>
      <c r="C29" s="86">
        <f>'Smmy Acad SbS'!J$38</f>
        <v>56177993</v>
      </c>
      <c r="D29" s="87">
        <f>'Smmy Acad SbS'!K$38</f>
        <v>2885</v>
      </c>
      <c r="E29" s="1486">
        <f>ROUND(C29/C$30,3)</f>
        <v>0.10299999999999999</v>
      </c>
    </row>
    <row r="30" spans="1:5">
      <c r="A30" s="1491" t="s">
        <v>68</v>
      </c>
      <c r="C30" s="92">
        <f t="shared" ref="C30" si="3">SUM(C26:C29)</f>
        <v>545026645</v>
      </c>
      <c r="D30" s="1493">
        <f t="shared" ref="D30" si="4">SUM(D26:D29)</f>
        <v>27969</v>
      </c>
      <c r="E30" s="1492">
        <f>ROUND(C30/C$30,3)</f>
        <v>1</v>
      </c>
    </row>
    <row r="32" spans="1:5" ht="26.25">
      <c r="A32" s="1487" t="s">
        <v>2227</v>
      </c>
      <c r="C32" s="1488" t="s">
        <v>86</v>
      </c>
      <c r="D32" s="1488" t="s">
        <v>129</v>
      </c>
      <c r="E32" s="1489" t="s">
        <v>2226</v>
      </c>
    </row>
    <row r="33" spans="1:5">
      <c r="A33" s="75" t="s">
        <v>0</v>
      </c>
      <c r="C33" s="83">
        <f>'Smmy Acad SbS'!L$15</f>
        <v>152832944</v>
      </c>
      <c r="D33" s="83">
        <f>'Smmy Acad SbS'!M$15</f>
        <v>5385</v>
      </c>
      <c r="E33" s="1490">
        <f>ROUND(C33/C$37,3)</f>
        <v>0.248</v>
      </c>
    </row>
    <row r="34" spans="1:5">
      <c r="A34" s="75" t="s">
        <v>87</v>
      </c>
      <c r="C34" s="86">
        <f>'Smmy Acad SbS'!L$26</f>
        <v>139918937</v>
      </c>
      <c r="D34" s="87">
        <f>'Smmy Acad SbS'!M$26</f>
        <v>4930</v>
      </c>
      <c r="E34" s="1486">
        <f>ROUND(C34/C$37,3)</f>
        <v>0.22700000000000001</v>
      </c>
    </row>
    <row r="35" spans="1:5">
      <c r="A35" s="75" t="s">
        <v>6</v>
      </c>
      <c r="C35" s="86">
        <f>'Smmy Acad SbS'!L$29</f>
        <v>246799186</v>
      </c>
      <c r="D35" s="87">
        <f>'Smmy Acad SbS'!M$29</f>
        <v>8696</v>
      </c>
      <c r="E35" s="1486">
        <f>ROUND(C35/C$37,3)</f>
        <v>0.4</v>
      </c>
    </row>
    <row r="36" spans="1:5">
      <c r="A36" s="75" t="s">
        <v>8</v>
      </c>
      <c r="C36" s="86">
        <f>'Smmy Acad SbS'!L$38</f>
        <v>77549856</v>
      </c>
      <c r="D36" s="87">
        <f>'Smmy Acad SbS'!M$38</f>
        <v>2733</v>
      </c>
      <c r="E36" s="1486">
        <f>ROUND(C36/C$37,3)</f>
        <v>0.126</v>
      </c>
    </row>
    <row r="37" spans="1:5">
      <c r="A37" s="1491" t="s">
        <v>68</v>
      </c>
      <c r="C37" s="92">
        <f t="shared" ref="C37:D37" si="5">SUM(C33:C36)</f>
        <v>617100923</v>
      </c>
      <c r="D37" s="1493">
        <f t="shared" si="5"/>
        <v>21744</v>
      </c>
      <c r="E37" s="1492">
        <f>ROUND(C37/C$37,3)</f>
        <v>1</v>
      </c>
    </row>
    <row r="39" spans="1:5" ht="15">
      <c r="A39" s="1487" t="s">
        <v>100</v>
      </c>
      <c r="C39" s="1488" t="s">
        <v>86</v>
      </c>
      <c r="D39" s="1488" t="s">
        <v>129</v>
      </c>
      <c r="E39" s="1489" t="s">
        <v>2226</v>
      </c>
    </row>
    <row r="40" spans="1:5">
      <c r="A40" s="75" t="s">
        <v>0</v>
      </c>
      <c r="C40" s="83">
        <f>'Smmy Acad SbS'!N$15</f>
        <v>43016478</v>
      </c>
      <c r="D40" s="83">
        <f>'Smmy Acad SbS'!O$15</f>
        <v>10108</v>
      </c>
      <c r="E40" s="1490">
        <f>ROUND(C40/C$44,3)</f>
        <v>0.375</v>
      </c>
    </row>
    <row r="41" spans="1:5">
      <c r="A41" s="75" t="s">
        <v>87</v>
      </c>
      <c r="C41" s="86">
        <f>'Smmy Acad SbS'!N$26</f>
        <v>32513106</v>
      </c>
      <c r="D41" s="87">
        <f>'Smmy Acad SbS'!O$26</f>
        <v>7640</v>
      </c>
      <c r="E41" s="1486">
        <f>ROUND(C41/C$44,3)</f>
        <v>0.28299999999999997</v>
      </c>
    </row>
    <row r="42" spans="1:5">
      <c r="A42" s="75" t="s">
        <v>6</v>
      </c>
      <c r="C42" s="86">
        <f>'Smmy Acad SbS'!N$29</f>
        <v>22084960</v>
      </c>
      <c r="D42" s="87">
        <f>'Smmy Acad SbS'!O$29</f>
        <v>5190</v>
      </c>
      <c r="E42" s="1486">
        <f>ROUND(C42/C$44,3)</f>
        <v>0.192</v>
      </c>
    </row>
    <row r="43" spans="1:5">
      <c r="A43" s="75" t="s">
        <v>8</v>
      </c>
      <c r="C43" s="86">
        <f>'Smmy Acad SbS'!N$38</f>
        <v>17218876</v>
      </c>
      <c r="D43" s="87">
        <f>'Smmy Acad SbS'!O$38</f>
        <v>4046</v>
      </c>
      <c r="E43" s="1486">
        <f>ROUND(C43/C$44,3)</f>
        <v>0.15</v>
      </c>
    </row>
    <row r="44" spans="1:5">
      <c r="A44" s="1491" t="s">
        <v>68</v>
      </c>
      <c r="C44" s="92">
        <f t="shared" ref="C44" si="6">SUM(C40:C43)</f>
        <v>114833420</v>
      </c>
      <c r="D44" s="1493">
        <f t="shared" ref="D44" si="7">SUM(D40:D43)</f>
        <v>26984</v>
      </c>
      <c r="E44" s="1492">
        <f>ROUND(C44/C$44,3)</f>
        <v>1</v>
      </c>
    </row>
    <row r="46" spans="1:5" ht="15">
      <c r="A46" s="1487" t="s">
        <v>101</v>
      </c>
      <c r="C46" s="1488" t="s">
        <v>86</v>
      </c>
      <c r="D46" s="1488" t="s">
        <v>129</v>
      </c>
      <c r="E46" s="1489" t="s">
        <v>2226</v>
      </c>
    </row>
    <row r="47" spans="1:5">
      <c r="A47" s="75" t="s">
        <v>0</v>
      </c>
      <c r="C47" s="83">
        <f>'Smmy Acad SbS'!P$15</f>
        <v>162176413</v>
      </c>
      <c r="D47" s="83">
        <f>'Smmy Acad SbS'!Q$15</f>
        <v>5711</v>
      </c>
      <c r="E47" s="1490">
        <f>ROUND(C47/C$51,3)</f>
        <v>0.20899999999999999</v>
      </c>
    </row>
    <row r="48" spans="1:5">
      <c r="A48" s="75" t="s">
        <v>87</v>
      </c>
      <c r="C48" s="86">
        <f>'Smmy Acad SbS'!P$26</f>
        <v>251699436</v>
      </c>
      <c r="D48" s="87">
        <f>'Smmy Acad SbS'!Q$26</f>
        <v>8864</v>
      </c>
      <c r="E48" s="1486">
        <f>ROUND(C48/C$51,3)</f>
        <v>0.32400000000000001</v>
      </c>
    </row>
    <row r="49" spans="1:5">
      <c r="A49" s="75" t="s">
        <v>6</v>
      </c>
      <c r="C49" s="86">
        <f>'Smmy Acad SbS'!P$29</f>
        <v>200914830</v>
      </c>
      <c r="D49" s="87">
        <f>'Smmy Acad SbS'!Q$29</f>
        <v>7075</v>
      </c>
      <c r="E49" s="1486">
        <f>ROUND(C49/C$51,3)</f>
        <v>0.25900000000000001</v>
      </c>
    </row>
    <row r="50" spans="1:5">
      <c r="A50" s="75" t="s">
        <v>8</v>
      </c>
      <c r="C50" s="86">
        <f>'Smmy Acad SbS'!P$38</f>
        <v>162089290</v>
      </c>
      <c r="D50" s="87">
        <f>'Smmy Acad SbS'!Q$38</f>
        <v>5706</v>
      </c>
      <c r="E50" s="1486">
        <f>ROUND(C50/C$51,3)</f>
        <v>0.20899999999999999</v>
      </c>
    </row>
    <row r="51" spans="1:5">
      <c r="A51" s="1491" t="s">
        <v>68</v>
      </c>
      <c r="C51" s="92">
        <f t="shared" ref="C51" si="8">SUM(C47:C50)</f>
        <v>776879969</v>
      </c>
      <c r="D51" s="1493">
        <f t="shared" ref="D51" si="9">SUM(D47:D50)</f>
        <v>27356</v>
      </c>
      <c r="E51" s="1492">
        <f>ROUND(C51/C$51,3)</f>
        <v>1</v>
      </c>
    </row>
    <row r="53" spans="1:5" ht="15">
      <c r="A53" s="1487" t="s">
        <v>102</v>
      </c>
      <c r="C53" s="1488" t="s">
        <v>86</v>
      </c>
      <c r="D53" s="1488" t="s">
        <v>129</v>
      </c>
      <c r="E53" s="1489" t="s">
        <v>2226</v>
      </c>
    </row>
    <row r="54" spans="1:5">
      <c r="A54" s="75" t="s">
        <v>0</v>
      </c>
      <c r="C54" s="83">
        <f>'Smmy Acad SbS'!R$15</f>
        <v>52855515</v>
      </c>
      <c r="D54" s="83">
        <f>'Smmy Acad SbS'!S$15</f>
        <v>6948</v>
      </c>
      <c r="E54" s="1490">
        <f>ROUND(C54/C$58,3)</f>
        <v>0.317</v>
      </c>
    </row>
    <row r="55" spans="1:5">
      <c r="A55" s="75" t="s">
        <v>87</v>
      </c>
      <c r="C55" s="86">
        <f>'Smmy Acad SbS'!R$26</f>
        <v>57341915</v>
      </c>
      <c r="D55" s="87">
        <f>'Smmy Acad SbS'!S$26</f>
        <v>7538</v>
      </c>
      <c r="E55" s="1486">
        <f>ROUND(C55/C$58,3)</f>
        <v>0.34399999999999997</v>
      </c>
    </row>
    <row r="56" spans="1:5">
      <c r="A56" s="75" t="s">
        <v>6</v>
      </c>
      <c r="C56" s="86">
        <f>'Smmy Acad SbS'!R$29</f>
        <v>23208570</v>
      </c>
      <c r="D56" s="87">
        <f>'Smmy Acad SbS'!S$29</f>
        <v>3051</v>
      </c>
      <c r="E56" s="1486">
        <f>ROUND(C56/C$58,3)</f>
        <v>0.13900000000000001</v>
      </c>
    </row>
    <row r="57" spans="1:5">
      <c r="A57" s="75" t="s">
        <v>8</v>
      </c>
      <c r="C57" s="86">
        <f>'Smmy Acad SbS'!R$38</f>
        <v>33179055</v>
      </c>
      <c r="D57" s="87">
        <f>'Smmy Acad SbS'!S$38</f>
        <v>4362</v>
      </c>
      <c r="E57" s="1486">
        <f>ROUND(C57/C$58,3)</f>
        <v>0.19900000000000001</v>
      </c>
    </row>
    <row r="58" spans="1:5">
      <c r="A58" s="1491" t="s">
        <v>68</v>
      </c>
      <c r="C58" s="92">
        <f t="shared" ref="C58" si="10">SUM(C54:C57)</f>
        <v>166585055</v>
      </c>
      <c r="D58" s="1493">
        <f t="shared" ref="D58" si="11">SUM(D54:D57)</f>
        <v>21899</v>
      </c>
      <c r="E58" s="1492">
        <f>ROUND(C58/C$58,3)</f>
        <v>1</v>
      </c>
    </row>
    <row r="60" spans="1:5" ht="15">
      <c r="A60" s="1487" t="s">
        <v>103</v>
      </c>
      <c r="C60" s="1488" t="s">
        <v>86</v>
      </c>
      <c r="D60" s="1488" t="s">
        <v>129</v>
      </c>
      <c r="E60" s="1489" t="s">
        <v>2226</v>
      </c>
    </row>
    <row r="61" spans="1:5">
      <c r="A61" s="75" t="s">
        <v>0</v>
      </c>
      <c r="C61" s="83">
        <f>'Smmy Acad SbS'!T$15</f>
        <v>650735800</v>
      </c>
      <c r="D61" s="83">
        <f>'Smmy Acad SbS'!U$15</f>
        <v>11191</v>
      </c>
      <c r="E61" s="1490">
        <f>ROUND(C61/C$65,3)</f>
        <v>0.27900000000000003</v>
      </c>
    </row>
    <row r="62" spans="1:5">
      <c r="A62" s="75" t="s">
        <v>87</v>
      </c>
      <c r="C62" s="86">
        <f>'Smmy Acad SbS'!T$26</f>
        <v>679630868</v>
      </c>
      <c r="D62" s="87">
        <f>'Smmy Acad SbS'!U$26</f>
        <v>11687</v>
      </c>
      <c r="E62" s="1486">
        <f>ROUND(C62/C$65,3)</f>
        <v>0.29199999999999998</v>
      </c>
    </row>
    <row r="63" spans="1:5">
      <c r="A63" s="75" t="s">
        <v>6</v>
      </c>
      <c r="C63" s="86">
        <f>'Smmy Acad SbS'!T$29</f>
        <v>272642791</v>
      </c>
      <c r="D63" s="87">
        <f>'Smmy Acad SbS'!U$29</f>
        <v>4689</v>
      </c>
      <c r="E63" s="1486">
        <f>ROUND(C63/C$65,3)</f>
        <v>0.11700000000000001</v>
      </c>
    </row>
    <row r="64" spans="1:5">
      <c r="A64" s="75" t="s">
        <v>8</v>
      </c>
      <c r="C64" s="86">
        <f>'Smmy Acad SbS'!T$38</f>
        <v>728145432</v>
      </c>
      <c r="D64" s="87">
        <f>'Smmy Acad SbS'!U$38</f>
        <v>12522</v>
      </c>
      <c r="E64" s="1486">
        <f>ROUND(C64/C$65,3)</f>
        <v>0.312</v>
      </c>
    </row>
    <row r="65" spans="1:5">
      <c r="A65" s="1491" t="s">
        <v>68</v>
      </c>
      <c r="C65" s="92">
        <f t="shared" ref="C65" si="12">SUM(C61:C64)</f>
        <v>2331154891</v>
      </c>
      <c r="D65" s="1493">
        <f t="shared" ref="D65" si="13">SUM(D61:D64)</f>
        <v>40089</v>
      </c>
      <c r="E65" s="1492">
        <f>ROUND(C65/C$65,3)</f>
        <v>1</v>
      </c>
    </row>
    <row r="67" spans="1:5" ht="15">
      <c r="A67" s="1487" t="s">
        <v>106</v>
      </c>
      <c r="C67" s="1488" t="s">
        <v>86</v>
      </c>
      <c r="D67" s="1488" t="s">
        <v>129</v>
      </c>
      <c r="E67" s="1489" t="s">
        <v>2226</v>
      </c>
    </row>
    <row r="68" spans="1:5">
      <c r="A68" s="75" t="s">
        <v>0</v>
      </c>
      <c r="C68" s="83">
        <f>'Smmy Acad SbS'!V$15</f>
        <v>71006415</v>
      </c>
      <c r="D68" s="83">
        <f>'Smmy Acad SbS'!W$15</f>
        <v>40976</v>
      </c>
      <c r="E68" s="1490">
        <f>ROUND(C68/C$72,3)</f>
        <v>0.58899999999999997</v>
      </c>
    </row>
    <row r="69" spans="1:5">
      <c r="A69" s="75" t="s">
        <v>87</v>
      </c>
      <c r="C69" s="86">
        <f>'Smmy Acad SbS'!V$26</f>
        <v>21352720</v>
      </c>
      <c r="D69" s="87">
        <f>'Smmy Acad SbS'!W$26</f>
        <v>12322</v>
      </c>
      <c r="E69" s="1486">
        <f>ROUND(C69/C$72,3)</f>
        <v>0.17699999999999999</v>
      </c>
    </row>
    <row r="70" spans="1:5">
      <c r="A70" s="75" t="s">
        <v>6</v>
      </c>
      <c r="C70" s="86">
        <f>'Smmy Acad SbS'!V$29</f>
        <v>10245867</v>
      </c>
      <c r="D70" s="87">
        <f>'Smmy Acad SbS'!W$29</f>
        <v>5913</v>
      </c>
      <c r="E70" s="1486">
        <f>ROUND(C70/C$72,3)</f>
        <v>8.5000000000000006E-2</v>
      </c>
    </row>
    <row r="71" spans="1:5">
      <c r="A71" s="75" t="s">
        <v>8</v>
      </c>
      <c r="C71" s="86">
        <f>'Smmy Acad SbS'!V$38</f>
        <v>17945877</v>
      </c>
      <c r="D71" s="87">
        <f>'Smmy Acad SbS'!W$38</f>
        <v>10356</v>
      </c>
      <c r="E71" s="1486">
        <f>ROUND(C71/C$72,3)</f>
        <v>0.14899999999999999</v>
      </c>
    </row>
    <row r="72" spans="1:5">
      <c r="A72" s="1491" t="s">
        <v>68</v>
      </c>
      <c r="C72" s="92">
        <f t="shared" ref="C72" si="14">SUM(C68:C71)</f>
        <v>120550879</v>
      </c>
      <c r="D72" s="1493">
        <f t="shared" ref="D72" si="15">SUM(D68:D71)</f>
        <v>69567</v>
      </c>
      <c r="E72" s="1492">
        <f>ROUND(C72/C$72,3)</f>
        <v>1</v>
      </c>
    </row>
    <row r="74" spans="1:5" ht="15">
      <c r="A74" s="1487" t="s">
        <v>107</v>
      </c>
      <c r="C74" s="1488" t="s">
        <v>86</v>
      </c>
      <c r="D74" s="1488" t="s">
        <v>129</v>
      </c>
      <c r="E74" s="1489" t="s">
        <v>2226</v>
      </c>
    </row>
    <row r="75" spans="1:5">
      <c r="A75" s="75" t="s">
        <v>0</v>
      </c>
      <c r="C75" s="83">
        <f>'Smmy Acad SbS'!X$15</f>
        <v>95373744</v>
      </c>
      <c r="D75" s="83">
        <f>'Smmy Acad SbS'!Y$15</f>
        <v>11819</v>
      </c>
      <c r="E75" s="1490">
        <f>ROUND(C75/C$79,3)</f>
        <v>0.29899999999999999</v>
      </c>
    </row>
    <row r="76" spans="1:5">
      <c r="A76" s="75" t="s">
        <v>87</v>
      </c>
      <c r="C76" s="86">
        <f>'Smmy Acad SbS'!X$26</f>
        <v>58606512</v>
      </c>
      <c r="D76" s="87">
        <f>'Smmy Acad SbS'!Y$26</f>
        <v>7263</v>
      </c>
      <c r="E76" s="1486">
        <f>ROUND(C76/C$79,3)</f>
        <v>0.184</v>
      </c>
    </row>
    <row r="77" spans="1:5">
      <c r="A77" s="75" t="s">
        <v>6</v>
      </c>
      <c r="C77" s="86">
        <f>'Smmy Acad SbS'!X$29</f>
        <v>104828664</v>
      </c>
      <c r="D77" s="87">
        <f>'Smmy Acad SbS'!Y$29</f>
        <v>12991</v>
      </c>
      <c r="E77" s="1486">
        <f>ROUND(C77/C$79,3)</f>
        <v>0.32900000000000001</v>
      </c>
    </row>
    <row r="78" spans="1:5">
      <c r="A78" s="75" t="s">
        <v>8</v>
      </c>
      <c r="C78" s="86">
        <f>'Smmy Acad SbS'!X$38</f>
        <v>59876164</v>
      </c>
      <c r="D78" s="87">
        <f>'Smmy Acad SbS'!Y$38</f>
        <v>7420</v>
      </c>
      <c r="E78" s="1486">
        <f>ROUND(C78/C$79,3)</f>
        <v>0.188</v>
      </c>
    </row>
    <row r="79" spans="1:5">
      <c r="A79" s="1491" t="s">
        <v>68</v>
      </c>
      <c r="C79" s="92">
        <f t="shared" ref="C79" si="16">SUM(C75:C78)</f>
        <v>318685084</v>
      </c>
      <c r="D79" s="1493">
        <f t="shared" ref="D79" si="17">SUM(D75:D78)</f>
        <v>39493</v>
      </c>
      <c r="E79" s="1492">
        <f>ROUND(C79/C$79,3)</f>
        <v>1</v>
      </c>
    </row>
    <row r="81" spans="1:5" ht="15">
      <c r="A81" s="1487" t="s">
        <v>108</v>
      </c>
      <c r="C81" s="1488" t="s">
        <v>86</v>
      </c>
      <c r="D81" s="1488" t="s">
        <v>129</v>
      </c>
      <c r="E81" s="1489" t="s">
        <v>2226</v>
      </c>
    </row>
    <row r="82" spans="1:5">
      <c r="A82" s="75" t="s">
        <v>0</v>
      </c>
      <c r="C82" s="83">
        <f>'Smmy Acad SbS'!Z$15</f>
        <v>62943792</v>
      </c>
      <c r="D82" s="83">
        <f>'Smmy Acad SbS'!AA$15</f>
        <v>5447</v>
      </c>
      <c r="E82" s="1490">
        <f>ROUND(C82/C$86,3)</f>
        <v>0.23</v>
      </c>
    </row>
    <row r="83" spans="1:5">
      <c r="A83" s="75" t="s">
        <v>87</v>
      </c>
      <c r="C83" s="86">
        <f>'Smmy Acad SbS'!Z$26</f>
        <v>95089628</v>
      </c>
      <c r="D83" s="87">
        <f>'Smmy Acad SbS'!AA$26</f>
        <v>8229</v>
      </c>
      <c r="E83" s="1486">
        <f>ROUND(C83/C$86,3)</f>
        <v>0.34799999999999998</v>
      </c>
    </row>
    <row r="84" spans="1:5">
      <c r="A84" s="75" t="s">
        <v>6</v>
      </c>
      <c r="C84" s="86">
        <f>'Smmy Acad SbS'!Z$29</f>
        <v>57260009</v>
      </c>
      <c r="D84" s="87">
        <f>'Smmy Acad SbS'!AA$29</f>
        <v>4955</v>
      </c>
      <c r="E84" s="1486">
        <f>ROUND(C84/C$86,3)</f>
        <v>0.20899999999999999</v>
      </c>
    </row>
    <row r="85" spans="1:5">
      <c r="A85" s="75" t="s">
        <v>8</v>
      </c>
      <c r="C85" s="86">
        <f>'Smmy Acad SbS'!Z$38</f>
        <v>58075797</v>
      </c>
      <c r="D85" s="87">
        <f>'Smmy Acad SbS'!AA$38</f>
        <v>5026</v>
      </c>
      <c r="E85" s="1486">
        <f>ROUND(C85/C$86,3)</f>
        <v>0.21199999999999999</v>
      </c>
    </row>
    <row r="86" spans="1:5">
      <c r="A86" s="1491" t="s">
        <v>68</v>
      </c>
      <c r="C86" s="92">
        <f t="shared" ref="C86" si="18">SUM(C82:C85)</f>
        <v>273369226</v>
      </c>
      <c r="D86" s="1493">
        <f t="shared" ref="D86" si="19">SUM(D82:D85)</f>
        <v>23657</v>
      </c>
      <c r="E86" s="1492">
        <f>ROUND(C86/C$86,3)</f>
        <v>1</v>
      </c>
    </row>
    <row r="88" spans="1:5" ht="15">
      <c r="A88" s="1487" t="s">
        <v>109</v>
      </c>
      <c r="C88" s="1488" t="s">
        <v>86</v>
      </c>
      <c r="D88" s="1488" t="s">
        <v>129</v>
      </c>
      <c r="E88" s="1489" t="s">
        <v>2226</v>
      </c>
    </row>
    <row r="89" spans="1:5">
      <c r="A89" s="75" t="s">
        <v>0</v>
      </c>
      <c r="C89" s="83">
        <f>'Smmy Acad SbS'!AB$15</f>
        <v>80725731</v>
      </c>
      <c r="D89" s="83">
        <f>'Smmy Acad SbS'!AC$15</f>
        <v>8646</v>
      </c>
      <c r="E89" s="1490">
        <f>ROUND(C89/C$93,3)</f>
        <v>0.308</v>
      </c>
    </row>
    <row r="90" spans="1:5">
      <c r="A90" s="75" t="s">
        <v>87</v>
      </c>
      <c r="C90" s="86">
        <f>'Smmy Acad SbS'!AB$26</f>
        <v>82142445</v>
      </c>
      <c r="D90" s="87">
        <f>'Smmy Acad SbS'!AC$26</f>
        <v>8798</v>
      </c>
      <c r="E90" s="1486">
        <f>ROUND(C90/C$93,3)</f>
        <v>0.313</v>
      </c>
    </row>
    <row r="91" spans="1:5">
      <c r="A91" s="75" t="s">
        <v>6</v>
      </c>
      <c r="C91" s="86">
        <f>'Smmy Acad SbS'!AB$29</f>
        <v>64668767</v>
      </c>
      <c r="D91" s="87">
        <f>'Smmy Acad SbS'!AC$29</f>
        <v>6927</v>
      </c>
      <c r="E91" s="1486">
        <f>ROUND(C91/C$93,3)</f>
        <v>0.247</v>
      </c>
    </row>
    <row r="92" spans="1:5">
      <c r="A92" s="75" t="s">
        <v>8</v>
      </c>
      <c r="C92" s="86">
        <f>'Smmy Acad SbS'!AB$38</f>
        <v>34762366</v>
      </c>
      <c r="D92" s="87">
        <f>'Smmy Acad SbS'!AC$38</f>
        <v>3724</v>
      </c>
      <c r="E92" s="1486">
        <f>ROUND(C92/C$93,3)</f>
        <v>0.13300000000000001</v>
      </c>
    </row>
    <row r="93" spans="1:5">
      <c r="A93" s="1491" t="s">
        <v>68</v>
      </c>
      <c r="C93" s="92">
        <f t="shared" ref="C93" si="20">SUM(C89:C92)</f>
        <v>262299309</v>
      </c>
      <c r="D93" s="1493">
        <f t="shared" ref="D93" si="21">SUM(D89:D92)</f>
        <v>28095</v>
      </c>
      <c r="E93" s="1492">
        <f>ROUND(C93/C$93,3)</f>
        <v>1</v>
      </c>
    </row>
    <row r="95" spans="1:5" ht="15">
      <c r="A95" s="1487" t="s">
        <v>110</v>
      </c>
      <c r="C95" s="1488" t="s">
        <v>86</v>
      </c>
      <c r="D95" s="1488" t="s">
        <v>129</v>
      </c>
      <c r="E95" s="1489" t="s">
        <v>2226</v>
      </c>
    </row>
    <row r="96" spans="1:5">
      <c r="A96" s="75" t="s">
        <v>0</v>
      </c>
      <c r="C96" s="83">
        <f>'Smmy Acad SbS'!AD$15</f>
        <v>62482317</v>
      </c>
      <c r="D96" s="83">
        <f>'Smmy Acad SbS'!AE$15</f>
        <v>11125</v>
      </c>
      <c r="E96" s="1490">
        <f>ROUND(C96/C$100,3)</f>
        <v>0.34399999999999997</v>
      </c>
    </row>
    <row r="97" spans="1:5">
      <c r="A97" s="75" t="s">
        <v>87</v>
      </c>
      <c r="C97" s="86">
        <f>'Smmy Acad SbS'!AD$26</f>
        <v>39587132</v>
      </c>
      <c r="D97" s="87">
        <f>'Smmy Acad SbS'!AE$26</f>
        <v>7049</v>
      </c>
      <c r="E97" s="1486">
        <f>ROUND(C97/C$100,3)</f>
        <v>0.218</v>
      </c>
    </row>
    <row r="98" spans="1:5">
      <c r="A98" s="75" t="s">
        <v>6</v>
      </c>
      <c r="C98" s="86">
        <f>'Smmy Acad SbS'!AD$29</f>
        <v>47273104</v>
      </c>
      <c r="D98" s="87">
        <f>'Smmy Acad SbS'!AE$29</f>
        <v>8417</v>
      </c>
      <c r="E98" s="1486">
        <f>ROUND(C98/C$100,3)</f>
        <v>0.26</v>
      </c>
    </row>
    <row r="99" spans="1:5">
      <c r="A99" s="75" t="s">
        <v>8</v>
      </c>
      <c r="C99" s="86">
        <f>'Smmy Acad SbS'!AD$38</f>
        <v>32402076</v>
      </c>
      <c r="D99" s="87">
        <f>'Smmy Acad SbS'!AE$38</f>
        <v>5769</v>
      </c>
      <c r="E99" s="1486">
        <f>ROUND(C99/C$100,3)</f>
        <v>0.17799999999999999</v>
      </c>
    </row>
    <row r="100" spans="1:5">
      <c r="A100" s="1491" t="s">
        <v>68</v>
      </c>
      <c r="C100" s="92">
        <f t="shared" ref="C100" si="22">SUM(C96:C99)</f>
        <v>181744629</v>
      </c>
      <c r="D100" s="1493">
        <f t="shared" ref="D100" si="23">SUM(D96:D99)</f>
        <v>32360</v>
      </c>
      <c r="E100" s="1492">
        <f>ROUND(C100/C$100,3)</f>
        <v>1</v>
      </c>
    </row>
    <row r="102" spans="1:5" ht="15">
      <c r="A102" s="1487" t="s">
        <v>111</v>
      </c>
      <c r="C102" s="1488" t="s">
        <v>86</v>
      </c>
      <c r="D102" s="1488" t="s">
        <v>129</v>
      </c>
      <c r="E102" s="1489" t="s">
        <v>2226</v>
      </c>
    </row>
    <row r="103" spans="1:5">
      <c r="A103" s="75" t="s">
        <v>0</v>
      </c>
      <c r="C103" s="83">
        <f>'Smmy Acad SbS'!AF$15</f>
        <v>18794464</v>
      </c>
      <c r="D103" s="83">
        <f>'Smmy Acad SbS'!AG$15</f>
        <v>11696</v>
      </c>
      <c r="E103" s="1490">
        <f>ROUND(C103/C$107,3)</f>
        <v>0.45100000000000001</v>
      </c>
    </row>
    <row r="104" spans="1:5">
      <c r="A104" s="75" t="s">
        <v>87</v>
      </c>
      <c r="C104" s="86">
        <f>'Smmy Acad SbS'!AF$26</f>
        <v>12660399</v>
      </c>
      <c r="D104" s="87">
        <f>'Smmy Acad SbS'!AG$26</f>
        <v>7879</v>
      </c>
      <c r="E104" s="1486">
        <f>ROUND(C104/C$107,3)</f>
        <v>0.30399999999999999</v>
      </c>
    </row>
    <row r="105" spans="1:5">
      <c r="A105" s="75" t="s">
        <v>6</v>
      </c>
      <c r="C105" s="86">
        <f>'Smmy Acad SbS'!AF$29</f>
        <v>8130294</v>
      </c>
      <c r="D105" s="87">
        <f>'Smmy Acad SbS'!AG$29</f>
        <v>5059</v>
      </c>
      <c r="E105" s="1486">
        <f>ROUND(C105/C$107,3)</f>
        <v>0.19500000000000001</v>
      </c>
    </row>
    <row r="106" spans="1:5">
      <c r="A106" s="75" t="s">
        <v>8</v>
      </c>
      <c r="C106" s="86">
        <f>'Smmy Acad SbS'!AF$38</f>
        <v>2120145</v>
      </c>
      <c r="D106" s="87">
        <f>'Smmy Acad SbS'!AG$38</f>
        <v>1319</v>
      </c>
      <c r="E106" s="1486">
        <f>ROUND(C106/C$107,3)</f>
        <v>5.0999999999999997E-2</v>
      </c>
    </row>
    <row r="107" spans="1:5">
      <c r="A107" s="1491" t="s">
        <v>68</v>
      </c>
      <c r="C107" s="92">
        <f t="shared" ref="C107" si="24">SUM(C103:C106)</f>
        <v>41705302</v>
      </c>
      <c r="D107" s="1493">
        <f t="shared" ref="D107" si="25">SUM(D103:D106)</f>
        <v>25953</v>
      </c>
      <c r="E107" s="1492">
        <f>ROUND(C107/C$107,3)</f>
        <v>1</v>
      </c>
    </row>
    <row r="109" spans="1:5" ht="15">
      <c r="A109" s="1487" t="s">
        <v>112</v>
      </c>
      <c r="C109" s="1488" t="s">
        <v>86</v>
      </c>
      <c r="D109" s="1488" t="s">
        <v>129</v>
      </c>
      <c r="E109" s="1489" t="s">
        <v>2226</v>
      </c>
    </row>
    <row r="110" spans="1:5">
      <c r="A110" s="75" t="s">
        <v>0</v>
      </c>
      <c r="C110" s="83">
        <f>'Smmy Acad SbS'!AH$15</f>
        <v>38086689</v>
      </c>
      <c r="D110" s="83">
        <f>'Smmy Acad SbS'!AI$15</f>
        <v>7996</v>
      </c>
      <c r="E110" s="1490">
        <f>ROUND(C110/C$114,3)</f>
        <v>0.33800000000000002</v>
      </c>
    </row>
    <row r="111" spans="1:5">
      <c r="A111" s="75" t="s">
        <v>87</v>
      </c>
      <c r="C111" s="86">
        <f>'Smmy Acad SbS'!AH$26</f>
        <v>29496374</v>
      </c>
      <c r="D111" s="86">
        <f>'Smmy Acad SbS'!AI$26</f>
        <v>6193</v>
      </c>
      <c r="E111" s="1486">
        <f>ROUND(C111/C$114,3)</f>
        <v>0.26200000000000001</v>
      </c>
    </row>
    <row r="112" spans="1:5">
      <c r="A112" s="75" t="s">
        <v>6</v>
      </c>
      <c r="C112" s="86">
        <f>'Smmy Acad SbS'!AH$29</f>
        <v>35360842</v>
      </c>
      <c r="D112" s="86">
        <f>'Smmy Acad SbS'!AI$29</f>
        <v>7424</v>
      </c>
      <c r="E112" s="1486">
        <f>ROUND(C112/C$114,3)</f>
        <v>0.314</v>
      </c>
    </row>
    <row r="113" spans="1:5">
      <c r="A113" s="75" t="s">
        <v>8</v>
      </c>
      <c r="C113" s="86">
        <f>'Smmy Acad SbS'!AH$38</f>
        <v>9783603</v>
      </c>
      <c r="D113" s="86">
        <f>'Smmy Acad SbS'!AI$38</f>
        <v>2054</v>
      </c>
      <c r="E113" s="1486">
        <f>ROUND(C113/C$114,3)</f>
        <v>8.6999999999999994E-2</v>
      </c>
    </row>
    <row r="114" spans="1:5">
      <c r="A114" s="1491" t="s">
        <v>68</v>
      </c>
      <c r="C114" s="92">
        <f t="shared" ref="C114" si="26">SUM(C110:C113)</f>
        <v>112727508</v>
      </c>
      <c r="D114" s="1493">
        <f t="shared" ref="D114" si="27">SUM(D110:D113)</f>
        <v>23667</v>
      </c>
      <c r="E114" s="1492">
        <f>ROUND(C114/C$114,3)</f>
        <v>1</v>
      </c>
    </row>
    <row r="116" spans="1:5" ht="15">
      <c r="A116" s="1487" t="s">
        <v>113</v>
      </c>
      <c r="C116" s="1488" t="s">
        <v>86</v>
      </c>
      <c r="D116" s="1488" t="s">
        <v>129</v>
      </c>
      <c r="E116" s="1489" t="s">
        <v>2226</v>
      </c>
    </row>
    <row r="117" spans="1:5">
      <c r="A117" s="75" t="s">
        <v>0</v>
      </c>
      <c r="C117" s="83">
        <f>'Smmy Acad SbS'!AJ$15</f>
        <v>56595086</v>
      </c>
      <c r="D117" s="83">
        <f>'Smmy Acad SbS'!AK$15</f>
        <v>8129</v>
      </c>
      <c r="E117" s="1490">
        <f>ROUND(C117/C$121,3)</f>
        <v>0.35399999999999998</v>
      </c>
    </row>
    <row r="118" spans="1:5">
      <c r="A118" s="75" t="s">
        <v>87</v>
      </c>
      <c r="C118" s="86">
        <f>'Smmy Acad SbS'!AJ$26</f>
        <v>35768010</v>
      </c>
      <c r="D118" s="86">
        <f>'Smmy Acad SbS'!AK$26</f>
        <v>5137</v>
      </c>
      <c r="E118" s="1486">
        <f>ROUND(C118/C$121,3)</f>
        <v>0.223</v>
      </c>
    </row>
    <row r="119" spans="1:5">
      <c r="A119" s="75" t="s">
        <v>6</v>
      </c>
      <c r="C119" s="86">
        <f>'Smmy Acad SbS'!AJ$29</f>
        <v>51758469</v>
      </c>
      <c r="D119" s="86">
        <f>'Smmy Acad SbS'!AK$29</f>
        <v>7434</v>
      </c>
      <c r="E119" s="1486">
        <f>ROUND(C119/C$121,3)</f>
        <v>0.32300000000000001</v>
      </c>
    </row>
    <row r="120" spans="1:5">
      <c r="A120" s="75" t="s">
        <v>8</v>
      </c>
      <c r="C120" s="86">
        <f>'Smmy Acad SbS'!AJ$38</f>
        <v>15925126</v>
      </c>
      <c r="D120" s="86">
        <f>'Smmy Acad SbS'!AK$38</f>
        <v>2287</v>
      </c>
      <c r="E120" s="1486">
        <f>ROUND(C120/C$121,3)</f>
        <v>0.1</v>
      </c>
    </row>
    <row r="121" spans="1:5">
      <c r="A121" s="1491" t="s">
        <v>68</v>
      </c>
      <c r="C121" s="92">
        <f t="shared" ref="C121" si="28">SUM(C117:C120)</f>
        <v>160046691</v>
      </c>
      <c r="D121" s="1493">
        <f t="shared" ref="D121" si="29">SUM(D117:D120)</f>
        <v>22987</v>
      </c>
      <c r="E121" s="1492">
        <f>ROUND(C121/C$121,3)</f>
        <v>1</v>
      </c>
    </row>
    <row r="123" spans="1:5" ht="15">
      <c r="A123" s="1487" t="s">
        <v>114</v>
      </c>
      <c r="C123" s="1488" t="s">
        <v>86</v>
      </c>
      <c r="D123" s="1488" t="s">
        <v>129</v>
      </c>
      <c r="E123" s="1489" t="s">
        <v>2226</v>
      </c>
    </row>
    <row r="124" spans="1:5">
      <c r="A124" s="75" t="s">
        <v>0</v>
      </c>
      <c r="C124" s="83">
        <f>'Smmy Acad SbS'!AL$15</f>
        <v>54496990</v>
      </c>
      <c r="D124" s="83">
        <f>'Smmy Acad SbS'!AM$15</f>
        <v>7054</v>
      </c>
      <c r="E124" s="1490">
        <f>ROUND(C124/C$128,3)</f>
        <v>0.28599999999999998</v>
      </c>
    </row>
    <row r="125" spans="1:5">
      <c r="A125" s="75" t="s">
        <v>87</v>
      </c>
      <c r="C125" s="86">
        <f>'Smmy Acad SbS'!AL$26</f>
        <v>61182029</v>
      </c>
      <c r="D125" s="86">
        <f>'Smmy Acad SbS'!AM$26</f>
        <v>7920</v>
      </c>
      <c r="E125" s="1486">
        <f>ROUND(C125/C$128,3)</f>
        <v>0.32100000000000001</v>
      </c>
    </row>
    <row r="126" spans="1:5">
      <c r="A126" s="75" t="s">
        <v>6</v>
      </c>
      <c r="C126" s="86">
        <f>'Smmy Acad SbS'!AL$29</f>
        <v>34173176</v>
      </c>
      <c r="D126" s="86">
        <f>'Smmy Acad SbS'!AM$29</f>
        <v>4424</v>
      </c>
      <c r="E126" s="1486">
        <f>ROUND(C126/C$128,3)</f>
        <v>0.17899999999999999</v>
      </c>
    </row>
    <row r="127" spans="1:5">
      <c r="A127" s="75" t="s">
        <v>8</v>
      </c>
      <c r="C127" s="86">
        <f>'Smmy Acad SbS'!AL$38</f>
        <v>40971933</v>
      </c>
      <c r="D127" s="86">
        <f>'Smmy Acad SbS'!AM$38</f>
        <v>5305</v>
      </c>
      <c r="E127" s="1486">
        <f>ROUND(C127/C$128,3)</f>
        <v>0.215</v>
      </c>
    </row>
    <row r="128" spans="1:5">
      <c r="A128" s="1491" t="s">
        <v>68</v>
      </c>
      <c r="C128" s="92">
        <f t="shared" ref="C128" si="30">SUM(C124:C127)</f>
        <v>190824128</v>
      </c>
      <c r="D128" s="1493">
        <f t="shared" ref="D128" si="31">SUM(D124:D127)</f>
        <v>24703</v>
      </c>
      <c r="E128" s="1492">
        <f>ROUND(C128/C$128,3)</f>
        <v>1</v>
      </c>
    </row>
    <row r="130" spans="1:5" ht="15">
      <c r="A130" s="1487" t="s">
        <v>271</v>
      </c>
      <c r="C130" s="1488" t="s">
        <v>86</v>
      </c>
      <c r="D130" s="1488" t="s">
        <v>129</v>
      </c>
      <c r="E130" s="1489" t="s">
        <v>2226</v>
      </c>
    </row>
    <row r="131" spans="1:5">
      <c r="A131" s="75" t="s">
        <v>0</v>
      </c>
      <c r="C131" s="83">
        <f>'Smmy Acad SbS'!AN$15</f>
        <v>70211986</v>
      </c>
      <c r="D131" s="83">
        <f>'Smmy Acad SbS'!AO$15</f>
        <v>7541</v>
      </c>
      <c r="E131" s="1490">
        <f>ROUND(C131/C$135,3)</f>
        <v>0.29799999999999999</v>
      </c>
    </row>
    <row r="132" spans="1:5">
      <c r="A132" s="75" t="s">
        <v>87</v>
      </c>
      <c r="C132" s="86">
        <f>'Smmy Acad SbS'!AN$26</f>
        <v>80100693</v>
      </c>
      <c r="D132" s="86">
        <f>'Smmy Acad SbS'!AO$26</f>
        <v>8602</v>
      </c>
      <c r="E132" s="1486">
        <f>ROUND(C132/C$135,3)</f>
        <v>0.34</v>
      </c>
    </row>
    <row r="133" spans="1:5">
      <c r="A133" s="75" t="s">
        <v>6</v>
      </c>
      <c r="C133" s="86">
        <f>'Smmy Acad SbS'!AN$29</f>
        <v>44440614</v>
      </c>
      <c r="D133" s="86">
        <f>'Smmy Acad SbS'!AO$29</f>
        <v>4773</v>
      </c>
      <c r="E133" s="1486">
        <f>ROUND(C133/C$135,3)</f>
        <v>0.188</v>
      </c>
    </row>
    <row r="134" spans="1:5">
      <c r="A134" s="75" t="s">
        <v>8</v>
      </c>
      <c r="C134" s="86">
        <f>'Smmy Acad SbS'!AN$38</f>
        <v>41010726</v>
      </c>
      <c r="D134" s="86">
        <f>'Smmy Acad SbS'!AO$38</f>
        <v>4404</v>
      </c>
      <c r="E134" s="1486">
        <f>ROUND(C134/C$135,3)</f>
        <v>0.17399999999999999</v>
      </c>
    </row>
    <row r="135" spans="1:5">
      <c r="A135" s="1491" t="s">
        <v>68</v>
      </c>
      <c r="C135" s="92">
        <f t="shared" ref="C135" si="32">SUM(C131:C134)</f>
        <v>235764019</v>
      </c>
      <c r="D135" s="1493">
        <f t="shared" ref="D135" si="33">SUM(D131:D134)</f>
        <v>25320</v>
      </c>
      <c r="E135" s="1492">
        <f>ROUND(C135/C$135,3)</f>
        <v>1</v>
      </c>
    </row>
    <row r="137" spans="1:5" ht="15">
      <c r="A137" s="1487" t="s">
        <v>272</v>
      </c>
      <c r="C137" s="1488" t="s">
        <v>86</v>
      </c>
      <c r="D137" s="1488" t="s">
        <v>129</v>
      </c>
      <c r="E137" s="1489" t="s">
        <v>2226</v>
      </c>
    </row>
    <row r="138" spans="1:5">
      <c r="A138" s="75" t="s">
        <v>0</v>
      </c>
      <c r="C138" s="83">
        <f>'Smmy Acad SbS'!AP$15</f>
        <v>28577033</v>
      </c>
      <c r="D138" s="83">
        <f>'Smmy Acad SbS'!AQ$15</f>
        <v>17303</v>
      </c>
      <c r="E138" s="1490">
        <f>ROUND(C138/C$142,3)</f>
        <v>0.51300000000000001</v>
      </c>
    </row>
    <row r="139" spans="1:5">
      <c r="A139" s="75" t="s">
        <v>87</v>
      </c>
      <c r="C139" s="86">
        <f>'Smmy Acad SbS'!AP$26</f>
        <v>11361521</v>
      </c>
      <c r="D139" s="86">
        <f>'Smmy Acad SbS'!AQ$26</f>
        <v>6879</v>
      </c>
      <c r="E139" s="1486">
        <f>ROUND(C139/C$142,3)</f>
        <v>0.20399999999999999</v>
      </c>
    </row>
    <row r="140" spans="1:5">
      <c r="A140" s="75" t="s">
        <v>6</v>
      </c>
      <c r="C140" s="86">
        <f>'Smmy Acad SbS'!AP$29</f>
        <v>9745130</v>
      </c>
      <c r="D140" s="86">
        <f>'Smmy Acad SbS'!AQ$29</f>
        <v>5901</v>
      </c>
      <c r="E140" s="1486">
        <f>ROUND(C140/C$142,3)</f>
        <v>0.17499999999999999</v>
      </c>
    </row>
    <row r="141" spans="1:5">
      <c r="A141" s="75" t="s">
        <v>8</v>
      </c>
      <c r="C141" s="86">
        <f>'Smmy Acad SbS'!AP$38</f>
        <v>6014808</v>
      </c>
      <c r="D141" s="86">
        <f>'Smmy Acad SbS'!AQ$38</f>
        <v>3642</v>
      </c>
      <c r="E141" s="1486">
        <f>ROUND(C141/C$142,3)</f>
        <v>0.108</v>
      </c>
    </row>
    <row r="142" spans="1:5">
      <c r="A142" s="1491" t="s">
        <v>68</v>
      </c>
      <c r="C142" s="92">
        <f t="shared" ref="C142" si="34">SUM(C138:C141)</f>
        <v>55698492</v>
      </c>
      <c r="D142" s="1493">
        <f t="shared" ref="D142" si="35">SUM(D138:D141)</f>
        <v>33725</v>
      </c>
      <c r="E142" s="1492">
        <f>ROUND(C142/C$142,3)</f>
        <v>1</v>
      </c>
    </row>
    <row r="144" spans="1:5" ht="15">
      <c r="A144" s="1487" t="s">
        <v>115</v>
      </c>
      <c r="C144" s="1488" t="s">
        <v>86</v>
      </c>
      <c r="D144" s="1488" t="s">
        <v>129</v>
      </c>
      <c r="E144" s="1489" t="s">
        <v>2226</v>
      </c>
    </row>
    <row r="145" spans="1:5">
      <c r="A145" s="75" t="s">
        <v>0</v>
      </c>
      <c r="C145" s="83">
        <f>'Smmy Acad SbS'!AR$15</f>
        <v>303577526</v>
      </c>
      <c r="D145" s="83">
        <f>'Smmy Acad SbS'!AS$15</f>
        <v>7531</v>
      </c>
      <c r="E145" s="1490">
        <f>ROUND(C145/C$149,3)</f>
        <v>0.218</v>
      </c>
    </row>
    <row r="146" spans="1:5">
      <c r="A146" s="75" t="s">
        <v>87</v>
      </c>
      <c r="C146" s="86">
        <f>'Smmy Acad SbS'!AR$26</f>
        <v>400572093</v>
      </c>
      <c r="D146" s="86">
        <f>'Smmy Acad SbS'!AS$26</f>
        <v>9937</v>
      </c>
      <c r="E146" s="1486">
        <f>ROUND(C146/C$149,3)</f>
        <v>0.28799999999999998</v>
      </c>
    </row>
    <row r="147" spans="1:5">
      <c r="A147" s="75" t="s">
        <v>6</v>
      </c>
      <c r="C147" s="86">
        <f>'Smmy Acad SbS'!AR$29</f>
        <v>263368751</v>
      </c>
      <c r="D147" s="86">
        <f>'Smmy Acad SbS'!AS$29</f>
        <v>6534</v>
      </c>
      <c r="E147" s="1486">
        <f>ROUND(C147/C$149,3)</f>
        <v>0.189</v>
      </c>
    </row>
    <row r="148" spans="1:5">
      <c r="A148" s="75" t="s">
        <v>8</v>
      </c>
      <c r="C148" s="86">
        <f>'Smmy Acad SbS'!AR$38</f>
        <v>424179556</v>
      </c>
      <c r="D148" s="86">
        <f>'Smmy Acad SbS'!AS$38</f>
        <v>10523</v>
      </c>
      <c r="E148" s="1486">
        <f>ROUND(C148/C$149,3)</f>
        <v>0.30499999999999999</v>
      </c>
    </row>
    <row r="149" spans="1:5">
      <c r="A149" s="1491" t="s">
        <v>68</v>
      </c>
      <c r="C149" s="92">
        <f t="shared" ref="C149" si="36">SUM(C145:C148)</f>
        <v>1391697926</v>
      </c>
      <c r="D149" s="1493">
        <f t="shared" ref="D149" si="37">SUM(D145:D148)</f>
        <v>34525</v>
      </c>
      <c r="E149" s="1492">
        <f>ROUND(C149/C$149,3)</f>
        <v>1</v>
      </c>
    </row>
    <row r="151" spans="1:5" ht="15">
      <c r="A151" s="1487" t="s">
        <v>116</v>
      </c>
      <c r="C151" s="1488" t="s">
        <v>86</v>
      </c>
      <c r="D151" s="1488" t="s">
        <v>129</v>
      </c>
      <c r="E151" s="1489" t="s">
        <v>2226</v>
      </c>
    </row>
    <row r="152" spans="1:5">
      <c r="A152" s="75" t="s">
        <v>0</v>
      </c>
      <c r="C152" s="83">
        <f>'Smmy Acad SbS'!AT$15</f>
        <v>47051198</v>
      </c>
      <c r="D152" s="83">
        <f>'Smmy Acad SbS'!AU$15</f>
        <v>6957</v>
      </c>
      <c r="E152" s="1490">
        <f>ROUND(C152/C$156,3)</f>
        <v>0.29899999999999999</v>
      </c>
    </row>
    <row r="153" spans="1:5">
      <c r="A153" s="75" t="s">
        <v>87</v>
      </c>
      <c r="C153" s="86">
        <f>'Smmy Acad SbS'!AT$26</f>
        <v>57336848</v>
      </c>
      <c r="D153" s="86">
        <f>'Smmy Acad SbS'!AU$26</f>
        <v>8479</v>
      </c>
      <c r="E153" s="1486">
        <f>ROUND(C153/C$156,3)</f>
        <v>0.36399999999999999</v>
      </c>
    </row>
    <row r="154" spans="1:5">
      <c r="A154" s="75" t="s">
        <v>6</v>
      </c>
      <c r="C154" s="86">
        <f>'Smmy Acad SbS'!AT$29</f>
        <v>37552981</v>
      </c>
      <c r="D154" s="86">
        <f>'Smmy Acad SbS'!AU$29</f>
        <v>5553</v>
      </c>
      <c r="E154" s="1486">
        <f>ROUND(C154/C$156,3)</f>
        <v>0.23899999999999999</v>
      </c>
    </row>
    <row r="155" spans="1:5">
      <c r="A155" s="75" t="s">
        <v>8</v>
      </c>
      <c r="C155" s="86">
        <f>'Smmy Acad SbS'!AT$38</f>
        <v>15445776</v>
      </c>
      <c r="D155" s="86">
        <f>'Smmy Acad SbS'!AU$38</f>
        <v>2285</v>
      </c>
      <c r="E155" s="1486">
        <f>ROUND(C155/C$156,3)</f>
        <v>9.8000000000000004E-2</v>
      </c>
    </row>
    <row r="156" spans="1:5">
      <c r="A156" s="1491" t="s">
        <v>68</v>
      </c>
      <c r="C156" s="92">
        <f t="shared" ref="C156" si="38">SUM(C152:C155)</f>
        <v>157386803</v>
      </c>
      <c r="D156" s="1493">
        <f t="shared" ref="D156" si="39">SUM(D152:D155)</f>
        <v>23274</v>
      </c>
      <c r="E156" s="1492">
        <f>ROUND(C156/C$156,3)</f>
        <v>1</v>
      </c>
    </row>
    <row r="158" spans="1:5" ht="15">
      <c r="A158" s="1487" t="s">
        <v>117</v>
      </c>
      <c r="C158" s="1488" t="s">
        <v>86</v>
      </c>
      <c r="D158" s="1488" t="s">
        <v>129</v>
      </c>
      <c r="E158" s="1489" t="s">
        <v>2226</v>
      </c>
    </row>
    <row r="159" spans="1:5">
      <c r="A159" s="75" t="s">
        <v>0</v>
      </c>
      <c r="C159" s="83">
        <f>'Smmy Acad SbS'!AV$15</f>
        <v>49718271</v>
      </c>
      <c r="D159" s="83">
        <f>'Smmy Acad SbS'!AW$15</f>
        <v>4442</v>
      </c>
      <c r="E159" s="1490">
        <f>ROUND(C159/C$163,3)</f>
        <v>0.24299999999999999</v>
      </c>
    </row>
    <row r="160" spans="1:5">
      <c r="A160" s="75" t="s">
        <v>87</v>
      </c>
      <c r="C160" s="86">
        <f>'Smmy Acad SbS'!AV$26</f>
        <v>72089010</v>
      </c>
      <c r="D160" s="86">
        <f>'Smmy Acad SbS'!AW$26</f>
        <v>6441</v>
      </c>
      <c r="E160" s="1486">
        <f>ROUND(C160/C$163,3)</f>
        <v>0.35199999999999998</v>
      </c>
    </row>
    <row r="161" spans="1:5">
      <c r="A161" s="75" t="s">
        <v>6</v>
      </c>
      <c r="C161" s="86">
        <f>'Smmy Acad SbS'!AV$29</f>
        <v>63925563</v>
      </c>
      <c r="D161" s="86">
        <f>'Smmy Acad SbS'!AW$29</f>
        <v>5711</v>
      </c>
      <c r="E161" s="1486">
        <f>ROUND(C161/C$163,3)</f>
        <v>0.312</v>
      </c>
    </row>
    <row r="162" spans="1:5">
      <c r="A162" s="75" t="s">
        <v>8</v>
      </c>
      <c r="C162" s="86">
        <f>'Smmy Acad SbS'!AV$38</f>
        <v>18891248</v>
      </c>
      <c r="D162" s="86">
        <f>'Smmy Acad SbS'!AW$38</f>
        <v>1687</v>
      </c>
      <c r="E162" s="1486">
        <f>ROUND(C162/C$163,3)</f>
        <v>9.1999999999999998E-2</v>
      </c>
    </row>
    <row r="163" spans="1:5">
      <c r="A163" s="1491" t="s">
        <v>68</v>
      </c>
      <c r="C163" s="92">
        <f t="shared" ref="C163" si="40">SUM(C159:C162)</f>
        <v>204624092</v>
      </c>
      <c r="D163" s="1493">
        <f t="shared" ref="D163" si="41">SUM(D159:D162)</f>
        <v>18281</v>
      </c>
      <c r="E163" s="1492">
        <f>ROUND(C163/C$163,3)</f>
        <v>1</v>
      </c>
    </row>
    <row r="165" spans="1:5" ht="15">
      <c r="A165" s="1487" t="s">
        <v>118</v>
      </c>
      <c r="C165" s="1488" t="s">
        <v>86</v>
      </c>
      <c r="D165" s="1488" t="s">
        <v>129</v>
      </c>
      <c r="E165" s="1489" t="s">
        <v>2226</v>
      </c>
    </row>
    <row r="166" spans="1:5">
      <c r="A166" s="75" t="s">
        <v>0</v>
      </c>
      <c r="C166" s="83">
        <f>'Smmy Acad SbS'!AX$15</f>
        <v>23410758</v>
      </c>
      <c r="D166" s="83">
        <f>'Smmy Acad SbS'!AY$15</f>
        <v>6495</v>
      </c>
      <c r="E166" s="1490">
        <f>ROUND(C166/C$170,3)</f>
        <v>0.308</v>
      </c>
    </row>
    <row r="167" spans="1:5">
      <c r="A167" s="75" t="s">
        <v>87</v>
      </c>
      <c r="C167" s="86">
        <f>'Smmy Acad SbS'!AX$26</f>
        <v>26804338</v>
      </c>
      <c r="D167" s="86">
        <f>'Smmy Acad SbS'!AY$26</f>
        <v>7437</v>
      </c>
      <c r="E167" s="1486">
        <f>ROUND(C167/C$170,3)</f>
        <v>0.35299999999999998</v>
      </c>
    </row>
    <row r="168" spans="1:5">
      <c r="A168" s="75" t="s">
        <v>6</v>
      </c>
      <c r="C168" s="86">
        <f>'Smmy Acad SbS'!AX$29</f>
        <v>15650731</v>
      </c>
      <c r="D168" s="86">
        <f>'Smmy Acad SbS'!AY$29</f>
        <v>4342</v>
      </c>
      <c r="E168" s="1486">
        <f>ROUND(C168/C$170,3)</f>
        <v>0.20599999999999999</v>
      </c>
    </row>
    <row r="169" spans="1:5">
      <c r="A169" s="75" t="s">
        <v>8</v>
      </c>
      <c r="C169" s="86">
        <f>'Smmy Acad SbS'!AX$38</f>
        <v>10127977</v>
      </c>
      <c r="D169" s="86">
        <f>'Smmy Acad SbS'!AY$38</f>
        <v>2810</v>
      </c>
      <c r="E169" s="1486">
        <f>ROUND(C169/C$170,3)</f>
        <v>0.13300000000000001</v>
      </c>
    </row>
    <row r="170" spans="1:5">
      <c r="A170" s="1491" t="s">
        <v>68</v>
      </c>
      <c r="C170" s="92">
        <f t="shared" ref="C170" si="42">SUM(C166:C169)</f>
        <v>75993804</v>
      </c>
      <c r="D170" s="1493">
        <f t="shared" ref="D170" si="43">SUM(D166:D169)</f>
        <v>21084</v>
      </c>
      <c r="E170" s="1492">
        <f>ROUND(C170/C$170,3)</f>
        <v>1</v>
      </c>
    </row>
    <row r="172" spans="1:5" ht="15">
      <c r="A172" s="1487" t="s">
        <v>215</v>
      </c>
      <c r="C172" s="1488" t="s">
        <v>86</v>
      </c>
      <c r="D172" s="1488" t="s">
        <v>129</v>
      </c>
      <c r="E172" s="1489" t="s">
        <v>2226</v>
      </c>
    </row>
    <row r="173" spans="1:5">
      <c r="A173" s="75" t="s">
        <v>0</v>
      </c>
      <c r="C173" s="83">
        <f>'Smmy Acad SbS'!AZ$15</f>
        <v>79069607</v>
      </c>
      <c r="D173" s="83">
        <f>'Smmy Acad SbS'!BA$15</f>
        <v>5849</v>
      </c>
      <c r="E173" s="1490">
        <f>ROUND(C173/C$177,3)</f>
        <v>0.27500000000000002</v>
      </c>
    </row>
    <row r="174" spans="1:5">
      <c r="A174" s="75" t="s">
        <v>87</v>
      </c>
      <c r="C174" s="86">
        <f>'Smmy Acad SbS'!AZ$26</f>
        <v>112190515</v>
      </c>
      <c r="D174" s="87">
        <f>'Smmy Acad SbS'!BA$26</f>
        <v>8301</v>
      </c>
      <c r="E174" s="1486">
        <f>ROUND(C174/C$177,3)</f>
        <v>0.39</v>
      </c>
    </row>
    <row r="175" spans="1:5">
      <c r="A175" s="75" t="s">
        <v>6</v>
      </c>
      <c r="C175" s="86">
        <f>'Smmy Acad SbS'!AZ$29</f>
        <v>52209570</v>
      </c>
      <c r="D175" s="87">
        <f>'Smmy Acad SbS'!BA$29</f>
        <v>3863</v>
      </c>
      <c r="E175" s="1486">
        <f>ROUND(C175/C$177,3)</f>
        <v>0.182</v>
      </c>
    </row>
    <row r="176" spans="1:5">
      <c r="A176" s="75" t="s">
        <v>8</v>
      </c>
      <c r="C176" s="86">
        <f>'Smmy Acad SbS'!AZ$38</f>
        <v>44056565</v>
      </c>
      <c r="D176" s="87">
        <f>'Smmy Acad SbS'!BA$38</f>
        <v>3259</v>
      </c>
      <c r="E176" s="1486">
        <f>ROUND(C176/C$177,3)</f>
        <v>0.153</v>
      </c>
    </row>
    <row r="177" spans="1:5">
      <c r="A177" s="1491" t="s">
        <v>68</v>
      </c>
      <c r="C177" s="92">
        <f t="shared" ref="C177" si="44">SUM(C173:C176)</f>
        <v>287526257</v>
      </c>
      <c r="D177" s="1493">
        <f t="shared" ref="D177" si="45">SUM(D173:D176)</f>
        <v>21272</v>
      </c>
      <c r="E177" s="1492">
        <f>ROUND(C177/C$177,3)</f>
        <v>1</v>
      </c>
    </row>
    <row r="179" spans="1:5" ht="15">
      <c r="A179" s="1487" t="s">
        <v>119</v>
      </c>
      <c r="C179" s="1488" t="s">
        <v>86</v>
      </c>
      <c r="D179" s="1488" t="s">
        <v>129</v>
      </c>
      <c r="E179" s="1489" t="s">
        <v>2226</v>
      </c>
    </row>
    <row r="180" spans="1:5">
      <c r="A180" s="75" t="s">
        <v>0</v>
      </c>
      <c r="C180" s="83">
        <f>'Smmy Acad SbS'!BB$15</f>
        <v>107341336</v>
      </c>
      <c r="D180" s="83">
        <f>'Smmy Acad SbS'!BC$15</f>
        <v>6101</v>
      </c>
      <c r="E180" s="1490">
        <f>ROUND(C180/C$184,3)</f>
        <v>0.249</v>
      </c>
    </row>
    <row r="181" spans="1:5">
      <c r="A181" s="75" t="s">
        <v>87</v>
      </c>
      <c r="C181" s="86">
        <f>'Smmy Acad SbS'!BB$26</f>
        <v>176866747</v>
      </c>
      <c r="D181" s="86">
        <f>'Smmy Acad SbS'!BC$26</f>
        <v>10053</v>
      </c>
      <c r="E181" s="1486">
        <f>ROUND(C181/C$184,3)</f>
        <v>0.40899999999999997</v>
      </c>
    </row>
    <row r="182" spans="1:5">
      <c r="A182" s="75" t="s">
        <v>6</v>
      </c>
      <c r="C182" s="86">
        <f>'Smmy Acad SbS'!BB$29</f>
        <v>75908436</v>
      </c>
      <c r="D182" s="86">
        <f>'Smmy Acad SbS'!BC$29</f>
        <v>4314</v>
      </c>
      <c r="E182" s="1486">
        <f>ROUND(C182/C$184,3)</f>
        <v>0.17599999999999999</v>
      </c>
    </row>
    <row r="183" spans="1:5">
      <c r="A183" s="75" t="s">
        <v>8</v>
      </c>
      <c r="C183" s="86">
        <f>'Smmy Acad SbS'!BB$38</f>
        <v>71798488</v>
      </c>
      <c r="D183" s="86">
        <f>'Smmy Acad SbS'!BC$38</f>
        <v>4081</v>
      </c>
      <c r="E183" s="1486">
        <f>ROUND(C183/C$184,3)</f>
        <v>0.16600000000000001</v>
      </c>
    </row>
    <row r="184" spans="1:5">
      <c r="A184" s="1491" t="s">
        <v>68</v>
      </c>
      <c r="C184" s="92">
        <f t="shared" ref="C184" si="46">SUM(C180:C183)</f>
        <v>431915007</v>
      </c>
      <c r="D184" s="1493">
        <f t="shared" ref="D184" si="47">SUM(D180:D183)</f>
        <v>24549</v>
      </c>
      <c r="E184" s="1492">
        <f>ROUND(C184/C$184,3)</f>
        <v>1</v>
      </c>
    </row>
    <row r="186" spans="1:5" ht="15">
      <c r="A186" s="1487" t="s">
        <v>1289</v>
      </c>
      <c r="C186" s="1488" t="s">
        <v>86</v>
      </c>
      <c r="D186" s="1488" t="s">
        <v>129</v>
      </c>
      <c r="E186" s="1489" t="s">
        <v>2226</v>
      </c>
    </row>
    <row r="187" spans="1:5">
      <c r="A187" s="75" t="s">
        <v>0</v>
      </c>
      <c r="C187" s="83">
        <f>'Smmy Acad SbS'!BD$15</f>
        <v>206842810</v>
      </c>
      <c r="D187" s="83">
        <f>'Smmy Acad SbS'!BE$15</f>
        <v>6610</v>
      </c>
      <c r="E187" s="1490">
        <f>ROUND(C187/C$191,3)</f>
        <v>0.27400000000000002</v>
      </c>
    </row>
    <row r="188" spans="1:5">
      <c r="A188" s="75" t="s">
        <v>87</v>
      </c>
      <c r="C188" s="86">
        <f>'Smmy Acad SbS'!BD$26</f>
        <v>285682007</v>
      </c>
      <c r="D188" s="86">
        <f>'Smmy Acad SbS'!BE$26</f>
        <v>9128</v>
      </c>
      <c r="E188" s="1486">
        <f>ROUND(C188/C$191,3)</f>
        <v>0.378</v>
      </c>
    </row>
    <row r="189" spans="1:5">
      <c r="A189" s="75" t="s">
        <v>6</v>
      </c>
      <c r="C189" s="86">
        <f>'Smmy Acad SbS'!BD$29</f>
        <v>142660412</v>
      </c>
      <c r="D189" s="86">
        <f>'Smmy Acad SbS'!BE$29</f>
        <v>4559</v>
      </c>
      <c r="E189" s="1486">
        <f>ROUND(C189/C$191,3)</f>
        <v>0.189</v>
      </c>
    </row>
    <row r="190" spans="1:5">
      <c r="A190" s="75" t="s">
        <v>8</v>
      </c>
      <c r="C190" s="86">
        <f>'Smmy Acad SbS'!BD$38</f>
        <v>120781233</v>
      </c>
      <c r="D190" s="86">
        <f>'Smmy Acad SbS'!BE$38</f>
        <v>3859</v>
      </c>
      <c r="E190" s="1486">
        <f>ROUND(C190/C$191,3)</f>
        <v>0.16</v>
      </c>
    </row>
    <row r="191" spans="1:5">
      <c r="A191" s="1491" t="s">
        <v>68</v>
      </c>
      <c r="C191" s="92">
        <f t="shared" ref="C191" si="48">SUM(C187:C190)</f>
        <v>755966462</v>
      </c>
      <c r="D191" s="1493">
        <f t="shared" ref="D191" si="49">SUM(D187:D190)</f>
        <v>24156</v>
      </c>
      <c r="E191" s="1492">
        <f>ROUND(C191/C$191,3)</f>
        <v>1</v>
      </c>
    </row>
    <row r="193" spans="1:5" ht="15">
      <c r="A193" s="1487" t="s">
        <v>1239</v>
      </c>
      <c r="C193" s="1488" t="s">
        <v>86</v>
      </c>
      <c r="D193" s="1488" t="s">
        <v>129</v>
      </c>
      <c r="E193" s="1489" t="s">
        <v>2226</v>
      </c>
    </row>
    <row r="194" spans="1:5">
      <c r="A194" s="75" t="s">
        <v>0</v>
      </c>
      <c r="C194" s="83">
        <f>'Smmy Acad SbS'!BF$15</f>
        <v>23686109</v>
      </c>
      <c r="D194" s="83">
        <f>'Smmy Acad SbS'!BG$15</f>
        <v>13832</v>
      </c>
      <c r="E194" s="1490">
        <f>ROUND(C194/C$198,3)</f>
        <v>0.39500000000000002</v>
      </c>
    </row>
    <row r="195" spans="1:5">
      <c r="A195" s="75" t="s">
        <v>87</v>
      </c>
      <c r="C195" s="86">
        <f>'Smmy Acad SbS'!BF$26</f>
        <v>9678587</v>
      </c>
      <c r="D195" s="86">
        <f>'Smmy Acad SbS'!BG$26</f>
        <v>5652</v>
      </c>
      <c r="E195" s="1486">
        <f>ROUND(C195/C$198,3)</f>
        <v>0.16200000000000001</v>
      </c>
    </row>
    <row r="196" spans="1:5">
      <c r="A196" s="75" t="s">
        <v>6</v>
      </c>
      <c r="C196" s="86">
        <f>'Smmy Acad SbS'!BF$29</f>
        <v>13524396</v>
      </c>
      <c r="D196" s="86">
        <f>'Smmy Acad SbS'!BG$29</f>
        <v>7897</v>
      </c>
      <c r="E196" s="1486">
        <f>ROUND(C196/C$198,3)</f>
        <v>0.22600000000000001</v>
      </c>
    </row>
    <row r="197" spans="1:5">
      <c r="A197" s="75" t="s">
        <v>8</v>
      </c>
      <c r="C197" s="86">
        <f>'Smmy Acad SbS'!BF$38</f>
        <v>13017811</v>
      </c>
      <c r="D197" s="86">
        <f>'Smmy Acad SbS'!BG$38</f>
        <v>7602</v>
      </c>
      <c r="E197" s="1486">
        <f>ROUND(C197/C$198,3)</f>
        <v>0.217</v>
      </c>
    </row>
    <row r="198" spans="1:5">
      <c r="A198" s="1491" t="s">
        <v>68</v>
      </c>
      <c r="C198" s="92">
        <f t="shared" ref="C198" si="50">SUM(C194:C197)</f>
        <v>59906903</v>
      </c>
      <c r="D198" s="1493">
        <f t="shared" ref="D198" si="51">SUM(D194:D197)</f>
        <v>34983</v>
      </c>
      <c r="E198" s="1492">
        <f>ROUND(C198/C$198,3)</f>
        <v>1</v>
      </c>
    </row>
    <row r="200" spans="1:5" ht="15">
      <c r="A200" s="1487" t="s">
        <v>121</v>
      </c>
      <c r="C200" s="1488" t="s">
        <v>86</v>
      </c>
      <c r="D200" s="1488" t="s">
        <v>129</v>
      </c>
      <c r="E200" s="1489" t="s">
        <v>2226</v>
      </c>
    </row>
    <row r="201" spans="1:5">
      <c r="A201" s="75" t="s">
        <v>0</v>
      </c>
      <c r="C201" s="83">
        <f>'Smmy Acad SbS'!BH$15</f>
        <v>263622386</v>
      </c>
      <c r="D201" s="83">
        <f>'Smmy Acad SbS'!BI$15</f>
        <v>7316</v>
      </c>
      <c r="E201" s="1490">
        <f>ROUND(C201/C$205,3)</f>
        <v>0.255</v>
      </c>
    </row>
    <row r="202" spans="1:5">
      <c r="A202" s="75" t="s">
        <v>87</v>
      </c>
      <c r="C202" s="86">
        <f>'Smmy Acad SbS'!BH$26</f>
        <v>357294838</v>
      </c>
      <c r="D202" s="86">
        <f>'Smmy Acad SbS'!BI$26</f>
        <v>9915</v>
      </c>
      <c r="E202" s="1486">
        <f>ROUND(C202/C$205,3)</f>
        <v>0.34499999999999997</v>
      </c>
    </row>
    <row r="203" spans="1:5">
      <c r="A203" s="75" t="s">
        <v>6</v>
      </c>
      <c r="C203" s="86">
        <f>'Smmy Acad SbS'!BH$29</f>
        <v>126847258</v>
      </c>
      <c r="D203" s="86">
        <f>'Smmy Acad SbS'!BI$29</f>
        <v>3520</v>
      </c>
      <c r="E203" s="1486">
        <f>ROUND(C203/C$205,3)</f>
        <v>0.123</v>
      </c>
    </row>
    <row r="204" spans="1:5">
      <c r="A204" s="75" t="s">
        <v>8</v>
      </c>
      <c r="C204" s="86">
        <f>'Smmy Acad SbS'!BH$38</f>
        <v>287341959</v>
      </c>
      <c r="D204" s="86">
        <f>'Smmy Acad SbS'!BI$38</f>
        <v>7974</v>
      </c>
      <c r="E204" s="1486">
        <f>ROUND(C204/C$205,3)</f>
        <v>0.27800000000000002</v>
      </c>
    </row>
    <row r="205" spans="1:5">
      <c r="A205" s="1491" t="s">
        <v>68</v>
      </c>
      <c r="C205" s="92">
        <f t="shared" ref="C205" si="52">SUM(C201:C204)</f>
        <v>1035106441</v>
      </c>
      <c r="D205" s="1493">
        <f t="shared" ref="D205" si="53">SUM(D201:D204)</f>
        <v>28725</v>
      </c>
      <c r="E205" s="1492">
        <f>ROUND(C205/C$205,3)</f>
        <v>1</v>
      </c>
    </row>
    <row r="207" spans="1:5" ht="15">
      <c r="A207" s="1487" t="s">
        <v>122</v>
      </c>
      <c r="C207" s="1488" t="s">
        <v>86</v>
      </c>
      <c r="D207" s="1488" t="s">
        <v>129</v>
      </c>
      <c r="E207" s="1489" t="s">
        <v>2226</v>
      </c>
    </row>
    <row r="208" spans="1:5">
      <c r="A208" s="75" t="s">
        <v>0</v>
      </c>
      <c r="C208" s="83">
        <f>'Smmy Acad SbS'!BJ$15</f>
        <v>49314326</v>
      </c>
      <c r="D208" s="83">
        <f>'Smmy Acad SbS'!BK$15</f>
        <v>6474</v>
      </c>
      <c r="E208" s="1490">
        <f>ROUND(C208/C$212,3)</f>
        <v>0.29599999999999999</v>
      </c>
    </row>
    <row r="209" spans="1:5">
      <c r="A209" s="75" t="s">
        <v>87</v>
      </c>
      <c r="C209" s="86">
        <f>'Smmy Acad SbS'!BJ$26</f>
        <v>44743500</v>
      </c>
      <c r="D209" s="86">
        <f>'Smmy Acad SbS'!BK$26</f>
        <v>5874</v>
      </c>
      <c r="E209" s="1486">
        <f>ROUND(C209/C$212,3)</f>
        <v>0.26900000000000002</v>
      </c>
    </row>
    <row r="210" spans="1:5">
      <c r="A210" s="75" t="s">
        <v>6</v>
      </c>
      <c r="C210" s="86">
        <f>'Smmy Acad SbS'!BJ$29</f>
        <v>32115992</v>
      </c>
      <c r="D210" s="86">
        <f>'Smmy Acad SbS'!BK$29</f>
        <v>4216</v>
      </c>
      <c r="E210" s="1486">
        <f>ROUND(C210/C$212,3)</f>
        <v>0.193</v>
      </c>
    </row>
    <row r="211" spans="1:5">
      <c r="A211" s="75" t="s">
        <v>8</v>
      </c>
      <c r="C211" s="86">
        <f>'Smmy Acad SbS'!BJ$38</f>
        <v>40173822</v>
      </c>
      <c r="D211" s="86">
        <f>'Smmy Acad SbS'!BK$38</f>
        <v>5274</v>
      </c>
      <c r="E211" s="1486">
        <f>ROUND(C211/C$212,3)</f>
        <v>0.24199999999999999</v>
      </c>
    </row>
    <row r="212" spans="1:5">
      <c r="A212" s="1491" t="s">
        <v>68</v>
      </c>
      <c r="C212" s="92">
        <f t="shared" ref="C212" si="54">SUM(C208:C211)</f>
        <v>166347640</v>
      </c>
      <c r="D212" s="1493">
        <f t="shared" ref="D212" si="55">SUM(D208:D211)</f>
        <v>21838</v>
      </c>
      <c r="E212" s="1492">
        <f>ROUND(C212/C$212,3)</f>
        <v>1</v>
      </c>
    </row>
    <row r="214" spans="1:5" ht="15">
      <c r="A214" s="1487" t="s">
        <v>123</v>
      </c>
      <c r="C214" s="1488" t="s">
        <v>86</v>
      </c>
      <c r="D214" s="1488" t="s">
        <v>129</v>
      </c>
      <c r="E214" s="1489" t="s">
        <v>2226</v>
      </c>
    </row>
    <row r="215" spans="1:5">
      <c r="A215" s="75" t="s">
        <v>0</v>
      </c>
      <c r="C215" s="83">
        <f>'Smmy Acad SbS'!BL$15</f>
        <v>203993076</v>
      </c>
      <c r="D215" s="83">
        <f>'Smmy Acad SbS'!BM$15</f>
        <v>5874</v>
      </c>
      <c r="E215" s="1490">
        <f>ROUND(C215/C$219,3)</f>
        <v>0.24199999999999999</v>
      </c>
    </row>
    <row r="216" spans="1:5">
      <c r="A216" s="75" t="s">
        <v>87</v>
      </c>
      <c r="C216" s="86">
        <f>'Smmy Acad SbS'!BL$26</f>
        <v>363524651</v>
      </c>
      <c r="D216" s="86">
        <f>'Smmy Acad SbS'!BM$26</f>
        <v>10468</v>
      </c>
      <c r="E216" s="1486">
        <f>ROUND(C216/C$219,3)</f>
        <v>0.43099999999999999</v>
      </c>
    </row>
    <row r="217" spans="1:5">
      <c r="A217" s="75" t="s">
        <v>6</v>
      </c>
      <c r="C217" s="86">
        <f>'Smmy Acad SbS'!BL$29</f>
        <v>165506817</v>
      </c>
      <c r="D217" s="86">
        <f>'Smmy Acad SbS'!BM$29</f>
        <v>4766</v>
      </c>
      <c r="E217" s="1486">
        <f>ROUND(C217/C$219,3)</f>
        <v>0.19600000000000001</v>
      </c>
    </row>
    <row r="218" spans="1:5">
      <c r="A218" s="75" t="s">
        <v>8</v>
      </c>
      <c r="C218" s="86">
        <f>'Smmy Acad SbS'!BL$38</f>
        <v>111282230</v>
      </c>
      <c r="D218" s="86">
        <f>'Smmy Acad SbS'!BM$38</f>
        <v>3205</v>
      </c>
      <c r="E218" s="1486">
        <f>ROUND(C218/C$219,3)</f>
        <v>0.13200000000000001</v>
      </c>
    </row>
    <row r="219" spans="1:5">
      <c r="A219" s="1491" t="s">
        <v>68</v>
      </c>
      <c r="C219" s="92">
        <f t="shared" ref="C219" si="56">SUM(C215:C218)</f>
        <v>844306774</v>
      </c>
      <c r="D219" s="1493">
        <f t="shared" ref="D219" si="57">SUM(D215:D218)</f>
        <v>24313</v>
      </c>
      <c r="E219" s="1492">
        <f>ROUND(C219/C$219,3)</f>
        <v>1</v>
      </c>
    </row>
    <row r="221" spans="1:5" ht="15">
      <c r="A221" s="1487" t="s">
        <v>270</v>
      </c>
      <c r="C221" s="1488" t="s">
        <v>86</v>
      </c>
      <c r="D221" s="1488" t="s">
        <v>129</v>
      </c>
      <c r="E221" s="1489" t="s">
        <v>2226</v>
      </c>
    </row>
    <row r="222" spans="1:5">
      <c r="A222" s="75" t="s">
        <v>0</v>
      </c>
      <c r="C222" s="83">
        <f>'Smmy Acad SbS'!BN$15</f>
        <v>33427985</v>
      </c>
      <c r="D222" s="83">
        <f>'Smmy Acad SbS'!BO$15</f>
        <v>9649</v>
      </c>
      <c r="E222" s="1490">
        <f>ROUND(C222/C$226,3)</f>
        <v>0.37</v>
      </c>
    </row>
    <row r="223" spans="1:5">
      <c r="A223" s="75" t="s">
        <v>87</v>
      </c>
      <c r="C223" s="86">
        <f>'Smmy Acad SbS'!BN$26</f>
        <v>30361512</v>
      </c>
      <c r="D223" s="86">
        <f>'Smmy Acad SbS'!BO$26</f>
        <v>8765</v>
      </c>
      <c r="E223" s="1486">
        <f>ROUND(C223/C$226,3)</f>
        <v>0.33600000000000002</v>
      </c>
    </row>
    <row r="224" spans="1:5">
      <c r="A224" s="75" t="s">
        <v>6</v>
      </c>
      <c r="C224" s="86">
        <f>'Smmy Acad SbS'!BN$29</f>
        <v>22473380</v>
      </c>
      <c r="D224" s="86">
        <f>'Smmy Acad SbS'!BO$29</f>
        <v>6487</v>
      </c>
      <c r="E224" s="1486">
        <f>ROUND(C224/C$226,3)</f>
        <v>0.249</v>
      </c>
    </row>
    <row r="225" spans="1:5">
      <c r="A225" s="75" t="s">
        <v>8</v>
      </c>
      <c r="C225" s="86">
        <f>'Smmy Acad SbS'!BN$38</f>
        <v>4102300</v>
      </c>
      <c r="D225" s="86">
        <f>'Smmy Acad SbS'!BO$38</f>
        <v>1184</v>
      </c>
      <c r="E225" s="1486">
        <f>ROUND(C225/C$226,3)</f>
        <v>4.4999999999999998E-2</v>
      </c>
    </row>
    <row r="226" spans="1:5">
      <c r="A226" s="1491" t="s">
        <v>68</v>
      </c>
      <c r="C226" s="92">
        <f t="shared" ref="C226" si="58">SUM(C222:C225)</f>
        <v>90365177</v>
      </c>
      <c r="D226" s="1493">
        <f t="shared" ref="D226" si="59">SUM(D222:D225)</f>
        <v>26085</v>
      </c>
      <c r="E226" s="1492">
        <f>ROUND(C226/C$226,3)</f>
        <v>1</v>
      </c>
    </row>
    <row r="228" spans="1:5" ht="15">
      <c r="A228" s="1487" t="s">
        <v>124</v>
      </c>
      <c r="C228" s="1488" t="s">
        <v>86</v>
      </c>
      <c r="D228" s="1488" t="s">
        <v>129</v>
      </c>
      <c r="E228" s="1489" t="s">
        <v>2226</v>
      </c>
    </row>
    <row r="229" spans="1:5">
      <c r="A229" s="75" t="s">
        <v>0</v>
      </c>
      <c r="C229" s="83">
        <f>'Smmy Acad SbS'!BP$15</f>
        <v>35648597</v>
      </c>
      <c r="D229" s="83">
        <f>'Smmy Acad SbS'!BQ$15</f>
        <v>8248</v>
      </c>
      <c r="E229" s="1490">
        <f>ROUND(C229/C$233,3)</f>
        <v>0.30199999999999999</v>
      </c>
    </row>
    <row r="230" spans="1:5">
      <c r="A230" s="75" t="s">
        <v>87</v>
      </c>
      <c r="C230" s="86">
        <f>'Smmy Acad SbS'!BP$26</f>
        <v>33832780</v>
      </c>
      <c r="D230" s="86">
        <f>'Smmy Acad SbS'!BQ$26</f>
        <v>7828</v>
      </c>
      <c r="E230" s="1486">
        <f>ROUND(C230/C$233,3)</f>
        <v>0.28699999999999998</v>
      </c>
    </row>
    <row r="231" spans="1:5">
      <c r="A231" s="75" t="s">
        <v>6</v>
      </c>
      <c r="C231" s="86">
        <f>'Smmy Acad SbS'!BP$29</f>
        <v>23356845</v>
      </c>
      <c r="D231" s="86">
        <f>'Smmy Acad SbS'!BQ$29</f>
        <v>5404</v>
      </c>
      <c r="E231" s="1486">
        <f>ROUND(C231/C$233,3)</f>
        <v>0.19800000000000001</v>
      </c>
    </row>
    <row r="232" spans="1:5">
      <c r="A232" s="75" t="s">
        <v>8</v>
      </c>
      <c r="C232" s="86">
        <f>'Smmy Acad SbS'!BP$38</f>
        <v>25168550</v>
      </c>
      <c r="D232" s="86">
        <f>'Smmy Acad SbS'!BQ$38</f>
        <v>5823</v>
      </c>
      <c r="E232" s="1486">
        <f>ROUND(C232/C$233,3)</f>
        <v>0.21299999999999999</v>
      </c>
    </row>
    <row r="233" spans="1:5">
      <c r="A233" s="1491" t="s">
        <v>68</v>
      </c>
      <c r="C233" s="92">
        <f t="shared" ref="C233" si="60">SUM(C229:C232)</f>
        <v>118006772</v>
      </c>
      <c r="D233" s="1493">
        <f t="shared" ref="D233" si="61">SUM(D229:D232)</f>
        <v>27303</v>
      </c>
      <c r="E233" s="1492">
        <f>ROUND(C233/C$233,3)</f>
        <v>1</v>
      </c>
    </row>
    <row r="235" spans="1:5" ht="15">
      <c r="A235" s="1487" t="s">
        <v>125</v>
      </c>
      <c r="C235" s="1488" t="s">
        <v>86</v>
      </c>
      <c r="D235" s="1488" t="s">
        <v>129</v>
      </c>
      <c r="E235" s="1489" t="s">
        <v>2226</v>
      </c>
    </row>
    <row r="236" spans="1:5">
      <c r="A236" s="75" t="s">
        <v>0</v>
      </c>
      <c r="C236" s="83">
        <f>'Smmy Acad SbS'!BR$15</f>
        <v>70173866</v>
      </c>
      <c r="D236" s="83">
        <f>'Smmy Acad SbS'!BS$15</f>
        <v>6768</v>
      </c>
      <c r="E236" s="1490">
        <f>ROUND(C236/C$240,3)</f>
        <v>0.26200000000000001</v>
      </c>
    </row>
    <row r="237" spans="1:5">
      <c r="A237" s="75" t="s">
        <v>87</v>
      </c>
      <c r="C237" s="86">
        <f>'Smmy Acad SbS'!BR$26</f>
        <v>80528042</v>
      </c>
      <c r="D237" s="86">
        <f>'Smmy Acad SbS'!BS$26</f>
        <v>7766</v>
      </c>
      <c r="E237" s="1486">
        <f>ROUND(C237/C$240,3)</f>
        <v>0.30099999999999999</v>
      </c>
    </row>
    <row r="238" spans="1:5">
      <c r="A238" s="75" t="s">
        <v>6</v>
      </c>
      <c r="C238" s="86">
        <f>'Smmy Acad SbS'!BR$29</f>
        <v>74490644</v>
      </c>
      <c r="D238" s="86">
        <f>'Smmy Acad SbS'!BS$29</f>
        <v>7184</v>
      </c>
      <c r="E238" s="1486">
        <f>ROUND(C238/C$240,3)</f>
        <v>0.27800000000000002</v>
      </c>
    </row>
    <row r="239" spans="1:5">
      <c r="A239" s="75" t="s">
        <v>8</v>
      </c>
      <c r="C239" s="86">
        <f>'Smmy Acad SbS'!BR$38</f>
        <v>42383275</v>
      </c>
      <c r="D239" s="86">
        <f>'Smmy Acad SbS'!BS$38</f>
        <v>4088</v>
      </c>
      <c r="E239" s="1486">
        <f>ROUND(C239/C$240,3)</f>
        <v>0.158</v>
      </c>
    </row>
    <row r="240" spans="1:5">
      <c r="A240" s="1491" t="s">
        <v>68</v>
      </c>
      <c r="C240" s="92">
        <f t="shared" ref="C240" si="62">SUM(C236:C239)</f>
        <v>267575827</v>
      </c>
      <c r="D240" s="1493">
        <f t="shared" ref="D240" si="63">SUM(D236:D239)</f>
        <v>25806</v>
      </c>
      <c r="E240" s="1492">
        <f>ROUND(C240/C$240,3)</f>
        <v>1</v>
      </c>
    </row>
    <row r="242" spans="1:5" ht="15">
      <c r="A242" s="1487" t="s">
        <v>126</v>
      </c>
      <c r="C242" s="1488" t="s">
        <v>86</v>
      </c>
      <c r="D242" s="1488" t="s">
        <v>129</v>
      </c>
      <c r="E242" s="1489" t="s">
        <v>2226</v>
      </c>
    </row>
    <row r="243" spans="1:5">
      <c r="A243" s="75" t="s">
        <v>0</v>
      </c>
      <c r="C243" s="83">
        <f>'Smmy Acad SbS'!BT$15</f>
        <v>79567683</v>
      </c>
      <c r="D243" s="83">
        <f>'Smmy Acad SbS'!BU$15</f>
        <v>12344</v>
      </c>
      <c r="E243" s="1490">
        <f>ROUND(C243/C$247,3)</f>
        <v>0.312</v>
      </c>
    </row>
    <row r="244" spans="1:5">
      <c r="A244" s="75" t="s">
        <v>87</v>
      </c>
      <c r="C244" s="86">
        <f>'Smmy Acad SbS'!BT$26</f>
        <v>53649894</v>
      </c>
      <c r="D244" s="86">
        <f>'Smmy Acad SbS'!BU$26</f>
        <v>8323</v>
      </c>
      <c r="E244" s="1486">
        <f>ROUND(C244/C$247,3)</f>
        <v>0.21</v>
      </c>
    </row>
    <row r="245" spans="1:5">
      <c r="A245" s="75" t="s">
        <v>6</v>
      </c>
      <c r="C245" s="86">
        <f>'Smmy Acad SbS'!BT$29</f>
        <v>89345091</v>
      </c>
      <c r="D245" s="86">
        <f>'Smmy Acad SbS'!BU$29</f>
        <v>13861</v>
      </c>
      <c r="E245" s="1486">
        <f>ROUND(C245/C$247,3)</f>
        <v>0.35</v>
      </c>
    </row>
    <row r="246" spans="1:5">
      <c r="A246" s="75" t="s">
        <v>8</v>
      </c>
      <c r="C246" s="86">
        <f>'Smmy Acad SbS'!BT$38</f>
        <v>32643993</v>
      </c>
      <c r="D246" s="86">
        <f>'Smmy Acad SbS'!BU$38</f>
        <v>5064</v>
      </c>
      <c r="E246" s="1486">
        <f>ROUND(C246/C$247,3)</f>
        <v>0.128</v>
      </c>
    </row>
    <row r="247" spans="1:5">
      <c r="A247" s="1491" t="s">
        <v>68</v>
      </c>
      <c r="C247" s="92">
        <f t="shared" ref="C247" si="64">SUM(C243:C246)</f>
        <v>255206661</v>
      </c>
      <c r="D247" s="1493">
        <f t="shared" ref="D247" si="65">SUM(D243:D246)</f>
        <v>39592</v>
      </c>
      <c r="E247" s="1492">
        <f>ROUND(C247/C$247,3)</f>
        <v>1</v>
      </c>
    </row>
    <row r="249" spans="1:5" ht="15">
      <c r="A249" s="1487" t="s">
        <v>127</v>
      </c>
      <c r="C249" s="1488" t="s">
        <v>86</v>
      </c>
      <c r="D249" s="1488" t="s">
        <v>129</v>
      </c>
      <c r="E249" s="1489" t="s">
        <v>2226</v>
      </c>
    </row>
    <row r="250" spans="1:5">
      <c r="A250" s="75" t="s">
        <v>0</v>
      </c>
      <c r="C250" s="83">
        <f>'Smmy Acad SbS'!BV$15</f>
        <v>95844294</v>
      </c>
      <c r="D250" s="83">
        <f>'Smmy Acad SbS'!BW$15</f>
        <v>7357</v>
      </c>
      <c r="E250" s="1490">
        <f>ROUND(C250/C$254,3)</f>
        <v>0.36299999999999999</v>
      </c>
    </row>
    <row r="251" spans="1:5">
      <c r="A251" s="75" t="s">
        <v>87</v>
      </c>
      <c r="C251" s="86">
        <f>'Smmy Acad SbS'!BV$26</f>
        <v>89161334</v>
      </c>
      <c r="D251" s="86">
        <f>'Smmy Acad SbS'!BW$26</f>
        <v>6845</v>
      </c>
      <c r="E251" s="1486">
        <f>ROUND(C251/C$254,3)</f>
        <v>0.33800000000000002</v>
      </c>
    </row>
    <row r="252" spans="1:5">
      <c r="A252" s="75" t="s">
        <v>6</v>
      </c>
      <c r="C252" s="86">
        <f>'Smmy Acad SbS'!BV$29</f>
        <v>42101935</v>
      </c>
      <c r="D252" s="86">
        <f>'Smmy Acad SbS'!BW$29</f>
        <v>3232</v>
      </c>
      <c r="E252" s="1486">
        <f>ROUND(C252/C$254,3)</f>
        <v>0.16</v>
      </c>
    </row>
    <row r="253" spans="1:5">
      <c r="A253" s="75" t="s">
        <v>8</v>
      </c>
      <c r="C253" s="86">
        <f>'Smmy Acad SbS'!BV$38</f>
        <v>36669845</v>
      </c>
      <c r="D253" s="86">
        <f>'Smmy Acad SbS'!BW$38</f>
        <v>2815</v>
      </c>
      <c r="E253" s="1486">
        <f>ROUND(C253/C$254,3)</f>
        <v>0.13900000000000001</v>
      </c>
    </row>
    <row r="254" spans="1:5">
      <c r="A254" s="1491" t="s">
        <v>68</v>
      </c>
      <c r="C254" s="92">
        <f t="shared" ref="C254" si="66">SUM(C250:C253)</f>
        <v>263777408</v>
      </c>
      <c r="D254" s="1493">
        <f t="shared" ref="D254" si="67">SUM(D250:D253)</f>
        <v>20249</v>
      </c>
      <c r="E254" s="1492">
        <f>ROUND(C254/C$254,3)</f>
        <v>1</v>
      </c>
    </row>
    <row r="256" spans="1:5" ht="15">
      <c r="A256" s="1487" t="s">
        <v>2228</v>
      </c>
      <c r="C256" s="1488" t="s">
        <v>86</v>
      </c>
      <c r="D256" s="1488" t="s">
        <v>129</v>
      </c>
      <c r="E256" s="1489" t="s">
        <v>2226</v>
      </c>
    </row>
    <row r="257" spans="1:5">
      <c r="A257" s="75" t="s">
        <v>0</v>
      </c>
      <c r="C257" s="83"/>
      <c r="D257" s="83"/>
    </row>
    <row r="258" spans="1:5">
      <c r="A258" s="75" t="s">
        <v>87</v>
      </c>
      <c r="C258" s="86"/>
      <c r="D258" s="87"/>
    </row>
    <row r="259" spans="1:5">
      <c r="A259" s="75" t="s">
        <v>6</v>
      </c>
      <c r="C259" s="86"/>
      <c r="D259" s="87"/>
    </row>
    <row r="260" spans="1:5">
      <c r="A260" s="75" t="s">
        <v>8</v>
      </c>
      <c r="C260" s="86"/>
      <c r="D260" s="87"/>
    </row>
    <row r="261" spans="1:5">
      <c r="A261" s="1491" t="s">
        <v>68</v>
      </c>
      <c r="C261" s="92"/>
      <c r="D261" s="92"/>
      <c r="E261" s="1492"/>
    </row>
    <row r="263" spans="1:5" ht="15">
      <c r="A263" s="1487" t="s">
        <v>99</v>
      </c>
      <c r="C263" s="1488" t="s">
        <v>86</v>
      </c>
      <c r="D263" s="1488" t="s">
        <v>129</v>
      </c>
      <c r="E263" s="1489" t="s">
        <v>2226</v>
      </c>
    </row>
    <row r="264" spans="1:5">
      <c r="A264" s="75" t="s">
        <v>0</v>
      </c>
      <c r="C264" s="83"/>
      <c r="D264" s="83"/>
    </row>
    <row r="265" spans="1:5">
      <c r="A265" s="75" t="s">
        <v>87</v>
      </c>
      <c r="C265" s="86"/>
      <c r="D265" s="87"/>
    </row>
    <row r="266" spans="1:5">
      <c r="A266" s="75" t="s">
        <v>6</v>
      </c>
      <c r="C266" s="86"/>
      <c r="D266" s="87"/>
    </row>
    <row r="267" spans="1:5">
      <c r="A267" s="75" t="s">
        <v>8</v>
      </c>
      <c r="C267" s="86"/>
      <c r="D267" s="87"/>
    </row>
    <row r="268" spans="1:5">
      <c r="A268" s="1491" t="s">
        <v>68</v>
      </c>
      <c r="C268" s="92"/>
      <c r="D268" s="92"/>
      <c r="E268" s="1492"/>
    </row>
    <row r="270" spans="1:5" ht="15">
      <c r="A270" s="1494" t="s">
        <v>2229</v>
      </c>
      <c r="C270" s="1495" t="s">
        <v>86</v>
      </c>
      <c r="D270" s="1495" t="s">
        <v>129</v>
      </c>
      <c r="E270" s="1496" t="s">
        <v>2226</v>
      </c>
    </row>
    <row r="271" spans="1:5">
      <c r="A271" s="75" t="s">
        <v>0</v>
      </c>
      <c r="C271" s="83">
        <f>C264+C257+C250+C243+C236+C229+C222+C215+C208+C201+C194+C187+C180+C173+C166+C159+C152+C145+C138+C131+C124+C117+C110+C103+C96+C89+C82+C75+C68+C61+C54+C47+C40+C33+C26+C19+C12+C5</f>
        <v>4576500495</v>
      </c>
      <c r="D271" s="83">
        <f t="shared" ref="D271:D274" si="68">D264+D257+D250+D243+D236+D229+D222+D215+D208+D201+D194+D187+D180+D173+D166+D159+D152+D145+D138+D131+D124+D117+D110+D103+D96+D89+D82+D75+D68+D61+D54+D47+D40+D33+D26+D19+D12+D5</f>
        <v>332204</v>
      </c>
      <c r="E271" s="1490">
        <f>ROUND(C271/C$275,3)</f>
        <v>0.25900000000000001</v>
      </c>
    </row>
    <row r="272" spans="1:5">
      <c r="A272" s="75" t="s">
        <v>87</v>
      </c>
      <c r="C272" s="86">
        <f t="shared" ref="C272" si="69">C265+C258+C251+C244+C237+C230+C223+C216+C209+C202+C195+C188+C181+C174+C167+C160+C153+C146+C139+C132+C125+C118+C111+C104+C97+C90+C83+C76+C69+C62+C55+C48+C41+C34+C27+C20+C13+C6</f>
        <v>5201526243</v>
      </c>
      <c r="D272" s="87">
        <f t="shared" si="68"/>
        <v>299307</v>
      </c>
      <c r="E272" s="1486">
        <f>ROUND(C272/C$275,3)</f>
        <v>0.29499999999999998</v>
      </c>
    </row>
    <row r="273" spans="1:5">
      <c r="A273" s="75" t="s">
        <v>6</v>
      </c>
      <c r="C273" s="86">
        <f t="shared" ref="C273" si="70">C266+C259+C252+C245+C238+C231+C224+C217+C210+C203+C196+C189+C182+C175+C168+C161+C154+C147+C140+C133+C126+C119+C112+C105+C98+C91+C84+C77+C70+C63+C56+C49+C42+C35+C28+C21+C14+C7</f>
        <v>3599991337</v>
      </c>
      <c r="D273" s="87">
        <f t="shared" si="68"/>
        <v>228625</v>
      </c>
      <c r="E273" s="1486">
        <f>ROUND(C273/C$275,3)</f>
        <v>0.20399999999999999</v>
      </c>
    </row>
    <row r="274" spans="1:5">
      <c r="A274" s="75" t="s">
        <v>8</v>
      </c>
      <c r="C274" s="86">
        <f t="shared" ref="C274" si="71">C267+C260+C253+C246+C239+C232+C225+C218+C211+C204+C197+C190+C183+C176+C169+C162+C155+C148+C141+C134+C127+C120+C113+C106+C99+C92+C85+C78+C71+C64+C57+C50+C43+C36+C29+C22+C15+C8</f>
        <v>4282069263</v>
      </c>
      <c r="D274" s="87">
        <f t="shared" si="68"/>
        <v>192260</v>
      </c>
      <c r="E274" s="1486">
        <f>ROUND(C274/C$275,3)</f>
        <v>0.24199999999999999</v>
      </c>
    </row>
    <row r="275" spans="1:5">
      <c r="A275" s="1491" t="s">
        <v>68</v>
      </c>
      <c r="C275" s="92">
        <f t="shared" ref="C275" si="72">SUM(C271:C274)</f>
        <v>17660087338</v>
      </c>
      <c r="D275" s="92">
        <f t="shared" ref="D275" si="73">SUM(D271:D274)</f>
        <v>1052396</v>
      </c>
      <c r="E275" s="1492">
        <f>ROUND(C275/C$275,3)</f>
        <v>1</v>
      </c>
    </row>
    <row r="279" spans="1:5">
      <c r="C279" s="352">
        <f>'Smmy Acad SbS'!B39</f>
        <v>17660087338</v>
      </c>
      <c r="D279" s="352">
        <f>'Smmy Acad SbS'!C39</f>
        <v>31386</v>
      </c>
    </row>
    <row r="280" spans="1:5">
      <c r="C280" s="352">
        <f>C279-C275</f>
        <v>0</v>
      </c>
    </row>
  </sheetData>
  <mergeCells count="1">
    <mergeCell ref="C3:E3"/>
  </mergeCells>
  <hyperlinks>
    <hyperlink ref="H1" location="Index!A1" display="Return to Index" xr:uid="{00000000-0004-0000-1200-000000000000}"/>
  </hyperlinks>
  <pageMargins left="0.7" right="0.7" top="0.75" bottom="0.75" header="0.3" footer="0.3"/>
  <pageSetup orientation="portrait" horizontalDpi="1200" verticalDpi="1200" r:id="rId1"/>
</worksheet>
</file>

<file path=xl/worksheets/sheet1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dimension ref="A1:AA52"/>
  <sheetViews>
    <sheetView showGridLines="0" workbookViewId="0">
      <pane xSplit="3" ySplit="6" topLeftCell="P13" activePane="bottomRight" state="frozen"/>
      <selection activeCell="F74" sqref="E74:F74"/>
      <selection pane="topRight" activeCell="F74" sqref="E74:F74"/>
      <selection pane="bottomLeft" activeCell="F74" sqref="E74:F74"/>
      <selection pane="bottomRight" activeCell="Y1" sqref="Y1:Y1048576"/>
    </sheetView>
  </sheetViews>
  <sheetFormatPr defaultColWidth="8.85546875" defaultRowHeight="12.75"/>
  <cols>
    <col min="1" max="1" width="10.28515625" style="1186" customWidth="1"/>
    <col min="2" max="2" width="37.42578125" style="1185" customWidth="1"/>
    <col min="3" max="3" width="9.140625" style="1186" customWidth="1"/>
    <col min="4" max="8" width="6.28515625" style="1187" customWidth="1"/>
    <col min="9" max="10" width="7.140625" style="1186" bestFit="1" customWidth="1"/>
    <col min="11" max="19" width="7.140625" style="1187" bestFit="1" customWidth="1"/>
    <col min="20" max="20" width="8.85546875" style="1186"/>
    <col min="21" max="25" width="9.140625" style="1185" customWidth="1"/>
    <col min="26" max="16384" width="8.85546875" style="1185"/>
  </cols>
  <sheetData>
    <row r="1" spans="1:27" ht="13.5" thickBot="1">
      <c r="A1" s="1184" t="s">
        <v>2206</v>
      </c>
      <c r="I1" s="1187"/>
      <c r="P1" s="1188" t="s">
        <v>1200</v>
      </c>
    </row>
    <row r="2" spans="1:27">
      <c r="A2" s="1189" t="s">
        <v>1425</v>
      </c>
      <c r="T2" s="1190"/>
    </row>
    <row r="3" spans="1:27">
      <c r="A3" s="1191"/>
    </row>
    <row r="4" spans="1:27">
      <c r="A4" s="1191" t="s">
        <v>1427</v>
      </c>
      <c r="D4" s="1187">
        <v>1</v>
      </c>
      <c r="E4" s="1187">
        <v>2</v>
      </c>
      <c r="F4" s="1187">
        <v>3</v>
      </c>
      <c r="G4" s="1187">
        <v>4</v>
      </c>
      <c r="H4" s="1187">
        <v>5</v>
      </c>
      <c r="I4" s="1187">
        <v>6</v>
      </c>
      <c r="J4" s="1187">
        <v>7</v>
      </c>
      <c r="K4" s="1187">
        <v>8</v>
      </c>
      <c r="L4" s="1187">
        <v>9</v>
      </c>
      <c r="M4" s="1187">
        <v>10</v>
      </c>
      <c r="N4" s="1187">
        <v>11</v>
      </c>
      <c r="O4" s="1187">
        <v>12</v>
      </c>
      <c r="P4" s="1187">
        <v>13</v>
      </c>
      <c r="Q4" s="1187">
        <v>14</v>
      </c>
      <c r="R4" s="1187">
        <v>15</v>
      </c>
      <c r="S4" s="1187">
        <v>16</v>
      </c>
      <c r="T4" s="1187">
        <v>17</v>
      </c>
      <c r="U4" s="1187">
        <v>18</v>
      </c>
      <c r="V4" s="1187">
        <v>19</v>
      </c>
      <c r="W4" s="1187">
        <v>20</v>
      </c>
      <c r="X4" s="1187">
        <v>21</v>
      </c>
      <c r="Y4" s="1187">
        <v>22</v>
      </c>
      <c r="Z4" s="1187">
        <v>23</v>
      </c>
      <c r="AA4" s="1187">
        <v>24</v>
      </c>
    </row>
    <row r="5" spans="1:27">
      <c r="B5" s="1186"/>
      <c r="D5" s="1187">
        <v>2000</v>
      </c>
      <c r="E5" s="1187">
        <v>2001</v>
      </c>
      <c r="F5" s="1187">
        <v>2002</v>
      </c>
      <c r="G5" s="1187">
        <v>2003</v>
      </c>
      <c r="H5" s="1187">
        <v>2004</v>
      </c>
      <c r="I5" s="1186">
        <v>2005</v>
      </c>
      <c r="J5" s="1186">
        <v>2006</v>
      </c>
      <c r="K5" s="1186">
        <v>2007</v>
      </c>
      <c r="L5" s="1186">
        <v>2008</v>
      </c>
      <c r="M5" s="1186">
        <v>2009</v>
      </c>
      <c r="N5" s="1186">
        <v>2010</v>
      </c>
      <c r="O5" s="1186">
        <v>2011</v>
      </c>
      <c r="P5" s="1186">
        <v>2012</v>
      </c>
      <c r="Q5" s="1187">
        <v>2013</v>
      </c>
      <c r="R5" s="1186">
        <v>2014</v>
      </c>
      <c r="S5" s="1186">
        <v>2015</v>
      </c>
      <c r="T5" s="1186">
        <v>2016</v>
      </c>
      <c r="U5" s="1186">
        <v>2017</v>
      </c>
      <c r="V5" s="1186">
        <v>2018</v>
      </c>
      <c r="W5" s="1186">
        <v>2019</v>
      </c>
      <c r="X5" s="1186">
        <v>2020</v>
      </c>
      <c r="Y5" s="1186">
        <v>2021</v>
      </c>
    </row>
    <row r="6" spans="1:27" ht="15">
      <c r="A6" s="1192" t="s">
        <v>1428</v>
      </c>
      <c r="B6" s="1192" t="s">
        <v>1429</v>
      </c>
      <c r="C6" s="1193" t="s">
        <v>1430</v>
      </c>
      <c r="D6" s="1194" t="s">
        <v>1431</v>
      </c>
      <c r="E6" s="1194" t="s">
        <v>1432</v>
      </c>
      <c r="F6" s="1194" t="s">
        <v>1433</v>
      </c>
      <c r="G6" s="1194" t="s">
        <v>1434</v>
      </c>
      <c r="H6" s="1194" t="s">
        <v>1435</v>
      </c>
      <c r="I6" s="1192" t="s">
        <v>1436</v>
      </c>
      <c r="J6" s="1192" t="s">
        <v>1437</v>
      </c>
      <c r="K6" s="1194" t="s">
        <v>1438</v>
      </c>
      <c r="L6" s="1194" t="s">
        <v>1439</v>
      </c>
      <c r="M6" s="1194" t="s">
        <v>1440</v>
      </c>
      <c r="N6" s="1194" t="s">
        <v>1441</v>
      </c>
      <c r="O6" s="1194" t="s">
        <v>1442</v>
      </c>
      <c r="P6" s="1194" t="s">
        <v>1443</v>
      </c>
      <c r="Q6" s="1194" t="s">
        <v>1444</v>
      </c>
      <c r="R6" s="1194" t="s">
        <v>1445</v>
      </c>
      <c r="S6" s="1194" t="s">
        <v>1446</v>
      </c>
      <c r="T6" s="1194" t="s">
        <v>1447</v>
      </c>
      <c r="U6" s="1194" t="s">
        <v>2196</v>
      </c>
      <c r="V6" s="1194" t="s">
        <v>2221</v>
      </c>
      <c r="W6" s="1194" t="s">
        <v>2267</v>
      </c>
      <c r="X6" s="1194" t="s">
        <v>2375</v>
      </c>
      <c r="Y6" s="1194" t="s">
        <v>2376</v>
      </c>
    </row>
    <row r="7" spans="1:27" s="1191" customFormat="1" ht="15">
      <c r="A7" s="1195">
        <v>999999</v>
      </c>
      <c r="B7" s="1196" t="s">
        <v>1448</v>
      </c>
      <c r="C7" s="1197">
        <v>9</v>
      </c>
      <c r="D7" s="1197" t="s">
        <v>1449</v>
      </c>
      <c r="E7" s="1197" t="s">
        <v>1449</v>
      </c>
      <c r="F7" s="1197" t="s">
        <v>1449</v>
      </c>
      <c r="G7" s="1197" t="s">
        <v>1449</v>
      </c>
      <c r="H7" s="1197" t="s">
        <v>1449</v>
      </c>
      <c r="I7" s="1197" t="s">
        <v>1449</v>
      </c>
      <c r="J7" s="1197" t="s">
        <v>1449</v>
      </c>
      <c r="K7" s="1197" t="s">
        <v>1449</v>
      </c>
      <c r="L7" s="1197" t="s">
        <v>1449</v>
      </c>
      <c r="M7" s="1197" t="s">
        <v>1449</v>
      </c>
      <c r="N7" s="1197" t="s">
        <v>1449</v>
      </c>
      <c r="O7" s="1197" t="s">
        <v>1449</v>
      </c>
      <c r="P7" s="1197" t="s">
        <v>1449</v>
      </c>
      <c r="Q7" s="1197" t="s">
        <v>1449</v>
      </c>
      <c r="R7" s="1197" t="s">
        <v>1449</v>
      </c>
      <c r="S7" s="1197" t="s">
        <v>1449</v>
      </c>
      <c r="T7" s="1197" t="s">
        <v>1449</v>
      </c>
      <c r="U7" s="1197" t="s">
        <v>1449</v>
      </c>
      <c r="V7" s="1197" t="s">
        <v>1449</v>
      </c>
      <c r="W7" s="1197" t="s">
        <v>1449</v>
      </c>
      <c r="X7" s="1197" t="s">
        <v>1449</v>
      </c>
      <c r="Y7" s="1197" t="s">
        <v>1449</v>
      </c>
    </row>
    <row r="8" spans="1:27">
      <c r="A8" s="1198">
        <v>20</v>
      </c>
      <c r="B8" s="1199" t="s">
        <v>2207</v>
      </c>
      <c r="C8" s="1211">
        <v>1</v>
      </c>
      <c r="D8" s="1212"/>
      <c r="E8" s="1212"/>
      <c r="F8" s="1212"/>
      <c r="G8" s="1212"/>
      <c r="H8" s="1212"/>
      <c r="I8" s="1211"/>
      <c r="J8" s="1211"/>
      <c r="K8" s="1212"/>
      <c r="L8" s="1212"/>
      <c r="M8" s="1212"/>
      <c r="N8" s="1212"/>
      <c r="O8" s="1212"/>
      <c r="P8" s="1212"/>
      <c r="Q8" s="1212"/>
      <c r="R8" s="1202" t="s">
        <v>2209</v>
      </c>
      <c r="S8" s="1202" t="s">
        <v>2209</v>
      </c>
      <c r="T8" s="1202" t="s">
        <v>2209</v>
      </c>
      <c r="U8" s="1202" t="s">
        <v>2209</v>
      </c>
      <c r="V8" s="1202" t="s">
        <v>2209</v>
      </c>
      <c r="W8" s="1202" t="s">
        <v>2209</v>
      </c>
      <c r="X8" s="1202" t="s">
        <v>2209</v>
      </c>
      <c r="Y8" s="1202" t="s">
        <v>2209</v>
      </c>
    </row>
    <row r="9" spans="1:27">
      <c r="A9" s="1198">
        <v>3581</v>
      </c>
      <c r="B9" s="1199" t="s">
        <v>1554</v>
      </c>
      <c r="C9" s="1211">
        <v>1</v>
      </c>
      <c r="D9" s="1212"/>
      <c r="E9" s="1212"/>
      <c r="F9" s="1212"/>
      <c r="G9" s="1212"/>
      <c r="H9" s="1212"/>
      <c r="I9" s="1211"/>
      <c r="J9" s="1211"/>
      <c r="K9" s="1212"/>
      <c r="L9" s="1212"/>
      <c r="M9" s="1212"/>
      <c r="N9" s="1212"/>
      <c r="O9" s="1212"/>
      <c r="P9" s="1212"/>
      <c r="Q9" s="1212"/>
      <c r="R9" s="1202" t="s">
        <v>2209</v>
      </c>
      <c r="S9" s="1202" t="s">
        <v>2209</v>
      </c>
      <c r="T9" s="1202" t="s">
        <v>2209</v>
      </c>
      <c r="U9" s="1202" t="s">
        <v>2209</v>
      </c>
      <c r="V9" s="1202" t="s">
        <v>2209</v>
      </c>
      <c r="W9" s="1202" t="s">
        <v>2209</v>
      </c>
      <c r="X9" s="1202" t="s">
        <v>2209</v>
      </c>
      <c r="Y9" s="1202" t="s">
        <v>2209</v>
      </c>
    </row>
    <row r="10" spans="1:27">
      <c r="A10" s="1198">
        <v>3606</v>
      </c>
      <c r="B10" s="1199" t="s">
        <v>1561</v>
      </c>
      <c r="C10" s="1211">
        <v>1</v>
      </c>
      <c r="D10" s="1212"/>
      <c r="E10" s="1212"/>
      <c r="F10" s="1212"/>
      <c r="G10" s="1212"/>
      <c r="H10" s="1212"/>
      <c r="I10" s="1211"/>
      <c r="J10" s="1211"/>
      <c r="K10" s="1212"/>
      <c r="L10" s="1212"/>
      <c r="M10" s="1212"/>
      <c r="N10" s="1212"/>
      <c r="O10" s="1212"/>
      <c r="P10" s="1212"/>
      <c r="Q10" s="1212"/>
      <c r="R10" s="1202" t="s">
        <v>2209</v>
      </c>
      <c r="S10" s="1202" t="s">
        <v>2209</v>
      </c>
      <c r="T10" s="1202" t="s">
        <v>2209</v>
      </c>
      <c r="U10" s="1202" t="s">
        <v>2209</v>
      </c>
      <c r="V10" s="1202" t="s">
        <v>2209</v>
      </c>
      <c r="W10" s="1202" t="s">
        <v>2209</v>
      </c>
      <c r="X10" s="1202" t="s">
        <v>2209</v>
      </c>
      <c r="Y10" s="1202" t="s">
        <v>2209</v>
      </c>
    </row>
    <row r="11" spans="1:27">
      <c r="A11" s="1198">
        <v>3615</v>
      </c>
      <c r="B11" s="1199" t="s">
        <v>1570</v>
      </c>
      <c r="C11" s="1211">
        <v>1</v>
      </c>
      <c r="D11" s="1212"/>
      <c r="E11" s="1212"/>
      <c r="F11" s="1212"/>
      <c r="G11" s="1212"/>
      <c r="H11" s="1212"/>
      <c r="I11" s="1211"/>
      <c r="J11" s="1211"/>
      <c r="K11" s="1212"/>
      <c r="L11" s="1212"/>
      <c r="M11" s="1212"/>
      <c r="N11" s="1212"/>
      <c r="O11" s="1212"/>
      <c r="P11" s="1212"/>
      <c r="Q11" s="1212"/>
      <c r="R11" s="1202" t="s">
        <v>2209</v>
      </c>
      <c r="S11" s="1202" t="s">
        <v>2209</v>
      </c>
      <c r="T11" s="1202" t="s">
        <v>2209</v>
      </c>
      <c r="U11" s="1202" t="s">
        <v>2209</v>
      </c>
      <c r="V11" s="1202" t="s">
        <v>2209</v>
      </c>
      <c r="W11" s="1202" t="s">
        <v>2209</v>
      </c>
      <c r="X11" s="1202" t="s">
        <v>2209</v>
      </c>
      <c r="Y11" s="1202" t="s">
        <v>2209</v>
      </c>
    </row>
    <row r="12" spans="1:27">
      <c r="A12" s="1198">
        <v>3625</v>
      </c>
      <c r="B12" s="1199" t="s">
        <v>1541</v>
      </c>
      <c r="C12" s="1211">
        <v>1</v>
      </c>
      <c r="D12" s="1212"/>
      <c r="E12" s="1212"/>
      <c r="F12" s="1212"/>
      <c r="G12" s="1212"/>
      <c r="H12" s="1212"/>
      <c r="I12" s="1212"/>
      <c r="J12" s="1212"/>
      <c r="K12" s="1212"/>
      <c r="L12" s="1212"/>
      <c r="M12" s="1212"/>
      <c r="N12" s="1212"/>
      <c r="O12" s="1212"/>
      <c r="P12" s="1212"/>
      <c r="Q12" s="1212"/>
      <c r="R12" s="1202" t="s">
        <v>2209</v>
      </c>
      <c r="S12" s="1202" t="s">
        <v>2209</v>
      </c>
      <c r="T12" s="1202" t="s">
        <v>2209</v>
      </c>
      <c r="U12" s="1202" t="s">
        <v>2209</v>
      </c>
      <c r="V12" s="1202" t="s">
        <v>2209</v>
      </c>
      <c r="W12" s="1202" t="s">
        <v>2209</v>
      </c>
      <c r="X12" s="1202" t="s">
        <v>2209</v>
      </c>
      <c r="Y12" s="1202" t="s">
        <v>2209</v>
      </c>
    </row>
    <row r="13" spans="1:27">
      <c r="A13" s="1198">
        <v>3594</v>
      </c>
      <c r="B13" s="1199" t="s">
        <v>1578</v>
      </c>
      <c r="C13" s="1211">
        <v>1</v>
      </c>
      <c r="D13" s="1212"/>
      <c r="E13" s="1212"/>
      <c r="F13" s="1212"/>
      <c r="G13" s="1212"/>
      <c r="H13" s="1212"/>
      <c r="I13" s="1211"/>
      <c r="J13" s="1211"/>
      <c r="K13" s="1212"/>
      <c r="L13" s="1212"/>
      <c r="M13" s="1212"/>
      <c r="N13" s="1212"/>
      <c r="O13" s="1212"/>
      <c r="P13" s="1212"/>
      <c r="Q13" s="1212"/>
      <c r="R13" s="1202" t="s">
        <v>2210</v>
      </c>
      <c r="S13" s="1202" t="s">
        <v>2210</v>
      </c>
      <c r="T13" s="1202" t="s">
        <v>2210</v>
      </c>
      <c r="U13" s="1202" t="s">
        <v>2210</v>
      </c>
      <c r="V13" s="1202" t="s">
        <v>2210</v>
      </c>
      <c r="W13" s="1202" t="s">
        <v>2210</v>
      </c>
      <c r="X13" s="1202" t="s">
        <v>2210</v>
      </c>
      <c r="Y13" s="1202" t="s">
        <v>2210</v>
      </c>
    </row>
    <row r="14" spans="1:27">
      <c r="A14" s="1223">
        <v>42421</v>
      </c>
      <c r="B14" s="1224" t="s">
        <v>1553</v>
      </c>
      <c r="C14" s="1212">
        <v>1</v>
      </c>
      <c r="D14" s="1212"/>
      <c r="E14" s="1212"/>
      <c r="F14" s="1212"/>
      <c r="G14" s="1212"/>
      <c r="H14" s="1212"/>
      <c r="I14" s="1212"/>
      <c r="J14" s="1212"/>
      <c r="K14" s="1212"/>
      <c r="L14" s="1212"/>
      <c r="M14" s="1212"/>
      <c r="N14" s="1212"/>
      <c r="O14" s="1212"/>
      <c r="P14" s="1212"/>
      <c r="Q14" s="1212"/>
      <c r="R14" s="1202" t="s">
        <v>2210</v>
      </c>
      <c r="S14" s="1202" t="s">
        <v>2210</v>
      </c>
      <c r="T14" s="1202" t="s">
        <v>2210</v>
      </c>
      <c r="U14" s="1202" t="s">
        <v>2210</v>
      </c>
      <c r="V14" s="1202" t="s">
        <v>2210</v>
      </c>
      <c r="W14" s="1202" t="s">
        <v>2210</v>
      </c>
      <c r="X14" s="1202" t="s">
        <v>2210</v>
      </c>
      <c r="Y14" s="1202" t="s">
        <v>2210</v>
      </c>
    </row>
    <row r="15" spans="1:27">
      <c r="A15" s="1198">
        <v>123594</v>
      </c>
      <c r="B15" s="1199" t="s">
        <v>2208</v>
      </c>
      <c r="C15" s="1211">
        <v>1</v>
      </c>
      <c r="D15" s="1212"/>
      <c r="E15" s="1212"/>
      <c r="F15" s="1212"/>
      <c r="G15" s="1212"/>
      <c r="H15" s="1212"/>
      <c r="I15" s="1211"/>
      <c r="J15" s="1211"/>
      <c r="K15" s="1212"/>
      <c r="L15" s="1212"/>
      <c r="M15" s="1212"/>
      <c r="N15" s="1212"/>
      <c r="O15" s="1212"/>
      <c r="P15" s="1212"/>
      <c r="Q15" s="1212"/>
      <c r="R15" s="1202" t="s">
        <v>2210</v>
      </c>
      <c r="S15" s="1202" t="s">
        <v>2210</v>
      </c>
      <c r="T15" s="1202" t="s">
        <v>2210</v>
      </c>
      <c r="U15" s="1202" t="s">
        <v>2210</v>
      </c>
      <c r="V15" s="1202" t="s">
        <v>2210</v>
      </c>
      <c r="W15" s="1202" t="s">
        <v>2210</v>
      </c>
      <c r="X15" s="1202" t="s">
        <v>2210</v>
      </c>
      <c r="Y15" s="1202" t="s">
        <v>2210</v>
      </c>
    </row>
    <row r="16" spans="1:27">
      <c r="A16" s="1198">
        <v>3565</v>
      </c>
      <c r="B16" s="1199" t="s">
        <v>1564</v>
      </c>
      <c r="C16" s="1211">
        <v>1</v>
      </c>
      <c r="D16" s="1212"/>
      <c r="E16" s="1212"/>
      <c r="F16" s="1212"/>
      <c r="G16" s="1212"/>
      <c r="H16" s="1212"/>
      <c r="I16" s="1211"/>
      <c r="J16" s="1211"/>
      <c r="K16" s="1212"/>
      <c r="L16" s="1212"/>
      <c r="M16" s="1212"/>
      <c r="N16" s="1212"/>
      <c r="O16" s="1212"/>
      <c r="P16" s="1212"/>
      <c r="Q16" s="1212"/>
      <c r="R16" s="1202" t="s">
        <v>2211</v>
      </c>
      <c r="S16" s="1202" t="s">
        <v>2211</v>
      </c>
      <c r="T16" s="1202" t="s">
        <v>2211</v>
      </c>
      <c r="U16" s="1202" t="s">
        <v>2211</v>
      </c>
      <c r="V16" s="1202" t="s">
        <v>2211</v>
      </c>
      <c r="W16" s="1202" t="s">
        <v>2211</v>
      </c>
      <c r="X16" s="1202" t="s">
        <v>2211</v>
      </c>
      <c r="Y16" s="1202" t="s">
        <v>2211</v>
      </c>
    </row>
    <row r="17" spans="1:25">
      <c r="A17" s="1198">
        <v>3630</v>
      </c>
      <c r="B17" s="1199" t="s">
        <v>1556</v>
      </c>
      <c r="C17" s="1211">
        <v>1</v>
      </c>
      <c r="D17" s="1212"/>
      <c r="E17" s="1212"/>
      <c r="F17" s="1212"/>
      <c r="G17" s="1212"/>
      <c r="H17" s="1212"/>
      <c r="I17" s="1211"/>
      <c r="J17" s="1211"/>
      <c r="K17" s="1212"/>
      <c r="L17" s="1212"/>
      <c r="M17" s="1212"/>
      <c r="N17" s="1212"/>
      <c r="O17" s="1212"/>
      <c r="P17" s="1212"/>
      <c r="Q17" s="1212"/>
      <c r="R17" s="1202" t="s">
        <v>2211</v>
      </c>
      <c r="S17" s="1202" t="s">
        <v>2211</v>
      </c>
      <c r="T17" s="1202" t="s">
        <v>2211</v>
      </c>
      <c r="U17" s="1202" t="s">
        <v>2211</v>
      </c>
      <c r="V17" s="1202" t="s">
        <v>2211</v>
      </c>
      <c r="W17" s="1202" t="s">
        <v>2211</v>
      </c>
      <c r="X17" s="1202" t="s">
        <v>2211</v>
      </c>
      <c r="Y17" s="1202" t="s">
        <v>2211</v>
      </c>
    </row>
    <row r="18" spans="1:25">
      <c r="A18" s="1198">
        <v>3631</v>
      </c>
      <c r="B18" s="1199" t="s">
        <v>1558</v>
      </c>
      <c r="C18" s="1211">
        <v>1</v>
      </c>
      <c r="D18" s="1212"/>
      <c r="E18" s="1212"/>
      <c r="F18" s="1212"/>
      <c r="G18" s="1212"/>
      <c r="H18" s="1212"/>
      <c r="I18" s="1211"/>
      <c r="J18" s="1211"/>
      <c r="K18" s="1212"/>
      <c r="L18" s="1212"/>
      <c r="M18" s="1212"/>
      <c r="N18" s="1212"/>
      <c r="O18" s="1212"/>
      <c r="P18" s="1212"/>
      <c r="Q18" s="1212"/>
      <c r="R18" s="1202" t="s">
        <v>2211</v>
      </c>
      <c r="S18" s="1202" t="s">
        <v>2211</v>
      </c>
      <c r="T18" s="1202" t="s">
        <v>2211</v>
      </c>
      <c r="U18" s="1202" t="s">
        <v>2211</v>
      </c>
      <c r="V18" s="1202" t="s">
        <v>2211</v>
      </c>
      <c r="W18" s="1202" t="s">
        <v>2211</v>
      </c>
      <c r="X18" s="1202" t="s">
        <v>2211</v>
      </c>
      <c r="Y18" s="1202" t="s">
        <v>2211</v>
      </c>
    </row>
    <row r="19" spans="1:25">
      <c r="A19" s="1198">
        <v>3632</v>
      </c>
      <c r="B19" s="1199" t="s">
        <v>1579</v>
      </c>
      <c r="C19" s="1211">
        <v>1</v>
      </c>
      <c r="D19" s="1212"/>
      <c r="E19" s="1212"/>
      <c r="F19" s="1212"/>
      <c r="G19" s="1212"/>
      <c r="H19" s="1212"/>
      <c r="I19" s="1211"/>
      <c r="J19" s="1211"/>
      <c r="K19" s="1212"/>
      <c r="L19" s="1212"/>
      <c r="M19" s="1212"/>
      <c r="N19" s="1212"/>
      <c r="O19" s="1212"/>
      <c r="P19" s="1212"/>
      <c r="Q19" s="1212"/>
      <c r="R19" s="1202" t="s">
        <v>2211</v>
      </c>
      <c r="S19" s="1202" t="s">
        <v>2211</v>
      </c>
      <c r="T19" s="1202" t="s">
        <v>2211</v>
      </c>
      <c r="U19" s="1202" t="s">
        <v>2211</v>
      </c>
      <c r="V19" s="1202" t="s">
        <v>2211</v>
      </c>
      <c r="W19" s="1202" t="s">
        <v>2211</v>
      </c>
      <c r="X19" s="1202" t="s">
        <v>2211</v>
      </c>
      <c r="Y19" s="1202" t="s">
        <v>2211</v>
      </c>
    </row>
    <row r="20" spans="1:25">
      <c r="A20" s="1198">
        <v>3639</v>
      </c>
      <c r="B20" s="1199" t="s">
        <v>1565</v>
      </c>
      <c r="C20" s="1211">
        <v>1</v>
      </c>
      <c r="D20" s="1212"/>
      <c r="E20" s="1212"/>
      <c r="F20" s="1212"/>
      <c r="G20" s="1212"/>
      <c r="H20" s="1212"/>
      <c r="I20" s="1211"/>
      <c r="J20" s="1211"/>
      <c r="K20" s="1212"/>
      <c r="L20" s="1212"/>
      <c r="M20" s="1212"/>
      <c r="N20" s="1212"/>
      <c r="O20" s="1212"/>
      <c r="P20" s="1212"/>
      <c r="Q20" s="1212"/>
      <c r="R20" s="1202" t="s">
        <v>2211</v>
      </c>
      <c r="S20" s="1202" t="s">
        <v>2211</v>
      </c>
      <c r="T20" s="1202" t="s">
        <v>2211</v>
      </c>
      <c r="U20" s="1202" t="s">
        <v>2211</v>
      </c>
      <c r="V20" s="1202" t="s">
        <v>2211</v>
      </c>
      <c r="W20" s="1202" t="s">
        <v>2211</v>
      </c>
      <c r="X20" s="1202" t="s">
        <v>2211</v>
      </c>
      <c r="Y20" s="1202" t="s">
        <v>2211</v>
      </c>
    </row>
    <row r="21" spans="1:25">
      <c r="A21" s="1223">
        <v>3665</v>
      </c>
      <c r="B21" s="1224" t="s">
        <v>1560</v>
      </c>
      <c r="C21" s="1212">
        <v>1</v>
      </c>
      <c r="D21" s="1212"/>
      <c r="E21" s="1212"/>
      <c r="F21" s="1212"/>
      <c r="G21" s="1212"/>
      <c r="H21" s="1212"/>
      <c r="I21" s="1212"/>
      <c r="J21" s="1212"/>
      <c r="K21" s="1212"/>
      <c r="L21" s="1212"/>
      <c r="M21" s="1212"/>
      <c r="N21" s="1212"/>
      <c r="O21" s="1212"/>
      <c r="P21" s="1212"/>
      <c r="Q21" s="1212"/>
      <c r="R21" s="1202" t="s">
        <v>2211</v>
      </c>
      <c r="S21" s="1202" t="s">
        <v>2211</v>
      </c>
      <c r="T21" s="1202" t="s">
        <v>2211</v>
      </c>
      <c r="U21" s="1202" t="s">
        <v>2211</v>
      </c>
      <c r="V21" s="1202" t="s">
        <v>2211</v>
      </c>
      <c r="W21" s="1202" t="s">
        <v>2211</v>
      </c>
      <c r="X21" s="1202" t="s">
        <v>2211</v>
      </c>
      <c r="Y21" s="1202" t="s">
        <v>2211</v>
      </c>
    </row>
    <row r="22" spans="1:25">
      <c r="A22" s="1198">
        <v>9651</v>
      </c>
      <c r="B22" s="1199" t="s">
        <v>1559</v>
      </c>
      <c r="C22" s="1211">
        <v>1</v>
      </c>
      <c r="D22" s="1212"/>
      <c r="E22" s="1212"/>
      <c r="F22" s="1212"/>
      <c r="G22" s="1212"/>
      <c r="H22" s="1212"/>
      <c r="I22" s="1211"/>
      <c r="J22" s="1211"/>
      <c r="K22" s="1212"/>
      <c r="L22" s="1212"/>
      <c r="M22" s="1212"/>
      <c r="N22" s="1212"/>
      <c r="O22" s="1212"/>
      <c r="P22" s="1212"/>
      <c r="Q22" s="1212"/>
      <c r="R22" s="1202" t="s">
        <v>2211</v>
      </c>
      <c r="S22" s="1202" t="s">
        <v>2211</v>
      </c>
      <c r="T22" s="1202" t="s">
        <v>2211</v>
      </c>
      <c r="U22" s="1202" t="s">
        <v>2211</v>
      </c>
      <c r="V22" s="1202" t="s">
        <v>2211</v>
      </c>
      <c r="W22" s="1202" t="s">
        <v>2211</v>
      </c>
      <c r="X22" s="1202" t="s">
        <v>2211</v>
      </c>
      <c r="Y22" s="1202" t="s">
        <v>2211</v>
      </c>
    </row>
    <row r="23" spans="1:25">
      <c r="A23" s="1198">
        <v>10298</v>
      </c>
      <c r="B23" s="1199" t="s">
        <v>1543</v>
      </c>
      <c r="C23" s="1211">
        <v>1</v>
      </c>
      <c r="D23" s="1212"/>
      <c r="E23" s="1212"/>
      <c r="F23" s="1212"/>
      <c r="G23" s="1212"/>
      <c r="H23" s="1212"/>
      <c r="I23" s="1211"/>
      <c r="J23" s="1211"/>
      <c r="K23" s="1212"/>
      <c r="L23" s="1212"/>
      <c r="M23" s="1212"/>
      <c r="N23" s="1212"/>
      <c r="O23" s="1212"/>
      <c r="P23" s="1212"/>
      <c r="Q23" s="1212"/>
      <c r="R23" s="1202" t="s">
        <v>2211</v>
      </c>
      <c r="S23" s="1202" t="s">
        <v>2211</v>
      </c>
      <c r="T23" s="1202" t="s">
        <v>2211</v>
      </c>
      <c r="U23" s="1202" t="s">
        <v>2211</v>
      </c>
      <c r="V23" s="1202" t="s">
        <v>2211</v>
      </c>
      <c r="W23" s="1202" t="s">
        <v>2211</v>
      </c>
      <c r="X23" s="1202" t="s">
        <v>2211</v>
      </c>
      <c r="Y23" s="1202" t="s">
        <v>2211</v>
      </c>
    </row>
    <row r="24" spans="1:25">
      <c r="A24" s="1198">
        <v>11161</v>
      </c>
      <c r="B24" s="1199" t="s">
        <v>1563</v>
      </c>
      <c r="C24" s="1211">
        <v>1</v>
      </c>
      <c r="D24" s="1212"/>
      <c r="E24" s="1212"/>
      <c r="F24" s="1212"/>
      <c r="G24" s="1212"/>
      <c r="H24" s="1212"/>
      <c r="I24" s="1211"/>
      <c r="J24" s="1211"/>
      <c r="K24" s="1212"/>
      <c r="L24" s="1212"/>
      <c r="M24" s="1212"/>
      <c r="N24" s="1212"/>
      <c r="O24" s="1212"/>
      <c r="P24" s="1212"/>
      <c r="Q24" s="1212"/>
      <c r="R24" s="1202" t="s">
        <v>2211</v>
      </c>
      <c r="S24" s="1202" t="s">
        <v>2211</v>
      </c>
      <c r="T24" s="1202" t="s">
        <v>2211</v>
      </c>
      <c r="U24" s="1202" t="s">
        <v>2211</v>
      </c>
      <c r="V24" s="1202" t="s">
        <v>2211</v>
      </c>
      <c r="W24" s="1202" t="s">
        <v>2211</v>
      </c>
      <c r="X24" s="1202" t="s">
        <v>2211</v>
      </c>
      <c r="Y24" s="1202" t="s">
        <v>2211</v>
      </c>
    </row>
    <row r="25" spans="1:25">
      <c r="A25" s="1198">
        <v>29269</v>
      </c>
      <c r="B25" s="1199" t="s">
        <v>1545</v>
      </c>
      <c r="C25" s="1211">
        <v>1</v>
      </c>
      <c r="D25" s="1212"/>
      <c r="E25" s="1212"/>
      <c r="F25" s="1212"/>
      <c r="G25" s="1212"/>
      <c r="H25" s="1212"/>
      <c r="I25" s="1211"/>
      <c r="J25" s="1211"/>
      <c r="K25" s="1212"/>
      <c r="L25" s="1212"/>
      <c r="M25" s="1212"/>
      <c r="N25" s="1212"/>
      <c r="O25" s="1212"/>
      <c r="P25" s="1212"/>
      <c r="Q25" s="1212"/>
      <c r="R25" s="1202" t="s">
        <v>2211</v>
      </c>
      <c r="S25" s="1202" t="s">
        <v>2211</v>
      </c>
      <c r="T25" s="1202" t="s">
        <v>2211</v>
      </c>
      <c r="U25" s="1202" t="s">
        <v>2211</v>
      </c>
      <c r="V25" s="1202" t="s">
        <v>2211</v>
      </c>
      <c r="W25" s="1202" t="s">
        <v>2211</v>
      </c>
      <c r="X25" s="1202" t="s">
        <v>2211</v>
      </c>
      <c r="Y25" s="1202" t="s">
        <v>2211</v>
      </c>
    </row>
    <row r="26" spans="1:25">
      <c r="A26" s="1198">
        <v>42295</v>
      </c>
      <c r="B26" s="1199" t="s">
        <v>1544</v>
      </c>
      <c r="C26" s="1211">
        <v>1</v>
      </c>
      <c r="D26" s="1212"/>
      <c r="E26" s="1212"/>
      <c r="F26" s="1212"/>
      <c r="G26" s="1212"/>
      <c r="H26" s="1212"/>
      <c r="I26" s="1211"/>
      <c r="J26" s="1211"/>
      <c r="K26" s="1212"/>
      <c r="L26" s="1212"/>
      <c r="M26" s="1212"/>
      <c r="N26" s="1212"/>
      <c r="O26" s="1212"/>
      <c r="P26" s="1212"/>
      <c r="Q26" s="1212"/>
      <c r="R26" s="1202" t="s">
        <v>2211</v>
      </c>
      <c r="S26" s="1202" t="s">
        <v>2211</v>
      </c>
      <c r="T26" s="1202" t="s">
        <v>2211</v>
      </c>
      <c r="U26" s="1202" t="s">
        <v>2211</v>
      </c>
      <c r="V26" s="1202" t="s">
        <v>2211</v>
      </c>
      <c r="W26" s="1202" t="s">
        <v>2211</v>
      </c>
      <c r="X26" s="1202" t="s">
        <v>2211</v>
      </c>
      <c r="Y26" s="1202" t="s">
        <v>2211</v>
      </c>
    </row>
    <row r="27" spans="1:25">
      <c r="A27" s="1198">
        <v>42485</v>
      </c>
      <c r="B27" s="1199" t="s">
        <v>1546</v>
      </c>
      <c r="C27" s="1211">
        <v>1</v>
      </c>
      <c r="D27" s="1212"/>
      <c r="E27" s="1212"/>
      <c r="F27" s="1212"/>
      <c r="G27" s="1212"/>
      <c r="H27" s="1212"/>
      <c r="I27" s="1211"/>
      <c r="J27" s="1211"/>
      <c r="K27" s="1212"/>
      <c r="L27" s="1212"/>
      <c r="M27" s="1212"/>
      <c r="N27" s="1212"/>
      <c r="O27" s="1212"/>
      <c r="P27" s="1212"/>
      <c r="Q27" s="1212"/>
      <c r="R27" s="1202" t="s">
        <v>2211</v>
      </c>
      <c r="S27" s="1202" t="s">
        <v>2211</v>
      </c>
      <c r="T27" s="1202" t="s">
        <v>2211</v>
      </c>
      <c r="U27" s="1202" t="s">
        <v>2211</v>
      </c>
      <c r="V27" s="1202" t="s">
        <v>2211</v>
      </c>
      <c r="W27" s="1202" t="s">
        <v>2211</v>
      </c>
      <c r="X27" s="1202" t="s">
        <v>2211</v>
      </c>
      <c r="Y27" s="1202" t="s">
        <v>2211</v>
      </c>
    </row>
    <row r="28" spans="1:25">
      <c r="A28" s="1198">
        <v>3599</v>
      </c>
      <c r="B28" s="1199" t="s">
        <v>1569</v>
      </c>
      <c r="C28" s="1211">
        <v>1</v>
      </c>
      <c r="D28" s="1212"/>
      <c r="E28" s="1212"/>
      <c r="F28" s="1212"/>
      <c r="G28" s="1212"/>
      <c r="H28" s="1212"/>
      <c r="I28" s="1211"/>
      <c r="J28" s="1211"/>
      <c r="K28" s="1212"/>
      <c r="L28" s="1212"/>
      <c r="M28" s="1212"/>
      <c r="N28" s="1212"/>
      <c r="O28" s="1212"/>
      <c r="P28" s="1212"/>
      <c r="Q28" s="1212"/>
      <c r="R28" s="1202" t="s">
        <v>2212</v>
      </c>
      <c r="S28" s="1202" t="s">
        <v>2212</v>
      </c>
      <c r="T28" s="1202" t="s">
        <v>2212</v>
      </c>
      <c r="U28" s="1202" t="s">
        <v>2212</v>
      </c>
      <c r="V28" s="1202" t="s">
        <v>2212</v>
      </c>
      <c r="W28" s="1202" t="s">
        <v>2212</v>
      </c>
      <c r="X28" s="1202" t="s">
        <v>2212</v>
      </c>
      <c r="Y28" s="1202" t="s">
        <v>2212</v>
      </c>
    </row>
    <row r="29" spans="1:25">
      <c r="A29" s="1198">
        <v>3656</v>
      </c>
      <c r="B29" s="1199" t="s">
        <v>1573</v>
      </c>
      <c r="C29" s="1211">
        <v>1</v>
      </c>
      <c r="D29" s="1212"/>
      <c r="E29" s="1212"/>
      <c r="F29" s="1212"/>
      <c r="G29" s="1212"/>
      <c r="H29" s="1212"/>
      <c r="I29" s="1211"/>
      <c r="J29" s="1211"/>
      <c r="K29" s="1212"/>
      <c r="L29" s="1212"/>
      <c r="M29" s="1212"/>
      <c r="N29" s="1212"/>
      <c r="O29" s="1212"/>
      <c r="P29" s="1212"/>
      <c r="Q29" s="1212"/>
      <c r="R29" s="1202" t="s">
        <v>2212</v>
      </c>
      <c r="S29" s="1202" t="s">
        <v>2212</v>
      </c>
      <c r="T29" s="1202" t="s">
        <v>2212</v>
      </c>
      <c r="U29" s="1202" t="s">
        <v>2212</v>
      </c>
      <c r="V29" s="1202" t="s">
        <v>2212</v>
      </c>
      <c r="W29" s="1202" t="s">
        <v>2212</v>
      </c>
      <c r="X29" s="1202" t="s">
        <v>2212</v>
      </c>
      <c r="Y29" s="1202" t="s">
        <v>2212</v>
      </c>
    </row>
    <row r="30" spans="1:25">
      <c r="A30" s="1198">
        <v>3658</v>
      </c>
      <c r="B30" s="1199" t="s">
        <v>1581</v>
      </c>
      <c r="C30" s="1211">
        <v>1</v>
      </c>
      <c r="D30" s="1212"/>
      <c r="E30" s="1212"/>
      <c r="F30" s="1212"/>
      <c r="G30" s="1212"/>
      <c r="H30" s="1212"/>
      <c r="I30" s="1211"/>
      <c r="J30" s="1211"/>
      <c r="K30" s="1212"/>
      <c r="L30" s="1212"/>
      <c r="M30" s="1212"/>
      <c r="N30" s="1212"/>
      <c r="O30" s="1212"/>
      <c r="P30" s="1212"/>
      <c r="Q30" s="1212"/>
      <c r="R30" s="1202" t="s">
        <v>2212</v>
      </c>
      <c r="S30" s="1202" t="s">
        <v>2212</v>
      </c>
      <c r="T30" s="1202" t="s">
        <v>2212</v>
      </c>
      <c r="U30" s="1202" t="s">
        <v>2212</v>
      </c>
      <c r="V30" s="1202" t="s">
        <v>2212</v>
      </c>
      <c r="W30" s="1202" t="s">
        <v>2212</v>
      </c>
      <c r="X30" s="1202" t="s">
        <v>2212</v>
      </c>
      <c r="Y30" s="1202" t="s">
        <v>2212</v>
      </c>
    </row>
    <row r="31" spans="1:25">
      <c r="A31" s="1198">
        <v>3661</v>
      </c>
      <c r="B31" s="1199" t="s">
        <v>1575</v>
      </c>
      <c r="C31" s="1211">
        <v>1</v>
      </c>
      <c r="D31" s="1212"/>
      <c r="E31" s="1212"/>
      <c r="F31" s="1212"/>
      <c r="G31" s="1212"/>
      <c r="H31" s="1212"/>
      <c r="I31" s="1211"/>
      <c r="J31" s="1211"/>
      <c r="K31" s="1212"/>
      <c r="L31" s="1212"/>
      <c r="M31" s="1212"/>
      <c r="N31" s="1212"/>
      <c r="O31" s="1212"/>
      <c r="P31" s="1212"/>
      <c r="Q31" s="1212"/>
      <c r="R31" s="1202" t="s">
        <v>2212</v>
      </c>
      <c r="S31" s="1202" t="s">
        <v>2212</v>
      </c>
      <c r="T31" s="1202" t="s">
        <v>2212</v>
      </c>
      <c r="U31" s="1202" t="s">
        <v>2212</v>
      </c>
      <c r="V31" s="1202" t="s">
        <v>2212</v>
      </c>
      <c r="W31" s="1202" t="s">
        <v>2212</v>
      </c>
      <c r="X31" s="1202" t="s">
        <v>2212</v>
      </c>
      <c r="Y31" s="1202" t="s">
        <v>2212</v>
      </c>
    </row>
    <row r="32" spans="1:25">
      <c r="A32" s="1198">
        <v>9741</v>
      </c>
      <c r="B32" s="1199" t="s">
        <v>1574</v>
      </c>
      <c r="C32" s="1211">
        <v>1</v>
      </c>
      <c r="D32" s="1212"/>
      <c r="E32" s="1212"/>
      <c r="F32" s="1212"/>
      <c r="G32" s="1212"/>
      <c r="H32" s="1212"/>
      <c r="I32" s="1211"/>
      <c r="J32" s="1211"/>
      <c r="K32" s="1212"/>
      <c r="L32" s="1212"/>
      <c r="M32" s="1212"/>
      <c r="N32" s="1212"/>
      <c r="O32" s="1212"/>
      <c r="P32" s="1212"/>
      <c r="Q32" s="1212"/>
      <c r="R32" s="1202" t="s">
        <v>2212</v>
      </c>
      <c r="S32" s="1202" t="s">
        <v>2212</v>
      </c>
      <c r="T32" s="1202" t="s">
        <v>2212</v>
      </c>
      <c r="U32" s="1202" t="s">
        <v>2212</v>
      </c>
      <c r="V32" s="1202" t="s">
        <v>2212</v>
      </c>
      <c r="W32" s="1202" t="s">
        <v>2212</v>
      </c>
      <c r="X32" s="1202" t="s">
        <v>2212</v>
      </c>
      <c r="Y32" s="1202" t="s">
        <v>2212</v>
      </c>
    </row>
    <row r="33" spans="1:25">
      <c r="A33" s="1198">
        <v>9930</v>
      </c>
      <c r="B33" s="1199" t="s">
        <v>1552</v>
      </c>
      <c r="C33" s="1211">
        <v>1</v>
      </c>
      <c r="D33" s="1212"/>
      <c r="E33" s="1212"/>
      <c r="F33" s="1212"/>
      <c r="G33" s="1212"/>
      <c r="H33" s="1212"/>
      <c r="I33" s="1211"/>
      <c r="J33" s="1211"/>
      <c r="K33" s="1212"/>
      <c r="L33" s="1212"/>
      <c r="M33" s="1212"/>
      <c r="N33" s="1212"/>
      <c r="O33" s="1212"/>
      <c r="P33" s="1212"/>
      <c r="Q33" s="1212"/>
      <c r="R33" s="1202" t="s">
        <v>2212</v>
      </c>
      <c r="S33" s="1202" t="s">
        <v>2212</v>
      </c>
      <c r="T33" s="1202" t="s">
        <v>2212</v>
      </c>
      <c r="U33" s="1202" t="s">
        <v>2212</v>
      </c>
      <c r="V33" s="1202" t="s">
        <v>2212</v>
      </c>
      <c r="W33" s="1202" t="s">
        <v>2212</v>
      </c>
      <c r="X33" s="1202" t="s">
        <v>2212</v>
      </c>
      <c r="Y33" s="1202" t="s">
        <v>2212</v>
      </c>
    </row>
    <row r="34" spans="1:25">
      <c r="A34" s="1198">
        <v>10115</v>
      </c>
      <c r="B34" s="1199" t="s">
        <v>1576</v>
      </c>
      <c r="C34" s="1211">
        <v>1</v>
      </c>
      <c r="D34" s="1212"/>
      <c r="E34" s="1212"/>
      <c r="F34" s="1212"/>
      <c r="G34" s="1212"/>
      <c r="H34" s="1212"/>
      <c r="I34" s="1211"/>
      <c r="J34" s="1211"/>
      <c r="K34" s="1212"/>
      <c r="L34" s="1212"/>
      <c r="M34" s="1212"/>
      <c r="N34" s="1212"/>
      <c r="O34" s="1212"/>
      <c r="P34" s="1212"/>
      <c r="Q34" s="1212"/>
      <c r="R34" s="1202" t="s">
        <v>2212</v>
      </c>
      <c r="S34" s="1202" t="s">
        <v>2212</v>
      </c>
      <c r="T34" s="1202" t="s">
        <v>2212</v>
      </c>
      <c r="U34" s="1202" t="s">
        <v>2212</v>
      </c>
      <c r="V34" s="1202" t="s">
        <v>2212</v>
      </c>
      <c r="W34" s="1202" t="s">
        <v>2212</v>
      </c>
      <c r="X34" s="1202" t="s">
        <v>2212</v>
      </c>
      <c r="Y34" s="1202" t="s">
        <v>2212</v>
      </c>
    </row>
    <row r="35" spans="1:25">
      <c r="A35" s="1198">
        <v>11163</v>
      </c>
      <c r="B35" s="1199" t="s">
        <v>1551</v>
      </c>
      <c r="C35" s="1211">
        <v>1</v>
      </c>
      <c r="D35" s="1212"/>
      <c r="E35" s="1212"/>
      <c r="F35" s="1212"/>
      <c r="G35" s="1212"/>
      <c r="H35" s="1212"/>
      <c r="I35" s="1211"/>
      <c r="J35" s="1211"/>
      <c r="K35" s="1212"/>
      <c r="L35" s="1212"/>
      <c r="M35" s="1212"/>
      <c r="N35" s="1212"/>
      <c r="O35" s="1212"/>
      <c r="P35" s="1212"/>
      <c r="Q35" s="1212"/>
      <c r="R35" s="1202" t="s">
        <v>2212</v>
      </c>
      <c r="S35" s="1202" t="s">
        <v>2212</v>
      </c>
      <c r="T35" s="1202" t="s">
        <v>2212</v>
      </c>
      <c r="U35" s="1202" t="s">
        <v>2212</v>
      </c>
      <c r="V35" s="1202" t="s">
        <v>2212</v>
      </c>
      <c r="W35" s="1202" t="s">
        <v>2212</v>
      </c>
      <c r="X35" s="1202" t="s">
        <v>2212</v>
      </c>
      <c r="Y35" s="1202" t="s">
        <v>2212</v>
      </c>
    </row>
    <row r="36" spans="1:25">
      <c r="A36" s="1198">
        <v>30646</v>
      </c>
      <c r="B36" s="1199" t="s">
        <v>1550</v>
      </c>
      <c r="C36" s="1211">
        <v>1</v>
      </c>
      <c r="D36" s="1212"/>
      <c r="E36" s="1212"/>
      <c r="F36" s="1212"/>
      <c r="G36" s="1212"/>
      <c r="H36" s="1212"/>
      <c r="I36" s="1211"/>
      <c r="J36" s="1211"/>
      <c r="K36" s="1212"/>
      <c r="L36" s="1212"/>
      <c r="M36" s="1212"/>
      <c r="N36" s="1212"/>
      <c r="O36" s="1212"/>
      <c r="P36" s="1212"/>
      <c r="Q36" s="1212"/>
      <c r="R36" s="1202" t="s">
        <v>2212</v>
      </c>
      <c r="S36" s="1202" t="s">
        <v>2212</v>
      </c>
      <c r="T36" s="1202" t="s">
        <v>2212</v>
      </c>
      <c r="U36" s="1202" t="s">
        <v>2212</v>
      </c>
      <c r="V36" s="1202" t="s">
        <v>2212</v>
      </c>
      <c r="W36" s="1202" t="s">
        <v>2212</v>
      </c>
      <c r="X36" s="1202" t="s">
        <v>2212</v>
      </c>
      <c r="Y36" s="1202" t="s">
        <v>2212</v>
      </c>
    </row>
    <row r="37" spans="1:25">
      <c r="A37" s="1198">
        <v>103599</v>
      </c>
      <c r="B37" s="1199" t="s">
        <v>1568</v>
      </c>
      <c r="C37" s="1211">
        <v>1</v>
      </c>
      <c r="D37" s="1212"/>
      <c r="E37" s="1212"/>
      <c r="F37" s="1212"/>
      <c r="G37" s="1212"/>
      <c r="H37" s="1212"/>
      <c r="I37" s="1211"/>
      <c r="J37" s="1211"/>
      <c r="K37" s="1212"/>
      <c r="L37" s="1212"/>
      <c r="M37" s="1212"/>
      <c r="N37" s="1212"/>
      <c r="O37" s="1212"/>
      <c r="P37" s="1212"/>
      <c r="Q37" s="1212"/>
      <c r="R37" s="1202" t="s">
        <v>2212</v>
      </c>
      <c r="S37" s="1202" t="s">
        <v>2212</v>
      </c>
      <c r="T37" s="1202" t="s">
        <v>2212</v>
      </c>
      <c r="U37" s="1202" t="s">
        <v>2212</v>
      </c>
      <c r="V37" s="1202" t="s">
        <v>2212</v>
      </c>
      <c r="W37" s="1202" t="s">
        <v>2212</v>
      </c>
      <c r="X37" s="1202" t="s">
        <v>2212</v>
      </c>
      <c r="Y37" s="1202" t="s">
        <v>2212</v>
      </c>
    </row>
    <row r="38" spans="1:25">
      <c r="A38" s="1198">
        <v>3652</v>
      </c>
      <c r="B38" s="1199" t="s">
        <v>1577</v>
      </c>
      <c r="C38" s="1211">
        <v>1</v>
      </c>
      <c r="D38" s="1212"/>
      <c r="E38" s="1212"/>
      <c r="F38" s="1212"/>
      <c r="G38" s="1212"/>
      <c r="H38" s="1212"/>
      <c r="I38" s="1211"/>
      <c r="J38" s="1211"/>
      <c r="K38" s="1212"/>
      <c r="L38" s="1212"/>
      <c r="M38" s="1212"/>
      <c r="N38" s="1212"/>
      <c r="O38" s="1212"/>
      <c r="P38" s="1212"/>
      <c r="Q38" s="1212"/>
      <c r="R38" s="1202" t="s">
        <v>2213</v>
      </c>
      <c r="S38" s="1202" t="s">
        <v>2213</v>
      </c>
      <c r="T38" s="1202" t="s">
        <v>2213</v>
      </c>
      <c r="U38" s="1202" t="s">
        <v>2213</v>
      </c>
      <c r="V38" s="1202" t="s">
        <v>2213</v>
      </c>
      <c r="W38" s="1202" t="s">
        <v>2213</v>
      </c>
      <c r="X38" s="1202" t="s">
        <v>2213</v>
      </c>
      <c r="Y38" s="1202" t="s">
        <v>2213</v>
      </c>
    </row>
    <row r="39" spans="1:25">
      <c r="A39" s="1198">
        <v>11711</v>
      </c>
      <c r="B39" s="1199" t="s">
        <v>1547</v>
      </c>
      <c r="C39" s="1211">
        <v>1</v>
      </c>
      <c r="D39" s="1212"/>
      <c r="E39" s="1212"/>
      <c r="F39" s="1212"/>
      <c r="G39" s="1212"/>
      <c r="H39" s="1212"/>
      <c r="I39" s="1211"/>
      <c r="J39" s="1211"/>
      <c r="K39" s="1212"/>
      <c r="L39" s="1212"/>
      <c r="M39" s="1212"/>
      <c r="N39" s="1212"/>
      <c r="O39" s="1212"/>
      <c r="P39" s="1212"/>
      <c r="Q39" s="1212"/>
      <c r="R39" s="1202" t="s">
        <v>2213</v>
      </c>
      <c r="S39" s="1202" t="s">
        <v>2213</v>
      </c>
      <c r="T39" s="1202" t="s">
        <v>2213</v>
      </c>
      <c r="U39" s="1202" t="s">
        <v>2213</v>
      </c>
      <c r="V39" s="1202" t="s">
        <v>2213</v>
      </c>
      <c r="W39" s="1202" t="s">
        <v>2213</v>
      </c>
      <c r="X39" s="1202" t="s">
        <v>2213</v>
      </c>
      <c r="Y39" s="1202" t="s">
        <v>2213</v>
      </c>
    </row>
    <row r="40" spans="1:25">
      <c r="A40" s="1198">
        <v>12826</v>
      </c>
      <c r="B40" s="1199" t="s">
        <v>1548</v>
      </c>
      <c r="C40" s="1211">
        <v>1</v>
      </c>
      <c r="D40" s="1212"/>
      <c r="E40" s="1212"/>
      <c r="F40" s="1212"/>
      <c r="G40" s="1212"/>
      <c r="H40" s="1212"/>
      <c r="I40" s="1211"/>
      <c r="J40" s="1211"/>
      <c r="K40" s="1212"/>
      <c r="L40" s="1212"/>
      <c r="M40" s="1212"/>
      <c r="N40" s="1212"/>
      <c r="O40" s="1212"/>
      <c r="P40" s="1212"/>
      <c r="Q40" s="1212"/>
      <c r="R40" s="1202" t="s">
        <v>2213</v>
      </c>
      <c r="S40" s="1202" t="s">
        <v>2213</v>
      </c>
      <c r="T40" s="1202" t="s">
        <v>2213</v>
      </c>
      <c r="U40" s="1202" t="s">
        <v>2213</v>
      </c>
      <c r="V40" s="1202" t="s">
        <v>2213</v>
      </c>
      <c r="W40" s="1202" t="s">
        <v>2213</v>
      </c>
      <c r="X40" s="1202" t="s">
        <v>2213</v>
      </c>
      <c r="Y40" s="1202" t="s">
        <v>2213</v>
      </c>
    </row>
    <row r="41" spans="1:25">
      <c r="A41" s="1198">
        <v>13231</v>
      </c>
      <c r="B41" s="1199" t="s">
        <v>1549</v>
      </c>
      <c r="C41" s="1211">
        <v>1</v>
      </c>
      <c r="D41" s="1212"/>
      <c r="E41" s="1212"/>
      <c r="F41" s="1212"/>
      <c r="G41" s="1212"/>
      <c r="H41" s="1212"/>
      <c r="I41" s="1211"/>
      <c r="J41" s="1211"/>
      <c r="K41" s="1212"/>
      <c r="L41" s="1212"/>
      <c r="M41" s="1212"/>
      <c r="N41" s="1212"/>
      <c r="O41" s="1212"/>
      <c r="P41" s="1212"/>
      <c r="Q41" s="1212"/>
      <c r="R41" s="1202" t="s">
        <v>2213</v>
      </c>
      <c r="S41" s="1202" t="s">
        <v>2213</v>
      </c>
      <c r="T41" s="1202" t="s">
        <v>2213</v>
      </c>
      <c r="U41" s="1202" t="s">
        <v>2213</v>
      </c>
      <c r="V41" s="1202" t="s">
        <v>2213</v>
      </c>
      <c r="W41" s="1202" t="s">
        <v>2213</v>
      </c>
      <c r="X41" s="1202" t="s">
        <v>2213</v>
      </c>
      <c r="Y41" s="1202" t="s">
        <v>2213</v>
      </c>
    </row>
    <row r="42" spans="1:25">
      <c r="A42" s="1198">
        <v>3541</v>
      </c>
      <c r="B42" s="1199" t="s">
        <v>1538</v>
      </c>
      <c r="C42" s="1211">
        <v>1</v>
      </c>
      <c r="D42" s="1212"/>
      <c r="E42" s="1212"/>
      <c r="F42" s="1212"/>
      <c r="G42" s="1212"/>
      <c r="H42" s="1212"/>
      <c r="I42" s="1211"/>
      <c r="J42" s="1211"/>
      <c r="K42" s="1212"/>
      <c r="L42" s="1212"/>
      <c r="M42" s="1212"/>
      <c r="N42" s="1212"/>
      <c r="O42" s="1212"/>
      <c r="P42" s="1212"/>
      <c r="Q42" s="1212"/>
      <c r="R42" s="1202" t="s">
        <v>2214</v>
      </c>
      <c r="S42" s="1202" t="s">
        <v>2214</v>
      </c>
      <c r="T42" s="1202" t="s">
        <v>2214</v>
      </c>
      <c r="U42" s="1202" t="s">
        <v>2214</v>
      </c>
      <c r="V42" s="1202" t="s">
        <v>2214</v>
      </c>
      <c r="W42" s="1202" t="s">
        <v>2214</v>
      </c>
      <c r="X42" s="1202" t="s">
        <v>2214</v>
      </c>
      <c r="Y42" s="1202" t="s">
        <v>2214</v>
      </c>
    </row>
    <row r="43" spans="1:25">
      <c r="A43" s="1198">
        <v>3644</v>
      </c>
      <c r="B43" s="1199" t="s">
        <v>1572</v>
      </c>
      <c r="C43" s="1211">
        <v>1</v>
      </c>
      <c r="D43" s="1212"/>
      <c r="E43" s="1212"/>
      <c r="F43" s="1212"/>
      <c r="G43" s="1212"/>
      <c r="H43" s="1212"/>
      <c r="I43" s="1211"/>
      <c r="J43" s="1211"/>
      <c r="K43" s="1212"/>
      <c r="L43" s="1212"/>
      <c r="M43" s="1212"/>
      <c r="N43" s="1212"/>
      <c r="O43" s="1212"/>
      <c r="P43" s="1212"/>
      <c r="Q43" s="1212"/>
      <c r="R43" s="1202" t="s">
        <v>2214</v>
      </c>
      <c r="S43" s="1202" t="s">
        <v>2214</v>
      </c>
      <c r="T43" s="1202" t="s">
        <v>2214</v>
      </c>
      <c r="U43" s="1202" t="s">
        <v>2214</v>
      </c>
      <c r="V43" s="1202" t="s">
        <v>2214</v>
      </c>
      <c r="W43" s="1202" t="s">
        <v>2214</v>
      </c>
      <c r="X43" s="1202" t="s">
        <v>2214</v>
      </c>
      <c r="Y43" s="1202" t="s">
        <v>2214</v>
      </c>
    </row>
    <row r="44" spans="1:25">
      <c r="A44" s="1198">
        <v>3592</v>
      </c>
      <c r="B44" s="1199" t="s">
        <v>1540</v>
      </c>
      <c r="C44" s="1211">
        <v>1</v>
      </c>
      <c r="D44" s="1212"/>
      <c r="E44" s="1212"/>
      <c r="F44" s="1212"/>
      <c r="G44" s="1212"/>
      <c r="H44" s="1212"/>
      <c r="I44" s="1211"/>
      <c r="J44" s="1211"/>
      <c r="K44" s="1212"/>
      <c r="L44" s="1212"/>
      <c r="M44" s="1212"/>
      <c r="N44" s="1212"/>
      <c r="O44" s="1212"/>
      <c r="P44" s="1212"/>
      <c r="Q44" s="1212"/>
      <c r="R44" s="1212"/>
      <c r="S44" s="1213"/>
      <c r="T44" s="1202"/>
      <c r="U44" s="1202"/>
      <c r="V44" s="1202"/>
      <c r="W44" s="1202"/>
      <c r="X44" s="1202"/>
      <c r="Y44" s="1202" t="s">
        <v>2214</v>
      </c>
    </row>
    <row r="45" spans="1:25" s="1230" customFormat="1">
      <c r="A45" s="1198">
        <v>3624</v>
      </c>
      <c r="B45" s="1199" t="s">
        <v>1557</v>
      </c>
      <c r="C45" s="1211">
        <v>1</v>
      </c>
      <c r="D45" s="1212"/>
      <c r="E45" s="1212"/>
      <c r="F45" s="1212"/>
      <c r="G45" s="1212"/>
      <c r="H45" s="1212"/>
      <c r="I45" s="1211"/>
      <c r="J45" s="1211"/>
      <c r="K45" s="1212"/>
      <c r="L45" s="1212"/>
      <c r="M45" s="1212"/>
      <c r="N45" s="1212"/>
      <c r="O45" s="1212"/>
      <c r="P45" s="1212"/>
      <c r="Q45" s="1212"/>
      <c r="R45" s="1212"/>
      <c r="S45" s="1213"/>
      <c r="T45" s="1202"/>
      <c r="U45" s="1202"/>
      <c r="V45" s="1202"/>
      <c r="W45" s="1202"/>
      <c r="X45" s="1202"/>
      <c r="Y45" s="1202"/>
    </row>
    <row r="46" spans="1:25" s="1214" customFormat="1" ht="12.75" customHeight="1">
      <c r="A46" s="1223">
        <v>3642</v>
      </c>
      <c r="B46" s="1224" t="s">
        <v>1566</v>
      </c>
      <c r="C46" s="1212">
        <v>2</v>
      </c>
      <c r="D46" s="1212"/>
      <c r="E46" s="1212"/>
      <c r="F46" s="1212"/>
      <c r="G46" s="1212"/>
      <c r="H46" s="1212"/>
      <c r="I46" s="1211"/>
      <c r="J46" s="1211"/>
      <c r="K46" s="1212"/>
      <c r="L46" s="1212"/>
      <c r="M46" s="1212"/>
      <c r="N46" s="1212"/>
      <c r="O46" s="1212"/>
      <c r="P46" s="1212"/>
      <c r="Q46" s="1212"/>
      <c r="R46" s="1212"/>
      <c r="S46" s="1213"/>
      <c r="T46" s="1202"/>
      <c r="U46" s="1202"/>
      <c r="V46" s="1202"/>
      <c r="W46" s="1202"/>
      <c r="X46" s="1202"/>
      <c r="Y46" s="1202"/>
    </row>
    <row r="47" spans="1:25" s="1214" customFormat="1">
      <c r="A47" s="1223">
        <v>3646</v>
      </c>
      <c r="B47" s="1224" t="s">
        <v>1567</v>
      </c>
      <c r="C47" s="1212">
        <v>8</v>
      </c>
      <c r="D47" s="1212"/>
      <c r="E47" s="1212"/>
      <c r="F47" s="1212"/>
      <c r="G47" s="1212"/>
      <c r="H47" s="1212"/>
      <c r="I47" s="1211"/>
      <c r="J47" s="1211"/>
      <c r="K47" s="1212"/>
      <c r="L47" s="1212"/>
      <c r="M47" s="1212"/>
      <c r="N47" s="1212"/>
      <c r="O47" s="1212"/>
      <c r="P47" s="1212"/>
      <c r="Q47" s="1212"/>
      <c r="R47" s="1212"/>
      <c r="S47" s="1213"/>
      <c r="T47" s="1202"/>
      <c r="U47" s="1202"/>
      <c r="V47" s="1202"/>
      <c r="W47" s="1202"/>
      <c r="X47" s="1202"/>
      <c r="Y47" s="1202"/>
    </row>
    <row r="49" spans="1:27" s="1187" customFormat="1" ht="15">
      <c r="A49" s="1244" t="s">
        <v>2115</v>
      </c>
      <c r="B49" s="1210"/>
      <c r="C49" s="1210"/>
      <c r="D49" s="1243"/>
      <c r="E49" s="1243"/>
      <c r="F49" s="1243"/>
      <c r="G49" s="1243"/>
      <c r="H49" s="1243"/>
      <c r="I49" s="1210"/>
      <c r="J49" s="1210"/>
      <c r="K49" s="1210"/>
      <c r="T49" s="1186"/>
      <c r="U49" s="1185"/>
      <c r="V49" s="1185"/>
      <c r="W49" s="1185"/>
      <c r="X49" s="1185"/>
      <c r="Y49" s="1185"/>
      <c r="Z49" s="1185"/>
      <c r="AA49" s="1185"/>
    </row>
    <row r="50" spans="1:27" s="1187" customFormat="1">
      <c r="A50" s="1272" t="s">
        <v>2116</v>
      </c>
      <c r="B50" s="1210"/>
      <c r="C50" s="1210"/>
      <c r="D50" s="1243"/>
      <c r="E50" s="1243"/>
      <c r="F50" s="1243"/>
      <c r="G50" s="1243"/>
      <c r="H50" s="1243"/>
      <c r="I50" s="1210"/>
      <c r="J50" s="1210"/>
      <c r="K50" s="1210"/>
      <c r="T50" s="1186"/>
      <c r="U50" s="1185"/>
      <c r="V50" s="1185"/>
      <c r="W50" s="1185"/>
      <c r="X50" s="1185"/>
      <c r="Y50" s="1185"/>
      <c r="Z50" s="1185"/>
      <c r="AA50" s="1185"/>
    </row>
    <row r="51" spans="1:27" s="1187" customFormat="1">
      <c r="A51" s="1186"/>
      <c r="B51" s="1210"/>
      <c r="C51" s="1210"/>
      <c r="D51" s="1243"/>
      <c r="E51" s="1243"/>
      <c r="F51" s="1243"/>
      <c r="G51" s="1243"/>
      <c r="H51" s="1243"/>
      <c r="I51" s="1210"/>
      <c r="J51" s="1210"/>
      <c r="K51" s="1210"/>
      <c r="T51" s="1186"/>
      <c r="U51" s="1185"/>
      <c r="V51" s="1185"/>
      <c r="W51" s="1185"/>
      <c r="X51" s="1185"/>
      <c r="Y51" s="1185"/>
      <c r="Z51" s="1185"/>
      <c r="AA51" s="1185"/>
    </row>
    <row r="52" spans="1:27" s="1187" customFormat="1">
      <c r="A52" s="1186"/>
      <c r="B52" s="1210"/>
      <c r="C52" s="1210"/>
      <c r="D52" s="1243"/>
      <c r="E52" s="1243"/>
      <c r="F52" s="1243"/>
      <c r="G52" s="1243"/>
      <c r="H52" s="1243"/>
      <c r="I52" s="1210"/>
      <c r="J52" s="1210"/>
      <c r="K52" s="1210"/>
      <c r="T52" s="1186"/>
      <c r="U52" s="1185"/>
      <c r="V52" s="1185"/>
      <c r="W52" s="1185"/>
      <c r="X52" s="1185"/>
      <c r="Y52" s="1185"/>
      <c r="Z52" s="1185"/>
      <c r="AA52" s="1185"/>
    </row>
  </sheetData>
  <hyperlinks>
    <hyperlink ref="A2" location="PeerGroups!A660" display="Link to Key" xr:uid="{00000000-0004-0000-BD00-000000000000}"/>
    <hyperlink ref="P1" location="Index!A1" display="Return to Index" xr:uid="{00000000-0004-0000-BD00-000001000000}"/>
  </hyperlinks>
  <pageMargins left="0.7" right="0.7" top="0.75" bottom="0.75" header="0.3" footer="0.3"/>
  <pageSetup orientation="portrait" r:id="rId1"/>
  <legacyDrawing r:id="rId2"/>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dimension ref="A1:J50"/>
  <sheetViews>
    <sheetView showGridLines="0" zoomScale="90" zoomScaleNormal="90" workbookViewId="0">
      <pane ySplit="3" topLeftCell="A40" activePane="bottomLeft" state="frozen"/>
      <selection activeCell="F74" sqref="E74:F74"/>
      <selection pane="bottomLeft" activeCell="O25" sqref="O25"/>
    </sheetView>
  </sheetViews>
  <sheetFormatPr defaultRowHeight="12.75"/>
  <cols>
    <col min="1" max="1" width="9.140625" style="514"/>
    <col min="2" max="2" width="43" customWidth="1"/>
    <col min="3" max="3" width="12.7109375" customWidth="1"/>
    <col min="4" max="4" width="12.42578125" customWidth="1"/>
    <col min="5" max="5" width="14.140625" customWidth="1"/>
    <col min="6" max="6" width="15.7109375" customWidth="1"/>
    <col min="7" max="7" width="12.42578125" customWidth="1"/>
    <col min="8" max="8" width="12.140625" customWidth="1"/>
    <col min="9" max="9" width="12.85546875" customWidth="1"/>
    <col min="10" max="10" width="15.85546875" customWidth="1"/>
  </cols>
  <sheetData>
    <row r="1" spans="1:10" ht="15">
      <c r="A1" s="1011" t="s">
        <v>1307</v>
      </c>
      <c r="I1" s="982" t="s">
        <v>1200</v>
      </c>
    </row>
    <row r="3" spans="1:10" ht="33" customHeight="1">
      <c r="D3" s="1009" t="s">
        <v>1147</v>
      </c>
      <c r="E3" s="1010" t="s">
        <v>1309</v>
      </c>
      <c r="F3" s="1010" t="s">
        <v>1308</v>
      </c>
      <c r="G3" s="1010" t="s">
        <v>1310</v>
      </c>
      <c r="H3" s="1010" t="s">
        <v>1311</v>
      </c>
      <c r="I3" s="1010" t="s">
        <v>1312</v>
      </c>
      <c r="J3" s="1010" t="s">
        <v>1313</v>
      </c>
    </row>
    <row r="4" spans="1:10" s="1110" customFormat="1" ht="33" customHeight="1" thickBot="1">
      <c r="A4" s="1095">
        <v>40</v>
      </c>
      <c r="B4" s="1094" t="s">
        <v>219</v>
      </c>
      <c r="C4" s="1095" t="s">
        <v>301</v>
      </c>
      <c r="D4" s="1096" t="str">
        <f>'ARL Sum'!$F$74</f>
        <v>Balanced</v>
      </c>
      <c r="E4" s="1098" t="str">
        <f>'ARL FGD'!$M$102</f>
        <v>Balanced</v>
      </c>
      <c r="F4" s="1096" t="str">
        <f>'ARL FGD'!$L$102</f>
        <v>Balanced</v>
      </c>
      <c r="G4" s="1096" t="str">
        <f>'ARL FGD'!$Q$36</f>
        <v>Balanced</v>
      </c>
      <c r="H4" s="1096" t="str">
        <f>'ARL FGD'!$R$36</f>
        <v>Balanced</v>
      </c>
      <c r="I4" s="1132" t="str">
        <f>'ARL FGD'!$P$70</f>
        <v>Balanced</v>
      </c>
      <c r="J4" s="1096" t="str">
        <f>'ARL FGD'!$AB$72</f>
        <v>Balanced</v>
      </c>
    </row>
    <row r="5" spans="1:10" s="1110" customFormat="1" ht="32.25" thickBot="1">
      <c r="A5" s="1095">
        <v>51</v>
      </c>
      <c r="B5" s="1131" t="s">
        <v>1375</v>
      </c>
      <c r="C5" s="1095" t="s">
        <v>1374</v>
      </c>
      <c r="D5" s="1096" t="str">
        <f>'AUS1 Sum'!$F$74</f>
        <v>Balanced</v>
      </c>
      <c r="E5" s="1098" t="str">
        <f>'AUS1 FGD'!$M$102</f>
        <v>Balanced</v>
      </c>
      <c r="F5" s="1096" t="str">
        <f>'AUS1 FGD'!$L$102</f>
        <v>Balanced</v>
      </c>
      <c r="G5" s="1096" t="str">
        <f>'AUS1 FGD'!$Q$36</f>
        <v>Balanced</v>
      </c>
      <c r="H5" s="1096" t="str">
        <f>'AUS1 FGD'!$R$36</f>
        <v>Balanced</v>
      </c>
      <c r="I5" s="1132" t="str">
        <f>'AUS1 FGD'!$P$70</f>
        <v>Balanced</v>
      </c>
      <c r="J5" s="1096" t="str">
        <f>'AUS1 FGD'!$AB$72</f>
        <v>Balanced</v>
      </c>
    </row>
    <row r="6" spans="1:10" s="1110" customFormat="1" ht="15.75" thickBot="1">
      <c r="A6" s="1095">
        <v>60</v>
      </c>
      <c r="B6" s="1094" t="s">
        <v>96</v>
      </c>
      <c r="C6" s="1095" t="s">
        <v>303</v>
      </c>
      <c r="D6" s="1096" t="str">
        <f>'DAL Sum'!$F$74</f>
        <v>Balanced</v>
      </c>
      <c r="E6" s="1098" t="str">
        <f>'DAL FGD'!$M$102</f>
        <v>Balanced</v>
      </c>
      <c r="F6" s="1096" t="str">
        <f>'DAL FGD'!$L$102</f>
        <v>Balanced</v>
      </c>
      <c r="G6" s="1096" t="str">
        <f>'DAL FGD'!$Q$36</f>
        <v>Balanced</v>
      </c>
      <c r="H6" s="1096" t="str">
        <f>'DAL FGD'!$R$36</f>
        <v>Balanced</v>
      </c>
      <c r="I6" s="1132" t="str">
        <f>'DAL FGD'!$P$70</f>
        <v>Balanced</v>
      </c>
      <c r="J6" s="1096" t="str">
        <f>'DAL FGD'!$AB$72</f>
        <v>Balanced</v>
      </c>
    </row>
    <row r="7" spans="1:10" s="1110" customFormat="1" ht="15.75" thickBot="1">
      <c r="A7" s="1095">
        <v>70</v>
      </c>
      <c r="B7" s="1094" t="s">
        <v>97</v>
      </c>
      <c r="C7" s="1095" t="s">
        <v>304</v>
      </c>
      <c r="D7" s="1096" t="str">
        <f>'E-P Sum'!$F$74</f>
        <v>Balanced</v>
      </c>
      <c r="E7" s="1098" t="str">
        <f>'E-P FGD'!$M$102</f>
        <v>Balanced</v>
      </c>
      <c r="F7" s="1096" t="str">
        <f>'E-P FGD'!$L$102</f>
        <v>Balanced</v>
      </c>
      <c r="G7" s="1096" t="str">
        <f>'E-P FGD'!$Q$36</f>
        <v>Balanced</v>
      </c>
      <c r="H7" s="1096" t="str">
        <f>'E-P FGD'!$R$36</f>
        <v>Balanced</v>
      </c>
      <c r="I7" s="1132" t="str">
        <f>'E-P FGD'!$P$70</f>
        <v>Balanced</v>
      </c>
      <c r="J7" s="1096" t="str">
        <f>'E-P FGD'!$AB$72</f>
        <v>Balanced</v>
      </c>
    </row>
    <row r="8" spans="1:10" s="1110" customFormat="1" ht="15.75" thickBot="1">
      <c r="A8" s="1095"/>
      <c r="B8" s="1094"/>
      <c r="C8" s="1095"/>
      <c r="D8" s="1096"/>
      <c r="E8" s="1098"/>
      <c r="F8" s="1096"/>
      <c r="G8" s="1096"/>
      <c r="H8" s="1096"/>
      <c r="I8" s="1132"/>
      <c r="J8" s="1096"/>
    </row>
    <row r="9" spans="1:10" s="1110" customFormat="1" ht="32.25" thickBot="1">
      <c r="A9" s="1095">
        <v>91</v>
      </c>
      <c r="B9" s="1131" t="s">
        <v>1401</v>
      </c>
      <c r="C9" s="1095" t="s">
        <v>1380</v>
      </c>
      <c r="D9" s="1096" t="str">
        <f>'RGV1 Sum'!$F$74</f>
        <v>Balanced</v>
      </c>
      <c r="E9" s="1098" t="str">
        <f>'RGV1 FGD'!$M$102</f>
        <v>Balanced</v>
      </c>
      <c r="F9" s="1096" t="str">
        <f>'RGV1 FGD'!$L$102</f>
        <v>Balanced</v>
      </c>
      <c r="G9" s="1096" t="str">
        <f>'RGV1 FGD'!$Q$36</f>
        <v>Balanced</v>
      </c>
      <c r="H9" s="1096" t="str">
        <f>'RGV1 FGD'!$R$36</f>
        <v>Balanced</v>
      </c>
      <c r="I9" s="1132" t="str">
        <f>'RGV1 FGD'!$P$70</f>
        <v>Balanced</v>
      </c>
      <c r="J9" s="1096" t="str">
        <f>'RGV1 FGD'!$AB$72</f>
        <v>Balanced</v>
      </c>
    </row>
    <row r="10" spans="1:10" s="1110" customFormat="1" ht="30.75" thickBot="1">
      <c r="A10" s="1095">
        <v>100</v>
      </c>
      <c r="B10" s="1094" t="s">
        <v>100</v>
      </c>
      <c r="C10" s="1095" t="s">
        <v>307</v>
      </c>
      <c r="D10" s="1096" t="str">
        <f>'P-B Sum'!$F$74</f>
        <v>Balanced</v>
      </c>
      <c r="E10" s="1098" t="str">
        <f>'P-B FGD'!$M$102</f>
        <v>Balanced</v>
      </c>
      <c r="F10" s="1096" t="str">
        <f>'P-B FGD'!$L$102</f>
        <v>Balanced</v>
      </c>
      <c r="G10" s="1096" t="str">
        <f>'P-B FGD'!$Q$36</f>
        <v>Balanced</v>
      </c>
      <c r="H10" s="1096" t="str">
        <f>'P-B FGD'!$R$36</f>
        <v>Balanced</v>
      </c>
      <c r="I10" s="1132" t="str">
        <f>'P-B FGD'!$P$70</f>
        <v>Balanced</v>
      </c>
      <c r="J10" s="1096" t="str">
        <f>'P-B FGD'!$AB$72</f>
        <v>Balanced</v>
      </c>
    </row>
    <row r="11" spans="1:10" s="1110" customFormat="1" ht="15.75" thickBot="1">
      <c r="A11" s="1095">
        <v>110</v>
      </c>
      <c r="B11" s="1094" t="s">
        <v>101</v>
      </c>
      <c r="C11" s="1095" t="s">
        <v>308</v>
      </c>
      <c r="D11" s="1096" t="str">
        <f>'S-A Sum'!$F$74</f>
        <v>Balanced</v>
      </c>
      <c r="E11" s="1098" t="str">
        <f>'S-A FGD'!$M$102</f>
        <v>Balanced</v>
      </c>
      <c r="F11" s="1096" t="str">
        <f>'S-A FGD'!$L$102</f>
        <v>Balanced</v>
      </c>
      <c r="G11" s="1096" t="str">
        <f>'S-A FGD'!$Q$36</f>
        <v>Balanced</v>
      </c>
      <c r="H11" s="1096" t="str">
        <f>'S-A FGD'!$R$36</f>
        <v>Balanced</v>
      </c>
      <c r="I11" s="1132" t="str">
        <f>'S-A FGD'!$P$70</f>
        <v>Balanced</v>
      </c>
      <c r="J11" s="1096" t="str">
        <f>'S-A FGD'!$AB$72</f>
        <v>Balanced</v>
      </c>
    </row>
    <row r="12" spans="1:10" s="1110" customFormat="1" ht="15.75" thickBot="1">
      <c r="A12" s="1095">
        <v>120</v>
      </c>
      <c r="B12" s="1094" t="s">
        <v>102</v>
      </c>
      <c r="C12" s="1095" t="s">
        <v>309</v>
      </c>
      <c r="D12" s="1096" t="str">
        <f>'TYL Sum'!$F$74</f>
        <v>Balanced</v>
      </c>
      <c r="E12" s="1098" t="str">
        <f>'TYL FGD'!$M$102</f>
        <v>Balanced</v>
      </c>
      <c r="F12" s="1096" t="str">
        <f>'TYL FGD'!$L$102</f>
        <v>Balanced</v>
      </c>
      <c r="G12" s="1096" t="str">
        <f>'TYL FGD'!$Q$36</f>
        <v>Balanced</v>
      </c>
      <c r="H12" s="1096" t="str">
        <f>'TYL FGD'!$R$36</f>
        <v>Balanced</v>
      </c>
      <c r="I12" s="1132" t="str">
        <f>'TYL FGD'!$P$70</f>
        <v>Balanced</v>
      </c>
      <c r="J12" s="1096" t="str">
        <f>'TYL FGD'!$AB$72</f>
        <v>Balanced</v>
      </c>
    </row>
    <row r="13" spans="1:10" s="1110" customFormat="1" ht="15.75" thickBot="1">
      <c r="A13" s="1095">
        <v>130</v>
      </c>
      <c r="B13" s="1094" t="s">
        <v>103</v>
      </c>
      <c r="C13" s="1095" t="s">
        <v>310</v>
      </c>
      <c r="D13" s="1096" t="str">
        <f>'TAMU Sum'!$F$74</f>
        <v>Balanced</v>
      </c>
      <c r="E13" s="1098" t="str">
        <f>'TAMU FGD'!$M$102</f>
        <v>Balanced</v>
      </c>
      <c r="F13" s="1096" t="str">
        <f>'TAMU FGD'!$L$102</f>
        <v>Balanced</v>
      </c>
      <c r="G13" s="1096" t="str">
        <f>'TAMU FGD'!$Q$36</f>
        <v>Balanced</v>
      </c>
      <c r="H13" s="1096" t="str">
        <f>'TAMU FGD'!$R$36</f>
        <v>Balanced</v>
      </c>
      <c r="I13" s="1132" t="str">
        <f>'TAMU FGD'!$P$70</f>
        <v>Balanced</v>
      </c>
      <c r="J13" s="1096" t="str">
        <f>'TAMU FGD'!$AB$72</f>
        <v>Balanced</v>
      </c>
    </row>
    <row r="14" spans="1:10" s="1110" customFormat="1" ht="15.75" thickBot="1">
      <c r="A14" s="1095">
        <v>140</v>
      </c>
      <c r="B14" s="1094" t="s">
        <v>106</v>
      </c>
      <c r="C14" s="1095" t="s">
        <v>311</v>
      </c>
      <c r="D14" s="1096" t="str">
        <f>'TAMUG Sum'!$F$74</f>
        <v>Balanced</v>
      </c>
      <c r="E14" s="1098" t="str">
        <f>'TAMUG FGD'!$M$102</f>
        <v>Balanced</v>
      </c>
      <c r="F14" s="1096" t="str">
        <f>'TAMUG FGD'!$L$102</f>
        <v>Balanced</v>
      </c>
      <c r="G14" s="1096" t="str">
        <f>'TAMUG FGD'!$Q$36</f>
        <v>Balanced</v>
      </c>
      <c r="H14" s="1096" t="str">
        <f>'TAMUG FGD'!$R$36</f>
        <v>Balanced</v>
      </c>
      <c r="I14" s="1132" t="str">
        <f>'TAMUG FGD'!$P$70</f>
        <v>Balanced</v>
      </c>
      <c r="J14" s="1096" t="str">
        <f>'TAMUG FGD'!$AB$72</f>
        <v>Balanced</v>
      </c>
    </row>
    <row r="15" spans="1:10" s="1110" customFormat="1" ht="15.75" thickBot="1">
      <c r="A15" s="1095">
        <v>150</v>
      </c>
      <c r="B15" s="1094" t="s">
        <v>107</v>
      </c>
      <c r="C15" s="1095" t="s">
        <v>312</v>
      </c>
      <c r="D15" s="1096" t="str">
        <f>'PVAMU Sum'!$F$74</f>
        <v>Balanced</v>
      </c>
      <c r="E15" s="1098" t="str">
        <f>'PVAMU FGD'!$M$102</f>
        <v>Balanced</v>
      </c>
      <c r="F15" s="1096" t="str">
        <f>'PVAMU FGD'!$L$102</f>
        <v>Balanced</v>
      </c>
      <c r="G15" s="1096" t="str">
        <f>'PVAMU FGD'!$Q$36</f>
        <v>Balanced</v>
      </c>
      <c r="H15" s="1096" t="str">
        <f>'PVAMU FGD'!$R$36</f>
        <v>Balanced</v>
      </c>
      <c r="I15" s="1132" t="str">
        <f>'PVAMU FGD'!$P$70</f>
        <v>Balanced</v>
      </c>
      <c r="J15" s="1096" t="str">
        <f>'PVAMU FGD'!$AB$72</f>
        <v>Balanced</v>
      </c>
    </row>
    <row r="16" spans="1:10" s="1110" customFormat="1" ht="15.75" thickBot="1">
      <c r="A16" s="1095">
        <v>160</v>
      </c>
      <c r="B16" s="1094" t="s">
        <v>108</v>
      </c>
      <c r="C16" s="1095" t="s">
        <v>313</v>
      </c>
      <c r="D16" s="1096" t="str">
        <f>'TARLST Sum'!$F$74</f>
        <v>Balanced</v>
      </c>
      <c r="E16" s="1098" t="str">
        <f>'TARLST FGD'!$M$102</f>
        <v>Balanced</v>
      </c>
      <c r="F16" s="1096" t="str">
        <f>'TARLST FGD'!$L$102</f>
        <v>Balanced</v>
      </c>
      <c r="G16" s="1096" t="str">
        <f>'TARLST FGD'!$Q$36</f>
        <v>Balanced</v>
      </c>
      <c r="H16" s="1096" t="str">
        <f>'TARLST FGD'!$R$36</f>
        <v>Balanced</v>
      </c>
      <c r="I16" s="1132" t="str">
        <f>'TARLST FGD'!$P$70</f>
        <v>Balanced</v>
      </c>
      <c r="J16" s="1096" t="str">
        <f>'TARLST FGD'!$AB$72</f>
        <v>Balanced</v>
      </c>
    </row>
    <row r="17" spans="1:10" s="1110" customFormat="1" ht="15.75" thickBot="1">
      <c r="A17" s="1095">
        <v>170</v>
      </c>
      <c r="B17" s="1094" t="s">
        <v>109</v>
      </c>
      <c r="C17" s="1095" t="s">
        <v>314</v>
      </c>
      <c r="D17" s="1096" t="str">
        <f>'TAMUCC Sum'!$F$74</f>
        <v>Balanced</v>
      </c>
      <c r="E17" s="1098" t="str">
        <f>'TAMUCC FGD'!$M$102</f>
        <v>Balanced</v>
      </c>
      <c r="F17" s="1096" t="str">
        <f>'TAMUCC FGD'!$L$102</f>
        <v>Balanced</v>
      </c>
      <c r="G17" s="1096" t="str">
        <f>'TAMUCC FGD'!$Q$36</f>
        <v>Balanced</v>
      </c>
      <c r="H17" s="1096" t="str">
        <f>'TAMUCC FGD'!$R$36</f>
        <v>Balanced</v>
      </c>
      <c r="I17" s="1132" t="str">
        <f>'TAMUCC FGD'!$P$70</f>
        <v>Balanced</v>
      </c>
      <c r="J17" s="1096" t="str">
        <f>'TAMUCC FGD'!$AB$72</f>
        <v>Balanced</v>
      </c>
    </row>
    <row r="18" spans="1:10" s="1110" customFormat="1" ht="15.75" thickBot="1">
      <c r="A18" s="1095">
        <v>180</v>
      </c>
      <c r="B18" s="1094" t="s">
        <v>110</v>
      </c>
      <c r="C18" s="1095" t="s">
        <v>315</v>
      </c>
      <c r="D18" s="1096" t="str">
        <f>'TAMUK Sum'!$F$74</f>
        <v>Balanced</v>
      </c>
      <c r="E18" s="1098" t="str">
        <f>'TAMUK FGD'!$M$102</f>
        <v>Balanced</v>
      </c>
      <c r="F18" s="1096" t="str">
        <f>'TAMUK FGD'!$L$102</f>
        <v>Balanced</v>
      </c>
      <c r="G18" s="1096" t="str">
        <f>'TAMUK FGD'!$Q$36</f>
        <v>Balanced</v>
      </c>
      <c r="H18" s="1096" t="str">
        <f>'TAMUK FGD'!$R$36</f>
        <v>Balanced</v>
      </c>
      <c r="I18" s="1132" t="str">
        <f>'TAMUK FGD'!$P$70</f>
        <v>Balanced</v>
      </c>
      <c r="J18" s="1096" t="str">
        <f>'TAMUK FGD'!$AB$72</f>
        <v>Balanced</v>
      </c>
    </row>
    <row r="19" spans="1:10" s="1110" customFormat="1" ht="15.75" thickBot="1">
      <c r="A19" s="1095">
        <v>190</v>
      </c>
      <c r="B19" s="1094" t="s">
        <v>111</v>
      </c>
      <c r="C19" s="1095" t="s">
        <v>316</v>
      </c>
      <c r="D19" s="1096" t="str">
        <f>'TAMIU Sum'!$F$74</f>
        <v>Balanced</v>
      </c>
      <c r="E19" s="1098" t="str">
        <f>'TAMIU FGD'!$M$102</f>
        <v>Balanced</v>
      </c>
      <c r="F19" s="1096" t="str">
        <f>'TAMIU FGD'!$L$102</f>
        <v>Balanced</v>
      </c>
      <c r="G19" s="1096" t="str">
        <f>'TAMIU FGD'!$Q$36</f>
        <v>Balanced</v>
      </c>
      <c r="H19" s="1096" t="str">
        <f>'TAMIU FGD'!$R$36</f>
        <v>Balanced</v>
      </c>
      <c r="I19" s="1132" t="str">
        <f>'TAMIU FGD'!$P$70</f>
        <v>Balanced</v>
      </c>
      <c r="J19" s="1096" t="str">
        <f>'TAMIU FGD'!$AB$72</f>
        <v>Balanced</v>
      </c>
    </row>
    <row r="20" spans="1:10" s="1110" customFormat="1" ht="15.75" thickBot="1">
      <c r="A20" s="1095">
        <v>200</v>
      </c>
      <c r="B20" s="1094" t="s">
        <v>112</v>
      </c>
      <c r="C20" s="1095" t="s">
        <v>317</v>
      </c>
      <c r="D20" s="1096" t="str">
        <f>'WTAMU Sum'!$F$74</f>
        <v>Balanced</v>
      </c>
      <c r="E20" s="1098" t="str">
        <f>'WTAMU FGD'!$M$102</f>
        <v>Balanced</v>
      </c>
      <c r="F20" s="1096" t="str">
        <f>'WTAMU FGD'!$L$102</f>
        <v>Balanced</v>
      </c>
      <c r="G20" s="1096" t="str">
        <f>'WTAMU FGD'!$Q$36</f>
        <v>Balanced</v>
      </c>
      <c r="H20" s="1096" t="str">
        <f>'WTAMU FGD'!$R$36</f>
        <v>Balanced</v>
      </c>
      <c r="I20" s="1132" t="str">
        <f>'WTAMU FGD'!$P$70</f>
        <v>Balanced</v>
      </c>
      <c r="J20" s="1096" t="str">
        <f>'WTAMU FGD'!$AB$72</f>
        <v>Balanced</v>
      </c>
    </row>
    <row r="21" spans="1:10" s="1110" customFormat="1" ht="15.75" thickBot="1">
      <c r="A21" s="1095">
        <v>210</v>
      </c>
      <c r="B21" s="1094" t="s">
        <v>113</v>
      </c>
      <c r="C21" s="1095" t="s">
        <v>318</v>
      </c>
      <c r="D21" s="1096" t="str">
        <f>'TAMUC Sum'!$F$74</f>
        <v>Balanced</v>
      </c>
      <c r="E21" s="1098" t="str">
        <f>'TAMUC FGD'!$M$102</f>
        <v>Balanced</v>
      </c>
      <c r="F21" s="1096" t="str">
        <f>'TAMUC FGD'!$L$102</f>
        <v>Balanced</v>
      </c>
      <c r="G21" s="1096" t="str">
        <f>'TAMUC FGD'!$Q$36</f>
        <v>Balanced</v>
      </c>
      <c r="H21" s="1096" t="str">
        <f>'TAMUC FGD'!$R$36</f>
        <v>Balanced</v>
      </c>
      <c r="I21" s="1132" t="str">
        <f>'TAMUC FGD'!$P$70</f>
        <v>Balanced</v>
      </c>
      <c r="J21" s="1096" t="str">
        <f>'TAMUC FGD'!$AB$72</f>
        <v>Balanced</v>
      </c>
    </row>
    <row r="22" spans="1:10" s="1110" customFormat="1" ht="15.75" thickBot="1">
      <c r="A22" s="1095">
        <v>220</v>
      </c>
      <c r="B22" s="1094" t="s">
        <v>114</v>
      </c>
      <c r="C22" s="1095" t="s">
        <v>319</v>
      </c>
      <c r="D22" s="1096" t="str">
        <f>'TAMUT Sum'!$F$74</f>
        <v>Balanced</v>
      </c>
      <c r="E22" s="1098" t="str">
        <f>'TAMUT FGD'!$M$102</f>
        <v>Balanced</v>
      </c>
      <c r="F22" s="1096" t="str">
        <f>'TAMUT FGD'!$L$102</f>
        <v>Balanced</v>
      </c>
      <c r="G22" s="1096" t="str">
        <f>'TAMUT FGD'!$Q$36</f>
        <v>Balanced</v>
      </c>
      <c r="H22" s="1096" t="str">
        <f>'TAMUT FGD'!$R$36</f>
        <v>Balanced</v>
      </c>
      <c r="I22" s="1132" t="str">
        <f>'TAMUT FGD'!$P$70</f>
        <v>Balanced</v>
      </c>
      <c r="J22" s="1096" t="str">
        <f>'TAMUT FGD'!$AB$72</f>
        <v>Balanced</v>
      </c>
    </row>
    <row r="23" spans="1:10" s="1110" customFormat="1" ht="15.75" thickBot="1">
      <c r="A23" s="1095">
        <v>223</v>
      </c>
      <c r="B23" s="1133" t="s">
        <v>271</v>
      </c>
      <c r="C23" s="1095" t="s">
        <v>320</v>
      </c>
      <c r="D23" s="1096" t="str">
        <f>'TAMUCT Sum'!$F$74</f>
        <v>Balanced</v>
      </c>
      <c r="E23" s="1098" t="str">
        <f>'TAMUCT FGD'!$M$102</f>
        <v>Balanced</v>
      </c>
      <c r="F23" s="1096" t="str">
        <f>'TAMUCT FGD'!$L$102</f>
        <v>Balanced</v>
      </c>
      <c r="G23" s="1096" t="str">
        <f>'TAMUCT FGD'!$Q$36</f>
        <v>Balanced</v>
      </c>
      <c r="H23" s="1096" t="str">
        <f>'TAMUCT FGD'!$R$36</f>
        <v>Balanced</v>
      </c>
      <c r="I23" s="1132" t="str">
        <f>'TAMUCT FGD'!$P$70</f>
        <v>Balanced</v>
      </c>
      <c r="J23" s="1096" t="str">
        <f>'TAMUCT FGD'!$AB$72</f>
        <v>Balanced</v>
      </c>
    </row>
    <row r="24" spans="1:10" s="1110" customFormat="1" ht="15.75" thickBot="1">
      <c r="A24" s="1095">
        <v>226</v>
      </c>
      <c r="B24" s="1133" t="s">
        <v>272</v>
      </c>
      <c r="C24" s="1095" t="s">
        <v>321</v>
      </c>
      <c r="D24" s="1096" t="str">
        <f>'TAMUSA Sum'!$F$74</f>
        <v>Balanced</v>
      </c>
      <c r="E24" s="1098" t="str">
        <f>'TAMUSA FGD'!$M$102</f>
        <v>Balanced</v>
      </c>
      <c r="F24" s="1096" t="str">
        <f>'TAMUSA FGD'!$L$102</f>
        <v>Balanced</v>
      </c>
      <c r="G24" s="1096" t="str">
        <f>'TAMUSA FGD'!$Q$36</f>
        <v>Balanced</v>
      </c>
      <c r="H24" s="1096" t="str">
        <f>'TAMUSA FGD'!$R$36</f>
        <v>Balanced</v>
      </c>
      <c r="I24" s="1132" t="str">
        <f>'TAMUSA FGD'!$P$70</f>
        <v>Balanced</v>
      </c>
      <c r="J24" s="1096" t="str">
        <f>'TAMUSA FGD'!$AB$72</f>
        <v>Balanced</v>
      </c>
    </row>
    <row r="25" spans="1:10" s="1110" customFormat="1" ht="32.25" thickBot="1">
      <c r="A25" s="1095">
        <v>231</v>
      </c>
      <c r="B25" s="1131" t="s">
        <v>2244</v>
      </c>
      <c r="C25" s="1095" t="s">
        <v>2245</v>
      </c>
      <c r="D25" s="1096" t="str">
        <f>'UH1 Sum'!$F$74</f>
        <v>Balanced</v>
      </c>
      <c r="E25" s="1098" t="str">
        <f>'UH1 FGD'!$M$102</f>
        <v>Balanced</v>
      </c>
      <c r="F25" s="1096" t="str">
        <f>'UH1 FGD'!$L$102</f>
        <v>Balanced</v>
      </c>
      <c r="G25" s="1096" t="str">
        <f>'UH1 FGD'!$Q$36</f>
        <v>Balanced</v>
      </c>
      <c r="H25" s="1096" t="str">
        <f>'UH1 FGD'!$R$36</f>
        <v>Balanced</v>
      </c>
      <c r="I25" s="1132" t="str">
        <f>'UH1 FGD'!$P$70</f>
        <v>Balanced</v>
      </c>
      <c r="J25" s="1096" t="str">
        <f>'UH1 FGD'!$AB$72</f>
        <v>Balanced</v>
      </c>
    </row>
    <row r="26" spans="1:10" s="1110" customFormat="1" ht="15.75" thickBot="1">
      <c r="A26" s="1095">
        <v>240</v>
      </c>
      <c r="B26" s="1094" t="s">
        <v>116</v>
      </c>
      <c r="C26" s="1095" t="s">
        <v>323</v>
      </c>
      <c r="D26" s="1096" t="str">
        <f>'UHCL Sum'!$F$74</f>
        <v>Balanced</v>
      </c>
      <c r="E26" s="1098" t="str">
        <f>'UHCL FGD'!$M$102</f>
        <v>Balanced</v>
      </c>
      <c r="F26" s="1096" t="str">
        <f>'UHCL FGD'!$L$102</f>
        <v>Balanced</v>
      </c>
      <c r="G26" s="1096" t="str">
        <f>'UHCL FGD'!$Q$36</f>
        <v>Balanced</v>
      </c>
      <c r="H26" s="1096" t="str">
        <f>'UHCL FGD'!$R$36</f>
        <v>Balanced</v>
      </c>
      <c r="I26" s="1132" t="str">
        <f>'UHCL FGD'!$P$70</f>
        <v>Balanced</v>
      </c>
      <c r="J26" s="1096" t="str">
        <f>'UHCL FGD'!$AB$72</f>
        <v>Balanced</v>
      </c>
    </row>
    <row r="27" spans="1:10" s="1110" customFormat="1" ht="15.75" thickBot="1">
      <c r="A27" s="1095">
        <v>250</v>
      </c>
      <c r="B27" s="1094" t="s">
        <v>117</v>
      </c>
      <c r="C27" s="1095" t="s">
        <v>324</v>
      </c>
      <c r="D27" s="1096" t="str">
        <f>'UHD Sum'!$F$74</f>
        <v>Balanced</v>
      </c>
      <c r="E27" s="1098" t="str">
        <f>'UHD FGD'!$M$102</f>
        <v>Balanced</v>
      </c>
      <c r="F27" s="1096" t="str">
        <f>'UHD FGD'!$L$102</f>
        <v>Balanced</v>
      </c>
      <c r="G27" s="1096" t="str">
        <f>'UHD FGD'!$Q$36</f>
        <v>Balanced</v>
      </c>
      <c r="H27" s="1096" t="str">
        <f>'UHD FGD'!$R$36</f>
        <v>Balanced</v>
      </c>
      <c r="I27" s="1132" t="str">
        <f>'UHD FGD'!$P$70</f>
        <v>Balanced</v>
      </c>
      <c r="J27" s="1096" t="str">
        <f>'UHD FGD'!$AB$72</f>
        <v>Balanced</v>
      </c>
    </row>
    <row r="28" spans="1:10" s="1110" customFormat="1" ht="15.75" thickBot="1">
      <c r="A28" s="1095">
        <v>260</v>
      </c>
      <c r="B28" s="1094" t="s">
        <v>118</v>
      </c>
      <c r="C28" s="1095" t="s">
        <v>325</v>
      </c>
      <c r="D28" s="1096" t="str">
        <f>'UHV Sum'!$F$74</f>
        <v>Balanced</v>
      </c>
      <c r="E28" s="1098" t="str">
        <f>'UHV FGD'!$M$102</f>
        <v>Balanced</v>
      </c>
      <c r="F28" s="1096" t="str">
        <f>'UHV FGD'!$L$102</f>
        <v>Balanced</v>
      </c>
      <c r="G28" s="1096" t="str">
        <f>'UHV FGD'!$Q$36</f>
        <v>Balanced</v>
      </c>
      <c r="H28" s="1096" t="str">
        <f>'UHV FGD'!$R$36</f>
        <v>Balanced</v>
      </c>
      <c r="I28" s="1132" t="str">
        <f>'UHV FGD'!$P$70</f>
        <v>Balanced</v>
      </c>
      <c r="J28" s="1096" t="str">
        <f>'UHV FGD'!$AB$72</f>
        <v>Balanced</v>
      </c>
    </row>
    <row r="29" spans="1:10" s="1110" customFormat="1" ht="15.75" thickBot="1">
      <c r="A29" s="1095">
        <v>270</v>
      </c>
      <c r="B29" s="1094" t="s">
        <v>215</v>
      </c>
      <c r="C29" s="1095" t="s">
        <v>326</v>
      </c>
      <c r="D29" s="1096" t="str">
        <f>'LU Sum'!$F$74</f>
        <v>Balanced</v>
      </c>
      <c r="E29" s="1098" t="str">
        <f>'LU FGD'!$M$102</f>
        <v>Balanced</v>
      </c>
      <c r="F29" s="1096" t="str">
        <f>'LU FGD'!$L$102</f>
        <v>Balanced</v>
      </c>
      <c r="G29" s="1096" t="str">
        <f>'LU FGD'!$Q$36</f>
        <v>Balanced</v>
      </c>
      <c r="H29" s="1096" t="str">
        <f>'LU FGD'!$R$36</f>
        <v>Balanced</v>
      </c>
      <c r="I29" s="1132" t="str">
        <f>'LU FGD'!$P$70</f>
        <v>Balanced</v>
      </c>
      <c r="J29" s="1096" t="str">
        <f>'LU FGD'!$AB$72</f>
        <v>Balanced</v>
      </c>
    </row>
    <row r="30" spans="1:10" s="1110" customFormat="1" ht="32.25" thickBot="1">
      <c r="A30" s="1095">
        <v>281</v>
      </c>
      <c r="B30" s="1131" t="s">
        <v>2247</v>
      </c>
      <c r="C30" s="1095" t="s">
        <v>2248</v>
      </c>
      <c r="D30" s="1096" t="str">
        <f>'shsu1 Sum'!$F$74</f>
        <v>Balanced</v>
      </c>
      <c r="E30" s="1098" t="str">
        <f>'shsu1 FGD'!$M$102</f>
        <v>Balanced</v>
      </c>
      <c r="F30" s="1096" t="str">
        <f>'shsu1 FGD'!$L$102</f>
        <v>Balanced</v>
      </c>
      <c r="G30" s="1096" t="str">
        <f>'shsu1 FGD'!$Q$36</f>
        <v>Balanced</v>
      </c>
      <c r="H30" s="1096" t="str">
        <f>'shsu1 FGD'!$R$36</f>
        <v>Balanced</v>
      </c>
      <c r="I30" s="1132" t="str">
        <f>'shsu1 FGD'!$P$70</f>
        <v>Balanced</v>
      </c>
      <c r="J30" s="1096" t="str">
        <f>'shsu1 FGD'!$AB$72</f>
        <v>Balanced</v>
      </c>
    </row>
    <row r="31" spans="1:10" s="1110" customFormat="1" ht="15.75" thickBot="1">
      <c r="A31" s="1095">
        <v>290</v>
      </c>
      <c r="B31" s="1094" t="s">
        <v>1273</v>
      </c>
      <c r="C31" s="1095" t="s">
        <v>328</v>
      </c>
      <c r="D31" s="1096" t="str">
        <f>'TXST Sum'!$F$74</f>
        <v>Balanced</v>
      </c>
      <c r="E31" s="1098" t="str">
        <f>'TXST FGD'!$M$102</f>
        <v>Balanced</v>
      </c>
      <c r="F31" s="1096" t="str">
        <f>'TXST FGD'!$L$102</f>
        <v>Balanced</v>
      </c>
      <c r="G31" s="1096" t="str">
        <f>'TXST FGD'!$Q$36</f>
        <v>Balanced</v>
      </c>
      <c r="H31" s="1096" t="str">
        <f>'TXST FGD'!$R$36</f>
        <v>Balanced</v>
      </c>
      <c r="I31" s="1132" t="str">
        <f>'TXST FGD'!$P$70</f>
        <v>Balanced</v>
      </c>
      <c r="J31" s="1096" t="str">
        <f>'TXST FGD'!$AB$72</f>
        <v>Balanced</v>
      </c>
    </row>
    <row r="32" spans="1:10" s="1110" customFormat="1" ht="15.75" thickBot="1">
      <c r="A32" s="1095">
        <v>300</v>
      </c>
      <c r="B32" s="1094" t="s">
        <v>120</v>
      </c>
      <c r="C32" s="1095" t="s">
        <v>329</v>
      </c>
      <c r="D32" s="1096" t="str">
        <f>'SRSU Sum'!$F$74</f>
        <v>Balanced</v>
      </c>
      <c r="E32" s="1098" t="str">
        <f>'SRSU FGD'!$M$102</f>
        <v>Balanced</v>
      </c>
      <c r="F32" s="1096" t="str">
        <f>'SRSU FGD'!$L$102</f>
        <v>Balanced</v>
      </c>
      <c r="G32" s="1096" t="str">
        <f>'SRSU FGD'!$Q$36</f>
        <v>Balanced</v>
      </c>
      <c r="H32" s="1096" t="str">
        <f>'SRSU FGD'!$R$36</f>
        <v>Balanced</v>
      </c>
      <c r="I32" s="1132" t="str">
        <f>'SRSU FGD'!$P$70</f>
        <v>Balanced</v>
      </c>
      <c r="J32" s="1096" t="str">
        <f>'SRSU FGD'!$AB$72</f>
        <v>Balanced</v>
      </c>
    </row>
    <row r="33" spans="1:10" s="1110" customFormat="1" ht="15.75" thickBot="1">
      <c r="A33" s="1095">
        <v>310</v>
      </c>
      <c r="B33" s="1094" t="s">
        <v>121</v>
      </c>
      <c r="C33" s="1095" t="s">
        <v>330</v>
      </c>
      <c r="D33" s="1096" t="str">
        <f>'TTU Sum'!$F$74</f>
        <v>Balanced</v>
      </c>
      <c r="E33" s="1098" t="str">
        <f>'TTU FGD'!$M$102</f>
        <v>Balanced</v>
      </c>
      <c r="F33" s="1096" t="str">
        <f>'TTU FGD'!$L$102</f>
        <v>Balanced</v>
      </c>
      <c r="G33" s="1096" t="str">
        <f>'TTU FGD'!$Q$36</f>
        <v>Balanced</v>
      </c>
      <c r="H33" s="1096" t="str">
        <f>'TTU FGD'!$R$36</f>
        <v>Balanced</v>
      </c>
      <c r="I33" s="1132" t="str">
        <f>'TTU FGD'!$P$70</f>
        <v>Balanced</v>
      </c>
      <c r="J33" s="1096" t="str">
        <f>'TTU FGD'!$AB$72</f>
        <v>Balanced</v>
      </c>
    </row>
    <row r="34" spans="1:10" s="1110" customFormat="1" ht="15.75" thickBot="1">
      <c r="A34" s="1095">
        <v>320</v>
      </c>
      <c r="B34" s="1094" t="s">
        <v>122</v>
      </c>
      <c r="C34" s="1095" t="s">
        <v>331</v>
      </c>
      <c r="D34" s="1096" t="str">
        <f>'ASU Sum'!$F$74</f>
        <v>Balanced</v>
      </c>
      <c r="E34" s="1098" t="str">
        <f>'ASU FGD'!$M$102</f>
        <v>Balanced</v>
      </c>
      <c r="F34" s="1096" t="str">
        <f>'ASU FGD'!$L$102</f>
        <v>Balanced</v>
      </c>
      <c r="G34" s="1096" t="str">
        <f>'ASU FGD'!$Q$36</f>
        <v>Balanced</v>
      </c>
      <c r="H34" s="1096" t="str">
        <f>'ASU FGD'!$R$36</f>
        <v>Balanced</v>
      </c>
      <c r="I34" s="1132" t="str">
        <f>'ASU FGD'!$P$70</f>
        <v>Balanced</v>
      </c>
      <c r="J34" s="1096" t="str">
        <f>'ASU FGD'!$AB$72</f>
        <v>Balanced</v>
      </c>
    </row>
    <row r="35" spans="1:10" s="1110" customFormat="1" ht="15.75" thickBot="1">
      <c r="A35" s="1095">
        <v>330</v>
      </c>
      <c r="B35" s="1094" t="s">
        <v>123</v>
      </c>
      <c r="C35" s="1095" t="s">
        <v>332</v>
      </c>
      <c r="D35" s="1096" t="str">
        <f>'UNT Sum'!$F$74</f>
        <v>Balanced</v>
      </c>
      <c r="E35" s="1098" t="str">
        <f>'UNT FGD'!$M$102</f>
        <v>Balanced</v>
      </c>
      <c r="F35" s="1096" t="str">
        <f>'UNT FGD'!$L$102</f>
        <v>Balanced</v>
      </c>
      <c r="G35" s="1096" t="str">
        <f>'UNT FGD'!$Q$36</f>
        <v>Balanced</v>
      </c>
      <c r="H35" s="1096" t="str">
        <f>'UNT FGD'!$R$36</f>
        <v>Balanced</v>
      </c>
      <c r="I35" s="1132" t="str">
        <f>'UNT FGD'!$P$70</f>
        <v>Balanced</v>
      </c>
      <c r="J35" s="1096" t="str">
        <f>'UNT FGD'!$AB$72</f>
        <v>Balanced</v>
      </c>
    </row>
    <row r="36" spans="1:10" s="1110" customFormat="1" ht="15.75" thickBot="1">
      <c r="A36" s="1095">
        <v>333</v>
      </c>
      <c r="B36" s="1133" t="s">
        <v>270</v>
      </c>
      <c r="C36" s="1095" t="s">
        <v>333</v>
      </c>
      <c r="D36" s="1096" t="str">
        <f>'UNTD Sum'!$F$74</f>
        <v>Balanced</v>
      </c>
      <c r="E36" s="1098" t="str">
        <f>'UNTD FGD'!$M$102</f>
        <v>Balanced</v>
      </c>
      <c r="F36" s="1096" t="str">
        <f>'UNTD FGD'!$L$102</f>
        <v>Balanced</v>
      </c>
      <c r="G36" s="1096" t="str">
        <f>'UNTD FGD'!$Q$36</f>
        <v>Balanced</v>
      </c>
      <c r="H36" s="1096" t="str">
        <f>'UNTD FGD'!$R$36</f>
        <v>Balanced</v>
      </c>
      <c r="I36" s="1132" t="str">
        <f>'UNTD FGD'!$P$70</f>
        <v>Balanced</v>
      </c>
      <c r="J36" s="1096" t="str">
        <f>'UNTD FGD'!$AB$72</f>
        <v>Balanced</v>
      </c>
    </row>
    <row r="37" spans="1:10" s="1110" customFormat="1" ht="15.75" thickBot="1">
      <c r="A37" s="1095">
        <v>340</v>
      </c>
      <c r="B37" s="1094" t="s">
        <v>124</v>
      </c>
      <c r="C37" s="1095" t="s">
        <v>334</v>
      </c>
      <c r="D37" s="1096" t="str">
        <f>'MidWST Sum'!$F$74</f>
        <v>Balanced</v>
      </c>
      <c r="E37" s="1098" t="str">
        <f>'MidWST FGD'!$M$102</f>
        <v>Balanced</v>
      </c>
      <c r="F37" s="1096" t="str">
        <f>'MidWST FGD'!$L$102</f>
        <v>Balanced</v>
      </c>
      <c r="G37" s="1096" t="str">
        <f>'MidWST FGD'!$Q$36</f>
        <v>Balanced</v>
      </c>
      <c r="H37" s="1096" t="str">
        <f>'MidWST FGD'!$R$36</f>
        <v>Balanced</v>
      </c>
      <c r="I37" s="1132" t="str">
        <f>'MidWST FGD'!$P$70</f>
        <v>Balanced</v>
      </c>
      <c r="J37" s="1096" t="str">
        <f>'MidWST FGD'!$AB$72</f>
        <v>Balanced</v>
      </c>
    </row>
    <row r="38" spans="1:10" s="1110" customFormat="1" ht="15.75" thickBot="1">
      <c r="A38" s="1095">
        <v>350</v>
      </c>
      <c r="B38" s="1094" t="s">
        <v>125</v>
      </c>
      <c r="C38" s="1095" t="s">
        <v>335</v>
      </c>
      <c r="D38" s="1096" t="str">
        <f>'SFA Sum'!$F$74</f>
        <v>Balanced</v>
      </c>
      <c r="E38" s="1098" t="str">
        <f>'SFA FGD'!$M$102</f>
        <v>Balanced</v>
      </c>
      <c r="F38" s="1096" t="str">
        <f>'SFA FGD'!$L$102</f>
        <v>Balanced</v>
      </c>
      <c r="G38" s="1096" t="str">
        <f>'SFA FGD'!$Q$36</f>
        <v>Balanced</v>
      </c>
      <c r="H38" s="1096" t="str">
        <f>'SFA FGD'!$R$36</f>
        <v>Balanced</v>
      </c>
      <c r="I38" s="1132" t="str">
        <f>'SFA FGD'!$P$70</f>
        <v>Balanced</v>
      </c>
      <c r="J38" s="1096" t="str">
        <f>'SFA FGD'!$AB$72</f>
        <v>Balanced</v>
      </c>
    </row>
    <row r="39" spans="1:10" s="1110" customFormat="1" ht="15.75" thickBot="1">
      <c r="A39" s="1095">
        <v>360</v>
      </c>
      <c r="B39" s="1094" t="s">
        <v>126</v>
      </c>
      <c r="C39" s="1095" t="s">
        <v>336</v>
      </c>
      <c r="D39" s="1096" t="str">
        <f>'TSU Sum'!$F$74</f>
        <v>Balanced</v>
      </c>
      <c r="E39" s="1098" t="str">
        <f>'TSU FGD'!$M$102</f>
        <v>Balanced</v>
      </c>
      <c r="F39" s="1096" t="str">
        <f>'TSU FGD'!$L$102</f>
        <v>Balanced</v>
      </c>
      <c r="G39" s="1096" t="str">
        <f>'TSU FGD'!$Q$36</f>
        <v>Balanced</v>
      </c>
      <c r="H39" s="1096" t="str">
        <f>'TSU FGD'!$R$36</f>
        <v>Balanced</v>
      </c>
      <c r="I39" s="1132" t="str">
        <f>'TSU FGD'!$P$70</f>
        <v>Balanced</v>
      </c>
      <c r="J39" s="1096" t="str">
        <f>'TSU FGD'!$AB$72</f>
        <v>Balanced</v>
      </c>
    </row>
    <row r="40" spans="1:10" s="1110" customFormat="1" ht="15.75" thickBot="1">
      <c r="A40" s="1095">
        <v>370</v>
      </c>
      <c r="B40" s="1094" t="s">
        <v>127</v>
      </c>
      <c r="C40" s="1095" t="s">
        <v>337</v>
      </c>
      <c r="D40" s="1096" t="str">
        <f>'TWU Sum'!$F$74</f>
        <v>Balanced</v>
      </c>
      <c r="E40" s="1098" t="str">
        <f>'TWU FGD'!$M$102</f>
        <v>Balanced</v>
      </c>
      <c r="F40" s="1096" t="str">
        <f>'TWU FGD'!$L$102</f>
        <v>Balanced</v>
      </c>
      <c r="G40" s="1096" t="str">
        <f>'TWU FGD'!$Q$36</f>
        <v>Balanced</v>
      </c>
      <c r="H40" s="1096" t="str">
        <f>'TWU FGD'!$R$36</f>
        <v>Balanced</v>
      </c>
      <c r="I40" s="1132" t="str">
        <f>'TWU FGD'!$P$70</f>
        <v>Balanced</v>
      </c>
      <c r="J40" s="1096" t="str">
        <f>'TWU FGD'!$AB$72</f>
        <v>Balanced</v>
      </c>
    </row>
    <row r="41" spans="1:10" s="1110" customFormat="1" ht="16.5" thickBot="1">
      <c r="A41" s="1134">
        <f>COUNT(A4:A40)</f>
        <v>36</v>
      </c>
      <c r="B41" s="1094"/>
      <c r="C41" s="1095"/>
    </row>
    <row r="42" spans="1:10" s="1110" customFormat="1">
      <c r="A42" s="1096"/>
    </row>
    <row r="43" spans="1:10" s="1110" customFormat="1">
      <c r="A43" s="1096"/>
    </row>
    <row r="44" spans="1:10" s="1110" customFormat="1">
      <c r="A44" s="1096"/>
    </row>
    <row r="45" spans="1:10" s="1110" customFormat="1">
      <c r="A45" s="1096"/>
    </row>
    <row r="46" spans="1:10" s="1110" customFormat="1">
      <c r="A46" s="1096"/>
    </row>
    <row r="47" spans="1:10" s="1110" customFormat="1" ht="32.25" thickBot="1">
      <c r="A47" s="1095">
        <v>50</v>
      </c>
      <c r="B47" s="1131" t="s">
        <v>1377</v>
      </c>
      <c r="C47" s="1095" t="s">
        <v>302</v>
      </c>
      <c r="D47" s="1096" t="str">
        <f>'AUS Sum'!$F$81</f>
        <v>Balanced</v>
      </c>
      <c r="E47" s="1098" t="str">
        <f>'AUS FGD'!$M$109</f>
        <v>Balanced</v>
      </c>
      <c r="F47" s="1096" t="str">
        <f>'AUS FGD'!$L$109</f>
        <v>Balanced</v>
      </c>
      <c r="G47" s="1096" t="str">
        <f>'AUS FGD'!$Q$36</f>
        <v>Balanced</v>
      </c>
      <c r="H47" s="1096" t="str">
        <f>'AUS FGD'!$R$36</f>
        <v>Balanced</v>
      </c>
      <c r="I47" s="1132" t="str">
        <f>'AUS FGD'!$P$77</f>
        <v>Balanced</v>
      </c>
      <c r="J47" s="1096" t="str">
        <f>'AUS FGD'!$AB$79</f>
        <v>Balanced</v>
      </c>
    </row>
    <row r="48" spans="1:10" s="1110" customFormat="1" ht="32.25" thickBot="1">
      <c r="A48" s="1095">
        <v>90</v>
      </c>
      <c r="B48" s="1131" t="s">
        <v>1378</v>
      </c>
      <c r="C48" s="1095" t="s">
        <v>1379</v>
      </c>
      <c r="D48" s="1096" t="str">
        <f>'RGV Sum'!$F$81</f>
        <v>Balanced</v>
      </c>
      <c r="E48" s="1098" t="str">
        <f>'RGV FGD'!$M$109</f>
        <v>Balanced</v>
      </c>
      <c r="F48" s="1096" t="str">
        <f>'RGV FGD'!$L$109</f>
        <v>Balanced</v>
      </c>
      <c r="G48" s="1096" t="str">
        <f>'RGV FGD'!$Q$36</f>
        <v>Balanced</v>
      </c>
      <c r="H48" s="1096" t="str">
        <f>'RGV FGD'!$R$36</f>
        <v>Balanced</v>
      </c>
      <c r="I48" s="1132" t="str">
        <f>'RGV FGD'!$P$77</f>
        <v>Balanced</v>
      </c>
      <c r="J48" s="1096" t="str">
        <f>'RGV FGD'!$AB$79</f>
        <v>Balanced</v>
      </c>
    </row>
    <row r="49" spans="1:10" ht="33" customHeight="1" thickBot="1">
      <c r="A49" s="1095">
        <v>230</v>
      </c>
      <c r="B49" s="1131" t="s">
        <v>2243</v>
      </c>
      <c r="C49" s="1095" t="s">
        <v>322</v>
      </c>
      <c r="D49" s="1096" t="str">
        <f>'UH Sum'!$F$81</f>
        <v>Balanced</v>
      </c>
      <c r="E49" s="1098" t="str">
        <f>'UH FGD'!$M$109</f>
        <v>Balanced</v>
      </c>
      <c r="F49" s="1096" t="str">
        <f>'UH FGD'!$L$109</f>
        <v>Balanced</v>
      </c>
      <c r="G49" s="1096" t="str">
        <f>'UH FGD'!$Q$36</f>
        <v>Balanced</v>
      </c>
      <c r="H49" s="1096" t="str">
        <f>'UH FGD'!$R$36</f>
        <v>Balanced</v>
      </c>
      <c r="I49" s="1132" t="str">
        <f>'UH FGD'!$P$77</f>
        <v>Balanced</v>
      </c>
      <c r="J49" s="1096" t="str">
        <f>'UH FGD'!$AB$79</f>
        <v>Balanced</v>
      </c>
    </row>
    <row r="50" spans="1:10" ht="32.25" thickBot="1">
      <c r="A50" s="1095">
        <v>280</v>
      </c>
      <c r="B50" s="1131" t="s">
        <v>2246</v>
      </c>
      <c r="C50" s="1095" t="s">
        <v>327</v>
      </c>
      <c r="D50" s="1096" t="str">
        <f>'Shsu Sum'!$F$81</f>
        <v>Balanced</v>
      </c>
      <c r="E50" s="1098" t="str">
        <f>'Shsu FGD'!$M$109</f>
        <v>Balanced</v>
      </c>
      <c r="F50" s="1096" t="str">
        <f>'Shsu FGD'!$L$109</f>
        <v>Balanced</v>
      </c>
      <c r="G50" s="1096" t="str">
        <f>'Shsu FGD'!$Q$36</f>
        <v>Balanced</v>
      </c>
      <c r="H50" s="1096" t="str">
        <f>'Shsu FGD'!$R$36</f>
        <v>Balanced</v>
      </c>
      <c r="I50" s="1132" t="str">
        <f>'Shsu FGD'!$P$77</f>
        <v>Balanced</v>
      </c>
      <c r="J50" s="1096" t="str">
        <f>'Shsu FGD'!$AB$79</f>
        <v>Balanced</v>
      </c>
    </row>
  </sheetData>
  <hyperlinks>
    <hyperlink ref="I1" location="Index!A1" display="Return to Index" xr:uid="{00000000-0004-0000-BE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4"/>
  <sheetViews>
    <sheetView showGridLines="0" workbookViewId="0">
      <pane ySplit="7" topLeftCell="A8" activePane="bottomLeft" state="frozen"/>
      <selection activeCell="F74" sqref="E74:F74"/>
      <selection pane="bottomLeft" activeCell="I63" sqref="I63"/>
    </sheetView>
  </sheetViews>
  <sheetFormatPr defaultColWidth="9.140625" defaultRowHeight="12.75"/>
  <cols>
    <col min="1" max="1" width="9.140625" style="938"/>
    <col min="2" max="2" width="44.85546875" style="938" customWidth="1"/>
    <col min="3" max="3" width="11.28515625" style="938" customWidth="1"/>
    <col min="4" max="4" width="17.28515625" customWidth="1"/>
    <col min="5" max="5" width="9.140625" style="938"/>
    <col min="6" max="6" width="16.28515625" style="938" customWidth="1"/>
    <col min="7" max="7" width="19.7109375" style="938" customWidth="1"/>
    <col min="8" max="16384" width="9.140625" style="938"/>
  </cols>
  <sheetData>
    <row r="1" spans="1:9" ht="13.5" thickBot="1">
      <c r="A1" s="937" t="s">
        <v>1253</v>
      </c>
      <c r="D1" s="938"/>
      <c r="E1" s="976" t="s">
        <v>1200</v>
      </c>
      <c r="F1" s="977"/>
    </row>
    <row r="2" spans="1:9">
      <c r="A2" s="939" t="s">
        <v>1284</v>
      </c>
      <c r="D2" s="938"/>
      <c r="F2" s="977"/>
      <c r="G2"/>
    </row>
    <row r="3" spans="1:9">
      <c r="A3" s="939" t="s">
        <v>1254</v>
      </c>
      <c r="D3" s="938"/>
      <c r="G3"/>
    </row>
    <row r="4" spans="1:9">
      <c r="D4" s="940" t="s">
        <v>2377</v>
      </c>
      <c r="F4" s="977"/>
      <c r="G4"/>
    </row>
    <row r="5" spans="1:9">
      <c r="D5" s="938"/>
      <c r="F5" s="977"/>
      <c r="G5"/>
    </row>
    <row r="6" spans="1:9">
      <c r="D6" s="941" t="s">
        <v>1189</v>
      </c>
      <c r="F6" s="12"/>
      <c r="G6"/>
    </row>
    <row r="7" spans="1:9" ht="25.5">
      <c r="A7" s="123" t="s">
        <v>1123</v>
      </c>
      <c r="B7" s="118"/>
      <c r="C7" s="106" t="s">
        <v>132</v>
      </c>
      <c r="D7" s="995" t="s">
        <v>1291</v>
      </c>
    </row>
    <row r="8" spans="1:9" s="939" customFormat="1">
      <c r="A8" s="480">
        <v>40</v>
      </c>
      <c r="B8" s="53" t="s">
        <v>219</v>
      </c>
      <c r="C8" s="1000">
        <v>3656</v>
      </c>
      <c r="D8" s="127">
        <f>'ARL FGD'!$D$44+'ARL FGD'!$E$44</f>
        <v>333494337</v>
      </c>
    </row>
    <row r="9" spans="1:9" s="939" customFormat="1">
      <c r="A9" s="480">
        <v>51</v>
      </c>
      <c r="B9" s="1130" t="s">
        <v>1405</v>
      </c>
      <c r="C9" s="1000">
        <v>3658</v>
      </c>
      <c r="D9" s="664">
        <f>'AUS1 FGD'!$D$44+'AUS1 FGD'!$E$44</f>
        <v>487004378</v>
      </c>
    </row>
    <row r="10" spans="1:9" s="939" customFormat="1">
      <c r="A10" s="480">
        <v>60</v>
      </c>
      <c r="B10" s="53" t="s">
        <v>96</v>
      </c>
      <c r="C10" s="1000">
        <v>9741</v>
      </c>
      <c r="D10" s="131">
        <f>'DAL FGD'!$D$44+'DAL FGD'!$E$44</f>
        <v>279071910</v>
      </c>
    </row>
    <row r="11" spans="1:9" s="939" customFormat="1">
      <c r="A11" s="480">
        <v>70</v>
      </c>
      <c r="B11" s="53" t="s">
        <v>97</v>
      </c>
      <c r="C11" s="1000">
        <v>3661</v>
      </c>
      <c r="D11" s="131">
        <f>'E-P FGD'!$D$44+'E-P FGD'!$E$44</f>
        <v>140269683</v>
      </c>
      <c r="I11" s="938"/>
    </row>
    <row r="12" spans="1:9" s="939" customFormat="1">
      <c r="A12" s="480"/>
      <c r="B12" s="53" t="s">
        <v>98</v>
      </c>
      <c r="C12" s="1000"/>
      <c r="D12" s="131"/>
      <c r="I12" s="938"/>
    </row>
    <row r="13" spans="1:9" s="939" customFormat="1">
      <c r="A13" s="480">
        <v>91</v>
      </c>
      <c r="B13" s="116" t="s">
        <v>1406</v>
      </c>
      <c r="C13" s="1000">
        <v>3599</v>
      </c>
      <c r="D13" s="131">
        <f>'RGV1 FGD'!$D$44+'RGV1 FGD'!$E$44</f>
        <v>127994340</v>
      </c>
      <c r="F13" s="939" t="s">
        <v>2480</v>
      </c>
    </row>
    <row r="14" spans="1:9" s="939" customFormat="1">
      <c r="A14" s="480"/>
      <c r="B14" s="105" t="s">
        <v>2177</v>
      </c>
      <c r="C14" s="1000"/>
      <c r="D14" s="131"/>
    </row>
    <row r="15" spans="1:9" s="939" customFormat="1">
      <c r="A15" s="480">
        <v>100</v>
      </c>
      <c r="B15" s="53" t="s">
        <v>100</v>
      </c>
      <c r="C15" s="1000">
        <v>9930</v>
      </c>
      <c r="D15" s="131">
        <f>'P-B FGD'!$D$44+'P-B FGD'!$E$44</f>
        <v>29564335</v>
      </c>
    </row>
    <row r="16" spans="1:9" s="939" customFormat="1">
      <c r="A16" s="480">
        <v>110</v>
      </c>
      <c r="B16" s="53" t="s">
        <v>101</v>
      </c>
      <c r="C16" s="1000">
        <v>10115</v>
      </c>
      <c r="D16" s="131">
        <f>'S-A FGD'!$D$44+'S-A FGD'!$E$44</f>
        <v>228192154</v>
      </c>
      <c r="I16" s="938"/>
    </row>
    <row r="17" spans="1:9" s="939" customFormat="1">
      <c r="A17" s="480">
        <v>120</v>
      </c>
      <c r="B17" s="53" t="s">
        <v>102</v>
      </c>
      <c r="C17" s="1000">
        <v>11163</v>
      </c>
      <c r="D17" s="131">
        <f>'TYL FGD'!$D$44+'TYL FGD'!$E$44</f>
        <v>52273469</v>
      </c>
    </row>
    <row r="18" spans="1:9" s="939" customFormat="1">
      <c r="A18" s="480">
        <v>130</v>
      </c>
      <c r="B18" s="53" t="s">
        <v>103</v>
      </c>
      <c r="C18" s="1000">
        <v>3632</v>
      </c>
      <c r="D18" s="131">
        <f>'TAMU FGD'!$D$44+'TAMU FGD'!$E$44</f>
        <v>647717317</v>
      </c>
    </row>
    <row r="19" spans="1:9" s="939" customFormat="1">
      <c r="A19" s="480">
        <v>140</v>
      </c>
      <c r="B19" s="53" t="s">
        <v>106</v>
      </c>
      <c r="C19" s="1000">
        <v>10298</v>
      </c>
      <c r="D19" s="131">
        <f>'TAMUG FGD'!$D$44+'TAMUG FGD'!$E$44</f>
        <v>21292132</v>
      </c>
    </row>
    <row r="20" spans="1:9" s="939" customFormat="1">
      <c r="A20" s="480">
        <v>150</v>
      </c>
      <c r="B20" s="53" t="s">
        <v>107</v>
      </c>
      <c r="C20" s="1000">
        <v>3630</v>
      </c>
      <c r="D20" s="131">
        <f>'PVAMU FGD'!$D$44+'PVAMU FGD'!$E$44</f>
        <v>56375556</v>
      </c>
    </row>
    <row r="21" spans="1:9" s="939" customFormat="1">
      <c r="A21" s="480">
        <v>160</v>
      </c>
      <c r="B21" s="53" t="s">
        <v>108</v>
      </c>
      <c r="C21" s="1000">
        <v>3631</v>
      </c>
      <c r="D21" s="131">
        <f>'TARLST FGD'!$D$44+'TARLST FGD'!$E$44</f>
        <v>83522505</v>
      </c>
    </row>
    <row r="22" spans="1:9" s="939" customFormat="1">
      <c r="A22" s="480">
        <v>170</v>
      </c>
      <c r="B22" s="53" t="s">
        <v>109</v>
      </c>
      <c r="C22" s="1000">
        <v>11161</v>
      </c>
      <c r="D22" s="131">
        <f>'TAMUCC FGD'!$D$44+'TAMUCC FGD'!$E$44</f>
        <v>67622717</v>
      </c>
    </row>
    <row r="23" spans="1:9" s="939" customFormat="1">
      <c r="A23" s="480">
        <v>180</v>
      </c>
      <c r="B23" s="53" t="s">
        <v>110</v>
      </c>
      <c r="C23" s="1000">
        <v>3639</v>
      </c>
      <c r="D23" s="131">
        <f>'TAMUK FGD'!$D$44+'TAMUK FGD'!$E$44</f>
        <v>36565523</v>
      </c>
      <c r="I23"/>
    </row>
    <row r="24" spans="1:9" s="939" customFormat="1">
      <c r="A24" s="480">
        <v>190</v>
      </c>
      <c r="B24" s="53" t="s">
        <v>111</v>
      </c>
      <c r="C24" s="1000">
        <v>9651</v>
      </c>
      <c r="D24" s="131">
        <f>'TAMIU FGD'!$D$44+'TAMIU FGD'!$E$44</f>
        <v>31387508</v>
      </c>
    </row>
    <row r="25" spans="1:9" s="939" customFormat="1">
      <c r="A25" s="480">
        <v>200</v>
      </c>
      <c r="B25" s="56" t="s">
        <v>112</v>
      </c>
      <c r="C25" s="1001">
        <v>3665</v>
      </c>
      <c r="D25" s="644">
        <f>'WTAMU FGD'!$D$44+'WTAMU FGD'!$E$44</f>
        <v>51617523</v>
      </c>
      <c r="I25"/>
    </row>
    <row r="26" spans="1:9" s="939" customFormat="1">
      <c r="A26" s="480">
        <v>210</v>
      </c>
      <c r="B26" s="53" t="s">
        <v>113</v>
      </c>
      <c r="C26" s="1000">
        <v>3565</v>
      </c>
      <c r="D26" s="131">
        <f>'TAMUC FGD'!$D$44+'TAMUC FGD'!$E$44</f>
        <v>69123782</v>
      </c>
    </row>
    <row r="27" spans="1:9" s="939" customFormat="1">
      <c r="A27" s="480">
        <v>220</v>
      </c>
      <c r="B27" s="53" t="s">
        <v>114</v>
      </c>
      <c r="C27" s="1000">
        <v>29269</v>
      </c>
      <c r="D27" s="131">
        <f>'TAMUT FGD'!$D$44+'TAMUT FGD'!$E$44</f>
        <v>10626119</v>
      </c>
    </row>
    <row r="28" spans="1:9" s="939" customFormat="1">
      <c r="A28" s="480">
        <v>223</v>
      </c>
      <c r="B28" s="53" t="s">
        <v>271</v>
      </c>
      <c r="C28" s="1000">
        <v>42295</v>
      </c>
      <c r="D28" s="131">
        <f>'TAMUCT FGD'!$D$44+'TAMUCT FGD'!$E$44</f>
        <v>12659524</v>
      </c>
    </row>
    <row r="29" spans="1:9" s="939" customFormat="1">
      <c r="A29" s="480">
        <v>226</v>
      </c>
      <c r="B29" s="53" t="s">
        <v>272</v>
      </c>
      <c r="C29" s="1001">
        <v>42485</v>
      </c>
      <c r="D29" s="131">
        <f>'TAMUSA FGD'!$D$44+'TAMUSA FGD'!$E$44</f>
        <v>29865626</v>
      </c>
    </row>
    <row r="30" spans="1:9" s="939" customFormat="1">
      <c r="A30" s="1123">
        <v>231</v>
      </c>
      <c r="B30" s="116" t="s">
        <v>2259</v>
      </c>
      <c r="C30" s="1000">
        <v>3652</v>
      </c>
      <c r="D30" s="131">
        <f>'UH1 FGD'!$D$44+'UH1 FGD'!$E$44</f>
        <v>379222889</v>
      </c>
    </row>
    <row r="31" spans="1:9" s="939" customFormat="1">
      <c r="A31" s="480">
        <v>240</v>
      </c>
      <c r="B31" s="105" t="s">
        <v>116</v>
      </c>
      <c r="C31" s="1000">
        <v>11711</v>
      </c>
      <c r="D31" s="131">
        <f>'UHCL FGD'!$D$44+'UHCL FGD'!$E$44</f>
        <v>51356468</v>
      </c>
    </row>
    <row r="32" spans="1:9" s="939" customFormat="1">
      <c r="A32" s="480">
        <v>250</v>
      </c>
      <c r="B32" s="53" t="s">
        <v>117</v>
      </c>
      <c r="C32" s="1000">
        <v>12826</v>
      </c>
      <c r="D32" s="131">
        <f>'UHD FGD'!$D$44+'UHD FGD'!$E$44</f>
        <v>65776567</v>
      </c>
    </row>
    <row r="33" spans="1:9" s="939" customFormat="1">
      <c r="A33" s="480">
        <v>260</v>
      </c>
      <c r="B33" s="53" t="s">
        <v>118</v>
      </c>
      <c r="C33" s="1000">
        <v>13231</v>
      </c>
      <c r="D33" s="131">
        <f>'UHV FGD'!$D$44+'UHV FGD'!$E$44</f>
        <v>23365242</v>
      </c>
    </row>
    <row r="34" spans="1:9" s="939" customFormat="1">
      <c r="A34" s="480">
        <v>270</v>
      </c>
      <c r="B34" s="53" t="s">
        <v>215</v>
      </c>
      <c r="C34" s="1000">
        <v>3581</v>
      </c>
      <c r="D34" s="131">
        <f>'LU FGD'!$D$44+'LU FGD'!$E$44</f>
        <v>105644394</v>
      </c>
    </row>
    <row r="35" spans="1:9" s="939" customFormat="1">
      <c r="A35" s="1123">
        <v>281</v>
      </c>
      <c r="B35" s="116" t="s">
        <v>2260</v>
      </c>
      <c r="C35" s="1000">
        <v>3606</v>
      </c>
      <c r="D35" s="131">
        <f>'shsu1 FGD'!$D$44+'shsu1 FGD'!$E$44</f>
        <v>166246272</v>
      </c>
    </row>
    <row r="36" spans="1:9" s="939" customFormat="1">
      <c r="A36" s="480">
        <v>290</v>
      </c>
      <c r="B36" s="53" t="s">
        <v>1289</v>
      </c>
      <c r="C36" s="1000">
        <v>3615</v>
      </c>
      <c r="D36" s="131">
        <f>'TXST FGD'!$D$44+'TXST FGD'!$E$44</f>
        <v>242535976</v>
      </c>
    </row>
    <row r="37" spans="1:9" s="939" customFormat="1">
      <c r="A37" s="480">
        <v>300</v>
      </c>
      <c r="B37" s="53" t="s">
        <v>1239</v>
      </c>
      <c r="C37" s="1000">
        <v>3625</v>
      </c>
      <c r="D37" s="131">
        <f>'SRSU FGD'!$D$44+'SRSU FGD'!$E$44</f>
        <v>9678587</v>
      </c>
    </row>
    <row r="38" spans="1:9" s="939" customFormat="1">
      <c r="A38" s="480">
        <v>310</v>
      </c>
      <c r="B38" s="53" t="s">
        <v>121</v>
      </c>
      <c r="C38" s="1000">
        <v>3644</v>
      </c>
      <c r="D38" s="131">
        <f>'TTU FGD'!$D$44+'TTU FGD'!$E$44</f>
        <v>352858285</v>
      </c>
    </row>
    <row r="39" spans="1:9" s="939" customFormat="1">
      <c r="A39" s="480">
        <v>320</v>
      </c>
      <c r="B39" s="53" t="s">
        <v>122</v>
      </c>
      <c r="C39" s="1000">
        <v>3541</v>
      </c>
      <c r="D39" s="131">
        <f>'ASU FGD'!$D$44+'ASU FGD'!$E$44</f>
        <v>38091980</v>
      </c>
    </row>
    <row r="40" spans="1:9" s="939" customFormat="1">
      <c r="A40" s="480">
        <v>330</v>
      </c>
      <c r="B40" s="53" t="s">
        <v>123</v>
      </c>
      <c r="C40" s="1000">
        <v>3594</v>
      </c>
      <c r="D40" s="131">
        <f>'UNT FGD'!$D$44+'UNT FGD'!$E$44</f>
        <v>346350615</v>
      </c>
    </row>
    <row r="41" spans="1:9" s="939" customFormat="1">
      <c r="A41" s="480">
        <v>333</v>
      </c>
      <c r="B41" s="56" t="s">
        <v>270</v>
      </c>
      <c r="C41" s="1001">
        <v>42421</v>
      </c>
      <c r="D41" s="131">
        <f>'UNTD FGD'!$D$44+'UNTD FGD'!$E$44</f>
        <v>30361512</v>
      </c>
    </row>
    <row r="42" spans="1:9" s="939" customFormat="1">
      <c r="A42" s="480">
        <v>340</v>
      </c>
      <c r="B42" s="53" t="s">
        <v>124</v>
      </c>
      <c r="C42" s="1000">
        <v>3592</v>
      </c>
      <c r="D42" s="131">
        <f>'MidWST FGD'!$D$44+'MidWST FGD'!$E$44</f>
        <v>33535775</v>
      </c>
      <c r="I42" s="938"/>
    </row>
    <row r="43" spans="1:9" s="939" customFormat="1">
      <c r="A43" s="480">
        <v>350</v>
      </c>
      <c r="B43" s="53" t="s">
        <v>125</v>
      </c>
      <c r="C43" s="1000">
        <v>3624</v>
      </c>
      <c r="D43" s="131">
        <f>'SFA FGD'!$D$44+'SFA FGD'!$E$44</f>
        <v>76274030</v>
      </c>
    </row>
    <row r="44" spans="1:9" s="939" customFormat="1">
      <c r="A44" s="480">
        <v>360</v>
      </c>
      <c r="B44" s="53" t="s">
        <v>126</v>
      </c>
      <c r="C44" s="1000">
        <v>3642</v>
      </c>
      <c r="D44" s="131">
        <f>'TSU FGD'!$D$44+'TSU FGD'!$E$44</f>
        <v>48520382</v>
      </c>
    </row>
    <row r="45" spans="1:9" s="939" customFormat="1">
      <c r="A45" s="480">
        <v>370</v>
      </c>
      <c r="B45" s="133" t="s">
        <v>127</v>
      </c>
      <c r="C45" s="1002">
        <v>3646</v>
      </c>
      <c r="D45" s="131">
        <f>'TWU FGD'!$D$44+'TWU FGD'!$E$44</f>
        <v>89161334</v>
      </c>
    </row>
    <row r="46" spans="1:9" s="939" customFormat="1" ht="13.5" thickBot="1">
      <c r="A46" s="139"/>
      <c r="B46" s="140" t="s">
        <v>207</v>
      </c>
      <c r="C46" s="139">
        <f>COUNTA(C8:C45)</f>
        <v>36</v>
      </c>
      <c r="D46" s="978">
        <f>SUM(D8:D45)</f>
        <v>4855220746</v>
      </c>
    </row>
    <row r="47" spans="1:9" s="939" customFormat="1" ht="13.5" thickTop="1"/>
    <row r="48" spans="1:9" s="939" customFormat="1">
      <c r="A48" s="210"/>
      <c r="B48" s="73"/>
      <c r="C48" s="210"/>
      <c r="D48" s="31"/>
    </row>
    <row r="49" spans="1:9">
      <c r="I49" s="939"/>
    </row>
    <row r="50" spans="1:9">
      <c r="B50" s="264" t="s">
        <v>1255</v>
      </c>
      <c r="C50" s="1368">
        <f>SUM(C8:C45)</f>
        <v>345995</v>
      </c>
      <c r="D50" s="360">
        <f>'Smmy FGD'!D1160+'Smmy FGD'!E1160</f>
        <v>4855220746</v>
      </c>
      <c r="E50"/>
      <c r="F50" s="977"/>
      <c r="G50"/>
      <c r="I50" s="939"/>
    </row>
    <row r="51" spans="1:9">
      <c r="B51" s="264" t="s">
        <v>238</v>
      </c>
      <c r="C51" s="1368"/>
      <c r="D51" s="360">
        <f>D46-D50</f>
        <v>0</v>
      </c>
      <c r="E51"/>
      <c r="F51" s="977"/>
      <c r="G51"/>
      <c r="I51" s="939"/>
    </row>
    <row r="52" spans="1:9">
      <c r="C52" s="938">
        <f>Names!$I$74</f>
        <v>0</v>
      </c>
      <c r="D52" s="938"/>
      <c r="F52" s="977"/>
      <c r="G52"/>
      <c r="I52" s="939"/>
    </row>
    <row r="53" spans="1:9" ht="38.25">
      <c r="C53" s="1368">
        <f>C50-C52</f>
        <v>345995</v>
      </c>
      <c r="D53" s="938"/>
      <c r="F53" s="996" t="s">
        <v>1292</v>
      </c>
      <c r="G53" s="997" t="s">
        <v>1288</v>
      </c>
      <c r="H53"/>
      <c r="I53" s="939"/>
    </row>
    <row r="54" spans="1:9" customFormat="1">
      <c r="A54" s="960" t="s">
        <v>1264</v>
      </c>
      <c r="C54" s="938"/>
      <c r="G54" s="12"/>
      <c r="I54" s="939"/>
    </row>
    <row r="55" spans="1:9" customFormat="1">
      <c r="B55" s="264" t="s">
        <v>1286</v>
      </c>
      <c r="C55" s="938"/>
      <c r="D55" s="360">
        <f>'Smmy FGD'!D455+'Smmy FGD'!E455</f>
        <v>5149453453</v>
      </c>
      <c r="F55" s="360">
        <f>D55</f>
        <v>5149453453</v>
      </c>
      <c r="G55" s="12"/>
      <c r="I55" s="938"/>
    </row>
    <row r="56" spans="1:9" customFormat="1">
      <c r="B56" s="264" t="s">
        <v>1285</v>
      </c>
      <c r="C56" s="938"/>
      <c r="D56" s="360">
        <f>'Smmy FGD'!D677+'Smmy FGD'!E677</f>
        <v>3675491487</v>
      </c>
      <c r="G56" s="360">
        <f>D55-D56</f>
        <v>1473961966</v>
      </c>
      <c r="H56" s="938"/>
    </row>
    <row r="57" spans="1:9" customFormat="1">
      <c r="C57" s="938"/>
      <c r="H57" s="938"/>
    </row>
    <row r="58" spans="1:9" customFormat="1">
      <c r="B58" s="264" t="s">
        <v>1287</v>
      </c>
      <c r="C58" s="938"/>
      <c r="D58" s="360">
        <f>'Smmy FGD'!D900+'Smmy FGD'!E900</f>
        <v>1683060110</v>
      </c>
      <c r="F58" s="360">
        <f>D58</f>
        <v>1683060110</v>
      </c>
      <c r="H58" s="938"/>
    </row>
    <row r="59" spans="1:9" customFormat="1">
      <c r="B59" s="264" t="s">
        <v>1265</v>
      </c>
      <c r="C59" s="938"/>
      <c r="D59" s="360">
        <f>'Smmy FGD'!D1122+'Smmy FGD'!E1122</f>
        <v>1179729259</v>
      </c>
      <c r="G59" s="361">
        <f>D58-D59</f>
        <v>503330851</v>
      </c>
      <c r="H59" s="938"/>
    </row>
    <row r="60" spans="1:9" customFormat="1" ht="13.5" thickBot="1">
      <c r="B60" s="960" t="s">
        <v>218</v>
      </c>
      <c r="C60" s="938"/>
      <c r="D60" s="360">
        <f>D59+D56-D50</f>
        <v>0</v>
      </c>
      <c r="F60" s="979">
        <f>SUM(F55:F59)</f>
        <v>6832513563</v>
      </c>
      <c r="G60" s="979">
        <f>SUM(G56:G59)</f>
        <v>1977292817</v>
      </c>
      <c r="H60" s="938"/>
      <c r="I60" s="264" t="s">
        <v>1293</v>
      </c>
    </row>
    <row r="62" spans="1:9">
      <c r="B62" s="938" t="s">
        <v>2365</v>
      </c>
      <c r="D62" s="360">
        <f>'Smmy FGD'!F900+'Smmy FGD'!G900</f>
        <v>479433721</v>
      </c>
      <c r="F62" s="360">
        <f>D62</f>
        <v>479433721</v>
      </c>
      <c r="I62" s="938" t="s">
        <v>2480</v>
      </c>
    </row>
    <row r="63" spans="1:9">
      <c r="B63" s="938" t="s">
        <v>2366</v>
      </c>
      <c r="D63" s="360">
        <f>'Smmy FGD'!F1122+'Smmy FGD'!G1122</f>
        <v>349524457</v>
      </c>
      <c r="G63" s="1560">
        <f>D62-D63</f>
        <v>129909264</v>
      </c>
    </row>
    <row r="64" spans="1:9">
      <c r="F64" t="s">
        <v>1283</v>
      </c>
    </row>
  </sheetData>
  <sortState xmlns:xlrd2="http://schemas.microsoft.com/office/spreadsheetml/2017/richdata2" ref="I8:I55">
    <sortCondition ref="I8:I55"/>
  </sortState>
  <hyperlinks>
    <hyperlink ref="E1" location="Index!A1" display="Return to Index" xr:uid="{00000000-0004-0000-0100-000000000000}"/>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46"/>
  <sheetViews>
    <sheetView showGridLines="0" workbookViewId="0">
      <pane ySplit="7" topLeftCell="A23" activePane="bottomLeft" state="frozen"/>
      <selection activeCell="E74" sqref="E74:F74"/>
      <selection pane="bottomLeft" activeCell="G10" sqref="G10"/>
    </sheetView>
  </sheetViews>
  <sheetFormatPr defaultColWidth="9.140625" defaultRowHeight="12.75"/>
  <cols>
    <col min="1" max="1" width="5" style="938" customWidth="1"/>
    <col min="2" max="2" width="11.28515625" style="938" customWidth="1"/>
    <col min="3" max="3" width="48.85546875" style="938" customWidth="1"/>
    <col min="4" max="4" width="17.28515625" style="938" customWidth="1"/>
    <col min="5" max="5" width="16.140625" style="938" customWidth="1"/>
    <col min="6" max="6" width="4.5703125" style="938" customWidth="1"/>
    <col min="7" max="7" width="19.7109375" style="938" customWidth="1"/>
    <col min="8" max="16384" width="9.140625" style="938"/>
  </cols>
  <sheetData>
    <row r="1" spans="1:9" ht="13.5" thickBot="1">
      <c r="A1" s="937"/>
      <c r="D1" s="814" t="s">
        <v>131</v>
      </c>
      <c r="H1" s="976" t="s">
        <v>1200</v>
      </c>
      <c r="I1" s="977"/>
    </row>
    <row r="2" spans="1:9">
      <c r="A2" s="939"/>
      <c r="D2" s="940" t="s">
        <v>2391</v>
      </c>
      <c r="F2" s="977"/>
    </row>
    <row r="3" spans="1:9">
      <c r="A3" s="939"/>
      <c r="D3" s="940"/>
    </row>
    <row r="4" spans="1:9">
      <c r="D4" s="940"/>
      <c r="F4" s="977"/>
    </row>
    <row r="5" spans="1:9">
      <c r="F5" s="977"/>
    </row>
    <row r="6" spans="1:9">
      <c r="D6" s="977"/>
      <c r="F6" s="977"/>
    </row>
    <row r="7" spans="1:9" ht="29.25" customHeight="1">
      <c r="A7" s="123"/>
      <c r="B7" s="106" t="s">
        <v>132</v>
      </c>
      <c r="C7" s="118" t="s">
        <v>298</v>
      </c>
      <c r="D7" s="1553" t="s">
        <v>2363</v>
      </c>
      <c r="E7" s="1553" t="s">
        <v>2364</v>
      </c>
      <c r="F7" s="1554"/>
      <c r="G7" s="1555" t="s">
        <v>2491</v>
      </c>
    </row>
    <row r="8" spans="1:9" s="939" customFormat="1">
      <c r="A8" s="480"/>
      <c r="B8" s="1000">
        <v>3656</v>
      </c>
      <c r="C8" s="53" t="s">
        <v>219</v>
      </c>
      <c r="D8" s="1556">
        <f>'ARL Sum'!$B$15</f>
        <v>160771184</v>
      </c>
      <c r="E8" s="1556">
        <f>'ARL Sum'!$B$33</f>
        <v>805997999</v>
      </c>
      <c r="G8" s="1557">
        <f t="shared" ref="G8:G44" si="0">D8/E8</f>
        <v>0.19946846542977584</v>
      </c>
    </row>
    <row r="9" spans="1:9" s="939" customFormat="1">
      <c r="A9" s="480"/>
      <c r="B9" s="1000">
        <v>3658</v>
      </c>
      <c r="C9" s="1130" t="s">
        <v>1405</v>
      </c>
      <c r="D9" s="644">
        <f>'AUS1 Sum'!$B$15</f>
        <v>779759446</v>
      </c>
      <c r="E9" s="644">
        <f>'AUS1 Sum'!$B$33</f>
        <v>3236617360</v>
      </c>
      <c r="G9" s="1557">
        <f t="shared" si="0"/>
        <v>0.24091802004052773</v>
      </c>
    </row>
    <row r="10" spans="1:9" s="939" customFormat="1">
      <c r="A10" s="480"/>
      <c r="B10" s="1000">
        <v>9741</v>
      </c>
      <c r="C10" s="53" t="s">
        <v>96</v>
      </c>
      <c r="D10" s="644">
        <f>'DAL Sum'!$B$15</f>
        <v>129433047</v>
      </c>
      <c r="E10" s="644">
        <f>'DAL Sum'!$B$33</f>
        <v>706765855</v>
      </c>
      <c r="G10" s="1557">
        <f t="shared" si="0"/>
        <v>0.18313426728856333</v>
      </c>
    </row>
    <row r="11" spans="1:9" s="939" customFormat="1">
      <c r="A11" s="480"/>
      <c r="B11" s="1000">
        <v>3661</v>
      </c>
      <c r="C11" s="53" t="s">
        <v>97</v>
      </c>
      <c r="D11" s="644">
        <f>'E-P Sum'!$B$15</f>
        <v>133335593</v>
      </c>
      <c r="E11" s="644">
        <f>'E-P Sum'!$B$33</f>
        <v>545026645</v>
      </c>
      <c r="G11" s="1557">
        <f t="shared" si="0"/>
        <v>0.24464050376839833</v>
      </c>
      <c r="I11" s="938"/>
    </row>
    <row r="12" spans="1:9" s="939" customFormat="1">
      <c r="A12" s="480"/>
      <c r="B12" s="1000">
        <v>3599</v>
      </c>
      <c r="C12" s="116" t="s">
        <v>1406</v>
      </c>
      <c r="D12" s="644">
        <f>'RGV1 Sum'!$B$15</f>
        <v>152832944</v>
      </c>
      <c r="E12" s="644">
        <f>'RGV1 Sum'!$B$33</f>
        <v>617100923</v>
      </c>
      <c r="G12" s="1557">
        <f t="shared" si="0"/>
        <v>0.24766280247485548</v>
      </c>
    </row>
    <row r="13" spans="1:9" s="939" customFormat="1">
      <c r="A13" s="480"/>
      <c r="B13" s="1000">
        <v>9930</v>
      </c>
      <c r="C13" s="53" t="s">
        <v>100</v>
      </c>
      <c r="D13" s="644">
        <f>'P-B Sum'!$B$15</f>
        <v>43016478</v>
      </c>
      <c r="E13" s="644">
        <f>'P-B Sum'!$B$33</f>
        <v>114833420</v>
      </c>
      <c r="G13" s="1557">
        <f t="shared" si="0"/>
        <v>0.37459894515028813</v>
      </c>
    </row>
    <row r="14" spans="1:9" s="939" customFormat="1">
      <c r="A14" s="480"/>
      <c r="B14" s="1000">
        <v>10115</v>
      </c>
      <c r="C14" s="53" t="s">
        <v>101</v>
      </c>
      <c r="D14" s="644">
        <f>'S-A Sum'!$B$15</f>
        <v>162176413</v>
      </c>
      <c r="E14" s="644">
        <f>'S-A Sum'!$B$33</f>
        <v>776879969</v>
      </c>
      <c r="G14" s="1557">
        <f t="shared" si="0"/>
        <v>0.20875350050375671</v>
      </c>
      <c r="I14" s="938"/>
    </row>
    <row r="15" spans="1:9" s="939" customFormat="1">
      <c r="A15" s="480"/>
      <c r="B15" s="1000">
        <v>11163</v>
      </c>
      <c r="C15" s="53" t="s">
        <v>102</v>
      </c>
      <c r="D15" s="644">
        <f>'TYL Sum'!$B$15</f>
        <v>52855515</v>
      </c>
      <c r="E15" s="644">
        <f>'TYL Sum'!$B$33</f>
        <v>166585055</v>
      </c>
      <c r="G15" s="1557">
        <f t="shared" si="0"/>
        <v>0.3172884566385622</v>
      </c>
    </row>
    <row r="16" spans="1:9" s="939" customFormat="1">
      <c r="A16" s="480"/>
      <c r="B16" s="1000">
        <v>3632</v>
      </c>
      <c r="C16" s="53" t="s">
        <v>103</v>
      </c>
      <c r="D16" s="644">
        <f>'TAMU Sum'!$B$15</f>
        <v>650735800</v>
      </c>
      <c r="E16" s="644">
        <f>'TAMU Sum'!$B$33</f>
        <v>2331154891</v>
      </c>
      <c r="G16" s="1557">
        <f t="shared" si="0"/>
        <v>0.27914738849500154</v>
      </c>
    </row>
    <row r="17" spans="1:9" s="939" customFormat="1">
      <c r="A17" s="480"/>
      <c r="B17" s="1000">
        <v>10298</v>
      </c>
      <c r="C17" s="53" t="s">
        <v>106</v>
      </c>
      <c r="D17" s="644">
        <f>'TAMUG Sum'!$B$15</f>
        <v>71006415</v>
      </c>
      <c r="E17" s="644">
        <f>'TAMUG Sum'!$B$33</f>
        <v>120550879</v>
      </c>
      <c r="G17" s="1557">
        <f t="shared" si="0"/>
        <v>0.58901615308835698</v>
      </c>
    </row>
    <row r="18" spans="1:9" s="939" customFormat="1">
      <c r="A18" s="480"/>
      <c r="B18" s="1000">
        <v>3630</v>
      </c>
      <c r="C18" s="53" t="s">
        <v>107</v>
      </c>
      <c r="D18" s="644">
        <f>'PVAMU Sum'!$B$15</f>
        <v>95373744</v>
      </c>
      <c r="E18" s="644">
        <f>'PVAMU Sum'!$B$33</f>
        <v>318685084</v>
      </c>
      <c r="G18" s="1557">
        <f t="shared" si="0"/>
        <v>0.2992726951726426</v>
      </c>
    </row>
    <row r="19" spans="1:9" s="939" customFormat="1">
      <c r="A19" s="480"/>
      <c r="B19" s="1000">
        <v>3631</v>
      </c>
      <c r="C19" s="53" t="s">
        <v>108</v>
      </c>
      <c r="D19" s="644">
        <f>'TARLST Sum'!$B$15</f>
        <v>62943792</v>
      </c>
      <c r="E19" s="644">
        <f>'TARLST Sum'!$B$33</f>
        <v>273369226</v>
      </c>
      <c r="G19" s="1557">
        <f t="shared" si="0"/>
        <v>0.23025193040565584</v>
      </c>
    </row>
    <row r="20" spans="1:9" s="939" customFormat="1">
      <c r="A20" s="480"/>
      <c r="B20" s="1000">
        <v>11161</v>
      </c>
      <c r="C20" s="53" t="s">
        <v>109</v>
      </c>
      <c r="D20" s="644">
        <f>'TAMUCC Sum'!$B$15</f>
        <v>80725731</v>
      </c>
      <c r="E20" s="644">
        <f>'TAMUCC Sum'!$B$33</f>
        <v>262299309</v>
      </c>
      <c r="G20" s="1557">
        <f t="shared" si="0"/>
        <v>0.30776188968153173</v>
      </c>
    </row>
    <row r="21" spans="1:9" s="939" customFormat="1">
      <c r="A21" s="480"/>
      <c r="B21" s="1000">
        <v>3639</v>
      </c>
      <c r="C21" s="53" t="s">
        <v>110</v>
      </c>
      <c r="D21" s="644">
        <f>'TAMUK Sum'!$B$15</f>
        <v>62482317</v>
      </c>
      <c r="E21" s="644">
        <f>'TAMUK Sum'!$B$33</f>
        <v>181744629</v>
      </c>
      <c r="G21" s="1557">
        <f t="shared" si="0"/>
        <v>0.34379182121525032</v>
      </c>
      <c r="I21" s="938"/>
    </row>
    <row r="22" spans="1:9" s="939" customFormat="1">
      <c r="A22" s="480"/>
      <c r="B22" s="1000">
        <v>9651</v>
      </c>
      <c r="C22" s="53" t="s">
        <v>111</v>
      </c>
      <c r="D22" s="644">
        <f>'TAMIU Sum'!$B$15</f>
        <v>56595086</v>
      </c>
      <c r="E22" s="644">
        <f>'TAMIU Sum'!$B$33</f>
        <v>160046691</v>
      </c>
      <c r="G22" s="1557">
        <f t="shared" si="0"/>
        <v>0.35361609569297497</v>
      </c>
    </row>
    <row r="23" spans="1:9" s="939" customFormat="1">
      <c r="A23" s="480"/>
      <c r="B23" s="1001">
        <v>3665</v>
      </c>
      <c r="C23" s="56" t="s">
        <v>112</v>
      </c>
      <c r="D23" s="644">
        <f>'WTAMU Sum'!$B$15</f>
        <v>54496990</v>
      </c>
      <c r="E23" s="644">
        <f>'WTAMU Sum'!$B$33</f>
        <v>190824128</v>
      </c>
      <c r="G23" s="1557">
        <f t="shared" si="0"/>
        <v>0.28558752276860921</v>
      </c>
      <c r="I23" s="938"/>
    </row>
    <row r="24" spans="1:9" s="939" customFormat="1">
      <c r="A24" s="480"/>
      <c r="B24" s="1000">
        <v>3565</v>
      </c>
      <c r="C24" s="53" t="s">
        <v>113</v>
      </c>
      <c r="D24" s="644">
        <f>'TAMUC Sum'!$B$15</f>
        <v>70211986</v>
      </c>
      <c r="E24" s="644">
        <f>'TAMUC Sum'!$B$33</f>
        <v>235764019</v>
      </c>
      <c r="G24" s="1557">
        <f t="shared" si="0"/>
        <v>0.2978061974757904</v>
      </c>
    </row>
    <row r="25" spans="1:9" s="939" customFormat="1">
      <c r="A25" s="480"/>
      <c r="B25" s="1000">
        <v>29269</v>
      </c>
      <c r="C25" s="53" t="s">
        <v>114</v>
      </c>
      <c r="D25" s="644">
        <f>'TAMUT Sum'!$B$15</f>
        <v>28577033</v>
      </c>
      <c r="E25" s="644">
        <f>'TAMUT Sum'!$B$33</f>
        <v>55698492</v>
      </c>
      <c r="G25" s="1557">
        <f t="shared" si="0"/>
        <v>0.51306654765446791</v>
      </c>
    </row>
    <row r="26" spans="1:9" s="939" customFormat="1">
      <c r="A26" s="480"/>
      <c r="B26" s="1000">
        <v>42295</v>
      </c>
      <c r="C26" s="53" t="s">
        <v>271</v>
      </c>
      <c r="D26" s="644">
        <f>'TAMUCT Sum'!$B$15</f>
        <v>18794464</v>
      </c>
      <c r="E26" s="644">
        <f>'TAMUCT Sum'!$B$33</f>
        <v>41705302</v>
      </c>
      <c r="G26" s="1557">
        <f t="shared" si="0"/>
        <v>0.4506492723634995</v>
      </c>
    </row>
    <row r="27" spans="1:9" s="939" customFormat="1">
      <c r="A27" s="480"/>
      <c r="B27" s="1001">
        <v>42485</v>
      </c>
      <c r="C27" s="53" t="s">
        <v>272</v>
      </c>
      <c r="D27" s="644">
        <f>'TAMUSA Sum'!$B$15</f>
        <v>38086689</v>
      </c>
      <c r="E27" s="644">
        <f>'TAMUSA Sum'!$B$33</f>
        <v>112727508</v>
      </c>
      <c r="G27" s="1557">
        <f t="shared" si="0"/>
        <v>0.33786508435900137</v>
      </c>
    </row>
    <row r="28" spans="1:9" s="939" customFormat="1">
      <c r="A28" s="1123"/>
      <c r="B28" s="1000">
        <v>3652</v>
      </c>
      <c r="C28" s="116" t="s">
        <v>2259</v>
      </c>
      <c r="D28" s="644">
        <f>'UH1 Sum'!$B$15</f>
        <v>303577526</v>
      </c>
      <c r="E28" s="644">
        <f>'UH1 Sum'!$B$33</f>
        <v>1391697926</v>
      </c>
      <c r="G28" s="1557">
        <f t="shared" si="0"/>
        <v>0.21813463994484678</v>
      </c>
    </row>
    <row r="29" spans="1:9" s="939" customFormat="1">
      <c r="A29" s="480"/>
      <c r="B29" s="1000">
        <v>11711</v>
      </c>
      <c r="C29" s="105" t="s">
        <v>116</v>
      </c>
      <c r="D29" s="644">
        <f>'UHCL Sum'!$B$15</f>
        <v>47051198</v>
      </c>
      <c r="E29" s="644">
        <f>'UHCL Sum'!$B$33</f>
        <v>157386803</v>
      </c>
      <c r="G29" s="1557">
        <f t="shared" si="0"/>
        <v>0.29895262565311781</v>
      </c>
    </row>
    <row r="30" spans="1:9" s="939" customFormat="1">
      <c r="A30" s="480"/>
      <c r="B30" s="1000">
        <v>12826</v>
      </c>
      <c r="C30" s="53" t="s">
        <v>117</v>
      </c>
      <c r="D30" s="644">
        <f>'UHD Sum'!$B$15</f>
        <v>49718271</v>
      </c>
      <c r="E30" s="644">
        <f>'UHD Sum'!$B$33</f>
        <v>204624092</v>
      </c>
      <c r="G30" s="1557">
        <f t="shared" si="0"/>
        <v>0.24297369148496942</v>
      </c>
    </row>
    <row r="31" spans="1:9" s="939" customFormat="1">
      <c r="A31" s="480"/>
      <c r="B31" s="1000">
        <v>13231</v>
      </c>
      <c r="C31" s="53" t="s">
        <v>118</v>
      </c>
      <c r="D31" s="644">
        <f>'UHV Sum'!$B$15</f>
        <v>23410758</v>
      </c>
      <c r="E31" s="644">
        <f>'UHV Sum'!$B$33</f>
        <v>75993804</v>
      </c>
      <c r="G31" s="1557">
        <f t="shared" si="0"/>
        <v>0.30806140458503695</v>
      </c>
    </row>
    <row r="32" spans="1:9" s="939" customFormat="1">
      <c r="A32" s="480"/>
      <c r="B32" s="1000">
        <v>3581</v>
      </c>
      <c r="C32" s="53" t="s">
        <v>215</v>
      </c>
      <c r="D32" s="644">
        <f>'LU Sum'!$B$15</f>
        <v>79069607</v>
      </c>
      <c r="E32" s="644">
        <f>'LU Sum'!$B$33</f>
        <v>287526257</v>
      </c>
      <c r="G32" s="1557">
        <f t="shared" si="0"/>
        <v>0.27499960464480294</v>
      </c>
    </row>
    <row r="33" spans="1:9" s="939" customFormat="1">
      <c r="A33" s="1123"/>
      <c r="B33" s="1000">
        <v>3606</v>
      </c>
      <c r="C33" s="116" t="s">
        <v>2263</v>
      </c>
      <c r="D33" s="644">
        <f>'shsu1 Sum'!$B$15</f>
        <v>107341336</v>
      </c>
      <c r="E33" s="644">
        <f>'shsu1 Sum'!$B$33</f>
        <v>431915007</v>
      </c>
      <c r="G33" s="1557">
        <f t="shared" si="0"/>
        <v>0.24852421022731447</v>
      </c>
    </row>
    <row r="34" spans="1:9" s="939" customFormat="1">
      <c r="A34" s="480"/>
      <c r="B34" s="1000">
        <v>3615</v>
      </c>
      <c r="C34" s="53" t="s">
        <v>1289</v>
      </c>
      <c r="D34" s="644">
        <f>'TXST Sum'!$B$15</f>
        <v>206842810</v>
      </c>
      <c r="E34" s="644">
        <f>'TXST Sum'!$B$33</f>
        <v>755966462</v>
      </c>
      <c r="G34" s="1557">
        <f t="shared" si="0"/>
        <v>0.2736137387004875</v>
      </c>
    </row>
    <row r="35" spans="1:9" s="939" customFormat="1">
      <c r="A35" s="480"/>
      <c r="B35" s="1000">
        <v>3625</v>
      </c>
      <c r="C35" s="53" t="s">
        <v>1239</v>
      </c>
      <c r="D35" s="644">
        <f>'SRSU Sum'!$B$15</f>
        <v>23686109</v>
      </c>
      <c r="E35" s="644">
        <f>'SRSU Sum'!$B$33</f>
        <v>59906903</v>
      </c>
      <c r="G35" s="1557">
        <f t="shared" si="0"/>
        <v>0.39538196457927394</v>
      </c>
    </row>
    <row r="36" spans="1:9" s="939" customFormat="1">
      <c r="A36" s="480"/>
      <c r="B36" s="1000">
        <v>3644</v>
      </c>
      <c r="C36" s="53" t="s">
        <v>121</v>
      </c>
      <c r="D36" s="644">
        <f>'TTU Sum'!$B$15</f>
        <v>263622386</v>
      </c>
      <c r="E36" s="644">
        <f>'TTU Sum'!$B$33</f>
        <v>1035106441</v>
      </c>
      <c r="G36" s="1557">
        <f t="shared" si="0"/>
        <v>0.25468142749195782</v>
      </c>
    </row>
    <row r="37" spans="1:9" s="939" customFormat="1">
      <c r="A37" s="480"/>
      <c r="B37" s="1000">
        <v>3541</v>
      </c>
      <c r="C37" s="53" t="s">
        <v>122</v>
      </c>
      <c r="D37" s="644">
        <f>'ASU Sum'!$B$15</f>
        <v>49314326</v>
      </c>
      <c r="E37" s="644">
        <f>'ASU Sum'!$B$33</f>
        <v>166347640</v>
      </c>
      <c r="G37" s="1557">
        <f t="shared" si="0"/>
        <v>0.29645341526937202</v>
      </c>
    </row>
    <row r="38" spans="1:9" s="939" customFormat="1">
      <c r="A38" s="480"/>
      <c r="B38" s="1000">
        <v>3594</v>
      </c>
      <c r="C38" s="53" t="s">
        <v>123</v>
      </c>
      <c r="D38" s="644">
        <f>'UNT Sum'!$B$15</f>
        <v>203993076</v>
      </c>
      <c r="E38" s="644">
        <f>'UNT Sum'!$B$33</f>
        <v>844306774</v>
      </c>
      <c r="G38" s="1557">
        <f t="shared" si="0"/>
        <v>0.24161013778624499</v>
      </c>
    </row>
    <row r="39" spans="1:9" s="939" customFormat="1">
      <c r="A39" s="480"/>
      <c r="B39" s="1001">
        <v>42421</v>
      </c>
      <c r="C39" s="56" t="s">
        <v>270</v>
      </c>
      <c r="D39" s="644">
        <f>'UNTD Sum'!$B$15</f>
        <v>33427985</v>
      </c>
      <c r="E39" s="644">
        <f>'UNTD Sum'!$B$33</f>
        <v>90365177</v>
      </c>
      <c r="G39" s="1557">
        <f t="shared" si="0"/>
        <v>0.36992109250225891</v>
      </c>
    </row>
    <row r="40" spans="1:9" s="939" customFormat="1">
      <c r="A40" s="480"/>
      <c r="B40" s="1000">
        <v>3592</v>
      </c>
      <c r="C40" s="53" t="s">
        <v>124</v>
      </c>
      <c r="D40" s="644">
        <f>'MidWST Sum'!$B$15</f>
        <v>35648597</v>
      </c>
      <c r="E40" s="644">
        <f>'MidWST Sum'!$B$33</f>
        <v>118006772</v>
      </c>
      <c r="G40" s="1557">
        <f t="shared" si="0"/>
        <v>0.30208941737682649</v>
      </c>
      <c r="I40" s="938"/>
    </row>
    <row r="41" spans="1:9" s="939" customFormat="1">
      <c r="A41" s="480"/>
      <c r="B41" s="1000">
        <v>3624</v>
      </c>
      <c r="C41" s="53" t="s">
        <v>125</v>
      </c>
      <c r="D41" s="644">
        <f>'SFA Sum'!$B$15</f>
        <v>70173866</v>
      </c>
      <c r="E41" s="644">
        <f>'SFA Sum'!$B$33</f>
        <v>267575827</v>
      </c>
      <c r="G41" s="1557">
        <f t="shared" si="0"/>
        <v>0.26225786830885883</v>
      </c>
    </row>
    <row r="42" spans="1:9" s="939" customFormat="1">
      <c r="A42" s="480"/>
      <c r="B42" s="1000">
        <v>3642</v>
      </c>
      <c r="C42" s="53" t="s">
        <v>126</v>
      </c>
      <c r="D42" s="644">
        <f>'TSU Sum'!$B$15</f>
        <v>79567683</v>
      </c>
      <c r="E42" s="644">
        <f>'TSU Sum'!$B$33</f>
        <v>255206661</v>
      </c>
      <c r="G42" s="1557">
        <f t="shared" si="0"/>
        <v>0.31177745395916606</v>
      </c>
    </row>
    <row r="43" spans="1:9" s="939" customFormat="1">
      <c r="A43" s="480"/>
      <c r="B43" s="1002">
        <v>3646</v>
      </c>
      <c r="C43" s="133" t="s">
        <v>127</v>
      </c>
      <c r="D43" s="136">
        <f>'TWU Sum'!$B$15</f>
        <v>95844294</v>
      </c>
      <c r="E43" s="136">
        <f>'TWU Sum'!$B$33</f>
        <v>263777408</v>
      </c>
      <c r="G43" s="1557">
        <f t="shared" si="0"/>
        <v>0.36335292975507594</v>
      </c>
    </row>
    <row r="44" spans="1:9" s="939" customFormat="1" ht="13.5" thickBot="1">
      <c r="A44" s="139"/>
      <c r="B44" s="139">
        <f>COUNTA(B8:B43)</f>
        <v>36</v>
      </c>
      <c r="C44" s="140" t="s">
        <v>207</v>
      </c>
      <c r="D44" s="1558">
        <f>SUM(D8:D43)</f>
        <v>4576500495</v>
      </c>
      <c r="E44" s="1558">
        <f>SUM(E8:E43)</f>
        <v>17660087338</v>
      </c>
      <c r="G44" s="1559">
        <f t="shared" si="0"/>
        <v>0.25914370678974724</v>
      </c>
    </row>
    <row r="45" spans="1:9" s="939" customFormat="1" ht="13.5" thickTop="1"/>
    <row r="46" spans="1:9" s="939" customFormat="1">
      <c r="A46" s="210"/>
      <c r="B46" s="210"/>
      <c r="C46" s="73"/>
    </row>
  </sheetData>
  <hyperlinks>
    <hyperlink ref="H1" location="Index!A1" display="Return to Index" xr:uid="{00000000-0004-0000-1300-000000000000}"/>
  </hyperlink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ransitionEvaluation="1" transitionEntry="1">
    <tabColor indexed="13"/>
  </sheetPr>
  <dimension ref="A1:CM89"/>
  <sheetViews>
    <sheetView showGridLines="0" zoomScaleNormal="100" workbookViewId="0">
      <pane xSplit="1" ySplit="6" topLeftCell="B7" activePane="bottomRight" state="frozen"/>
      <selection activeCell="F74" sqref="E74:F74"/>
      <selection pane="topRight" activeCell="F74" sqref="E74:F74"/>
      <selection pane="bottomLeft" activeCell="F74" sqref="E74:F74"/>
      <selection pane="bottomRight" activeCell="E44" sqref="E44"/>
    </sheetView>
  </sheetViews>
  <sheetFormatPr defaultColWidth="9.140625" defaultRowHeight="12.75"/>
  <cols>
    <col min="1" max="1" width="48" style="75" customWidth="1"/>
    <col min="2" max="2" width="17.85546875" style="75" customWidth="1"/>
    <col min="3" max="3" width="14.7109375" style="75" customWidth="1"/>
    <col min="4" max="4" width="17.85546875" style="75" customWidth="1"/>
    <col min="5" max="5" width="14.7109375" style="75" customWidth="1"/>
    <col min="6" max="6" width="17.85546875" style="75" customWidth="1"/>
    <col min="7" max="7" width="14.7109375" style="75" customWidth="1"/>
    <col min="8" max="8" width="17.85546875" style="75" customWidth="1"/>
    <col min="9" max="9" width="14.7109375" style="75" customWidth="1"/>
    <col min="10" max="10" width="17.85546875" style="75" customWidth="1"/>
    <col min="11" max="11" width="14.7109375" style="75" customWidth="1"/>
    <col min="12" max="12" width="17.85546875" style="75" customWidth="1"/>
    <col min="13" max="13" width="14.7109375" style="75" customWidth="1"/>
    <col min="14" max="14" width="17.85546875" style="75" customWidth="1"/>
    <col min="15" max="15" width="14.7109375" style="75" customWidth="1"/>
    <col min="16" max="16" width="17.85546875" style="75" customWidth="1"/>
    <col min="17" max="17" width="14.7109375" style="75" customWidth="1"/>
    <col min="18" max="18" width="17.85546875" style="75" customWidth="1"/>
    <col min="19" max="19" width="14.7109375" style="75" customWidth="1"/>
    <col min="20" max="20" width="17.85546875" style="75" customWidth="1"/>
    <col min="21" max="21" width="14.7109375" style="75" customWidth="1"/>
    <col min="22" max="22" width="17.85546875" style="75" customWidth="1"/>
    <col min="23" max="23" width="14.7109375" style="75" customWidth="1"/>
    <col min="24" max="24" width="17.85546875" style="75" customWidth="1"/>
    <col min="25" max="25" width="14.7109375" style="75" customWidth="1"/>
    <col min="26" max="26" width="17.85546875" style="75" customWidth="1"/>
    <col min="27" max="27" width="14.7109375" style="75" customWidth="1"/>
    <col min="28" max="28" width="17.85546875" style="75" customWidth="1"/>
    <col min="29" max="29" width="14.7109375" style="75" customWidth="1"/>
    <col min="30" max="30" width="17.85546875" style="75" customWidth="1"/>
    <col min="31" max="31" width="14.7109375" style="75" customWidth="1"/>
    <col min="32" max="32" width="17.85546875" style="75" customWidth="1"/>
    <col min="33" max="33" width="14.7109375" style="75" customWidth="1"/>
    <col min="34" max="34" width="17.85546875" style="75" customWidth="1"/>
    <col min="35" max="35" width="14.7109375" style="75" customWidth="1"/>
    <col min="36" max="36" width="17.85546875" style="75" customWidth="1"/>
    <col min="37" max="37" width="14.7109375" style="75" customWidth="1"/>
    <col min="38" max="38" width="17.85546875" style="75" customWidth="1"/>
    <col min="39" max="39" width="14.7109375" style="75" customWidth="1"/>
    <col min="40" max="40" width="17.85546875" style="75" customWidth="1"/>
    <col min="41" max="41" width="14.7109375" style="75" customWidth="1"/>
    <col min="42" max="42" width="17.85546875" style="75" customWidth="1"/>
    <col min="43" max="43" width="14.7109375" style="75" customWidth="1"/>
    <col min="44" max="44" width="17.85546875" style="75" customWidth="1"/>
    <col min="45" max="45" width="14.7109375" style="75" customWidth="1"/>
    <col min="46" max="46" width="17.85546875" style="75" customWidth="1"/>
    <col min="47" max="47" width="14.7109375" style="75" customWidth="1"/>
    <col min="48" max="48" width="17.85546875" style="75" customWidth="1"/>
    <col min="49" max="49" width="14.7109375" style="75" customWidth="1"/>
    <col min="50" max="50" width="17.85546875" style="75" customWidth="1"/>
    <col min="51" max="51" width="14.7109375" style="75" customWidth="1"/>
    <col min="52" max="52" width="17.85546875" style="75" customWidth="1"/>
    <col min="53" max="53" width="14.7109375" style="75" customWidth="1"/>
    <col min="54" max="54" width="17.85546875" style="75" customWidth="1"/>
    <col min="55" max="55" width="14.7109375" style="75" customWidth="1"/>
    <col min="56" max="56" width="17.85546875" style="75" customWidth="1"/>
    <col min="57" max="57" width="14.7109375" style="75" customWidth="1"/>
    <col min="58" max="58" width="17.85546875" style="75" customWidth="1"/>
    <col min="59" max="59" width="14.7109375" style="75" customWidth="1"/>
    <col min="60" max="60" width="17.85546875" style="75" customWidth="1"/>
    <col min="61" max="61" width="14.7109375" style="75" customWidth="1"/>
    <col min="62" max="62" width="17.85546875" style="75" customWidth="1"/>
    <col min="63" max="63" width="14.7109375" style="75" customWidth="1"/>
    <col min="64" max="64" width="17.85546875" style="75" customWidth="1"/>
    <col min="65" max="65" width="14.7109375" style="75" customWidth="1"/>
    <col min="66" max="66" width="17.85546875" style="75" customWidth="1"/>
    <col min="67" max="67" width="14.7109375" style="75" customWidth="1"/>
    <col min="68" max="68" width="17.85546875" style="75" customWidth="1"/>
    <col min="69" max="69" width="14.7109375" style="75" customWidth="1"/>
    <col min="70" max="70" width="17.85546875" style="75" customWidth="1"/>
    <col min="71" max="71" width="14.7109375" style="75" customWidth="1"/>
    <col min="72" max="72" width="17.85546875" style="75" customWidth="1"/>
    <col min="73" max="73" width="14.7109375" style="75" customWidth="1"/>
    <col min="74" max="74" width="17.85546875" style="75" customWidth="1"/>
    <col min="75" max="75" width="14.7109375" style="75" customWidth="1"/>
    <col min="76" max="76" width="5.28515625" style="75" customWidth="1"/>
    <col min="77" max="16384" width="9.140625" style="75"/>
  </cols>
  <sheetData>
    <row r="1" spans="1:75" ht="16.5" thickBot="1">
      <c r="A1" s="76" t="s">
        <v>1281</v>
      </c>
      <c r="B1" s="104"/>
      <c r="C1" s="74"/>
      <c r="D1" s="855" t="s">
        <v>1200</v>
      </c>
      <c r="E1" s="74"/>
      <c r="F1" s="104"/>
      <c r="G1" s="74"/>
      <c r="H1" s="104"/>
      <c r="I1" s="74"/>
      <c r="J1" s="104"/>
      <c r="K1" s="74"/>
      <c r="L1" s="104"/>
      <c r="M1" s="74"/>
      <c r="N1" s="104"/>
      <c r="O1" s="74"/>
      <c r="P1" s="104"/>
      <c r="Q1" s="74"/>
      <c r="R1" s="104"/>
      <c r="S1" s="74"/>
      <c r="T1" s="104"/>
      <c r="U1" s="74"/>
      <c r="V1" s="104"/>
      <c r="W1" s="74"/>
      <c r="X1" s="104"/>
      <c r="Y1" s="74"/>
      <c r="Z1" s="104"/>
      <c r="AA1" s="74"/>
      <c r="AB1" s="104"/>
      <c r="AC1" s="74"/>
      <c r="AD1" s="104"/>
      <c r="AE1" s="74"/>
      <c r="AF1" s="104"/>
      <c r="AG1" s="74"/>
      <c r="AH1" s="104"/>
      <c r="AI1" s="74"/>
      <c r="AJ1" s="104"/>
      <c r="AK1" s="74"/>
      <c r="AL1" s="104"/>
      <c r="AM1" s="74"/>
      <c r="AN1" s="104"/>
      <c r="AO1" s="74"/>
      <c r="AP1" s="104"/>
      <c r="AQ1" s="74"/>
      <c r="AR1" s="104"/>
      <c r="AS1" s="74"/>
      <c r="AT1" s="104"/>
      <c r="AU1" s="74"/>
      <c r="AV1" s="104"/>
      <c r="AW1" s="74"/>
      <c r="AX1" s="104"/>
      <c r="AY1" s="74"/>
      <c r="AZ1" s="104"/>
      <c r="BA1" s="74"/>
      <c r="BB1" s="104"/>
      <c r="BC1" s="74"/>
      <c r="BD1" s="104"/>
      <c r="BE1" s="74"/>
      <c r="BF1" s="104"/>
      <c r="BG1" s="74"/>
      <c r="BH1" s="104"/>
      <c r="BI1" s="74"/>
      <c r="BJ1" s="104"/>
      <c r="BK1" s="74"/>
      <c r="BL1" s="104"/>
      <c r="BM1" s="74"/>
      <c r="BN1" s="104"/>
      <c r="BO1" s="74"/>
      <c r="BP1" s="104"/>
      <c r="BQ1" s="74"/>
      <c r="BR1" s="104"/>
      <c r="BS1" s="74"/>
      <c r="BT1" s="104"/>
      <c r="BU1" s="74"/>
      <c r="BV1" s="104"/>
      <c r="BW1" s="74"/>
    </row>
    <row r="2" spans="1:75" ht="15.75">
      <c r="A2" s="76" t="str">
        <f>'Smmy Chrts'!$A$2</f>
        <v>For the Year Ended August 31, 2021</v>
      </c>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row>
    <row r="3" spans="1:75" ht="15.75">
      <c r="A3" s="76" t="str">
        <f>'Smmy Chrts'!$A$3</f>
        <v>Source: FY 2021 Annual Financial Report</v>
      </c>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row>
    <row r="4" spans="1:75" ht="24.75" customHeight="1">
      <c r="B4" s="1685" t="s">
        <v>248</v>
      </c>
      <c r="C4" s="1684"/>
      <c r="D4" s="1683" t="str">
        <f>'ARL Sum'!$A$1</f>
        <v>The University of Texas at Arlington</v>
      </c>
      <c r="E4" s="1684"/>
      <c r="F4" s="1683" t="str">
        <f>'AUS1 Sum'!$A$1</f>
        <v>The University of Texas at Austin - Academic &amp; Health (A+H)</v>
      </c>
      <c r="G4" s="1684"/>
      <c r="H4" s="1683" t="str">
        <f>'DAL Sum'!$A$1</f>
        <v>The University of Texas at Dallas</v>
      </c>
      <c r="I4" s="1684"/>
      <c r="J4" s="1683" t="str">
        <f>'E-P Sum'!$A$1</f>
        <v>The University of Texas at El Paso</v>
      </c>
      <c r="K4" s="1684"/>
      <c r="L4" s="1683" t="str">
        <f>'RGV1 Sum'!$A$1</f>
        <v>The University of Texas RGV - Academic &amp; Health (A+H)</v>
      </c>
      <c r="M4" s="1684"/>
      <c r="N4" s="1683" t="str">
        <f>'P-B Sum'!$A$1</f>
        <v>The University of Texas of the Permian Basin</v>
      </c>
      <c r="O4" s="1684"/>
      <c r="P4" s="1683" t="str">
        <f>'S-A Sum'!$A$1</f>
        <v>The University of Texas at San Antonio</v>
      </c>
      <c r="Q4" s="1684"/>
      <c r="R4" s="1683" t="str">
        <f>'TYL Sum'!$A$1</f>
        <v>The University of Texas at Tyler</v>
      </c>
      <c r="S4" s="1684"/>
      <c r="T4" s="1683" t="str">
        <f>'TAMU Sum'!$A$1</f>
        <v>Texas A&amp;M University</v>
      </c>
      <c r="U4" s="1684"/>
      <c r="V4" s="1683" t="str">
        <f>'TAMUG Sum'!$A$1</f>
        <v>Texas A&amp;M University at Galveston</v>
      </c>
      <c r="W4" s="1684"/>
      <c r="X4" s="1683" t="str">
        <f>'PVAMU Sum'!$A$1</f>
        <v>Prairie View A&amp;M University</v>
      </c>
      <c r="Y4" s="1684"/>
      <c r="Z4" s="1683" t="str">
        <f>'TARLST Sum'!$A$1</f>
        <v>Tarleton State University</v>
      </c>
      <c r="AA4" s="1684"/>
      <c r="AB4" s="1683" t="str">
        <f>'TAMUCC Sum'!$A$1</f>
        <v>Texas A&amp;M University - Corpus Christi</v>
      </c>
      <c r="AC4" s="1684"/>
      <c r="AD4" s="1683" t="str">
        <f>'TAMUK Sum'!$A$1</f>
        <v>Texas A&amp;M University - Kingsville</v>
      </c>
      <c r="AE4" s="1684"/>
      <c r="AF4" s="1683" t="str">
        <f>'TAMUCT Sum'!$A$1</f>
        <v>Texas A&amp;M University - Central Texas</v>
      </c>
      <c r="AG4" s="1684"/>
      <c r="AH4" s="1683" t="str">
        <f>'TAMUSA Sum'!$A$1</f>
        <v>Texas A&amp;M University - San Antonio</v>
      </c>
      <c r="AI4" s="1684"/>
      <c r="AJ4" s="1683" t="str">
        <f>'TAMIU Sum'!$A$1</f>
        <v>Texas A&amp;M International University</v>
      </c>
      <c r="AK4" s="1684"/>
      <c r="AL4" s="1683" t="str">
        <f>'WTAMU Sum'!$A$1</f>
        <v>West Texas A&amp;M University</v>
      </c>
      <c r="AM4" s="1684"/>
      <c r="AN4" s="1683" t="str">
        <f>'TAMUC Sum'!$A$1</f>
        <v>Texas A&amp;M University - Commerce</v>
      </c>
      <c r="AO4" s="1684"/>
      <c r="AP4" s="1683" t="str">
        <f>'TAMUT Sum'!$A$1</f>
        <v>Texas A&amp;M University - Texarkana</v>
      </c>
      <c r="AQ4" s="1684"/>
      <c r="AR4" s="1683" t="str">
        <f>'UH1 Sum'!$A$1</f>
        <v>University of Houston - Academic &amp; Health (A+H)</v>
      </c>
      <c r="AS4" s="1684"/>
      <c r="AT4" s="1683" t="str">
        <f>'UHCL Sum'!$A$1</f>
        <v>University of Houston - Clear Lake</v>
      </c>
      <c r="AU4" s="1684"/>
      <c r="AV4" s="1683" t="str">
        <f>'UHD Sum'!$A$1</f>
        <v>University of Houston - Downtown</v>
      </c>
      <c r="AW4" s="1684"/>
      <c r="AX4" s="1683" t="str">
        <f>'UHV Sum'!$A$1</f>
        <v>University of Houston - Victoria</v>
      </c>
      <c r="AY4" s="1684"/>
      <c r="AZ4" s="1683" t="str">
        <f>'LU Sum'!$A$1</f>
        <v xml:space="preserve">Lamar University </v>
      </c>
      <c r="BA4" s="1684"/>
      <c r="BB4" s="1683" t="str">
        <f>'shsu1 Sum'!$A$1</f>
        <v>Sam Houston State University - Academic &amp; Health (A+H)</v>
      </c>
      <c r="BC4" s="1684"/>
      <c r="BD4" s="1683" t="str">
        <f>'TXST Sum'!$A$1</f>
        <v>Texas State University</v>
      </c>
      <c r="BE4" s="1684"/>
      <c r="BF4" s="1683" t="str">
        <f>'SRSU Sum'!$A$1</f>
        <v>Sul Ross State University</v>
      </c>
      <c r="BG4" s="1684"/>
      <c r="BH4" s="1683" t="str">
        <f>'TTU Sum'!$A$1</f>
        <v>Texas Tech University</v>
      </c>
      <c r="BI4" s="1684"/>
      <c r="BJ4" s="1683" t="str">
        <f>'ASU Sum'!$A$1</f>
        <v>Angelo State University</v>
      </c>
      <c r="BK4" s="1684"/>
      <c r="BL4" s="1683" t="str">
        <f>'UNT Sum'!$A$1</f>
        <v>University of North Texas</v>
      </c>
      <c r="BM4" s="1684"/>
      <c r="BN4" s="1683" t="str">
        <f>'UNTD Sum'!$A$1</f>
        <v>University of North Texas at Dallas</v>
      </c>
      <c r="BO4" s="1684"/>
      <c r="BP4" s="1683" t="str">
        <f>'MidWST Sum'!$A$1</f>
        <v>Midwestern State University</v>
      </c>
      <c r="BQ4" s="1684"/>
      <c r="BR4" s="1683" t="str">
        <f>'SFA Sum'!$A$1</f>
        <v>Stephen F. Austin State University</v>
      </c>
      <c r="BS4" s="1684"/>
      <c r="BT4" s="1683" t="str">
        <f>'TSU Sum'!$A$1</f>
        <v>Texas Southern University</v>
      </c>
      <c r="BU4" s="1684"/>
      <c r="BV4" s="1683" t="str">
        <f>'TWU Sum'!$A$1</f>
        <v>Texas Woman's University</v>
      </c>
      <c r="BW4" s="1684"/>
    </row>
    <row r="5" spans="1:75" ht="18">
      <c r="A5" s="39" t="str">
        <f>'Smmy Chrts'!$C$35</f>
        <v>Summary Worksheet FY 2021</v>
      </c>
      <c r="B5" s="40" t="s">
        <v>86</v>
      </c>
      <c r="C5" s="40" t="s">
        <v>129</v>
      </c>
      <c r="D5" s="40" t="s">
        <v>86</v>
      </c>
      <c r="E5" s="40" t="s">
        <v>129</v>
      </c>
      <c r="F5" s="40" t="s">
        <v>86</v>
      </c>
      <c r="G5" s="40" t="s">
        <v>129</v>
      </c>
      <c r="H5" s="40" t="s">
        <v>86</v>
      </c>
      <c r="I5" s="40" t="s">
        <v>129</v>
      </c>
      <c r="J5" s="40" t="s">
        <v>86</v>
      </c>
      <c r="K5" s="40" t="s">
        <v>129</v>
      </c>
      <c r="L5" s="40" t="s">
        <v>86</v>
      </c>
      <c r="M5" s="40" t="s">
        <v>129</v>
      </c>
      <c r="N5" s="40" t="s">
        <v>86</v>
      </c>
      <c r="O5" s="40" t="s">
        <v>129</v>
      </c>
      <c r="P5" s="40" t="s">
        <v>86</v>
      </c>
      <c r="Q5" s="40" t="s">
        <v>129</v>
      </c>
      <c r="R5" s="40" t="s">
        <v>86</v>
      </c>
      <c r="S5" s="40" t="s">
        <v>129</v>
      </c>
      <c r="T5" s="40" t="s">
        <v>86</v>
      </c>
      <c r="U5" s="40" t="s">
        <v>129</v>
      </c>
      <c r="V5" s="40" t="s">
        <v>86</v>
      </c>
      <c r="W5" s="40" t="s">
        <v>129</v>
      </c>
      <c r="X5" s="40" t="s">
        <v>86</v>
      </c>
      <c r="Y5" s="40" t="s">
        <v>129</v>
      </c>
      <c r="Z5" s="40" t="s">
        <v>86</v>
      </c>
      <c r="AA5" s="40" t="s">
        <v>129</v>
      </c>
      <c r="AB5" s="40" t="s">
        <v>86</v>
      </c>
      <c r="AC5" s="40" t="s">
        <v>129</v>
      </c>
      <c r="AD5" s="40" t="s">
        <v>86</v>
      </c>
      <c r="AE5" s="40" t="s">
        <v>129</v>
      </c>
      <c r="AF5" s="40" t="s">
        <v>86</v>
      </c>
      <c r="AG5" s="40" t="s">
        <v>129</v>
      </c>
      <c r="AH5" s="40" t="s">
        <v>86</v>
      </c>
      <c r="AI5" s="40" t="s">
        <v>129</v>
      </c>
      <c r="AJ5" s="40" t="s">
        <v>86</v>
      </c>
      <c r="AK5" s="40" t="s">
        <v>129</v>
      </c>
      <c r="AL5" s="40" t="s">
        <v>86</v>
      </c>
      <c r="AM5" s="40" t="s">
        <v>129</v>
      </c>
      <c r="AN5" s="40" t="s">
        <v>86</v>
      </c>
      <c r="AO5" s="40" t="s">
        <v>129</v>
      </c>
      <c r="AP5" s="40" t="s">
        <v>86</v>
      </c>
      <c r="AQ5" s="40" t="s">
        <v>129</v>
      </c>
      <c r="AR5" s="40" t="s">
        <v>86</v>
      </c>
      <c r="AS5" s="40" t="s">
        <v>129</v>
      </c>
      <c r="AT5" s="40" t="s">
        <v>86</v>
      </c>
      <c r="AU5" s="40" t="s">
        <v>129</v>
      </c>
      <c r="AV5" s="40" t="s">
        <v>86</v>
      </c>
      <c r="AW5" s="40" t="s">
        <v>129</v>
      </c>
      <c r="AX5" s="40" t="s">
        <v>86</v>
      </c>
      <c r="AY5" s="40" t="s">
        <v>129</v>
      </c>
      <c r="AZ5" s="40" t="s">
        <v>86</v>
      </c>
      <c r="BA5" s="40" t="s">
        <v>129</v>
      </c>
      <c r="BB5" s="40" t="s">
        <v>86</v>
      </c>
      <c r="BC5" s="40" t="s">
        <v>129</v>
      </c>
      <c r="BD5" s="40" t="s">
        <v>86</v>
      </c>
      <c r="BE5" s="40" t="s">
        <v>129</v>
      </c>
      <c r="BF5" s="40" t="s">
        <v>86</v>
      </c>
      <c r="BG5" s="40" t="s">
        <v>129</v>
      </c>
      <c r="BH5" s="40" t="s">
        <v>86</v>
      </c>
      <c r="BI5" s="40" t="s">
        <v>129</v>
      </c>
      <c r="BJ5" s="40" t="s">
        <v>86</v>
      </c>
      <c r="BK5" s="40" t="s">
        <v>129</v>
      </c>
      <c r="BL5" s="40" t="s">
        <v>86</v>
      </c>
      <c r="BM5" s="40" t="s">
        <v>129</v>
      </c>
      <c r="BN5" s="40" t="s">
        <v>86</v>
      </c>
      <c r="BO5" s="40" t="s">
        <v>129</v>
      </c>
      <c r="BP5" s="40" t="s">
        <v>86</v>
      </c>
      <c r="BQ5" s="40" t="s">
        <v>129</v>
      </c>
      <c r="BR5" s="40" t="s">
        <v>86</v>
      </c>
      <c r="BS5" s="40" t="s">
        <v>129</v>
      </c>
      <c r="BT5" s="40" t="s">
        <v>86</v>
      </c>
      <c r="BU5" s="40" t="s">
        <v>129</v>
      </c>
      <c r="BV5" s="40" t="s">
        <v>86</v>
      </c>
      <c r="BW5" s="40" t="s">
        <v>129</v>
      </c>
    </row>
    <row r="6" spans="1:75">
      <c r="A6" s="78" t="s">
        <v>266</v>
      </c>
      <c r="B6" s="79"/>
      <c r="C6" s="80">
        <f>SUM(D6:BW6)</f>
        <v>562672.70000000007</v>
      </c>
      <c r="D6" s="79"/>
      <c r="E6" s="80">
        <f>'ARL Sum'!$C$6</f>
        <v>34362.15</v>
      </c>
      <c r="F6" s="79"/>
      <c r="G6" s="80">
        <f>'AUS1 Sum'!$C$6</f>
        <v>47534.87</v>
      </c>
      <c r="H6" s="79"/>
      <c r="I6" s="80">
        <f>'DAL Sum'!$C$6</f>
        <v>24167.85</v>
      </c>
      <c r="J6" s="79"/>
      <c r="K6" s="80">
        <f>'E-P Sum'!$C$6</f>
        <v>19488.8</v>
      </c>
      <c r="L6" s="79"/>
      <c r="M6" s="80">
        <f>'RGV1 Sum'!$C$6</f>
        <v>28382.37</v>
      </c>
      <c r="N6" s="79"/>
      <c r="O6" s="80">
        <f>'P-B Sum'!$C$6</f>
        <v>4255.68</v>
      </c>
      <c r="P6" s="79"/>
      <c r="Q6" s="80">
        <f>'S-A Sum'!$C$6</f>
        <v>28396.57</v>
      </c>
      <c r="R6" s="79"/>
      <c r="S6" s="80">
        <f>'TYL Sum'!$C$6</f>
        <v>7607.2</v>
      </c>
      <c r="T6" s="79"/>
      <c r="U6" s="80">
        <f>'TAMU Sum'!$C$6</f>
        <v>58149.98</v>
      </c>
      <c r="V6" s="79"/>
      <c r="W6" s="80">
        <f>'TAMUG Sum'!$C$6</f>
        <v>1732.87</v>
      </c>
      <c r="X6" s="79"/>
      <c r="Y6" s="80">
        <f>'PVAMU Sum'!$C$6</f>
        <v>8069.33</v>
      </c>
      <c r="Z6" s="79"/>
      <c r="AA6" s="80">
        <f>'TARLST Sum'!$C$6</f>
        <v>11555.57</v>
      </c>
      <c r="AB6" s="79"/>
      <c r="AC6" s="80">
        <f>'TAMUCC Sum'!$C$6</f>
        <v>9336.2800000000007</v>
      </c>
      <c r="AD6" s="79"/>
      <c r="AE6" s="80">
        <f>'TAMUK Sum'!$C$6</f>
        <v>5616.08</v>
      </c>
      <c r="AF6" s="79"/>
      <c r="AG6" s="80">
        <f>'TAMUCT Sum'!$C$6</f>
        <v>1606.96</v>
      </c>
      <c r="AH6" s="79"/>
      <c r="AI6" s="80">
        <f>'TAMUSA Sum'!$C$6</f>
        <v>4763.3599999999997</v>
      </c>
      <c r="AJ6" s="79"/>
      <c r="AK6" s="80">
        <f>'TAMIU Sum'!$C$6</f>
        <v>6962.28</v>
      </c>
      <c r="AL6" s="79"/>
      <c r="AM6" s="80">
        <f>'WTAMU Sum'!$C$6</f>
        <v>7724.93</v>
      </c>
      <c r="AN6" s="79"/>
      <c r="AO6" s="80">
        <f>'TAMUC Sum'!$C$6</f>
        <v>9311.4500000000007</v>
      </c>
      <c r="AP6" s="79"/>
      <c r="AQ6" s="80">
        <f>'TAMUT Sum'!$C$6</f>
        <v>1651.54</v>
      </c>
      <c r="AR6" s="79"/>
      <c r="AS6" s="80">
        <f>'UH1 Sum'!$C$6</f>
        <v>40310.42</v>
      </c>
      <c r="AT6" s="79"/>
      <c r="AU6" s="80">
        <f>'UHCL Sum'!$C$6</f>
        <v>6762.63</v>
      </c>
      <c r="AV6" s="79"/>
      <c r="AW6" s="80">
        <f>'UHD Sum'!$C$6</f>
        <v>11193.03</v>
      </c>
      <c r="AX6" s="79"/>
      <c r="AY6" s="80">
        <f>'UHV Sum'!$C$6</f>
        <v>3604.5</v>
      </c>
      <c r="AZ6" s="79"/>
      <c r="BA6" s="80">
        <f>'LU Sum'!$C$6</f>
        <v>13516.8</v>
      </c>
      <c r="BB6" s="79"/>
      <c r="BC6" s="80">
        <f>'shsu1 Sum'!$C$6</f>
        <v>17594.09</v>
      </c>
      <c r="BD6" s="79"/>
      <c r="BE6" s="80">
        <f>'TXST Sum'!$C$6</f>
        <v>31295.23</v>
      </c>
      <c r="BF6" s="79"/>
      <c r="BG6" s="80">
        <f>'SRSU Sum'!$C$6</f>
        <v>1712.5099999999998</v>
      </c>
      <c r="BH6" s="79"/>
      <c r="BI6" s="80">
        <f>'TTU Sum'!$C$6</f>
        <v>36035.31</v>
      </c>
      <c r="BJ6" s="79"/>
      <c r="BK6" s="80">
        <f>'ASU Sum'!$C$6</f>
        <v>7617.63</v>
      </c>
      <c r="BL6" s="79"/>
      <c r="BM6" s="80">
        <f>'UNT Sum'!$C$6</f>
        <v>34726.76</v>
      </c>
      <c r="BN6" s="79"/>
      <c r="BO6" s="80">
        <f>'UNTD Sum'!$C$6</f>
        <v>3464.14</v>
      </c>
      <c r="BP6" s="79"/>
      <c r="BQ6" s="80">
        <f>'MidWST Sum'!$C$6</f>
        <v>4322.33</v>
      </c>
      <c r="BR6" s="79"/>
      <c r="BS6" s="80">
        <f>'SFA Sum'!$C$6</f>
        <v>10368.98</v>
      </c>
      <c r="BT6" s="79"/>
      <c r="BU6" s="80">
        <f>'TSU Sum'!$C$6</f>
        <v>6445.64</v>
      </c>
      <c r="BV6" s="79"/>
      <c r="BW6" s="80">
        <f>'TWU Sum'!$C$6</f>
        <v>13026.58</v>
      </c>
    </row>
    <row r="7" spans="1:75">
      <c r="C7" s="98" t="str">
        <f>IF(C6&lt;&gt;'Smmy Sum'!C42,"Error","")</f>
        <v/>
      </c>
      <c r="E7" s="98" t="str">
        <f>IF(E6&lt;&gt;'ARL Sum'!$C$6,"Error","")</f>
        <v/>
      </c>
      <c r="G7" s="98" t="str">
        <f>IF(G6&lt;&gt;'AUS1 Sum'!$C$6,"Error","")</f>
        <v/>
      </c>
      <c r="I7" s="98" t="str">
        <f>IF(I6&lt;&gt;'DAL Sum'!$C$6,"Error","")</f>
        <v/>
      </c>
      <c r="K7" s="98" t="str">
        <f>IF(K6&lt;&gt;'E-P Sum'!$C$6,"Error","")</f>
        <v/>
      </c>
      <c r="M7" s="98" t="str">
        <f>IF(M6&lt;&gt;'RGV1 Sum'!$C$6,"Error","")</f>
        <v/>
      </c>
      <c r="O7" s="98" t="str">
        <f>IF(O6&lt;&gt;'P-B Sum'!$C$6,"Error","")</f>
        <v/>
      </c>
      <c r="Q7" s="98" t="str">
        <f>IF(Q6&lt;&gt;'S-A Sum'!$C$6,"Error","")</f>
        <v/>
      </c>
      <c r="S7" s="98" t="str">
        <f>IF(S6&lt;&gt;'TYL Sum'!$C$6,"Error","")</f>
        <v/>
      </c>
      <c r="U7" s="98" t="str">
        <f>IF(U6&lt;&gt;'TAMU Sum'!$C$6,"Error","")</f>
        <v/>
      </c>
      <c r="W7" s="98" t="str">
        <f>IF(W6&lt;&gt;'TAMUG Sum'!$C$6,"Error","")</f>
        <v/>
      </c>
      <c r="Y7" s="98" t="str">
        <f>IF(Y6&lt;&gt;'PVAMU Sum'!$C$6,"Error","")</f>
        <v/>
      </c>
      <c r="AA7" s="98" t="str">
        <f>IF(AA6&lt;&gt;'TARLST Sum'!$C$6,"Error","")</f>
        <v/>
      </c>
      <c r="AC7" s="98" t="str">
        <f>IF(AC6&lt;&gt;'TAMUCC Sum'!$C$6,"Error","")</f>
        <v/>
      </c>
      <c r="AE7" s="98" t="str">
        <f>IF(AE6&lt;&gt;'TAMUK Sum'!$C$6,"Error","")</f>
        <v/>
      </c>
      <c r="AG7" s="98" t="str">
        <f>IF(AG6&lt;&gt;'TAMUCT Sum'!$C$6,"Error","")</f>
        <v/>
      </c>
      <c r="AI7" s="98" t="str">
        <f>IF(AI6&lt;&gt;'TAMUSA Sum'!$C$6,"Error","")</f>
        <v/>
      </c>
      <c r="AK7" s="98" t="str">
        <f>IF(AK6&lt;&gt;'TAMIU Sum'!$C$6,"Error","")</f>
        <v/>
      </c>
      <c r="AM7" s="98" t="str">
        <f>IF(AM6&lt;&gt;'WTAMU Sum'!$C$6,"Error","")</f>
        <v/>
      </c>
      <c r="AO7" s="98" t="str">
        <f>IF(AO6&lt;&gt;'TAMUC Sum'!$C$6,"Error","")</f>
        <v/>
      </c>
      <c r="AQ7" s="98" t="str">
        <f>IF(AQ6&lt;&gt;'TAMUT Sum'!$C$6,"Error","")</f>
        <v/>
      </c>
      <c r="AS7" s="98" t="str">
        <f>IF(AS6&lt;&gt;'UH1 Sum'!$C$6,"Error","")</f>
        <v/>
      </c>
      <c r="AU7" s="98" t="str">
        <f>IF(AU6&lt;&gt;'UHCL Sum'!$C$6,"Error","")</f>
        <v/>
      </c>
      <c r="AW7" s="98" t="str">
        <f>IF(AW6&lt;&gt;'UHD Sum'!$C$6,"Error","")</f>
        <v/>
      </c>
      <c r="AY7" s="98" t="str">
        <f>IF(AY6&lt;&gt;'UHV Sum'!$C$6,"Error","")</f>
        <v/>
      </c>
      <c r="BA7" s="98" t="str">
        <f>IF(BA6&lt;&gt;'LU Sum'!$C$6,"Error","")</f>
        <v/>
      </c>
      <c r="BC7" s="98" t="str">
        <f>IF(BC6&lt;&gt;'shsu1 Sum'!$C$6,"Error","")</f>
        <v/>
      </c>
      <c r="BE7" s="98" t="str">
        <f>IF(BE6&lt;&gt;'TXST Sum'!$C$6,"Error","")</f>
        <v/>
      </c>
      <c r="BG7" s="98" t="str">
        <f>IF(BG6&lt;&gt;'SRSU Sum'!$C$6,"Error","")</f>
        <v/>
      </c>
      <c r="BI7" s="98" t="str">
        <f>IF(BI6&lt;&gt;'TTU Sum'!$C$6,"Error","")</f>
        <v/>
      </c>
      <c r="BK7" s="98" t="str">
        <f>IF(BK6&lt;&gt;'ASU Sum'!$C$6,"Error","")</f>
        <v/>
      </c>
      <c r="BM7" s="98" t="str">
        <f>IF(BM6&lt;&gt;'UNT Sum'!$C$6,"Error","")</f>
        <v/>
      </c>
      <c r="BO7" s="98" t="str">
        <f>IF(BO6&lt;&gt;'UNTD Sum'!$C$6,"Error","")</f>
        <v/>
      </c>
      <c r="BQ7" s="98" t="str">
        <f>IF(BQ6&lt;&gt;'MidWST Sum'!$C$6,"Error","")</f>
        <v/>
      </c>
      <c r="BS7" s="98" t="str">
        <f>IF(BS6&lt;&gt;'SFA Sum'!$C$6,"Error","")</f>
        <v/>
      </c>
      <c r="BU7" s="98" t="str">
        <f>IF(BU6&lt;&gt;'TSU Sum'!$C$6,"Error","")</f>
        <v/>
      </c>
      <c r="BW7" s="98" t="str">
        <f>IF(BW6&lt;&gt;'TWU Sum'!$C$6,"Error","")</f>
        <v/>
      </c>
    </row>
    <row r="8" spans="1:75">
      <c r="A8" s="81" t="s">
        <v>71</v>
      </c>
      <c r="B8" s="81"/>
      <c r="C8" s="81"/>
      <c r="D8" s="81"/>
      <c r="E8" s="81"/>
      <c r="F8" s="81"/>
      <c r="G8" s="81"/>
      <c r="H8" s="81"/>
      <c r="I8" s="81"/>
      <c r="J8" s="81"/>
      <c r="K8" s="81"/>
      <c r="L8" s="81"/>
      <c r="M8" s="81"/>
      <c r="N8" s="81"/>
      <c r="O8" s="81"/>
      <c r="P8" s="81"/>
      <c r="Q8" s="81"/>
      <c r="R8" s="81"/>
      <c r="S8" s="81"/>
      <c r="T8" s="81"/>
      <c r="U8" s="81"/>
      <c r="V8" s="81"/>
      <c r="W8" s="81"/>
      <c r="X8" s="81"/>
      <c r="Y8" s="81"/>
      <c r="Z8" s="81"/>
      <c r="AA8" s="81"/>
      <c r="AB8" s="81"/>
      <c r="AC8" s="81"/>
      <c r="AD8" s="81"/>
      <c r="AE8" s="81"/>
      <c r="AF8" s="81"/>
      <c r="AG8" s="81"/>
      <c r="AH8" s="81"/>
      <c r="AI8" s="81"/>
      <c r="AJ8" s="81"/>
      <c r="AK8" s="81"/>
      <c r="AL8" s="81"/>
      <c r="AM8" s="81"/>
      <c r="AN8" s="81"/>
      <c r="AO8" s="81"/>
      <c r="AP8" s="81"/>
      <c r="AQ8" s="81"/>
      <c r="AR8" s="81"/>
      <c r="AS8" s="81"/>
      <c r="AT8" s="81"/>
      <c r="AU8" s="81"/>
      <c r="AV8" s="81"/>
      <c r="AW8" s="81"/>
      <c r="AX8" s="81"/>
      <c r="AY8" s="81"/>
      <c r="AZ8" s="81"/>
      <c r="BA8" s="81"/>
      <c r="BB8" s="81"/>
      <c r="BC8" s="81"/>
      <c r="BD8" s="81"/>
      <c r="BE8" s="81"/>
      <c r="BF8" s="81"/>
      <c r="BG8" s="81"/>
      <c r="BH8" s="81"/>
      <c r="BI8" s="81"/>
      <c r="BJ8" s="81"/>
      <c r="BK8" s="81"/>
      <c r="BL8" s="81"/>
      <c r="BM8" s="81"/>
      <c r="BN8" s="81"/>
      <c r="BO8" s="81"/>
      <c r="BP8" s="81"/>
      <c r="BQ8" s="81"/>
      <c r="BR8" s="81"/>
      <c r="BS8" s="81"/>
      <c r="BT8" s="81"/>
      <c r="BU8" s="81"/>
      <c r="BV8" s="81"/>
      <c r="BW8" s="81"/>
    </row>
    <row r="9" spans="1:75" ht="12.75" customHeight="1">
      <c r="A9" s="78" t="s">
        <v>0</v>
      </c>
      <c r="B9" s="82"/>
      <c r="C9" s="91"/>
      <c r="D9" s="91"/>
      <c r="E9" s="91"/>
      <c r="F9" s="91"/>
      <c r="G9" s="91"/>
      <c r="H9" s="91"/>
      <c r="I9" s="91"/>
      <c r="J9" s="91"/>
      <c r="K9" s="91"/>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2"/>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row>
    <row r="10" spans="1:75" ht="12.75" customHeight="1">
      <c r="A10" s="75" t="s">
        <v>1</v>
      </c>
      <c r="B10" s="83">
        <f>SUMIF(D$70:BW$70,$B$70,D10:BW10)</f>
        <v>3049059798</v>
      </c>
      <c r="C10" s="87">
        <f>ROUND(B10/C$6,0)</f>
        <v>5419</v>
      </c>
      <c r="D10" s="87">
        <f>'ARL FGD'!$M10</f>
        <v>144637415</v>
      </c>
      <c r="E10" s="87">
        <f>ROUND(D10/E$6,0)</f>
        <v>4209</v>
      </c>
      <c r="F10" s="87">
        <f>'AUS1 FGD'!$M10</f>
        <v>327739839</v>
      </c>
      <c r="G10" s="87">
        <f>ROUND(F10/G$6,0)</f>
        <v>6895</v>
      </c>
      <c r="H10" s="87">
        <f>'DAL FGD'!$M10</f>
        <v>109811580</v>
      </c>
      <c r="I10" s="87">
        <f>ROUND(H10/I$6,0)</f>
        <v>4544</v>
      </c>
      <c r="J10" s="87">
        <f>'E-P FGD'!$M10</f>
        <v>109854473</v>
      </c>
      <c r="K10" s="87">
        <f>ROUND(J10/K$6,0)</f>
        <v>5637</v>
      </c>
      <c r="L10" s="83">
        <f>'RGV1 FGD'!$M10</f>
        <v>111961783</v>
      </c>
      <c r="M10" s="83">
        <f>ROUND(L10/M$6,0)</f>
        <v>3945</v>
      </c>
      <c r="N10" s="83">
        <f>'P-B FGD'!$M10</f>
        <v>33419456</v>
      </c>
      <c r="O10" s="83">
        <f>ROUND(N10/O$6,0)</f>
        <v>7853</v>
      </c>
      <c r="P10" s="83">
        <f>'S-A FGD'!$M10</f>
        <v>136194839</v>
      </c>
      <c r="Q10" s="83">
        <f>ROUND(P10/Q$6,0)</f>
        <v>4796</v>
      </c>
      <c r="R10" s="83">
        <f>'TYL FGD'!$M10</f>
        <v>40081857</v>
      </c>
      <c r="S10" s="83">
        <f>ROUND(R10/S$6,0)</f>
        <v>5269</v>
      </c>
      <c r="T10" s="83">
        <f>'TAMU FGD'!$M10</f>
        <v>367550412</v>
      </c>
      <c r="U10" s="83">
        <f>ROUND(T10/U$6,0)</f>
        <v>6321</v>
      </c>
      <c r="V10" s="83">
        <f>'TAMUG FGD'!$M10</f>
        <v>70229913</v>
      </c>
      <c r="W10" s="83">
        <f>ROUND(V10/W$6,0)</f>
        <v>40528</v>
      </c>
      <c r="X10" s="83">
        <f>'PVAMU FGD'!$M10</f>
        <v>55711045</v>
      </c>
      <c r="Y10" s="83">
        <f>ROUND(X10/Y$6,0)</f>
        <v>6904</v>
      </c>
      <c r="Z10" s="83">
        <f>'TARLST FGD'!$M10</f>
        <v>53590196</v>
      </c>
      <c r="AA10" s="83">
        <f>ROUND(Z10/AA$6,0)</f>
        <v>4638</v>
      </c>
      <c r="AB10" s="83">
        <f>'TAMUCC FGD'!$M10</f>
        <v>59915259</v>
      </c>
      <c r="AC10" s="83">
        <f>ROUND(AB10/AC$6,0)</f>
        <v>6417</v>
      </c>
      <c r="AD10" s="83">
        <f>'TAMUK FGD'!$M10</f>
        <v>44491731</v>
      </c>
      <c r="AE10" s="83">
        <f>ROUND(AD10/AE$6,0)</f>
        <v>7922</v>
      </c>
      <c r="AF10" s="83">
        <f>'TAMUCT FGD'!$M10</f>
        <v>18317955</v>
      </c>
      <c r="AG10" s="83">
        <f>ROUND(AF10/AG$6,0)</f>
        <v>11399</v>
      </c>
      <c r="AH10" s="83">
        <f>'TAMUSA FGD'!$M10</f>
        <v>35219375</v>
      </c>
      <c r="AI10" s="83">
        <f>ROUND(AH10/AI$6,0)</f>
        <v>7394</v>
      </c>
      <c r="AJ10" s="83">
        <f>'TAMIU FGD'!$M10</f>
        <v>36675060</v>
      </c>
      <c r="AK10" s="83">
        <f>ROUND(AJ10/AK$6,0)</f>
        <v>5268</v>
      </c>
      <c r="AL10" s="83">
        <f>'WTAMU FGD'!$M10</f>
        <v>41246915</v>
      </c>
      <c r="AM10" s="83">
        <f>ROUND(AL10/AM$6,0)</f>
        <v>5339</v>
      </c>
      <c r="AN10" s="83">
        <f>'TAMUC FGD'!$M10</f>
        <v>51928693</v>
      </c>
      <c r="AO10" s="83">
        <f>ROUND(AN10/AO$6,0)</f>
        <v>5577</v>
      </c>
      <c r="AP10" s="83">
        <f>'TAMUT FGD'!$M10</f>
        <v>25514271</v>
      </c>
      <c r="AQ10" s="83">
        <f>ROUND(AP10/AQ$6,0)</f>
        <v>15449</v>
      </c>
      <c r="AR10" s="83">
        <f>'UH1 FGD'!$M10</f>
        <v>204365435</v>
      </c>
      <c r="AS10" s="83">
        <f>ROUND(AR10/AS$6,0)</f>
        <v>5070</v>
      </c>
      <c r="AT10" s="83">
        <f>'UHCL FGD'!$M10</f>
        <v>34963937</v>
      </c>
      <c r="AU10" s="83">
        <f>ROUND(AT10/AU$6,0)</f>
        <v>5170</v>
      </c>
      <c r="AV10" s="83">
        <f>'UHD FGD'!$M10</f>
        <v>29937476</v>
      </c>
      <c r="AW10" s="83">
        <f>ROUND(AV10/AW$6,0)</f>
        <v>2675</v>
      </c>
      <c r="AX10" s="83">
        <f>'UHV FGD'!$M10</f>
        <v>17625883</v>
      </c>
      <c r="AY10" s="83">
        <f>ROUND(AX10/AY$6,0)</f>
        <v>4890</v>
      </c>
      <c r="AZ10" s="83">
        <f>'LU FGD'!$M10</f>
        <v>58912199</v>
      </c>
      <c r="BA10" s="83">
        <f>ROUND(AZ10/BA$6,0)</f>
        <v>4358</v>
      </c>
      <c r="BB10" s="83">
        <f>'shsu1 FGD'!$M10</f>
        <v>69852319</v>
      </c>
      <c r="BC10" s="83">
        <f>ROUND(BB10/BC$6,0)</f>
        <v>3970</v>
      </c>
      <c r="BD10" s="83">
        <f>'TXST FGD'!$M10</f>
        <v>138011843</v>
      </c>
      <c r="BE10" s="83">
        <f>ROUND(BD10/BE$6,0)</f>
        <v>4410</v>
      </c>
      <c r="BF10" s="83">
        <f>'SRSU FGD'!$M10</f>
        <v>19241603</v>
      </c>
      <c r="BG10" s="83">
        <f>ROUND(BF10/BG$6,0)</f>
        <v>11236</v>
      </c>
      <c r="BH10" s="83">
        <f>'TTU FGD'!$M10</f>
        <v>194264324</v>
      </c>
      <c r="BI10" s="83">
        <f>ROUND(BH10/BI$6,0)</f>
        <v>5391</v>
      </c>
      <c r="BJ10" s="83">
        <f>'ASU FGD'!$M10</f>
        <v>35544538</v>
      </c>
      <c r="BK10" s="83">
        <f>ROUND(BJ10/BK$6,0)</f>
        <v>4666</v>
      </c>
      <c r="BL10" s="83">
        <f>'UNT FGD'!$M10</f>
        <v>134981091</v>
      </c>
      <c r="BM10" s="83">
        <f>ROUND(BL10/BM$6,0)</f>
        <v>3887</v>
      </c>
      <c r="BN10" s="83">
        <f>'UNTD FGD'!$M10</f>
        <v>26574019</v>
      </c>
      <c r="BO10" s="83">
        <f>ROUND(BN10/BO$6,0)</f>
        <v>7671</v>
      </c>
      <c r="BP10" s="83">
        <f>'MidWST FGD'!$M10</f>
        <v>26399431</v>
      </c>
      <c r="BQ10" s="83">
        <f>ROUND(BP10/BQ$6,0)</f>
        <v>6108</v>
      </c>
      <c r="BR10" s="83">
        <f>'SFA FGD'!$M10</f>
        <v>47150002</v>
      </c>
      <c r="BS10" s="83">
        <f>ROUND(BR10/BS$6,0)</f>
        <v>4547</v>
      </c>
      <c r="BT10" s="83">
        <f>'TSU FGD'!$M10</f>
        <v>62046473</v>
      </c>
      <c r="BU10" s="83">
        <f>ROUND(BT10/BU$6,0)</f>
        <v>9626</v>
      </c>
      <c r="BV10" s="83">
        <f>'TWU FGD'!$M10</f>
        <v>75097158</v>
      </c>
      <c r="BW10" s="83">
        <f>ROUND(BV10/BW$6,0)</f>
        <v>5765</v>
      </c>
    </row>
    <row r="11" spans="1:75" ht="12.75" customHeight="1">
      <c r="A11" s="75" t="s">
        <v>2</v>
      </c>
      <c r="B11" s="86">
        <f>SUMIF(D$70:BW$70,$B$70,D11:BW11)</f>
        <v>570351682</v>
      </c>
      <c r="C11" s="87">
        <f t="shared" ref="C11:C14" si="0">ROUND(B11/C$6,0)</f>
        <v>1014</v>
      </c>
      <c r="D11" s="86">
        <f>'ARL FGD'!$M11</f>
        <v>16133769</v>
      </c>
      <c r="E11" s="87">
        <f t="shared" ref="E11:E14" si="1">ROUND(D11/E$6,0)</f>
        <v>470</v>
      </c>
      <c r="F11" s="86">
        <f>'AUS1 FGD'!$M11</f>
        <v>59642797</v>
      </c>
      <c r="G11" s="87">
        <f t="shared" ref="G11:G14" si="2">ROUND(F11/G$6,0)</f>
        <v>1255</v>
      </c>
      <c r="H11" s="86">
        <f>'DAL FGD'!$M11</f>
        <v>19621467</v>
      </c>
      <c r="I11" s="87">
        <f t="shared" ref="I11:I14" si="3">ROUND(H11/I$6,0)</f>
        <v>812</v>
      </c>
      <c r="J11" s="86">
        <f>'E-P FGD'!$M11</f>
        <v>23481120</v>
      </c>
      <c r="K11" s="87">
        <f t="shared" ref="K11:K14" si="4">ROUND(J11/K$6,0)</f>
        <v>1205</v>
      </c>
      <c r="L11" s="86">
        <f>'RGV1 FGD'!$M11</f>
        <v>40871161</v>
      </c>
      <c r="M11" s="87">
        <f t="shared" ref="M11:M14" si="5">ROUND(L11/M$6,0)</f>
        <v>1440</v>
      </c>
      <c r="N11" s="86">
        <f>'P-B FGD'!$M11</f>
        <v>9597022</v>
      </c>
      <c r="O11" s="87">
        <f t="shared" ref="O11:O14" si="6">ROUND(N11/O$6,0)</f>
        <v>2255</v>
      </c>
      <c r="P11" s="86">
        <f>'S-A FGD'!$M11</f>
        <v>25981574</v>
      </c>
      <c r="Q11" s="87">
        <f t="shared" ref="Q11:Q14" si="7">ROUND(P11/Q$6,0)</f>
        <v>915</v>
      </c>
      <c r="R11" s="86">
        <f>'TYL FGD'!$M11</f>
        <v>12773658</v>
      </c>
      <c r="S11" s="87">
        <f t="shared" ref="S11:S14" si="8">ROUND(R11/S$6,0)</f>
        <v>1679</v>
      </c>
      <c r="T11" s="86">
        <f>'TAMU FGD'!$M11</f>
        <v>81571094</v>
      </c>
      <c r="U11" s="87">
        <f t="shared" ref="U11:U14" si="9">ROUND(T11/U$6,0)</f>
        <v>1403</v>
      </c>
      <c r="V11" s="86">
        <f>'TAMUG FGD'!$M11</f>
        <v>776502</v>
      </c>
      <c r="W11" s="87">
        <f t="shared" ref="W11:W14" si="10">ROUND(V11/W$6,0)</f>
        <v>448</v>
      </c>
      <c r="X11" s="86">
        <f>'PVAMU FGD'!$M11</f>
        <v>13058194</v>
      </c>
      <c r="Y11" s="87">
        <f t="shared" ref="Y11:Y14" si="11">ROUND(X11/Y$6,0)</f>
        <v>1618</v>
      </c>
      <c r="Z11" s="86">
        <f>'TARLST FGD'!$M11</f>
        <v>9353596</v>
      </c>
      <c r="AA11" s="87">
        <f t="shared" ref="AA11:AA14" si="12">ROUND(Z11/AA$6,0)</f>
        <v>809</v>
      </c>
      <c r="AB11" s="86">
        <f>'TAMUCC FGD'!$M11</f>
        <v>9331648</v>
      </c>
      <c r="AC11" s="87">
        <f t="shared" ref="AC11:AC14" si="13">ROUND(AB11/AC$6,0)</f>
        <v>1000</v>
      </c>
      <c r="AD11" s="86">
        <f>'TAMUK FGD'!$M11</f>
        <v>9132526</v>
      </c>
      <c r="AE11" s="87">
        <f t="shared" ref="AE11:AE14" si="14">ROUND(AD11/AE$6,0)</f>
        <v>1626</v>
      </c>
      <c r="AF11" s="86">
        <f>'TAMUCT FGD'!$M11</f>
        <v>476509</v>
      </c>
      <c r="AG11" s="87">
        <f t="shared" ref="AG11:AG14" si="15">ROUND(AF11/AG$6,0)</f>
        <v>297</v>
      </c>
      <c r="AH11" s="86">
        <f>'TAMUSA FGD'!$M11</f>
        <v>2867314</v>
      </c>
      <c r="AI11" s="87">
        <f t="shared" ref="AI11:AI14" si="16">ROUND(AH11/AI$6,0)</f>
        <v>602</v>
      </c>
      <c r="AJ11" s="86">
        <f>'TAMIU FGD'!$M11</f>
        <v>12457632</v>
      </c>
      <c r="AK11" s="87">
        <f t="shared" ref="AK11:AK14" si="17">ROUND(AJ11/AK$6,0)</f>
        <v>1789</v>
      </c>
      <c r="AL11" s="86">
        <f>'WTAMU FGD'!$M11</f>
        <v>5803580</v>
      </c>
      <c r="AM11" s="87">
        <f t="shared" ref="AM11:AM14" si="18">ROUND(AL11/AM$6,0)</f>
        <v>751</v>
      </c>
      <c r="AN11" s="86">
        <f>'TAMUC FGD'!$M11</f>
        <v>7159434</v>
      </c>
      <c r="AO11" s="87">
        <f t="shared" ref="AO11:AO14" si="19">ROUND(AN11/AO$6,0)</f>
        <v>769</v>
      </c>
      <c r="AP11" s="86">
        <f>'TAMUT FGD'!$M11</f>
        <v>1012489</v>
      </c>
      <c r="AQ11" s="87">
        <f t="shared" ref="AQ11:AQ14" si="20">ROUND(AP11/AQ$6,0)</f>
        <v>613</v>
      </c>
      <c r="AR11" s="86">
        <f>'UH1 FGD'!$M11</f>
        <v>44698087</v>
      </c>
      <c r="AS11" s="87">
        <f t="shared" ref="AS11:AS14" si="21">ROUND(AR11/AS$6,0)</f>
        <v>1109</v>
      </c>
      <c r="AT11" s="86">
        <f>'UHCL FGD'!$M11</f>
        <v>4361218</v>
      </c>
      <c r="AU11" s="87">
        <f t="shared" ref="AU11:AU14" si="22">ROUND(AT11/AU$6,0)</f>
        <v>645</v>
      </c>
      <c r="AV11" s="86">
        <f>'UHD FGD'!$M11</f>
        <v>8952451</v>
      </c>
      <c r="AW11" s="87">
        <f t="shared" ref="AW11:AW14" si="23">ROUND(AV11/AW$6,0)</f>
        <v>800</v>
      </c>
      <c r="AX11" s="86">
        <f>'UHV FGD'!$M11</f>
        <v>2242058</v>
      </c>
      <c r="AY11" s="87">
        <f t="shared" ref="AY11:AY14" si="24">ROUND(AX11/AY$6,0)</f>
        <v>622</v>
      </c>
      <c r="AZ11" s="86">
        <f>'LU FGD'!$M11</f>
        <v>7016227</v>
      </c>
      <c r="BA11" s="87">
        <f t="shared" ref="BA11:BA14" si="25">ROUND(AZ11/BA$6,0)</f>
        <v>519</v>
      </c>
      <c r="BB11" s="86">
        <f>'shsu1 FGD'!$M11</f>
        <v>19252206</v>
      </c>
      <c r="BC11" s="87">
        <f t="shared" ref="BC11:BC14" si="26">ROUND(BB11/BC$6,0)</f>
        <v>1094</v>
      </c>
      <c r="BD11" s="86">
        <f>'TXST FGD'!$M11</f>
        <v>31224489</v>
      </c>
      <c r="BE11" s="87">
        <f t="shared" ref="BE11:BE14" si="27">ROUND(BD11/BE$6,0)</f>
        <v>998</v>
      </c>
      <c r="BF11" s="86">
        <f>'SRSU FGD'!$M11</f>
        <v>1819893</v>
      </c>
      <c r="BG11" s="87">
        <f t="shared" ref="BG11:BG14" si="28">ROUND(BF11/BG$6,0)</f>
        <v>1063</v>
      </c>
      <c r="BH11" s="86">
        <f>'TTU FGD'!$M11</f>
        <v>19483316</v>
      </c>
      <c r="BI11" s="87">
        <f t="shared" ref="BI11:BI14" si="29">ROUND(BH11/BI$6,0)</f>
        <v>541</v>
      </c>
      <c r="BJ11" s="86">
        <f>'ASU FGD'!$M11</f>
        <v>6976789</v>
      </c>
      <c r="BK11" s="87">
        <f t="shared" ref="BK11:BK14" si="30">ROUND(BJ11/BK$6,0)</f>
        <v>916</v>
      </c>
      <c r="BL11" s="86">
        <f>'UNT FGD'!$M11</f>
        <v>31665422</v>
      </c>
      <c r="BM11" s="87">
        <f t="shared" ref="BM11:BM14" si="31">ROUND(BL11/BM$6,0)</f>
        <v>912</v>
      </c>
      <c r="BN11" s="86">
        <f>'UNTD FGD'!$M11</f>
        <v>3499525</v>
      </c>
      <c r="BO11" s="87">
        <f t="shared" ref="BO11:BO14" si="32">ROUND(BN11/BO$6,0)</f>
        <v>1010</v>
      </c>
      <c r="BP11" s="86">
        <f>'MidWST FGD'!$M11</f>
        <v>4315966</v>
      </c>
      <c r="BQ11" s="87">
        <f t="shared" ref="BQ11:BQ14" si="33">ROUND(BP11/BQ$6,0)</f>
        <v>999</v>
      </c>
      <c r="BR11" s="86">
        <f>'SFA FGD'!$M11</f>
        <v>11746071</v>
      </c>
      <c r="BS11" s="87">
        <f t="shared" ref="BS11:BS14" si="34">ROUND(BR11/BS$6,0)</f>
        <v>1133</v>
      </c>
      <c r="BT11" s="86">
        <f>'TSU FGD'!$M11</f>
        <v>5801875</v>
      </c>
      <c r="BU11" s="87">
        <f t="shared" ref="BU11:BU14" si="35">ROUND(BT11/BU$6,0)</f>
        <v>900</v>
      </c>
      <c r="BV11" s="86">
        <f>'TWU FGD'!$M11</f>
        <v>6193003</v>
      </c>
      <c r="BW11" s="87">
        <f t="shared" ref="BW11:BW14" si="36">ROUND(BV11/BW$6,0)</f>
        <v>475</v>
      </c>
    </row>
    <row r="12" spans="1:75" ht="12.75" hidden="1" customHeight="1">
      <c r="A12" s="75" t="s">
        <v>1411</v>
      </c>
      <c r="B12" s="86"/>
      <c r="C12" s="87"/>
      <c r="D12" s="86"/>
      <c r="E12" s="87"/>
      <c r="F12" s="86"/>
      <c r="G12" s="87"/>
      <c r="H12" s="86"/>
      <c r="I12" s="87"/>
      <c r="J12" s="86"/>
      <c r="K12" s="87"/>
      <c r="L12" s="86"/>
      <c r="M12" s="87"/>
      <c r="N12" s="86"/>
      <c r="O12" s="87"/>
      <c r="P12" s="86"/>
      <c r="Q12" s="87"/>
      <c r="R12" s="86"/>
      <c r="S12" s="87"/>
      <c r="T12" s="86"/>
      <c r="U12" s="87"/>
      <c r="V12" s="86"/>
      <c r="W12" s="87"/>
      <c r="X12" s="86"/>
      <c r="Y12" s="87"/>
      <c r="Z12" s="86"/>
      <c r="AA12" s="87"/>
      <c r="AB12" s="86"/>
      <c r="AC12" s="87"/>
      <c r="AD12" s="86"/>
      <c r="AE12" s="87"/>
      <c r="AF12" s="86"/>
      <c r="AG12" s="87"/>
      <c r="AH12" s="86"/>
      <c r="AI12" s="87"/>
      <c r="AJ12" s="86"/>
      <c r="AK12" s="87"/>
      <c r="AL12" s="86"/>
      <c r="AM12" s="87"/>
      <c r="AN12" s="86"/>
      <c r="AO12" s="87"/>
      <c r="AP12" s="86"/>
      <c r="AQ12" s="87"/>
      <c r="AR12" s="86"/>
      <c r="AS12" s="87"/>
      <c r="AT12" s="86"/>
      <c r="AU12" s="87"/>
      <c r="AV12" s="86"/>
      <c r="AW12" s="87"/>
      <c r="AX12" s="86"/>
      <c r="AY12" s="87"/>
      <c r="AZ12" s="86"/>
      <c r="BA12" s="87"/>
      <c r="BB12" s="86"/>
      <c r="BC12" s="87"/>
      <c r="BD12" s="86"/>
      <c r="BE12" s="87"/>
      <c r="BF12" s="86"/>
      <c r="BG12" s="87"/>
      <c r="BH12" s="86"/>
      <c r="BI12" s="87"/>
      <c r="BJ12" s="86"/>
      <c r="BK12" s="87"/>
      <c r="BL12" s="86"/>
      <c r="BM12" s="87"/>
      <c r="BN12" s="86"/>
      <c r="BO12" s="87"/>
      <c r="BP12" s="86"/>
      <c r="BQ12" s="87"/>
      <c r="BR12" s="86"/>
      <c r="BS12" s="87"/>
      <c r="BT12" s="86"/>
      <c r="BU12" s="87"/>
      <c r="BV12" s="86"/>
      <c r="BW12" s="87"/>
    </row>
    <row r="13" spans="1:75" ht="12.75" customHeight="1">
      <c r="A13" s="75" t="s">
        <v>1368</v>
      </c>
      <c r="B13" s="86">
        <f>SUMIF(D$70:BW$70,$B$70,D13:BW13)</f>
        <v>336493406</v>
      </c>
      <c r="C13" s="87">
        <f t="shared" si="0"/>
        <v>598</v>
      </c>
      <c r="D13" s="86">
        <f>'ARL FGD'!$M13</f>
        <v>0</v>
      </c>
      <c r="E13" s="87">
        <f t="shared" si="1"/>
        <v>0</v>
      </c>
      <c r="F13" s="86">
        <f>'AUS1 FGD'!$M13</f>
        <v>0</v>
      </c>
      <c r="G13" s="87">
        <f t="shared" si="2"/>
        <v>0</v>
      </c>
      <c r="H13" s="86">
        <f>'DAL FGD'!$M13</f>
        <v>0</v>
      </c>
      <c r="I13" s="87">
        <f t="shared" si="3"/>
        <v>0</v>
      </c>
      <c r="J13" s="86">
        <f>'E-P FGD'!$M13</f>
        <v>0</v>
      </c>
      <c r="K13" s="87">
        <f t="shared" si="4"/>
        <v>0</v>
      </c>
      <c r="L13" s="86">
        <f>'RGV1 FGD'!$M13</f>
        <v>0</v>
      </c>
      <c r="M13" s="87">
        <f t="shared" si="5"/>
        <v>0</v>
      </c>
      <c r="N13" s="86">
        <f>'P-B FGD'!$M13</f>
        <v>0</v>
      </c>
      <c r="O13" s="87">
        <f t="shared" si="6"/>
        <v>0</v>
      </c>
      <c r="P13" s="86">
        <f>'S-A FGD'!$M13</f>
        <v>0</v>
      </c>
      <c r="Q13" s="87">
        <f t="shared" si="7"/>
        <v>0</v>
      </c>
      <c r="R13" s="86">
        <f>'TYL FGD'!$M13</f>
        <v>0</v>
      </c>
      <c r="S13" s="87">
        <f t="shared" si="8"/>
        <v>0</v>
      </c>
      <c r="T13" s="86">
        <f>'TAMU FGD'!$M13</f>
        <v>0</v>
      </c>
      <c r="U13" s="87">
        <f t="shared" si="9"/>
        <v>0</v>
      </c>
      <c r="V13" s="86">
        <f>'TAMUG FGD'!$M13</f>
        <v>0</v>
      </c>
      <c r="W13" s="87">
        <f t="shared" si="10"/>
        <v>0</v>
      </c>
      <c r="X13" s="86">
        <f>'PVAMU FGD'!$M13</f>
        <v>0</v>
      </c>
      <c r="Y13" s="87">
        <f t="shared" si="11"/>
        <v>0</v>
      </c>
      <c r="Z13" s="86">
        <f>'TARLST FGD'!$M13</f>
        <v>0</v>
      </c>
      <c r="AA13" s="87">
        <f t="shared" si="12"/>
        <v>0</v>
      </c>
      <c r="AB13" s="86">
        <f>'TAMUCC FGD'!$M13</f>
        <v>11478824</v>
      </c>
      <c r="AC13" s="87">
        <f t="shared" si="13"/>
        <v>1229</v>
      </c>
      <c r="AD13" s="86">
        <f>'TAMUK FGD'!$M13</f>
        <v>8858060</v>
      </c>
      <c r="AE13" s="87">
        <f t="shared" si="14"/>
        <v>1577</v>
      </c>
      <c r="AF13" s="86">
        <f>'TAMUCT FGD'!$M13</f>
        <v>0</v>
      </c>
      <c r="AG13" s="87">
        <f t="shared" si="15"/>
        <v>0</v>
      </c>
      <c r="AH13" s="86">
        <f>'TAMUSA FGD'!$M13</f>
        <v>0</v>
      </c>
      <c r="AI13" s="87">
        <f t="shared" si="16"/>
        <v>0</v>
      </c>
      <c r="AJ13" s="86">
        <f>'TAMIU FGD'!$M13</f>
        <v>7462394</v>
      </c>
      <c r="AK13" s="87">
        <f t="shared" si="17"/>
        <v>1072</v>
      </c>
      <c r="AL13" s="86">
        <f>'WTAMU FGD'!$M13</f>
        <v>7446495</v>
      </c>
      <c r="AM13" s="87">
        <f t="shared" si="18"/>
        <v>964</v>
      </c>
      <c r="AN13" s="86">
        <f>'TAMUC FGD'!$M13</f>
        <v>11123859</v>
      </c>
      <c r="AO13" s="87">
        <f t="shared" si="19"/>
        <v>1195</v>
      </c>
      <c r="AP13" s="86">
        <f>'TAMUT FGD'!$M13</f>
        <v>2050273</v>
      </c>
      <c r="AQ13" s="87">
        <f t="shared" si="20"/>
        <v>1241</v>
      </c>
      <c r="AR13" s="86">
        <f>'UH1 FGD'!$M13</f>
        <v>54514004</v>
      </c>
      <c r="AS13" s="87">
        <f t="shared" si="21"/>
        <v>1352</v>
      </c>
      <c r="AT13" s="86">
        <f>'UHCL FGD'!$M13</f>
        <v>7726043</v>
      </c>
      <c r="AU13" s="87">
        <f t="shared" si="22"/>
        <v>1142</v>
      </c>
      <c r="AV13" s="86">
        <f>'UHD FGD'!$M13</f>
        <v>10828344</v>
      </c>
      <c r="AW13" s="87">
        <f t="shared" si="23"/>
        <v>967</v>
      </c>
      <c r="AX13" s="86">
        <f>'UHV FGD'!$M13</f>
        <v>3542817</v>
      </c>
      <c r="AY13" s="87">
        <f t="shared" si="24"/>
        <v>983</v>
      </c>
      <c r="AZ13" s="86">
        <f>'LU FGD'!$M13</f>
        <v>13141181</v>
      </c>
      <c r="BA13" s="87">
        <f t="shared" si="25"/>
        <v>972</v>
      </c>
      <c r="BB13" s="86">
        <f>'shsu1 FGD'!$M13</f>
        <v>18236811</v>
      </c>
      <c r="BC13" s="87">
        <f t="shared" si="26"/>
        <v>1037</v>
      </c>
      <c r="BD13" s="86">
        <f>'TXST FGD'!$M13</f>
        <v>37606478</v>
      </c>
      <c r="BE13" s="87">
        <f t="shared" si="27"/>
        <v>1202</v>
      </c>
      <c r="BF13" s="86">
        <f>'SRSU FGD'!$M13</f>
        <v>2624613</v>
      </c>
      <c r="BG13" s="87">
        <f t="shared" si="28"/>
        <v>1533</v>
      </c>
      <c r="BH13" s="86">
        <f>'TTU FGD'!$M13</f>
        <v>49874746</v>
      </c>
      <c r="BI13" s="87">
        <f t="shared" si="29"/>
        <v>1384</v>
      </c>
      <c r="BJ13" s="86">
        <f>'ASU FGD'!$M13</f>
        <v>6792999</v>
      </c>
      <c r="BK13" s="87">
        <f t="shared" si="30"/>
        <v>892</v>
      </c>
      <c r="BL13" s="86">
        <f>'UNT FGD'!$M13</f>
        <v>37346563</v>
      </c>
      <c r="BM13" s="87">
        <f t="shared" si="31"/>
        <v>1075</v>
      </c>
      <c r="BN13" s="86">
        <f>'UNTD FGD'!$M13</f>
        <v>3354441</v>
      </c>
      <c r="BO13" s="87">
        <f t="shared" si="32"/>
        <v>968</v>
      </c>
      <c r="BP13" s="86">
        <f>'MidWST FGD'!$M13</f>
        <v>4933200</v>
      </c>
      <c r="BQ13" s="87">
        <f t="shared" si="33"/>
        <v>1141</v>
      </c>
      <c r="BR13" s="86">
        <f>'SFA FGD'!$M13</f>
        <v>11277793</v>
      </c>
      <c r="BS13" s="87">
        <f t="shared" si="34"/>
        <v>1088</v>
      </c>
      <c r="BT13" s="86">
        <f>'TSU FGD'!$M13</f>
        <v>11719335</v>
      </c>
      <c r="BU13" s="87">
        <f t="shared" si="35"/>
        <v>1818</v>
      </c>
      <c r="BV13" s="86">
        <f>'TWU FGD'!$M13</f>
        <v>14554133</v>
      </c>
      <c r="BW13" s="87">
        <f t="shared" si="36"/>
        <v>1117</v>
      </c>
    </row>
    <row r="14" spans="1:75" ht="12.75" customHeight="1">
      <c r="A14" s="75" t="s">
        <v>49</v>
      </c>
      <c r="B14" s="86">
        <f>SUMIF(D$70:BW$70,$B$70,D14:BW14)</f>
        <v>620595609</v>
      </c>
      <c r="C14" s="87">
        <f t="shared" si="0"/>
        <v>1103</v>
      </c>
      <c r="D14" s="86">
        <f>'ARL FGD'!$M14</f>
        <v>0</v>
      </c>
      <c r="E14" s="87">
        <f t="shared" si="1"/>
        <v>0</v>
      </c>
      <c r="F14" s="86">
        <f>'AUS1 FGD'!$M14</f>
        <v>392376810</v>
      </c>
      <c r="G14" s="87">
        <f t="shared" si="2"/>
        <v>8255</v>
      </c>
      <c r="H14" s="86">
        <f>'DAL FGD'!$M14</f>
        <v>0</v>
      </c>
      <c r="I14" s="87">
        <f t="shared" si="3"/>
        <v>0</v>
      </c>
      <c r="J14" s="86">
        <f>'E-P FGD'!$M14</f>
        <v>0</v>
      </c>
      <c r="K14" s="87">
        <f t="shared" si="4"/>
        <v>0</v>
      </c>
      <c r="L14" s="86">
        <f>'RGV1 FGD'!$M14</f>
        <v>0</v>
      </c>
      <c r="M14" s="87">
        <f t="shared" si="5"/>
        <v>0</v>
      </c>
      <c r="N14" s="86">
        <f>'P-B FGD'!$M14</f>
        <v>0</v>
      </c>
      <c r="O14" s="87">
        <f t="shared" si="6"/>
        <v>0</v>
      </c>
      <c r="P14" s="86">
        <f>'S-A FGD'!$M14</f>
        <v>0</v>
      </c>
      <c r="Q14" s="87">
        <f t="shared" si="7"/>
        <v>0</v>
      </c>
      <c r="R14" s="86">
        <f>'TYL FGD'!$M14</f>
        <v>0</v>
      </c>
      <c r="S14" s="87">
        <f t="shared" si="8"/>
        <v>0</v>
      </c>
      <c r="T14" s="86">
        <f>'TAMU FGD'!$M14</f>
        <v>201614294</v>
      </c>
      <c r="U14" s="87">
        <f t="shared" si="9"/>
        <v>3467</v>
      </c>
      <c r="V14" s="86">
        <f>'TAMUG FGD'!$M14</f>
        <v>0</v>
      </c>
      <c r="W14" s="87">
        <f t="shared" si="10"/>
        <v>0</v>
      </c>
      <c r="X14" s="86">
        <f>'PVAMU FGD'!$M14</f>
        <v>26604505</v>
      </c>
      <c r="Y14" s="87">
        <f t="shared" si="11"/>
        <v>3297</v>
      </c>
      <c r="Z14" s="86">
        <f>'TARLST FGD'!$M14</f>
        <v>0</v>
      </c>
      <c r="AA14" s="87">
        <f t="shared" si="12"/>
        <v>0</v>
      </c>
      <c r="AB14" s="86">
        <f>'TAMUCC FGD'!$M14</f>
        <v>0</v>
      </c>
      <c r="AC14" s="87">
        <f t="shared" si="13"/>
        <v>0</v>
      </c>
      <c r="AD14" s="86">
        <f>'TAMUK FGD'!$M14</f>
        <v>0</v>
      </c>
      <c r="AE14" s="87">
        <f t="shared" si="14"/>
        <v>0</v>
      </c>
      <c r="AF14" s="86">
        <f>'TAMUCT FGD'!$M14</f>
        <v>0</v>
      </c>
      <c r="AG14" s="87">
        <f t="shared" si="15"/>
        <v>0</v>
      </c>
      <c r="AH14" s="86">
        <f>'TAMUSA FGD'!$M14</f>
        <v>0</v>
      </c>
      <c r="AI14" s="87">
        <f t="shared" si="16"/>
        <v>0</v>
      </c>
      <c r="AJ14" s="86">
        <f>'TAMIU FGD'!$M14</f>
        <v>0</v>
      </c>
      <c r="AK14" s="87">
        <f t="shared" si="17"/>
        <v>0</v>
      </c>
      <c r="AL14" s="86">
        <f>'WTAMU FGD'!$M14</f>
        <v>0</v>
      </c>
      <c r="AM14" s="87">
        <f t="shared" si="18"/>
        <v>0</v>
      </c>
      <c r="AN14" s="86">
        <f>'TAMUC FGD'!$M14</f>
        <v>0</v>
      </c>
      <c r="AO14" s="87">
        <f t="shared" si="19"/>
        <v>0</v>
      </c>
      <c r="AP14" s="86">
        <f>'TAMUT FGD'!$M14</f>
        <v>0</v>
      </c>
      <c r="AQ14" s="87">
        <f t="shared" si="20"/>
        <v>0</v>
      </c>
      <c r="AR14" s="86">
        <f>'UH1 FGD'!$M14</f>
        <v>0</v>
      </c>
      <c r="AS14" s="87">
        <f t="shared" si="21"/>
        <v>0</v>
      </c>
      <c r="AT14" s="86">
        <f>'UHCL FGD'!$M14</f>
        <v>0</v>
      </c>
      <c r="AU14" s="87">
        <f t="shared" si="22"/>
        <v>0</v>
      </c>
      <c r="AV14" s="86">
        <f>'UHD FGD'!$M14</f>
        <v>0</v>
      </c>
      <c r="AW14" s="87">
        <f t="shared" si="23"/>
        <v>0</v>
      </c>
      <c r="AX14" s="86">
        <f>'UHV FGD'!$M14</f>
        <v>0</v>
      </c>
      <c r="AY14" s="87">
        <f t="shared" si="24"/>
        <v>0</v>
      </c>
      <c r="AZ14" s="86">
        <f>'LU FGD'!$M14</f>
        <v>0</v>
      </c>
      <c r="BA14" s="87">
        <f t="shared" si="25"/>
        <v>0</v>
      </c>
      <c r="BB14" s="86">
        <f>'shsu1 FGD'!$M14</f>
        <v>0</v>
      </c>
      <c r="BC14" s="87">
        <f t="shared" si="26"/>
        <v>0</v>
      </c>
      <c r="BD14" s="86">
        <f>'TXST FGD'!$M14</f>
        <v>0</v>
      </c>
      <c r="BE14" s="87">
        <f t="shared" si="27"/>
        <v>0</v>
      </c>
      <c r="BF14" s="86">
        <f>'SRSU FGD'!$M14</f>
        <v>0</v>
      </c>
      <c r="BG14" s="87">
        <f t="shared" si="28"/>
        <v>0</v>
      </c>
      <c r="BH14" s="86">
        <f>'TTU FGD'!$M14</f>
        <v>0</v>
      </c>
      <c r="BI14" s="87">
        <f t="shared" si="29"/>
        <v>0</v>
      </c>
      <c r="BJ14" s="86">
        <f>'ASU FGD'!$M14</f>
        <v>0</v>
      </c>
      <c r="BK14" s="87">
        <f t="shared" si="30"/>
        <v>0</v>
      </c>
      <c r="BL14" s="86">
        <f>'UNT FGD'!$M14</f>
        <v>0</v>
      </c>
      <c r="BM14" s="87">
        <f t="shared" si="31"/>
        <v>0</v>
      </c>
      <c r="BN14" s="86">
        <f>'UNTD FGD'!$M14</f>
        <v>0</v>
      </c>
      <c r="BO14" s="87">
        <f t="shared" si="32"/>
        <v>0</v>
      </c>
      <c r="BP14" s="86">
        <f>'MidWST FGD'!$M14</f>
        <v>0</v>
      </c>
      <c r="BQ14" s="87">
        <f t="shared" si="33"/>
        <v>0</v>
      </c>
      <c r="BR14" s="86">
        <f>'SFA FGD'!$M14</f>
        <v>0</v>
      </c>
      <c r="BS14" s="87">
        <f t="shared" si="34"/>
        <v>0</v>
      </c>
      <c r="BT14" s="86">
        <f>'TSU FGD'!$M14</f>
        <v>0</v>
      </c>
      <c r="BU14" s="87">
        <f t="shared" si="35"/>
        <v>0</v>
      </c>
      <c r="BV14" s="86">
        <f>'TWU FGD'!$M14</f>
        <v>0</v>
      </c>
      <c r="BW14" s="87">
        <f t="shared" si="36"/>
        <v>0</v>
      </c>
    </row>
    <row r="15" spans="1:75" ht="12.75" customHeight="1">
      <c r="A15" s="88" t="s">
        <v>3</v>
      </c>
      <c r="B15" s="89">
        <f t="shared" ref="B15:BK15" si="37">SUM(B10:B14)</f>
        <v>4576500495</v>
      </c>
      <c r="C15" s="382">
        <f t="shared" si="37"/>
        <v>8134</v>
      </c>
      <c r="D15" s="382">
        <f t="shared" si="37"/>
        <v>160771184</v>
      </c>
      <c r="E15" s="382">
        <f t="shared" si="37"/>
        <v>4679</v>
      </c>
      <c r="F15" s="382">
        <f t="shared" si="37"/>
        <v>779759446</v>
      </c>
      <c r="G15" s="382">
        <f t="shared" si="37"/>
        <v>16405</v>
      </c>
      <c r="H15" s="382">
        <f t="shared" si="37"/>
        <v>129433047</v>
      </c>
      <c r="I15" s="382">
        <f t="shared" si="37"/>
        <v>5356</v>
      </c>
      <c r="J15" s="382">
        <f t="shared" si="37"/>
        <v>133335593</v>
      </c>
      <c r="K15" s="382">
        <f t="shared" si="37"/>
        <v>6842</v>
      </c>
      <c r="L15" s="89">
        <f t="shared" si="37"/>
        <v>152832944</v>
      </c>
      <c r="M15" s="89">
        <f t="shared" si="37"/>
        <v>5385</v>
      </c>
      <c r="N15" s="89">
        <f t="shared" si="37"/>
        <v>43016478</v>
      </c>
      <c r="O15" s="89">
        <f t="shared" si="37"/>
        <v>10108</v>
      </c>
      <c r="P15" s="89">
        <f t="shared" si="37"/>
        <v>162176413</v>
      </c>
      <c r="Q15" s="89">
        <f t="shared" si="37"/>
        <v>5711</v>
      </c>
      <c r="R15" s="89">
        <f t="shared" si="37"/>
        <v>52855515</v>
      </c>
      <c r="S15" s="89">
        <f t="shared" si="37"/>
        <v>6948</v>
      </c>
      <c r="T15" s="89">
        <f t="shared" si="37"/>
        <v>650735800</v>
      </c>
      <c r="U15" s="89">
        <f t="shared" si="37"/>
        <v>11191</v>
      </c>
      <c r="V15" s="89">
        <f t="shared" si="37"/>
        <v>71006415</v>
      </c>
      <c r="W15" s="89">
        <f t="shared" si="37"/>
        <v>40976</v>
      </c>
      <c r="X15" s="89">
        <f t="shared" si="37"/>
        <v>95373744</v>
      </c>
      <c r="Y15" s="89">
        <f t="shared" si="37"/>
        <v>11819</v>
      </c>
      <c r="Z15" s="89">
        <f t="shared" si="37"/>
        <v>62943792</v>
      </c>
      <c r="AA15" s="89">
        <f t="shared" si="37"/>
        <v>5447</v>
      </c>
      <c r="AB15" s="89">
        <f t="shared" si="37"/>
        <v>80725731</v>
      </c>
      <c r="AC15" s="89">
        <f t="shared" si="37"/>
        <v>8646</v>
      </c>
      <c r="AD15" s="89">
        <f t="shared" si="37"/>
        <v>62482317</v>
      </c>
      <c r="AE15" s="89">
        <f t="shared" si="37"/>
        <v>11125</v>
      </c>
      <c r="AF15" s="89">
        <f t="shared" si="37"/>
        <v>18794464</v>
      </c>
      <c r="AG15" s="89">
        <f t="shared" si="37"/>
        <v>11696</v>
      </c>
      <c r="AH15" s="89">
        <f t="shared" si="37"/>
        <v>38086689</v>
      </c>
      <c r="AI15" s="89">
        <f t="shared" si="37"/>
        <v>7996</v>
      </c>
      <c r="AJ15" s="89">
        <f t="shared" si="37"/>
        <v>56595086</v>
      </c>
      <c r="AK15" s="89">
        <f t="shared" si="37"/>
        <v>8129</v>
      </c>
      <c r="AL15" s="89">
        <f t="shared" si="37"/>
        <v>54496990</v>
      </c>
      <c r="AM15" s="89">
        <f t="shared" si="37"/>
        <v>7054</v>
      </c>
      <c r="AN15" s="89">
        <f t="shared" si="37"/>
        <v>70211986</v>
      </c>
      <c r="AO15" s="89">
        <f t="shared" si="37"/>
        <v>7541</v>
      </c>
      <c r="AP15" s="89">
        <f t="shared" si="37"/>
        <v>28577033</v>
      </c>
      <c r="AQ15" s="89">
        <f t="shared" si="37"/>
        <v>17303</v>
      </c>
      <c r="AR15" s="89">
        <f t="shared" si="37"/>
        <v>303577526</v>
      </c>
      <c r="AS15" s="89">
        <f t="shared" si="37"/>
        <v>7531</v>
      </c>
      <c r="AT15" s="89">
        <f t="shared" si="37"/>
        <v>47051198</v>
      </c>
      <c r="AU15" s="89">
        <f t="shared" si="37"/>
        <v>6957</v>
      </c>
      <c r="AV15" s="89">
        <f t="shared" si="37"/>
        <v>49718271</v>
      </c>
      <c r="AW15" s="89">
        <f t="shared" si="37"/>
        <v>4442</v>
      </c>
      <c r="AX15" s="89">
        <f t="shared" si="37"/>
        <v>23410758</v>
      </c>
      <c r="AY15" s="89">
        <f t="shared" si="37"/>
        <v>6495</v>
      </c>
      <c r="AZ15" s="89">
        <f t="shared" si="37"/>
        <v>79069607</v>
      </c>
      <c r="BA15" s="89">
        <f t="shared" si="37"/>
        <v>5849</v>
      </c>
      <c r="BB15" s="89">
        <f t="shared" si="37"/>
        <v>107341336</v>
      </c>
      <c r="BC15" s="89">
        <f t="shared" si="37"/>
        <v>6101</v>
      </c>
      <c r="BD15" s="89">
        <f t="shared" si="37"/>
        <v>206842810</v>
      </c>
      <c r="BE15" s="89">
        <f t="shared" si="37"/>
        <v>6610</v>
      </c>
      <c r="BF15" s="89">
        <f t="shared" si="37"/>
        <v>23686109</v>
      </c>
      <c r="BG15" s="89">
        <f t="shared" si="37"/>
        <v>13832</v>
      </c>
      <c r="BH15" s="89">
        <f t="shared" si="37"/>
        <v>263622386</v>
      </c>
      <c r="BI15" s="89">
        <f t="shared" si="37"/>
        <v>7316</v>
      </c>
      <c r="BJ15" s="89">
        <f t="shared" si="37"/>
        <v>49314326</v>
      </c>
      <c r="BK15" s="89">
        <f t="shared" si="37"/>
        <v>6474</v>
      </c>
      <c r="BL15" s="89">
        <f t="shared" ref="BL15:BW15" si="38">SUM(BL10:BL14)</f>
        <v>203993076</v>
      </c>
      <c r="BM15" s="89">
        <f t="shared" si="38"/>
        <v>5874</v>
      </c>
      <c r="BN15" s="89">
        <f t="shared" si="38"/>
        <v>33427985</v>
      </c>
      <c r="BO15" s="89">
        <f t="shared" si="38"/>
        <v>9649</v>
      </c>
      <c r="BP15" s="89">
        <f t="shared" si="38"/>
        <v>35648597</v>
      </c>
      <c r="BQ15" s="89">
        <f t="shared" si="38"/>
        <v>8248</v>
      </c>
      <c r="BR15" s="89">
        <f t="shared" si="38"/>
        <v>70173866</v>
      </c>
      <c r="BS15" s="89">
        <f t="shared" si="38"/>
        <v>6768</v>
      </c>
      <c r="BT15" s="89">
        <f t="shared" si="38"/>
        <v>79567683</v>
      </c>
      <c r="BU15" s="89">
        <f t="shared" si="38"/>
        <v>12344</v>
      </c>
      <c r="BV15" s="89">
        <f t="shared" si="38"/>
        <v>95844294</v>
      </c>
      <c r="BW15" s="89">
        <f t="shared" si="38"/>
        <v>7357</v>
      </c>
    </row>
    <row r="16" spans="1:75">
      <c r="B16" s="98" t="str">
        <f>IF(B15&lt;&gt;'Smmy Sum'!B51,"Error","")</f>
        <v/>
      </c>
      <c r="C16" s="383" t="str">
        <f>IF(C15&lt;&gt;'Smmy Sum'!$C51,"Error","")</f>
        <v/>
      </c>
      <c r="D16" s="383" t="str">
        <f>IF(D15&lt;&gt;'ARL FGD'!$M15,"Error","")</f>
        <v/>
      </c>
      <c r="E16" s="383" t="str">
        <f>IF(E15&lt;&gt;'ARL Sum'!$C15,"Error","")</f>
        <v/>
      </c>
      <c r="F16" s="383" t="str">
        <f>IF(F15&lt;&gt;'AUS1 FGD'!$M15,"Error","")</f>
        <v/>
      </c>
      <c r="G16" s="383" t="str">
        <f>IF(G15&lt;&gt;'AUS1 Sum'!$C15,"Error","")</f>
        <v/>
      </c>
      <c r="H16" s="383" t="str">
        <f>IF(H15&lt;&gt;'DAL FGD'!$M15,"Error","")</f>
        <v/>
      </c>
      <c r="I16" s="383" t="str">
        <f>IF(I15&lt;&gt;'DAL Sum'!$C15,"Error","")</f>
        <v/>
      </c>
      <c r="J16" s="383" t="str">
        <f>IF(J15&lt;&gt;'E-P FGD'!$M15,"Error","")</f>
        <v/>
      </c>
      <c r="K16" s="383" t="str">
        <f>IF(K15&lt;&gt;'E-P Sum'!$C15,"Error","")</f>
        <v/>
      </c>
      <c r="L16" s="98" t="str">
        <f>IF(L15&lt;&gt;'RGV1 FGD'!$M15,"Error","")</f>
        <v/>
      </c>
      <c r="M16" s="98" t="str">
        <f>IF(M15&lt;&gt;'RGV1 Sum'!$C15,"Error","")</f>
        <v/>
      </c>
      <c r="N16" s="98" t="str">
        <f>IF(N15&lt;&gt;'P-B FGD'!$M15,"Error","")</f>
        <v/>
      </c>
      <c r="O16" s="98" t="str">
        <f>IF(O15&lt;&gt;'P-B Sum'!$C15,"Error","")</f>
        <v/>
      </c>
      <c r="P16" s="98" t="str">
        <f>IF(P15&lt;&gt;'S-A FGD'!$M15,"Error","")</f>
        <v/>
      </c>
      <c r="Q16" s="98" t="str">
        <f>IF(Q15&lt;&gt;'S-A Sum'!$C15,"Error","")</f>
        <v/>
      </c>
      <c r="R16" s="98" t="str">
        <f>IF(R15&lt;&gt;'TYL FGD'!$M15,"Error","")</f>
        <v/>
      </c>
      <c r="S16" s="98" t="str">
        <f>IF(S15&lt;&gt;'TYL Sum'!$C15,"Error","")</f>
        <v/>
      </c>
      <c r="T16" s="98" t="str">
        <f>IF(T15&lt;&gt;'TAMU FGD'!$M15,"Error","")</f>
        <v/>
      </c>
      <c r="U16" s="98" t="str">
        <f>IF(U15&lt;&gt;'TAMU Sum'!$C15,"Error","")</f>
        <v/>
      </c>
      <c r="V16" s="98" t="str">
        <f>IF(V15&lt;&gt;'TAMUG FGD'!$M15,"Error","")</f>
        <v/>
      </c>
      <c r="W16" s="98" t="str">
        <f>IF(W15&lt;&gt;'TAMUG Sum'!$C15,"Error","")</f>
        <v/>
      </c>
      <c r="X16" s="98" t="str">
        <f>IF(X15&lt;&gt;'PVAMU FGD'!$M15,"Error","")</f>
        <v/>
      </c>
      <c r="Y16" s="98" t="str">
        <f>IF(Y15&lt;&gt;'PVAMU Sum'!$C15,"Error","")</f>
        <v/>
      </c>
      <c r="Z16" s="98" t="str">
        <f>IF(Z15&lt;&gt;'TARLST FGD'!$M15,"Error","")</f>
        <v/>
      </c>
      <c r="AA16" s="98" t="str">
        <f>IF(AA15&lt;&gt;'TARLST Sum'!$C15,"Error","")</f>
        <v/>
      </c>
      <c r="AB16" s="98" t="str">
        <f>IF(AB15&lt;&gt;'TAMUCC FGD'!$M15,"Error","")</f>
        <v/>
      </c>
      <c r="AC16" s="98" t="str">
        <f>IF(AC15&lt;&gt;'TAMUCC Sum'!$C15,"Error","")</f>
        <v/>
      </c>
      <c r="AD16" s="98" t="str">
        <f>IF(AD15&lt;&gt;'TAMUK FGD'!$M15,"Error","")</f>
        <v/>
      </c>
      <c r="AE16" s="98" t="str">
        <f>IF(AE15&lt;&gt;'TAMUK Sum'!$C15,"Error","")</f>
        <v/>
      </c>
      <c r="AF16" s="98" t="str">
        <f>IF(AF15&lt;&gt;'TAMUCT FGD'!$M15,"Error","")</f>
        <v/>
      </c>
      <c r="AG16" s="98" t="str">
        <f>IF(AG15&lt;&gt;'TAMUCT Sum'!$C15,"Error","")</f>
        <v/>
      </c>
      <c r="AH16" s="98" t="str">
        <f>IF(AH15&lt;&gt;'TAMUSA FGD'!$M15,"Error","")</f>
        <v/>
      </c>
      <c r="AI16" s="98" t="str">
        <f>IF(AI15&lt;&gt;'TAMUSA Sum'!$C15,"Error","")</f>
        <v/>
      </c>
      <c r="AJ16" s="98" t="str">
        <f>IF(AJ15&lt;&gt;'TAMIU FGD'!$M15,"Error","")</f>
        <v/>
      </c>
      <c r="AK16" s="98" t="str">
        <f>IF(AK15&lt;&gt;'TAMIU Sum'!$C15,"Error","")</f>
        <v/>
      </c>
      <c r="AL16" s="98" t="str">
        <f>IF(AL15&lt;&gt;'WTAMU FGD'!$M15,"Error","")</f>
        <v/>
      </c>
      <c r="AM16" s="98" t="str">
        <f>IF(AM15&lt;&gt;'WTAMU Sum'!$C15,"Error","")</f>
        <v/>
      </c>
      <c r="AN16" s="98" t="str">
        <f>IF(AN15&lt;&gt;'TAMUC FGD'!$M15,"Error","")</f>
        <v/>
      </c>
      <c r="AO16" s="98" t="str">
        <f>IF(AO15&lt;&gt;'TAMUC Sum'!$C15,"Error","")</f>
        <v/>
      </c>
      <c r="AP16" s="98" t="str">
        <f>IF(AP15&lt;&gt;'TAMUT FGD'!$M15,"Error","")</f>
        <v/>
      </c>
      <c r="AQ16" s="98" t="str">
        <f>IF(AQ15&lt;&gt;'TAMUT Sum'!$C15,"Error","")</f>
        <v/>
      </c>
      <c r="AR16" s="98" t="str">
        <f>IF(AR15&lt;&gt;'UH1 FGD'!$M15,"Error","")</f>
        <v/>
      </c>
      <c r="AS16" s="98" t="str">
        <f>IF(AS15&lt;&gt;'UH1 Sum'!$C15,"Error","")</f>
        <v/>
      </c>
      <c r="AT16" s="98" t="str">
        <f>IF(AT15&lt;&gt;'UHCL FGD'!$M15,"Error","")</f>
        <v/>
      </c>
      <c r="AU16" s="98" t="str">
        <f>IF(AU15&lt;&gt;'UHCL Sum'!$C15,"Error","")</f>
        <v/>
      </c>
      <c r="AV16" s="98" t="str">
        <f>IF(AV15&lt;&gt;'UHD FGD'!$M15,"Error","")</f>
        <v/>
      </c>
      <c r="AW16" s="98" t="str">
        <f>IF(AW15&lt;&gt;'UHD Sum'!$C15,"Error","")</f>
        <v/>
      </c>
      <c r="AX16" s="98" t="str">
        <f>IF(AX15&lt;&gt;'UHV FGD'!$M15,"Error","")</f>
        <v/>
      </c>
      <c r="AY16" s="98" t="str">
        <f>IF(AY15&lt;&gt;'UHV Sum'!$C15,"Error","")</f>
        <v/>
      </c>
      <c r="AZ16" s="98" t="str">
        <f>IF(AZ15&lt;&gt;'LU FGD'!$M15,"Error","")</f>
        <v/>
      </c>
      <c r="BA16" s="98" t="str">
        <f>IF(BA15&lt;&gt;'LU Sum'!$C15,"Error","")</f>
        <v/>
      </c>
      <c r="BB16" s="98" t="str">
        <f>IF(BB15&lt;&gt;'shsu1 FGD'!$M15,"Error","")</f>
        <v/>
      </c>
      <c r="BC16" s="98" t="str">
        <f>IF(BC15&lt;&gt;'shsu1 Sum'!$C15,"Error","")</f>
        <v/>
      </c>
      <c r="BD16" s="98" t="str">
        <f>IF(BD15&lt;&gt;'TXST FGD'!$M15,"Error","")</f>
        <v/>
      </c>
      <c r="BE16" s="98" t="str">
        <f>IF(BE15&lt;&gt;'TXST Sum'!$C15,"Error","")</f>
        <v/>
      </c>
      <c r="BF16" s="98" t="str">
        <f>IF(BF15&lt;&gt;'SRSU FGD'!$M15,"Error","")</f>
        <v/>
      </c>
      <c r="BG16" s="98" t="str">
        <f>IF(BG15&lt;&gt;'SRSU Sum'!$C15,"Error","")</f>
        <v/>
      </c>
      <c r="BH16" s="98" t="str">
        <f>IF(BH15&lt;&gt;'TTU FGD'!$M15,"Error","")</f>
        <v/>
      </c>
      <c r="BI16" s="98" t="str">
        <f>IF(BI15&lt;&gt;'TTU Sum'!$C15,"Error","")</f>
        <v/>
      </c>
      <c r="BJ16" s="98" t="str">
        <f>IF(BJ15&lt;&gt;'ASU FGD'!$M15,"Error","")</f>
        <v/>
      </c>
      <c r="BK16" s="98" t="str">
        <f>IF(BK15&lt;&gt;'ASU Sum'!$C15,"Error","")</f>
        <v/>
      </c>
      <c r="BL16" s="98" t="str">
        <f>IF(BL15&lt;&gt;'UNT FGD'!$M15,"Error","")</f>
        <v/>
      </c>
      <c r="BM16" s="98" t="str">
        <f>IF(BM15&lt;&gt;'UNT Sum'!$C15,"Error","")</f>
        <v/>
      </c>
      <c r="BN16" s="98" t="str">
        <f>IF(BN15&lt;&gt;'UNTD FGD'!$M15,"Error","")</f>
        <v/>
      </c>
      <c r="BO16" s="98" t="str">
        <f>IF(BO15&lt;&gt;'UNTD Sum'!$C15,"Error","")</f>
        <v/>
      </c>
      <c r="BP16" s="98" t="str">
        <f>IF(BP15&lt;&gt;'MidWST FGD'!$M15,"Error","")</f>
        <v/>
      </c>
      <c r="BQ16" s="98" t="str">
        <f>IF(BQ15&lt;&gt;'MidWST Sum'!$C15,"Error","")</f>
        <v/>
      </c>
      <c r="BR16" s="98" t="str">
        <f>IF(BR15&lt;&gt;'SFA FGD'!$M15,"Error","")</f>
        <v/>
      </c>
      <c r="BS16" s="98" t="str">
        <f>IF(BS15&lt;&gt;'SFA Sum'!$C15,"Error","")</f>
        <v/>
      </c>
      <c r="BT16" s="98" t="str">
        <f>IF(BT15&lt;&gt;'TSU FGD'!$M15,"Error","")</f>
        <v/>
      </c>
      <c r="BU16" s="98" t="str">
        <f>IF(BU15&lt;&gt;'TSU Sum'!$C15,"Error","")</f>
        <v/>
      </c>
      <c r="BV16" s="98" t="str">
        <f>IF(BV15&lt;&gt;'TWU FGD'!$M15,"Error","")</f>
        <v/>
      </c>
      <c r="BW16" s="98" t="str">
        <f>IF(BW15&lt;&gt;'TWU Sum'!$C15,"Error","")</f>
        <v/>
      </c>
    </row>
    <row r="17" spans="1:91">
      <c r="A17" s="78" t="s">
        <v>4</v>
      </c>
      <c r="B17" s="86"/>
      <c r="C17" s="87"/>
      <c r="D17" s="86"/>
      <c r="E17" s="87"/>
      <c r="F17" s="86"/>
      <c r="G17" s="87"/>
      <c r="H17" s="86"/>
      <c r="I17" s="87"/>
      <c r="J17" s="86"/>
      <c r="K17" s="87"/>
      <c r="L17" s="86"/>
      <c r="N17" s="86"/>
      <c r="P17" s="86"/>
      <c r="R17" s="86"/>
      <c r="T17" s="86"/>
      <c r="V17" s="86"/>
      <c r="X17" s="86"/>
      <c r="Z17" s="86"/>
      <c r="AB17" s="86"/>
      <c r="AD17" s="86"/>
      <c r="AF17" s="86"/>
      <c r="AH17" s="86"/>
      <c r="AJ17" s="86"/>
      <c r="AL17" s="86"/>
      <c r="AN17" s="86"/>
      <c r="AP17" s="86"/>
      <c r="AR17" s="86"/>
      <c r="AT17" s="86"/>
      <c r="AV17" s="86"/>
      <c r="AX17" s="86"/>
      <c r="AZ17" s="86"/>
      <c r="BB17" s="86"/>
      <c r="BD17" s="86"/>
      <c r="BF17" s="86"/>
      <c r="BH17" s="86"/>
      <c r="BJ17" s="86"/>
      <c r="BL17" s="86"/>
      <c r="BN17" s="86"/>
      <c r="BP17" s="86"/>
      <c r="BR17" s="86"/>
      <c r="BT17" s="86"/>
      <c r="BV17" s="86"/>
    </row>
    <row r="18" spans="1:91">
      <c r="A18" s="266" t="s">
        <v>726</v>
      </c>
      <c r="B18" s="83">
        <f>SUMIF(D$70:BW$70,$B$70,D18:BW18)</f>
        <v>5146234493</v>
      </c>
      <c r="C18" s="87">
        <f>ROUND(B18/C$6,0)</f>
        <v>9146</v>
      </c>
      <c r="D18" s="86">
        <f>'ARL FGD'!$M23</f>
        <v>318940789</v>
      </c>
      <c r="E18" s="87">
        <f>ROUND(D18/E$6,0)</f>
        <v>9282</v>
      </c>
      <c r="F18" s="86">
        <f>'AUS1 FGD'!$M23</f>
        <v>620746289</v>
      </c>
      <c r="G18" s="87">
        <f>ROUND(F18/G$6,0)</f>
        <v>13059</v>
      </c>
      <c r="H18" s="86">
        <f>'DAL FGD'!$M23</f>
        <v>326923099</v>
      </c>
      <c r="I18" s="87">
        <f>ROUND(H18/I$6,0)</f>
        <v>13527</v>
      </c>
      <c r="J18" s="86">
        <f>'E-P FGD'!$M23</f>
        <v>150363784</v>
      </c>
      <c r="K18" s="87">
        <f>ROUND(J18/K$6,0)</f>
        <v>7715</v>
      </c>
      <c r="L18" s="86">
        <f>'RGV1 FGD'!$M23</f>
        <v>223294982</v>
      </c>
      <c r="M18" s="87">
        <f>ROUND(L18/M$6,0)</f>
        <v>7867</v>
      </c>
      <c r="N18" s="86">
        <f>'P-B FGD'!$M23</f>
        <v>28478424</v>
      </c>
      <c r="O18" s="87">
        <f>ROUND(N18/O$6,0)</f>
        <v>6692</v>
      </c>
      <c r="P18" s="86">
        <f>'S-A FGD'!$M23</f>
        <v>231876081</v>
      </c>
      <c r="Q18" s="87">
        <f>ROUND(P18/Q$6,0)</f>
        <v>8166</v>
      </c>
      <c r="R18" s="86">
        <f>'TYL FGD'!$M23</f>
        <v>63594045</v>
      </c>
      <c r="S18" s="87">
        <f>ROUND(R18/S$6,0)</f>
        <v>8360</v>
      </c>
      <c r="T18" s="86">
        <f>'TAMU FGD'!$M23</f>
        <v>568696347</v>
      </c>
      <c r="U18" s="87">
        <f>ROUND(T18/U$6,0)</f>
        <v>9780</v>
      </c>
      <c r="V18" s="86">
        <f>'TAMUG FGD'!$M23</f>
        <v>15298640</v>
      </c>
      <c r="W18" s="87">
        <f>ROUND(V18/W$6,0)</f>
        <v>8828</v>
      </c>
      <c r="X18" s="86">
        <f>'PVAMU FGD'!$M23</f>
        <v>67545947</v>
      </c>
      <c r="Y18" s="87">
        <f>ROUND(X18/Y$6,0)</f>
        <v>8371</v>
      </c>
      <c r="Z18" s="86">
        <f>'TARLST FGD'!$M23</f>
        <v>76252437</v>
      </c>
      <c r="AA18" s="87">
        <f>ROUND(Z18/AA$6,0)</f>
        <v>6599</v>
      </c>
      <c r="AB18" s="86">
        <f>'TAMUCC FGD'!$M23</f>
        <v>54070081</v>
      </c>
      <c r="AC18" s="87">
        <f>ROUND(AB18/AC$6,0)</f>
        <v>5791</v>
      </c>
      <c r="AD18" s="86">
        <f>'TAMUK FGD'!$M23</f>
        <v>32012360</v>
      </c>
      <c r="AE18" s="87">
        <f>ROUND(AD18/AE$6,0)</f>
        <v>5700</v>
      </c>
      <c r="AF18" s="86">
        <f>'TAMUCT FGD'!$M23</f>
        <v>11764600</v>
      </c>
      <c r="AG18" s="87">
        <f>ROUND(AF18/AG$6,0)</f>
        <v>7321</v>
      </c>
      <c r="AH18" s="86">
        <f>'TAMUSA FGD'!$M23</f>
        <v>23972080</v>
      </c>
      <c r="AI18" s="87">
        <f>ROUND(AH18/AI$6,0)</f>
        <v>5033</v>
      </c>
      <c r="AJ18" s="86">
        <f>'TAMIU FGD'!$M23</f>
        <v>33618137</v>
      </c>
      <c r="AK18" s="87">
        <f>ROUND(AJ18/AK$6,0)</f>
        <v>4829</v>
      </c>
      <c r="AL18" s="86">
        <f>'WTAMU FGD'!$M23</f>
        <v>56448523</v>
      </c>
      <c r="AM18" s="87">
        <f>ROUND(AL18/AM$6,0)</f>
        <v>7307</v>
      </c>
      <c r="AN18" s="86">
        <f>'TAMUC FGD'!$M23</f>
        <v>45261226</v>
      </c>
      <c r="AO18" s="87">
        <f>ROUND(AN18/AO$6,0)</f>
        <v>4861</v>
      </c>
      <c r="AP18" s="86">
        <f>'TAMUT FGD'!$M23</f>
        <v>10534302</v>
      </c>
      <c r="AQ18" s="87">
        <f>ROUND(AP18/AQ$6,0)</f>
        <v>6378</v>
      </c>
      <c r="AR18" s="86">
        <f>'UH1 FGD'!$M23</f>
        <v>408506485</v>
      </c>
      <c r="AS18" s="87">
        <f>ROUND(AR18/AS$6,0)</f>
        <v>10134</v>
      </c>
      <c r="AT18" s="86">
        <f>'UHCL FGD'!$M23</f>
        <v>60352111</v>
      </c>
      <c r="AU18" s="87">
        <f>ROUND(AT18/AU$6,0)</f>
        <v>8924</v>
      </c>
      <c r="AV18" s="86">
        <f>'UHD FGD'!$M23</f>
        <v>91427715</v>
      </c>
      <c r="AW18" s="87">
        <f>ROUND(AV18/AW$6,0)</f>
        <v>8168</v>
      </c>
      <c r="AX18" s="86">
        <f>'UHV FGD'!$M23</f>
        <v>25209249</v>
      </c>
      <c r="AY18" s="87">
        <f>ROUND(AX18/AY$6,0)</f>
        <v>6994</v>
      </c>
      <c r="AZ18" s="86">
        <f>'LU FGD'!$M23</f>
        <v>104073061</v>
      </c>
      <c r="BA18" s="87">
        <f>ROUND(AZ18/BA$6,0)</f>
        <v>7700</v>
      </c>
      <c r="BB18" s="86">
        <f>'shsu1 FGD'!$M23</f>
        <v>147136486</v>
      </c>
      <c r="BC18" s="87">
        <f>ROUND(BB18/BC$6,0)</f>
        <v>8363</v>
      </c>
      <c r="BD18" s="86">
        <f>'TXST FGD'!$M23</f>
        <v>290362104</v>
      </c>
      <c r="BE18" s="87">
        <f>ROUND(BD18/BE$6,0)</f>
        <v>9278</v>
      </c>
      <c r="BF18" s="86">
        <f>'SRSU FGD'!$M23</f>
        <v>10369872</v>
      </c>
      <c r="BG18" s="87">
        <f>ROUND(BF18/BG$6,0)</f>
        <v>6055</v>
      </c>
      <c r="BH18" s="86">
        <f>'TTU FGD'!$M23</f>
        <v>327339329</v>
      </c>
      <c r="BI18" s="87">
        <f>ROUND(BH18/BI$6,0)</f>
        <v>9084</v>
      </c>
      <c r="BJ18" s="86">
        <f>'ASU FGD'!$M23</f>
        <v>40705058</v>
      </c>
      <c r="BK18" s="87">
        <f>ROUND(BJ18/BK$6,0)</f>
        <v>5344</v>
      </c>
      <c r="BL18" s="86">
        <f>'UNT FGD'!$M23</f>
        <v>345877660</v>
      </c>
      <c r="BM18" s="87">
        <f>ROUND(BL18/BM$6,0)</f>
        <v>9960</v>
      </c>
      <c r="BN18" s="86">
        <f>'UNTD FGD'!$M23</f>
        <v>31279897</v>
      </c>
      <c r="BO18" s="87">
        <f>ROUND(BN18/BO$6,0)</f>
        <v>9030</v>
      </c>
      <c r="BP18" s="86">
        <f>'MidWST FGD'!$M23</f>
        <v>26988791</v>
      </c>
      <c r="BQ18" s="87">
        <f>ROUND(BP18/BQ$6,0)</f>
        <v>6244</v>
      </c>
      <c r="BR18" s="86">
        <f>'SFA FGD'!$M23</f>
        <v>90455286</v>
      </c>
      <c r="BS18" s="87">
        <f>ROUND(BR18/BS$6,0)</f>
        <v>8724</v>
      </c>
      <c r="BT18" s="86">
        <f>'TSU FGD'!$M23</f>
        <v>61987273</v>
      </c>
      <c r="BU18" s="87">
        <f>ROUND(BT18/BU$6,0)</f>
        <v>9617</v>
      </c>
      <c r="BV18" s="86">
        <f>'TWU FGD'!$M23</f>
        <v>124471943</v>
      </c>
      <c r="BW18" s="87">
        <f>ROUND(BV18/BW$6,0)</f>
        <v>9555</v>
      </c>
    </row>
    <row r="19" spans="1:91">
      <c r="A19" s="75" t="s">
        <v>2136</v>
      </c>
      <c r="B19" s="86">
        <f>SUMIF(D$70:BW$70,$B$70,D19:BW19)</f>
        <v>-1473961966</v>
      </c>
      <c r="C19" s="87">
        <f t="shared" ref="C19" si="39">ROUND(B19/C$6,0)</f>
        <v>-2620</v>
      </c>
      <c r="D19" s="86">
        <f>SUM('ARL FGD'!$M24:'ARL FGD'!$M28)</f>
        <v>-79652036</v>
      </c>
      <c r="E19" s="87">
        <f>ROUND(D19/E$6,0)</f>
        <v>-2318</v>
      </c>
      <c r="F19" s="86">
        <f>SUM('AUS1 FGD'!$M24:'AUS1 FGD'!$M28)</f>
        <v>-169032301</v>
      </c>
      <c r="G19" s="87">
        <f>ROUND(F19/G$6,0)</f>
        <v>-3556</v>
      </c>
      <c r="H19" s="86">
        <f>SUM('DAL FGD'!$M24:'DAL FGD'!$M28)</f>
        <v>-129714601</v>
      </c>
      <c r="I19" s="87">
        <f>ROUND(H19/I$6,0)</f>
        <v>-5367</v>
      </c>
      <c r="J19" s="86">
        <f>SUM('E-P FGD'!$M24:'E-P FGD'!$M28)</f>
        <v>-40678179</v>
      </c>
      <c r="K19" s="87">
        <f>ROUND(J19/K$6,0)</f>
        <v>-2087</v>
      </c>
      <c r="L19" s="86">
        <f>SUM('RGV1 FGD'!$M24:'RGV1 FGD'!$M28)</f>
        <v>-125712567</v>
      </c>
      <c r="M19" s="87">
        <f>ROUND(L19/M$6,0)</f>
        <v>-4429</v>
      </c>
      <c r="N19" s="86">
        <f>SUM('P-B FGD'!$M24:'P-B FGD'!$M28)</f>
        <v>-11110434</v>
      </c>
      <c r="O19" s="87">
        <f>ROUND(N19/O$6,0)</f>
        <v>-2611</v>
      </c>
      <c r="P19" s="86">
        <f>SUM('S-A FGD'!$M24:'S-A FGD'!$M28)</f>
        <v>-71884635</v>
      </c>
      <c r="Q19" s="87">
        <f>ROUND(P19/Q$6,0)</f>
        <v>-2531</v>
      </c>
      <c r="R19" s="86">
        <f>SUM('TYL FGD'!$M24:'TYL FGD'!$M28)</f>
        <v>-27625684</v>
      </c>
      <c r="S19" s="87">
        <f>ROUND(R19/S$6,0)+1</f>
        <v>-3631</v>
      </c>
      <c r="T19" s="86">
        <f>SUM('TAMU FGD'!$M24:'TAMU FGD'!$M28)</f>
        <v>-126213824</v>
      </c>
      <c r="U19" s="87">
        <f>ROUND(T19/U$6,0)</f>
        <v>-2170</v>
      </c>
      <c r="V19" s="86">
        <f>SUM('TAMUG FGD'!$M24:'TAMUG FGD'!$M28)</f>
        <v>-2622970</v>
      </c>
      <c r="W19" s="87">
        <f>ROUND(V19/W$6,0)</f>
        <v>-1514</v>
      </c>
      <c r="X19" s="86">
        <f>SUM('PVAMU FGD'!$M24:'PVAMU FGD'!$M28)</f>
        <v>-27078143</v>
      </c>
      <c r="Y19" s="87">
        <f>ROUND(X19/Y$6,0)</f>
        <v>-3356</v>
      </c>
      <c r="Z19" s="86">
        <f>SUM('TARLST FGD'!$M24:'TARLST FGD'!$M28)</f>
        <v>-18933139</v>
      </c>
      <c r="AA19" s="87">
        <f>ROUND(Z19/AA$6,0)-1</f>
        <v>-1639</v>
      </c>
      <c r="AB19" s="86">
        <f>SUM('TAMUCC FGD'!$M24:'TAMUCC FGD'!$M28)</f>
        <v>-14916339</v>
      </c>
      <c r="AC19" s="87">
        <f>ROUND(AB19/AC$6,0)</f>
        <v>-1598</v>
      </c>
      <c r="AD19" s="86">
        <f>SUM('TAMUK FGD'!$M24:'TAMUK FGD'!$M28)</f>
        <v>-11007192</v>
      </c>
      <c r="AE19" s="87">
        <f>ROUND(AD19/AE$6,0)+1</f>
        <v>-1959</v>
      </c>
      <c r="AF19" s="86">
        <f>SUM('TAMUCT FGD'!$M24:'TAMUCT FGD'!$M28)</f>
        <v>-2989332</v>
      </c>
      <c r="AG19" s="87">
        <f>ROUND(AF19/AG$6,0)</f>
        <v>-1860</v>
      </c>
      <c r="AH19" s="86">
        <f>SUM('TAMUSA FGD'!$M24:'TAMUSA FGD'!$M28)</f>
        <v>-8140548</v>
      </c>
      <c r="AI19" s="87">
        <f>ROUND(AH19/AI$6,0)+1</f>
        <v>-1708</v>
      </c>
      <c r="AJ19" s="86">
        <f>SUM('TAMIU FGD'!$M24:'TAMIU FGD'!$M28)</f>
        <v>-15514788</v>
      </c>
      <c r="AK19" s="87">
        <f>ROUND(AJ19/AK$6,0)</f>
        <v>-2228</v>
      </c>
      <c r="AL19" s="86">
        <f>SUM('WTAMU FGD'!$M24:'WTAMU FGD'!$M28)</f>
        <v>-16008850</v>
      </c>
      <c r="AM19" s="87">
        <f>ROUND(AL19/AM$6,0)-1</f>
        <v>-2073</v>
      </c>
      <c r="AN19" s="86">
        <f>SUM('TAMUC FGD'!$M24:'TAMUC FGD'!$M28)</f>
        <v>-11068514</v>
      </c>
      <c r="AO19" s="87">
        <f>ROUND(AN19/AO$6,0)+1</f>
        <v>-1188</v>
      </c>
      <c r="AP19" s="86">
        <f>SUM('TAMUT FGD'!$M24:'TAMUT FGD'!$M28)</f>
        <v>-2885256</v>
      </c>
      <c r="AQ19" s="87">
        <f>ROUND(AP19/AQ$6,0)</f>
        <v>-1747</v>
      </c>
      <c r="AR19" s="86">
        <f>SUM('UH1 FGD'!$M24:'UH1 FGD'!$M28)</f>
        <v>-118093578</v>
      </c>
      <c r="AS19" s="87">
        <f>ROUND(AR19/AS$6,0)-1</f>
        <v>-2931</v>
      </c>
      <c r="AT19" s="86">
        <f>SUM('UHCL FGD'!$M24:'UHCL FGD'!$M28)</f>
        <v>-16647948</v>
      </c>
      <c r="AU19" s="87">
        <f>ROUND(AT19/AU$6,0)</f>
        <v>-2462</v>
      </c>
      <c r="AV19" s="86">
        <f>SUM('UHD FGD'!$M24:'UHD FGD'!$M28)</f>
        <v>-35980977</v>
      </c>
      <c r="AW19" s="87">
        <f>ROUND(AV19/AW$6,0)</f>
        <v>-3215</v>
      </c>
      <c r="AX19" s="86">
        <f>SUM('UHV FGD'!$M24:'UHV FGD'!$M28)</f>
        <v>-6730658</v>
      </c>
      <c r="AY19" s="87">
        <f>ROUND(AX19/AY$6,0)+1</f>
        <v>-1866</v>
      </c>
      <c r="AZ19" s="86">
        <f>SUM('LU FGD'!$M24:'LU FGD'!$M28)</f>
        <v>-20762060</v>
      </c>
      <c r="BA19" s="87">
        <f>ROUND(AZ19/BA$6,0)</f>
        <v>-1536</v>
      </c>
      <c r="BB19" s="86">
        <f>SUM('shsu1 FGD'!$M24:'shsu1 FGD'!$M28)</f>
        <v>-58170146</v>
      </c>
      <c r="BC19" s="87">
        <f>ROUND(BB19/BC$6,0)</f>
        <v>-3306</v>
      </c>
      <c r="BD19" s="86">
        <f>SUM('TXST FGD'!$M24:'TXST FGD'!$M28)</f>
        <v>-88151678</v>
      </c>
      <c r="BE19" s="87">
        <f>ROUND(BD19/BE$6,0)</f>
        <v>-2817</v>
      </c>
      <c r="BF19" s="86">
        <f>SUM('SRSU FGD'!$M24:'SRSU FGD'!$M28)</f>
        <v>-4052500</v>
      </c>
      <c r="BG19" s="87">
        <f>ROUND(BF19/BG$6,0)</f>
        <v>-2366</v>
      </c>
      <c r="BH19" s="86">
        <f>SUM('TTU FGD'!$M24:'TTU FGD'!$M28)</f>
        <v>-82774901</v>
      </c>
      <c r="BI19" s="87">
        <f>ROUND(BH19/BI$6,0)-1</f>
        <v>-2298</v>
      </c>
      <c r="BJ19" s="86">
        <f>SUM('ASU FGD'!$M24:'ASU FGD'!$M28)</f>
        <v>-14348357</v>
      </c>
      <c r="BK19" s="87">
        <f>ROUND(BJ19/BK$6,0)</f>
        <v>-1884</v>
      </c>
      <c r="BL19" s="86">
        <f>SUM('UNT FGD'!$M24:'UNT FGD'!$M28)</f>
        <v>-33809704</v>
      </c>
      <c r="BM19" s="87">
        <f>ROUND(BL19/BM$6,0)+1</f>
        <v>-973</v>
      </c>
      <c r="BN19" s="86">
        <f>SUM('UNTD FGD'!$M24:'UNTD FGD'!$M28)</f>
        <v>-7385299</v>
      </c>
      <c r="BO19" s="87">
        <f>ROUND(BN19/BO$6,0)+1</f>
        <v>-2131</v>
      </c>
      <c r="BP19" s="86">
        <f>SUM('MidWST FGD'!$M24:'MidWST FGD'!$M28)</f>
        <v>-9596486</v>
      </c>
      <c r="BQ19" s="87">
        <f>ROUND(BP19/BQ$6,0)-1</f>
        <v>-2221</v>
      </c>
      <c r="BR19" s="86">
        <f>SUM('SFA FGD'!$M24:'SFA FGD'!$M28)</f>
        <v>-33413704</v>
      </c>
      <c r="BS19" s="87">
        <f>ROUND(BR19/BS$6,0)</f>
        <v>-3222</v>
      </c>
      <c r="BT19" s="86">
        <f>SUM('TSU FGD'!$M24:'TSU FGD'!$M28)</f>
        <v>-19954861</v>
      </c>
      <c r="BU19" s="87">
        <f>ROUND(BT19/BU$6,0)-1</f>
        <v>-3097</v>
      </c>
      <c r="BV19" s="86">
        <f>SUM('TWU FGD'!$M24:'TWU FGD'!$M28)</f>
        <v>-11299777</v>
      </c>
      <c r="BW19" s="87">
        <f>ROUND(BV19/BW$6,0)</f>
        <v>-867</v>
      </c>
    </row>
    <row r="20" spans="1:91">
      <c r="A20" s="575" t="s">
        <v>39</v>
      </c>
      <c r="B20" s="382">
        <f t="shared" ref="B20:AE20" si="40">B19+B18</f>
        <v>3672272527</v>
      </c>
      <c r="C20" s="382">
        <f t="shared" si="40"/>
        <v>6526</v>
      </c>
      <c r="D20" s="382">
        <f t="shared" si="40"/>
        <v>239288753</v>
      </c>
      <c r="E20" s="382">
        <f t="shared" si="40"/>
        <v>6964</v>
      </c>
      <c r="F20" s="382">
        <f t="shared" si="40"/>
        <v>451713988</v>
      </c>
      <c r="G20" s="382">
        <f t="shared" si="40"/>
        <v>9503</v>
      </c>
      <c r="H20" s="382">
        <f t="shared" si="40"/>
        <v>197208498</v>
      </c>
      <c r="I20" s="382">
        <f t="shared" si="40"/>
        <v>8160</v>
      </c>
      <c r="J20" s="382">
        <f t="shared" si="40"/>
        <v>109685605</v>
      </c>
      <c r="K20" s="382">
        <f t="shared" si="40"/>
        <v>5628</v>
      </c>
      <c r="L20" s="382">
        <f t="shared" si="40"/>
        <v>97582415</v>
      </c>
      <c r="M20" s="382">
        <f t="shared" si="40"/>
        <v>3438</v>
      </c>
      <c r="N20" s="382">
        <f t="shared" si="40"/>
        <v>17367990</v>
      </c>
      <c r="O20" s="382">
        <f t="shared" si="40"/>
        <v>4081</v>
      </c>
      <c r="P20" s="382">
        <f t="shared" si="40"/>
        <v>159991446</v>
      </c>
      <c r="Q20" s="382">
        <f t="shared" si="40"/>
        <v>5635</v>
      </c>
      <c r="R20" s="382">
        <f t="shared" si="40"/>
        <v>35968361</v>
      </c>
      <c r="S20" s="382">
        <f t="shared" si="40"/>
        <v>4729</v>
      </c>
      <c r="T20" s="382">
        <f t="shared" si="40"/>
        <v>442482523</v>
      </c>
      <c r="U20" s="382">
        <f t="shared" si="40"/>
        <v>7610</v>
      </c>
      <c r="V20" s="382">
        <f t="shared" si="40"/>
        <v>12675670</v>
      </c>
      <c r="W20" s="382">
        <f t="shared" si="40"/>
        <v>7314</v>
      </c>
      <c r="X20" s="382">
        <f t="shared" si="40"/>
        <v>40467804</v>
      </c>
      <c r="Y20" s="382">
        <f t="shared" si="40"/>
        <v>5015</v>
      </c>
      <c r="Z20" s="382">
        <f t="shared" si="40"/>
        <v>57319298</v>
      </c>
      <c r="AA20" s="382">
        <f t="shared" si="40"/>
        <v>4960</v>
      </c>
      <c r="AB20" s="382">
        <f t="shared" si="40"/>
        <v>39153742</v>
      </c>
      <c r="AC20" s="382">
        <f t="shared" si="40"/>
        <v>4193</v>
      </c>
      <c r="AD20" s="382">
        <f t="shared" si="40"/>
        <v>21005168</v>
      </c>
      <c r="AE20" s="382">
        <f t="shared" si="40"/>
        <v>3741</v>
      </c>
      <c r="AF20" s="382">
        <f t="shared" ref="AF20:BK20" si="41">AF19+AF18</f>
        <v>8775268</v>
      </c>
      <c r="AG20" s="382">
        <f t="shared" si="41"/>
        <v>5461</v>
      </c>
      <c r="AH20" s="382">
        <f t="shared" si="41"/>
        <v>15831532</v>
      </c>
      <c r="AI20" s="382">
        <f t="shared" si="41"/>
        <v>3325</v>
      </c>
      <c r="AJ20" s="382">
        <f t="shared" si="41"/>
        <v>18103349</v>
      </c>
      <c r="AK20" s="382">
        <f t="shared" si="41"/>
        <v>2601</v>
      </c>
      <c r="AL20" s="382">
        <f t="shared" si="41"/>
        <v>40439673</v>
      </c>
      <c r="AM20" s="382">
        <f t="shared" si="41"/>
        <v>5234</v>
      </c>
      <c r="AN20" s="382">
        <f t="shared" si="41"/>
        <v>34192712</v>
      </c>
      <c r="AO20" s="382">
        <f t="shared" si="41"/>
        <v>3673</v>
      </c>
      <c r="AP20" s="382">
        <f t="shared" si="41"/>
        <v>7649046</v>
      </c>
      <c r="AQ20" s="382">
        <f t="shared" si="41"/>
        <v>4631</v>
      </c>
      <c r="AR20" s="382">
        <f t="shared" si="41"/>
        <v>290412907</v>
      </c>
      <c r="AS20" s="382">
        <f t="shared" si="41"/>
        <v>7203</v>
      </c>
      <c r="AT20" s="382">
        <f t="shared" si="41"/>
        <v>43704163</v>
      </c>
      <c r="AU20" s="382">
        <f t="shared" si="41"/>
        <v>6462</v>
      </c>
      <c r="AV20" s="382">
        <f t="shared" si="41"/>
        <v>55446738</v>
      </c>
      <c r="AW20" s="382">
        <f t="shared" si="41"/>
        <v>4953</v>
      </c>
      <c r="AX20" s="382">
        <f t="shared" si="41"/>
        <v>18478591</v>
      </c>
      <c r="AY20" s="382">
        <f t="shared" si="41"/>
        <v>5128</v>
      </c>
      <c r="AZ20" s="382">
        <f t="shared" si="41"/>
        <v>83311001</v>
      </c>
      <c r="BA20" s="382">
        <f t="shared" si="41"/>
        <v>6164</v>
      </c>
      <c r="BB20" s="382">
        <f t="shared" si="41"/>
        <v>88966340</v>
      </c>
      <c r="BC20" s="382">
        <f t="shared" si="41"/>
        <v>5057</v>
      </c>
      <c r="BD20" s="382">
        <f t="shared" si="41"/>
        <v>202210426</v>
      </c>
      <c r="BE20" s="382">
        <f t="shared" si="41"/>
        <v>6461</v>
      </c>
      <c r="BF20" s="382">
        <f t="shared" si="41"/>
        <v>6317372</v>
      </c>
      <c r="BG20" s="382">
        <f t="shared" si="41"/>
        <v>3689</v>
      </c>
      <c r="BH20" s="382">
        <f t="shared" si="41"/>
        <v>244564428</v>
      </c>
      <c r="BI20" s="382">
        <f t="shared" si="41"/>
        <v>6786</v>
      </c>
      <c r="BJ20" s="382">
        <f t="shared" si="41"/>
        <v>26356701</v>
      </c>
      <c r="BK20" s="382">
        <f t="shared" si="41"/>
        <v>3460</v>
      </c>
      <c r="BL20" s="382">
        <f t="shared" ref="BL20:BW20" si="42">BL19+BL18</f>
        <v>312067956</v>
      </c>
      <c r="BM20" s="382">
        <f t="shared" si="42"/>
        <v>8987</v>
      </c>
      <c r="BN20" s="382">
        <f t="shared" si="42"/>
        <v>23894598</v>
      </c>
      <c r="BO20" s="382">
        <f t="shared" si="42"/>
        <v>6899</v>
      </c>
      <c r="BP20" s="382">
        <f t="shared" si="42"/>
        <v>17392305</v>
      </c>
      <c r="BQ20" s="382">
        <f t="shared" si="42"/>
        <v>4023</v>
      </c>
      <c r="BR20" s="382">
        <f t="shared" si="42"/>
        <v>57041582</v>
      </c>
      <c r="BS20" s="382">
        <f t="shared" si="42"/>
        <v>5502</v>
      </c>
      <c r="BT20" s="382">
        <f t="shared" si="42"/>
        <v>42032412</v>
      </c>
      <c r="BU20" s="382">
        <f t="shared" si="42"/>
        <v>6520</v>
      </c>
      <c r="BV20" s="382">
        <f t="shared" si="42"/>
        <v>113172166</v>
      </c>
      <c r="BW20" s="382">
        <f t="shared" si="42"/>
        <v>8688</v>
      </c>
    </row>
    <row r="21" spans="1:91">
      <c r="A21" s="78"/>
      <c r="B21" s="86"/>
      <c r="C21" s="87"/>
      <c r="D21" s="86"/>
      <c r="E21" s="87"/>
      <c r="F21" s="86"/>
      <c r="G21" s="87"/>
      <c r="H21" s="86"/>
      <c r="I21" s="87"/>
      <c r="J21" s="86"/>
      <c r="K21" s="87"/>
      <c r="L21" s="86"/>
      <c r="M21" s="87"/>
      <c r="N21" s="86"/>
      <c r="O21" s="87"/>
      <c r="P21" s="86"/>
      <c r="Q21" s="87"/>
      <c r="R21" s="86"/>
      <c r="S21" s="87"/>
      <c r="T21" s="86"/>
      <c r="U21" s="87"/>
      <c r="V21" s="86"/>
      <c r="W21" s="87"/>
      <c r="X21" s="86"/>
      <c r="Y21" s="87"/>
      <c r="Z21" s="86"/>
      <c r="AA21" s="87"/>
      <c r="AB21" s="86"/>
      <c r="AC21" s="87"/>
      <c r="AD21" s="86"/>
      <c r="AE21" s="87"/>
      <c r="AF21" s="86"/>
      <c r="AG21" s="87"/>
      <c r="AH21" s="86"/>
      <c r="AI21" s="87"/>
      <c r="AJ21" s="86"/>
      <c r="AK21" s="87"/>
      <c r="AL21" s="86"/>
      <c r="AM21" s="87"/>
      <c r="AN21" s="86"/>
      <c r="AO21" s="87"/>
      <c r="AP21" s="86"/>
      <c r="AQ21" s="87"/>
      <c r="AR21" s="86"/>
      <c r="AS21" s="87"/>
      <c r="AT21" s="86"/>
      <c r="AU21" s="87"/>
      <c r="AV21" s="86"/>
      <c r="AW21" s="87"/>
      <c r="AX21" s="86"/>
      <c r="AY21" s="87"/>
      <c r="AZ21" s="86"/>
      <c r="BA21" s="87"/>
      <c r="BB21" s="86"/>
      <c r="BC21" s="87"/>
      <c r="BD21" s="86"/>
      <c r="BE21" s="87"/>
      <c r="BF21" s="86"/>
      <c r="BG21" s="87"/>
      <c r="BH21" s="86"/>
      <c r="BI21" s="87"/>
      <c r="BJ21" s="86"/>
      <c r="BK21" s="87"/>
      <c r="BL21" s="86"/>
      <c r="BM21" s="87"/>
      <c r="BN21" s="86"/>
      <c r="BO21" s="87"/>
      <c r="BP21" s="86"/>
      <c r="BQ21" s="87"/>
      <c r="BR21" s="86"/>
      <c r="BS21" s="87"/>
      <c r="BT21" s="86"/>
      <c r="BU21" s="87"/>
      <c r="BV21" s="86"/>
      <c r="BW21" s="87"/>
    </row>
    <row r="22" spans="1:91">
      <c r="A22" s="266" t="s">
        <v>732</v>
      </c>
      <c r="B22" s="83">
        <f>SUMIF(D$70:BW$70,$B$70,D22:BW22)</f>
        <v>2162493831</v>
      </c>
      <c r="C22" s="87">
        <f>ROUND(B22/C$6,0)</f>
        <v>3843</v>
      </c>
      <c r="D22" s="86">
        <f>'ARL FGD'!$M36</f>
        <v>145181677</v>
      </c>
      <c r="E22" s="87">
        <f>ROUND(D22/E$6,0)</f>
        <v>4225</v>
      </c>
      <c r="F22" s="86">
        <f>'AUS1 FGD'!$M36</f>
        <v>92462176</v>
      </c>
      <c r="G22" s="87">
        <f>ROUND(F22/G$6,0)</f>
        <v>1945</v>
      </c>
      <c r="H22" s="86">
        <f>'DAL FGD'!$M36</f>
        <v>112408079</v>
      </c>
      <c r="I22" s="87">
        <f>ROUND(H22/I$6,0)</f>
        <v>4651</v>
      </c>
      <c r="J22" s="86">
        <f>'E-P FGD'!$M36</f>
        <v>53867851</v>
      </c>
      <c r="K22" s="87">
        <f>ROUND(J22/K$6,0)</f>
        <v>2764</v>
      </c>
      <c r="L22" s="86">
        <f>'RGV1 FGD'!$M36</f>
        <v>53980109</v>
      </c>
      <c r="M22" s="87">
        <f>ROUND(L22/M$6,0)</f>
        <v>1902</v>
      </c>
      <c r="N22" s="86">
        <f>'P-B FGD'!$M36</f>
        <v>15651728</v>
      </c>
      <c r="O22" s="87">
        <f>ROUND(N22/O$6,0)</f>
        <v>3678</v>
      </c>
      <c r="P22" s="86">
        <f>'S-A FGD'!$M36</f>
        <v>132698710</v>
      </c>
      <c r="Q22" s="87">
        <f>ROUND(P22/Q$6,0)</f>
        <v>4673</v>
      </c>
      <c r="R22" s="86">
        <f>'TYL FGD'!$M36</f>
        <v>23787690</v>
      </c>
      <c r="S22" s="87">
        <f>ROUND(R22/S$6,0)</f>
        <v>3127</v>
      </c>
      <c r="T22" s="86">
        <f>'TAMU FGD'!$M36</f>
        <v>304792598</v>
      </c>
      <c r="U22" s="87">
        <f>ROUND(T22/U$6,0)</f>
        <v>5241</v>
      </c>
      <c r="V22" s="86">
        <f>'TAMUG FGD'!$M36</f>
        <v>10472586</v>
      </c>
      <c r="W22" s="87">
        <f>ROUND(V22/W$6,0)</f>
        <v>6043</v>
      </c>
      <c r="X22" s="86">
        <f>'PVAMU FGD'!$M36</f>
        <v>32339445</v>
      </c>
      <c r="Y22" s="87">
        <f>ROUND(X22/Y$6,0)</f>
        <v>4008</v>
      </c>
      <c r="Z22" s="86">
        <f>'TARLST FGD'!$M36</f>
        <v>50328413</v>
      </c>
      <c r="AA22" s="87">
        <f>ROUND(Z22/AA$6,0)</f>
        <v>4355</v>
      </c>
      <c r="AB22" s="86">
        <f>'TAMUCC FGD'!$M36</f>
        <v>59366040</v>
      </c>
      <c r="AC22" s="87">
        <f>ROUND(AB22/AC$6,0)</f>
        <v>6359</v>
      </c>
      <c r="AD22" s="86">
        <f>'TAMUK FGD'!$M36</f>
        <v>28319340</v>
      </c>
      <c r="AE22" s="87">
        <f>ROUND(AD22/AE$6,0)</f>
        <v>5043</v>
      </c>
      <c r="AF22" s="86">
        <f>'TAMUCT FGD'!$M36</f>
        <v>5208319</v>
      </c>
      <c r="AG22" s="87">
        <f>ROUND(AF22/AG$6,0)</f>
        <v>3241</v>
      </c>
      <c r="AH22" s="86">
        <f>'TAMUSA FGD'!$M36</f>
        <v>21099934</v>
      </c>
      <c r="AI22" s="87">
        <f>ROUND(AH22/AI$6,0)</f>
        <v>4430</v>
      </c>
      <c r="AJ22" s="86">
        <f>'TAMIU FGD'!$M36</f>
        <v>32803412</v>
      </c>
      <c r="AK22" s="87">
        <f>ROUND(AJ22/AK$6,0)</f>
        <v>4712</v>
      </c>
      <c r="AL22" s="86">
        <f>'WTAMU FGD'!$M36</f>
        <v>28953630</v>
      </c>
      <c r="AM22" s="87">
        <f>ROUND(AL22/AM$6,0)</f>
        <v>3748</v>
      </c>
      <c r="AN22" s="86">
        <f>'TAMUC FGD'!$M36</f>
        <v>60815669</v>
      </c>
      <c r="AO22" s="87">
        <f>ROUND(AN22/AO$6,0)</f>
        <v>6531</v>
      </c>
      <c r="AP22" s="86">
        <f>'TAMUT FGD'!$M36</f>
        <v>5112838</v>
      </c>
      <c r="AQ22" s="87">
        <f>ROUND(AP22/AQ$6,0)</f>
        <v>3096</v>
      </c>
      <c r="AR22" s="86">
        <f>'UH1 FGD'!$M36</f>
        <v>154724874</v>
      </c>
      <c r="AS22" s="87">
        <f>ROUND(AR22/AS$6,0)</f>
        <v>3838</v>
      </c>
      <c r="AT22" s="86">
        <f>'UHCL FGD'!$M36</f>
        <v>18560213</v>
      </c>
      <c r="AU22" s="87">
        <f>ROUND(AT22/AU$6,0)</f>
        <v>2745</v>
      </c>
      <c r="AV22" s="86">
        <f>'UHD FGD'!$M36</f>
        <v>27615579</v>
      </c>
      <c r="AW22" s="87">
        <f>ROUND(AV22/AW$6,0)</f>
        <v>2467</v>
      </c>
      <c r="AX22" s="86">
        <f>'UHV FGD'!$M36</f>
        <v>11358014</v>
      </c>
      <c r="AY22" s="87">
        <f>ROUND(AX22/AY$6,0)</f>
        <v>3151</v>
      </c>
      <c r="AZ22" s="86">
        <f>'LU FGD'!$M36</f>
        <v>35725488</v>
      </c>
      <c r="BA22" s="87">
        <f>ROUND(AZ22/BA$6,0)</f>
        <v>2643</v>
      </c>
      <c r="BB22" s="86">
        <f>'shsu1 FGD'!$M36</f>
        <v>95032379</v>
      </c>
      <c r="BC22" s="87">
        <f>ROUND(BB22/BC$6,0)</f>
        <v>5401</v>
      </c>
      <c r="BD22" s="86">
        <f>'TXST FGD'!$M36</f>
        <v>114984780</v>
      </c>
      <c r="BE22" s="87">
        <f>ROUND(BD22/BE$6,0)</f>
        <v>3674</v>
      </c>
      <c r="BF22" s="86">
        <f>'SRSU FGD'!$M36</f>
        <v>4802981</v>
      </c>
      <c r="BG22" s="87">
        <f>ROUND(BF22/BG$6,0)</f>
        <v>2805</v>
      </c>
      <c r="BH22" s="86">
        <f>'TTU FGD'!$M36</f>
        <v>151011071</v>
      </c>
      <c r="BI22" s="87">
        <f>ROUND(BH22/BI$6,0)</f>
        <v>4191</v>
      </c>
      <c r="BJ22" s="86">
        <f>'ASU FGD'!$M36</f>
        <v>27975353</v>
      </c>
      <c r="BK22" s="87">
        <f>ROUND(BJ22/BK$6,0)</f>
        <v>3672</v>
      </c>
      <c r="BL22" s="86">
        <f>'UNT FGD'!$M36</f>
        <v>145907322</v>
      </c>
      <c r="BM22" s="87">
        <f>ROUND(BL22/BM$6,0)</f>
        <v>4202</v>
      </c>
      <c r="BN22" s="86">
        <f>'UNTD FGD'!$M36</f>
        <v>6466914</v>
      </c>
      <c r="BO22" s="87">
        <f>ROUND(BN22/BO$6,0)</f>
        <v>1867</v>
      </c>
      <c r="BP22" s="86">
        <f>'MidWST FGD'!$M36</f>
        <v>25511774</v>
      </c>
      <c r="BQ22" s="87">
        <f>ROUND(BP22/BQ$6,0)</f>
        <v>5902</v>
      </c>
      <c r="BR22" s="86">
        <f>'SFA FGD'!$M36</f>
        <v>37845988</v>
      </c>
      <c r="BS22" s="87">
        <f>ROUND(BR22/BS$6,0)</f>
        <v>3650</v>
      </c>
      <c r="BT22" s="86">
        <f>'TSU FGD'!$M36</f>
        <v>16245038</v>
      </c>
      <c r="BU22" s="87">
        <f>ROUND(BT22/BU$6,0)</f>
        <v>2520</v>
      </c>
      <c r="BV22" s="86">
        <f>'TWU FGD'!$M36</f>
        <v>19075819</v>
      </c>
      <c r="BW22" s="87">
        <f>ROUND(BV22/BW$6,0)</f>
        <v>1464</v>
      </c>
    </row>
    <row r="23" spans="1:91">
      <c r="A23" s="75" t="s">
        <v>2136</v>
      </c>
      <c r="B23" s="86">
        <f>SUMIF(D$70:BW$70,$B$70,D23:BW23)</f>
        <v>-633240115</v>
      </c>
      <c r="C23" s="87">
        <f>ROUND(B23/C$6,0)</f>
        <v>-1125</v>
      </c>
      <c r="D23" s="86">
        <f>SUM('ARL FGD'!$M37:'ARL FGD'!$M41)</f>
        <v>-35990496</v>
      </c>
      <c r="E23" s="87">
        <f>ROUND(D23/E$6,0)</f>
        <v>-1047</v>
      </c>
      <c r="F23" s="86">
        <f>SUM('AUS1 FGD'!$M37:'AUS1 FGD'!$M41)</f>
        <v>-22811428</v>
      </c>
      <c r="G23" s="87">
        <f>ROUND(F23/G$6,0)</f>
        <v>-480</v>
      </c>
      <c r="H23" s="86">
        <f>SUM('DAL FGD'!$M37:'DAL FGD'!$M41)</f>
        <v>-9692319</v>
      </c>
      <c r="I23" s="87">
        <f>ROUND(H23/I$6,0)</f>
        <v>-401</v>
      </c>
      <c r="J23" s="86">
        <f>SUM('E-P FGD'!$M37:'E-P FGD'!$M41)</f>
        <v>-14564562</v>
      </c>
      <c r="K23" s="87">
        <f>ROUND(J23/K$6,0)</f>
        <v>-747</v>
      </c>
      <c r="L23" s="86">
        <f>SUM('RGV1 FGD'!$M37:'RGV1 FGD'!$M41)</f>
        <v>-11643587</v>
      </c>
      <c r="M23" s="87">
        <f>ROUND(L23/M$6,0)</f>
        <v>-410</v>
      </c>
      <c r="N23" s="86">
        <f>SUM('P-B FGD'!$M37:'P-B FGD'!$M41)</f>
        <v>-506612</v>
      </c>
      <c r="O23" s="87">
        <f>ROUND(N23/O$6,0)-1</f>
        <v>-120</v>
      </c>
      <c r="P23" s="86">
        <f>SUM('S-A FGD'!$M37:'S-A FGD'!$M41)</f>
        <v>-40990720</v>
      </c>
      <c r="Q23" s="87">
        <f>ROUND(P23/Q$6,0)</f>
        <v>-1444</v>
      </c>
      <c r="R23" s="86">
        <f>SUM('TYL FGD'!$M37:'TYL FGD'!$M41)</f>
        <v>-2414136</v>
      </c>
      <c r="S23" s="87">
        <f>ROUND(R23/S$6,0)</f>
        <v>-317</v>
      </c>
      <c r="T23" s="86">
        <f>SUM('TAMU FGD'!$M37:'TAMU FGD'!$M41)</f>
        <v>-67644253</v>
      </c>
      <c r="U23" s="87">
        <f>ROUND(T23/U$6,0)</f>
        <v>-1163</v>
      </c>
      <c r="V23" s="86">
        <f>SUM('TAMUG FGD'!$M37:'TAMUG FGD'!$M41)</f>
        <v>-1795536</v>
      </c>
      <c r="W23" s="87">
        <f>ROUND(V23/W$6,0)</f>
        <v>-1036</v>
      </c>
      <c r="X23" s="86">
        <f>SUM('PVAMU FGD'!$M37:'PVAMU FGD'!$M41)</f>
        <v>-14200737</v>
      </c>
      <c r="Y23" s="87">
        <f>ROUND(X23/Y$6,0)</f>
        <v>-1760</v>
      </c>
      <c r="Z23" s="86">
        <f>SUM('TARLST FGD'!$M37:'TARLST FGD'!$M41)</f>
        <v>-12558083</v>
      </c>
      <c r="AA23" s="87">
        <f>ROUND(Z23/AA$6,0)</f>
        <v>-1087</v>
      </c>
      <c r="AB23" s="86">
        <f>SUM('TAMUCC FGD'!$M37:'TAMUCC FGD'!$M41)</f>
        <v>-16377337</v>
      </c>
      <c r="AC23" s="87">
        <f>ROUND(AB23/AC$6,0)</f>
        <v>-1754</v>
      </c>
      <c r="AD23" s="86">
        <f>SUM('TAMUK FGD'!$M37:'TAMUK FGD'!$M41)</f>
        <v>-9737376</v>
      </c>
      <c r="AE23" s="87">
        <f>ROUND(AD23/AE$6,0)</f>
        <v>-1734</v>
      </c>
      <c r="AF23" s="86">
        <f>SUM('TAMUCT FGD'!$M37:'TAMUCT FGD'!$M41)</f>
        <v>-1323188</v>
      </c>
      <c r="AG23" s="87">
        <f>ROUND(AF23/AG$6,0)</f>
        <v>-823</v>
      </c>
      <c r="AH23" s="86">
        <f>SUM('TAMUSA FGD'!$M37:'TAMUSA FGD'!$M41)</f>
        <v>-7435092</v>
      </c>
      <c r="AI23" s="87">
        <f>ROUND(AH23/AI$6,0)</f>
        <v>-1561</v>
      </c>
      <c r="AJ23" s="86">
        <f>SUM('TAMIU FGD'!$M37:'TAMIU FGD'!$M41)</f>
        <v>-15138751</v>
      </c>
      <c r="AK23" s="87">
        <f>ROUND(AJ23/AK$6,0)+1</f>
        <v>-2173</v>
      </c>
      <c r="AL23" s="86">
        <f>SUM('WTAMU FGD'!$M37:'WTAMU FGD'!$M41)</f>
        <v>-8211274</v>
      </c>
      <c r="AM23" s="87">
        <f>ROUND(AL23/AM$6,0)</f>
        <v>-1063</v>
      </c>
      <c r="AN23" s="86">
        <f>SUM('TAMUC FGD'!$M37:'TAMUC FGD'!$M41)</f>
        <v>-14907688</v>
      </c>
      <c r="AO23" s="87">
        <f>ROUND(AN23/AO$6,0)+1</f>
        <v>-1600</v>
      </c>
      <c r="AP23" s="86">
        <f>SUM('TAMUT FGD'!$M37:'TAMUT FGD'!$M41)</f>
        <v>-1400363</v>
      </c>
      <c r="AQ23" s="87">
        <f>ROUND(AP23/AQ$6,0)</f>
        <v>-848</v>
      </c>
      <c r="AR23" s="86">
        <f>SUM('UH1 FGD'!$M37:'UH1 FGD'!$M41)</f>
        <v>-44565688</v>
      </c>
      <c r="AS23" s="87">
        <f>ROUND(AR23/AS$6,0)</f>
        <v>-1106</v>
      </c>
      <c r="AT23" s="86">
        <f>SUM('UHCL FGD'!$M37:'UHCL FGD'!$M41)</f>
        <v>-4927528</v>
      </c>
      <c r="AU23" s="87">
        <f>ROUND(AT23/AU$6,0)</f>
        <v>-729</v>
      </c>
      <c r="AV23" s="86">
        <f>SUM('UHD FGD'!$M37:'UHD FGD'!$M41)</f>
        <v>-10973307</v>
      </c>
      <c r="AW23" s="87">
        <f>ROUND(AV23/AW$6,0)</f>
        <v>-980</v>
      </c>
      <c r="AX23" s="86">
        <f>SUM('UHV FGD'!$M37:'UHV FGD'!$M41)</f>
        <v>-3032267</v>
      </c>
      <c r="AY23" s="87">
        <f>ROUND(AX23/AY$6,0)</f>
        <v>-841</v>
      </c>
      <c r="AZ23" s="86">
        <f>SUM('LU FGD'!$M37:'LU FGD'!$M41)</f>
        <v>-6845974</v>
      </c>
      <c r="BA23" s="87">
        <f>ROUND(AZ23/BA$6,0)</f>
        <v>-506</v>
      </c>
      <c r="BB23" s="86">
        <f>SUM('shsu1 FGD'!$M37:'shsu1 FGD'!$M41)</f>
        <v>-7131972</v>
      </c>
      <c r="BC23" s="87">
        <f>ROUND(BB23/BC$6,0)-1</f>
        <v>-406</v>
      </c>
      <c r="BD23" s="86">
        <f>SUM('TXST FGD'!$M37:'TXST FGD'!$M41)</f>
        <v>-31513199</v>
      </c>
      <c r="BE23" s="87">
        <f>ROUND(BD23/BE$6,0)+1</f>
        <v>-1006</v>
      </c>
      <c r="BF23" s="86">
        <f>SUM('SRSU FGD'!$M37:'SRSU FGD'!$M41)</f>
        <v>-1441766</v>
      </c>
      <c r="BG23" s="87">
        <f>ROUND(BF23/BG$6,0)</f>
        <v>-842</v>
      </c>
      <c r="BH23" s="86">
        <f>SUM('TTU FGD'!$M37:'TTU FGD'!$M41)</f>
        <v>-38280661</v>
      </c>
      <c r="BI23" s="87">
        <f>ROUND(BH23/BI$6,0)</f>
        <v>-1062</v>
      </c>
      <c r="BJ23" s="86">
        <f>SUM('ASU FGD'!$M37:'ASU FGD'!$M41)</f>
        <v>-9588554</v>
      </c>
      <c r="BK23" s="87">
        <f>ROUND(BJ23/BK$6,0)</f>
        <v>-1259</v>
      </c>
      <c r="BL23" s="86">
        <f>SUM('UNT FGD'!$M37:'UNT FGD'!$M41)</f>
        <v>-94450627</v>
      </c>
      <c r="BM23" s="87">
        <f>ROUND(BL23/BM$6,0)</f>
        <v>-2720</v>
      </c>
      <c r="BN23" s="86">
        <f>SUM('UNTD FGD'!$M37:'UNTD FGD'!$M41)</f>
        <v>0</v>
      </c>
      <c r="BO23" s="87">
        <f>ROUND(BN23/BO$6,0)</f>
        <v>0</v>
      </c>
      <c r="BP23" s="86">
        <f>SUM('MidWST FGD'!$M37:'MidWST FGD'!$M41)</f>
        <v>-9071299</v>
      </c>
      <c r="BQ23" s="87">
        <f>ROUND(BP23/BQ$6,0)</f>
        <v>-2099</v>
      </c>
      <c r="BR23" s="86">
        <f>SUM('SFA FGD'!$M37:'SFA FGD'!$M41)</f>
        <v>-14359528</v>
      </c>
      <c r="BS23" s="87">
        <f>ROUND(BR23/BS$6,0)</f>
        <v>-1385</v>
      </c>
      <c r="BT23" s="86">
        <f>SUM('TSU FGD'!$M37:'TSU FGD'!$M41)</f>
        <v>-4627556</v>
      </c>
      <c r="BU23" s="87">
        <f>ROUND(BT23/BU$6,0)</f>
        <v>-718</v>
      </c>
      <c r="BV23" s="86">
        <f>SUM('TWU FGD'!$M37:'TWU FGD'!$M41)</f>
        <v>-43086651</v>
      </c>
      <c r="BW23" s="87">
        <f>ROUND(BV23/BW$6,0)</f>
        <v>-3308</v>
      </c>
    </row>
    <row r="24" spans="1:91">
      <c r="A24" s="575" t="s">
        <v>40</v>
      </c>
      <c r="B24" s="382">
        <f t="shared" ref="B24:AE24" si="43">B23+B22</f>
        <v>1529253716</v>
      </c>
      <c r="C24" s="382">
        <f t="shared" si="43"/>
        <v>2718</v>
      </c>
      <c r="D24" s="382">
        <f t="shared" si="43"/>
        <v>109191181</v>
      </c>
      <c r="E24" s="382">
        <f>E23+E22-1</f>
        <v>3177</v>
      </c>
      <c r="F24" s="382">
        <f t="shared" si="43"/>
        <v>69650748</v>
      </c>
      <c r="G24" s="382">
        <f t="shared" si="43"/>
        <v>1465</v>
      </c>
      <c r="H24" s="382">
        <f t="shared" si="43"/>
        <v>102715760</v>
      </c>
      <c r="I24" s="382">
        <f>I23+I22-1</f>
        <v>4249</v>
      </c>
      <c r="J24" s="382">
        <f t="shared" si="43"/>
        <v>39303289</v>
      </c>
      <c r="K24" s="382">
        <f t="shared" si="43"/>
        <v>2017</v>
      </c>
      <c r="L24" s="382">
        <f t="shared" si="43"/>
        <v>42336522</v>
      </c>
      <c r="M24" s="382">
        <f t="shared" si="43"/>
        <v>1492</v>
      </c>
      <c r="N24" s="382">
        <f t="shared" si="43"/>
        <v>15145116</v>
      </c>
      <c r="O24" s="382">
        <f>O23+O22+1</f>
        <v>3559</v>
      </c>
      <c r="P24" s="382">
        <f t="shared" si="43"/>
        <v>91707990</v>
      </c>
      <c r="Q24" s="382">
        <f t="shared" si="43"/>
        <v>3229</v>
      </c>
      <c r="R24" s="382">
        <f t="shared" si="43"/>
        <v>21373554</v>
      </c>
      <c r="S24" s="382">
        <f t="shared" si="43"/>
        <v>2810</v>
      </c>
      <c r="T24" s="382">
        <f t="shared" si="43"/>
        <v>237148345</v>
      </c>
      <c r="U24" s="382">
        <f t="shared" si="43"/>
        <v>4078</v>
      </c>
      <c r="V24" s="382">
        <f t="shared" si="43"/>
        <v>8677050</v>
      </c>
      <c r="W24" s="382">
        <f t="shared" si="43"/>
        <v>5007</v>
      </c>
      <c r="X24" s="382">
        <f t="shared" si="43"/>
        <v>18138708</v>
      </c>
      <c r="Y24" s="382">
        <f t="shared" si="43"/>
        <v>2248</v>
      </c>
      <c r="Z24" s="382">
        <f t="shared" si="43"/>
        <v>37770330</v>
      </c>
      <c r="AA24" s="382">
        <f t="shared" si="43"/>
        <v>3268</v>
      </c>
      <c r="AB24" s="382">
        <f t="shared" si="43"/>
        <v>42988703</v>
      </c>
      <c r="AC24" s="382">
        <f t="shared" si="43"/>
        <v>4605</v>
      </c>
      <c r="AD24" s="382">
        <f t="shared" si="43"/>
        <v>18581964</v>
      </c>
      <c r="AE24" s="382">
        <f t="shared" si="43"/>
        <v>3309</v>
      </c>
      <c r="AF24" s="382">
        <f t="shared" ref="AF24:BK24" si="44">AF23+AF22</f>
        <v>3885131</v>
      </c>
      <c r="AG24" s="382">
        <f t="shared" si="44"/>
        <v>2418</v>
      </c>
      <c r="AH24" s="382">
        <f t="shared" si="44"/>
        <v>13664842</v>
      </c>
      <c r="AI24" s="382">
        <f t="shared" si="44"/>
        <v>2869</v>
      </c>
      <c r="AJ24" s="382">
        <f t="shared" si="44"/>
        <v>17664661</v>
      </c>
      <c r="AK24" s="382">
        <f t="shared" si="44"/>
        <v>2539</v>
      </c>
      <c r="AL24" s="382">
        <f t="shared" si="44"/>
        <v>20742356</v>
      </c>
      <c r="AM24" s="382">
        <f t="shared" si="44"/>
        <v>2685</v>
      </c>
      <c r="AN24" s="382">
        <f t="shared" si="44"/>
        <v>45907981</v>
      </c>
      <c r="AO24" s="382">
        <f t="shared" si="44"/>
        <v>4931</v>
      </c>
      <c r="AP24" s="382">
        <f t="shared" si="44"/>
        <v>3712475</v>
      </c>
      <c r="AQ24" s="382">
        <f t="shared" si="44"/>
        <v>2248</v>
      </c>
      <c r="AR24" s="382">
        <f t="shared" si="44"/>
        <v>110159186</v>
      </c>
      <c r="AS24" s="382">
        <f t="shared" si="44"/>
        <v>2732</v>
      </c>
      <c r="AT24" s="382">
        <f t="shared" si="44"/>
        <v>13632685</v>
      </c>
      <c r="AU24" s="382">
        <f t="shared" si="44"/>
        <v>2016</v>
      </c>
      <c r="AV24" s="382">
        <f t="shared" si="44"/>
        <v>16642272</v>
      </c>
      <c r="AW24" s="382">
        <f t="shared" si="44"/>
        <v>1487</v>
      </c>
      <c r="AX24" s="382">
        <f t="shared" si="44"/>
        <v>8325747</v>
      </c>
      <c r="AY24" s="382">
        <f t="shared" si="44"/>
        <v>2310</v>
      </c>
      <c r="AZ24" s="382">
        <f t="shared" si="44"/>
        <v>28879514</v>
      </c>
      <c r="BA24" s="382">
        <f t="shared" si="44"/>
        <v>2137</v>
      </c>
      <c r="BB24" s="382">
        <f t="shared" si="44"/>
        <v>87900407</v>
      </c>
      <c r="BC24" s="382">
        <f t="shared" si="44"/>
        <v>4995</v>
      </c>
      <c r="BD24" s="382">
        <f t="shared" si="44"/>
        <v>83471581</v>
      </c>
      <c r="BE24" s="382">
        <f t="shared" si="44"/>
        <v>2668</v>
      </c>
      <c r="BF24" s="382">
        <f t="shared" si="44"/>
        <v>3361215</v>
      </c>
      <c r="BG24" s="382">
        <f t="shared" si="44"/>
        <v>1963</v>
      </c>
      <c r="BH24" s="382">
        <f t="shared" si="44"/>
        <v>112730410</v>
      </c>
      <c r="BI24" s="382">
        <f t="shared" si="44"/>
        <v>3129</v>
      </c>
      <c r="BJ24" s="382">
        <f t="shared" si="44"/>
        <v>18386799</v>
      </c>
      <c r="BK24" s="382">
        <f t="shared" si="44"/>
        <v>2413</v>
      </c>
      <c r="BL24" s="382">
        <f t="shared" ref="BL24:BW24" si="45">BL23+BL22</f>
        <v>51456695</v>
      </c>
      <c r="BM24" s="382">
        <f t="shared" si="45"/>
        <v>1482</v>
      </c>
      <c r="BN24" s="382">
        <f t="shared" si="45"/>
        <v>6466914</v>
      </c>
      <c r="BO24" s="382">
        <f t="shared" si="45"/>
        <v>1867</v>
      </c>
      <c r="BP24" s="382">
        <f t="shared" si="45"/>
        <v>16440475</v>
      </c>
      <c r="BQ24" s="382">
        <f t="shared" si="45"/>
        <v>3803</v>
      </c>
      <c r="BR24" s="382">
        <f t="shared" si="45"/>
        <v>23486460</v>
      </c>
      <c r="BS24" s="382">
        <f t="shared" si="45"/>
        <v>2265</v>
      </c>
      <c r="BT24" s="382">
        <f t="shared" si="45"/>
        <v>11617482</v>
      </c>
      <c r="BU24" s="382">
        <f t="shared" si="45"/>
        <v>1802</v>
      </c>
      <c r="BV24" s="382">
        <f t="shared" si="45"/>
        <v>-24010832</v>
      </c>
      <c r="BW24" s="382">
        <f t="shared" si="45"/>
        <v>-1844</v>
      </c>
    </row>
    <row r="25" spans="1:91">
      <c r="A25" s="78"/>
      <c r="B25" s="86"/>
      <c r="C25" s="87"/>
      <c r="D25" s="86"/>
      <c r="E25" s="87"/>
      <c r="F25" s="86"/>
      <c r="G25" s="87"/>
      <c r="H25" s="86"/>
      <c r="I25" s="87"/>
      <c r="J25" s="86"/>
      <c r="K25" s="87"/>
      <c r="L25" s="86"/>
      <c r="M25" s="87"/>
      <c r="N25" s="86"/>
      <c r="O25" s="87"/>
      <c r="P25" s="86"/>
      <c r="Q25" s="87"/>
      <c r="R25" s="86"/>
      <c r="S25" s="87"/>
      <c r="T25" s="86"/>
      <c r="U25" s="87"/>
      <c r="V25" s="86"/>
      <c r="W25" s="87"/>
      <c r="X25" s="86"/>
      <c r="Y25" s="87"/>
      <c r="Z25" s="86"/>
      <c r="AA25" s="87"/>
      <c r="AB25" s="86"/>
      <c r="AC25" s="87"/>
      <c r="AD25" s="86"/>
      <c r="AE25" s="87"/>
      <c r="AF25" s="86"/>
      <c r="AG25" s="87"/>
      <c r="AH25" s="86"/>
      <c r="AI25" s="87"/>
      <c r="AJ25" s="86"/>
      <c r="AK25" s="87"/>
      <c r="AL25" s="86"/>
      <c r="AM25" s="87"/>
      <c r="AN25" s="86"/>
      <c r="AO25" s="87"/>
      <c r="AP25" s="86"/>
      <c r="AQ25" s="87"/>
      <c r="AR25" s="86"/>
      <c r="AS25" s="87"/>
      <c r="AT25" s="86"/>
      <c r="AU25" s="87"/>
      <c r="AV25" s="86"/>
      <c r="AW25" s="87"/>
      <c r="AX25" s="86"/>
      <c r="AY25" s="87"/>
      <c r="AZ25" s="86"/>
      <c r="BA25" s="87"/>
      <c r="BB25" s="86"/>
      <c r="BC25" s="87"/>
      <c r="BD25" s="86"/>
      <c r="BE25" s="87"/>
      <c r="BF25" s="86"/>
      <c r="BG25" s="87"/>
      <c r="BH25" s="86"/>
      <c r="BI25" s="87"/>
      <c r="BJ25" s="86"/>
      <c r="BK25" s="87"/>
      <c r="BL25" s="86"/>
      <c r="BM25" s="87"/>
      <c r="BN25" s="86"/>
      <c r="BO25" s="87"/>
      <c r="BP25" s="86"/>
      <c r="BQ25" s="87"/>
      <c r="BR25" s="86"/>
      <c r="BS25" s="87"/>
      <c r="BT25" s="86"/>
      <c r="BU25" s="87"/>
      <c r="BV25" s="86"/>
      <c r="BW25" s="87"/>
    </row>
    <row r="26" spans="1:91">
      <c r="A26" s="590" t="s">
        <v>1252</v>
      </c>
      <c r="B26" s="382">
        <f t="shared" ref="B26:AD26" si="46">B24+B20</f>
        <v>5201526243</v>
      </c>
      <c r="C26" s="382">
        <f>C24+C20</f>
        <v>9244</v>
      </c>
      <c r="D26" s="382">
        <f t="shared" si="46"/>
        <v>348479934</v>
      </c>
      <c r="E26" s="382">
        <f>E24+E20+1</f>
        <v>10142</v>
      </c>
      <c r="F26" s="382">
        <f t="shared" si="46"/>
        <v>521364736</v>
      </c>
      <c r="G26" s="382">
        <f>G24+G20</f>
        <v>10968</v>
      </c>
      <c r="H26" s="382">
        <f t="shared" si="46"/>
        <v>299924258</v>
      </c>
      <c r="I26" s="382">
        <f>I24+I20+1</f>
        <v>12410</v>
      </c>
      <c r="J26" s="382">
        <f t="shared" si="46"/>
        <v>148988894</v>
      </c>
      <c r="K26" s="382">
        <f>K24+K20</f>
        <v>7645</v>
      </c>
      <c r="L26" s="382">
        <f t="shared" si="46"/>
        <v>139918937</v>
      </c>
      <c r="M26" s="382">
        <f>M24+M20</f>
        <v>4930</v>
      </c>
      <c r="N26" s="382">
        <f t="shared" si="46"/>
        <v>32513106</v>
      </c>
      <c r="O26" s="382">
        <f>O24+O20</f>
        <v>7640</v>
      </c>
      <c r="P26" s="382">
        <f t="shared" si="46"/>
        <v>251699436</v>
      </c>
      <c r="Q26" s="382">
        <f>Q24+Q20</f>
        <v>8864</v>
      </c>
      <c r="R26" s="382">
        <f t="shared" si="46"/>
        <v>57341915</v>
      </c>
      <c r="S26" s="382">
        <f>S24+S20-1</f>
        <v>7538</v>
      </c>
      <c r="T26" s="382">
        <f t="shared" si="46"/>
        <v>679630868</v>
      </c>
      <c r="U26" s="382">
        <f>U24+U20-1</f>
        <v>11687</v>
      </c>
      <c r="V26" s="382">
        <f t="shared" si="46"/>
        <v>21352720</v>
      </c>
      <c r="W26" s="382">
        <f>W24+W20+1</f>
        <v>12322</v>
      </c>
      <c r="X26" s="382">
        <f t="shared" si="46"/>
        <v>58606512</v>
      </c>
      <c r="Y26" s="382">
        <f>Y24+Y20</f>
        <v>7263</v>
      </c>
      <c r="Z26" s="382">
        <f t="shared" si="46"/>
        <v>95089628</v>
      </c>
      <c r="AA26" s="382">
        <f>AA24+AA20+1</f>
        <v>8229</v>
      </c>
      <c r="AB26" s="382">
        <f t="shared" si="46"/>
        <v>82142445</v>
      </c>
      <c r="AC26" s="382">
        <f>AC24+AC20</f>
        <v>8798</v>
      </c>
      <c r="AD26" s="382">
        <f t="shared" si="46"/>
        <v>39587132</v>
      </c>
      <c r="AE26" s="382">
        <f>AE24+AE20-1</f>
        <v>7049</v>
      </c>
      <c r="AF26" s="382">
        <f t="shared" ref="AF26:BJ26" si="47">AF24+AF20</f>
        <v>12660399</v>
      </c>
      <c r="AG26" s="382">
        <f>AG24+AG20</f>
        <v>7879</v>
      </c>
      <c r="AH26" s="382">
        <f t="shared" si="47"/>
        <v>29496374</v>
      </c>
      <c r="AI26" s="382">
        <f>AI24+AI20-1</f>
        <v>6193</v>
      </c>
      <c r="AJ26" s="382">
        <f t="shared" si="47"/>
        <v>35768010</v>
      </c>
      <c r="AK26" s="382">
        <f>AK24+AK20-3</f>
        <v>5137</v>
      </c>
      <c r="AL26" s="382">
        <f t="shared" si="47"/>
        <v>61182029</v>
      </c>
      <c r="AM26" s="382">
        <f>AM24+AM20+1</f>
        <v>7920</v>
      </c>
      <c r="AN26" s="382">
        <f t="shared" si="47"/>
        <v>80100693</v>
      </c>
      <c r="AO26" s="382">
        <f>AO24+AO20-2</f>
        <v>8602</v>
      </c>
      <c r="AP26" s="382">
        <f t="shared" si="47"/>
        <v>11361521</v>
      </c>
      <c r="AQ26" s="382">
        <f>AQ24+AQ20</f>
        <v>6879</v>
      </c>
      <c r="AR26" s="382">
        <f t="shared" si="47"/>
        <v>400572093</v>
      </c>
      <c r="AS26" s="382">
        <f>AS24+AS20+2</f>
        <v>9937</v>
      </c>
      <c r="AT26" s="382">
        <f t="shared" si="47"/>
        <v>57336848</v>
      </c>
      <c r="AU26" s="382">
        <f>AU24+AU20+1</f>
        <v>8479</v>
      </c>
      <c r="AV26" s="382">
        <f t="shared" si="47"/>
        <v>72089010</v>
      </c>
      <c r="AW26" s="382">
        <f>AW24+AW20+1</f>
        <v>6441</v>
      </c>
      <c r="AX26" s="382">
        <f t="shared" si="47"/>
        <v>26804338</v>
      </c>
      <c r="AY26" s="382">
        <f>AY24+AY20-1</f>
        <v>7437</v>
      </c>
      <c r="AZ26" s="382">
        <f t="shared" si="47"/>
        <v>112190515</v>
      </c>
      <c r="BA26" s="382">
        <f t="shared" si="47"/>
        <v>8301</v>
      </c>
      <c r="BB26" s="382">
        <f t="shared" si="47"/>
        <v>176866747</v>
      </c>
      <c r="BC26" s="382">
        <f>BC24+BC20+1</f>
        <v>10053</v>
      </c>
      <c r="BD26" s="382">
        <f t="shared" si="47"/>
        <v>285682007</v>
      </c>
      <c r="BE26" s="382">
        <f>BE24+BE20-1</f>
        <v>9128</v>
      </c>
      <c r="BF26" s="382">
        <f t="shared" si="47"/>
        <v>9678587</v>
      </c>
      <c r="BG26" s="382">
        <f>BG24+BG20</f>
        <v>5652</v>
      </c>
      <c r="BH26" s="382">
        <f t="shared" si="47"/>
        <v>357294838</v>
      </c>
      <c r="BI26" s="382">
        <f>BI24+BI20</f>
        <v>9915</v>
      </c>
      <c r="BJ26" s="382">
        <f t="shared" si="47"/>
        <v>44743500</v>
      </c>
      <c r="BK26" s="382">
        <f>BK24+BK20+1</f>
        <v>5874</v>
      </c>
      <c r="BL26" s="382">
        <f t="shared" ref="BL26:BV26" si="48">BL24+BL20</f>
        <v>363524651</v>
      </c>
      <c r="BM26" s="382">
        <f>BM24+BM20-1</f>
        <v>10468</v>
      </c>
      <c r="BN26" s="382">
        <f t="shared" si="48"/>
        <v>30361512</v>
      </c>
      <c r="BO26" s="382">
        <f>BO24+BO20-1</f>
        <v>8765</v>
      </c>
      <c r="BP26" s="382">
        <f t="shared" si="48"/>
        <v>33832780</v>
      </c>
      <c r="BQ26" s="382">
        <f>BQ24+BQ20+2</f>
        <v>7828</v>
      </c>
      <c r="BR26" s="382">
        <f t="shared" si="48"/>
        <v>80528042</v>
      </c>
      <c r="BS26" s="382">
        <f>BS24+BS20-1</f>
        <v>7766</v>
      </c>
      <c r="BT26" s="382">
        <f t="shared" si="48"/>
        <v>53649894</v>
      </c>
      <c r="BU26" s="382">
        <f>BU24+BU20+1</f>
        <v>8323</v>
      </c>
      <c r="BV26" s="382">
        <f t="shared" si="48"/>
        <v>89161334</v>
      </c>
      <c r="BW26" s="382">
        <f>BW24+BW20+1</f>
        <v>6845</v>
      </c>
    </row>
    <row r="27" spans="1:91">
      <c r="A27" s="78"/>
      <c r="B27" s="383" t="str">
        <f>IF(B26&lt;&gt;'Smmy Sum'!$B56,"Error","")</f>
        <v/>
      </c>
      <c r="C27" s="383" t="str">
        <f>IF(C26&lt;&gt;'Smmy Sum'!$C56,"Error","")</f>
        <v/>
      </c>
      <c r="D27" s="383" t="str">
        <f>IF(D26&lt;&gt;'ARL FGD'!$M44,"Error","")</f>
        <v/>
      </c>
      <c r="E27" s="383" t="str">
        <f>IF(E26&lt;&gt;'ARL Sum'!$C20,"Error","")</f>
        <v/>
      </c>
      <c r="F27" s="383" t="str">
        <f>IF(F26&lt;&gt;'AUS1 FGD'!$M44,"Error","")</f>
        <v/>
      </c>
      <c r="G27" s="383" t="str">
        <f>IF(G26&lt;&gt;'AUS1 Sum'!$C20,"Error","")</f>
        <v/>
      </c>
      <c r="H27" s="383" t="str">
        <f>IF(H26&lt;&gt;'DAL FGD'!$M44,"Error","")</f>
        <v/>
      </c>
      <c r="I27" s="383" t="str">
        <f>IF(I26&lt;&gt;'DAL Sum'!$C20,"Error","")</f>
        <v/>
      </c>
      <c r="J27" s="383" t="str">
        <f>IF(J26&lt;&gt;'E-P FGD'!$M44,"Error","")</f>
        <v/>
      </c>
      <c r="K27" s="383" t="str">
        <f>IF(K26&lt;&gt;'E-P Sum'!$C20,"Error","")</f>
        <v/>
      </c>
      <c r="L27" s="383" t="str">
        <f>IF(L26&lt;&gt;'RGV1 FGD'!$M44,"Error","")</f>
        <v/>
      </c>
      <c r="M27" s="383" t="str">
        <f>IF(M26&lt;&gt;'RGV1 Sum'!$C20,"Error","")</f>
        <v/>
      </c>
      <c r="N27" s="383" t="str">
        <f>IF(N26&lt;&gt;'P-B FGD'!$M44,"Error","")</f>
        <v/>
      </c>
      <c r="O27" s="383" t="str">
        <f>IF(O26&lt;&gt;'P-B Sum'!$C20,"Error","")</f>
        <v/>
      </c>
      <c r="P27" s="383" t="str">
        <f>IF(P26&lt;&gt;'S-A FGD'!$M44,"Error","")</f>
        <v/>
      </c>
      <c r="Q27" s="383" t="str">
        <f>IF(Q26&lt;&gt;'S-A Sum'!$C20,"Error","")</f>
        <v/>
      </c>
      <c r="R27" s="383" t="str">
        <f>IF(R26&lt;&gt;'TYL FGD'!$M44,"Error","")</f>
        <v/>
      </c>
      <c r="S27" s="383" t="str">
        <f>IF(S26&lt;&gt;'TYL Sum'!$C20,"Error","")</f>
        <v/>
      </c>
      <c r="T27" s="383" t="str">
        <f>IF(T26&lt;&gt;'TAMU FGD'!$M44,"Error","")</f>
        <v/>
      </c>
      <c r="U27" s="383" t="str">
        <f>IF(U26&lt;&gt;'TAMU Sum'!$C20,"Error","")</f>
        <v/>
      </c>
      <c r="V27" s="383" t="str">
        <f>IF(V26&lt;&gt;'TAMUG FGD'!$M44,"Error","")</f>
        <v/>
      </c>
      <c r="W27" s="383" t="str">
        <f>IF(W26&lt;&gt;'TAMUG Sum'!$C20,"Error","")</f>
        <v/>
      </c>
      <c r="X27" s="383" t="str">
        <f>IF(X26&lt;&gt;'PVAMU FGD'!$M44,"Error","")</f>
        <v/>
      </c>
      <c r="Y27" s="383" t="str">
        <f>IF(Y26&lt;&gt;'PVAMU Sum'!$C20,"Error","")</f>
        <v/>
      </c>
      <c r="Z27" s="383" t="str">
        <f>IF(Z26&lt;&gt;'TARLST FGD'!$M44,"Error","")</f>
        <v/>
      </c>
      <c r="AA27" s="383" t="str">
        <f>IF(AA26&lt;&gt;'TARLST Sum'!$C20,"Error","")</f>
        <v/>
      </c>
      <c r="AB27" s="383" t="str">
        <f>IF(AB26&lt;&gt;'TAMUCC FGD'!$M44,"Error","")</f>
        <v/>
      </c>
      <c r="AC27" s="383" t="str">
        <f>IF(AC26&lt;&gt;'TAMUCC Sum'!$C20,"Error","")</f>
        <v/>
      </c>
      <c r="AD27" s="383" t="str">
        <f>IF(AD26&lt;&gt;'TAMUK FGD'!$M44,"Error","")</f>
        <v/>
      </c>
      <c r="AE27" s="383" t="str">
        <f>IF(AE26&lt;&gt;'TAMUK Sum'!$C20,"Error","")</f>
        <v/>
      </c>
      <c r="AF27" s="383" t="str">
        <f>IF(AF26&lt;&gt;'TAMUCT FGD'!$M44,"Error","")</f>
        <v/>
      </c>
      <c r="AG27" s="383" t="str">
        <f>IF(AG26&lt;&gt;'TAMUCT Sum'!$C20,"Error","")</f>
        <v/>
      </c>
      <c r="AH27" s="383" t="str">
        <f>IF(AH26&lt;&gt;'TAMUSA FGD'!$M44,"Error","")</f>
        <v/>
      </c>
      <c r="AI27" s="383" t="str">
        <f>IF(AI26&lt;&gt;'TAMUSA Sum'!$C20,"Error","")</f>
        <v/>
      </c>
      <c r="AJ27" s="383" t="str">
        <f>IF(AJ26&lt;&gt;'TAMIU FGD'!$M44,"Error","")</f>
        <v/>
      </c>
      <c r="AK27" s="383" t="str">
        <f>IF(AK26&lt;&gt;'TAMIU Sum'!$C20,"Error","")</f>
        <v/>
      </c>
      <c r="AL27" s="383" t="str">
        <f>IF(AL26&lt;&gt;'WTAMU FGD'!$M44,"Error","")</f>
        <v/>
      </c>
      <c r="AM27" s="383" t="str">
        <f>IF(AM26&lt;&gt;'WTAMU Sum'!$C20,"Error","")</f>
        <v/>
      </c>
      <c r="AN27" s="383" t="str">
        <f>IF(AN26&lt;&gt;'TAMUC FGD'!$M44,"Error","")</f>
        <v/>
      </c>
      <c r="AO27" s="383" t="str">
        <f>IF(AO26&lt;&gt;'TAMUC Sum'!$C20,"Error","")</f>
        <v/>
      </c>
      <c r="AP27" s="383" t="str">
        <f>IF(AP26&lt;&gt;'TAMUT FGD'!$M44,"Error","")</f>
        <v/>
      </c>
      <c r="AQ27" s="383" t="str">
        <f>IF(AQ26&lt;&gt;'TAMUT Sum'!$C20,"Error","")</f>
        <v/>
      </c>
      <c r="AR27" s="383" t="str">
        <f>IF(AR26&lt;&gt;'UH1 FGD'!$M44,"Error","")</f>
        <v/>
      </c>
      <c r="AS27" s="383" t="str">
        <f>IF(AS26&lt;&gt;'UH1 Sum'!$C20,"Error","")</f>
        <v/>
      </c>
      <c r="AT27" s="383" t="str">
        <f>IF(AT26&lt;&gt;'UHCL FGD'!$M44,"Error","")</f>
        <v/>
      </c>
      <c r="AU27" s="383" t="str">
        <f>IF(AU26&lt;&gt;'UHCL Sum'!$C20,"Error","")</f>
        <v/>
      </c>
      <c r="AV27" s="383" t="str">
        <f>IF(AV26&lt;&gt;'UHD FGD'!$M44,"Error","")</f>
        <v/>
      </c>
      <c r="AW27" s="383" t="str">
        <f>IF(AW26&lt;&gt;'UHD Sum'!$C20,"Error","")</f>
        <v/>
      </c>
      <c r="AX27" s="383" t="str">
        <f>IF(AX26&lt;&gt;'UHV FGD'!$M44,"Error","")</f>
        <v/>
      </c>
      <c r="AY27" s="383" t="str">
        <f>IF(AY26&lt;&gt;'UHV Sum'!$C20,"Error","")</f>
        <v/>
      </c>
      <c r="AZ27" s="383" t="str">
        <f>IF(AZ26&lt;&gt;'LU FGD'!$M44,"Error","")</f>
        <v/>
      </c>
      <c r="BA27" s="383" t="str">
        <f>IF(BA26&lt;&gt;'LU Sum'!$C20,"Error","")</f>
        <v/>
      </c>
      <c r="BB27" s="383" t="str">
        <f>IF(BB26&lt;&gt;'shsu1 FGD'!$M44,"Error","")</f>
        <v/>
      </c>
      <c r="BC27" s="383" t="str">
        <f>IF(BC26&lt;&gt;'shsu1 Sum'!$C20,"Error","")</f>
        <v/>
      </c>
      <c r="BD27" s="383" t="str">
        <f>IF(BD26&lt;&gt;'TXST FGD'!$M44,"Error","")</f>
        <v/>
      </c>
      <c r="BE27" s="383" t="str">
        <f>IF(BE26&lt;&gt;'TXST Sum'!$C20,"Error","")</f>
        <v/>
      </c>
      <c r="BF27" s="383" t="str">
        <f>IF(BF26&lt;&gt;'SRSU FGD'!$M44,"Error","")</f>
        <v/>
      </c>
      <c r="BG27" s="383" t="str">
        <f>IF(BG26&lt;&gt;'SRSU Sum'!$C20,"Error","")</f>
        <v/>
      </c>
      <c r="BH27" s="383" t="str">
        <f>IF(BH26&lt;&gt;'TTU FGD'!$M44,"Error","")</f>
        <v/>
      </c>
      <c r="BI27" s="383" t="str">
        <f>IF(BI26&lt;&gt;'TTU Sum'!$C20,"Error","")</f>
        <v/>
      </c>
      <c r="BJ27" s="383" t="str">
        <f>IF(BJ26&lt;&gt;'ASU FGD'!$M44,"Error","")</f>
        <v/>
      </c>
      <c r="BK27" s="383" t="str">
        <f>IF(BK26&lt;&gt;'ASU Sum'!$C20,"Error","")</f>
        <v/>
      </c>
      <c r="BL27" s="383" t="str">
        <f>IF(BL26&lt;&gt;'UNT FGD'!$M44,"Error","")</f>
        <v/>
      </c>
      <c r="BM27" s="383" t="str">
        <f>IF(BM26&lt;&gt;'UNT Sum'!$C20,"Error","")</f>
        <v/>
      </c>
      <c r="BN27" s="383" t="str">
        <f>IF(BN26&lt;&gt;'UNTD FGD'!$M44,"Error","")</f>
        <v/>
      </c>
      <c r="BO27" s="383" t="str">
        <f>IF(BO26&lt;&gt;'UNTD Sum'!$C20,"Error","")</f>
        <v/>
      </c>
      <c r="BP27" s="383" t="str">
        <f>IF(BP26&lt;&gt;'MidWST FGD'!$M44,"Error","")</f>
        <v/>
      </c>
      <c r="BQ27" s="383" t="str">
        <f>IF(BQ26&lt;&gt;'MidWST Sum'!$C20,"Error","")</f>
        <v/>
      </c>
      <c r="BR27" s="383" t="str">
        <f>IF(BR26&lt;&gt;'SFA FGD'!$M44,"Error","")</f>
        <v/>
      </c>
      <c r="BS27" s="383" t="str">
        <f>IF(BS26&lt;&gt;'SFA Sum'!$C20,"Error","")</f>
        <v/>
      </c>
      <c r="BT27" s="383" t="str">
        <f>IF(BT26&lt;&gt;'TSU FGD'!$M44,"Error","")</f>
        <v/>
      </c>
      <c r="BU27" s="383" t="str">
        <f>IF(BU26&lt;&gt;'TSU Sum'!$C20,"Error","")</f>
        <v/>
      </c>
      <c r="BV27" s="383" t="str">
        <f>IF(BV26&lt;&gt;'TWU FGD'!$M44,"Error","")</f>
        <v/>
      </c>
      <c r="BW27" s="383" t="str">
        <f>IF(BW26&lt;&gt;'TWU Sum'!$C20,"Error","")</f>
        <v/>
      </c>
    </row>
    <row r="28" spans="1:91">
      <c r="A28" s="78" t="s">
        <v>6</v>
      </c>
      <c r="B28" s="91"/>
      <c r="C28" s="87"/>
      <c r="D28" s="91"/>
      <c r="E28" s="87"/>
      <c r="F28" s="91"/>
      <c r="G28" s="87"/>
      <c r="H28" s="91"/>
      <c r="I28" s="87"/>
      <c r="J28" s="91"/>
      <c r="K28" s="87"/>
      <c r="L28" s="91"/>
      <c r="N28" s="91"/>
      <c r="P28" s="91"/>
      <c r="R28" s="91"/>
      <c r="T28" s="91"/>
      <c r="V28" s="91"/>
      <c r="X28" s="91"/>
      <c r="Z28" s="91"/>
      <c r="AB28" s="91"/>
      <c r="AD28" s="91"/>
      <c r="AF28" s="91"/>
      <c r="AH28" s="91"/>
      <c r="AJ28" s="91"/>
      <c r="AL28" s="91"/>
      <c r="AN28" s="91"/>
      <c r="AP28" s="91"/>
      <c r="AR28" s="91"/>
      <c r="AT28" s="91"/>
      <c r="AV28" s="91"/>
      <c r="AX28" s="91"/>
      <c r="AZ28" s="91"/>
      <c r="BB28" s="91"/>
      <c r="BD28" s="91"/>
      <c r="BF28" s="91"/>
      <c r="BH28" s="91"/>
      <c r="BJ28" s="91"/>
      <c r="BL28" s="91"/>
      <c r="BN28" s="91"/>
      <c r="BP28" s="91"/>
      <c r="BR28" s="91"/>
      <c r="BT28" s="91"/>
      <c r="BV28" s="91"/>
    </row>
    <row r="29" spans="1:91">
      <c r="A29" s="88" t="s">
        <v>7</v>
      </c>
      <c r="B29" s="92">
        <f>SUMIF(D$70:BW$70,$B$70,D29:BW29)</f>
        <v>3599991337</v>
      </c>
      <c r="C29" s="382">
        <f>ROUND(B29/C$6,0)</f>
        <v>6398</v>
      </c>
      <c r="D29" s="384">
        <f>'ARL FGD'!$M47</f>
        <v>176364560</v>
      </c>
      <c r="E29" s="382">
        <f>ROUND(D29/E$6,0)</f>
        <v>5133</v>
      </c>
      <c r="F29" s="384">
        <f>'AUS1 FGD'!$M47</f>
        <v>599352881</v>
      </c>
      <c r="G29" s="382">
        <f>ROUND(F29/G$6,0)</f>
        <v>12609</v>
      </c>
      <c r="H29" s="384">
        <f>'DAL FGD'!$M47</f>
        <v>143175656</v>
      </c>
      <c r="I29" s="382">
        <f>ROUND(H29/I$6,0)</f>
        <v>5924</v>
      </c>
      <c r="J29" s="384">
        <f>'E-P FGD'!$M47</f>
        <v>206524165</v>
      </c>
      <c r="K29" s="382">
        <f>ROUND(J29/K$6,0)</f>
        <v>10597</v>
      </c>
      <c r="L29" s="92">
        <f>'RGV1 FGD'!$M47</f>
        <v>246799186</v>
      </c>
      <c r="M29" s="89">
        <f>ROUND(L29/M$6,0)</f>
        <v>8696</v>
      </c>
      <c r="N29" s="92">
        <f>'P-B FGD'!$M47</f>
        <v>22084960</v>
      </c>
      <c r="O29" s="89">
        <f>ROUND(N29/O$6,0)</f>
        <v>5190</v>
      </c>
      <c r="P29" s="92">
        <f>'S-A FGD'!$M47</f>
        <v>200914830</v>
      </c>
      <c r="Q29" s="89">
        <f>ROUND(P29/Q$6,0)</f>
        <v>7075</v>
      </c>
      <c r="R29" s="92">
        <f>'TYL FGD'!$M47</f>
        <v>23208570</v>
      </c>
      <c r="S29" s="89">
        <f>ROUND(R29/S$6,0)</f>
        <v>3051</v>
      </c>
      <c r="T29" s="92">
        <f>'TAMU FGD'!$M47</f>
        <v>272642791</v>
      </c>
      <c r="U29" s="89">
        <f>ROUND(T29/U$6,0)</f>
        <v>4689</v>
      </c>
      <c r="V29" s="92">
        <f>'TAMUG FGD'!$M47</f>
        <v>10245867</v>
      </c>
      <c r="W29" s="89">
        <f>ROUND(V29/W$6,0)</f>
        <v>5913</v>
      </c>
      <c r="X29" s="92">
        <f>'PVAMU FGD'!$M47</f>
        <v>104828664</v>
      </c>
      <c r="Y29" s="89">
        <f>ROUND(X29/Y$6,0)</f>
        <v>12991</v>
      </c>
      <c r="Z29" s="92">
        <f>'TARLST FGD'!$M47</f>
        <v>57260009</v>
      </c>
      <c r="AA29" s="89">
        <f>ROUND(Z29/AA$6,0)</f>
        <v>4955</v>
      </c>
      <c r="AB29" s="92">
        <f>'TAMUCC FGD'!$M47</f>
        <v>64668767</v>
      </c>
      <c r="AC29" s="89">
        <f>ROUND(AB29/AC$6,0)</f>
        <v>6927</v>
      </c>
      <c r="AD29" s="92">
        <f>'TAMUK FGD'!$M47</f>
        <v>47273104</v>
      </c>
      <c r="AE29" s="89">
        <f>ROUND(AD29/AE$6,0)</f>
        <v>8417</v>
      </c>
      <c r="AF29" s="92">
        <f>'TAMUCT FGD'!$M47</f>
        <v>8130294</v>
      </c>
      <c r="AG29" s="89">
        <f>ROUND(AF29/AG$6,0)</f>
        <v>5059</v>
      </c>
      <c r="AH29" s="92">
        <f>'TAMUSA FGD'!$M47</f>
        <v>35360842</v>
      </c>
      <c r="AI29" s="89">
        <f>ROUND(AH29/AI$6,0)</f>
        <v>7424</v>
      </c>
      <c r="AJ29" s="92">
        <f>'TAMIU FGD'!$M47</f>
        <v>51758469</v>
      </c>
      <c r="AK29" s="89">
        <f>ROUND(AJ29/AK$6,0)</f>
        <v>7434</v>
      </c>
      <c r="AL29" s="92">
        <f>'WTAMU FGD'!$M47</f>
        <v>34173176</v>
      </c>
      <c r="AM29" s="89">
        <f>ROUND(AL29/AM$6,0)</f>
        <v>4424</v>
      </c>
      <c r="AN29" s="92">
        <f>'TAMUC FGD'!$M47</f>
        <v>44440614</v>
      </c>
      <c r="AO29" s="89">
        <f>ROUND(AN29/AO$6,0)</f>
        <v>4773</v>
      </c>
      <c r="AP29" s="92">
        <f>'TAMUT FGD'!$M47</f>
        <v>9745130</v>
      </c>
      <c r="AQ29" s="89">
        <f>ROUND(AP29/AQ$6,0)</f>
        <v>5901</v>
      </c>
      <c r="AR29" s="92">
        <f>'UH1 FGD'!$M47</f>
        <v>263368751</v>
      </c>
      <c r="AS29" s="89">
        <f>ROUND(AR29/AS$6,0)</f>
        <v>6534</v>
      </c>
      <c r="AT29" s="92">
        <f>'UHCL FGD'!$M47</f>
        <v>37552981</v>
      </c>
      <c r="AU29" s="89">
        <f>ROUND(AT29/AU$6,0)</f>
        <v>5553</v>
      </c>
      <c r="AV29" s="92">
        <f>'UHD FGD'!$M47</f>
        <v>63925563</v>
      </c>
      <c r="AW29" s="89">
        <f>ROUND(AV29/AW$6,0)</f>
        <v>5711</v>
      </c>
      <c r="AX29" s="92">
        <f>'UHV FGD'!$M47</f>
        <v>15650731</v>
      </c>
      <c r="AY29" s="89">
        <f>ROUND(AX29/AY$6,0)</f>
        <v>4342</v>
      </c>
      <c r="AZ29" s="92">
        <f>'LU FGD'!$M47</f>
        <v>52209570</v>
      </c>
      <c r="BA29" s="89">
        <f>ROUND(AZ29/BA$6,0)</f>
        <v>3863</v>
      </c>
      <c r="BB29" s="92">
        <f>'shsu1 FGD'!$M47</f>
        <v>75908436</v>
      </c>
      <c r="BC29" s="89">
        <f>ROUND(BB29/BC$6,0)</f>
        <v>4314</v>
      </c>
      <c r="BD29" s="92">
        <f>'TXST FGD'!$M47</f>
        <v>142660412</v>
      </c>
      <c r="BE29" s="89">
        <f>ROUND(BD29/BE$6,0)</f>
        <v>4559</v>
      </c>
      <c r="BF29" s="92">
        <f>'SRSU FGD'!$M47</f>
        <v>13524396</v>
      </c>
      <c r="BG29" s="89">
        <f>ROUND(BF29/BG$6,0)</f>
        <v>7897</v>
      </c>
      <c r="BH29" s="92">
        <f>'TTU FGD'!$M47</f>
        <v>126847258</v>
      </c>
      <c r="BI29" s="89">
        <f>ROUND(BH29/BI$6,0)</f>
        <v>3520</v>
      </c>
      <c r="BJ29" s="92">
        <f>'ASU FGD'!$M47</f>
        <v>32115992</v>
      </c>
      <c r="BK29" s="89">
        <f>ROUND(BJ29/BK$6,0)</f>
        <v>4216</v>
      </c>
      <c r="BL29" s="92">
        <f>'UNT FGD'!$M47</f>
        <v>165506817</v>
      </c>
      <c r="BM29" s="89">
        <f>ROUND(BL29/BM$6,0)</f>
        <v>4766</v>
      </c>
      <c r="BN29" s="92">
        <f>'UNTD FGD'!$M47</f>
        <v>22473380</v>
      </c>
      <c r="BO29" s="89">
        <f>ROUND(BN29/BO$6,0)</f>
        <v>6487</v>
      </c>
      <c r="BP29" s="92">
        <f>'MidWST FGD'!$M47</f>
        <v>23356845</v>
      </c>
      <c r="BQ29" s="89">
        <f>ROUND(BP29/BQ$6,0)</f>
        <v>5404</v>
      </c>
      <c r="BR29" s="92">
        <f>'SFA FGD'!$M47</f>
        <v>74490644</v>
      </c>
      <c r="BS29" s="89">
        <f>ROUND(BR29/BS$6,0)</f>
        <v>7184</v>
      </c>
      <c r="BT29" s="92">
        <f>'TSU FGD'!$M47</f>
        <v>89345091</v>
      </c>
      <c r="BU29" s="89">
        <f>ROUND(BT29/BU$6,0)</f>
        <v>13861</v>
      </c>
      <c r="BV29" s="92">
        <f>'TWU FGD'!$M47</f>
        <v>42101935</v>
      </c>
      <c r="BW29" s="89">
        <f>ROUND(BV29/BW$6,0)</f>
        <v>3232</v>
      </c>
    </row>
    <row r="30" spans="1:91">
      <c r="B30" s="98" t="str">
        <f>IF(B29&lt;&gt;'Smmy Sum'!B59,"Error","")</f>
        <v/>
      </c>
      <c r="C30" s="383" t="str">
        <f>IF(C29&lt;&gt;'Smmy Sum'!$C59,"Error","")</f>
        <v/>
      </c>
      <c r="D30" s="383" t="str">
        <f>IF(D29&lt;&gt;'ARL FGD'!$M47,"Error","")</f>
        <v/>
      </c>
      <c r="E30" s="383" t="str">
        <f>IF(E29&lt;&gt;'ARL Sum'!$C23,"Error","")</f>
        <v/>
      </c>
      <c r="F30" s="383" t="str">
        <f>IF(F29&lt;&gt;'AUS1 FGD'!$M47,"Error","")</f>
        <v/>
      </c>
      <c r="G30" s="383" t="str">
        <f>IF(G29&lt;&gt;'AUS1 Sum'!$C23,"Error","")</f>
        <v/>
      </c>
      <c r="H30" s="383" t="str">
        <f>IF(H29&lt;&gt;'DAL FGD'!$M47,"Error","")</f>
        <v/>
      </c>
      <c r="I30" s="383" t="str">
        <f>IF(I29&lt;&gt;'DAL Sum'!$C23,"Error","")</f>
        <v/>
      </c>
      <c r="J30" s="383" t="str">
        <f>IF(J29&lt;&gt;'E-P FGD'!$M47,"Error","")</f>
        <v/>
      </c>
      <c r="K30" s="383" t="str">
        <f>IF(K29&lt;&gt;'E-P Sum'!$C23,"Error","")</f>
        <v/>
      </c>
      <c r="L30" s="98" t="str">
        <f>IF(L29&lt;&gt;'RGV1 FGD'!$M47,"Error","")</f>
        <v/>
      </c>
      <c r="M30" s="98" t="str">
        <f>IF(M29&lt;&gt;'RGV1 Sum'!$C23,"Error","")</f>
        <v/>
      </c>
      <c r="N30" s="98" t="str">
        <f>IF(N29&lt;&gt;'P-B FGD'!$M47,"Error","")</f>
        <v/>
      </c>
      <c r="O30" s="98" t="str">
        <f>IF(O29&lt;&gt;'P-B Sum'!$C23,"Error","")</f>
        <v/>
      </c>
      <c r="P30" s="98" t="str">
        <f>IF(P29&lt;&gt;'S-A FGD'!$M47,"Error","")</f>
        <v/>
      </c>
      <c r="Q30" s="98" t="str">
        <f>IF(Q29&lt;&gt;'S-A Sum'!$C23,"Error","")</f>
        <v/>
      </c>
      <c r="R30" s="98" t="str">
        <f>IF(R29&lt;&gt;'TYL FGD'!$M47,"Error","")</f>
        <v/>
      </c>
      <c r="S30" s="98" t="str">
        <f>IF(S29&lt;&gt;'TYL Sum'!$C23,"Error","")</f>
        <v/>
      </c>
      <c r="T30" s="98" t="str">
        <f>IF(T29&lt;&gt;'TAMU FGD'!$M47,"Error","")</f>
        <v/>
      </c>
      <c r="U30" s="98" t="str">
        <f>IF(U29&lt;&gt;'TAMU Sum'!$C23,"Error","")</f>
        <v/>
      </c>
      <c r="V30" s="98" t="str">
        <f>IF(V29&lt;&gt;'TAMUG FGD'!$M47,"Error","")</f>
        <v/>
      </c>
      <c r="W30" s="98" t="str">
        <f>IF(W29&lt;&gt;'TAMUG Sum'!$C23,"Error","")</f>
        <v/>
      </c>
      <c r="X30" s="98" t="str">
        <f>IF(X29&lt;&gt;'PVAMU FGD'!$M47,"Error","")</f>
        <v/>
      </c>
      <c r="Y30" s="98" t="str">
        <f>IF(Y29&lt;&gt;'PVAMU Sum'!$C23,"Error","")</f>
        <v/>
      </c>
      <c r="Z30" s="98" t="str">
        <f>IF(Z29&lt;&gt;'TARLST FGD'!$M47,"Error","")</f>
        <v/>
      </c>
      <c r="AA30" s="98" t="str">
        <f>IF(AA29&lt;&gt;'TARLST Sum'!$C23,"Error","")</f>
        <v/>
      </c>
      <c r="AB30" s="98" t="str">
        <f>IF(AB29&lt;&gt;'TAMUCC FGD'!$M47,"Error","")</f>
        <v/>
      </c>
      <c r="AC30" s="98" t="str">
        <f>IF(AC29&lt;&gt;'TAMUCC Sum'!$C23,"Error","")</f>
        <v/>
      </c>
      <c r="AD30" s="98" t="str">
        <f>IF(AD29&lt;&gt;'TAMUK FGD'!$M47,"Error","")</f>
        <v/>
      </c>
      <c r="AE30" s="98" t="str">
        <f>IF(AE29&lt;&gt;'TAMUK Sum'!$C23,"Error","")</f>
        <v/>
      </c>
      <c r="AF30" s="98" t="str">
        <f>IF(AF29&lt;&gt;'TAMUCT FGD'!$M47,"Error","")</f>
        <v/>
      </c>
      <c r="AG30" s="98" t="str">
        <f>IF(AG29&lt;&gt;'TAMUCT Sum'!$C23,"Error","")</f>
        <v/>
      </c>
      <c r="AH30" s="98" t="str">
        <f>IF(AH29&lt;&gt;'TAMUSA FGD'!$M47,"Error","")</f>
        <v/>
      </c>
      <c r="AI30" s="98" t="str">
        <f>IF(AI29&lt;&gt;'TAMUSA Sum'!$C23,"Error","")</f>
        <v/>
      </c>
      <c r="AJ30" s="98" t="str">
        <f>IF(AJ29&lt;&gt;'TAMIU FGD'!$M47,"Error","")</f>
        <v/>
      </c>
      <c r="AK30" s="98" t="str">
        <f>IF(AK29&lt;&gt;'TAMIU Sum'!$C23,"Error","")</f>
        <v/>
      </c>
      <c r="AL30" s="98" t="str">
        <f>IF(AL29&lt;&gt;'WTAMU FGD'!$M47,"Error","")</f>
        <v/>
      </c>
      <c r="AM30" s="98" t="str">
        <f>IF(AM29&lt;&gt;'WTAMU Sum'!$C23,"Error","")</f>
        <v/>
      </c>
      <c r="AN30" s="98" t="str">
        <f>IF(AN29&lt;&gt;'TAMUC FGD'!$M47,"Error","")</f>
        <v/>
      </c>
      <c r="AO30" s="98" t="str">
        <f>IF(AO29&lt;&gt;'TAMUC Sum'!$C23,"Error","")</f>
        <v/>
      </c>
      <c r="AP30" s="98" t="str">
        <f>IF(AP29&lt;&gt;'TAMUT FGD'!$M47,"Error","")</f>
        <v/>
      </c>
      <c r="AQ30" s="98" t="str">
        <f>IF(AQ29&lt;&gt;'TAMUT Sum'!$C23,"Error","")</f>
        <v/>
      </c>
      <c r="AR30" s="98" t="str">
        <f>IF(AR29&lt;&gt;'UH1 FGD'!$M47,"Error","")</f>
        <v/>
      </c>
      <c r="AS30" s="98" t="str">
        <f>IF(AS29&lt;&gt;'UH1 Sum'!$C23,"Error","")</f>
        <v/>
      </c>
      <c r="AT30" s="98" t="str">
        <f>IF(AT29&lt;&gt;'UHCL FGD'!$M47,"Error","")</f>
        <v/>
      </c>
      <c r="AU30" s="98" t="str">
        <f>IF(AU29&lt;&gt;'UHCL Sum'!$C23,"Error","")</f>
        <v/>
      </c>
      <c r="AV30" s="98" t="str">
        <f>IF(AV29&lt;&gt;'UHD FGD'!$M47,"Error","")</f>
        <v/>
      </c>
      <c r="AW30" s="98" t="str">
        <f>IF(AW29&lt;&gt;'UHD Sum'!$C23,"Error","")</f>
        <v/>
      </c>
      <c r="AX30" s="98" t="str">
        <f>IF(AX29&lt;&gt;'UHV FGD'!$M47,"Error","")</f>
        <v/>
      </c>
      <c r="AY30" s="98" t="str">
        <f>IF(AY29&lt;&gt;'UHV Sum'!$C23,"Error","")</f>
        <v/>
      </c>
      <c r="AZ30" s="98" t="str">
        <f>IF(AZ29&lt;&gt;'LU FGD'!$M47,"Error","")</f>
        <v/>
      </c>
      <c r="BA30" s="98" t="str">
        <f>IF(BA29&lt;&gt;'LU Sum'!$C23,"Error","")</f>
        <v/>
      </c>
      <c r="BB30" s="98" t="str">
        <f>IF(BB29&lt;&gt;'shsu1 FGD'!$M47,"Error","")</f>
        <v/>
      </c>
      <c r="BC30" s="98" t="str">
        <f>IF(BC29&lt;&gt;'shsu1 Sum'!$C23,"Error","")</f>
        <v/>
      </c>
      <c r="BD30" s="98" t="str">
        <f>IF(BD29&lt;&gt;'TXST FGD'!$M47,"Error","")</f>
        <v/>
      </c>
      <c r="BE30" s="98" t="str">
        <f>IF(BE29&lt;&gt;'TXST Sum'!$C23,"Error","")</f>
        <v/>
      </c>
      <c r="BF30" s="98" t="str">
        <f>IF(BF29&lt;&gt;'SRSU FGD'!$M47,"Error","")</f>
        <v/>
      </c>
      <c r="BG30" s="98" t="str">
        <f>IF(BG29&lt;&gt;'SRSU Sum'!$C23,"Error","")</f>
        <v/>
      </c>
      <c r="BH30" s="98" t="str">
        <f>IF(BH29&lt;&gt;'TTU FGD'!$M47,"Error","")</f>
        <v/>
      </c>
      <c r="BI30" s="98" t="str">
        <f>IF(BI29&lt;&gt;'TTU Sum'!$C23,"Error","")</f>
        <v/>
      </c>
      <c r="BJ30" s="98" t="str">
        <f>IF(BJ29&lt;&gt;'ASU FGD'!$M47,"Error","")</f>
        <v/>
      </c>
      <c r="BK30" s="98" t="str">
        <f>IF(BK29&lt;&gt;'ASU Sum'!$C23,"Error","")</f>
        <v/>
      </c>
      <c r="BL30" s="98" t="str">
        <f>IF(BL29&lt;&gt;'UNT FGD'!$M47,"Error","")</f>
        <v/>
      </c>
      <c r="BM30" s="98" t="str">
        <f>IF(BM29&lt;&gt;'UNT Sum'!$C23,"Error","")</f>
        <v/>
      </c>
      <c r="BN30" s="98" t="str">
        <f>IF(BN29&lt;&gt;'UNTD FGD'!$M47,"Error","")</f>
        <v/>
      </c>
      <c r="BO30" s="98" t="str">
        <f>IF(BO29&lt;&gt;'UNTD Sum'!$C23,"Error","")</f>
        <v/>
      </c>
      <c r="BP30" s="98" t="str">
        <f>IF(BP29&lt;&gt;'MidWST FGD'!$M47,"Error","")</f>
        <v/>
      </c>
      <c r="BQ30" s="98" t="str">
        <f>IF(BQ29&lt;&gt;'MidWST Sum'!$C23,"Error","")</f>
        <v/>
      </c>
      <c r="BR30" s="98" t="str">
        <f>IF(BR29&lt;&gt;'SFA FGD'!$M47,"Error","")</f>
        <v/>
      </c>
      <c r="BS30" s="98" t="str">
        <f>IF(BS29&lt;&gt;'SFA Sum'!$C23,"Error","")</f>
        <v/>
      </c>
      <c r="BT30" s="98" t="str">
        <f>IF(BT29&lt;&gt;'TSU FGD'!$M47,"Error","")</f>
        <v/>
      </c>
      <c r="BU30" s="98" t="str">
        <f>IF(BU29&lt;&gt;'TSU Sum'!$C23,"Error","")</f>
        <v/>
      </c>
      <c r="BV30" s="98" t="str">
        <f>IF(BV29&lt;&gt;'TWU FGD'!$M47,"Error","")</f>
        <v/>
      </c>
      <c r="BW30" s="98" t="str">
        <f>IF(BW29&lt;&gt;'TWU Sum'!$C23,"Error","")</f>
        <v/>
      </c>
    </row>
    <row r="31" spans="1:91">
      <c r="A31" s="78" t="s">
        <v>8</v>
      </c>
      <c r="B31" s="91"/>
      <c r="C31" s="87"/>
      <c r="D31" s="91"/>
      <c r="E31" s="87"/>
      <c r="F31" s="91"/>
      <c r="G31" s="87"/>
      <c r="H31" s="91"/>
      <c r="I31" s="87"/>
      <c r="J31" s="91"/>
      <c r="K31" s="87"/>
      <c r="L31" s="91"/>
      <c r="N31" s="91"/>
      <c r="P31" s="91"/>
      <c r="R31" s="91"/>
      <c r="T31" s="91"/>
      <c r="V31" s="91"/>
      <c r="X31" s="91"/>
      <c r="Z31" s="91"/>
      <c r="AB31" s="91"/>
      <c r="AD31" s="91"/>
      <c r="AF31" s="91"/>
      <c r="AH31" s="91"/>
      <c r="AJ31" s="91"/>
      <c r="AL31" s="91"/>
      <c r="AN31" s="91"/>
      <c r="AP31" s="91"/>
      <c r="AR31" s="91"/>
      <c r="AT31" s="91"/>
      <c r="AV31" s="91"/>
      <c r="AX31" s="91"/>
      <c r="AZ31" s="91"/>
      <c r="BB31" s="91"/>
      <c r="BD31" s="91"/>
      <c r="BF31" s="91"/>
      <c r="BH31" s="91"/>
      <c r="BJ31" s="91"/>
      <c r="BL31" s="91"/>
      <c r="BN31" s="91"/>
      <c r="BP31" s="91"/>
      <c r="BR31" s="91"/>
      <c r="BT31" s="91"/>
      <c r="BV31" s="91"/>
    </row>
    <row r="32" spans="1:91">
      <c r="A32" s="75" t="s">
        <v>42</v>
      </c>
      <c r="B32" s="83">
        <f t="shared" ref="B32:B37" si="49">SUMIF(D$70:BW$70,$B$70,D32:BW32)</f>
        <v>1095288846</v>
      </c>
      <c r="C32" s="87">
        <f t="shared" ref="C32:C37" si="50">ROUND(B32/C$6,0)</f>
        <v>1947</v>
      </c>
      <c r="D32" s="87">
        <f>'ARL FGD'!$M50</f>
        <v>33675891</v>
      </c>
      <c r="E32" s="87">
        <f t="shared" ref="E32:E37" si="51">ROUND(D32/E$6,0)</f>
        <v>980</v>
      </c>
      <c r="F32" s="87">
        <f>'AUS1 FGD'!$M50</f>
        <v>554260906</v>
      </c>
      <c r="G32" s="87">
        <f t="shared" ref="G32:G37" si="52">ROUND(F32/G$6,0)</f>
        <v>11660</v>
      </c>
      <c r="H32" s="87">
        <f>'DAL FGD'!$M50</f>
        <v>39576095</v>
      </c>
      <c r="I32" s="87">
        <f t="shared" ref="I32:I37" si="53">ROUND(H32/I$6,0)</f>
        <v>1638</v>
      </c>
      <c r="J32" s="87">
        <f>'E-P FGD'!$M50</f>
        <v>17201351</v>
      </c>
      <c r="K32" s="87">
        <f t="shared" ref="K32:K37" si="54">ROUND(J32/K$6,0)</f>
        <v>883</v>
      </c>
      <c r="L32" s="83">
        <f>'RGV1 FGD'!$M50</f>
        <v>8251013</v>
      </c>
      <c r="M32" s="83">
        <f t="shared" ref="M32:M37" si="55">ROUND(L32/M$6,0)</f>
        <v>291</v>
      </c>
      <c r="N32" s="83">
        <f>'P-B FGD'!$M50</f>
        <v>4315932</v>
      </c>
      <c r="O32" s="83">
        <f t="shared" ref="O32:O37" si="56">ROUND(N32/O$6,0)</f>
        <v>1014</v>
      </c>
      <c r="P32" s="83">
        <f>'S-A FGD'!$M50</f>
        <v>22926694</v>
      </c>
      <c r="Q32" s="83">
        <f t="shared" ref="Q32:Q37" si="57">ROUND(P32/Q$6,0)</f>
        <v>807</v>
      </c>
      <c r="R32" s="83">
        <f>'TYL FGD'!$M50</f>
        <v>9320009</v>
      </c>
      <c r="S32" s="83">
        <f t="shared" ref="S32:S37" si="58">ROUND(R32/S$6,0)</f>
        <v>1225</v>
      </c>
      <c r="T32" s="83">
        <f>'TAMU FGD'!$M50</f>
        <v>115100531</v>
      </c>
      <c r="U32" s="83">
        <f t="shared" ref="U32:U37" si="59">ROUND(T32/U$6,0)</f>
        <v>1979</v>
      </c>
      <c r="V32" s="83">
        <f>'TAMUG FGD'!$M50</f>
        <v>4215967</v>
      </c>
      <c r="W32" s="83">
        <f t="shared" ref="W32:W37" si="60">ROUND(V32/W$6,0)</f>
        <v>2433</v>
      </c>
      <c r="X32" s="83">
        <f>'PVAMU FGD'!$M50</f>
        <v>8180260</v>
      </c>
      <c r="Y32" s="83">
        <f t="shared" ref="Y32:Y37" si="61">ROUND(X32/Y$6,0)</f>
        <v>1014</v>
      </c>
      <c r="Z32" s="83">
        <f>'TARLST FGD'!$M50</f>
        <v>9326536</v>
      </c>
      <c r="AA32" s="83">
        <f t="shared" ref="AA32:AA37" si="62">ROUND(Z32/AA$6,0)</f>
        <v>807</v>
      </c>
      <c r="AB32" s="83">
        <f>'TAMUCC FGD'!$M50</f>
        <v>7998787</v>
      </c>
      <c r="AC32" s="83">
        <f t="shared" ref="AC32:AC37" si="63">ROUND(AB32/AC$6,0)</f>
        <v>857</v>
      </c>
      <c r="AD32" s="83">
        <f>'TAMUK FGD'!$M50</f>
        <v>6346344</v>
      </c>
      <c r="AE32" s="83">
        <f t="shared" ref="AE32:AE37" si="64">ROUND(AD32/AE$6,0)</f>
        <v>1130</v>
      </c>
      <c r="AF32" s="83">
        <f>'TAMUCT FGD'!$M50</f>
        <v>1014308</v>
      </c>
      <c r="AG32" s="83">
        <f t="shared" ref="AG32:AG37" si="65">ROUND(AF32/AG$6,0)</f>
        <v>631</v>
      </c>
      <c r="AH32" s="83">
        <f>'TAMUSA FGD'!$M50</f>
        <v>2456687</v>
      </c>
      <c r="AI32" s="83">
        <f t="shared" ref="AI32:AI37" si="66">ROUND(AH32/AI$6,0)</f>
        <v>516</v>
      </c>
      <c r="AJ32" s="83">
        <f>'TAMIU FGD'!$M50</f>
        <v>5427885</v>
      </c>
      <c r="AK32" s="83">
        <f t="shared" ref="AK32:AK37" si="67">ROUND(AJ32/AK$6,0)</f>
        <v>780</v>
      </c>
      <c r="AL32" s="83">
        <f>'WTAMU FGD'!$M50</f>
        <v>7755605</v>
      </c>
      <c r="AM32" s="83">
        <f t="shared" ref="AM32:AM37" si="68">ROUND(AL32/AM$6,0)</f>
        <v>1004</v>
      </c>
      <c r="AN32" s="83">
        <f>'TAMUC FGD'!$M50</f>
        <v>10321873</v>
      </c>
      <c r="AO32" s="83">
        <f t="shared" ref="AO32:AO37" si="69">ROUND(AN32/AO$6,0)</f>
        <v>1109</v>
      </c>
      <c r="AP32" s="83">
        <f>'TAMUT FGD'!$M50</f>
        <v>1296304</v>
      </c>
      <c r="AQ32" s="83">
        <f t="shared" ref="AQ32:AQ37" si="70">ROUND(AP32/AQ$6,0)</f>
        <v>785</v>
      </c>
      <c r="AR32" s="83">
        <f>'UH1 FGD'!$M50</f>
        <v>90328702</v>
      </c>
      <c r="AS32" s="83">
        <f t="shared" ref="AS32:AS37" si="71">ROUND(AR32/AS$6,0)</f>
        <v>2241</v>
      </c>
      <c r="AT32" s="83">
        <f>'UHCL FGD'!$M50</f>
        <v>4102236</v>
      </c>
      <c r="AU32" s="83">
        <f t="shared" ref="AU32:AU37" si="72">ROUND(AT32/AU$6,0)</f>
        <v>607</v>
      </c>
      <c r="AV32" s="83">
        <f>'UHD FGD'!$M50</f>
        <v>5612432</v>
      </c>
      <c r="AW32" s="83">
        <f t="shared" ref="AW32:AW37" si="73">ROUND(AV32/AW$6,0)</f>
        <v>501</v>
      </c>
      <c r="AX32" s="83">
        <f>'UHV FGD'!$M50</f>
        <v>1745074</v>
      </c>
      <c r="AY32" s="83">
        <f t="shared" ref="AY32:AY37" si="74">ROUND(AX32/AY$6,0)</f>
        <v>484</v>
      </c>
      <c r="AZ32" s="83">
        <f>'LU FGD'!$M50</f>
        <v>1074257</v>
      </c>
      <c r="BA32" s="83">
        <f t="shared" ref="BA32:BA37" si="75">ROUND(AZ32/BA$6,0)</f>
        <v>79</v>
      </c>
      <c r="BB32" s="83">
        <f>'shsu1 FGD'!$M50</f>
        <v>21848719</v>
      </c>
      <c r="BC32" s="83">
        <f t="shared" ref="BC32:BC37" si="76">ROUND(BB32/BC$6,0)</f>
        <v>1242</v>
      </c>
      <c r="BD32" s="83">
        <f>'TXST FGD'!$M50</f>
        <v>22445953</v>
      </c>
      <c r="BE32" s="83">
        <f t="shared" ref="BE32:BE37" si="77">ROUND(BD32/BE$6,0)</f>
        <v>717</v>
      </c>
      <c r="BF32" s="83">
        <f>'SRSU FGD'!$M50</f>
        <v>2616199</v>
      </c>
      <c r="BG32" s="83">
        <f t="shared" ref="BG32:BG37" si="78">ROUND(BF32/BG$6,0)</f>
        <v>1528</v>
      </c>
      <c r="BH32" s="83">
        <f>'TTU FGD'!$M50</f>
        <v>12350524</v>
      </c>
      <c r="BI32" s="83">
        <f t="shared" ref="BI32:BI37" si="79">ROUND(BH32/BI$6,0)</f>
        <v>343</v>
      </c>
      <c r="BJ32" s="83">
        <f>'ASU FGD'!$M50</f>
        <v>11702283</v>
      </c>
      <c r="BK32" s="83">
        <f t="shared" ref="BK32:BK37" si="80">ROUND(BJ32/BK$6,0)</f>
        <v>1536</v>
      </c>
      <c r="BL32" s="83">
        <f>'UNT FGD'!$M50</f>
        <v>30128512</v>
      </c>
      <c r="BM32" s="83">
        <f t="shared" ref="BM32:BM37" si="81">ROUND(BL32/BM$6,0)</f>
        <v>868</v>
      </c>
      <c r="BN32" s="83">
        <f>'UNTD FGD'!$M50</f>
        <v>2074603</v>
      </c>
      <c r="BO32" s="83">
        <f t="shared" ref="BO32:BO37" si="82">ROUND(BN32/BO$6,0)</f>
        <v>599</v>
      </c>
      <c r="BP32" s="83">
        <f>'MidWST FGD'!$M50</f>
        <v>2428742</v>
      </c>
      <c r="BQ32" s="83">
        <f t="shared" ref="BQ32:BQ37" si="83">ROUND(BP32/BQ$6,0)</f>
        <v>562</v>
      </c>
      <c r="BR32" s="83">
        <f>'SFA FGD'!$M50</f>
        <v>5310888</v>
      </c>
      <c r="BS32" s="83">
        <f t="shared" ref="BS32:BS37" si="84">ROUND(BR32/BS$6,0)</f>
        <v>512</v>
      </c>
      <c r="BT32" s="83">
        <f>'TSU FGD'!$M50</f>
        <v>2169599</v>
      </c>
      <c r="BU32" s="83">
        <f t="shared" ref="BU32:BU37" si="85">ROUND(BT32/BU$6,0)</f>
        <v>337</v>
      </c>
      <c r="BV32" s="83">
        <f>'TWU FGD'!$M50</f>
        <v>10381145</v>
      </c>
      <c r="BW32" s="83">
        <f t="shared" ref="BW32:BW37" si="86">ROUND(BV32/BW$6,0)</f>
        <v>797</v>
      </c>
      <c r="BX32" s="85"/>
      <c r="BY32" s="85"/>
      <c r="BZ32" s="85"/>
      <c r="CA32" s="85"/>
      <c r="CB32" s="85"/>
      <c r="CC32" s="85"/>
      <c r="CD32" s="85"/>
      <c r="CE32" s="85"/>
      <c r="CF32" s="85"/>
      <c r="CG32" s="85"/>
      <c r="CH32" s="85"/>
      <c r="CI32" s="85"/>
      <c r="CJ32" s="85"/>
      <c r="CK32" s="85"/>
      <c r="CL32" s="85"/>
      <c r="CM32" s="85"/>
    </row>
    <row r="33" spans="1:91">
      <c r="A33" s="75" t="s">
        <v>9</v>
      </c>
      <c r="B33" s="86">
        <f t="shared" si="49"/>
        <v>34318885</v>
      </c>
      <c r="C33" s="87">
        <f t="shared" si="50"/>
        <v>61</v>
      </c>
      <c r="D33" s="86">
        <f>'ARL FGD'!$M51</f>
        <v>1090181</v>
      </c>
      <c r="E33" s="87">
        <f t="shared" si="51"/>
        <v>32</v>
      </c>
      <c r="F33" s="86">
        <f>'AUS1 FGD'!$M51</f>
        <v>3356329</v>
      </c>
      <c r="G33" s="87">
        <f t="shared" si="52"/>
        <v>71</v>
      </c>
      <c r="H33" s="86">
        <f>'DAL FGD'!$M51</f>
        <v>249002</v>
      </c>
      <c r="I33" s="87">
        <f t="shared" si="53"/>
        <v>10</v>
      </c>
      <c r="J33" s="86">
        <f>'E-P FGD'!$M51</f>
        <v>770814</v>
      </c>
      <c r="K33" s="87">
        <f t="shared" si="54"/>
        <v>40</v>
      </c>
      <c r="L33" s="86">
        <f>'RGV1 FGD'!$M51</f>
        <v>250704</v>
      </c>
      <c r="M33" s="87">
        <f t="shared" si="55"/>
        <v>9</v>
      </c>
      <c r="N33" s="86">
        <f>'P-B FGD'!$M51</f>
        <v>2099047</v>
      </c>
      <c r="O33" s="87">
        <f t="shared" si="56"/>
        <v>493</v>
      </c>
      <c r="P33" s="86">
        <f>'S-A FGD'!$M51</f>
        <v>3165406</v>
      </c>
      <c r="Q33" s="87">
        <f t="shared" si="57"/>
        <v>111</v>
      </c>
      <c r="R33" s="86">
        <f>'TYL FGD'!$M51</f>
        <v>0</v>
      </c>
      <c r="S33" s="87">
        <f t="shared" si="58"/>
        <v>0</v>
      </c>
      <c r="T33" s="86">
        <f>'TAMU FGD'!$M51</f>
        <v>0</v>
      </c>
      <c r="U33" s="87">
        <f t="shared" si="59"/>
        <v>0</v>
      </c>
      <c r="V33" s="86">
        <f>'TAMUG FGD'!$M51</f>
        <v>0</v>
      </c>
      <c r="W33" s="87">
        <f t="shared" si="60"/>
        <v>0</v>
      </c>
      <c r="X33" s="86">
        <f>'PVAMU FGD'!$M51</f>
        <v>0</v>
      </c>
      <c r="Y33" s="87">
        <f t="shared" si="61"/>
        <v>0</v>
      </c>
      <c r="Z33" s="86">
        <f>'TARLST FGD'!$M51</f>
        <v>0</v>
      </c>
      <c r="AA33" s="87">
        <f t="shared" si="62"/>
        <v>0</v>
      </c>
      <c r="AB33" s="86">
        <f>'TAMUCC FGD'!$M51</f>
        <v>0</v>
      </c>
      <c r="AC33" s="87">
        <f t="shared" si="63"/>
        <v>0</v>
      </c>
      <c r="AD33" s="86">
        <f>'TAMUK FGD'!$M51</f>
        <v>0</v>
      </c>
      <c r="AE33" s="87">
        <f t="shared" si="64"/>
        <v>0</v>
      </c>
      <c r="AF33" s="86">
        <f>'TAMUCT FGD'!$M51</f>
        <v>0</v>
      </c>
      <c r="AG33" s="87">
        <f t="shared" si="65"/>
        <v>0</v>
      </c>
      <c r="AH33" s="86">
        <f>'TAMUSA FGD'!$M51</f>
        <v>0</v>
      </c>
      <c r="AI33" s="87">
        <f t="shared" si="66"/>
        <v>0</v>
      </c>
      <c r="AJ33" s="86">
        <f>'TAMIU FGD'!$M51</f>
        <v>0</v>
      </c>
      <c r="AK33" s="87">
        <f t="shared" si="67"/>
        <v>0</v>
      </c>
      <c r="AL33" s="86">
        <f>'WTAMU FGD'!$M51</f>
        <v>0</v>
      </c>
      <c r="AM33" s="87">
        <f t="shared" si="68"/>
        <v>0</v>
      </c>
      <c r="AN33" s="86">
        <f>'TAMUC FGD'!$M51</f>
        <v>0</v>
      </c>
      <c r="AO33" s="87">
        <f t="shared" si="69"/>
        <v>0</v>
      </c>
      <c r="AP33" s="86">
        <f>'TAMUT FGD'!$M51</f>
        <v>0</v>
      </c>
      <c r="AQ33" s="87">
        <f t="shared" si="70"/>
        <v>0</v>
      </c>
      <c r="AR33" s="86">
        <f>'UH1 FGD'!$M51</f>
        <v>11634678</v>
      </c>
      <c r="AS33" s="87">
        <f t="shared" si="71"/>
        <v>289</v>
      </c>
      <c r="AT33" s="86">
        <f>'UHCL FGD'!$M51</f>
        <v>94576</v>
      </c>
      <c r="AU33" s="87">
        <f t="shared" si="72"/>
        <v>14</v>
      </c>
      <c r="AV33" s="86">
        <f>'UHD FGD'!$M51</f>
        <v>0</v>
      </c>
      <c r="AW33" s="87">
        <f t="shared" si="73"/>
        <v>0</v>
      </c>
      <c r="AX33" s="86">
        <f>'UHV FGD'!$M51</f>
        <v>0</v>
      </c>
      <c r="AY33" s="87">
        <f t="shared" si="74"/>
        <v>0</v>
      </c>
      <c r="AZ33" s="86">
        <f>'LU FGD'!$M51</f>
        <v>2116426</v>
      </c>
      <c r="BA33" s="87">
        <f t="shared" si="75"/>
        <v>157</v>
      </c>
      <c r="BB33" s="86">
        <f>'shsu1 FGD'!$M51</f>
        <v>4694576</v>
      </c>
      <c r="BC33" s="87">
        <f t="shared" si="76"/>
        <v>267</v>
      </c>
      <c r="BD33" s="86">
        <f>'TXST FGD'!$M51</f>
        <v>740389</v>
      </c>
      <c r="BE33" s="87">
        <f t="shared" si="77"/>
        <v>24</v>
      </c>
      <c r="BF33" s="86">
        <f>'SRSU FGD'!$M51</f>
        <v>0</v>
      </c>
      <c r="BG33" s="87">
        <f t="shared" si="78"/>
        <v>0</v>
      </c>
      <c r="BH33" s="86">
        <f>'TTU FGD'!$M51</f>
        <v>897267</v>
      </c>
      <c r="BI33" s="87">
        <f t="shared" si="79"/>
        <v>25</v>
      </c>
      <c r="BJ33" s="86">
        <f>'ASU FGD'!$M51</f>
        <v>0</v>
      </c>
      <c r="BK33" s="87">
        <f t="shared" si="80"/>
        <v>0</v>
      </c>
      <c r="BL33" s="86">
        <f>'UNT FGD'!$M51</f>
        <v>587381</v>
      </c>
      <c r="BM33" s="87">
        <f t="shared" si="81"/>
        <v>17</v>
      </c>
      <c r="BN33" s="86">
        <f>'UNTD FGD'!$M51</f>
        <v>2368</v>
      </c>
      <c r="BO33" s="87">
        <f t="shared" si="82"/>
        <v>1</v>
      </c>
      <c r="BP33" s="86">
        <f>'MidWST FGD'!$M51</f>
        <v>0</v>
      </c>
      <c r="BQ33" s="87">
        <f t="shared" si="83"/>
        <v>0</v>
      </c>
      <c r="BR33" s="86">
        <f>'SFA FGD'!$M51</f>
        <v>1129224</v>
      </c>
      <c r="BS33" s="87">
        <f t="shared" si="84"/>
        <v>109</v>
      </c>
      <c r="BT33" s="86">
        <f>'TSU FGD'!$M51</f>
        <v>245226</v>
      </c>
      <c r="BU33" s="87">
        <f t="shared" si="85"/>
        <v>38</v>
      </c>
      <c r="BV33" s="86">
        <f>'TWU FGD'!$M51</f>
        <v>1195291</v>
      </c>
      <c r="BW33" s="87">
        <f t="shared" si="86"/>
        <v>92</v>
      </c>
      <c r="BX33" s="85"/>
      <c r="BY33" s="85"/>
      <c r="BZ33" s="85"/>
      <c r="CA33" s="85"/>
      <c r="CB33" s="85"/>
      <c r="CC33" s="85"/>
      <c r="CD33" s="85"/>
      <c r="CE33" s="85"/>
      <c r="CF33" s="85"/>
      <c r="CG33" s="85"/>
      <c r="CH33" s="85"/>
      <c r="CI33" s="85"/>
      <c r="CJ33" s="85"/>
      <c r="CK33" s="85"/>
      <c r="CL33" s="85"/>
      <c r="CM33" s="85"/>
    </row>
    <row r="34" spans="1:91">
      <c r="A34" s="75" t="s">
        <v>10</v>
      </c>
      <c r="B34" s="86">
        <f t="shared" si="49"/>
        <v>1130449952</v>
      </c>
      <c r="C34" s="87">
        <f t="shared" si="50"/>
        <v>2009</v>
      </c>
      <c r="D34" s="86">
        <f>'ARL FGD'!$M52</f>
        <v>18108585</v>
      </c>
      <c r="E34" s="87">
        <f t="shared" si="51"/>
        <v>527</v>
      </c>
      <c r="F34" s="86">
        <f>'AUS1 FGD'!$M52</f>
        <v>331777246</v>
      </c>
      <c r="G34" s="87">
        <f t="shared" si="52"/>
        <v>6980</v>
      </c>
      <c r="H34" s="86">
        <f>'DAL FGD'!$M52</f>
        <v>24914444</v>
      </c>
      <c r="I34" s="87">
        <f t="shared" si="53"/>
        <v>1031</v>
      </c>
      <c r="J34" s="86">
        <f>'E-P FGD'!$M52</f>
        <v>13772953</v>
      </c>
      <c r="K34" s="87">
        <f t="shared" si="54"/>
        <v>707</v>
      </c>
      <c r="L34" s="86">
        <f>'RGV1 FGD'!$M52</f>
        <v>48437496</v>
      </c>
      <c r="M34" s="87">
        <f t="shared" si="55"/>
        <v>1707</v>
      </c>
      <c r="N34" s="86">
        <f>'P-B FGD'!$M52</f>
        <v>3276208</v>
      </c>
      <c r="O34" s="87">
        <f t="shared" si="56"/>
        <v>770</v>
      </c>
      <c r="P34" s="86">
        <f>'S-A FGD'!$M52</f>
        <v>100729411</v>
      </c>
      <c r="Q34" s="87">
        <f t="shared" si="57"/>
        <v>3547</v>
      </c>
      <c r="R34" s="86">
        <f>'TYL FGD'!$M52</f>
        <v>1810423</v>
      </c>
      <c r="S34" s="87">
        <f t="shared" si="58"/>
        <v>238</v>
      </c>
      <c r="T34" s="86">
        <f>'TAMU FGD'!$M52</f>
        <v>214195659</v>
      </c>
      <c r="U34" s="87">
        <f t="shared" si="59"/>
        <v>3684</v>
      </c>
      <c r="V34" s="86">
        <f>'TAMUG FGD'!$M52</f>
        <v>3349397</v>
      </c>
      <c r="W34" s="87">
        <f t="shared" si="60"/>
        <v>1933</v>
      </c>
      <c r="X34" s="86">
        <f>'PVAMU FGD'!$M52</f>
        <v>34643241</v>
      </c>
      <c r="Y34" s="87">
        <f t="shared" si="61"/>
        <v>4293</v>
      </c>
      <c r="Z34" s="86">
        <f>'TARLST FGD'!$M52</f>
        <v>13307438</v>
      </c>
      <c r="AA34" s="87">
        <f t="shared" si="62"/>
        <v>1152</v>
      </c>
      <c r="AB34" s="86">
        <f>'TAMUCC FGD'!$M52</f>
        <v>16017341</v>
      </c>
      <c r="AC34" s="87">
        <f t="shared" si="63"/>
        <v>1716</v>
      </c>
      <c r="AD34" s="86">
        <f>'TAMUK FGD'!$M52</f>
        <v>10154485</v>
      </c>
      <c r="AE34" s="87">
        <f t="shared" si="64"/>
        <v>1808</v>
      </c>
      <c r="AF34" s="86">
        <f>'TAMUCT FGD'!$M52</f>
        <v>630515</v>
      </c>
      <c r="AG34" s="87">
        <f t="shared" si="65"/>
        <v>392</v>
      </c>
      <c r="AH34" s="86">
        <f>'TAMUSA FGD'!$M52</f>
        <v>4412454</v>
      </c>
      <c r="AI34" s="87">
        <f t="shared" si="66"/>
        <v>926</v>
      </c>
      <c r="AJ34" s="86">
        <f>'TAMIU FGD'!$M52</f>
        <v>4248680</v>
      </c>
      <c r="AK34" s="87">
        <f t="shared" si="67"/>
        <v>610</v>
      </c>
      <c r="AL34" s="86">
        <f>'WTAMU FGD'!$M52</f>
        <v>8365113</v>
      </c>
      <c r="AM34" s="87">
        <f t="shared" si="68"/>
        <v>1083</v>
      </c>
      <c r="AN34" s="86">
        <f>'TAMUC FGD'!$M52</f>
        <v>9818579</v>
      </c>
      <c r="AO34" s="87">
        <f t="shared" si="69"/>
        <v>1054</v>
      </c>
      <c r="AP34" s="86">
        <f>'TAMUT FGD'!$M52</f>
        <v>181139</v>
      </c>
      <c r="AQ34" s="87">
        <f t="shared" si="70"/>
        <v>110</v>
      </c>
      <c r="AR34" s="86">
        <f>'UH1 FGD'!$M52</f>
        <v>73373813</v>
      </c>
      <c r="AS34" s="87">
        <f t="shared" si="71"/>
        <v>1820</v>
      </c>
      <c r="AT34" s="86">
        <f>'UHCL FGD'!$M52</f>
        <v>1358094</v>
      </c>
      <c r="AU34" s="87">
        <f t="shared" si="72"/>
        <v>201</v>
      </c>
      <c r="AV34" s="86">
        <f>'UHD FGD'!$M52</f>
        <v>3228639</v>
      </c>
      <c r="AW34" s="87">
        <f t="shared" si="73"/>
        <v>288</v>
      </c>
      <c r="AX34" s="86">
        <f>'UHV FGD'!$M52</f>
        <v>1858166</v>
      </c>
      <c r="AY34" s="87">
        <f t="shared" si="74"/>
        <v>516</v>
      </c>
      <c r="AZ34" s="86">
        <f>'LU FGD'!$M52</f>
        <v>6642852</v>
      </c>
      <c r="BA34" s="87">
        <f t="shared" si="75"/>
        <v>491</v>
      </c>
      <c r="BB34" s="86">
        <f>'shsu1 FGD'!$M52</f>
        <v>3750334</v>
      </c>
      <c r="BC34" s="87">
        <f t="shared" si="76"/>
        <v>213</v>
      </c>
      <c r="BD34" s="86">
        <f>'TXST FGD'!$M52</f>
        <v>12828178</v>
      </c>
      <c r="BE34" s="87">
        <f t="shared" si="77"/>
        <v>410</v>
      </c>
      <c r="BF34" s="86">
        <f>'SRSU FGD'!$M52</f>
        <v>6975188</v>
      </c>
      <c r="BG34" s="87">
        <f t="shared" si="78"/>
        <v>4073</v>
      </c>
      <c r="BH34" s="86">
        <f>'TTU FGD'!$M52</f>
        <v>115375636</v>
      </c>
      <c r="BI34" s="87">
        <f t="shared" si="79"/>
        <v>3202</v>
      </c>
      <c r="BJ34" s="86">
        <f>'ASU FGD'!$M52</f>
        <v>12212232</v>
      </c>
      <c r="BK34" s="87">
        <f t="shared" si="80"/>
        <v>1603</v>
      </c>
      <c r="BL34" s="86">
        <f>'UNT FGD'!$M52</f>
        <v>3948553</v>
      </c>
      <c r="BM34" s="87">
        <f t="shared" si="81"/>
        <v>114</v>
      </c>
      <c r="BN34" s="86">
        <f>'UNTD FGD'!$M52</f>
        <v>496242</v>
      </c>
      <c r="BO34" s="87">
        <f t="shared" si="82"/>
        <v>143</v>
      </c>
      <c r="BP34" s="86">
        <f>'MidWST FGD'!$M52</f>
        <v>6965760</v>
      </c>
      <c r="BQ34" s="87">
        <f t="shared" si="83"/>
        <v>1612</v>
      </c>
      <c r="BR34" s="86">
        <f>'SFA FGD'!$M52</f>
        <v>12237725</v>
      </c>
      <c r="BS34" s="87">
        <f t="shared" si="84"/>
        <v>1180</v>
      </c>
      <c r="BT34" s="86">
        <f>'TSU FGD'!$M52</f>
        <v>3709356</v>
      </c>
      <c r="BU34" s="87">
        <f t="shared" si="85"/>
        <v>575</v>
      </c>
      <c r="BV34" s="86">
        <f>'TWU FGD'!$M52</f>
        <v>3338377</v>
      </c>
      <c r="BW34" s="87">
        <f t="shared" si="86"/>
        <v>256</v>
      </c>
      <c r="BX34" s="85"/>
      <c r="BY34" s="85"/>
      <c r="BZ34" s="85"/>
      <c r="CA34" s="85"/>
      <c r="CB34" s="85"/>
      <c r="CC34" s="85"/>
      <c r="CD34" s="85"/>
      <c r="CE34" s="85"/>
      <c r="CF34" s="85"/>
      <c r="CG34" s="85"/>
      <c r="CH34" s="85"/>
      <c r="CI34" s="85"/>
      <c r="CJ34" s="85"/>
      <c r="CK34" s="85"/>
      <c r="CL34" s="85"/>
      <c r="CM34" s="85"/>
    </row>
    <row r="35" spans="1:91">
      <c r="A35" s="75" t="s">
        <v>11</v>
      </c>
      <c r="B35" s="86">
        <f t="shared" si="49"/>
        <v>686038350</v>
      </c>
      <c r="C35" s="87">
        <f t="shared" si="50"/>
        <v>1219</v>
      </c>
      <c r="D35" s="86">
        <f>'ARL FGD'!$M53</f>
        <v>28252072</v>
      </c>
      <c r="E35" s="87">
        <f t="shared" si="51"/>
        <v>822</v>
      </c>
      <c r="F35" s="86">
        <f>'AUS1 FGD'!$M53</f>
        <v>270574450</v>
      </c>
      <c r="G35" s="87">
        <f t="shared" si="52"/>
        <v>5692</v>
      </c>
      <c r="H35" s="86">
        <f>'DAL FGD'!$M53</f>
        <v>31776617</v>
      </c>
      <c r="I35" s="87">
        <f t="shared" si="53"/>
        <v>1315</v>
      </c>
      <c r="J35" s="86">
        <f>'E-P FGD'!$M53</f>
        <v>7474281</v>
      </c>
      <c r="K35" s="87">
        <f t="shared" si="54"/>
        <v>384</v>
      </c>
      <c r="L35" s="86">
        <f>'RGV1 FGD'!$M53</f>
        <v>6070296</v>
      </c>
      <c r="M35" s="87">
        <f t="shared" si="55"/>
        <v>214</v>
      </c>
      <c r="N35" s="86">
        <f>'P-B FGD'!$M53</f>
        <v>1172678</v>
      </c>
      <c r="O35" s="87">
        <f t="shared" si="56"/>
        <v>276</v>
      </c>
      <c r="P35" s="86">
        <f>'S-A FGD'!$M53</f>
        <v>7708378</v>
      </c>
      <c r="Q35" s="87">
        <f t="shared" si="57"/>
        <v>271</v>
      </c>
      <c r="R35" s="86">
        <f>'TYL FGD'!$M53</f>
        <v>11217294</v>
      </c>
      <c r="S35" s="87">
        <f t="shared" si="58"/>
        <v>1475</v>
      </c>
      <c r="T35" s="86">
        <f>'TAMU FGD'!$M53</f>
        <v>151364386</v>
      </c>
      <c r="U35" s="87">
        <f t="shared" si="59"/>
        <v>2603</v>
      </c>
      <c r="V35" s="86">
        <f>'TAMUG FGD'!$M53</f>
        <v>2523321</v>
      </c>
      <c r="W35" s="87">
        <f t="shared" si="60"/>
        <v>1456</v>
      </c>
      <c r="X35" s="86">
        <f>'PVAMU FGD'!$M53</f>
        <v>700453</v>
      </c>
      <c r="Y35" s="87">
        <f t="shared" si="61"/>
        <v>87</v>
      </c>
      <c r="Z35" s="86">
        <f>'TARLST FGD'!$M53</f>
        <v>1832258</v>
      </c>
      <c r="AA35" s="87">
        <f t="shared" si="62"/>
        <v>159</v>
      </c>
      <c r="AB35" s="86">
        <f>'TAMUCC FGD'!$M53</f>
        <v>-80158</v>
      </c>
      <c r="AC35" s="87">
        <f t="shared" si="63"/>
        <v>-9</v>
      </c>
      <c r="AD35" s="86">
        <f>'TAMUK FGD'!$M53</f>
        <v>1557732</v>
      </c>
      <c r="AE35" s="87">
        <f t="shared" si="64"/>
        <v>277</v>
      </c>
      <c r="AF35" s="86">
        <f>'TAMUCT FGD'!$M53</f>
        <v>260882</v>
      </c>
      <c r="AG35" s="87">
        <f t="shared" si="65"/>
        <v>162</v>
      </c>
      <c r="AH35" s="86">
        <f>'TAMUSA FGD'!$M53</f>
        <v>287007</v>
      </c>
      <c r="AI35" s="87">
        <f t="shared" si="66"/>
        <v>60</v>
      </c>
      <c r="AJ35" s="86">
        <f>'TAMIU FGD'!$M53</f>
        <v>841177</v>
      </c>
      <c r="AK35" s="87">
        <f t="shared" si="67"/>
        <v>121</v>
      </c>
      <c r="AL35" s="86">
        <f>'WTAMU FGD'!$M53</f>
        <v>11732350</v>
      </c>
      <c r="AM35" s="87">
        <f t="shared" si="68"/>
        <v>1519</v>
      </c>
      <c r="AN35" s="86">
        <f>'TAMUC FGD'!$M53</f>
        <v>-1970304</v>
      </c>
      <c r="AO35" s="87">
        <f t="shared" si="69"/>
        <v>-212</v>
      </c>
      <c r="AP35" s="86">
        <f>'TAMUT FGD'!$M53</f>
        <v>2088968</v>
      </c>
      <c r="AQ35" s="87">
        <f t="shared" si="70"/>
        <v>1265</v>
      </c>
      <c r="AR35" s="86">
        <f>'UH1 FGD'!$M53</f>
        <v>91229161</v>
      </c>
      <c r="AS35" s="87">
        <f t="shared" si="71"/>
        <v>2263</v>
      </c>
      <c r="AT35" s="86">
        <f>'UHCL FGD'!$M53</f>
        <v>1162537</v>
      </c>
      <c r="AU35" s="87">
        <f t="shared" si="72"/>
        <v>172</v>
      </c>
      <c r="AV35" s="86">
        <f>'UHD FGD'!$M53</f>
        <v>2089098</v>
      </c>
      <c r="AW35" s="87">
        <f t="shared" si="73"/>
        <v>187</v>
      </c>
      <c r="AX35" s="86">
        <f>'UHV FGD'!$M53</f>
        <v>322197</v>
      </c>
      <c r="AY35" s="87">
        <f t="shared" si="74"/>
        <v>89</v>
      </c>
      <c r="AZ35" s="86">
        <f>'LU FGD'!$M53</f>
        <v>209198</v>
      </c>
      <c r="BA35" s="87">
        <f t="shared" si="75"/>
        <v>15</v>
      </c>
      <c r="BB35" s="86">
        <f>'shsu1 FGD'!$M53</f>
        <v>3631921</v>
      </c>
      <c r="BC35" s="87">
        <f t="shared" si="76"/>
        <v>206</v>
      </c>
      <c r="BD35" s="86">
        <f>'TXST FGD'!$M53</f>
        <v>11959446</v>
      </c>
      <c r="BE35" s="87">
        <f t="shared" si="77"/>
        <v>382</v>
      </c>
      <c r="BF35" s="86">
        <f>'SRSU FGD'!$M53</f>
        <v>311191</v>
      </c>
      <c r="BG35" s="87">
        <f t="shared" si="78"/>
        <v>182</v>
      </c>
      <c r="BH35" s="86">
        <f>'TTU FGD'!$M53</f>
        <v>15934030</v>
      </c>
      <c r="BI35" s="87">
        <f t="shared" si="79"/>
        <v>442</v>
      </c>
      <c r="BJ35" s="86">
        <f>'ASU FGD'!$M53</f>
        <v>882153</v>
      </c>
      <c r="BK35" s="87">
        <f t="shared" si="80"/>
        <v>116</v>
      </c>
      <c r="BL35" s="86">
        <f>'UNT FGD'!$M53</f>
        <v>16640371</v>
      </c>
      <c r="BM35" s="87">
        <f t="shared" si="81"/>
        <v>479</v>
      </c>
      <c r="BN35" s="86">
        <f>'UNTD FGD'!$M53</f>
        <v>669477</v>
      </c>
      <c r="BO35" s="87">
        <f t="shared" si="82"/>
        <v>193</v>
      </c>
      <c r="BP35" s="86">
        <f>'MidWST FGD'!$M53</f>
        <v>805594</v>
      </c>
      <c r="BQ35" s="87">
        <f t="shared" si="83"/>
        <v>186</v>
      </c>
      <c r="BR35" s="86">
        <f>'SFA FGD'!$M53</f>
        <v>4789551</v>
      </c>
      <c r="BS35" s="87">
        <f t="shared" si="84"/>
        <v>462</v>
      </c>
      <c r="BT35" s="86">
        <f>'TSU FGD'!$M53</f>
        <v>59382</v>
      </c>
      <c r="BU35" s="87">
        <f t="shared" si="85"/>
        <v>9</v>
      </c>
      <c r="BV35" s="86">
        <f>'TWU FGD'!$M53</f>
        <v>-41095</v>
      </c>
      <c r="BW35" s="87">
        <f t="shared" si="86"/>
        <v>-3</v>
      </c>
      <c r="BX35" s="85"/>
      <c r="BY35" s="85"/>
      <c r="BZ35" s="85"/>
      <c r="CA35" s="85"/>
      <c r="CB35" s="85"/>
      <c r="CC35" s="85"/>
      <c r="CD35" s="85"/>
      <c r="CE35" s="85"/>
      <c r="CF35" s="85"/>
      <c r="CG35" s="85"/>
      <c r="CH35" s="85"/>
      <c r="CI35" s="85"/>
      <c r="CJ35" s="85"/>
      <c r="CK35" s="85"/>
      <c r="CL35" s="85"/>
      <c r="CM35" s="85"/>
    </row>
    <row r="36" spans="1:91">
      <c r="A36" s="93" t="s">
        <v>2134</v>
      </c>
      <c r="B36" s="94">
        <f t="shared" si="49"/>
        <v>1027049171</v>
      </c>
      <c r="C36" s="87">
        <f t="shared" si="50"/>
        <v>1825</v>
      </c>
      <c r="D36" s="94">
        <f>'ARL FGD'!$M54</f>
        <v>31718698</v>
      </c>
      <c r="E36" s="87">
        <f t="shared" si="51"/>
        <v>923</v>
      </c>
      <c r="F36" s="94">
        <f>'AUS1 FGD'!$M54</f>
        <v>164236378</v>
      </c>
      <c r="G36" s="87">
        <f t="shared" si="52"/>
        <v>3455</v>
      </c>
      <c r="H36" s="94">
        <f>'DAL FGD'!$M54</f>
        <v>28944491</v>
      </c>
      <c r="I36" s="87">
        <f t="shared" si="53"/>
        <v>1198</v>
      </c>
      <c r="J36" s="94">
        <f>'E-P FGD'!$M54</f>
        <v>16537887</v>
      </c>
      <c r="K36" s="87">
        <f t="shared" si="54"/>
        <v>849</v>
      </c>
      <c r="L36" s="94">
        <f>'RGV1 FGD'!$M54</f>
        <v>3925402</v>
      </c>
      <c r="M36" s="87">
        <f t="shared" si="55"/>
        <v>138</v>
      </c>
      <c r="N36" s="94">
        <f>'P-B FGD'!$M54</f>
        <v>6063878</v>
      </c>
      <c r="O36" s="87">
        <f t="shared" si="56"/>
        <v>1425</v>
      </c>
      <c r="P36" s="94">
        <f>'S-A FGD'!$M54</f>
        <v>24712849</v>
      </c>
      <c r="Q36" s="87">
        <f t="shared" si="57"/>
        <v>870</v>
      </c>
      <c r="R36" s="94">
        <f>'TYL FGD'!$M54</f>
        <v>10251224</v>
      </c>
      <c r="S36" s="87">
        <f t="shared" si="58"/>
        <v>1348</v>
      </c>
      <c r="T36" s="94">
        <f>'TAMU FGD'!$M54</f>
        <v>189379128</v>
      </c>
      <c r="U36" s="87">
        <f t="shared" si="59"/>
        <v>3257</v>
      </c>
      <c r="V36" s="94">
        <f>'TAMUG FGD'!$M54</f>
        <v>4734974</v>
      </c>
      <c r="W36" s="87">
        <f t="shared" si="60"/>
        <v>2732</v>
      </c>
      <c r="X36" s="94">
        <f>'PVAMU FGD'!$M54</f>
        <v>12774915</v>
      </c>
      <c r="Y36" s="87">
        <f t="shared" si="61"/>
        <v>1583</v>
      </c>
      <c r="Z36" s="94">
        <f>'TARLST FGD'!$M54</f>
        <v>31363530</v>
      </c>
      <c r="AA36" s="87">
        <f t="shared" si="62"/>
        <v>2714</v>
      </c>
      <c r="AB36" s="94">
        <f>'TAMUCC FGD'!$M54</f>
        <v>6626824</v>
      </c>
      <c r="AC36" s="87">
        <f t="shared" si="63"/>
        <v>710</v>
      </c>
      <c r="AD36" s="94">
        <f>'TAMUK FGD'!$M54</f>
        <v>10375585</v>
      </c>
      <c r="AE36" s="87">
        <f t="shared" si="64"/>
        <v>1847</v>
      </c>
      <c r="AF36" s="94">
        <f>'TAMUCT FGD'!$M54</f>
        <v>50756</v>
      </c>
      <c r="AG36" s="87">
        <f t="shared" si="65"/>
        <v>32</v>
      </c>
      <c r="AH36" s="94">
        <f>'TAMUSA FGD'!$M54</f>
        <v>1761631</v>
      </c>
      <c r="AI36" s="87">
        <f t="shared" si="66"/>
        <v>370</v>
      </c>
      <c r="AJ36" s="94">
        <f>'TAMIU FGD'!$M54</f>
        <v>2014515</v>
      </c>
      <c r="AK36" s="87">
        <f t="shared" si="67"/>
        <v>289</v>
      </c>
      <c r="AL36" s="94">
        <f>'WTAMU FGD'!$M54</f>
        <v>12079249</v>
      </c>
      <c r="AM36" s="87">
        <f t="shared" si="68"/>
        <v>1564</v>
      </c>
      <c r="AN36" s="94">
        <f>'TAMUC FGD'!$M54</f>
        <v>19244309</v>
      </c>
      <c r="AO36" s="87">
        <f t="shared" si="69"/>
        <v>2067</v>
      </c>
      <c r="AP36" s="94">
        <f>'TAMUT FGD'!$M54</f>
        <v>1485345</v>
      </c>
      <c r="AQ36" s="87">
        <f t="shared" si="70"/>
        <v>899</v>
      </c>
      <c r="AR36" s="94">
        <f>'UH1 FGD'!$M54</f>
        <v>47444235</v>
      </c>
      <c r="AS36" s="87">
        <f t="shared" si="71"/>
        <v>1177</v>
      </c>
      <c r="AT36" s="94">
        <f>'UHCL FGD'!$M54</f>
        <v>1535903</v>
      </c>
      <c r="AU36" s="87">
        <f t="shared" si="72"/>
        <v>227</v>
      </c>
      <c r="AV36" s="94">
        <f>'UHD FGD'!$M54</f>
        <v>895121</v>
      </c>
      <c r="AW36" s="87">
        <f t="shared" si="73"/>
        <v>80</v>
      </c>
      <c r="AX36" s="94">
        <f>'UHV FGD'!$M54</f>
        <v>2065046</v>
      </c>
      <c r="AY36" s="87">
        <f t="shared" si="74"/>
        <v>573</v>
      </c>
      <c r="AZ36" s="94">
        <f>'LU FGD'!$M54</f>
        <v>33020234</v>
      </c>
      <c r="BA36" s="87">
        <f t="shared" si="75"/>
        <v>2443</v>
      </c>
      <c r="BB36" s="94">
        <f>'shsu1 FGD'!$M54</f>
        <v>32037617</v>
      </c>
      <c r="BC36" s="87">
        <f t="shared" si="76"/>
        <v>1821</v>
      </c>
      <c r="BD36" s="94">
        <f>'TXST FGD'!$M54</f>
        <v>69893224</v>
      </c>
      <c r="BE36" s="87">
        <f t="shared" si="77"/>
        <v>2233</v>
      </c>
      <c r="BF36" s="94">
        <f>'SRSU FGD'!$M54</f>
        <v>2457439</v>
      </c>
      <c r="BG36" s="87">
        <f t="shared" si="78"/>
        <v>1435</v>
      </c>
      <c r="BH36" s="94">
        <f>'TTU FGD'!$M54</f>
        <v>134410311</v>
      </c>
      <c r="BI36" s="87">
        <f t="shared" si="79"/>
        <v>3730</v>
      </c>
      <c r="BJ36" s="94">
        <f>'ASU FGD'!$M54</f>
        <v>10470932</v>
      </c>
      <c r="BK36" s="87">
        <f t="shared" si="80"/>
        <v>1375</v>
      </c>
      <c r="BL36" s="94">
        <f>'UNT FGD'!$M54</f>
        <v>58331292</v>
      </c>
      <c r="BM36" s="87">
        <f t="shared" si="81"/>
        <v>1680</v>
      </c>
      <c r="BN36" s="94">
        <f>'UNTD FGD'!$M54</f>
        <v>467591</v>
      </c>
      <c r="BO36" s="87">
        <f t="shared" si="82"/>
        <v>135</v>
      </c>
      <c r="BP36" s="94">
        <f>'MidWST FGD'!$M54</f>
        <v>13143360</v>
      </c>
      <c r="BQ36" s="87">
        <f t="shared" si="83"/>
        <v>3041</v>
      </c>
      <c r="BR36" s="94">
        <f>'SFA FGD'!$M54</f>
        <v>17374062</v>
      </c>
      <c r="BS36" s="87">
        <f t="shared" si="84"/>
        <v>1676</v>
      </c>
      <c r="BT36" s="94">
        <f>'TSU FGD'!$M54</f>
        <v>7508284</v>
      </c>
      <c r="BU36" s="87">
        <f t="shared" si="85"/>
        <v>1165</v>
      </c>
      <c r="BV36" s="94">
        <f>'TWU FGD'!$M54</f>
        <v>17712952</v>
      </c>
      <c r="BW36" s="87">
        <f t="shared" si="86"/>
        <v>1360</v>
      </c>
      <c r="BX36" s="85"/>
      <c r="BY36" s="85"/>
      <c r="BZ36" s="85"/>
      <c r="CA36" s="85"/>
      <c r="CB36" s="85"/>
      <c r="CC36" s="85"/>
      <c r="CD36" s="85"/>
      <c r="CE36" s="85"/>
      <c r="CF36" s="85"/>
      <c r="CG36" s="85"/>
      <c r="CH36" s="85"/>
      <c r="CI36" s="85"/>
      <c r="CJ36" s="85"/>
      <c r="CK36" s="85"/>
      <c r="CL36" s="85"/>
      <c r="CM36" s="85"/>
    </row>
    <row r="37" spans="1:91">
      <c r="A37" s="95" t="s">
        <v>43</v>
      </c>
      <c r="B37" s="86">
        <f t="shared" si="49"/>
        <v>308924059</v>
      </c>
      <c r="C37" s="87">
        <f t="shared" si="50"/>
        <v>549</v>
      </c>
      <c r="D37" s="86">
        <f>'ARL FGD'!$M55</f>
        <v>7536894</v>
      </c>
      <c r="E37" s="87">
        <f t="shared" si="51"/>
        <v>219</v>
      </c>
      <c r="F37" s="86">
        <f>'AUS1 FGD'!$M55</f>
        <v>11934988</v>
      </c>
      <c r="G37" s="87">
        <f t="shared" si="52"/>
        <v>251</v>
      </c>
      <c r="H37" s="86">
        <f>'DAL FGD'!$M55</f>
        <v>8772245</v>
      </c>
      <c r="I37" s="87">
        <f t="shared" si="53"/>
        <v>363</v>
      </c>
      <c r="J37" s="86">
        <f>'E-P FGD'!$M55</f>
        <v>420707</v>
      </c>
      <c r="K37" s="87">
        <f t="shared" si="54"/>
        <v>22</v>
      </c>
      <c r="L37" s="86">
        <f>'RGV1 FGD'!$M55</f>
        <v>10614945</v>
      </c>
      <c r="M37" s="87">
        <f t="shared" si="55"/>
        <v>374</v>
      </c>
      <c r="N37" s="86">
        <f>'P-B FGD'!$M55</f>
        <v>291133</v>
      </c>
      <c r="O37" s="87">
        <f t="shared" si="56"/>
        <v>68</v>
      </c>
      <c r="P37" s="86">
        <f>'S-A FGD'!$M55</f>
        <v>2846552</v>
      </c>
      <c r="Q37" s="87">
        <f t="shared" si="57"/>
        <v>100</v>
      </c>
      <c r="R37" s="86">
        <f>'TYL FGD'!$M55</f>
        <v>580105</v>
      </c>
      <c r="S37" s="87">
        <f t="shared" si="58"/>
        <v>76</v>
      </c>
      <c r="T37" s="86">
        <f>'TAMU FGD'!$M55</f>
        <v>58105728</v>
      </c>
      <c r="U37" s="87">
        <f t="shared" si="59"/>
        <v>999</v>
      </c>
      <c r="V37" s="86">
        <f>'TAMUG FGD'!$M55</f>
        <v>3122218</v>
      </c>
      <c r="W37" s="87">
        <f t="shared" si="60"/>
        <v>1802</v>
      </c>
      <c r="X37" s="86">
        <f>'PVAMU FGD'!$M55</f>
        <v>3577295</v>
      </c>
      <c r="Y37" s="87">
        <f t="shared" si="61"/>
        <v>443</v>
      </c>
      <c r="Z37" s="86">
        <f>'TARLST FGD'!$M55</f>
        <v>2246035</v>
      </c>
      <c r="AA37" s="87">
        <f t="shared" si="62"/>
        <v>194</v>
      </c>
      <c r="AB37" s="86">
        <f>'TAMUCC FGD'!$M55</f>
        <v>4199572</v>
      </c>
      <c r="AC37" s="87">
        <f t="shared" si="63"/>
        <v>450</v>
      </c>
      <c r="AD37" s="86">
        <f>'TAMUK FGD'!$M55</f>
        <v>3967930</v>
      </c>
      <c r="AE37" s="87">
        <f t="shared" si="64"/>
        <v>707</v>
      </c>
      <c r="AF37" s="86">
        <f>'TAMUCT FGD'!$M55</f>
        <v>163684</v>
      </c>
      <c r="AG37" s="87">
        <f t="shared" si="65"/>
        <v>102</v>
      </c>
      <c r="AH37" s="86">
        <f>'TAMUSA FGD'!$M55</f>
        <v>865824</v>
      </c>
      <c r="AI37" s="87">
        <f t="shared" si="66"/>
        <v>182</v>
      </c>
      <c r="AJ37" s="86">
        <f>'TAMIU FGD'!$M55</f>
        <v>3392869</v>
      </c>
      <c r="AK37" s="87">
        <f t="shared" si="67"/>
        <v>487</v>
      </c>
      <c r="AL37" s="86">
        <f>'WTAMU FGD'!$M55</f>
        <v>1039616</v>
      </c>
      <c r="AM37" s="87">
        <f t="shared" si="68"/>
        <v>135</v>
      </c>
      <c r="AN37" s="86">
        <f>'TAMUC FGD'!$M55</f>
        <v>3596269</v>
      </c>
      <c r="AO37" s="87">
        <f t="shared" si="69"/>
        <v>386</v>
      </c>
      <c r="AP37" s="86">
        <f>'TAMUT FGD'!$M55</f>
        <v>963052</v>
      </c>
      <c r="AQ37" s="87">
        <f t="shared" si="70"/>
        <v>583</v>
      </c>
      <c r="AR37" s="86">
        <f>'UH1 FGD'!$M55</f>
        <v>110168967</v>
      </c>
      <c r="AS37" s="87">
        <f t="shared" si="71"/>
        <v>2733</v>
      </c>
      <c r="AT37" s="86">
        <f>'UHCL FGD'!$M55</f>
        <v>7192430</v>
      </c>
      <c r="AU37" s="87">
        <f t="shared" si="72"/>
        <v>1064</v>
      </c>
      <c r="AV37" s="86">
        <f>'UHD FGD'!$M55</f>
        <v>7065958</v>
      </c>
      <c r="AW37" s="87">
        <f t="shared" si="73"/>
        <v>631</v>
      </c>
      <c r="AX37" s="86">
        <f>'UHV FGD'!$M55</f>
        <v>4137494</v>
      </c>
      <c r="AY37" s="87">
        <f t="shared" si="74"/>
        <v>1148</v>
      </c>
      <c r="AZ37" s="86">
        <f>'LU FGD'!$M55</f>
        <v>993598</v>
      </c>
      <c r="BA37" s="87">
        <f t="shared" si="75"/>
        <v>74</v>
      </c>
      <c r="BB37" s="86">
        <f>'shsu1 FGD'!$M55</f>
        <v>5835321</v>
      </c>
      <c r="BC37" s="87">
        <f t="shared" si="76"/>
        <v>332</v>
      </c>
      <c r="BD37" s="86">
        <f>'TXST FGD'!$M55</f>
        <v>2914043</v>
      </c>
      <c r="BE37" s="87">
        <f t="shared" si="77"/>
        <v>93</v>
      </c>
      <c r="BF37" s="86">
        <f>'SRSU FGD'!$M55</f>
        <v>657794</v>
      </c>
      <c r="BG37" s="87">
        <f t="shared" si="78"/>
        <v>384</v>
      </c>
      <c r="BH37" s="86">
        <f>'TTU FGD'!$M55</f>
        <v>8374191</v>
      </c>
      <c r="BI37" s="87">
        <f t="shared" si="79"/>
        <v>232</v>
      </c>
      <c r="BJ37" s="86">
        <f>'ASU FGD'!$M55</f>
        <v>4906222</v>
      </c>
      <c r="BK37" s="87">
        <f t="shared" si="80"/>
        <v>644</v>
      </c>
      <c r="BL37" s="86">
        <f>'UNT FGD'!$M55</f>
        <v>1646121</v>
      </c>
      <c r="BM37" s="87">
        <f t="shared" si="81"/>
        <v>47</v>
      </c>
      <c r="BN37" s="86">
        <f>'UNTD FGD'!$M55</f>
        <v>392019</v>
      </c>
      <c r="BO37" s="87">
        <f t="shared" si="82"/>
        <v>113</v>
      </c>
      <c r="BP37" s="86">
        <f>'MidWST FGD'!$M55</f>
        <v>1825094</v>
      </c>
      <c r="BQ37" s="87">
        <f t="shared" si="83"/>
        <v>422</v>
      </c>
      <c r="BR37" s="86">
        <f>'SFA FGD'!$M55</f>
        <v>1541825</v>
      </c>
      <c r="BS37" s="87">
        <f t="shared" si="84"/>
        <v>149</v>
      </c>
      <c r="BT37" s="86">
        <f>'TSU FGD'!$M55</f>
        <v>18952146</v>
      </c>
      <c r="BU37" s="87">
        <f t="shared" si="85"/>
        <v>2940</v>
      </c>
      <c r="BV37" s="86">
        <f>'TWU FGD'!$M55</f>
        <v>4083175</v>
      </c>
      <c r="BW37" s="87">
        <f t="shared" si="86"/>
        <v>313</v>
      </c>
      <c r="BX37" s="96"/>
      <c r="BY37" s="96"/>
      <c r="BZ37" s="96"/>
      <c r="CA37" s="96"/>
      <c r="CB37" s="96"/>
      <c r="CC37" s="96"/>
      <c r="CD37" s="96"/>
      <c r="CE37" s="96"/>
      <c r="CF37" s="96"/>
      <c r="CG37" s="96"/>
      <c r="CH37" s="96"/>
      <c r="CI37" s="96"/>
      <c r="CJ37" s="96"/>
      <c r="CK37" s="96"/>
      <c r="CL37" s="96"/>
      <c r="CM37" s="96"/>
    </row>
    <row r="38" spans="1:91">
      <c r="A38" s="88" t="s">
        <v>3</v>
      </c>
      <c r="B38" s="89">
        <f t="shared" ref="B38:BK38" si="87">SUM(B32:B37)</f>
        <v>4282069263</v>
      </c>
      <c r="C38" s="382">
        <f t="shared" si="87"/>
        <v>7610</v>
      </c>
      <c r="D38" s="382">
        <f t="shared" si="87"/>
        <v>120382321</v>
      </c>
      <c r="E38" s="382">
        <f t="shared" si="87"/>
        <v>3503</v>
      </c>
      <c r="F38" s="382">
        <f t="shared" si="87"/>
        <v>1336140297</v>
      </c>
      <c r="G38" s="382">
        <f t="shared" si="87"/>
        <v>28109</v>
      </c>
      <c r="H38" s="382">
        <f t="shared" si="87"/>
        <v>134232894</v>
      </c>
      <c r="I38" s="382">
        <f t="shared" si="87"/>
        <v>5555</v>
      </c>
      <c r="J38" s="382">
        <f t="shared" si="87"/>
        <v>56177993</v>
      </c>
      <c r="K38" s="382">
        <f t="shared" si="87"/>
        <v>2885</v>
      </c>
      <c r="L38" s="89">
        <f t="shared" si="87"/>
        <v>77549856</v>
      </c>
      <c r="M38" s="89">
        <f t="shared" si="87"/>
        <v>2733</v>
      </c>
      <c r="N38" s="89">
        <f t="shared" si="87"/>
        <v>17218876</v>
      </c>
      <c r="O38" s="89">
        <f t="shared" si="87"/>
        <v>4046</v>
      </c>
      <c r="P38" s="89">
        <f t="shared" si="87"/>
        <v>162089290</v>
      </c>
      <c r="Q38" s="89">
        <f t="shared" si="87"/>
        <v>5706</v>
      </c>
      <c r="R38" s="89">
        <f t="shared" si="87"/>
        <v>33179055</v>
      </c>
      <c r="S38" s="89">
        <f t="shared" si="87"/>
        <v>4362</v>
      </c>
      <c r="T38" s="89">
        <f t="shared" si="87"/>
        <v>728145432</v>
      </c>
      <c r="U38" s="89">
        <f t="shared" si="87"/>
        <v>12522</v>
      </c>
      <c r="V38" s="89">
        <f t="shared" si="87"/>
        <v>17945877</v>
      </c>
      <c r="W38" s="89">
        <f t="shared" si="87"/>
        <v>10356</v>
      </c>
      <c r="X38" s="89">
        <f t="shared" si="87"/>
        <v>59876164</v>
      </c>
      <c r="Y38" s="89">
        <f t="shared" si="87"/>
        <v>7420</v>
      </c>
      <c r="Z38" s="89">
        <f t="shared" si="87"/>
        <v>58075797</v>
      </c>
      <c r="AA38" s="89">
        <f t="shared" si="87"/>
        <v>5026</v>
      </c>
      <c r="AB38" s="89">
        <f t="shared" si="87"/>
        <v>34762366</v>
      </c>
      <c r="AC38" s="89">
        <f t="shared" si="87"/>
        <v>3724</v>
      </c>
      <c r="AD38" s="89">
        <f t="shared" si="87"/>
        <v>32402076</v>
      </c>
      <c r="AE38" s="89">
        <f t="shared" si="87"/>
        <v>5769</v>
      </c>
      <c r="AF38" s="89">
        <f t="shared" si="87"/>
        <v>2120145</v>
      </c>
      <c r="AG38" s="89">
        <f t="shared" si="87"/>
        <v>1319</v>
      </c>
      <c r="AH38" s="89">
        <f t="shared" si="87"/>
        <v>9783603</v>
      </c>
      <c r="AI38" s="89">
        <f t="shared" si="87"/>
        <v>2054</v>
      </c>
      <c r="AJ38" s="89">
        <f t="shared" si="87"/>
        <v>15925126</v>
      </c>
      <c r="AK38" s="89">
        <f t="shared" si="87"/>
        <v>2287</v>
      </c>
      <c r="AL38" s="89">
        <f t="shared" si="87"/>
        <v>40971933</v>
      </c>
      <c r="AM38" s="89">
        <f t="shared" si="87"/>
        <v>5305</v>
      </c>
      <c r="AN38" s="89">
        <f t="shared" si="87"/>
        <v>41010726</v>
      </c>
      <c r="AO38" s="89">
        <f t="shared" si="87"/>
        <v>4404</v>
      </c>
      <c r="AP38" s="89">
        <f t="shared" si="87"/>
        <v>6014808</v>
      </c>
      <c r="AQ38" s="89">
        <f t="shared" si="87"/>
        <v>3642</v>
      </c>
      <c r="AR38" s="89">
        <f t="shared" si="87"/>
        <v>424179556</v>
      </c>
      <c r="AS38" s="89">
        <f t="shared" si="87"/>
        <v>10523</v>
      </c>
      <c r="AT38" s="89">
        <f t="shared" si="87"/>
        <v>15445776</v>
      </c>
      <c r="AU38" s="89">
        <f t="shared" si="87"/>
        <v>2285</v>
      </c>
      <c r="AV38" s="89">
        <f t="shared" si="87"/>
        <v>18891248</v>
      </c>
      <c r="AW38" s="89">
        <f t="shared" si="87"/>
        <v>1687</v>
      </c>
      <c r="AX38" s="89">
        <f t="shared" si="87"/>
        <v>10127977</v>
      </c>
      <c r="AY38" s="89">
        <f t="shared" si="87"/>
        <v>2810</v>
      </c>
      <c r="AZ38" s="89">
        <f t="shared" si="87"/>
        <v>44056565</v>
      </c>
      <c r="BA38" s="89">
        <f t="shared" si="87"/>
        <v>3259</v>
      </c>
      <c r="BB38" s="89">
        <f t="shared" si="87"/>
        <v>71798488</v>
      </c>
      <c r="BC38" s="89">
        <f t="shared" si="87"/>
        <v>4081</v>
      </c>
      <c r="BD38" s="89">
        <f t="shared" si="87"/>
        <v>120781233</v>
      </c>
      <c r="BE38" s="89">
        <f t="shared" si="87"/>
        <v>3859</v>
      </c>
      <c r="BF38" s="89">
        <f t="shared" si="87"/>
        <v>13017811</v>
      </c>
      <c r="BG38" s="89">
        <f t="shared" si="87"/>
        <v>7602</v>
      </c>
      <c r="BH38" s="89">
        <f t="shared" si="87"/>
        <v>287341959</v>
      </c>
      <c r="BI38" s="89">
        <f t="shared" si="87"/>
        <v>7974</v>
      </c>
      <c r="BJ38" s="89">
        <f t="shared" si="87"/>
        <v>40173822</v>
      </c>
      <c r="BK38" s="89">
        <f t="shared" si="87"/>
        <v>5274</v>
      </c>
      <c r="BL38" s="89">
        <f t="shared" ref="BL38:BW38" si="88">SUM(BL32:BL37)</f>
        <v>111282230</v>
      </c>
      <c r="BM38" s="89">
        <f t="shared" si="88"/>
        <v>3205</v>
      </c>
      <c r="BN38" s="89">
        <f t="shared" si="88"/>
        <v>4102300</v>
      </c>
      <c r="BO38" s="89">
        <f t="shared" si="88"/>
        <v>1184</v>
      </c>
      <c r="BP38" s="89">
        <f t="shared" si="88"/>
        <v>25168550</v>
      </c>
      <c r="BQ38" s="89">
        <f t="shared" si="88"/>
        <v>5823</v>
      </c>
      <c r="BR38" s="89">
        <f t="shared" si="88"/>
        <v>42383275</v>
      </c>
      <c r="BS38" s="89">
        <f t="shared" si="88"/>
        <v>4088</v>
      </c>
      <c r="BT38" s="89">
        <f t="shared" si="88"/>
        <v>32643993</v>
      </c>
      <c r="BU38" s="89">
        <f t="shared" si="88"/>
        <v>5064</v>
      </c>
      <c r="BV38" s="89">
        <f t="shared" si="88"/>
        <v>36669845</v>
      </c>
      <c r="BW38" s="89">
        <f t="shared" si="88"/>
        <v>2815</v>
      </c>
      <c r="BX38" s="85"/>
      <c r="BY38" s="85"/>
      <c r="BZ38" s="85"/>
      <c r="CA38" s="85"/>
      <c r="CB38" s="85"/>
      <c r="CC38" s="85"/>
      <c r="CD38" s="85"/>
      <c r="CE38" s="85"/>
      <c r="CF38" s="85"/>
      <c r="CG38" s="85"/>
      <c r="CH38" s="85"/>
      <c r="CI38" s="85"/>
      <c r="CJ38" s="85"/>
      <c r="CK38" s="85"/>
      <c r="CL38" s="85"/>
      <c r="CM38" s="85"/>
    </row>
    <row r="39" spans="1:91">
      <c r="A39" s="97" t="s">
        <v>68</v>
      </c>
      <c r="B39" s="112">
        <f t="shared" ref="B39:AE39" si="89">B15+B26+B29+B38</f>
        <v>17660087338</v>
      </c>
      <c r="C39" s="385">
        <f>C15+C26+C29+C38</f>
        <v>31386</v>
      </c>
      <c r="D39" s="112">
        <f t="shared" si="89"/>
        <v>805997999</v>
      </c>
      <c r="E39" s="385">
        <f t="shared" si="89"/>
        <v>23457</v>
      </c>
      <c r="F39" s="112">
        <f t="shared" si="89"/>
        <v>3236617360</v>
      </c>
      <c r="G39" s="385">
        <f t="shared" si="89"/>
        <v>68091</v>
      </c>
      <c r="H39" s="112">
        <f t="shared" si="89"/>
        <v>706765855</v>
      </c>
      <c r="I39" s="385">
        <f t="shared" si="89"/>
        <v>29245</v>
      </c>
      <c r="J39" s="112">
        <f t="shared" si="89"/>
        <v>545026645</v>
      </c>
      <c r="K39" s="385">
        <f t="shared" si="89"/>
        <v>27969</v>
      </c>
      <c r="L39" s="112">
        <f t="shared" si="89"/>
        <v>617100923</v>
      </c>
      <c r="M39" s="385">
        <f t="shared" si="89"/>
        <v>21744</v>
      </c>
      <c r="N39" s="112">
        <f t="shared" si="89"/>
        <v>114833420</v>
      </c>
      <c r="O39" s="385">
        <f t="shared" si="89"/>
        <v>26984</v>
      </c>
      <c r="P39" s="112">
        <f t="shared" si="89"/>
        <v>776879969</v>
      </c>
      <c r="Q39" s="385">
        <f t="shared" si="89"/>
        <v>27356</v>
      </c>
      <c r="R39" s="112">
        <f t="shared" si="89"/>
        <v>166585055</v>
      </c>
      <c r="S39" s="385">
        <f t="shared" si="89"/>
        <v>21899</v>
      </c>
      <c r="T39" s="112">
        <f t="shared" si="89"/>
        <v>2331154891</v>
      </c>
      <c r="U39" s="385">
        <f t="shared" si="89"/>
        <v>40089</v>
      </c>
      <c r="V39" s="112">
        <f t="shared" si="89"/>
        <v>120550879</v>
      </c>
      <c r="W39" s="385">
        <f t="shared" si="89"/>
        <v>69567</v>
      </c>
      <c r="X39" s="112">
        <f t="shared" si="89"/>
        <v>318685084</v>
      </c>
      <c r="Y39" s="385">
        <f t="shared" si="89"/>
        <v>39493</v>
      </c>
      <c r="Z39" s="112">
        <f t="shared" si="89"/>
        <v>273369226</v>
      </c>
      <c r="AA39" s="385">
        <f t="shared" si="89"/>
        <v>23657</v>
      </c>
      <c r="AB39" s="112">
        <f t="shared" si="89"/>
        <v>262299309</v>
      </c>
      <c r="AC39" s="385">
        <f t="shared" si="89"/>
        <v>28095</v>
      </c>
      <c r="AD39" s="112">
        <f t="shared" si="89"/>
        <v>181744629</v>
      </c>
      <c r="AE39" s="385">
        <f t="shared" si="89"/>
        <v>32360</v>
      </c>
      <c r="AF39" s="112">
        <f t="shared" ref="AF39:BK39" si="90">AF15+AF26+AF29+AF38</f>
        <v>41705302</v>
      </c>
      <c r="AG39" s="385">
        <f t="shared" si="90"/>
        <v>25953</v>
      </c>
      <c r="AH39" s="112">
        <f t="shared" si="90"/>
        <v>112727508</v>
      </c>
      <c r="AI39" s="385">
        <f t="shared" si="90"/>
        <v>23667</v>
      </c>
      <c r="AJ39" s="112">
        <f t="shared" si="90"/>
        <v>160046691</v>
      </c>
      <c r="AK39" s="385">
        <f t="shared" si="90"/>
        <v>22987</v>
      </c>
      <c r="AL39" s="112">
        <f t="shared" si="90"/>
        <v>190824128</v>
      </c>
      <c r="AM39" s="385">
        <f t="shared" si="90"/>
        <v>24703</v>
      </c>
      <c r="AN39" s="112">
        <f t="shared" si="90"/>
        <v>235764019</v>
      </c>
      <c r="AO39" s="385">
        <f t="shared" si="90"/>
        <v>25320</v>
      </c>
      <c r="AP39" s="112">
        <f t="shared" si="90"/>
        <v>55698492</v>
      </c>
      <c r="AQ39" s="385">
        <f t="shared" si="90"/>
        <v>33725</v>
      </c>
      <c r="AR39" s="112">
        <f t="shared" si="90"/>
        <v>1391697926</v>
      </c>
      <c r="AS39" s="385">
        <f t="shared" si="90"/>
        <v>34525</v>
      </c>
      <c r="AT39" s="112">
        <f t="shared" si="90"/>
        <v>157386803</v>
      </c>
      <c r="AU39" s="385">
        <f t="shared" si="90"/>
        <v>23274</v>
      </c>
      <c r="AV39" s="112">
        <f t="shared" si="90"/>
        <v>204624092</v>
      </c>
      <c r="AW39" s="385">
        <f t="shared" si="90"/>
        <v>18281</v>
      </c>
      <c r="AX39" s="112">
        <f t="shared" si="90"/>
        <v>75993804</v>
      </c>
      <c r="AY39" s="385">
        <f t="shared" si="90"/>
        <v>21084</v>
      </c>
      <c r="AZ39" s="112">
        <f t="shared" si="90"/>
        <v>287526257</v>
      </c>
      <c r="BA39" s="385">
        <f t="shared" si="90"/>
        <v>21272</v>
      </c>
      <c r="BB39" s="112">
        <f t="shared" si="90"/>
        <v>431915007</v>
      </c>
      <c r="BC39" s="385">
        <f t="shared" si="90"/>
        <v>24549</v>
      </c>
      <c r="BD39" s="112">
        <f t="shared" si="90"/>
        <v>755966462</v>
      </c>
      <c r="BE39" s="385">
        <f t="shared" si="90"/>
        <v>24156</v>
      </c>
      <c r="BF39" s="112">
        <f t="shared" si="90"/>
        <v>59906903</v>
      </c>
      <c r="BG39" s="385">
        <f t="shared" si="90"/>
        <v>34983</v>
      </c>
      <c r="BH39" s="112">
        <f t="shared" si="90"/>
        <v>1035106441</v>
      </c>
      <c r="BI39" s="385">
        <f t="shared" si="90"/>
        <v>28725</v>
      </c>
      <c r="BJ39" s="112">
        <f t="shared" si="90"/>
        <v>166347640</v>
      </c>
      <c r="BK39" s="385">
        <f t="shared" si="90"/>
        <v>21838</v>
      </c>
      <c r="BL39" s="112">
        <f t="shared" ref="BL39:BW39" si="91">BL15+BL26+BL29+BL38</f>
        <v>844306774</v>
      </c>
      <c r="BM39" s="385">
        <f t="shared" si="91"/>
        <v>24313</v>
      </c>
      <c r="BN39" s="112">
        <f t="shared" si="91"/>
        <v>90365177</v>
      </c>
      <c r="BO39" s="385">
        <f t="shared" si="91"/>
        <v>26085</v>
      </c>
      <c r="BP39" s="112">
        <f t="shared" si="91"/>
        <v>118006772</v>
      </c>
      <c r="BQ39" s="385">
        <f t="shared" si="91"/>
        <v>27303</v>
      </c>
      <c r="BR39" s="112">
        <f t="shared" si="91"/>
        <v>267575827</v>
      </c>
      <c r="BS39" s="385">
        <f t="shared" si="91"/>
        <v>25806</v>
      </c>
      <c r="BT39" s="112">
        <f t="shared" si="91"/>
        <v>255206661</v>
      </c>
      <c r="BU39" s="385">
        <f t="shared" si="91"/>
        <v>39592</v>
      </c>
      <c r="BV39" s="112">
        <f t="shared" si="91"/>
        <v>263777408</v>
      </c>
      <c r="BW39" s="385">
        <f t="shared" si="91"/>
        <v>20249</v>
      </c>
      <c r="BX39" s="85"/>
      <c r="BY39" s="85"/>
      <c r="BZ39" s="85"/>
      <c r="CA39" s="85"/>
      <c r="CB39" s="85"/>
      <c r="CC39" s="85"/>
      <c r="CD39" s="85"/>
      <c r="CE39" s="85"/>
      <c r="CF39" s="85"/>
      <c r="CG39" s="85"/>
      <c r="CH39" s="85"/>
      <c r="CI39" s="85"/>
      <c r="CJ39" s="85"/>
      <c r="CK39" s="85"/>
      <c r="CL39" s="85"/>
      <c r="CM39" s="85"/>
    </row>
    <row r="40" spans="1:91">
      <c r="B40" s="98" t="str">
        <f>IF(B39&lt;&gt;'Smmy Sum'!B69,"Error","")</f>
        <v/>
      </c>
      <c r="C40" s="383" t="str">
        <f>IF(C39&lt;&gt;'Smmy Sum'!$C69,"Error","")</f>
        <v/>
      </c>
      <c r="D40" s="383" t="str">
        <f>IF(D39&lt;&gt;'ARL FGD'!$M57,"Error","")</f>
        <v/>
      </c>
      <c r="E40" s="383" t="str">
        <f>IF(E39&lt;&gt;'ARL Sum'!$C33,"Error","")</f>
        <v/>
      </c>
      <c r="F40" s="383" t="str">
        <f>IF(F39&lt;&gt;'AUS1 FGD'!$M57,"Error","")</f>
        <v/>
      </c>
      <c r="G40" s="383" t="str">
        <f>IF(G39&lt;&gt;'AUS1 Sum'!$C33,"Error","")</f>
        <v/>
      </c>
      <c r="H40" s="383" t="str">
        <f>IF(H39&lt;&gt;'DAL FGD'!$M57,"Error","")</f>
        <v/>
      </c>
      <c r="I40" s="383" t="str">
        <f>IF(I39&lt;&gt;'DAL Sum'!$C33,"Error","")</f>
        <v/>
      </c>
      <c r="J40" s="383" t="str">
        <f>IF(J39&lt;&gt;'E-P FGD'!$M57,"Error","")</f>
        <v/>
      </c>
      <c r="K40" s="383" t="str">
        <f>IF(K39&lt;&gt;'E-P Sum'!$C33,"Error","")</f>
        <v/>
      </c>
      <c r="L40" s="98" t="str">
        <f>IF(L39&lt;&gt;'RGV1 FGD'!$M57,"Error","")</f>
        <v/>
      </c>
      <c r="M40" s="98" t="str">
        <f>IF(M39&lt;&gt;'RGV1 Sum'!$C33,"Error","")</f>
        <v/>
      </c>
      <c r="N40" s="98" t="str">
        <f>IF(N39&lt;&gt;'P-B FGD'!$M57,"Error","")</f>
        <v/>
      </c>
      <c r="O40" s="98" t="str">
        <f>IF(O39&lt;&gt;'P-B Sum'!$C33,"Error","")</f>
        <v/>
      </c>
      <c r="P40" s="98" t="str">
        <f>IF(P39&lt;&gt;'S-A FGD'!$M57,"Error","")</f>
        <v/>
      </c>
      <c r="Q40" s="98" t="str">
        <f>IF(Q39&lt;&gt;'S-A Sum'!$C33,"Error","")</f>
        <v/>
      </c>
      <c r="R40" s="98" t="str">
        <f>IF(R39&lt;&gt;'TYL FGD'!$M57,"Error","")</f>
        <v/>
      </c>
      <c r="S40" s="98" t="str">
        <f>IF(S39&lt;&gt;'TYL Sum'!$C33,"Error","")</f>
        <v/>
      </c>
      <c r="T40" s="98" t="str">
        <f>IF(T39&lt;&gt;'TAMU FGD'!$M57,"Error","")</f>
        <v/>
      </c>
      <c r="U40" s="98" t="str">
        <f>IF(U39&lt;&gt;'TAMU Sum'!$C33,"Error","")</f>
        <v/>
      </c>
      <c r="V40" s="98" t="str">
        <f>IF(V39&lt;&gt;'TAMUG FGD'!$M57,"Error","")</f>
        <v/>
      </c>
      <c r="W40" s="98" t="str">
        <f>IF(W39&lt;&gt;'TAMUG Sum'!$C33,"Error","")</f>
        <v/>
      </c>
      <c r="X40" s="98" t="str">
        <f>IF(X39&lt;&gt;'PVAMU FGD'!$M57,"Error","")</f>
        <v/>
      </c>
      <c r="Y40" s="98" t="str">
        <f>IF(Y39&lt;&gt;'PVAMU Sum'!$C33,"Error","")</f>
        <v/>
      </c>
      <c r="Z40" s="98" t="str">
        <f>IF(Z39&lt;&gt;'TARLST FGD'!$M57,"Error","")</f>
        <v/>
      </c>
      <c r="AA40" s="98" t="str">
        <f>IF(AA39&lt;&gt;'TARLST Sum'!$C33,"Error","")</f>
        <v/>
      </c>
      <c r="AB40" s="98" t="str">
        <f>IF(AB39&lt;&gt;'TAMUCC FGD'!$M57,"Error","")</f>
        <v/>
      </c>
      <c r="AC40" s="98" t="str">
        <f>IF(AC39&lt;&gt;'TAMUCC Sum'!$C33,"Error","")</f>
        <v/>
      </c>
      <c r="AD40" s="98" t="str">
        <f>IF(AD39&lt;&gt;'TAMUK FGD'!$M57,"Error","")</f>
        <v/>
      </c>
      <c r="AE40" s="98" t="str">
        <f>IF(AE39&lt;&gt;'TAMUK Sum'!$C33,"Error","")</f>
        <v/>
      </c>
      <c r="AF40" s="98" t="str">
        <f>IF(AF39&lt;&gt;'TAMUCT FGD'!$M57,"Error","")</f>
        <v/>
      </c>
      <c r="AG40" s="98" t="str">
        <f>IF(AG39&lt;&gt;'TAMUCT Sum'!$C33,"Error","")</f>
        <v/>
      </c>
      <c r="AH40" s="98" t="str">
        <f>IF(AH39&lt;&gt;'TAMUSA FGD'!$M57,"Error","")</f>
        <v/>
      </c>
      <c r="AI40" s="98" t="str">
        <f>IF(AI39&lt;&gt;'TAMUSA Sum'!$C33,"Error","")</f>
        <v/>
      </c>
      <c r="AJ40" s="98" t="str">
        <f>IF(AJ39&lt;&gt;'TAMIU FGD'!$M57,"Error","")</f>
        <v/>
      </c>
      <c r="AK40" s="98" t="str">
        <f>IF(AK39&lt;&gt;'TAMIU Sum'!$C33,"Error","")</f>
        <v/>
      </c>
      <c r="AL40" s="98" t="str">
        <f>IF(AL39&lt;&gt;'WTAMU FGD'!$M57,"Error","")</f>
        <v/>
      </c>
      <c r="AM40" s="98" t="str">
        <f>IF(AM39&lt;&gt;'WTAMU Sum'!$C33,"Error","")</f>
        <v/>
      </c>
      <c r="AN40" s="98" t="str">
        <f>IF(AN39&lt;&gt;'TAMUC FGD'!$M57,"Error","")</f>
        <v/>
      </c>
      <c r="AO40" s="98" t="str">
        <f>IF(AO39&lt;&gt;'TAMUC Sum'!$C33,"Error","")</f>
        <v/>
      </c>
      <c r="AP40" s="98" t="str">
        <f>IF(AP39&lt;&gt;'TAMUT FGD'!$M57,"Error","")</f>
        <v/>
      </c>
      <c r="AQ40" s="98" t="str">
        <f>IF(AQ39&lt;&gt;'TAMUT Sum'!$C33,"Error","")</f>
        <v/>
      </c>
      <c r="AR40" s="98" t="str">
        <f>IF(AR39&lt;&gt;'UH1 FGD'!$M57,"Error","")</f>
        <v/>
      </c>
      <c r="AS40" s="98" t="str">
        <f>IF(AS39&lt;&gt;'UH1 Sum'!$C33,"Error","")</f>
        <v/>
      </c>
      <c r="AT40" s="98" t="str">
        <f>IF(AT39&lt;&gt;'UHCL FGD'!$M57,"Error","")</f>
        <v/>
      </c>
      <c r="AU40" s="98" t="str">
        <f>IF(AU39&lt;&gt;'UHCL Sum'!$C33,"Error","")</f>
        <v/>
      </c>
      <c r="AV40" s="98" t="str">
        <f>IF(AV39&lt;&gt;'UHD FGD'!$M57,"Error","")</f>
        <v/>
      </c>
      <c r="AW40" s="98" t="str">
        <f>IF(AW39&lt;&gt;'UHD Sum'!$C33,"Error","")</f>
        <v/>
      </c>
      <c r="AX40" s="98" t="str">
        <f>IF(AX39&lt;&gt;'UHV FGD'!$M57,"Error","")</f>
        <v/>
      </c>
      <c r="AY40" s="98" t="str">
        <f>IF(AY39&lt;&gt;'UHV Sum'!$C33,"Error","")</f>
        <v/>
      </c>
      <c r="AZ40" s="98" t="str">
        <f>IF(AZ39&lt;&gt;'LU FGD'!$M57,"Error","")</f>
        <v/>
      </c>
      <c r="BA40" s="98" t="str">
        <f>IF(BA39&lt;&gt;'LU Sum'!$C33,"Error","")</f>
        <v/>
      </c>
      <c r="BB40" s="98" t="str">
        <f>IF(BB39&lt;&gt;'shsu1 FGD'!$M57,"Error","")</f>
        <v/>
      </c>
      <c r="BC40" s="98" t="str">
        <f>IF(BC39&lt;&gt;'shsu1 Sum'!$C33,"Error","")</f>
        <v/>
      </c>
      <c r="BD40" s="98" t="str">
        <f>IF(BD39&lt;&gt;'TXST FGD'!$M57,"Error","")</f>
        <v/>
      </c>
      <c r="BE40" s="98" t="str">
        <f>IF(BE39&lt;&gt;'TXST Sum'!$C33,"Error","")</f>
        <v/>
      </c>
      <c r="BF40" s="98" t="str">
        <f>IF(BF39&lt;&gt;'SRSU FGD'!$M57,"Error","")</f>
        <v/>
      </c>
      <c r="BG40" s="98" t="str">
        <f>IF(BG39&lt;&gt;'SRSU Sum'!$C33,"Error","")</f>
        <v/>
      </c>
      <c r="BH40" s="98" t="str">
        <f>IF(BH39&lt;&gt;'TTU FGD'!$M57,"Error","")</f>
        <v/>
      </c>
      <c r="BI40" s="98" t="str">
        <f>IF(BI39&lt;&gt;'TTU Sum'!$C33,"Error","")</f>
        <v/>
      </c>
      <c r="BJ40" s="98" t="str">
        <f>IF(BJ39&lt;&gt;'ASU FGD'!$M57,"Error","")</f>
        <v/>
      </c>
      <c r="BK40" s="98" t="str">
        <f>IF(BK39&lt;&gt;'ASU Sum'!$C33,"Error","")</f>
        <v/>
      </c>
      <c r="BL40" s="98" t="str">
        <f>IF(BL39&lt;&gt;'UNT FGD'!$M57,"Error","")</f>
        <v/>
      </c>
      <c r="BM40" s="98" t="str">
        <f>IF(BM39&lt;&gt;'UNT Sum'!$C33,"Error","")</f>
        <v/>
      </c>
      <c r="BN40" s="98" t="str">
        <f>IF(BN39&lt;&gt;'UNTD FGD'!$M57,"Error","")</f>
        <v/>
      </c>
      <c r="BO40" s="98" t="str">
        <f>IF(BO39&lt;&gt;'UNTD Sum'!$C33,"Error","")</f>
        <v/>
      </c>
      <c r="BP40" s="98" t="str">
        <f>IF(BP39&lt;&gt;'MidWST FGD'!$M57,"Error","")</f>
        <v/>
      </c>
      <c r="BQ40" s="98" t="str">
        <f>IF(BQ39&lt;&gt;'MidWST Sum'!$C33,"Error","")</f>
        <v/>
      </c>
      <c r="BR40" s="98" t="str">
        <f>IF(BR39&lt;&gt;'SFA FGD'!$M57,"Error","")</f>
        <v/>
      </c>
      <c r="BS40" s="98" t="str">
        <f>IF(BS39&lt;&gt;'SFA Sum'!$C33,"Error","")</f>
        <v/>
      </c>
      <c r="BT40" s="98" t="str">
        <f>IF(BT39&lt;&gt;'TSU FGD'!$M57,"Error","")</f>
        <v/>
      </c>
      <c r="BU40" s="98" t="str">
        <f>IF(BU39&lt;&gt;'TSU Sum'!$C33,"Error","")</f>
        <v/>
      </c>
      <c r="BV40" s="98" t="str">
        <f>IF(BV39&lt;&gt;'TWU FGD'!$M57,"Error","")</f>
        <v/>
      </c>
      <c r="BW40" s="98" t="str">
        <f>IF(BW39&lt;&gt;'TWU Sum'!$C33,"Error","")</f>
        <v/>
      </c>
      <c r="BX40" s="85"/>
      <c r="BY40" s="85"/>
      <c r="BZ40" s="85"/>
      <c r="CA40" s="85"/>
      <c r="CB40" s="85"/>
      <c r="CC40" s="85"/>
      <c r="CD40" s="85"/>
      <c r="CE40" s="85"/>
      <c r="CF40" s="85"/>
      <c r="CG40" s="85"/>
      <c r="CH40" s="85"/>
      <c r="CI40" s="85"/>
      <c r="CJ40" s="85"/>
      <c r="CK40" s="85"/>
      <c r="CL40" s="85"/>
      <c r="CM40" s="85"/>
    </row>
    <row r="41" spans="1:91">
      <c r="A41" s="81" t="s">
        <v>72</v>
      </c>
      <c r="B41" s="81"/>
      <c r="C41" s="386"/>
      <c r="D41" s="386"/>
      <c r="E41" s="386"/>
      <c r="F41" s="386"/>
      <c r="G41" s="386"/>
      <c r="H41" s="386"/>
      <c r="I41" s="386"/>
      <c r="J41" s="386"/>
      <c r="K41" s="386"/>
      <c r="L41" s="81"/>
      <c r="M41" s="81"/>
      <c r="N41" s="81"/>
      <c r="O41" s="81"/>
      <c r="P41" s="81"/>
      <c r="Q41" s="81"/>
      <c r="R41" s="81"/>
      <c r="S41" s="81"/>
      <c r="T41" s="81"/>
      <c r="U41" s="81"/>
      <c r="V41" s="81"/>
      <c r="W41" s="81"/>
      <c r="X41" s="81"/>
      <c r="Y41" s="81"/>
      <c r="Z41" s="81"/>
      <c r="AA41" s="81"/>
      <c r="AB41" s="81"/>
      <c r="AC41" s="81"/>
      <c r="AD41" s="81"/>
      <c r="AE41" s="81"/>
      <c r="AF41" s="81"/>
      <c r="AG41" s="81"/>
      <c r="AH41" s="81"/>
      <c r="AI41" s="81"/>
      <c r="AJ41" s="81"/>
      <c r="AK41" s="81"/>
      <c r="AL41" s="81"/>
      <c r="AM41" s="81"/>
      <c r="AN41" s="81"/>
      <c r="AO41" s="81"/>
      <c r="AP41" s="81"/>
      <c r="AQ41" s="81"/>
      <c r="AR41" s="81"/>
      <c r="AS41" s="81"/>
      <c r="AT41" s="81"/>
      <c r="AU41" s="81"/>
      <c r="AV41" s="81"/>
      <c r="AW41" s="81"/>
      <c r="AX41" s="81"/>
      <c r="AY41" s="81"/>
      <c r="AZ41" s="81"/>
      <c r="BA41" s="81"/>
      <c r="BB41" s="81"/>
      <c r="BC41" s="81"/>
      <c r="BD41" s="81"/>
      <c r="BE41" s="81"/>
      <c r="BF41" s="81"/>
      <c r="BG41" s="81"/>
      <c r="BH41" s="81"/>
      <c r="BI41" s="81"/>
      <c r="BJ41" s="81"/>
      <c r="BK41" s="81"/>
      <c r="BL41" s="81"/>
      <c r="BM41" s="81"/>
      <c r="BN41" s="81"/>
      <c r="BO41" s="81"/>
      <c r="BP41" s="81"/>
      <c r="BQ41" s="81"/>
      <c r="BR41" s="81"/>
      <c r="BS41" s="81"/>
      <c r="BT41" s="81"/>
      <c r="BU41" s="81"/>
      <c r="BV41" s="81"/>
      <c r="BW41" s="81"/>
    </row>
    <row r="42" spans="1:91">
      <c r="A42" s="99" t="s">
        <v>14</v>
      </c>
      <c r="B42" s="83">
        <f t="shared" ref="B42:B52" si="92">SUMIF(D$70:BW$70,$B$70,D42:BW42)</f>
        <v>4037148658</v>
      </c>
      <c r="C42" s="87">
        <f t="shared" ref="C42:C52" si="93">ROUND(B42/C$6,0)</f>
        <v>7175</v>
      </c>
      <c r="D42" s="87">
        <f>'ARL FGD'!$M60</f>
        <v>198085111</v>
      </c>
      <c r="E42" s="87">
        <f t="shared" ref="E42:E52" si="94">ROUND(D42/E$6,0)</f>
        <v>5765</v>
      </c>
      <c r="F42" s="87">
        <f>'AUS1 FGD'!$M60</f>
        <v>676280825</v>
      </c>
      <c r="G42" s="87">
        <f t="shared" ref="G42:G52" si="95">ROUND(F42/G$6,0)</f>
        <v>14227</v>
      </c>
      <c r="H42" s="87">
        <f>'DAL FGD'!$M60</f>
        <v>197677095</v>
      </c>
      <c r="I42" s="87">
        <f t="shared" ref="I42:I52" si="96">ROUND(H42/I$6,0)</f>
        <v>8179</v>
      </c>
      <c r="J42" s="87">
        <f>'E-P FGD'!$M60</f>
        <v>111347256</v>
      </c>
      <c r="K42" s="87">
        <f t="shared" ref="K42:K52" si="97">ROUND(J42/K$6,0)</f>
        <v>5713</v>
      </c>
      <c r="L42" s="83">
        <f>'RGV1 FGD'!$M60</f>
        <v>142384669</v>
      </c>
      <c r="M42" s="83">
        <f t="shared" ref="M42:M52" si="98">ROUND(L42/M$6,0)</f>
        <v>5017</v>
      </c>
      <c r="N42" s="83">
        <f>'P-B FGD'!$M60</f>
        <v>35363099</v>
      </c>
      <c r="O42" s="83">
        <f t="shared" ref="O42:O52" si="99">ROUND(N42/O$6,0)</f>
        <v>8310</v>
      </c>
      <c r="P42" s="83">
        <f>'S-A FGD'!$M60</f>
        <v>115902354</v>
      </c>
      <c r="Q42" s="83">
        <f t="shared" ref="Q42:Q52" si="100">ROUND(P42/Q$6,0)</f>
        <v>4082</v>
      </c>
      <c r="R42" s="83">
        <f>'TYL FGD'!$M60</f>
        <v>61622088</v>
      </c>
      <c r="S42" s="83">
        <f t="shared" ref="S42:S52" si="101">ROUND(R42/S$6,0)</f>
        <v>8100</v>
      </c>
      <c r="T42" s="83">
        <f>'TAMU FGD'!$M60</f>
        <v>607752075</v>
      </c>
      <c r="U42" s="83">
        <f t="shared" ref="U42:U52" si="102">ROUND(T42/U$6,0)</f>
        <v>10451</v>
      </c>
      <c r="V42" s="83">
        <f>'TAMUG FGD'!$M60</f>
        <v>20218790</v>
      </c>
      <c r="W42" s="83">
        <f t="shared" ref="W42:W52" si="103">ROUND(V42/W$6,0)</f>
        <v>11668</v>
      </c>
      <c r="X42" s="83">
        <f>'PVAMU FGD'!$M60</f>
        <v>52305594</v>
      </c>
      <c r="Y42" s="83">
        <f t="shared" ref="Y42:Y52" si="104">ROUND(X42/Y$6,0)</f>
        <v>6482</v>
      </c>
      <c r="Z42" s="83">
        <f>'TARLST FGD'!$M60</f>
        <v>51226635</v>
      </c>
      <c r="AA42" s="83">
        <f t="shared" ref="AA42:AA52" si="105">ROUND(Z42/AA$6,0)</f>
        <v>4433</v>
      </c>
      <c r="AB42" s="83">
        <f>'TAMUCC FGD'!$M60</f>
        <v>64301661</v>
      </c>
      <c r="AC42" s="83">
        <f t="shared" ref="AC42:AC52" si="106">ROUND(AB42/AC$6,0)</f>
        <v>6887</v>
      </c>
      <c r="AD42" s="83">
        <f>'TAMUK FGD'!$M60</f>
        <v>42177217</v>
      </c>
      <c r="AE42" s="83">
        <f t="shared" ref="AE42:AE52" si="107">ROUND(AD42/AE$6,0)</f>
        <v>7510</v>
      </c>
      <c r="AF42" s="83">
        <f>'TAMUCT FGD'!$M60</f>
        <v>10849521</v>
      </c>
      <c r="AG42" s="83">
        <f t="shared" ref="AG42:AG52" si="108">ROUND(AF42/AG$6,0)</f>
        <v>6752</v>
      </c>
      <c r="AH42" s="83">
        <f>'TAMUSA FGD'!$M60</f>
        <v>29356283</v>
      </c>
      <c r="AI42" s="83">
        <f t="shared" ref="AI42:AI52" si="109">ROUND(AH42/AI$6,0)</f>
        <v>6163</v>
      </c>
      <c r="AJ42" s="83">
        <f>'TAMIU FGD'!$M60</f>
        <v>33780408</v>
      </c>
      <c r="AK42" s="83">
        <f t="shared" ref="AK42:AK52" si="110">ROUND(AJ42/AK$6,0)</f>
        <v>4852</v>
      </c>
      <c r="AL42" s="83">
        <f>'WTAMU FGD'!$M60</f>
        <v>42446932</v>
      </c>
      <c r="AM42" s="83">
        <f t="shared" ref="AM42:AM52" si="111">ROUND(AL42/AM$6,0)</f>
        <v>5495</v>
      </c>
      <c r="AN42" s="83">
        <f>'TAMUC FGD'!$M60</f>
        <v>57170362</v>
      </c>
      <c r="AO42" s="83">
        <f t="shared" ref="AO42:AO52" si="112">ROUND(AN42/AO$6,0)</f>
        <v>6140</v>
      </c>
      <c r="AP42" s="83">
        <f>'TAMUT FGD'!$M60</f>
        <v>15713897</v>
      </c>
      <c r="AQ42" s="83">
        <f t="shared" ref="AQ42:AQ52" si="113">ROUND(AP42/AQ$6,0)</f>
        <v>9515</v>
      </c>
      <c r="AR42" s="83">
        <f>'UH1 FGD'!$M60</f>
        <v>255068753</v>
      </c>
      <c r="AS42" s="83">
        <f t="shared" ref="AS42:AS52" si="114">ROUND(AR42/AS$6,0)</f>
        <v>6328</v>
      </c>
      <c r="AT42" s="83">
        <f>'UHCL FGD'!$M60</f>
        <v>43137652</v>
      </c>
      <c r="AU42" s="83">
        <f t="shared" ref="AU42:AU52" si="115">ROUND(AT42/AU$6,0)</f>
        <v>6379</v>
      </c>
      <c r="AV42" s="83">
        <f>'UHD FGD'!$M60</f>
        <v>50902870</v>
      </c>
      <c r="AW42" s="83">
        <f t="shared" ref="AW42:AW52" si="116">ROUND(AV42/AW$6,0)</f>
        <v>4548</v>
      </c>
      <c r="AX42" s="83">
        <f>'UHV FGD'!$M60</f>
        <v>20599553</v>
      </c>
      <c r="AY42" s="83">
        <f t="shared" ref="AY42:AY52" si="117">ROUND(AX42/AY$6,0)</f>
        <v>5715</v>
      </c>
      <c r="AZ42" s="83">
        <f>'LU FGD'!$M60</f>
        <v>63622119</v>
      </c>
      <c r="BA42" s="83">
        <f t="shared" ref="BA42:BA52" si="118">ROUND(AZ42/BA$6,0)</f>
        <v>4707</v>
      </c>
      <c r="BB42" s="83">
        <f>'shsu1 FGD'!$M60</f>
        <v>102021253</v>
      </c>
      <c r="BC42" s="83">
        <f t="shared" ref="BC42:BC52" si="119">ROUND(BB42/BC$6,0)</f>
        <v>5799</v>
      </c>
      <c r="BD42" s="83">
        <f>'TXST FGD'!$M60</f>
        <v>204998973</v>
      </c>
      <c r="BE42" s="83">
        <f t="shared" ref="BE42:BE52" si="120">ROUND(BD42/BE$6,0)</f>
        <v>6550</v>
      </c>
      <c r="BF42" s="83">
        <f>'SRSU FGD'!$M60</f>
        <v>9919558</v>
      </c>
      <c r="BG42" s="83">
        <f t="shared" ref="BG42:BG52" si="121">ROUND(BF42/BG$6,0)</f>
        <v>5792</v>
      </c>
      <c r="BH42" s="83">
        <f>'TTU FGD'!$M60</f>
        <v>205744864</v>
      </c>
      <c r="BI42" s="83">
        <f t="shared" ref="BI42:BI52" si="122">ROUND(BH42/BI$6,0)</f>
        <v>5710</v>
      </c>
      <c r="BJ42" s="83">
        <f>'ASU FGD'!$M60</f>
        <v>44416353</v>
      </c>
      <c r="BK42" s="83">
        <f t="shared" ref="BK42:BK52" si="123">ROUND(BJ42/BK$6,0)</f>
        <v>5831</v>
      </c>
      <c r="BL42" s="83">
        <f>'UNT FGD'!$M60</f>
        <v>174635353</v>
      </c>
      <c r="BM42" s="83">
        <f t="shared" ref="BM42:BM52" si="124">ROUND(BL42/BM$6,0)</f>
        <v>5029</v>
      </c>
      <c r="BN42" s="83">
        <f>'UNTD FGD'!$M60</f>
        <v>18068894</v>
      </c>
      <c r="BO42" s="83">
        <f t="shared" ref="BO42:BO52" si="125">ROUND(BN42/BO$6,0)</f>
        <v>5216</v>
      </c>
      <c r="BP42" s="83">
        <f>'MidWST FGD'!$M60</f>
        <v>37934310</v>
      </c>
      <c r="BQ42" s="83">
        <f t="shared" ref="BQ42:BQ52" si="126">ROUND(BP42/BQ$6,0)</f>
        <v>8776</v>
      </c>
      <c r="BR42" s="83">
        <f>'SFA FGD'!$M60</f>
        <v>76284735</v>
      </c>
      <c r="BS42" s="83">
        <f t="shared" ref="BS42:BS52" si="127">ROUND(BR42/BS$6,0)</f>
        <v>7357</v>
      </c>
      <c r="BT42" s="83">
        <f>'TSU FGD'!$M60</f>
        <v>78454410</v>
      </c>
      <c r="BU42" s="83">
        <f t="shared" ref="BU42:BU52" si="128">ROUND(BT42/BU$6,0)</f>
        <v>12172</v>
      </c>
      <c r="BV42" s="83">
        <f>'TWU FGD'!$M60</f>
        <v>85377136</v>
      </c>
      <c r="BW42" s="83">
        <f t="shared" ref="BW42:BW52" si="129">ROUND(BV42/BW$6,0)</f>
        <v>6554</v>
      </c>
      <c r="BX42" s="85"/>
      <c r="BY42" s="85"/>
      <c r="BZ42" s="85"/>
      <c r="CA42" s="85"/>
      <c r="CB42" s="85"/>
      <c r="CC42" s="85"/>
      <c r="CD42" s="85"/>
      <c r="CE42" s="85"/>
      <c r="CF42" s="85"/>
      <c r="CG42" s="85"/>
      <c r="CH42" s="85"/>
      <c r="CI42" s="85"/>
      <c r="CJ42" s="85"/>
      <c r="CK42" s="85"/>
      <c r="CL42" s="85"/>
      <c r="CM42" s="85"/>
    </row>
    <row r="43" spans="1:91">
      <c r="A43" s="99" t="s">
        <v>15</v>
      </c>
      <c r="B43" s="86">
        <f t="shared" si="92"/>
        <v>1785233069</v>
      </c>
      <c r="C43" s="87">
        <f t="shared" si="93"/>
        <v>3173</v>
      </c>
      <c r="D43" s="86">
        <f>'ARL FGD'!$M61</f>
        <v>103398965</v>
      </c>
      <c r="E43" s="87">
        <f t="shared" si="94"/>
        <v>3009</v>
      </c>
      <c r="F43" s="86">
        <f>'AUS1 FGD'!$M61</f>
        <v>523576229</v>
      </c>
      <c r="G43" s="87">
        <f t="shared" si="95"/>
        <v>11015</v>
      </c>
      <c r="H43" s="86">
        <f>'DAL FGD'!$M61</f>
        <v>98702141</v>
      </c>
      <c r="I43" s="87">
        <f t="shared" si="96"/>
        <v>4084</v>
      </c>
      <c r="J43" s="86">
        <f>'E-P FGD'!$M61</f>
        <v>89423609</v>
      </c>
      <c r="K43" s="87">
        <f t="shared" si="97"/>
        <v>4588</v>
      </c>
      <c r="L43" s="86">
        <f>'RGV1 FGD'!$M61</f>
        <v>28259210</v>
      </c>
      <c r="M43" s="87">
        <f t="shared" si="98"/>
        <v>996</v>
      </c>
      <c r="N43" s="86">
        <f>'P-B FGD'!$M61</f>
        <v>2962585</v>
      </c>
      <c r="O43" s="87">
        <f t="shared" si="99"/>
        <v>696</v>
      </c>
      <c r="P43" s="86">
        <f>'S-A FGD'!$M61</f>
        <v>108189847</v>
      </c>
      <c r="Q43" s="87">
        <f t="shared" si="100"/>
        <v>3810</v>
      </c>
      <c r="R43" s="86">
        <f>'TYL FGD'!$M61</f>
        <v>2090148</v>
      </c>
      <c r="S43" s="87">
        <f t="shared" si="101"/>
        <v>275</v>
      </c>
      <c r="T43" s="86">
        <f>'TAMU FGD'!$M61</f>
        <v>224855845</v>
      </c>
      <c r="U43" s="87">
        <f t="shared" si="102"/>
        <v>3867</v>
      </c>
      <c r="V43" s="86">
        <f>'TAMUG FGD'!$M61</f>
        <v>6717898</v>
      </c>
      <c r="W43" s="87">
        <f t="shared" si="103"/>
        <v>3877</v>
      </c>
      <c r="X43" s="86">
        <f>'PVAMU FGD'!$M61</f>
        <v>17548382</v>
      </c>
      <c r="Y43" s="87">
        <f t="shared" si="104"/>
        <v>2175</v>
      </c>
      <c r="Z43" s="86">
        <f>'TARLST FGD'!$M61</f>
        <v>15607662</v>
      </c>
      <c r="AA43" s="87">
        <f t="shared" si="105"/>
        <v>1351</v>
      </c>
      <c r="AB43" s="86">
        <f>'TAMUCC FGD'!$M61</f>
        <v>25788224</v>
      </c>
      <c r="AC43" s="87">
        <f t="shared" si="106"/>
        <v>2762</v>
      </c>
      <c r="AD43" s="86">
        <f>'TAMUK FGD'!$M61</f>
        <v>19181940</v>
      </c>
      <c r="AE43" s="87">
        <f t="shared" si="107"/>
        <v>3416</v>
      </c>
      <c r="AF43" s="86">
        <f>'TAMUCT FGD'!$M61</f>
        <v>1121634</v>
      </c>
      <c r="AG43" s="87">
        <f t="shared" si="108"/>
        <v>698</v>
      </c>
      <c r="AH43" s="86">
        <f>'TAMUSA FGD'!$M61</f>
        <v>1276831</v>
      </c>
      <c r="AI43" s="87">
        <f t="shared" si="109"/>
        <v>268</v>
      </c>
      <c r="AJ43" s="86">
        <f>'TAMIU FGD'!$M61</f>
        <v>2825306</v>
      </c>
      <c r="AK43" s="87">
        <f t="shared" si="110"/>
        <v>406</v>
      </c>
      <c r="AL43" s="86">
        <f>'WTAMU FGD'!$M61</f>
        <v>7693680</v>
      </c>
      <c r="AM43" s="87">
        <f t="shared" si="111"/>
        <v>996</v>
      </c>
      <c r="AN43" s="86">
        <f>'TAMUC FGD'!$M61</f>
        <v>3052205</v>
      </c>
      <c r="AO43" s="87">
        <f t="shared" si="112"/>
        <v>328</v>
      </c>
      <c r="AP43" s="86">
        <f>'TAMUT FGD'!$M61</f>
        <v>36898</v>
      </c>
      <c r="AQ43" s="87">
        <f t="shared" si="113"/>
        <v>22</v>
      </c>
      <c r="AR43" s="86">
        <f>'UH1 FGD'!$M61</f>
        <v>168699978</v>
      </c>
      <c r="AS43" s="87">
        <f t="shared" si="114"/>
        <v>4185</v>
      </c>
      <c r="AT43" s="86">
        <f>'UHCL FGD'!$M61</f>
        <v>1716255</v>
      </c>
      <c r="AU43" s="87">
        <f t="shared" si="115"/>
        <v>254</v>
      </c>
      <c r="AV43" s="86">
        <f>'UHD FGD'!$M61</f>
        <v>2040315</v>
      </c>
      <c r="AW43" s="87">
        <f t="shared" si="116"/>
        <v>182</v>
      </c>
      <c r="AX43" s="86">
        <f>'UHV FGD'!$M61</f>
        <v>416867</v>
      </c>
      <c r="AY43" s="87">
        <f t="shared" si="117"/>
        <v>116</v>
      </c>
      <c r="AZ43" s="86">
        <f>'LU FGD'!$M61</f>
        <v>4843833</v>
      </c>
      <c r="BA43" s="87">
        <f t="shared" si="118"/>
        <v>358</v>
      </c>
      <c r="BB43" s="86">
        <f>'shsu1 FGD'!$M61</f>
        <v>10416913</v>
      </c>
      <c r="BC43" s="87">
        <f t="shared" si="119"/>
        <v>592</v>
      </c>
      <c r="BD43" s="86">
        <f>'TXST FGD'!$M61</f>
        <v>63379031</v>
      </c>
      <c r="BE43" s="87">
        <f t="shared" si="120"/>
        <v>2025</v>
      </c>
      <c r="BF43" s="86">
        <f>'SRSU FGD'!$M61</f>
        <v>1775780</v>
      </c>
      <c r="BG43" s="87">
        <f t="shared" si="121"/>
        <v>1037</v>
      </c>
      <c r="BH43" s="86">
        <f>'TTU FGD'!$M61</f>
        <v>164250494</v>
      </c>
      <c r="BI43" s="87">
        <f t="shared" si="122"/>
        <v>4558</v>
      </c>
      <c r="BJ43" s="86">
        <f>'ASU FGD'!$M61</f>
        <v>902658</v>
      </c>
      <c r="BK43" s="87">
        <f t="shared" si="123"/>
        <v>118</v>
      </c>
      <c r="BL43" s="86">
        <f>'UNT FGD'!$M61</f>
        <v>70216070</v>
      </c>
      <c r="BM43" s="87">
        <f t="shared" si="124"/>
        <v>2022</v>
      </c>
      <c r="BN43" s="86">
        <f>'UNTD FGD'!$M61</f>
        <v>113533</v>
      </c>
      <c r="BO43" s="87">
        <f t="shared" si="125"/>
        <v>33</v>
      </c>
      <c r="BP43" s="86">
        <f>'MidWST FGD'!$M61</f>
        <v>882163</v>
      </c>
      <c r="BQ43" s="87">
        <f t="shared" si="126"/>
        <v>204</v>
      </c>
      <c r="BR43" s="86">
        <f>'SFA FGD'!$M61</f>
        <v>3688401</v>
      </c>
      <c r="BS43" s="87">
        <f t="shared" si="127"/>
        <v>356</v>
      </c>
      <c r="BT43" s="86">
        <f>'TSU FGD'!$M61</f>
        <v>5151314</v>
      </c>
      <c r="BU43" s="87">
        <f t="shared" si="128"/>
        <v>799</v>
      </c>
      <c r="BV43" s="86">
        <f>'TWU FGD'!$M61</f>
        <v>4430225</v>
      </c>
      <c r="BW43" s="87">
        <f t="shared" si="129"/>
        <v>340</v>
      </c>
      <c r="BX43" s="85"/>
      <c r="BY43" s="85"/>
      <c r="BZ43" s="85"/>
      <c r="CA43" s="85"/>
      <c r="CB43" s="85"/>
      <c r="CC43" s="85"/>
      <c r="CD43" s="85"/>
      <c r="CE43" s="85"/>
      <c r="CF43" s="85"/>
      <c r="CG43" s="85"/>
      <c r="CH43" s="85"/>
      <c r="CI43" s="85"/>
      <c r="CJ43" s="85"/>
      <c r="CK43" s="85"/>
      <c r="CL43" s="85"/>
      <c r="CM43" s="85"/>
    </row>
    <row r="44" spans="1:91">
      <c r="A44" s="99" t="s">
        <v>16</v>
      </c>
      <c r="B44" s="86">
        <f t="shared" si="92"/>
        <v>289366444</v>
      </c>
      <c r="C44" s="87">
        <f t="shared" si="93"/>
        <v>514</v>
      </c>
      <c r="D44" s="86">
        <f>'ARL FGD'!$M62</f>
        <v>12261806</v>
      </c>
      <c r="E44" s="87">
        <f t="shared" si="94"/>
        <v>357</v>
      </c>
      <c r="F44" s="86">
        <f>'AUS1 FGD'!$M62</f>
        <v>94066053</v>
      </c>
      <c r="G44" s="87">
        <f t="shared" si="95"/>
        <v>1979</v>
      </c>
      <c r="H44" s="86">
        <f>'DAL FGD'!$M62</f>
        <v>9035089</v>
      </c>
      <c r="I44" s="87">
        <f t="shared" si="96"/>
        <v>374</v>
      </c>
      <c r="J44" s="86">
        <f>'E-P FGD'!$M62</f>
        <v>11373956</v>
      </c>
      <c r="K44" s="87">
        <f t="shared" si="97"/>
        <v>584</v>
      </c>
      <c r="L44" s="86">
        <f>'RGV1 FGD'!$M62</f>
        <v>7278431</v>
      </c>
      <c r="M44" s="87">
        <f t="shared" si="98"/>
        <v>256</v>
      </c>
      <c r="N44" s="86">
        <f>'P-B FGD'!$M62</f>
        <v>3948406</v>
      </c>
      <c r="O44" s="87">
        <f t="shared" si="99"/>
        <v>928</v>
      </c>
      <c r="P44" s="86">
        <f>'S-A FGD'!$M62</f>
        <v>15662717</v>
      </c>
      <c r="Q44" s="87">
        <f t="shared" si="100"/>
        <v>552</v>
      </c>
      <c r="R44" s="86">
        <f>'TYL FGD'!$M62</f>
        <v>1495986</v>
      </c>
      <c r="S44" s="87">
        <f t="shared" si="101"/>
        <v>197</v>
      </c>
      <c r="T44" s="86">
        <f>'TAMU FGD'!$M62</f>
        <v>18749990</v>
      </c>
      <c r="U44" s="87">
        <f t="shared" si="102"/>
        <v>322</v>
      </c>
      <c r="V44" s="86">
        <f>'TAMUG FGD'!$M62</f>
        <v>913990</v>
      </c>
      <c r="W44" s="87">
        <f t="shared" si="103"/>
        <v>527</v>
      </c>
      <c r="X44" s="86">
        <f>'PVAMU FGD'!$M62</f>
        <v>7762778</v>
      </c>
      <c r="Y44" s="87">
        <f t="shared" si="104"/>
        <v>962</v>
      </c>
      <c r="Z44" s="86">
        <f>'TARLST FGD'!$M62</f>
        <v>2242769</v>
      </c>
      <c r="AA44" s="87">
        <f t="shared" si="105"/>
        <v>194</v>
      </c>
      <c r="AB44" s="86">
        <f>'TAMUCC FGD'!$M62</f>
        <v>2532832</v>
      </c>
      <c r="AC44" s="87">
        <f t="shared" si="106"/>
        <v>271</v>
      </c>
      <c r="AD44" s="86">
        <f>'TAMUK FGD'!$M62</f>
        <v>382600</v>
      </c>
      <c r="AE44" s="87">
        <f t="shared" si="107"/>
        <v>68</v>
      </c>
      <c r="AF44" s="86">
        <f>'TAMUCT FGD'!$M62</f>
        <v>22434</v>
      </c>
      <c r="AG44" s="87">
        <f t="shared" si="108"/>
        <v>14</v>
      </c>
      <c r="AH44" s="86">
        <f>'TAMUSA FGD'!$M62</f>
        <v>191445</v>
      </c>
      <c r="AI44" s="87">
        <f t="shared" si="109"/>
        <v>40</v>
      </c>
      <c r="AJ44" s="86">
        <f>'TAMIU FGD'!$M62</f>
        <v>2362868</v>
      </c>
      <c r="AK44" s="87">
        <f t="shared" si="110"/>
        <v>339</v>
      </c>
      <c r="AL44" s="86">
        <f>'WTAMU FGD'!$M62</f>
        <v>4034086</v>
      </c>
      <c r="AM44" s="87">
        <f t="shared" si="111"/>
        <v>522</v>
      </c>
      <c r="AN44" s="86">
        <f>'TAMUC FGD'!$M62</f>
        <v>1585884</v>
      </c>
      <c r="AO44" s="87">
        <f t="shared" si="112"/>
        <v>170</v>
      </c>
      <c r="AP44" s="86">
        <f>'TAMUT FGD'!$M62</f>
        <v>9026</v>
      </c>
      <c r="AQ44" s="87">
        <f t="shared" si="113"/>
        <v>5</v>
      </c>
      <c r="AR44" s="86">
        <f>'UH1 FGD'!$M62</f>
        <v>35946861</v>
      </c>
      <c r="AS44" s="87">
        <f t="shared" si="114"/>
        <v>892</v>
      </c>
      <c r="AT44" s="86">
        <f>'UHCL FGD'!$M62</f>
        <v>67916</v>
      </c>
      <c r="AU44" s="87">
        <f t="shared" si="115"/>
        <v>10</v>
      </c>
      <c r="AV44" s="86">
        <f>'UHD FGD'!$M62</f>
        <v>2655558</v>
      </c>
      <c r="AW44" s="87">
        <f t="shared" si="116"/>
        <v>237</v>
      </c>
      <c r="AX44" s="86">
        <f>'UHV FGD'!$M62</f>
        <v>867914</v>
      </c>
      <c r="AY44" s="87">
        <f t="shared" si="117"/>
        <v>241</v>
      </c>
      <c r="AZ44" s="86">
        <f>'LU FGD'!$M62</f>
        <v>1304660</v>
      </c>
      <c r="BA44" s="87">
        <f t="shared" si="118"/>
        <v>97</v>
      </c>
      <c r="BB44" s="86">
        <f>'shsu1 FGD'!$M62</f>
        <v>16145883</v>
      </c>
      <c r="BC44" s="87">
        <f t="shared" si="119"/>
        <v>918</v>
      </c>
      <c r="BD44" s="86">
        <f>'TXST FGD'!$M62</f>
        <v>1454346</v>
      </c>
      <c r="BE44" s="87">
        <f t="shared" si="120"/>
        <v>46</v>
      </c>
      <c r="BF44" s="86">
        <f>'SRSU FGD'!$M62</f>
        <v>1381715</v>
      </c>
      <c r="BG44" s="87">
        <f t="shared" si="121"/>
        <v>807</v>
      </c>
      <c r="BH44" s="86">
        <f>'TTU FGD'!$M62</f>
        <v>16683446</v>
      </c>
      <c r="BI44" s="87">
        <f t="shared" si="122"/>
        <v>463</v>
      </c>
      <c r="BJ44" s="86">
        <f>'ASU FGD'!$M62</f>
        <v>1267934</v>
      </c>
      <c r="BK44" s="87">
        <f t="shared" si="123"/>
        <v>166</v>
      </c>
      <c r="BL44" s="86">
        <f>'UNT FGD'!$M62</f>
        <v>7491324</v>
      </c>
      <c r="BM44" s="87">
        <f t="shared" si="124"/>
        <v>216</v>
      </c>
      <c r="BN44" s="86">
        <f>'UNTD FGD'!$M62</f>
        <v>2931830</v>
      </c>
      <c r="BO44" s="87">
        <f t="shared" si="125"/>
        <v>846</v>
      </c>
      <c r="BP44" s="86">
        <f>'MidWST FGD'!$M62</f>
        <v>1081302</v>
      </c>
      <c r="BQ44" s="87">
        <f t="shared" si="126"/>
        <v>250</v>
      </c>
      <c r="BR44" s="86">
        <f>'SFA FGD'!$M62</f>
        <v>1421827</v>
      </c>
      <c r="BS44" s="87">
        <f t="shared" si="127"/>
        <v>137</v>
      </c>
      <c r="BT44" s="86">
        <f>'TSU FGD'!$M62</f>
        <v>2009621</v>
      </c>
      <c r="BU44" s="87">
        <f t="shared" si="128"/>
        <v>312</v>
      </c>
      <c r="BV44" s="86">
        <f>'TWU FGD'!$M62</f>
        <v>741161</v>
      </c>
      <c r="BW44" s="87">
        <f t="shared" si="129"/>
        <v>57</v>
      </c>
      <c r="BX44" s="85"/>
      <c r="BY44" s="85"/>
      <c r="BZ44" s="85"/>
      <c r="CA44" s="85"/>
      <c r="CB44" s="85"/>
      <c r="CC44" s="85"/>
      <c r="CD44" s="85"/>
      <c r="CE44" s="85"/>
      <c r="CF44" s="85"/>
      <c r="CG44" s="85"/>
      <c r="CH44" s="85"/>
      <c r="CI44" s="85"/>
      <c r="CJ44" s="85"/>
      <c r="CK44" s="85"/>
      <c r="CL44" s="85"/>
      <c r="CM44" s="85"/>
    </row>
    <row r="45" spans="1:91">
      <c r="A45" s="99" t="s">
        <v>17</v>
      </c>
      <c r="B45" s="86">
        <f t="shared" si="92"/>
        <v>1642064198</v>
      </c>
      <c r="C45" s="87">
        <f t="shared" si="93"/>
        <v>2918</v>
      </c>
      <c r="D45" s="86">
        <f>'ARL FGD'!$M63</f>
        <v>61502658</v>
      </c>
      <c r="E45" s="87">
        <f t="shared" si="94"/>
        <v>1790</v>
      </c>
      <c r="F45" s="86">
        <f>'AUS1 FGD'!$M63</f>
        <v>309781831</v>
      </c>
      <c r="G45" s="87">
        <f t="shared" si="95"/>
        <v>6517</v>
      </c>
      <c r="H45" s="86">
        <f>'DAL FGD'!$M63</f>
        <v>63009599</v>
      </c>
      <c r="I45" s="87">
        <f t="shared" si="96"/>
        <v>2607</v>
      </c>
      <c r="J45" s="86">
        <f>'E-P FGD'!$M63</f>
        <v>26993271</v>
      </c>
      <c r="K45" s="87">
        <f t="shared" si="97"/>
        <v>1385</v>
      </c>
      <c r="L45" s="86">
        <f>'RGV1 FGD'!$M63</f>
        <v>47325576</v>
      </c>
      <c r="M45" s="87">
        <f t="shared" si="98"/>
        <v>1667</v>
      </c>
      <c r="N45" s="86">
        <f>'P-B FGD'!$M63</f>
        <v>7304629</v>
      </c>
      <c r="O45" s="87">
        <f t="shared" si="99"/>
        <v>1716</v>
      </c>
      <c r="P45" s="86">
        <f>'S-A FGD'!$M63</f>
        <v>71708636</v>
      </c>
      <c r="Q45" s="87">
        <f t="shared" si="100"/>
        <v>2525</v>
      </c>
      <c r="R45" s="86">
        <f>'TYL FGD'!$M63</f>
        <v>15543747</v>
      </c>
      <c r="S45" s="87">
        <f t="shared" si="101"/>
        <v>2043</v>
      </c>
      <c r="T45" s="86">
        <f>'TAMU FGD'!$M63</f>
        <v>255512124</v>
      </c>
      <c r="U45" s="87">
        <f t="shared" si="102"/>
        <v>4394</v>
      </c>
      <c r="V45" s="86">
        <f>'TAMUG FGD'!$M63</f>
        <v>6369577</v>
      </c>
      <c r="W45" s="87">
        <f t="shared" si="103"/>
        <v>3676</v>
      </c>
      <c r="X45" s="86">
        <f>'PVAMU FGD'!$M63</f>
        <v>22197811</v>
      </c>
      <c r="Y45" s="87">
        <f t="shared" si="104"/>
        <v>2751</v>
      </c>
      <c r="Z45" s="86">
        <f>'TARLST FGD'!$M63</f>
        <v>22255061</v>
      </c>
      <c r="AA45" s="87">
        <f t="shared" si="105"/>
        <v>1926</v>
      </c>
      <c r="AB45" s="86">
        <f>'TAMUCC FGD'!$M63</f>
        <v>31421664</v>
      </c>
      <c r="AC45" s="87">
        <f t="shared" si="106"/>
        <v>3366</v>
      </c>
      <c r="AD45" s="86">
        <f>'TAMUK FGD'!$M63</f>
        <v>12607756</v>
      </c>
      <c r="AE45" s="87">
        <f t="shared" si="107"/>
        <v>2245</v>
      </c>
      <c r="AF45" s="86">
        <f>'TAMUCT FGD'!$M63</f>
        <v>5750444</v>
      </c>
      <c r="AG45" s="87">
        <f t="shared" si="108"/>
        <v>3578</v>
      </c>
      <c r="AH45" s="86">
        <f>'TAMUSA FGD'!$M63</f>
        <v>6193436</v>
      </c>
      <c r="AI45" s="87">
        <f t="shared" si="109"/>
        <v>1300</v>
      </c>
      <c r="AJ45" s="86">
        <f>'TAMIU FGD'!$M63</f>
        <v>19230853</v>
      </c>
      <c r="AK45" s="87">
        <f t="shared" si="110"/>
        <v>2762</v>
      </c>
      <c r="AL45" s="86">
        <f>'WTAMU FGD'!$M63</f>
        <v>16987660</v>
      </c>
      <c r="AM45" s="87">
        <f t="shared" si="111"/>
        <v>2199</v>
      </c>
      <c r="AN45" s="86">
        <f>'TAMUC FGD'!$M63</f>
        <v>16210496</v>
      </c>
      <c r="AO45" s="87">
        <f t="shared" si="112"/>
        <v>1741</v>
      </c>
      <c r="AP45" s="86">
        <f>'TAMUT FGD'!$M63</f>
        <v>4250274</v>
      </c>
      <c r="AQ45" s="87">
        <f t="shared" si="113"/>
        <v>2574</v>
      </c>
      <c r="AR45" s="86">
        <f>'UH1 FGD'!$M63</f>
        <v>179930717</v>
      </c>
      <c r="AS45" s="87">
        <f t="shared" si="114"/>
        <v>4464</v>
      </c>
      <c r="AT45" s="86">
        <f>'UHCL FGD'!$M63</f>
        <v>30982166</v>
      </c>
      <c r="AU45" s="87">
        <f t="shared" si="115"/>
        <v>4581</v>
      </c>
      <c r="AV45" s="86">
        <f>'UHD FGD'!$M63</f>
        <v>35044021</v>
      </c>
      <c r="AW45" s="87">
        <f t="shared" si="116"/>
        <v>3131</v>
      </c>
      <c r="AX45" s="86">
        <f>'UHV FGD'!$M63</f>
        <v>14197430</v>
      </c>
      <c r="AY45" s="87">
        <f t="shared" si="117"/>
        <v>3939</v>
      </c>
      <c r="AZ45" s="86">
        <f>'LU FGD'!$M63</f>
        <v>47163895</v>
      </c>
      <c r="BA45" s="87">
        <f t="shared" si="118"/>
        <v>3489</v>
      </c>
      <c r="BB45" s="86">
        <f>'shsu1 FGD'!$M63</f>
        <v>45409150</v>
      </c>
      <c r="BC45" s="87">
        <f t="shared" si="119"/>
        <v>2581</v>
      </c>
      <c r="BD45" s="86">
        <f>'TXST FGD'!$M63</f>
        <v>40428154</v>
      </c>
      <c r="BE45" s="87">
        <f t="shared" si="120"/>
        <v>1292</v>
      </c>
      <c r="BF45" s="86">
        <f>'SRSU FGD'!$M63</f>
        <v>4136916</v>
      </c>
      <c r="BG45" s="87">
        <f t="shared" si="121"/>
        <v>2416</v>
      </c>
      <c r="BH45" s="86">
        <f>'TTU FGD'!$M63</f>
        <v>86733482</v>
      </c>
      <c r="BI45" s="87">
        <f t="shared" si="122"/>
        <v>2407</v>
      </c>
      <c r="BJ45" s="86">
        <f>'ASU FGD'!$M63</f>
        <v>6954976</v>
      </c>
      <c r="BK45" s="87">
        <f t="shared" si="123"/>
        <v>913</v>
      </c>
      <c r="BL45" s="86">
        <f>'UNT FGD'!$M63</f>
        <v>56259145</v>
      </c>
      <c r="BM45" s="87">
        <f t="shared" si="124"/>
        <v>1620</v>
      </c>
      <c r="BN45" s="86">
        <f>'UNTD FGD'!$M63</f>
        <v>4538691</v>
      </c>
      <c r="BO45" s="87">
        <f t="shared" si="125"/>
        <v>1310</v>
      </c>
      <c r="BP45" s="86">
        <f>'MidWST FGD'!$M63</f>
        <v>10430436</v>
      </c>
      <c r="BQ45" s="87">
        <f t="shared" si="126"/>
        <v>2413</v>
      </c>
      <c r="BR45" s="86">
        <f>'SFA FGD'!$M63</f>
        <v>16382558</v>
      </c>
      <c r="BS45" s="87">
        <f t="shared" si="127"/>
        <v>1580</v>
      </c>
      <c r="BT45" s="86">
        <f>'TSU FGD'!$M63</f>
        <v>11715380</v>
      </c>
      <c r="BU45" s="87">
        <f t="shared" si="128"/>
        <v>1818</v>
      </c>
      <c r="BV45" s="86">
        <f>'TWU FGD'!$M63</f>
        <v>29599978</v>
      </c>
      <c r="BW45" s="87">
        <f t="shared" si="129"/>
        <v>2272</v>
      </c>
      <c r="BX45" s="85"/>
      <c r="BY45" s="85"/>
      <c r="BZ45" s="85"/>
      <c r="CA45" s="85"/>
      <c r="CB45" s="85"/>
      <c r="CC45" s="85"/>
      <c r="CD45" s="85"/>
      <c r="CE45" s="85"/>
      <c r="CF45" s="85"/>
      <c r="CG45" s="85"/>
      <c r="CH45" s="85"/>
      <c r="CI45" s="85"/>
      <c r="CJ45" s="85"/>
      <c r="CK45" s="85"/>
      <c r="CL45" s="85"/>
      <c r="CM45" s="85"/>
    </row>
    <row r="46" spans="1:91">
      <c r="A46" s="99" t="s">
        <v>18</v>
      </c>
      <c r="B46" s="86">
        <f t="shared" si="92"/>
        <v>812823065</v>
      </c>
      <c r="C46" s="87">
        <f t="shared" si="93"/>
        <v>1445</v>
      </c>
      <c r="D46" s="86">
        <f>'ARL FGD'!$M64</f>
        <v>86706832</v>
      </c>
      <c r="E46" s="87">
        <f t="shared" si="94"/>
        <v>2523</v>
      </c>
      <c r="F46" s="86">
        <f>'AUS1 FGD'!$M64</f>
        <v>41791895</v>
      </c>
      <c r="G46" s="87">
        <f t="shared" si="95"/>
        <v>879</v>
      </c>
      <c r="H46" s="86">
        <f>'DAL FGD'!$M64</f>
        <v>17966833</v>
      </c>
      <c r="I46" s="87">
        <f t="shared" si="96"/>
        <v>743</v>
      </c>
      <c r="J46" s="86">
        <f>'E-P FGD'!$M64</f>
        <v>28270762</v>
      </c>
      <c r="K46" s="87">
        <f t="shared" si="97"/>
        <v>1451</v>
      </c>
      <c r="L46" s="86">
        <f>'RGV1 FGD'!$M64</f>
        <v>39240357</v>
      </c>
      <c r="M46" s="87">
        <f t="shared" si="98"/>
        <v>1383</v>
      </c>
      <c r="N46" s="86">
        <f>'P-B FGD'!$M64</f>
        <v>3444460</v>
      </c>
      <c r="O46" s="87">
        <f t="shared" si="99"/>
        <v>809</v>
      </c>
      <c r="P46" s="86">
        <f>'S-A FGD'!$M64</f>
        <v>30539304</v>
      </c>
      <c r="Q46" s="87">
        <f t="shared" si="100"/>
        <v>1075</v>
      </c>
      <c r="R46" s="86">
        <f>'TYL FGD'!$M64</f>
        <v>12914306</v>
      </c>
      <c r="S46" s="87">
        <f t="shared" si="101"/>
        <v>1698</v>
      </c>
      <c r="T46" s="86">
        <f>'TAMU FGD'!$M64</f>
        <v>82192718</v>
      </c>
      <c r="U46" s="87">
        <f t="shared" si="102"/>
        <v>1413</v>
      </c>
      <c r="V46" s="86">
        <f>'TAMUG FGD'!$M64</f>
        <v>3191340</v>
      </c>
      <c r="W46" s="87">
        <f t="shared" si="103"/>
        <v>1842</v>
      </c>
      <c r="X46" s="86">
        <f>'PVAMU FGD'!$M64</f>
        <v>19506425</v>
      </c>
      <c r="Y46" s="87">
        <f t="shared" si="104"/>
        <v>2417</v>
      </c>
      <c r="Z46" s="86">
        <f>'TARLST FGD'!$M64</f>
        <v>12552752</v>
      </c>
      <c r="AA46" s="87">
        <f t="shared" si="105"/>
        <v>1086</v>
      </c>
      <c r="AB46" s="86">
        <f>'TAMUCC FGD'!$M64</f>
        <v>13520213</v>
      </c>
      <c r="AC46" s="87">
        <f t="shared" si="106"/>
        <v>1448</v>
      </c>
      <c r="AD46" s="86">
        <f>'TAMUK FGD'!$M64</f>
        <v>13277146</v>
      </c>
      <c r="AE46" s="87">
        <f t="shared" si="107"/>
        <v>2364</v>
      </c>
      <c r="AF46" s="86">
        <f>'TAMUCT FGD'!$M64</f>
        <v>5704958</v>
      </c>
      <c r="AG46" s="87">
        <f t="shared" si="108"/>
        <v>3550</v>
      </c>
      <c r="AH46" s="86">
        <f>'TAMUSA FGD'!$M64</f>
        <v>18150997</v>
      </c>
      <c r="AI46" s="87">
        <f t="shared" si="109"/>
        <v>3811</v>
      </c>
      <c r="AJ46" s="86">
        <f>'TAMIU FGD'!$M64</f>
        <v>8129536</v>
      </c>
      <c r="AK46" s="87">
        <f t="shared" si="110"/>
        <v>1168</v>
      </c>
      <c r="AL46" s="86">
        <f>'WTAMU FGD'!$M64</f>
        <v>11154760</v>
      </c>
      <c r="AM46" s="87">
        <f t="shared" si="111"/>
        <v>1444</v>
      </c>
      <c r="AN46" s="86">
        <f>'TAMUC FGD'!$M64</f>
        <v>16432661</v>
      </c>
      <c r="AO46" s="87">
        <f t="shared" si="112"/>
        <v>1765</v>
      </c>
      <c r="AP46" s="86">
        <f>'TAMUT FGD'!$M64</f>
        <v>4390762</v>
      </c>
      <c r="AQ46" s="87">
        <f t="shared" si="113"/>
        <v>2659</v>
      </c>
      <c r="AR46" s="86">
        <f>'UH1 FGD'!$M64</f>
        <v>38192008</v>
      </c>
      <c r="AS46" s="87">
        <f t="shared" si="114"/>
        <v>947</v>
      </c>
      <c r="AT46" s="86">
        <f>'UHCL FGD'!$M64</f>
        <v>8048828</v>
      </c>
      <c r="AU46" s="87">
        <f t="shared" si="115"/>
        <v>1190</v>
      </c>
      <c r="AV46" s="86">
        <f>'UHD FGD'!$M64</f>
        <v>7179409</v>
      </c>
      <c r="AW46" s="87">
        <f t="shared" si="116"/>
        <v>641</v>
      </c>
      <c r="AX46" s="86">
        <f>'UHV FGD'!$M64</f>
        <v>7050629</v>
      </c>
      <c r="AY46" s="87">
        <f t="shared" si="117"/>
        <v>1956</v>
      </c>
      <c r="AZ46" s="86">
        <f>'LU FGD'!$M64</f>
        <v>9181241</v>
      </c>
      <c r="BA46" s="87">
        <f t="shared" si="118"/>
        <v>679</v>
      </c>
      <c r="BB46" s="86">
        <f>'shsu1 FGD'!$M64</f>
        <v>27978543</v>
      </c>
      <c r="BC46" s="87">
        <f t="shared" si="119"/>
        <v>1590</v>
      </c>
      <c r="BD46" s="86">
        <f>'TXST FGD'!$M64</f>
        <v>32153801</v>
      </c>
      <c r="BE46" s="87">
        <f t="shared" si="120"/>
        <v>1027</v>
      </c>
      <c r="BF46" s="86">
        <f>'SRSU FGD'!$M64</f>
        <v>3934229</v>
      </c>
      <c r="BG46" s="87">
        <f t="shared" si="121"/>
        <v>2297</v>
      </c>
      <c r="BH46" s="86">
        <f>'TTU FGD'!$M64</f>
        <v>50367868</v>
      </c>
      <c r="BI46" s="87">
        <f t="shared" si="122"/>
        <v>1398</v>
      </c>
      <c r="BJ46" s="86">
        <f>'ASU FGD'!$M64</f>
        <v>9051053</v>
      </c>
      <c r="BK46" s="87">
        <f t="shared" si="123"/>
        <v>1188</v>
      </c>
      <c r="BL46" s="86">
        <f>'UNT FGD'!$M64</f>
        <v>77644576</v>
      </c>
      <c r="BM46" s="87">
        <f t="shared" si="124"/>
        <v>2236</v>
      </c>
      <c r="BN46" s="86">
        <f>'UNTD FGD'!$M64</f>
        <v>8869650</v>
      </c>
      <c r="BO46" s="87">
        <f t="shared" si="125"/>
        <v>2560</v>
      </c>
      <c r="BP46" s="86">
        <f>'MidWST FGD'!$M64</f>
        <v>13652149</v>
      </c>
      <c r="BQ46" s="87">
        <f t="shared" si="126"/>
        <v>3159</v>
      </c>
      <c r="BR46" s="86">
        <f>'SFA FGD'!$M64</f>
        <v>23128753</v>
      </c>
      <c r="BS46" s="87">
        <f t="shared" si="127"/>
        <v>2231</v>
      </c>
      <c r="BT46" s="86">
        <f>'TSU FGD'!$M64</f>
        <v>14886580</v>
      </c>
      <c r="BU46" s="87">
        <f t="shared" si="128"/>
        <v>2310</v>
      </c>
      <c r="BV46" s="86">
        <f>'TWU FGD'!$M64</f>
        <v>12424731</v>
      </c>
      <c r="BW46" s="87">
        <f t="shared" si="129"/>
        <v>954</v>
      </c>
      <c r="BX46" s="85"/>
      <c r="BY46" s="85"/>
      <c r="BZ46" s="85"/>
      <c r="CA46" s="85"/>
      <c r="CB46" s="85"/>
      <c r="CC46" s="85"/>
      <c r="CD46" s="85"/>
      <c r="CE46" s="85"/>
      <c r="CF46" s="85"/>
      <c r="CG46" s="85"/>
      <c r="CH46" s="85"/>
      <c r="CI46" s="85"/>
      <c r="CJ46" s="85"/>
      <c r="CK46" s="85"/>
      <c r="CL46" s="85"/>
      <c r="CM46" s="85"/>
    </row>
    <row r="47" spans="1:91">
      <c r="A47" s="99" t="s">
        <v>19</v>
      </c>
      <c r="B47" s="86">
        <f t="shared" si="92"/>
        <v>1144320024</v>
      </c>
      <c r="C47" s="87">
        <f t="shared" si="93"/>
        <v>2034</v>
      </c>
      <c r="D47" s="86">
        <f>'ARL FGD'!$M65</f>
        <v>49489123</v>
      </c>
      <c r="E47" s="87">
        <f t="shared" si="94"/>
        <v>1440</v>
      </c>
      <c r="F47" s="86">
        <f>'AUS1 FGD'!$M65</f>
        <v>212882791</v>
      </c>
      <c r="G47" s="87">
        <f t="shared" si="95"/>
        <v>4478</v>
      </c>
      <c r="H47" s="86">
        <f>'DAL FGD'!$M65</f>
        <v>34647797</v>
      </c>
      <c r="I47" s="87">
        <f t="shared" si="96"/>
        <v>1434</v>
      </c>
      <c r="J47" s="86">
        <f>'E-P FGD'!$M65</f>
        <v>31762240</v>
      </c>
      <c r="K47" s="87">
        <f t="shared" si="97"/>
        <v>1630</v>
      </c>
      <c r="L47" s="86">
        <f>'RGV1 FGD'!$M65</f>
        <v>37604861</v>
      </c>
      <c r="M47" s="87">
        <f t="shared" si="98"/>
        <v>1325</v>
      </c>
      <c r="N47" s="86">
        <f>'P-B FGD'!$M65</f>
        <v>11662236</v>
      </c>
      <c r="O47" s="87">
        <f t="shared" si="99"/>
        <v>2740</v>
      </c>
      <c r="P47" s="86">
        <f>'S-A FGD'!$M65</f>
        <v>42934639</v>
      </c>
      <c r="Q47" s="87">
        <f t="shared" si="100"/>
        <v>1512</v>
      </c>
      <c r="R47" s="86">
        <f>'TYL FGD'!$M65</f>
        <v>14087587</v>
      </c>
      <c r="S47" s="87">
        <f t="shared" si="101"/>
        <v>1852</v>
      </c>
      <c r="T47" s="86">
        <f>'TAMU FGD'!$M65</f>
        <v>87315089</v>
      </c>
      <c r="U47" s="87">
        <f t="shared" si="102"/>
        <v>1502</v>
      </c>
      <c r="V47" s="86">
        <f>'TAMUG FGD'!$M65</f>
        <v>6740760</v>
      </c>
      <c r="W47" s="87">
        <f t="shared" si="103"/>
        <v>3890</v>
      </c>
      <c r="X47" s="86">
        <f>'PVAMU FGD'!$M65</f>
        <v>19209918</v>
      </c>
      <c r="Y47" s="87">
        <f t="shared" si="104"/>
        <v>2381</v>
      </c>
      <c r="Z47" s="86">
        <f>'TARLST FGD'!$M65</f>
        <v>17990353</v>
      </c>
      <c r="AA47" s="87">
        <f t="shared" si="105"/>
        <v>1557</v>
      </c>
      <c r="AB47" s="86">
        <f>'TAMUCC FGD'!$M65</f>
        <v>15295194</v>
      </c>
      <c r="AC47" s="87">
        <f t="shared" si="106"/>
        <v>1638</v>
      </c>
      <c r="AD47" s="86">
        <f>'TAMUK FGD'!$M65</f>
        <v>11394161</v>
      </c>
      <c r="AE47" s="87">
        <f t="shared" si="107"/>
        <v>2029</v>
      </c>
      <c r="AF47" s="86">
        <f>'TAMUCT FGD'!$M65</f>
        <v>4251515</v>
      </c>
      <c r="AG47" s="87">
        <f t="shared" si="108"/>
        <v>2646</v>
      </c>
      <c r="AH47" s="86">
        <f>'TAMUSA FGD'!$M65</f>
        <v>13732086</v>
      </c>
      <c r="AI47" s="87">
        <f t="shared" si="109"/>
        <v>2883</v>
      </c>
      <c r="AJ47" s="86">
        <f>'TAMIU FGD'!$M65</f>
        <v>7056819</v>
      </c>
      <c r="AK47" s="87">
        <f t="shared" si="110"/>
        <v>1014</v>
      </c>
      <c r="AL47" s="86">
        <f>'WTAMU FGD'!$M65</f>
        <v>13231196</v>
      </c>
      <c r="AM47" s="87">
        <f t="shared" si="111"/>
        <v>1713</v>
      </c>
      <c r="AN47" s="86">
        <f>'TAMUC FGD'!$M65</f>
        <v>12671933</v>
      </c>
      <c r="AO47" s="87">
        <f t="shared" si="112"/>
        <v>1361</v>
      </c>
      <c r="AP47" s="86">
        <f>'TAMUT FGD'!$M65</f>
        <v>4818785</v>
      </c>
      <c r="AQ47" s="87">
        <f t="shared" si="113"/>
        <v>2918</v>
      </c>
      <c r="AR47" s="86">
        <f>'UH1 FGD'!$M65</f>
        <v>85318060</v>
      </c>
      <c r="AS47" s="87">
        <f t="shared" si="114"/>
        <v>2117</v>
      </c>
      <c r="AT47" s="86">
        <f>'UHCL FGD'!$M65</f>
        <v>17684701</v>
      </c>
      <c r="AU47" s="87">
        <f t="shared" si="115"/>
        <v>2615</v>
      </c>
      <c r="AV47" s="86">
        <f>'UHD FGD'!$M65</f>
        <v>24022615</v>
      </c>
      <c r="AW47" s="87">
        <f t="shared" si="116"/>
        <v>2146</v>
      </c>
      <c r="AX47" s="86">
        <f>'UHV FGD'!$M65</f>
        <v>5897596</v>
      </c>
      <c r="AY47" s="87">
        <f t="shared" si="117"/>
        <v>1636</v>
      </c>
      <c r="AZ47" s="86">
        <f>'LU FGD'!$M65</f>
        <v>32163493</v>
      </c>
      <c r="BA47" s="87">
        <f t="shared" si="118"/>
        <v>2380</v>
      </c>
      <c r="BB47" s="86">
        <f>'shsu1 FGD'!$M65</f>
        <v>24667154</v>
      </c>
      <c r="BC47" s="87">
        <f t="shared" si="119"/>
        <v>1402</v>
      </c>
      <c r="BD47" s="86">
        <f>'TXST FGD'!$M65</f>
        <v>39713377</v>
      </c>
      <c r="BE47" s="87">
        <f t="shared" si="120"/>
        <v>1269</v>
      </c>
      <c r="BF47" s="86">
        <f>'SRSU FGD'!$M65</f>
        <v>13772449</v>
      </c>
      <c r="BG47" s="87">
        <f t="shared" si="121"/>
        <v>8042</v>
      </c>
      <c r="BH47" s="86">
        <f>'TTU FGD'!$M65</f>
        <v>47908596</v>
      </c>
      <c r="BI47" s="87">
        <f t="shared" si="122"/>
        <v>1329</v>
      </c>
      <c r="BJ47" s="86">
        <f>'ASU FGD'!$M65</f>
        <v>18062079</v>
      </c>
      <c r="BK47" s="87">
        <f t="shared" si="123"/>
        <v>2371</v>
      </c>
      <c r="BL47" s="86">
        <f>'UNT FGD'!$M65</f>
        <v>50738106</v>
      </c>
      <c r="BM47" s="87">
        <f t="shared" si="124"/>
        <v>1461</v>
      </c>
      <c r="BN47" s="86">
        <f>'UNTD FGD'!$M65</f>
        <v>7524014</v>
      </c>
      <c r="BO47" s="87">
        <f t="shared" si="125"/>
        <v>2172</v>
      </c>
      <c r="BP47" s="86">
        <f>'MidWST FGD'!$M65</f>
        <v>8691710</v>
      </c>
      <c r="BQ47" s="87">
        <f t="shared" si="126"/>
        <v>2011</v>
      </c>
      <c r="BR47" s="86">
        <f>'SFA FGD'!$M65</f>
        <v>34770654</v>
      </c>
      <c r="BS47" s="87">
        <f t="shared" si="127"/>
        <v>3353</v>
      </c>
      <c r="BT47" s="86">
        <f>'TSU FGD'!$M65</f>
        <v>53515854</v>
      </c>
      <c r="BU47" s="87">
        <f t="shared" si="128"/>
        <v>8303</v>
      </c>
      <c r="BV47" s="86">
        <f>'TWU FGD'!$M65</f>
        <v>31090483</v>
      </c>
      <c r="BW47" s="87">
        <f t="shared" si="129"/>
        <v>2387</v>
      </c>
      <c r="BX47" s="85"/>
      <c r="BY47" s="85"/>
      <c r="BZ47" s="85"/>
      <c r="CA47" s="85"/>
      <c r="CB47" s="85"/>
      <c r="CC47" s="85"/>
      <c r="CD47" s="85"/>
      <c r="CE47" s="85"/>
      <c r="CF47" s="85"/>
      <c r="CG47" s="85"/>
      <c r="CH47" s="85"/>
      <c r="CI47" s="85"/>
      <c r="CJ47" s="85"/>
      <c r="CK47" s="85"/>
      <c r="CL47" s="85"/>
      <c r="CM47" s="85"/>
    </row>
    <row r="48" spans="1:91">
      <c r="A48" s="99" t="s">
        <v>20</v>
      </c>
      <c r="B48" s="86">
        <f t="shared" si="92"/>
        <v>1071608280</v>
      </c>
      <c r="C48" s="87">
        <f t="shared" si="93"/>
        <v>1904</v>
      </c>
      <c r="D48" s="86">
        <f>'ARL FGD'!$M66</f>
        <v>41926574</v>
      </c>
      <c r="E48" s="87">
        <f t="shared" si="94"/>
        <v>1220</v>
      </c>
      <c r="F48" s="86">
        <f>'AUS1 FGD'!$M66</f>
        <v>198273240</v>
      </c>
      <c r="G48" s="87">
        <f t="shared" si="95"/>
        <v>4171</v>
      </c>
      <c r="H48" s="86">
        <f>'DAL FGD'!$M66</f>
        <v>54577186</v>
      </c>
      <c r="I48" s="87">
        <f t="shared" si="96"/>
        <v>2258</v>
      </c>
      <c r="J48" s="86">
        <f>'E-P FGD'!$M66</f>
        <v>28976151</v>
      </c>
      <c r="K48" s="87">
        <f t="shared" si="97"/>
        <v>1487</v>
      </c>
      <c r="L48" s="86">
        <f>'RGV1 FGD'!$M66</f>
        <v>36438488</v>
      </c>
      <c r="M48" s="87">
        <f t="shared" si="98"/>
        <v>1284</v>
      </c>
      <c r="N48" s="86">
        <f>'P-B FGD'!$M66</f>
        <v>10219299</v>
      </c>
      <c r="O48" s="87">
        <f t="shared" si="99"/>
        <v>2401</v>
      </c>
      <c r="P48" s="86">
        <f>'S-A FGD'!$M66</f>
        <v>40644000</v>
      </c>
      <c r="Q48" s="87">
        <f t="shared" si="100"/>
        <v>1431</v>
      </c>
      <c r="R48" s="86">
        <f>'TYL FGD'!$M66</f>
        <v>12975080</v>
      </c>
      <c r="S48" s="87">
        <f t="shared" si="101"/>
        <v>1706</v>
      </c>
      <c r="T48" s="86">
        <f>'TAMU FGD'!$M66</f>
        <v>173807317</v>
      </c>
      <c r="U48" s="87">
        <f t="shared" si="102"/>
        <v>2989</v>
      </c>
      <c r="V48" s="86">
        <f>'TAMUG FGD'!$M66</f>
        <v>7301557</v>
      </c>
      <c r="W48" s="87">
        <f t="shared" si="103"/>
        <v>4214</v>
      </c>
      <c r="X48" s="86">
        <f>'PVAMU FGD'!$M66</f>
        <v>22274123</v>
      </c>
      <c r="Y48" s="87">
        <f t="shared" si="104"/>
        <v>2760</v>
      </c>
      <c r="Z48" s="86">
        <f>'TARLST FGD'!$M66</f>
        <v>12241516</v>
      </c>
      <c r="AA48" s="87">
        <f t="shared" si="105"/>
        <v>1059</v>
      </c>
      <c r="AB48" s="86">
        <f>'TAMUCC FGD'!$M66</f>
        <v>13306374</v>
      </c>
      <c r="AC48" s="87">
        <f t="shared" si="106"/>
        <v>1425</v>
      </c>
      <c r="AD48" s="86">
        <f>'TAMUK FGD'!$M66</f>
        <v>12419709</v>
      </c>
      <c r="AE48" s="87">
        <f t="shared" si="107"/>
        <v>2211</v>
      </c>
      <c r="AF48" s="86">
        <f>'TAMUCT FGD'!$M66</f>
        <v>2329908</v>
      </c>
      <c r="AG48" s="87">
        <f t="shared" si="108"/>
        <v>1450</v>
      </c>
      <c r="AH48" s="86">
        <f>'TAMUSA FGD'!$M66</f>
        <v>7130079</v>
      </c>
      <c r="AI48" s="87">
        <f t="shared" si="109"/>
        <v>1497</v>
      </c>
      <c r="AJ48" s="86">
        <f>'TAMIU FGD'!$M66</f>
        <v>14202881</v>
      </c>
      <c r="AK48" s="87">
        <f t="shared" si="110"/>
        <v>2040</v>
      </c>
      <c r="AL48" s="86">
        <f>'WTAMU FGD'!$M66</f>
        <v>19976237</v>
      </c>
      <c r="AM48" s="87">
        <f t="shared" si="111"/>
        <v>2586</v>
      </c>
      <c r="AN48" s="86">
        <f>'TAMUC FGD'!$M66</f>
        <v>15761447</v>
      </c>
      <c r="AO48" s="87">
        <f t="shared" si="112"/>
        <v>1693</v>
      </c>
      <c r="AP48" s="86">
        <f>'TAMUT FGD'!$M66</f>
        <v>2363504</v>
      </c>
      <c r="AQ48" s="87">
        <f t="shared" si="113"/>
        <v>1431</v>
      </c>
      <c r="AR48" s="86">
        <f>'UH1 FGD'!$M66</f>
        <v>59357962</v>
      </c>
      <c r="AS48" s="87">
        <f t="shared" si="114"/>
        <v>1473</v>
      </c>
      <c r="AT48" s="86">
        <f>'UHCL FGD'!$M66</f>
        <v>9945266</v>
      </c>
      <c r="AU48" s="87">
        <f t="shared" si="115"/>
        <v>1471</v>
      </c>
      <c r="AV48" s="86">
        <f>'UHD FGD'!$M66</f>
        <v>8426679</v>
      </c>
      <c r="AW48" s="87">
        <f t="shared" si="116"/>
        <v>753</v>
      </c>
      <c r="AX48" s="86">
        <f>'UHV FGD'!$M66</f>
        <v>3254513</v>
      </c>
      <c r="AY48" s="87">
        <f t="shared" si="117"/>
        <v>903</v>
      </c>
      <c r="AZ48" s="86">
        <f>'LU FGD'!$M66</f>
        <v>13795553</v>
      </c>
      <c r="BA48" s="87">
        <f t="shared" si="118"/>
        <v>1021</v>
      </c>
      <c r="BB48" s="86">
        <f>'shsu1 FGD'!$M66</f>
        <v>24366699</v>
      </c>
      <c r="BC48" s="87">
        <f t="shared" si="119"/>
        <v>1385</v>
      </c>
      <c r="BD48" s="86">
        <f>'TXST FGD'!$M66</f>
        <v>50015180</v>
      </c>
      <c r="BE48" s="87">
        <f t="shared" si="120"/>
        <v>1598</v>
      </c>
      <c r="BF48" s="86">
        <f>'SRSU FGD'!$M66</f>
        <v>5347313</v>
      </c>
      <c r="BG48" s="87">
        <f t="shared" si="121"/>
        <v>3123</v>
      </c>
      <c r="BH48" s="86">
        <f>'TTU FGD'!$M66</f>
        <v>52975607</v>
      </c>
      <c r="BI48" s="87">
        <f t="shared" si="122"/>
        <v>1470</v>
      </c>
      <c r="BJ48" s="86">
        <f>'ASU FGD'!$M66</f>
        <v>7507723</v>
      </c>
      <c r="BK48" s="87">
        <f t="shared" si="123"/>
        <v>986</v>
      </c>
      <c r="BL48" s="86">
        <f>'UNT FGD'!$M66</f>
        <v>41696365</v>
      </c>
      <c r="BM48" s="87">
        <f t="shared" si="124"/>
        <v>1201</v>
      </c>
      <c r="BN48" s="86">
        <f>'UNTD FGD'!$M66</f>
        <v>6142514</v>
      </c>
      <c r="BO48" s="87">
        <f t="shared" si="125"/>
        <v>1773</v>
      </c>
      <c r="BP48" s="86">
        <f>'MidWST FGD'!$M66</f>
        <v>7303151</v>
      </c>
      <c r="BQ48" s="87">
        <f t="shared" si="126"/>
        <v>1690</v>
      </c>
      <c r="BR48" s="86">
        <f>'SFA FGD'!$M66</f>
        <v>17083626</v>
      </c>
      <c r="BS48" s="87">
        <f t="shared" si="127"/>
        <v>1648</v>
      </c>
      <c r="BT48" s="86">
        <f>'TSU FGD'!$M66</f>
        <v>14101852</v>
      </c>
      <c r="BU48" s="87">
        <f t="shared" si="128"/>
        <v>2188</v>
      </c>
      <c r="BV48" s="86">
        <f>'TWU FGD'!$M66</f>
        <v>23143607</v>
      </c>
      <c r="BW48" s="87">
        <f t="shared" si="129"/>
        <v>1777</v>
      </c>
      <c r="BX48" s="85"/>
      <c r="BY48" s="85"/>
      <c r="BZ48" s="85"/>
      <c r="CA48" s="85"/>
      <c r="CB48" s="85"/>
      <c r="CC48" s="85"/>
      <c r="CD48" s="85"/>
      <c r="CE48" s="85"/>
      <c r="CF48" s="85"/>
      <c r="CG48" s="85"/>
      <c r="CH48" s="85"/>
      <c r="CI48" s="85"/>
      <c r="CJ48" s="85"/>
      <c r="CK48" s="85"/>
      <c r="CL48" s="85"/>
      <c r="CM48" s="85"/>
    </row>
    <row r="49" spans="1:91">
      <c r="A49" s="99" t="s">
        <v>21</v>
      </c>
      <c r="B49" s="86">
        <f t="shared" si="92"/>
        <v>1695530314</v>
      </c>
      <c r="C49" s="87">
        <f t="shared" si="93"/>
        <v>3013</v>
      </c>
      <c r="D49" s="86">
        <f>'ARL FGD'!$M67</f>
        <v>86880446</v>
      </c>
      <c r="E49" s="87">
        <f t="shared" si="94"/>
        <v>2528</v>
      </c>
      <c r="F49" s="86">
        <f>'AUS1 FGD'!$M67</f>
        <v>169315589</v>
      </c>
      <c r="G49" s="87">
        <f t="shared" si="95"/>
        <v>3562</v>
      </c>
      <c r="H49" s="86">
        <f>'DAL FGD'!$M67</f>
        <v>60963339</v>
      </c>
      <c r="I49" s="87">
        <f t="shared" si="96"/>
        <v>2522</v>
      </c>
      <c r="J49" s="86">
        <f>'E-P FGD'!$M67</f>
        <v>108022906</v>
      </c>
      <c r="K49" s="87">
        <f t="shared" si="97"/>
        <v>5543</v>
      </c>
      <c r="L49" s="86">
        <f>'RGV1 FGD'!$M67</f>
        <v>115566705</v>
      </c>
      <c r="M49" s="87">
        <f t="shared" si="98"/>
        <v>4072</v>
      </c>
      <c r="N49" s="86">
        <f>'P-B FGD'!$M67</f>
        <v>11621692</v>
      </c>
      <c r="O49" s="87">
        <f t="shared" si="99"/>
        <v>2731</v>
      </c>
      <c r="P49" s="86">
        <f>'S-A FGD'!$M67</f>
        <v>86093922</v>
      </c>
      <c r="Q49" s="87">
        <f t="shared" si="100"/>
        <v>3032</v>
      </c>
      <c r="R49" s="86">
        <f>'TYL FGD'!$M67</f>
        <v>13893217</v>
      </c>
      <c r="S49" s="87">
        <f t="shared" si="101"/>
        <v>1826</v>
      </c>
      <c r="T49" s="86">
        <f>'TAMU FGD'!$M67</f>
        <v>141370145</v>
      </c>
      <c r="U49" s="87">
        <f t="shared" si="102"/>
        <v>2431</v>
      </c>
      <c r="V49" s="86">
        <f>'TAMUG FGD'!$M67</f>
        <v>2894109</v>
      </c>
      <c r="W49" s="87">
        <f t="shared" si="103"/>
        <v>1670</v>
      </c>
      <c r="X49" s="86">
        <f>'PVAMU FGD'!$M67</f>
        <v>75217093</v>
      </c>
      <c r="Y49" s="87">
        <f t="shared" si="104"/>
        <v>9321</v>
      </c>
      <c r="Z49" s="86">
        <f>'TARLST FGD'!$M67</f>
        <v>33469302</v>
      </c>
      <c r="AA49" s="87">
        <f t="shared" si="105"/>
        <v>2896</v>
      </c>
      <c r="AB49" s="86">
        <f>'TAMUCC FGD'!$M67</f>
        <v>36242293</v>
      </c>
      <c r="AC49" s="87">
        <f t="shared" si="106"/>
        <v>3882</v>
      </c>
      <c r="AD49" s="86">
        <f>'TAMUK FGD'!$M67</f>
        <v>17085572</v>
      </c>
      <c r="AE49" s="87">
        <f t="shared" si="107"/>
        <v>3042</v>
      </c>
      <c r="AF49" s="86">
        <f>'TAMUCT FGD'!$M67</f>
        <v>3828798</v>
      </c>
      <c r="AG49" s="87">
        <f t="shared" si="108"/>
        <v>2383</v>
      </c>
      <c r="AH49" s="86">
        <f>'TAMUSA FGD'!$M67</f>
        <v>21763866</v>
      </c>
      <c r="AI49" s="87">
        <f t="shared" si="109"/>
        <v>4569</v>
      </c>
      <c r="AJ49" s="86">
        <f>'TAMIU FGD'!$M67</f>
        <v>29744153</v>
      </c>
      <c r="AK49" s="87">
        <f t="shared" si="110"/>
        <v>4272</v>
      </c>
      <c r="AL49" s="86">
        <f>'WTAMU FGD'!$M67</f>
        <v>16726818</v>
      </c>
      <c r="AM49" s="87">
        <f t="shared" si="111"/>
        <v>2165</v>
      </c>
      <c r="AN49" s="86">
        <f>'TAMUC FGD'!$M67</f>
        <v>23934325</v>
      </c>
      <c r="AO49" s="87">
        <f t="shared" si="112"/>
        <v>2570</v>
      </c>
      <c r="AP49" s="86">
        <f>'TAMUT FGD'!$M67</f>
        <v>4735525</v>
      </c>
      <c r="AQ49" s="87">
        <f t="shared" si="113"/>
        <v>2867</v>
      </c>
      <c r="AR49" s="86">
        <f>'UH1 FGD'!$M67</f>
        <v>78002862</v>
      </c>
      <c r="AS49" s="87">
        <f t="shared" si="114"/>
        <v>1935</v>
      </c>
      <c r="AT49" s="86">
        <f>'UHCL FGD'!$M67</f>
        <v>18580717</v>
      </c>
      <c r="AU49" s="87">
        <f t="shared" si="115"/>
        <v>2748</v>
      </c>
      <c r="AV49" s="86">
        <f>'UHD FGD'!$M67</f>
        <v>34039809</v>
      </c>
      <c r="AW49" s="87">
        <f t="shared" si="116"/>
        <v>3041</v>
      </c>
      <c r="AX49" s="86">
        <f>'UHV FGD'!$M67</f>
        <v>8876794</v>
      </c>
      <c r="AY49" s="87">
        <f t="shared" si="117"/>
        <v>2463</v>
      </c>
      <c r="AZ49" s="86">
        <f>'LU FGD'!$M67</f>
        <v>40118677</v>
      </c>
      <c r="BA49" s="87">
        <f t="shared" si="118"/>
        <v>2968</v>
      </c>
      <c r="BB49" s="86">
        <f>'shsu1 FGD'!$M67</f>
        <v>50724853</v>
      </c>
      <c r="BC49" s="87">
        <f t="shared" si="119"/>
        <v>2883</v>
      </c>
      <c r="BD49" s="86">
        <f>'TXST FGD'!$M67</f>
        <v>81474279</v>
      </c>
      <c r="BE49" s="87">
        <f t="shared" si="120"/>
        <v>2603</v>
      </c>
      <c r="BF49" s="86">
        <f>'SRSU FGD'!$M67</f>
        <v>5602061</v>
      </c>
      <c r="BG49" s="87">
        <f t="shared" si="121"/>
        <v>3271</v>
      </c>
      <c r="BH49" s="86">
        <f>'TTU FGD'!$M67</f>
        <v>66923464</v>
      </c>
      <c r="BI49" s="87">
        <f t="shared" si="122"/>
        <v>1857</v>
      </c>
      <c r="BJ49" s="86">
        <f>'ASU FGD'!$M67</f>
        <v>20011386</v>
      </c>
      <c r="BK49" s="87">
        <f t="shared" si="123"/>
        <v>2627</v>
      </c>
      <c r="BL49" s="86">
        <f>'UNT FGD'!$M67</f>
        <v>131956284</v>
      </c>
      <c r="BM49" s="87">
        <f t="shared" si="124"/>
        <v>3800</v>
      </c>
      <c r="BN49" s="86">
        <f>'UNTD FGD'!$M67</f>
        <v>16479268</v>
      </c>
      <c r="BO49" s="87">
        <f t="shared" si="125"/>
        <v>4757</v>
      </c>
      <c r="BP49" s="86">
        <f>'MidWST FGD'!$M67</f>
        <v>17262753</v>
      </c>
      <c r="BQ49" s="87">
        <f t="shared" si="126"/>
        <v>3994</v>
      </c>
      <c r="BR49" s="86">
        <f>'SFA FGD'!$M67</f>
        <v>33675827</v>
      </c>
      <c r="BS49" s="87">
        <f t="shared" si="127"/>
        <v>3248</v>
      </c>
      <c r="BT49" s="86">
        <f>'TSU FGD'!$M67</f>
        <v>27513383</v>
      </c>
      <c r="BU49" s="87">
        <f t="shared" si="128"/>
        <v>4269</v>
      </c>
      <c r="BV49" s="86">
        <f>'TWU FGD'!$M67</f>
        <v>4918082</v>
      </c>
      <c r="BW49" s="87">
        <f t="shared" si="129"/>
        <v>378</v>
      </c>
      <c r="BX49" s="85"/>
      <c r="BY49" s="85"/>
      <c r="BZ49" s="85"/>
      <c r="CA49" s="85"/>
      <c r="CB49" s="85"/>
      <c r="CC49" s="85"/>
      <c r="CD49" s="85"/>
      <c r="CE49" s="85"/>
      <c r="CF49" s="85"/>
      <c r="CG49" s="85"/>
      <c r="CH49" s="85"/>
      <c r="CI49" s="85"/>
      <c r="CJ49" s="85"/>
      <c r="CK49" s="85"/>
      <c r="CL49" s="85"/>
      <c r="CM49" s="85"/>
    </row>
    <row r="50" spans="1:91">
      <c r="A50" s="99" t="s">
        <v>2135</v>
      </c>
      <c r="B50" s="86">
        <f t="shared" si="92"/>
        <v>1429216394</v>
      </c>
      <c r="C50" s="87">
        <f t="shared" si="93"/>
        <v>2540</v>
      </c>
      <c r="D50" s="86">
        <f>'ARL FGD'!$M68</f>
        <v>50885065</v>
      </c>
      <c r="E50" s="87">
        <f t="shared" si="94"/>
        <v>1481</v>
      </c>
      <c r="F50" s="86">
        <f>'AUS1 FGD'!$M68</f>
        <v>282234421</v>
      </c>
      <c r="G50" s="87">
        <f t="shared" si="95"/>
        <v>5937</v>
      </c>
      <c r="H50" s="86">
        <f>'DAL FGD'!$M68</f>
        <v>39253057</v>
      </c>
      <c r="I50" s="87">
        <f t="shared" si="96"/>
        <v>1624</v>
      </c>
      <c r="J50" s="86">
        <f>'E-P FGD'!$M68</f>
        <v>35721794</v>
      </c>
      <c r="K50" s="87">
        <f t="shared" si="97"/>
        <v>1833</v>
      </c>
      <c r="L50" s="86">
        <f>'RGV1 FGD'!$M68</f>
        <v>23547593</v>
      </c>
      <c r="M50" s="87">
        <f t="shared" si="98"/>
        <v>830</v>
      </c>
      <c r="N50" s="86">
        <f>'P-B FGD'!$M68</f>
        <v>9498072</v>
      </c>
      <c r="O50" s="87">
        <f t="shared" si="99"/>
        <v>2232</v>
      </c>
      <c r="P50" s="86">
        <f>'S-A FGD'!$M68</f>
        <v>41166889</v>
      </c>
      <c r="Q50" s="87">
        <f t="shared" si="100"/>
        <v>1450</v>
      </c>
      <c r="R50" s="86">
        <f>'TYL FGD'!$M68</f>
        <v>12292638</v>
      </c>
      <c r="S50" s="87">
        <f t="shared" si="101"/>
        <v>1616</v>
      </c>
      <c r="T50" s="86">
        <f>'TAMU FGD'!$M68</f>
        <v>205852290</v>
      </c>
      <c r="U50" s="87">
        <f t="shared" si="102"/>
        <v>3540</v>
      </c>
      <c r="V50" s="86">
        <f>'TAMUG FGD'!$M68</f>
        <v>5110510</v>
      </c>
      <c r="W50" s="87">
        <f t="shared" si="103"/>
        <v>2949</v>
      </c>
      <c r="X50" s="86">
        <f>'PVAMU FGD'!$M68</f>
        <v>27900736</v>
      </c>
      <c r="Y50" s="87">
        <f t="shared" si="104"/>
        <v>3458</v>
      </c>
      <c r="Z50" s="86">
        <f>'TARLST FGD'!$M68</f>
        <v>38683447</v>
      </c>
      <c r="AA50" s="87">
        <f t="shared" si="105"/>
        <v>3348</v>
      </c>
      <c r="AB50" s="86">
        <f>'TAMUCC FGD'!$M68</f>
        <v>22877449</v>
      </c>
      <c r="AC50" s="87">
        <f t="shared" si="106"/>
        <v>2450</v>
      </c>
      <c r="AD50" s="86">
        <f>'TAMUK FGD'!$M68</f>
        <v>19468544</v>
      </c>
      <c r="AE50" s="87">
        <f t="shared" si="107"/>
        <v>3467</v>
      </c>
      <c r="AF50" s="86">
        <f>'TAMUCT FGD'!$M68</f>
        <v>148590</v>
      </c>
      <c r="AG50" s="87">
        <f t="shared" si="108"/>
        <v>92</v>
      </c>
      <c r="AH50" s="86">
        <f>'TAMUSA FGD'!$M68</f>
        <v>2909149</v>
      </c>
      <c r="AI50" s="87">
        <f t="shared" si="109"/>
        <v>611</v>
      </c>
      <c r="AJ50" s="86">
        <f>'TAMIU FGD'!$M68</f>
        <v>7874983</v>
      </c>
      <c r="AK50" s="87">
        <f t="shared" si="110"/>
        <v>1131</v>
      </c>
      <c r="AL50" s="86">
        <f>'WTAMU FGD'!$M68</f>
        <v>19924182</v>
      </c>
      <c r="AM50" s="87">
        <f t="shared" si="111"/>
        <v>2579</v>
      </c>
      <c r="AN50" s="86">
        <f>'TAMUC FGD'!$M68</f>
        <v>27852359</v>
      </c>
      <c r="AO50" s="87">
        <f t="shared" si="112"/>
        <v>2991</v>
      </c>
      <c r="AP50" s="86">
        <f>'TAMUT FGD'!$M68</f>
        <v>2544788</v>
      </c>
      <c r="AQ50" s="87">
        <f t="shared" si="113"/>
        <v>1541</v>
      </c>
      <c r="AR50" s="86">
        <f>'UH1 FGD'!$M68</f>
        <v>134076794</v>
      </c>
      <c r="AS50" s="87">
        <f t="shared" si="114"/>
        <v>3326</v>
      </c>
      <c r="AT50" s="86">
        <f>'UHCL FGD'!$M68</f>
        <v>6563705</v>
      </c>
      <c r="AU50" s="87">
        <f t="shared" si="115"/>
        <v>971</v>
      </c>
      <c r="AV50" s="86">
        <f>'UHD FGD'!$M68</f>
        <v>7659361</v>
      </c>
      <c r="AW50" s="87">
        <f t="shared" si="116"/>
        <v>684</v>
      </c>
      <c r="AX50" s="86">
        <f>'UHV FGD'!$M68</f>
        <v>2342457</v>
      </c>
      <c r="AY50" s="87">
        <f t="shared" si="117"/>
        <v>650</v>
      </c>
      <c r="AZ50" s="86">
        <f>'LU FGD'!$M68</f>
        <v>27991412</v>
      </c>
      <c r="BA50" s="87">
        <f t="shared" si="118"/>
        <v>2071</v>
      </c>
      <c r="BB50" s="86">
        <f>'shsu1 FGD'!$M68</f>
        <v>43777054</v>
      </c>
      <c r="BC50" s="87">
        <f t="shared" si="119"/>
        <v>2488</v>
      </c>
      <c r="BD50" s="86">
        <f>'TXST FGD'!$M68</f>
        <v>68499438</v>
      </c>
      <c r="BE50" s="87">
        <f t="shared" si="120"/>
        <v>2189</v>
      </c>
      <c r="BF50" s="86">
        <f>'SRSU FGD'!$M68</f>
        <v>4623659</v>
      </c>
      <c r="BG50" s="87">
        <f t="shared" si="121"/>
        <v>2700</v>
      </c>
      <c r="BH50" s="86">
        <f>'TTU FGD'!$M68</f>
        <v>123786419</v>
      </c>
      <c r="BI50" s="87">
        <f t="shared" si="122"/>
        <v>3435</v>
      </c>
      <c r="BJ50" s="86">
        <f>'ASU FGD'!$M68</f>
        <v>17609666</v>
      </c>
      <c r="BK50" s="87">
        <f t="shared" si="123"/>
        <v>2312</v>
      </c>
      <c r="BL50" s="86">
        <f>'UNT FGD'!$M68</f>
        <v>43345945</v>
      </c>
      <c r="BM50" s="87">
        <f t="shared" si="124"/>
        <v>1248</v>
      </c>
      <c r="BN50" s="86">
        <f>'UNTD FGD'!$M68</f>
        <v>730452</v>
      </c>
      <c r="BO50" s="87">
        <f t="shared" si="125"/>
        <v>211</v>
      </c>
      <c r="BP50" s="86">
        <f>'MidWST FGD'!$M68</f>
        <v>8568034</v>
      </c>
      <c r="BQ50" s="87">
        <f t="shared" si="126"/>
        <v>1982</v>
      </c>
      <c r="BR50" s="86">
        <f>'SFA FGD'!$M68</f>
        <v>26980088</v>
      </c>
      <c r="BS50" s="87">
        <f t="shared" si="127"/>
        <v>2602</v>
      </c>
      <c r="BT50" s="86">
        <f>'TSU FGD'!$M68</f>
        <v>15885231</v>
      </c>
      <c r="BU50" s="87">
        <f t="shared" si="128"/>
        <v>2464</v>
      </c>
      <c r="BV50" s="86">
        <f>'TWU FGD'!$M68</f>
        <v>21030123</v>
      </c>
      <c r="BW50" s="87">
        <f t="shared" si="129"/>
        <v>1614</v>
      </c>
      <c r="BX50" s="85"/>
      <c r="BY50" s="85"/>
      <c r="BZ50" s="85"/>
      <c r="CA50" s="85"/>
      <c r="CB50" s="85"/>
      <c r="CC50" s="85"/>
      <c r="CD50" s="85"/>
      <c r="CE50" s="85"/>
      <c r="CF50" s="85"/>
      <c r="CG50" s="85"/>
      <c r="CH50" s="85"/>
      <c r="CI50" s="85"/>
      <c r="CJ50" s="85"/>
      <c r="CK50" s="85"/>
      <c r="CL50" s="85"/>
      <c r="CM50" s="85"/>
    </row>
    <row r="51" spans="1:91">
      <c r="A51" s="99" t="s">
        <v>61</v>
      </c>
      <c r="B51" s="86">
        <f t="shared" si="92"/>
        <v>349795226</v>
      </c>
      <c r="C51" s="87">
        <f t="shared" si="93"/>
        <v>622</v>
      </c>
      <c r="D51" s="86">
        <f>'ARL FGD'!$M69</f>
        <v>3768636</v>
      </c>
      <c r="E51" s="87">
        <f t="shared" si="94"/>
        <v>110</v>
      </c>
      <c r="F51" s="86">
        <f>'AUS1 FGD'!$M69</f>
        <v>85209491</v>
      </c>
      <c r="G51" s="87">
        <f t="shared" si="95"/>
        <v>1793</v>
      </c>
      <c r="H51" s="86">
        <f>'DAL FGD'!$M69</f>
        <v>12825288</v>
      </c>
      <c r="I51" s="87">
        <f t="shared" si="96"/>
        <v>531</v>
      </c>
      <c r="J51" s="86">
        <f>'E-P FGD'!$M69</f>
        <v>10125461</v>
      </c>
      <c r="K51" s="87">
        <f t="shared" si="97"/>
        <v>520</v>
      </c>
      <c r="L51" s="86">
        <f>'RGV1 FGD'!$M69</f>
        <v>8415426</v>
      </c>
      <c r="M51" s="87">
        <f t="shared" si="98"/>
        <v>297</v>
      </c>
      <c r="N51" s="86">
        <f>'P-B FGD'!$M69</f>
        <v>3447006</v>
      </c>
      <c r="O51" s="87">
        <f t="shared" si="99"/>
        <v>810</v>
      </c>
      <c r="P51" s="86">
        <f>'S-A FGD'!$M69</f>
        <v>38413984</v>
      </c>
      <c r="Q51" s="87">
        <f t="shared" si="100"/>
        <v>1353</v>
      </c>
      <c r="R51" s="86">
        <f>'TYL FGD'!$M69</f>
        <v>768896</v>
      </c>
      <c r="S51" s="87">
        <f t="shared" si="101"/>
        <v>101</v>
      </c>
      <c r="T51" s="86">
        <f>'TAMU FGD'!$M69</f>
        <v>48790007</v>
      </c>
      <c r="U51" s="87">
        <f t="shared" si="102"/>
        <v>839</v>
      </c>
      <c r="V51" s="86">
        <f>'TAMUG FGD'!$M69</f>
        <v>407045</v>
      </c>
      <c r="W51" s="87">
        <f t="shared" si="103"/>
        <v>235</v>
      </c>
      <c r="X51" s="86">
        <f>'PVAMU FGD'!$M69</f>
        <v>3300156</v>
      </c>
      <c r="Y51" s="87">
        <f t="shared" si="104"/>
        <v>409</v>
      </c>
      <c r="Z51" s="86">
        <f>'TARLST FGD'!$M69</f>
        <v>1535773</v>
      </c>
      <c r="AA51" s="87">
        <f t="shared" si="105"/>
        <v>133</v>
      </c>
      <c r="AB51" s="86">
        <f>'TAMUCC FGD'!$M69</f>
        <v>4432165</v>
      </c>
      <c r="AC51" s="87">
        <f t="shared" si="106"/>
        <v>475</v>
      </c>
      <c r="AD51" s="86">
        <f>'TAMUK FGD'!$M69</f>
        <v>2014998</v>
      </c>
      <c r="AE51" s="87">
        <f t="shared" si="107"/>
        <v>359</v>
      </c>
      <c r="AF51" s="86">
        <f>'TAMUCT FGD'!$M69</f>
        <v>257227</v>
      </c>
      <c r="AG51" s="87">
        <f t="shared" si="108"/>
        <v>160</v>
      </c>
      <c r="AH51" s="86">
        <f>'TAMUSA FGD'!$M69</f>
        <v>342217</v>
      </c>
      <c r="AI51" s="87">
        <f t="shared" si="109"/>
        <v>72</v>
      </c>
      <c r="AJ51" s="86">
        <f>'TAMIU FGD'!$M69</f>
        <v>1749653</v>
      </c>
      <c r="AK51" s="87">
        <f t="shared" si="110"/>
        <v>251</v>
      </c>
      <c r="AL51" s="86">
        <f>'WTAMU FGD'!$M69</f>
        <v>2476174</v>
      </c>
      <c r="AM51" s="87">
        <f t="shared" si="111"/>
        <v>321</v>
      </c>
      <c r="AN51" s="86">
        <f>'TAMUC FGD'!$M69</f>
        <v>1628904</v>
      </c>
      <c r="AO51" s="87">
        <f t="shared" si="112"/>
        <v>175</v>
      </c>
      <c r="AP51" s="86">
        <f>'TAMUT FGD'!$M69</f>
        <v>598517</v>
      </c>
      <c r="AQ51" s="87">
        <f t="shared" si="113"/>
        <v>362</v>
      </c>
      <c r="AR51" s="86">
        <f>'UH1 FGD'!$M69</f>
        <v>13333740</v>
      </c>
      <c r="AS51" s="87">
        <f t="shared" si="114"/>
        <v>331</v>
      </c>
      <c r="AT51" s="86">
        <f>'UHCL FGD'!$M69</f>
        <v>2979760</v>
      </c>
      <c r="AU51" s="87">
        <f t="shared" si="115"/>
        <v>441</v>
      </c>
      <c r="AV51" s="86">
        <f>'UHD FGD'!$M69</f>
        <v>2498851</v>
      </c>
      <c r="AW51" s="87">
        <f t="shared" si="116"/>
        <v>223</v>
      </c>
      <c r="AX51" s="86">
        <f>'UHV FGD'!$M69</f>
        <v>567046</v>
      </c>
      <c r="AY51" s="87">
        <f t="shared" si="117"/>
        <v>157</v>
      </c>
      <c r="AZ51" s="86">
        <f>'LU FGD'!$M69</f>
        <v>1468050</v>
      </c>
      <c r="BA51" s="87">
        <f t="shared" si="118"/>
        <v>109</v>
      </c>
      <c r="BB51" s="86">
        <f>'shsu1 FGD'!$M69</f>
        <v>4693822</v>
      </c>
      <c r="BC51" s="87">
        <f t="shared" si="119"/>
        <v>267</v>
      </c>
      <c r="BD51" s="86">
        <f>'TXST FGD'!$M69</f>
        <v>9758036</v>
      </c>
      <c r="BE51" s="87">
        <f t="shared" si="120"/>
        <v>312</v>
      </c>
      <c r="BF51" s="86">
        <f>'SRSU FGD'!$M69</f>
        <v>471724</v>
      </c>
      <c r="BG51" s="87">
        <f t="shared" si="121"/>
        <v>275</v>
      </c>
      <c r="BH51" s="86">
        <f>'TTU FGD'!$M69</f>
        <v>26314605</v>
      </c>
      <c r="BI51" s="87">
        <f t="shared" si="122"/>
        <v>730</v>
      </c>
      <c r="BJ51" s="86">
        <f>'ASU FGD'!$M69</f>
        <v>1101123</v>
      </c>
      <c r="BK51" s="87">
        <f t="shared" si="123"/>
        <v>145</v>
      </c>
      <c r="BL51" s="86">
        <f>'UNT FGD'!$M69</f>
        <v>40988890</v>
      </c>
      <c r="BM51" s="87">
        <f t="shared" si="124"/>
        <v>1180</v>
      </c>
      <c r="BN51" s="86">
        <f>'UNTD FGD'!$M69</f>
        <v>1963261</v>
      </c>
      <c r="BO51" s="87">
        <f t="shared" si="125"/>
        <v>567</v>
      </c>
      <c r="BP51" s="86">
        <f>'MidWST FGD'!$M69</f>
        <v>5587278</v>
      </c>
      <c r="BQ51" s="87">
        <f t="shared" si="126"/>
        <v>1293</v>
      </c>
      <c r="BR51" s="86">
        <f>'SFA FGD'!$M69</f>
        <v>1211299</v>
      </c>
      <c r="BS51" s="87">
        <f t="shared" si="127"/>
        <v>117</v>
      </c>
      <c r="BT51" s="86">
        <f>'TSU FGD'!$M69</f>
        <v>5433052</v>
      </c>
      <c r="BU51" s="87">
        <f t="shared" si="128"/>
        <v>843</v>
      </c>
      <c r="BV51" s="86">
        <f>'TWU FGD'!$M69</f>
        <v>917665</v>
      </c>
      <c r="BW51" s="87">
        <f t="shared" si="129"/>
        <v>70</v>
      </c>
      <c r="BX51" s="85"/>
      <c r="BY51" s="85"/>
      <c r="BZ51" s="85"/>
      <c r="CA51" s="85"/>
      <c r="CB51" s="85"/>
      <c r="CC51" s="85"/>
      <c r="CD51" s="85"/>
      <c r="CE51" s="85"/>
      <c r="CF51" s="85"/>
      <c r="CG51" s="85"/>
      <c r="CH51" s="85"/>
      <c r="CI51" s="85"/>
      <c r="CJ51" s="85"/>
      <c r="CK51" s="85"/>
      <c r="CL51" s="85"/>
      <c r="CM51" s="85"/>
    </row>
    <row r="52" spans="1:91">
      <c r="A52" s="75" t="s">
        <v>50</v>
      </c>
      <c r="B52" s="86">
        <f t="shared" si="92"/>
        <v>265279642</v>
      </c>
      <c r="C52" s="87">
        <f t="shared" si="93"/>
        <v>471</v>
      </c>
      <c r="D52" s="86">
        <f>'ARL FGD'!$M70</f>
        <v>728377</v>
      </c>
      <c r="E52" s="87">
        <f t="shared" si="94"/>
        <v>21</v>
      </c>
      <c r="F52" s="86">
        <f>'AUS1 FGD'!$M70</f>
        <v>1729858</v>
      </c>
      <c r="G52" s="87">
        <f t="shared" si="95"/>
        <v>36</v>
      </c>
      <c r="H52" s="86">
        <f>'DAL FGD'!$M70</f>
        <v>0</v>
      </c>
      <c r="I52" s="87">
        <f t="shared" si="96"/>
        <v>0</v>
      </c>
      <c r="J52" s="86">
        <f>'E-P FGD'!$M70</f>
        <v>0</v>
      </c>
      <c r="K52" s="87">
        <f t="shared" si="97"/>
        <v>0</v>
      </c>
      <c r="L52" s="86">
        <f>'RGV1 FGD'!$M70</f>
        <v>0</v>
      </c>
      <c r="M52" s="87">
        <f t="shared" si="98"/>
        <v>0</v>
      </c>
      <c r="N52" s="86">
        <f>'P-B FGD'!$M70</f>
        <v>18266</v>
      </c>
      <c r="O52" s="87">
        <f t="shared" si="99"/>
        <v>4</v>
      </c>
      <c r="P52" s="86">
        <f>'S-A FGD'!$M70</f>
        <v>-77552</v>
      </c>
      <c r="Q52" s="87">
        <f t="shared" si="100"/>
        <v>-3</v>
      </c>
      <c r="R52" s="86">
        <f>'TYL FGD'!$M70</f>
        <v>0</v>
      </c>
      <c r="S52" s="87">
        <f t="shared" si="101"/>
        <v>0</v>
      </c>
      <c r="T52" s="86">
        <f>'TAMU FGD'!$M70</f>
        <v>46221503</v>
      </c>
      <c r="U52" s="87">
        <f t="shared" si="102"/>
        <v>795</v>
      </c>
      <c r="V52" s="86">
        <f>'TAMUG FGD'!$M70</f>
        <v>303961</v>
      </c>
      <c r="W52" s="87">
        <f t="shared" si="103"/>
        <v>175</v>
      </c>
      <c r="X52" s="86">
        <f>'PVAMU FGD'!$M70</f>
        <v>1082946</v>
      </c>
      <c r="Y52" s="87">
        <f t="shared" si="104"/>
        <v>134</v>
      </c>
      <c r="Z52" s="86">
        <f>'TARLST FGD'!$M70</f>
        <v>3337272</v>
      </c>
      <c r="AA52" s="87">
        <f t="shared" si="105"/>
        <v>289</v>
      </c>
      <c r="AB52" s="86">
        <f>'TAMUCC FGD'!$M70</f>
        <v>6516347</v>
      </c>
      <c r="AC52" s="87">
        <f t="shared" si="106"/>
        <v>698</v>
      </c>
      <c r="AD52" s="86">
        <f>'TAMUK FGD'!$M70</f>
        <v>1614828</v>
      </c>
      <c r="AE52" s="87">
        <f t="shared" si="107"/>
        <v>288</v>
      </c>
      <c r="AF52" s="86">
        <f>'TAMUCT FGD'!$M70</f>
        <v>1130973</v>
      </c>
      <c r="AG52" s="87">
        <f t="shared" si="108"/>
        <v>704</v>
      </c>
      <c r="AH52" s="86">
        <f>'TAMUSA FGD'!$M70</f>
        <v>284587</v>
      </c>
      <c r="AI52" s="87">
        <f t="shared" si="109"/>
        <v>60</v>
      </c>
      <c r="AJ52" s="86">
        <f>'TAMIU FGD'!$M70</f>
        <v>1731166</v>
      </c>
      <c r="AK52" s="87">
        <f t="shared" si="110"/>
        <v>249</v>
      </c>
      <c r="AL52" s="86">
        <f>'WTAMU FGD'!$M70</f>
        <v>537619</v>
      </c>
      <c r="AM52" s="87">
        <f t="shared" si="111"/>
        <v>70</v>
      </c>
      <c r="AN52" s="86">
        <f>'TAMUC FGD'!$M70</f>
        <v>934708</v>
      </c>
      <c r="AO52" s="87">
        <f t="shared" si="112"/>
        <v>100</v>
      </c>
      <c r="AP52" s="86">
        <f>'TAMUT FGD'!$M70</f>
        <v>2138272</v>
      </c>
      <c r="AQ52" s="87">
        <f t="shared" si="113"/>
        <v>1295</v>
      </c>
      <c r="AR52" s="86">
        <f>'UH1 FGD'!$M70</f>
        <v>144285294</v>
      </c>
      <c r="AS52" s="87">
        <f t="shared" si="114"/>
        <v>3579</v>
      </c>
      <c r="AT52" s="86">
        <f>'UHCL FGD'!$M70</f>
        <v>11413839</v>
      </c>
      <c r="AU52" s="87">
        <f t="shared" si="115"/>
        <v>1688</v>
      </c>
      <c r="AV52" s="86">
        <f>'UHD FGD'!$M70</f>
        <v>3027404</v>
      </c>
      <c r="AW52" s="87">
        <f t="shared" si="116"/>
        <v>270</v>
      </c>
      <c r="AX52" s="86">
        <f>'UHV FGD'!$M70</f>
        <v>2810266</v>
      </c>
      <c r="AY52" s="87">
        <f t="shared" si="117"/>
        <v>780</v>
      </c>
      <c r="AZ52" s="86">
        <f>'LU FGD'!$M70</f>
        <v>98196</v>
      </c>
      <c r="BA52" s="87">
        <f t="shared" si="118"/>
        <v>7</v>
      </c>
      <c r="BB52" s="86">
        <f>'shsu1 FGD'!$M70</f>
        <v>349762</v>
      </c>
      <c r="BC52" s="87">
        <f t="shared" si="119"/>
        <v>20</v>
      </c>
      <c r="BD52" s="86">
        <f>'TXST FGD'!$M70</f>
        <v>584362</v>
      </c>
      <c r="BE52" s="87">
        <f t="shared" si="120"/>
        <v>19</v>
      </c>
      <c r="BF52" s="86">
        <f>'SRSU FGD'!$M70</f>
        <v>0</v>
      </c>
      <c r="BG52" s="87">
        <f t="shared" si="121"/>
        <v>0</v>
      </c>
      <c r="BH52" s="86">
        <f>'TTU FGD'!$M70</f>
        <v>597780</v>
      </c>
      <c r="BI52" s="87">
        <f t="shared" si="122"/>
        <v>17</v>
      </c>
      <c r="BJ52" s="86">
        <f>'ASU FGD'!$M70</f>
        <v>2418380</v>
      </c>
      <c r="BK52" s="87">
        <f t="shared" si="123"/>
        <v>317</v>
      </c>
      <c r="BL52" s="86">
        <f>'UNT FGD'!$M70</f>
        <v>9253748</v>
      </c>
      <c r="BM52" s="87">
        <f t="shared" si="124"/>
        <v>266</v>
      </c>
      <c r="BN52" s="86">
        <f>'UNTD FGD'!$M70</f>
        <v>1972025</v>
      </c>
      <c r="BO52" s="87">
        <f t="shared" si="125"/>
        <v>569</v>
      </c>
      <c r="BP52" s="86">
        <f>'MidWST FGD'!$M70</f>
        <v>358259</v>
      </c>
      <c r="BQ52" s="87">
        <f t="shared" si="126"/>
        <v>83</v>
      </c>
      <c r="BR52" s="86">
        <f>'SFA FGD'!$M70</f>
        <v>19230141</v>
      </c>
      <c r="BS52" s="87">
        <f t="shared" si="127"/>
        <v>1855</v>
      </c>
      <c r="BT52" s="86">
        <f>'TSU FGD'!$M70</f>
        <v>525803</v>
      </c>
      <c r="BU52" s="87">
        <f t="shared" si="128"/>
        <v>82</v>
      </c>
      <c r="BV52" s="86">
        <f>'TWU FGD'!$M70</f>
        <v>121252</v>
      </c>
      <c r="BW52" s="87">
        <f t="shared" si="129"/>
        <v>9</v>
      </c>
      <c r="BX52" s="96"/>
      <c r="BY52" s="96"/>
      <c r="BZ52" s="96"/>
      <c r="CA52" s="96"/>
      <c r="CB52" s="96"/>
      <c r="CC52" s="96"/>
      <c r="CD52" s="96"/>
      <c r="CE52" s="96"/>
      <c r="CF52" s="96"/>
      <c r="CG52" s="96"/>
      <c r="CH52" s="96"/>
      <c r="CI52" s="96"/>
      <c r="CJ52" s="96"/>
      <c r="CK52" s="96"/>
      <c r="CL52" s="96"/>
      <c r="CM52" s="96"/>
    </row>
    <row r="53" spans="1:91">
      <c r="A53" s="100" t="s">
        <v>69</v>
      </c>
      <c r="B53" s="45">
        <f t="shared" ref="B53:BK53" si="130">SUM(B42:B52)</f>
        <v>14522385314</v>
      </c>
      <c r="C53" s="387">
        <f t="shared" si="130"/>
        <v>25809</v>
      </c>
      <c r="D53" s="387">
        <f t="shared" si="130"/>
        <v>695633593</v>
      </c>
      <c r="E53" s="387">
        <f t="shared" si="130"/>
        <v>20244</v>
      </c>
      <c r="F53" s="387">
        <f t="shared" si="130"/>
        <v>2595142223</v>
      </c>
      <c r="G53" s="387">
        <f t="shared" si="130"/>
        <v>54594</v>
      </c>
      <c r="H53" s="387">
        <f t="shared" si="130"/>
        <v>588657424</v>
      </c>
      <c r="I53" s="387">
        <f t="shared" si="130"/>
        <v>24356</v>
      </c>
      <c r="J53" s="387">
        <f t="shared" si="130"/>
        <v>482017406</v>
      </c>
      <c r="K53" s="387">
        <f t="shared" si="130"/>
        <v>24734</v>
      </c>
      <c r="L53" s="45">
        <f t="shared" si="130"/>
        <v>486061316</v>
      </c>
      <c r="M53" s="45">
        <f t="shared" si="130"/>
        <v>17127</v>
      </c>
      <c r="N53" s="45">
        <f t="shared" si="130"/>
        <v>99489750</v>
      </c>
      <c r="O53" s="45">
        <f t="shared" si="130"/>
        <v>23377</v>
      </c>
      <c r="P53" s="45">
        <f t="shared" si="130"/>
        <v>591178740</v>
      </c>
      <c r="Q53" s="45">
        <f t="shared" si="130"/>
        <v>20819</v>
      </c>
      <c r="R53" s="45">
        <f t="shared" si="130"/>
        <v>147683693</v>
      </c>
      <c r="S53" s="45">
        <f t="shared" si="130"/>
        <v>19414</v>
      </c>
      <c r="T53" s="45">
        <f t="shared" si="130"/>
        <v>1892419103</v>
      </c>
      <c r="U53" s="45">
        <f t="shared" si="130"/>
        <v>32543</v>
      </c>
      <c r="V53" s="45">
        <f t="shared" si="130"/>
        <v>60169537</v>
      </c>
      <c r="W53" s="45">
        <f t="shared" si="130"/>
        <v>34723</v>
      </c>
      <c r="X53" s="45">
        <f t="shared" si="130"/>
        <v>268305962</v>
      </c>
      <c r="Y53" s="45">
        <f t="shared" si="130"/>
        <v>33250</v>
      </c>
      <c r="Z53" s="45">
        <f t="shared" si="130"/>
        <v>211142542</v>
      </c>
      <c r="AA53" s="45">
        <f t="shared" si="130"/>
        <v>18272</v>
      </c>
      <c r="AB53" s="45">
        <f t="shared" si="130"/>
        <v>236234416</v>
      </c>
      <c r="AC53" s="45">
        <f t="shared" si="130"/>
        <v>25302</v>
      </c>
      <c r="AD53" s="45">
        <f t="shared" si="130"/>
        <v>151624471</v>
      </c>
      <c r="AE53" s="45">
        <f t="shared" si="130"/>
        <v>26999</v>
      </c>
      <c r="AF53" s="45">
        <f t="shared" si="130"/>
        <v>35396002</v>
      </c>
      <c r="AG53" s="45">
        <f t="shared" si="130"/>
        <v>22027</v>
      </c>
      <c r="AH53" s="45">
        <f t="shared" si="130"/>
        <v>101330976</v>
      </c>
      <c r="AI53" s="45">
        <f t="shared" si="130"/>
        <v>21274</v>
      </c>
      <c r="AJ53" s="45">
        <f t="shared" si="130"/>
        <v>128688626</v>
      </c>
      <c r="AK53" s="45">
        <f t="shared" si="130"/>
        <v>18484</v>
      </c>
      <c r="AL53" s="45">
        <f t="shared" si="130"/>
        <v>155189344</v>
      </c>
      <c r="AM53" s="45">
        <f t="shared" si="130"/>
        <v>20090</v>
      </c>
      <c r="AN53" s="45">
        <f t="shared" si="130"/>
        <v>177235284</v>
      </c>
      <c r="AO53" s="45">
        <f t="shared" si="130"/>
        <v>19034</v>
      </c>
      <c r="AP53" s="45">
        <f t="shared" si="130"/>
        <v>41600248</v>
      </c>
      <c r="AQ53" s="45">
        <f t="shared" si="130"/>
        <v>25189</v>
      </c>
      <c r="AR53" s="45">
        <f t="shared" si="130"/>
        <v>1192213029</v>
      </c>
      <c r="AS53" s="45">
        <f t="shared" si="130"/>
        <v>29577</v>
      </c>
      <c r="AT53" s="45">
        <f t="shared" si="130"/>
        <v>151120805</v>
      </c>
      <c r="AU53" s="45">
        <f t="shared" si="130"/>
        <v>22348</v>
      </c>
      <c r="AV53" s="45">
        <f t="shared" si="130"/>
        <v>177496892</v>
      </c>
      <c r="AW53" s="45">
        <f t="shared" si="130"/>
        <v>15856</v>
      </c>
      <c r="AX53" s="45">
        <f t="shared" si="130"/>
        <v>66881065</v>
      </c>
      <c r="AY53" s="45">
        <f t="shared" si="130"/>
        <v>18556</v>
      </c>
      <c r="AZ53" s="45">
        <f t="shared" si="130"/>
        <v>241751129</v>
      </c>
      <c r="BA53" s="45">
        <f t="shared" si="130"/>
        <v>17886</v>
      </c>
      <c r="BB53" s="45">
        <f t="shared" si="130"/>
        <v>350551086</v>
      </c>
      <c r="BC53" s="45">
        <f t="shared" si="130"/>
        <v>19925</v>
      </c>
      <c r="BD53" s="45">
        <f t="shared" si="130"/>
        <v>592458977</v>
      </c>
      <c r="BE53" s="45">
        <f t="shared" si="130"/>
        <v>18930</v>
      </c>
      <c r="BF53" s="45">
        <f t="shared" si="130"/>
        <v>50965404</v>
      </c>
      <c r="BG53" s="45">
        <f t="shared" si="130"/>
        <v>29760</v>
      </c>
      <c r="BH53" s="45">
        <f t="shared" si="130"/>
        <v>842286625</v>
      </c>
      <c r="BI53" s="45">
        <f t="shared" si="130"/>
        <v>23374</v>
      </c>
      <c r="BJ53" s="45">
        <f t="shared" si="130"/>
        <v>129303331</v>
      </c>
      <c r="BK53" s="45">
        <f t="shared" si="130"/>
        <v>16974</v>
      </c>
      <c r="BL53" s="45">
        <f t="shared" ref="BL53:BW53" si="131">SUM(BL42:BL52)</f>
        <v>704225806</v>
      </c>
      <c r="BM53" s="45">
        <f t="shared" si="131"/>
        <v>20279</v>
      </c>
      <c r="BN53" s="45">
        <f t="shared" si="131"/>
        <v>69334132</v>
      </c>
      <c r="BO53" s="45">
        <f t="shared" si="131"/>
        <v>20014</v>
      </c>
      <c r="BP53" s="45">
        <f t="shared" si="131"/>
        <v>111751545</v>
      </c>
      <c r="BQ53" s="45">
        <f t="shared" si="131"/>
        <v>25855</v>
      </c>
      <c r="BR53" s="45">
        <f t="shared" si="131"/>
        <v>253857909</v>
      </c>
      <c r="BS53" s="45">
        <f t="shared" si="131"/>
        <v>24484</v>
      </c>
      <c r="BT53" s="45">
        <f t="shared" si="131"/>
        <v>229192480</v>
      </c>
      <c r="BU53" s="45">
        <f t="shared" si="131"/>
        <v>35560</v>
      </c>
      <c r="BV53" s="45">
        <f t="shared" si="131"/>
        <v>213794443</v>
      </c>
      <c r="BW53" s="45">
        <f t="shared" si="131"/>
        <v>16412</v>
      </c>
      <c r="BX53" s="85"/>
      <c r="BY53" s="85"/>
      <c r="BZ53" s="85"/>
      <c r="CA53" s="85"/>
      <c r="CB53" s="85"/>
      <c r="CC53" s="85"/>
      <c r="CD53" s="85"/>
      <c r="CE53" s="85"/>
      <c r="CF53" s="85"/>
      <c r="CG53" s="85"/>
      <c r="CH53" s="85"/>
      <c r="CI53" s="85"/>
      <c r="CJ53" s="85"/>
      <c r="CK53" s="85"/>
      <c r="CL53" s="85"/>
      <c r="CM53" s="85"/>
    </row>
    <row r="54" spans="1:91">
      <c r="A54" s="93"/>
      <c r="B54" s="98" t="str">
        <f>IF(B53&lt;&gt;'Smmy Sum'!B83,"Error","")</f>
        <v/>
      </c>
      <c r="C54" s="383" t="str">
        <f>IF(C53&lt;&gt;'Smmy Sum'!$C83,"Error","")</f>
        <v/>
      </c>
      <c r="D54" s="383" t="str">
        <f>IF(D53&lt;&gt;'ARL FGD'!$M71,"Error","")</f>
        <v/>
      </c>
      <c r="E54" s="383" t="str">
        <f>IF(E53&lt;&gt;'ARL Sum'!$C47,"Error","")</f>
        <v/>
      </c>
      <c r="F54" s="383" t="str">
        <f>IF(F53&lt;&gt;'AUS1 FGD'!$M71,"Error","")</f>
        <v/>
      </c>
      <c r="G54" s="383" t="str">
        <f>IF(G53&lt;&gt;'AUS1 Sum'!$C47,"Error","")</f>
        <v/>
      </c>
      <c r="H54" s="383" t="str">
        <f>IF(H53&lt;&gt;'DAL FGD'!$M71,"Error","")</f>
        <v/>
      </c>
      <c r="I54" s="383" t="str">
        <f>IF(I53&lt;&gt;'DAL Sum'!$C47,"Error","")</f>
        <v/>
      </c>
      <c r="J54" s="383" t="str">
        <f>IF(J53&lt;&gt;'E-P FGD'!$M71,"Error","")</f>
        <v/>
      </c>
      <c r="K54" s="383" t="str">
        <f>IF(K53&lt;&gt;'E-P Sum'!$C47,"Error","")</f>
        <v/>
      </c>
      <c r="L54" s="98" t="str">
        <f>IF(L53&lt;&gt;'RGV1 FGD'!$M71,"Error","")</f>
        <v/>
      </c>
      <c r="M54" s="98" t="str">
        <f>IF(M53&lt;&gt;'RGV1 Sum'!$C47,"Error","")</f>
        <v/>
      </c>
      <c r="N54" s="98" t="str">
        <f>IF(N53&lt;&gt;'P-B FGD'!$M71,"Error","")</f>
        <v/>
      </c>
      <c r="O54" s="98" t="str">
        <f>IF(O53&lt;&gt;'P-B Sum'!$C47,"Error","")</f>
        <v/>
      </c>
      <c r="P54" s="98" t="str">
        <f>IF(P53&lt;&gt;'S-A FGD'!$M71,"Error","")</f>
        <v/>
      </c>
      <c r="Q54" s="98" t="str">
        <f>IF(Q53&lt;&gt;'S-A Sum'!$C47,"Error","")</f>
        <v/>
      </c>
      <c r="R54" s="98" t="str">
        <f>IF(R53&lt;&gt;'TYL FGD'!$M71,"Error","")</f>
        <v/>
      </c>
      <c r="S54" s="98" t="str">
        <f>IF(S53&lt;&gt;'TYL Sum'!$C47,"Error","")</f>
        <v/>
      </c>
      <c r="T54" s="98" t="str">
        <f>IF(T53&lt;&gt;'TAMU FGD'!$M71,"Error","")</f>
        <v/>
      </c>
      <c r="U54" s="98" t="str">
        <f>IF(U53&lt;&gt;'TAMU Sum'!$C47,"Error","")</f>
        <v/>
      </c>
      <c r="V54" s="98" t="str">
        <f>IF(V53&lt;&gt;'TAMUG FGD'!$M71,"Error","")</f>
        <v/>
      </c>
      <c r="W54" s="98" t="str">
        <f>IF(W53&lt;&gt;'TAMUG Sum'!$C47,"Error","")</f>
        <v/>
      </c>
      <c r="X54" s="98" t="str">
        <f>IF(X53&lt;&gt;'PVAMU FGD'!$M71,"Error","")</f>
        <v/>
      </c>
      <c r="Y54" s="98" t="str">
        <f>IF(Y53&lt;&gt;'PVAMU Sum'!$C47,"Error","")</f>
        <v/>
      </c>
      <c r="Z54" s="98" t="str">
        <f>IF(Z53&lt;&gt;'TARLST FGD'!$M71,"Error","")</f>
        <v/>
      </c>
      <c r="AA54" s="98" t="str">
        <f>IF(AA53&lt;&gt;'TARLST Sum'!$C47,"Error","")</f>
        <v/>
      </c>
      <c r="AB54" s="98" t="str">
        <f>IF(AB53&lt;&gt;'TAMUCC FGD'!$M71,"Error","")</f>
        <v/>
      </c>
      <c r="AC54" s="98" t="str">
        <f>IF(AC53&lt;&gt;'TAMUCC Sum'!$C47,"Error","")</f>
        <v/>
      </c>
      <c r="AD54" s="98" t="str">
        <f>IF(AD53&lt;&gt;'TAMUK FGD'!$M71,"Error","")</f>
        <v/>
      </c>
      <c r="AE54" s="98" t="str">
        <f>IF(AE53&lt;&gt;'TAMUK Sum'!$C47,"Error","")</f>
        <v/>
      </c>
      <c r="AF54" s="98" t="str">
        <f>IF(AF53&lt;&gt;'TAMUCT FGD'!$M71,"Error","")</f>
        <v/>
      </c>
      <c r="AG54" s="98" t="str">
        <f>IF(AG53&lt;&gt;'TAMUCT Sum'!$C47,"Error","")</f>
        <v/>
      </c>
      <c r="AH54" s="98" t="str">
        <f>IF(AH53&lt;&gt;'TAMUSA FGD'!$M71,"Error","")</f>
        <v/>
      </c>
      <c r="AI54" s="98" t="str">
        <f>IF(AI53&lt;&gt;'TAMUSA Sum'!$C47,"Error","")</f>
        <v/>
      </c>
      <c r="AJ54" s="98" t="str">
        <f>IF(AJ53&lt;&gt;'TAMIU FGD'!$M71,"Error","")</f>
        <v/>
      </c>
      <c r="AK54" s="98" t="str">
        <f>IF(AK53&lt;&gt;'TAMIU Sum'!$C47,"Error","")</f>
        <v/>
      </c>
      <c r="AL54" s="98" t="str">
        <f>IF(AL53&lt;&gt;'WTAMU FGD'!$M71,"Error","")</f>
        <v/>
      </c>
      <c r="AM54" s="98" t="str">
        <f>IF(AM53&lt;&gt;'WTAMU Sum'!$C47,"Error","")</f>
        <v/>
      </c>
      <c r="AN54" s="98" t="str">
        <f>IF(AN53&lt;&gt;'TAMUC FGD'!$M71,"Error","")</f>
        <v/>
      </c>
      <c r="AO54" s="98" t="str">
        <f>IF(AO53&lt;&gt;'TAMUC Sum'!$C47,"Error","")</f>
        <v/>
      </c>
      <c r="AP54" s="98" t="str">
        <f>IF(AP53&lt;&gt;'TAMUT FGD'!$M71,"Error","")</f>
        <v/>
      </c>
      <c r="AQ54" s="98" t="str">
        <f>IF(AQ53&lt;&gt;'TAMUT Sum'!$C47,"Error","")</f>
        <v/>
      </c>
      <c r="AR54" s="98" t="str">
        <f>IF(AR53&lt;&gt;'UH1 FGD'!$M71,"Error","")</f>
        <v/>
      </c>
      <c r="AS54" s="98" t="str">
        <f>IF(AS53&lt;&gt;'UH1 Sum'!$C47,"Error","")</f>
        <v/>
      </c>
      <c r="AT54" s="98" t="str">
        <f>IF(AT53&lt;&gt;'UHCL FGD'!$M71,"Error","")</f>
        <v/>
      </c>
      <c r="AU54" s="98" t="str">
        <f>IF(AU53&lt;&gt;'UHCL Sum'!$C47,"Error","")</f>
        <v/>
      </c>
      <c r="AV54" s="98" t="str">
        <f>IF(AV53&lt;&gt;'UHD FGD'!$M71,"Error","")</f>
        <v/>
      </c>
      <c r="AW54" s="98" t="str">
        <f>IF(AW53&lt;&gt;'UHD Sum'!$C47,"Error","")</f>
        <v/>
      </c>
      <c r="AX54" s="98" t="str">
        <f>IF(AX53&lt;&gt;'UHV FGD'!$M71,"Error","")</f>
        <v/>
      </c>
      <c r="AY54" s="98" t="str">
        <f>IF(AY53&lt;&gt;'UHV Sum'!$C47,"Error","")</f>
        <v/>
      </c>
      <c r="AZ54" s="98" t="str">
        <f>IF(AZ53&lt;&gt;'LU FGD'!$M71,"Error","")</f>
        <v/>
      </c>
      <c r="BA54" s="98" t="str">
        <f>IF(BA53&lt;&gt;'LU Sum'!$C47,"Error","")</f>
        <v/>
      </c>
      <c r="BB54" s="98" t="str">
        <f>IF(BB53&lt;&gt;'shsu1 FGD'!$M71,"Error","")</f>
        <v/>
      </c>
      <c r="BC54" s="98" t="str">
        <f>IF(BC53&lt;&gt;'shsu1 Sum'!$C47,"Error","")</f>
        <v/>
      </c>
      <c r="BD54" s="98" t="str">
        <f>IF(BD53&lt;&gt;'TXST FGD'!$M71,"Error","")</f>
        <v/>
      </c>
      <c r="BE54" s="98" t="str">
        <f>IF(BE53&lt;&gt;'TXST Sum'!$C47,"Error","")</f>
        <v/>
      </c>
      <c r="BF54" s="98" t="str">
        <f>IF(BF53&lt;&gt;'SRSU FGD'!$M71,"Error","")</f>
        <v/>
      </c>
      <c r="BG54" s="98" t="str">
        <f>IF(BG53&lt;&gt;'SRSU Sum'!$C47,"Error","")</f>
        <v/>
      </c>
      <c r="BH54" s="98" t="str">
        <f>IF(BH53&lt;&gt;'TTU FGD'!$M71,"Error","")</f>
        <v/>
      </c>
      <c r="BI54" s="98" t="str">
        <f>IF(BI53&lt;&gt;'TTU Sum'!$C47,"Error","")</f>
        <v/>
      </c>
      <c r="BJ54" s="98" t="str">
        <f>IF(BJ53&lt;&gt;'ASU FGD'!$M71,"Error","")</f>
        <v/>
      </c>
      <c r="BK54" s="98" t="str">
        <f>IF(BK53&lt;&gt;'ASU Sum'!$C47,"Error","")</f>
        <v/>
      </c>
      <c r="BL54" s="98" t="str">
        <f>IF(BL53&lt;&gt;'UNT FGD'!$M71,"Error","")</f>
        <v/>
      </c>
      <c r="BM54" s="98" t="str">
        <f>IF(BM53&lt;&gt;'UNT Sum'!$C47,"Error","")</f>
        <v/>
      </c>
      <c r="BN54" s="98" t="str">
        <f>IF(BN53&lt;&gt;'UNTD FGD'!$M71,"Error","")</f>
        <v/>
      </c>
      <c r="BO54" s="98" t="str">
        <f>IF(BO53&lt;&gt;'UNTD Sum'!$C47,"Error","")</f>
        <v/>
      </c>
      <c r="BP54" s="98" t="str">
        <f>IF(BP53&lt;&gt;'MidWST FGD'!$M71,"Error","")</f>
        <v/>
      </c>
      <c r="BQ54" s="98" t="str">
        <f>IF(BQ53&lt;&gt;'MidWST Sum'!$C47,"Error","")</f>
        <v/>
      </c>
      <c r="BR54" s="98" t="str">
        <f>IF(BR53&lt;&gt;'SFA FGD'!$M71,"Error","")</f>
        <v/>
      </c>
      <c r="BS54" s="98" t="str">
        <f>IF(BS53&lt;&gt;'SFA Sum'!$C47,"Error","")</f>
        <v/>
      </c>
      <c r="BT54" s="98" t="str">
        <f>IF(BT53&lt;&gt;'TSU FGD'!$M71,"Error","")</f>
        <v/>
      </c>
      <c r="BU54" s="98" t="str">
        <f>IF(BU53&lt;&gt;'TSU Sum'!$C47,"Error","")</f>
        <v/>
      </c>
      <c r="BV54" s="98" t="str">
        <f>IF(BV53&lt;&gt;'TWU FGD'!$M71,"Error","")</f>
        <v/>
      </c>
      <c r="BW54" s="98" t="str">
        <f>IF(BW53&lt;&gt;'TWU Sum'!$C47,"Error","")</f>
        <v/>
      </c>
    </row>
    <row r="55" spans="1:91">
      <c r="A55" s="78" t="s">
        <v>23</v>
      </c>
      <c r="B55" s="82"/>
      <c r="C55" s="87"/>
      <c r="D55" s="91"/>
      <c r="E55" s="87"/>
      <c r="F55" s="91"/>
      <c r="G55" s="87"/>
      <c r="H55" s="91"/>
      <c r="I55" s="87"/>
      <c r="J55" s="91"/>
      <c r="K55" s="87"/>
      <c r="L55" s="82"/>
      <c r="N55" s="82"/>
      <c r="P55" s="82"/>
      <c r="R55" s="82"/>
      <c r="T55" s="82"/>
      <c r="V55" s="82"/>
      <c r="X55" s="82"/>
      <c r="Z55" s="82"/>
      <c r="AB55" s="82"/>
      <c r="AD55" s="82"/>
      <c r="AF55" s="82"/>
      <c r="AH55" s="82"/>
      <c r="AJ55" s="82"/>
      <c r="AL55" s="82"/>
      <c r="AN55" s="82"/>
      <c r="AP55" s="82"/>
      <c r="AR55" s="82"/>
      <c r="AT55" s="82"/>
      <c r="AV55" s="82"/>
      <c r="AX55" s="82"/>
      <c r="AZ55" s="82"/>
      <c r="BB55" s="82"/>
      <c r="BD55" s="82"/>
      <c r="BF55" s="82"/>
      <c r="BH55" s="82"/>
      <c r="BJ55" s="82"/>
      <c r="BL55" s="82"/>
      <c r="BN55" s="82"/>
      <c r="BP55" s="82"/>
      <c r="BR55" s="82"/>
      <c r="BT55" s="82"/>
      <c r="BV55" s="82"/>
      <c r="BX55" s="96"/>
      <c r="BY55" s="96"/>
      <c r="BZ55" s="96"/>
      <c r="CA55" s="96"/>
      <c r="CB55" s="96"/>
      <c r="CC55" s="96"/>
      <c r="CD55" s="96"/>
      <c r="CE55" s="96"/>
      <c r="CF55" s="96"/>
      <c r="CG55" s="96"/>
      <c r="CH55" s="96"/>
      <c r="CI55" s="96"/>
      <c r="CJ55" s="96"/>
      <c r="CK55" s="96"/>
      <c r="CL55" s="96"/>
      <c r="CM55" s="96"/>
    </row>
    <row r="56" spans="1:91">
      <c r="A56" s="75" t="s">
        <v>62</v>
      </c>
      <c r="B56" s="83">
        <f>SUMIF(D$70:BW$70,$B$70,D56:BW56)</f>
        <v>-751481660</v>
      </c>
      <c r="C56" s="87">
        <f t="shared" ref="C56:C59" si="132">ROUND(B56/C$6,0)</f>
        <v>-1336</v>
      </c>
      <c r="D56" s="87">
        <f>'ARL FGD'!$M74</f>
        <v>-35588085</v>
      </c>
      <c r="E56" s="87">
        <f t="shared" ref="E56:E59" si="133">ROUND(D56/E$6,0)</f>
        <v>-1036</v>
      </c>
      <c r="F56" s="87">
        <f>'AUS1 FGD'!$M74</f>
        <v>-360098588</v>
      </c>
      <c r="G56" s="87">
        <f t="shared" ref="G56:G59" si="134">ROUND(F56/G$6,0)</f>
        <v>-7575</v>
      </c>
      <c r="H56" s="87">
        <f>'DAL FGD'!$M74</f>
        <v>-22875223</v>
      </c>
      <c r="I56" s="87">
        <f t="shared" ref="I56:I59" si="135">ROUND(H56/I$6,0)</f>
        <v>-947</v>
      </c>
      <c r="J56" s="87">
        <f>'E-P FGD'!$M74</f>
        <v>-8316845</v>
      </c>
      <c r="K56" s="87">
        <f t="shared" ref="K56:K59" si="136">ROUND(J56/K$6,0)</f>
        <v>-427</v>
      </c>
      <c r="L56" s="83">
        <f>'RGV1 FGD'!$M74</f>
        <v>-23701910</v>
      </c>
      <c r="M56" s="83">
        <f t="shared" ref="M56:M59" si="137">ROUND(L56/M$6,0)</f>
        <v>-835</v>
      </c>
      <c r="N56" s="83">
        <f>'P-B FGD'!$M74</f>
        <v>-8030225</v>
      </c>
      <c r="O56" s="83">
        <f t="shared" ref="O56:O59" si="138">ROUND(N56/O$6,0)</f>
        <v>-1887</v>
      </c>
      <c r="P56" s="83">
        <f>'S-A FGD'!$M74</f>
        <v>-72382336</v>
      </c>
      <c r="Q56" s="83">
        <f t="shared" ref="Q56:Q59" si="139">ROUND(P56/Q$6,0)</f>
        <v>-2549</v>
      </c>
      <c r="R56" s="83">
        <f>'TYL FGD'!$M74</f>
        <v>-5978934</v>
      </c>
      <c r="S56" s="83">
        <f t="shared" ref="S56:S59" si="140">ROUND(R56/S$6,0)</f>
        <v>-786</v>
      </c>
      <c r="T56" s="83">
        <f>'TAMU FGD'!$M74</f>
        <v>-57478975</v>
      </c>
      <c r="U56" s="83">
        <f t="shared" ref="U56:U59" si="141">ROUND(T56/U$6,0)</f>
        <v>-988</v>
      </c>
      <c r="V56" s="83">
        <f>'TAMUG FGD'!$M74</f>
        <v>-2390460</v>
      </c>
      <c r="W56" s="83">
        <f t="shared" ref="W56:W59" si="142">ROUND(V56/W$6,0)</f>
        <v>-1379</v>
      </c>
      <c r="X56" s="83">
        <f>'PVAMU FGD'!$M74</f>
        <v>-5932666</v>
      </c>
      <c r="Y56" s="83">
        <f t="shared" ref="Y56:Y59" si="143">ROUND(X56/Y$6,0)</f>
        <v>-735</v>
      </c>
      <c r="Z56" s="83">
        <f>'TARLST FGD'!$M74</f>
        <v>-15777249</v>
      </c>
      <c r="AA56" s="83">
        <f t="shared" ref="AA56:AA59" si="144">ROUND(Z56/AA$6,0)</f>
        <v>-1365</v>
      </c>
      <c r="AB56" s="83">
        <f>'TAMUCC FGD'!$M74</f>
        <v>-15740659</v>
      </c>
      <c r="AC56" s="83">
        <f t="shared" ref="AC56:AC59" si="145">ROUND(AB56/AC$6,0)</f>
        <v>-1686</v>
      </c>
      <c r="AD56" s="83">
        <f>'TAMUK FGD'!$M74</f>
        <v>-4109446</v>
      </c>
      <c r="AE56" s="83">
        <f t="shared" ref="AE56:AE59" si="146">ROUND(AD56/AE$6,0)</f>
        <v>-732</v>
      </c>
      <c r="AF56" s="83">
        <f>'TAMUCT FGD'!$M74</f>
        <v>0</v>
      </c>
      <c r="AG56" s="83">
        <f t="shared" ref="AG56:AG59" si="147">ROUND(AF56/AG$6,0)</f>
        <v>0</v>
      </c>
      <c r="AH56" s="83">
        <f>'TAMUSA FGD'!$M74</f>
        <v>-82295</v>
      </c>
      <c r="AI56" s="83">
        <f t="shared" ref="AI56:AI59" si="148">ROUND(AH56/AI$6,0)</f>
        <v>-17</v>
      </c>
      <c r="AJ56" s="83">
        <f>'TAMIU FGD'!$M74</f>
        <v>-369520</v>
      </c>
      <c r="AK56" s="83">
        <f t="shared" ref="AK56:AK59" si="149">ROUND(AJ56/AK$6,0)</f>
        <v>-53</v>
      </c>
      <c r="AL56" s="83">
        <f>'WTAMU FGD'!$M74</f>
        <v>-72847</v>
      </c>
      <c r="AM56" s="83">
        <f t="shared" ref="AM56:AM59" si="150">ROUND(AL56/AM$6,0)</f>
        <v>-9</v>
      </c>
      <c r="AN56" s="83">
        <f>'TAMUC FGD'!$M74</f>
        <v>-5658587</v>
      </c>
      <c r="AO56" s="83">
        <f t="shared" ref="AO56:AO59" si="151">ROUND(AN56/AO$6,0)</f>
        <v>-608</v>
      </c>
      <c r="AP56" s="83">
        <f>'TAMUT FGD'!$M74</f>
        <v>-1784827</v>
      </c>
      <c r="AQ56" s="83">
        <f t="shared" ref="AQ56:AQ59" si="152">ROUND(AP56/AQ$6,0)</f>
        <v>-1081</v>
      </c>
      <c r="AR56" s="83">
        <f>'UH1 FGD'!$M74</f>
        <v>143289196</v>
      </c>
      <c r="AS56" s="83">
        <f t="shared" ref="AS56:AS59" si="153">ROUND(AR56/AS$6,0)</f>
        <v>3555</v>
      </c>
      <c r="AT56" s="83">
        <f>'UHCL FGD'!$M74</f>
        <v>0</v>
      </c>
      <c r="AU56" s="83">
        <f t="shared" ref="AU56:AU59" si="154">ROUND(AT56/AU$6,0)</f>
        <v>0</v>
      </c>
      <c r="AV56" s="83">
        <f>'UHD FGD'!$M74</f>
        <v>5734582</v>
      </c>
      <c r="AW56" s="83">
        <f t="shared" ref="AW56:AW59" si="155">ROUND(AV56/AW$6,0)</f>
        <v>512</v>
      </c>
      <c r="AX56" s="83">
        <f>'UHV FGD'!$M74</f>
        <v>-7732299</v>
      </c>
      <c r="AY56" s="83">
        <f t="shared" ref="AY56:AY59" si="156">ROUND(AX56/AY$6,0)</f>
        <v>-2145</v>
      </c>
      <c r="AZ56" s="83">
        <f>'LU FGD'!$M74</f>
        <v>-2694616</v>
      </c>
      <c r="BA56" s="83">
        <f t="shared" ref="BA56:BA59" si="157">ROUND(AZ56/BA$6,0)</f>
        <v>-199</v>
      </c>
      <c r="BB56" s="83">
        <f>'shsu1 FGD'!$M74</f>
        <v>-52853362</v>
      </c>
      <c r="BC56" s="83">
        <f t="shared" ref="BC56:BC59" si="158">ROUND(BB56/BC$6,0)</f>
        <v>-3004</v>
      </c>
      <c r="BD56" s="83">
        <f>'TXST FGD'!$M74</f>
        <v>-29063077</v>
      </c>
      <c r="BE56" s="83">
        <f t="shared" ref="BE56:BE59" si="159">ROUND(BD56/BE$6,0)</f>
        <v>-929</v>
      </c>
      <c r="BF56" s="83">
        <f>'SRSU FGD'!$M74</f>
        <v>-3443236</v>
      </c>
      <c r="BG56" s="83">
        <f t="shared" ref="BG56:BG59" si="160">ROUND(BF56/BG$6,0)</f>
        <v>-2011</v>
      </c>
      <c r="BH56" s="83">
        <f>'TTU FGD'!$M74</f>
        <v>-108431164</v>
      </c>
      <c r="BI56" s="83">
        <f t="shared" ref="BI56:BI59" si="161">ROUND(BH56/BI$6,0)</f>
        <v>-3009</v>
      </c>
      <c r="BJ56" s="83">
        <f>'ASU FGD'!$M74</f>
        <v>-2476769</v>
      </c>
      <c r="BK56" s="83">
        <f t="shared" ref="BK56:BK59" si="162">ROUND(BJ56/BK$6,0)</f>
        <v>-325</v>
      </c>
      <c r="BL56" s="83">
        <f>'UNT FGD'!$M74</f>
        <v>4471404</v>
      </c>
      <c r="BM56" s="83">
        <f t="shared" ref="BM56:BM59" si="163">ROUND(BL56/BM$6,0)</f>
        <v>129</v>
      </c>
      <c r="BN56" s="83">
        <f>'UNTD FGD'!$M74</f>
        <v>-1122444</v>
      </c>
      <c r="BO56" s="83">
        <f t="shared" ref="BO56:BO59" si="164">ROUND(BN56/BO$6,0)</f>
        <v>-324</v>
      </c>
      <c r="BP56" s="83">
        <f>'MidWST FGD'!$M74</f>
        <v>-1763329</v>
      </c>
      <c r="BQ56" s="83">
        <f t="shared" ref="BQ56:BQ59" si="165">ROUND(BP56/BQ$6,0)</f>
        <v>-408</v>
      </c>
      <c r="BR56" s="83">
        <f>'SFA FGD'!$M74</f>
        <v>-27293390</v>
      </c>
      <c r="BS56" s="83">
        <f t="shared" ref="BS56:BS59" si="166">ROUND(BR56/BS$6,0)</f>
        <v>-2632</v>
      </c>
      <c r="BT56" s="83">
        <f>'TSU FGD'!$M74</f>
        <v>-13325302</v>
      </c>
      <c r="BU56" s="83">
        <f t="shared" ref="BU56:BU59" si="167">ROUND(BT56/BU$6,0)</f>
        <v>-2067</v>
      </c>
      <c r="BV56" s="83">
        <f>'TWU FGD'!$M74</f>
        <v>-8408177</v>
      </c>
      <c r="BW56" s="83">
        <f t="shared" ref="BW56:BW59" si="168">ROUND(BV56/BW$6,0)</f>
        <v>-645</v>
      </c>
      <c r="BX56" s="96"/>
      <c r="BY56" s="96"/>
      <c r="BZ56" s="96"/>
      <c r="CA56" s="96"/>
      <c r="CB56" s="96"/>
      <c r="CC56" s="96"/>
      <c r="CD56" s="96"/>
      <c r="CE56" s="96"/>
      <c r="CF56" s="96"/>
      <c r="CG56" s="96"/>
      <c r="CH56" s="96"/>
      <c r="CI56" s="96"/>
      <c r="CJ56" s="96"/>
      <c r="CK56" s="96"/>
      <c r="CL56" s="96"/>
      <c r="CM56" s="96"/>
    </row>
    <row r="57" spans="1:91">
      <c r="A57" s="75" t="s">
        <v>572</v>
      </c>
      <c r="B57" s="82">
        <f>SUMIF(D$70:BW$70,$B$70,D57:BW57)</f>
        <v>185788654</v>
      </c>
      <c r="C57" s="87">
        <f t="shared" si="132"/>
        <v>330</v>
      </c>
      <c r="D57" s="91">
        <f>'ARL FGD'!$M75</f>
        <v>7533236</v>
      </c>
      <c r="E57" s="87">
        <f t="shared" si="133"/>
        <v>219</v>
      </c>
      <c r="F57" s="91">
        <f>'AUS1 FGD'!$M75</f>
        <v>22706743</v>
      </c>
      <c r="G57" s="87">
        <f t="shared" si="134"/>
        <v>478</v>
      </c>
      <c r="H57" s="91">
        <f>'DAL FGD'!$M75</f>
        <v>12580797</v>
      </c>
      <c r="I57" s="87">
        <f t="shared" si="135"/>
        <v>521</v>
      </c>
      <c r="J57" s="91">
        <f>'E-P FGD'!$M75</f>
        <v>-2026750</v>
      </c>
      <c r="K57" s="87">
        <f t="shared" si="136"/>
        <v>-104</v>
      </c>
      <c r="L57" s="82">
        <f>'RGV1 FGD'!$M75</f>
        <v>-2211488</v>
      </c>
      <c r="M57" s="87">
        <f t="shared" si="137"/>
        <v>-78</v>
      </c>
      <c r="N57" s="82">
        <f>'P-B FGD'!$M75</f>
        <v>89184</v>
      </c>
      <c r="O57" s="87">
        <f t="shared" si="138"/>
        <v>21</v>
      </c>
      <c r="P57" s="82">
        <f>'S-A FGD'!$M75</f>
        <v>3297894</v>
      </c>
      <c r="Q57" s="87">
        <f t="shared" si="139"/>
        <v>116</v>
      </c>
      <c r="R57" s="82">
        <f>'TYL FGD'!$M75</f>
        <v>232982</v>
      </c>
      <c r="S57" s="87">
        <f t="shared" si="140"/>
        <v>31</v>
      </c>
      <c r="T57" s="82">
        <f>'TAMU FGD'!$M75</f>
        <v>-16981815</v>
      </c>
      <c r="U57" s="87">
        <f t="shared" si="141"/>
        <v>-292</v>
      </c>
      <c r="V57" s="82">
        <f>'TAMUG FGD'!$M75</f>
        <v>2908081</v>
      </c>
      <c r="W57" s="87">
        <f t="shared" si="142"/>
        <v>1678</v>
      </c>
      <c r="X57" s="82">
        <f>'PVAMU FGD'!$M75</f>
        <v>85805</v>
      </c>
      <c r="Y57" s="87">
        <f t="shared" si="143"/>
        <v>11</v>
      </c>
      <c r="Z57" s="82">
        <f>'TARLST FGD'!$M75</f>
        <v>26092787</v>
      </c>
      <c r="AA57" s="87">
        <f t="shared" si="144"/>
        <v>2258</v>
      </c>
      <c r="AB57" s="82">
        <f>'TAMUCC FGD'!$M75</f>
        <v>22691115</v>
      </c>
      <c r="AC57" s="87">
        <f t="shared" si="145"/>
        <v>2430</v>
      </c>
      <c r="AD57" s="82">
        <f>'TAMUK FGD'!$M75</f>
        <v>5228072</v>
      </c>
      <c r="AE57" s="87">
        <f t="shared" si="146"/>
        <v>931</v>
      </c>
      <c r="AF57" s="82">
        <f>'TAMUCT FGD'!$M75</f>
        <v>2172032</v>
      </c>
      <c r="AG57" s="87">
        <f t="shared" si="147"/>
        <v>1352</v>
      </c>
      <c r="AH57" s="82">
        <f>'TAMUSA FGD'!$M75</f>
        <v>2577193</v>
      </c>
      <c r="AI57" s="87">
        <f t="shared" si="148"/>
        <v>541</v>
      </c>
      <c r="AJ57" s="82">
        <f>'TAMIU FGD'!$M75</f>
        <v>6893979</v>
      </c>
      <c r="AK57" s="87">
        <f t="shared" si="149"/>
        <v>990</v>
      </c>
      <c r="AL57" s="82">
        <f>'WTAMU FGD'!$M75</f>
        <v>2018012</v>
      </c>
      <c r="AM57" s="87">
        <f t="shared" si="150"/>
        <v>261</v>
      </c>
      <c r="AN57" s="82">
        <f>'TAMUC FGD'!$M75</f>
        <v>708952</v>
      </c>
      <c r="AO57" s="87">
        <f t="shared" si="151"/>
        <v>76</v>
      </c>
      <c r="AP57" s="82">
        <f>'TAMUT FGD'!$M75</f>
        <v>1140042</v>
      </c>
      <c r="AQ57" s="87">
        <f t="shared" si="152"/>
        <v>690</v>
      </c>
      <c r="AR57" s="82">
        <f>'UH1 FGD'!$M75</f>
        <v>217178198</v>
      </c>
      <c r="AS57" s="87">
        <f t="shared" si="153"/>
        <v>5388</v>
      </c>
      <c r="AT57" s="82">
        <f>'UHCL FGD'!$M75</f>
        <v>17423946</v>
      </c>
      <c r="AU57" s="87">
        <f t="shared" si="154"/>
        <v>2577</v>
      </c>
      <c r="AV57" s="82">
        <f>'UHD FGD'!$M75</f>
        <v>23055840</v>
      </c>
      <c r="AW57" s="87">
        <f t="shared" si="155"/>
        <v>2060</v>
      </c>
      <c r="AX57" s="82">
        <f>'UHV FGD'!$M75</f>
        <v>4810937</v>
      </c>
      <c r="AY57" s="87">
        <f t="shared" si="156"/>
        <v>1335</v>
      </c>
      <c r="AZ57" s="82">
        <f>'LU FGD'!$M75</f>
        <v>302062</v>
      </c>
      <c r="BA57" s="87">
        <f t="shared" si="157"/>
        <v>22</v>
      </c>
      <c r="BB57" s="82">
        <f>'shsu1 FGD'!$M75</f>
        <v>-5903864</v>
      </c>
      <c r="BC57" s="87">
        <f t="shared" si="158"/>
        <v>-336</v>
      </c>
      <c r="BD57" s="82">
        <f>'TXST FGD'!$M75</f>
        <v>-3612145</v>
      </c>
      <c r="BE57" s="87">
        <f t="shared" si="159"/>
        <v>-115</v>
      </c>
      <c r="BF57" s="82">
        <f>'SRSU FGD'!$M75</f>
        <v>-3941288</v>
      </c>
      <c r="BG57" s="87">
        <f t="shared" si="160"/>
        <v>-2301</v>
      </c>
      <c r="BH57" s="82">
        <f>'TTU FGD'!$M75</f>
        <v>-51280768</v>
      </c>
      <c r="BI57" s="87">
        <f t="shared" si="161"/>
        <v>-1423</v>
      </c>
      <c r="BJ57" s="82">
        <f>'ASU FGD'!$M75</f>
        <v>-9759086</v>
      </c>
      <c r="BK57" s="87">
        <f t="shared" si="162"/>
        <v>-1281</v>
      </c>
      <c r="BL57" s="82">
        <f>'UNT FGD'!$M75</f>
        <v>-84139574</v>
      </c>
      <c r="BM57" s="87">
        <f t="shared" si="163"/>
        <v>-2423</v>
      </c>
      <c r="BN57" s="82">
        <f>'UNTD FGD'!$M75</f>
        <v>-10608967</v>
      </c>
      <c r="BO57" s="87">
        <f t="shared" si="164"/>
        <v>-3063</v>
      </c>
      <c r="BP57" s="82">
        <f>'MidWST FGD'!$M75</f>
        <v>-2704173</v>
      </c>
      <c r="BQ57" s="87">
        <f t="shared" si="165"/>
        <v>-626</v>
      </c>
      <c r="BR57" s="82">
        <f>'SFA FGD'!$M75</f>
        <v>670236</v>
      </c>
      <c r="BS57" s="87">
        <f t="shared" si="166"/>
        <v>65</v>
      </c>
      <c r="BT57" s="82">
        <f>'TSU FGD'!$M75</f>
        <v>-3767752</v>
      </c>
      <c r="BU57" s="87">
        <f t="shared" si="167"/>
        <v>-585</v>
      </c>
      <c r="BV57" s="82">
        <f>'TWU FGD'!$M75</f>
        <v>328199</v>
      </c>
      <c r="BW57" s="87">
        <f t="shared" si="168"/>
        <v>25</v>
      </c>
      <c r="BX57" s="85"/>
      <c r="BY57" s="85"/>
      <c r="BZ57" s="85"/>
      <c r="CA57" s="85"/>
      <c r="CB57" s="85"/>
      <c r="CC57" s="85"/>
      <c r="CD57" s="85"/>
      <c r="CE57" s="85"/>
      <c r="CF57" s="85"/>
      <c r="CG57" s="85"/>
      <c r="CH57" s="85"/>
      <c r="CI57" s="85"/>
      <c r="CJ57" s="85"/>
      <c r="CK57" s="85"/>
      <c r="CL57" s="85"/>
      <c r="CM57" s="85"/>
    </row>
    <row r="58" spans="1:91">
      <c r="A58" s="75" t="s">
        <v>51</v>
      </c>
      <c r="B58" s="82">
        <f>SUMIF(D$70:BW$70,$B$70,D58:BW58)</f>
        <v>560305854</v>
      </c>
      <c r="C58" s="87">
        <f t="shared" si="132"/>
        <v>996</v>
      </c>
      <c r="D58" s="91">
        <f>'ARL FGD'!$M76</f>
        <v>35870062</v>
      </c>
      <c r="E58" s="87">
        <f t="shared" si="133"/>
        <v>1044</v>
      </c>
      <c r="F58" s="91">
        <f>'AUS1 FGD'!$M76</f>
        <v>221797095</v>
      </c>
      <c r="G58" s="87">
        <f t="shared" si="134"/>
        <v>4666</v>
      </c>
      <c r="H58" s="91">
        <f>'DAL FGD'!$M76</f>
        <v>8984486</v>
      </c>
      <c r="I58" s="87">
        <f t="shared" si="135"/>
        <v>372</v>
      </c>
      <c r="J58" s="91">
        <f>'E-P FGD'!$M76</f>
        <v>13287671</v>
      </c>
      <c r="K58" s="87">
        <f t="shared" si="136"/>
        <v>682</v>
      </c>
      <c r="L58" s="82">
        <f>'RGV1 FGD'!$M76</f>
        <v>34597718</v>
      </c>
      <c r="M58" s="87">
        <f t="shared" si="137"/>
        <v>1219</v>
      </c>
      <c r="N58" s="82">
        <f>'P-B FGD'!$M76</f>
        <v>8659975</v>
      </c>
      <c r="O58" s="87">
        <f t="shared" si="138"/>
        <v>2035</v>
      </c>
      <c r="P58" s="82">
        <f>'S-A FGD'!$M76</f>
        <v>77361204</v>
      </c>
      <c r="Q58" s="87">
        <f t="shared" si="139"/>
        <v>2724</v>
      </c>
      <c r="R58" s="82">
        <f>'TYL FGD'!$M76</f>
        <v>3309931</v>
      </c>
      <c r="S58" s="87">
        <f t="shared" si="140"/>
        <v>435</v>
      </c>
      <c r="T58" s="82">
        <f>'TAMU FGD'!$M76</f>
        <v>0</v>
      </c>
      <c r="U58" s="87">
        <f t="shared" si="141"/>
        <v>0</v>
      </c>
      <c r="V58" s="82">
        <f>'TAMUG FGD'!$M76</f>
        <v>0</v>
      </c>
      <c r="W58" s="87">
        <f t="shared" si="142"/>
        <v>0</v>
      </c>
      <c r="X58" s="82">
        <f>'PVAMU FGD'!$M76</f>
        <v>0</v>
      </c>
      <c r="Y58" s="87">
        <f t="shared" si="143"/>
        <v>0</v>
      </c>
      <c r="Z58" s="82">
        <f>'TARLST FGD'!$M76</f>
        <v>0</v>
      </c>
      <c r="AA58" s="87">
        <f t="shared" si="144"/>
        <v>0</v>
      </c>
      <c r="AB58" s="82">
        <f>'TAMUCC FGD'!$M76</f>
        <v>0</v>
      </c>
      <c r="AC58" s="87">
        <f t="shared" si="145"/>
        <v>0</v>
      </c>
      <c r="AD58" s="82">
        <f>'TAMUK FGD'!$M76</f>
        <v>0</v>
      </c>
      <c r="AE58" s="87">
        <f t="shared" si="146"/>
        <v>0</v>
      </c>
      <c r="AF58" s="82">
        <f>'TAMUCT FGD'!$M76</f>
        <v>0</v>
      </c>
      <c r="AG58" s="87">
        <f t="shared" si="147"/>
        <v>0</v>
      </c>
      <c r="AH58" s="82">
        <f>'TAMUSA FGD'!$M76</f>
        <v>0</v>
      </c>
      <c r="AI58" s="87">
        <f t="shared" si="148"/>
        <v>0</v>
      </c>
      <c r="AJ58" s="82">
        <f>'TAMIU FGD'!$M76</f>
        <v>0</v>
      </c>
      <c r="AK58" s="87">
        <f t="shared" si="149"/>
        <v>0</v>
      </c>
      <c r="AL58" s="82">
        <f>'WTAMU FGD'!$M76</f>
        <v>0</v>
      </c>
      <c r="AM58" s="87">
        <f t="shared" si="150"/>
        <v>0</v>
      </c>
      <c r="AN58" s="82">
        <f>'TAMUC FGD'!$M76</f>
        <v>0</v>
      </c>
      <c r="AO58" s="87">
        <f t="shared" si="151"/>
        <v>0</v>
      </c>
      <c r="AP58" s="82">
        <f>'TAMUT FGD'!$M76</f>
        <v>0</v>
      </c>
      <c r="AQ58" s="87">
        <f t="shared" si="152"/>
        <v>0</v>
      </c>
      <c r="AR58" s="82">
        <f>'UH1 FGD'!$M76</f>
        <v>48101000</v>
      </c>
      <c r="AS58" s="87">
        <f t="shared" si="153"/>
        <v>1193</v>
      </c>
      <c r="AT58" s="82">
        <f>'UHCL FGD'!$M76</f>
        <v>0</v>
      </c>
      <c r="AU58" s="87">
        <f t="shared" si="154"/>
        <v>0</v>
      </c>
      <c r="AV58" s="82">
        <f>'UHD FGD'!$M76</f>
        <v>0</v>
      </c>
      <c r="AW58" s="87">
        <f t="shared" si="155"/>
        <v>0</v>
      </c>
      <c r="AX58" s="82">
        <f>'UHV FGD'!$M76</f>
        <v>1444000</v>
      </c>
      <c r="AY58" s="87">
        <f t="shared" si="156"/>
        <v>401</v>
      </c>
      <c r="AZ58" s="82">
        <f>'LU FGD'!$M76</f>
        <v>0</v>
      </c>
      <c r="BA58" s="87">
        <f t="shared" si="157"/>
        <v>0</v>
      </c>
      <c r="BB58" s="82">
        <f>'shsu1 FGD'!$M76</f>
        <v>0</v>
      </c>
      <c r="BC58" s="87">
        <f t="shared" si="158"/>
        <v>0</v>
      </c>
      <c r="BD58" s="82">
        <f>'TXST FGD'!$M76</f>
        <v>0</v>
      </c>
      <c r="BE58" s="87">
        <f t="shared" si="159"/>
        <v>0</v>
      </c>
      <c r="BF58" s="82">
        <f>'SRSU FGD'!$M76</f>
        <v>0</v>
      </c>
      <c r="BG58" s="87">
        <f t="shared" si="160"/>
        <v>0</v>
      </c>
      <c r="BH58" s="82">
        <f>'TTU FGD'!$M76</f>
        <v>89031003</v>
      </c>
      <c r="BI58" s="87">
        <f t="shared" si="161"/>
        <v>2471</v>
      </c>
      <c r="BJ58" s="82">
        <f>'ASU FGD'!$M76</f>
        <v>0</v>
      </c>
      <c r="BK58" s="87">
        <f t="shared" si="162"/>
        <v>0</v>
      </c>
      <c r="BL58" s="82">
        <f>'UNT FGD'!$M76</f>
        <v>0</v>
      </c>
      <c r="BM58" s="87">
        <f t="shared" si="163"/>
        <v>0</v>
      </c>
      <c r="BN58" s="82">
        <f>'UNTD FGD'!$M76</f>
        <v>0</v>
      </c>
      <c r="BO58" s="87">
        <f t="shared" si="164"/>
        <v>0</v>
      </c>
      <c r="BP58" s="82">
        <f>'MidWST FGD'!$M76</f>
        <v>-76777</v>
      </c>
      <c r="BQ58" s="87">
        <f t="shared" si="165"/>
        <v>-18</v>
      </c>
      <c r="BR58" s="82">
        <f>'SFA FGD'!$M76</f>
        <v>0</v>
      </c>
      <c r="BS58" s="87">
        <f t="shared" si="166"/>
        <v>0</v>
      </c>
      <c r="BT58" s="82">
        <f>'TSU FGD'!$M76</f>
        <v>0</v>
      </c>
      <c r="BU58" s="87">
        <f t="shared" si="167"/>
        <v>0</v>
      </c>
      <c r="BV58" s="82">
        <f>'TWU FGD'!$M76</f>
        <v>17938486</v>
      </c>
      <c r="BW58" s="87">
        <f t="shared" si="168"/>
        <v>1377</v>
      </c>
      <c r="BX58" s="85"/>
      <c r="BY58" s="85"/>
      <c r="BZ58" s="85"/>
      <c r="CA58" s="85"/>
      <c r="CB58" s="85"/>
      <c r="CC58" s="85"/>
      <c r="CD58" s="85"/>
      <c r="CE58" s="85"/>
      <c r="CF58" s="85"/>
      <c r="CG58" s="85"/>
      <c r="CH58" s="85"/>
      <c r="CI58" s="85"/>
      <c r="CJ58" s="85"/>
      <c r="CK58" s="85"/>
      <c r="CL58" s="85"/>
      <c r="CM58" s="85"/>
    </row>
    <row r="59" spans="1:91" ht="12" customHeight="1">
      <c r="A59" s="75" t="s">
        <v>46</v>
      </c>
      <c r="B59" s="82">
        <f>SUMIF(D$70:BW$70,$B$70,D59:BW59)</f>
        <v>-880144903</v>
      </c>
      <c r="C59" s="87">
        <f t="shared" si="132"/>
        <v>-1564</v>
      </c>
      <c r="D59" s="91">
        <f>'ARL FGD'!$M77</f>
        <v>-22816206</v>
      </c>
      <c r="E59" s="87">
        <f t="shared" si="133"/>
        <v>-664</v>
      </c>
      <c r="F59" s="91">
        <f>'AUS1 FGD'!$M77</f>
        <v>-96420973</v>
      </c>
      <c r="G59" s="87">
        <f t="shared" si="134"/>
        <v>-2028</v>
      </c>
      <c r="H59" s="91">
        <f>'DAL FGD'!$M77</f>
        <v>-36850971</v>
      </c>
      <c r="I59" s="87">
        <f t="shared" si="135"/>
        <v>-1525</v>
      </c>
      <c r="J59" s="91">
        <f>'E-P FGD'!$M77</f>
        <v>-18455392</v>
      </c>
      <c r="K59" s="87">
        <f t="shared" si="136"/>
        <v>-947</v>
      </c>
      <c r="L59" s="82">
        <f>'RGV1 FGD'!$M77</f>
        <v>-20173586</v>
      </c>
      <c r="M59" s="87">
        <f t="shared" si="137"/>
        <v>-711</v>
      </c>
      <c r="N59" s="82">
        <f>'P-B FGD'!$M77</f>
        <v>-17255012</v>
      </c>
      <c r="O59" s="87">
        <f t="shared" si="138"/>
        <v>-4055</v>
      </c>
      <c r="P59" s="82">
        <f>'S-A FGD'!$M77</f>
        <v>-27451690</v>
      </c>
      <c r="Q59" s="87">
        <f t="shared" si="139"/>
        <v>-967</v>
      </c>
      <c r="R59" s="82">
        <f>'TYL FGD'!$M77</f>
        <v>-12968414</v>
      </c>
      <c r="S59" s="87">
        <f t="shared" si="140"/>
        <v>-1705</v>
      </c>
      <c r="T59" s="82">
        <f>'TAMU FGD'!$M77</f>
        <v>-118830460</v>
      </c>
      <c r="U59" s="87">
        <f t="shared" si="141"/>
        <v>-2044</v>
      </c>
      <c r="V59" s="82">
        <f>'TAMUG FGD'!$M77</f>
        <v>-10693834</v>
      </c>
      <c r="W59" s="87">
        <f t="shared" si="142"/>
        <v>-6171</v>
      </c>
      <c r="X59" s="82">
        <f>'PVAMU FGD'!$M77</f>
        <v>-13990006</v>
      </c>
      <c r="Y59" s="87">
        <f t="shared" si="143"/>
        <v>-1734</v>
      </c>
      <c r="Z59" s="82">
        <f>'TARLST FGD'!$M77</f>
        <v>-26883723</v>
      </c>
      <c r="AA59" s="87">
        <f t="shared" si="144"/>
        <v>-2326</v>
      </c>
      <c r="AB59" s="82">
        <f>'TAMUCC FGD'!$M77</f>
        <v>-16983773</v>
      </c>
      <c r="AC59" s="87">
        <f t="shared" si="145"/>
        <v>-1819</v>
      </c>
      <c r="AD59" s="82">
        <f>'TAMUK FGD'!$M77</f>
        <v>-13671028</v>
      </c>
      <c r="AE59" s="87">
        <f t="shared" si="146"/>
        <v>-2434</v>
      </c>
      <c r="AF59" s="82">
        <f>'TAMUCT FGD'!$M77</f>
        <v>-4539061</v>
      </c>
      <c r="AG59" s="87">
        <f t="shared" si="147"/>
        <v>-2825</v>
      </c>
      <c r="AH59" s="82">
        <f>'TAMUSA FGD'!$M77</f>
        <v>-7997035</v>
      </c>
      <c r="AI59" s="87">
        <f t="shared" si="148"/>
        <v>-1679</v>
      </c>
      <c r="AJ59" s="82">
        <f>'TAMIU FGD'!$M77</f>
        <v>-10900198</v>
      </c>
      <c r="AK59" s="87">
        <f t="shared" si="149"/>
        <v>-1566</v>
      </c>
      <c r="AL59" s="82">
        <f>'WTAMU FGD'!$M77</f>
        <v>-16162831</v>
      </c>
      <c r="AM59" s="87">
        <f t="shared" si="150"/>
        <v>-2092</v>
      </c>
      <c r="AN59" s="82">
        <f>'TAMUC FGD'!$M77</f>
        <v>-12760583</v>
      </c>
      <c r="AO59" s="87">
        <f t="shared" si="151"/>
        <v>-1370</v>
      </c>
      <c r="AP59" s="82">
        <f>'TAMUT FGD'!$M77</f>
        <v>-8634749</v>
      </c>
      <c r="AQ59" s="87">
        <f t="shared" si="152"/>
        <v>-5228</v>
      </c>
      <c r="AR59" s="82">
        <f>'UH1 FGD'!$M77</f>
        <v>-145875990</v>
      </c>
      <c r="AS59" s="87">
        <f t="shared" si="153"/>
        <v>-3619</v>
      </c>
      <c r="AT59" s="82">
        <f>'UHCL FGD'!$M77</f>
        <v>-5349465</v>
      </c>
      <c r="AU59" s="87">
        <f t="shared" si="154"/>
        <v>-791</v>
      </c>
      <c r="AV59" s="82">
        <f>'UHD FGD'!$M77</f>
        <v>-12894562</v>
      </c>
      <c r="AW59" s="87">
        <f t="shared" si="155"/>
        <v>-1152</v>
      </c>
      <c r="AX59" s="82">
        <f>'UHV FGD'!$M77</f>
        <v>-7706264</v>
      </c>
      <c r="AY59" s="87">
        <f t="shared" si="156"/>
        <v>-2138</v>
      </c>
      <c r="AZ59" s="82">
        <f>'LU FGD'!$M77</f>
        <v>-16535152</v>
      </c>
      <c r="BA59" s="87">
        <f t="shared" si="157"/>
        <v>-1223</v>
      </c>
      <c r="BB59" s="82">
        <f>'shsu1 FGD'!$M77</f>
        <v>0</v>
      </c>
      <c r="BC59" s="87">
        <f t="shared" si="158"/>
        <v>0</v>
      </c>
      <c r="BD59" s="82">
        <f>'TXST FGD'!$M77</f>
        <v>-60468333</v>
      </c>
      <c r="BE59" s="87">
        <f t="shared" si="159"/>
        <v>-1932</v>
      </c>
      <c r="BF59" s="82">
        <f>'SRSU FGD'!$M77</f>
        <v>0</v>
      </c>
      <c r="BG59" s="87">
        <f t="shared" si="160"/>
        <v>0</v>
      </c>
      <c r="BH59" s="82">
        <f>'TTU FGD'!$M77</f>
        <v>-52347614</v>
      </c>
      <c r="BI59" s="87">
        <f t="shared" si="161"/>
        <v>-1453</v>
      </c>
      <c r="BJ59" s="82">
        <f>'ASU FGD'!$M77</f>
        <v>-12983540</v>
      </c>
      <c r="BK59" s="87">
        <f t="shared" si="162"/>
        <v>-1704</v>
      </c>
      <c r="BL59" s="82">
        <f>'UNT FGD'!$M77</f>
        <v>-17505</v>
      </c>
      <c r="BM59" s="87">
        <f t="shared" si="163"/>
        <v>-1</v>
      </c>
      <c r="BN59" s="82">
        <f>'UNTD FGD'!$M77</f>
        <v>0</v>
      </c>
      <c r="BO59" s="87">
        <f t="shared" si="164"/>
        <v>0</v>
      </c>
      <c r="BP59" s="82">
        <f>'MidWST FGD'!$M77</f>
        <v>-11178053</v>
      </c>
      <c r="BQ59" s="87">
        <f t="shared" si="165"/>
        <v>-2586</v>
      </c>
      <c r="BR59" s="82">
        <f>'SFA FGD'!$M77</f>
        <v>-8989878</v>
      </c>
      <c r="BS59" s="87">
        <f t="shared" si="166"/>
        <v>-867</v>
      </c>
      <c r="BT59" s="82">
        <f>'TSU FGD'!$M77</f>
        <v>-15903989</v>
      </c>
      <c r="BU59" s="87">
        <f t="shared" si="167"/>
        <v>-2467</v>
      </c>
      <c r="BV59" s="82">
        <f>'TWU FGD'!$M77</f>
        <v>-15455033</v>
      </c>
      <c r="BW59" s="87">
        <f t="shared" si="168"/>
        <v>-1186</v>
      </c>
      <c r="BX59" s="96"/>
      <c r="BY59" s="96"/>
      <c r="BZ59" s="96"/>
      <c r="CA59" s="96"/>
      <c r="CB59" s="96"/>
      <c r="CC59" s="96"/>
      <c r="CD59" s="96"/>
      <c r="CE59" s="96"/>
      <c r="CF59" s="96"/>
      <c r="CG59" s="96"/>
      <c r="CH59" s="96"/>
      <c r="CI59" s="96"/>
      <c r="CJ59" s="96"/>
      <c r="CK59" s="96"/>
      <c r="CL59" s="96"/>
      <c r="CM59" s="96"/>
    </row>
    <row r="60" spans="1:91">
      <c r="A60" s="88" t="s">
        <v>3</v>
      </c>
      <c r="B60" s="89">
        <f t="shared" ref="B60:BK60" si="169">SUM(B56:B59)</f>
        <v>-885532055</v>
      </c>
      <c r="C60" s="382">
        <f t="shared" si="169"/>
        <v>-1574</v>
      </c>
      <c r="D60" s="382">
        <f t="shared" si="169"/>
        <v>-15000993</v>
      </c>
      <c r="E60" s="382">
        <f t="shared" si="169"/>
        <v>-437</v>
      </c>
      <c r="F60" s="382">
        <f t="shared" si="169"/>
        <v>-212015723</v>
      </c>
      <c r="G60" s="382">
        <f t="shared" si="169"/>
        <v>-4459</v>
      </c>
      <c r="H60" s="382">
        <f t="shared" si="169"/>
        <v>-38160911</v>
      </c>
      <c r="I60" s="382">
        <f t="shared" si="169"/>
        <v>-1579</v>
      </c>
      <c r="J60" s="382">
        <f t="shared" si="169"/>
        <v>-15511316</v>
      </c>
      <c r="K60" s="382">
        <f t="shared" si="169"/>
        <v>-796</v>
      </c>
      <c r="L60" s="89">
        <f t="shared" si="169"/>
        <v>-11489266</v>
      </c>
      <c r="M60" s="89">
        <f t="shared" si="169"/>
        <v>-405</v>
      </c>
      <c r="N60" s="89">
        <f t="shared" si="169"/>
        <v>-16536078</v>
      </c>
      <c r="O60" s="89">
        <f t="shared" si="169"/>
        <v>-3886</v>
      </c>
      <c r="P60" s="89">
        <f t="shared" si="169"/>
        <v>-19174928</v>
      </c>
      <c r="Q60" s="89">
        <f t="shared" si="169"/>
        <v>-676</v>
      </c>
      <c r="R60" s="89">
        <f t="shared" si="169"/>
        <v>-15404435</v>
      </c>
      <c r="S60" s="89">
        <f t="shared" si="169"/>
        <v>-2025</v>
      </c>
      <c r="T60" s="89">
        <f t="shared" si="169"/>
        <v>-193291250</v>
      </c>
      <c r="U60" s="89">
        <f t="shared" si="169"/>
        <v>-3324</v>
      </c>
      <c r="V60" s="89">
        <f t="shared" si="169"/>
        <v>-10176213</v>
      </c>
      <c r="W60" s="89">
        <f t="shared" si="169"/>
        <v>-5872</v>
      </c>
      <c r="X60" s="89">
        <f t="shared" si="169"/>
        <v>-19836867</v>
      </c>
      <c r="Y60" s="89">
        <f t="shared" si="169"/>
        <v>-2458</v>
      </c>
      <c r="Z60" s="89">
        <f t="shared" si="169"/>
        <v>-16568185</v>
      </c>
      <c r="AA60" s="89">
        <f t="shared" si="169"/>
        <v>-1433</v>
      </c>
      <c r="AB60" s="89">
        <f t="shared" si="169"/>
        <v>-10033317</v>
      </c>
      <c r="AC60" s="89">
        <f t="shared" si="169"/>
        <v>-1075</v>
      </c>
      <c r="AD60" s="89">
        <f t="shared" si="169"/>
        <v>-12552402</v>
      </c>
      <c r="AE60" s="89">
        <f t="shared" si="169"/>
        <v>-2235</v>
      </c>
      <c r="AF60" s="89">
        <f t="shared" si="169"/>
        <v>-2367029</v>
      </c>
      <c r="AG60" s="89">
        <f t="shared" si="169"/>
        <v>-1473</v>
      </c>
      <c r="AH60" s="89">
        <f t="shared" si="169"/>
        <v>-5502137</v>
      </c>
      <c r="AI60" s="89">
        <f t="shared" si="169"/>
        <v>-1155</v>
      </c>
      <c r="AJ60" s="89">
        <f t="shared" si="169"/>
        <v>-4375739</v>
      </c>
      <c r="AK60" s="89">
        <f t="shared" si="169"/>
        <v>-629</v>
      </c>
      <c r="AL60" s="89">
        <f t="shared" si="169"/>
        <v>-14217666</v>
      </c>
      <c r="AM60" s="89">
        <f t="shared" si="169"/>
        <v>-1840</v>
      </c>
      <c r="AN60" s="89">
        <f t="shared" si="169"/>
        <v>-17710218</v>
      </c>
      <c r="AO60" s="89">
        <f t="shared" si="169"/>
        <v>-1902</v>
      </c>
      <c r="AP60" s="89">
        <f t="shared" si="169"/>
        <v>-9279534</v>
      </c>
      <c r="AQ60" s="89">
        <f t="shared" si="169"/>
        <v>-5619</v>
      </c>
      <c r="AR60" s="89">
        <f t="shared" si="169"/>
        <v>262692404</v>
      </c>
      <c r="AS60" s="89">
        <f t="shared" si="169"/>
        <v>6517</v>
      </c>
      <c r="AT60" s="89">
        <f t="shared" si="169"/>
        <v>12074481</v>
      </c>
      <c r="AU60" s="89">
        <f t="shared" si="169"/>
        <v>1786</v>
      </c>
      <c r="AV60" s="89">
        <f t="shared" si="169"/>
        <v>15895860</v>
      </c>
      <c r="AW60" s="89">
        <f t="shared" si="169"/>
        <v>1420</v>
      </c>
      <c r="AX60" s="89">
        <f t="shared" si="169"/>
        <v>-9183626</v>
      </c>
      <c r="AY60" s="89">
        <f t="shared" si="169"/>
        <v>-2547</v>
      </c>
      <c r="AZ60" s="89">
        <f t="shared" si="169"/>
        <v>-18927706</v>
      </c>
      <c r="BA60" s="89">
        <f t="shared" si="169"/>
        <v>-1400</v>
      </c>
      <c r="BB60" s="89">
        <f t="shared" si="169"/>
        <v>-58757226</v>
      </c>
      <c r="BC60" s="89">
        <f t="shared" si="169"/>
        <v>-3340</v>
      </c>
      <c r="BD60" s="89">
        <f t="shared" si="169"/>
        <v>-93143555</v>
      </c>
      <c r="BE60" s="89">
        <f t="shared" si="169"/>
        <v>-2976</v>
      </c>
      <c r="BF60" s="89">
        <f t="shared" si="169"/>
        <v>-7384524</v>
      </c>
      <c r="BG60" s="89">
        <f t="shared" si="169"/>
        <v>-4312</v>
      </c>
      <c r="BH60" s="89">
        <f t="shared" si="169"/>
        <v>-123028543</v>
      </c>
      <c r="BI60" s="89">
        <f t="shared" si="169"/>
        <v>-3414</v>
      </c>
      <c r="BJ60" s="89">
        <f t="shared" si="169"/>
        <v>-25219395</v>
      </c>
      <c r="BK60" s="89">
        <f t="shared" si="169"/>
        <v>-3310</v>
      </c>
      <c r="BL60" s="89">
        <f t="shared" ref="BL60:BW60" si="170">SUM(BL56:BL59)</f>
        <v>-79685675</v>
      </c>
      <c r="BM60" s="89">
        <f t="shared" si="170"/>
        <v>-2295</v>
      </c>
      <c r="BN60" s="89">
        <f t="shared" si="170"/>
        <v>-11731411</v>
      </c>
      <c r="BO60" s="89">
        <f t="shared" si="170"/>
        <v>-3387</v>
      </c>
      <c r="BP60" s="89">
        <f t="shared" si="170"/>
        <v>-15722332</v>
      </c>
      <c r="BQ60" s="89">
        <f t="shared" si="170"/>
        <v>-3638</v>
      </c>
      <c r="BR60" s="89">
        <f t="shared" si="170"/>
        <v>-35613032</v>
      </c>
      <c r="BS60" s="89">
        <f t="shared" si="170"/>
        <v>-3434</v>
      </c>
      <c r="BT60" s="89">
        <f t="shared" si="170"/>
        <v>-32997043</v>
      </c>
      <c r="BU60" s="89">
        <f t="shared" si="170"/>
        <v>-5119</v>
      </c>
      <c r="BV60" s="89">
        <f t="shared" si="170"/>
        <v>-5596525</v>
      </c>
      <c r="BW60" s="89">
        <f t="shared" si="170"/>
        <v>-429</v>
      </c>
      <c r="BX60" s="85"/>
      <c r="BY60" s="85"/>
      <c r="BZ60" s="85"/>
      <c r="CA60" s="85"/>
      <c r="CB60" s="85"/>
      <c r="CC60" s="85"/>
      <c r="CD60" s="85"/>
      <c r="CE60" s="85"/>
      <c r="CF60" s="85"/>
      <c r="CG60" s="85"/>
      <c r="CH60" s="85"/>
      <c r="CI60" s="85"/>
      <c r="CJ60" s="85"/>
      <c r="CK60" s="85"/>
      <c r="CL60" s="85"/>
      <c r="CM60" s="85"/>
    </row>
    <row r="61" spans="1:91">
      <c r="B61" s="98" t="str">
        <f>IF(B60&lt;&gt;'Smmy Sum'!B90,"Error","")</f>
        <v/>
      </c>
      <c r="C61" s="383" t="str">
        <f>IF(C60&lt;&gt;'Smmy Sum'!$C90,"Error","")</f>
        <v/>
      </c>
      <c r="D61" s="383" t="str">
        <f>IF(D60&lt;&gt;'ARL FGD'!$M78,"Error","")</f>
        <v/>
      </c>
      <c r="E61" s="383" t="str">
        <f>IF(E60&lt;&gt;'ARL Sum'!$C54,"Error","")</f>
        <v/>
      </c>
      <c r="F61" s="383" t="str">
        <f>IF(F60&lt;&gt;'AUS1 FGD'!$M78,"Error","")</f>
        <v/>
      </c>
      <c r="G61" s="383" t="str">
        <f>IF(G60&lt;&gt;'AUS1 Sum'!$C54,"Error","")</f>
        <v/>
      </c>
      <c r="H61" s="383" t="str">
        <f>IF(H60&lt;&gt;'DAL FGD'!$M78,"Error","")</f>
        <v/>
      </c>
      <c r="I61" s="383" t="str">
        <f>IF(I60&lt;&gt;'DAL Sum'!$C54,"Error","")</f>
        <v/>
      </c>
      <c r="J61" s="383" t="str">
        <f>IF(J60&lt;&gt;'E-P FGD'!$M78,"Error","")</f>
        <v/>
      </c>
      <c r="K61" s="383" t="str">
        <f>IF(K60&lt;&gt;'E-P Sum'!$C54,"Error","")</f>
        <v/>
      </c>
      <c r="L61" s="98" t="str">
        <f>IF(L60&lt;&gt;'RGV1 FGD'!$M78,"Error","")</f>
        <v/>
      </c>
      <c r="M61" s="98" t="str">
        <f>IF(M60&lt;&gt;'RGV1 Sum'!$C54,"Error","")</f>
        <v/>
      </c>
      <c r="N61" s="98" t="str">
        <f>IF(N60&lt;&gt;'P-B FGD'!$M78,"Error","")</f>
        <v/>
      </c>
      <c r="O61" s="98" t="str">
        <f>IF(O60&lt;&gt;'P-B Sum'!$C54,"Error","")</f>
        <v/>
      </c>
      <c r="P61" s="98" t="str">
        <f>IF(P60&lt;&gt;'S-A FGD'!$M78,"Error","")</f>
        <v/>
      </c>
      <c r="Q61" s="98" t="str">
        <f>IF(Q60&lt;&gt;'S-A Sum'!$C54,"Error","")</f>
        <v/>
      </c>
      <c r="R61" s="98" t="str">
        <f>IF(R60&lt;&gt;'TYL FGD'!$M78,"Error","")</f>
        <v/>
      </c>
      <c r="S61" s="98" t="str">
        <f>IF(S60&lt;&gt;'TYL Sum'!$C54,"Error","")</f>
        <v/>
      </c>
      <c r="T61" s="98" t="str">
        <f>IF(T60&lt;&gt;'TAMU FGD'!$M78,"Error","")</f>
        <v/>
      </c>
      <c r="U61" s="98" t="str">
        <f>IF(U60&lt;&gt;'TAMU Sum'!$C54,"Error","")</f>
        <v/>
      </c>
      <c r="V61" s="98" t="str">
        <f>IF(V60&lt;&gt;'TAMUG FGD'!$M78,"Error","")</f>
        <v/>
      </c>
      <c r="W61" s="98" t="str">
        <f>IF(W60&lt;&gt;'TAMUG Sum'!$C54,"Error","")</f>
        <v/>
      </c>
      <c r="X61" s="98" t="str">
        <f>IF(X60&lt;&gt;'PVAMU FGD'!$M78,"Error","")</f>
        <v/>
      </c>
      <c r="Y61" s="98" t="str">
        <f>IF(Y60&lt;&gt;'PVAMU Sum'!$C54,"Error","")</f>
        <v/>
      </c>
      <c r="Z61" s="98" t="str">
        <f>IF(Z60&lt;&gt;'TARLST FGD'!$M78,"Error","")</f>
        <v/>
      </c>
      <c r="AA61" s="98" t="str">
        <f>IF(AA60&lt;&gt;'TARLST Sum'!$C54,"Error","")</f>
        <v/>
      </c>
      <c r="AB61" s="98" t="str">
        <f>IF(AB60&lt;&gt;'TAMUCC FGD'!$M78,"Error","")</f>
        <v/>
      </c>
      <c r="AC61" s="98" t="str">
        <f>IF(AC60&lt;&gt;'TAMUCC Sum'!$C54,"Error","")</f>
        <v/>
      </c>
      <c r="AD61" s="98" t="str">
        <f>IF(AD60&lt;&gt;'TAMUK FGD'!$M78,"Error","")</f>
        <v/>
      </c>
      <c r="AE61" s="98" t="str">
        <f>IF(AE60&lt;&gt;'TAMUK Sum'!$C54,"Error","")</f>
        <v/>
      </c>
      <c r="AF61" s="98" t="str">
        <f>IF(AF60&lt;&gt;'TAMUCT FGD'!$M78,"Error","")</f>
        <v/>
      </c>
      <c r="AG61" s="98" t="str">
        <f>IF(AG60&lt;&gt;'TAMUCT Sum'!$C54,"Error","")</f>
        <v/>
      </c>
      <c r="AH61" s="98" t="str">
        <f>IF(AH60&lt;&gt;'TAMUSA FGD'!$M78,"Error","")</f>
        <v/>
      </c>
      <c r="AI61" s="98" t="str">
        <f>IF(AI60&lt;&gt;'TAMUSA Sum'!$C54,"Error","")</f>
        <v/>
      </c>
      <c r="AJ61" s="98" t="str">
        <f>IF(AJ60&lt;&gt;'TAMIU FGD'!$M78,"Error","")</f>
        <v/>
      </c>
      <c r="AK61" s="98" t="str">
        <f>IF(AK60&lt;&gt;'TAMIU Sum'!$C54,"Error","")</f>
        <v/>
      </c>
      <c r="AL61" s="98" t="str">
        <f>IF(AL60&lt;&gt;'WTAMU FGD'!$M78,"Error","")</f>
        <v/>
      </c>
      <c r="AM61" s="98" t="str">
        <f>IF(AM60&lt;&gt;'WTAMU Sum'!$C54,"Error","")</f>
        <v/>
      </c>
      <c r="AN61" s="98" t="str">
        <f>IF(AN60&lt;&gt;'TAMUC FGD'!$M78,"Error","")</f>
        <v/>
      </c>
      <c r="AO61" s="98" t="str">
        <f>IF(AO60&lt;&gt;'TAMUC Sum'!$C54,"Error","")</f>
        <v/>
      </c>
      <c r="AP61" s="98" t="str">
        <f>IF(AP60&lt;&gt;'TAMUT FGD'!$M78,"Error","")</f>
        <v/>
      </c>
      <c r="AQ61" s="98" t="str">
        <f>IF(AQ60&lt;&gt;'TAMUT Sum'!$C54,"Error","")</f>
        <v/>
      </c>
      <c r="AR61" s="98" t="str">
        <f>IF(AR60&lt;&gt;'UH1 FGD'!$M78,"Error","")</f>
        <v/>
      </c>
      <c r="AS61" s="98" t="str">
        <f>IF(AS60&lt;&gt;'UH1 Sum'!$C54,"Error","")</f>
        <v/>
      </c>
      <c r="AT61" s="98" t="str">
        <f>IF(AT60&lt;&gt;'UHCL FGD'!$M78,"Error","")</f>
        <v/>
      </c>
      <c r="AU61" s="98" t="str">
        <f>IF(AU60&lt;&gt;'UHCL Sum'!$C54,"Error","")</f>
        <v/>
      </c>
      <c r="AV61" s="98" t="str">
        <f>IF(AV60&lt;&gt;'UHD FGD'!$M78,"Error","")</f>
        <v/>
      </c>
      <c r="AW61" s="98" t="str">
        <f>IF(AW60&lt;&gt;'UHD Sum'!$C54,"Error","")</f>
        <v/>
      </c>
      <c r="AX61" s="98" t="str">
        <f>IF(AX60&lt;&gt;'UHV FGD'!$M78,"Error","")</f>
        <v/>
      </c>
      <c r="AY61" s="98" t="str">
        <f>IF(AY60&lt;&gt;'UHV Sum'!$C54,"Error","")</f>
        <v/>
      </c>
      <c r="AZ61" s="98" t="str">
        <f>IF(AZ60&lt;&gt;'LU FGD'!$M78,"Error","")</f>
        <v/>
      </c>
      <c r="BA61" s="98" t="str">
        <f>IF(BA60&lt;&gt;'LU Sum'!$C54,"Error","")</f>
        <v/>
      </c>
      <c r="BB61" s="98" t="str">
        <f>IF(BB60&lt;&gt;'shsu1 FGD'!$M78,"Error","")</f>
        <v/>
      </c>
      <c r="BC61" s="98" t="str">
        <f>IF(BC60&lt;&gt;'shsu1 Sum'!$C54,"Error","")</f>
        <v/>
      </c>
      <c r="BD61" s="98" t="str">
        <f>IF(BD60&lt;&gt;'TXST FGD'!$M78,"Error","")</f>
        <v/>
      </c>
      <c r="BE61" s="98" t="str">
        <f>IF(BE60&lt;&gt;'TXST Sum'!$C54,"Error","")</f>
        <v/>
      </c>
      <c r="BF61" s="98" t="str">
        <f>IF(BF60&lt;&gt;'SRSU FGD'!$M78,"Error","")</f>
        <v/>
      </c>
      <c r="BG61" s="98" t="str">
        <f>IF(BG60&lt;&gt;'SRSU Sum'!$C54,"Error","")</f>
        <v/>
      </c>
      <c r="BH61" s="98" t="str">
        <f>IF(BH60&lt;&gt;'TTU FGD'!$M78,"Error","")</f>
        <v/>
      </c>
      <c r="BI61" s="98" t="str">
        <f>IF(BI60&lt;&gt;'TTU Sum'!$C54,"Error","")</f>
        <v/>
      </c>
      <c r="BJ61" s="98" t="str">
        <f>IF(BJ60&lt;&gt;'ASU FGD'!$M78,"Error","")</f>
        <v/>
      </c>
      <c r="BK61" s="98" t="str">
        <f>IF(BK60&lt;&gt;'ASU Sum'!$C54,"Error","")</f>
        <v/>
      </c>
      <c r="BL61" s="98" t="str">
        <f>IF(BL60&lt;&gt;'UNT FGD'!$M78,"Error","")</f>
        <v/>
      </c>
      <c r="BM61" s="98" t="str">
        <f>IF(BM60&lt;&gt;'UNT Sum'!$C54,"Error","")</f>
        <v/>
      </c>
      <c r="BN61" s="98" t="str">
        <f>IF(BN60&lt;&gt;'UNTD FGD'!$M78,"Error","")</f>
        <v/>
      </c>
      <c r="BO61" s="98" t="str">
        <f>IF(BO60&lt;&gt;'UNTD Sum'!$C54,"Error","")</f>
        <v/>
      </c>
      <c r="BP61" s="98" t="str">
        <f>IF(BP60&lt;&gt;'MidWST FGD'!$M78,"Error","")</f>
        <v/>
      </c>
      <c r="BQ61" s="98" t="str">
        <f>IF(BQ60&lt;&gt;'MidWST Sum'!$C54,"Error","")</f>
        <v/>
      </c>
      <c r="BR61" s="98" t="str">
        <f>IF(BR60&lt;&gt;'SFA FGD'!$M78,"Error","")</f>
        <v/>
      </c>
      <c r="BS61" s="98" t="str">
        <f>IF(BS60&lt;&gt;'SFA Sum'!$C54,"Error","")</f>
        <v/>
      </c>
      <c r="BT61" s="98" t="str">
        <f>IF(BT60&lt;&gt;'TSU FGD'!$M78,"Error","")</f>
        <v/>
      </c>
      <c r="BU61" s="98" t="str">
        <f>IF(BU60&lt;&gt;'TSU Sum'!$C54,"Error","")</f>
        <v/>
      </c>
      <c r="BV61" s="98" t="str">
        <f>IF(BV60&lt;&gt;'TWU FGD'!$M78,"Error","")</f>
        <v/>
      </c>
      <c r="BW61" s="98" t="str">
        <f>IF(BW60&lt;&gt;'TWU Sum'!$C54,"Error","")</f>
        <v/>
      </c>
    </row>
    <row r="62" spans="1:91">
      <c r="A62" s="78" t="s">
        <v>24</v>
      </c>
      <c r="B62" s="82"/>
      <c r="C62" s="87"/>
      <c r="D62" s="91"/>
      <c r="E62" s="87"/>
      <c r="F62" s="91"/>
      <c r="G62" s="87"/>
      <c r="H62" s="91"/>
      <c r="I62" s="87"/>
      <c r="J62" s="91"/>
      <c r="K62" s="87"/>
      <c r="L62" s="82"/>
      <c r="N62" s="82"/>
      <c r="P62" s="82"/>
      <c r="R62" s="82"/>
      <c r="T62" s="82"/>
      <c r="V62" s="82"/>
      <c r="X62" s="82"/>
      <c r="Z62" s="82"/>
      <c r="AB62" s="82"/>
      <c r="AD62" s="82"/>
      <c r="AF62" s="82"/>
      <c r="AH62" s="82"/>
      <c r="AJ62" s="82"/>
      <c r="AL62" s="82"/>
      <c r="AN62" s="82"/>
      <c r="AP62" s="82"/>
      <c r="AR62" s="82"/>
      <c r="AT62" s="82"/>
      <c r="AV62" s="82"/>
      <c r="AX62" s="82"/>
      <c r="AZ62" s="82"/>
      <c r="BB62" s="82"/>
      <c r="BD62" s="82"/>
      <c r="BF62" s="82"/>
      <c r="BH62" s="82"/>
      <c r="BJ62" s="82"/>
      <c r="BL62" s="82"/>
      <c r="BN62" s="82"/>
      <c r="BP62" s="82"/>
      <c r="BR62" s="82"/>
      <c r="BT62" s="82"/>
      <c r="BV62" s="82"/>
      <c r="BX62" s="96"/>
      <c r="BY62" s="96"/>
      <c r="BZ62" s="96"/>
      <c r="CA62" s="96"/>
      <c r="CB62" s="96"/>
      <c r="CC62" s="96"/>
      <c r="CD62" s="96"/>
      <c r="CE62" s="96"/>
      <c r="CF62" s="96"/>
      <c r="CG62" s="96"/>
      <c r="CH62" s="96"/>
      <c r="CI62" s="96"/>
      <c r="CJ62" s="96"/>
      <c r="CK62" s="96"/>
      <c r="CL62" s="96"/>
      <c r="CM62" s="96"/>
    </row>
    <row r="63" spans="1:91">
      <c r="A63" s="75" t="s">
        <v>47</v>
      </c>
      <c r="B63" s="83">
        <f>SUMIF(D$70:BW$70,$B$70,D63:BW63)</f>
        <v>2804357362</v>
      </c>
      <c r="C63" s="87">
        <f t="shared" ref="C63:C64" si="171">ROUND(B63/C$6,0)</f>
        <v>4984</v>
      </c>
      <c r="D63" s="87">
        <f>'ARL FGD'!$M81</f>
        <v>122629647</v>
      </c>
      <c r="E63" s="87">
        <f t="shared" ref="E63:E64" si="172">ROUND(D63/E$6,0)</f>
        <v>3569</v>
      </c>
      <c r="F63" s="87">
        <f>'AUS1 FGD'!$M81</f>
        <v>1275134692</v>
      </c>
      <c r="G63" s="87">
        <f t="shared" ref="G63:G64" si="173">ROUND(F63/G$6,0)</f>
        <v>26825</v>
      </c>
      <c r="H63" s="87">
        <f>'DAL FGD'!$M81</f>
        <v>173501069</v>
      </c>
      <c r="I63" s="87">
        <f t="shared" ref="I63:I64" si="174">ROUND(H63/I$6,0)</f>
        <v>7179</v>
      </c>
      <c r="J63" s="87">
        <f>'E-P FGD'!$M81</f>
        <v>84328398</v>
      </c>
      <c r="K63" s="87">
        <f t="shared" ref="K63:K64" si="175">ROUND(J63/K$6,0)</f>
        <v>4327</v>
      </c>
      <c r="L63" s="83">
        <f>'RGV1 FGD'!$M81</f>
        <v>32231372</v>
      </c>
      <c r="M63" s="83">
        <f t="shared" ref="M63:M64" si="176">ROUND(L63/M$6,0)</f>
        <v>1136</v>
      </c>
      <c r="N63" s="83">
        <f>'P-B FGD'!$M81</f>
        <v>13155958</v>
      </c>
      <c r="O63" s="83">
        <f t="shared" ref="O63:O64" si="177">ROUND(N63/O$6,0)</f>
        <v>3091</v>
      </c>
      <c r="P63" s="83">
        <f>'S-A FGD'!$M81</f>
        <v>78249995</v>
      </c>
      <c r="Q63" s="83">
        <f t="shared" ref="Q63:Q64" si="178">ROUND(P63/Q$6,0)</f>
        <v>2756</v>
      </c>
      <c r="R63" s="83">
        <f>'TYL FGD'!$M81</f>
        <v>26043723</v>
      </c>
      <c r="S63" s="83">
        <f t="shared" ref="S63:S64" si="179">ROUND(R63/S$6,0)</f>
        <v>3424</v>
      </c>
      <c r="T63" s="83">
        <f>'TAMU FGD'!$M81</f>
        <v>319531519</v>
      </c>
      <c r="U63" s="83">
        <f t="shared" ref="U63:U64" si="180">ROUND(T63/U$6,0)</f>
        <v>5495</v>
      </c>
      <c r="V63" s="83">
        <f>'TAMUG FGD'!$M81</f>
        <v>8217113</v>
      </c>
      <c r="W63" s="83">
        <f t="shared" ref="W63:W64" si="181">ROUND(V63/W$6,0)</f>
        <v>4742</v>
      </c>
      <c r="X63" s="83">
        <f>'PVAMU FGD'!$M81</f>
        <v>30910757</v>
      </c>
      <c r="Y63" s="83">
        <f t="shared" ref="Y63:Y64" si="182">ROUND(X63/Y$6,0)</f>
        <v>3831</v>
      </c>
      <c r="Z63" s="83">
        <f>'TARLST FGD'!$M81</f>
        <v>24319656</v>
      </c>
      <c r="AA63" s="83">
        <f t="shared" ref="AA63:AA64" si="183">ROUND(Z63/AA$6,0)</f>
        <v>2105</v>
      </c>
      <c r="AB63" s="83">
        <f>'TAMUCC FGD'!$M81</f>
        <v>18777300</v>
      </c>
      <c r="AC63" s="83">
        <f t="shared" ref="AC63:AC64" si="184">ROUND(AB63/AC$6,0)</f>
        <v>2011</v>
      </c>
      <c r="AD63" s="83">
        <f>'TAMUK FGD'!$M81</f>
        <v>16232608</v>
      </c>
      <c r="AE63" s="83">
        <f t="shared" ref="AE63:AE64" si="185">ROUND(AD63/AE$6,0)</f>
        <v>2890</v>
      </c>
      <c r="AF63" s="83">
        <f>'TAMUCT FGD'!$M81</f>
        <v>2544892</v>
      </c>
      <c r="AG63" s="83">
        <f t="shared" ref="AG63:AG64" si="186">ROUND(AF63/AG$6,0)</f>
        <v>1584</v>
      </c>
      <c r="AH63" s="83">
        <f>'TAMUSA FGD'!$M81</f>
        <v>5716804</v>
      </c>
      <c r="AI63" s="83">
        <f t="shared" ref="AI63:AI64" si="187">ROUND(AH63/AI$6,0)</f>
        <v>1200</v>
      </c>
      <c r="AJ63" s="83">
        <f>'TAMIU FGD'!$M81</f>
        <v>23460142</v>
      </c>
      <c r="AK63" s="83">
        <f t="shared" ref="AK63:AK64" si="188">ROUND(AJ63/AK$6,0)</f>
        <v>3370</v>
      </c>
      <c r="AL63" s="83">
        <f>'WTAMU FGD'!$M81</f>
        <v>19561098</v>
      </c>
      <c r="AM63" s="83">
        <f t="shared" ref="AM63:AM64" si="189">ROUND(AL63/AM$6,0)</f>
        <v>2532</v>
      </c>
      <c r="AN63" s="83">
        <f>'TAMUC FGD'!$M81</f>
        <v>18932688</v>
      </c>
      <c r="AO63" s="83">
        <f t="shared" ref="AO63:AO64" si="190">ROUND(AN63/AO$6,0)</f>
        <v>2033</v>
      </c>
      <c r="AP63" s="83">
        <f>'TAMUT FGD'!$M81</f>
        <v>4406832</v>
      </c>
      <c r="AQ63" s="83">
        <f t="shared" ref="AQ63:AQ64" si="191">ROUND(AP63/AQ$6,0)</f>
        <v>2668</v>
      </c>
      <c r="AR63" s="83">
        <f>'UH1 FGD'!$M81</f>
        <v>116975717</v>
      </c>
      <c r="AS63" s="83">
        <f t="shared" ref="AS63:AS64" si="192">ROUND(AR63/AS$6,0)</f>
        <v>2902</v>
      </c>
      <c r="AT63" s="83">
        <f>'UHCL FGD'!$M81</f>
        <v>4640864</v>
      </c>
      <c r="AU63" s="83">
        <f t="shared" ref="AU63:AU64" si="193">ROUND(AT63/AU$6,0)</f>
        <v>686</v>
      </c>
      <c r="AV63" s="83">
        <f>'UHD FGD'!$M81</f>
        <v>6584394</v>
      </c>
      <c r="AW63" s="83">
        <f t="shared" ref="AW63:AW64" si="194">ROUND(AV63/AW$6,0)</f>
        <v>588</v>
      </c>
      <c r="AX63" s="83">
        <f>'UHV FGD'!$M81</f>
        <v>2386599</v>
      </c>
      <c r="AY63" s="83">
        <f t="shared" ref="AY63:AY64" si="195">ROUND(AX63/AY$6,0)</f>
        <v>662</v>
      </c>
      <c r="AZ63" s="83">
        <f>'LU FGD'!$M81</f>
        <v>4954863</v>
      </c>
      <c r="BA63" s="83">
        <f t="shared" ref="BA63:BA64" si="196">ROUND(AZ63/BA$6,0)</f>
        <v>367</v>
      </c>
      <c r="BB63" s="83">
        <f>'shsu1 FGD'!$M81</f>
        <v>30345840</v>
      </c>
      <c r="BC63" s="83">
        <f t="shared" ref="BC63:BC64" si="197">ROUND(BB63/BC$6,0)</f>
        <v>1725</v>
      </c>
      <c r="BD63" s="83">
        <f>'TXST FGD'!$M81</f>
        <v>19039213</v>
      </c>
      <c r="BE63" s="83">
        <f t="shared" ref="BE63:BE64" si="198">ROUND(BD63/BE$6,0)</f>
        <v>608</v>
      </c>
      <c r="BF63" s="83">
        <f>'SRSU FGD'!$M81</f>
        <v>2258482</v>
      </c>
      <c r="BG63" s="83">
        <f t="shared" ref="BG63:BG64" si="199">ROUND(BF63/BG$6,0)</f>
        <v>1319</v>
      </c>
      <c r="BH63" s="83">
        <f>'TTU FGD'!$M81</f>
        <v>129822569</v>
      </c>
      <c r="BI63" s="83">
        <f t="shared" ref="BI63:BI64" si="200">ROUND(BH63/BI$6,0)</f>
        <v>3603</v>
      </c>
      <c r="BJ63" s="83">
        <f>'ASU FGD'!$M81</f>
        <v>13016793</v>
      </c>
      <c r="BK63" s="83">
        <f t="shared" ref="BK63:BK64" si="201">ROUND(BJ63/BK$6,0)</f>
        <v>1709</v>
      </c>
      <c r="BL63" s="83">
        <f>'UNT FGD'!$M81</f>
        <v>29286184</v>
      </c>
      <c r="BM63" s="83">
        <f t="shared" ref="BM63:BM64" si="202">ROUND(BL63/BM$6,0)</f>
        <v>843</v>
      </c>
      <c r="BN63" s="83">
        <f>'UNTD FGD'!$M81</f>
        <v>1930527</v>
      </c>
      <c r="BO63" s="83">
        <f t="shared" ref="BO63:BO64" si="203">ROUND(BN63/BO$6,0)</f>
        <v>557</v>
      </c>
      <c r="BP63" s="83">
        <f>'MidWST FGD'!$M81</f>
        <v>7705338</v>
      </c>
      <c r="BQ63" s="83">
        <f t="shared" ref="BQ63:BQ64" si="204">ROUND(BP63/BQ$6,0)</f>
        <v>1783</v>
      </c>
      <c r="BR63" s="83">
        <f>'SFA FGD'!$M81</f>
        <v>10251148</v>
      </c>
      <c r="BS63" s="83">
        <f t="shared" ref="BS63:BS64" si="205">ROUND(BR63/BS$6,0)</f>
        <v>989</v>
      </c>
      <c r="BT63" s="83">
        <f>'TSU FGD'!$M81</f>
        <v>102307777</v>
      </c>
      <c r="BU63" s="83">
        <f t="shared" ref="BU63:BU64" si="206">ROUND(BT63/BU$6,0)</f>
        <v>15872</v>
      </c>
      <c r="BV63" s="83">
        <f>'TWU FGD'!$M81</f>
        <v>24964791</v>
      </c>
      <c r="BW63" s="83">
        <f t="shared" ref="BW63:BW64" si="207">ROUND(BV63/BW$6,0)</f>
        <v>1916</v>
      </c>
      <c r="BX63" s="85"/>
      <c r="BY63" s="85"/>
      <c r="BZ63" s="85"/>
      <c r="CA63" s="85"/>
      <c r="CB63" s="85"/>
      <c r="CC63" s="85"/>
      <c r="CD63" s="85"/>
      <c r="CE63" s="85"/>
      <c r="CF63" s="85"/>
      <c r="CG63" s="85"/>
      <c r="CH63" s="85"/>
      <c r="CI63" s="85"/>
      <c r="CJ63" s="85"/>
      <c r="CK63" s="85"/>
      <c r="CL63" s="85"/>
      <c r="CM63" s="85"/>
    </row>
    <row r="64" spans="1:91">
      <c r="A64" s="75" t="s">
        <v>48</v>
      </c>
      <c r="B64" s="82">
        <f>SUMIF(D$70:BW$70,$B$70,D64:BW64)</f>
        <v>224990850</v>
      </c>
      <c r="C64" s="87">
        <f t="shared" si="171"/>
        <v>400</v>
      </c>
      <c r="D64" s="91">
        <f>'ARL FGD'!$M82</f>
        <v>1396992</v>
      </c>
      <c r="E64" s="87">
        <f t="shared" si="172"/>
        <v>41</v>
      </c>
      <c r="F64" s="91">
        <f>'AUS1 FGD'!$M82</f>
        <v>72883827</v>
      </c>
      <c r="G64" s="87">
        <f t="shared" si="173"/>
        <v>1533</v>
      </c>
      <c r="H64" s="91">
        <f>'DAL FGD'!$M82</f>
        <v>7464414</v>
      </c>
      <c r="I64" s="87">
        <f t="shared" si="174"/>
        <v>309</v>
      </c>
      <c r="J64" s="91">
        <f>'E-P FGD'!$M82</f>
        <v>9111883</v>
      </c>
      <c r="K64" s="87">
        <f t="shared" si="175"/>
        <v>468</v>
      </c>
      <c r="L64" s="82">
        <f>'RGV1 FGD'!$M82</f>
        <v>4638362</v>
      </c>
      <c r="M64" s="87">
        <f t="shared" si="176"/>
        <v>163</v>
      </c>
      <c r="N64" s="82">
        <f>'P-B FGD'!$M82</f>
        <v>3504810</v>
      </c>
      <c r="O64" s="87">
        <f t="shared" si="177"/>
        <v>824</v>
      </c>
      <c r="P64" s="82">
        <f>'S-A FGD'!$M82</f>
        <v>5078362</v>
      </c>
      <c r="Q64" s="87">
        <f t="shared" si="178"/>
        <v>179</v>
      </c>
      <c r="R64" s="82">
        <f>'TYL FGD'!$M82</f>
        <v>4073813</v>
      </c>
      <c r="S64" s="87">
        <f t="shared" si="179"/>
        <v>536</v>
      </c>
      <c r="T64" s="82">
        <f>'TAMU FGD'!$M82</f>
        <v>152174</v>
      </c>
      <c r="U64" s="87">
        <f t="shared" si="180"/>
        <v>3</v>
      </c>
      <c r="V64" s="82">
        <f>'TAMUG FGD'!$M82</f>
        <v>1397</v>
      </c>
      <c r="W64" s="87">
        <f t="shared" si="181"/>
        <v>1</v>
      </c>
      <c r="X64" s="82">
        <f>'PVAMU FGD'!$M82</f>
        <v>35859004</v>
      </c>
      <c r="Y64" s="87">
        <f t="shared" si="182"/>
        <v>4444</v>
      </c>
      <c r="Z64" s="82">
        <f>'TARLST FGD'!$M82</f>
        <v>2378088</v>
      </c>
      <c r="AA64" s="87">
        <f t="shared" si="183"/>
        <v>206</v>
      </c>
      <c r="AB64" s="82">
        <f>'TAMUCC FGD'!$M82</f>
        <v>420152</v>
      </c>
      <c r="AC64" s="87">
        <f t="shared" si="184"/>
        <v>45</v>
      </c>
      <c r="AD64" s="82">
        <f>'TAMUK FGD'!$M82</f>
        <v>23257</v>
      </c>
      <c r="AE64" s="87">
        <f t="shared" si="185"/>
        <v>4</v>
      </c>
      <c r="AF64" s="82">
        <f>'TAMUCT FGD'!$M82</f>
        <v>33210</v>
      </c>
      <c r="AG64" s="87">
        <f t="shared" si="186"/>
        <v>21</v>
      </c>
      <c r="AH64" s="82">
        <f>'TAMUSA FGD'!$M82</f>
        <v>0</v>
      </c>
      <c r="AI64" s="87">
        <f t="shared" si="187"/>
        <v>0</v>
      </c>
      <c r="AJ64" s="82">
        <f>'TAMIU FGD'!$M82</f>
        <v>41530514</v>
      </c>
      <c r="AK64" s="87">
        <f t="shared" si="188"/>
        <v>5965</v>
      </c>
      <c r="AL64" s="82">
        <f>'WTAMU FGD'!$M82</f>
        <v>38897</v>
      </c>
      <c r="AM64" s="87">
        <f t="shared" si="189"/>
        <v>5</v>
      </c>
      <c r="AN64" s="82">
        <f>'TAMUC FGD'!$M82</f>
        <v>0</v>
      </c>
      <c r="AO64" s="87">
        <f t="shared" si="190"/>
        <v>0</v>
      </c>
      <c r="AP64" s="82">
        <f>'TAMUT FGD'!$M82</f>
        <v>310369</v>
      </c>
      <c r="AQ64" s="87">
        <f t="shared" si="191"/>
        <v>188</v>
      </c>
      <c r="AR64" s="82">
        <f>'UH1 FGD'!$M82</f>
        <v>29671553</v>
      </c>
      <c r="AS64" s="87">
        <f t="shared" si="192"/>
        <v>736</v>
      </c>
      <c r="AT64" s="82">
        <f>'UHCL FGD'!$M82</f>
        <v>229415</v>
      </c>
      <c r="AU64" s="87">
        <f t="shared" si="193"/>
        <v>34</v>
      </c>
      <c r="AV64" s="82">
        <f>'UHD FGD'!$M82</f>
        <v>1188428</v>
      </c>
      <c r="AW64" s="87">
        <f t="shared" si="194"/>
        <v>106</v>
      </c>
      <c r="AX64" s="82">
        <f>'UHV FGD'!$M82</f>
        <v>25000</v>
      </c>
      <c r="AY64" s="87">
        <f t="shared" si="195"/>
        <v>7</v>
      </c>
      <c r="AZ64" s="82">
        <f>'LU FGD'!$M82</f>
        <v>0</v>
      </c>
      <c r="BA64" s="87">
        <f t="shared" si="196"/>
        <v>0</v>
      </c>
      <c r="BB64" s="82">
        <f>'shsu1 FGD'!$M82</f>
        <v>2811133</v>
      </c>
      <c r="BC64" s="87">
        <f t="shared" si="197"/>
        <v>160</v>
      </c>
      <c r="BD64" s="82">
        <f>'TXST FGD'!$M82</f>
        <v>239539</v>
      </c>
      <c r="BE64" s="87">
        <f t="shared" si="198"/>
        <v>8</v>
      </c>
      <c r="BF64" s="82">
        <f>'SRSU FGD'!$M82</f>
        <v>196306</v>
      </c>
      <c r="BG64" s="87">
        <f t="shared" si="199"/>
        <v>115</v>
      </c>
      <c r="BH64" s="82">
        <f>'TTU FGD'!$M82</f>
        <v>540520</v>
      </c>
      <c r="BI64" s="87">
        <f t="shared" si="200"/>
        <v>15</v>
      </c>
      <c r="BJ64" s="82">
        <f>'ASU FGD'!$M82</f>
        <v>0</v>
      </c>
      <c r="BK64" s="87">
        <f t="shared" si="201"/>
        <v>0</v>
      </c>
      <c r="BL64" s="82">
        <f>'UNT FGD'!$M82</f>
        <v>167208</v>
      </c>
      <c r="BM64" s="87">
        <f t="shared" si="202"/>
        <v>5</v>
      </c>
      <c r="BN64" s="82">
        <f>'UNTD FGD'!$M82</f>
        <v>840</v>
      </c>
      <c r="BO64" s="87">
        <f t="shared" si="203"/>
        <v>0</v>
      </c>
      <c r="BP64" s="82">
        <f>'MidWST FGD'!$M82</f>
        <v>63270</v>
      </c>
      <c r="BQ64" s="87">
        <f t="shared" si="204"/>
        <v>15</v>
      </c>
      <c r="BR64" s="82">
        <f>'SFA FGD'!$M82</f>
        <v>23478</v>
      </c>
      <c r="BS64" s="87">
        <f t="shared" si="205"/>
        <v>2</v>
      </c>
      <c r="BT64" s="82">
        <f>'TSU FGD'!$M82</f>
        <v>898617</v>
      </c>
      <c r="BU64" s="87">
        <f t="shared" si="206"/>
        <v>139</v>
      </c>
      <c r="BV64" s="82">
        <f>'TWU FGD'!$M82</f>
        <v>36018</v>
      </c>
      <c r="BW64" s="87">
        <f t="shared" si="207"/>
        <v>3</v>
      </c>
      <c r="BX64" s="96"/>
      <c r="BY64" s="96"/>
      <c r="BZ64" s="96"/>
      <c r="CA64" s="96"/>
      <c r="CB64" s="96"/>
      <c r="CC64" s="96"/>
      <c r="CD64" s="96"/>
      <c r="CE64" s="96"/>
      <c r="CF64" s="96"/>
      <c r="CG64" s="96"/>
      <c r="CH64" s="96"/>
      <c r="CI64" s="96"/>
      <c r="CJ64" s="96"/>
      <c r="CK64" s="96"/>
      <c r="CL64" s="96"/>
      <c r="CM64" s="96"/>
    </row>
    <row r="65" spans="1:91" s="93" customFormat="1">
      <c r="A65" s="88" t="s">
        <v>3</v>
      </c>
      <c r="B65" s="89">
        <f t="shared" ref="B65:BK65" si="208">SUM(B63:B64)</f>
        <v>3029348212</v>
      </c>
      <c r="C65" s="382">
        <f t="shared" si="208"/>
        <v>5384</v>
      </c>
      <c r="D65" s="382">
        <f t="shared" si="208"/>
        <v>124026639</v>
      </c>
      <c r="E65" s="382">
        <f t="shared" si="208"/>
        <v>3610</v>
      </c>
      <c r="F65" s="382">
        <f t="shared" si="208"/>
        <v>1348018519</v>
      </c>
      <c r="G65" s="382">
        <f t="shared" si="208"/>
        <v>28358</v>
      </c>
      <c r="H65" s="382">
        <f t="shared" si="208"/>
        <v>180965483</v>
      </c>
      <c r="I65" s="382">
        <f t="shared" si="208"/>
        <v>7488</v>
      </c>
      <c r="J65" s="382">
        <f t="shared" si="208"/>
        <v>93440281</v>
      </c>
      <c r="K65" s="382">
        <f t="shared" si="208"/>
        <v>4795</v>
      </c>
      <c r="L65" s="89">
        <f t="shared" si="208"/>
        <v>36869734</v>
      </c>
      <c r="M65" s="89">
        <f t="shared" si="208"/>
        <v>1299</v>
      </c>
      <c r="N65" s="89">
        <f t="shared" si="208"/>
        <v>16660768</v>
      </c>
      <c r="O65" s="89">
        <f t="shared" si="208"/>
        <v>3915</v>
      </c>
      <c r="P65" s="89">
        <f t="shared" si="208"/>
        <v>83328357</v>
      </c>
      <c r="Q65" s="89">
        <f t="shared" si="208"/>
        <v>2935</v>
      </c>
      <c r="R65" s="89">
        <f t="shared" si="208"/>
        <v>30117536</v>
      </c>
      <c r="S65" s="89">
        <f t="shared" si="208"/>
        <v>3960</v>
      </c>
      <c r="T65" s="89">
        <f t="shared" si="208"/>
        <v>319683693</v>
      </c>
      <c r="U65" s="89">
        <f t="shared" si="208"/>
        <v>5498</v>
      </c>
      <c r="V65" s="89">
        <f t="shared" si="208"/>
        <v>8218510</v>
      </c>
      <c r="W65" s="89">
        <f t="shared" si="208"/>
        <v>4743</v>
      </c>
      <c r="X65" s="89">
        <f t="shared" si="208"/>
        <v>66769761</v>
      </c>
      <c r="Y65" s="89">
        <f t="shared" si="208"/>
        <v>8275</v>
      </c>
      <c r="Z65" s="89">
        <f t="shared" si="208"/>
        <v>26697744</v>
      </c>
      <c r="AA65" s="89">
        <f t="shared" si="208"/>
        <v>2311</v>
      </c>
      <c r="AB65" s="89">
        <f t="shared" si="208"/>
        <v>19197452</v>
      </c>
      <c r="AC65" s="89">
        <f t="shared" si="208"/>
        <v>2056</v>
      </c>
      <c r="AD65" s="89">
        <f t="shared" si="208"/>
        <v>16255865</v>
      </c>
      <c r="AE65" s="89">
        <f t="shared" si="208"/>
        <v>2894</v>
      </c>
      <c r="AF65" s="89">
        <f t="shared" si="208"/>
        <v>2578102</v>
      </c>
      <c r="AG65" s="89">
        <f t="shared" si="208"/>
        <v>1605</v>
      </c>
      <c r="AH65" s="89">
        <f t="shared" si="208"/>
        <v>5716804</v>
      </c>
      <c r="AI65" s="89">
        <f t="shared" si="208"/>
        <v>1200</v>
      </c>
      <c r="AJ65" s="89">
        <f t="shared" si="208"/>
        <v>64990656</v>
      </c>
      <c r="AK65" s="89">
        <f t="shared" si="208"/>
        <v>9335</v>
      </c>
      <c r="AL65" s="89">
        <f t="shared" si="208"/>
        <v>19599995</v>
      </c>
      <c r="AM65" s="89">
        <f t="shared" si="208"/>
        <v>2537</v>
      </c>
      <c r="AN65" s="89">
        <f t="shared" si="208"/>
        <v>18932688</v>
      </c>
      <c r="AO65" s="89">
        <f t="shared" si="208"/>
        <v>2033</v>
      </c>
      <c r="AP65" s="89">
        <f t="shared" si="208"/>
        <v>4717201</v>
      </c>
      <c r="AQ65" s="89">
        <f t="shared" si="208"/>
        <v>2856</v>
      </c>
      <c r="AR65" s="89">
        <f t="shared" si="208"/>
        <v>146647270</v>
      </c>
      <c r="AS65" s="89">
        <f t="shared" si="208"/>
        <v>3638</v>
      </c>
      <c r="AT65" s="89">
        <f t="shared" si="208"/>
        <v>4870279</v>
      </c>
      <c r="AU65" s="89">
        <f t="shared" si="208"/>
        <v>720</v>
      </c>
      <c r="AV65" s="89">
        <f t="shared" si="208"/>
        <v>7772822</v>
      </c>
      <c r="AW65" s="89">
        <f t="shared" si="208"/>
        <v>694</v>
      </c>
      <c r="AX65" s="89">
        <f t="shared" si="208"/>
        <v>2411599</v>
      </c>
      <c r="AY65" s="89">
        <f t="shared" si="208"/>
        <v>669</v>
      </c>
      <c r="AZ65" s="89">
        <f t="shared" si="208"/>
        <v>4954863</v>
      </c>
      <c r="BA65" s="89">
        <f t="shared" si="208"/>
        <v>367</v>
      </c>
      <c r="BB65" s="89">
        <f t="shared" si="208"/>
        <v>33156973</v>
      </c>
      <c r="BC65" s="89">
        <f t="shared" si="208"/>
        <v>1885</v>
      </c>
      <c r="BD65" s="89">
        <f t="shared" si="208"/>
        <v>19278752</v>
      </c>
      <c r="BE65" s="89">
        <f t="shared" si="208"/>
        <v>616</v>
      </c>
      <c r="BF65" s="89">
        <f t="shared" si="208"/>
        <v>2454788</v>
      </c>
      <c r="BG65" s="89">
        <f t="shared" si="208"/>
        <v>1434</v>
      </c>
      <c r="BH65" s="89">
        <f t="shared" si="208"/>
        <v>130363089</v>
      </c>
      <c r="BI65" s="89">
        <f t="shared" si="208"/>
        <v>3618</v>
      </c>
      <c r="BJ65" s="89">
        <f t="shared" si="208"/>
        <v>13016793</v>
      </c>
      <c r="BK65" s="89">
        <f t="shared" si="208"/>
        <v>1709</v>
      </c>
      <c r="BL65" s="89">
        <f t="shared" ref="BL65:BW65" si="209">SUM(BL63:BL64)</f>
        <v>29453392</v>
      </c>
      <c r="BM65" s="89">
        <f t="shared" si="209"/>
        <v>848</v>
      </c>
      <c r="BN65" s="89">
        <f t="shared" si="209"/>
        <v>1931367</v>
      </c>
      <c r="BO65" s="89">
        <f t="shared" si="209"/>
        <v>557</v>
      </c>
      <c r="BP65" s="89">
        <f t="shared" si="209"/>
        <v>7768608</v>
      </c>
      <c r="BQ65" s="89">
        <f t="shared" si="209"/>
        <v>1798</v>
      </c>
      <c r="BR65" s="89">
        <f t="shared" si="209"/>
        <v>10274626</v>
      </c>
      <c r="BS65" s="89">
        <f t="shared" si="209"/>
        <v>991</v>
      </c>
      <c r="BT65" s="89">
        <f t="shared" si="209"/>
        <v>103206394</v>
      </c>
      <c r="BU65" s="89">
        <f t="shared" si="209"/>
        <v>16011</v>
      </c>
      <c r="BV65" s="89">
        <f t="shared" si="209"/>
        <v>25000809</v>
      </c>
      <c r="BW65" s="89">
        <f t="shared" si="209"/>
        <v>1919</v>
      </c>
      <c r="BX65" s="90"/>
      <c r="BY65" s="90"/>
      <c r="BZ65" s="90"/>
      <c r="CA65" s="90"/>
      <c r="CB65" s="90"/>
      <c r="CC65" s="90"/>
      <c r="CD65" s="90"/>
      <c r="CE65" s="90"/>
      <c r="CF65" s="90"/>
      <c r="CG65" s="90"/>
      <c r="CH65" s="90"/>
      <c r="CI65" s="90"/>
      <c r="CJ65" s="90"/>
      <c r="CK65" s="90"/>
      <c r="CL65" s="90"/>
      <c r="CM65" s="90"/>
    </row>
    <row r="66" spans="1:91">
      <c r="B66" s="98" t="str">
        <f>IF(B65&lt;&gt;'Smmy Sum'!B95,"Error","")</f>
        <v/>
      </c>
      <c r="C66" s="383" t="str">
        <f>IF(C65&lt;&gt;'Smmy Sum'!$C95,"Error","")</f>
        <v/>
      </c>
      <c r="D66" s="383" t="str">
        <f>IF(D65&lt;&gt;'ARL FGD'!$M83,"Error","")</f>
        <v/>
      </c>
      <c r="E66" s="383" t="str">
        <f>IF(E65&lt;&gt;'ARL Sum'!$C59,"Error","")</f>
        <v/>
      </c>
      <c r="F66" s="383" t="str">
        <f>IF(F65&lt;&gt;'AUS1 FGD'!$M83,"Error","")</f>
        <v/>
      </c>
      <c r="G66" s="383" t="str">
        <f>IF(G65&lt;&gt;'AUS1 Sum'!$C59,"Error","")</f>
        <v/>
      </c>
      <c r="H66" s="383" t="str">
        <f>IF(H65&lt;&gt;'DAL FGD'!$M83,"Error","")</f>
        <v/>
      </c>
      <c r="I66" s="383" t="str">
        <f>IF(I65&lt;&gt;'DAL Sum'!$C59,"Error","")</f>
        <v/>
      </c>
      <c r="J66" s="383" t="str">
        <f>IF(J65&lt;&gt;'E-P FGD'!$M83,"Error","")</f>
        <v/>
      </c>
      <c r="K66" s="383" t="str">
        <f>IF(K65&lt;&gt;'E-P Sum'!$C59,"Error","")</f>
        <v/>
      </c>
      <c r="L66" s="98" t="str">
        <f>IF(L65&lt;&gt;'RGV1 FGD'!$M83,"Error","")</f>
        <v/>
      </c>
      <c r="M66" s="98" t="str">
        <f>IF(M65&lt;&gt;'RGV1 Sum'!$C59,"Error","")</f>
        <v/>
      </c>
      <c r="N66" s="98" t="str">
        <f>IF(N65&lt;&gt;'P-B FGD'!$M83,"Error","")</f>
        <v/>
      </c>
      <c r="O66" s="98" t="str">
        <f>IF(O65&lt;&gt;'P-B Sum'!$C59,"Error","")</f>
        <v/>
      </c>
      <c r="P66" s="98" t="str">
        <f>IF(P65&lt;&gt;'S-A FGD'!$M83,"Error","")</f>
        <v/>
      </c>
      <c r="Q66" s="98" t="str">
        <f>IF(Q65&lt;&gt;'S-A Sum'!$C59,"Error","")</f>
        <v/>
      </c>
      <c r="R66" s="98" t="str">
        <f>IF(R65&lt;&gt;'TYL FGD'!$M83,"Error","")</f>
        <v/>
      </c>
      <c r="S66" s="98" t="str">
        <f>IF(S65&lt;&gt;'TYL Sum'!$C59,"Error","")</f>
        <v/>
      </c>
      <c r="T66" s="98" t="str">
        <f>IF(T65&lt;&gt;'TAMU FGD'!$M83,"Error","")</f>
        <v/>
      </c>
      <c r="U66" s="98" t="str">
        <f>IF(U65&lt;&gt;'TAMU Sum'!$C59,"Error","")</f>
        <v/>
      </c>
      <c r="V66" s="98" t="str">
        <f>IF(V65&lt;&gt;'TAMUG FGD'!$M83,"Error","")</f>
        <v/>
      </c>
      <c r="W66" s="98" t="str">
        <f>IF(W65&lt;&gt;'TAMUG Sum'!$C59,"Error","")</f>
        <v/>
      </c>
      <c r="X66" s="98" t="str">
        <f>IF(X65&lt;&gt;'PVAMU FGD'!$M83,"Error","")</f>
        <v/>
      </c>
      <c r="Y66" s="98" t="str">
        <f>IF(Y65&lt;&gt;'PVAMU Sum'!$C59,"Error","")</f>
        <v/>
      </c>
      <c r="Z66" s="98" t="str">
        <f>IF(Z65&lt;&gt;'TARLST FGD'!$M83,"Error","")</f>
        <v/>
      </c>
      <c r="AA66" s="98" t="str">
        <f>IF(AA65&lt;&gt;'TARLST Sum'!$C59,"Error","")</f>
        <v/>
      </c>
      <c r="AB66" s="98" t="str">
        <f>IF(AB65&lt;&gt;'TAMUCC FGD'!$M83,"Error","")</f>
        <v/>
      </c>
      <c r="AC66" s="98" t="str">
        <f>IF(AC65&lt;&gt;'TAMUCC Sum'!$C59,"Error","")</f>
        <v/>
      </c>
      <c r="AD66" s="98" t="str">
        <f>IF(AD65&lt;&gt;'TAMUK FGD'!$M83,"Error","")</f>
        <v/>
      </c>
      <c r="AE66" s="98" t="str">
        <f>IF(AE65&lt;&gt;'TAMUK Sum'!$C59,"Error","")</f>
        <v/>
      </c>
      <c r="AF66" s="98" t="str">
        <f>IF(AF65&lt;&gt;'TAMUCT FGD'!$M83,"Error","")</f>
        <v/>
      </c>
      <c r="AG66" s="98" t="str">
        <f>IF(AG65&lt;&gt;'TAMUCT Sum'!$C59,"Error","")</f>
        <v/>
      </c>
      <c r="AH66" s="98" t="str">
        <f>IF(AH65&lt;&gt;'TAMUSA FGD'!$M83,"Error","")</f>
        <v/>
      </c>
      <c r="AI66" s="98" t="str">
        <f>IF(AI65&lt;&gt;'TAMUSA Sum'!$C59,"Error","")</f>
        <v/>
      </c>
      <c r="AJ66" s="98" t="str">
        <f>IF(AJ65&lt;&gt;'TAMIU FGD'!$M83,"Error","")</f>
        <v/>
      </c>
      <c r="AK66" s="98" t="str">
        <f>IF(AK65&lt;&gt;'TAMIU Sum'!$C59,"Error","")</f>
        <v/>
      </c>
      <c r="AL66" s="98" t="str">
        <f>IF(AL65&lt;&gt;'WTAMU FGD'!$M83,"Error","")</f>
        <v/>
      </c>
      <c r="AM66" s="98" t="str">
        <f>IF(AM65&lt;&gt;'WTAMU Sum'!$C59,"Error","")</f>
        <v/>
      </c>
      <c r="AN66" s="98" t="str">
        <f>IF(AN65&lt;&gt;'TAMUC FGD'!$M83,"Error","")</f>
        <v/>
      </c>
      <c r="AO66" s="98" t="str">
        <f>IF(AO65&lt;&gt;'TAMUC Sum'!$C59,"Error","")</f>
        <v/>
      </c>
      <c r="AP66" s="98" t="str">
        <f>IF(AP65&lt;&gt;'TAMUT FGD'!$M83,"Error","")</f>
        <v/>
      </c>
      <c r="AQ66" s="98" t="str">
        <f>IF(AQ65&lt;&gt;'TAMUT Sum'!$C59,"Error","")</f>
        <v/>
      </c>
      <c r="AR66" s="98" t="str">
        <f>IF(AR65&lt;&gt;'UH1 FGD'!$M83,"Error","")</f>
        <v/>
      </c>
      <c r="AS66" s="98" t="str">
        <f>IF(AS65&lt;&gt;'UH1 Sum'!$C59,"Error","")</f>
        <v/>
      </c>
      <c r="AT66" s="98" t="str">
        <f>IF(AT65&lt;&gt;'UHCL FGD'!$M83,"Error","")</f>
        <v/>
      </c>
      <c r="AU66" s="98" t="str">
        <f>IF(AU65&lt;&gt;'UHCL Sum'!$C59,"Error","")</f>
        <v/>
      </c>
      <c r="AV66" s="98" t="str">
        <f>IF(AV65&lt;&gt;'UHD FGD'!$M83,"Error","")</f>
        <v/>
      </c>
      <c r="AW66" s="98" t="str">
        <f>IF(AW65&lt;&gt;'UHD Sum'!$C59,"Error","")</f>
        <v/>
      </c>
      <c r="AX66" s="98" t="str">
        <f>IF(AX65&lt;&gt;'UHV FGD'!$M83,"Error","")</f>
        <v/>
      </c>
      <c r="AY66" s="98" t="str">
        <f>IF(AY65&lt;&gt;'UHV Sum'!$C59,"Error","")</f>
        <v/>
      </c>
      <c r="AZ66" s="98" t="str">
        <f>IF(AZ65&lt;&gt;'LU FGD'!$M83,"Error","")</f>
        <v/>
      </c>
      <c r="BA66" s="98" t="str">
        <f>IF(BA65&lt;&gt;'LU Sum'!$C59,"Error","")</f>
        <v/>
      </c>
      <c r="BB66" s="98" t="str">
        <f>IF(BB65&lt;&gt;'shsu1 FGD'!$M83,"Error","")</f>
        <v/>
      </c>
      <c r="BC66" s="98" t="str">
        <f>IF(BC65&lt;&gt;'shsu1 Sum'!$C59,"Error","")</f>
        <v/>
      </c>
      <c r="BD66" s="98" t="str">
        <f>IF(BD65&lt;&gt;'TXST FGD'!$M83,"Error","")</f>
        <v/>
      </c>
      <c r="BE66" s="98" t="str">
        <f>IF(BE65&lt;&gt;'TXST Sum'!$C59,"Error","")</f>
        <v/>
      </c>
      <c r="BF66" s="98" t="str">
        <f>IF(BF65&lt;&gt;'SRSU FGD'!$M83,"Error","")</f>
        <v/>
      </c>
      <c r="BG66" s="98" t="str">
        <f>IF(BG65&lt;&gt;'SRSU Sum'!$C59,"Error","")</f>
        <v/>
      </c>
      <c r="BH66" s="98" t="str">
        <f>IF(BH65&lt;&gt;'TTU FGD'!$M83,"Error","")</f>
        <v/>
      </c>
      <c r="BI66" s="98" t="str">
        <f>IF(BI65&lt;&gt;'TTU Sum'!$C59,"Error","")</f>
        <v/>
      </c>
      <c r="BJ66" s="98" t="str">
        <f>IF(BJ65&lt;&gt;'ASU FGD'!$M83,"Error","")</f>
        <v/>
      </c>
      <c r="BK66" s="98" t="str">
        <f>IF(BK65&lt;&gt;'ASU Sum'!$C59,"Error","")</f>
        <v/>
      </c>
      <c r="BL66" s="98" t="str">
        <f>IF(BL65&lt;&gt;'UNT FGD'!$M83,"Error","")</f>
        <v/>
      </c>
      <c r="BM66" s="98" t="str">
        <f>IF(BM65&lt;&gt;'UNT Sum'!$C59,"Error","")</f>
        <v/>
      </c>
      <c r="BN66" s="98" t="str">
        <f>IF(BN65&lt;&gt;'UNTD FGD'!$M83,"Error","")</f>
        <v/>
      </c>
      <c r="BO66" s="98" t="str">
        <f>IF(BO65&lt;&gt;'UNTD Sum'!$C59,"Error","")</f>
        <v/>
      </c>
      <c r="BP66" s="98" t="str">
        <f>IF(BP65&lt;&gt;'MidWST FGD'!$M83,"Error","")</f>
        <v/>
      </c>
      <c r="BQ66" s="98" t="str">
        <f>IF(BQ65&lt;&gt;'MidWST Sum'!$C59,"Error","")</f>
        <v/>
      </c>
      <c r="BR66" s="98" t="str">
        <f>IF(BR65&lt;&gt;'SFA FGD'!$M83,"Error","")</f>
        <v/>
      </c>
      <c r="BS66" s="98" t="str">
        <f>IF(BS65&lt;&gt;'SFA Sum'!$C59,"Error","")</f>
        <v/>
      </c>
      <c r="BT66" s="98" t="str">
        <f>IF(BT65&lt;&gt;'TSU FGD'!$M83,"Error","")</f>
        <v/>
      </c>
      <c r="BU66" s="98" t="str">
        <f>IF(BU65&lt;&gt;'TSU Sum'!$C59,"Error","")</f>
        <v/>
      </c>
      <c r="BV66" s="98" t="str">
        <f>IF(BV65&lt;&gt;'TWU FGD'!$M83,"Error","")</f>
        <v/>
      </c>
      <c r="BW66" s="98" t="str">
        <f>IF(BW65&lt;&gt;'TWU Sum'!$C59,"Error","")</f>
        <v/>
      </c>
    </row>
    <row r="67" spans="1:91" ht="13.5" thickBot="1">
      <c r="A67" s="103" t="s">
        <v>573</v>
      </c>
      <c r="B67" s="46">
        <f t="shared" ref="B67:BK67" si="210">B39-B53+B60+B65</f>
        <v>5281518181</v>
      </c>
      <c r="C67" s="388">
        <f t="shared" si="210"/>
        <v>9387</v>
      </c>
      <c r="D67" s="388">
        <f t="shared" si="210"/>
        <v>219390052</v>
      </c>
      <c r="E67" s="388">
        <f t="shared" si="210"/>
        <v>6386</v>
      </c>
      <c r="F67" s="388">
        <f t="shared" si="210"/>
        <v>1777477933</v>
      </c>
      <c r="G67" s="388">
        <f t="shared" si="210"/>
        <v>37396</v>
      </c>
      <c r="H67" s="388">
        <f t="shared" si="210"/>
        <v>260913003</v>
      </c>
      <c r="I67" s="388">
        <f t="shared" si="210"/>
        <v>10798</v>
      </c>
      <c r="J67" s="388">
        <f t="shared" si="210"/>
        <v>140938204</v>
      </c>
      <c r="K67" s="388">
        <f t="shared" si="210"/>
        <v>7234</v>
      </c>
      <c r="L67" s="46">
        <f t="shared" si="210"/>
        <v>156420075</v>
      </c>
      <c r="M67" s="46">
        <f t="shared" si="210"/>
        <v>5511</v>
      </c>
      <c r="N67" s="46">
        <f t="shared" si="210"/>
        <v>15468360</v>
      </c>
      <c r="O67" s="46">
        <f t="shared" si="210"/>
        <v>3636</v>
      </c>
      <c r="P67" s="46">
        <f t="shared" si="210"/>
        <v>249854658</v>
      </c>
      <c r="Q67" s="46">
        <f t="shared" si="210"/>
        <v>8796</v>
      </c>
      <c r="R67" s="46">
        <f t="shared" si="210"/>
        <v>33614463</v>
      </c>
      <c r="S67" s="46">
        <f t="shared" si="210"/>
        <v>4420</v>
      </c>
      <c r="T67" s="46">
        <f t="shared" si="210"/>
        <v>565128231</v>
      </c>
      <c r="U67" s="46">
        <f t="shared" si="210"/>
        <v>9720</v>
      </c>
      <c r="V67" s="46">
        <f t="shared" si="210"/>
        <v>58423639</v>
      </c>
      <c r="W67" s="46">
        <f t="shared" si="210"/>
        <v>33715</v>
      </c>
      <c r="X67" s="46">
        <f t="shared" si="210"/>
        <v>97312016</v>
      </c>
      <c r="Y67" s="46">
        <f t="shared" si="210"/>
        <v>12060</v>
      </c>
      <c r="Z67" s="46">
        <f t="shared" si="210"/>
        <v>72356243</v>
      </c>
      <c r="AA67" s="46">
        <f t="shared" si="210"/>
        <v>6263</v>
      </c>
      <c r="AB67" s="46">
        <f t="shared" si="210"/>
        <v>35229028</v>
      </c>
      <c r="AC67" s="46">
        <f t="shared" si="210"/>
        <v>3774</v>
      </c>
      <c r="AD67" s="46">
        <f t="shared" si="210"/>
        <v>33823621</v>
      </c>
      <c r="AE67" s="46">
        <f t="shared" si="210"/>
        <v>6020</v>
      </c>
      <c r="AF67" s="46">
        <f t="shared" si="210"/>
        <v>6520373</v>
      </c>
      <c r="AG67" s="46">
        <f t="shared" si="210"/>
        <v>4058</v>
      </c>
      <c r="AH67" s="46">
        <f t="shared" si="210"/>
        <v>11611199</v>
      </c>
      <c r="AI67" s="46">
        <f t="shared" si="210"/>
        <v>2438</v>
      </c>
      <c r="AJ67" s="46">
        <f t="shared" si="210"/>
        <v>91972982</v>
      </c>
      <c r="AK67" s="46">
        <f t="shared" si="210"/>
        <v>13209</v>
      </c>
      <c r="AL67" s="46">
        <f t="shared" si="210"/>
        <v>41017113</v>
      </c>
      <c r="AM67" s="46">
        <f t="shared" si="210"/>
        <v>5310</v>
      </c>
      <c r="AN67" s="46">
        <f t="shared" si="210"/>
        <v>59751205</v>
      </c>
      <c r="AO67" s="46">
        <f t="shared" si="210"/>
        <v>6417</v>
      </c>
      <c r="AP67" s="46">
        <f t="shared" si="210"/>
        <v>9535911</v>
      </c>
      <c r="AQ67" s="46">
        <f t="shared" si="210"/>
        <v>5773</v>
      </c>
      <c r="AR67" s="46">
        <f t="shared" si="210"/>
        <v>608824571</v>
      </c>
      <c r="AS67" s="46">
        <f t="shared" si="210"/>
        <v>15103</v>
      </c>
      <c r="AT67" s="46">
        <f t="shared" si="210"/>
        <v>23210758</v>
      </c>
      <c r="AU67" s="46">
        <f t="shared" si="210"/>
        <v>3432</v>
      </c>
      <c r="AV67" s="46">
        <f t="shared" si="210"/>
        <v>50795882</v>
      </c>
      <c r="AW67" s="46">
        <f t="shared" si="210"/>
        <v>4539</v>
      </c>
      <c r="AX67" s="46">
        <f t="shared" si="210"/>
        <v>2340712</v>
      </c>
      <c r="AY67" s="46">
        <f t="shared" si="210"/>
        <v>650</v>
      </c>
      <c r="AZ67" s="46">
        <f t="shared" si="210"/>
        <v>31802285</v>
      </c>
      <c r="BA67" s="46">
        <f t="shared" si="210"/>
        <v>2353</v>
      </c>
      <c r="BB67" s="46">
        <f t="shared" si="210"/>
        <v>55763668</v>
      </c>
      <c r="BC67" s="46">
        <f t="shared" si="210"/>
        <v>3169</v>
      </c>
      <c r="BD67" s="46">
        <f t="shared" si="210"/>
        <v>89642682</v>
      </c>
      <c r="BE67" s="46">
        <f t="shared" si="210"/>
        <v>2866</v>
      </c>
      <c r="BF67" s="46">
        <f t="shared" si="210"/>
        <v>4011763</v>
      </c>
      <c r="BG67" s="46">
        <f t="shared" si="210"/>
        <v>2345</v>
      </c>
      <c r="BH67" s="46">
        <f t="shared" si="210"/>
        <v>200154362</v>
      </c>
      <c r="BI67" s="46">
        <f t="shared" si="210"/>
        <v>5555</v>
      </c>
      <c r="BJ67" s="46">
        <f t="shared" si="210"/>
        <v>24841707</v>
      </c>
      <c r="BK67" s="46">
        <f t="shared" si="210"/>
        <v>3263</v>
      </c>
      <c r="BL67" s="46">
        <f t="shared" ref="BL67:BW67" si="211">BL39-BL53+BL60+BL65</f>
        <v>89848685</v>
      </c>
      <c r="BM67" s="46">
        <f t="shared" si="211"/>
        <v>2587</v>
      </c>
      <c r="BN67" s="46">
        <f t="shared" si="211"/>
        <v>11231001</v>
      </c>
      <c r="BO67" s="46">
        <f t="shared" si="211"/>
        <v>3241</v>
      </c>
      <c r="BP67" s="46">
        <f t="shared" si="211"/>
        <v>-1698497</v>
      </c>
      <c r="BQ67" s="46">
        <f t="shared" si="211"/>
        <v>-392</v>
      </c>
      <c r="BR67" s="46">
        <f t="shared" si="211"/>
        <v>-11620488</v>
      </c>
      <c r="BS67" s="46">
        <f t="shared" si="211"/>
        <v>-1121</v>
      </c>
      <c r="BT67" s="46">
        <f t="shared" si="211"/>
        <v>96223532</v>
      </c>
      <c r="BU67" s="46">
        <f t="shared" si="211"/>
        <v>14924</v>
      </c>
      <c r="BV67" s="46">
        <f t="shared" si="211"/>
        <v>69387249</v>
      </c>
      <c r="BW67" s="46">
        <f t="shared" si="211"/>
        <v>5327</v>
      </c>
    </row>
    <row r="68" spans="1:91" ht="13.5" thickTop="1">
      <c r="B68" s="98" t="str">
        <f>IF(B67&lt;&gt;'Smmy Sum'!B97,"Error","")</f>
        <v/>
      </c>
      <c r="C68" s="383" t="str">
        <f>IF(C67&lt;&gt;'Smmy Sum'!$C97,"Error","")</f>
        <v/>
      </c>
      <c r="D68" s="383" t="str">
        <f>IF(D67&lt;&gt;'ARL FGD'!$M85,"Error","")</f>
        <v/>
      </c>
      <c r="E68" s="383" t="str">
        <f>IF(E67&lt;&gt;'ARL Sum'!$C61,"Error","")</f>
        <v/>
      </c>
      <c r="F68" s="383" t="str">
        <f>IF(F67&lt;&gt;'AUS1 FGD'!$M85,"Error","")</f>
        <v/>
      </c>
      <c r="G68" s="383" t="str">
        <f>IF(G67&lt;&gt;'AUS1 Sum'!$C61,"Error","")</f>
        <v/>
      </c>
      <c r="H68" s="383" t="str">
        <f>IF(H67&lt;&gt;'DAL FGD'!$M85,"Error","")</f>
        <v/>
      </c>
      <c r="I68" s="383" t="str">
        <f>IF(I67&lt;&gt;'DAL Sum'!$C61,"Error","")</f>
        <v/>
      </c>
      <c r="J68" s="383" t="str">
        <f>IF(J67&lt;&gt;'E-P FGD'!$M85,"Error","")</f>
        <v/>
      </c>
      <c r="K68" s="383" t="str">
        <f>IF(K67&lt;&gt;'E-P Sum'!$C61,"Error","")</f>
        <v/>
      </c>
      <c r="L68" s="98" t="str">
        <f>IF(L67&lt;&gt;'RGV1 FGD'!$M85,"Error","")</f>
        <v/>
      </c>
      <c r="M68" s="98" t="str">
        <f>IF(M67&lt;&gt;'RGV1 Sum'!$C61,"Error","")</f>
        <v/>
      </c>
      <c r="N68" s="98" t="str">
        <f>IF(N67&lt;&gt;'P-B FGD'!$M85,"Error","")</f>
        <v/>
      </c>
      <c r="O68" s="98" t="str">
        <f>IF(O67&lt;&gt;'P-B Sum'!$C61,"Error","")</f>
        <v/>
      </c>
      <c r="P68" s="98" t="str">
        <f>IF(P67&lt;&gt;'S-A FGD'!$M85,"Error","")</f>
        <v/>
      </c>
      <c r="Q68" s="98" t="str">
        <f>IF(Q67&lt;&gt;'S-A Sum'!$C61,"Error","")</f>
        <v/>
      </c>
      <c r="R68" s="98" t="str">
        <f>IF(R67&lt;&gt;'TYL FGD'!$M85,"Error","")</f>
        <v/>
      </c>
      <c r="S68" s="98" t="str">
        <f>IF(S67&lt;&gt;'TYL Sum'!$C61,"Error","")</f>
        <v/>
      </c>
      <c r="T68" s="98" t="str">
        <f>IF(T67&lt;&gt;'TAMU FGD'!$M85,"Error","")</f>
        <v/>
      </c>
      <c r="U68" s="98" t="str">
        <f>IF(U67&lt;&gt;'TAMU Sum'!$C61,"Error","")</f>
        <v/>
      </c>
      <c r="V68" s="98" t="str">
        <f>IF(V67&lt;&gt;'TAMUG FGD'!$M85,"Error","")</f>
        <v/>
      </c>
      <c r="W68" s="98" t="str">
        <f>IF(W67&lt;&gt;'TAMUG Sum'!$C61,"Error","")</f>
        <v/>
      </c>
      <c r="X68" s="98" t="str">
        <f>IF(X67&lt;&gt;'PVAMU FGD'!$M85,"Error","")</f>
        <v/>
      </c>
      <c r="Y68" s="98" t="str">
        <f>IF(Y67&lt;&gt;'PVAMU Sum'!$C61,"Error","")</f>
        <v/>
      </c>
      <c r="Z68" s="98" t="str">
        <f>IF(Z67&lt;&gt;'TARLST FGD'!$M85,"Error","")</f>
        <v/>
      </c>
      <c r="AA68" s="98" t="str">
        <f>IF(AA67&lt;&gt;'TARLST Sum'!$C61,"Error","")</f>
        <v/>
      </c>
      <c r="AB68" s="98" t="str">
        <f>IF(AB67&lt;&gt;'TAMUCC FGD'!$M85,"Error","")</f>
        <v/>
      </c>
      <c r="AC68" s="98" t="str">
        <f>IF(AC67&lt;&gt;'TAMUCC Sum'!$C61,"Error","")</f>
        <v/>
      </c>
      <c r="AD68" s="98" t="str">
        <f>IF(AD67&lt;&gt;'TAMUK FGD'!$M85,"Error","")</f>
        <v/>
      </c>
      <c r="AE68" s="98" t="str">
        <f>IF(AE67&lt;&gt;'TAMUK Sum'!$C61,"Error","")</f>
        <v/>
      </c>
      <c r="AF68" s="98" t="str">
        <f>IF(AF67&lt;&gt;'TAMUCT FGD'!$M85,"Error","")</f>
        <v/>
      </c>
      <c r="AG68" s="98" t="str">
        <f>IF(AG67&lt;&gt;'TAMUCT Sum'!$C61,"Error","")</f>
        <v/>
      </c>
      <c r="AH68" s="98" t="str">
        <f>IF(AH67&lt;&gt;'TAMUSA FGD'!$M85,"Error","")</f>
        <v/>
      </c>
      <c r="AI68" s="98" t="str">
        <f>IF(AI67&lt;&gt;'TAMUSA Sum'!$C61,"Error","")</f>
        <v/>
      </c>
      <c r="AJ68" s="98" t="str">
        <f>IF(AJ67&lt;&gt;'TAMIU FGD'!$M85,"Error","")</f>
        <v/>
      </c>
      <c r="AK68" s="98" t="str">
        <f>IF(AK67&lt;&gt;'TAMIU Sum'!$C61,"Error","")</f>
        <v/>
      </c>
      <c r="AL68" s="98" t="str">
        <f>IF(AL67&lt;&gt;'WTAMU FGD'!$M85,"Error","")</f>
        <v/>
      </c>
      <c r="AM68" s="98" t="str">
        <f>IF(AM67&lt;&gt;'WTAMU Sum'!$C61,"Error","")</f>
        <v/>
      </c>
      <c r="AN68" s="98" t="str">
        <f>IF(AN67&lt;&gt;'TAMUC FGD'!$M85,"Error","")</f>
        <v/>
      </c>
      <c r="AO68" s="98" t="str">
        <f>IF(AO67&lt;&gt;'TAMUC Sum'!$C61,"Error","")</f>
        <v/>
      </c>
      <c r="AP68" s="98" t="str">
        <f>IF(AP67&lt;&gt;'TAMUT FGD'!$M85,"Error","")</f>
        <v/>
      </c>
      <c r="AQ68" s="98" t="str">
        <f>IF(AQ67&lt;&gt;'TAMUT Sum'!$C61,"Error","")</f>
        <v/>
      </c>
      <c r="AR68" s="98" t="str">
        <f>IF(AR67&lt;&gt;'UH1 FGD'!$M85,"Error","")</f>
        <v/>
      </c>
      <c r="AS68" s="98" t="str">
        <f>IF(AS67&lt;&gt;'UH1 Sum'!$C61,"Error","")</f>
        <v/>
      </c>
      <c r="AT68" s="98" t="str">
        <f>IF(AT67&lt;&gt;'UHCL FGD'!$M85,"Error","")</f>
        <v/>
      </c>
      <c r="AU68" s="98" t="str">
        <f>IF(AU67&lt;&gt;'UHCL Sum'!$C61,"Error","")</f>
        <v/>
      </c>
      <c r="AV68" s="98" t="str">
        <f>IF(AV67&lt;&gt;'UHD FGD'!$M85,"Error","")</f>
        <v/>
      </c>
      <c r="AW68" s="98" t="str">
        <f>IF(AW67&lt;&gt;'UHD Sum'!$C61,"Error","")</f>
        <v/>
      </c>
      <c r="AX68" s="98" t="str">
        <f>IF(AX67&lt;&gt;'UHV FGD'!$M85,"Error","")</f>
        <v/>
      </c>
      <c r="AY68" s="98" t="str">
        <f>IF(AY67&lt;&gt;'UHV Sum'!$C61,"Error","")</f>
        <v/>
      </c>
      <c r="AZ68" s="98" t="str">
        <f>IF(AZ67&lt;&gt;'LU FGD'!$M85,"Error","")</f>
        <v/>
      </c>
      <c r="BA68" s="98" t="str">
        <f>IF(BA67&lt;&gt;'LU Sum'!$C61,"Error","")</f>
        <v/>
      </c>
      <c r="BB68" s="98" t="str">
        <f>IF(BB67&lt;&gt;'shsu1 FGD'!$M85,"Error","")</f>
        <v/>
      </c>
      <c r="BC68" s="98" t="str">
        <f>IF(BC67&lt;&gt;'shsu1 Sum'!$C61,"Error","")</f>
        <v/>
      </c>
      <c r="BD68" s="98" t="str">
        <f>IF(BD67&lt;&gt;'TXST FGD'!$M85,"Error","")</f>
        <v/>
      </c>
      <c r="BE68" s="98" t="str">
        <f>IF(BE67&lt;&gt;'TXST Sum'!$C61,"Error","")</f>
        <v/>
      </c>
      <c r="BF68" s="98" t="str">
        <f>IF(BF67&lt;&gt;'SRSU FGD'!$M85,"Error","")</f>
        <v/>
      </c>
      <c r="BG68" s="98" t="str">
        <f>IF(BG67&lt;&gt;'SRSU Sum'!$C61,"Error","")</f>
        <v/>
      </c>
      <c r="BH68" s="98" t="str">
        <f>IF(BH67&lt;&gt;'TTU FGD'!$M85,"Error","")</f>
        <v/>
      </c>
      <c r="BI68" s="98" t="str">
        <f>IF(BI67&lt;&gt;'TTU Sum'!$C61,"Error","")</f>
        <v/>
      </c>
      <c r="BJ68" s="98" t="str">
        <f>IF(BJ67&lt;&gt;'ASU FGD'!$M85,"Error","")</f>
        <v/>
      </c>
      <c r="BK68" s="98" t="str">
        <f>IF(BK67&lt;&gt;'ASU Sum'!$C61,"Error","")</f>
        <v/>
      </c>
      <c r="BL68" s="98" t="str">
        <f>IF(BL67&lt;&gt;'UNT FGD'!$M85,"Error","")</f>
        <v/>
      </c>
      <c r="BM68" s="98" t="str">
        <f>IF(BM67&lt;&gt;'UNT Sum'!$C61,"Error","")</f>
        <v/>
      </c>
      <c r="BN68" s="98" t="str">
        <f>IF(BN67&lt;&gt;'UNTD FGD'!$M85,"Error","")</f>
        <v/>
      </c>
      <c r="BO68" s="98" t="str">
        <f>IF(BO67&lt;&gt;'UNTD Sum'!$C61,"Error","")</f>
        <v/>
      </c>
      <c r="BP68" s="98" t="str">
        <f>IF(BP67&lt;&gt;'MidWST FGD'!$M85,"Error","")</f>
        <v/>
      </c>
      <c r="BQ68" s="98" t="str">
        <f>IF(BQ67&lt;&gt;'MidWST Sum'!$C61,"Error","")</f>
        <v/>
      </c>
      <c r="BR68" s="98" t="str">
        <f>IF(BR67&lt;&gt;'SFA FGD'!$M85,"Error","")</f>
        <v/>
      </c>
      <c r="BS68" s="98" t="str">
        <f>IF(BS67&lt;&gt;'SFA Sum'!$C61,"Error","")</f>
        <v/>
      </c>
      <c r="BT68" s="98" t="str">
        <f>IF(BT67&lt;&gt;'TSU FGD'!$M85,"Error","")</f>
        <v/>
      </c>
      <c r="BU68" s="98" t="str">
        <f>IF(BU67&lt;&gt;'TSU Sum'!$C61,"Error","")</f>
        <v/>
      </c>
      <c r="BV68" s="98" t="str">
        <f>IF(BV67&lt;&gt;'TWU FGD'!$M85,"Error","")</f>
        <v/>
      </c>
      <c r="BW68" s="98" t="str">
        <f>IF(BW67&lt;&gt;'TWU Sum'!$C61,"Error","")</f>
        <v/>
      </c>
    </row>
    <row r="69" spans="1:91">
      <c r="C69" s="87"/>
      <c r="D69" s="87"/>
      <c r="E69" s="87"/>
      <c r="F69" s="87"/>
      <c r="G69" s="87"/>
      <c r="H69" s="87"/>
      <c r="I69" s="87"/>
      <c r="J69" s="87"/>
      <c r="K69" s="87"/>
    </row>
    <row r="70" spans="1:91">
      <c r="A70" s="75" t="s">
        <v>275</v>
      </c>
      <c r="B70" s="77" t="s">
        <v>249</v>
      </c>
      <c r="C70" s="87"/>
      <c r="D70" s="389" t="s">
        <v>249</v>
      </c>
      <c r="E70" s="87"/>
      <c r="F70" s="389" t="s">
        <v>249</v>
      </c>
      <c r="G70" s="87"/>
      <c r="H70" s="389" t="s">
        <v>249</v>
      </c>
      <c r="I70" s="87"/>
      <c r="J70" s="389" t="s">
        <v>249</v>
      </c>
      <c r="K70" s="87"/>
      <c r="L70" s="77" t="s">
        <v>249</v>
      </c>
      <c r="N70" s="77" t="s">
        <v>249</v>
      </c>
      <c r="P70" s="77" t="s">
        <v>249</v>
      </c>
      <c r="R70" s="77" t="s">
        <v>249</v>
      </c>
      <c r="T70" s="77" t="s">
        <v>249</v>
      </c>
      <c r="V70" s="77" t="s">
        <v>249</v>
      </c>
      <c r="X70" s="77" t="s">
        <v>249</v>
      </c>
      <c r="Z70" s="77" t="s">
        <v>249</v>
      </c>
      <c r="AB70" s="77" t="s">
        <v>249</v>
      </c>
      <c r="AD70" s="77" t="s">
        <v>249</v>
      </c>
      <c r="AF70" s="77" t="s">
        <v>249</v>
      </c>
      <c r="AH70" s="77" t="s">
        <v>249</v>
      </c>
      <c r="AJ70" s="77" t="s">
        <v>249</v>
      </c>
      <c r="AL70" s="77" t="s">
        <v>249</v>
      </c>
      <c r="AN70" s="77" t="s">
        <v>249</v>
      </c>
      <c r="AP70" s="77" t="s">
        <v>249</v>
      </c>
      <c r="AR70" s="77" t="s">
        <v>249</v>
      </c>
      <c r="AT70" s="77" t="s">
        <v>249</v>
      </c>
      <c r="AV70" s="77" t="s">
        <v>249</v>
      </c>
      <c r="AX70" s="77" t="s">
        <v>249</v>
      </c>
      <c r="AZ70" s="77" t="s">
        <v>249</v>
      </c>
      <c r="BB70" s="77" t="s">
        <v>249</v>
      </c>
      <c r="BD70" s="77" t="s">
        <v>249</v>
      </c>
      <c r="BF70" s="77" t="s">
        <v>249</v>
      </c>
      <c r="BH70" s="77" t="s">
        <v>249</v>
      </c>
      <c r="BJ70" s="77" t="s">
        <v>249</v>
      </c>
      <c r="BL70" s="77" t="s">
        <v>249</v>
      </c>
      <c r="BN70" s="77" t="s">
        <v>249</v>
      </c>
      <c r="BP70" s="77" t="s">
        <v>249</v>
      </c>
      <c r="BR70" s="77" t="s">
        <v>249</v>
      </c>
      <c r="BT70" s="77" t="s">
        <v>249</v>
      </c>
      <c r="BV70" s="77" t="s">
        <v>249</v>
      </c>
    </row>
    <row r="71" spans="1:91">
      <c r="C71" s="87"/>
      <c r="D71" s="87"/>
      <c r="E71" s="87"/>
      <c r="F71" s="87"/>
      <c r="G71" s="87"/>
      <c r="H71" s="87"/>
      <c r="I71" s="87"/>
      <c r="J71" s="87"/>
      <c r="K71" s="87"/>
    </row>
    <row r="72" spans="1:91">
      <c r="C72" s="87"/>
      <c r="D72" s="87"/>
      <c r="E72" s="87"/>
      <c r="F72" s="87"/>
      <c r="G72" s="87"/>
      <c r="H72" s="87"/>
      <c r="I72" s="87"/>
      <c r="J72" s="87"/>
      <c r="K72" s="87"/>
    </row>
    <row r="73" spans="1:91">
      <c r="A73" s="163"/>
      <c r="C73" s="87"/>
      <c r="D73" s="87"/>
      <c r="E73" s="87"/>
      <c r="F73" s="87"/>
      <c r="G73" s="87"/>
      <c r="H73" s="87"/>
      <c r="I73" s="87"/>
      <c r="J73" s="87"/>
      <c r="K73" s="87"/>
    </row>
    <row r="74" spans="1:91">
      <c r="A74" s="161" t="s">
        <v>65</v>
      </c>
      <c r="B74" s="83">
        <f t="shared" ref="B74:B79" si="212">SUMIF(D$70:BW$70,$B$70,D74:BW74)</f>
        <v>-16303794</v>
      </c>
      <c r="C74" s="87"/>
      <c r="D74" s="87">
        <f>'ARL FGD'!$M87</f>
        <v>0</v>
      </c>
      <c r="E74" s="87"/>
      <c r="F74" s="87">
        <f>'AUS1 FGD'!$M87</f>
        <v>0</v>
      </c>
      <c r="G74" s="87"/>
      <c r="H74" s="87">
        <f>'DAL FGD'!$M87</f>
        <v>0</v>
      </c>
      <c r="I74" s="87"/>
      <c r="J74" s="87">
        <f>'E-P FGD'!$M87</f>
        <v>0</v>
      </c>
      <c r="K74" s="87"/>
      <c r="L74" s="83">
        <f>'RGV1 FGD'!$M87</f>
        <v>0</v>
      </c>
      <c r="N74" s="83">
        <f>'P-B FGD'!$M87</f>
        <v>0</v>
      </c>
      <c r="P74" s="83">
        <f>'S-A FGD'!$M87</f>
        <v>0</v>
      </c>
      <c r="R74" s="83">
        <f>'TYL FGD'!$M87</f>
        <v>0</v>
      </c>
      <c r="T74" s="83">
        <f>'TAMU FGD'!$M87</f>
        <v>0</v>
      </c>
      <c r="V74" s="83">
        <f>'TAMUG FGD'!$M87</f>
        <v>0</v>
      </c>
      <c r="X74" s="83">
        <f>'PVAMU FGD'!$M87</f>
        <v>0</v>
      </c>
      <c r="Z74" s="83">
        <f>'TARLST FGD'!$M87</f>
        <v>0</v>
      </c>
      <c r="AB74" s="83">
        <f>'TAMUCC FGD'!$M87</f>
        <v>0</v>
      </c>
      <c r="AD74" s="83">
        <f>'TAMUK FGD'!$M87</f>
        <v>0</v>
      </c>
      <c r="AF74" s="83">
        <f>'TAMUCT FGD'!$M87</f>
        <v>0</v>
      </c>
      <c r="AH74" s="83">
        <f>'TAMUSA FGD'!$M87</f>
        <v>0</v>
      </c>
      <c r="AJ74" s="83">
        <f>'TAMIU FGD'!$M87</f>
        <v>0</v>
      </c>
      <c r="AL74" s="83">
        <f>'WTAMU FGD'!$M87</f>
        <v>0</v>
      </c>
      <c r="AN74" s="83">
        <f>'TAMUC FGD'!$M87</f>
        <v>0</v>
      </c>
      <c r="AP74" s="83">
        <f>'TAMUT FGD'!$M87</f>
        <v>0</v>
      </c>
      <c r="AR74" s="83">
        <f>'UH1 FGD'!$M87</f>
        <v>-48101000</v>
      </c>
      <c r="AT74" s="83">
        <f>'UHCL FGD'!$M87</f>
        <v>0</v>
      </c>
      <c r="AV74" s="83">
        <f>'UHD FGD'!$M87</f>
        <v>0</v>
      </c>
      <c r="AX74" s="83">
        <f>'UHV FGD'!$M87</f>
        <v>2591267</v>
      </c>
      <c r="AZ74" s="83">
        <f>'LU FGD'!$M87</f>
        <v>0</v>
      </c>
      <c r="BB74" s="83">
        <f>'shsu1 FGD'!$M87</f>
        <v>0</v>
      </c>
      <c r="BD74" s="83">
        <f>'TXST FGD'!$M87</f>
        <v>0</v>
      </c>
      <c r="BF74" s="83">
        <f>'SRSU FGD'!$M87</f>
        <v>0</v>
      </c>
      <c r="BH74" s="83">
        <f>'TTU FGD'!$M87</f>
        <v>0</v>
      </c>
      <c r="BJ74" s="83">
        <f>'ASU FGD'!$M87</f>
        <v>0</v>
      </c>
      <c r="BL74" s="83">
        <f>'UNT FGD'!$M87</f>
        <v>0</v>
      </c>
      <c r="BN74" s="83">
        <f>'UNTD FGD'!$M87</f>
        <v>0</v>
      </c>
      <c r="BP74" s="83">
        <f>'MidWST FGD'!$M87</f>
        <v>6384580</v>
      </c>
      <c r="BR74" s="83">
        <f>'SFA FGD'!$M87</f>
        <v>19551283</v>
      </c>
      <c r="BT74" s="83">
        <f>'TSU FGD'!$M87</f>
        <v>11278562</v>
      </c>
      <c r="BV74" s="83">
        <f>'TWU FGD'!$M87</f>
        <v>-8008486</v>
      </c>
    </row>
    <row r="75" spans="1:91">
      <c r="A75" s="160" t="s">
        <v>66</v>
      </c>
      <c r="B75" s="82">
        <f t="shared" si="212"/>
        <v>-1559397936</v>
      </c>
      <c r="C75" s="87"/>
      <c r="D75" s="87">
        <f>'ARL FGD'!$M88</f>
        <v>-56108157</v>
      </c>
      <c r="E75" s="87"/>
      <c r="F75" s="87">
        <f>'AUS1 FGD'!$M88</f>
        <v>-324807006</v>
      </c>
      <c r="G75" s="87"/>
      <c r="H75" s="87">
        <f>'DAL FGD'!$M88</f>
        <v>-90383879</v>
      </c>
      <c r="I75" s="87"/>
      <c r="J75" s="87">
        <f>'E-P FGD'!$M88</f>
        <v>-33734963</v>
      </c>
      <c r="K75" s="87"/>
      <c r="L75" s="83">
        <f>'RGV1 FGD'!$M88</f>
        <v>-42000621</v>
      </c>
      <c r="N75" s="83">
        <f>'P-B FGD'!$M88</f>
        <v>-20910893</v>
      </c>
      <c r="P75" s="83">
        <f>'S-A FGD'!$M88</f>
        <v>-59046219</v>
      </c>
      <c r="R75" s="83">
        <f>'TYL FGD'!$M88</f>
        <v>-16588997</v>
      </c>
      <c r="T75" s="83">
        <f>'TAMU FGD'!$M88</f>
        <v>-229375492</v>
      </c>
      <c r="V75" s="83">
        <f>'TAMUG FGD'!$M88</f>
        <v>-11223911</v>
      </c>
      <c r="X75" s="83">
        <f>'PVAMU FGD'!$M88</f>
        <v>-23402579</v>
      </c>
      <c r="Z75" s="83">
        <f>'TARLST FGD'!$M88</f>
        <v>-30572355</v>
      </c>
      <c r="AB75" s="83">
        <f>'TAMUCC FGD'!$M88</f>
        <v>-27397707</v>
      </c>
      <c r="AD75" s="83">
        <f>'TAMUK FGD'!$M88</f>
        <v>-12971337</v>
      </c>
      <c r="AF75" s="83">
        <f>'TAMUCT FGD'!$M88</f>
        <v>-5769238</v>
      </c>
      <c r="AH75" s="83">
        <f>'TAMUSA FGD'!$M88</f>
        <v>-11025709</v>
      </c>
      <c r="AJ75" s="83">
        <f>'TAMIU FGD'!$M88</f>
        <v>-11214168</v>
      </c>
      <c r="AL75" s="83">
        <f>'WTAMU FGD'!$M88</f>
        <v>-20263972</v>
      </c>
      <c r="AN75" s="83">
        <f>'TAMUC FGD'!$M88</f>
        <v>-11902932</v>
      </c>
      <c r="AP75" s="83">
        <f>'TAMUT FGD'!$M88</f>
        <v>-8818600</v>
      </c>
      <c r="AR75" s="83">
        <f>'UH1 FGD'!$M88</f>
        <v>-91094771</v>
      </c>
      <c r="AT75" s="83">
        <f>'UHCL FGD'!$M88</f>
        <v>-12206418</v>
      </c>
      <c r="AV75" s="83">
        <f>'UHD FGD'!$M88</f>
        <v>-12438824</v>
      </c>
      <c r="AX75" s="83">
        <f>'UHV FGD'!$M88</f>
        <v>-7013519</v>
      </c>
      <c r="AZ75" s="83">
        <f>'LU FGD'!$M88</f>
        <v>-12021265</v>
      </c>
      <c r="BB75" s="83">
        <f>'shsu1 FGD'!$M88</f>
        <v>-39216453</v>
      </c>
      <c r="BD75" s="83">
        <f>'TXST FGD'!$M88</f>
        <v>-72067914</v>
      </c>
      <c r="BF75" s="83">
        <f>'SRSU FGD'!$M88</f>
        <v>-4534260</v>
      </c>
      <c r="BH75" s="83">
        <f>'TTU FGD'!$M88</f>
        <v>-92951310</v>
      </c>
      <c r="BJ75" s="83">
        <f>'ASU FGD'!$M88</f>
        <v>-11074042</v>
      </c>
      <c r="BL75" s="83">
        <f>'UNT FGD'!$M88</f>
        <v>-65164000</v>
      </c>
      <c r="BN75" s="83">
        <f>'UNTD FGD'!$M88</f>
        <v>-12070890</v>
      </c>
      <c r="BP75" s="83">
        <f>'MidWST FGD'!$M88</f>
        <v>-17216719</v>
      </c>
      <c r="BR75" s="83">
        <f>'SFA FGD'!$M88</f>
        <v>-18823601</v>
      </c>
      <c r="BT75" s="83">
        <f>'TSU FGD'!$M88</f>
        <v>-22977507</v>
      </c>
      <c r="BV75" s="83">
        <f>'TWU FGD'!$M88</f>
        <v>-21007708</v>
      </c>
    </row>
    <row r="76" spans="1:91" ht="12.75" customHeight="1">
      <c r="A76" s="171" t="s">
        <v>216</v>
      </c>
      <c r="B76" s="82">
        <f t="shared" si="212"/>
        <v>401959420</v>
      </c>
      <c r="D76" s="87">
        <f>'ARL FGD'!$M89</f>
        <v>0</v>
      </c>
      <c r="F76" s="87">
        <f>'AUS1 FGD'!$M89</f>
        <v>0</v>
      </c>
      <c r="G76" s="87"/>
      <c r="H76" s="87">
        <f>'DAL FGD'!$M89</f>
        <v>0</v>
      </c>
      <c r="I76" s="87"/>
      <c r="J76" s="87">
        <f>'E-P FGD'!$M89</f>
        <v>0</v>
      </c>
      <c r="K76" s="87"/>
      <c r="L76" s="83">
        <f>'RGV1 FGD'!$M89</f>
        <v>0</v>
      </c>
      <c r="N76" s="83">
        <f>'P-B FGD'!$M89</f>
        <v>0</v>
      </c>
      <c r="P76" s="83">
        <f>'S-A FGD'!$M89</f>
        <v>0</v>
      </c>
      <c r="R76" s="83">
        <f>'TYL FGD'!$M89</f>
        <v>0</v>
      </c>
      <c r="T76" s="83">
        <f>'TAMU FGD'!$M89</f>
        <v>141929619</v>
      </c>
      <c r="V76" s="83">
        <f>'TAMUG FGD'!$M89</f>
        <v>43996874</v>
      </c>
      <c r="X76" s="83">
        <f>'PVAMU FGD'!$M89</f>
        <v>0</v>
      </c>
      <c r="Z76" s="83">
        <f>'TARLST FGD'!$M89</f>
        <v>20675406</v>
      </c>
      <c r="AB76" s="83">
        <f>'TAMUCC FGD'!$M89</f>
        <v>162792953</v>
      </c>
      <c r="AD76" s="83">
        <f>'TAMUK FGD'!$M89</f>
        <v>890150</v>
      </c>
      <c r="AF76" s="83">
        <f>'TAMUCT FGD'!$M89</f>
        <v>3242341</v>
      </c>
      <c r="AH76" s="83">
        <f>'TAMUSA FGD'!$M89</f>
        <v>22678708</v>
      </c>
      <c r="AJ76" s="83">
        <f>'TAMIU FGD'!$M89</f>
        <v>528302</v>
      </c>
      <c r="AL76" s="83">
        <f>'WTAMU FGD'!$M89</f>
        <v>0</v>
      </c>
      <c r="AN76" s="83">
        <f>'TAMUC FGD'!$M89</f>
        <v>0</v>
      </c>
      <c r="AP76" s="83">
        <f>'TAMUT FGD'!$M89</f>
        <v>5263846</v>
      </c>
      <c r="AR76" s="83">
        <f>'UH1 FGD'!$M89</f>
        <v>0</v>
      </c>
      <c r="AT76" s="83">
        <f>'UHCL FGD'!$M89</f>
        <v>0</v>
      </c>
      <c r="AV76" s="83">
        <f>'UHD FGD'!$M89</f>
        <v>0</v>
      </c>
      <c r="AX76" s="83">
        <f>'UHV FGD'!$M89</f>
        <v>0</v>
      </c>
      <c r="AZ76" s="83">
        <f>'LU FGD'!$M89</f>
        <v>0</v>
      </c>
      <c r="BB76" s="83">
        <f>'shsu1 FGD'!$M89</f>
        <v>0</v>
      </c>
      <c r="BD76" s="83">
        <f>'TXST FGD'!$M89</f>
        <v>0</v>
      </c>
      <c r="BF76" s="83">
        <f>'SRSU FGD'!$M89</f>
        <v>0</v>
      </c>
      <c r="BH76" s="83">
        <f>'TTU FGD'!$M89</f>
        <v>-38779</v>
      </c>
      <c r="BJ76" s="83">
        <f>'ASU FGD'!$M89</f>
        <v>0</v>
      </c>
      <c r="BL76" s="83">
        <f>'UNT FGD'!$M89</f>
        <v>0</v>
      </c>
      <c r="BN76" s="83">
        <f>'UNTD FGD'!$M89</f>
        <v>0</v>
      </c>
      <c r="BP76" s="83">
        <f>'MidWST FGD'!$M89</f>
        <v>0</v>
      </c>
      <c r="BR76" s="83">
        <f>'SFA FGD'!$M89</f>
        <v>0</v>
      </c>
      <c r="BT76" s="83">
        <f>'TSU FGD'!$M89</f>
        <v>0</v>
      </c>
      <c r="BV76" s="83">
        <f>'TWU FGD'!$M89</f>
        <v>0</v>
      </c>
    </row>
    <row r="77" spans="1:91" ht="12.75" customHeight="1">
      <c r="A77" s="171" t="s">
        <v>105</v>
      </c>
      <c r="B77" s="82">
        <f t="shared" si="212"/>
        <v>0</v>
      </c>
      <c r="D77" s="87">
        <f>'ARL FGD'!$M90</f>
        <v>0</v>
      </c>
      <c r="F77" s="87">
        <f>'AUS1 FGD'!$M90</f>
        <v>0</v>
      </c>
      <c r="G77" s="87"/>
      <c r="H77" s="87">
        <f>'DAL FGD'!$M90</f>
        <v>0</v>
      </c>
      <c r="I77" s="87"/>
      <c r="J77" s="87">
        <f>'E-P FGD'!$M90</f>
        <v>0</v>
      </c>
      <c r="K77" s="87"/>
      <c r="L77" s="83">
        <f>'RGV1 FGD'!$M90</f>
        <v>0</v>
      </c>
      <c r="N77" s="83">
        <f>'P-B FGD'!$M90</f>
        <v>0</v>
      </c>
      <c r="P77" s="83">
        <f>'S-A FGD'!$M90</f>
        <v>0</v>
      </c>
      <c r="R77" s="83">
        <f>'TYL FGD'!$M90</f>
        <v>0</v>
      </c>
      <c r="T77" s="83">
        <f>'TAMU FGD'!$M90</f>
        <v>0</v>
      </c>
      <c r="V77" s="83">
        <f>'TAMUG FGD'!$M90</f>
        <v>0</v>
      </c>
      <c r="X77" s="83">
        <f>'PVAMU FGD'!$M90</f>
        <v>0</v>
      </c>
      <c r="Z77" s="83">
        <f>'TARLST FGD'!$M90</f>
        <v>0</v>
      </c>
      <c r="AB77" s="83">
        <f>'TAMUCC FGD'!$M90</f>
        <v>0</v>
      </c>
      <c r="AD77" s="83">
        <f>'TAMUK FGD'!$M90</f>
        <v>0</v>
      </c>
      <c r="AF77" s="83">
        <f>'TAMUCT FGD'!$M90</f>
        <v>0</v>
      </c>
      <c r="AH77" s="83">
        <f>'TAMUSA FGD'!$M90</f>
        <v>0</v>
      </c>
      <c r="AJ77" s="83">
        <f>'TAMIU FGD'!$M90</f>
        <v>0</v>
      </c>
      <c r="AL77" s="83">
        <f>'WTAMU FGD'!$M90</f>
        <v>0</v>
      </c>
      <c r="AN77" s="83">
        <f>'TAMUC FGD'!$M90</f>
        <v>0</v>
      </c>
      <c r="AP77" s="83">
        <f>'TAMUT FGD'!$M90</f>
        <v>0</v>
      </c>
      <c r="AR77" s="83">
        <f>'UH1 FGD'!$M90</f>
        <v>0</v>
      </c>
      <c r="AT77" s="83">
        <f>'UHCL FGD'!$M90</f>
        <v>0</v>
      </c>
      <c r="AV77" s="83">
        <f>'UHD FGD'!$M90</f>
        <v>0</v>
      </c>
      <c r="AX77" s="83">
        <f>'UHV FGD'!$M90</f>
        <v>0</v>
      </c>
      <c r="AZ77" s="83">
        <f>'LU FGD'!$M90</f>
        <v>0</v>
      </c>
      <c r="BB77" s="83">
        <f>'shsu1 FGD'!$M90</f>
        <v>0</v>
      </c>
      <c r="BD77" s="83">
        <f>'TXST FGD'!$M90</f>
        <v>0</v>
      </c>
      <c r="BF77" s="83">
        <f>'SRSU FGD'!$M90</f>
        <v>0</v>
      </c>
      <c r="BH77" s="83">
        <f>'TTU FGD'!$M90</f>
        <v>0</v>
      </c>
      <c r="BJ77" s="83">
        <f>'ASU FGD'!$M90</f>
        <v>0</v>
      </c>
      <c r="BL77" s="83">
        <f>'UNT FGD'!$M90</f>
        <v>0</v>
      </c>
      <c r="BN77" s="83">
        <f>'UNTD FGD'!$M90</f>
        <v>0</v>
      </c>
      <c r="BP77" s="83">
        <f>'MidWST FGD'!$M90</f>
        <v>0</v>
      </c>
      <c r="BR77" s="83">
        <f>'SFA FGD'!$M90</f>
        <v>0</v>
      </c>
      <c r="BT77" s="83">
        <f>'TSU FGD'!$M90</f>
        <v>0</v>
      </c>
      <c r="BV77" s="83">
        <f>'TWU FGD'!$M90</f>
        <v>0</v>
      </c>
    </row>
    <row r="78" spans="1:91" ht="12.75" customHeight="1">
      <c r="A78" s="171" t="s">
        <v>128</v>
      </c>
      <c r="B78" s="82">
        <f t="shared" si="212"/>
        <v>40498646</v>
      </c>
      <c r="D78" s="87">
        <f>'ARL FGD'!$M91</f>
        <v>2346</v>
      </c>
      <c r="F78" s="87">
        <f>'AUS1 FGD'!$M91</f>
        <v>13671247</v>
      </c>
      <c r="G78" s="87"/>
      <c r="H78" s="87">
        <f>'DAL FGD'!$M91</f>
        <v>0</v>
      </c>
      <c r="I78" s="87"/>
      <c r="J78" s="87">
        <f>'E-P FGD'!$M91</f>
        <v>313559</v>
      </c>
      <c r="K78" s="87"/>
      <c r="L78" s="83">
        <f>'RGV1 FGD'!$M91</f>
        <v>-54186</v>
      </c>
      <c r="N78" s="83">
        <f>'P-B FGD'!$M91</f>
        <v>0</v>
      </c>
      <c r="P78" s="83">
        <f>'S-A FGD'!$M91</f>
        <v>1533784</v>
      </c>
      <c r="R78" s="83">
        <f>'TYL FGD'!$M91</f>
        <v>0</v>
      </c>
      <c r="T78" s="83">
        <f>'TAMU FGD'!$M91</f>
        <v>10493456</v>
      </c>
      <c r="V78" s="83">
        <f>'TAMUG FGD'!$M91</f>
        <v>98252</v>
      </c>
      <c r="X78" s="83">
        <f>'PVAMU FGD'!$M91</f>
        <v>0</v>
      </c>
      <c r="Z78" s="83">
        <f>'TARLST FGD'!$M91</f>
        <v>157067</v>
      </c>
      <c r="AB78" s="83">
        <f>'TAMUCC FGD'!$M91</f>
        <v>0</v>
      </c>
      <c r="AD78" s="83">
        <f>'TAMUK FGD'!$M91</f>
        <v>64411</v>
      </c>
      <c r="AF78" s="83">
        <f>'TAMUCT FGD'!$M91</f>
        <v>1677</v>
      </c>
      <c r="AH78" s="83">
        <f>'TAMUSA FGD'!$M91</f>
        <v>4777</v>
      </c>
      <c r="AJ78" s="83">
        <f>'TAMIU FGD'!$M91</f>
        <v>0</v>
      </c>
      <c r="AL78" s="83">
        <f>'WTAMU FGD'!$M91</f>
        <v>0</v>
      </c>
      <c r="AN78" s="83">
        <f>'TAMUC FGD'!$M91</f>
        <v>45795</v>
      </c>
      <c r="AP78" s="83">
        <f>'TAMUT FGD'!$M91</f>
        <v>0</v>
      </c>
      <c r="AR78" s="83">
        <f>'UH1 FGD'!$M91</f>
        <v>121400</v>
      </c>
      <c r="AT78" s="83">
        <f>'UHCL FGD'!$M91</f>
        <v>0</v>
      </c>
      <c r="AV78" s="83">
        <f>'UHD FGD'!$M91</f>
        <v>0</v>
      </c>
      <c r="AX78" s="83">
        <f>'UHV FGD'!$M91</f>
        <v>0</v>
      </c>
      <c r="AZ78" s="83">
        <f>'LU FGD'!$M91</f>
        <v>0</v>
      </c>
      <c r="BB78" s="83">
        <f>'shsu1 FGD'!$M91</f>
        <v>0</v>
      </c>
      <c r="BD78" s="83">
        <f>'TXST FGD'!$M91</f>
        <v>1088554</v>
      </c>
      <c r="BF78" s="83">
        <f>'SRSU FGD'!$M91</f>
        <v>0</v>
      </c>
      <c r="BH78" s="83">
        <f>'TTU FGD'!$M91</f>
        <v>5640709</v>
      </c>
      <c r="BJ78" s="83">
        <f>'ASU FGD'!$M91</f>
        <v>0</v>
      </c>
      <c r="BL78" s="83">
        <f>'UNT FGD'!$M91</f>
        <v>2646906</v>
      </c>
      <c r="BN78" s="83">
        <f>'UNTD FGD'!$M91</f>
        <v>415142</v>
      </c>
      <c r="BP78" s="83">
        <f>'MidWST FGD'!$M91</f>
        <v>4253750</v>
      </c>
      <c r="BR78" s="83">
        <f>'SFA FGD'!$M91</f>
        <v>0</v>
      </c>
      <c r="BT78" s="83">
        <f>'TSU FGD'!$M91</f>
        <v>0</v>
      </c>
      <c r="BV78" s="83">
        <f>'TWU FGD'!$M91</f>
        <v>0</v>
      </c>
    </row>
    <row r="79" spans="1:91" ht="12.75" customHeight="1">
      <c r="A79" s="160" t="s">
        <v>67</v>
      </c>
      <c r="B79" s="82">
        <f t="shared" si="212"/>
        <v>1099989615</v>
      </c>
      <c r="D79" s="87">
        <f>'ARL FGD'!$M92</f>
        <v>39356721</v>
      </c>
      <c r="F79" s="87">
        <f>'AUS1 FGD'!$M92</f>
        <v>445308080</v>
      </c>
      <c r="G79" s="87"/>
      <c r="H79" s="87">
        <f>'DAL FGD'!$M92</f>
        <v>35700511</v>
      </c>
      <c r="I79" s="87"/>
      <c r="J79" s="87">
        <f>'E-P FGD'!$M92</f>
        <v>18442307</v>
      </c>
      <c r="K79" s="87"/>
      <c r="L79" s="83">
        <f>'RGV1 FGD'!$M92</f>
        <v>32117337</v>
      </c>
      <c r="N79" s="83">
        <f>'P-B FGD'!$M92</f>
        <v>11477231</v>
      </c>
      <c r="P79" s="83">
        <f>'S-A FGD'!$M92</f>
        <v>110796320</v>
      </c>
      <c r="R79" s="83">
        <f>'TYL FGD'!$M92</f>
        <v>6747830</v>
      </c>
      <c r="T79" s="83">
        <f>'TAMU FGD'!$M92</f>
        <v>107676325</v>
      </c>
      <c r="V79" s="83">
        <f>'TAMUG FGD'!$M92</f>
        <v>2797505</v>
      </c>
      <c r="X79" s="83">
        <f>'PVAMU FGD'!$M92</f>
        <v>9232822</v>
      </c>
      <c r="Z79" s="83">
        <f>'TARLST FGD'!$M92</f>
        <v>17313022</v>
      </c>
      <c r="AB79" s="83">
        <f>'TAMUCC FGD'!$M92</f>
        <v>20172824</v>
      </c>
      <c r="AD79" s="83">
        <f>'TAMUK FGD'!$M92</f>
        <v>6124444</v>
      </c>
      <c r="AF79" s="83">
        <f>'TAMUCT FGD'!$M92</f>
        <v>257227</v>
      </c>
      <c r="AH79" s="83">
        <f>'TAMUSA FGD'!$M92</f>
        <v>424512</v>
      </c>
      <c r="AJ79" s="83">
        <f>'TAMIU FGD'!$M92</f>
        <v>2119173</v>
      </c>
      <c r="AL79" s="83">
        <f>'WTAMU FGD'!$M92</f>
        <v>2549021</v>
      </c>
      <c r="AN79" s="83">
        <f>'TAMUC FGD'!$M92</f>
        <v>7287491</v>
      </c>
      <c r="AP79" s="83">
        <f>'TAMUT FGD'!$M92</f>
        <v>2383344</v>
      </c>
      <c r="AR79" s="83">
        <f>'UH1 FGD'!$M92</f>
        <v>-129955456</v>
      </c>
      <c r="AT79" s="83">
        <f>'UHCL FGD'!$M92</f>
        <v>2979760</v>
      </c>
      <c r="AV79" s="83">
        <f>'UHD FGD'!$M92</f>
        <v>-3235731</v>
      </c>
      <c r="AX79" s="83">
        <f>'UHV FGD'!$M92</f>
        <v>8299345</v>
      </c>
      <c r="AZ79" s="83">
        <f>'LU FGD'!$M92</f>
        <v>1468050</v>
      </c>
      <c r="BB79" s="83">
        <f>'shsu1 FGD'!$M92</f>
        <v>57547184</v>
      </c>
      <c r="BD79" s="83">
        <f>'TXST FGD'!$M92</f>
        <v>38821113</v>
      </c>
      <c r="BF79" s="83">
        <f>'SRSU FGD'!$M92</f>
        <v>3914960</v>
      </c>
      <c r="BH79" s="83">
        <f>'TTU FGD'!$M92</f>
        <v>134745769</v>
      </c>
      <c r="BJ79" s="83">
        <f>'ASU FGD'!$M92</f>
        <v>3577892</v>
      </c>
      <c r="BL79" s="83">
        <f>'UNT FGD'!$M92</f>
        <v>36517485</v>
      </c>
      <c r="BN79" s="83">
        <f>'UNTD FGD'!$M92</f>
        <v>3085705</v>
      </c>
      <c r="BP79" s="83">
        <f>'MidWST FGD'!$M92</f>
        <v>7350607</v>
      </c>
      <c r="BR79" s="83">
        <f>'SFA FGD'!$M92</f>
        <v>28504689</v>
      </c>
      <c r="BT79" s="83">
        <f>'TSU FGD'!$M92</f>
        <v>18758354</v>
      </c>
      <c r="BV79" s="83">
        <f>'TWU FGD'!$M92</f>
        <v>9325842</v>
      </c>
    </row>
    <row r="80" spans="1:91" s="256" customFormat="1" ht="12.75" customHeight="1" thickBot="1">
      <c r="A80" s="179" t="s">
        <v>58</v>
      </c>
      <c r="B80" s="257">
        <f>SUM(B74:B79)+B67</f>
        <v>5248264132</v>
      </c>
      <c r="D80" s="257">
        <f>SUM(D74:D79)+D67</f>
        <v>202640962</v>
      </c>
      <c r="F80" s="257">
        <f>SUM(F74:F79)+F67</f>
        <v>1911650254</v>
      </c>
      <c r="H80" s="257">
        <f>SUM(H74:H79)+H67</f>
        <v>206229635</v>
      </c>
      <c r="J80" s="257">
        <f>SUM(J74:J79)+J67</f>
        <v>125959107</v>
      </c>
      <c r="L80" s="257">
        <f>SUM(L74:L79)+L67</f>
        <v>146482605</v>
      </c>
      <c r="N80" s="257">
        <f>SUM(N74:N79)+N67</f>
        <v>6034698</v>
      </c>
      <c r="P80" s="257">
        <f>SUM(P74:P79)+P67</f>
        <v>303138543</v>
      </c>
      <c r="R80" s="257">
        <f>SUM(R74:R79)+R67</f>
        <v>23773296</v>
      </c>
      <c r="T80" s="257">
        <f>SUM(T74:T79)+T67</f>
        <v>595852139</v>
      </c>
      <c r="V80" s="257">
        <f>SUM(V74:V79)+V67</f>
        <v>94092359</v>
      </c>
      <c r="X80" s="257">
        <f>SUM(X74:X79)+X67</f>
        <v>83142259</v>
      </c>
      <c r="Z80" s="257">
        <f>SUM(Z74:Z79)+Z67</f>
        <v>79929383</v>
      </c>
      <c r="AB80" s="257">
        <f>SUM(AB74:AB79)+AB67</f>
        <v>190797098</v>
      </c>
      <c r="AD80" s="257">
        <f>SUM(AD74:AD79)+AD67</f>
        <v>27931289</v>
      </c>
      <c r="AF80" s="257">
        <f>SUM(AF74:AF79)+AF67</f>
        <v>4252380</v>
      </c>
      <c r="AH80" s="257">
        <f>SUM(AH74:AH79)+AH67</f>
        <v>23693487</v>
      </c>
      <c r="AJ80" s="257">
        <f>SUM(AJ74:AJ79)+AJ67</f>
        <v>83406289</v>
      </c>
      <c r="AL80" s="257">
        <f>SUM(AL74:AL79)+AL67</f>
        <v>23302162</v>
      </c>
      <c r="AN80" s="257">
        <f>SUM(AN74:AN79)+AN67</f>
        <v>55181559</v>
      </c>
      <c r="AP80" s="257">
        <f>SUM(AP74:AP79)+AP67</f>
        <v>8364501</v>
      </c>
      <c r="AR80" s="257">
        <f>SUM(AR74:AR79)+AR67</f>
        <v>339794744</v>
      </c>
      <c r="AT80" s="257">
        <f>SUM(AT74:AT79)+AT67</f>
        <v>13984100</v>
      </c>
      <c r="AV80" s="257">
        <f>SUM(AV74:AV79)+AV67</f>
        <v>35121327</v>
      </c>
      <c r="AX80" s="257">
        <f>SUM(AX74:AX79)+AX67</f>
        <v>6217805</v>
      </c>
      <c r="AZ80" s="257">
        <f>SUM(AZ74:AZ79)+AZ67</f>
        <v>21249070</v>
      </c>
      <c r="BB80" s="257">
        <f>SUM(BB74:BB79)+BB67</f>
        <v>74094399</v>
      </c>
      <c r="BD80" s="257">
        <f>SUM(BD74:BD79)+BD67</f>
        <v>57484435</v>
      </c>
      <c r="BF80" s="257">
        <f>SUM(BF74:BF79)+BF67</f>
        <v>3392463</v>
      </c>
      <c r="BH80" s="257">
        <f>SUM(BH74:BH79)+BH67</f>
        <v>247550751</v>
      </c>
      <c r="BJ80" s="257">
        <f>SUM(BJ74:BJ79)+BJ67</f>
        <v>17345557</v>
      </c>
      <c r="BL80" s="257">
        <f>SUM(BL74:BL79)+BL67</f>
        <v>63849076</v>
      </c>
      <c r="BN80" s="257">
        <f>SUM(BN74:BN79)+BN67</f>
        <v>2660958</v>
      </c>
      <c r="BP80" s="257">
        <f>SUM(BP74:BP79)+BP67</f>
        <v>-926279</v>
      </c>
      <c r="BR80" s="257">
        <f>SUM(BR74:BR79)+BR67</f>
        <v>17611883</v>
      </c>
      <c r="BT80" s="257">
        <f>SUM(BT74:BT79)+BT67</f>
        <v>103282941</v>
      </c>
      <c r="BV80" s="257">
        <f>SUM(BV74:BV79)+BV67</f>
        <v>49696897</v>
      </c>
    </row>
    <row r="81" spans="1:75" ht="13.5" thickTop="1">
      <c r="D81" s="98" t="str">
        <f>IF(D80&lt;&gt;'ARL FGD'!$M93,"Error","")</f>
        <v/>
      </c>
      <c r="F81" s="98" t="str">
        <f>IF(F80&lt;&gt;'AUS1 FGD'!$M93,"Error","")</f>
        <v/>
      </c>
      <c r="H81" s="98" t="str">
        <f>IF(H80&lt;&gt;'DAL FGD'!$M93,"Error","")</f>
        <v/>
      </c>
      <c r="J81" s="98" t="str">
        <f>IF(J80&lt;&gt;'E-P FGD'!$M93,"Error","")</f>
        <v/>
      </c>
      <c r="L81" s="98" t="str">
        <f>IF(L80&lt;&gt;'RGV1 FGD'!$M93,"Error","")</f>
        <v/>
      </c>
      <c r="N81" s="98" t="str">
        <f>IF(N80&lt;&gt;'P-B FGD'!$M93,"Error","")</f>
        <v/>
      </c>
      <c r="P81" s="98" t="str">
        <f>IF(P80&lt;&gt;'S-A FGD'!$M93,"Error","")</f>
        <v/>
      </c>
      <c r="R81" s="98" t="str">
        <f>IF(R80&lt;&gt;'TYL FGD'!$M93,"Error","")</f>
        <v/>
      </c>
      <c r="T81" s="98" t="str">
        <f>IF(T80&lt;&gt;'TAMU FGD'!$M93,"Error","")</f>
        <v/>
      </c>
      <c r="V81" s="98" t="str">
        <f>IF(V80&lt;&gt;'TAMUG FGD'!$M93,"Error","")</f>
        <v/>
      </c>
      <c r="X81" s="98" t="str">
        <f>IF(X80&lt;&gt;'PVAMU FGD'!$M93,"Error","")</f>
        <v/>
      </c>
      <c r="Z81" s="98" t="str">
        <f>IF(Z80&lt;&gt;'TARLST FGD'!$M93,"Error","")</f>
        <v/>
      </c>
      <c r="AB81" s="98" t="str">
        <f>IF(AB80&lt;&gt;'TAMUCC FGD'!$M93,"Error","")</f>
        <v/>
      </c>
      <c r="AD81" s="98" t="str">
        <f>IF(AD80&lt;&gt;'TAMUK FGD'!$M93,"Error","")</f>
        <v/>
      </c>
      <c r="AF81" s="98" t="str">
        <f>IF(AF80&lt;&gt;'TAMUCT FGD'!$M93,"Error","")</f>
        <v/>
      </c>
      <c r="AH81" s="98" t="str">
        <f>IF(AH80&lt;&gt;'TAMUSA FGD'!$M93,"Error","")</f>
        <v/>
      </c>
      <c r="AJ81" s="98" t="str">
        <f>IF(AJ80&lt;&gt;'TAMIU FGD'!$M93,"Error","")</f>
        <v/>
      </c>
      <c r="AL81" s="98" t="str">
        <f>IF(AL80&lt;&gt;'WTAMU FGD'!$M93,"Error","")</f>
        <v/>
      </c>
      <c r="AN81" s="98" t="str">
        <f>IF(AN80&lt;&gt;'TAMUC FGD'!$M93,"Error","")</f>
        <v/>
      </c>
      <c r="AP81" s="98" t="str">
        <f>IF(AP80&lt;&gt;'TAMUT FGD'!$M93,"Error","")</f>
        <v/>
      </c>
      <c r="AR81" s="98" t="str">
        <f>IF(AR80&lt;&gt;'UH1 FGD'!$M93,"Error","")</f>
        <v/>
      </c>
      <c r="AT81" s="98" t="str">
        <f>IF(AT80&lt;&gt;'UHCL FGD'!$M93,"Error","")</f>
        <v/>
      </c>
      <c r="AV81" s="98" t="str">
        <f>IF(AV80&lt;&gt;'UHD FGD'!$M93,"Error","")</f>
        <v/>
      </c>
      <c r="AX81" s="98" t="str">
        <f>IF(AX80&lt;&gt;'UHV FGD'!$M93,"Error","")</f>
        <v/>
      </c>
      <c r="AZ81" s="98" t="str">
        <f>IF(AZ80&lt;&gt;'LU FGD'!$M93,"Error","")</f>
        <v/>
      </c>
      <c r="BB81" s="98" t="str">
        <f>IF(BB80&lt;&gt;'shsu1 FGD'!$M93,"Error","")</f>
        <v/>
      </c>
      <c r="BD81" s="98" t="str">
        <f>IF(BD80&lt;&gt;'TXST FGD'!$M93,"Error","")</f>
        <v/>
      </c>
      <c r="BF81" s="98" t="str">
        <f>IF(BF80&lt;&gt;'SRSU FGD'!$M93,"Error","")</f>
        <v/>
      </c>
      <c r="BH81" s="98" t="str">
        <f>IF(BH80&lt;&gt;'TTU FGD'!$M93,"Error","")</f>
        <v/>
      </c>
      <c r="BJ81" s="98" t="str">
        <f>IF(BJ80&lt;&gt;'ASU FGD'!$M93,"Error","")</f>
        <v/>
      </c>
      <c r="BL81" s="98" t="str">
        <f>IF(BL80&lt;&gt;'UNT FGD'!$M93,"Error","")</f>
        <v/>
      </c>
      <c r="BN81" s="98" t="str">
        <f>IF(BN80&lt;&gt;'UNTD FGD'!$M93,"Error","")</f>
        <v/>
      </c>
      <c r="BP81" s="98" t="str">
        <f>IF(BP80&lt;&gt;'MidWST FGD'!$M93,"Error","")</f>
        <v/>
      </c>
      <c r="BR81" s="98" t="str">
        <f>IF(BR80&lt;&gt;'SFA FGD'!$M93,"Error","")</f>
        <v/>
      </c>
      <c r="BT81" s="98" t="str">
        <f>IF(BT80&lt;&gt;'TSU FGD'!$M93,"Error","")</f>
        <v/>
      </c>
      <c r="BV81" s="98" t="str">
        <f>IF(BV80&lt;&gt;'TWU FGD'!$M93,"Error","")</f>
        <v/>
      </c>
    </row>
    <row r="82" spans="1:75" s="85" customFormat="1">
      <c r="B82" s="260" t="str">
        <f>IF(B80&lt;&gt;'Smmy FGD'!$M2541,"Error","")</f>
        <v/>
      </c>
      <c r="C82" s="75"/>
      <c r="E82" s="75"/>
      <c r="G82" s="75"/>
      <c r="I82" s="75"/>
      <c r="K82" s="75"/>
      <c r="M82" s="75"/>
      <c r="O82" s="75"/>
      <c r="Q82" s="75"/>
      <c r="S82" s="75"/>
      <c r="U82" s="75"/>
      <c r="W82" s="75"/>
      <c r="Y82" s="75"/>
      <c r="AA82" s="75"/>
      <c r="AC82" s="75"/>
      <c r="AE82" s="75"/>
      <c r="AG82" s="75"/>
      <c r="AI82" s="75"/>
      <c r="AK82" s="75"/>
      <c r="AM82" s="75"/>
      <c r="AO82" s="75"/>
      <c r="AQ82" s="75"/>
      <c r="AS82" s="75"/>
      <c r="AU82" s="75"/>
      <c r="AW82" s="75"/>
      <c r="AY82" s="75"/>
      <c r="BA82" s="75"/>
      <c r="BC82" s="75"/>
      <c r="BE82" s="75"/>
      <c r="BG82" s="75"/>
      <c r="BI82" s="75"/>
      <c r="BK82" s="75"/>
      <c r="BM82" s="75"/>
      <c r="BO82" s="75"/>
      <c r="BQ82" s="75"/>
      <c r="BS82" s="75"/>
      <c r="BU82" s="75"/>
      <c r="BW82" s="75"/>
    </row>
    <row r="83" spans="1:75" s="85" customFormat="1">
      <c r="B83" s="82"/>
    </row>
    <row r="84" spans="1:75">
      <c r="A84" s="161"/>
      <c r="B84" s="400">
        <v>5248264132</v>
      </c>
      <c r="C84" s="85"/>
      <c r="E84" s="85"/>
      <c r="G84" s="85"/>
      <c r="I84" s="85"/>
      <c r="K84" s="85"/>
      <c r="M84" s="85"/>
      <c r="O84" s="85"/>
      <c r="Q84" s="85"/>
      <c r="S84" s="85"/>
      <c r="U84" s="85"/>
      <c r="W84" s="85"/>
      <c r="Y84" s="85"/>
      <c r="AA84" s="85"/>
      <c r="AC84" s="85"/>
      <c r="AE84" s="85"/>
      <c r="AG84" s="85"/>
      <c r="AI84" s="85"/>
      <c r="AK84" s="85"/>
      <c r="AM84" s="85"/>
      <c r="AO84" s="85"/>
      <c r="AQ84" s="85"/>
      <c r="AS84" s="85"/>
      <c r="AU84" s="85"/>
      <c r="AW84" s="85"/>
      <c r="AY84" s="85"/>
      <c r="BA84" s="85"/>
      <c r="BC84" s="85"/>
      <c r="BE84" s="85"/>
      <c r="BG84" s="85"/>
      <c r="BI84" s="85"/>
      <c r="BK84" s="85"/>
      <c r="BM84" s="85"/>
      <c r="BO84" s="85"/>
      <c r="BQ84" s="85"/>
      <c r="BS84" s="85"/>
      <c r="BU84" s="85"/>
      <c r="BW84" s="85"/>
    </row>
    <row r="85" spans="1:75" s="85" customFormat="1">
      <c r="A85" s="160"/>
      <c r="B85" s="966">
        <f>B84-B80</f>
        <v>0</v>
      </c>
      <c r="C85" s="75"/>
      <c r="E85" s="75"/>
      <c r="G85" s="75"/>
      <c r="I85" s="75"/>
      <c r="K85" s="75"/>
      <c r="M85" s="75"/>
      <c r="O85" s="75"/>
      <c r="Q85" s="75"/>
      <c r="S85" s="75"/>
      <c r="U85" s="75"/>
      <c r="W85" s="75"/>
      <c r="Y85" s="75"/>
      <c r="AA85" s="75"/>
      <c r="AC85" s="75"/>
      <c r="AE85" s="75"/>
      <c r="AG85" s="75"/>
      <c r="AI85" s="75"/>
      <c r="AK85" s="75"/>
      <c r="AM85" s="75"/>
      <c r="AO85" s="75"/>
      <c r="AQ85" s="75"/>
      <c r="AS85" s="75"/>
      <c r="AU85" s="75"/>
      <c r="AW85" s="75"/>
      <c r="AY85" s="75"/>
      <c r="BA85" s="75"/>
      <c r="BC85" s="75"/>
      <c r="BE85" s="75"/>
      <c r="BG85" s="75"/>
      <c r="BI85" s="75"/>
      <c r="BK85" s="75"/>
      <c r="BM85" s="75"/>
      <c r="BO85" s="75"/>
      <c r="BQ85" s="75"/>
      <c r="BS85" s="75"/>
      <c r="BU85" s="75"/>
      <c r="BW85" s="75"/>
    </row>
    <row r="86" spans="1:75">
      <c r="A86" s="171"/>
      <c r="C86" s="85"/>
      <c r="E86" s="85"/>
      <c r="G86" s="85"/>
      <c r="I86" s="85"/>
      <c r="K86" s="85"/>
      <c r="M86" s="85"/>
      <c r="O86" s="85"/>
      <c r="Q86" s="85"/>
      <c r="S86" s="85"/>
      <c r="U86" s="85"/>
      <c r="W86" s="85"/>
      <c r="Y86" s="85"/>
      <c r="AA86" s="85"/>
      <c r="AC86" s="85"/>
      <c r="AE86" s="85"/>
      <c r="AG86" s="85"/>
      <c r="AI86" s="85"/>
      <c r="AK86" s="85"/>
      <c r="AM86" s="85"/>
      <c r="AO86" s="85"/>
      <c r="AQ86" s="85"/>
      <c r="AS86" s="85"/>
      <c r="AU86" s="85"/>
      <c r="AW86" s="85"/>
      <c r="AY86" s="85"/>
      <c r="BA86" s="85"/>
      <c r="BC86" s="85"/>
      <c r="BE86" s="85"/>
      <c r="BG86" s="85"/>
      <c r="BI86" s="85"/>
      <c r="BK86" s="85"/>
      <c r="BM86" s="85"/>
      <c r="BO86" s="85"/>
      <c r="BQ86" s="85"/>
      <c r="BS86" s="85"/>
      <c r="BU86" s="85"/>
      <c r="BW86" s="85"/>
    </row>
    <row r="87" spans="1:75">
      <c r="A87" s="171" t="s">
        <v>283</v>
      </c>
      <c r="B87" s="406">
        <f>COUNTIF(D$70:BW$70,$B$70)</f>
        <v>36</v>
      </c>
    </row>
    <row r="88" spans="1:75">
      <c r="A88" s="409" t="s">
        <v>1397</v>
      </c>
    </row>
    <row r="89" spans="1:75">
      <c r="A89" s="160"/>
    </row>
  </sheetData>
  <dataConsolidate link="1">
    <dataRefs count="34">
      <dataRef ref="C6" sheet="ARL Sum" r:id="rId1"/>
      <dataRef ref="C6" sheet="ASU Sum" r:id="rId2"/>
      <dataRef ref="C6" sheet="AUS Sum" r:id="rId3"/>
      <dataRef ref="C6" sheet="BRW Sum" r:id="rId4"/>
      <dataRef ref="C6" sheet="DAL Sum" r:id="rId5"/>
      <dataRef ref="C6" sheet="ELP Sum" r:id="rId6"/>
      <dataRef ref="C6" sheet="LU Sum" r:id="rId7"/>
      <dataRef ref="C6" sheet="MidWSt Sum" r:id="rId8"/>
      <dataRef ref="C6" sheet="P-A Sum" r:id="rId9"/>
      <dataRef ref="C6" sheet="P-B Sum" r:id="rId10"/>
      <dataRef ref="C6" sheet="PVAMU Sum" r:id="rId11"/>
      <dataRef ref="C6" sheet="S-A Sum" r:id="rId12"/>
      <dataRef ref="C6" sheet="SFA Sum" r:id="rId13"/>
      <dataRef ref="C6" sheet="shsu Sum" r:id="rId14"/>
      <dataRef ref="C6" sheet="SRSU Sum" r:id="rId15"/>
      <dataRef ref="C6" sheet="TAMIU Sum" r:id="rId16"/>
      <dataRef ref="C6" sheet="TAMU Sum" r:id="rId17"/>
      <dataRef ref="C6" sheet="TAMUC Sum" r:id="rId18"/>
      <dataRef ref="C6" sheet="TAMUCC Sum" r:id="rId19"/>
      <dataRef ref="C6" sheet="TAMUG Sum" r:id="rId20"/>
      <dataRef ref="C6" sheet="TAMUK Sum" r:id="rId21"/>
      <dataRef ref="C6" sheet="TAMUT Sum" r:id="rId22"/>
      <dataRef ref="C6" sheet="TarlSt Sum" r:id="rId23"/>
      <dataRef ref="C6" sheet="TSU Sum" r:id="rId24"/>
      <dataRef ref="C6" sheet="TTU Sum" r:id="rId25"/>
      <dataRef ref="C6" sheet="TWU Sum" r:id="rId26"/>
      <dataRef ref="C6" sheet="TxSt Sum" r:id="rId27"/>
      <dataRef ref="C6" sheet="TYL Sum" r:id="rId28"/>
      <dataRef ref="C6" sheet="UH Sum" r:id="rId29"/>
      <dataRef ref="C6" sheet="UHCL Sum" r:id="rId30"/>
      <dataRef ref="C6" sheet="UHD Sum" r:id="rId31"/>
      <dataRef ref="C6" sheet="UHV Sum" r:id="rId32"/>
      <dataRef ref="C6" sheet="UNT Sum" r:id="rId33"/>
      <dataRef ref="C6" sheet="WTAMU Sum" r:id="rId34"/>
    </dataRefs>
  </dataConsolidate>
  <mergeCells count="37">
    <mergeCell ref="B4:C4"/>
    <mergeCell ref="D4:E4"/>
    <mergeCell ref="F4:G4"/>
    <mergeCell ref="H4:I4"/>
    <mergeCell ref="J4:K4"/>
    <mergeCell ref="AH4:AI4"/>
    <mergeCell ref="L4:M4"/>
    <mergeCell ref="N4:O4"/>
    <mergeCell ref="P4:Q4"/>
    <mergeCell ref="R4:S4"/>
    <mergeCell ref="T4:U4"/>
    <mergeCell ref="V4:W4"/>
    <mergeCell ref="X4:Y4"/>
    <mergeCell ref="Z4:AA4"/>
    <mergeCell ref="AB4:AC4"/>
    <mergeCell ref="AD4:AE4"/>
    <mergeCell ref="AF4:AG4"/>
    <mergeCell ref="BF4:BG4"/>
    <mergeCell ref="AJ4:AK4"/>
    <mergeCell ref="AL4:AM4"/>
    <mergeCell ref="AN4:AO4"/>
    <mergeCell ref="AP4:AQ4"/>
    <mergeCell ref="AR4:AS4"/>
    <mergeCell ref="AT4:AU4"/>
    <mergeCell ref="AV4:AW4"/>
    <mergeCell ref="AX4:AY4"/>
    <mergeCell ref="AZ4:BA4"/>
    <mergeCell ref="BB4:BC4"/>
    <mergeCell ref="BD4:BE4"/>
    <mergeCell ref="BT4:BU4"/>
    <mergeCell ref="BV4:BW4"/>
    <mergeCell ref="BH4:BI4"/>
    <mergeCell ref="BJ4:BK4"/>
    <mergeCell ref="BL4:BM4"/>
    <mergeCell ref="BN4:BO4"/>
    <mergeCell ref="BP4:BQ4"/>
    <mergeCell ref="BR4:BS4"/>
  </mergeCells>
  <hyperlinks>
    <hyperlink ref="D1" location="Index!A1" display="Return to Index" xr:uid="{00000000-0004-0000-1400-000000000000}"/>
  </hyperlinks>
  <printOptions horizontalCentered="1"/>
  <pageMargins left="0.25" right="0.25" top="0.25" bottom="0.25" header="0" footer="0.25"/>
  <pageSetup scale="92" orientation="landscape" r:id="rId35"/>
  <headerFooter alignWithMargins="0"/>
  <rowBreaks count="1" manualBreakCount="1">
    <brk id="68" max="1"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7">
    <tabColor indexed="47"/>
    <pageSetUpPr fitToPage="1"/>
  </sheetPr>
  <dimension ref="A1:E165"/>
  <sheetViews>
    <sheetView showGridLines="0" topLeftCell="A31" zoomScale="65" zoomScaleNormal="75" workbookViewId="0">
      <selection activeCell="B49" sqref="B49"/>
    </sheetView>
  </sheetViews>
  <sheetFormatPr defaultColWidth="9.140625" defaultRowHeight="12.75" customHeight="1"/>
  <cols>
    <col min="1" max="1" width="158.7109375" style="53" customWidth="1"/>
    <col min="2" max="2" width="20.140625" style="53" customWidth="1"/>
    <col min="3" max="3" width="47.42578125" style="53" customWidth="1"/>
    <col min="4" max="4" width="20.7109375" style="53" customWidth="1"/>
    <col min="5" max="5" width="9.140625" style="679"/>
    <col min="6" max="16384" width="9.140625" style="53"/>
  </cols>
  <sheetData>
    <row r="1" spans="1:5" ht="28.5" thickBot="1">
      <c r="A1" s="54" t="s">
        <v>1278</v>
      </c>
      <c r="B1" s="835" t="s">
        <v>1200</v>
      </c>
      <c r="C1" s="53" t="s">
        <v>1329</v>
      </c>
    </row>
    <row r="2" spans="1:5" ht="27.75">
      <c r="A2" s="54" t="s">
        <v>2394</v>
      </c>
      <c r="C2" s="55" t="s">
        <v>63</v>
      </c>
    </row>
    <row r="3" spans="1:5" ht="27.75">
      <c r="A3" s="54" t="s">
        <v>2395</v>
      </c>
      <c r="C3" s="53" t="s">
        <v>64</v>
      </c>
    </row>
    <row r="4" spans="1:5" ht="12.75" customHeight="1">
      <c r="C4" s="53" t="s">
        <v>267</v>
      </c>
    </row>
    <row r="5" spans="1:5" ht="12.75" customHeight="1">
      <c r="C5" s="53" t="s">
        <v>268</v>
      </c>
    </row>
    <row r="7" spans="1:5" ht="12.75" customHeight="1">
      <c r="C7" s="1687" t="s">
        <v>25</v>
      </c>
      <c r="D7" s="1687"/>
    </row>
    <row r="8" spans="1:5" ht="12.75" customHeight="1">
      <c r="C8" s="57"/>
      <c r="D8" s="58"/>
    </row>
    <row r="9" spans="1:5" ht="12.75" customHeight="1">
      <c r="C9" s="59" t="str">
        <f>'Smmy Sum'!A45</f>
        <v>State of Texas</v>
      </c>
      <c r="D9" s="60">
        <f>'Smmy Sum'!B51</f>
        <v>4576500495</v>
      </c>
      <c r="E9" s="680">
        <f>ROUND(D9/$D$14,3)</f>
        <v>0.25900000000000001</v>
      </c>
    </row>
    <row r="10" spans="1:5" ht="12.75" customHeight="1">
      <c r="C10" s="59" t="str">
        <f>'Smmy Sum'!A53</f>
        <v>Student &amp; Parent</v>
      </c>
      <c r="D10" s="60">
        <f>'Smmy Sum'!B56</f>
        <v>5201526243</v>
      </c>
      <c r="E10" s="680">
        <f t="shared" ref="E10:E12" si="0">ROUND(D10/$D$14,3)</f>
        <v>0.29499999999999998</v>
      </c>
    </row>
    <row r="11" spans="1:5" ht="12.75" customHeight="1">
      <c r="C11" s="59" t="str">
        <f>'Smmy Sum'!A58</f>
        <v>Federal Government</v>
      </c>
      <c r="D11" s="60">
        <f>'Smmy Sum'!B59</f>
        <v>3599991337</v>
      </c>
      <c r="E11" s="680">
        <f t="shared" si="0"/>
        <v>0.20399999999999999</v>
      </c>
    </row>
    <row r="12" spans="1:5" ht="12.75" customHeight="1">
      <c r="C12" s="59" t="str">
        <f>'Smmy Sum'!A61</f>
        <v>Institutional Resources</v>
      </c>
      <c r="D12" s="60">
        <f>'Smmy Sum'!B68</f>
        <v>4282069263</v>
      </c>
      <c r="E12" s="680">
        <f t="shared" si="0"/>
        <v>0.24199999999999999</v>
      </c>
    </row>
    <row r="13" spans="1:5" ht="12.75" customHeight="1">
      <c r="C13" s="57"/>
      <c r="D13" s="58"/>
      <c r="E13" s="680"/>
    </row>
    <row r="14" spans="1:5" ht="12.75" customHeight="1">
      <c r="C14" s="61" t="s">
        <v>68</v>
      </c>
      <c r="D14" s="62">
        <f>SUM(D9:D13)</f>
        <v>17660087338</v>
      </c>
      <c r="E14" s="680">
        <f>SUM(E9:E13)</f>
        <v>1</v>
      </c>
    </row>
    <row r="20" spans="1:4" ht="12.75" customHeight="1">
      <c r="C20" t="s">
        <v>88</v>
      </c>
    </row>
    <row r="21" spans="1:4" ht="12.75" customHeight="1">
      <c r="C21" t="s">
        <v>89</v>
      </c>
    </row>
    <row r="22" spans="1:4" ht="12.75" customHeight="1">
      <c r="C22" t="s">
        <v>90</v>
      </c>
    </row>
    <row r="23" spans="1:4" ht="12.75" customHeight="1">
      <c r="A23" s="56"/>
      <c r="C23" t="s">
        <v>91</v>
      </c>
    </row>
    <row r="24" spans="1:4" ht="12.75" customHeight="1">
      <c r="A24" s="56"/>
    </row>
    <row r="25" spans="1:4" ht="12.75" customHeight="1">
      <c r="A25" s="56"/>
    </row>
    <row r="26" spans="1:4" ht="12.75" customHeight="1">
      <c r="A26" s="56"/>
    </row>
    <row r="27" spans="1:4" ht="12.75" customHeight="1">
      <c r="A27" s="56"/>
    </row>
    <row r="28" spans="1:4" ht="12.75" customHeight="1">
      <c r="A28" s="56"/>
      <c r="C28" s="53" t="s">
        <v>269</v>
      </c>
    </row>
    <row r="29" spans="1:4" ht="12.75" customHeight="1">
      <c r="A29" s="56"/>
    </row>
    <row r="30" spans="1:4" ht="12.75" customHeight="1">
      <c r="A30" s="56"/>
      <c r="C30" s="463" t="s">
        <v>294</v>
      </c>
      <c r="D30" s="464"/>
    </row>
    <row r="31" spans="1:4" ht="12.75" customHeight="1">
      <c r="A31" s="56"/>
      <c r="C31" s="212"/>
      <c r="D31" s="56"/>
    </row>
    <row r="32" spans="1:4" ht="12.75" customHeight="1">
      <c r="A32" s="56"/>
      <c r="C32" s="212" t="s">
        <v>2392</v>
      </c>
      <c r="D32" s="56" t="s">
        <v>295</v>
      </c>
    </row>
    <row r="33" spans="1:4" ht="12.75" customHeight="1">
      <c r="A33" s="56"/>
      <c r="C33" s="212" t="s">
        <v>2377</v>
      </c>
      <c r="D33" s="56" t="s">
        <v>296</v>
      </c>
    </row>
    <row r="34" spans="1:4" ht="12.75" customHeight="1">
      <c r="A34" s="56"/>
      <c r="C34" s="212"/>
      <c r="D34" s="56"/>
    </row>
    <row r="35" spans="1:4" ht="12.75" customHeight="1">
      <c r="A35" s="56"/>
      <c r="C35" s="212" t="s">
        <v>2393</v>
      </c>
      <c r="D35" s="56" t="s">
        <v>297</v>
      </c>
    </row>
    <row r="36" spans="1:4" ht="12.75" customHeight="1">
      <c r="A36" s="56"/>
      <c r="C36" s="213"/>
      <c r="D36" s="133"/>
    </row>
    <row r="37" spans="1:4" ht="12.75" customHeight="1">
      <c r="A37" s="56"/>
    </row>
    <row r="38" spans="1:4" ht="12.75" customHeight="1">
      <c r="A38" s="56"/>
    </row>
    <row r="39" spans="1:4" ht="12.75" customHeight="1">
      <c r="A39" s="56"/>
    </row>
    <row r="40" spans="1:4" ht="12.75" customHeight="1">
      <c r="A40" s="56"/>
    </row>
    <row r="41" spans="1:4" ht="12.75" customHeight="1">
      <c r="A41" s="56"/>
    </row>
    <row r="42" spans="1:4" ht="12.75" customHeight="1">
      <c r="A42" s="56"/>
    </row>
    <row r="43" spans="1:4" ht="12.75" customHeight="1">
      <c r="A43" s="56"/>
    </row>
    <row r="44" spans="1:4" ht="12.75" customHeight="1">
      <c r="A44" s="56"/>
    </row>
    <row r="45" spans="1:4" ht="12.75" customHeight="1">
      <c r="A45" s="56"/>
    </row>
    <row r="46" spans="1:4" ht="12.75" customHeight="1">
      <c r="A46" s="56"/>
    </row>
    <row r="47" spans="1:4" ht="12.75" customHeight="1">
      <c r="A47" s="1686" t="str">
        <f>C14&amp;" "&amp;TEXT(D14,"$#,###")</f>
        <v>Total Operating Sources $17,660,087,338</v>
      </c>
    </row>
    <row r="48" spans="1:4" ht="12.75" customHeight="1">
      <c r="A48" s="1686"/>
    </row>
    <row r="49" spans="1:5" ht="12.75" customHeight="1">
      <c r="A49" s="56"/>
    </row>
    <row r="52" spans="1:5" ht="12.75" customHeight="1">
      <c r="C52" s="63" t="s">
        <v>25</v>
      </c>
      <c r="D52" s="58"/>
    </row>
    <row r="54" spans="1:5" ht="12.75" customHeight="1">
      <c r="C54" s="59" t="s">
        <v>1</v>
      </c>
      <c r="D54" s="60">
        <f>'Smmy Sum'!B46</f>
        <v>3049059798</v>
      </c>
      <c r="E54" s="680">
        <f>ROUND(D54/$D$67,3)</f>
        <v>0.17299999999999999</v>
      </c>
    </row>
    <row r="55" spans="1:5" ht="12.75" customHeight="1">
      <c r="C55" s="59" t="s">
        <v>73</v>
      </c>
      <c r="D55" s="60">
        <f>'Smmy Sum'!B47</f>
        <v>570351682</v>
      </c>
      <c r="E55" s="680">
        <f t="shared" ref="E55:E66" si="1">ROUND(D55/$D$67,3)</f>
        <v>3.2000000000000001E-2</v>
      </c>
    </row>
    <row r="56" spans="1:5" ht="12.75" customHeight="1">
      <c r="C56" s="16"/>
      <c r="D56" s="60"/>
      <c r="E56" s="680"/>
    </row>
    <row r="57" spans="1:5" ht="12.75" customHeight="1">
      <c r="C57" s="59" t="str">
        <f>'Smmy Sum'!A49</f>
        <v>Higher Education Fund</v>
      </c>
      <c r="D57" s="60">
        <f>'Smmy Sum'!B49</f>
        <v>336493406</v>
      </c>
      <c r="E57" s="680">
        <f t="shared" si="1"/>
        <v>1.9E-2</v>
      </c>
    </row>
    <row r="58" spans="1:5" ht="12.75" customHeight="1">
      <c r="C58" s="59" t="s">
        <v>41</v>
      </c>
      <c r="D58" s="60">
        <f>'Smmy Sum'!B50</f>
        <v>620595609</v>
      </c>
      <c r="E58" s="680">
        <f t="shared" si="1"/>
        <v>3.5000000000000003E-2</v>
      </c>
    </row>
    <row r="59" spans="1:5" ht="12.75" customHeight="1">
      <c r="C59" s="59" t="s">
        <v>87</v>
      </c>
      <c r="D59" s="60">
        <f>'Smmy Sum'!B56</f>
        <v>5201526243</v>
      </c>
      <c r="E59" s="680">
        <f t="shared" si="1"/>
        <v>0.29499999999999998</v>
      </c>
    </row>
    <row r="60" spans="1:5" ht="12.75" customHeight="1">
      <c r="C60" s="64" t="s">
        <v>74</v>
      </c>
      <c r="D60" s="60">
        <f>'Smmy Sum'!B59</f>
        <v>3599991337</v>
      </c>
      <c r="E60" s="680">
        <f t="shared" si="1"/>
        <v>0.20399999999999999</v>
      </c>
    </row>
    <row r="61" spans="1:5" ht="12.75" customHeight="1">
      <c r="C61" s="59" t="s">
        <v>75</v>
      </c>
      <c r="D61" s="60">
        <f>'Smmy Sum'!B62</f>
        <v>1095288846</v>
      </c>
      <c r="E61" s="680">
        <f t="shared" si="1"/>
        <v>6.2E-2</v>
      </c>
    </row>
    <row r="62" spans="1:5" ht="12.75" customHeight="1">
      <c r="C62" s="59" t="s">
        <v>27</v>
      </c>
      <c r="D62" s="60">
        <f>'Smmy Sum'!B63</f>
        <v>34318885</v>
      </c>
      <c r="E62" s="680">
        <f t="shared" si="1"/>
        <v>2E-3</v>
      </c>
    </row>
    <row r="63" spans="1:5" ht="12.75" customHeight="1">
      <c r="C63" s="59" t="s">
        <v>76</v>
      </c>
      <c r="D63" s="60">
        <f>'Smmy Sum'!B64</f>
        <v>1130449952</v>
      </c>
      <c r="E63" s="680">
        <f t="shared" si="1"/>
        <v>6.4000000000000001E-2</v>
      </c>
    </row>
    <row r="64" spans="1:5" ht="12.75" customHeight="1">
      <c r="C64" s="59" t="s">
        <v>77</v>
      </c>
      <c r="D64" s="60">
        <f>'Smmy Sum'!B65</f>
        <v>686038350</v>
      </c>
      <c r="E64" s="680">
        <f t="shared" si="1"/>
        <v>3.9E-2</v>
      </c>
    </row>
    <row r="65" spans="1:5" ht="12.75" customHeight="1">
      <c r="C65" s="59" t="s">
        <v>12</v>
      </c>
      <c r="D65" s="60">
        <f>'Smmy Sum'!B66</f>
        <v>1027049171</v>
      </c>
      <c r="E65" s="680">
        <f t="shared" si="1"/>
        <v>5.8000000000000003E-2</v>
      </c>
    </row>
    <row r="66" spans="1:5" ht="12.75" customHeight="1">
      <c r="C66" s="64" t="s">
        <v>52</v>
      </c>
      <c r="D66" s="60">
        <f>'Smmy Sum'!B67</f>
        <v>308924059</v>
      </c>
      <c r="E66" s="680">
        <f t="shared" si="1"/>
        <v>1.7000000000000001E-2</v>
      </c>
    </row>
    <row r="67" spans="1:5" ht="12.75" customHeight="1">
      <c r="C67" s="61" t="s">
        <v>68</v>
      </c>
      <c r="D67" s="62">
        <f>SUM(D54:D66)</f>
        <v>17660087338</v>
      </c>
      <c r="E67" s="681">
        <f>SUM(E54:E66)</f>
        <v>1.0000000000000002</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86" t="str">
        <f>C67&amp;" "&amp;TEXT(D67,"$#,###")</f>
        <v>Total Operating Sources $17,660,087,338</v>
      </c>
    </row>
    <row r="93" spans="1:5" ht="12.75" customHeight="1">
      <c r="A93" s="1686"/>
    </row>
    <row r="94" spans="1:5" ht="12.75" customHeight="1">
      <c r="A94" s="65"/>
    </row>
    <row r="95" spans="1:5" s="68" customFormat="1" ht="12.75" customHeight="1">
      <c r="A95" s="66"/>
      <c r="E95" s="682"/>
    </row>
    <row r="96" spans="1:5" ht="12.75" customHeight="1">
      <c r="A96" s="65"/>
    </row>
    <row r="97" spans="1:5" ht="12.75" customHeight="1">
      <c r="A97" s="65"/>
    </row>
    <row r="98" spans="1:5" ht="12.75" customHeight="1">
      <c r="A98" s="65"/>
    </row>
    <row r="100" spans="1:5" ht="12.75" customHeight="1">
      <c r="C100" s="1687" t="s">
        <v>13</v>
      </c>
      <c r="D100" s="1687"/>
    </row>
    <row r="101" spans="1:5" ht="12.75" customHeight="1">
      <c r="C101" s="1687"/>
      <c r="D101" s="1687"/>
    </row>
    <row r="102" spans="1:5" ht="12.75" customHeight="1">
      <c r="C102" s="69" t="s">
        <v>14</v>
      </c>
      <c r="D102" s="60">
        <f>'Smmy Sum'!B72</f>
        <v>4037148658</v>
      </c>
      <c r="E102" s="680">
        <f>ROUND(D102/$D$114,3)</f>
        <v>0.27800000000000002</v>
      </c>
    </row>
    <row r="103" spans="1:5" ht="12.75" customHeight="1">
      <c r="C103" s="69" t="s">
        <v>15</v>
      </c>
      <c r="D103" s="60">
        <f>'Smmy Sum'!B73</f>
        <v>1785233069</v>
      </c>
      <c r="E103" s="680">
        <f t="shared" ref="E103:E112" si="2">ROUND(D103/$D$114,3)</f>
        <v>0.123</v>
      </c>
    </row>
    <row r="104" spans="1:5" ht="12.75" customHeight="1">
      <c r="C104" s="69" t="s">
        <v>16</v>
      </c>
      <c r="D104" s="60">
        <f>'Smmy Sum'!B74</f>
        <v>289366444</v>
      </c>
      <c r="E104" s="680">
        <f t="shared" si="2"/>
        <v>0.02</v>
      </c>
    </row>
    <row r="105" spans="1:5" ht="12.75" customHeight="1">
      <c r="C105" s="69" t="s">
        <v>17</v>
      </c>
      <c r="D105" s="60">
        <f>'Smmy Sum'!B75</f>
        <v>1642064198</v>
      </c>
      <c r="E105" s="680">
        <f t="shared" si="2"/>
        <v>0.113</v>
      </c>
    </row>
    <row r="106" spans="1:5" ht="12.75" customHeight="1">
      <c r="C106" s="69" t="s">
        <v>18</v>
      </c>
      <c r="D106" s="60">
        <f>'Smmy Sum'!B76</f>
        <v>812823065</v>
      </c>
      <c r="E106" s="680">
        <f t="shared" si="2"/>
        <v>5.6000000000000001E-2</v>
      </c>
    </row>
    <row r="107" spans="1:5" ht="12.75" customHeight="1">
      <c r="C107" s="69" t="s">
        <v>19</v>
      </c>
      <c r="D107" s="60">
        <f>'Smmy Sum'!B77</f>
        <v>1144320024</v>
      </c>
      <c r="E107" s="680">
        <f t="shared" si="2"/>
        <v>7.9000000000000001E-2</v>
      </c>
    </row>
    <row r="108" spans="1:5" ht="12.75" customHeight="1">
      <c r="C108" s="69" t="s">
        <v>78</v>
      </c>
      <c r="D108" s="60">
        <f>'Smmy Sum'!B78</f>
        <v>1071608280</v>
      </c>
      <c r="E108" s="680">
        <f t="shared" si="2"/>
        <v>7.3999999999999996E-2</v>
      </c>
    </row>
    <row r="109" spans="1:5" ht="12.75" customHeight="1">
      <c r="C109" s="69" t="s">
        <v>79</v>
      </c>
      <c r="D109" s="60">
        <f>'Smmy Sum'!B79</f>
        <v>1695530314</v>
      </c>
      <c r="E109" s="680">
        <f t="shared" si="2"/>
        <v>0.11700000000000001</v>
      </c>
    </row>
    <row r="110" spans="1:5" ht="12.75" customHeight="1">
      <c r="C110" s="69" t="s">
        <v>22</v>
      </c>
      <c r="D110" s="60">
        <f>'Smmy Sum'!B80</f>
        <v>1429216394</v>
      </c>
      <c r="E110" s="680">
        <f t="shared" si="2"/>
        <v>9.8000000000000004E-2</v>
      </c>
    </row>
    <row r="111" spans="1:5" ht="12.75" customHeight="1">
      <c r="C111" s="69" t="s">
        <v>29</v>
      </c>
      <c r="D111" s="60">
        <f>'Smmy Sum'!B81</f>
        <v>349795226</v>
      </c>
      <c r="E111" s="680">
        <f t="shared" si="2"/>
        <v>2.4E-2</v>
      </c>
    </row>
    <row r="112" spans="1:5" ht="12.75" customHeight="1">
      <c r="C112" s="64" t="s">
        <v>53</v>
      </c>
      <c r="D112" s="60">
        <f>'Smmy Sum'!B82</f>
        <v>265279642</v>
      </c>
      <c r="E112" s="680">
        <f t="shared" si="2"/>
        <v>1.7999999999999999E-2</v>
      </c>
    </row>
    <row r="113" spans="3:5" ht="12.75" customHeight="1">
      <c r="C113" s="57"/>
      <c r="D113" s="57"/>
    </row>
    <row r="114" spans="3:5" ht="12.75" customHeight="1">
      <c r="C114" s="70" t="s">
        <v>69</v>
      </c>
      <c r="D114" s="62">
        <f>SUM(D102:D113)</f>
        <v>14522385314</v>
      </c>
      <c r="E114" s="681">
        <f>SUM(E102:E113)</f>
        <v>1</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86" t="str">
        <f>C114&amp;" "&amp;TEXT(D114,"$#,###")</f>
        <v>Total Operating Uses $14,522,385,314</v>
      </c>
    </row>
    <row r="137" spans="1:1" ht="12.75" customHeight="1">
      <c r="A137" s="1686"/>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15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ransitionEvaluation="1" transitionEntry="1" codeName="Sheet8">
    <tabColor indexed="13"/>
  </sheetPr>
  <dimension ref="A1:AE141"/>
  <sheetViews>
    <sheetView showGridLines="0" zoomScale="85" zoomScaleNormal="85" workbookViewId="0">
      <pane xSplit="1" ySplit="42" topLeftCell="B52" activePane="bottomRight" state="frozen"/>
      <selection activeCell="E74" sqref="E74:F74"/>
      <selection pane="topRight" activeCell="E74" sqref="E74:F74"/>
      <selection pane="bottomLeft" activeCell="E74" sqref="E74:F74"/>
      <selection pane="bottomRight" activeCell="J56" sqref="J56"/>
    </sheetView>
  </sheetViews>
  <sheetFormatPr defaultColWidth="9.140625" defaultRowHeight="12.75" outlineLevelRow="2"/>
  <cols>
    <col min="1" max="1" width="61.7109375" style="75" customWidth="1"/>
    <col min="2" max="2" width="17.85546875" style="75" customWidth="1"/>
    <col min="3" max="3" width="14.7109375" style="75" customWidth="1"/>
    <col min="4" max="4" width="17.85546875" style="75" customWidth="1"/>
    <col min="5" max="5" width="15.85546875" style="75" customWidth="1"/>
    <col min="6" max="6" width="17.42578125" style="75" customWidth="1"/>
    <col min="7" max="7" width="18.140625" style="75" customWidth="1"/>
    <col min="8" max="8" width="24.5703125" style="75" customWidth="1"/>
    <col min="9" max="9" width="16" style="261" customWidth="1"/>
    <col min="10" max="10" width="15.28515625" style="75" customWidth="1"/>
    <col min="11" max="11" width="16.85546875" style="75" customWidth="1"/>
    <col min="12" max="12" width="15.5703125" style="75" customWidth="1"/>
    <col min="13" max="13" width="15.140625" style="75" customWidth="1"/>
    <col min="14" max="14" width="14.7109375" style="75" customWidth="1"/>
    <col min="15" max="15" width="15.140625" style="75" customWidth="1"/>
    <col min="16" max="16" width="9.5703125" style="75" customWidth="1"/>
    <col min="17" max="16384" width="9.140625" style="75"/>
  </cols>
  <sheetData>
    <row r="1" spans="1:15" ht="17.25" thickTop="1" thickBot="1">
      <c r="A1" s="76" t="str">
        <f>'Smmy Chrts'!$A$1</f>
        <v>Summary of All General Academic Institutions</v>
      </c>
      <c r="B1" s="104"/>
      <c r="C1" s="74"/>
      <c r="D1" s="1704" t="s">
        <v>1200</v>
      </c>
      <c r="E1" s="1705"/>
      <c r="F1" s="1706" t="s">
        <v>1196</v>
      </c>
      <c r="G1" s="1706"/>
      <c r="H1" s="1706"/>
      <c r="I1" s="1706"/>
      <c r="J1" s="1707" t="s">
        <v>1197</v>
      </c>
      <c r="K1" s="1695"/>
      <c r="L1" s="1695"/>
      <c r="M1" s="1695"/>
      <c r="N1" s="1695"/>
      <c r="O1" s="1696"/>
    </row>
    <row r="2" spans="1:15" ht="15.75">
      <c r="A2" s="76" t="str">
        <f>'Smmy Chrts'!$A$2</f>
        <v>For the Year Ended August 31, 2021</v>
      </c>
      <c r="B2" s="74"/>
      <c r="C2" s="74"/>
      <c r="D2" s="37"/>
      <c r="E2" s="37"/>
      <c r="F2" s="37"/>
      <c r="G2" s="261"/>
      <c r="H2" s="261"/>
      <c r="J2" s="37"/>
      <c r="K2" s="1005" t="str">
        <f>IF(C42=FTSE!$N$49, "FTSE Total OK", "FTSE Total Balance Error")</f>
        <v>FTSE Total OK</v>
      </c>
      <c r="L2" s="37"/>
      <c r="M2" s="37"/>
      <c r="N2" s="261"/>
      <c r="O2" s="261"/>
    </row>
    <row r="3" spans="1:15" ht="15.75">
      <c r="A3" s="76" t="str">
        <f>'Smmy Chrts'!$A$3</f>
        <v>Source: FY 2021 Annual Financial Report</v>
      </c>
      <c r="B3" s="74"/>
      <c r="C3" s="74"/>
      <c r="D3" s="261"/>
      <c r="E3" s="261"/>
      <c r="F3" s="261"/>
      <c r="G3" s="261"/>
      <c r="H3" s="261"/>
      <c r="J3" s="261"/>
      <c r="K3" s="1005" t="str">
        <f>IF(I44=FTSE!$P$49, "FTFE Total OK", "FTFE Total Balance Error")</f>
        <v>FTFE Total OK</v>
      </c>
      <c r="L3" s="261"/>
      <c r="M3" s="261"/>
      <c r="N3" s="261"/>
      <c r="O3" s="261"/>
    </row>
    <row r="4" spans="1:15" ht="13.5" customHeight="1">
      <c r="B4" s="77"/>
      <c r="C4" s="77"/>
      <c r="D4" s="1711" t="s">
        <v>1142</v>
      </c>
      <c r="E4" s="1711" t="s">
        <v>1143</v>
      </c>
      <c r="F4" s="266"/>
      <c r="G4" s="261"/>
      <c r="H4" s="261"/>
      <c r="J4" s="261"/>
      <c r="K4" s="261"/>
      <c r="L4" s="261"/>
      <c r="M4" s="261"/>
      <c r="N4" s="261"/>
      <c r="O4" s="261"/>
    </row>
    <row r="5" spans="1:15" ht="18">
      <c r="A5" s="39" t="str">
        <f>'Smmy Chrts'!$C$35</f>
        <v>Summary Worksheet FY 2021</v>
      </c>
      <c r="B5" s="40" t="s">
        <v>86</v>
      </c>
      <c r="C5" s="40" t="s">
        <v>129</v>
      </c>
      <c r="D5" s="1712"/>
      <c r="E5" s="1712"/>
      <c r="F5" s="266"/>
      <c r="G5" s="837" t="s">
        <v>1198</v>
      </c>
      <c r="H5" s="261"/>
      <c r="I5" s="822" t="s">
        <v>2157</v>
      </c>
      <c r="J5" s="792" t="s">
        <v>1144</v>
      </c>
      <c r="K5" s="261"/>
      <c r="L5" s="261"/>
      <c r="M5" s="261"/>
      <c r="N5" s="261"/>
      <c r="O5" s="261"/>
    </row>
    <row r="6" spans="1:15" ht="18" hidden="1" outlineLevel="1">
      <c r="A6" s="108"/>
      <c r="B6" s="109"/>
      <c r="C6" s="110">
        <f>'ARL Sum'!$C$6</f>
        <v>34362.15</v>
      </c>
      <c r="D6" s="752"/>
      <c r="E6" s="752"/>
      <c r="F6" s="728"/>
      <c r="G6" s="728"/>
      <c r="H6" s="728"/>
      <c r="I6" s="809"/>
      <c r="J6" s="728"/>
      <c r="K6" s="93"/>
    </row>
    <row r="7" spans="1:15" ht="18" hidden="1" customHeight="1" outlineLevel="2">
      <c r="A7" s="108"/>
      <c r="B7" s="109"/>
      <c r="C7" s="110">
        <f>'ASU Sum'!$C$6</f>
        <v>7617.63</v>
      </c>
      <c r="D7" s="111"/>
      <c r="E7" s="111"/>
      <c r="F7" s="93"/>
      <c r="G7" s="93"/>
      <c r="H7" s="93"/>
      <c r="I7" s="809"/>
      <c r="J7" s="93"/>
      <c r="K7" s="93"/>
    </row>
    <row r="8" spans="1:15" ht="18" hidden="1" customHeight="1" outlineLevel="2">
      <c r="A8" s="108"/>
      <c r="B8" s="109"/>
      <c r="C8" s="110">
        <f>'AUS1 Sum'!$C$6</f>
        <v>47534.87</v>
      </c>
      <c r="D8" s="111"/>
      <c r="E8" s="111"/>
      <c r="F8" s="93"/>
      <c r="G8" s="93"/>
      <c r="H8" s="93"/>
      <c r="I8" s="809"/>
      <c r="J8" s="93"/>
      <c r="K8" s="93"/>
    </row>
    <row r="9" spans="1:15" ht="18" hidden="1" customHeight="1" outlineLevel="2">
      <c r="A9" s="108"/>
      <c r="B9" s="109"/>
      <c r="C9" s="110">
        <f>'RGV1 Sum'!$C$6</f>
        <v>28382.37</v>
      </c>
      <c r="D9" s="111"/>
      <c r="E9" s="111"/>
      <c r="F9" s="93"/>
      <c r="G9" s="93"/>
      <c r="H9" s="93"/>
      <c r="I9" s="809"/>
      <c r="J9" s="93"/>
      <c r="K9" s="93"/>
    </row>
    <row r="10" spans="1:15" ht="18" hidden="1" customHeight="1" outlineLevel="2">
      <c r="A10" s="108"/>
      <c r="B10" s="109"/>
      <c r="C10" s="110">
        <f>'DAL Sum'!$C$6</f>
        <v>24167.85</v>
      </c>
      <c r="D10" s="111"/>
      <c r="E10" s="111"/>
      <c r="F10" s="93"/>
      <c r="G10" s="93"/>
      <c r="H10" s="93"/>
      <c r="I10" s="809"/>
      <c r="J10" s="93"/>
      <c r="K10" s="93"/>
    </row>
    <row r="11" spans="1:15" ht="18" hidden="1" customHeight="1" outlineLevel="2">
      <c r="A11" s="108"/>
      <c r="B11" s="109"/>
      <c r="C11" s="110">
        <f>'E-P Sum'!$C$6</f>
        <v>19488.8</v>
      </c>
      <c r="D11" s="111"/>
      <c r="E11" s="111"/>
      <c r="F11" s="93"/>
      <c r="G11" s="93"/>
      <c r="H11" s="93"/>
      <c r="I11" s="809"/>
      <c r="J11" s="93"/>
      <c r="K11" s="93"/>
    </row>
    <row r="12" spans="1:15" ht="18" hidden="1" customHeight="1" outlineLevel="2">
      <c r="A12" s="108"/>
      <c r="B12" s="109"/>
      <c r="C12" s="110">
        <f>'LU Sum'!$C$6</f>
        <v>13516.8</v>
      </c>
      <c r="D12" s="111"/>
      <c r="E12" s="111"/>
      <c r="F12" s="93"/>
      <c r="G12" s="93"/>
      <c r="H12" s="93"/>
      <c r="I12" s="809"/>
      <c r="J12" s="93"/>
      <c r="K12" s="93"/>
    </row>
    <row r="13" spans="1:15" ht="18" hidden="1" customHeight="1" outlineLevel="2">
      <c r="A13" s="108"/>
      <c r="B13" s="109"/>
      <c r="C13" s="110">
        <f>'MidWST Sum'!$C$6</f>
        <v>4322.33</v>
      </c>
      <c r="D13" s="111"/>
      <c r="E13" s="111"/>
      <c r="F13" s="93"/>
      <c r="G13" s="93"/>
      <c r="H13" s="93"/>
      <c r="I13" s="809"/>
      <c r="J13" s="93"/>
      <c r="K13" s="93"/>
    </row>
    <row r="14" spans="1:15" ht="18" hidden="1" customHeight="1" outlineLevel="2">
      <c r="A14" s="108"/>
      <c r="B14" s="109"/>
      <c r="C14" s="110">
        <f>'P-B Sum'!$C$6</f>
        <v>4255.68</v>
      </c>
      <c r="D14" s="111"/>
      <c r="E14" s="111"/>
      <c r="F14" s="93"/>
      <c r="G14" s="93"/>
      <c r="H14" s="93"/>
      <c r="I14" s="809"/>
      <c r="J14" s="93"/>
      <c r="K14" s="93"/>
    </row>
    <row r="15" spans="1:15" ht="18" hidden="1" customHeight="1" outlineLevel="2">
      <c r="A15" s="108"/>
      <c r="B15" s="109"/>
      <c r="C15" s="110">
        <f>'PVAMU Sum'!$C$6</f>
        <v>8069.33</v>
      </c>
      <c r="D15" s="111"/>
      <c r="E15" s="111"/>
      <c r="F15" s="93"/>
      <c r="G15" s="93"/>
      <c r="H15" s="93"/>
      <c r="I15" s="809"/>
      <c r="J15" s="93"/>
      <c r="K15" s="93"/>
    </row>
    <row r="16" spans="1:15" ht="18" hidden="1" customHeight="1" outlineLevel="2">
      <c r="A16" s="108"/>
      <c r="B16" s="109"/>
      <c r="C16" s="110">
        <f>'S-A Sum'!$C$6</f>
        <v>28396.57</v>
      </c>
      <c r="D16" s="111"/>
      <c r="E16" s="111"/>
      <c r="F16" s="93"/>
      <c r="G16" s="93"/>
      <c r="H16" s="93"/>
      <c r="I16" s="809"/>
      <c r="J16" s="93"/>
      <c r="K16" s="93"/>
    </row>
    <row r="17" spans="1:11" ht="18" hidden="1" customHeight="1" outlineLevel="2">
      <c r="A17" s="108"/>
      <c r="B17" s="109"/>
      <c r="C17" s="110">
        <f>'SFA Sum'!$C$6</f>
        <v>10368.98</v>
      </c>
      <c r="D17" s="111"/>
      <c r="E17" s="111"/>
      <c r="F17" s="93"/>
      <c r="G17" s="93"/>
      <c r="H17" s="93"/>
      <c r="I17" s="809"/>
      <c r="J17" s="93"/>
      <c r="K17" s="93"/>
    </row>
    <row r="18" spans="1:11" ht="18" hidden="1" customHeight="1" outlineLevel="2">
      <c r="A18" s="108"/>
      <c r="B18" s="109"/>
      <c r="C18" s="110">
        <f>'shsu1 Sum'!$C$6</f>
        <v>17594.09</v>
      </c>
      <c r="D18" s="111"/>
      <c r="E18" s="111"/>
      <c r="F18" s="93"/>
      <c r="G18" s="93"/>
      <c r="H18" s="93"/>
      <c r="I18" s="809"/>
      <c r="J18" s="93"/>
      <c r="K18" s="93"/>
    </row>
    <row r="19" spans="1:11" ht="18" hidden="1" customHeight="1" outlineLevel="2">
      <c r="A19" s="108"/>
      <c r="B19" s="109"/>
      <c r="C19" s="110">
        <f>'SRSU Sum'!$C$6</f>
        <v>1712.5099999999998</v>
      </c>
      <c r="D19" s="111"/>
      <c r="E19" s="111"/>
      <c r="F19" s="93"/>
      <c r="G19" s="93"/>
      <c r="H19" s="93"/>
      <c r="I19" s="809"/>
      <c r="J19" s="93"/>
      <c r="K19" s="93"/>
    </row>
    <row r="20" spans="1:11" ht="18" hidden="1" customHeight="1" outlineLevel="2">
      <c r="A20" s="108"/>
      <c r="B20" s="109"/>
      <c r="C20" s="110">
        <f>'TAMIU Sum'!$C$6</f>
        <v>6962.28</v>
      </c>
      <c r="D20" s="111"/>
      <c r="E20" s="111"/>
      <c r="F20" s="93"/>
      <c r="G20" s="93"/>
      <c r="H20" s="93"/>
      <c r="I20" s="809"/>
      <c r="J20" s="93"/>
      <c r="K20" s="93"/>
    </row>
    <row r="21" spans="1:11" ht="18" hidden="1" customHeight="1" outlineLevel="2">
      <c r="A21" s="108"/>
      <c r="B21" s="109"/>
      <c r="C21" s="110">
        <f>'TAMU Sum'!$C$6</f>
        <v>58149.98</v>
      </c>
      <c r="D21" s="111"/>
      <c r="E21" s="111"/>
      <c r="F21" s="93"/>
      <c r="G21" s="93"/>
      <c r="H21" s="93"/>
      <c r="I21" s="809"/>
      <c r="J21" s="93"/>
      <c r="K21" s="93"/>
    </row>
    <row r="22" spans="1:11" ht="18" hidden="1" customHeight="1" outlineLevel="2">
      <c r="A22" s="108"/>
      <c r="B22" s="109"/>
      <c r="C22" s="110">
        <f>'TAMUC Sum'!$C$6</f>
        <v>9311.4500000000007</v>
      </c>
      <c r="D22" s="111"/>
      <c r="E22" s="111"/>
      <c r="F22" s="93"/>
      <c r="G22" s="93"/>
      <c r="H22" s="93"/>
      <c r="I22" s="809"/>
      <c r="J22" s="93"/>
      <c r="K22" s="93"/>
    </row>
    <row r="23" spans="1:11" ht="18" hidden="1" customHeight="1" outlineLevel="2">
      <c r="A23" s="108"/>
      <c r="B23" s="109"/>
      <c r="C23" s="110">
        <f>'TAMUCC Sum'!$C$6</f>
        <v>9336.2800000000007</v>
      </c>
      <c r="D23" s="111"/>
      <c r="E23" s="111"/>
      <c r="F23" s="93"/>
      <c r="G23" s="93"/>
      <c r="H23" s="93"/>
      <c r="I23" s="809"/>
      <c r="J23" s="93"/>
      <c r="K23" s="93"/>
    </row>
    <row r="24" spans="1:11" ht="18" hidden="1" customHeight="1" outlineLevel="2">
      <c r="A24" s="108"/>
      <c r="B24" s="109"/>
      <c r="C24" s="110">
        <f>'TAMUG Sum'!$C$6</f>
        <v>1732.87</v>
      </c>
      <c r="D24" s="111"/>
      <c r="E24" s="111"/>
      <c r="F24" s="93"/>
      <c r="G24" s="93"/>
      <c r="H24" s="93"/>
      <c r="I24" s="809"/>
      <c r="J24" s="93"/>
      <c r="K24" s="93"/>
    </row>
    <row r="25" spans="1:11" ht="18" hidden="1" customHeight="1" outlineLevel="2">
      <c r="A25" s="108"/>
      <c r="B25" s="109"/>
      <c r="C25" s="110">
        <f>'TAMUK Sum'!$C$6</f>
        <v>5616.08</v>
      </c>
      <c r="D25" s="111"/>
      <c r="E25" s="111"/>
      <c r="F25" s="93"/>
      <c r="G25" s="93"/>
      <c r="H25" s="93"/>
      <c r="I25" s="809"/>
      <c r="J25" s="93"/>
      <c r="K25" s="93"/>
    </row>
    <row r="26" spans="1:11" ht="18" hidden="1" customHeight="1" outlineLevel="2">
      <c r="A26" s="108"/>
      <c r="B26" s="109"/>
      <c r="C26" s="110">
        <f>'TAMUT Sum'!$C$6</f>
        <v>1651.54</v>
      </c>
      <c r="D26" s="111"/>
      <c r="E26" s="111"/>
      <c r="F26" s="93"/>
      <c r="G26" s="93"/>
      <c r="H26" s="93"/>
      <c r="I26" s="809"/>
      <c r="J26" s="93"/>
      <c r="K26" s="93"/>
    </row>
    <row r="27" spans="1:11" ht="18" hidden="1" customHeight="1" outlineLevel="2">
      <c r="A27" s="108"/>
      <c r="B27" s="109"/>
      <c r="C27" s="110">
        <f>'TARLST Sum'!$C$6</f>
        <v>11555.57</v>
      </c>
      <c r="D27" s="111"/>
      <c r="E27" s="111"/>
      <c r="F27" s="93"/>
      <c r="G27" s="93"/>
      <c r="H27" s="93"/>
      <c r="I27" s="809"/>
      <c r="J27" s="93"/>
      <c r="K27" s="93"/>
    </row>
    <row r="28" spans="1:11" ht="18" hidden="1" customHeight="1" outlineLevel="2">
      <c r="A28" s="108"/>
      <c r="B28" s="109"/>
      <c r="C28" s="110">
        <f>'TAMUCT Sum'!$C$6</f>
        <v>1606.96</v>
      </c>
      <c r="D28" s="111"/>
      <c r="E28" s="111"/>
      <c r="F28" s="93"/>
      <c r="G28" s="93"/>
      <c r="H28" s="93"/>
      <c r="I28" s="809"/>
      <c r="J28" s="93"/>
      <c r="K28" s="93"/>
    </row>
    <row r="29" spans="1:11" ht="18" hidden="1" customHeight="1" outlineLevel="2">
      <c r="A29" s="108"/>
      <c r="B29" s="109"/>
      <c r="C29" s="110">
        <f>'TAMUSA Sum'!$C$6</f>
        <v>4763.3599999999997</v>
      </c>
      <c r="D29" s="111"/>
      <c r="E29" s="111"/>
      <c r="F29" s="93"/>
      <c r="G29" s="93"/>
      <c r="H29" s="93"/>
      <c r="I29" s="809"/>
      <c r="J29" s="93"/>
      <c r="K29" s="93"/>
    </row>
    <row r="30" spans="1:11" ht="18" hidden="1" customHeight="1" outlineLevel="2">
      <c r="A30" s="108"/>
      <c r="B30" s="109"/>
      <c r="C30" s="110">
        <f>'TSU Sum'!$C$6</f>
        <v>6445.64</v>
      </c>
      <c r="D30" s="111"/>
      <c r="E30" s="111"/>
      <c r="F30" s="93"/>
      <c r="G30" s="93"/>
      <c r="H30" s="93"/>
      <c r="I30" s="809"/>
      <c r="J30" s="93"/>
      <c r="K30" s="93"/>
    </row>
    <row r="31" spans="1:11" ht="18" hidden="1" customHeight="1" outlineLevel="2">
      <c r="A31" s="108"/>
      <c r="B31" s="109"/>
      <c r="C31" s="110">
        <f>'TTU Sum'!$C$6</f>
        <v>36035.31</v>
      </c>
      <c r="D31" s="111"/>
      <c r="E31" s="111"/>
      <c r="F31" s="93"/>
      <c r="G31" s="93"/>
      <c r="H31" s="93"/>
      <c r="I31" s="809"/>
      <c r="J31" s="93"/>
      <c r="K31" s="93"/>
    </row>
    <row r="32" spans="1:11" ht="18" hidden="1" customHeight="1" outlineLevel="2">
      <c r="A32" s="108"/>
      <c r="B32" s="109"/>
      <c r="C32" s="110">
        <f>'TWU Sum'!$C$6</f>
        <v>13026.58</v>
      </c>
      <c r="D32" s="111"/>
      <c r="E32" s="111"/>
      <c r="F32" s="93"/>
      <c r="G32" s="93"/>
      <c r="H32" s="93"/>
      <c r="I32" s="809"/>
      <c r="J32" s="93"/>
      <c r="K32" s="93"/>
    </row>
    <row r="33" spans="1:12" ht="18" hidden="1" customHeight="1" outlineLevel="2">
      <c r="A33" s="108"/>
      <c r="B33" s="109"/>
      <c r="C33" s="110">
        <f>'TXST Sum'!$C$6</f>
        <v>31295.23</v>
      </c>
      <c r="D33" s="111"/>
      <c r="E33" s="111"/>
      <c r="F33" s="93"/>
      <c r="G33" s="93"/>
      <c r="H33" s="93"/>
      <c r="I33" s="809"/>
      <c r="J33" s="93"/>
      <c r="K33" s="93"/>
    </row>
    <row r="34" spans="1:12" ht="18" hidden="1" customHeight="1" outlineLevel="2">
      <c r="A34" s="108"/>
      <c r="B34" s="109"/>
      <c r="C34" s="110">
        <f>'TYL Sum'!$C$6</f>
        <v>7607.2</v>
      </c>
      <c r="D34" s="111"/>
      <c r="E34" s="111"/>
      <c r="F34" s="93"/>
      <c r="G34" s="93"/>
      <c r="H34" s="93"/>
      <c r="I34" s="809"/>
      <c r="J34" s="93"/>
      <c r="K34" s="93"/>
    </row>
    <row r="35" spans="1:12" ht="18" hidden="1" customHeight="1" outlineLevel="2">
      <c r="A35" s="108"/>
      <c r="B35" s="109"/>
      <c r="C35" s="110">
        <f>'UH1 Sum'!$C$6</f>
        <v>40310.42</v>
      </c>
      <c r="D35" s="111"/>
      <c r="E35" s="111"/>
      <c r="F35" s="93"/>
      <c r="G35" s="93"/>
      <c r="H35" s="93"/>
      <c r="I35" s="809"/>
      <c r="J35" s="93"/>
      <c r="K35" s="93"/>
    </row>
    <row r="36" spans="1:12" ht="18" hidden="1" customHeight="1" outlineLevel="2">
      <c r="A36" s="108"/>
      <c r="B36" s="109"/>
      <c r="C36" s="110">
        <f>'UHCL Sum'!$C$6</f>
        <v>6762.63</v>
      </c>
      <c r="D36" s="111"/>
      <c r="E36" s="111"/>
      <c r="F36" s="93"/>
      <c r="G36" s="93"/>
      <c r="H36" s="93"/>
      <c r="I36" s="809"/>
      <c r="J36" s="93"/>
      <c r="K36" s="93"/>
    </row>
    <row r="37" spans="1:12" ht="18" hidden="1" customHeight="1" outlineLevel="2">
      <c r="A37" s="108"/>
      <c r="B37" s="109"/>
      <c r="C37" s="110">
        <f>'UHD Sum'!$C$6</f>
        <v>11193.03</v>
      </c>
      <c r="D37" s="111"/>
      <c r="E37" s="111"/>
      <c r="F37" s="93"/>
      <c r="G37" s="93"/>
      <c r="H37" s="93"/>
      <c r="I37" s="809"/>
      <c r="J37" s="93"/>
      <c r="K37" s="93"/>
    </row>
    <row r="38" spans="1:12" ht="18" hidden="1" customHeight="1" outlineLevel="2">
      <c r="A38" s="108"/>
      <c r="B38" s="109"/>
      <c r="C38" s="110">
        <f>'UHV Sum'!$C$6</f>
        <v>3604.5</v>
      </c>
      <c r="D38" s="111"/>
      <c r="E38" s="111"/>
      <c r="F38" s="93"/>
      <c r="G38" s="93"/>
      <c r="H38" s="93"/>
      <c r="I38" s="809"/>
      <c r="J38" s="93"/>
      <c r="K38" s="93"/>
    </row>
    <row r="39" spans="1:12" ht="18" hidden="1" customHeight="1" outlineLevel="2">
      <c r="A39" s="108"/>
      <c r="B39" s="109"/>
      <c r="C39" s="110">
        <f>'UNT Sum'!$C$6</f>
        <v>34726.76</v>
      </c>
      <c r="D39" s="111"/>
      <c r="E39" s="111"/>
      <c r="F39" s="93"/>
      <c r="G39" s="93"/>
      <c r="H39" s="93"/>
      <c r="I39" s="809"/>
      <c r="J39" s="93"/>
      <c r="K39" s="93"/>
    </row>
    <row r="40" spans="1:12" ht="18" hidden="1" customHeight="1" outlineLevel="2">
      <c r="A40" s="108"/>
      <c r="B40" s="109"/>
      <c r="C40" s="110">
        <f>'UNTD Sum'!$C$6</f>
        <v>3464.14</v>
      </c>
      <c r="D40" s="111"/>
      <c r="E40" s="111"/>
      <c r="F40" s="93"/>
      <c r="G40" s="93"/>
      <c r="H40" s="93"/>
      <c r="I40" s="809"/>
      <c r="J40" s="93"/>
      <c r="K40" s="93"/>
    </row>
    <row r="41" spans="1:12" ht="18" hidden="1" customHeight="1" outlineLevel="2">
      <c r="A41" s="108"/>
      <c r="B41" s="109"/>
      <c r="C41" s="110">
        <f>'WTAMU Sum'!$C$6</f>
        <v>7724.93</v>
      </c>
      <c r="D41" s="111"/>
      <c r="E41" s="111"/>
      <c r="F41" s="93"/>
      <c r="G41" s="93"/>
      <c r="H41" s="93"/>
      <c r="I41" s="809"/>
      <c r="J41" s="93"/>
      <c r="K41" s="93"/>
    </row>
    <row r="42" spans="1:12" collapsed="1">
      <c r="A42" s="78" t="s">
        <v>266</v>
      </c>
      <c r="B42" s="79"/>
      <c r="C42" s="369">
        <f>SUM(C6:C41)</f>
        <v>562672.70000000007</v>
      </c>
      <c r="J42" s="93"/>
      <c r="K42" s="369">
        <f>FTSE!$N$49</f>
        <v>562672.70000000007</v>
      </c>
      <c r="L42" s="370">
        <f>K42-C42</f>
        <v>0</v>
      </c>
    </row>
    <row r="43" spans="1:12">
      <c r="F43" s="93"/>
      <c r="G43" s="93"/>
      <c r="H43" s="93"/>
      <c r="I43" s="783" t="s">
        <v>1162</v>
      </c>
      <c r="J43" s="93"/>
      <c r="K43" s="93"/>
    </row>
    <row r="44" spans="1:12">
      <c r="A44" s="81" t="s">
        <v>71</v>
      </c>
      <c r="B44" s="81"/>
      <c r="C44" s="340"/>
      <c r="D44" s="261"/>
      <c r="E44" s="261"/>
      <c r="F44" s="261"/>
      <c r="G44" s="261"/>
      <c r="H44" s="261"/>
      <c r="I44" s="784">
        <f>FTSE!$P$49</f>
        <v>49288.630000000019</v>
      </c>
      <c r="J44" s="712"/>
      <c r="K44" s="93"/>
    </row>
    <row r="45" spans="1:12" ht="12.75" customHeight="1" thickBot="1">
      <c r="A45" s="78" t="s">
        <v>0</v>
      </c>
      <c r="B45" s="82"/>
      <c r="C45" s="82"/>
      <c r="D45" s="261"/>
      <c r="E45" s="261"/>
      <c r="F45" s="261"/>
      <c r="G45" s="261"/>
      <c r="H45" s="261"/>
      <c r="J45" s="712"/>
      <c r="K45" s="93"/>
    </row>
    <row r="46" spans="1:12" ht="12.75" customHeight="1" thickTop="1">
      <c r="A46" s="75" t="s">
        <v>1</v>
      </c>
      <c r="B46" s="83">
        <f>'Smmy FGD'!M2628</f>
        <v>3049059798</v>
      </c>
      <c r="C46" s="83">
        <f>ROUND(B46/$C$42,0)</f>
        <v>5419</v>
      </c>
      <c r="D46" s="83">
        <f>'Smmy FGD'!F2628</f>
        <v>0</v>
      </c>
      <c r="E46" s="512"/>
      <c r="F46" s="84">
        <f>B46-(SUM(D46:E46))</f>
        <v>3049059798</v>
      </c>
      <c r="G46" s="1143" t="s">
        <v>1</v>
      </c>
      <c r="H46" s="1144"/>
      <c r="I46" s="785" t="s">
        <v>1161</v>
      </c>
      <c r="J46" s="713">
        <f>ROUND(F46/$C$42,0)</f>
        <v>5419</v>
      </c>
      <c r="K46" s="93"/>
    </row>
    <row r="47" spans="1:12" ht="12.75" customHeight="1" thickBot="1">
      <c r="A47" s="75" t="s">
        <v>2</v>
      </c>
      <c r="B47" s="86">
        <f>'Smmy FGD'!M2629</f>
        <v>570351682</v>
      </c>
      <c r="C47" s="87">
        <f>ROUND(B47/$C$42,0)</f>
        <v>1014</v>
      </c>
      <c r="D47" s="86">
        <f>'Smmy FGD'!F2629</f>
        <v>0</v>
      </c>
      <c r="E47" s="74"/>
      <c r="F47" s="606">
        <f t="shared" ref="F47:F50" si="0">B47-(SUM(D47:E47))</f>
        <v>570351682</v>
      </c>
      <c r="G47" s="1148">
        <f>SUM(F46:F47)</f>
        <v>3619411480</v>
      </c>
      <c r="H47" s="715"/>
      <c r="I47" s="1380">
        <f>ROUND($G$47/$C$42,0)</f>
        <v>6433</v>
      </c>
      <c r="J47" s="714">
        <f t="shared" ref="J47:J50" si="1">ROUND(F47/$C$42,0)</f>
        <v>1014</v>
      </c>
      <c r="K47" s="93"/>
    </row>
    <row r="48" spans="1:12" ht="12.75" hidden="1" customHeight="1" thickTop="1" thickBot="1">
      <c r="A48" s="75" t="s">
        <v>1410</v>
      </c>
      <c r="B48" s="86"/>
      <c r="C48" s="87"/>
      <c r="D48" s="86"/>
      <c r="E48" s="74"/>
      <c r="F48" s="607"/>
      <c r="J48" s="714"/>
      <c r="K48" s="93"/>
    </row>
    <row r="49" spans="1:31" ht="12.75" customHeight="1" thickTop="1">
      <c r="A49" s="75" t="s">
        <v>1368</v>
      </c>
      <c r="B49" s="86">
        <f>'Smmy FGD'!M2631</f>
        <v>336493406</v>
      </c>
      <c r="C49" s="87">
        <f>ROUND(B49/$C$42,0)</f>
        <v>598</v>
      </c>
      <c r="D49" s="86">
        <f>'Smmy FGD'!F2631</f>
        <v>0</v>
      </c>
      <c r="E49" s="74"/>
      <c r="F49" s="893">
        <f t="shared" si="0"/>
        <v>336493406</v>
      </c>
      <c r="G49" s="883" t="s">
        <v>81</v>
      </c>
      <c r="H49" s="894"/>
      <c r="I49" s="786" t="s">
        <v>1163</v>
      </c>
      <c r="J49" s="716">
        <f t="shared" si="1"/>
        <v>598</v>
      </c>
      <c r="K49" s="93"/>
    </row>
    <row r="50" spans="1:31" ht="12.75" customHeight="1" thickBot="1">
      <c r="A50" s="75" t="s">
        <v>49</v>
      </c>
      <c r="B50" s="86">
        <f>'Smmy FGD'!M2632</f>
        <v>620595609</v>
      </c>
      <c r="C50" s="87">
        <f>ROUND(B50/$C$42,0)</f>
        <v>1103</v>
      </c>
      <c r="D50" s="86">
        <f>'Smmy FGD'!F2632</f>
        <v>0</v>
      </c>
      <c r="E50" s="74"/>
      <c r="F50" s="607">
        <f t="shared" si="0"/>
        <v>620595609</v>
      </c>
      <c r="G50" s="800">
        <f>SUM(F49:F50)</f>
        <v>957089015</v>
      </c>
      <c r="H50" s="895"/>
      <c r="I50" s="1381">
        <f>ROUND($G$47/$I$44,0)</f>
        <v>73433</v>
      </c>
      <c r="J50" s="714">
        <f t="shared" si="1"/>
        <v>1103</v>
      </c>
      <c r="K50" s="93"/>
    </row>
    <row r="51" spans="1:31" ht="12.75" customHeight="1" thickTop="1">
      <c r="A51" s="88" t="s">
        <v>3</v>
      </c>
      <c r="B51" s="89">
        <f>SUM(B46:B50)</f>
        <v>4576500495</v>
      </c>
      <c r="C51" s="89">
        <f>SUM(C46:C50)</f>
        <v>8134</v>
      </c>
      <c r="D51" s="89">
        <f>SUM(D46:D50)</f>
        <v>0</v>
      </c>
      <c r="E51" s="89">
        <f>SUM(E46:E50)</f>
        <v>0</v>
      </c>
      <c r="F51" s="216">
        <f>SUM(F46:F50)</f>
        <v>4576500495</v>
      </c>
      <c r="G51" s="261"/>
      <c r="H51" s="261"/>
      <c r="I51" s="1372"/>
      <c r="J51" s="757">
        <f>SUM(J46:J50)</f>
        <v>8134</v>
      </c>
      <c r="K51" s="93"/>
    </row>
    <row r="52" spans="1:31">
      <c r="B52" s="48"/>
      <c r="D52" s="261"/>
      <c r="E52" s="261"/>
      <c r="F52" s="261"/>
      <c r="G52" s="261"/>
      <c r="H52" s="261"/>
      <c r="J52" s="712"/>
      <c r="K52" s="93"/>
    </row>
    <row r="53" spans="1:31">
      <c r="A53" s="78" t="s">
        <v>4</v>
      </c>
      <c r="B53" s="86"/>
      <c r="D53" s="261"/>
      <c r="E53" s="261"/>
      <c r="F53" s="261"/>
      <c r="G53" s="261"/>
      <c r="H53" s="261"/>
      <c r="J53" s="712"/>
      <c r="K53" s="93"/>
    </row>
    <row r="54" spans="1:31">
      <c r="A54" s="75" t="s">
        <v>39</v>
      </c>
      <c r="B54" s="83">
        <f>'Smmy FGD'!M2647</f>
        <v>3672272527</v>
      </c>
      <c r="C54" s="83">
        <f>ROUND(B54/$C$42,0)</f>
        <v>6526</v>
      </c>
      <c r="D54" s="83">
        <f>'Smmy FGD'!F2647</f>
        <v>0</v>
      </c>
      <c r="E54" s="512"/>
      <c r="F54" s="512">
        <f t="shared" ref="F54:F55" si="2">B54-(SUM(D54:E54))</f>
        <v>3672272527</v>
      </c>
      <c r="G54" s="337"/>
      <c r="H54" s="337"/>
      <c r="I54" s="337"/>
      <c r="J54" s="713">
        <f t="shared" ref="J54:J55" si="3">ROUND(F54/$C$42,0)</f>
        <v>6526</v>
      </c>
      <c r="K54" s="93"/>
    </row>
    <row r="55" spans="1:31" ht="13.5" thickBot="1">
      <c r="A55" s="75" t="s">
        <v>40</v>
      </c>
      <c r="B55" s="86">
        <f>'Smmy FGD'!M2660</f>
        <v>1529253716</v>
      </c>
      <c r="C55" s="87">
        <f>ROUND(B55/$C$42,0)</f>
        <v>2718</v>
      </c>
      <c r="D55" s="86">
        <f>'Smmy FGD'!F2660</f>
        <v>355654639</v>
      </c>
      <c r="E55" s="74"/>
      <c r="F55" s="74">
        <f t="shared" si="2"/>
        <v>1173599077</v>
      </c>
      <c r="G55" s="337"/>
      <c r="H55" s="337"/>
      <c r="I55" s="337"/>
      <c r="J55" s="716">
        <f t="shared" si="3"/>
        <v>2086</v>
      </c>
      <c r="K55" s="93"/>
    </row>
    <row r="56" spans="1:31" ht="14.25" thickTop="1" thickBot="1">
      <c r="A56" s="88" t="s">
        <v>5</v>
      </c>
      <c r="B56" s="89">
        <f>SUM(B54:B55)</f>
        <v>5201526243</v>
      </c>
      <c r="C56" s="89">
        <f>SUM(C54:C55)</f>
        <v>9244</v>
      </c>
      <c r="D56" s="717">
        <f>SUM(D54:D55)</f>
        <v>355654639</v>
      </c>
      <c r="E56" s="718">
        <f>SUM(E54:E55)</f>
        <v>0</v>
      </c>
      <c r="F56" s="801">
        <f>SUM(F54:F55)</f>
        <v>4845871604</v>
      </c>
      <c r="G56" s="720" t="s">
        <v>26</v>
      </c>
      <c r="H56" s="366"/>
      <c r="I56" s="367"/>
      <c r="J56" s="721">
        <f>SUM(J54:J55)</f>
        <v>8612</v>
      </c>
      <c r="K56" s="93"/>
    </row>
    <row r="57" spans="1:31" ht="12.75" customHeight="1" thickTop="1">
      <c r="B57" s="91"/>
      <c r="D57" s="261"/>
      <c r="E57" s="261"/>
      <c r="F57" s="261"/>
      <c r="G57" s="261"/>
      <c r="H57" s="261"/>
      <c r="J57" s="712"/>
      <c r="K57" s="93"/>
    </row>
    <row r="58" spans="1:31" ht="13.5" thickBot="1">
      <c r="A58" s="78" t="s">
        <v>6</v>
      </c>
      <c r="B58" s="91"/>
      <c r="D58" s="261"/>
      <c r="E58" s="261"/>
      <c r="F58" s="261"/>
      <c r="G58" s="261"/>
      <c r="H58" s="261"/>
      <c r="J58" s="712"/>
      <c r="K58" s="93"/>
    </row>
    <row r="59" spans="1:31" ht="14.25" thickTop="1" thickBot="1">
      <c r="A59" s="88" t="s">
        <v>7</v>
      </c>
      <c r="B59" s="92">
        <f>'Smmy FGD'!M2665</f>
        <v>3599991337</v>
      </c>
      <c r="C59" s="89">
        <f>ROUND(B59/$C$42,0)</f>
        <v>6398</v>
      </c>
      <c r="D59" s="92">
        <f>'Smmy FGD'!F2665</f>
        <v>0</v>
      </c>
      <c r="E59" s="718"/>
      <c r="F59" s="801">
        <f>B59-(SUM(D59:E59))</f>
        <v>3599991337</v>
      </c>
      <c r="G59" s="722" t="s">
        <v>74</v>
      </c>
      <c r="H59" s="366"/>
      <c r="I59" s="367"/>
      <c r="J59" s="756">
        <f>ROUND(F59/$C$42,0)</f>
        <v>6398</v>
      </c>
      <c r="K59" s="93"/>
    </row>
    <row r="60" spans="1:31" ht="13.5" thickTop="1">
      <c r="B60" s="91"/>
      <c r="D60" s="261"/>
      <c r="E60" s="261"/>
      <c r="F60" s="261"/>
      <c r="G60" s="261"/>
      <c r="H60" s="261"/>
      <c r="J60" s="712"/>
      <c r="K60" s="93"/>
    </row>
    <row r="61" spans="1:31">
      <c r="A61" s="78" t="s">
        <v>8</v>
      </c>
      <c r="B61" s="91"/>
      <c r="D61" s="261"/>
      <c r="E61" s="261"/>
      <c r="F61" s="261"/>
      <c r="G61" s="261"/>
      <c r="H61" s="261"/>
      <c r="J61" s="712"/>
      <c r="K61" s="93"/>
    </row>
    <row r="62" spans="1:31">
      <c r="A62" s="75" t="s">
        <v>42</v>
      </c>
      <c r="B62" s="83">
        <f>'Smmy FGD'!M2668</f>
        <v>1095288846</v>
      </c>
      <c r="C62" s="83">
        <f t="shared" ref="C62:C67" si="4">ROUND(B62/$C$42,0)</f>
        <v>1947</v>
      </c>
      <c r="D62" s="83">
        <f>'Smmy FGD'!F2668</f>
        <v>52606885</v>
      </c>
      <c r="E62" s="512"/>
      <c r="F62" s="512">
        <f t="shared" ref="F62:F67" si="5">B62-(SUM(D62:E62))</f>
        <v>1042681961</v>
      </c>
      <c r="G62" s="337"/>
      <c r="H62" s="337"/>
      <c r="I62" s="337"/>
      <c r="J62" s="713">
        <f t="shared" ref="J62:J67" si="6">ROUND(F62/$C$42,0)</f>
        <v>1853</v>
      </c>
      <c r="K62" s="90"/>
      <c r="L62" s="85"/>
      <c r="M62" s="85"/>
      <c r="N62" s="85"/>
      <c r="O62" s="85"/>
      <c r="P62" s="85"/>
      <c r="Q62" s="85"/>
      <c r="R62" s="85"/>
      <c r="S62" s="85"/>
      <c r="T62" s="85"/>
      <c r="U62" s="85"/>
      <c r="V62" s="85"/>
      <c r="W62" s="85"/>
      <c r="X62" s="85"/>
      <c r="Y62" s="85"/>
      <c r="Z62" s="85"/>
      <c r="AA62" s="85"/>
      <c r="AB62" s="85"/>
      <c r="AC62" s="85"/>
      <c r="AD62" s="85"/>
      <c r="AE62" s="85"/>
    </row>
    <row r="63" spans="1:31">
      <c r="A63" s="75" t="s">
        <v>9</v>
      </c>
      <c r="B63" s="86">
        <f>'Smmy FGD'!M2669</f>
        <v>34318885</v>
      </c>
      <c r="C63" s="87">
        <f t="shared" si="4"/>
        <v>61</v>
      </c>
      <c r="D63" s="86">
        <f>'Smmy FGD'!F2669</f>
        <v>0</v>
      </c>
      <c r="E63" s="74"/>
      <c r="F63" s="74">
        <f t="shared" si="5"/>
        <v>34318885</v>
      </c>
      <c r="G63" s="337"/>
      <c r="H63" s="337"/>
      <c r="I63" s="337"/>
      <c r="J63" s="716">
        <f t="shared" si="6"/>
        <v>61</v>
      </c>
      <c r="K63" s="90"/>
      <c r="L63" s="85"/>
      <c r="M63" s="85"/>
      <c r="N63" s="85"/>
      <c r="O63" s="85"/>
      <c r="P63" s="85"/>
      <c r="Q63" s="85"/>
      <c r="R63" s="85"/>
      <c r="S63" s="85"/>
      <c r="T63" s="85"/>
      <c r="U63" s="85"/>
      <c r="V63" s="85"/>
      <c r="W63" s="85"/>
      <c r="X63" s="85"/>
      <c r="Y63" s="85"/>
      <c r="Z63" s="85"/>
      <c r="AA63" s="85"/>
      <c r="AB63" s="85"/>
      <c r="AC63" s="85"/>
      <c r="AD63" s="85"/>
      <c r="AE63" s="85"/>
    </row>
    <row r="64" spans="1:31" ht="13.5" thickBot="1">
      <c r="A64" s="75" t="s">
        <v>10</v>
      </c>
      <c r="B64" s="86">
        <f>'Smmy FGD'!M2670</f>
        <v>1130449952</v>
      </c>
      <c r="C64" s="87">
        <f t="shared" si="4"/>
        <v>2009</v>
      </c>
      <c r="D64" s="86">
        <f>'Smmy FGD'!F2670</f>
        <v>27600138</v>
      </c>
      <c r="E64" s="74"/>
      <c r="F64" s="74">
        <f t="shared" si="5"/>
        <v>1102849814</v>
      </c>
      <c r="G64" s="337"/>
      <c r="H64" s="337"/>
      <c r="I64" s="337"/>
      <c r="J64" s="716">
        <f t="shared" si="6"/>
        <v>1960</v>
      </c>
      <c r="K64" s="90"/>
      <c r="L64" s="85"/>
      <c r="M64" s="85"/>
      <c r="N64" s="85"/>
      <c r="O64" s="85"/>
      <c r="P64" s="85"/>
      <c r="Q64" s="85"/>
      <c r="R64" s="85"/>
      <c r="S64" s="85"/>
      <c r="T64" s="85"/>
      <c r="U64" s="85"/>
      <c r="V64" s="85"/>
      <c r="W64" s="85"/>
      <c r="X64" s="85"/>
      <c r="Y64" s="85"/>
      <c r="Z64" s="85"/>
      <c r="AA64" s="85"/>
      <c r="AB64" s="85"/>
      <c r="AC64" s="85"/>
      <c r="AD64" s="85"/>
      <c r="AE64" s="85"/>
    </row>
    <row r="65" spans="1:31" ht="13.5" thickBot="1">
      <c r="A65" s="75" t="s">
        <v>11</v>
      </c>
      <c r="B65" s="86">
        <f>'Smmy FGD'!M2671</f>
        <v>686038350</v>
      </c>
      <c r="C65" s="87">
        <f t="shared" si="4"/>
        <v>1219</v>
      </c>
      <c r="D65" s="86">
        <f>'Smmy FGD'!F2671</f>
        <v>182721</v>
      </c>
      <c r="E65" s="74"/>
      <c r="F65" s="74">
        <f t="shared" si="5"/>
        <v>685855629</v>
      </c>
      <c r="G65" s="337"/>
      <c r="H65" s="337"/>
      <c r="I65" s="337"/>
      <c r="J65" s="716">
        <f t="shared" si="6"/>
        <v>1219</v>
      </c>
      <c r="K65" s="1694" t="s">
        <v>1065</v>
      </c>
      <c r="L65" s="1695"/>
      <c r="M65" s="1695"/>
      <c r="N65" s="1695"/>
      <c r="O65" s="1696"/>
      <c r="P65" s="85"/>
      <c r="Q65" s="85"/>
      <c r="R65" s="85"/>
      <c r="S65" s="85"/>
      <c r="T65" s="85"/>
      <c r="U65" s="85"/>
      <c r="V65" s="85"/>
      <c r="W65" s="85"/>
      <c r="X65" s="85"/>
      <c r="Y65" s="85"/>
      <c r="Z65" s="85"/>
      <c r="AA65" s="85"/>
      <c r="AB65" s="85"/>
      <c r="AC65" s="85"/>
      <c r="AD65" s="85"/>
      <c r="AE65" s="85"/>
    </row>
    <row r="66" spans="1:31" ht="13.5" thickBot="1">
      <c r="A66" s="93" t="s">
        <v>2134</v>
      </c>
      <c r="B66" s="94">
        <f>'Smmy FGD'!M2672</f>
        <v>1027049171</v>
      </c>
      <c r="C66" s="87">
        <f t="shared" si="4"/>
        <v>1825</v>
      </c>
      <c r="D66" s="760">
        <f>B66</f>
        <v>1027049171</v>
      </c>
      <c r="E66" s="74"/>
      <c r="F66" s="74">
        <f t="shared" si="5"/>
        <v>0</v>
      </c>
      <c r="G66" s="337"/>
      <c r="H66" s="337"/>
      <c r="I66" s="337"/>
      <c r="J66" s="716">
        <f t="shared" si="6"/>
        <v>0</v>
      </c>
      <c r="K66" s="1694" t="s">
        <v>1070</v>
      </c>
      <c r="L66" s="1695"/>
      <c r="M66" s="1695"/>
      <c r="N66" s="1695"/>
      <c r="O66" s="1696"/>
      <c r="P66" s="85"/>
      <c r="Q66" s="85"/>
      <c r="R66" s="85"/>
      <c r="S66" s="85"/>
      <c r="T66" s="85"/>
      <c r="U66" s="85"/>
      <c r="V66" s="85"/>
      <c r="W66" s="85"/>
      <c r="X66" s="85"/>
      <c r="Y66" s="85"/>
      <c r="Z66" s="85"/>
      <c r="AA66" s="85"/>
      <c r="AB66" s="85"/>
      <c r="AC66" s="85"/>
      <c r="AD66" s="85"/>
      <c r="AE66" s="85"/>
    </row>
    <row r="67" spans="1:31" ht="12.75" customHeight="1" thickBot="1">
      <c r="A67" s="95" t="s">
        <v>43</v>
      </c>
      <c r="B67" s="86">
        <f>'Smmy FGD'!M2673</f>
        <v>308924059</v>
      </c>
      <c r="C67" s="87">
        <f t="shared" si="4"/>
        <v>549</v>
      </c>
      <c r="D67" s="86">
        <f>'Smmy FGD'!F2673</f>
        <v>62675839</v>
      </c>
      <c r="E67" s="74"/>
      <c r="F67" s="74">
        <f t="shared" si="5"/>
        <v>246248220</v>
      </c>
      <c r="G67" s="35"/>
      <c r="H67" s="35"/>
      <c r="I67" s="38"/>
      <c r="J67" s="716">
        <f t="shared" si="6"/>
        <v>438</v>
      </c>
      <c r="K67" s="1697" t="s">
        <v>1073</v>
      </c>
      <c r="L67" s="1697" t="s">
        <v>1071</v>
      </c>
      <c r="M67" s="1697" t="s">
        <v>1072</v>
      </c>
      <c r="N67" s="1697" t="s">
        <v>1240</v>
      </c>
      <c r="O67" s="1697" t="s">
        <v>1075</v>
      </c>
      <c r="P67" s="96"/>
      <c r="Q67" s="96"/>
      <c r="R67" s="96"/>
      <c r="S67" s="96"/>
      <c r="T67" s="96"/>
      <c r="U67" s="96"/>
      <c r="V67" s="96"/>
      <c r="W67" s="96"/>
      <c r="X67" s="96"/>
      <c r="Y67" s="96"/>
      <c r="Z67" s="96"/>
      <c r="AA67" s="96"/>
      <c r="AB67" s="96"/>
      <c r="AC67" s="96"/>
      <c r="AD67" s="96"/>
      <c r="AE67" s="96"/>
    </row>
    <row r="68" spans="1:31" ht="12.75" customHeight="1" thickTop="1" thickBot="1">
      <c r="A68" s="88" t="s">
        <v>3</v>
      </c>
      <c r="B68" s="89">
        <f>SUM(B62:B67)</f>
        <v>4282069263</v>
      </c>
      <c r="C68" s="89">
        <f>SUM(C62:C67)</f>
        <v>7610</v>
      </c>
      <c r="D68" s="723">
        <f>SUM(D62:D67)</f>
        <v>1170114754</v>
      </c>
      <c r="E68" s="723">
        <f>SUM(E62:E67)</f>
        <v>0</v>
      </c>
      <c r="F68" s="724">
        <f>SUM(F62:F67)</f>
        <v>3111954509</v>
      </c>
      <c r="G68" s="1708" t="s">
        <v>8</v>
      </c>
      <c r="H68" s="1709"/>
      <c r="I68" s="783" t="s">
        <v>1166</v>
      </c>
      <c r="J68" s="725">
        <f>SUM(J62:J67)</f>
        <v>5531</v>
      </c>
      <c r="K68" s="1698"/>
      <c r="L68" s="1698"/>
      <c r="M68" s="1698"/>
      <c r="N68" s="1698" t="s">
        <v>1074</v>
      </c>
      <c r="O68" s="1698" t="s">
        <v>1075</v>
      </c>
      <c r="P68" s="85"/>
      <c r="Q68" s="85"/>
      <c r="R68" s="85"/>
      <c r="S68" s="85"/>
      <c r="T68" s="85"/>
      <c r="U68" s="85"/>
      <c r="V68" s="85"/>
      <c r="W68" s="85"/>
      <c r="X68" s="85"/>
      <c r="Y68" s="85"/>
      <c r="Z68" s="85"/>
      <c r="AA68" s="85"/>
      <c r="AB68" s="85"/>
      <c r="AC68" s="85"/>
      <c r="AD68" s="85"/>
      <c r="AE68" s="85"/>
    </row>
    <row r="69" spans="1:31" ht="13.5" thickTop="1">
      <c r="A69" s="97" t="s">
        <v>68</v>
      </c>
      <c r="B69" s="112">
        <f>B51+B56+B59+B68</f>
        <v>17660087338</v>
      </c>
      <c r="C69" s="45">
        <f>C51+C56+C59+C68</f>
        <v>31386</v>
      </c>
      <c r="D69" s="52">
        <f>D51+D56+D59+D68</f>
        <v>1525769393</v>
      </c>
      <c r="E69" s="52">
        <f>E51+E56+E59+E68</f>
        <v>0</v>
      </c>
      <c r="F69" s="880">
        <f>F51+F56+F59+F68</f>
        <v>16134317945</v>
      </c>
      <c r="G69" s="1710" t="s">
        <v>84</v>
      </c>
      <c r="H69" s="1710"/>
      <c r="I69" s="1375">
        <f>ROUND($G$71/$C$42,0)</f>
        <v>26973</v>
      </c>
      <c r="J69" s="726">
        <f>J51+J56+J59+J68</f>
        <v>28675</v>
      </c>
      <c r="K69" s="1698"/>
      <c r="L69" s="1698"/>
      <c r="M69" s="1698"/>
      <c r="N69" s="1698"/>
      <c r="O69" s="1698"/>
      <c r="P69" s="85"/>
      <c r="Q69" s="85"/>
      <c r="R69" s="85"/>
      <c r="S69" s="85"/>
      <c r="T69" s="85"/>
      <c r="U69" s="85"/>
      <c r="V69" s="85"/>
      <c r="W69" s="85"/>
      <c r="X69" s="85"/>
      <c r="Y69" s="85"/>
      <c r="Z69" s="85"/>
      <c r="AA69" s="85"/>
      <c r="AB69" s="85"/>
      <c r="AC69" s="85"/>
      <c r="AD69" s="85"/>
      <c r="AE69" s="85"/>
    </row>
    <row r="70" spans="1:31" ht="13.5" thickBot="1">
      <c r="B70" s="98"/>
      <c r="D70" s="337"/>
      <c r="E70" s="337"/>
      <c r="F70" s="337" t="s">
        <v>1226</v>
      </c>
      <c r="G70" s="879">
        <f>G50*-1</f>
        <v>-957089015</v>
      </c>
      <c r="H70" s="337"/>
      <c r="I70" s="783" t="s">
        <v>1167</v>
      </c>
      <c r="J70" s="727"/>
      <c r="K70" s="1699"/>
      <c r="L70" s="1699"/>
      <c r="M70" s="1699"/>
      <c r="N70" s="1699"/>
      <c r="O70" s="1699"/>
      <c r="P70" s="85"/>
      <c r="Q70" s="85"/>
      <c r="R70" s="85"/>
      <c r="S70" s="85"/>
      <c r="T70" s="85"/>
      <c r="U70" s="85"/>
      <c r="V70" s="85"/>
      <c r="W70" s="85"/>
      <c r="X70" s="85"/>
      <c r="Y70" s="85"/>
      <c r="Z70" s="85"/>
      <c r="AA70" s="85"/>
      <c r="AB70" s="85"/>
      <c r="AC70" s="85"/>
      <c r="AD70" s="85"/>
      <c r="AE70" s="85"/>
    </row>
    <row r="71" spans="1:31" ht="14.25" thickTop="1" thickBot="1">
      <c r="A71" s="81" t="s">
        <v>72</v>
      </c>
      <c r="B71" s="81"/>
      <c r="C71" s="81"/>
      <c r="D71" s="728"/>
      <c r="E71" s="728"/>
      <c r="F71" s="788" t="s">
        <v>1165</v>
      </c>
      <c r="G71" s="803">
        <f>F69+G70</f>
        <v>15177228930</v>
      </c>
      <c r="H71" s="261"/>
      <c r="I71" s="1376">
        <f>ROUND($G$71/$I$44,0)</f>
        <v>307926</v>
      </c>
      <c r="J71" s="261"/>
      <c r="K71" s="609"/>
      <c r="L71" s="609"/>
      <c r="M71" s="609"/>
      <c r="N71" s="609"/>
      <c r="O71" s="609"/>
    </row>
    <row r="72" spans="1:31" ht="13.5" thickTop="1">
      <c r="A72" s="99" t="s">
        <v>14</v>
      </c>
      <c r="B72" s="83">
        <f>'Smmy FGD'!M2678</f>
        <v>4037148658</v>
      </c>
      <c r="C72" s="83">
        <f t="shared" ref="C72:C82" si="7">ROUND(B72/$C$42,0)</f>
        <v>7175</v>
      </c>
      <c r="D72" s="83">
        <f>'Smmy FGD'!F2678</f>
        <v>0</v>
      </c>
      <c r="E72" s="512"/>
      <c r="F72" s="512">
        <f t="shared" ref="F72:F82" si="8">B72-(SUM(D72:E72))</f>
        <v>4037148658</v>
      </c>
      <c r="G72" s="337"/>
      <c r="H72" s="1378" t="s">
        <v>2158</v>
      </c>
      <c r="I72" s="1379">
        <f>ROUND(F72/$C$42,0)</f>
        <v>7175</v>
      </c>
      <c r="J72" s="337" t="s">
        <v>752</v>
      </c>
      <c r="K72" s="512">
        <f>F72</f>
        <v>4037148658</v>
      </c>
      <c r="L72" s="512">
        <f>K72</f>
        <v>4037148658</v>
      </c>
      <c r="M72" s="512"/>
      <c r="N72" s="512"/>
      <c r="O72" s="512"/>
      <c r="P72" s="85"/>
      <c r="Q72" s="85"/>
      <c r="R72" s="85"/>
      <c r="S72" s="85"/>
      <c r="T72" s="85"/>
      <c r="U72" s="85"/>
      <c r="V72" s="85"/>
      <c r="W72" s="85"/>
      <c r="X72" s="85"/>
      <c r="Y72" s="85"/>
      <c r="Z72" s="85"/>
      <c r="AA72" s="85"/>
      <c r="AB72" s="85"/>
      <c r="AC72" s="85"/>
      <c r="AD72" s="85"/>
      <c r="AE72" s="85"/>
    </row>
    <row r="73" spans="1:31">
      <c r="A73" s="99" t="s">
        <v>15</v>
      </c>
      <c r="B73" s="86">
        <f>'Smmy FGD'!M2679</f>
        <v>1785233069</v>
      </c>
      <c r="C73" s="87">
        <f t="shared" si="7"/>
        <v>3173</v>
      </c>
      <c r="D73" s="86">
        <f>'Smmy FGD'!F2679</f>
        <v>0</v>
      </c>
      <c r="E73" s="74"/>
      <c r="F73" s="74">
        <f t="shared" si="8"/>
        <v>1785233069</v>
      </c>
      <c r="G73" s="337"/>
      <c r="H73" s="337"/>
      <c r="I73" s="337"/>
      <c r="J73" s="337" t="s">
        <v>1076</v>
      </c>
      <c r="K73" s="373">
        <f>F73</f>
        <v>1785233069</v>
      </c>
      <c r="L73" s="373">
        <f>K73</f>
        <v>1785233069</v>
      </c>
      <c r="M73" s="373"/>
      <c r="N73" s="373"/>
      <c r="O73" s="373"/>
      <c r="P73" s="85"/>
      <c r="Q73" s="85"/>
      <c r="R73" s="85"/>
      <c r="S73" s="85"/>
      <c r="T73" s="85"/>
      <c r="U73" s="85"/>
      <c r="V73" s="85"/>
      <c r="W73" s="85"/>
      <c r="X73" s="85"/>
      <c r="Y73" s="85"/>
      <c r="Z73" s="85"/>
      <c r="AA73" s="85"/>
      <c r="AB73" s="85"/>
      <c r="AC73" s="85"/>
      <c r="AD73" s="85"/>
      <c r="AE73" s="85"/>
    </row>
    <row r="74" spans="1:31">
      <c r="A74" s="99" t="s">
        <v>16</v>
      </c>
      <c r="B74" s="86">
        <f>'Smmy FGD'!M2680</f>
        <v>289366444</v>
      </c>
      <c r="C74" s="87">
        <f t="shared" si="7"/>
        <v>514</v>
      </c>
      <c r="D74" s="86">
        <f>'Smmy FGD'!F2680</f>
        <v>25232</v>
      </c>
      <c r="E74" s="86">
        <f>B74-D74</f>
        <v>289341212</v>
      </c>
      <c r="F74" s="74">
        <f t="shared" si="8"/>
        <v>0</v>
      </c>
      <c r="G74" s="337"/>
      <c r="H74" s="337"/>
      <c r="I74" s="337"/>
      <c r="J74" s="337" t="s">
        <v>1077</v>
      </c>
      <c r="K74" s="1701" t="s">
        <v>1152</v>
      </c>
      <c r="L74" s="1702"/>
      <c r="M74" s="1702"/>
      <c r="N74" s="1702"/>
      <c r="O74" s="1703"/>
      <c r="P74" s="85"/>
      <c r="Q74" s="85"/>
      <c r="R74" s="85"/>
      <c r="S74" s="85"/>
      <c r="T74" s="85"/>
      <c r="U74" s="85"/>
      <c r="V74" s="85"/>
      <c r="W74" s="85"/>
      <c r="X74" s="85"/>
      <c r="Y74" s="85"/>
      <c r="Z74" s="85"/>
      <c r="AA74" s="85"/>
      <c r="AB74" s="85"/>
      <c r="AC74" s="85"/>
      <c r="AD74" s="85"/>
      <c r="AE74" s="85"/>
    </row>
    <row r="75" spans="1:31">
      <c r="A75" s="99" t="s">
        <v>17</v>
      </c>
      <c r="B75" s="86">
        <f>'Smmy FGD'!M2681</f>
        <v>1642064198</v>
      </c>
      <c r="C75" s="87">
        <f t="shared" si="7"/>
        <v>2918</v>
      </c>
      <c r="D75" s="86">
        <f>'Smmy FGD'!F2681</f>
        <v>265221</v>
      </c>
      <c r="E75" s="74"/>
      <c r="F75" s="74">
        <f t="shared" si="8"/>
        <v>1641798977</v>
      </c>
      <c r="G75" s="337"/>
      <c r="H75" s="1378" t="s">
        <v>2159</v>
      </c>
      <c r="I75" s="1379">
        <f>ROUND(F75/$C$42,0)</f>
        <v>2918</v>
      </c>
      <c r="J75" s="337" t="s">
        <v>1078</v>
      </c>
      <c r="K75" s="373">
        <f t="shared" ref="K75:K79" si="9">F75</f>
        <v>1641798977</v>
      </c>
      <c r="L75" s="373">
        <f>K75</f>
        <v>1641798977</v>
      </c>
      <c r="M75" s="373"/>
      <c r="N75" s="373"/>
      <c r="O75" s="373"/>
      <c r="P75" s="85"/>
      <c r="Q75" s="85"/>
      <c r="R75" s="85"/>
      <c r="S75" s="85"/>
      <c r="T75" s="85"/>
      <c r="U75" s="85"/>
      <c r="V75" s="85"/>
      <c r="W75" s="85"/>
      <c r="X75" s="85"/>
      <c r="Y75" s="85"/>
      <c r="Z75" s="85"/>
      <c r="AA75" s="85"/>
      <c r="AB75" s="85"/>
      <c r="AC75" s="85"/>
      <c r="AD75" s="85"/>
      <c r="AE75" s="85"/>
    </row>
    <row r="76" spans="1:31">
      <c r="A76" s="99" t="s">
        <v>18</v>
      </c>
      <c r="B76" s="86">
        <f>'Smmy FGD'!M2682</f>
        <v>812823065</v>
      </c>
      <c r="C76" s="87">
        <f t="shared" si="7"/>
        <v>1445</v>
      </c>
      <c r="D76" s="86">
        <f>'Smmy FGD'!F2682</f>
        <v>28503013</v>
      </c>
      <c r="E76" s="74"/>
      <c r="F76" s="74">
        <f t="shared" si="8"/>
        <v>784320052</v>
      </c>
      <c r="G76" s="337"/>
      <c r="H76" s="337"/>
      <c r="I76" s="337"/>
      <c r="J76" s="337" t="s">
        <v>1079</v>
      </c>
      <c r="K76" s="373">
        <f t="shared" si="9"/>
        <v>784320052</v>
      </c>
      <c r="L76" s="373"/>
      <c r="M76" s="373">
        <f>K76</f>
        <v>784320052</v>
      </c>
      <c r="N76" s="373"/>
      <c r="O76" s="373"/>
      <c r="P76" s="85"/>
      <c r="Q76" s="85"/>
      <c r="R76" s="85"/>
      <c r="S76" s="85"/>
      <c r="T76" s="85"/>
      <c r="U76" s="85"/>
      <c r="V76" s="85"/>
      <c r="W76" s="85"/>
      <c r="X76" s="85"/>
      <c r="Y76" s="85"/>
      <c r="Z76" s="85"/>
      <c r="AA76" s="85"/>
      <c r="AB76" s="85"/>
      <c r="AC76" s="85"/>
      <c r="AD76" s="85"/>
      <c r="AE76" s="85"/>
    </row>
    <row r="77" spans="1:31">
      <c r="A77" s="99" t="s">
        <v>19</v>
      </c>
      <c r="B77" s="86">
        <f>'Smmy FGD'!M2683</f>
        <v>1144320024</v>
      </c>
      <c r="C77" s="87">
        <f t="shared" si="7"/>
        <v>2034</v>
      </c>
      <c r="D77" s="86">
        <f>'Smmy FGD'!F2683</f>
        <v>56722</v>
      </c>
      <c r="E77" s="74"/>
      <c r="F77" s="74">
        <f t="shared" si="8"/>
        <v>1144263302</v>
      </c>
      <c r="G77" s="337"/>
      <c r="H77" s="1378" t="s">
        <v>2160</v>
      </c>
      <c r="I77" s="1379">
        <f>ROUND(F77/$C$42,0)</f>
        <v>2034</v>
      </c>
      <c r="J77" s="337" t="s">
        <v>757</v>
      </c>
      <c r="K77" s="373">
        <f t="shared" si="9"/>
        <v>1144263302</v>
      </c>
      <c r="L77" s="373"/>
      <c r="M77" s="373"/>
      <c r="N77" s="373">
        <f>K77</f>
        <v>1144263302</v>
      </c>
      <c r="O77" s="373"/>
      <c r="P77" s="85"/>
      <c r="Q77" s="85"/>
      <c r="R77" s="85"/>
      <c r="S77" s="85"/>
      <c r="T77" s="85"/>
      <c r="U77" s="85"/>
      <c r="V77" s="85"/>
      <c r="W77" s="85"/>
      <c r="X77" s="85"/>
      <c r="Y77" s="85"/>
      <c r="Z77" s="85"/>
      <c r="AA77" s="85"/>
      <c r="AB77" s="85"/>
      <c r="AC77" s="85"/>
      <c r="AD77" s="85"/>
      <c r="AE77" s="85"/>
    </row>
    <row r="78" spans="1:31">
      <c r="A78" s="99" t="s">
        <v>20</v>
      </c>
      <c r="B78" s="86">
        <f>'Smmy FGD'!M2684</f>
        <v>1071608280</v>
      </c>
      <c r="C78" s="87">
        <f t="shared" si="7"/>
        <v>1904</v>
      </c>
      <c r="D78" s="86">
        <f>'Smmy FGD'!F2684</f>
        <v>1305159</v>
      </c>
      <c r="E78" s="74"/>
      <c r="F78" s="74">
        <f t="shared" si="8"/>
        <v>1070303121</v>
      </c>
      <c r="G78" s="337"/>
      <c r="H78" s="337"/>
      <c r="I78" s="337"/>
      <c r="J78" s="337" t="s">
        <v>758</v>
      </c>
      <c r="K78" s="373">
        <f t="shared" si="9"/>
        <v>1070303121</v>
      </c>
      <c r="L78" s="373"/>
      <c r="M78" s="373"/>
      <c r="N78" s="373">
        <f>K78</f>
        <v>1070303121</v>
      </c>
      <c r="O78" s="373"/>
      <c r="P78" s="85"/>
      <c r="Q78" s="85"/>
      <c r="R78" s="85"/>
      <c r="S78" s="85"/>
      <c r="T78" s="85"/>
      <c r="U78" s="85"/>
      <c r="V78" s="85"/>
      <c r="W78" s="85"/>
      <c r="X78" s="85"/>
      <c r="Y78" s="85"/>
      <c r="Z78" s="85"/>
      <c r="AA78" s="85"/>
      <c r="AB78" s="85"/>
      <c r="AC78" s="85"/>
      <c r="AD78" s="85"/>
      <c r="AE78" s="85"/>
    </row>
    <row r="79" spans="1:31">
      <c r="A79" s="99" t="s">
        <v>21</v>
      </c>
      <c r="B79" s="86">
        <f>'Smmy FGD'!M2685</f>
        <v>1695530314</v>
      </c>
      <c r="C79" s="87">
        <f t="shared" si="7"/>
        <v>3013</v>
      </c>
      <c r="D79" s="86">
        <f>'Smmy FGD'!F2685</f>
        <v>9607132</v>
      </c>
      <c r="E79" s="74"/>
      <c r="F79" s="74">
        <f t="shared" si="8"/>
        <v>1685923182</v>
      </c>
      <c r="G79" s="337"/>
      <c r="H79" s="337"/>
      <c r="I79" s="337"/>
      <c r="J79" s="337" t="s">
        <v>1145</v>
      </c>
      <c r="K79" s="373">
        <f t="shared" si="9"/>
        <v>1685923182</v>
      </c>
      <c r="L79" s="373"/>
      <c r="M79" s="373">
        <f>K79</f>
        <v>1685923182</v>
      </c>
      <c r="N79" s="373"/>
      <c r="O79" s="373"/>
      <c r="P79" s="85"/>
      <c r="Q79" s="85"/>
      <c r="R79" s="85"/>
      <c r="S79" s="85"/>
      <c r="T79" s="85"/>
      <c r="U79" s="85"/>
      <c r="V79" s="85"/>
      <c r="W79" s="85"/>
      <c r="X79" s="85"/>
      <c r="Y79" s="85"/>
      <c r="Z79" s="85"/>
      <c r="AA79" s="85"/>
      <c r="AB79" s="85"/>
      <c r="AC79" s="85"/>
      <c r="AD79" s="85"/>
      <c r="AE79" s="85"/>
    </row>
    <row r="80" spans="1:31">
      <c r="A80" s="99" t="s">
        <v>2135</v>
      </c>
      <c r="B80" s="86">
        <f>'Smmy FGD'!M2686</f>
        <v>1429216394</v>
      </c>
      <c r="C80" s="87">
        <f t="shared" si="7"/>
        <v>2540</v>
      </c>
      <c r="D80" s="729">
        <f>B80</f>
        <v>1429216394</v>
      </c>
      <c r="E80" s="74"/>
      <c r="F80" s="74">
        <f t="shared" si="8"/>
        <v>0</v>
      </c>
      <c r="G80" s="337"/>
      <c r="H80" s="337"/>
      <c r="I80" s="337"/>
      <c r="J80" s="337" t="s">
        <v>743</v>
      </c>
      <c r="K80" s="1701" t="s">
        <v>1152</v>
      </c>
      <c r="L80" s="1702"/>
      <c r="M80" s="1702"/>
      <c r="N80" s="1702"/>
      <c r="O80" s="1703"/>
      <c r="P80" s="85"/>
      <c r="Q80" s="85"/>
      <c r="R80" s="85"/>
      <c r="S80" s="85"/>
      <c r="T80" s="85"/>
      <c r="U80" s="85"/>
      <c r="V80" s="85"/>
      <c r="W80" s="85"/>
      <c r="X80" s="85"/>
      <c r="Y80" s="85"/>
      <c r="Z80" s="85"/>
      <c r="AA80" s="85"/>
      <c r="AB80" s="85"/>
      <c r="AC80" s="85"/>
      <c r="AD80" s="85"/>
      <c r="AE80" s="85"/>
    </row>
    <row r="81" spans="1:31">
      <c r="A81" s="99" t="s">
        <v>61</v>
      </c>
      <c r="B81" s="86">
        <f>'Smmy FGD'!M2687</f>
        <v>349795226</v>
      </c>
      <c r="C81" s="87">
        <f t="shared" si="7"/>
        <v>622</v>
      </c>
      <c r="D81" s="86">
        <f>'Smmy FGD'!F2687</f>
        <v>11154106</v>
      </c>
      <c r="E81" s="74"/>
      <c r="F81" s="74">
        <f t="shared" si="8"/>
        <v>338641120</v>
      </c>
      <c r="G81" s="337"/>
      <c r="H81" s="337"/>
      <c r="I81" s="337"/>
      <c r="J81" s="337" t="s">
        <v>1080</v>
      </c>
      <c r="K81" s="373">
        <f t="shared" ref="K81:K82" si="10">F81</f>
        <v>338641120</v>
      </c>
      <c r="L81" s="373"/>
      <c r="M81" s="373"/>
      <c r="N81" s="373"/>
      <c r="O81" s="373">
        <f>K81</f>
        <v>338641120</v>
      </c>
      <c r="P81" s="85"/>
      <c r="Q81" s="85"/>
      <c r="R81" s="85"/>
      <c r="S81" s="85"/>
      <c r="T81" s="85"/>
      <c r="U81" s="85"/>
      <c r="V81" s="85"/>
      <c r="W81" s="85"/>
      <c r="X81" s="85"/>
      <c r="Y81" s="85"/>
      <c r="Z81" s="85"/>
      <c r="AA81" s="85"/>
      <c r="AB81" s="85"/>
      <c r="AC81" s="85"/>
      <c r="AD81" s="85"/>
      <c r="AE81" s="85"/>
    </row>
    <row r="82" spans="1:31" ht="13.5" thickBot="1">
      <c r="A82" s="75" t="s">
        <v>50</v>
      </c>
      <c r="B82" s="86">
        <f>'Smmy FGD'!M2688</f>
        <v>265279642</v>
      </c>
      <c r="C82" s="87">
        <f t="shared" si="7"/>
        <v>471</v>
      </c>
      <c r="D82" s="86">
        <f>'Smmy FGD'!F2688</f>
        <v>2958621</v>
      </c>
      <c r="E82" s="74"/>
      <c r="F82" s="74">
        <f t="shared" si="8"/>
        <v>262321021</v>
      </c>
      <c r="G82" s="35"/>
      <c r="H82" s="1378" t="s">
        <v>2161</v>
      </c>
      <c r="I82" s="1379">
        <f>ROUND(SUM(F82+F81+F79+F78+F76+F73)/$C$42,0)</f>
        <v>10533</v>
      </c>
      <c r="J82" s="610" t="s">
        <v>1075</v>
      </c>
      <c r="K82" s="373">
        <f t="shared" si="10"/>
        <v>262321021</v>
      </c>
      <c r="L82" s="611"/>
      <c r="M82" s="611"/>
      <c r="N82" s="611"/>
      <c r="O82" s="373">
        <f>K82</f>
        <v>262321021</v>
      </c>
      <c r="P82" s="96"/>
      <c r="Q82" s="96"/>
      <c r="R82" s="96"/>
      <c r="S82" s="96"/>
      <c r="T82" s="96"/>
      <c r="U82" s="96"/>
      <c r="V82" s="96"/>
      <c r="W82" s="96"/>
      <c r="X82" s="96"/>
      <c r="Y82" s="96"/>
      <c r="Z82" s="96"/>
      <c r="AA82" s="96"/>
      <c r="AB82" s="96"/>
      <c r="AC82" s="96"/>
      <c r="AD82" s="96"/>
      <c r="AE82" s="96"/>
    </row>
    <row r="83" spans="1:31" ht="16.5" customHeight="1" thickTop="1" thickBot="1">
      <c r="A83" s="100" t="s">
        <v>69</v>
      </c>
      <c r="B83" s="45">
        <f>SUM(B72:B82)</f>
        <v>14522385314</v>
      </c>
      <c r="C83" s="45">
        <f>SUM(C72:C82)</f>
        <v>25809</v>
      </c>
      <c r="D83" s="730">
        <f>SUM(D72:D82)</f>
        <v>1483091600</v>
      </c>
      <c r="E83" s="731">
        <f>SUM(E72:E82)</f>
        <v>289341212</v>
      </c>
      <c r="F83" s="719">
        <f>SUM(F72:F82)</f>
        <v>12749952502</v>
      </c>
      <c r="G83" s="1688" t="s">
        <v>85</v>
      </c>
      <c r="H83" s="1689"/>
      <c r="I83" s="785" t="s">
        <v>1164</v>
      </c>
      <c r="J83" s="610" t="s">
        <v>1081</v>
      </c>
      <c r="K83" s="612">
        <f>SUM(K72:K82)</f>
        <v>12749952502</v>
      </c>
      <c r="L83" s="612">
        <f>SUM(L72:L82)</f>
        <v>7464180704</v>
      </c>
      <c r="M83" s="612">
        <f>SUM(M72:M82)</f>
        <v>2470243234</v>
      </c>
      <c r="N83" s="612">
        <f>SUM(N72:N82)</f>
        <v>2214566423</v>
      </c>
      <c r="O83" s="612">
        <f>SUM(O72:O82)</f>
        <v>600962141</v>
      </c>
      <c r="P83" s="85"/>
      <c r="Q83" s="85"/>
      <c r="R83" s="85"/>
      <c r="S83" s="85"/>
      <c r="T83" s="85"/>
      <c r="U83" s="85"/>
      <c r="V83" s="85"/>
      <c r="W83" s="85"/>
      <c r="X83" s="85"/>
      <c r="Y83" s="85"/>
      <c r="Z83" s="85"/>
      <c r="AA83" s="85"/>
      <c r="AB83" s="85"/>
      <c r="AC83" s="85"/>
      <c r="AD83" s="85"/>
      <c r="AE83" s="85"/>
    </row>
    <row r="84" spans="1:31" ht="14.25" thickTop="1" thickBot="1">
      <c r="A84" s="93"/>
      <c r="B84" s="98"/>
      <c r="D84" s="261"/>
      <c r="E84" s="261"/>
      <c r="F84" s="741"/>
      <c r="G84" s="1690"/>
      <c r="H84" s="1691"/>
      <c r="I84" s="790">
        <f>ROUND($F$83/$C$42,0)</f>
        <v>22660</v>
      </c>
      <c r="J84" s="1700" t="s">
        <v>1082</v>
      </c>
      <c r="K84" s="611"/>
      <c r="L84" s="611"/>
      <c r="M84" s="611"/>
      <c r="N84" s="611"/>
      <c r="O84" s="611"/>
    </row>
    <row r="85" spans="1:31" ht="14.25" customHeight="1" thickBot="1">
      <c r="A85" s="78" t="s">
        <v>23</v>
      </c>
      <c r="B85" s="82"/>
      <c r="D85" s="261"/>
      <c r="E85" s="261"/>
      <c r="F85" s="614"/>
      <c r="G85" s="1690"/>
      <c r="H85" s="1691"/>
      <c r="I85" s="791"/>
      <c r="J85" s="1700"/>
      <c r="K85" s="743">
        <f>ROUND(K83/$C$42,2)</f>
        <v>22659.63</v>
      </c>
      <c r="L85" s="743">
        <f t="shared" ref="L85:O85" si="11">ROUND(L83/$C$42,2)</f>
        <v>13265.58</v>
      </c>
      <c r="M85" s="743">
        <f t="shared" si="11"/>
        <v>4390.2</v>
      </c>
      <c r="N85" s="743">
        <f t="shared" si="11"/>
        <v>3935.8</v>
      </c>
      <c r="O85" s="743">
        <f t="shared" si="11"/>
        <v>1068.05</v>
      </c>
      <c r="P85" s="96"/>
      <c r="Q85" s="96"/>
      <c r="R85" s="96"/>
      <c r="S85" s="96"/>
      <c r="T85" s="96"/>
      <c r="U85" s="96"/>
      <c r="V85" s="96"/>
      <c r="W85" s="96"/>
      <c r="X85" s="96"/>
      <c r="Y85" s="96"/>
      <c r="Z85" s="96"/>
      <c r="AA85" s="96"/>
      <c r="AB85" s="96"/>
      <c r="AC85" s="96"/>
      <c r="AD85" s="96"/>
      <c r="AE85" s="96"/>
    </row>
    <row r="86" spans="1:31" ht="13.5" thickBot="1">
      <c r="A86" s="75" t="s">
        <v>62</v>
      </c>
      <c r="B86" s="739">
        <f>'Smmy FGD'!M2692</f>
        <v>-751481660</v>
      </c>
      <c r="C86" s="83">
        <f>ROUND(B86/$C$42,0)</f>
        <v>-1336</v>
      </c>
      <c r="D86" s="739">
        <f>'Smmy FGD'!F2692</f>
        <v>0</v>
      </c>
      <c r="E86" s="512"/>
      <c r="F86" s="732">
        <f t="shared" ref="F86:F89" si="12">B86-(SUM(D86:E86))</f>
        <v>-751481660</v>
      </c>
      <c r="G86" s="1692"/>
      <c r="H86" s="1693"/>
      <c r="I86" s="805"/>
      <c r="J86" s="38"/>
      <c r="K86" s="113"/>
      <c r="L86" s="101"/>
      <c r="M86" s="96"/>
      <c r="N86" s="96"/>
      <c r="O86" s="96"/>
      <c r="P86" s="96"/>
      <c r="Q86" s="96"/>
      <c r="R86" s="96"/>
      <c r="S86" s="96"/>
      <c r="T86" s="96"/>
      <c r="U86" s="96"/>
      <c r="V86" s="96"/>
      <c r="W86" s="96"/>
      <c r="X86" s="96"/>
      <c r="Y86" s="96"/>
      <c r="Z86" s="96"/>
      <c r="AA86" s="96"/>
      <c r="AB86" s="96"/>
      <c r="AC86" s="96"/>
      <c r="AD86" s="96"/>
      <c r="AE86" s="96"/>
    </row>
    <row r="87" spans="1:31" ht="13.5" thickTop="1">
      <c r="A87" s="75" t="s">
        <v>572</v>
      </c>
      <c r="B87" s="91">
        <f>'Smmy FGD'!M2693</f>
        <v>185788654</v>
      </c>
      <c r="C87" s="87">
        <f>ROUND(B87/$C$42,0)</f>
        <v>330</v>
      </c>
      <c r="D87" s="91">
        <f>'Smmy FGD'!F2693</f>
        <v>130885433</v>
      </c>
      <c r="E87" s="82"/>
      <c r="F87" s="74">
        <f t="shared" si="12"/>
        <v>54903221</v>
      </c>
      <c r="G87" s="337"/>
      <c r="H87" s="261"/>
      <c r="J87" s="337"/>
      <c r="K87" s="90"/>
      <c r="L87" s="85"/>
      <c r="M87" s="85"/>
      <c r="N87" s="85"/>
      <c r="O87" s="85"/>
      <c r="P87" s="85"/>
      <c r="Q87" s="85"/>
      <c r="R87" s="85"/>
      <c r="S87" s="85"/>
      <c r="T87" s="85"/>
      <c r="U87" s="85"/>
      <c r="V87" s="85"/>
      <c r="W87" s="85"/>
      <c r="X87" s="85"/>
      <c r="Y87" s="85"/>
      <c r="Z87" s="85"/>
      <c r="AA87" s="85"/>
      <c r="AB87" s="85"/>
      <c r="AC87" s="85"/>
      <c r="AD87" s="85"/>
      <c r="AE87" s="85"/>
    </row>
    <row r="88" spans="1:31">
      <c r="A88" s="75" t="s">
        <v>51</v>
      </c>
      <c r="B88" s="91">
        <f>'Smmy FGD'!M2694</f>
        <v>560305854</v>
      </c>
      <c r="C88" s="87">
        <f>ROUND(B88/$C$42,0)</f>
        <v>996</v>
      </c>
      <c r="D88" s="91">
        <f>'Smmy FGD'!F2694</f>
        <v>0</v>
      </c>
      <c r="E88" s="82"/>
      <c r="F88" s="74">
        <f t="shared" si="12"/>
        <v>560305854</v>
      </c>
      <c r="G88" s="337"/>
      <c r="H88" s="261"/>
      <c r="J88" s="733"/>
      <c r="K88" s="745"/>
      <c r="L88" s="85"/>
      <c r="M88" s="85"/>
      <c r="N88" s="85"/>
      <c r="O88" s="85"/>
      <c r="P88" s="85"/>
      <c r="Q88" s="85"/>
      <c r="R88" s="85"/>
      <c r="S88" s="85"/>
      <c r="T88" s="85"/>
      <c r="U88" s="85"/>
      <c r="V88" s="85"/>
      <c r="W88" s="85"/>
      <c r="X88" s="85"/>
      <c r="Y88" s="85"/>
      <c r="Z88" s="85"/>
      <c r="AA88" s="85"/>
      <c r="AB88" s="85"/>
      <c r="AC88" s="85"/>
      <c r="AD88" s="85"/>
      <c r="AE88" s="85"/>
    </row>
    <row r="89" spans="1:31" ht="12" customHeight="1">
      <c r="A89" s="75" t="s">
        <v>46</v>
      </c>
      <c r="B89" s="91">
        <f>'Smmy FGD'!M2695</f>
        <v>-880144903</v>
      </c>
      <c r="C89" s="87">
        <f>ROUND(B89/$C$42,0)</f>
        <v>-1564</v>
      </c>
      <c r="D89" s="91">
        <f>'Smmy FGD'!F2695</f>
        <v>-238040729</v>
      </c>
      <c r="E89" s="82"/>
      <c r="F89" s="74">
        <f t="shared" si="12"/>
        <v>-642104174</v>
      </c>
      <c r="G89" s="35"/>
      <c r="H89" s="261"/>
      <c r="J89" s="733"/>
      <c r="K89" s="740"/>
      <c r="L89" s="96"/>
      <c r="M89" s="96"/>
      <c r="N89" s="96"/>
      <c r="O89" s="744"/>
      <c r="P89" s="96"/>
      <c r="Q89" s="96"/>
      <c r="R89" s="96"/>
      <c r="S89" s="96"/>
      <c r="T89" s="96"/>
      <c r="U89" s="96"/>
      <c r="V89" s="96"/>
      <c r="W89" s="96"/>
      <c r="X89" s="96"/>
      <c r="Y89" s="96"/>
      <c r="Z89" s="96"/>
      <c r="AA89" s="96"/>
      <c r="AB89" s="96"/>
      <c r="AC89" s="96"/>
      <c r="AD89" s="96"/>
      <c r="AE89" s="96"/>
    </row>
    <row r="90" spans="1:31">
      <c r="A90" s="88" t="s">
        <v>3</v>
      </c>
      <c r="B90" s="89">
        <f>SUM(B86:B89)</f>
        <v>-885532055</v>
      </c>
      <c r="C90" s="89">
        <f>SUM(C86:C89)</f>
        <v>-1574</v>
      </c>
      <c r="D90" s="89">
        <f>SUM(D86:D89)</f>
        <v>-107155296</v>
      </c>
      <c r="E90" s="89">
        <f>SUM(E86:E89)</f>
        <v>0</v>
      </c>
      <c r="F90" s="102">
        <f>SUM(F86:F89)</f>
        <v>-778376759</v>
      </c>
      <c r="G90" s="337"/>
      <c r="H90" s="337"/>
      <c r="I90" s="337"/>
      <c r="J90" s="733"/>
      <c r="K90" s="85"/>
      <c r="L90" s="85"/>
      <c r="M90" s="85"/>
      <c r="N90" s="85"/>
      <c r="O90" s="85"/>
      <c r="P90" s="85"/>
      <c r="Q90" s="85"/>
      <c r="R90" s="85"/>
      <c r="S90" s="85"/>
      <c r="T90" s="85"/>
      <c r="U90" s="85"/>
      <c r="V90" s="85"/>
      <c r="W90" s="85"/>
      <c r="X90" s="85"/>
      <c r="Y90" s="85"/>
      <c r="Z90" s="85"/>
      <c r="AA90" s="85"/>
      <c r="AB90" s="85"/>
      <c r="AC90" s="85"/>
      <c r="AD90" s="85"/>
      <c r="AE90" s="85"/>
    </row>
    <row r="91" spans="1:31">
      <c r="B91" s="82"/>
      <c r="D91" s="261"/>
      <c r="E91" s="261"/>
      <c r="F91" s="261"/>
      <c r="G91" s="261"/>
      <c r="H91" s="261"/>
      <c r="J91" s="261"/>
    </row>
    <row r="92" spans="1:31">
      <c r="A92" s="78" t="s">
        <v>24</v>
      </c>
      <c r="B92" s="82"/>
      <c r="D92" s="261"/>
      <c r="E92" s="261"/>
      <c r="F92" s="368"/>
      <c r="G92" s="35"/>
      <c r="H92" s="35"/>
      <c r="I92" s="35"/>
      <c r="J92" s="35"/>
      <c r="K92" s="96"/>
      <c r="L92" s="96"/>
      <c r="M92" s="96"/>
      <c r="N92" s="96"/>
      <c r="O92" s="96"/>
      <c r="P92" s="96"/>
      <c r="Q92" s="96"/>
      <c r="R92" s="96"/>
      <c r="S92" s="96"/>
      <c r="T92" s="96"/>
      <c r="U92" s="96"/>
      <c r="V92" s="96"/>
      <c r="W92" s="96"/>
      <c r="X92" s="96"/>
      <c r="Y92" s="96"/>
      <c r="Z92" s="96"/>
      <c r="AA92" s="96"/>
      <c r="AB92" s="96"/>
      <c r="AC92" s="96"/>
      <c r="AD92" s="96"/>
      <c r="AE92" s="96"/>
    </row>
    <row r="93" spans="1:31">
      <c r="A93" s="75" t="s">
        <v>47</v>
      </c>
      <c r="B93" s="739">
        <f>'Smmy FGD'!M2699</f>
        <v>2804357362</v>
      </c>
      <c r="C93" s="83">
        <f>ROUND(B93/$C$42,0)</f>
        <v>4984</v>
      </c>
      <c r="D93" s="739">
        <f>'Smmy FGD'!F2699</f>
        <v>27548936</v>
      </c>
      <c r="E93" s="512"/>
      <c r="F93" s="512">
        <f t="shared" ref="F93:F94" si="13">B93-(SUM(D93:E93))</f>
        <v>2776808426</v>
      </c>
      <c r="G93" s="337"/>
      <c r="H93" s="337"/>
      <c r="I93" s="337"/>
      <c r="J93" s="337"/>
      <c r="K93" s="85"/>
      <c r="L93" s="85"/>
      <c r="M93" s="85"/>
      <c r="N93" s="85"/>
      <c r="O93" s="85"/>
      <c r="P93" s="85"/>
      <c r="Q93" s="85"/>
      <c r="R93" s="85"/>
      <c r="S93" s="85"/>
      <c r="T93" s="85"/>
      <c r="U93" s="85"/>
      <c r="V93" s="85"/>
      <c r="W93" s="85"/>
      <c r="X93" s="85"/>
      <c r="Y93" s="85"/>
      <c r="Z93" s="85"/>
      <c r="AA93" s="85"/>
      <c r="AB93" s="85"/>
      <c r="AC93" s="85"/>
      <c r="AD93" s="85"/>
      <c r="AE93" s="85"/>
    </row>
    <row r="94" spans="1:31">
      <c r="A94" s="75" t="s">
        <v>48</v>
      </c>
      <c r="B94" s="91">
        <f>'Smmy FGD'!M2700</f>
        <v>224990850</v>
      </c>
      <c r="C94" s="87">
        <f>ROUND(B94/$C$42,0)</f>
        <v>400</v>
      </c>
      <c r="D94" s="91">
        <f>'Smmy FGD'!F2700</f>
        <v>0</v>
      </c>
      <c r="E94" s="82"/>
      <c r="F94" s="74">
        <f t="shared" si="13"/>
        <v>224990850</v>
      </c>
      <c r="G94" s="35"/>
      <c r="H94" s="35"/>
      <c r="I94" s="35"/>
      <c r="J94" s="35"/>
      <c r="K94" s="96"/>
      <c r="L94" s="96"/>
      <c r="M94" s="96"/>
      <c r="N94" s="96"/>
      <c r="O94" s="96"/>
      <c r="P94" s="96"/>
      <c r="Q94" s="96"/>
      <c r="R94" s="96"/>
      <c r="S94" s="96"/>
      <c r="T94" s="96"/>
      <c r="U94" s="96"/>
      <c r="V94" s="96"/>
      <c r="W94" s="96"/>
      <c r="X94" s="96"/>
      <c r="Y94" s="96"/>
      <c r="Z94" s="96"/>
      <c r="AA94" s="96"/>
      <c r="AB94" s="96"/>
      <c r="AC94" s="96"/>
      <c r="AD94" s="96"/>
      <c r="AE94" s="96"/>
    </row>
    <row r="95" spans="1:31" s="93" customFormat="1">
      <c r="A95" s="88" t="s">
        <v>3</v>
      </c>
      <c r="B95" s="89">
        <f>SUM(B93:B94)</f>
        <v>3029348212</v>
      </c>
      <c r="C95" s="89">
        <f>SUM(C93:C94)</f>
        <v>5384</v>
      </c>
      <c r="D95" s="89">
        <f>SUM(D93:D94)</f>
        <v>27548936</v>
      </c>
      <c r="E95" s="89">
        <f>SUM(E93:E94)</f>
        <v>0</v>
      </c>
      <c r="F95" s="89">
        <f>SUM(F93:F94)</f>
        <v>3001799276</v>
      </c>
      <c r="G95" s="367"/>
      <c r="H95" s="367"/>
      <c r="I95" s="367"/>
      <c r="J95" s="367"/>
      <c r="K95" s="90"/>
      <c r="L95" s="90"/>
      <c r="M95" s="90"/>
      <c r="N95" s="90"/>
      <c r="O95" s="90"/>
      <c r="P95" s="90"/>
      <c r="Q95" s="90"/>
      <c r="R95" s="90"/>
      <c r="S95" s="90"/>
      <c r="T95" s="90"/>
      <c r="U95" s="90"/>
      <c r="V95" s="90"/>
      <c r="W95" s="90"/>
      <c r="X95" s="90"/>
      <c r="Y95" s="90"/>
      <c r="Z95" s="90"/>
      <c r="AA95" s="90"/>
      <c r="AB95" s="90"/>
      <c r="AC95" s="90"/>
      <c r="AD95" s="90"/>
      <c r="AE95" s="90"/>
    </row>
    <row r="96" spans="1:31">
      <c r="B96" s="82"/>
      <c r="D96" s="261"/>
      <c r="E96" s="261"/>
      <c r="F96" s="261"/>
      <c r="G96" s="261"/>
      <c r="H96" s="261"/>
      <c r="J96" s="261"/>
    </row>
    <row r="97" spans="1:11" ht="13.5" thickBot="1">
      <c r="A97" s="103" t="s">
        <v>573</v>
      </c>
      <c r="B97" s="46">
        <f>B69-B83+B90+B95</f>
        <v>5281518181</v>
      </c>
      <c r="C97" s="46">
        <f>C69-C83+C90+C95</f>
        <v>9387</v>
      </c>
      <c r="D97" s="46">
        <f>D69-D83+D90+D95</f>
        <v>-36928567</v>
      </c>
      <c r="E97" s="46">
        <f>E69-E83+E90+E95</f>
        <v>-289341212</v>
      </c>
      <c r="F97" s="46">
        <f>F69-F83+F90+F95</f>
        <v>5607787960</v>
      </c>
      <c r="G97" s="261"/>
      <c r="H97" s="261"/>
      <c r="J97" s="261"/>
      <c r="K97" s="512"/>
    </row>
    <row r="98" spans="1:11" ht="13.5" thickTop="1">
      <c r="D98" s="261"/>
      <c r="E98" s="261"/>
      <c r="F98" s="261"/>
      <c r="G98" s="261"/>
      <c r="H98" s="261"/>
      <c r="J98" s="261"/>
      <c r="K98" s="373"/>
    </row>
    <row r="99" spans="1:11">
      <c r="D99" s="512"/>
      <c r="E99" s="261"/>
      <c r="F99" s="261"/>
      <c r="G99" s="261"/>
      <c r="H99" s="261"/>
      <c r="J99" s="261"/>
    </row>
    <row r="100" spans="1:11">
      <c r="D100" s="261"/>
      <c r="E100" s="261"/>
      <c r="F100" s="261"/>
      <c r="G100" s="261"/>
      <c r="H100" s="261"/>
      <c r="J100" s="261"/>
    </row>
    <row r="101" spans="1:11">
      <c r="B101" s="734">
        <f>'Smmy FGD'!$M$2281</f>
        <v>5281518181</v>
      </c>
      <c r="D101" s="734">
        <f>'Smmy FGD'!F2281</f>
        <v>96062247</v>
      </c>
      <c r="E101" s="734">
        <f>'Smmy FGD'!$M$1610*-1</f>
        <v>-289366444</v>
      </c>
      <c r="G101" s="261"/>
      <c r="H101" s="261"/>
      <c r="J101" s="261"/>
    </row>
    <row r="102" spans="1:11">
      <c r="B102" s="734"/>
      <c r="D102" s="734">
        <f>'Smmy FGD'!F1832</f>
        <v>1287897471</v>
      </c>
      <c r="E102" s="734">
        <f>+$D$74</f>
        <v>25232</v>
      </c>
      <c r="F102" s="734"/>
      <c r="G102" s="261"/>
      <c r="H102" s="261"/>
      <c r="J102" s="261"/>
    </row>
    <row r="103" spans="1:11">
      <c r="B103" s="759"/>
      <c r="D103" s="759">
        <f>-'Smmy FGD'!$M$1832</f>
        <v>-1429216394</v>
      </c>
      <c r="E103" s="759"/>
      <c r="F103" s="734"/>
      <c r="G103" s="261"/>
      <c r="H103" s="261"/>
      <c r="J103" s="261"/>
    </row>
    <row r="104" spans="1:11">
      <c r="B104" s="734">
        <f>SUM(B101:B103)</f>
        <v>5281518181</v>
      </c>
      <c r="D104" s="734">
        <f>SUM(D101:D103)</f>
        <v>-45256676</v>
      </c>
      <c r="E104" s="734">
        <f>SUM(E101:E103)</f>
        <v>-289341212</v>
      </c>
      <c r="F104" s="734">
        <f>B104-D104-E104</f>
        <v>5616116069</v>
      </c>
      <c r="G104" s="261"/>
      <c r="H104" s="261"/>
      <c r="J104" s="261"/>
    </row>
    <row r="105" spans="1:11">
      <c r="B105" s="734"/>
      <c r="D105" s="734">
        <f>'Smmy FGD'!F2672*-1</f>
        <v>-1018721062</v>
      </c>
      <c r="E105" s="734"/>
      <c r="F105" s="734"/>
      <c r="G105" s="261"/>
      <c r="H105" s="261"/>
      <c r="J105" s="261"/>
    </row>
    <row r="106" spans="1:11">
      <c r="B106" s="759"/>
      <c r="C106" s="95"/>
      <c r="D106" s="759">
        <f>'Smmy FGD'!M2672</f>
        <v>1027049171</v>
      </c>
      <c r="E106" s="759"/>
      <c r="F106" s="759">
        <f>-D106-D105</f>
        <v>-8328109</v>
      </c>
      <c r="G106" s="261"/>
      <c r="H106" s="261"/>
      <c r="J106" s="261"/>
    </row>
    <row r="107" spans="1:11">
      <c r="B107" s="734">
        <f>SUM(B104:B106)</f>
        <v>5281518181</v>
      </c>
      <c r="D107" s="734">
        <f>SUM(D104:D106)</f>
        <v>-36928567</v>
      </c>
      <c r="E107" s="734">
        <f>SUM(E104:E106)</f>
        <v>-289341212</v>
      </c>
      <c r="F107" s="734">
        <f>SUM(F104:F106)</f>
        <v>5607787960</v>
      </c>
      <c r="G107" s="261"/>
      <c r="H107" s="261"/>
      <c r="J107" s="261"/>
    </row>
    <row r="108" spans="1:11">
      <c r="B108" s="734"/>
      <c r="D108" s="734"/>
      <c r="E108" s="734"/>
      <c r="F108" s="734"/>
      <c r="G108" s="261"/>
      <c r="H108" s="261"/>
      <c r="J108" s="261"/>
    </row>
    <row r="109" spans="1:11">
      <c r="B109" s="512">
        <f>B97-B107</f>
        <v>0</v>
      </c>
      <c r="D109" s="512">
        <f>D97-D107</f>
        <v>0</v>
      </c>
      <c r="E109" s="512">
        <f>E97-E107</f>
        <v>0</v>
      </c>
      <c r="F109" s="512">
        <f>F97-F107</f>
        <v>0</v>
      </c>
      <c r="G109" s="261"/>
      <c r="H109" s="261"/>
      <c r="J109" s="261"/>
    </row>
    <row r="110" spans="1:11">
      <c r="D110" s="261"/>
      <c r="E110" s="261"/>
      <c r="F110" s="617" t="str">
        <f>IF(F109=0,"Balanced","Error")</f>
        <v>Balanced</v>
      </c>
      <c r="G110" s="261"/>
      <c r="H110" s="261"/>
      <c r="J110" s="261"/>
    </row>
    <row r="111" spans="1:11">
      <c r="D111" s="261"/>
      <c r="E111" s="261"/>
      <c r="F111" s="261"/>
      <c r="G111" s="261"/>
      <c r="H111" s="261"/>
      <c r="J111" s="261"/>
    </row>
    <row r="112" spans="1:11">
      <c r="I112" s="337"/>
    </row>
    <row r="113" spans="1:11" ht="12.75" customHeight="1">
      <c r="I113" s="337"/>
      <c r="K113" s="83"/>
    </row>
    <row r="114" spans="1:11" ht="12.75" customHeight="1"/>
    <row r="115" spans="1:11" ht="12.75" customHeight="1">
      <c r="I115" s="337"/>
    </row>
    <row r="116" spans="1:11" ht="12.75" customHeight="1"/>
    <row r="117" spans="1:11" ht="12.75" customHeight="1"/>
    <row r="119" spans="1:11" s="85" customFormat="1">
      <c r="C119" s="75"/>
      <c r="I119" s="261"/>
    </row>
    <row r="120" spans="1:11" s="85" customFormat="1">
      <c r="I120" s="261"/>
    </row>
    <row r="121" spans="1:11">
      <c r="C121" s="85"/>
    </row>
    <row r="122" spans="1:11" s="85" customFormat="1">
      <c r="C122" s="75"/>
      <c r="I122" s="261"/>
    </row>
    <row r="123" spans="1:11">
      <c r="C123" s="85"/>
    </row>
    <row r="124" spans="1:11" ht="15.75">
      <c r="A124" s="932" t="str">
        <f>A2</f>
        <v>For the Year Ended August 31, 2021</v>
      </c>
      <c r="B124" s="935" t="s">
        <v>1251</v>
      </c>
    </row>
    <row r="125" spans="1:11" ht="15.75">
      <c r="A125" s="932" t="s">
        <v>1246</v>
      </c>
      <c r="B125" s="936" t="s">
        <v>1330</v>
      </c>
    </row>
    <row r="126" spans="1:11">
      <c r="A126" s="75" t="s">
        <v>1</v>
      </c>
      <c r="B126" s="933">
        <f>B46</f>
        <v>3049059798</v>
      </c>
    </row>
    <row r="127" spans="1:11">
      <c r="A127" s="75" t="s">
        <v>2</v>
      </c>
      <c r="B127" s="933">
        <f>B47</f>
        <v>570351682</v>
      </c>
    </row>
    <row r="128" spans="1:11">
      <c r="A128" s="75" t="s">
        <v>130</v>
      </c>
      <c r="B128" s="933">
        <f>B48</f>
        <v>0</v>
      </c>
    </row>
    <row r="129" spans="1:2">
      <c r="A129" s="75" t="s">
        <v>1226</v>
      </c>
      <c r="B129" s="933">
        <f>B49+B50</f>
        <v>957089015</v>
      </c>
    </row>
    <row r="130" spans="1:2">
      <c r="A130" s="75" t="s">
        <v>26</v>
      </c>
      <c r="B130" s="933">
        <f>B56</f>
        <v>5201526243</v>
      </c>
    </row>
    <row r="131" spans="1:2">
      <c r="A131" s="75" t="s">
        <v>1247</v>
      </c>
      <c r="B131" s="933">
        <f>B59</f>
        <v>3599991337</v>
      </c>
    </row>
    <row r="132" spans="1:2">
      <c r="A132" s="75" t="s">
        <v>1248</v>
      </c>
      <c r="B132" s="933">
        <f>B68-B133</f>
        <v>3255020092</v>
      </c>
    </row>
    <row r="133" spans="1:2">
      <c r="A133" s="75" t="s">
        <v>1249</v>
      </c>
      <c r="B133" s="934">
        <f>B66</f>
        <v>1027049171</v>
      </c>
    </row>
    <row r="134" spans="1:2">
      <c r="A134" s="75" t="s">
        <v>1250</v>
      </c>
      <c r="B134" s="83">
        <f>SUM(B126:B133)</f>
        <v>17660087338</v>
      </c>
    </row>
    <row r="138" spans="1:2">
      <c r="B138" s="83">
        <f>B69</f>
        <v>17660087338</v>
      </c>
    </row>
    <row r="141" spans="1:2">
      <c r="B141" s="83">
        <f>B134-B138</f>
        <v>0</v>
      </c>
    </row>
  </sheetData>
  <dataConsolidate link="1">
    <dataRefs count="34">
      <dataRef ref="C6" sheet="ARL Sum" r:id="rId1"/>
      <dataRef ref="C6" sheet="ASU Sum" r:id="rId2"/>
      <dataRef ref="C6" sheet="AUS Sum" r:id="rId3"/>
      <dataRef ref="C6" sheet="BRW Sum" r:id="rId4"/>
      <dataRef ref="C6" sheet="DAL Sum" r:id="rId5"/>
      <dataRef ref="C6" sheet="ELP Sum" r:id="rId6"/>
      <dataRef ref="C6" sheet="LU Sum" r:id="rId7"/>
      <dataRef ref="C6" sheet="MidWSt Sum" r:id="rId8"/>
      <dataRef ref="C6" sheet="P-A Sum" r:id="rId9"/>
      <dataRef ref="C6" sheet="P-B Sum" r:id="rId10"/>
      <dataRef ref="C6" sheet="PVAMU Sum" r:id="rId11"/>
      <dataRef ref="C6" sheet="S-A Sum" r:id="rId12"/>
      <dataRef ref="C6" sheet="SFA Sum" r:id="rId13"/>
      <dataRef ref="C6" sheet="shsu Sum" r:id="rId14"/>
      <dataRef ref="C6" sheet="SRSU Sum" r:id="rId15"/>
      <dataRef ref="C6" sheet="TAMIU Sum" r:id="rId16"/>
      <dataRef ref="C6" sheet="TAMU Sum" r:id="rId17"/>
      <dataRef ref="C6" sheet="TAMUC Sum" r:id="rId18"/>
      <dataRef ref="C6" sheet="TAMUCC Sum" r:id="rId19"/>
      <dataRef ref="C6" sheet="TAMUG Sum" r:id="rId20"/>
      <dataRef ref="C6" sheet="TAMUK Sum" r:id="rId21"/>
      <dataRef ref="C6" sheet="TAMUT Sum" r:id="rId22"/>
      <dataRef ref="C6" sheet="TarlSt Sum" r:id="rId23"/>
      <dataRef ref="C6" sheet="TSU Sum" r:id="rId24"/>
      <dataRef ref="C6" sheet="TTU Sum" r:id="rId25"/>
      <dataRef ref="C6" sheet="TWU Sum" r:id="rId26"/>
      <dataRef ref="C6" sheet="TxSt Sum" r:id="rId27"/>
      <dataRef ref="C6" sheet="TYL Sum" r:id="rId28"/>
      <dataRef ref="C6" sheet="UH Sum" r:id="rId29"/>
      <dataRef ref="C6" sheet="UHCL Sum" r:id="rId30"/>
      <dataRef ref="C6" sheet="UHD Sum" r:id="rId31"/>
      <dataRef ref="C6" sheet="UHV Sum" r:id="rId32"/>
      <dataRef ref="C6" sheet="UNT Sum" r:id="rId33"/>
      <dataRef ref="C6" sheet="WTAMU Sum" r:id="rId34"/>
    </dataRefs>
  </dataConsolidate>
  <mergeCells count="18">
    <mergeCell ref="D1:E1"/>
    <mergeCell ref="F1:I1"/>
    <mergeCell ref="J1:O1"/>
    <mergeCell ref="G68:H68"/>
    <mergeCell ref="G69:H69"/>
    <mergeCell ref="D4:D5"/>
    <mergeCell ref="E4:E5"/>
    <mergeCell ref="G83:H86"/>
    <mergeCell ref="K65:O65"/>
    <mergeCell ref="K66:O66"/>
    <mergeCell ref="M67:M70"/>
    <mergeCell ref="J84:J85"/>
    <mergeCell ref="N67:N70"/>
    <mergeCell ref="O67:O70"/>
    <mergeCell ref="K67:K70"/>
    <mergeCell ref="L67:L70"/>
    <mergeCell ref="K80:O80"/>
    <mergeCell ref="K74:O74"/>
  </mergeCells>
  <hyperlinks>
    <hyperlink ref="D1:E1" location="Index!A1" display="Return to Index" xr:uid="{00000000-0004-0000-1600-000000000000}"/>
  </hyperlinks>
  <printOptions horizontalCentered="1"/>
  <pageMargins left="0.5" right="0.5" top="0.25" bottom="0.25" header="0" footer="0.25"/>
  <pageSetup scale="90" orientation="portrait" r:id="rId35"/>
  <headerFooter alignWithMargins="0"/>
  <ignoredErrors>
    <ignoredError sqref="B86:B89 B93:B94 D86:D89 D93:D94" unlockedFormula="1"/>
  </ignoredErrors>
  <legacyDrawing r:id="rId36"/>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0">
    <tabColor indexed="11"/>
    <pageSetUpPr fitToPage="1"/>
  </sheetPr>
  <dimension ref="A1:O2715"/>
  <sheetViews>
    <sheetView showGridLines="0" topLeftCell="A2" zoomScale="75" zoomScaleNormal="75" workbookViewId="0">
      <pane xSplit="2" ySplit="7" topLeftCell="C9" activePane="bottomRight" state="frozen"/>
      <selection activeCell="E74" sqref="E74:F74"/>
      <selection pane="topRight" activeCell="E74" sqref="E74:F74"/>
      <selection pane="bottomLeft" activeCell="E74" sqref="E74:F74"/>
      <selection pane="bottomRight" activeCell="M173" sqref="M173"/>
    </sheetView>
  </sheetViews>
  <sheetFormatPr defaultColWidth="9.140625" defaultRowHeight="12.75" outlineLevelRow="1"/>
  <cols>
    <col min="1" max="1" width="3.7109375" style="166" customWidth="1"/>
    <col min="2" max="2" width="60.140625" style="160" customWidth="1"/>
    <col min="3" max="3" width="2" style="160" customWidth="1"/>
    <col min="4" max="4" width="15.42578125" style="160" customWidth="1"/>
    <col min="5" max="5" width="15.140625" style="160" customWidth="1"/>
    <col min="6" max="7" width="16" style="160" customWidth="1"/>
    <col min="8" max="8" width="17.42578125" style="160" customWidth="1"/>
    <col min="9" max="9" width="15.5703125" style="160" customWidth="1"/>
    <col min="10" max="10" width="16" style="160" customWidth="1"/>
    <col min="11" max="11" width="15.5703125" style="160" customWidth="1"/>
    <col min="12" max="12" width="17.140625" style="160" customWidth="1"/>
    <col min="13" max="13" width="16" style="160" customWidth="1"/>
    <col min="14" max="14" width="22.28515625" style="160" customWidth="1"/>
    <col min="15" max="15" width="18.7109375" style="160" customWidth="1"/>
    <col min="16" max="16" width="17.5703125" style="160" customWidth="1"/>
    <col min="17" max="16384" width="9.140625" style="160"/>
  </cols>
  <sheetData>
    <row r="1" spans="1:15" s="166" customFormat="1" ht="13.5" hidden="1" thickBot="1">
      <c r="A1" s="166">
        <v>0</v>
      </c>
      <c r="B1" s="166">
        <v>1</v>
      </c>
      <c r="C1" s="166">
        <v>2</v>
      </c>
      <c r="D1" s="166">
        <v>3</v>
      </c>
      <c r="E1" s="166">
        <v>4</v>
      </c>
      <c r="F1" s="166">
        <v>5</v>
      </c>
      <c r="G1" s="166">
        <v>6</v>
      </c>
      <c r="H1" s="166">
        <v>7</v>
      </c>
      <c r="I1" s="166">
        <v>8</v>
      </c>
      <c r="J1" s="166">
        <v>9</v>
      </c>
      <c r="K1" s="166">
        <v>10</v>
      </c>
      <c r="L1" s="166">
        <v>11</v>
      </c>
      <c r="M1" s="166">
        <v>12</v>
      </c>
      <c r="N1" s="166">
        <v>13</v>
      </c>
    </row>
    <row r="2" spans="1:15" ht="21" thickBot="1">
      <c r="A2" s="166">
        <v>2</v>
      </c>
      <c r="B2" s="1713" t="str">
        <f>'Smmy Chrts'!$A$1</f>
        <v>Summary of All General Academic Institutions</v>
      </c>
      <c r="C2" s="1713"/>
      <c r="D2" s="1713"/>
      <c r="E2" s="1713"/>
      <c r="G2" s="161"/>
      <c r="H2" s="167"/>
      <c r="I2" s="168"/>
      <c r="J2" s="169"/>
      <c r="K2" s="169"/>
      <c r="L2" s="170"/>
      <c r="N2" s="835" t="s">
        <v>1200</v>
      </c>
    </row>
    <row r="3" spans="1:15" ht="20.25">
      <c r="A3" s="166">
        <v>3</v>
      </c>
      <c r="B3" s="1713" t="str">
        <f>'Smmy Chrts'!$A$2</f>
        <v>For the Year Ended August 31, 2021</v>
      </c>
      <c r="C3" s="1713"/>
      <c r="D3" s="1713"/>
      <c r="E3" s="1713"/>
      <c r="F3" s="161"/>
      <c r="G3" s="161"/>
      <c r="H3" s="168"/>
      <c r="I3" s="168"/>
      <c r="J3" s="169"/>
      <c r="K3" s="169"/>
      <c r="L3" s="170"/>
      <c r="N3" s="171"/>
    </row>
    <row r="4" spans="1:15" ht="20.25">
      <c r="A4" s="166">
        <v>4</v>
      </c>
      <c r="B4" s="1713" t="str">
        <f>'Smmy Chrts'!$A$3</f>
        <v>Source: FY 2021 Annual Financial Report</v>
      </c>
      <c r="C4" s="1713"/>
      <c r="D4" s="1713"/>
      <c r="E4" s="1713"/>
      <c r="F4" s="161"/>
      <c r="G4" s="161"/>
      <c r="H4" s="169"/>
      <c r="I4" s="168"/>
      <c r="J4" s="169"/>
      <c r="K4" s="169"/>
      <c r="L4" s="170"/>
    </row>
    <row r="5" spans="1:15">
      <c r="A5" s="166">
        <v>5</v>
      </c>
      <c r="L5" s="166"/>
    </row>
    <row r="6" spans="1:15">
      <c r="A6" s="166">
        <v>6</v>
      </c>
      <c r="B6" s="1715" t="str">
        <f>'Smmy Chrts'!$C$32</f>
        <v>Detail Worksheet FY 2021</v>
      </c>
      <c r="C6" s="1715"/>
      <c r="D6" s="1715"/>
      <c r="E6" s="1715"/>
      <c r="F6" s="1715"/>
      <c r="G6" s="1715"/>
      <c r="H6" s="1715"/>
      <c r="I6" s="1715"/>
      <c r="J6" s="1715"/>
      <c r="K6" s="1715"/>
      <c r="L6" s="1715"/>
      <c r="M6" s="1715"/>
    </row>
    <row r="7" spans="1:15">
      <c r="A7" s="166">
        <v>7</v>
      </c>
      <c r="B7" s="172"/>
      <c r="C7" s="172"/>
      <c r="M7" s="173" t="str">
        <f>'Smmy Chrts'!$C$33</f>
        <v>FY 2021</v>
      </c>
      <c r="O7" s="166"/>
    </row>
    <row r="8" spans="1:15" ht="51">
      <c r="A8" s="166">
        <v>8</v>
      </c>
      <c r="B8" s="174" t="s">
        <v>71</v>
      </c>
      <c r="C8" s="174"/>
      <c r="D8" s="175" t="s">
        <v>30</v>
      </c>
      <c r="E8" s="175" t="s">
        <v>31</v>
      </c>
      <c r="F8" s="175" t="s">
        <v>22</v>
      </c>
      <c r="G8" s="175" t="s">
        <v>32</v>
      </c>
      <c r="H8" s="175" t="s">
        <v>33</v>
      </c>
      <c r="I8" s="175" t="s">
        <v>34</v>
      </c>
      <c r="J8" s="175" t="s">
        <v>35</v>
      </c>
      <c r="K8" s="175" t="s">
        <v>36</v>
      </c>
      <c r="L8" s="175" t="s">
        <v>37</v>
      </c>
      <c r="M8" s="175" t="s">
        <v>274</v>
      </c>
    </row>
    <row r="9" spans="1:15">
      <c r="A9" s="166">
        <v>9</v>
      </c>
      <c r="B9" s="172" t="s">
        <v>0</v>
      </c>
      <c r="C9" s="379"/>
      <c r="D9" s="379"/>
      <c r="E9" s="379"/>
      <c r="F9" s="379"/>
      <c r="G9" s="379"/>
      <c r="H9" s="379"/>
      <c r="I9" s="379"/>
      <c r="J9" s="379"/>
      <c r="K9" s="379"/>
      <c r="L9" s="379"/>
    </row>
    <row r="10" spans="1:15" ht="12.75" hidden="1" customHeight="1" outlineLevel="1">
      <c r="B10" s="673" t="str">
        <f>'ARL FGD'!$B$2</f>
        <v>The University of Texas at Arlington</v>
      </c>
      <c r="C10" s="379"/>
      <c r="D10" s="379">
        <f>'ARL FGD'!$D$10</f>
        <v>144637415</v>
      </c>
      <c r="E10" s="379">
        <f>'ARL FGD'!$E$10</f>
        <v>0</v>
      </c>
      <c r="F10" s="379">
        <f>'ARL FGD'!$F$10</f>
        <v>0</v>
      </c>
      <c r="G10" s="379">
        <f>'ARL FGD'!$G$10</f>
        <v>0</v>
      </c>
      <c r="H10" s="379">
        <f>'ARL FGD'!$H$10</f>
        <v>0</v>
      </c>
      <c r="I10" s="379">
        <f>'ARL FGD'!$I$10</f>
        <v>0</v>
      </c>
      <c r="J10" s="379">
        <f>'ARL FGD'!$J$10</f>
        <v>0</v>
      </c>
      <c r="K10" s="379">
        <f>'ARL FGD'!$K$10</f>
        <v>0</v>
      </c>
      <c r="L10" s="379">
        <f>'ARL FGD'!$L$10</f>
        <v>0</v>
      </c>
      <c r="M10" s="381">
        <f>'ARL FGD'!$M$10</f>
        <v>144637415</v>
      </c>
    </row>
    <row r="11" spans="1:15" ht="12.75" hidden="1" customHeight="1" outlineLevel="1">
      <c r="B11" s="673" t="str">
        <f>'ASU FGD'!$B$2</f>
        <v>Angelo State University</v>
      </c>
      <c r="C11" s="379"/>
      <c r="D11" s="379">
        <f>'ASU FGD'!$D$10</f>
        <v>35544538</v>
      </c>
      <c r="E11" s="379">
        <f>'ASU FGD'!$E$10</f>
        <v>0</v>
      </c>
      <c r="F11" s="379">
        <f>'ASU FGD'!$F$10</f>
        <v>0</v>
      </c>
      <c r="G11" s="379">
        <f>'ASU FGD'!$G$10</f>
        <v>0</v>
      </c>
      <c r="H11" s="379">
        <f>'ASU FGD'!$H$10</f>
        <v>0</v>
      </c>
      <c r="I11" s="379">
        <f>'ASU FGD'!$I$10</f>
        <v>0</v>
      </c>
      <c r="J11" s="379">
        <f>'ASU FGD'!$J$10</f>
        <v>0</v>
      </c>
      <c r="K11" s="379">
        <f>'ASU FGD'!$K$10</f>
        <v>0</v>
      </c>
      <c r="L11" s="379">
        <f>'ASU FGD'!$L$10</f>
        <v>0</v>
      </c>
      <c r="M11" s="381">
        <f>'ASU FGD'!$M$10</f>
        <v>35544538</v>
      </c>
    </row>
    <row r="12" spans="1:15" ht="12.75" hidden="1" customHeight="1" outlineLevel="1">
      <c r="B12" s="673" t="str">
        <f>'AUS1 FGD'!$B$2</f>
        <v>The University of Texas at Austin - Academic &amp; Health (A+H)</v>
      </c>
      <c r="C12" s="379"/>
      <c r="D12" s="379">
        <f>'AUS1 FGD'!$D$10</f>
        <v>327739839</v>
      </c>
      <c r="E12" s="379">
        <f>'AUS1 FGD'!$E$10</f>
        <v>0</v>
      </c>
      <c r="F12" s="379">
        <f>'AUS1 FGD'!$F$10</f>
        <v>0</v>
      </c>
      <c r="G12" s="379">
        <f>'AUS1 FGD'!$G$10</f>
        <v>0</v>
      </c>
      <c r="H12" s="379">
        <f>'AUS1 FGD'!$H$10</f>
        <v>0</v>
      </c>
      <c r="I12" s="379">
        <f>'AUS1 FGD'!$I$10</f>
        <v>0</v>
      </c>
      <c r="J12" s="379">
        <f>'AUS1 FGD'!$J$10</f>
        <v>0</v>
      </c>
      <c r="K12" s="379">
        <f>'AUS1 FGD'!$K$10</f>
        <v>0</v>
      </c>
      <c r="L12" s="379">
        <f>'AUS1 FGD'!$L$10</f>
        <v>0</v>
      </c>
      <c r="M12" s="381">
        <f>'AUS1 FGD'!$M$10</f>
        <v>327739839</v>
      </c>
    </row>
    <row r="13" spans="1:15" ht="12.75" hidden="1" customHeight="1" outlineLevel="1">
      <c r="B13" s="673" t="str">
        <f>'RGV1 FGD'!$B$2</f>
        <v>The University of Texas RGV - Academic &amp; Health (A+H)</v>
      </c>
      <c r="C13" s="379"/>
      <c r="D13" s="379">
        <f>'RGV1 FGD'!$D$10</f>
        <v>111961783</v>
      </c>
      <c r="E13" s="379">
        <f>'RGV1 FGD'!$E$10</f>
        <v>0</v>
      </c>
      <c r="F13" s="379">
        <f>'RGV1 FGD'!$F$10</f>
        <v>0</v>
      </c>
      <c r="G13" s="379">
        <f>'RGV1 FGD'!$G$10</f>
        <v>0</v>
      </c>
      <c r="H13" s="379">
        <f>'RGV1 FGD'!$H$10</f>
        <v>0</v>
      </c>
      <c r="I13" s="379">
        <f>'RGV1 FGD'!$I$10</f>
        <v>0</v>
      </c>
      <c r="J13" s="379">
        <f>'RGV1 FGD'!$J$10</f>
        <v>0</v>
      </c>
      <c r="K13" s="379">
        <f>'RGV1 FGD'!$K$10</f>
        <v>0</v>
      </c>
      <c r="L13" s="379">
        <f>'RGV1 FGD'!$L$10</f>
        <v>0</v>
      </c>
      <c r="M13" s="381">
        <f>'RGV1 FGD'!$M$10</f>
        <v>111961783</v>
      </c>
    </row>
    <row r="14" spans="1:15" ht="12.75" hidden="1" customHeight="1" outlineLevel="1">
      <c r="B14" s="673" t="str">
        <f>'DAL FGD'!$B$2</f>
        <v>The University of Texas at Dallas</v>
      </c>
      <c r="C14" s="379"/>
      <c r="D14" s="379">
        <f>'DAL FGD'!$D$10</f>
        <v>109811580</v>
      </c>
      <c r="E14" s="379">
        <f>'DAL FGD'!$E$10</f>
        <v>0</v>
      </c>
      <c r="F14" s="379">
        <f>'DAL FGD'!$F$10</f>
        <v>0</v>
      </c>
      <c r="G14" s="379">
        <f>'DAL FGD'!$G$10</f>
        <v>0</v>
      </c>
      <c r="H14" s="379">
        <f>'DAL FGD'!$H$10</f>
        <v>0</v>
      </c>
      <c r="I14" s="379">
        <f>'DAL FGD'!$I$10</f>
        <v>0</v>
      </c>
      <c r="J14" s="379">
        <f>'DAL FGD'!$J$10</f>
        <v>0</v>
      </c>
      <c r="K14" s="379">
        <f>'DAL FGD'!$K$10</f>
        <v>0</v>
      </c>
      <c r="L14" s="379">
        <f>'DAL FGD'!$L$10</f>
        <v>0</v>
      </c>
      <c r="M14" s="381">
        <f>'DAL FGD'!$M$10</f>
        <v>109811580</v>
      </c>
    </row>
    <row r="15" spans="1:15" ht="12.75" hidden="1" customHeight="1" outlineLevel="1">
      <c r="B15" s="673" t="str">
        <f>'E-P FGD'!$B$2</f>
        <v>The University of Texas at El Paso</v>
      </c>
      <c r="C15" s="379"/>
      <c r="D15" s="379">
        <f>'E-P FGD'!$D$10</f>
        <v>109854473</v>
      </c>
      <c r="E15" s="379">
        <f>'E-P FGD'!$E$10</f>
        <v>0</v>
      </c>
      <c r="F15" s="379">
        <f>'E-P FGD'!$F$10</f>
        <v>0</v>
      </c>
      <c r="G15" s="379">
        <f>'E-P FGD'!$G$10</f>
        <v>0</v>
      </c>
      <c r="H15" s="379">
        <f>'E-P FGD'!$H$10</f>
        <v>0</v>
      </c>
      <c r="I15" s="379">
        <f>'E-P FGD'!$I$10</f>
        <v>0</v>
      </c>
      <c r="J15" s="379">
        <f>'E-P FGD'!$J$10</f>
        <v>0</v>
      </c>
      <c r="K15" s="379">
        <f>'E-P FGD'!$K$10</f>
        <v>0</v>
      </c>
      <c r="L15" s="379">
        <f>'E-P FGD'!$L$10</f>
        <v>0</v>
      </c>
      <c r="M15" s="381">
        <f>'E-P FGD'!$M$10</f>
        <v>109854473</v>
      </c>
    </row>
    <row r="16" spans="1:15" ht="12.75" hidden="1" customHeight="1" outlineLevel="1">
      <c r="B16" s="673" t="str">
        <f>'LU FGD'!$B$2</f>
        <v xml:space="preserve">Lamar University </v>
      </c>
      <c r="C16" s="379"/>
      <c r="D16" s="379">
        <f>'LU FGD'!$D$10</f>
        <v>58912199</v>
      </c>
      <c r="E16" s="379">
        <f>'LU FGD'!$E$10</f>
        <v>0</v>
      </c>
      <c r="F16" s="379">
        <f>'LU FGD'!$F$10</f>
        <v>0</v>
      </c>
      <c r="G16" s="379">
        <f>'LU FGD'!$G$10</f>
        <v>0</v>
      </c>
      <c r="H16" s="379">
        <f>'LU FGD'!$H$10</f>
        <v>0</v>
      </c>
      <c r="I16" s="379">
        <f>'LU FGD'!$I$10</f>
        <v>0</v>
      </c>
      <c r="J16" s="379">
        <f>'LU FGD'!$J$10</f>
        <v>0</v>
      </c>
      <c r="K16" s="379">
        <f>'LU FGD'!$K$10</f>
        <v>0</v>
      </c>
      <c r="L16" s="379">
        <f>'LU FGD'!$L$10</f>
        <v>0</v>
      </c>
      <c r="M16" s="381">
        <f>'LU FGD'!$M$10</f>
        <v>58912199</v>
      </c>
    </row>
    <row r="17" spans="2:13" ht="12.75" hidden="1" customHeight="1" outlineLevel="1">
      <c r="B17" s="673" t="str">
        <f>'MidWST FGD'!$B$2</f>
        <v>Midwestern State University</v>
      </c>
      <c r="C17" s="379"/>
      <c r="D17" s="379">
        <f>'MidWST FGD'!$D$10</f>
        <v>26399431</v>
      </c>
      <c r="E17" s="379">
        <f>'MidWST FGD'!$E$10</f>
        <v>0</v>
      </c>
      <c r="F17" s="379">
        <f>'MidWST FGD'!$F$10</f>
        <v>0</v>
      </c>
      <c r="G17" s="379">
        <f>'MidWST FGD'!$G$10</f>
        <v>0</v>
      </c>
      <c r="H17" s="379">
        <f>'MidWST FGD'!$H$10</f>
        <v>0</v>
      </c>
      <c r="I17" s="379">
        <f>'MidWST FGD'!$I$10</f>
        <v>0</v>
      </c>
      <c r="J17" s="379">
        <f>'MidWST FGD'!$J$10</f>
        <v>0</v>
      </c>
      <c r="K17" s="379">
        <f>'MidWST FGD'!$K$10</f>
        <v>0</v>
      </c>
      <c r="L17" s="379">
        <f>'MidWST FGD'!$L$10</f>
        <v>0</v>
      </c>
      <c r="M17" s="381">
        <f>'MidWST FGD'!$M$10</f>
        <v>26399431</v>
      </c>
    </row>
    <row r="18" spans="2:13" ht="12.75" hidden="1" customHeight="1" outlineLevel="1">
      <c r="B18" s="673" t="str">
        <f>'P-B FGD'!$B$2</f>
        <v>The University of Texas of the Permian Basin</v>
      </c>
      <c r="C18" s="379"/>
      <c r="D18" s="379">
        <f>'P-B FGD'!$D$10</f>
        <v>33419456</v>
      </c>
      <c r="E18" s="379">
        <f>'P-B FGD'!$E$10</f>
        <v>0</v>
      </c>
      <c r="F18" s="379">
        <f>'P-B FGD'!$F$10</f>
        <v>0</v>
      </c>
      <c r="G18" s="379">
        <f>'P-B FGD'!$G$10</f>
        <v>0</v>
      </c>
      <c r="H18" s="379">
        <f>'P-B FGD'!$H$10</f>
        <v>0</v>
      </c>
      <c r="I18" s="379">
        <f>'P-B FGD'!$I$10</f>
        <v>0</v>
      </c>
      <c r="J18" s="379">
        <f>'P-B FGD'!$J$10</f>
        <v>0</v>
      </c>
      <c r="K18" s="379">
        <f>'P-B FGD'!$K$10</f>
        <v>0</v>
      </c>
      <c r="L18" s="379">
        <f>'P-B FGD'!$L$10</f>
        <v>0</v>
      </c>
      <c r="M18" s="381">
        <f>'P-B FGD'!$M$10</f>
        <v>33419456</v>
      </c>
    </row>
    <row r="19" spans="2:13" ht="12.75" hidden="1" customHeight="1" outlineLevel="1">
      <c r="B19" s="673" t="str">
        <f>'PVAMU FGD'!$B$2</f>
        <v>Prairie View A&amp;M University</v>
      </c>
      <c r="C19" s="379"/>
      <c r="D19" s="379">
        <f>'PVAMU FGD'!$D$10</f>
        <v>55711045</v>
      </c>
      <c r="E19" s="379">
        <f>'PVAMU FGD'!$E$10</f>
        <v>0</v>
      </c>
      <c r="F19" s="379">
        <f>'PVAMU FGD'!$F$10</f>
        <v>0</v>
      </c>
      <c r="G19" s="379">
        <f>'PVAMU FGD'!$G$10</f>
        <v>0</v>
      </c>
      <c r="H19" s="379">
        <f>'PVAMU FGD'!$H$10</f>
        <v>0</v>
      </c>
      <c r="I19" s="379">
        <f>'PVAMU FGD'!$I$10</f>
        <v>0</v>
      </c>
      <c r="J19" s="379">
        <f>'PVAMU FGD'!$J$10</f>
        <v>0</v>
      </c>
      <c r="K19" s="379">
        <f>'PVAMU FGD'!$K$10</f>
        <v>0</v>
      </c>
      <c r="L19" s="379">
        <f>'PVAMU FGD'!$L$10</f>
        <v>0</v>
      </c>
      <c r="M19" s="381">
        <f>'PVAMU FGD'!$M$10</f>
        <v>55711045</v>
      </c>
    </row>
    <row r="20" spans="2:13" ht="12.75" hidden="1" customHeight="1" outlineLevel="1">
      <c r="B20" s="673" t="str">
        <f>'S-A FGD'!$B$2</f>
        <v>The University of Texas at San Antonio</v>
      </c>
      <c r="C20" s="379"/>
      <c r="D20" s="379">
        <f>'S-A FGD'!$D$10</f>
        <v>136194839</v>
      </c>
      <c r="E20" s="379">
        <f>'S-A FGD'!$E$10</f>
        <v>0</v>
      </c>
      <c r="F20" s="379">
        <f>'S-A FGD'!$F$10</f>
        <v>0</v>
      </c>
      <c r="G20" s="379">
        <f>'S-A FGD'!$G$10</f>
        <v>0</v>
      </c>
      <c r="H20" s="379">
        <f>'S-A FGD'!$H$10</f>
        <v>0</v>
      </c>
      <c r="I20" s="379">
        <f>'S-A FGD'!$I$10</f>
        <v>0</v>
      </c>
      <c r="J20" s="379">
        <f>'S-A FGD'!$J$10</f>
        <v>0</v>
      </c>
      <c r="K20" s="379">
        <f>'S-A FGD'!$K$10</f>
        <v>0</v>
      </c>
      <c r="L20" s="379">
        <f>'S-A FGD'!$L$10</f>
        <v>0</v>
      </c>
      <c r="M20" s="381">
        <f>'S-A FGD'!$M$10</f>
        <v>136194839</v>
      </c>
    </row>
    <row r="21" spans="2:13" ht="12.75" hidden="1" customHeight="1" outlineLevel="1">
      <c r="B21" s="673" t="str">
        <f>'SFA FGD'!$B$2</f>
        <v>Stephen F. Austin State University</v>
      </c>
      <c r="C21" s="379"/>
      <c r="D21" s="379">
        <f>'SFA FGD'!$D$10</f>
        <v>47150002</v>
      </c>
      <c r="E21" s="379">
        <f>'SFA FGD'!$E$10</f>
        <v>0</v>
      </c>
      <c r="F21" s="379">
        <f>'SFA FGD'!$F$10</f>
        <v>0</v>
      </c>
      <c r="G21" s="379">
        <f>'SFA FGD'!$G$10</f>
        <v>0</v>
      </c>
      <c r="H21" s="379">
        <f>'SFA FGD'!$H$10</f>
        <v>0</v>
      </c>
      <c r="I21" s="379">
        <f>'SFA FGD'!$I$10</f>
        <v>0</v>
      </c>
      <c r="J21" s="379">
        <f>'SFA FGD'!$J$10</f>
        <v>0</v>
      </c>
      <c r="K21" s="379">
        <f>'SFA FGD'!$K$10</f>
        <v>0</v>
      </c>
      <c r="L21" s="379">
        <f>'SFA FGD'!$L$10</f>
        <v>0</v>
      </c>
      <c r="M21" s="381">
        <f>'SFA FGD'!$M$10</f>
        <v>47150002</v>
      </c>
    </row>
    <row r="22" spans="2:13" ht="12.75" hidden="1" customHeight="1" outlineLevel="1">
      <c r="B22" s="673" t="str">
        <f>'shsu1 FGD'!$B$2</f>
        <v>Sam Houston State University - Academic &amp; Health (A+H)</v>
      </c>
      <c r="C22" s="379"/>
      <c r="D22" s="379">
        <f>'shsu1 FGD'!$D$10</f>
        <v>69852319</v>
      </c>
      <c r="E22" s="379">
        <f>'shsu1 FGD'!$E$10</f>
        <v>0</v>
      </c>
      <c r="F22" s="379">
        <f>'shsu1 FGD'!$F$10</f>
        <v>0</v>
      </c>
      <c r="G22" s="379">
        <f>'shsu1 FGD'!$G$10</f>
        <v>0</v>
      </c>
      <c r="H22" s="379">
        <f>'shsu1 FGD'!$H$10</f>
        <v>0</v>
      </c>
      <c r="I22" s="379">
        <f>'shsu1 FGD'!$I$10</f>
        <v>0</v>
      </c>
      <c r="J22" s="379">
        <f>'shsu1 FGD'!$J$10</f>
        <v>0</v>
      </c>
      <c r="K22" s="379">
        <f>'shsu1 FGD'!$K$10</f>
        <v>0</v>
      </c>
      <c r="L22" s="379">
        <f>'shsu1 FGD'!$L$10</f>
        <v>0</v>
      </c>
      <c r="M22" s="381">
        <f>'shsu1 FGD'!$M$10</f>
        <v>69852319</v>
      </c>
    </row>
    <row r="23" spans="2:13" ht="12.75" hidden="1" customHeight="1" outlineLevel="1">
      <c r="B23" s="673" t="str">
        <f>'SRSU FGD'!$B$2</f>
        <v>Sul Ross State University</v>
      </c>
      <c r="C23" s="379"/>
      <c r="D23" s="379">
        <f>'SRSU FGD'!$D$10</f>
        <v>19241603</v>
      </c>
      <c r="E23" s="379">
        <f>'SRSU FGD'!$E$10</f>
        <v>0</v>
      </c>
      <c r="F23" s="379">
        <f>'SRSU FGD'!$F$10</f>
        <v>0</v>
      </c>
      <c r="G23" s="379">
        <f>'SRSU FGD'!$G$10</f>
        <v>0</v>
      </c>
      <c r="H23" s="379">
        <f>'SRSU FGD'!$H$10</f>
        <v>0</v>
      </c>
      <c r="I23" s="379">
        <f>'SRSU FGD'!$I$10</f>
        <v>0</v>
      </c>
      <c r="J23" s="379">
        <f>'SRSU FGD'!$J$10</f>
        <v>0</v>
      </c>
      <c r="K23" s="379">
        <f>'SRSU FGD'!$K$10</f>
        <v>0</v>
      </c>
      <c r="L23" s="379">
        <f>'SRSU FGD'!$L$10</f>
        <v>0</v>
      </c>
      <c r="M23" s="381">
        <f>'SRSU FGD'!$M$10</f>
        <v>19241603</v>
      </c>
    </row>
    <row r="24" spans="2:13" ht="12.75" hidden="1" customHeight="1" outlineLevel="1">
      <c r="B24" s="673" t="str">
        <f>'TAMIU FGD'!$B$2</f>
        <v>Texas A&amp;M International University</v>
      </c>
      <c r="C24" s="379"/>
      <c r="D24" s="379">
        <f>'TAMIU FGD'!$D$10</f>
        <v>36675060</v>
      </c>
      <c r="E24" s="379">
        <f>'TAMIU FGD'!$E$10</f>
        <v>0</v>
      </c>
      <c r="F24" s="379">
        <f>'TAMIU FGD'!$F$10</f>
        <v>0</v>
      </c>
      <c r="G24" s="379">
        <f>'TAMIU FGD'!$G$10</f>
        <v>0</v>
      </c>
      <c r="H24" s="379">
        <f>'TAMIU FGD'!$H$10</f>
        <v>0</v>
      </c>
      <c r="I24" s="379">
        <f>'TAMIU FGD'!$I$10</f>
        <v>0</v>
      </c>
      <c r="J24" s="379">
        <f>'TAMIU FGD'!$J$10</f>
        <v>0</v>
      </c>
      <c r="K24" s="379">
        <f>'TAMIU FGD'!$K$10</f>
        <v>0</v>
      </c>
      <c r="L24" s="379">
        <f>'TAMIU FGD'!$L$10</f>
        <v>0</v>
      </c>
      <c r="M24" s="381">
        <f>'TAMIU FGD'!$M$10</f>
        <v>36675060</v>
      </c>
    </row>
    <row r="25" spans="2:13" ht="12.75" hidden="1" customHeight="1" outlineLevel="1">
      <c r="B25" s="673" t="str">
        <f>'TAMU FGD'!$B$2</f>
        <v>Texas A&amp;M University</v>
      </c>
      <c r="C25" s="379"/>
      <c r="D25" s="379">
        <f>'TAMU FGD'!$D$10</f>
        <v>367550412</v>
      </c>
      <c r="E25" s="379">
        <f>'TAMU FGD'!$E$10</f>
        <v>0</v>
      </c>
      <c r="F25" s="379">
        <f>'TAMU FGD'!$F$10</f>
        <v>0</v>
      </c>
      <c r="G25" s="379">
        <f>'TAMU FGD'!$G$10</f>
        <v>0</v>
      </c>
      <c r="H25" s="379">
        <f>'TAMU FGD'!$H$10</f>
        <v>0</v>
      </c>
      <c r="I25" s="379">
        <f>'TAMU FGD'!$I$10</f>
        <v>0</v>
      </c>
      <c r="J25" s="379">
        <f>'TAMU FGD'!$J$10</f>
        <v>0</v>
      </c>
      <c r="K25" s="379">
        <f>'TAMU FGD'!$K$10</f>
        <v>0</v>
      </c>
      <c r="L25" s="379">
        <f>'TAMU FGD'!$L$10</f>
        <v>0</v>
      </c>
      <c r="M25" s="381">
        <f>'TAMU FGD'!$M$10</f>
        <v>367550412</v>
      </c>
    </row>
    <row r="26" spans="2:13" ht="12.75" hidden="1" customHeight="1" outlineLevel="1">
      <c r="B26" s="673" t="str">
        <f>'TAMUC FGD'!$B$2</f>
        <v>Texas A&amp;M University - Commerce</v>
      </c>
      <c r="C26" s="379"/>
      <c r="D26" s="379">
        <f>'TAMUC FGD'!$D$10</f>
        <v>51928693</v>
      </c>
      <c r="E26" s="379">
        <f>'TAMUC FGD'!$E$10</f>
        <v>0</v>
      </c>
      <c r="F26" s="379">
        <f>'TAMUC FGD'!$F$10</f>
        <v>0</v>
      </c>
      <c r="G26" s="379">
        <f>'TAMUC FGD'!$G$10</f>
        <v>0</v>
      </c>
      <c r="H26" s="379">
        <f>'TAMUC FGD'!$H$10</f>
        <v>0</v>
      </c>
      <c r="I26" s="379">
        <f>'TAMUC FGD'!$I$10</f>
        <v>0</v>
      </c>
      <c r="J26" s="379">
        <f>'TAMUC FGD'!$J$10</f>
        <v>0</v>
      </c>
      <c r="K26" s="379">
        <f>'TAMUC FGD'!$K$10</f>
        <v>0</v>
      </c>
      <c r="L26" s="379">
        <f>'TAMUC FGD'!$L$10</f>
        <v>0</v>
      </c>
      <c r="M26" s="381">
        <f>'TAMUC FGD'!$M$10</f>
        <v>51928693</v>
      </c>
    </row>
    <row r="27" spans="2:13" ht="12.75" hidden="1" customHeight="1" outlineLevel="1">
      <c r="B27" s="673" t="str">
        <f>'TAMUCC FGD'!$B$2</f>
        <v>Texas A&amp;M University - Corpus Christi</v>
      </c>
      <c r="C27" s="379"/>
      <c r="D27" s="379">
        <f>'TAMUCC FGD'!$D$10</f>
        <v>59915259</v>
      </c>
      <c r="E27" s="379">
        <f>'TAMUCC FGD'!$E$10</f>
        <v>0</v>
      </c>
      <c r="F27" s="379">
        <f>'TAMUCC FGD'!$F$10</f>
        <v>0</v>
      </c>
      <c r="G27" s="379">
        <f>'TAMUCC FGD'!$G$10</f>
        <v>0</v>
      </c>
      <c r="H27" s="379">
        <f>'TAMUCC FGD'!$H$10</f>
        <v>0</v>
      </c>
      <c r="I27" s="379">
        <f>'TAMUCC FGD'!$I$10</f>
        <v>0</v>
      </c>
      <c r="J27" s="379">
        <f>'TAMUCC FGD'!$J$10</f>
        <v>0</v>
      </c>
      <c r="K27" s="379">
        <f>'TAMUCC FGD'!$K$10</f>
        <v>0</v>
      </c>
      <c r="L27" s="379">
        <f>'TAMUCC FGD'!$L$10</f>
        <v>0</v>
      </c>
      <c r="M27" s="381">
        <f>'TAMUCC FGD'!$M$10</f>
        <v>59915259</v>
      </c>
    </row>
    <row r="28" spans="2:13" ht="12.75" hidden="1" customHeight="1" outlineLevel="1">
      <c r="B28" s="673" t="str">
        <f>'TAMUCT FGD'!$B$2</f>
        <v>Texas A&amp;M University - Central Texas</v>
      </c>
      <c r="C28" s="379"/>
      <c r="D28" s="379">
        <f>'TAMUCT FGD'!$D$10</f>
        <v>18317955</v>
      </c>
      <c r="E28" s="379">
        <f>'TAMUCT FGD'!$E$10</f>
        <v>0</v>
      </c>
      <c r="F28" s="379">
        <f>'TAMUCT FGD'!$F$10</f>
        <v>0</v>
      </c>
      <c r="G28" s="379">
        <f>'TAMUCT FGD'!$G$10</f>
        <v>0</v>
      </c>
      <c r="H28" s="379">
        <f>'TAMUCT FGD'!$H$10</f>
        <v>0</v>
      </c>
      <c r="I28" s="379">
        <f>'TAMUCT FGD'!$I$10</f>
        <v>0</v>
      </c>
      <c r="J28" s="379">
        <f>'TAMUCT FGD'!$J$10</f>
        <v>0</v>
      </c>
      <c r="K28" s="379">
        <f>'TAMUCT FGD'!$K$10</f>
        <v>0</v>
      </c>
      <c r="L28" s="379">
        <f>'TAMUCT FGD'!$L$10</f>
        <v>0</v>
      </c>
      <c r="M28" s="381">
        <f>'TAMUCT FGD'!$M$10</f>
        <v>18317955</v>
      </c>
    </row>
    <row r="29" spans="2:13" ht="12.75" hidden="1" customHeight="1" outlineLevel="1">
      <c r="B29" s="673" t="str">
        <f>'TAMUG FGD'!$B$2</f>
        <v>Texas A&amp;M University at Galveston</v>
      </c>
      <c r="C29" s="379"/>
      <c r="D29" s="379">
        <f>'TAMUG FGD'!$D$10</f>
        <v>70229913</v>
      </c>
      <c r="E29" s="379">
        <f>'TAMUG FGD'!$E$10</f>
        <v>0</v>
      </c>
      <c r="F29" s="379">
        <f>'TAMUG FGD'!$F$10</f>
        <v>0</v>
      </c>
      <c r="G29" s="379">
        <f>'TAMUG FGD'!$G$10</f>
        <v>0</v>
      </c>
      <c r="H29" s="379">
        <f>'TAMUG FGD'!$H$10</f>
        <v>0</v>
      </c>
      <c r="I29" s="379">
        <f>'TAMUG FGD'!$I$10</f>
        <v>0</v>
      </c>
      <c r="J29" s="379">
        <f>'TAMUG FGD'!$J$10</f>
        <v>0</v>
      </c>
      <c r="K29" s="379">
        <f>'TAMUG FGD'!$K$10</f>
        <v>0</v>
      </c>
      <c r="L29" s="379">
        <f>'TAMUG FGD'!$L$10</f>
        <v>0</v>
      </c>
      <c r="M29" s="381">
        <f>'TAMUG FGD'!$M$10</f>
        <v>70229913</v>
      </c>
    </row>
    <row r="30" spans="2:13" ht="12.75" hidden="1" customHeight="1" outlineLevel="1">
      <c r="B30" s="673" t="str">
        <f>'TAMUK FGD'!$B$2</f>
        <v>Texas A&amp;M University - Kingsville</v>
      </c>
      <c r="C30" s="379"/>
      <c r="D30" s="379">
        <f>'TAMUK FGD'!$D$10</f>
        <v>44491731</v>
      </c>
      <c r="E30" s="379">
        <f>'TAMUK FGD'!$E$10</f>
        <v>0</v>
      </c>
      <c r="F30" s="379">
        <f>'TAMUK FGD'!$F$10</f>
        <v>0</v>
      </c>
      <c r="G30" s="379">
        <f>'TAMUK FGD'!$G$10</f>
        <v>0</v>
      </c>
      <c r="H30" s="379">
        <f>'TAMUK FGD'!$H$10</f>
        <v>0</v>
      </c>
      <c r="I30" s="379">
        <f>'TAMUK FGD'!$I$10</f>
        <v>0</v>
      </c>
      <c r="J30" s="379">
        <f>'TAMUK FGD'!$J$10</f>
        <v>0</v>
      </c>
      <c r="K30" s="379">
        <f>'TAMUK FGD'!$K$10</f>
        <v>0</v>
      </c>
      <c r="L30" s="379">
        <f>'TAMUK FGD'!$L$10</f>
        <v>0</v>
      </c>
      <c r="M30" s="381">
        <f>'TAMUK FGD'!$M$10</f>
        <v>44491731</v>
      </c>
    </row>
    <row r="31" spans="2:13" ht="12.75" hidden="1" customHeight="1" outlineLevel="1">
      <c r="B31" s="673" t="str">
        <f>'TAMUSA FGD'!$B$2</f>
        <v>Texas A&amp;M University - San Antonio</v>
      </c>
      <c r="C31" s="379"/>
      <c r="D31" s="379">
        <f>'TAMUSA FGD'!$D$10</f>
        <v>35219375</v>
      </c>
      <c r="E31" s="379">
        <f>'TAMUSA FGD'!$E$10</f>
        <v>0</v>
      </c>
      <c r="F31" s="379">
        <f>'TAMUSA FGD'!$F$10</f>
        <v>0</v>
      </c>
      <c r="G31" s="379">
        <f>'TAMUSA FGD'!$G$10</f>
        <v>0</v>
      </c>
      <c r="H31" s="379">
        <f>'TAMUSA FGD'!$H$10</f>
        <v>0</v>
      </c>
      <c r="I31" s="379">
        <f>'TAMUSA FGD'!$I$10</f>
        <v>0</v>
      </c>
      <c r="J31" s="379">
        <f>'TAMUSA FGD'!$J$10</f>
        <v>0</v>
      </c>
      <c r="K31" s="379">
        <f>'TAMUSA FGD'!$K$10</f>
        <v>0</v>
      </c>
      <c r="L31" s="379">
        <f>'TAMUSA FGD'!$L$10</f>
        <v>0</v>
      </c>
      <c r="M31" s="381">
        <f>'TAMUSA FGD'!$M$10</f>
        <v>35219375</v>
      </c>
    </row>
    <row r="32" spans="2:13" ht="12.75" hidden="1" customHeight="1" outlineLevel="1">
      <c r="B32" s="673" t="str">
        <f>'TAMUT FGD'!$B$2</f>
        <v>Texas A&amp;M University - Texarkana</v>
      </c>
      <c r="C32" s="379"/>
      <c r="D32" s="379">
        <f>'TAMUT FGD'!$D$10</f>
        <v>25514271</v>
      </c>
      <c r="E32" s="379">
        <f>'TAMUT FGD'!$E$10</f>
        <v>0</v>
      </c>
      <c r="F32" s="379">
        <f>'TAMUT FGD'!$F$10</f>
        <v>0</v>
      </c>
      <c r="G32" s="379">
        <f>'TAMUT FGD'!$G$10</f>
        <v>0</v>
      </c>
      <c r="H32" s="379">
        <f>'TAMUT FGD'!$H$10</f>
        <v>0</v>
      </c>
      <c r="I32" s="379">
        <f>'TAMUT FGD'!$I$10</f>
        <v>0</v>
      </c>
      <c r="J32" s="379">
        <f>'TAMUT FGD'!$J$10</f>
        <v>0</v>
      </c>
      <c r="K32" s="379">
        <f>'TAMUT FGD'!$K$10</f>
        <v>0</v>
      </c>
      <c r="L32" s="379">
        <f>'TAMUT FGD'!$L$10</f>
        <v>0</v>
      </c>
      <c r="M32" s="381">
        <f>'TAMUT FGD'!$M$10</f>
        <v>25514271</v>
      </c>
    </row>
    <row r="33" spans="1:13" ht="12.75" hidden="1" customHeight="1" outlineLevel="1">
      <c r="B33" s="673" t="str">
        <f>'TARLST FGD'!$B$2</f>
        <v>Tarleton State University</v>
      </c>
      <c r="C33" s="379"/>
      <c r="D33" s="379">
        <f>'TARLST FGD'!$D$10</f>
        <v>53590196</v>
      </c>
      <c r="E33" s="379">
        <f>'TARLST FGD'!$E$10</f>
        <v>0</v>
      </c>
      <c r="F33" s="379">
        <f>'TARLST FGD'!$F$10</f>
        <v>0</v>
      </c>
      <c r="G33" s="379">
        <f>'TARLST FGD'!$G$10</f>
        <v>0</v>
      </c>
      <c r="H33" s="379">
        <f>'TARLST FGD'!$H$10</f>
        <v>0</v>
      </c>
      <c r="I33" s="379">
        <f>'TARLST FGD'!$I$10</f>
        <v>0</v>
      </c>
      <c r="J33" s="379">
        <f>'TARLST FGD'!$J$10</f>
        <v>0</v>
      </c>
      <c r="K33" s="379">
        <f>'TARLST FGD'!$K$10</f>
        <v>0</v>
      </c>
      <c r="L33" s="379">
        <f>'TARLST FGD'!$L$10</f>
        <v>0</v>
      </c>
      <c r="M33" s="381">
        <f>'TARLST FGD'!$M$10</f>
        <v>53590196</v>
      </c>
    </row>
    <row r="34" spans="1:13" ht="12.75" hidden="1" customHeight="1" outlineLevel="1">
      <c r="B34" s="673" t="str">
        <f>'TSU FGD'!$B$2</f>
        <v>Texas Southern University</v>
      </c>
      <c r="C34" s="379"/>
      <c r="D34" s="379">
        <f>'TSU FGD'!$D$10</f>
        <v>62046473</v>
      </c>
      <c r="E34" s="379">
        <f>'TSU FGD'!$E$10</f>
        <v>0</v>
      </c>
      <c r="F34" s="379">
        <f>'TSU FGD'!$F$10</f>
        <v>0</v>
      </c>
      <c r="G34" s="379">
        <f>'TSU FGD'!$G$10</f>
        <v>0</v>
      </c>
      <c r="H34" s="379">
        <f>'TSU FGD'!$H$10</f>
        <v>0</v>
      </c>
      <c r="I34" s="379">
        <f>'TSU FGD'!$I$10</f>
        <v>0</v>
      </c>
      <c r="J34" s="379">
        <f>'TSU FGD'!$J$10</f>
        <v>0</v>
      </c>
      <c r="K34" s="379">
        <f>'TSU FGD'!$K$10</f>
        <v>0</v>
      </c>
      <c r="L34" s="379">
        <f>'TSU FGD'!$L$10</f>
        <v>0</v>
      </c>
      <c r="M34" s="381">
        <f>'TSU FGD'!$M$10</f>
        <v>62046473</v>
      </c>
    </row>
    <row r="35" spans="1:13" ht="12.75" hidden="1" customHeight="1" outlineLevel="1">
      <c r="B35" s="673" t="str">
        <f>'TTU FGD'!$B$2</f>
        <v>Texas Tech University</v>
      </c>
      <c r="C35" s="379"/>
      <c r="D35" s="379">
        <f>'TTU FGD'!$D$10</f>
        <v>194264324</v>
      </c>
      <c r="E35" s="379">
        <f>'TTU FGD'!$E$10</f>
        <v>0</v>
      </c>
      <c r="F35" s="379">
        <f>'TTU FGD'!$F$10</f>
        <v>0</v>
      </c>
      <c r="G35" s="379">
        <f>'TTU FGD'!$G$10</f>
        <v>0</v>
      </c>
      <c r="H35" s="379">
        <f>'TTU FGD'!$H$10</f>
        <v>0</v>
      </c>
      <c r="I35" s="379">
        <f>'TTU FGD'!$I$10</f>
        <v>0</v>
      </c>
      <c r="J35" s="379">
        <f>'TTU FGD'!$J$10</f>
        <v>0</v>
      </c>
      <c r="K35" s="379">
        <f>'TTU FGD'!$K$10</f>
        <v>0</v>
      </c>
      <c r="L35" s="379">
        <f>'TTU FGD'!$L$10</f>
        <v>0</v>
      </c>
      <c r="M35" s="381">
        <f>'TTU FGD'!$M$10</f>
        <v>194264324</v>
      </c>
    </row>
    <row r="36" spans="1:13" ht="12.75" hidden="1" customHeight="1" outlineLevel="1">
      <c r="B36" s="673" t="str">
        <f>'TWU FGD'!$B$2</f>
        <v>Texas Woman's University</v>
      </c>
      <c r="C36" s="379"/>
      <c r="D36" s="379">
        <f>'TWU FGD'!$D$10</f>
        <v>75097158</v>
      </c>
      <c r="E36" s="379">
        <f>'TWU FGD'!$E$10</f>
        <v>0</v>
      </c>
      <c r="F36" s="379">
        <f>'TWU FGD'!$F$10</f>
        <v>0</v>
      </c>
      <c r="G36" s="379">
        <f>'TWU FGD'!$G$10</f>
        <v>0</v>
      </c>
      <c r="H36" s="379">
        <f>'TWU FGD'!$H$10</f>
        <v>0</v>
      </c>
      <c r="I36" s="379">
        <f>'TWU FGD'!$I$10</f>
        <v>0</v>
      </c>
      <c r="J36" s="379">
        <f>'TWU FGD'!$J$10</f>
        <v>0</v>
      </c>
      <c r="K36" s="379">
        <f>'TWU FGD'!$K$10</f>
        <v>0</v>
      </c>
      <c r="L36" s="379">
        <f>'TWU FGD'!$L$10</f>
        <v>0</v>
      </c>
      <c r="M36" s="381">
        <f>'TWU FGD'!$M$10</f>
        <v>75097158</v>
      </c>
    </row>
    <row r="37" spans="1:13" ht="12.75" hidden="1" customHeight="1" outlineLevel="1">
      <c r="B37" s="673" t="str">
        <f>'TXST FGD'!$B$2</f>
        <v>Texas State University</v>
      </c>
      <c r="C37" s="379"/>
      <c r="D37" s="379">
        <f>'TXST FGD'!$D$10</f>
        <v>138011843</v>
      </c>
      <c r="E37" s="379">
        <f>'TXST FGD'!$E$10</f>
        <v>0</v>
      </c>
      <c r="F37" s="379">
        <f>'TXST FGD'!$F$10</f>
        <v>0</v>
      </c>
      <c r="G37" s="379">
        <f>'TXST FGD'!$G$10</f>
        <v>0</v>
      </c>
      <c r="H37" s="379">
        <f>'TXST FGD'!$H$10</f>
        <v>0</v>
      </c>
      <c r="I37" s="379">
        <f>'TXST FGD'!$I$10</f>
        <v>0</v>
      </c>
      <c r="J37" s="379">
        <f>'TXST FGD'!$J$10</f>
        <v>0</v>
      </c>
      <c r="K37" s="379">
        <f>'TXST FGD'!$K$10</f>
        <v>0</v>
      </c>
      <c r="L37" s="379">
        <f>'TXST FGD'!$L$10</f>
        <v>0</v>
      </c>
      <c r="M37" s="381">
        <f>'TXST FGD'!$M$10</f>
        <v>138011843</v>
      </c>
    </row>
    <row r="38" spans="1:13" ht="12.75" hidden="1" customHeight="1" outlineLevel="1">
      <c r="B38" s="673" t="str">
        <f>'TYL FGD'!$B$2</f>
        <v>The University of Texas at Tyler</v>
      </c>
      <c r="C38" s="379"/>
      <c r="D38" s="379">
        <f>'TYL FGD'!$D$10</f>
        <v>40081857</v>
      </c>
      <c r="E38" s="379">
        <f>'TYL FGD'!$E$10</f>
        <v>0</v>
      </c>
      <c r="F38" s="379">
        <f>'TYL FGD'!$F$10</f>
        <v>0</v>
      </c>
      <c r="G38" s="379">
        <f>'TYL FGD'!$G$10</f>
        <v>0</v>
      </c>
      <c r="H38" s="379">
        <f>'TYL FGD'!$H$10</f>
        <v>0</v>
      </c>
      <c r="I38" s="379">
        <f>'TYL FGD'!$I$10</f>
        <v>0</v>
      </c>
      <c r="J38" s="379">
        <f>'TYL FGD'!$J$10</f>
        <v>0</v>
      </c>
      <c r="K38" s="379">
        <f>'TYL FGD'!$K$10</f>
        <v>0</v>
      </c>
      <c r="L38" s="379">
        <f>'TYL FGD'!$L$10</f>
        <v>0</v>
      </c>
      <c r="M38" s="381">
        <f>'TYL FGD'!$M$10</f>
        <v>40081857</v>
      </c>
    </row>
    <row r="39" spans="1:13" ht="12.75" hidden="1" customHeight="1" outlineLevel="1">
      <c r="B39" s="673" t="str">
        <f>'UH1 FGD'!$B$2</f>
        <v>University of Houston - Academic &amp; Health (A+H)</v>
      </c>
      <c r="C39" s="379"/>
      <c r="D39" s="379">
        <f>'UH1 FGD'!$D$10</f>
        <v>204365435</v>
      </c>
      <c r="E39" s="379">
        <f>'UH1 FGD'!$E$10</f>
        <v>0</v>
      </c>
      <c r="F39" s="379">
        <f>'UH1 FGD'!$F$10</f>
        <v>0</v>
      </c>
      <c r="G39" s="379">
        <f>'UH1 FGD'!$G$10</f>
        <v>0</v>
      </c>
      <c r="H39" s="379">
        <f>'UH1 FGD'!$H$10</f>
        <v>0</v>
      </c>
      <c r="I39" s="379">
        <f>'UH1 FGD'!$I$10</f>
        <v>0</v>
      </c>
      <c r="J39" s="379">
        <f>'UH1 FGD'!$J$10</f>
        <v>0</v>
      </c>
      <c r="K39" s="379">
        <f>'UH1 FGD'!$K$10</f>
        <v>0</v>
      </c>
      <c r="L39" s="379">
        <f>'UH1 FGD'!$L$10</f>
        <v>0</v>
      </c>
      <c r="M39" s="381">
        <f>'UH1 FGD'!$M$10</f>
        <v>204365435</v>
      </c>
    </row>
    <row r="40" spans="1:13" ht="12.75" hidden="1" customHeight="1" outlineLevel="1">
      <c r="B40" s="673" t="str">
        <f>'UHCL FGD'!$B$2</f>
        <v>University of Houston - Clear Lake</v>
      </c>
      <c r="C40" s="379"/>
      <c r="D40" s="379">
        <f>'UHCL FGD'!$D$10</f>
        <v>34963937</v>
      </c>
      <c r="E40" s="379">
        <f>'UHCL FGD'!$E$10</f>
        <v>0</v>
      </c>
      <c r="F40" s="379">
        <f>'UHCL FGD'!$F$10</f>
        <v>0</v>
      </c>
      <c r="G40" s="379">
        <f>'UHCL FGD'!$G$10</f>
        <v>0</v>
      </c>
      <c r="H40" s="379">
        <f>'UHCL FGD'!$H$10</f>
        <v>0</v>
      </c>
      <c r="I40" s="379">
        <f>'UHCL FGD'!$I$10</f>
        <v>0</v>
      </c>
      <c r="J40" s="379">
        <f>'UHCL FGD'!$J$10</f>
        <v>0</v>
      </c>
      <c r="K40" s="379">
        <f>'UHCL FGD'!$K$10</f>
        <v>0</v>
      </c>
      <c r="L40" s="379">
        <f>'UHCL FGD'!$L$10</f>
        <v>0</v>
      </c>
      <c r="M40" s="381">
        <f>'UHCL FGD'!$M$10</f>
        <v>34963937</v>
      </c>
    </row>
    <row r="41" spans="1:13" ht="12.75" hidden="1" customHeight="1" outlineLevel="1">
      <c r="B41" s="673" t="str">
        <f>'UHD FGD'!$B$2</f>
        <v>University of Houston - Downtown</v>
      </c>
      <c r="C41" s="379"/>
      <c r="D41" s="379">
        <f>'UHD FGD'!$D$10</f>
        <v>29937476</v>
      </c>
      <c r="E41" s="379">
        <f>'UHD FGD'!$E$10</f>
        <v>0</v>
      </c>
      <c r="F41" s="379">
        <f>'UHD FGD'!$F$10</f>
        <v>0</v>
      </c>
      <c r="G41" s="379">
        <f>'UHD FGD'!$G$10</f>
        <v>0</v>
      </c>
      <c r="H41" s="379">
        <f>'UHD FGD'!$H$10</f>
        <v>0</v>
      </c>
      <c r="I41" s="379">
        <f>'UHD FGD'!$I$10</f>
        <v>0</v>
      </c>
      <c r="J41" s="379">
        <f>'UHD FGD'!$J$10</f>
        <v>0</v>
      </c>
      <c r="K41" s="379">
        <f>'UHD FGD'!$K$10</f>
        <v>0</v>
      </c>
      <c r="L41" s="379">
        <f>'UHD FGD'!$L$10</f>
        <v>0</v>
      </c>
      <c r="M41" s="381">
        <f>'UHD FGD'!$M$10</f>
        <v>29937476</v>
      </c>
    </row>
    <row r="42" spans="1:13" ht="12.75" hidden="1" customHeight="1" outlineLevel="1">
      <c r="B42" s="673" t="str">
        <f>'UHV FGD'!$B$2</f>
        <v>University of Houston - Victoria</v>
      </c>
      <c r="C42" s="379"/>
      <c r="D42" s="379">
        <f>'UHV FGD'!$D$10</f>
        <v>17625883</v>
      </c>
      <c r="E42" s="379">
        <f>'UHV FGD'!$E$10</f>
        <v>0</v>
      </c>
      <c r="F42" s="379">
        <f>'UHV FGD'!$F$10</f>
        <v>0</v>
      </c>
      <c r="G42" s="379">
        <f>'UHV FGD'!$G$10</f>
        <v>0</v>
      </c>
      <c r="H42" s="379">
        <f>'UHV FGD'!$H$10</f>
        <v>0</v>
      </c>
      <c r="I42" s="379">
        <f>'UHV FGD'!$I$10</f>
        <v>0</v>
      </c>
      <c r="J42" s="379">
        <f>'UHV FGD'!$J$10</f>
        <v>0</v>
      </c>
      <c r="K42" s="379">
        <f>'UHV FGD'!$K$10</f>
        <v>0</v>
      </c>
      <c r="L42" s="379">
        <f>'UHV FGD'!$L$10</f>
        <v>0</v>
      </c>
      <c r="M42" s="381">
        <f>'UHV FGD'!$M$10</f>
        <v>17625883</v>
      </c>
    </row>
    <row r="43" spans="1:13" ht="12.75" hidden="1" customHeight="1" outlineLevel="1">
      <c r="B43" s="673" t="str">
        <f>'UNT FGD'!$B$2</f>
        <v>University of North Texas</v>
      </c>
      <c r="C43" s="379"/>
      <c r="D43" s="379">
        <f>'UNT FGD'!$D$10</f>
        <v>134981091</v>
      </c>
      <c r="E43" s="379">
        <f>'UNT FGD'!$E$10</f>
        <v>0</v>
      </c>
      <c r="F43" s="379">
        <f>'UNT FGD'!$F$10</f>
        <v>0</v>
      </c>
      <c r="G43" s="379">
        <f>'UNT FGD'!$G$10</f>
        <v>0</v>
      </c>
      <c r="H43" s="379">
        <f>'UNT FGD'!$H$10</f>
        <v>0</v>
      </c>
      <c r="I43" s="379">
        <f>'UNT FGD'!$I$10</f>
        <v>0</v>
      </c>
      <c r="J43" s="379">
        <f>'UNT FGD'!$J$10</f>
        <v>0</v>
      </c>
      <c r="K43" s="379">
        <f>'UNT FGD'!$K$10</f>
        <v>0</v>
      </c>
      <c r="L43" s="379">
        <f>'UNT FGD'!$L$10</f>
        <v>0</v>
      </c>
      <c r="M43" s="381">
        <f>'UNT FGD'!$M$10</f>
        <v>134981091</v>
      </c>
    </row>
    <row r="44" spans="1:13" ht="12.75" hidden="1" customHeight="1" outlineLevel="1">
      <c r="B44" s="673" t="str">
        <f>'UNTD FGD'!$B$2</f>
        <v>University of North Texas at Dallas</v>
      </c>
      <c r="C44" s="379"/>
      <c r="D44" s="379">
        <f>'UNTD FGD'!$D$10</f>
        <v>26574019</v>
      </c>
      <c r="E44" s="379">
        <f>'UNTD FGD'!$E$10</f>
        <v>0</v>
      </c>
      <c r="F44" s="379">
        <f>'UNTD FGD'!$F$10</f>
        <v>0</v>
      </c>
      <c r="G44" s="379">
        <f>'UNTD FGD'!$G$10</f>
        <v>0</v>
      </c>
      <c r="H44" s="379">
        <f>'UNTD FGD'!$H$10</f>
        <v>0</v>
      </c>
      <c r="I44" s="379">
        <f>'UNTD FGD'!$I$10</f>
        <v>0</v>
      </c>
      <c r="J44" s="379">
        <f>'UNTD FGD'!$J$10</f>
        <v>0</v>
      </c>
      <c r="K44" s="379">
        <f>'UNTD FGD'!$K$10</f>
        <v>0</v>
      </c>
      <c r="L44" s="379">
        <f>'UNTD FGD'!$L$10</f>
        <v>0</v>
      </c>
      <c r="M44" s="381">
        <f>'UNTD FGD'!$M$10</f>
        <v>26574019</v>
      </c>
    </row>
    <row r="45" spans="1:13" ht="12.75" hidden="1" customHeight="1" outlineLevel="1">
      <c r="B45" s="673" t="str">
        <f>'WTAMU FGD'!$B$2</f>
        <v>West Texas A&amp;M University</v>
      </c>
      <c r="C45" s="379"/>
      <c r="D45" s="379">
        <f>'WTAMU FGD'!$D$10</f>
        <v>41246915</v>
      </c>
      <c r="E45" s="379">
        <f>'WTAMU FGD'!$E$10</f>
        <v>0</v>
      </c>
      <c r="F45" s="379">
        <f>'WTAMU FGD'!$F$10</f>
        <v>0</v>
      </c>
      <c r="G45" s="379">
        <f>'WTAMU FGD'!$G$10</f>
        <v>0</v>
      </c>
      <c r="H45" s="379">
        <f>'WTAMU FGD'!$H$10</f>
        <v>0</v>
      </c>
      <c r="I45" s="379">
        <f>'WTAMU FGD'!$I$10</f>
        <v>0</v>
      </c>
      <c r="J45" s="379">
        <f>'WTAMU FGD'!$J$10</f>
        <v>0</v>
      </c>
      <c r="K45" s="379">
        <f>'WTAMU FGD'!$K$10</f>
        <v>0</v>
      </c>
      <c r="L45" s="379">
        <f>'WTAMU FGD'!$L$10</f>
        <v>0</v>
      </c>
      <c r="M45" s="381">
        <f>'WTAMU FGD'!$M$10</f>
        <v>41246915</v>
      </c>
    </row>
    <row r="46" spans="1:13" s="171" customFormat="1" collapsed="1">
      <c r="A46" s="166"/>
      <c r="B46" s="160" t="s">
        <v>1</v>
      </c>
      <c r="C46" s="160"/>
      <c r="D46" s="390">
        <f t="shared" ref="D46:M46" si="0">SUM(D10:D45)</f>
        <v>3049059798</v>
      </c>
      <c r="E46" s="390">
        <f t="shared" si="0"/>
        <v>0</v>
      </c>
      <c r="F46" s="390">
        <f t="shared" si="0"/>
        <v>0</v>
      </c>
      <c r="G46" s="390">
        <f t="shared" si="0"/>
        <v>0</v>
      </c>
      <c r="H46" s="390">
        <f t="shared" si="0"/>
        <v>0</v>
      </c>
      <c r="I46" s="390">
        <f t="shared" si="0"/>
        <v>0</v>
      </c>
      <c r="J46" s="390">
        <f t="shared" si="0"/>
        <v>0</v>
      </c>
      <c r="K46" s="390">
        <f t="shared" si="0"/>
        <v>0</v>
      </c>
      <c r="L46" s="390">
        <f t="shared" si="0"/>
        <v>0</v>
      </c>
      <c r="M46" s="390">
        <f t="shared" si="0"/>
        <v>3049059798</v>
      </c>
    </row>
    <row r="47" spans="1:13" s="171" customFormat="1" ht="12.75" hidden="1" customHeight="1" outlineLevel="1">
      <c r="A47" s="166"/>
      <c r="B47" s="674" t="str">
        <f>'ARL FGD'!$B$2</f>
        <v>The University of Texas at Arlington</v>
      </c>
      <c r="C47" s="160"/>
      <c r="D47" s="390">
        <f>'ARL FGD'!$D$11</f>
        <v>11741498</v>
      </c>
      <c r="E47" s="390">
        <f>'ARL FGD'!$E$11</f>
        <v>275000</v>
      </c>
      <c r="F47" s="390">
        <f>'ARL FGD'!$F$11</f>
        <v>0</v>
      </c>
      <c r="G47" s="390">
        <f>'ARL FGD'!$G$11</f>
        <v>4117271</v>
      </c>
      <c r="H47" s="390">
        <f>'ARL FGD'!$H$11</f>
        <v>0</v>
      </c>
      <c r="I47" s="390">
        <f>'ARL FGD'!$I$11</f>
        <v>0</v>
      </c>
      <c r="J47" s="390">
        <f>'ARL FGD'!$J$11</f>
        <v>0</v>
      </c>
      <c r="K47" s="390">
        <f>'ARL FGD'!$K$11</f>
        <v>0</v>
      </c>
      <c r="L47" s="390">
        <f>'ARL FGD'!$L$11</f>
        <v>0</v>
      </c>
      <c r="M47" s="390">
        <f>'ARL FGD'!$M$11</f>
        <v>16133769</v>
      </c>
    </row>
    <row r="48" spans="1:13" s="171" customFormat="1" ht="12.75" hidden="1" customHeight="1" outlineLevel="1">
      <c r="A48" s="166"/>
      <c r="B48" s="674" t="str">
        <f>'ASU FGD'!$B$2</f>
        <v>Angelo State University</v>
      </c>
      <c r="C48" s="160"/>
      <c r="D48" s="390">
        <f>'ASU FGD'!$D$11</f>
        <v>6964718</v>
      </c>
      <c r="E48" s="390">
        <f>'ASU FGD'!$E$11</f>
        <v>0</v>
      </c>
      <c r="F48" s="390">
        <f>'ASU FGD'!$F$11</f>
        <v>0</v>
      </c>
      <c r="G48" s="390">
        <f>'ASU FGD'!$G$11</f>
        <v>12071</v>
      </c>
      <c r="H48" s="390">
        <f>'ASU FGD'!$H$11</f>
        <v>0</v>
      </c>
      <c r="I48" s="390">
        <f>'ASU FGD'!$I$11</f>
        <v>0</v>
      </c>
      <c r="J48" s="390">
        <f>'ASU FGD'!$J$11</f>
        <v>0</v>
      </c>
      <c r="K48" s="390">
        <f>'ASU FGD'!$K$11</f>
        <v>0</v>
      </c>
      <c r="L48" s="390">
        <f>'ASU FGD'!$L$11</f>
        <v>0</v>
      </c>
      <c r="M48" s="390">
        <f>'ASU FGD'!$M$11</f>
        <v>6976789</v>
      </c>
    </row>
    <row r="49" spans="1:13" s="171" customFormat="1" ht="12.75" hidden="1" customHeight="1" outlineLevel="1">
      <c r="A49" s="166"/>
      <c r="B49" s="674" t="str">
        <f>'AUS1 FGD'!$B$2</f>
        <v>The University of Texas at Austin - Academic &amp; Health (A+H)</v>
      </c>
      <c r="C49" s="160"/>
      <c r="D49" s="390">
        <f>'AUS1 FGD'!$D$11</f>
        <v>33668871</v>
      </c>
      <c r="E49" s="390">
        <f>'AUS1 FGD'!$E$11</f>
        <v>16236531</v>
      </c>
      <c r="F49" s="390">
        <f>'AUS1 FGD'!$F$11</f>
        <v>0</v>
      </c>
      <c r="G49" s="390">
        <f>'AUS1 FGD'!$G$11</f>
        <v>9737395</v>
      </c>
      <c r="H49" s="390">
        <f>'AUS1 FGD'!$H$11</f>
        <v>0</v>
      </c>
      <c r="I49" s="390">
        <f>'AUS1 FGD'!$I$11</f>
        <v>0</v>
      </c>
      <c r="J49" s="390">
        <f>'AUS1 FGD'!$J$11</f>
        <v>0</v>
      </c>
      <c r="K49" s="390">
        <f>'AUS1 FGD'!$K$11</f>
        <v>0</v>
      </c>
      <c r="L49" s="390">
        <f>'AUS1 FGD'!$L$11</f>
        <v>0</v>
      </c>
      <c r="M49" s="390">
        <f>'AUS1 FGD'!$M$11</f>
        <v>59642797</v>
      </c>
    </row>
    <row r="50" spans="1:13" s="171" customFormat="1" ht="12.75" hidden="1" customHeight="1" outlineLevel="1">
      <c r="A50" s="166"/>
      <c r="B50" s="674" t="str">
        <f>'RGV1 FGD'!$B$2</f>
        <v>The University of Texas RGV - Academic &amp; Health (A+H)</v>
      </c>
      <c r="C50" s="160"/>
      <c r="D50" s="390">
        <f>'RGV1 FGD'!$D$11</f>
        <v>37156402</v>
      </c>
      <c r="E50" s="390">
        <f>'RGV1 FGD'!$E$11</f>
        <v>2171900</v>
      </c>
      <c r="F50" s="390">
        <f>'RGV1 FGD'!$F$11</f>
        <v>0</v>
      </c>
      <c r="G50" s="390">
        <f>'RGV1 FGD'!$G$11</f>
        <v>1542859</v>
      </c>
      <c r="H50" s="390">
        <f>'RGV1 FGD'!$H$11</f>
        <v>0</v>
      </c>
      <c r="I50" s="390">
        <f>'RGV1 FGD'!$I$11</f>
        <v>0</v>
      </c>
      <c r="J50" s="390">
        <f>'RGV1 FGD'!$J$11</f>
        <v>0</v>
      </c>
      <c r="K50" s="390">
        <f>'RGV1 FGD'!$K$11</f>
        <v>0</v>
      </c>
      <c r="L50" s="390">
        <f>'RGV1 FGD'!$L$11</f>
        <v>0</v>
      </c>
      <c r="M50" s="390">
        <f>'RGV1 FGD'!$M$11</f>
        <v>40871161</v>
      </c>
    </row>
    <row r="51" spans="1:13" s="171" customFormat="1" ht="12.75" hidden="1" customHeight="1" outlineLevel="1">
      <c r="A51" s="166"/>
      <c r="B51" s="674" t="str">
        <f>'DAL FGD'!$B$2</f>
        <v>The University of Texas at Dallas</v>
      </c>
      <c r="C51" s="160"/>
      <c r="D51" s="390">
        <f>'DAL FGD'!$D$11</f>
        <v>13626987</v>
      </c>
      <c r="E51" s="390">
        <f>'DAL FGD'!$E$11</f>
        <v>3885819</v>
      </c>
      <c r="F51" s="390">
        <f>'DAL FGD'!$F$11</f>
        <v>0</v>
      </c>
      <c r="G51" s="390">
        <f>'DAL FGD'!$G$11</f>
        <v>2108661</v>
      </c>
      <c r="H51" s="390">
        <f>'DAL FGD'!$H$11</f>
        <v>0</v>
      </c>
      <c r="I51" s="390">
        <f>'DAL FGD'!$I$11</f>
        <v>0</v>
      </c>
      <c r="J51" s="390">
        <f>'DAL FGD'!$J$11</f>
        <v>0</v>
      </c>
      <c r="K51" s="390">
        <f>'DAL FGD'!$K$11</f>
        <v>0</v>
      </c>
      <c r="L51" s="390">
        <f>'DAL FGD'!$L$11</f>
        <v>0</v>
      </c>
      <c r="M51" s="390">
        <f>'DAL FGD'!$M$11</f>
        <v>19621467</v>
      </c>
    </row>
    <row r="52" spans="1:13" s="171" customFormat="1" ht="12.75" hidden="1" customHeight="1" outlineLevel="1">
      <c r="A52" s="166"/>
      <c r="B52" s="674" t="str">
        <f>'E-P FGD'!$B$2</f>
        <v>The University of Texas at El Paso</v>
      </c>
      <c r="C52" s="160"/>
      <c r="D52" s="390">
        <f>'E-P FGD'!$D$11</f>
        <v>22696980</v>
      </c>
      <c r="E52" s="390">
        <f>'E-P FGD'!$E$11</f>
        <v>444201</v>
      </c>
      <c r="F52" s="390">
        <f>'E-P FGD'!$F$11</f>
        <v>0</v>
      </c>
      <c r="G52" s="390">
        <f>'E-P FGD'!$G$11</f>
        <v>339939</v>
      </c>
      <c r="H52" s="390">
        <f>'E-P FGD'!$H$11</f>
        <v>0</v>
      </c>
      <c r="I52" s="390">
        <f>'E-P FGD'!$I$11</f>
        <v>0</v>
      </c>
      <c r="J52" s="390">
        <f>'E-P FGD'!$J$11</f>
        <v>0</v>
      </c>
      <c r="K52" s="390">
        <f>'E-P FGD'!$K$11</f>
        <v>0</v>
      </c>
      <c r="L52" s="390">
        <f>'E-P FGD'!$L$11</f>
        <v>0</v>
      </c>
      <c r="M52" s="390">
        <f>'E-P FGD'!$M$11</f>
        <v>23481120</v>
      </c>
    </row>
    <row r="53" spans="1:13" s="171" customFormat="1" ht="12.75" hidden="1" customHeight="1" outlineLevel="1">
      <c r="A53" s="166"/>
      <c r="B53" s="674" t="str">
        <f>'LU FGD'!$B$2</f>
        <v xml:space="preserve">Lamar University </v>
      </c>
      <c r="C53" s="160"/>
      <c r="D53" s="390">
        <f>'LU FGD'!$D$11</f>
        <v>369660</v>
      </c>
      <c r="E53" s="390">
        <f>'LU FGD'!$E$11</f>
        <v>0</v>
      </c>
      <c r="F53" s="390">
        <f>'LU FGD'!$F$11</f>
        <v>0</v>
      </c>
      <c r="G53" s="390">
        <f>'LU FGD'!$G$11</f>
        <v>6646567</v>
      </c>
      <c r="H53" s="390">
        <f>'LU FGD'!$H$11</f>
        <v>0</v>
      </c>
      <c r="I53" s="390">
        <f>'LU FGD'!$I$11</f>
        <v>0</v>
      </c>
      <c r="J53" s="390">
        <f>'LU FGD'!$J$11</f>
        <v>0</v>
      </c>
      <c r="K53" s="390">
        <f>'LU FGD'!$K$11</f>
        <v>0</v>
      </c>
      <c r="L53" s="390">
        <f>'LU FGD'!$L$11</f>
        <v>0</v>
      </c>
      <c r="M53" s="390">
        <f>'LU FGD'!$M$11</f>
        <v>7016227</v>
      </c>
    </row>
    <row r="54" spans="1:13" s="171" customFormat="1" ht="12.75" hidden="1" customHeight="1" outlineLevel="1">
      <c r="A54" s="166"/>
      <c r="B54" s="674" t="str">
        <f>'MidWST FGD'!$B$2</f>
        <v>Midwestern State University</v>
      </c>
      <c r="C54" s="160"/>
      <c r="D54" s="390">
        <f>'MidWST FGD'!$D$11</f>
        <v>28179</v>
      </c>
      <c r="E54" s="390">
        <f>'MidWST FGD'!$E$11</f>
        <v>0</v>
      </c>
      <c r="F54" s="390">
        <f>'MidWST FGD'!$F$11</f>
        <v>0</v>
      </c>
      <c r="G54" s="390">
        <f>'MidWST FGD'!$G$11</f>
        <v>4287787</v>
      </c>
      <c r="H54" s="390">
        <f>'MidWST FGD'!$H$11</f>
        <v>0</v>
      </c>
      <c r="I54" s="390">
        <f>'MidWST FGD'!$I$11</f>
        <v>0</v>
      </c>
      <c r="J54" s="390">
        <f>'MidWST FGD'!$J$11</f>
        <v>0</v>
      </c>
      <c r="K54" s="390">
        <f>'MidWST FGD'!$K$11</f>
        <v>0</v>
      </c>
      <c r="L54" s="390">
        <f>'MidWST FGD'!$L$11</f>
        <v>0</v>
      </c>
      <c r="M54" s="390">
        <f>'MidWST FGD'!$M$11</f>
        <v>4315966</v>
      </c>
    </row>
    <row r="55" spans="1:13" s="171" customFormat="1" ht="12.75" hidden="1" customHeight="1" outlineLevel="1">
      <c r="A55" s="166"/>
      <c r="B55" s="674" t="str">
        <f>'P-B FGD'!$B$2</f>
        <v>The University of Texas of the Permian Basin</v>
      </c>
      <c r="C55" s="160"/>
      <c r="D55" s="390">
        <f>'P-B FGD'!$D$11</f>
        <v>39421</v>
      </c>
      <c r="E55" s="390">
        <f>'P-B FGD'!$E$11</f>
        <v>6970439</v>
      </c>
      <c r="F55" s="390">
        <f>'P-B FGD'!$F$11</f>
        <v>0</v>
      </c>
      <c r="G55" s="390">
        <f>'P-B FGD'!$G$11</f>
        <v>2587162</v>
      </c>
      <c r="H55" s="390">
        <f>'P-B FGD'!$H$11</f>
        <v>0</v>
      </c>
      <c r="I55" s="390">
        <f>'P-B FGD'!$I$11</f>
        <v>0</v>
      </c>
      <c r="J55" s="390">
        <f>'P-B FGD'!$J$11</f>
        <v>0</v>
      </c>
      <c r="K55" s="390">
        <f>'P-B FGD'!$K$11</f>
        <v>0</v>
      </c>
      <c r="L55" s="390">
        <f>'P-B FGD'!$L$11</f>
        <v>0</v>
      </c>
      <c r="M55" s="390">
        <f>'P-B FGD'!$M$11</f>
        <v>9597022</v>
      </c>
    </row>
    <row r="56" spans="1:13" s="171" customFormat="1" ht="12.75" hidden="1" customHeight="1" outlineLevel="1">
      <c r="A56" s="166"/>
      <c r="B56" s="674" t="str">
        <f>'PVAMU FGD'!$B$2</f>
        <v>Prairie View A&amp;M University</v>
      </c>
      <c r="C56" s="160"/>
      <c r="D56" s="390">
        <f>'PVAMU FGD'!$D$11</f>
        <v>62390</v>
      </c>
      <c r="E56" s="390">
        <f>'PVAMU FGD'!$E$11</f>
        <v>83000</v>
      </c>
      <c r="F56" s="390">
        <f>'PVAMU FGD'!$F$11</f>
        <v>0</v>
      </c>
      <c r="G56" s="390">
        <f>'PVAMU FGD'!$G$11</f>
        <v>12912804</v>
      </c>
      <c r="H56" s="390">
        <f>'PVAMU FGD'!$H$11</f>
        <v>0</v>
      </c>
      <c r="I56" s="390">
        <f>'PVAMU FGD'!$I$11</f>
        <v>0</v>
      </c>
      <c r="J56" s="390">
        <f>'PVAMU FGD'!$J$11</f>
        <v>0</v>
      </c>
      <c r="K56" s="390">
        <f>'PVAMU FGD'!$K$11</f>
        <v>0</v>
      </c>
      <c r="L56" s="390">
        <f>'PVAMU FGD'!$L$11</f>
        <v>0</v>
      </c>
      <c r="M56" s="390">
        <f>'PVAMU FGD'!$M$11</f>
        <v>13058194</v>
      </c>
    </row>
    <row r="57" spans="1:13" s="171" customFormat="1" ht="12.75" hidden="1" customHeight="1" outlineLevel="1">
      <c r="A57" s="166"/>
      <c r="B57" s="674" t="str">
        <f>'S-A FGD'!$B$2</f>
        <v>The University of Texas at San Antonio</v>
      </c>
      <c r="C57" s="160"/>
      <c r="D57" s="390">
        <f>'S-A FGD'!$D$11</f>
        <v>23481728</v>
      </c>
      <c r="E57" s="390">
        <f>'S-A FGD'!$E$11</f>
        <v>780187</v>
      </c>
      <c r="F57" s="390">
        <f>'S-A FGD'!$F$11</f>
        <v>0</v>
      </c>
      <c r="G57" s="390">
        <f>'S-A FGD'!$G$11</f>
        <v>1719659</v>
      </c>
      <c r="H57" s="390">
        <f>'S-A FGD'!$H$11</f>
        <v>0</v>
      </c>
      <c r="I57" s="390">
        <f>'S-A FGD'!$I$11</f>
        <v>0</v>
      </c>
      <c r="J57" s="390">
        <f>'S-A FGD'!$J$11</f>
        <v>0</v>
      </c>
      <c r="K57" s="390">
        <f>'S-A FGD'!$K$11</f>
        <v>0</v>
      </c>
      <c r="L57" s="390">
        <f>'S-A FGD'!$L$11</f>
        <v>0</v>
      </c>
      <c r="M57" s="390">
        <f>'S-A FGD'!$M$11</f>
        <v>25981574</v>
      </c>
    </row>
    <row r="58" spans="1:13" s="171" customFormat="1" ht="12.75" hidden="1" customHeight="1" outlineLevel="1">
      <c r="A58" s="166"/>
      <c r="B58" s="674" t="str">
        <f>'SFA FGD'!$B$2</f>
        <v>Stephen F. Austin State University</v>
      </c>
      <c r="C58" s="160"/>
      <c r="D58" s="390">
        <f>'SFA FGD'!$D$11</f>
        <v>9316719</v>
      </c>
      <c r="E58" s="390">
        <f>'SFA FGD'!$E$11</f>
        <v>0</v>
      </c>
      <c r="F58" s="390">
        <f>'SFA FGD'!$F$11</f>
        <v>0</v>
      </c>
      <c r="G58" s="390">
        <f>'SFA FGD'!$G$11</f>
        <v>2429352</v>
      </c>
      <c r="H58" s="390">
        <f>'SFA FGD'!$H$11</f>
        <v>0</v>
      </c>
      <c r="I58" s="390">
        <f>'SFA FGD'!$I$11</f>
        <v>0</v>
      </c>
      <c r="J58" s="390">
        <f>'SFA FGD'!$J$11</f>
        <v>0</v>
      </c>
      <c r="K58" s="390">
        <f>'SFA FGD'!$K$11</f>
        <v>0</v>
      </c>
      <c r="L58" s="390">
        <f>'SFA FGD'!$L$11</f>
        <v>0</v>
      </c>
      <c r="M58" s="390">
        <f>'SFA FGD'!$M$11</f>
        <v>11746071</v>
      </c>
    </row>
    <row r="59" spans="1:13" s="171" customFormat="1" ht="12.75" hidden="1" customHeight="1" outlineLevel="1">
      <c r="A59" s="166"/>
      <c r="B59" s="674" t="str">
        <f>'shsu1 FGD'!$B$2</f>
        <v>Sam Houston State University - Academic &amp; Health (A+H)</v>
      </c>
      <c r="C59" s="160"/>
      <c r="D59" s="390">
        <f>'shsu1 FGD'!$D$11</f>
        <v>0</v>
      </c>
      <c r="E59" s="390">
        <f>'shsu1 FGD'!$E$11</f>
        <v>0</v>
      </c>
      <c r="F59" s="390">
        <f>'shsu1 FGD'!$F$11</f>
        <v>0</v>
      </c>
      <c r="G59" s="390">
        <f>'shsu1 FGD'!$G$11</f>
        <v>19252206</v>
      </c>
      <c r="H59" s="390">
        <f>'shsu1 FGD'!$H$11</f>
        <v>0</v>
      </c>
      <c r="I59" s="390">
        <f>'shsu1 FGD'!$I$11</f>
        <v>0</v>
      </c>
      <c r="J59" s="390">
        <f>'shsu1 FGD'!$J$11</f>
        <v>0</v>
      </c>
      <c r="K59" s="390">
        <f>'shsu1 FGD'!$K$11</f>
        <v>0</v>
      </c>
      <c r="L59" s="390">
        <f>'shsu1 FGD'!$L$11</f>
        <v>0</v>
      </c>
      <c r="M59" s="390">
        <f>'shsu1 FGD'!$M$11</f>
        <v>19252206</v>
      </c>
    </row>
    <row r="60" spans="1:13" s="171" customFormat="1" ht="12.75" hidden="1" customHeight="1" outlineLevel="1">
      <c r="A60" s="166"/>
      <c r="B60" s="674" t="str">
        <f>'SRSU FGD'!$B$2</f>
        <v>Sul Ross State University</v>
      </c>
      <c r="C60" s="160"/>
      <c r="D60" s="390">
        <f>'SRSU FGD'!$D$11</f>
        <v>0</v>
      </c>
      <c r="E60" s="390">
        <f>'SRSU FGD'!$E$11</f>
        <v>0</v>
      </c>
      <c r="F60" s="390">
        <f>'SRSU FGD'!$F$11</f>
        <v>0</v>
      </c>
      <c r="G60" s="390">
        <f>'SRSU FGD'!$G$11</f>
        <v>1819893</v>
      </c>
      <c r="H60" s="390">
        <f>'SRSU FGD'!$H$11</f>
        <v>0</v>
      </c>
      <c r="I60" s="390">
        <f>'SRSU FGD'!$I$11</f>
        <v>0</v>
      </c>
      <c r="J60" s="390">
        <f>'SRSU FGD'!$J$11</f>
        <v>0</v>
      </c>
      <c r="K60" s="390">
        <f>'SRSU FGD'!$K$11</f>
        <v>0</v>
      </c>
      <c r="L60" s="390">
        <f>'SRSU FGD'!$L$11</f>
        <v>0</v>
      </c>
      <c r="M60" s="390">
        <f>'SRSU FGD'!$M$11</f>
        <v>1819893</v>
      </c>
    </row>
    <row r="61" spans="1:13" s="171" customFormat="1" ht="12.75" hidden="1" customHeight="1" outlineLevel="1">
      <c r="A61" s="166"/>
      <c r="B61" s="674" t="str">
        <f>'TAMIU FGD'!$B$2</f>
        <v>Texas A&amp;M International University</v>
      </c>
      <c r="C61" s="160"/>
      <c r="D61" s="390">
        <f>'TAMIU FGD'!$D$11</f>
        <v>237379</v>
      </c>
      <c r="E61" s="390">
        <f>'TAMIU FGD'!$E$11</f>
        <v>95661</v>
      </c>
      <c r="F61" s="390">
        <f>'TAMIU FGD'!$F$11</f>
        <v>0</v>
      </c>
      <c r="G61" s="390">
        <f>'TAMIU FGD'!$G$11</f>
        <v>12124592</v>
      </c>
      <c r="H61" s="390">
        <f>'TAMIU FGD'!$H$11</f>
        <v>0</v>
      </c>
      <c r="I61" s="390">
        <f>'TAMIU FGD'!$I$11</f>
        <v>0</v>
      </c>
      <c r="J61" s="390">
        <f>'TAMIU FGD'!$J$11</f>
        <v>0</v>
      </c>
      <c r="K61" s="390">
        <f>'TAMIU FGD'!$K$11</f>
        <v>0</v>
      </c>
      <c r="L61" s="390">
        <f>'TAMIU FGD'!$L$11</f>
        <v>0</v>
      </c>
      <c r="M61" s="390">
        <f>'TAMIU FGD'!$M$11</f>
        <v>12457632</v>
      </c>
    </row>
    <row r="62" spans="1:13" s="171" customFormat="1" ht="12.75" hidden="1" customHeight="1" outlineLevel="1">
      <c r="A62" s="166"/>
      <c r="B62" s="674" t="str">
        <f>'TAMU FGD'!$B$2</f>
        <v>Texas A&amp;M University</v>
      </c>
      <c r="C62" s="160"/>
      <c r="D62" s="390">
        <f>'TAMU FGD'!$D$11</f>
        <v>72824110</v>
      </c>
      <c r="E62" s="390">
        <f>'TAMU FGD'!$E$11</f>
        <v>374370</v>
      </c>
      <c r="F62" s="390">
        <f>'TAMU FGD'!$F$11</f>
        <v>0</v>
      </c>
      <c r="G62" s="390">
        <f>'TAMU FGD'!$G$11</f>
        <v>8372614</v>
      </c>
      <c r="H62" s="390">
        <f>'TAMU FGD'!$H$11</f>
        <v>0</v>
      </c>
      <c r="I62" s="390">
        <f>'TAMU FGD'!$I$11</f>
        <v>0</v>
      </c>
      <c r="J62" s="390">
        <f>'TAMU FGD'!$J$11</f>
        <v>0</v>
      </c>
      <c r="K62" s="390">
        <f>'TAMU FGD'!$K$11</f>
        <v>0</v>
      </c>
      <c r="L62" s="390">
        <f>'TAMU FGD'!$L$11</f>
        <v>0</v>
      </c>
      <c r="M62" s="390">
        <f>'TAMU FGD'!$M$11</f>
        <v>81571094</v>
      </c>
    </row>
    <row r="63" spans="1:13" s="171" customFormat="1" ht="12.75" hidden="1" customHeight="1" outlineLevel="1">
      <c r="A63" s="166"/>
      <c r="B63" s="674" t="str">
        <f>'TAMUC FGD'!$B$2</f>
        <v>Texas A&amp;M University - Commerce</v>
      </c>
      <c r="C63" s="160"/>
      <c r="D63" s="390">
        <f>'TAMUC FGD'!$D$11</f>
        <v>108918</v>
      </c>
      <c r="E63" s="390">
        <f>'TAMUC FGD'!$E$11</f>
        <v>73228</v>
      </c>
      <c r="F63" s="390">
        <f>'TAMUC FGD'!$F$11</f>
        <v>0</v>
      </c>
      <c r="G63" s="390">
        <f>'TAMUC FGD'!$G$11</f>
        <v>6977288</v>
      </c>
      <c r="H63" s="390">
        <f>'TAMUC FGD'!$H$11</f>
        <v>0</v>
      </c>
      <c r="I63" s="390">
        <f>'TAMUC FGD'!$I$11</f>
        <v>0</v>
      </c>
      <c r="J63" s="390">
        <f>'TAMUC FGD'!$J$11</f>
        <v>0</v>
      </c>
      <c r="K63" s="390">
        <f>'TAMUC FGD'!$K$11</f>
        <v>0</v>
      </c>
      <c r="L63" s="390">
        <f>'TAMUC FGD'!$L$11</f>
        <v>0</v>
      </c>
      <c r="M63" s="390">
        <f>'TAMUC FGD'!$M$11</f>
        <v>7159434</v>
      </c>
    </row>
    <row r="64" spans="1:13" s="171" customFormat="1" ht="12.75" hidden="1" customHeight="1" outlineLevel="1">
      <c r="A64" s="166"/>
      <c r="B64" s="674" t="str">
        <f>'TAMUCC FGD'!$B$2</f>
        <v>Texas A&amp;M University - Corpus Christi</v>
      </c>
      <c r="C64" s="160"/>
      <c r="D64" s="390">
        <f>'TAMUCC FGD'!$D$11</f>
        <v>149201</v>
      </c>
      <c r="E64" s="390">
        <f>'TAMUCC FGD'!$E$11</f>
        <v>85763</v>
      </c>
      <c r="F64" s="390">
        <f>'TAMUCC FGD'!$F$11</f>
        <v>0</v>
      </c>
      <c r="G64" s="390">
        <f>'TAMUCC FGD'!$G$11</f>
        <v>9096684</v>
      </c>
      <c r="H64" s="390">
        <f>'TAMUCC FGD'!$H$11</f>
        <v>0</v>
      </c>
      <c r="I64" s="390">
        <f>'TAMUCC FGD'!$I$11</f>
        <v>0</v>
      </c>
      <c r="J64" s="390">
        <f>'TAMUCC FGD'!$J$11</f>
        <v>0</v>
      </c>
      <c r="K64" s="390">
        <f>'TAMUCC FGD'!$K$11</f>
        <v>0</v>
      </c>
      <c r="L64" s="390">
        <f>'TAMUCC FGD'!$L$11</f>
        <v>0</v>
      </c>
      <c r="M64" s="390">
        <f>'TAMUCC FGD'!$M$11</f>
        <v>9331648</v>
      </c>
    </row>
    <row r="65" spans="1:13" s="171" customFormat="1" ht="12.75" hidden="1" customHeight="1" outlineLevel="1">
      <c r="A65" s="166"/>
      <c r="B65" s="674" t="str">
        <f>'TAMUCT FGD'!$B$2</f>
        <v>Texas A&amp;M University - Central Texas</v>
      </c>
      <c r="C65" s="160"/>
      <c r="D65" s="390">
        <f>'TAMUCT FGD'!$D$11</f>
        <v>460509</v>
      </c>
      <c r="E65" s="390">
        <f>'TAMUCT FGD'!$E$11</f>
        <v>16000</v>
      </c>
      <c r="F65" s="390">
        <f>'TAMUCT FGD'!$F$11</f>
        <v>0</v>
      </c>
      <c r="G65" s="390">
        <f>'TAMUCT FGD'!$G$11</f>
        <v>0</v>
      </c>
      <c r="H65" s="390">
        <f>'TAMUCT FGD'!$H$11</f>
        <v>0</v>
      </c>
      <c r="I65" s="390">
        <f>'TAMUCT FGD'!$I$11</f>
        <v>0</v>
      </c>
      <c r="J65" s="390">
        <f>'TAMUCT FGD'!$J$11</f>
        <v>0</v>
      </c>
      <c r="K65" s="390">
        <f>'TAMUCT FGD'!$K$11</f>
        <v>0</v>
      </c>
      <c r="L65" s="390">
        <f>'TAMUCT FGD'!$L$11</f>
        <v>0</v>
      </c>
      <c r="M65" s="390">
        <f>'TAMUCT FGD'!$M$11</f>
        <v>476509</v>
      </c>
    </row>
    <row r="66" spans="1:13" s="171" customFormat="1" ht="12.75" hidden="1" customHeight="1" outlineLevel="1">
      <c r="A66" s="166"/>
      <c r="B66" s="674" t="str">
        <f>'TAMUG FGD'!$B$2</f>
        <v>Texas A&amp;M University at Galveston</v>
      </c>
      <c r="C66" s="160"/>
      <c r="D66" s="390">
        <f>'TAMUG FGD'!$D$11</f>
        <v>751423</v>
      </c>
      <c r="E66" s="390">
        <f>'TAMUG FGD'!$E$11</f>
        <v>10000</v>
      </c>
      <c r="F66" s="390">
        <f>'TAMUG FGD'!$F$11</f>
        <v>0</v>
      </c>
      <c r="G66" s="390">
        <f>'TAMUG FGD'!$G$11</f>
        <v>15079</v>
      </c>
      <c r="H66" s="390">
        <f>'TAMUG FGD'!$H$11</f>
        <v>0</v>
      </c>
      <c r="I66" s="390">
        <f>'TAMUG FGD'!$I$11</f>
        <v>0</v>
      </c>
      <c r="J66" s="390">
        <f>'TAMUG FGD'!$J$11</f>
        <v>0</v>
      </c>
      <c r="K66" s="390">
        <f>'TAMUG FGD'!$K$11</f>
        <v>0</v>
      </c>
      <c r="L66" s="390">
        <f>'TAMUG FGD'!$L$11</f>
        <v>0</v>
      </c>
      <c r="M66" s="390">
        <f>'TAMUG FGD'!$M$11</f>
        <v>776502</v>
      </c>
    </row>
    <row r="67" spans="1:13" s="171" customFormat="1" ht="12.75" hidden="1" customHeight="1" outlineLevel="1">
      <c r="A67" s="166"/>
      <c r="B67" s="674" t="str">
        <f>'TAMUK FGD'!$B$2</f>
        <v>Texas A&amp;M University - Kingsville</v>
      </c>
      <c r="C67" s="160"/>
      <c r="D67" s="390">
        <f>'TAMUK FGD'!$D$11</f>
        <v>1258323</v>
      </c>
      <c r="E67" s="390">
        <f>'TAMUK FGD'!$E$11</f>
        <v>72857</v>
      </c>
      <c r="F67" s="390">
        <f>'TAMUK FGD'!$F$11</f>
        <v>0</v>
      </c>
      <c r="G67" s="390">
        <f>'TAMUK FGD'!$G$11</f>
        <v>7801346</v>
      </c>
      <c r="H67" s="390">
        <f>'TAMUK FGD'!$H$11</f>
        <v>0</v>
      </c>
      <c r="I67" s="390">
        <f>'TAMUK FGD'!$I$11</f>
        <v>0</v>
      </c>
      <c r="J67" s="390">
        <f>'TAMUK FGD'!$J$11</f>
        <v>0</v>
      </c>
      <c r="K67" s="390">
        <f>'TAMUK FGD'!$K$11</f>
        <v>0</v>
      </c>
      <c r="L67" s="390">
        <f>'TAMUK FGD'!$L$11</f>
        <v>0</v>
      </c>
      <c r="M67" s="390">
        <f>'TAMUK FGD'!$M$11</f>
        <v>9132526</v>
      </c>
    </row>
    <row r="68" spans="1:13" s="171" customFormat="1" ht="12.75" hidden="1" customHeight="1" outlineLevel="1">
      <c r="A68" s="166"/>
      <c r="B68" s="674" t="str">
        <f>'TAMUSA FGD'!$B$2</f>
        <v>Texas A&amp;M University - San Antonio</v>
      </c>
      <c r="C68" s="160"/>
      <c r="D68" s="390">
        <f>'TAMUSA FGD'!$D$11</f>
        <v>42587</v>
      </c>
      <c r="E68" s="390">
        <f>'TAMUSA FGD'!$E$11</f>
        <v>43000</v>
      </c>
      <c r="F68" s="390">
        <f>'TAMUSA FGD'!$F$11</f>
        <v>0</v>
      </c>
      <c r="G68" s="390">
        <f>'TAMUSA FGD'!$G$11</f>
        <v>2781727</v>
      </c>
      <c r="H68" s="390">
        <f>'TAMUSA FGD'!$H$11</f>
        <v>0</v>
      </c>
      <c r="I68" s="390">
        <f>'TAMUSA FGD'!$I$11</f>
        <v>0</v>
      </c>
      <c r="J68" s="390">
        <f>'TAMUSA FGD'!$J$11</f>
        <v>0</v>
      </c>
      <c r="K68" s="390">
        <f>'TAMUSA FGD'!$K$11</f>
        <v>0</v>
      </c>
      <c r="L68" s="390">
        <f>'TAMUSA FGD'!$L$11</f>
        <v>0</v>
      </c>
      <c r="M68" s="390">
        <f>'TAMUSA FGD'!$M$11</f>
        <v>2867314</v>
      </c>
    </row>
    <row r="69" spans="1:13" s="171" customFormat="1" ht="12.75" hidden="1" customHeight="1" outlineLevel="1">
      <c r="A69" s="166"/>
      <c r="B69" s="674" t="str">
        <f>'TAMUT FGD'!$B$2</f>
        <v>Texas A&amp;M University - Texarkana</v>
      </c>
      <c r="C69" s="160"/>
      <c r="D69" s="390">
        <f>'TAMUT FGD'!$D$11</f>
        <v>986487</v>
      </c>
      <c r="E69" s="390">
        <f>'TAMUT FGD'!$E$11</f>
        <v>14024</v>
      </c>
      <c r="F69" s="390">
        <f>'TAMUT FGD'!$F$11</f>
        <v>0</v>
      </c>
      <c r="G69" s="390">
        <f>'TAMUT FGD'!$G$11</f>
        <v>11978</v>
      </c>
      <c r="H69" s="390">
        <f>'TAMUT FGD'!$H$11</f>
        <v>0</v>
      </c>
      <c r="I69" s="390">
        <f>'TAMUT FGD'!$I$11</f>
        <v>0</v>
      </c>
      <c r="J69" s="390">
        <f>'TAMUT FGD'!$J$11</f>
        <v>0</v>
      </c>
      <c r="K69" s="390">
        <f>'TAMUT FGD'!$K$11</f>
        <v>0</v>
      </c>
      <c r="L69" s="390">
        <f>'TAMUT FGD'!$L$11</f>
        <v>0</v>
      </c>
      <c r="M69" s="390">
        <f>'TAMUT FGD'!$M$11</f>
        <v>1012489</v>
      </c>
    </row>
    <row r="70" spans="1:13" s="171" customFormat="1" ht="12.75" hidden="1" customHeight="1" outlineLevel="1">
      <c r="A70" s="166"/>
      <c r="B70" s="674" t="str">
        <f>'TARLST FGD'!$B$2</f>
        <v>Tarleton State University</v>
      </c>
      <c r="C70" s="160"/>
      <c r="D70" s="390">
        <f>'TARLST FGD'!$D$11</f>
        <v>204380</v>
      </c>
      <c r="E70" s="390">
        <f>'TARLST FGD'!$E$11</f>
        <v>171141</v>
      </c>
      <c r="F70" s="390">
        <f>'TARLST FGD'!$F$11</f>
        <v>0</v>
      </c>
      <c r="G70" s="390">
        <f>'TARLST FGD'!$G$11</f>
        <v>8978075</v>
      </c>
      <c r="H70" s="390">
        <f>'TARLST FGD'!$H$11</f>
        <v>0</v>
      </c>
      <c r="I70" s="390">
        <f>'TARLST FGD'!$I$11</f>
        <v>0</v>
      </c>
      <c r="J70" s="390">
        <f>'TARLST FGD'!$J$11</f>
        <v>0</v>
      </c>
      <c r="K70" s="390">
        <f>'TARLST FGD'!$K$11</f>
        <v>0</v>
      </c>
      <c r="L70" s="390">
        <f>'TARLST FGD'!$L$11</f>
        <v>0</v>
      </c>
      <c r="M70" s="390">
        <f>'TARLST FGD'!$M$11</f>
        <v>9353596</v>
      </c>
    </row>
    <row r="71" spans="1:13" s="171" customFormat="1" ht="12.75" hidden="1" customHeight="1" outlineLevel="1">
      <c r="A71" s="166"/>
      <c r="B71" s="674" t="str">
        <f>'TSU FGD'!$B$2</f>
        <v>Texas Southern University</v>
      </c>
      <c r="C71" s="160"/>
      <c r="D71" s="390">
        <f>'TSU FGD'!$D$11</f>
        <v>5511132</v>
      </c>
      <c r="E71" s="390">
        <f>'TSU FGD'!$E$11</f>
        <v>0</v>
      </c>
      <c r="F71" s="390">
        <f>'TSU FGD'!$F$11</f>
        <v>0</v>
      </c>
      <c r="G71" s="390">
        <f>'TSU FGD'!$G$11</f>
        <v>290743</v>
      </c>
      <c r="H71" s="390">
        <f>'TSU FGD'!$H$11</f>
        <v>0</v>
      </c>
      <c r="I71" s="390">
        <f>'TSU FGD'!$I$11</f>
        <v>0</v>
      </c>
      <c r="J71" s="390">
        <f>'TSU FGD'!$J$11</f>
        <v>0</v>
      </c>
      <c r="K71" s="390">
        <f>'TSU FGD'!$K$11</f>
        <v>0</v>
      </c>
      <c r="L71" s="390">
        <f>'TSU FGD'!$L$11</f>
        <v>0</v>
      </c>
      <c r="M71" s="390">
        <f>'TSU FGD'!$M$11</f>
        <v>5801875</v>
      </c>
    </row>
    <row r="72" spans="1:13" s="171" customFormat="1" ht="12.75" hidden="1" customHeight="1" outlineLevel="1">
      <c r="A72" s="166"/>
      <c r="B72" s="674" t="str">
        <f>'TTU FGD'!$B$2</f>
        <v>Texas Tech University</v>
      </c>
      <c r="C72" s="160"/>
      <c r="D72" s="390">
        <f>'TTU FGD'!$D$11</f>
        <v>884474</v>
      </c>
      <c r="E72" s="390">
        <f>'TTU FGD'!$E$11</f>
        <v>4646618</v>
      </c>
      <c r="F72" s="390">
        <f>'TTU FGD'!$F$11</f>
        <v>0</v>
      </c>
      <c r="G72" s="390">
        <f>'TTU FGD'!$G$11</f>
        <v>13952224</v>
      </c>
      <c r="H72" s="390">
        <f>'TTU FGD'!$H$11</f>
        <v>0</v>
      </c>
      <c r="I72" s="390">
        <f>'TTU FGD'!$I$11</f>
        <v>0</v>
      </c>
      <c r="J72" s="390">
        <f>'TTU FGD'!$J$11</f>
        <v>0</v>
      </c>
      <c r="K72" s="390">
        <f>'TTU FGD'!$K$11</f>
        <v>0</v>
      </c>
      <c r="L72" s="390">
        <f>'TTU FGD'!$L$11</f>
        <v>0</v>
      </c>
      <c r="M72" s="390">
        <f>'TTU FGD'!$M$11</f>
        <v>19483316</v>
      </c>
    </row>
    <row r="73" spans="1:13" s="171" customFormat="1" ht="12.75" hidden="1" customHeight="1" outlineLevel="1">
      <c r="A73" s="166"/>
      <c r="B73" s="674" t="str">
        <f>'TWU FGD'!$B$2</f>
        <v>Texas Woman's University</v>
      </c>
      <c r="C73" s="160"/>
      <c r="D73" s="390">
        <f>'TWU FGD'!$D$11</f>
        <v>0</v>
      </c>
      <c r="E73" s="390">
        <f>'TWU FGD'!$E$11</f>
        <v>0</v>
      </c>
      <c r="F73" s="390">
        <f>'TWU FGD'!$F$11</f>
        <v>0</v>
      </c>
      <c r="G73" s="390">
        <f>'TWU FGD'!$G$11</f>
        <v>6193003</v>
      </c>
      <c r="H73" s="390">
        <f>'TWU FGD'!$H$11</f>
        <v>0</v>
      </c>
      <c r="I73" s="390">
        <f>'TWU FGD'!$I$11</f>
        <v>0</v>
      </c>
      <c r="J73" s="390">
        <f>'TWU FGD'!$J$11</f>
        <v>0</v>
      </c>
      <c r="K73" s="390">
        <f>'TWU FGD'!$K$11</f>
        <v>0</v>
      </c>
      <c r="L73" s="390">
        <f>'TWU FGD'!$L$11</f>
        <v>0</v>
      </c>
      <c r="M73" s="390">
        <f>'TWU FGD'!$M$11</f>
        <v>6193003</v>
      </c>
    </row>
    <row r="74" spans="1:13" s="171" customFormat="1" ht="12.75" hidden="1" customHeight="1" outlineLevel="1">
      <c r="A74" s="166"/>
      <c r="B74" s="674" t="str">
        <f>'TXST FGD'!$B$2</f>
        <v>Texas State University</v>
      </c>
      <c r="C74" s="160"/>
      <c r="D74" s="390">
        <f>'TXST FGD'!$D$11</f>
        <v>147947</v>
      </c>
      <c r="E74" s="390">
        <f>'TXST FGD'!$E$11</f>
        <v>200000</v>
      </c>
      <c r="F74" s="390">
        <f>'TXST FGD'!$F$11</f>
        <v>0</v>
      </c>
      <c r="G74" s="390">
        <f>'TXST FGD'!$G$11</f>
        <v>30876542</v>
      </c>
      <c r="H74" s="390">
        <f>'TXST FGD'!$H$11</f>
        <v>0</v>
      </c>
      <c r="I74" s="390">
        <f>'TXST FGD'!$I$11</f>
        <v>0</v>
      </c>
      <c r="J74" s="390">
        <f>'TXST FGD'!$J$11</f>
        <v>0</v>
      </c>
      <c r="K74" s="390">
        <f>'TXST FGD'!$K$11</f>
        <v>0</v>
      </c>
      <c r="L74" s="390">
        <f>'TXST FGD'!$L$11</f>
        <v>0</v>
      </c>
      <c r="M74" s="390">
        <f>'TXST FGD'!$M$11</f>
        <v>31224489</v>
      </c>
    </row>
    <row r="75" spans="1:13" s="171" customFormat="1" ht="12.75" hidden="1" customHeight="1" outlineLevel="1">
      <c r="A75" s="166"/>
      <c r="B75" s="674" t="str">
        <f>'TYL FGD'!$B$2</f>
        <v>The University of Texas at Tyler</v>
      </c>
      <c r="C75" s="160"/>
      <c r="D75" s="390">
        <f>'TYL FGD'!$D$11</f>
        <v>4764228</v>
      </c>
      <c r="E75" s="390">
        <f>'TYL FGD'!$E$11</f>
        <v>7790960</v>
      </c>
      <c r="F75" s="390">
        <f>'TYL FGD'!$F$11</f>
        <v>0</v>
      </c>
      <c r="G75" s="390">
        <f>'TYL FGD'!$G$11</f>
        <v>218470</v>
      </c>
      <c r="H75" s="390">
        <f>'TYL FGD'!$H$11</f>
        <v>0</v>
      </c>
      <c r="I75" s="390">
        <f>'TYL FGD'!$I$11</f>
        <v>0</v>
      </c>
      <c r="J75" s="390">
        <f>'TYL FGD'!$J$11</f>
        <v>0</v>
      </c>
      <c r="K75" s="390">
        <f>'TYL FGD'!$K$11</f>
        <v>0</v>
      </c>
      <c r="L75" s="390">
        <f>'TYL FGD'!$L$11</f>
        <v>0</v>
      </c>
      <c r="M75" s="390">
        <f>'TYL FGD'!$M$11</f>
        <v>12773658</v>
      </c>
    </row>
    <row r="76" spans="1:13" s="171" customFormat="1" ht="12.75" hidden="1" customHeight="1" outlineLevel="1">
      <c r="A76" s="166"/>
      <c r="B76" s="674" t="str">
        <f>'UH1 FGD'!$B$2</f>
        <v>University of Houston - Academic &amp; Health (A+H)</v>
      </c>
      <c r="C76" s="160"/>
      <c r="D76" s="390">
        <f>'UH1 FGD'!$D$11</f>
        <v>264519</v>
      </c>
      <c r="E76" s="390">
        <f>'UH1 FGD'!$E$11</f>
        <v>0</v>
      </c>
      <c r="F76" s="390">
        <f>'UH1 FGD'!$F$11</f>
        <v>0</v>
      </c>
      <c r="G76" s="390">
        <f>'UH1 FGD'!$G$11</f>
        <v>44433568</v>
      </c>
      <c r="H76" s="390">
        <f>'UH1 FGD'!$H$11</f>
        <v>0</v>
      </c>
      <c r="I76" s="390">
        <f>'UH1 FGD'!$I$11</f>
        <v>0</v>
      </c>
      <c r="J76" s="390">
        <f>'UH1 FGD'!$J$11</f>
        <v>0</v>
      </c>
      <c r="K76" s="390">
        <f>'UH1 FGD'!$K$11</f>
        <v>0</v>
      </c>
      <c r="L76" s="390">
        <f>'UH1 FGD'!$L$11</f>
        <v>0</v>
      </c>
      <c r="M76" s="390">
        <f>'UH1 FGD'!$M$11</f>
        <v>44698087</v>
      </c>
    </row>
    <row r="77" spans="1:13" s="171" customFormat="1" ht="12.75" hidden="1" customHeight="1" outlineLevel="1">
      <c r="A77" s="166"/>
      <c r="B77" s="674" t="str">
        <f>'UHCL FGD'!$B$2</f>
        <v>University of Houston - Clear Lake</v>
      </c>
      <c r="C77" s="160"/>
      <c r="D77" s="390">
        <f>'UHCL FGD'!$D$11</f>
        <v>518868</v>
      </c>
      <c r="E77" s="390">
        <f>'UHCL FGD'!$E$11</f>
        <v>0</v>
      </c>
      <c r="F77" s="390">
        <f>'UHCL FGD'!$F$11</f>
        <v>0</v>
      </c>
      <c r="G77" s="390">
        <f>'UHCL FGD'!$G$11</f>
        <v>3842350</v>
      </c>
      <c r="H77" s="390">
        <f>'UHCL FGD'!$H$11</f>
        <v>0</v>
      </c>
      <c r="I77" s="390">
        <f>'UHCL FGD'!$I$11</f>
        <v>0</v>
      </c>
      <c r="J77" s="390">
        <f>'UHCL FGD'!$J$11</f>
        <v>0</v>
      </c>
      <c r="K77" s="390">
        <f>'UHCL FGD'!$K$11</f>
        <v>0</v>
      </c>
      <c r="L77" s="390">
        <f>'UHCL FGD'!$L$11</f>
        <v>0</v>
      </c>
      <c r="M77" s="390">
        <f>'UHCL FGD'!$M$11</f>
        <v>4361218</v>
      </c>
    </row>
    <row r="78" spans="1:13" s="171" customFormat="1" ht="12.75" hidden="1" customHeight="1" outlineLevel="1">
      <c r="A78" s="166"/>
      <c r="B78" s="674" t="str">
        <f>'UHD FGD'!$B$2</f>
        <v>University of Houston - Downtown</v>
      </c>
      <c r="C78" s="160"/>
      <c r="D78" s="390">
        <f>'UHD FGD'!$D$11</f>
        <v>3215815</v>
      </c>
      <c r="E78" s="390">
        <f>'UHD FGD'!$E$11</f>
        <v>0</v>
      </c>
      <c r="F78" s="390">
        <f>'UHD FGD'!$F$11</f>
        <v>0</v>
      </c>
      <c r="G78" s="390">
        <f>'UHD FGD'!$G$11</f>
        <v>5736636</v>
      </c>
      <c r="H78" s="390">
        <f>'UHD FGD'!$H$11</f>
        <v>0</v>
      </c>
      <c r="I78" s="390">
        <f>'UHD FGD'!$I$11</f>
        <v>0</v>
      </c>
      <c r="J78" s="390">
        <f>'UHD FGD'!$J$11</f>
        <v>0</v>
      </c>
      <c r="K78" s="390">
        <f>'UHD FGD'!$K$11</f>
        <v>0</v>
      </c>
      <c r="L78" s="390">
        <f>'UHD FGD'!$L$11</f>
        <v>0</v>
      </c>
      <c r="M78" s="390">
        <f>'UHD FGD'!$M$11</f>
        <v>8952451</v>
      </c>
    </row>
    <row r="79" spans="1:13" s="171" customFormat="1" ht="12.75" hidden="1" customHeight="1" outlineLevel="1">
      <c r="A79" s="166"/>
      <c r="B79" s="674" t="str">
        <f>'UHV FGD'!$B$2</f>
        <v>University of Houston - Victoria</v>
      </c>
      <c r="C79" s="160"/>
      <c r="D79" s="390">
        <f>'UHV FGD'!$D$11</f>
        <v>29612</v>
      </c>
      <c r="E79" s="390">
        <f>'UHV FGD'!$E$11</f>
        <v>0</v>
      </c>
      <c r="F79" s="390">
        <f>'UHV FGD'!$F$11</f>
        <v>0</v>
      </c>
      <c r="G79" s="390">
        <f>'UHV FGD'!$G$11</f>
        <v>2212446</v>
      </c>
      <c r="H79" s="390">
        <f>'UHV FGD'!$H$11</f>
        <v>0</v>
      </c>
      <c r="I79" s="390">
        <f>'UHV FGD'!$I$11</f>
        <v>0</v>
      </c>
      <c r="J79" s="390">
        <f>'UHV FGD'!$J$11</f>
        <v>0</v>
      </c>
      <c r="K79" s="390">
        <f>'UHV FGD'!$K$11</f>
        <v>0</v>
      </c>
      <c r="L79" s="390">
        <f>'UHV FGD'!$L$11</f>
        <v>0</v>
      </c>
      <c r="M79" s="390">
        <f>'UHV FGD'!$M$11</f>
        <v>2242058</v>
      </c>
    </row>
    <row r="80" spans="1:13" s="171" customFormat="1" ht="12.75" hidden="1" customHeight="1" outlineLevel="1">
      <c r="A80" s="166"/>
      <c r="B80" s="674" t="str">
        <f>'UNT FGD'!$B$2</f>
        <v>University of North Texas</v>
      </c>
      <c r="C80" s="160"/>
      <c r="D80" s="390">
        <f>'UNT FGD'!$D$11</f>
        <v>24615056</v>
      </c>
      <c r="E80" s="390">
        <f>'UNT FGD'!$E$11</f>
        <v>3346810</v>
      </c>
      <c r="F80" s="390">
        <f>'UNT FGD'!$F$11</f>
        <v>0</v>
      </c>
      <c r="G80" s="390">
        <f>'UNT FGD'!$G$11</f>
        <v>3703556</v>
      </c>
      <c r="H80" s="390">
        <f>'UNT FGD'!$H$11</f>
        <v>0</v>
      </c>
      <c r="I80" s="390">
        <f>'UNT FGD'!$I$11</f>
        <v>0</v>
      </c>
      <c r="J80" s="390">
        <f>'UNT FGD'!$J$11</f>
        <v>0</v>
      </c>
      <c r="K80" s="390">
        <f>'UNT FGD'!$K$11</f>
        <v>0</v>
      </c>
      <c r="L80" s="390">
        <f>'UNT FGD'!$L$11</f>
        <v>0</v>
      </c>
      <c r="M80" s="390">
        <f>'UNT FGD'!$M$11</f>
        <v>31665422</v>
      </c>
    </row>
    <row r="81" spans="1:13" s="171" customFormat="1" ht="12.75" hidden="1" customHeight="1" outlineLevel="1">
      <c r="A81" s="166"/>
      <c r="B81" s="674" t="str">
        <f>'UNTD FGD'!$B$2</f>
        <v>University of North Texas at Dallas</v>
      </c>
      <c r="C81" s="160"/>
      <c r="D81" s="390">
        <f>'UNTD FGD'!$D$11</f>
        <v>3122912</v>
      </c>
      <c r="E81" s="390">
        <f>'UNTD FGD'!$E$11</f>
        <v>0</v>
      </c>
      <c r="F81" s="390">
        <f>'UNTD FGD'!$F$11</f>
        <v>0</v>
      </c>
      <c r="G81" s="390">
        <f>'UNTD FGD'!$G$11</f>
        <v>376613</v>
      </c>
      <c r="H81" s="390">
        <f>'UNTD FGD'!$H$11</f>
        <v>0</v>
      </c>
      <c r="I81" s="390">
        <f>'UNTD FGD'!$I$11</f>
        <v>0</v>
      </c>
      <c r="J81" s="390">
        <f>'UNTD FGD'!$J$11</f>
        <v>0</v>
      </c>
      <c r="K81" s="390">
        <f>'UNTD FGD'!$K$11</f>
        <v>0</v>
      </c>
      <c r="L81" s="390">
        <f>'UNTD FGD'!$L$11</f>
        <v>0</v>
      </c>
      <c r="M81" s="390">
        <f>'UNTD FGD'!$M$11</f>
        <v>3499525</v>
      </c>
    </row>
    <row r="82" spans="1:13" s="171" customFormat="1" ht="12.75" hidden="1" customHeight="1" outlineLevel="1">
      <c r="A82" s="166"/>
      <c r="B82" s="674" t="str">
        <f>'WTAMU FGD'!$B$2</f>
        <v>West Texas A&amp;M University</v>
      </c>
      <c r="C82" s="160"/>
      <c r="D82" s="390">
        <f>'WTAMU FGD'!$D$11</f>
        <v>79447</v>
      </c>
      <c r="E82" s="390">
        <f>'WTAMU FGD'!$E$11</f>
        <v>39000</v>
      </c>
      <c r="F82" s="390">
        <f>'WTAMU FGD'!$F$11</f>
        <v>0</v>
      </c>
      <c r="G82" s="390">
        <f>'WTAMU FGD'!$G$11</f>
        <v>5685133</v>
      </c>
      <c r="H82" s="390">
        <f>'WTAMU FGD'!$H$11</f>
        <v>0</v>
      </c>
      <c r="I82" s="390">
        <f>'WTAMU FGD'!$I$11</f>
        <v>0</v>
      </c>
      <c r="J82" s="390">
        <f>'WTAMU FGD'!$J$11</f>
        <v>0</v>
      </c>
      <c r="K82" s="390">
        <f>'WTAMU FGD'!$K$11</f>
        <v>0</v>
      </c>
      <c r="L82" s="390">
        <f>'WTAMU FGD'!$L$11</f>
        <v>0</v>
      </c>
      <c r="M82" s="390">
        <f>'WTAMU FGD'!$M$11</f>
        <v>5803580</v>
      </c>
    </row>
    <row r="83" spans="1:13" s="171" customFormat="1" collapsed="1">
      <c r="A83" s="166"/>
      <c r="B83" s="160" t="s">
        <v>2</v>
      </c>
      <c r="C83" s="160"/>
      <c r="D83" s="390">
        <f t="shared" ref="D83:M83" si="1">SUM(D47:D82)</f>
        <v>279330880</v>
      </c>
      <c r="E83" s="390">
        <f t="shared" si="1"/>
        <v>47826509</v>
      </c>
      <c r="F83" s="390">
        <f t="shared" si="1"/>
        <v>0</v>
      </c>
      <c r="G83" s="390">
        <f t="shared" si="1"/>
        <v>243194293</v>
      </c>
      <c r="H83" s="390">
        <f t="shared" si="1"/>
        <v>0</v>
      </c>
      <c r="I83" s="390">
        <f t="shared" si="1"/>
        <v>0</v>
      </c>
      <c r="J83" s="390">
        <f t="shared" si="1"/>
        <v>0</v>
      </c>
      <c r="K83" s="390">
        <f t="shared" si="1"/>
        <v>0</v>
      </c>
      <c r="L83" s="390">
        <f t="shared" si="1"/>
        <v>0</v>
      </c>
      <c r="M83" s="390">
        <f t="shared" si="1"/>
        <v>570351682</v>
      </c>
    </row>
    <row r="84" spans="1:13" s="171" customFormat="1" ht="12.75" hidden="1" customHeight="1" outlineLevel="1">
      <c r="A84" s="166"/>
      <c r="B84" s="674" t="str">
        <f>'ARL FGD'!$B$2</f>
        <v>The University of Texas at Arlington</v>
      </c>
      <c r="C84" s="160"/>
      <c r="D84" s="390">
        <f>'ARL FGD'!$D$12</f>
        <v>0</v>
      </c>
      <c r="E84" s="390">
        <f>'ARL FGD'!$E$12</f>
        <v>0</v>
      </c>
      <c r="F84" s="390">
        <f>'ARL FGD'!$F$12</f>
        <v>0</v>
      </c>
      <c r="G84" s="390">
        <f>'ARL FGD'!$G$12</f>
        <v>0</v>
      </c>
      <c r="H84" s="390">
        <f>'ARL FGD'!$H$12</f>
        <v>0</v>
      </c>
      <c r="I84" s="390">
        <f>'ARL FGD'!$I$12</f>
        <v>0</v>
      </c>
      <c r="J84" s="390">
        <f>'ARL FGD'!$J$12</f>
        <v>0</v>
      </c>
      <c r="K84" s="390">
        <f>'ARL FGD'!$K$12</f>
        <v>0</v>
      </c>
      <c r="L84" s="390">
        <f>'ARL FGD'!$L$12</f>
        <v>0</v>
      </c>
      <c r="M84" s="390">
        <f>'ARL FGD'!$M$12</f>
        <v>0</v>
      </c>
    </row>
    <row r="85" spans="1:13" s="171" customFormat="1" ht="12.75" hidden="1" customHeight="1" outlineLevel="1">
      <c r="A85" s="166"/>
      <c r="B85" s="674" t="str">
        <f>'ASU FGD'!$B$2</f>
        <v>Angelo State University</v>
      </c>
      <c r="C85" s="160"/>
      <c r="D85" s="390">
        <f>'ASU FGD'!$D$12</f>
        <v>0</v>
      </c>
      <c r="E85" s="390">
        <f>'ASU FGD'!$E$12</f>
        <v>0</v>
      </c>
      <c r="F85" s="390">
        <f>'ASU FGD'!$F$12</f>
        <v>0</v>
      </c>
      <c r="G85" s="390">
        <f>'ASU FGD'!$G$12</f>
        <v>0</v>
      </c>
      <c r="H85" s="390">
        <f>'ASU FGD'!$H$12</f>
        <v>0</v>
      </c>
      <c r="I85" s="390">
        <f>'ASU FGD'!$I$12</f>
        <v>0</v>
      </c>
      <c r="J85" s="390">
        <f>'ASU FGD'!$J$12</f>
        <v>0</v>
      </c>
      <c r="K85" s="390">
        <f>'ASU FGD'!$K$12</f>
        <v>0</v>
      </c>
      <c r="L85" s="390">
        <f>'ASU FGD'!$L$12</f>
        <v>0</v>
      </c>
      <c r="M85" s="390">
        <f>'ASU FGD'!$M$12</f>
        <v>0</v>
      </c>
    </row>
    <row r="86" spans="1:13" s="171" customFormat="1" ht="12.75" hidden="1" customHeight="1" outlineLevel="1">
      <c r="A86" s="166"/>
      <c r="B86" s="674" t="str">
        <f>'AUS1 FGD'!$B$2</f>
        <v>The University of Texas at Austin - Academic &amp; Health (A+H)</v>
      </c>
      <c r="C86" s="160"/>
      <c r="D86" s="390">
        <f>'AUS1 FGD'!$D$12</f>
        <v>0</v>
      </c>
      <c r="E86" s="390">
        <f>'AUS1 FGD'!$E$12</f>
        <v>0</v>
      </c>
      <c r="F86" s="390">
        <f>'AUS1 FGD'!$F$12</f>
        <v>0</v>
      </c>
      <c r="G86" s="390">
        <f>'AUS1 FGD'!$G$12</f>
        <v>0</v>
      </c>
      <c r="H86" s="390">
        <f>'AUS1 FGD'!$H$12</f>
        <v>0</v>
      </c>
      <c r="I86" s="390">
        <f>'AUS1 FGD'!$I$12</f>
        <v>0</v>
      </c>
      <c r="J86" s="390">
        <f>'AUS1 FGD'!$J$12</f>
        <v>0</v>
      </c>
      <c r="K86" s="390">
        <f>'AUS1 FGD'!$K$12</f>
        <v>0</v>
      </c>
      <c r="L86" s="390">
        <f>'AUS1 FGD'!$L$12</f>
        <v>0</v>
      </c>
      <c r="M86" s="390">
        <f>'AUS1 FGD'!$M$12</f>
        <v>0</v>
      </c>
    </row>
    <row r="87" spans="1:13" s="171" customFormat="1" ht="12.75" hidden="1" customHeight="1" outlineLevel="1">
      <c r="A87" s="166"/>
      <c r="B87" s="674" t="str">
        <f>'RGV1 FGD'!$B$2</f>
        <v>The University of Texas RGV - Academic &amp; Health (A+H)</v>
      </c>
      <c r="C87" s="160"/>
      <c r="D87" s="390">
        <f>'RGV1 FGD'!$D$12</f>
        <v>0</v>
      </c>
      <c r="E87" s="390">
        <f>'RGV1 FGD'!$E$12</f>
        <v>0</v>
      </c>
      <c r="F87" s="390">
        <f>'RGV1 FGD'!$F$12</f>
        <v>0</v>
      </c>
      <c r="G87" s="390">
        <f>'RGV1 FGD'!$G$12</f>
        <v>0</v>
      </c>
      <c r="H87" s="390">
        <f>'RGV1 FGD'!$H$12</f>
        <v>0</v>
      </c>
      <c r="I87" s="390">
        <f>'RGV1 FGD'!$I$12</f>
        <v>0</v>
      </c>
      <c r="J87" s="390">
        <f>'RGV1 FGD'!$J$12</f>
        <v>0</v>
      </c>
      <c r="K87" s="390">
        <f>'RGV1 FGD'!$K$12</f>
        <v>0</v>
      </c>
      <c r="L87" s="390">
        <f>'RGV1 FGD'!$L$12</f>
        <v>0</v>
      </c>
      <c r="M87" s="390">
        <f>'RGV1 FGD'!$M$12</f>
        <v>0</v>
      </c>
    </row>
    <row r="88" spans="1:13" s="171" customFormat="1" ht="12.75" hidden="1" customHeight="1" outlineLevel="1">
      <c r="A88" s="166"/>
      <c r="B88" s="674" t="str">
        <f>'DAL FGD'!$B$2</f>
        <v>The University of Texas at Dallas</v>
      </c>
      <c r="C88" s="160"/>
      <c r="D88" s="390">
        <f>'DAL FGD'!$D$12</f>
        <v>0</v>
      </c>
      <c r="E88" s="390">
        <f>'DAL FGD'!$E$12</f>
        <v>0</v>
      </c>
      <c r="F88" s="390">
        <f>'DAL FGD'!$F$12</f>
        <v>0</v>
      </c>
      <c r="G88" s="390">
        <f>'DAL FGD'!$G$12</f>
        <v>0</v>
      </c>
      <c r="H88" s="390">
        <f>'DAL FGD'!$H$12</f>
        <v>0</v>
      </c>
      <c r="I88" s="390">
        <f>'DAL FGD'!$I$12</f>
        <v>0</v>
      </c>
      <c r="J88" s="390">
        <f>'DAL FGD'!$J$12</f>
        <v>0</v>
      </c>
      <c r="K88" s="390">
        <f>'DAL FGD'!$K$12</f>
        <v>0</v>
      </c>
      <c r="L88" s="390">
        <f>'DAL FGD'!$L$12</f>
        <v>0</v>
      </c>
      <c r="M88" s="390">
        <f>'DAL FGD'!$M$12</f>
        <v>0</v>
      </c>
    </row>
    <row r="89" spans="1:13" s="171" customFormat="1" ht="12.75" hidden="1" customHeight="1" outlineLevel="1">
      <c r="A89" s="166"/>
      <c r="B89" s="674" t="str">
        <f>'E-P FGD'!$B$2</f>
        <v>The University of Texas at El Paso</v>
      </c>
      <c r="C89" s="160"/>
      <c r="D89" s="390">
        <f>'E-P FGD'!$D$12</f>
        <v>0</v>
      </c>
      <c r="E89" s="390">
        <f>'E-P FGD'!$E$12</f>
        <v>0</v>
      </c>
      <c r="F89" s="390">
        <f>'E-P FGD'!$F$12</f>
        <v>0</v>
      </c>
      <c r="G89" s="390">
        <f>'E-P FGD'!$G$12</f>
        <v>0</v>
      </c>
      <c r="H89" s="390">
        <f>'E-P FGD'!$H$12</f>
        <v>0</v>
      </c>
      <c r="I89" s="390">
        <f>'E-P FGD'!$I$12</f>
        <v>0</v>
      </c>
      <c r="J89" s="390">
        <f>'E-P FGD'!$J$12</f>
        <v>0</v>
      </c>
      <c r="K89" s="390">
        <f>'E-P FGD'!$K$12</f>
        <v>0</v>
      </c>
      <c r="L89" s="390">
        <f>'E-P FGD'!$L$12</f>
        <v>0</v>
      </c>
      <c r="M89" s="390">
        <f>'E-P FGD'!$M$12</f>
        <v>0</v>
      </c>
    </row>
    <row r="90" spans="1:13" s="171" customFormat="1" ht="12.75" hidden="1" customHeight="1" outlineLevel="1">
      <c r="A90" s="166"/>
      <c r="B90" s="674" t="str">
        <f>'LU FGD'!$B$2</f>
        <v xml:space="preserve">Lamar University </v>
      </c>
      <c r="C90" s="160"/>
      <c r="D90" s="390">
        <f>'LU FGD'!$D$12</f>
        <v>0</v>
      </c>
      <c r="E90" s="390">
        <f>'LU FGD'!$E$12</f>
        <v>0</v>
      </c>
      <c r="F90" s="390">
        <f>'LU FGD'!$F$12</f>
        <v>0</v>
      </c>
      <c r="G90" s="390">
        <f>'LU FGD'!$G$12</f>
        <v>0</v>
      </c>
      <c r="H90" s="390">
        <f>'LU FGD'!$H$12</f>
        <v>0</v>
      </c>
      <c r="I90" s="390">
        <f>'LU FGD'!$I$12</f>
        <v>0</v>
      </c>
      <c r="J90" s="390">
        <f>'LU FGD'!$J$12</f>
        <v>0</v>
      </c>
      <c r="K90" s="390">
        <f>'LU FGD'!$K$12</f>
        <v>0</v>
      </c>
      <c r="L90" s="390">
        <f>'LU FGD'!$L$12</f>
        <v>0</v>
      </c>
      <c r="M90" s="390">
        <f>'LU FGD'!$M$12</f>
        <v>0</v>
      </c>
    </row>
    <row r="91" spans="1:13" s="171" customFormat="1" ht="12.75" hidden="1" customHeight="1" outlineLevel="1">
      <c r="A91" s="166"/>
      <c r="B91" s="674" t="str">
        <f>'MidWST FGD'!$B$2</f>
        <v>Midwestern State University</v>
      </c>
      <c r="C91" s="160"/>
      <c r="D91" s="390">
        <f>'MidWST FGD'!$D$12</f>
        <v>0</v>
      </c>
      <c r="E91" s="390">
        <f>'MidWST FGD'!$E$12</f>
        <v>0</v>
      </c>
      <c r="F91" s="390">
        <f>'MidWST FGD'!$F$12</f>
        <v>0</v>
      </c>
      <c r="G91" s="390">
        <f>'MidWST FGD'!$G$12</f>
        <v>0</v>
      </c>
      <c r="H91" s="390">
        <f>'MidWST FGD'!$H$12</f>
        <v>0</v>
      </c>
      <c r="I91" s="390">
        <f>'MidWST FGD'!$I$12</f>
        <v>0</v>
      </c>
      <c r="J91" s="390">
        <f>'MidWST FGD'!$J$12</f>
        <v>0</v>
      </c>
      <c r="K91" s="390">
        <f>'MidWST FGD'!$K$12</f>
        <v>0</v>
      </c>
      <c r="L91" s="390">
        <f>'MidWST FGD'!$L$12</f>
        <v>0</v>
      </c>
      <c r="M91" s="390">
        <f>'MidWST FGD'!$M$12</f>
        <v>0</v>
      </c>
    </row>
    <row r="92" spans="1:13" s="171" customFormat="1" ht="12.75" hidden="1" customHeight="1" outlineLevel="1">
      <c r="A92" s="166"/>
      <c r="B92" s="674" t="str">
        <f>'P-B FGD'!$B$2</f>
        <v>The University of Texas of the Permian Basin</v>
      </c>
      <c r="C92" s="160"/>
      <c r="D92" s="390">
        <f>'P-B FGD'!$D$12</f>
        <v>0</v>
      </c>
      <c r="E92" s="390">
        <f>'P-B FGD'!$E$12</f>
        <v>0</v>
      </c>
      <c r="F92" s="390">
        <f>'P-B FGD'!$F$12</f>
        <v>0</v>
      </c>
      <c r="G92" s="390">
        <f>'P-B FGD'!$G$12</f>
        <v>0</v>
      </c>
      <c r="H92" s="390">
        <f>'P-B FGD'!$H$12</f>
        <v>0</v>
      </c>
      <c r="I92" s="390">
        <f>'P-B FGD'!$I$12</f>
        <v>0</v>
      </c>
      <c r="J92" s="390">
        <f>'P-B FGD'!$J$12</f>
        <v>0</v>
      </c>
      <c r="K92" s="390">
        <f>'P-B FGD'!$K$12</f>
        <v>0</v>
      </c>
      <c r="L92" s="390">
        <f>'P-B FGD'!$L$12</f>
        <v>0</v>
      </c>
      <c r="M92" s="390">
        <f>'P-B FGD'!$M$12</f>
        <v>0</v>
      </c>
    </row>
    <row r="93" spans="1:13" s="171" customFormat="1" ht="12.75" hidden="1" customHeight="1" outlineLevel="1">
      <c r="A93" s="166"/>
      <c r="B93" s="674" t="str">
        <f>'PVAMU FGD'!$B$2</f>
        <v>Prairie View A&amp;M University</v>
      </c>
      <c r="C93" s="160"/>
      <c r="D93" s="390">
        <f>'PVAMU FGD'!$D$12</f>
        <v>0</v>
      </c>
      <c r="E93" s="390">
        <f>'PVAMU FGD'!$E$12</f>
        <v>0</v>
      </c>
      <c r="F93" s="390">
        <f>'PVAMU FGD'!$F$12</f>
        <v>0</v>
      </c>
      <c r="G93" s="390">
        <f>'PVAMU FGD'!$G$12</f>
        <v>0</v>
      </c>
      <c r="H93" s="390">
        <f>'PVAMU FGD'!$H$12</f>
        <v>0</v>
      </c>
      <c r="I93" s="390">
        <f>'PVAMU FGD'!$I$12</f>
        <v>0</v>
      </c>
      <c r="J93" s="390">
        <f>'PVAMU FGD'!$J$12</f>
        <v>0</v>
      </c>
      <c r="K93" s="390">
        <f>'PVAMU FGD'!$K$12</f>
        <v>0</v>
      </c>
      <c r="L93" s="390">
        <f>'PVAMU FGD'!$L$12</f>
        <v>0</v>
      </c>
      <c r="M93" s="390">
        <f>'PVAMU FGD'!$M$12</f>
        <v>0</v>
      </c>
    </row>
    <row r="94" spans="1:13" s="171" customFormat="1" ht="12.75" hidden="1" customHeight="1" outlineLevel="1">
      <c r="A94" s="166"/>
      <c r="B94" s="674" t="str">
        <f>'S-A FGD'!$B$2</f>
        <v>The University of Texas at San Antonio</v>
      </c>
      <c r="C94" s="160"/>
      <c r="D94" s="390">
        <f>'S-A FGD'!$D$12</f>
        <v>0</v>
      </c>
      <c r="E94" s="390">
        <f>'S-A FGD'!$E$12</f>
        <v>0</v>
      </c>
      <c r="F94" s="390">
        <f>'S-A FGD'!$F$12</f>
        <v>0</v>
      </c>
      <c r="G94" s="390">
        <f>'S-A FGD'!$G$12</f>
        <v>0</v>
      </c>
      <c r="H94" s="390">
        <f>'S-A FGD'!$H$12</f>
        <v>0</v>
      </c>
      <c r="I94" s="390">
        <f>'S-A FGD'!$I$12</f>
        <v>0</v>
      </c>
      <c r="J94" s="390">
        <f>'S-A FGD'!$J$12</f>
        <v>0</v>
      </c>
      <c r="K94" s="390">
        <f>'S-A FGD'!$K$12</f>
        <v>0</v>
      </c>
      <c r="L94" s="390">
        <f>'S-A FGD'!$L$12</f>
        <v>0</v>
      </c>
      <c r="M94" s="390">
        <f>'S-A FGD'!$M$12</f>
        <v>0</v>
      </c>
    </row>
    <row r="95" spans="1:13" s="171" customFormat="1" ht="12.75" hidden="1" customHeight="1" outlineLevel="1">
      <c r="A95" s="166"/>
      <c r="B95" s="674" t="str">
        <f>'SFA FGD'!$B$2</f>
        <v>Stephen F. Austin State University</v>
      </c>
      <c r="C95" s="160"/>
      <c r="D95" s="390">
        <f>'SFA FGD'!$D$12</f>
        <v>0</v>
      </c>
      <c r="E95" s="390">
        <f>'SFA FGD'!$E$12</f>
        <v>0</v>
      </c>
      <c r="F95" s="390">
        <f>'SFA FGD'!$F$12</f>
        <v>0</v>
      </c>
      <c r="G95" s="390">
        <f>'SFA FGD'!$G$12</f>
        <v>0</v>
      </c>
      <c r="H95" s="390">
        <f>'SFA FGD'!$H$12</f>
        <v>0</v>
      </c>
      <c r="I95" s="390">
        <f>'SFA FGD'!$I$12</f>
        <v>0</v>
      </c>
      <c r="J95" s="390">
        <f>'SFA FGD'!$J$12</f>
        <v>0</v>
      </c>
      <c r="K95" s="390">
        <f>'SFA FGD'!$K$12</f>
        <v>0</v>
      </c>
      <c r="L95" s="390">
        <f>'SFA FGD'!$L$12</f>
        <v>0</v>
      </c>
      <c r="M95" s="390">
        <f>'SFA FGD'!$M$12</f>
        <v>0</v>
      </c>
    </row>
    <row r="96" spans="1:13" s="171" customFormat="1" ht="12.75" hidden="1" customHeight="1" outlineLevel="1">
      <c r="A96" s="166"/>
      <c r="B96" s="674" t="str">
        <f>'shsu1 FGD'!$B$2</f>
        <v>Sam Houston State University - Academic &amp; Health (A+H)</v>
      </c>
      <c r="C96" s="160"/>
      <c r="D96" s="390">
        <f>'shsu1 FGD'!$D$12</f>
        <v>0</v>
      </c>
      <c r="E96" s="390">
        <f>'shsu1 FGD'!$E$12</f>
        <v>0</v>
      </c>
      <c r="F96" s="390">
        <f>'shsu1 FGD'!$F$12</f>
        <v>0</v>
      </c>
      <c r="G96" s="390">
        <f>'shsu1 FGD'!$G$12</f>
        <v>0</v>
      </c>
      <c r="H96" s="390">
        <f>'shsu1 FGD'!$H$12</f>
        <v>0</v>
      </c>
      <c r="I96" s="390">
        <f>'shsu1 FGD'!$I$12</f>
        <v>0</v>
      </c>
      <c r="J96" s="390">
        <f>'shsu1 FGD'!$J$12</f>
        <v>0</v>
      </c>
      <c r="K96" s="390">
        <f>'shsu1 FGD'!$K$12</f>
        <v>0</v>
      </c>
      <c r="L96" s="390">
        <f>'shsu1 FGD'!$L$12</f>
        <v>0</v>
      </c>
      <c r="M96" s="390">
        <f>'shsu1 FGD'!$M$12</f>
        <v>0</v>
      </c>
    </row>
    <row r="97" spans="1:13" s="171" customFormat="1" ht="12.75" hidden="1" customHeight="1" outlineLevel="1">
      <c r="A97" s="166"/>
      <c r="B97" s="674" t="str">
        <f>'SRSU FGD'!$B$2</f>
        <v>Sul Ross State University</v>
      </c>
      <c r="C97" s="160"/>
      <c r="D97" s="390">
        <f>'SRSU FGD'!$D$12</f>
        <v>0</v>
      </c>
      <c r="E97" s="390">
        <f>'SRSU FGD'!$E$12</f>
        <v>0</v>
      </c>
      <c r="F97" s="390">
        <f>'SRSU FGD'!$F$12</f>
        <v>0</v>
      </c>
      <c r="G97" s="390">
        <f>'SRSU FGD'!$G$12</f>
        <v>0</v>
      </c>
      <c r="H97" s="390">
        <f>'SRSU FGD'!$H$12</f>
        <v>0</v>
      </c>
      <c r="I97" s="390">
        <f>'SRSU FGD'!$I$12</f>
        <v>0</v>
      </c>
      <c r="J97" s="390">
        <f>'SRSU FGD'!$J$12</f>
        <v>0</v>
      </c>
      <c r="K97" s="390">
        <f>'SRSU FGD'!$K$12</f>
        <v>0</v>
      </c>
      <c r="L97" s="390">
        <f>'SRSU FGD'!$L$12</f>
        <v>0</v>
      </c>
      <c r="M97" s="390">
        <f>'SRSU FGD'!$M$12</f>
        <v>0</v>
      </c>
    </row>
    <row r="98" spans="1:13" s="171" customFormat="1" ht="12.75" hidden="1" customHeight="1" outlineLevel="1">
      <c r="A98" s="166"/>
      <c r="B98" s="674" t="str">
        <f>'TAMIU FGD'!$B$2</f>
        <v>Texas A&amp;M International University</v>
      </c>
      <c r="C98" s="160"/>
      <c r="D98" s="390">
        <f>'TAMIU FGD'!$D$12</f>
        <v>0</v>
      </c>
      <c r="E98" s="390">
        <f>'TAMIU FGD'!$E$12</f>
        <v>0</v>
      </c>
      <c r="F98" s="390">
        <f>'TAMIU FGD'!$F$12</f>
        <v>0</v>
      </c>
      <c r="G98" s="390">
        <f>'TAMIU FGD'!$G$12</f>
        <v>0</v>
      </c>
      <c r="H98" s="390">
        <f>'TAMIU FGD'!$H$12</f>
        <v>0</v>
      </c>
      <c r="I98" s="390">
        <f>'TAMIU FGD'!$I$12</f>
        <v>0</v>
      </c>
      <c r="J98" s="390">
        <f>'TAMIU FGD'!$J$12</f>
        <v>0</v>
      </c>
      <c r="K98" s="390">
        <f>'TAMIU FGD'!$K$12</f>
        <v>0</v>
      </c>
      <c r="L98" s="390">
        <f>'TAMIU FGD'!$L$12</f>
        <v>0</v>
      </c>
      <c r="M98" s="390">
        <f>'TAMIU FGD'!$M$12</f>
        <v>0</v>
      </c>
    </row>
    <row r="99" spans="1:13" s="171" customFormat="1" ht="12.75" hidden="1" customHeight="1" outlineLevel="1">
      <c r="A99" s="166"/>
      <c r="B99" s="674" t="str">
        <f>'TAMU FGD'!$B$2</f>
        <v>Texas A&amp;M University</v>
      </c>
      <c r="C99" s="160"/>
      <c r="D99" s="390">
        <f>'TAMU FGD'!$D$12</f>
        <v>0</v>
      </c>
      <c r="E99" s="390">
        <f>'TAMU FGD'!$E$12</f>
        <v>0</v>
      </c>
      <c r="F99" s="390">
        <f>'TAMU FGD'!$F$12</f>
        <v>0</v>
      </c>
      <c r="G99" s="390">
        <f>'TAMU FGD'!$G$12</f>
        <v>0</v>
      </c>
      <c r="H99" s="390">
        <f>'TAMU FGD'!$H$12</f>
        <v>0</v>
      </c>
      <c r="I99" s="390">
        <f>'TAMU FGD'!$I$12</f>
        <v>0</v>
      </c>
      <c r="J99" s="390">
        <f>'TAMU FGD'!$J$12</f>
        <v>0</v>
      </c>
      <c r="K99" s="390">
        <f>'TAMU FGD'!$K$12</f>
        <v>0</v>
      </c>
      <c r="L99" s="390">
        <f>'TAMU FGD'!$L$12</f>
        <v>0</v>
      </c>
      <c r="M99" s="390">
        <f>'TAMU FGD'!$M$12</f>
        <v>0</v>
      </c>
    </row>
    <row r="100" spans="1:13" s="171" customFormat="1" ht="12.75" hidden="1" customHeight="1" outlineLevel="1">
      <c r="A100" s="166"/>
      <c r="B100" s="674" t="str">
        <f>'TAMUC FGD'!$B$2</f>
        <v>Texas A&amp;M University - Commerce</v>
      </c>
      <c r="C100" s="160"/>
      <c r="D100" s="390">
        <f>'TAMUC FGD'!$D$12</f>
        <v>0</v>
      </c>
      <c r="E100" s="390">
        <f>'TAMUC FGD'!$E$12</f>
        <v>0</v>
      </c>
      <c r="F100" s="390">
        <f>'TAMUC FGD'!$F$12</f>
        <v>0</v>
      </c>
      <c r="G100" s="390">
        <f>'TAMUC FGD'!$G$12</f>
        <v>0</v>
      </c>
      <c r="H100" s="390">
        <f>'TAMUC FGD'!$H$12</f>
        <v>0</v>
      </c>
      <c r="I100" s="390">
        <f>'TAMUC FGD'!$I$12</f>
        <v>0</v>
      </c>
      <c r="J100" s="390">
        <f>'TAMUC FGD'!$J$12</f>
        <v>0</v>
      </c>
      <c r="K100" s="390">
        <f>'TAMUC FGD'!$K$12</f>
        <v>0</v>
      </c>
      <c r="L100" s="390">
        <f>'TAMUC FGD'!$L$12</f>
        <v>0</v>
      </c>
      <c r="M100" s="390">
        <f>'TAMUC FGD'!$M$12</f>
        <v>0</v>
      </c>
    </row>
    <row r="101" spans="1:13" s="171" customFormat="1" ht="12.75" hidden="1" customHeight="1" outlineLevel="1">
      <c r="A101" s="166"/>
      <c r="B101" s="674" t="str">
        <f>'TAMUCC FGD'!$B$2</f>
        <v>Texas A&amp;M University - Corpus Christi</v>
      </c>
      <c r="C101" s="160"/>
      <c r="D101" s="390">
        <f>'TAMUCC FGD'!$D$12</f>
        <v>0</v>
      </c>
      <c r="E101" s="390">
        <f>'TAMUCC FGD'!$E$12</f>
        <v>0</v>
      </c>
      <c r="F101" s="390">
        <f>'TAMUCC FGD'!$F$12</f>
        <v>0</v>
      </c>
      <c r="G101" s="390">
        <f>'TAMUCC FGD'!$G$12</f>
        <v>0</v>
      </c>
      <c r="H101" s="390">
        <f>'TAMUCC FGD'!$H$12</f>
        <v>0</v>
      </c>
      <c r="I101" s="390">
        <f>'TAMUCC FGD'!$I$12</f>
        <v>0</v>
      </c>
      <c r="J101" s="390">
        <f>'TAMUCC FGD'!$J$12</f>
        <v>0</v>
      </c>
      <c r="K101" s="390">
        <f>'TAMUCC FGD'!$K$12</f>
        <v>0</v>
      </c>
      <c r="L101" s="390">
        <f>'TAMUCC FGD'!$L$12</f>
        <v>0</v>
      </c>
      <c r="M101" s="390">
        <f>'TAMUCC FGD'!$M$12</f>
        <v>0</v>
      </c>
    </row>
    <row r="102" spans="1:13" s="171" customFormat="1" ht="12.75" hidden="1" customHeight="1" outlineLevel="1">
      <c r="A102" s="166"/>
      <c r="B102" s="674" t="str">
        <f>'TAMUCT FGD'!$B$2</f>
        <v>Texas A&amp;M University - Central Texas</v>
      </c>
      <c r="C102" s="160"/>
      <c r="D102" s="390">
        <f>'TAMUCT FGD'!$D$12</f>
        <v>0</v>
      </c>
      <c r="E102" s="390">
        <f>'TAMUCT FGD'!$E$12</f>
        <v>0</v>
      </c>
      <c r="F102" s="390">
        <f>'TAMUCT FGD'!$F$12</f>
        <v>0</v>
      </c>
      <c r="G102" s="390">
        <f>'TAMUCT FGD'!$G$12</f>
        <v>0</v>
      </c>
      <c r="H102" s="390">
        <f>'TAMUCT FGD'!$H$12</f>
        <v>0</v>
      </c>
      <c r="I102" s="390">
        <f>'TAMUCT FGD'!$I$12</f>
        <v>0</v>
      </c>
      <c r="J102" s="390">
        <f>'TAMUCT FGD'!$J$12</f>
        <v>0</v>
      </c>
      <c r="K102" s="390">
        <f>'TAMUCT FGD'!$K$12</f>
        <v>0</v>
      </c>
      <c r="L102" s="390">
        <f>'TAMUCT FGD'!$L$12</f>
        <v>0</v>
      </c>
      <c r="M102" s="390">
        <f>'TAMUCT FGD'!$M$12</f>
        <v>0</v>
      </c>
    </row>
    <row r="103" spans="1:13" s="171" customFormat="1" ht="12.75" hidden="1" customHeight="1" outlineLevel="1">
      <c r="A103" s="166"/>
      <c r="B103" s="674" t="str">
        <f>'TAMUG FGD'!$B$2</f>
        <v>Texas A&amp;M University at Galveston</v>
      </c>
      <c r="C103" s="160"/>
      <c r="D103" s="390">
        <f>'TAMUG FGD'!$D$12</f>
        <v>0</v>
      </c>
      <c r="E103" s="390">
        <f>'TAMUG FGD'!$E$12</f>
        <v>0</v>
      </c>
      <c r="F103" s="390">
        <f>'TAMUG FGD'!$F$12</f>
        <v>0</v>
      </c>
      <c r="G103" s="390">
        <f>'TAMUG FGD'!$G$12</f>
        <v>0</v>
      </c>
      <c r="H103" s="390">
        <f>'TAMUG FGD'!$H$12</f>
        <v>0</v>
      </c>
      <c r="I103" s="390">
        <f>'TAMUG FGD'!$I$12</f>
        <v>0</v>
      </c>
      <c r="J103" s="390">
        <f>'TAMUG FGD'!$J$12</f>
        <v>0</v>
      </c>
      <c r="K103" s="390">
        <f>'TAMUG FGD'!$K$12</f>
        <v>0</v>
      </c>
      <c r="L103" s="390">
        <f>'TAMUG FGD'!$L$12</f>
        <v>0</v>
      </c>
      <c r="M103" s="390">
        <f>'TAMUG FGD'!$M$12</f>
        <v>0</v>
      </c>
    </row>
    <row r="104" spans="1:13" s="171" customFormat="1" ht="12.75" hidden="1" customHeight="1" outlineLevel="1">
      <c r="A104" s="166"/>
      <c r="B104" s="674" t="str">
        <f>'TAMUK FGD'!$B$2</f>
        <v>Texas A&amp;M University - Kingsville</v>
      </c>
      <c r="C104" s="160"/>
      <c r="D104" s="390">
        <f>'TAMUK FGD'!$D$12</f>
        <v>0</v>
      </c>
      <c r="E104" s="390">
        <f>'TAMUK FGD'!$E$12</f>
        <v>0</v>
      </c>
      <c r="F104" s="390">
        <f>'TAMUK FGD'!$F$12</f>
        <v>0</v>
      </c>
      <c r="G104" s="390">
        <f>'TAMUK FGD'!$G$12</f>
        <v>0</v>
      </c>
      <c r="H104" s="390">
        <f>'TAMUK FGD'!$H$12</f>
        <v>0</v>
      </c>
      <c r="I104" s="390">
        <f>'TAMUK FGD'!$I$12</f>
        <v>0</v>
      </c>
      <c r="J104" s="390">
        <f>'TAMUK FGD'!$J$12</f>
        <v>0</v>
      </c>
      <c r="K104" s="390">
        <f>'TAMUK FGD'!$K$12</f>
        <v>0</v>
      </c>
      <c r="L104" s="390">
        <f>'TAMUK FGD'!$L$12</f>
        <v>0</v>
      </c>
      <c r="M104" s="390">
        <f>'TAMUK FGD'!$M$12</f>
        <v>0</v>
      </c>
    </row>
    <row r="105" spans="1:13" s="171" customFormat="1" ht="12.75" hidden="1" customHeight="1" outlineLevel="1">
      <c r="A105" s="166"/>
      <c r="B105" s="674" t="str">
        <f>'TAMUSA FGD'!$B$2</f>
        <v>Texas A&amp;M University - San Antonio</v>
      </c>
      <c r="C105" s="160"/>
      <c r="D105" s="390">
        <f>'TAMUSA FGD'!$D$12</f>
        <v>0</v>
      </c>
      <c r="E105" s="390">
        <f>'TAMUSA FGD'!$E$12</f>
        <v>0</v>
      </c>
      <c r="F105" s="390">
        <f>'TAMUSA FGD'!$F$12</f>
        <v>0</v>
      </c>
      <c r="G105" s="390">
        <f>'TAMUSA FGD'!$G$12</f>
        <v>0</v>
      </c>
      <c r="H105" s="390">
        <f>'TAMUSA FGD'!$H$12</f>
        <v>0</v>
      </c>
      <c r="I105" s="390">
        <f>'TAMUSA FGD'!$I$12</f>
        <v>0</v>
      </c>
      <c r="J105" s="390">
        <f>'TAMUSA FGD'!$J$12</f>
        <v>0</v>
      </c>
      <c r="K105" s="390">
        <f>'TAMUSA FGD'!$K$12</f>
        <v>0</v>
      </c>
      <c r="L105" s="390">
        <f>'TAMUSA FGD'!$L$12</f>
        <v>0</v>
      </c>
      <c r="M105" s="390">
        <f>'TAMUSA FGD'!$M$12</f>
        <v>0</v>
      </c>
    </row>
    <row r="106" spans="1:13" s="171" customFormat="1" ht="12.75" hidden="1" customHeight="1" outlineLevel="1">
      <c r="A106" s="166"/>
      <c r="B106" s="674" t="str">
        <f>'TAMUT FGD'!$B$2</f>
        <v>Texas A&amp;M University - Texarkana</v>
      </c>
      <c r="C106" s="160"/>
      <c r="D106" s="390">
        <f>'TAMUT FGD'!$D$12</f>
        <v>0</v>
      </c>
      <c r="E106" s="390">
        <f>'TAMUT FGD'!$E$12</f>
        <v>0</v>
      </c>
      <c r="F106" s="390">
        <f>'TAMUT FGD'!$F$12</f>
        <v>0</v>
      </c>
      <c r="G106" s="390">
        <f>'TAMUT FGD'!$G$12</f>
        <v>0</v>
      </c>
      <c r="H106" s="390">
        <f>'TAMUT FGD'!$H$12</f>
        <v>0</v>
      </c>
      <c r="I106" s="390">
        <f>'TAMUT FGD'!$I$12</f>
        <v>0</v>
      </c>
      <c r="J106" s="390">
        <f>'TAMUT FGD'!$J$12</f>
        <v>0</v>
      </c>
      <c r="K106" s="390">
        <f>'TAMUT FGD'!$K$12</f>
        <v>0</v>
      </c>
      <c r="L106" s="390">
        <f>'TAMUT FGD'!$L$12</f>
        <v>0</v>
      </c>
      <c r="M106" s="390">
        <f>'TAMUT FGD'!$M$12</f>
        <v>0</v>
      </c>
    </row>
    <row r="107" spans="1:13" s="171" customFormat="1" ht="12.75" hidden="1" customHeight="1" outlineLevel="1">
      <c r="A107" s="166"/>
      <c r="B107" s="674" t="str">
        <f>'TARLST FGD'!$B$2</f>
        <v>Tarleton State University</v>
      </c>
      <c r="C107" s="160"/>
      <c r="D107" s="390">
        <f>'TARLST FGD'!$D$12</f>
        <v>0</v>
      </c>
      <c r="E107" s="390">
        <f>'TARLST FGD'!$E$12</f>
        <v>0</v>
      </c>
      <c r="F107" s="390">
        <f>'TARLST FGD'!$F$12</f>
        <v>0</v>
      </c>
      <c r="G107" s="390">
        <f>'TARLST FGD'!$G$12</f>
        <v>0</v>
      </c>
      <c r="H107" s="390">
        <f>'TARLST FGD'!$H$12</f>
        <v>0</v>
      </c>
      <c r="I107" s="390">
        <f>'TARLST FGD'!$I$12</f>
        <v>0</v>
      </c>
      <c r="J107" s="390">
        <f>'TARLST FGD'!$J$12</f>
        <v>0</v>
      </c>
      <c r="K107" s="390">
        <f>'TARLST FGD'!$K$12</f>
        <v>0</v>
      </c>
      <c r="L107" s="390">
        <f>'TARLST FGD'!$L$12</f>
        <v>0</v>
      </c>
      <c r="M107" s="390">
        <f>'TARLST FGD'!$M$12</f>
        <v>0</v>
      </c>
    </row>
    <row r="108" spans="1:13" s="171" customFormat="1" ht="12.75" hidden="1" customHeight="1" outlineLevel="1">
      <c r="A108" s="166"/>
      <c r="B108" s="674" t="str">
        <f>'TSU FGD'!$B$2</f>
        <v>Texas Southern University</v>
      </c>
      <c r="C108" s="160"/>
      <c r="D108" s="390">
        <f>'TSU FGD'!$D$12</f>
        <v>0</v>
      </c>
      <c r="E108" s="390">
        <f>'TSU FGD'!$E$12</f>
        <v>0</v>
      </c>
      <c r="F108" s="390">
        <f>'TSU FGD'!$F$12</f>
        <v>0</v>
      </c>
      <c r="G108" s="390">
        <f>'TSU FGD'!$G$12</f>
        <v>0</v>
      </c>
      <c r="H108" s="390">
        <f>'TSU FGD'!$H$12</f>
        <v>0</v>
      </c>
      <c r="I108" s="390">
        <f>'TSU FGD'!$I$12</f>
        <v>0</v>
      </c>
      <c r="J108" s="390">
        <f>'TSU FGD'!$J$12</f>
        <v>0</v>
      </c>
      <c r="K108" s="390">
        <f>'TSU FGD'!$K$12</f>
        <v>0</v>
      </c>
      <c r="L108" s="390">
        <f>'TSU FGD'!$L$12</f>
        <v>0</v>
      </c>
      <c r="M108" s="390">
        <f>'TSU FGD'!$M$12</f>
        <v>0</v>
      </c>
    </row>
    <row r="109" spans="1:13" s="171" customFormat="1" ht="12.75" hidden="1" customHeight="1" outlineLevel="1">
      <c r="A109" s="166"/>
      <c r="B109" s="674" t="str">
        <f>'TTU FGD'!$B$2</f>
        <v>Texas Tech University</v>
      </c>
      <c r="C109" s="160"/>
      <c r="D109" s="390">
        <f>'TTU FGD'!$D$12</f>
        <v>0</v>
      </c>
      <c r="E109" s="390">
        <f>'TTU FGD'!$E$12</f>
        <v>0</v>
      </c>
      <c r="F109" s="390">
        <f>'TTU FGD'!$F$12</f>
        <v>0</v>
      </c>
      <c r="G109" s="390">
        <f>'TTU FGD'!$G$12</f>
        <v>0</v>
      </c>
      <c r="H109" s="390">
        <f>'TTU FGD'!$H$12</f>
        <v>0</v>
      </c>
      <c r="I109" s="390">
        <f>'TTU FGD'!$I$12</f>
        <v>0</v>
      </c>
      <c r="J109" s="390">
        <f>'TTU FGD'!$J$12</f>
        <v>0</v>
      </c>
      <c r="K109" s="390">
        <f>'TTU FGD'!$K$12</f>
        <v>0</v>
      </c>
      <c r="L109" s="390">
        <f>'TTU FGD'!$L$12</f>
        <v>0</v>
      </c>
      <c r="M109" s="390">
        <f>'TTU FGD'!$M$12</f>
        <v>0</v>
      </c>
    </row>
    <row r="110" spans="1:13" s="171" customFormat="1" ht="12.75" hidden="1" customHeight="1" outlineLevel="1">
      <c r="A110" s="166"/>
      <c r="B110" s="674" t="str">
        <f>'TWU FGD'!$B$2</f>
        <v>Texas Woman's University</v>
      </c>
      <c r="C110" s="160"/>
      <c r="D110" s="390">
        <f>'TWU FGD'!$D$12</f>
        <v>0</v>
      </c>
      <c r="E110" s="390">
        <f>'TWU FGD'!$E$12</f>
        <v>0</v>
      </c>
      <c r="F110" s="390">
        <f>'TWU FGD'!$F$12</f>
        <v>0</v>
      </c>
      <c r="G110" s="390">
        <f>'TWU FGD'!$G$12</f>
        <v>0</v>
      </c>
      <c r="H110" s="390">
        <f>'TWU FGD'!$H$12</f>
        <v>0</v>
      </c>
      <c r="I110" s="390">
        <f>'TWU FGD'!$I$12</f>
        <v>0</v>
      </c>
      <c r="J110" s="390">
        <f>'TWU FGD'!$J$12</f>
        <v>0</v>
      </c>
      <c r="K110" s="390">
        <f>'TWU FGD'!$K$12</f>
        <v>0</v>
      </c>
      <c r="L110" s="390">
        <f>'TWU FGD'!$L$12</f>
        <v>0</v>
      </c>
      <c r="M110" s="390">
        <f>'TWU FGD'!$M$12</f>
        <v>0</v>
      </c>
    </row>
    <row r="111" spans="1:13" s="171" customFormat="1" ht="12.75" hidden="1" customHeight="1" outlineLevel="1">
      <c r="A111" s="166"/>
      <c r="B111" s="674" t="str">
        <f>'TXST FGD'!$B$2</f>
        <v>Texas State University</v>
      </c>
      <c r="C111" s="160"/>
      <c r="D111" s="390">
        <f>'TXST FGD'!$D$12</f>
        <v>0</v>
      </c>
      <c r="E111" s="390">
        <f>'TXST FGD'!$E$12</f>
        <v>0</v>
      </c>
      <c r="F111" s="390">
        <f>'TXST FGD'!$F$12</f>
        <v>0</v>
      </c>
      <c r="G111" s="390">
        <f>'TXST FGD'!$G$12</f>
        <v>0</v>
      </c>
      <c r="H111" s="390">
        <f>'TXST FGD'!$H$12</f>
        <v>0</v>
      </c>
      <c r="I111" s="390">
        <f>'TXST FGD'!$I$12</f>
        <v>0</v>
      </c>
      <c r="J111" s="390">
        <f>'TXST FGD'!$J$12</f>
        <v>0</v>
      </c>
      <c r="K111" s="390">
        <f>'TXST FGD'!$K$12</f>
        <v>0</v>
      </c>
      <c r="L111" s="390">
        <f>'TXST FGD'!$L$12</f>
        <v>0</v>
      </c>
      <c r="M111" s="390">
        <f>'TXST FGD'!$M$12</f>
        <v>0</v>
      </c>
    </row>
    <row r="112" spans="1:13" s="171" customFormat="1" ht="12.75" hidden="1" customHeight="1" outlineLevel="1">
      <c r="A112" s="166"/>
      <c r="B112" s="674" t="str">
        <f>'TYL FGD'!$B$2</f>
        <v>The University of Texas at Tyler</v>
      </c>
      <c r="C112" s="160"/>
      <c r="D112" s="390">
        <f>'TYL FGD'!$D$12</f>
        <v>0</v>
      </c>
      <c r="E112" s="390">
        <f>'TYL FGD'!$E$12</f>
        <v>0</v>
      </c>
      <c r="F112" s="390">
        <f>'TYL FGD'!$F$12</f>
        <v>0</v>
      </c>
      <c r="G112" s="390">
        <f>'TYL FGD'!$G$12</f>
        <v>0</v>
      </c>
      <c r="H112" s="390">
        <f>'TYL FGD'!$H$12</f>
        <v>0</v>
      </c>
      <c r="I112" s="390">
        <f>'TYL FGD'!$I$12</f>
        <v>0</v>
      </c>
      <c r="J112" s="390">
        <f>'TYL FGD'!$J$12</f>
        <v>0</v>
      </c>
      <c r="K112" s="390">
        <f>'TYL FGD'!$K$12</f>
        <v>0</v>
      </c>
      <c r="L112" s="390">
        <f>'TYL FGD'!$L$12</f>
        <v>0</v>
      </c>
      <c r="M112" s="390">
        <f>'TYL FGD'!$M$12</f>
        <v>0</v>
      </c>
    </row>
    <row r="113" spans="1:13" s="171" customFormat="1" ht="12.75" hidden="1" customHeight="1" outlineLevel="1">
      <c r="A113" s="166"/>
      <c r="B113" s="674" t="str">
        <f>'UH1 FGD'!$B$2</f>
        <v>University of Houston - Academic &amp; Health (A+H)</v>
      </c>
      <c r="C113" s="160"/>
      <c r="D113" s="390">
        <f>'UH1 FGD'!$D$12</f>
        <v>0</v>
      </c>
      <c r="E113" s="390">
        <f>'UH1 FGD'!$E$12</f>
        <v>0</v>
      </c>
      <c r="F113" s="390">
        <f>'UH1 FGD'!$F$12</f>
        <v>0</v>
      </c>
      <c r="G113" s="390">
        <f>'UH1 FGD'!$G$12</f>
        <v>0</v>
      </c>
      <c r="H113" s="390">
        <f>'UH1 FGD'!$H$12</f>
        <v>0</v>
      </c>
      <c r="I113" s="390">
        <f>'UH1 FGD'!$I$12</f>
        <v>0</v>
      </c>
      <c r="J113" s="390">
        <f>'UH1 FGD'!$J$12</f>
        <v>0</v>
      </c>
      <c r="K113" s="390">
        <f>'UH1 FGD'!$K$12</f>
        <v>0</v>
      </c>
      <c r="L113" s="390">
        <f>'UH1 FGD'!$L$12</f>
        <v>0</v>
      </c>
      <c r="M113" s="390">
        <f>'UH1 FGD'!$M$12</f>
        <v>0</v>
      </c>
    </row>
    <row r="114" spans="1:13" s="171" customFormat="1" ht="12.75" hidden="1" customHeight="1" outlineLevel="1">
      <c r="A114" s="166"/>
      <c r="B114" s="674" t="str">
        <f>'UHCL FGD'!$B$2</f>
        <v>University of Houston - Clear Lake</v>
      </c>
      <c r="C114" s="160"/>
      <c r="D114" s="390">
        <f>'UHCL FGD'!$D$12</f>
        <v>0</v>
      </c>
      <c r="E114" s="390">
        <f>'UHCL FGD'!$E$12</f>
        <v>0</v>
      </c>
      <c r="F114" s="390">
        <f>'UHCL FGD'!$F$12</f>
        <v>0</v>
      </c>
      <c r="G114" s="390">
        <f>'UHCL FGD'!$G$12</f>
        <v>0</v>
      </c>
      <c r="H114" s="390">
        <f>'UHCL FGD'!$H$12</f>
        <v>0</v>
      </c>
      <c r="I114" s="390">
        <f>'UHCL FGD'!$I$12</f>
        <v>0</v>
      </c>
      <c r="J114" s="390">
        <f>'UHCL FGD'!$J$12</f>
        <v>0</v>
      </c>
      <c r="K114" s="390">
        <f>'UHCL FGD'!$K$12</f>
        <v>0</v>
      </c>
      <c r="L114" s="390">
        <f>'UHCL FGD'!$L$12</f>
        <v>0</v>
      </c>
      <c r="M114" s="390">
        <f>'UHCL FGD'!$M$12</f>
        <v>0</v>
      </c>
    </row>
    <row r="115" spans="1:13" s="171" customFormat="1" ht="12.75" hidden="1" customHeight="1" outlineLevel="1">
      <c r="A115" s="166"/>
      <c r="B115" s="674" t="str">
        <f>'UHD FGD'!$B$2</f>
        <v>University of Houston - Downtown</v>
      </c>
      <c r="C115" s="160"/>
      <c r="D115" s="390">
        <f>'UHD FGD'!$D$12</f>
        <v>0</v>
      </c>
      <c r="E115" s="390">
        <f>'UHD FGD'!$E$12</f>
        <v>0</v>
      </c>
      <c r="F115" s="390">
        <f>'UHD FGD'!$F$12</f>
        <v>0</v>
      </c>
      <c r="G115" s="390">
        <f>'UHD FGD'!$G$12</f>
        <v>0</v>
      </c>
      <c r="H115" s="390">
        <f>'UHD FGD'!$H$12</f>
        <v>0</v>
      </c>
      <c r="I115" s="390">
        <f>'UHD FGD'!$I$12</f>
        <v>0</v>
      </c>
      <c r="J115" s="390">
        <f>'UHD FGD'!$J$12</f>
        <v>0</v>
      </c>
      <c r="K115" s="390">
        <f>'UHD FGD'!$K$12</f>
        <v>0</v>
      </c>
      <c r="L115" s="390">
        <f>'UHD FGD'!$L$12</f>
        <v>0</v>
      </c>
      <c r="M115" s="390">
        <f>'UHD FGD'!$M$12</f>
        <v>0</v>
      </c>
    </row>
    <row r="116" spans="1:13" s="171" customFormat="1" ht="12.75" hidden="1" customHeight="1" outlineLevel="1">
      <c r="A116" s="166"/>
      <c r="B116" s="674" t="str">
        <f>'UHV FGD'!$B$2</f>
        <v>University of Houston - Victoria</v>
      </c>
      <c r="C116" s="160"/>
      <c r="D116" s="390">
        <f>'UHV FGD'!$D$12</f>
        <v>0</v>
      </c>
      <c r="E116" s="390">
        <f>'UHV FGD'!$E$12</f>
        <v>0</v>
      </c>
      <c r="F116" s="390">
        <f>'UHV FGD'!$F$12</f>
        <v>0</v>
      </c>
      <c r="G116" s="390">
        <f>'UHV FGD'!$G$12</f>
        <v>0</v>
      </c>
      <c r="H116" s="390">
        <f>'UHV FGD'!$H$12</f>
        <v>0</v>
      </c>
      <c r="I116" s="390">
        <f>'UHV FGD'!$I$12</f>
        <v>0</v>
      </c>
      <c r="J116" s="390">
        <f>'UHV FGD'!$J$12</f>
        <v>0</v>
      </c>
      <c r="K116" s="390">
        <f>'UHV FGD'!$K$12</f>
        <v>0</v>
      </c>
      <c r="L116" s="390">
        <f>'UHV FGD'!$L$12</f>
        <v>0</v>
      </c>
      <c r="M116" s="390">
        <f>'UHV FGD'!$M$12</f>
        <v>0</v>
      </c>
    </row>
    <row r="117" spans="1:13" s="171" customFormat="1" ht="12.75" hidden="1" customHeight="1" outlineLevel="1">
      <c r="A117" s="166"/>
      <c r="B117" s="674" t="str">
        <f>'UNT FGD'!$B$2</f>
        <v>University of North Texas</v>
      </c>
      <c r="C117" s="160"/>
      <c r="D117" s="390">
        <f>'UNT FGD'!$D$12</f>
        <v>0</v>
      </c>
      <c r="E117" s="390">
        <f>'UNT FGD'!$E$12</f>
        <v>0</v>
      </c>
      <c r="F117" s="390">
        <f>'UNT FGD'!$F$12</f>
        <v>0</v>
      </c>
      <c r="G117" s="390">
        <f>'UNT FGD'!$G$12</f>
        <v>0</v>
      </c>
      <c r="H117" s="390">
        <f>'UNT FGD'!$H$12</f>
        <v>0</v>
      </c>
      <c r="I117" s="390">
        <f>'UNT FGD'!$I$12</f>
        <v>0</v>
      </c>
      <c r="J117" s="390">
        <f>'UNT FGD'!$J$12</f>
        <v>0</v>
      </c>
      <c r="K117" s="390">
        <f>'UNT FGD'!$K$12</f>
        <v>0</v>
      </c>
      <c r="L117" s="390">
        <f>'UNT FGD'!$L$12</f>
        <v>0</v>
      </c>
      <c r="M117" s="390">
        <f>'UNT FGD'!$M$12</f>
        <v>0</v>
      </c>
    </row>
    <row r="118" spans="1:13" s="171" customFormat="1" ht="12.75" hidden="1" customHeight="1" outlineLevel="1">
      <c r="A118" s="166"/>
      <c r="B118" s="674" t="str">
        <f>'UNTD FGD'!$B$2</f>
        <v>University of North Texas at Dallas</v>
      </c>
      <c r="C118" s="160"/>
      <c r="D118" s="390">
        <f>'UNTD FGD'!$D$12</f>
        <v>0</v>
      </c>
      <c r="E118" s="390">
        <f>'UNTD FGD'!$E$12</f>
        <v>0</v>
      </c>
      <c r="F118" s="390">
        <f>'UNTD FGD'!$F$12</f>
        <v>0</v>
      </c>
      <c r="G118" s="390">
        <f>'UNTD FGD'!$G$12</f>
        <v>0</v>
      </c>
      <c r="H118" s="390">
        <f>'UNTD FGD'!$H$12</f>
        <v>0</v>
      </c>
      <c r="I118" s="390">
        <f>'UNTD FGD'!$I$12</f>
        <v>0</v>
      </c>
      <c r="J118" s="390">
        <f>'UNTD FGD'!$J$12</f>
        <v>0</v>
      </c>
      <c r="K118" s="390">
        <f>'UNTD FGD'!$K$12</f>
        <v>0</v>
      </c>
      <c r="L118" s="390">
        <f>'UNTD FGD'!$L$12</f>
        <v>0</v>
      </c>
      <c r="M118" s="390">
        <f>'UNTD FGD'!$M$12</f>
        <v>0</v>
      </c>
    </row>
    <row r="119" spans="1:13" s="171" customFormat="1" ht="12.75" hidden="1" customHeight="1" outlineLevel="1">
      <c r="A119" s="166"/>
      <c r="B119" s="674" t="str">
        <f>'WTAMU FGD'!$B$2</f>
        <v>West Texas A&amp;M University</v>
      </c>
      <c r="C119" s="160"/>
      <c r="D119" s="390">
        <f>'WTAMU FGD'!$D$12</f>
        <v>0</v>
      </c>
      <c r="E119" s="390">
        <f>'WTAMU FGD'!$E$12</f>
        <v>0</v>
      </c>
      <c r="F119" s="390">
        <f>'WTAMU FGD'!$F$12</f>
        <v>0</v>
      </c>
      <c r="G119" s="390">
        <f>'WTAMU FGD'!$G$12</f>
        <v>0</v>
      </c>
      <c r="H119" s="390">
        <f>'WTAMU FGD'!$H$12</f>
        <v>0</v>
      </c>
      <c r="I119" s="390">
        <f>'WTAMU FGD'!$I$12</f>
        <v>0</v>
      </c>
      <c r="J119" s="390">
        <f>'WTAMU FGD'!$J$12</f>
        <v>0</v>
      </c>
      <c r="K119" s="390">
        <f>'WTAMU FGD'!$K$12</f>
        <v>0</v>
      </c>
      <c r="L119" s="390">
        <f>'WTAMU FGD'!$L$12</f>
        <v>0</v>
      </c>
      <c r="M119" s="390">
        <f>'WTAMU FGD'!$M$12</f>
        <v>0</v>
      </c>
    </row>
    <row r="120" spans="1:13" s="171" customFormat="1" hidden="1" collapsed="1">
      <c r="A120" s="166"/>
      <c r="B120" s="171" t="s">
        <v>2204</v>
      </c>
      <c r="C120" s="160"/>
      <c r="D120" s="390">
        <f t="shared" ref="D120:M120" si="2">SUM(D84:D119)</f>
        <v>0</v>
      </c>
      <c r="E120" s="390">
        <f t="shared" si="2"/>
        <v>0</v>
      </c>
      <c r="F120" s="390">
        <f t="shared" si="2"/>
        <v>0</v>
      </c>
      <c r="G120" s="390">
        <f t="shared" si="2"/>
        <v>0</v>
      </c>
      <c r="H120" s="390">
        <f t="shared" si="2"/>
        <v>0</v>
      </c>
      <c r="I120" s="390">
        <f t="shared" si="2"/>
        <v>0</v>
      </c>
      <c r="J120" s="390">
        <f t="shared" si="2"/>
        <v>0</v>
      </c>
      <c r="K120" s="390">
        <f t="shared" si="2"/>
        <v>0</v>
      </c>
      <c r="L120" s="390">
        <f t="shared" si="2"/>
        <v>0</v>
      </c>
      <c r="M120" s="390">
        <f t="shared" si="2"/>
        <v>0</v>
      </c>
    </row>
    <row r="121" spans="1:13" s="171" customFormat="1" ht="12.75" hidden="1" customHeight="1" outlineLevel="1">
      <c r="A121" s="166"/>
      <c r="B121" s="674" t="str">
        <f>'ARL FGD'!$B$2</f>
        <v>The University of Texas at Arlington</v>
      </c>
      <c r="C121" s="160"/>
      <c r="D121" s="390">
        <f>'ARL FGD'!$D$13</f>
        <v>0</v>
      </c>
      <c r="E121" s="390">
        <f>'ARL FGD'!$E$13</f>
        <v>0</v>
      </c>
      <c r="F121" s="390">
        <f>'ARL FGD'!$F$13</f>
        <v>0</v>
      </c>
      <c r="G121" s="390">
        <f>'ARL FGD'!$G$13</f>
        <v>0</v>
      </c>
      <c r="H121" s="390">
        <f>'ARL FGD'!$H$13</f>
        <v>0</v>
      </c>
      <c r="I121" s="390">
        <f>'ARL FGD'!$I$13</f>
        <v>0</v>
      </c>
      <c r="J121" s="390">
        <f>'ARL FGD'!$J$13</f>
        <v>0</v>
      </c>
      <c r="K121" s="390">
        <f>'ARL FGD'!$K$13</f>
        <v>0</v>
      </c>
      <c r="L121" s="390">
        <f>'ARL FGD'!$L$13</f>
        <v>0</v>
      </c>
      <c r="M121" s="390">
        <f>'ARL FGD'!$M$13</f>
        <v>0</v>
      </c>
    </row>
    <row r="122" spans="1:13" s="171" customFormat="1" ht="12.75" hidden="1" customHeight="1" outlineLevel="1">
      <c r="A122" s="166"/>
      <c r="B122" s="674" t="str">
        <f>'ASU FGD'!$B$2</f>
        <v>Angelo State University</v>
      </c>
      <c r="C122" s="160"/>
      <c r="D122" s="390">
        <f>'ASU FGD'!$D$13</f>
        <v>6792999</v>
      </c>
      <c r="E122" s="390">
        <f>'ASU FGD'!$E$13</f>
        <v>0</v>
      </c>
      <c r="F122" s="390">
        <f>'ASU FGD'!$F$13</f>
        <v>0</v>
      </c>
      <c r="G122" s="390">
        <f>'ASU FGD'!$G$13</f>
        <v>0</v>
      </c>
      <c r="H122" s="390">
        <f>'ASU FGD'!$H$13</f>
        <v>0</v>
      </c>
      <c r="I122" s="390">
        <f>'ASU FGD'!$I$13</f>
        <v>0</v>
      </c>
      <c r="J122" s="390">
        <f>'ASU FGD'!$J$13</f>
        <v>0</v>
      </c>
      <c r="K122" s="390">
        <f>'ASU FGD'!$K$13</f>
        <v>0</v>
      </c>
      <c r="L122" s="390">
        <f>'ASU FGD'!$L$13</f>
        <v>0</v>
      </c>
      <c r="M122" s="390">
        <f>'ASU FGD'!$M$13</f>
        <v>6792999</v>
      </c>
    </row>
    <row r="123" spans="1:13" s="171" customFormat="1" ht="12.75" hidden="1" customHeight="1" outlineLevel="1">
      <c r="A123" s="166"/>
      <c r="B123" s="674" t="str">
        <f>'AUS1 FGD'!$B$2</f>
        <v>The University of Texas at Austin - Academic &amp; Health (A+H)</v>
      </c>
      <c r="C123" s="160"/>
      <c r="D123" s="390">
        <f>'AUS1 FGD'!$D$13</f>
        <v>0</v>
      </c>
      <c r="E123" s="390">
        <f>'AUS1 FGD'!$E$13</f>
        <v>0</v>
      </c>
      <c r="F123" s="390">
        <f>'AUS1 FGD'!$F$13</f>
        <v>0</v>
      </c>
      <c r="G123" s="390">
        <f>'AUS1 FGD'!$G$13</f>
        <v>0</v>
      </c>
      <c r="H123" s="390">
        <f>'AUS1 FGD'!$H$13</f>
        <v>0</v>
      </c>
      <c r="I123" s="390">
        <f>'AUS1 FGD'!$I$13</f>
        <v>0</v>
      </c>
      <c r="J123" s="390">
        <f>'AUS1 FGD'!$J$13</f>
        <v>0</v>
      </c>
      <c r="K123" s="390">
        <f>'AUS1 FGD'!$K$13</f>
        <v>0</v>
      </c>
      <c r="L123" s="390">
        <f>'AUS1 FGD'!$L$13</f>
        <v>0</v>
      </c>
      <c r="M123" s="390">
        <f>'AUS1 FGD'!$M$13</f>
        <v>0</v>
      </c>
    </row>
    <row r="124" spans="1:13" s="171" customFormat="1" ht="12.75" hidden="1" customHeight="1" outlineLevel="1">
      <c r="A124" s="166"/>
      <c r="B124" s="674" t="str">
        <f>'RGV1 FGD'!$B$2</f>
        <v>The University of Texas RGV - Academic &amp; Health (A+H)</v>
      </c>
      <c r="C124" s="160"/>
      <c r="D124" s="390">
        <f>'RGV1 FGD'!$D$13</f>
        <v>0</v>
      </c>
      <c r="E124" s="390">
        <f>'RGV1 FGD'!$E$13</f>
        <v>0</v>
      </c>
      <c r="F124" s="390">
        <f>'RGV1 FGD'!$F$13</f>
        <v>0</v>
      </c>
      <c r="G124" s="390">
        <f>'RGV1 FGD'!$G$13</f>
        <v>0</v>
      </c>
      <c r="H124" s="390">
        <f>'RGV1 FGD'!$H$13</f>
        <v>0</v>
      </c>
      <c r="I124" s="390">
        <f>'RGV1 FGD'!$I$13</f>
        <v>0</v>
      </c>
      <c r="J124" s="390">
        <f>'RGV1 FGD'!$J$13</f>
        <v>0</v>
      </c>
      <c r="K124" s="390">
        <f>'RGV1 FGD'!$K$13</f>
        <v>0</v>
      </c>
      <c r="L124" s="390">
        <f>'RGV1 FGD'!$L$13</f>
        <v>0</v>
      </c>
      <c r="M124" s="390">
        <f>'RGV1 FGD'!$M$13</f>
        <v>0</v>
      </c>
    </row>
    <row r="125" spans="1:13" s="171" customFormat="1" ht="12.75" hidden="1" customHeight="1" outlineLevel="1">
      <c r="A125" s="166"/>
      <c r="B125" s="674" t="str">
        <f>'DAL FGD'!$B$2</f>
        <v>The University of Texas at Dallas</v>
      </c>
      <c r="C125" s="160"/>
      <c r="D125" s="390">
        <f>'DAL FGD'!$D$13</f>
        <v>0</v>
      </c>
      <c r="E125" s="390">
        <f>'DAL FGD'!$E$13</f>
        <v>0</v>
      </c>
      <c r="F125" s="390">
        <f>'DAL FGD'!$F$13</f>
        <v>0</v>
      </c>
      <c r="G125" s="390">
        <f>'DAL FGD'!$G$13</f>
        <v>0</v>
      </c>
      <c r="H125" s="390">
        <f>'DAL FGD'!$H$13</f>
        <v>0</v>
      </c>
      <c r="I125" s="390">
        <f>'DAL FGD'!$I$13</f>
        <v>0</v>
      </c>
      <c r="J125" s="390">
        <f>'DAL FGD'!$J$13</f>
        <v>0</v>
      </c>
      <c r="K125" s="390">
        <f>'DAL FGD'!$K$13</f>
        <v>0</v>
      </c>
      <c r="L125" s="390">
        <f>'DAL FGD'!$L$13</f>
        <v>0</v>
      </c>
      <c r="M125" s="390">
        <f>'DAL FGD'!$M$13</f>
        <v>0</v>
      </c>
    </row>
    <row r="126" spans="1:13" s="171" customFormat="1" ht="12.75" hidden="1" customHeight="1" outlineLevel="1">
      <c r="A126" s="166"/>
      <c r="B126" s="674" t="str">
        <f>'E-P FGD'!$B$2</f>
        <v>The University of Texas at El Paso</v>
      </c>
      <c r="C126" s="160"/>
      <c r="D126" s="390">
        <f>'E-P FGD'!$D$13</f>
        <v>0</v>
      </c>
      <c r="E126" s="390">
        <f>'E-P FGD'!$E$13</f>
        <v>0</v>
      </c>
      <c r="F126" s="390">
        <f>'E-P FGD'!$F$13</f>
        <v>0</v>
      </c>
      <c r="G126" s="390">
        <f>'E-P FGD'!$G$13</f>
        <v>0</v>
      </c>
      <c r="H126" s="390">
        <f>'E-P FGD'!$H$13</f>
        <v>0</v>
      </c>
      <c r="I126" s="390">
        <f>'E-P FGD'!$I$13</f>
        <v>0</v>
      </c>
      <c r="J126" s="390">
        <f>'E-P FGD'!$J$13</f>
        <v>0</v>
      </c>
      <c r="K126" s="390">
        <f>'E-P FGD'!$K$13</f>
        <v>0</v>
      </c>
      <c r="L126" s="390">
        <f>'E-P FGD'!$L$13</f>
        <v>0</v>
      </c>
      <c r="M126" s="390">
        <f>'E-P FGD'!$M$13</f>
        <v>0</v>
      </c>
    </row>
    <row r="127" spans="1:13" s="171" customFormat="1" ht="12.75" hidden="1" customHeight="1" outlineLevel="1">
      <c r="A127" s="166"/>
      <c r="B127" s="674" t="str">
        <f>'LU FGD'!$B$2</f>
        <v xml:space="preserve">Lamar University </v>
      </c>
      <c r="C127" s="160"/>
      <c r="D127" s="390">
        <f>'LU FGD'!$D$13</f>
        <v>13141181</v>
      </c>
      <c r="E127" s="390">
        <f>'LU FGD'!$E$13</f>
        <v>0</v>
      </c>
      <c r="F127" s="390">
        <f>'LU FGD'!$F$13</f>
        <v>0</v>
      </c>
      <c r="G127" s="390">
        <f>'LU FGD'!$G$13</f>
        <v>0</v>
      </c>
      <c r="H127" s="390">
        <f>'LU FGD'!$H$13</f>
        <v>0</v>
      </c>
      <c r="I127" s="390">
        <f>'LU FGD'!$I$13</f>
        <v>0</v>
      </c>
      <c r="J127" s="390">
        <f>'LU FGD'!$J$13</f>
        <v>0</v>
      </c>
      <c r="K127" s="390">
        <f>'LU FGD'!$K$13</f>
        <v>0</v>
      </c>
      <c r="L127" s="390">
        <f>'LU FGD'!$L$13</f>
        <v>0</v>
      </c>
      <c r="M127" s="390">
        <f>'LU FGD'!$M$13</f>
        <v>13141181</v>
      </c>
    </row>
    <row r="128" spans="1:13" s="171" customFormat="1" ht="12.75" hidden="1" customHeight="1" outlineLevel="1">
      <c r="A128" s="166"/>
      <c r="B128" s="674" t="str">
        <f>'MidWST FGD'!$B$2</f>
        <v>Midwestern State University</v>
      </c>
      <c r="C128" s="160"/>
      <c r="D128" s="390">
        <f>'MidWST FGD'!$D$13</f>
        <v>4933200</v>
      </c>
      <c r="E128" s="390">
        <f>'MidWST FGD'!$E$13</f>
        <v>0</v>
      </c>
      <c r="F128" s="390">
        <f>'MidWST FGD'!$F$13</f>
        <v>0</v>
      </c>
      <c r="G128" s="390">
        <f>'MidWST FGD'!$G$13</f>
        <v>0</v>
      </c>
      <c r="H128" s="390">
        <f>'MidWST FGD'!$H$13</f>
        <v>0</v>
      </c>
      <c r="I128" s="390">
        <f>'MidWST FGD'!$I$13</f>
        <v>0</v>
      </c>
      <c r="J128" s="390">
        <f>'MidWST FGD'!$J$13</f>
        <v>0</v>
      </c>
      <c r="K128" s="390">
        <f>'MidWST FGD'!$K$13</f>
        <v>0</v>
      </c>
      <c r="L128" s="390">
        <f>'MidWST FGD'!$L$13</f>
        <v>0</v>
      </c>
      <c r="M128" s="390">
        <f>'MidWST FGD'!$M$13</f>
        <v>4933200</v>
      </c>
    </row>
    <row r="129" spans="1:13" s="171" customFormat="1" ht="12.75" hidden="1" customHeight="1" outlineLevel="1">
      <c r="A129" s="166"/>
      <c r="B129" s="674" t="str">
        <f>'P-B FGD'!$B$2</f>
        <v>The University of Texas of the Permian Basin</v>
      </c>
      <c r="C129" s="160"/>
      <c r="D129" s="390">
        <f>'P-B FGD'!$D$13</f>
        <v>0</v>
      </c>
      <c r="E129" s="390">
        <f>'P-B FGD'!$E$13</f>
        <v>0</v>
      </c>
      <c r="F129" s="390">
        <f>'P-B FGD'!$F$13</f>
        <v>0</v>
      </c>
      <c r="G129" s="390">
        <f>'P-B FGD'!$G$13</f>
        <v>0</v>
      </c>
      <c r="H129" s="390">
        <f>'P-B FGD'!$H$13</f>
        <v>0</v>
      </c>
      <c r="I129" s="390">
        <f>'P-B FGD'!$I$13</f>
        <v>0</v>
      </c>
      <c r="J129" s="390">
        <f>'P-B FGD'!$J$13</f>
        <v>0</v>
      </c>
      <c r="K129" s="390">
        <f>'P-B FGD'!$K$13</f>
        <v>0</v>
      </c>
      <c r="L129" s="390">
        <f>'P-B FGD'!$L$13</f>
        <v>0</v>
      </c>
      <c r="M129" s="390">
        <f>'P-B FGD'!$M$13</f>
        <v>0</v>
      </c>
    </row>
    <row r="130" spans="1:13" s="171" customFormat="1" ht="12.75" hidden="1" customHeight="1" outlineLevel="1">
      <c r="A130" s="166"/>
      <c r="B130" s="674" t="str">
        <f>'PVAMU FGD'!$B$2</f>
        <v>Prairie View A&amp;M University</v>
      </c>
      <c r="C130" s="160"/>
      <c r="D130" s="390">
        <f>'PVAMU FGD'!$D$13</f>
        <v>0</v>
      </c>
      <c r="E130" s="390">
        <f>'PVAMU FGD'!$E$13</f>
        <v>0</v>
      </c>
      <c r="F130" s="390">
        <f>'PVAMU FGD'!$F$13</f>
        <v>0</v>
      </c>
      <c r="G130" s="390">
        <f>'PVAMU FGD'!$G$13</f>
        <v>0</v>
      </c>
      <c r="H130" s="390">
        <f>'PVAMU FGD'!$H$13</f>
        <v>0</v>
      </c>
      <c r="I130" s="390">
        <f>'PVAMU FGD'!$I$13</f>
        <v>0</v>
      </c>
      <c r="J130" s="390">
        <f>'PVAMU FGD'!$J$13</f>
        <v>0</v>
      </c>
      <c r="K130" s="390">
        <f>'PVAMU FGD'!$K$13</f>
        <v>0</v>
      </c>
      <c r="L130" s="390">
        <f>'PVAMU FGD'!$L$13</f>
        <v>0</v>
      </c>
      <c r="M130" s="390">
        <f>'PVAMU FGD'!$M$13</f>
        <v>0</v>
      </c>
    </row>
    <row r="131" spans="1:13" s="171" customFormat="1" ht="12.75" hidden="1" customHeight="1" outlineLevel="1">
      <c r="A131" s="166"/>
      <c r="B131" s="674" t="str">
        <f>'S-A FGD'!$B$2</f>
        <v>The University of Texas at San Antonio</v>
      </c>
      <c r="C131" s="160"/>
      <c r="D131" s="390">
        <f>'S-A FGD'!$D$13</f>
        <v>0</v>
      </c>
      <c r="E131" s="390">
        <f>'S-A FGD'!$E$13</f>
        <v>0</v>
      </c>
      <c r="F131" s="390">
        <f>'S-A FGD'!$F$13</f>
        <v>0</v>
      </c>
      <c r="G131" s="390">
        <f>'S-A FGD'!$G$13</f>
        <v>0</v>
      </c>
      <c r="H131" s="390">
        <f>'S-A FGD'!$H$13</f>
        <v>0</v>
      </c>
      <c r="I131" s="390">
        <f>'S-A FGD'!$I$13</f>
        <v>0</v>
      </c>
      <c r="J131" s="390">
        <f>'S-A FGD'!$J$13</f>
        <v>0</v>
      </c>
      <c r="K131" s="390">
        <f>'S-A FGD'!$K$13</f>
        <v>0</v>
      </c>
      <c r="L131" s="390">
        <f>'S-A FGD'!$L$13</f>
        <v>0</v>
      </c>
      <c r="M131" s="390">
        <f>'S-A FGD'!$M$13</f>
        <v>0</v>
      </c>
    </row>
    <row r="132" spans="1:13" s="171" customFormat="1" ht="12.75" hidden="1" customHeight="1" outlineLevel="1">
      <c r="A132" s="166"/>
      <c r="B132" s="674" t="str">
        <f>'SFA FGD'!$B$2</f>
        <v>Stephen F. Austin State University</v>
      </c>
      <c r="C132" s="160"/>
      <c r="D132" s="390">
        <f>'SFA FGD'!$D$13</f>
        <v>11277793</v>
      </c>
      <c r="E132" s="390">
        <f>'SFA FGD'!$E$13</f>
        <v>0</v>
      </c>
      <c r="F132" s="390">
        <f>'SFA FGD'!$F$13</f>
        <v>0</v>
      </c>
      <c r="G132" s="390">
        <f>'SFA FGD'!$G$13</f>
        <v>0</v>
      </c>
      <c r="H132" s="390">
        <f>'SFA FGD'!$H$13</f>
        <v>0</v>
      </c>
      <c r="I132" s="390">
        <f>'SFA FGD'!$I$13</f>
        <v>0</v>
      </c>
      <c r="J132" s="390">
        <f>'SFA FGD'!$J$13</f>
        <v>0</v>
      </c>
      <c r="K132" s="390">
        <f>'SFA FGD'!$K$13</f>
        <v>0</v>
      </c>
      <c r="L132" s="390">
        <f>'SFA FGD'!$L$13</f>
        <v>0</v>
      </c>
      <c r="M132" s="390">
        <f>'SFA FGD'!$M$13</f>
        <v>11277793</v>
      </c>
    </row>
    <row r="133" spans="1:13" s="171" customFormat="1" ht="12.75" hidden="1" customHeight="1" outlineLevel="1">
      <c r="A133" s="166"/>
      <c r="B133" s="674" t="str">
        <f>'shsu1 FGD'!$B$2</f>
        <v>Sam Houston State University - Academic &amp; Health (A+H)</v>
      </c>
      <c r="C133" s="160"/>
      <c r="D133" s="390">
        <f>'shsu1 FGD'!$D$13</f>
        <v>18236811</v>
      </c>
      <c r="E133" s="390">
        <f>'shsu1 FGD'!$E$13</f>
        <v>0</v>
      </c>
      <c r="F133" s="390">
        <f>'shsu1 FGD'!$F$13</f>
        <v>0</v>
      </c>
      <c r="G133" s="390">
        <f>'shsu1 FGD'!$G$13</f>
        <v>0</v>
      </c>
      <c r="H133" s="390">
        <f>'shsu1 FGD'!$H$13</f>
        <v>0</v>
      </c>
      <c r="I133" s="390">
        <f>'shsu1 FGD'!$I$13</f>
        <v>0</v>
      </c>
      <c r="J133" s="390">
        <f>'shsu1 FGD'!$J$13</f>
        <v>0</v>
      </c>
      <c r="K133" s="390">
        <f>'shsu1 FGD'!$K$13</f>
        <v>0</v>
      </c>
      <c r="L133" s="390">
        <f>'shsu1 FGD'!$L$13</f>
        <v>0</v>
      </c>
      <c r="M133" s="390">
        <f>'shsu1 FGD'!$M$13</f>
        <v>18236811</v>
      </c>
    </row>
    <row r="134" spans="1:13" s="171" customFormat="1" ht="12.75" hidden="1" customHeight="1" outlineLevel="1">
      <c r="A134" s="166"/>
      <c r="B134" s="674" t="str">
        <f>'SRSU FGD'!$B$2</f>
        <v>Sul Ross State University</v>
      </c>
      <c r="C134" s="160"/>
      <c r="D134" s="390">
        <f>'SRSU FGD'!$D$13</f>
        <v>2624613</v>
      </c>
      <c r="E134" s="390">
        <f>'SRSU FGD'!$E$13</f>
        <v>0</v>
      </c>
      <c r="F134" s="390">
        <f>'SRSU FGD'!$F$13</f>
        <v>0</v>
      </c>
      <c r="G134" s="390">
        <f>'SRSU FGD'!$G$13</f>
        <v>0</v>
      </c>
      <c r="H134" s="390">
        <f>'SRSU FGD'!$H$13</f>
        <v>0</v>
      </c>
      <c r="I134" s="390">
        <f>'SRSU FGD'!$I$13</f>
        <v>0</v>
      </c>
      <c r="J134" s="390">
        <f>'SRSU FGD'!$J$13</f>
        <v>0</v>
      </c>
      <c r="K134" s="390">
        <f>'SRSU FGD'!$K$13</f>
        <v>0</v>
      </c>
      <c r="L134" s="390">
        <f>'SRSU FGD'!$L$13</f>
        <v>0</v>
      </c>
      <c r="M134" s="390">
        <f>'SRSU FGD'!$M$13</f>
        <v>2624613</v>
      </c>
    </row>
    <row r="135" spans="1:13" s="171" customFormat="1" ht="12.75" hidden="1" customHeight="1" outlineLevel="1">
      <c r="A135" s="166"/>
      <c r="B135" s="674" t="str">
        <f>'TAMIU FGD'!$B$2</f>
        <v>Texas A&amp;M International University</v>
      </c>
      <c r="C135" s="160"/>
      <c r="D135" s="390">
        <f>'TAMIU FGD'!$D$13</f>
        <v>7462394</v>
      </c>
      <c r="E135" s="390">
        <f>'TAMIU FGD'!$E$13</f>
        <v>0</v>
      </c>
      <c r="F135" s="390">
        <f>'TAMIU FGD'!$F$13</f>
        <v>0</v>
      </c>
      <c r="G135" s="390">
        <f>'TAMIU FGD'!$G$13</f>
        <v>0</v>
      </c>
      <c r="H135" s="390">
        <f>'TAMIU FGD'!$H$13</f>
        <v>0</v>
      </c>
      <c r="I135" s="390">
        <f>'TAMIU FGD'!$I$13</f>
        <v>0</v>
      </c>
      <c r="J135" s="390">
        <f>'TAMIU FGD'!$J$13</f>
        <v>0</v>
      </c>
      <c r="K135" s="390">
        <f>'TAMIU FGD'!$K$13</f>
        <v>0</v>
      </c>
      <c r="L135" s="390">
        <f>'TAMIU FGD'!$L$13</f>
        <v>0</v>
      </c>
      <c r="M135" s="390">
        <f>'TAMIU FGD'!$M$13</f>
        <v>7462394</v>
      </c>
    </row>
    <row r="136" spans="1:13" s="171" customFormat="1" ht="12.75" hidden="1" customHeight="1" outlineLevel="1">
      <c r="A136" s="166"/>
      <c r="B136" s="674" t="str">
        <f>'TAMU FGD'!$B$2</f>
        <v>Texas A&amp;M University</v>
      </c>
      <c r="C136" s="160"/>
      <c r="D136" s="390">
        <f>'TAMU FGD'!$D$13</f>
        <v>0</v>
      </c>
      <c r="E136" s="390">
        <f>'TAMU FGD'!$E$13</f>
        <v>0</v>
      </c>
      <c r="F136" s="390">
        <f>'TAMU FGD'!$F$13</f>
        <v>0</v>
      </c>
      <c r="G136" s="390">
        <f>'TAMU FGD'!$G$13</f>
        <v>0</v>
      </c>
      <c r="H136" s="390">
        <f>'TAMU FGD'!$H$13</f>
        <v>0</v>
      </c>
      <c r="I136" s="390">
        <f>'TAMU FGD'!$I$13</f>
        <v>0</v>
      </c>
      <c r="J136" s="390">
        <f>'TAMU FGD'!$J$13</f>
        <v>0</v>
      </c>
      <c r="K136" s="390">
        <f>'TAMU FGD'!$K$13</f>
        <v>0</v>
      </c>
      <c r="L136" s="390">
        <f>'TAMU FGD'!$L$13</f>
        <v>0</v>
      </c>
      <c r="M136" s="390">
        <f>'TAMU FGD'!$M$13</f>
        <v>0</v>
      </c>
    </row>
    <row r="137" spans="1:13" s="171" customFormat="1" ht="12.75" hidden="1" customHeight="1" outlineLevel="1">
      <c r="A137" s="166"/>
      <c r="B137" s="674" t="str">
        <f>'TAMUC FGD'!$B$2</f>
        <v>Texas A&amp;M University - Commerce</v>
      </c>
      <c r="C137" s="160"/>
      <c r="D137" s="390">
        <f>'TAMUC FGD'!$D$13</f>
        <v>11123859</v>
      </c>
      <c r="E137" s="390">
        <f>'TAMUC FGD'!$E$13</f>
        <v>0</v>
      </c>
      <c r="F137" s="390">
        <f>'TAMUC FGD'!$F$13</f>
        <v>0</v>
      </c>
      <c r="G137" s="390">
        <f>'TAMUC FGD'!$G$13</f>
        <v>0</v>
      </c>
      <c r="H137" s="390">
        <f>'TAMUC FGD'!$H$13</f>
        <v>0</v>
      </c>
      <c r="I137" s="390">
        <f>'TAMUC FGD'!$I$13</f>
        <v>0</v>
      </c>
      <c r="J137" s="390">
        <f>'TAMUC FGD'!$J$13</f>
        <v>0</v>
      </c>
      <c r="K137" s="390">
        <f>'TAMUC FGD'!$K$13</f>
        <v>0</v>
      </c>
      <c r="L137" s="390">
        <f>'TAMUC FGD'!$L$13</f>
        <v>0</v>
      </c>
      <c r="M137" s="390">
        <f>'TAMUC FGD'!$M$13</f>
        <v>11123859</v>
      </c>
    </row>
    <row r="138" spans="1:13" s="171" customFormat="1" ht="12.75" hidden="1" customHeight="1" outlineLevel="1">
      <c r="A138" s="166"/>
      <c r="B138" s="674" t="str">
        <f>'TAMUCC FGD'!$B$2</f>
        <v>Texas A&amp;M University - Corpus Christi</v>
      </c>
      <c r="C138" s="160"/>
      <c r="D138" s="390">
        <f>'TAMUCC FGD'!$D$13</f>
        <v>11478824</v>
      </c>
      <c r="E138" s="390">
        <f>'TAMUCC FGD'!$E$13</f>
        <v>0</v>
      </c>
      <c r="F138" s="390">
        <f>'TAMUCC FGD'!$F$13</f>
        <v>0</v>
      </c>
      <c r="G138" s="390">
        <f>'TAMUCC FGD'!$G$13</f>
        <v>0</v>
      </c>
      <c r="H138" s="390">
        <f>'TAMUCC FGD'!$H$13</f>
        <v>0</v>
      </c>
      <c r="I138" s="390">
        <f>'TAMUCC FGD'!$I$13</f>
        <v>0</v>
      </c>
      <c r="J138" s="390">
        <f>'TAMUCC FGD'!$J$13</f>
        <v>0</v>
      </c>
      <c r="K138" s="390">
        <f>'TAMUCC FGD'!$K$13</f>
        <v>0</v>
      </c>
      <c r="L138" s="390">
        <f>'TAMUCC FGD'!$L$13</f>
        <v>0</v>
      </c>
      <c r="M138" s="390">
        <f>'TAMUCC FGD'!$M$13</f>
        <v>11478824</v>
      </c>
    </row>
    <row r="139" spans="1:13" s="171" customFormat="1" ht="12.75" hidden="1" customHeight="1" outlineLevel="1">
      <c r="A139" s="166"/>
      <c r="B139" s="674" t="str">
        <f>'TAMUCT FGD'!$B$2</f>
        <v>Texas A&amp;M University - Central Texas</v>
      </c>
      <c r="C139" s="160"/>
      <c r="D139" s="390">
        <f>'TAMUCT FGD'!$D$13</f>
        <v>0</v>
      </c>
      <c r="E139" s="390">
        <f>'TAMUCT FGD'!$E$13</f>
        <v>0</v>
      </c>
      <c r="F139" s="390">
        <f>'TAMUCT FGD'!$F$13</f>
        <v>0</v>
      </c>
      <c r="G139" s="390">
        <f>'TAMUCT FGD'!$G$13</f>
        <v>0</v>
      </c>
      <c r="H139" s="390">
        <f>'TAMUCT FGD'!$H$13</f>
        <v>0</v>
      </c>
      <c r="I139" s="390">
        <f>'TAMUCT FGD'!$I$13</f>
        <v>0</v>
      </c>
      <c r="J139" s="390">
        <f>'TAMUCT FGD'!$J$13</f>
        <v>0</v>
      </c>
      <c r="K139" s="390">
        <f>'TAMUCT FGD'!$K$13</f>
        <v>0</v>
      </c>
      <c r="L139" s="390">
        <f>'TAMUCT FGD'!$L$13</f>
        <v>0</v>
      </c>
      <c r="M139" s="390">
        <f>'TAMUCT FGD'!$M$13</f>
        <v>0</v>
      </c>
    </row>
    <row r="140" spans="1:13" s="171" customFormat="1" ht="12.75" hidden="1" customHeight="1" outlineLevel="1">
      <c r="A140" s="166"/>
      <c r="B140" s="674" t="str">
        <f>'TAMUG FGD'!$B$2</f>
        <v>Texas A&amp;M University at Galveston</v>
      </c>
      <c r="C140" s="160"/>
      <c r="D140" s="390">
        <f>'TAMUG FGD'!$D$13</f>
        <v>0</v>
      </c>
      <c r="E140" s="390">
        <f>'TAMUG FGD'!$E$13</f>
        <v>0</v>
      </c>
      <c r="F140" s="390">
        <f>'TAMUG FGD'!$F$13</f>
        <v>0</v>
      </c>
      <c r="G140" s="390">
        <f>'TAMUG FGD'!$G$13</f>
        <v>0</v>
      </c>
      <c r="H140" s="390">
        <f>'TAMUG FGD'!$H$13</f>
        <v>0</v>
      </c>
      <c r="I140" s="390">
        <f>'TAMUG FGD'!$I$13</f>
        <v>0</v>
      </c>
      <c r="J140" s="390">
        <f>'TAMUG FGD'!$J$13</f>
        <v>0</v>
      </c>
      <c r="K140" s="390">
        <f>'TAMUG FGD'!$K$13</f>
        <v>0</v>
      </c>
      <c r="L140" s="390">
        <f>'TAMUG FGD'!$L$13</f>
        <v>0</v>
      </c>
      <c r="M140" s="390">
        <f>'TAMUG FGD'!$M$13</f>
        <v>0</v>
      </c>
    </row>
    <row r="141" spans="1:13" s="171" customFormat="1" ht="12.75" hidden="1" customHeight="1" outlineLevel="1">
      <c r="A141" s="166"/>
      <c r="B141" s="674" t="str">
        <f>'TAMUK FGD'!$B$2</f>
        <v>Texas A&amp;M University - Kingsville</v>
      </c>
      <c r="C141" s="160"/>
      <c r="D141" s="390">
        <f>'TAMUK FGD'!$D$13</f>
        <v>8858060</v>
      </c>
      <c r="E141" s="390">
        <f>'TAMUK FGD'!$E$13</f>
        <v>0</v>
      </c>
      <c r="F141" s="390">
        <f>'TAMUK FGD'!$F$13</f>
        <v>0</v>
      </c>
      <c r="G141" s="390">
        <f>'TAMUK FGD'!$G$13</f>
        <v>0</v>
      </c>
      <c r="H141" s="390">
        <f>'TAMUK FGD'!$H$13</f>
        <v>0</v>
      </c>
      <c r="I141" s="390">
        <f>'TAMUK FGD'!$I$13</f>
        <v>0</v>
      </c>
      <c r="J141" s="390">
        <f>'TAMUK FGD'!$J$13</f>
        <v>0</v>
      </c>
      <c r="K141" s="390">
        <f>'TAMUK FGD'!$K$13</f>
        <v>0</v>
      </c>
      <c r="L141" s="390">
        <f>'TAMUK FGD'!$L$13</f>
        <v>0</v>
      </c>
      <c r="M141" s="390">
        <f>'TAMUK FGD'!$M$13</f>
        <v>8858060</v>
      </c>
    </row>
    <row r="142" spans="1:13" s="171" customFormat="1" ht="12.75" hidden="1" customHeight="1" outlineLevel="1">
      <c r="A142" s="166"/>
      <c r="B142" s="674" t="str">
        <f>'TAMUSA FGD'!$B$2</f>
        <v>Texas A&amp;M University - San Antonio</v>
      </c>
      <c r="C142" s="160"/>
      <c r="D142" s="390">
        <f>'TAMUSA FGD'!$D$13</f>
        <v>0</v>
      </c>
      <c r="E142" s="390">
        <f>'TAMUSA FGD'!$E$13</f>
        <v>0</v>
      </c>
      <c r="F142" s="390">
        <f>'TAMUSA FGD'!$F$13</f>
        <v>0</v>
      </c>
      <c r="G142" s="390">
        <f>'TAMUSA FGD'!$G$13</f>
        <v>0</v>
      </c>
      <c r="H142" s="390">
        <f>'TAMUSA FGD'!$H$13</f>
        <v>0</v>
      </c>
      <c r="I142" s="390">
        <f>'TAMUSA FGD'!$I$13</f>
        <v>0</v>
      </c>
      <c r="J142" s="390">
        <f>'TAMUSA FGD'!$J$13</f>
        <v>0</v>
      </c>
      <c r="K142" s="390">
        <f>'TAMUSA FGD'!$K$13</f>
        <v>0</v>
      </c>
      <c r="L142" s="390">
        <f>'TAMUSA FGD'!$L$13</f>
        <v>0</v>
      </c>
      <c r="M142" s="390">
        <f>'TAMUSA FGD'!$M$13</f>
        <v>0</v>
      </c>
    </row>
    <row r="143" spans="1:13" s="171" customFormat="1" ht="12.75" hidden="1" customHeight="1" outlineLevel="1">
      <c r="A143" s="166"/>
      <c r="B143" s="674" t="str">
        <f>'TAMUT FGD'!$B$2</f>
        <v>Texas A&amp;M University - Texarkana</v>
      </c>
      <c r="C143" s="160"/>
      <c r="D143" s="390">
        <f>'TAMUT FGD'!$D$13</f>
        <v>2050273</v>
      </c>
      <c r="E143" s="390">
        <f>'TAMUT FGD'!$E$13</f>
        <v>0</v>
      </c>
      <c r="F143" s="390">
        <f>'TAMUT FGD'!$F$13</f>
        <v>0</v>
      </c>
      <c r="G143" s="390">
        <f>'TAMUT FGD'!$G$13</f>
        <v>0</v>
      </c>
      <c r="H143" s="390">
        <f>'TAMUT FGD'!$H$13</f>
        <v>0</v>
      </c>
      <c r="I143" s="390">
        <f>'TAMUT FGD'!$I$13</f>
        <v>0</v>
      </c>
      <c r="J143" s="390">
        <f>'TAMUT FGD'!$J$13</f>
        <v>0</v>
      </c>
      <c r="K143" s="390">
        <f>'TAMUT FGD'!$K$13</f>
        <v>0</v>
      </c>
      <c r="L143" s="390">
        <f>'TAMUT FGD'!$L$13</f>
        <v>0</v>
      </c>
      <c r="M143" s="390">
        <f>'TAMUT FGD'!$M$13</f>
        <v>2050273</v>
      </c>
    </row>
    <row r="144" spans="1:13" s="171" customFormat="1" ht="12.75" hidden="1" customHeight="1" outlineLevel="1">
      <c r="A144" s="166"/>
      <c r="B144" s="674" t="str">
        <f>'TARLST FGD'!$B$2</f>
        <v>Tarleton State University</v>
      </c>
      <c r="C144" s="160"/>
      <c r="D144" s="390">
        <f>'TARLST FGD'!$D$13</f>
        <v>0</v>
      </c>
      <c r="E144" s="390">
        <f>'TARLST FGD'!$E$13</f>
        <v>0</v>
      </c>
      <c r="F144" s="390">
        <f>'TARLST FGD'!$F$13</f>
        <v>0</v>
      </c>
      <c r="G144" s="390">
        <f>'TARLST FGD'!$G$13</f>
        <v>0</v>
      </c>
      <c r="H144" s="390">
        <f>'TARLST FGD'!$H$13</f>
        <v>0</v>
      </c>
      <c r="I144" s="390">
        <f>'TARLST FGD'!$I$13</f>
        <v>0</v>
      </c>
      <c r="J144" s="390">
        <f>'TARLST FGD'!$J$13</f>
        <v>0</v>
      </c>
      <c r="K144" s="390">
        <f>'TARLST FGD'!$K$13</f>
        <v>0</v>
      </c>
      <c r="L144" s="390">
        <f>'TARLST FGD'!$L$13</f>
        <v>0</v>
      </c>
      <c r="M144" s="390">
        <f>'TARLST FGD'!$M$13</f>
        <v>0</v>
      </c>
    </row>
    <row r="145" spans="1:13" s="171" customFormat="1" ht="12.75" hidden="1" customHeight="1" outlineLevel="1">
      <c r="A145" s="166"/>
      <c r="B145" s="674" t="str">
        <f>'TSU FGD'!$B$2</f>
        <v>Texas Southern University</v>
      </c>
      <c r="C145" s="160"/>
      <c r="D145" s="390">
        <f>'TSU FGD'!$D$13</f>
        <v>11719335</v>
      </c>
      <c r="E145" s="390">
        <f>'TSU FGD'!$E$13</f>
        <v>0</v>
      </c>
      <c r="F145" s="390">
        <f>'TSU FGD'!$F$13</f>
        <v>0</v>
      </c>
      <c r="G145" s="390">
        <f>'TSU FGD'!$G$13</f>
        <v>0</v>
      </c>
      <c r="H145" s="390">
        <f>'TSU FGD'!$H$13</f>
        <v>0</v>
      </c>
      <c r="I145" s="390">
        <f>'TSU FGD'!$I$13</f>
        <v>0</v>
      </c>
      <c r="J145" s="390">
        <f>'TSU FGD'!$J$13</f>
        <v>0</v>
      </c>
      <c r="K145" s="390">
        <f>'TSU FGD'!$K$13</f>
        <v>0</v>
      </c>
      <c r="L145" s="390">
        <f>'TSU FGD'!$L$13</f>
        <v>0</v>
      </c>
      <c r="M145" s="390">
        <f>'TSU FGD'!$M$13</f>
        <v>11719335</v>
      </c>
    </row>
    <row r="146" spans="1:13" s="171" customFormat="1" ht="12.75" hidden="1" customHeight="1" outlineLevel="1">
      <c r="A146" s="166"/>
      <c r="B146" s="674" t="str">
        <f>'TTU FGD'!$B$2</f>
        <v>Texas Tech University</v>
      </c>
      <c r="C146" s="160"/>
      <c r="D146" s="390">
        <f>'TTU FGD'!$D$13</f>
        <v>49874746</v>
      </c>
      <c r="E146" s="390">
        <f>'TTU FGD'!$E$13</f>
        <v>0</v>
      </c>
      <c r="F146" s="390">
        <f>'TTU FGD'!$F$13</f>
        <v>0</v>
      </c>
      <c r="G146" s="390">
        <f>'TTU FGD'!$G$13</f>
        <v>0</v>
      </c>
      <c r="H146" s="390">
        <f>'TTU FGD'!$H$13</f>
        <v>0</v>
      </c>
      <c r="I146" s="390">
        <f>'TTU FGD'!$I$13</f>
        <v>0</v>
      </c>
      <c r="J146" s="390">
        <f>'TTU FGD'!$J$13</f>
        <v>0</v>
      </c>
      <c r="K146" s="390">
        <f>'TTU FGD'!$K$13</f>
        <v>0</v>
      </c>
      <c r="L146" s="390">
        <f>'TTU FGD'!$L$13</f>
        <v>0</v>
      </c>
      <c r="M146" s="390">
        <f>'TTU FGD'!$M$13</f>
        <v>49874746</v>
      </c>
    </row>
    <row r="147" spans="1:13" s="171" customFormat="1" ht="12.75" hidden="1" customHeight="1" outlineLevel="1">
      <c r="A147" s="166"/>
      <c r="B147" s="674" t="str">
        <f>'TWU FGD'!$B$2</f>
        <v>Texas Woman's University</v>
      </c>
      <c r="C147" s="160"/>
      <c r="D147" s="390">
        <f>'TWU FGD'!$D$13</f>
        <v>14554133</v>
      </c>
      <c r="E147" s="390">
        <f>'TWU FGD'!$E$13</f>
        <v>0</v>
      </c>
      <c r="F147" s="390">
        <f>'TWU FGD'!$F$13</f>
        <v>0</v>
      </c>
      <c r="G147" s="390">
        <f>'TWU FGD'!$G$13</f>
        <v>0</v>
      </c>
      <c r="H147" s="390">
        <f>'TWU FGD'!$H$13</f>
        <v>0</v>
      </c>
      <c r="I147" s="390">
        <f>'TWU FGD'!$I$13</f>
        <v>0</v>
      </c>
      <c r="J147" s="390">
        <f>'TWU FGD'!$J$13</f>
        <v>0</v>
      </c>
      <c r="K147" s="390">
        <f>'TWU FGD'!$K$13</f>
        <v>0</v>
      </c>
      <c r="L147" s="390">
        <f>'TWU FGD'!$L$13</f>
        <v>0</v>
      </c>
      <c r="M147" s="390">
        <f>'TWU FGD'!$M$13</f>
        <v>14554133</v>
      </c>
    </row>
    <row r="148" spans="1:13" s="171" customFormat="1" ht="12.75" hidden="1" customHeight="1" outlineLevel="1">
      <c r="A148" s="166"/>
      <c r="B148" s="674" t="str">
        <f>'TXST FGD'!$B$2</f>
        <v>Texas State University</v>
      </c>
      <c r="C148" s="160"/>
      <c r="D148" s="390">
        <f>'TXST FGD'!$D$13</f>
        <v>37606478</v>
      </c>
      <c r="E148" s="390">
        <f>'TXST FGD'!$E$13</f>
        <v>0</v>
      </c>
      <c r="F148" s="390">
        <f>'TXST FGD'!$F$13</f>
        <v>0</v>
      </c>
      <c r="G148" s="390">
        <f>'TXST FGD'!$G$13</f>
        <v>0</v>
      </c>
      <c r="H148" s="390">
        <f>'TXST FGD'!$H$13</f>
        <v>0</v>
      </c>
      <c r="I148" s="390">
        <f>'TXST FGD'!$I$13</f>
        <v>0</v>
      </c>
      <c r="J148" s="390">
        <f>'TXST FGD'!$J$13</f>
        <v>0</v>
      </c>
      <c r="K148" s="390">
        <f>'TXST FGD'!$K$13</f>
        <v>0</v>
      </c>
      <c r="L148" s="390">
        <f>'TXST FGD'!$L$13</f>
        <v>0</v>
      </c>
      <c r="M148" s="390">
        <f>'TXST FGD'!$M$13</f>
        <v>37606478</v>
      </c>
    </row>
    <row r="149" spans="1:13" s="171" customFormat="1" ht="12.75" hidden="1" customHeight="1" outlineLevel="1">
      <c r="A149" s="166"/>
      <c r="B149" s="674" t="str">
        <f>'TYL FGD'!$B$2</f>
        <v>The University of Texas at Tyler</v>
      </c>
      <c r="C149" s="160"/>
      <c r="D149" s="390">
        <f>'TYL FGD'!$D$13</f>
        <v>0</v>
      </c>
      <c r="E149" s="390">
        <f>'TYL FGD'!$E$13</f>
        <v>0</v>
      </c>
      <c r="F149" s="390">
        <f>'TYL FGD'!$F$13</f>
        <v>0</v>
      </c>
      <c r="G149" s="390">
        <f>'TYL FGD'!$G$13</f>
        <v>0</v>
      </c>
      <c r="H149" s="390">
        <f>'TYL FGD'!$H$13</f>
        <v>0</v>
      </c>
      <c r="I149" s="390">
        <f>'TYL FGD'!$I$13</f>
        <v>0</v>
      </c>
      <c r="J149" s="390">
        <f>'TYL FGD'!$J$13</f>
        <v>0</v>
      </c>
      <c r="K149" s="390">
        <f>'TYL FGD'!$K$13</f>
        <v>0</v>
      </c>
      <c r="L149" s="390">
        <f>'TYL FGD'!$L$13</f>
        <v>0</v>
      </c>
      <c r="M149" s="390">
        <f>'TYL FGD'!$M$13</f>
        <v>0</v>
      </c>
    </row>
    <row r="150" spans="1:13" s="171" customFormat="1" ht="12.75" hidden="1" customHeight="1" outlineLevel="1">
      <c r="A150" s="166"/>
      <c r="B150" s="674" t="str">
        <f>'UH1 FGD'!$B$2</f>
        <v>University of Houston - Academic &amp; Health (A+H)</v>
      </c>
      <c r="C150" s="160"/>
      <c r="D150" s="390">
        <f>'UH1 FGD'!$D$13</f>
        <v>54514004</v>
      </c>
      <c r="E150" s="390">
        <f>'UH1 FGD'!$E$13</f>
        <v>0</v>
      </c>
      <c r="F150" s="390">
        <f>'UH1 FGD'!$F$13</f>
        <v>0</v>
      </c>
      <c r="G150" s="390">
        <f>'UH1 FGD'!$G$13</f>
        <v>0</v>
      </c>
      <c r="H150" s="390">
        <f>'UH1 FGD'!$H$13</f>
        <v>0</v>
      </c>
      <c r="I150" s="390">
        <f>'UH1 FGD'!$I$13</f>
        <v>0</v>
      </c>
      <c r="J150" s="390">
        <f>'UH1 FGD'!$J$13</f>
        <v>0</v>
      </c>
      <c r="K150" s="390">
        <f>'UH1 FGD'!$K$13</f>
        <v>0</v>
      </c>
      <c r="L150" s="390">
        <f>'UH1 FGD'!$L$13</f>
        <v>0</v>
      </c>
      <c r="M150" s="390">
        <f>'UH1 FGD'!$M$13</f>
        <v>54514004</v>
      </c>
    </row>
    <row r="151" spans="1:13" s="171" customFormat="1" ht="12.75" hidden="1" customHeight="1" outlineLevel="1">
      <c r="A151" s="166"/>
      <c r="B151" s="674" t="str">
        <f>'UHCL FGD'!$B$2</f>
        <v>University of Houston - Clear Lake</v>
      </c>
      <c r="C151" s="160"/>
      <c r="D151" s="390">
        <f>'UHCL FGD'!$D$13</f>
        <v>7726043</v>
      </c>
      <c r="E151" s="390">
        <f>'UHCL FGD'!$E$13</f>
        <v>0</v>
      </c>
      <c r="F151" s="390">
        <f>'UHCL FGD'!$F$13</f>
        <v>0</v>
      </c>
      <c r="G151" s="390">
        <f>'UHCL FGD'!$G$13</f>
        <v>0</v>
      </c>
      <c r="H151" s="390">
        <f>'UHCL FGD'!$H$13</f>
        <v>0</v>
      </c>
      <c r="I151" s="390">
        <f>'UHCL FGD'!$I$13</f>
        <v>0</v>
      </c>
      <c r="J151" s="390">
        <f>'UHCL FGD'!$J$13</f>
        <v>0</v>
      </c>
      <c r="K151" s="390">
        <f>'UHCL FGD'!$K$13</f>
        <v>0</v>
      </c>
      <c r="L151" s="390">
        <f>'UHCL FGD'!$L$13</f>
        <v>0</v>
      </c>
      <c r="M151" s="390">
        <f>'UHCL FGD'!$M$13</f>
        <v>7726043</v>
      </c>
    </row>
    <row r="152" spans="1:13" s="171" customFormat="1" ht="12.75" hidden="1" customHeight="1" outlineLevel="1">
      <c r="A152" s="166"/>
      <c r="B152" s="674" t="str">
        <f>'UHD FGD'!$B$2</f>
        <v>University of Houston - Downtown</v>
      </c>
      <c r="C152" s="160"/>
      <c r="D152" s="390">
        <f>'UHD FGD'!$D$13</f>
        <v>10828344</v>
      </c>
      <c r="E152" s="390">
        <f>'UHD FGD'!$E$13</f>
        <v>0</v>
      </c>
      <c r="F152" s="390">
        <f>'UHD FGD'!$F$13</f>
        <v>0</v>
      </c>
      <c r="G152" s="390">
        <f>'UHD FGD'!$G$13</f>
        <v>0</v>
      </c>
      <c r="H152" s="390">
        <f>'UHD FGD'!$H$13</f>
        <v>0</v>
      </c>
      <c r="I152" s="390">
        <f>'UHD FGD'!$I$13</f>
        <v>0</v>
      </c>
      <c r="J152" s="390">
        <f>'UHD FGD'!$J$13</f>
        <v>0</v>
      </c>
      <c r="K152" s="390">
        <f>'UHD FGD'!$K$13</f>
        <v>0</v>
      </c>
      <c r="L152" s="390">
        <f>'UHD FGD'!$L$13</f>
        <v>0</v>
      </c>
      <c r="M152" s="390">
        <f>'UHD FGD'!$M$13</f>
        <v>10828344</v>
      </c>
    </row>
    <row r="153" spans="1:13" s="171" customFormat="1" ht="12.75" hidden="1" customHeight="1" outlineLevel="1">
      <c r="A153" s="166"/>
      <c r="B153" s="674" t="str">
        <f>'UHV FGD'!$B$2</f>
        <v>University of Houston - Victoria</v>
      </c>
      <c r="C153" s="160"/>
      <c r="D153" s="390">
        <f>'UHV FGD'!$D$13</f>
        <v>3542817</v>
      </c>
      <c r="E153" s="390">
        <f>'UHV FGD'!$E$13</f>
        <v>0</v>
      </c>
      <c r="F153" s="390">
        <f>'UHV FGD'!$F$13</f>
        <v>0</v>
      </c>
      <c r="G153" s="390">
        <f>'UHV FGD'!$G$13</f>
        <v>0</v>
      </c>
      <c r="H153" s="390">
        <f>'UHV FGD'!$H$13</f>
        <v>0</v>
      </c>
      <c r="I153" s="390">
        <f>'UHV FGD'!$I$13</f>
        <v>0</v>
      </c>
      <c r="J153" s="390">
        <f>'UHV FGD'!$J$13</f>
        <v>0</v>
      </c>
      <c r="K153" s="390">
        <f>'UHV FGD'!$K$13</f>
        <v>0</v>
      </c>
      <c r="L153" s="390">
        <f>'UHV FGD'!$L$13</f>
        <v>0</v>
      </c>
      <c r="M153" s="390">
        <f>'UHV FGD'!$M$13</f>
        <v>3542817</v>
      </c>
    </row>
    <row r="154" spans="1:13" s="171" customFormat="1" ht="12.75" hidden="1" customHeight="1" outlineLevel="1">
      <c r="A154" s="166"/>
      <c r="B154" s="674" t="str">
        <f>'UNT FGD'!$B$2</f>
        <v>University of North Texas</v>
      </c>
      <c r="C154" s="160"/>
      <c r="D154" s="390">
        <f>'UNT FGD'!$D$13</f>
        <v>37346563</v>
      </c>
      <c r="E154" s="390">
        <f>'UNT FGD'!$E$13</f>
        <v>0</v>
      </c>
      <c r="F154" s="390">
        <f>'UNT FGD'!$F$13</f>
        <v>0</v>
      </c>
      <c r="G154" s="390">
        <f>'UNT FGD'!$G$13</f>
        <v>0</v>
      </c>
      <c r="H154" s="390">
        <f>'UNT FGD'!$H$13</f>
        <v>0</v>
      </c>
      <c r="I154" s="390">
        <f>'UNT FGD'!$I$13</f>
        <v>0</v>
      </c>
      <c r="J154" s="390">
        <f>'UNT FGD'!$J$13</f>
        <v>0</v>
      </c>
      <c r="K154" s="390">
        <f>'UNT FGD'!$K$13</f>
        <v>0</v>
      </c>
      <c r="L154" s="390">
        <f>'UNT FGD'!$L$13</f>
        <v>0</v>
      </c>
      <c r="M154" s="390">
        <f>'UNT FGD'!$M$13</f>
        <v>37346563</v>
      </c>
    </row>
    <row r="155" spans="1:13" s="171" customFormat="1" ht="12.75" hidden="1" customHeight="1" outlineLevel="1">
      <c r="A155" s="166"/>
      <c r="B155" s="674" t="str">
        <f>'UNTD FGD'!$B$2</f>
        <v>University of North Texas at Dallas</v>
      </c>
      <c r="C155" s="160"/>
      <c r="D155" s="390">
        <f>'UNTD FGD'!$D$13</f>
        <v>3354441</v>
      </c>
      <c r="E155" s="390">
        <f>'UNTD FGD'!$E$13</f>
        <v>0</v>
      </c>
      <c r="F155" s="390">
        <f>'UNTD FGD'!$F$13</f>
        <v>0</v>
      </c>
      <c r="G155" s="390">
        <f>'UNTD FGD'!$G$13</f>
        <v>0</v>
      </c>
      <c r="H155" s="390">
        <f>'UNTD FGD'!$H$13</f>
        <v>0</v>
      </c>
      <c r="I155" s="390">
        <f>'UNTD FGD'!$I$13</f>
        <v>0</v>
      </c>
      <c r="J155" s="390">
        <f>'UNTD FGD'!$J$13</f>
        <v>0</v>
      </c>
      <c r="K155" s="390">
        <f>'UNTD FGD'!$K$13</f>
        <v>0</v>
      </c>
      <c r="L155" s="390">
        <f>'UNTD FGD'!$L$13</f>
        <v>0</v>
      </c>
      <c r="M155" s="390">
        <f>'UNTD FGD'!$M$13</f>
        <v>3354441</v>
      </c>
    </row>
    <row r="156" spans="1:13" s="171" customFormat="1" ht="12.75" hidden="1" customHeight="1" outlineLevel="1">
      <c r="A156" s="166"/>
      <c r="B156" s="674" t="str">
        <f>'WTAMU FGD'!$B$2</f>
        <v>West Texas A&amp;M University</v>
      </c>
      <c r="C156" s="160"/>
      <c r="D156" s="390">
        <f>'WTAMU FGD'!$D$13</f>
        <v>7446495</v>
      </c>
      <c r="E156" s="390">
        <f>'WTAMU FGD'!$E$13</f>
        <v>0</v>
      </c>
      <c r="F156" s="390">
        <f>'WTAMU FGD'!$F$13</f>
        <v>0</v>
      </c>
      <c r="G156" s="390">
        <f>'WTAMU FGD'!$G$13</f>
        <v>0</v>
      </c>
      <c r="H156" s="390">
        <f>'WTAMU FGD'!$H$13</f>
        <v>0</v>
      </c>
      <c r="I156" s="390">
        <f>'WTAMU FGD'!$I$13</f>
        <v>0</v>
      </c>
      <c r="J156" s="390">
        <f>'WTAMU FGD'!$J$13</f>
        <v>0</v>
      </c>
      <c r="K156" s="390">
        <f>'WTAMU FGD'!$K$13</f>
        <v>0</v>
      </c>
      <c r="L156" s="390">
        <f>'WTAMU FGD'!$L$13</f>
        <v>0</v>
      </c>
      <c r="M156" s="390">
        <f>'WTAMU FGD'!$M$13</f>
        <v>7446495</v>
      </c>
    </row>
    <row r="157" spans="1:13" s="171" customFormat="1" collapsed="1">
      <c r="A157" s="166"/>
      <c r="B157" s="160" t="s">
        <v>1368</v>
      </c>
      <c r="C157" s="160"/>
      <c r="D157" s="390">
        <f t="shared" ref="D157:M157" si="3">SUM(D121:D156)</f>
        <v>336493406</v>
      </c>
      <c r="E157" s="390">
        <f t="shared" si="3"/>
        <v>0</v>
      </c>
      <c r="F157" s="390">
        <f t="shared" si="3"/>
        <v>0</v>
      </c>
      <c r="G157" s="390">
        <f t="shared" si="3"/>
        <v>0</v>
      </c>
      <c r="H157" s="390">
        <f t="shared" si="3"/>
        <v>0</v>
      </c>
      <c r="I157" s="390">
        <f t="shared" si="3"/>
        <v>0</v>
      </c>
      <c r="J157" s="390">
        <f t="shared" si="3"/>
        <v>0</v>
      </c>
      <c r="K157" s="390">
        <f t="shared" si="3"/>
        <v>0</v>
      </c>
      <c r="L157" s="390">
        <f t="shared" si="3"/>
        <v>0</v>
      </c>
      <c r="M157" s="390">
        <f t="shared" si="3"/>
        <v>336493406</v>
      </c>
    </row>
    <row r="158" spans="1:13" s="171" customFormat="1" ht="12.75" hidden="1" customHeight="1" outlineLevel="1">
      <c r="A158" s="166"/>
      <c r="B158" s="674" t="str">
        <f>'ARL FGD'!$B$2</f>
        <v>The University of Texas at Arlington</v>
      </c>
      <c r="C158" s="160"/>
      <c r="D158" s="390">
        <f>'ARL FGD'!$D$14</f>
        <v>0</v>
      </c>
      <c r="E158" s="390">
        <f>'ARL FGD'!$E$14</f>
        <v>0</v>
      </c>
      <c r="F158" s="390">
        <f>'ARL FGD'!$F$14</f>
        <v>0</v>
      </c>
      <c r="G158" s="390">
        <f>'ARL FGD'!$G$14</f>
        <v>0</v>
      </c>
      <c r="H158" s="390">
        <f>'ARL FGD'!$H$14</f>
        <v>0</v>
      </c>
      <c r="I158" s="390">
        <f>'ARL FGD'!$I$14</f>
        <v>0</v>
      </c>
      <c r="J158" s="390">
        <f>'ARL FGD'!$J$14</f>
        <v>0</v>
      </c>
      <c r="K158" s="390">
        <f>'ARL FGD'!$K$14</f>
        <v>0</v>
      </c>
      <c r="L158" s="390">
        <f>'ARL FGD'!$L$14</f>
        <v>0</v>
      </c>
      <c r="M158" s="390">
        <f>'ARL FGD'!$M$14</f>
        <v>0</v>
      </c>
    </row>
    <row r="159" spans="1:13" s="171" customFormat="1" ht="12.75" hidden="1" customHeight="1" outlineLevel="1">
      <c r="A159" s="166"/>
      <c r="B159" s="674" t="str">
        <f>'ASU FGD'!$B$2</f>
        <v>Angelo State University</v>
      </c>
      <c r="C159" s="160"/>
      <c r="D159" s="390">
        <f>'ASU FGD'!$D$14</f>
        <v>0</v>
      </c>
      <c r="E159" s="390">
        <f>'ASU FGD'!$E$14</f>
        <v>0</v>
      </c>
      <c r="F159" s="390">
        <f>'ASU FGD'!$F$14</f>
        <v>0</v>
      </c>
      <c r="G159" s="390">
        <f>'ASU FGD'!$G$14</f>
        <v>0</v>
      </c>
      <c r="H159" s="390">
        <f>'ASU FGD'!$H$14</f>
        <v>0</v>
      </c>
      <c r="I159" s="390">
        <f>'ASU FGD'!$I$14</f>
        <v>0</v>
      </c>
      <c r="J159" s="390">
        <f>'ASU FGD'!$J$14</f>
        <v>0</v>
      </c>
      <c r="K159" s="390">
        <f>'ASU FGD'!$K$14</f>
        <v>0</v>
      </c>
      <c r="L159" s="390">
        <f>'ASU FGD'!$L$14</f>
        <v>0</v>
      </c>
      <c r="M159" s="390">
        <f>'ASU FGD'!$M$14</f>
        <v>0</v>
      </c>
    </row>
    <row r="160" spans="1:13" s="171" customFormat="1" ht="12.75" hidden="1" customHeight="1" outlineLevel="1">
      <c r="A160" s="166"/>
      <c r="B160" s="674" t="str">
        <f>'AUS1 FGD'!$B$2</f>
        <v>The University of Texas at Austin - Academic &amp; Health (A+H)</v>
      </c>
      <c r="C160" s="160"/>
      <c r="D160" s="390">
        <f>'AUS1 FGD'!$D$14</f>
        <v>392376810</v>
      </c>
      <c r="E160" s="390">
        <f>'AUS1 FGD'!$E$14</f>
        <v>0</v>
      </c>
      <c r="F160" s="390">
        <f>'AUS1 FGD'!$F$14</f>
        <v>0</v>
      </c>
      <c r="G160" s="390">
        <f>'AUS1 FGD'!$G$14</f>
        <v>0</v>
      </c>
      <c r="H160" s="390">
        <f>'AUS1 FGD'!$H$14</f>
        <v>0</v>
      </c>
      <c r="I160" s="390">
        <f>'AUS1 FGD'!$I$14</f>
        <v>0</v>
      </c>
      <c r="J160" s="390">
        <f>'AUS1 FGD'!$J$14</f>
        <v>0</v>
      </c>
      <c r="K160" s="390">
        <f>'AUS1 FGD'!$K$14</f>
        <v>0</v>
      </c>
      <c r="L160" s="390">
        <f>'AUS1 FGD'!$L$14</f>
        <v>0</v>
      </c>
      <c r="M160" s="390">
        <f>'AUS1 FGD'!$M$14</f>
        <v>392376810</v>
      </c>
    </row>
    <row r="161" spans="1:13" s="171" customFormat="1" ht="12.75" hidden="1" customHeight="1" outlineLevel="1">
      <c r="A161" s="166"/>
      <c r="B161" s="674" t="str">
        <f>'RGV1 FGD'!$B$2</f>
        <v>The University of Texas RGV - Academic &amp; Health (A+H)</v>
      </c>
      <c r="C161" s="160"/>
      <c r="D161" s="390">
        <f>'RGV1 FGD'!$D$14</f>
        <v>0</v>
      </c>
      <c r="E161" s="390">
        <f>'RGV1 FGD'!$E$14</f>
        <v>0</v>
      </c>
      <c r="F161" s="390">
        <f>'RGV1 FGD'!$F$14</f>
        <v>0</v>
      </c>
      <c r="G161" s="390">
        <f>'RGV1 FGD'!$G$14</f>
        <v>0</v>
      </c>
      <c r="H161" s="390">
        <f>'RGV1 FGD'!$H$14</f>
        <v>0</v>
      </c>
      <c r="I161" s="390">
        <f>'RGV1 FGD'!$I$14</f>
        <v>0</v>
      </c>
      <c r="J161" s="390">
        <f>'RGV1 FGD'!$J$14</f>
        <v>0</v>
      </c>
      <c r="K161" s="390">
        <f>'RGV1 FGD'!$K$14</f>
        <v>0</v>
      </c>
      <c r="L161" s="390">
        <f>'RGV1 FGD'!$L$14</f>
        <v>0</v>
      </c>
      <c r="M161" s="390">
        <f>'RGV1 FGD'!$M$14</f>
        <v>0</v>
      </c>
    </row>
    <row r="162" spans="1:13" s="171" customFormat="1" ht="12.75" hidden="1" customHeight="1" outlineLevel="1">
      <c r="A162" s="166"/>
      <c r="B162" s="674" t="str">
        <f>'DAL FGD'!$B$2</f>
        <v>The University of Texas at Dallas</v>
      </c>
      <c r="C162" s="160"/>
      <c r="D162" s="390">
        <f>'DAL FGD'!$D$14</f>
        <v>0</v>
      </c>
      <c r="E162" s="390">
        <f>'DAL FGD'!$E$14</f>
        <v>0</v>
      </c>
      <c r="F162" s="390">
        <f>'DAL FGD'!$F$14</f>
        <v>0</v>
      </c>
      <c r="G162" s="390">
        <f>'DAL FGD'!$G$14</f>
        <v>0</v>
      </c>
      <c r="H162" s="390">
        <f>'DAL FGD'!$H$14</f>
        <v>0</v>
      </c>
      <c r="I162" s="390">
        <f>'DAL FGD'!$I$14</f>
        <v>0</v>
      </c>
      <c r="J162" s="390">
        <f>'DAL FGD'!$J$14</f>
        <v>0</v>
      </c>
      <c r="K162" s="390">
        <f>'DAL FGD'!$K$14</f>
        <v>0</v>
      </c>
      <c r="L162" s="390">
        <f>'DAL FGD'!$L$14</f>
        <v>0</v>
      </c>
      <c r="M162" s="390">
        <f>'DAL FGD'!$M$14</f>
        <v>0</v>
      </c>
    </row>
    <row r="163" spans="1:13" s="171" customFormat="1" ht="12.75" hidden="1" customHeight="1" outlineLevel="1">
      <c r="A163" s="166"/>
      <c r="B163" s="674" t="str">
        <f>'E-P FGD'!$B$2</f>
        <v>The University of Texas at El Paso</v>
      </c>
      <c r="C163" s="160"/>
      <c r="D163" s="390">
        <f>'E-P FGD'!$D$14</f>
        <v>0</v>
      </c>
      <c r="E163" s="390">
        <f>'E-P FGD'!$E$14</f>
        <v>0</v>
      </c>
      <c r="F163" s="390">
        <f>'E-P FGD'!$F$14</f>
        <v>0</v>
      </c>
      <c r="G163" s="390">
        <f>'E-P FGD'!$G$14</f>
        <v>0</v>
      </c>
      <c r="H163" s="390">
        <f>'E-P FGD'!$H$14</f>
        <v>0</v>
      </c>
      <c r="I163" s="390">
        <f>'E-P FGD'!$I$14</f>
        <v>0</v>
      </c>
      <c r="J163" s="390">
        <f>'E-P FGD'!$J$14</f>
        <v>0</v>
      </c>
      <c r="K163" s="390">
        <f>'E-P FGD'!$K$14</f>
        <v>0</v>
      </c>
      <c r="L163" s="390">
        <f>'E-P FGD'!$L$14</f>
        <v>0</v>
      </c>
      <c r="M163" s="390">
        <f>'E-P FGD'!$M$14</f>
        <v>0</v>
      </c>
    </row>
    <row r="164" spans="1:13" s="171" customFormat="1" ht="12.75" hidden="1" customHeight="1" outlineLevel="1">
      <c r="A164" s="166"/>
      <c r="B164" s="674" t="str">
        <f>'LU FGD'!$B$2</f>
        <v xml:space="preserve">Lamar University </v>
      </c>
      <c r="C164" s="160"/>
      <c r="D164" s="390">
        <f>'LU FGD'!$D$14</f>
        <v>0</v>
      </c>
      <c r="E164" s="390">
        <f>'LU FGD'!$E$14</f>
        <v>0</v>
      </c>
      <c r="F164" s="390">
        <f>'LU FGD'!$F$14</f>
        <v>0</v>
      </c>
      <c r="G164" s="390">
        <f>'LU FGD'!$G$14</f>
        <v>0</v>
      </c>
      <c r="H164" s="390">
        <f>'LU FGD'!$H$14</f>
        <v>0</v>
      </c>
      <c r="I164" s="390">
        <f>'LU FGD'!$I$14</f>
        <v>0</v>
      </c>
      <c r="J164" s="390">
        <f>'LU FGD'!$J$14</f>
        <v>0</v>
      </c>
      <c r="K164" s="390">
        <f>'LU FGD'!$K$14</f>
        <v>0</v>
      </c>
      <c r="L164" s="390">
        <f>'LU FGD'!$L$14</f>
        <v>0</v>
      </c>
      <c r="M164" s="390">
        <f>'LU FGD'!$M$14</f>
        <v>0</v>
      </c>
    </row>
    <row r="165" spans="1:13" s="171" customFormat="1" ht="12.75" hidden="1" customHeight="1" outlineLevel="1">
      <c r="A165" s="166"/>
      <c r="B165" s="674" t="str">
        <f>'MidWST FGD'!$B$2</f>
        <v>Midwestern State University</v>
      </c>
      <c r="C165" s="160"/>
      <c r="D165" s="390">
        <f>'MidWST FGD'!$D$14</f>
        <v>0</v>
      </c>
      <c r="E165" s="390">
        <f>'MidWST FGD'!$E$14</f>
        <v>0</v>
      </c>
      <c r="F165" s="390">
        <f>'MidWST FGD'!$F$14</f>
        <v>0</v>
      </c>
      <c r="G165" s="390">
        <f>'MidWST FGD'!$G$14</f>
        <v>0</v>
      </c>
      <c r="H165" s="390">
        <f>'MidWST FGD'!$H$14</f>
        <v>0</v>
      </c>
      <c r="I165" s="390">
        <f>'MidWST FGD'!$I$14</f>
        <v>0</v>
      </c>
      <c r="J165" s="390">
        <f>'MidWST FGD'!$J$14</f>
        <v>0</v>
      </c>
      <c r="K165" s="390">
        <f>'MidWST FGD'!$K$14</f>
        <v>0</v>
      </c>
      <c r="L165" s="390">
        <f>'MidWST FGD'!$L$14</f>
        <v>0</v>
      </c>
      <c r="M165" s="390">
        <f>'MidWST FGD'!$M$14</f>
        <v>0</v>
      </c>
    </row>
    <row r="166" spans="1:13" s="171" customFormat="1" ht="12.75" hidden="1" customHeight="1" outlineLevel="1">
      <c r="A166" s="166"/>
      <c r="B166" s="674" t="str">
        <f>'P-B FGD'!$B$2</f>
        <v>The University of Texas of the Permian Basin</v>
      </c>
      <c r="C166" s="160"/>
      <c r="D166" s="390">
        <f>'P-B FGD'!$D$14</f>
        <v>0</v>
      </c>
      <c r="E166" s="390">
        <f>'P-B FGD'!$E$14</f>
        <v>0</v>
      </c>
      <c r="F166" s="390">
        <f>'P-B FGD'!$F$14</f>
        <v>0</v>
      </c>
      <c r="G166" s="390">
        <f>'P-B FGD'!$G$14</f>
        <v>0</v>
      </c>
      <c r="H166" s="390">
        <f>'P-B FGD'!$H$14</f>
        <v>0</v>
      </c>
      <c r="I166" s="390">
        <f>'P-B FGD'!$I$14</f>
        <v>0</v>
      </c>
      <c r="J166" s="390">
        <f>'P-B FGD'!$J$14</f>
        <v>0</v>
      </c>
      <c r="K166" s="390">
        <f>'P-B FGD'!$K$14</f>
        <v>0</v>
      </c>
      <c r="L166" s="390">
        <f>'P-B FGD'!$L$14</f>
        <v>0</v>
      </c>
      <c r="M166" s="390">
        <f>'P-B FGD'!$M$14</f>
        <v>0</v>
      </c>
    </row>
    <row r="167" spans="1:13" s="171" customFormat="1" ht="12.75" hidden="1" customHeight="1" outlineLevel="1">
      <c r="A167" s="166"/>
      <c r="B167" s="674" t="str">
        <f>'PVAMU FGD'!$B$2</f>
        <v>Prairie View A&amp;M University</v>
      </c>
      <c r="C167" s="160"/>
      <c r="D167" s="390">
        <f>'PVAMU FGD'!$D$14</f>
        <v>26604505</v>
      </c>
      <c r="E167" s="390">
        <f>'PVAMU FGD'!$E$14</f>
        <v>0</v>
      </c>
      <c r="F167" s="390">
        <f>'PVAMU FGD'!$F$14</f>
        <v>0</v>
      </c>
      <c r="G167" s="390">
        <f>'PVAMU FGD'!$G$14</f>
        <v>0</v>
      </c>
      <c r="H167" s="390">
        <f>'PVAMU FGD'!$H$14</f>
        <v>0</v>
      </c>
      <c r="I167" s="390">
        <f>'PVAMU FGD'!$I$14</f>
        <v>0</v>
      </c>
      <c r="J167" s="390">
        <f>'PVAMU FGD'!$J$14</f>
        <v>0</v>
      </c>
      <c r="K167" s="390">
        <f>'PVAMU FGD'!$K$14</f>
        <v>0</v>
      </c>
      <c r="L167" s="390">
        <f>'PVAMU FGD'!$L$14</f>
        <v>0</v>
      </c>
      <c r="M167" s="390">
        <f>'PVAMU FGD'!$M$14</f>
        <v>26604505</v>
      </c>
    </row>
    <row r="168" spans="1:13" s="171" customFormat="1" ht="12.75" hidden="1" customHeight="1" outlineLevel="1">
      <c r="A168" s="166"/>
      <c r="B168" s="674" t="str">
        <f>'S-A FGD'!$B$2</f>
        <v>The University of Texas at San Antonio</v>
      </c>
      <c r="C168" s="160"/>
      <c r="D168" s="390">
        <f>'S-A FGD'!$D$14</f>
        <v>0</v>
      </c>
      <c r="E168" s="390">
        <f>'S-A FGD'!$E$14</f>
        <v>0</v>
      </c>
      <c r="F168" s="390">
        <f>'S-A FGD'!$F$14</f>
        <v>0</v>
      </c>
      <c r="G168" s="390">
        <f>'S-A FGD'!$G$14</f>
        <v>0</v>
      </c>
      <c r="H168" s="390">
        <f>'S-A FGD'!$H$14</f>
        <v>0</v>
      </c>
      <c r="I168" s="390">
        <f>'S-A FGD'!$I$14</f>
        <v>0</v>
      </c>
      <c r="J168" s="390">
        <f>'S-A FGD'!$J$14</f>
        <v>0</v>
      </c>
      <c r="K168" s="390">
        <f>'S-A FGD'!$K$14</f>
        <v>0</v>
      </c>
      <c r="L168" s="390">
        <f>'S-A FGD'!$L$14</f>
        <v>0</v>
      </c>
      <c r="M168" s="390">
        <f>'S-A FGD'!$M$14</f>
        <v>0</v>
      </c>
    </row>
    <row r="169" spans="1:13" s="171" customFormat="1" ht="12.75" hidden="1" customHeight="1" outlineLevel="1">
      <c r="A169" s="166"/>
      <c r="B169" s="674" t="str">
        <f>'SFA FGD'!$B$2</f>
        <v>Stephen F. Austin State University</v>
      </c>
      <c r="C169" s="160"/>
      <c r="D169" s="390">
        <f>'SFA FGD'!$D$14</f>
        <v>0</v>
      </c>
      <c r="E169" s="390">
        <f>'SFA FGD'!$E$14</f>
        <v>0</v>
      </c>
      <c r="F169" s="390">
        <f>'SFA FGD'!$F$14</f>
        <v>0</v>
      </c>
      <c r="G169" s="390">
        <f>'SFA FGD'!$G$14</f>
        <v>0</v>
      </c>
      <c r="H169" s="390">
        <f>'SFA FGD'!$H$14</f>
        <v>0</v>
      </c>
      <c r="I169" s="390">
        <f>'SFA FGD'!$I$14</f>
        <v>0</v>
      </c>
      <c r="J169" s="390">
        <f>'SFA FGD'!$J$14</f>
        <v>0</v>
      </c>
      <c r="K169" s="390">
        <f>'SFA FGD'!$K$14</f>
        <v>0</v>
      </c>
      <c r="L169" s="390">
        <f>'SFA FGD'!$L$14</f>
        <v>0</v>
      </c>
      <c r="M169" s="390">
        <f>'SFA FGD'!$M$14</f>
        <v>0</v>
      </c>
    </row>
    <row r="170" spans="1:13" s="171" customFormat="1" ht="12.75" hidden="1" customHeight="1" outlineLevel="1">
      <c r="A170" s="166"/>
      <c r="B170" s="674" t="str">
        <f>'shsu1 FGD'!$B$2</f>
        <v>Sam Houston State University - Academic &amp; Health (A+H)</v>
      </c>
      <c r="C170" s="160"/>
      <c r="D170" s="390">
        <f>'shsu1 FGD'!$D$14</f>
        <v>0</v>
      </c>
      <c r="E170" s="390">
        <f>'shsu1 FGD'!$E$14</f>
        <v>0</v>
      </c>
      <c r="F170" s="390">
        <f>'shsu1 FGD'!$F$14</f>
        <v>0</v>
      </c>
      <c r="G170" s="390">
        <f>'shsu1 FGD'!$G$14</f>
        <v>0</v>
      </c>
      <c r="H170" s="390">
        <f>'shsu1 FGD'!$H$14</f>
        <v>0</v>
      </c>
      <c r="I170" s="390">
        <f>'shsu1 FGD'!$I$14</f>
        <v>0</v>
      </c>
      <c r="J170" s="390">
        <f>'shsu1 FGD'!$J$14</f>
        <v>0</v>
      </c>
      <c r="K170" s="390">
        <f>'shsu1 FGD'!$K$14</f>
        <v>0</v>
      </c>
      <c r="L170" s="390">
        <f>'shsu1 FGD'!$L$14</f>
        <v>0</v>
      </c>
      <c r="M170" s="390">
        <f>'shsu1 FGD'!$M$14</f>
        <v>0</v>
      </c>
    </row>
    <row r="171" spans="1:13" s="171" customFormat="1" ht="12.75" hidden="1" customHeight="1" outlineLevel="1">
      <c r="A171" s="166"/>
      <c r="B171" s="674" t="str">
        <f>'SRSU FGD'!$B$2</f>
        <v>Sul Ross State University</v>
      </c>
      <c r="C171" s="160"/>
      <c r="D171" s="390">
        <f>'SRSU FGD'!$D$14</f>
        <v>0</v>
      </c>
      <c r="E171" s="390">
        <f>'SRSU FGD'!$E$14</f>
        <v>0</v>
      </c>
      <c r="F171" s="390">
        <f>'SRSU FGD'!$F$14</f>
        <v>0</v>
      </c>
      <c r="G171" s="390">
        <f>'SRSU FGD'!$G$14</f>
        <v>0</v>
      </c>
      <c r="H171" s="390">
        <f>'SRSU FGD'!$H$14</f>
        <v>0</v>
      </c>
      <c r="I171" s="390">
        <f>'SRSU FGD'!$I$14</f>
        <v>0</v>
      </c>
      <c r="J171" s="390">
        <f>'SRSU FGD'!$J$14</f>
        <v>0</v>
      </c>
      <c r="K171" s="390">
        <f>'SRSU FGD'!$K$14</f>
        <v>0</v>
      </c>
      <c r="L171" s="390">
        <f>'SRSU FGD'!$L$14</f>
        <v>0</v>
      </c>
      <c r="M171" s="390">
        <f>'SRSU FGD'!$M$14</f>
        <v>0</v>
      </c>
    </row>
    <row r="172" spans="1:13" s="171" customFormat="1" ht="12.75" hidden="1" customHeight="1" outlineLevel="1">
      <c r="A172" s="166"/>
      <c r="B172" s="674" t="str">
        <f>'TAMIU FGD'!$B$2</f>
        <v>Texas A&amp;M International University</v>
      </c>
      <c r="C172" s="160"/>
      <c r="D172" s="390">
        <f>'TAMIU FGD'!$D$14</f>
        <v>0</v>
      </c>
      <c r="E172" s="390">
        <f>'TAMIU FGD'!$E$14</f>
        <v>0</v>
      </c>
      <c r="F172" s="390">
        <f>'TAMIU FGD'!$F$14</f>
        <v>0</v>
      </c>
      <c r="G172" s="390">
        <f>'TAMIU FGD'!$G$14</f>
        <v>0</v>
      </c>
      <c r="H172" s="390">
        <f>'TAMIU FGD'!$H$14</f>
        <v>0</v>
      </c>
      <c r="I172" s="390">
        <f>'TAMIU FGD'!$I$14</f>
        <v>0</v>
      </c>
      <c r="J172" s="390">
        <f>'TAMIU FGD'!$J$14</f>
        <v>0</v>
      </c>
      <c r="K172" s="390">
        <f>'TAMIU FGD'!$K$14</f>
        <v>0</v>
      </c>
      <c r="L172" s="390">
        <f>'TAMIU FGD'!$L$14</f>
        <v>0</v>
      </c>
      <c r="M172" s="390">
        <f>'TAMIU FGD'!$M$14</f>
        <v>0</v>
      </c>
    </row>
    <row r="173" spans="1:13" s="171" customFormat="1" ht="12.75" hidden="1" customHeight="1" outlineLevel="1">
      <c r="A173" s="166"/>
      <c r="B173" s="674" t="str">
        <f>'TAMU FGD'!$B$2</f>
        <v>Texas A&amp;M University</v>
      </c>
      <c r="C173" s="160"/>
      <c r="D173" s="390">
        <f>'TAMU FGD'!$D$14</f>
        <v>64695488</v>
      </c>
      <c r="E173" s="390">
        <f>'TAMU FGD'!$E$14</f>
        <v>136918806</v>
      </c>
      <c r="F173" s="390">
        <f>'TAMU FGD'!$F$14</f>
        <v>0</v>
      </c>
      <c r="G173" s="390">
        <f>'TAMU FGD'!$G$14</f>
        <v>0</v>
      </c>
      <c r="H173" s="390">
        <f>'TAMU FGD'!$H$14</f>
        <v>0</v>
      </c>
      <c r="I173" s="390">
        <f>'TAMU FGD'!$I$14</f>
        <v>0</v>
      </c>
      <c r="J173" s="390">
        <f>'TAMU FGD'!$J$14</f>
        <v>0</v>
      </c>
      <c r="K173" s="390">
        <f>'TAMU FGD'!$K$14</f>
        <v>0</v>
      </c>
      <c r="L173" s="390">
        <f>'TAMU FGD'!$L$14</f>
        <v>0</v>
      </c>
      <c r="M173" s="390">
        <f>'TAMU FGD'!$M$14</f>
        <v>201614294</v>
      </c>
    </row>
    <row r="174" spans="1:13" s="171" customFormat="1" ht="12.75" hidden="1" customHeight="1" outlineLevel="1">
      <c r="A174" s="166"/>
      <c r="B174" s="674" t="str">
        <f>'TAMUC FGD'!$B$2</f>
        <v>Texas A&amp;M University - Commerce</v>
      </c>
      <c r="C174" s="160"/>
      <c r="D174" s="390">
        <f>'TAMUC FGD'!$D$14</f>
        <v>0</v>
      </c>
      <c r="E174" s="390">
        <f>'TAMUC FGD'!$E$14</f>
        <v>0</v>
      </c>
      <c r="F174" s="390">
        <f>'TAMUC FGD'!$F$14</f>
        <v>0</v>
      </c>
      <c r="G174" s="390">
        <f>'TAMUC FGD'!$G$14</f>
        <v>0</v>
      </c>
      <c r="H174" s="390">
        <f>'TAMUC FGD'!$H$14</f>
        <v>0</v>
      </c>
      <c r="I174" s="390">
        <f>'TAMUC FGD'!$I$14</f>
        <v>0</v>
      </c>
      <c r="J174" s="390">
        <f>'TAMUC FGD'!$J$14</f>
        <v>0</v>
      </c>
      <c r="K174" s="390">
        <f>'TAMUC FGD'!$K$14</f>
        <v>0</v>
      </c>
      <c r="L174" s="390">
        <f>'TAMUC FGD'!$L$14</f>
        <v>0</v>
      </c>
      <c r="M174" s="390">
        <f>'TAMUC FGD'!$M$14</f>
        <v>0</v>
      </c>
    </row>
    <row r="175" spans="1:13" s="171" customFormat="1" ht="12.75" hidden="1" customHeight="1" outlineLevel="1">
      <c r="A175" s="166"/>
      <c r="B175" s="674" t="str">
        <f>'TAMUCC FGD'!$B$2</f>
        <v>Texas A&amp;M University - Corpus Christi</v>
      </c>
      <c r="C175" s="160"/>
      <c r="D175" s="390">
        <f>'TAMUCC FGD'!$D$14</f>
        <v>0</v>
      </c>
      <c r="E175" s="390">
        <f>'TAMUCC FGD'!$E$14</f>
        <v>0</v>
      </c>
      <c r="F175" s="390">
        <f>'TAMUCC FGD'!$F$14</f>
        <v>0</v>
      </c>
      <c r="G175" s="390">
        <f>'TAMUCC FGD'!$G$14</f>
        <v>0</v>
      </c>
      <c r="H175" s="390">
        <f>'TAMUCC FGD'!$H$14</f>
        <v>0</v>
      </c>
      <c r="I175" s="390">
        <f>'TAMUCC FGD'!$I$14</f>
        <v>0</v>
      </c>
      <c r="J175" s="390">
        <f>'TAMUCC FGD'!$J$14</f>
        <v>0</v>
      </c>
      <c r="K175" s="390">
        <f>'TAMUCC FGD'!$K$14</f>
        <v>0</v>
      </c>
      <c r="L175" s="390">
        <f>'TAMUCC FGD'!$L$14</f>
        <v>0</v>
      </c>
      <c r="M175" s="390">
        <f>'TAMUCC FGD'!$M$14</f>
        <v>0</v>
      </c>
    </row>
    <row r="176" spans="1:13" s="171" customFormat="1" ht="12.75" hidden="1" customHeight="1" outlineLevel="1">
      <c r="A176" s="166"/>
      <c r="B176" s="674" t="str">
        <f>'TAMUCT FGD'!$B$2</f>
        <v>Texas A&amp;M University - Central Texas</v>
      </c>
      <c r="C176" s="160"/>
      <c r="D176" s="390">
        <f>'TAMUCT FGD'!$D$14</f>
        <v>0</v>
      </c>
      <c r="E176" s="390">
        <f>'TAMUCT FGD'!$E$14</f>
        <v>0</v>
      </c>
      <c r="F176" s="390">
        <f>'TAMUCT FGD'!$F$14</f>
        <v>0</v>
      </c>
      <c r="G176" s="390">
        <f>'TAMUCT FGD'!$G$14</f>
        <v>0</v>
      </c>
      <c r="H176" s="390">
        <f>'TAMUCT FGD'!$H$14</f>
        <v>0</v>
      </c>
      <c r="I176" s="390">
        <f>'TAMUCT FGD'!$I$14</f>
        <v>0</v>
      </c>
      <c r="J176" s="390">
        <f>'TAMUCT FGD'!$J$14</f>
        <v>0</v>
      </c>
      <c r="K176" s="390">
        <f>'TAMUCT FGD'!$K$14</f>
        <v>0</v>
      </c>
      <c r="L176" s="390">
        <f>'TAMUCT FGD'!$L$14</f>
        <v>0</v>
      </c>
      <c r="M176" s="390">
        <f>'TAMUCT FGD'!$M$14</f>
        <v>0</v>
      </c>
    </row>
    <row r="177" spans="1:13" s="171" customFormat="1" ht="12.75" hidden="1" customHeight="1" outlineLevel="1">
      <c r="A177" s="166"/>
      <c r="B177" s="674" t="str">
        <f>'TAMUG FGD'!$B$2</f>
        <v>Texas A&amp;M University at Galveston</v>
      </c>
      <c r="C177" s="160"/>
      <c r="D177" s="390">
        <f>'TAMUG FGD'!$D$14</f>
        <v>0</v>
      </c>
      <c r="E177" s="390">
        <f>'TAMUG FGD'!$E$14</f>
        <v>0</v>
      </c>
      <c r="F177" s="390">
        <f>'TAMUG FGD'!$F$14</f>
        <v>0</v>
      </c>
      <c r="G177" s="390">
        <f>'TAMUG FGD'!$G$14</f>
        <v>0</v>
      </c>
      <c r="H177" s="390">
        <f>'TAMUG FGD'!$H$14</f>
        <v>0</v>
      </c>
      <c r="I177" s="390">
        <f>'TAMUG FGD'!$I$14</f>
        <v>0</v>
      </c>
      <c r="J177" s="390">
        <f>'TAMUG FGD'!$J$14</f>
        <v>0</v>
      </c>
      <c r="K177" s="390">
        <f>'TAMUG FGD'!$K$14</f>
        <v>0</v>
      </c>
      <c r="L177" s="390">
        <f>'TAMUG FGD'!$L$14</f>
        <v>0</v>
      </c>
      <c r="M177" s="390">
        <f>'TAMUG FGD'!$M$14</f>
        <v>0</v>
      </c>
    </row>
    <row r="178" spans="1:13" s="171" customFormat="1" ht="12.75" hidden="1" customHeight="1" outlineLevel="1">
      <c r="A178" s="166"/>
      <c r="B178" s="674" t="str">
        <f>'TAMUK FGD'!$B$2</f>
        <v>Texas A&amp;M University - Kingsville</v>
      </c>
      <c r="C178" s="160"/>
      <c r="D178" s="390">
        <f>'TAMUK FGD'!$D$14</f>
        <v>0</v>
      </c>
      <c r="E178" s="390">
        <f>'TAMUK FGD'!$E$14</f>
        <v>0</v>
      </c>
      <c r="F178" s="390">
        <f>'TAMUK FGD'!$F$14</f>
        <v>0</v>
      </c>
      <c r="G178" s="390">
        <f>'TAMUK FGD'!$G$14</f>
        <v>0</v>
      </c>
      <c r="H178" s="390">
        <f>'TAMUK FGD'!$H$14</f>
        <v>0</v>
      </c>
      <c r="I178" s="390">
        <f>'TAMUK FGD'!$I$14</f>
        <v>0</v>
      </c>
      <c r="J178" s="390">
        <f>'TAMUK FGD'!$J$14</f>
        <v>0</v>
      </c>
      <c r="K178" s="390">
        <f>'TAMUK FGD'!$K$14</f>
        <v>0</v>
      </c>
      <c r="L178" s="390">
        <f>'TAMUK FGD'!$L$14</f>
        <v>0</v>
      </c>
      <c r="M178" s="390">
        <f>'TAMUK FGD'!$M$14</f>
        <v>0</v>
      </c>
    </row>
    <row r="179" spans="1:13" s="171" customFormat="1" ht="12.75" hidden="1" customHeight="1" outlineLevel="1">
      <c r="A179" s="166"/>
      <c r="B179" s="674" t="str">
        <f>'TAMUSA FGD'!$B$2</f>
        <v>Texas A&amp;M University - San Antonio</v>
      </c>
      <c r="C179" s="160"/>
      <c r="D179" s="390">
        <f>'TAMUSA FGD'!$D$14</f>
        <v>0</v>
      </c>
      <c r="E179" s="390">
        <f>'TAMUSA FGD'!$E$14</f>
        <v>0</v>
      </c>
      <c r="F179" s="390">
        <f>'TAMUSA FGD'!$F$14</f>
        <v>0</v>
      </c>
      <c r="G179" s="390">
        <f>'TAMUSA FGD'!$G$14</f>
        <v>0</v>
      </c>
      <c r="H179" s="390">
        <f>'TAMUSA FGD'!$H$14</f>
        <v>0</v>
      </c>
      <c r="I179" s="390">
        <f>'TAMUSA FGD'!$I$14</f>
        <v>0</v>
      </c>
      <c r="J179" s="390">
        <f>'TAMUSA FGD'!$J$14</f>
        <v>0</v>
      </c>
      <c r="K179" s="390">
        <f>'TAMUSA FGD'!$K$14</f>
        <v>0</v>
      </c>
      <c r="L179" s="390">
        <f>'TAMUSA FGD'!$L$14</f>
        <v>0</v>
      </c>
      <c r="M179" s="390">
        <f>'TAMUSA FGD'!$M$14</f>
        <v>0</v>
      </c>
    </row>
    <row r="180" spans="1:13" s="171" customFormat="1" ht="12.75" hidden="1" customHeight="1" outlineLevel="1">
      <c r="A180" s="166"/>
      <c r="B180" s="674" t="str">
        <f>'TAMUT FGD'!$B$2</f>
        <v>Texas A&amp;M University - Texarkana</v>
      </c>
      <c r="C180" s="160"/>
      <c r="D180" s="390">
        <f>'TAMUT FGD'!$D$14</f>
        <v>0</v>
      </c>
      <c r="E180" s="390">
        <f>'TAMUT FGD'!$E$14</f>
        <v>0</v>
      </c>
      <c r="F180" s="390">
        <f>'TAMUT FGD'!$F$14</f>
        <v>0</v>
      </c>
      <c r="G180" s="390">
        <f>'TAMUT FGD'!$G$14</f>
        <v>0</v>
      </c>
      <c r="H180" s="390">
        <f>'TAMUT FGD'!$H$14</f>
        <v>0</v>
      </c>
      <c r="I180" s="390">
        <f>'TAMUT FGD'!$I$14</f>
        <v>0</v>
      </c>
      <c r="J180" s="390">
        <f>'TAMUT FGD'!$J$14</f>
        <v>0</v>
      </c>
      <c r="K180" s="390">
        <f>'TAMUT FGD'!$K$14</f>
        <v>0</v>
      </c>
      <c r="L180" s="390">
        <f>'TAMUT FGD'!$L$14</f>
        <v>0</v>
      </c>
      <c r="M180" s="390">
        <f>'TAMUT FGD'!$M$14</f>
        <v>0</v>
      </c>
    </row>
    <row r="181" spans="1:13" s="171" customFormat="1" ht="12.75" hidden="1" customHeight="1" outlineLevel="1">
      <c r="A181" s="166"/>
      <c r="B181" s="674" t="str">
        <f>'TARLST FGD'!$B$2</f>
        <v>Tarleton State University</v>
      </c>
      <c r="C181" s="160"/>
      <c r="D181" s="390">
        <f>'TARLST FGD'!$D$14</f>
        <v>0</v>
      </c>
      <c r="E181" s="390">
        <f>'TARLST FGD'!$E$14</f>
        <v>0</v>
      </c>
      <c r="F181" s="390">
        <f>'TARLST FGD'!$F$14</f>
        <v>0</v>
      </c>
      <c r="G181" s="390">
        <f>'TARLST FGD'!$G$14</f>
        <v>0</v>
      </c>
      <c r="H181" s="390">
        <f>'TARLST FGD'!$H$14</f>
        <v>0</v>
      </c>
      <c r="I181" s="390">
        <f>'TARLST FGD'!$I$14</f>
        <v>0</v>
      </c>
      <c r="J181" s="390">
        <f>'TARLST FGD'!$J$14</f>
        <v>0</v>
      </c>
      <c r="K181" s="390">
        <f>'TARLST FGD'!$K$14</f>
        <v>0</v>
      </c>
      <c r="L181" s="390">
        <f>'TARLST FGD'!$L$14</f>
        <v>0</v>
      </c>
      <c r="M181" s="390">
        <f>'TARLST FGD'!$M$14</f>
        <v>0</v>
      </c>
    </row>
    <row r="182" spans="1:13" s="171" customFormat="1" ht="12.75" hidden="1" customHeight="1" outlineLevel="1">
      <c r="A182" s="166"/>
      <c r="B182" s="674" t="str">
        <f>'TSU FGD'!$B$2</f>
        <v>Texas Southern University</v>
      </c>
      <c r="C182" s="160"/>
      <c r="D182" s="390">
        <f>'TSU FGD'!$D$14</f>
        <v>0</v>
      </c>
      <c r="E182" s="390">
        <f>'TSU FGD'!$E$14</f>
        <v>0</v>
      </c>
      <c r="F182" s="390">
        <f>'TSU FGD'!$F$14</f>
        <v>0</v>
      </c>
      <c r="G182" s="390">
        <f>'TSU FGD'!$G$14</f>
        <v>0</v>
      </c>
      <c r="H182" s="390">
        <f>'TSU FGD'!$H$14</f>
        <v>0</v>
      </c>
      <c r="I182" s="390">
        <f>'TSU FGD'!$I$14</f>
        <v>0</v>
      </c>
      <c r="J182" s="390">
        <f>'TSU FGD'!$J$14</f>
        <v>0</v>
      </c>
      <c r="K182" s="390">
        <f>'TSU FGD'!$K$14</f>
        <v>0</v>
      </c>
      <c r="L182" s="390">
        <f>'TSU FGD'!$L$14</f>
        <v>0</v>
      </c>
      <c r="M182" s="390">
        <f>'TSU FGD'!$M$14</f>
        <v>0</v>
      </c>
    </row>
    <row r="183" spans="1:13" s="171" customFormat="1" ht="12.75" hidden="1" customHeight="1" outlineLevel="1">
      <c r="A183" s="166"/>
      <c r="B183" s="674" t="str">
        <f>'TTU FGD'!$B$2</f>
        <v>Texas Tech University</v>
      </c>
      <c r="C183" s="160"/>
      <c r="D183" s="390">
        <f>'TTU FGD'!$D$14</f>
        <v>0</v>
      </c>
      <c r="E183" s="390">
        <f>'TTU FGD'!$E$14</f>
        <v>0</v>
      </c>
      <c r="F183" s="390">
        <f>'TTU FGD'!$F$14</f>
        <v>0</v>
      </c>
      <c r="G183" s="390">
        <f>'TTU FGD'!$G$14</f>
        <v>0</v>
      </c>
      <c r="H183" s="390">
        <f>'TTU FGD'!$H$14</f>
        <v>0</v>
      </c>
      <c r="I183" s="390">
        <f>'TTU FGD'!$I$14</f>
        <v>0</v>
      </c>
      <c r="J183" s="390">
        <f>'TTU FGD'!$J$14</f>
        <v>0</v>
      </c>
      <c r="K183" s="390">
        <f>'TTU FGD'!$K$14</f>
        <v>0</v>
      </c>
      <c r="L183" s="390">
        <f>'TTU FGD'!$L$14</f>
        <v>0</v>
      </c>
      <c r="M183" s="390">
        <f>'TTU FGD'!$M$14</f>
        <v>0</v>
      </c>
    </row>
    <row r="184" spans="1:13" s="171" customFormat="1" ht="12.75" hidden="1" customHeight="1" outlineLevel="1">
      <c r="A184" s="166"/>
      <c r="B184" s="674" t="str">
        <f>'TWU FGD'!$B$2</f>
        <v>Texas Woman's University</v>
      </c>
      <c r="C184" s="160"/>
      <c r="D184" s="390">
        <f>'TWU FGD'!$D$14</f>
        <v>0</v>
      </c>
      <c r="E184" s="390">
        <f>'TWU FGD'!$E$14</f>
        <v>0</v>
      </c>
      <c r="F184" s="390">
        <f>'TWU FGD'!$F$14</f>
        <v>0</v>
      </c>
      <c r="G184" s="390">
        <f>'TWU FGD'!$G$14</f>
        <v>0</v>
      </c>
      <c r="H184" s="390">
        <f>'TWU FGD'!$H$14</f>
        <v>0</v>
      </c>
      <c r="I184" s="390">
        <f>'TWU FGD'!$I$14</f>
        <v>0</v>
      </c>
      <c r="J184" s="390">
        <f>'TWU FGD'!$J$14</f>
        <v>0</v>
      </c>
      <c r="K184" s="390">
        <f>'TWU FGD'!$K$14</f>
        <v>0</v>
      </c>
      <c r="L184" s="390">
        <f>'TWU FGD'!$L$14</f>
        <v>0</v>
      </c>
      <c r="M184" s="390">
        <f>'TWU FGD'!$M$14</f>
        <v>0</v>
      </c>
    </row>
    <row r="185" spans="1:13" s="171" customFormat="1" ht="12.75" hidden="1" customHeight="1" outlineLevel="1">
      <c r="A185" s="166"/>
      <c r="B185" s="674" t="str">
        <f>'TXST FGD'!$B$2</f>
        <v>Texas State University</v>
      </c>
      <c r="C185" s="160"/>
      <c r="D185" s="390">
        <f>'TXST FGD'!$D$14</f>
        <v>0</v>
      </c>
      <c r="E185" s="390">
        <f>'TXST FGD'!$E$14</f>
        <v>0</v>
      </c>
      <c r="F185" s="390">
        <f>'TXST FGD'!$F$14</f>
        <v>0</v>
      </c>
      <c r="G185" s="390">
        <f>'TXST FGD'!$G$14</f>
        <v>0</v>
      </c>
      <c r="H185" s="390">
        <f>'TXST FGD'!$H$14</f>
        <v>0</v>
      </c>
      <c r="I185" s="390">
        <f>'TXST FGD'!$I$14</f>
        <v>0</v>
      </c>
      <c r="J185" s="390">
        <f>'TXST FGD'!$J$14</f>
        <v>0</v>
      </c>
      <c r="K185" s="390">
        <f>'TXST FGD'!$K$14</f>
        <v>0</v>
      </c>
      <c r="L185" s="390">
        <f>'TXST FGD'!$L$14</f>
        <v>0</v>
      </c>
      <c r="M185" s="390">
        <f>'TXST FGD'!$M$14</f>
        <v>0</v>
      </c>
    </row>
    <row r="186" spans="1:13" s="171" customFormat="1" ht="12.75" hidden="1" customHeight="1" outlineLevel="1">
      <c r="A186" s="166"/>
      <c r="B186" s="674" t="str">
        <f>'TYL FGD'!$B$2</f>
        <v>The University of Texas at Tyler</v>
      </c>
      <c r="C186" s="160"/>
      <c r="D186" s="390">
        <f>'TYL FGD'!$D$14</f>
        <v>0</v>
      </c>
      <c r="E186" s="390">
        <f>'TYL FGD'!$E$14</f>
        <v>0</v>
      </c>
      <c r="F186" s="390">
        <f>'TYL FGD'!$F$14</f>
        <v>0</v>
      </c>
      <c r="G186" s="390">
        <f>'TYL FGD'!$G$14</f>
        <v>0</v>
      </c>
      <c r="H186" s="390">
        <f>'TYL FGD'!$H$14</f>
        <v>0</v>
      </c>
      <c r="I186" s="390">
        <f>'TYL FGD'!$I$14</f>
        <v>0</v>
      </c>
      <c r="J186" s="390">
        <f>'TYL FGD'!$J$14</f>
        <v>0</v>
      </c>
      <c r="K186" s="390">
        <f>'TYL FGD'!$K$14</f>
        <v>0</v>
      </c>
      <c r="L186" s="390">
        <f>'TYL FGD'!$L$14</f>
        <v>0</v>
      </c>
      <c r="M186" s="390">
        <f>'TYL FGD'!$M$14</f>
        <v>0</v>
      </c>
    </row>
    <row r="187" spans="1:13" s="171" customFormat="1" ht="12.75" hidden="1" customHeight="1" outlineLevel="1">
      <c r="A187" s="166"/>
      <c r="B187" s="674" t="str">
        <f>'UH1 FGD'!$B$2</f>
        <v>University of Houston - Academic &amp; Health (A+H)</v>
      </c>
      <c r="C187" s="160"/>
      <c r="D187" s="390">
        <f>'UH1 FGD'!$D$14</f>
        <v>0</v>
      </c>
      <c r="E187" s="390">
        <f>'UH1 FGD'!$E$14</f>
        <v>0</v>
      </c>
      <c r="F187" s="390">
        <f>'UH1 FGD'!$F$14</f>
        <v>0</v>
      </c>
      <c r="G187" s="390">
        <f>'UH1 FGD'!$G$14</f>
        <v>0</v>
      </c>
      <c r="H187" s="390">
        <f>'UH1 FGD'!$H$14</f>
        <v>0</v>
      </c>
      <c r="I187" s="390">
        <f>'UH1 FGD'!$I$14</f>
        <v>0</v>
      </c>
      <c r="J187" s="390">
        <f>'UH1 FGD'!$J$14</f>
        <v>0</v>
      </c>
      <c r="K187" s="390">
        <f>'UH1 FGD'!$K$14</f>
        <v>0</v>
      </c>
      <c r="L187" s="390">
        <f>'UH1 FGD'!$L$14</f>
        <v>0</v>
      </c>
      <c r="M187" s="390">
        <f>'UH1 FGD'!$M$14</f>
        <v>0</v>
      </c>
    </row>
    <row r="188" spans="1:13" s="171" customFormat="1" ht="12.75" hidden="1" customHeight="1" outlineLevel="1">
      <c r="A188" s="166"/>
      <c r="B188" s="674" t="str">
        <f>'UHCL FGD'!$B$2</f>
        <v>University of Houston - Clear Lake</v>
      </c>
      <c r="C188" s="160"/>
      <c r="D188" s="390">
        <f>'UHCL FGD'!$D$14</f>
        <v>0</v>
      </c>
      <c r="E188" s="390">
        <f>'UHCL FGD'!$E$14</f>
        <v>0</v>
      </c>
      <c r="F188" s="390">
        <f>'UHCL FGD'!$F$14</f>
        <v>0</v>
      </c>
      <c r="G188" s="390">
        <f>'UHCL FGD'!$G$14</f>
        <v>0</v>
      </c>
      <c r="H188" s="390">
        <f>'UHCL FGD'!$H$14</f>
        <v>0</v>
      </c>
      <c r="I188" s="390">
        <f>'UHCL FGD'!$I$14</f>
        <v>0</v>
      </c>
      <c r="J188" s="390">
        <f>'UHCL FGD'!$J$14</f>
        <v>0</v>
      </c>
      <c r="K188" s="390">
        <f>'UHCL FGD'!$K$14</f>
        <v>0</v>
      </c>
      <c r="L188" s="390">
        <f>'UHCL FGD'!$L$14</f>
        <v>0</v>
      </c>
      <c r="M188" s="390">
        <f>'UHCL FGD'!$M$14</f>
        <v>0</v>
      </c>
    </row>
    <row r="189" spans="1:13" s="171" customFormat="1" ht="12.75" hidden="1" customHeight="1" outlineLevel="1">
      <c r="A189" s="166"/>
      <c r="B189" s="674" t="str">
        <f>'UHD FGD'!$B$2</f>
        <v>University of Houston - Downtown</v>
      </c>
      <c r="C189" s="160"/>
      <c r="D189" s="390">
        <f>'UHD FGD'!$D$14</f>
        <v>0</v>
      </c>
      <c r="E189" s="390">
        <f>'UHD FGD'!$E$14</f>
        <v>0</v>
      </c>
      <c r="F189" s="390">
        <f>'UHD FGD'!$F$14</f>
        <v>0</v>
      </c>
      <c r="G189" s="390">
        <f>'UHD FGD'!$G$14</f>
        <v>0</v>
      </c>
      <c r="H189" s="390">
        <f>'UHD FGD'!$H$14</f>
        <v>0</v>
      </c>
      <c r="I189" s="390">
        <f>'UHD FGD'!$I$14</f>
        <v>0</v>
      </c>
      <c r="J189" s="390">
        <f>'UHD FGD'!$J$14</f>
        <v>0</v>
      </c>
      <c r="K189" s="390">
        <f>'UHD FGD'!$K$14</f>
        <v>0</v>
      </c>
      <c r="L189" s="390">
        <f>'UHD FGD'!$L$14</f>
        <v>0</v>
      </c>
      <c r="M189" s="390">
        <f>'UHD FGD'!$M$14</f>
        <v>0</v>
      </c>
    </row>
    <row r="190" spans="1:13" s="171" customFormat="1" ht="12.75" hidden="1" customHeight="1" outlineLevel="1">
      <c r="A190" s="166"/>
      <c r="B190" s="674" t="str">
        <f>'UHV FGD'!$B$2</f>
        <v>University of Houston - Victoria</v>
      </c>
      <c r="C190" s="160"/>
      <c r="D190" s="390">
        <f>'UHV FGD'!$D$14</f>
        <v>0</v>
      </c>
      <c r="E190" s="390">
        <f>'UHV FGD'!$E$14</f>
        <v>0</v>
      </c>
      <c r="F190" s="390">
        <f>'UHV FGD'!$F$14</f>
        <v>0</v>
      </c>
      <c r="G190" s="390">
        <f>'UHV FGD'!$G$14</f>
        <v>0</v>
      </c>
      <c r="H190" s="390">
        <f>'UHV FGD'!$H$14</f>
        <v>0</v>
      </c>
      <c r="I190" s="390">
        <f>'UHV FGD'!$I$14</f>
        <v>0</v>
      </c>
      <c r="J190" s="390">
        <f>'UHV FGD'!$J$14</f>
        <v>0</v>
      </c>
      <c r="K190" s="390">
        <f>'UHV FGD'!$K$14</f>
        <v>0</v>
      </c>
      <c r="L190" s="390">
        <f>'UHV FGD'!$L$14</f>
        <v>0</v>
      </c>
      <c r="M190" s="390">
        <f>'UHV FGD'!$M$14</f>
        <v>0</v>
      </c>
    </row>
    <row r="191" spans="1:13" s="171" customFormat="1" ht="12.75" hidden="1" customHeight="1" outlineLevel="1">
      <c r="A191" s="166"/>
      <c r="B191" s="674" t="str">
        <f>'UNT FGD'!$B$2</f>
        <v>University of North Texas</v>
      </c>
      <c r="C191" s="160"/>
      <c r="D191" s="390">
        <f>'UNT FGD'!$D$14</f>
        <v>0</v>
      </c>
      <c r="E191" s="390">
        <f>'UNT FGD'!$E$14</f>
        <v>0</v>
      </c>
      <c r="F191" s="390">
        <f>'UNT FGD'!$F$14</f>
        <v>0</v>
      </c>
      <c r="G191" s="390">
        <f>'UNT FGD'!$G$14</f>
        <v>0</v>
      </c>
      <c r="H191" s="390">
        <f>'UNT FGD'!$H$14</f>
        <v>0</v>
      </c>
      <c r="I191" s="390">
        <f>'UNT FGD'!$I$14</f>
        <v>0</v>
      </c>
      <c r="J191" s="390">
        <f>'UNT FGD'!$J$14</f>
        <v>0</v>
      </c>
      <c r="K191" s="390">
        <f>'UNT FGD'!$K$14</f>
        <v>0</v>
      </c>
      <c r="L191" s="390">
        <f>'UNT FGD'!$L$14</f>
        <v>0</v>
      </c>
      <c r="M191" s="390">
        <f>'UNT FGD'!$M$14</f>
        <v>0</v>
      </c>
    </row>
    <row r="192" spans="1:13" s="171" customFormat="1" ht="12.75" hidden="1" customHeight="1" outlineLevel="1">
      <c r="A192" s="166"/>
      <c r="B192" s="674" t="str">
        <f>'UNTD FGD'!$B$2</f>
        <v>University of North Texas at Dallas</v>
      </c>
      <c r="C192" s="160"/>
      <c r="D192" s="390">
        <f>'UNTD FGD'!$D$14</f>
        <v>0</v>
      </c>
      <c r="E192" s="390">
        <f>'UNTD FGD'!$E$14</f>
        <v>0</v>
      </c>
      <c r="F192" s="390">
        <f>'UNTD FGD'!$F$14</f>
        <v>0</v>
      </c>
      <c r="G192" s="390">
        <f>'UNTD FGD'!$G$14</f>
        <v>0</v>
      </c>
      <c r="H192" s="390">
        <f>'UNTD FGD'!$H$14</f>
        <v>0</v>
      </c>
      <c r="I192" s="390">
        <f>'UNTD FGD'!$I$14</f>
        <v>0</v>
      </c>
      <c r="J192" s="390">
        <f>'UNTD FGD'!$J$14</f>
        <v>0</v>
      </c>
      <c r="K192" s="390">
        <f>'UNTD FGD'!$K$14</f>
        <v>0</v>
      </c>
      <c r="L192" s="390">
        <f>'UNTD FGD'!$L$14</f>
        <v>0</v>
      </c>
      <c r="M192" s="390">
        <f>'UNTD FGD'!$M$14</f>
        <v>0</v>
      </c>
    </row>
    <row r="193" spans="1:13" s="171" customFormat="1" ht="12.75" hidden="1" customHeight="1" outlineLevel="1">
      <c r="A193" s="166"/>
      <c r="B193" s="674" t="str">
        <f>'WTAMU FGD'!$B$2</f>
        <v>West Texas A&amp;M University</v>
      </c>
      <c r="C193" s="160"/>
      <c r="D193" s="390">
        <f>'WTAMU FGD'!$D$14</f>
        <v>0</v>
      </c>
      <c r="E193" s="390">
        <f>'WTAMU FGD'!$E$14</f>
        <v>0</v>
      </c>
      <c r="F193" s="390">
        <f>'WTAMU FGD'!$F$14</f>
        <v>0</v>
      </c>
      <c r="G193" s="390">
        <f>'WTAMU FGD'!$G$14</f>
        <v>0</v>
      </c>
      <c r="H193" s="390">
        <f>'WTAMU FGD'!$H$14</f>
        <v>0</v>
      </c>
      <c r="I193" s="390">
        <f>'WTAMU FGD'!$I$14</f>
        <v>0</v>
      </c>
      <c r="J193" s="390">
        <f>'WTAMU FGD'!$J$14</f>
        <v>0</v>
      </c>
      <c r="K193" s="390">
        <f>'WTAMU FGD'!$K$14</f>
        <v>0</v>
      </c>
      <c r="L193" s="390">
        <f>'WTAMU FGD'!$L$14</f>
        <v>0</v>
      </c>
      <c r="M193" s="390">
        <f>'WTAMU FGD'!$M$14</f>
        <v>0</v>
      </c>
    </row>
    <row r="194" spans="1:13" s="171" customFormat="1" collapsed="1">
      <c r="A194" s="166"/>
      <c r="B194" s="160" t="s">
        <v>49</v>
      </c>
      <c r="C194" s="160"/>
      <c r="D194" s="390">
        <f t="shared" ref="D194:M194" si="4">SUM(D158:D193)</f>
        <v>483676803</v>
      </c>
      <c r="E194" s="390">
        <f t="shared" si="4"/>
        <v>136918806</v>
      </c>
      <c r="F194" s="390">
        <f t="shared" si="4"/>
        <v>0</v>
      </c>
      <c r="G194" s="390">
        <f t="shared" si="4"/>
        <v>0</v>
      </c>
      <c r="H194" s="390">
        <f t="shared" si="4"/>
        <v>0</v>
      </c>
      <c r="I194" s="390">
        <f t="shared" si="4"/>
        <v>0</v>
      </c>
      <c r="J194" s="390">
        <f t="shared" si="4"/>
        <v>0</v>
      </c>
      <c r="K194" s="390">
        <f t="shared" si="4"/>
        <v>0</v>
      </c>
      <c r="L194" s="390">
        <f t="shared" si="4"/>
        <v>0</v>
      </c>
      <c r="M194" s="390">
        <f t="shared" si="4"/>
        <v>620595609</v>
      </c>
    </row>
    <row r="195" spans="1:13" s="171" customFormat="1" ht="12.75" hidden="1" customHeight="1" outlineLevel="1">
      <c r="A195" s="166"/>
      <c r="B195" s="674" t="str">
        <f>'ARL FGD'!$B$2</f>
        <v>The University of Texas at Arlington</v>
      </c>
      <c r="C195" s="160"/>
      <c r="D195" s="390">
        <f>'ARL FGD'!$D$15</f>
        <v>156378913</v>
      </c>
      <c r="E195" s="390">
        <f>'ARL FGD'!$E$15</f>
        <v>275000</v>
      </c>
      <c r="F195" s="390">
        <f>'ARL FGD'!$F$15</f>
        <v>0</v>
      </c>
      <c r="G195" s="390">
        <f>'ARL FGD'!$G$15</f>
        <v>4117271</v>
      </c>
      <c r="H195" s="390">
        <f>'ARL FGD'!$H$15</f>
        <v>0</v>
      </c>
      <c r="I195" s="390">
        <f>'ARL FGD'!$I$15</f>
        <v>0</v>
      </c>
      <c r="J195" s="390">
        <f>'ARL FGD'!$J$15</f>
        <v>0</v>
      </c>
      <c r="K195" s="390">
        <f>'ARL FGD'!$K$15</f>
        <v>0</v>
      </c>
      <c r="L195" s="390">
        <f>'ARL FGD'!$L$15</f>
        <v>0</v>
      </c>
      <c r="M195" s="390">
        <f>'ARL FGD'!$M$15</f>
        <v>160771184</v>
      </c>
    </row>
    <row r="196" spans="1:13" s="171" customFormat="1" ht="12.75" hidden="1" customHeight="1" outlineLevel="1">
      <c r="A196" s="166"/>
      <c r="B196" s="674" t="str">
        <f>'ASU FGD'!$B$2</f>
        <v>Angelo State University</v>
      </c>
      <c r="C196" s="160"/>
      <c r="D196" s="390">
        <f>'ASU FGD'!$D$15</f>
        <v>49302255</v>
      </c>
      <c r="E196" s="390">
        <f>'ASU FGD'!$E$15</f>
        <v>0</v>
      </c>
      <c r="F196" s="390">
        <f>'ASU FGD'!$F$15</f>
        <v>0</v>
      </c>
      <c r="G196" s="390">
        <f>'ASU FGD'!$G$15</f>
        <v>12071</v>
      </c>
      <c r="H196" s="390">
        <f>'ASU FGD'!$H$15</f>
        <v>0</v>
      </c>
      <c r="I196" s="390">
        <f>'ASU FGD'!$I$15</f>
        <v>0</v>
      </c>
      <c r="J196" s="390">
        <f>'ASU FGD'!$J$15</f>
        <v>0</v>
      </c>
      <c r="K196" s="390">
        <f>'ASU FGD'!$K$15</f>
        <v>0</v>
      </c>
      <c r="L196" s="390">
        <f>'ASU FGD'!$L$15</f>
        <v>0</v>
      </c>
      <c r="M196" s="390">
        <f>'ASU FGD'!$M$15</f>
        <v>49314326</v>
      </c>
    </row>
    <row r="197" spans="1:13" s="171" customFormat="1" ht="12.75" hidden="1" customHeight="1" outlineLevel="1">
      <c r="A197" s="166"/>
      <c r="B197" s="674" t="str">
        <f>'AUS1 FGD'!$B$2</f>
        <v>The University of Texas at Austin - Academic &amp; Health (A+H)</v>
      </c>
      <c r="C197" s="160"/>
      <c r="D197" s="390">
        <f>'AUS1 FGD'!$D$15</f>
        <v>753785520</v>
      </c>
      <c r="E197" s="390">
        <f>'AUS1 FGD'!$E$15</f>
        <v>16236531</v>
      </c>
      <c r="F197" s="390">
        <f>'AUS1 FGD'!$F$15</f>
        <v>0</v>
      </c>
      <c r="G197" s="390">
        <f>'AUS1 FGD'!$G$15</f>
        <v>9737395</v>
      </c>
      <c r="H197" s="390">
        <f>'AUS1 FGD'!$H$15</f>
        <v>0</v>
      </c>
      <c r="I197" s="390">
        <f>'AUS1 FGD'!$I$15</f>
        <v>0</v>
      </c>
      <c r="J197" s="390">
        <f>'AUS1 FGD'!$J$15</f>
        <v>0</v>
      </c>
      <c r="K197" s="390">
        <f>'AUS1 FGD'!$K$15</f>
        <v>0</v>
      </c>
      <c r="L197" s="390">
        <f>'AUS1 FGD'!$L$15</f>
        <v>0</v>
      </c>
      <c r="M197" s="390">
        <f>'AUS1 FGD'!$M$15</f>
        <v>779759446</v>
      </c>
    </row>
    <row r="198" spans="1:13" s="171" customFormat="1" ht="12.75" hidden="1" customHeight="1" outlineLevel="1">
      <c r="A198" s="166"/>
      <c r="B198" s="674" t="str">
        <f>'RGV1 FGD'!$B$2</f>
        <v>The University of Texas RGV - Academic &amp; Health (A+H)</v>
      </c>
      <c r="C198" s="160"/>
      <c r="D198" s="390">
        <f>'RGV1 FGD'!$D$15</f>
        <v>149118185</v>
      </c>
      <c r="E198" s="390">
        <f>'RGV1 FGD'!$E$15</f>
        <v>2171900</v>
      </c>
      <c r="F198" s="390">
        <f>'RGV1 FGD'!$F$15</f>
        <v>0</v>
      </c>
      <c r="G198" s="390">
        <f>'RGV1 FGD'!$G$15</f>
        <v>1542859</v>
      </c>
      <c r="H198" s="390">
        <f>'RGV1 FGD'!$H$15</f>
        <v>0</v>
      </c>
      <c r="I198" s="390">
        <f>'RGV1 FGD'!$I$15</f>
        <v>0</v>
      </c>
      <c r="J198" s="390">
        <f>'RGV1 FGD'!$J$15</f>
        <v>0</v>
      </c>
      <c r="K198" s="390">
        <f>'RGV1 FGD'!$K$15</f>
        <v>0</v>
      </c>
      <c r="L198" s="390">
        <f>'RGV1 FGD'!$L$15</f>
        <v>0</v>
      </c>
      <c r="M198" s="390">
        <f>'RGV1 FGD'!$M$15</f>
        <v>152832944</v>
      </c>
    </row>
    <row r="199" spans="1:13" s="171" customFormat="1" ht="12.75" hidden="1" customHeight="1" outlineLevel="1">
      <c r="A199" s="166"/>
      <c r="B199" s="674" t="str">
        <f>'DAL FGD'!$B$2</f>
        <v>The University of Texas at Dallas</v>
      </c>
      <c r="C199" s="160"/>
      <c r="D199" s="390">
        <f>'DAL FGD'!$D$15</f>
        <v>123438567</v>
      </c>
      <c r="E199" s="390">
        <f>'DAL FGD'!$E$15</f>
        <v>3885819</v>
      </c>
      <c r="F199" s="390">
        <f>'DAL FGD'!$F$15</f>
        <v>0</v>
      </c>
      <c r="G199" s="390">
        <f>'DAL FGD'!$G$15</f>
        <v>2108661</v>
      </c>
      <c r="H199" s="390">
        <f>'DAL FGD'!$H$15</f>
        <v>0</v>
      </c>
      <c r="I199" s="390">
        <f>'DAL FGD'!$I$15</f>
        <v>0</v>
      </c>
      <c r="J199" s="390">
        <f>'DAL FGD'!$J$15</f>
        <v>0</v>
      </c>
      <c r="K199" s="390">
        <f>'DAL FGD'!$K$15</f>
        <v>0</v>
      </c>
      <c r="L199" s="390">
        <f>'DAL FGD'!$L$15</f>
        <v>0</v>
      </c>
      <c r="M199" s="390">
        <f>'DAL FGD'!$M$15</f>
        <v>129433047</v>
      </c>
    </row>
    <row r="200" spans="1:13" s="171" customFormat="1" ht="12.75" hidden="1" customHeight="1" outlineLevel="1">
      <c r="A200" s="166"/>
      <c r="B200" s="674" t="str">
        <f>'E-P FGD'!$B$2</f>
        <v>The University of Texas at El Paso</v>
      </c>
      <c r="C200" s="160"/>
      <c r="D200" s="390">
        <f>'E-P FGD'!$D$15</f>
        <v>132551453</v>
      </c>
      <c r="E200" s="390">
        <f>'E-P FGD'!$E$15</f>
        <v>444201</v>
      </c>
      <c r="F200" s="390">
        <f>'E-P FGD'!$F$15</f>
        <v>0</v>
      </c>
      <c r="G200" s="390">
        <f>'E-P FGD'!$G$15</f>
        <v>339939</v>
      </c>
      <c r="H200" s="390">
        <f>'E-P FGD'!$H$15</f>
        <v>0</v>
      </c>
      <c r="I200" s="390">
        <f>'E-P FGD'!$I$15</f>
        <v>0</v>
      </c>
      <c r="J200" s="390">
        <f>'E-P FGD'!$J$15</f>
        <v>0</v>
      </c>
      <c r="K200" s="390">
        <f>'E-P FGD'!$K$15</f>
        <v>0</v>
      </c>
      <c r="L200" s="390">
        <f>'E-P FGD'!$L$15</f>
        <v>0</v>
      </c>
      <c r="M200" s="390">
        <f>'E-P FGD'!$M$15</f>
        <v>133335593</v>
      </c>
    </row>
    <row r="201" spans="1:13" s="171" customFormat="1" ht="12.75" hidden="1" customHeight="1" outlineLevel="1">
      <c r="A201" s="166"/>
      <c r="B201" s="674" t="str">
        <f>'LU FGD'!$B$2</f>
        <v xml:space="preserve">Lamar University </v>
      </c>
      <c r="C201" s="160"/>
      <c r="D201" s="390">
        <f>'LU FGD'!$D$15</f>
        <v>72423040</v>
      </c>
      <c r="E201" s="390">
        <f>'LU FGD'!$E$15</f>
        <v>0</v>
      </c>
      <c r="F201" s="390">
        <f>'LU FGD'!$F$15</f>
        <v>0</v>
      </c>
      <c r="G201" s="390">
        <f>'LU FGD'!$G$15</f>
        <v>6646567</v>
      </c>
      <c r="H201" s="390">
        <f>'LU FGD'!$H$15</f>
        <v>0</v>
      </c>
      <c r="I201" s="390">
        <f>'LU FGD'!$I$15</f>
        <v>0</v>
      </c>
      <c r="J201" s="390">
        <f>'LU FGD'!$J$15</f>
        <v>0</v>
      </c>
      <c r="K201" s="390">
        <f>'LU FGD'!$K$15</f>
        <v>0</v>
      </c>
      <c r="L201" s="390">
        <f>'LU FGD'!$L$15</f>
        <v>0</v>
      </c>
      <c r="M201" s="390">
        <f>'LU FGD'!$M$15</f>
        <v>79069607</v>
      </c>
    </row>
    <row r="202" spans="1:13" s="171" customFormat="1" ht="12.75" hidden="1" customHeight="1" outlineLevel="1">
      <c r="A202" s="166"/>
      <c r="B202" s="674" t="str">
        <f>'MidWST FGD'!$B$2</f>
        <v>Midwestern State University</v>
      </c>
      <c r="C202" s="160"/>
      <c r="D202" s="390">
        <f>'MidWST FGD'!$D$15</f>
        <v>31360810</v>
      </c>
      <c r="E202" s="390">
        <f>'MidWST FGD'!$E$15</f>
        <v>0</v>
      </c>
      <c r="F202" s="390">
        <f>'MidWST FGD'!$F$15</f>
        <v>0</v>
      </c>
      <c r="G202" s="390">
        <f>'MidWST FGD'!$G$15</f>
        <v>4287787</v>
      </c>
      <c r="H202" s="390">
        <f>'MidWST FGD'!$H$15</f>
        <v>0</v>
      </c>
      <c r="I202" s="390">
        <f>'MidWST FGD'!$I$15</f>
        <v>0</v>
      </c>
      <c r="J202" s="390">
        <f>'MidWST FGD'!$J$15</f>
        <v>0</v>
      </c>
      <c r="K202" s="390">
        <f>'MidWST FGD'!$K$15</f>
        <v>0</v>
      </c>
      <c r="L202" s="390">
        <f>'MidWST FGD'!$L$15</f>
        <v>0</v>
      </c>
      <c r="M202" s="390">
        <f>'MidWST FGD'!$M$15</f>
        <v>35648597</v>
      </c>
    </row>
    <row r="203" spans="1:13" s="171" customFormat="1" ht="12.75" hidden="1" customHeight="1" outlineLevel="1">
      <c r="A203" s="166"/>
      <c r="B203" s="674" t="str">
        <f>'P-B FGD'!$B$2</f>
        <v>The University of Texas of the Permian Basin</v>
      </c>
      <c r="C203" s="160"/>
      <c r="D203" s="390">
        <f>'P-B FGD'!$D$15</f>
        <v>33458877</v>
      </c>
      <c r="E203" s="390">
        <f>'P-B FGD'!$E$15</f>
        <v>6970439</v>
      </c>
      <c r="F203" s="390">
        <f>'P-B FGD'!$F$15</f>
        <v>0</v>
      </c>
      <c r="G203" s="390">
        <f>'P-B FGD'!$G$15</f>
        <v>2587162</v>
      </c>
      <c r="H203" s="390">
        <f>'P-B FGD'!$H$15</f>
        <v>0</v>
      </c>
      <c r="I203" s="390">
        <f>'P-B FGD'!$I$15</f>
        <v>0</v>
      </c>
      <c r="J203" s="390">
        <f>'P-B FGD'!$J$15</f>
        <v>0</v>
      </c>
      <c r="K203" s="390">
        <f>'P-B FGD'!$K$15</f>
        <v>0</v>
      </c>
      <c r="L203" s="390">
        <f>'P-B FGD'!$L$15</f>
        <v>0</v>
      </c>
      <c r="M203" s="390">
        <f>'P-B FGD'!$M$15</f>
        <v>43016478</v>
      </c>
    </row>
    <row r="204" spans="1:13" s="171" customFormat="1" ht="12.75" hidden="1" customHeight="1" outlineLevel="1">
      <c r="A204" s="166"/>
      <c r="B204" s="674" t="str">
        <f>'PVAMU FGD'!$B$2</f>
        <v>Prairie View A&amp;M University</v>
      </c>
      <c r="C204" s="160"/>
      <c r="D204" s="390">
        <f>'PVAMU FGD'!$D$15</f>
        <v>82377940</v>
      </c>
      <c r="E204" s="390">
        <f>'PVAMU FGD'!$E$15</f>
        <v>83000</v>
      </c>
      <c r="F204" s="390">
        <f>'PVAMU FGD'!$F$15</f>
        <v>0</v>
      </c>
      <c r="G204" s="390">
        <f>'PVAMU FGD'!$G$15</f>
        <v>12912804</v>
      </c>
      <c r="H204" s="390">
        <f>'PVAMU FGD'!$H$15</f>
        <v>0</v>
      </c>
      <c r="I204" s="390">
        <f>'PVAMU FGD'!$I$15</f>
        <v>0</v>
      </c>
      <c r="J204" s="390">
        <f>'PVAMU FGD'!$J$15</f>
        <v>0</v>
      </c>
      <c r="K204" s="390">
        <f>'PVAMU FGD'!$K$15</f>
        <v>0</v>
      </c>
      <c r="L204" s="390">
        <f>'PVAMU FGD'!$L$15</f>
        <v>0</v>
      </c>
      <c r="M204" s="390">
        <f>'PVAMU FGD'!$M$15</f>
        <v>95373744</v>
      </c>
    </row>
    <row r="205" spans="1:13" s="171" customFormat="1" ht="12.75" hidden="1" customHeight="1" outlineLevel="1">
      <c r="A205" s="166"/>
      <c r="B205" s="674" t="str">
        <f>'S-A FGD'!$B$2</f>
        <v>The University of Texas at San Antonio</v>
      </c>
      <c r="C205" s="160"/>
      <c r="D205" s="390">
        <f>'S-A FGD'!$D$15</f>
        <v>159676567</v>
      </c>
      <c r="E205" s="390">
        <f>'S-A FGD'!$E$15</f>
        <v>780187</v>
      </c>
      <c r="F205" s="390">
        <f>'S-A FGD'!$F$15</f>
        <v>0</v>
      </c>
      <c r="G205" s="390">
        <f>'S-A FGD'!$G$15</f>
        <v>1719659</v>
      </c>
      <c r="H205" s="390">
        <f>'S-A FGD'!$H$15</f>
        <v>0</v>
      </c>
      <c r="I205" s="390">
        <f>'S-A FGD'!$I$15</f>
        <v>0</v>
      </c>
      <c r="J205" s="390">
        <f>'S-A FGD'!$J$15</f>
        <v>0</v>
      </c>
      <c r="K205" s="390">
        <f>'S-A FGD'!$K$15</f>
        <v>0</v>
      </c>
      <c r="L205" s="390">
        <f>'S-A FGD'!$L$15</f>
        <v>0</v>
      </c>
      <c r="M205" s="390">
        <f>'S-A FGD'!$M$15</f>
        <v>162176413</v>
      </c>
    </row>
    <row r="206" spans="1:13" s="171" customFormat="1" ht="12.75" hidden="1" customHeight="1" outlineLevel="1">
      <c r="A206" s="166"/>
      <c r="B206" s="674" t="str">
        <f>'SFA FGD'!$B$2</f>
        <v>Stephen F. Austin State University</v>
      </c>
      <c r="C206" s="160"/>
      <c r="D206" s="390">
        <f>'SFA FGD'!$D$15</f>
        <v>67744514</v>
      </c>
      <c r="E206" s="390">
        <f>'SFA FGD'!$E$15</f>
        <v>0</v>
      </c>
      <c r="F206" s="390">
        <f>'SFA FGD'!$F$15</f>
        <v>0</v>
      </c>
      <c r="G206" s="390">
        <f>'SFA FGD'!$G$15</f>
        <v>2429352</v>
      </c>
      <c r="H206" s="390">
        <f>'SFA FGD'!$H$15</f>
        <v>0</v>
      </c>
      <c r="I206" s="390">
        <f>'SFA FGD'!$I$15</f>
        <v>0</v>
      </c>
      <c r="J206" s="390">
        <f>'SFA FGD'!$J$15</f>
        <v>0</v>
      </c>
      <c r="K206" s="390">
        <f>'SFA FGD'!$K$15</f>
        <v>0</v>
      </c>
      <c r="L206" s="390">
        <f>'SFA FGD'!$L$15</f>
        <v>0</v>
      </c>
      <c r="M206" s="390">
        <f>'SFA FGD'!$M$15</f>
        <v>70173866</v>
      </c>
    </row>
    <row r="207" spans="1:13" s="171" customFormat="1" ht="12.75" hidden="1" customHeight="1" outlineLevel="1">
      <c r="A207" s="166"/>
      <c r="B207" s="674" t="str">
        <f>'shsu1 FGD'!$B$2</f>
        <v>Sam Houston State University - Academic &amp; Health (A+H)</v>
      </c>
      <c r="C207" s="160"/>
      <c r="D207" s="390">
        <f>'shsu1 FGD'!$D$15</f>
        <v>88089130</v>
      </c>
      <c r="E207" s="390">
        <f>'shsu1 FGD'!$E$15</f>
        <v>0</v>
      </c>
      <c r="F207" s="390">
        <f>'shsu1 FGD'!$F$15</f>
        <v>0</v>
      </c>
      <c r="G207" s="390">
        <f>'shsu1 FGD'!$G$15</f>
        <v>19252206</v>
      </c>
      <c r="H207" s="390">
        <f>'shsu1 FGD'!$H$15</f>
        <v>0</v>
      </c>
      <c r="I207" s="390">
        <f>'shsu1 FGD'!$I$15</f>
        <v>0</v>
      </c>
      <c r="J207" s="390">
        <f>'shsu1 FGD'!$J$15</f>
        <v>0</v>
      </c>
      <c r="K207" s="390">
        <f>'shsu1 FGD'!$K$15</f>
        <v>0</v>
      </c>
      <c r="L207" s="390">
        <f>'shsu1 FGD'!$L$15</f>
        <v>0</v>
      </c>
      <c r="M207" s="390">
        <f>'shsu1 FGD'!$M$15</f>
        <v>107341336</v>
      </c>
    </row>
    <row r="208" spans="1:13" s="171" customFormat="1" ht="12.75" hidden="1" customHeight="1" outlineLevel="1">
      <c r="A208" s="166"/>
      <c r="B208" s="674" t="str">
        <f>'SRSU FGD'!$B$2</f>
        <v>Sul Ross State University</v>
      </c>
      <c r="C208" s="160"/>
      <c r="D208" s="390">
        <f>'SRSU FGD'!$D$15</f>
        <v>21866216</v>
      </c>
      <c r="E208" s="390">
        <f>'SRSU FGD'!$E$15</f>
        <v>0</v>
      </c>
      <c r="F208" s="390">
        <f>'SRSU FGD'!$F$15</f>
        <v>0</v>
      </c>
      <c r="G208" s="390">
        <f>'SRSU FGD'!$G$15</f>
        <v>1819893</v>
      </c>
      <c r="H208" s="390">
        <f>'SRSU FGD'!$H$15</f>
        <v>0</v>
      </c>
      <c r="I208" s="390">
        <f>'SRSU FGD'!$I$15</f>
        <v>0</v>
      </c>
      <c r="J208" s="390">
        <f>'SRSU FGD'!$J$15</f>
        <v>0</v>
      </c>
      <c r="K208" s="390">
        <f>'SRSU FGD'!$K$15</f>
        <v>0</v>
      </c>
      <c r="L208" s="390">
        <f>'SRSU FGD'!$L$15</f>
        <v>0</v>
      </c>
      <c r="M208" s="390">
        <f>'SRSU FGD'!$M$15</f>
        <v>23686109</v>
      </c>
    </row>
    <row r="209" spans="1:13" s="171" customFormat="1" ht="12.75" hidden="1" customHeight="1" outlineLevel="1">
      <c r="A209" s="166"/>
      <c r="B209" s="674" t="str">
        <f>'TAMIU FGD'!$B$2</f>
        <v>Texas A&amp;M International University</v>
      </c>
      <c r="C209" s="160"/>
      <c r="D209" s="390">
        <f>'TAMIU FGD'!$D$15</f>
        <v>44374833</v>
      </c>
      <c r="E209" s="390">
        <f>'TAMIU FGD'!$E$15</f>
        <v>95661</v>
      </c>
      <c r="F209" s="390">
        <f>'TAMIU FGD'!$F$15</f>
        <v>0</v>
      </c>
      <c r="G209" s="390">
        <f>'TAMIU FGD'!$G$15</f>
        <v>12124592</v>
      </c>
      <c r="H209" s="390">
        <f>'TAMIU FGD'!$H$15</f>
        <v>0</v>
      </c>
      <c r="I209" s="390">
        <f>'TAMIU FGD'!$I$15</f>
        <v>0</v>
      </c>
      <c r="J209" s="390">
        <f>'TAMIU FGD'!$J$15</f>
        <v>0</v>
      </c>
      <c r="K209" s="390">
        <f>'TAMIU FGD'!$K$15</f>
        <v>0</v>
      </c>
      <c r="L209" s="390">
        <f>'TAMIU FGD'!$L$15</f>
        <v>0</v>
      </c>
      <c r="M209" s="390">
        <f>'TAMIU FGD'!$M$15</f>
        <v>56595086</v>
      </c>
    </row>
    <row r="210" spans="1:13" s="171" customFormat="1" ht="12.75" hidden="1" customHeight="1" outlineLevel="1">
      <c r="A210" s="166"/>
      <c r="B210" s="674" t="str">
        <f>'TAMU FGD'!$B$2</f>
        <v>Texas A&amp;M University</v>
      </c>
      <c r="C210" s="160"/>
      <c r="D210" s="390">
        <f>'TAMU FGD'!$D$15</f>
        <v>505070010</v>
      </c>
      <c r="E210" s="390">
        <f>'TAMU FGD'!$E$15</f>
        <v>137293176</v>
      </c>
      <c r="F210" s="390">
        <f>'TAMU FGD'!$F$15</f>
        <v>0</v>
      </c>
      <c r="G210" s="390">
        <f>'TAMU FGD'!$G$15</f>
        <v>8372614</v>
      </c>
      <c r="H210" s="390">
        <f>'TAMU FGD'!$H$15</f>
        <v>0</v>
      </c>
      <c r="I210" s="390">
        <f>'TAMU FGD'!$I$15</f>
        <v>0</v>
      </c>
      <c r="J210" s="390">
        <f>'TAMU FGD'!$J$15</f>
        <v>0</v>
      </c>
      <c r="K210" s="390">
        <f>'TAMU FGD'!$K$15</f>
        <v>0</v>
      </c>
      <c r="L210" s="390">
        <f>'TAMU FGD'!$L$15</f>
        <v>0</v>
      </c>
      <c r="M210" s="390">
        <f>'TAMU FGD'!$M$15</f>
        <v>650735800</v>
      </c>
    </row>
    <row r="211" spans="1:13" s="171" customFormat="1" ht="12.75" hidden="1" customHeight="1" outlineLevel="1">
      <c r="A211" s="166"/>
      <c r="B211" s="674" t="str">
        <f>'TAMUC FGD'!$B$2</f>
        <v>Texas A&amp;M University - Commerce</v>
      </c>
      <c r="C211" s="160"/>
      <c r="D211" s="390">
        <f>'TAMUC FGD'!$D$15</f>
        <v>63161470</v>
      </c>
      <c r="E211" s="390">
        <f>'TAMUC FGD'!$E$15</f>
        <v>73228</v>
      </c>
      <c r="F211" s="390">
        <f>'TAMUC FGD'!$F$15</f>
        <v>0</v>
      </c>
      <c r="G211" s="390">
        <f>'TAMUC FGD'!$G$15</f>
        <v>6977288</v>
      </c>
      <c r="H211" s="390">
        <f>'TAMUC FGD'!$H$15</f>
        <v>0</v>
      </c>
      <c r="I211" s="390">
        <f>'TAMUC FGD'!$I$15</f>
        <v>0</v>
      </c>
      <c r="J211" s="390">
        <f>'TAMUC FGD'!$J$15</f>
        <v>0</v>
      </c>
      <c r="K211" s="390">
        <f>'TAMUC FGD'!$K$15</f>
        <v>0</v>
      </c>
      <c r="L211" s="390">
        <f>'TAMUC FGD'!$L$15</f>
        <v>0</v>
      </c>
      <c r="M211" s="390">
        <f>'TAMUC FGD'!$M$15</f>
        <v>70211986</v>
      </c>
    </row>
    <row r="212" spans="1:13" s="171" customFormat="1" ht="12.75" hidden="1" customHeight="1" outlineLevel="1">
      <c r="A212" s="166"/>
      <c r="B212" s="674" t="str">
        <f>'TAMUCC FGD'!$B$2</f>
        <v>Texas A&amp;M University - Corpus Christi</v>
      </c>
      <c r="C212" s="160"/>
      <c r="D212" s="390">
        <f>'TAMUCC FGD'!$D$15</f>
        <v>71543284</v>
      </c>
      <c r="E212" s="390">
        <f>'TAMUCC FGD'!$E$15</f>
        <v>85763</v>
      </c>
      <c r="F212" s="390">
        <f>'TAMUCC FGD'!$F$15</f>
        <v>0</v>
      </c>
      <c r="G212" s="390">
        <f>'TAMUCC FGD'!$G$15</f>
        <v>9096684</v>
      </c>
      <c r="H212" s="390">
        <f>'TAMUCC FGD'!$H$15</f>
        <v>0</v>
      </c>
      <c r="I212" s="390">
        <f>'TAMUCC FGD'!$I$15</f>
        <v>0</v>
      </c>
      <c r="J212" s="390">
        <f>'TAMUCC FGD'!$J$15</f>
        <v>0</v>
      </c>
      <c r="K212" s="390">
        <f>'TAMUCC FGD'!$K$15</f>
        <v>0</v>
      </c>
      <c r="L212" s="390">
        <f>'TAMUCC FGD'!$L$15</f>
        <v>0</v>
      </c>
      <c r="M212" s="390">
        <f>'TAMUCC FGD'!$M$15</f>
        <v>80725731</v>
      </c>
    </row>
    <row r="213" spans="1:13" s="171" customFormat="1" ht="12.75" hidden="1" customHeight="1" outlineLevel="1">
      <c r="A213" s="166"/>
      <c r="B213" s="674" t="str">
        <f>'TAMUCT FGD'!$B$2</f>
        <v>Texas A&amp;M University - Central Texas</v>
      </c>
      <c r="C213" s="160"/>
      <c r="D213" s="390">
        <f>'TAMUCT FGD'!$D$15</f>
        <v>18778464</v>
      </c>
      <c r="E213" s="390">
        <f>'TAMUCT FGD'!$E$15</f>
        <v>16000</v>
      </c>
      <c r="F213" s="390">
        <f>'TAMUCT FGD'!$F$15</f>
        <v>0</v>
      </c>
      <c r="G213" s="390">
        <f>'TAMUCT FGD'!$G$15</f>
        <v>0</v>
      </c>
      <c r="H213" s="390">
        <f>'TAMUCT FGD'!$H$15</f>
        <v>0</v>
      </c>
      <c r="I213" s="390">
        <f>'TAMUCT FGD'!$I$15</f>
        <v>0</v>
      </c>
      <c r="J213" s="390">
        <f>'TAMUCT FGD'!$J$15</f>
        <v>0</v>
      </c>
      <c r="K213" s="390">
        <f>'TAMUCT FGD'!$K$15</f>
        <v>0</v>
      </c>
      <c r="L213" s="390">
        <f>'TAMUCT FGD'!$L$15</f>
        <v>0</v>
      </c>
      <c r="M213" s="390">
        <f>'TAMUCT FGD'!$M$15</f>
        <v>18794464</v>
      </c>
    </row>
    <row r="214" spans="1:13" s="171" customFormat="1" ht="12.75" hidden="1" customHeight="1" outlineLevel="1">
      <c r="A214" s="166"/>
      <c r="B214" s="674" t="str">
        <f>'TAMUG FGD'!$B$2</f>
        <v>Texas A&amp;M University at Galveston</v>
      </c>
      <c r="C214" s="160"/>
      <c r="D214" s="390">
        <f>'TAMUG FGD'!$D$15</f>
        <v>70981336</v>
      </c>
      <c r="E214" s="390">
        <f>'TAMUG FGD'!$E$15</f>
        <v>10000</v>
      </c>
      <c r="F214" s="390">
        <f>'TAMUG FGD'!$F$15</f>
        <v>0</v>
      </c>
      <c r="G214" s="390">
        <f>'TAMUG FGD'!$G$15</f>
        <v>15079</v>
      </c>
      <c r="H214" s="390">
        <f>'TAMUG FGD'!$H$15</f>
        <v>0</v>
      </c>
      <c r="I214" s="390">
        <f>'TAMUG FGD'!$I$15</f>
        <v>0</v>
      </c>
      <c r="J214" s="390">
        <f>'TAMUG FGD'!$J$15</f>
        <v>0</v>
      </c>
      <c r="K214" s="390">
        <f>'TAMUG FGD'!$K$15</f>
        <v>0</v>
      </c>
      <c r="L214" s="390">
        <f>'TAMUG FGD'!$L$15</f>
        <v>0</v>
      </c>
      <c r="M214" s="390">
        <f>'TAMUG FGD'!$M$15</f>
        <v>71006415</v>
      </c>
    </row>
    <row r="215" spans="1:13" s="171" customFormat="1" ht="12.75" hidden="1" customHeight="1" outlineLevel="1">
      <c r="A215" s="166"/>
      <c r="B215" s="674" t="str">
        <f>'TAMUK FGD'!$B$2</f>
        <v>Texas A&amp;M University - Kingsville</v>
      </c>
      <c r="C215" s="160"/>
      <c r="D215" s="390">
        <f>'TAMUK FGD'!$D$15</f>
        <v>54608114</v>
      </c>
      <c r="E215" s="390">
        <f>'TAMUK FGD'!$E$15</f>
        <v>72857</v>
      </c>
      <c r="F215" s="390">
        <f>'TAMUK FGD'!$F$15</f>
        <v>0</v>
      </c>
      <c r="G215" s="390">
        <f>'TAMUK FGD'!$G$15</f>
        <v>7801346</v>
      </c>
      <c r="H215" s="390">
        <f>'TAMUK FGD'!$H$15</f>
        <v>0</v>
      </c>
      <c r="I215" s="390">
        <f>'TAMUK FGD'!$I$15</f>
        <v>0</v>
      </c>
      <c r="J215" s="390">
        <f>'TAMUK FGD'!$J$15</f>
        <v>0</v>
      </c>
      <c r="K215" s="390">
        <f>'TAMUK FGD'!$K$15</f>
        <v>0</v>
      </c>
      <c r="L215" s="390">
        <f>'TAMUK FGD'!$L$15</f>
        <v>0</v>
      </c>
      <c r="M215" s="390">
        <f>'TAMUK FGD'!$M$15</f>
        <v>62482317</v>
      </c>
    </row>
    <row r="216" spans="1:13" s="171" customFormat="1" ht="12.75" hidden="1" customHeight="1" outlineLevel="1">
      <c r="A216" s="166"/>
      <c r="B216" s="674" t="str">
        <f>'TAMUSA FGD'!$B$2</f>
        <v>Texas A&amp;M University - San Antonio</v>
      </c>
      <c r="C216" s="160"/>
      <c r="D216" s="390">
        <f>'TAMUSA FGD'!$D$15</f>
        <v>35261962</v>
      </c>
      <c r="E216" s="390">
        <f>'TAMUSA FGD'!$E$15</f>
        <v>43000</v>
      </c>
      <c r="F216" s="390">
        <f>'TAMUSA FGD'!$F$15</f>
        <v>0</v>
      </c>
      <c r="G216" s="390">
        <f>'TAMUSA FGD'!$G$15</f>
        <v>2781727</v>
      </c>
      <c r="H216" s="390">
        <f>'TAMUSA FGD'!$H$15</f>
        <v>0</v>
      </c>
      <c r="I216" s="390">
        <f>'TAMUSA FGD'!$I$15</f>
        <v>0</v>
      </c>
      <c r="J216" s="390">
        <f>'TAMUSA FGD'!$J$15</f>
        <v>0</v>
      </c>
      <c r="K216" s="390">
        <f>'TAMUSA FGD'!$K$15</f>
        <v>0</v>
      </c>
      <c r="L216" s="390">
        <f>'TAMUSA FGD'!$L$15</f>
        <v>0</v>
      </c>
      <c r="M216" s="390">
        <f>'TAMUSA FGD'!$M$15</f>
        <v>38086689</v>
      </c>
    </row>
    <row r="217" spans="1:13" s="171" customFormat="1" ht="12.75" hidden="1" customHeight="1" outlineLevel="1">
      <c r="A217" s="166"/>
      <c r="B217" s="674" t="str">
        <f>'TAMUT FGD'!$B$2</f>
        <v>Texas A&amp;M University - Texarkana</v>
      </c>
      <c r="C217" s="160"/>
      <c r="D217" s="390">
        <f>'TAMUT FGD'!$D$15</f>
        <v>28551031</v>
      </c>
      <c r="E217" s="390">
        <f>'TAMUT FGD'!$E$15</f>
        <v>14024</v>
      </c>
      <c r="F217" s="390">
        <f>'TAMUT FGD'!$F$15</f>
        <v>0</v>
      </c>
      <c r="G217" s="390">
        <f>'TAMUT FGD'!$G$15</f>
        <v>11978</v>
      </c>
      <c r="H217" s="390">
        <f>'TAMUT FGD'!$H$15</f>
        <v>0</v>
      </c>
      <c r="I217" s="390">
        <f>'TAMUT FGD'!$I$15</f>
        <v>0</v>
      </c>
      <c r="J217" s="390">
        <f>'TAMUT FGD'!$J$15</f>
        <v>0</v>
      </c>
      <c r="K217" s="390">
        <f>'TAMUT FGD'!$K$15</f>
        <v>0</v>
      </c>
      <c r="L217" s="390">
        <f>'TAMUT FGD'!$L$15</f>
        <v>0</v>
      </c>
      <c r="M217" s="390">
        <f>'TAMUT FGD'!$M$15</f>
        <v>28577033</v>
      </c>
    </row>
    <row r="218" spans="1:13" s="171" customFormat="1" ht="12.75" hidden="1" customHeight="1" outlineLevel="1">
      <c r="A218" s="166"/>
      <c r="B218" s="674" t="str">
        <f>'TARLST FGD'!$B$2</f>
        <v>Tarleton State University</v>
      </c>
      <c r="C218" s="160"/>
      <c r="D218" s="390">
        <f>'TARLST FGD'!$D$15</f>
        <v>53794576</v>
      </c>
      <c r="E218" s="390">
        <f>'TARLST FGD'!$E$15</f>
        <v>171141</v>
      </c>
      <c r="F218" s="390">
        <f>'TARLST FGD'!$F$15</f>
        <v>0</v>
      </c>
      <c r="G218" s="390">
        <f>'TARLST FGD'!$G$15</f>
        <v>8978075</v>
      </c>
      <c r="H218" s="390">
        <f>'TARLST FGD'!$H$15</f>
        <v>0</v>
      </c>
      <c r="I218" s="390">
        <f>'TARLST FGD'!$I$15</f>
        <v>0</v>
      </c>
      <c r="J218" s="390">
        <f>'TARLST FGD'!$J$15</f>
        <v>0</v>
      </c>
      <c r="K218" s="390">
        <f>'TARLST FGD'!$K$15</f>
        <v>0</v>
      </c>
      <c r="L218" s="390">
        <f>'TARLST FGD'!$L$15</f>
        <v>0</v>
      </c>
      <c r="M218" s="390">
        <f>'TARLST FGD'!$M$15</f>
        <v>62943792</v>
      </c>
    </row>
    <row r="219" spans="1:13" s="171" customFormat="1" ht="12.75" hidden="1" customHeight="1" outlineLevel="1">
      <c r="A219" s="166"/>
      <c r="B219" s="674" t="str">
        <f>'TSU FGD'!$B$2</f>
        <v>Texas Southern University</v>
      </c>
      <c r="C219" s="160"/>
      <c r="D219" s="390">
        <f>'TSU FGD'!$D$15</f>
        <v>79276940</v>
      </c>
      <c r="E219" s="390">
        <f>'TSU FGD'!$E$15</f>
        <v>0</v>
      </c>
      <c r="F219" s="390">
        <f>'TSU FGD'!$F$15</f>
        <v>0</v>
      </c>
      <c r="G219" s="390">
        <f>'TSU FGD'!$G$15</f>
        <v>290743</v>
      </c>
      <c r="H219" s="390">
        <f>'TSU FGD'!$H$15</f>
        <v>0</v>
      </c>
      <c r="I219" s="390">
        <f>'TSU FGD'!$I$15</f>
        <v>0</v>
      </c>
      <c r="J219" s="390">
        <f>'TSU FGD'!$J$15</f>
        <v>0</v>
      </c>
      <c r="K219" s="390">
        <f>'TSU FGD'!$K$15</f>
        <v>0</v>
      </c>
      <c r="L219" s="390">
        <f>'TSU FGD'!$L$15</f>
        <v>0</v>
      </c>
      <c r="M219" s="390">
        <f>'TSU FGD'!$M$15</f>
        <v>79567683</v>
      </c>
    </row>
    <row r="220" spans="1:13" s="171" customFormat="1" ht="12.75" hidden="1" customHeight="1" outlineLevel="1">
      <c r="A220" s="166"/>
      <c r="B220" s="674" t="str">
        <f>'TTU FGD'!$B$2</f>
        <v>Texas Tech University</v>
      </c>
      <c r="C220" s="160"/>
      <c r="D220" s="390">
        <f>'TTU FGD'!$D$15</f>
        <v>245023544</v>
      </c>
      <c r="E220" s="390">
        <f>'TTU FGD'!$E$15</f>
        <v>4646618</v>
      </c>
      <c r="F220" s="390">
        <f>'TTU FGD'!$F$15</f>
        <v>0</v>
      </c>
      <c r="G220" s="390">
        <f>'TTU FGD'!$G$15</f>
        <v>13952224</v>
      </c>
      <c r="H220" s="390">
        <f>'TTU FGD'!$H$15</f>
        <v>0</v>
      </c>
      <c r="I220" s="390">
        <f>'TTU FGD'!$I$15</f>
        <v>0</v>
      </c>
      <c r="J220" s="390">
        <f>'TTU FGD'!$J$15</f>
        <v>0</v>
      </c>
      <c r="K220" s="390">
        <f>'TTU FGD'!$K$15</f>
        <v>0</v>
      </c>
      <c r="L220" s="390">
        <f>'TTU FGD'!$L$15</f>
        <v>0</v>
      </c>
      <c r="M220" s="390">
        <f>'TTU FGD'!$M$15</f>
        <v>263622386</v>
      </c>
    </row>
    <row r="221" spans="1:13" s="171" customFormat="1" ht="12.75" hidden="1" customHeight="1" outlineLevel="1">
      <c r="A221" s="166"/>
      <c r="B221" s="674" t="str">
        <f>'TWU FGD'!$B$2</f>
        <v>Texas Woman's University</v>
      </c>
      <c r="C221" s="160"/>
      <c r="D221" s="390">
        <f>'TWU FGD'!$D$15</f>
        <v>89651291</v>
      </c>
      <c r="E221" s="390">
        <f>'TWU FGD'!$E$15</f>
        <v>0</v>
      </c>
      <c r="F221" s="390">
        <f>'TWU FGD'!$F$15</f>
        <v>0</v>
      </c>
      <c r="G221" s="390">
        <f>'TWU FGD'!$G$15</f>
        <v>6193003</v>
      </c>
      <c r="H221" s="390">
        <f>'TWU FGD'!$H$15</f>
        <v>0</v>
      </c>
      <c r="I221" s="390">
        <f>'TWU FGD'!$I$15</f>
        <v>0</v>
      </c>
      <c r="J221" s="390">
        <f>'TWU FGD'!$J$15</f>
        <v>0</v>
      </c>
      <c r="K221" s="390">
        <f>'TWU FGD'!$K$15</f>
        <v>0</v>
      </c>
      <c r="L221" s="390">
        <f>'TWU FGD'!$L$15</f>
        <v>0</v>
      </c>
      <c r="M221" s="390">
        <f>'TWU FGD'!$M$15</f>
        <v>95844294</v>
      </c>
    </row>
    <row r="222" spans="1:13" s="171" customFormat="1" ht="12.75" hidden="1" customHeight="1" outlineLevel="1">
      <c r="A222" s="166"/>
      <c r="B222" s="674" t="str">
        <f>'TXST FGD'!$B$2</f>
        <v>Texas State University</v>
      </c>
      <c r="C222" s="160"/>
      <c r="D222" s="390">
        <f>'TXST FGD'!$D$15</f>
        <v>175766268</v>
      </c>
      <c r="E222" s="390">
        <f>'TXST FGD'!$E$15</f>
        <v>200000</v>
      </c>
      <c r="F222" s="390">
        <f>'TXST FGD'!$F$15</f>
        <v>0</v>
      </c>
      <c r="G222" s="390">
        <f>'TXST FGD'!$G$15</f>
        <v>30876542</v>
      </c>
      <c r="H222" s="390">
        <f>'TXST FGD'!$H$15</f>
        <v>0</v>
      </c>
      <c r="I222" s="390">
        <f>'TXST FGD'!$I$15</f>
        <v>0</v>
      </c>
      <c r="J222" s="390">
        <f>'TXST FGD'!$J$15</f>
        <v>0</v>
      </c>
      <c r="K222" s="390">
        <f>'TXST FGD'!$K$15</f>
        <v>0</v>
      </c>
      <c r="L222" s="390">
        <f>'TXST FGD'!$L$15</f>
        <v>0</v>
      </c>
      <c r="M222" s="390">
        <f>'TXST FGD'!$M$15</f>
        <v>206842810</v>
      </c>
    </row>
    <row r="223" spans="1:13" s="171" customFormat="1" ht="12.75" hidden="1" customHeight="1" outlineLevel="1">
      <c r="A223" s="166"/>
      <c r="B223" s="674" t="str">
        <f>'TYL FGD'!$B$2</f>
        <v>The University of Texas at Tyler</v>
      </c>
      <c r="C223" s="160"/>
      <c r="D223" s="390">
        <f>'TYL FGD'!$D$15</f>
        <v>44846085</v>
      </c>
      <c r="E223" s="390">
        <f>'TYL FGD'!$E$15</f>
        <v>7790960</v>
      </c>
      <c r="F223" s="390">
        <f>'TYL FGD'!$F$15</f>
        <v>0</v>
      </c>
      <c r="G223" s="390">
        <f>'TYL FGD'!$G$15</f>
        <v>218470</v>
      </c>
      <c r="H223" s="390">
        <f>'TYL FGD'!$H$15</f>
        <v>0</v>
      </c>
      <c r="I223" s="390">
        <f>'TYL FGD'!$I$15</f>
        <v>0</v>
      </c>
      <c r="J223" s="390">
        <f>'TYL FGD'!$J$15</f>
        <v>0</v>
      </c>
      <c r="K223" s="390">
        <f>'TYL FGD'!$K$15</f>
        <v>0</v>
      </c>
      <c r="L223" s="390">
        <f>'TYL FGD'!$L$15</f>
        <v>0</v>
      </c>
      <c r="M223" s="390">
        <f>'TYL FGD'!$M$15</f>
        <v>52855515</v>
      </c>
    </row>
    <row r="224" spans="1:13" s="171" customFormat="1" ht="12.75" hidden="1" customHeight="1" outlineLevel="1">
      <c r="A224" s="166"/>
      <c r="B224" s="674" t="str">
        <f>'UH1 FGD'!$B$2</f>
        <v>University of Houston - Academic &amp; Health (A+H)</v>
      </c>
      <c r="C224" s="160"/>
      <c r="D224" s="390">
        <f>'UH1 FGD'!$D$15</f>
        <v>259143958</v>
      </c>
      <c r="E224" s="390">
        <f>'UH1 FGD'!$E$15</f>
        <v>0</v>
      </c>
      <c r="F224" s="390">
        <f>'UH1 FGD'!$F$15</f>
        <v>0</v>
      </c>
      <c r="G224" s="390">
        <f>'UH1 FGD'!$G$15</f>
        <v>44433568</v>
      </c>
      <c r="H224" s="390">
        <f>'UH1 FGD'!$H$15</f>
        <v>0</v>
      </c>
      <c r="I224" s="390">
        <f>'UH1 FGD'!$I$15</f>
        <v>0</v>
      </c>
      <c r="J224" s="390">
        <f>'UH1 FGD'!$J$15</f>
        <v>0</v>
      </c>
      <c r="K224" s="390">
        <f>'UH1 FGD'!$K$15</f>
        <v>0</v>
      </c>
      <c r="L224" s="390">
        <f>'UH1 FGD'!$L$15</f>
        <v>0</v>
      </c>
      <c r="M224" s="390">
        <f>'UH1 FGD'!$M$15</f>
        <v>303577526</v>
      </c>
    </row>
    <row r="225" spans="1:14" s="171" customFormat="1" ht="12.75" hidden="1" customHeight="1" outlineLevel="1">
      <c r="A225" s="166"/>
      <c r="B225" s="674" t="str">
        <f>'UHCL FGD'!$B$2</f>
        <v>University of Houston - Clear Lake</v>
      </c>
      <c r="C225" s="160"/>
      <c r="D225" s="390">
        <f>'UHCL FGD'!$D$15</f>
        <v>43208848</v>
      </c>
      <c r="E225" s="390">
        <f>'UHCL FGD'!$E$15</f>
        <v>0</v>
      </c>
      <c r="F225" s="390">
        <f>'UHCL FGD'!$F$15</f>
        <v>0</v>
      </c>
      <c r="G225" s="390">
        <f>'UHCL FGD'!$G$15</f>
        <v>3842350</v>
      </c>
      <c r="H225" s="390">
        <f>'UHCL FGD'!$H$15</f>
        <v>0</v>
      </c>
      <c r="I225" s="390">
        <f>'UHCL FGD'!$I$15</f>
        <v>0</v>
      </c>
      <c r="J225" s="390">
        <f>'UHCL FGD'!$J$15</f>
        <v>0</v>
      </c>
      <c r="K225" s="390">
        <f>'UHCL FGD'!$K$15</f>
        <v>0</v>
      </c>
      <c r="L225" s="390">
        <f>'UHCL FGD'!$L$15</f>
        <v>0</v>
      </c>
      <c r="M225" s="390">
        <f>'UHCL FGD'!$M$15</f>
        <v>47051198</v>
      </c>
    </row>
    <row r="226" spans="1:14" s="171" customFormat="1" ht="12.75" hidden="1" customHeight="1" outlineLevel="1">
      <c r="A226" s="166"/>
      <c r="B226" s="674" t="str">
        <f>'UHD FGD'!$B$2</f>
        <v>University of Houston - Downtown</v>
      </c>
      <c r="C226" s="160"/>
      <c r="D226" s="390">
        <f>'UHD FGD'!$D$15</f>
        <v>43981635</v>
      </c>
      <c r="E226" s="390">
        <f>'UHD FGD'!$E$15</f>
        <v>0</v>
      </c>
      <c r="F226" s="390">
        <f>'UHD FGD'!$F$15</f>
        <v>0</v>
      </c>
      <c r="G226" s="390">
        <f>'UHD FGD'!$G$15</f>
        <v>5736636</v>
      </c>
      <c r="H226" s="390">
        <f>'UHD FGD'!$H$15</f>
        <v>0</v>
      </c>
      <c r="I226" s="390">
        <f>'UHD FGD'!$I$15</f>
        <v>0</v>
      </c>
      <c r="J226" s="390">
        <f>'UHD FGD'!$J$15</f>
        <v>0</v>
      </c>
      <c r="K226" s="390">
        <f>'UHD FGD'!$K$15</f>
        <v>0</v>
      </c>
      <c r="L226" s="390">
        <f>'UHD FGD'!$L$15</f>
        <v>0</v>
      </c>
      <c r="M226" s="390">
        <f>'UHD FGD'!$M$15</f>
        <v>49718271</v>
      </c>
    </row>
    <row r="227" spans="1:14" s="171" customFormat="1" ht="12.75" hidden="1" customHeight="1" outlineLevel="1">
      <c r="A227" s="166"/>
      <c r="B227" s="674" t="str">
        <f>'UHV FGD'!$B$2</f>
        <v>University of Houston - Victoria</v>
      </c>
      <c r="C227" s="160"/>
      <c r="D227" s="390">
        <f>'UHV FGD'!$D$15</f>
        <v>21198312</v>
      </c>
      <c r="E227" s="390">
        <f>'UHV FGD'!$E$15</f>
        <v>0</v>
      </c>
      <c r="F227" s="390">
        <f>'UHV FGD'!$F$15</f>
        <v>0</v>
      </c>
      <c r="G227" s="390">
        <f>'UHV FGD'!$G$15</f>
        <v>2212446</v>
      </c>
      <c r="H227" s="390">
        <f>'UHV FGD'!$H$15</f>
        <v>0</v>
      </c>
      <c r="I227" s="390">
        <f>'UHV FGD'!$I$15</f>
        <v>0</v>
      </c>
      <c r="J227" s="390">
        <f>'UHV FGD'!$J$15</f>
        <v>0</v>
      </c>
      <c r="K227" s="390">
        <f>'UHV FGD'!$K$15</f>
        <v>0</v>
      </c>
      <c r="L227" s="390">
        <f>'UHV FGD'!$L$15</f>
        <v>0</v>
      </c>
      <c r="M227" s="390">
        <f>'UHV FGD'!$M$15</f>
        <v>23410758</v>
      </c>
    </row>
    <row r="228" spans="1:14" s="171" customFormat="1" ht="12.75" hidden="1" customHeight="1" outlineLevel="1">
      <c r="A228" s="166"/>
      <c r="B228" s="674" t="str">
        <f>'UNT FGD'!$B$2</f>
        <v>University of North Texas</v>
      </c>
      <c r="C228" s="160"/>
      <c r="D228" s="390">
        <f>'UNT FGD'!$D$15</f>
        <v>196942710</v>
      </c>
      <c r="E228" s="390">
        <f>'UNT FGD'!$E$15</f>
        <v>3346810</v>
      </c>
      <c r="F228" s="390">
        <f>'UNT FGD'!$F$15</f>
        <v>0</v>
      </c>
      <c r="G228" s="390">
        <f>'UNT FGD'!$G$15</f>
        <v>3703556</v>
      </c>
      <c r="H228" s="390">
        <f>'UNT FGD'!$H$15</f>
        <v>0</v>
      </c>
      <c r="I228" s="390">
        <f>'UNT FGD'!$I$15</f>
        <v>0</v>
      </c>
      <c r="J228" s="390">
        <f>'UNT FGD'!$J$15</f>
        <v>0</v>
      </c>
      <c r="K228" s="390">
        <f>'UNT FGD'!$K$15</f>
        <v>0</v>
      </c>
      <c r="L228" s="390">
        <f>'UNT FGD'!$L$15</f>
        <v>0</v>
      </c>
      <c r="M228" s="390">
        <f>'UNT FGD'!$M$15</f>
        <v>203993076</v>
      </c>
    </row>
    <row r="229" spans="1:14" s="171" customFormat="1" ht="12.75" hidden="1" customHeight="1" outlineLevel="1">
      <c r="A229" s="166"/>
      <c r="B229" s="674" t="str">
        <f>'UNTD FGD'!$B$2</f>
        <v>University of North Texas at Dallas</v>
      </c>
      <c r="C229" s="160"/>
      <c r="D229" s="390">
        <f>'UNTD FGD'!$D$15</f>
        <v>33051372</v>
      </c>
      <c r="E229" s="390">
        <f>'UNTD FGD'!$E$15</f>
        <v>0</v>
      </c>
      <c r="F229" s="390">
        <f>'UNTD FGD'!$F$15</f>
        <v>0</v>
      </c>
      <c r="G229" s="390">
        <f>'UNTD FGD'!$G$15</f>
        <v>376613</v>
      </c>
      <c r="H229" s="390">
        <f>'UNTD FGD'!$H$15</f>
        <v>0</v>
      </c>
      <c r="I229" s="390">
        <f>'UNTD FGD'!$I$15</f>
        <v>0</v>
      </c>
      <c r="J229" s="390">
        <f>'UNTD FGD'!$J$15</f>
        <v>0</v>
      </c>
      <c r="K229" s="390">
        <f>'UNTD FGD'!$K$15</f>
        <v>0</v>
      </c>
      <c r="L229" s="390">
        <f>'UNTD FGD'!$L$15</f>
        <v>0</v>
      </c>
      <c r="M229" s="390">
        <f>'UNTD FGD'!$M$15</f>
        <v>33427985</v>
      </c>
    </row>
    <row r="230" spans="1:14" s="171" customFormat="1" ht="12.75" hidden="1" customHeight="1" outlineLevel="1">
      <c r="A230" s="166"/>
      <c r="B230" s="674" t="str">
        <f>'WTAMU FGD'!$B$2</f>
        <v>West Texas A&amp;M University</v>
      </c>
      <c r="C230" s="160"/>
      <c r="D230" s="390">
        <f>'WTAMU FGD'!$D$15</f>
        <v>48772857</v>
      </c>
      <c r="E230" s="390">
        <f>'WTAMU FGD'!$E$15</f>
        <v>39000</v>
      </c>
      <c r="F230" s="390">
        <f>'WTAMU FGD'!$F$15</f>
        <v>0</v>
      </c>
      <c r="G230" s="390">
        <f>'WTAMU FGD'!$G$15</f>
        <v>5685133</v>
      </c>
      <c r="H230" s="390">
        <f>'WTAMU FGD'!$H$15</f>
        <v>0</v>
      </c>
      <c r="I230" s="390">
        <f>'WTAMU FGD'!$I$15</f>
        <v>0</v>
      </c>
      <c r="J230" s="390">
        <f>'WTAMU FGD'!$J$15</f>
        <v>0</v>
      </c>
      <c r="K230" s="390">
        <f>'WTAMU FGD'!$K$15</f>
        <v>0</v>
      </c>
      <c r="L230" s="390">
        <f>'WTAMU FGD'!$L$15</f>
        <v>0</v>
      </c>
      <c r="M230" s="390">
        <f>'WTAMU FGD'!$M$15</f>
        <v>54496990</v>
      </c>
    </row>
    <row r="231" spans="1:14" s="171" customFormat="1" collapsed="1">
      <c r="A231" s="166"/>
      <c r="B231" s="176" t="s">
        <v>3</v>
      </c>
      <c r="C231" s="176"/>
      <c r="D231" s="581">
        <f t="shared" ref="D231:M231" si="5">SUM(D195:D230)</f>
        <v>4148560887</v>
      </c>
      <c r="E231" s="581">
        <f t="shared" si="5"/>
        <v>184745315</v>
      </c>
      <c r="F231" s="581">
        <f t="shared" si="5"/>
        <v>0</v>
      </c>
      <c r="G231" s="581">
        <f t="shared" si="5"/>
        <v>243194293</v>
      </c>
      <c r="H231" s="581">
        <f t="shared" si="5"/>
        <v>0</v>
      </c>
      <c r="I231" s="581">
        <f t="shared" si="5"/>
        <v>0</v>
      </c>
      <c r="J231" s="581">
        <f t="shared" si="5"/>
        <v>0</v>
      </c>
      <c r="K231" s="581">
        <f t="shared" si="5"/>
        <v>0</v>
      </c>
      <c r="L231" s="581">
        <f t="shared" si="5"/>
        <v>0</v>
      </c>
      <c r="M231" s="581">
        <f t="shared" si="5"/>
        <v>4576500495</v>
      </c>
    </row>
    <row r="232" spans="1:14" s="171" customFormat="1">
      <c r="A232" s="166"/>
      <c r="B232" s="160"/>
      <c r="C232" s="160"/>
      <c r="D232" s="390"/>
      <c r="E232" s="390"/>
      <c r="F232" s="390"/>
      <c r="G232" s="390"/>
      <c r="H232" s="390"/>
      <c r="I232" s="390"/>
      <c r="J232" s="390"/>
      <c r="K232" s="390"/>
      <c r="L232" s="390"/>
      <c r="M232" s="390"/>
      <c r="N232" s="401"/>
    </row>
    <row r="233" spans="1:14" s="171" customFormat="1">
      <c r="A233" s="166"/>
      <c r="B233" s="5" t="s">
        <v>4</v>
      </c>
      <c r="C233" s="5"/>
      <c r="D233" s="390"/>
      <c r="E233" s="390"/>
      <c r="F233" s="390"/>
      <c r="G233" s="390"/>
      <c r="H233" s="390"/>
      <c r="I233" s="390"/>
      <c r="J233" s="390"/>
      <c r="K233" s="390"/>
      <c r="L233" s="390"/>
      <c r="M233" s="390"/>
      <c r="N233" s="401"/>
    </row>
    <row r="234" spans="1:14" s="171" customFormat="1" ht="12.75" hidden="1" customHeight="1" outlineLevel="1">
      <c r="A234" s="166"/>
      <c r="B234" s="674" t="str">
        <f>'ARL FGD'!$B$2</f>
        <v>The University of Texas at Arlington</v>
      </c>
      <c r="C234" s="5"/>
      <c r="D234" s="390">
        <f>'ARL FGD'!$D$18</f>
        <v>105876342</v>
      </c>
      <c r="E234" s="390">
        <f>'ARL FGD'!$E$18</f>
        <v>241122730</v>
      </c>
      <c r="F234" s="390">
        <f>'ARL FGD'!$F$18</f>
        <v>0</v>
      </c>
      <c r="G234" s="390">
        <f>'ARL FGD'!$G$18</f>
        <v>0</v>
      </c>
      <c r="H234" s="390">
        <f>'ARL FGD'!$H$18</f>
        <v>0</v>
      </c>
      <c r="I234" s="390">
        <f>'ARL FGD'!$I$18</f>
        <v>0</v>
      </c>
      <c r="J234" s="390">
        <f>'ARL FGD'!$J$18</f>
        <v>0</v>
      </c>
      <c r="K234" s="390">
        <f>'ARL FGD'!$K$18</f>
        <v>0</v>
      </c>
      <c r="L234" s="390">
        <f>'ARL FGD'!$L$18</f>
        <v>0</v>
      </c>
      <c r="M234" s="390">
        <f>'ARL FGD'!$M$18</f>
        <v>346999072</v>
      </c>
      <c r="N234" s="401"/>
    </row>
    <row r="235" spans="1:14" s="171" customFormat="1" ht="12.75" hidden="1" customHeight="1" outlineLevel="1">
      <c r="A235" s="166"/>
      <c r="B235" s="674" t="str">
        <f>'ASU FGD'!$B$2</f>
        <v>Angelo State University</v>
      </c>
      <c r="C235" s="5"/>
      <c r="D235" s="390">
        <f>'ASU FGD'!$D$18</f>
        <v>19218748</v>
      </c>
      <c r="E235" s="390">
        <f>'ASU FGD'!$E$18</f>
        <v>26883268</v>
      </c>
      <c r="F235" s="390">
        <f>'ASU FGD'!$F$18</f>
        <v>0</v>
      </c>
      <c r="G235" s="390">
        <f>'ASU FGD'!$G$18</f>
        <v>0</v>
      </c>
      <c r="H235" s="390">
        <f>'ASU FGD'!$H$18</f>
        <v>0</v>
      </c>
      <c r="I235" s="390">
        <f>'ASU FGD'!$I$18</f>
        <v>0</v>
      </c>
      <c r="J235" s="390">
        <f>'ASU FGD'!$J$18</f>
        <v>0</v>
      </c>
      <c r="K235" s="390">
        <f>'ASU FGD'!$K$18</f>
        <v>0</v>
      </c>
      <c r="L235" s="390">
        <f>'ASU FGD'!$L$18</f>
        <v>0</v>
      </c>
      <c r="M235" s="390">
        <f>'ASU FGD'!$M$18</f>
        <v>46102016</v>
      </c>
      <c r="N235" s="401"/>
    </row>
    <row r="236" spans="1:14" s="171" customFormat="1" ht="12.75" hidden="1" customHeight="1" outlineLevel="1">
      <c r="A236" s="166"/>
      <c r="B236" s="674" t="str">
        <f>'AUS1 FGD'!$B$2</f>
        <v>The University of Texas at Austin - Academic &amp; Health (A+H)</v>
      </c>
      <c r="C236" s="5"/>
      <c r="D236" s="390">
        <f>'AUS1 FGD'!$D$18</f>
        <v>160166835</v>
      </c>
      <c r="E236" s="390">
        <f>'AUS1 FGD'!$E$18</f>
        <v>523088607</v>
      </c>
      <c r="F236" s="390">
        <f>'AUS1 FGD'!$F$18</f>
        <v>0</v>
      </c>
      <c r="G236" s="390">
        <f>'AUS1 FGD'!$G$18</f>
        <v>0</v>
      </c>
      <c r="H236" s="390">
        <f>'AUS1 FGD'!$H$18</f>
        <v>0</v>
      </c>
      <c r="I236" s="390">
        <f>'AUS1 FGD'!$I$18</f>
        <v>0</v>
      </c>
      <c r="J236" s="390">
        <f>'AUS1 FGD'!$J$18</f>
        <v>0</v>
      </c>
      <c r="K236" s="390">
        <f>'AUS1 FGD'!$K$18</f>
        <v>0</v>
      </c>
      <c r="L236" s="390">
        <f>'AUS1 FGD'!$L$18</f>
        <v>0</v>
      </c>
      <c r="M236" s="390">
        <f>'AUS1 FGD'!$M$18</f>
        <v>683255442</v>
      </c>
      <c r="N236" s="401"/>
    </row>
    <row r="237" spans="1:14" s="171" customFormat="1" ht="12.75" hidden="1" customHeight="1" outlineLevel="1">
      <c r="A237" s="166"/>
      <c r="B237" s="674" t="str">
        <f>'RGV1 FGD'!$B$2</f>
        <v>The University of Texas RGV - Academic &amp; Health (A+H)</v>
      </c>
      <c r="C237" s="5"/>
      <c r="D237" s="390">
        <f>'RGV1 FGD'!$D$18</f>
        <v>60202719</v>
      </c>
      <c r="E237" s="390">
        <f>'RGV1 FGD'!$E$18</f>
        <v>171065062</v>
      </c>
      <c r="F237" s="390">
        <f>'RGV1 FGD'!$F$18</f>
        <v>0</v>
      </c>
      <c r="G237" s="390">
        <f>'RGV1 FGD'!$G$18</f>
        <v>0</v>
      </c>
      <c r="H237" s="390">
        <f>'RGV1 FGD'!$H$18</f>
        <v>0</v>
      </c>
      <c r="I237" s="390">
        <f>'RGV1 FGD'!$I$18</f>
        <v>0</v>
      </c>
      <c r="J237" s="390">
        <f>'RGV1 FGD'!$J$18</f>
        <v>0</v>
      </c>
      <c r="K237" s="390">
        <f>'RGV1 FGD'!$K$18</f>
        <v>0</v>
      </c>
      <c r="L237" s="390">
        <f>'RGV1 FGD'!$L$18</f>
        <v>0</v>
      </c>
      <c r="M237" s="390">
        <f>'RGV1 FGD'!$M$18</f>
        <v>231267781</v>
      </c>
      <c r="N237" s="401"/>
    </row>
    <row r="238" spans="1:14" s="171" customFormat="1" ht="12.75" hidden="1" customHeight="1" outlineLevel="1">
      <c r="A238" s="166"/>
      <c r="B238" s="674" t="str">
        <f>'DAL FGD'!$B$2</f>
        <v>The University of Texas at Dallas</v>
      </c>
      <c r="C238" s="5"/>
      <c r="D238" s="390">
        <f>'DAL FGD'!$D$18</f>
        <v>81321381</v>
      </c>
      <c r="E238" s="390">
        <f>'DAL FGD'!$E$18</f>
        <v>289757846</v>
      </c>
      <c r="F238" s="390">
        <f>'DAL FGD'!$F$18</f>
        <v>0</v>
      </c>
      <c r="G238" s="390">
        <f>'DAL FGD'!$G$18</f>
        <v>0</v>
      </c>
      <c r="H238" s="390">
        <f>'DAL FGD'!$H$18</f>
        <v>0</v>
      </c>
      <c r="I238" s="390">
        <f>'DAL FGD'!$I$18</f>
        <v>0</v>
      </c>
      <c r="J238" s="390">
        <f>'DAL FGD'!$J$18</f>
        <v>0</v>
      </c>
      <c r="K238" s="390">
        <f>'DAL FGD'!$K$18</f>
        <v>0</v>
      </c>
      <c r="L238" s="390">
        <f>'DAL FGD'!$L$18</f>
        <v>0</v>
      </c>
      <c r="M238" s="390">
        <f>'DAL FGD'!$M$18</f>
        <v>371079227</v>
      </c>
      <c r="N238" s="401"/>
    </row>
    <row r="239" spans="1:14" s="171" customFormat="1" ht="12.75" hidden="1" customHeight="1" outlineLevel="1">
      <c r="A239" s="166"/>
      <c r="B239" s="674" t="str">
        <f>'E-P FGD'!$B$2</f>
        <v>The University of Texas at El Paso</v>
      </c>
      <c r="C239" s="5"/>
      <c r="D239" s="390">
        <f>'E-P FGD'!$D$18</f>
        <v>56290231</v>
      </c>
      <c r="E239" s="390">
        <f>'E-P FGD'!$E$18</f>
        <v>114496870</v>
      </c>
      <c r="F239" s="390">
        <f>'E-P FGD'!$F$18</f>
        <v>0</v>
      </c>
      <c r="G239" s="390">
        <f>'E-P FGD'!$G$18</f>
        <v>0</v>
      </c>
      <c r="H239" s="390">
        <f>'E-P FGD'!$H$18</f>
        <v>0</v>
      </c>
      <c r="I239" s="390">
        <f>'E-P FGD'!$I$18</f>
        <v>0</v>
      </c>
      <c r="J239" s="390">
        <f>'E-P FGD'!$J$18</f>
        <v>0</v>
      </c>
      <c r="K239" s="390">
        <f>'E-P FGD'!$K$18</f>
        <v>0</v>
      </c>
      <c r="L239" s="390">
        <f>'E-P FGD'!$L$18</f>
        <v>0</v>
      </c>
      <c r="M239" s="390">
        <f>'E-P FGD'!$M$18</f>
        <v>170787101</v>
      </c>
      <c r="N239" s="401"/>
    </row>
    <row r="240" spans="1:14" s="171" customFormat="1" ht="12.75" hidden="1" customHeight="1" outlineLevel="1">
      <c r="A240" s="166"/>
      <c r="B240" s="674" t="str">
        <f>'LU FGD'!$B$2</f>
        <v xml:space="preserve">Lamar University </v>
      </c>
      <c r="C240" s="5"/>
      <c r="D240" s="390">
        <f>'LU FGD'!$D$18</f>
        <v>25292052</v>
      </c>
      <c r="E240" s="390">
        <f>'LU FGD'!$E$18</f>
        <v>83187991</v>
      </c>
      <c r="F240" s="390">
        <f>'LU FGD'!$F$18</f>
        <v>0</v>
      </c>
      <c r="G240" s="390">
        <f>'LU FGD'!$G$18</f>
        <v>0</v>
      </c>
      <c r="H240" s="390">
        <f>'LU FGD'!$H$18</f>
        <v>0</v>
      </c>
      <c r="I240" s="390">
        <f>'LU FGD'!$I$18</f>
        <v>0</v>
      </c>
      <c r="J240" s="390">
        <f>'LU FGD'!$J$18</f>
        <v>0</v>
      </c>
      <c r="K240" s="390">
        <f>'LU FGD'!$K$18</f>
        <v>0</v>
      </c>
      <c r="L240" s="390">
        <f>'LU FGD'!$L$18</f>
        <v>0</v>
      </c>
      <c r="M240" s="390">
        <f>'LU FGD'!$M$18</f>
        <v>108480043</v>
      </c>
      <c r="N240" s="401"/>
    </row>
    <row r="241" spans="1:14" s="171" customFormat="1" ht="12.75" hidden="1" customHeight="1" outlineLevel="1">
      <c r="A241" s="166"/>
      <c r="B241" s="674" t="str">
        <f>'MidWST FGD'!$B$2</f>
        <v>Midwestern State University</v>
      </c>
      <c r="C241" s="5"/>
      <c r="D241" s="390">
        <f>'MidWST FGD'!$D$18</f>
        <v>10607421</v>
      </c>
      <c r="E241" s="390">
        <f>'MidWST FGD'!$E$18</f>
        <v>19823872</v>
      </c>
      <c r="F241" s="390">
        <f>'MidWST FGD'!$F$18</f>
        <v>0</v>
      </c>
      <c r="G241" s="390">
        <f>'MidWST FGD'!$G$18</f>
        <v>0</v>
      </c>
      <c r="H241" s="390">
        <f>'MidWST FGD'!$H$18</f>
        <v>0</v>
      </c>
      <c r="I241" s="390">
        <f>'MidWST FGD'!$I$18</f>
        <v>0</v>
      </c>
      <c r="J241" s="390">
        <f>'MidWST FGD'!$J$18</f>
        <v>0</v>
      </c>
      <c r="K241" s="390">
        <f>'MidWST FGD'!$K$18</f>
        <v>0</v>
      </c>
      <c r="L241" s="390">
        <f>'MidWST FGD'!$L$18</f>
        <v>0</v>
      </c>
      <c r="M241" s="390">
        <f>'MidWST FGD'!$M$18</f>
        <v>30431293</v>
      </c>
      <c r="N241" s="401"/>
    </row>
    <row r="242" spans="1:14" s="171" customFormat="1" ht="12.75" hidden="1" customHeight="1" outlineLevel="1">
      <c r="A242" s="166"/>
      <c r="B242" s="674" t="str">
        <f>'P-B FGD'!$B$2</f>
        <v>The University of Texas of the Permian Basin</v>
      </c>
      <c r="C242" s="5"/>
      <c r="D242" s="390">
        <f>'P-B FGD'!$D$18</f>
        <v>8826188</v>
      </c>
      <c r="E242" s="390">
        <f>'P-B FGD'!$E$18</f>
        <v>21539498</v>
      </c>
      <c r="F242" s="390">
        <f>'P-B FGD'!$F$18</f>
        <v>0</v>
      </c>
      <c r="G242" s="390">
        <f>'P-B FGD'!$G$18</f>
        <v>0</v>
      </c>
      <c r="H242" s="390">
        <f>'P-B FGD'!$H$18</f>
        <v>0</v>
      </c>
      <c r="I242" s="390">
        <f>'P-B FGD'!$I$18</f>
        <v>0</v>
      </c>
      <c r="J242" s="390">
        <f>'P-B FGD'!$J$18</f>
        <v>0</v>
      </c>
      <c r="K242" s="390">
        <f>'P-B FGD'!$K$18</f>
        <v>0</v>
      </c>
      <c r="L242" s="390">
        <f>'P-B FGD'!$L$18</f>
        <v>0</v>
      </c>
      <c r="M242" s="390">
        <f>'P-B FGD'!$M$18</f>
        <v>30365686</v>
      </c>
      <c r="N242" s="401"/>
    </row>
    <row r="243" spans="1:14" s="171" customFormat="1" ht="12.75" hidden="1" customHeight="1" outlineLevel="1">
      <c r="A243" s="166"/>
      <c r="B243" s="674" t="str">
        <f>'PVAMU FGD'!$B$2</f>
        <v>Prairie View A&amp;M University</v>
      </c>
      <c r="C243" s="5"/>
      <c r="D243" s="390">
        <f>'PVAMU FGD'!$D$18</f>
        <v>25275790</v>
      </c>
      <c r="E243" s="390">
        <f>'PVAMU FGD'!$E$18</f>
        <v>48598981</v>
      </c>
      <c r="F243" s="390">
        <f>'PVAMU FGD'!$F$18</f>
        <v>0</v>
      </c>
      <c r="G243" s="390">
        <f>'PVAMU FGD'!$G$18</f>
        <v>0</v>
      </c>
      <c r="H243" s="390">
        <f>'PVAMU FGD'!$H$18</f>
        <v>0</v>
      </c>
      <c r="I243" s="390">
        <f>'PVAMU FGD'!$I$18</f>
        <v>0</v>
      </c>
      <c r="J243" s="390">
        <f>'PVAMU FGD'!$J$18</f>
        <v>0</v>
      </c>
      <c r="K243" s="390">
        <f>'PVAMU FGD'!$K$18</f>
        <v>0</v>
      </c>
      <c r="L243" s="390">
        <f>'PVAMU FGD'!$L$18</f>
        <v>0</v>
      </c>
      <c r="M243" s="390">
        <f>'PVAMU FGD'!$M$18</f>
        <v>73874771</v>
      </c>
      <c r="N243" s="401"/>
    </row>
    <row r="244" spans="1:14" s="171" customFormat="1" ht="12.75" hidden="1" customHeight="1" outlineLevel="1">
      <c r="A244" s="166"/>
      <c r="B244" s="674" t="str">
        <f>'S-A FGD'!$B$2</f>
        <v>The University of Texas at San Antonio</v>
      </c>
      <c r="C244" s="5"/>
      <c r="D244" s="390">
        <f>'S-A FGD'!$D$18</f>
        <v>63714972</v>
      </c>
      <c r="E244" s="390">
        <f>'S-A FGD'!$E$18</f>
        <v>179828468</v>
      </c>
      <c r="F244" s="390">
        <f>'S-A FGD'!$F$18</f>
        <v>0</v>
      </c>
      <c r="G244" s="390">
        <f>'S-A FGD'!$G$18</f>
        <v>0</v>
      </c>
      <c r="H244" s="390">
        <f>'S-A FGD'!$H$18</f>
        <v>0</v>
      </c>
      <c r="I244" s="390">
        <f>'S-A FGD'!$I$18</f>
        <v>0</v>
      </c>
      <c r="J244" s="390">
        <f>'S-A FGD'!$J$18</f>
        <v>0</v>
      </c>
      <c r="K244" s="390">
        <f>'S-A FGD'!$K$18</f>
        <v>0</v>
      </c>
      <c r="L244" s="390">
        <f>'S-A FGD'!$L$18</f>
        <v>0</v>
      </c>
      <c r="M244" s="390">
        <f>'S-A FGD'!$M$18</f>
        <v>243543440</v>
      </c>
      <c r="N244" s="401"/>
    </row>
    <row r="245" spans="1:14" s="171" customFormat="1" ht="12.75" hidden="1" customHeight="1" outlineLevel="1">
      <c r="A245" s="166"/>
      <c r="B245" s="674" t="str">
        <f>'SFA FGD'!$B$2</f>
        <v>Stephen F. Austin State University</v>
      </c>
      <c r="C245" s="5"/>
      <c r="D245" s="390">
        <f>'SFA FGD'!$D$18</f>
        <v>18636562</v>
      </c>
      <c r="E245" s="390">
        <f>'SFA FGD'!$E$18</f>
        <v>72148625</v>
      </c>
      <c r="F245" s="390">
        <f>'SFA FGD'!$F$18</f>
        <v>0</v>
      </c>
      <c r="G245" s="390">
        <f>'SFA FGD'!$G$18</f>
        <v>0</v>
      </c>
      <c r="H245" s="390">
        <f>'SFA FGD'!$H$18</f>
        <v>0</v>
      </c>
      <c r="I245" s="390">
        <f>'SFA FGD'!$I$18</f>
        <v>0</v>
      </c>
      <c r="J245" s="390">
        <f>'SFA FGD'!$J$18</f>
        <v>0</v>
      </c>
      <c r="K245" s="390">
        <f>'SFA FGD'!$K$18</f>
        <v>0</v>
      </c>
      <c r="L245" s="390">
        <f>'SFA FGD'!$L$18</f>
        <v>0</v>
      </c>
      <c r="M245" s="390">
        <f>'SFA FGD'!$M$18</f>
        <v>90785187</v>
      </c>
      <c r="N245" s="401"/>
    </row>
    <row r="246" spans="1:14" s="171" customFormat="1" ht="12.75" hidden="1" customHeight="1" outlineLevel="1">
      <c r="A246" s="166"/>
      <c r="B246" s="674" t="str">
        <f>'shsu1 FGD'!$B$2</f>
        <v>Sam Houston State University - Academic &amp; Health (A+H)</v>
      </c>
      <c r="C246" s="5"/>
      <c r="D246" s="390">
        <f>'shsu1 FGD'!$D$18</f>
        <v>39045930</v>
      </c>
      <c r="E246" s="390">
        <f>'shsu1 FGD'!$E$18</f>
        <v>108090556</v>
      </c>
      <c r="F246" s="390">
        <f>'shsu1 FGD'!$F$18</f>
        <v>0</v>
      </c>
      <c r="G246" s="390">
        <f>'shsu1 FGD'!$G$18</f>
        <v>0</v>
      </c>
      <c r="H246" s="390">
        <f>'shsu1 FGD'!$H$18</f>
        <v>0</v>
      </c>
      <c r="I246" s="390">
        <f>'shsu1 FGD'!$I$18</f>
        <v>0</v>
      </c>
      <c r="J246" s="390">
        <f>'shsu1 FGD'!$J$18</f>
        <v>0</v>
      </c>
      <c r="K246" s="390">
        <f>'shsu1 FGD'!$K$18</f>
        <v>0</v>
      </c>
      <c r="L246" s="390">
        <f>'shsu1 FGD'!$L$18</f>
        <v>0</v>
      </c>
      <c r="M246" s="390">
        <f>'shsu1 FGD'!$M$18</f>
        <v>147136486</v>
      </c>
      <c r="N246" s="401"/>
    </row>
    <row r="247" spans="1:14" s="171" customFormat="1" ht="12.75" hidden="1" customHeight="1" outlineLevel="1">
      <c r="A247" s="166"/>
      <c r="B247" s="674" t="str">
        <f>'SRSU FGD'!$B$2</f>
        <v>Sul Ross State University</v>
      </c>
      <c r="C247" s="5"/>
      <c r="D247" s="390">
        <f>'SRSU FGD'!$D$18</f>
        <v>2827081</v>
      </c>
      <c r="E247" s="390">
        <f>'SRSU FGD'!$E$18</f>
        <v>7542791</v>
      </c>
      <c r="F247" s="390">
        <f>'SRSU FGD'!$F$18</f>
        <v>0</v>
      </c>
      <c r="G247" s="390">
        <f>'SRSU FGD'!$G$18</f>
        <v>0</v>
      </c>
      <c r="H247" s="390">
        <f>'SRSU FGD'!$H$18</f>
        <v>0</v>
      </c>
      <c r="I247" s="390">
        <f>'SRSU FGD'!$I$18</f>
        <v>0</v>
      </c>
      <c r="J247" s="390">
        <f>'SRSU FGD'!$J$18</f>
        <v>0</v>
      </c>
      <c r="K247" s="390">
        <f>'SRSU FGD'!$K$18</f>
        <v>0</v>
      </c>
      <c r="L247" s="390">
        <f>'SRSU FGD'!$L$18</f>
        <v>0</v>
      </c>
      <c r="M247" s="390">
        <f>'SRSU FGD'!$M$18</f>
        <v>10369872</v>
      </c>
      <c r="N247" s="401"/>
    </row>
    <row r="248" spans="1:14" s="171" customFormat="1" ht="12.75" hidden="1" customHeight="1" outlineLevel="1">
      <c r="A248" s="166"/>
      <c r="B248" s="674" t="str">
        <f>'TAMIU FGD'!$B$2</f>
        <v>Texas A&amp;M International University</v>
      </c>
      <c r="C248" s="5"/>
      <c r="D248" s="390">
        <f>'TAMIU FGD'!$D$18</f>
        <v>14130616</v>
      </c>
      <c r="E248" s="390">
        <f>'TAMIU FGD'!$E$18</f>
        <v>22743934</v>
      </c>
      <c r="F248" s="390">
        <f>'TAMIU FGD'!$F$18</f>
        <v>0</v>
      </c>
      <c r="G248" s="390">
        <f>'TAMIU FGD'!$G$18</f>
        <v>0</v>
      </c>
      <c r="H248" s="390">
        <f>'TAMIU FGD'!$H$18</f>
        <v>0</v>
      </c>
      <c r="I248" s="390">
        <f>'TAMIU FGD'!$I$18</f>
        <v>0</v>
      </c>
      <c r="J248" s="390">
        <f>'TAMIU FGD'!$J$18</f>
        <v>0</v>
      </c>
      <c r="K248" s="390">
        <f>'TAMIU FGD'!$K$18</f>
        <v>0</v>
      </c>
      <c r="L248" s="390">
        <f>'TAMIU FGD'!$L$18</f>
        <v>0</v>
      </c>
      <c r="M248" s="390">
        <f>'TAMIU FGD'!$M$18</f>
        <v>36874550</v>
      </c>
      <c r="N248" s="401"/>
    </row>
    <row r="249" spans="1:14" s="171" customFormat="1" ht="12.75" hidden="1" customHeight="1" outlineLevel="1">
      <c r="A249" s="166"/>
      <c r="B249" s="674" t="str">
        <f>'TAMU FGD'!$B$2</f>
        <v>Texas A&amp;M University</v>
      </c>
      <c r="C249" s="5"/>
      <c r="D249" s="390">
        <f>'TAMU FGD'!$D$18</f>
        <v>173922130</v>
      </c>
      <c r="E249" s="390">
        <f>'TAMU FGD'!$E$18</f>
        <v>470438064</v>
      </c>
      <c r="F249" s="390">
        <f>'TAMU FGD'!$F$18</f>
        <v>0</v>
      </c>
      <c r="G249" s="390">
        <f>'TAMU FGD'!$G$18</f>
        <v>0</v>
      </c>
      <c r="H249" s="390">
        <f>'TAMU FGD'!$H$18</f>
        <v>0</v>
      </c>
      <c r="I249" s="390">
        <f>'TAMU FGD'!$I$18</f>
        <v>0</v>
      </c>
      <c r="J249" s="390">
        <f>'TAMU FGD'!$J$18</f>
        <v>0</v>
      </c>
      <c r="K249" s="390">
        <f>'TAMU FGD'!$K$18</f>
        <v>0</v>
      </c>
      <c r="L249" s="390">
        <f>'TAMU FGD'!$L$18</f>
        <v>0</v>
      </c>
      <c r="M249" s="390">
        <f>'TAMU FGD'!$M$18</f>
        <v>644360194</v>
      </c>
      <c r="N249" s="401"/>
    </row>
    <row r="250" spans="1:14" s="171" customFormat="1" ht="12.75" hidden="1" customHeight="1" outlineLevel="1">
      <c r="A250" s="166"/>
      <c r="B250" s="674" t="str">
        <f>'TAMUC FGD'!$B$2</f>
        <v>Texas A&amp;M University - Commerce</v>
      </c>
      <c r="C250" s="5"/>
      <c r="D250" s="390">
        <f>'TAMUC FGD'!$D$18</f>
        <v>18536675</v>
      </c>
      <c r="E250" s="390">
        <f>'TAMUC FGD'!$E$18</f>
        <v>29675591</v>
      </c>
      <c r="F250" s="390">
        <f>'TAMUC FGD'!$F$18</f>
        <v>0</v>
      </c>
      <c r="G250" s="390">
        <f>'TAMUC FGD'!$G$18</f>
        <v>-1141176</v>
      </c>
      <c r="H250" s="390">
        <f>'TAMUC FGD'!$H$18</f>
        <v>0</v>
      </c>
      <c r="I250" s="390">
        <f>'TAMUC FGD'!$I$18</f>
        <v>0</v>
      </c>
      <c r="J250" s="390">
        <f>'TAMUC FGD'!$J$18</f>
        <v>0</v>
      </c>
      <c r="K250" s="390">
        <f>'TAMUC FGD'!$K$18</f>
        <v>0</v>
      </c>
      <c r="L250" s="390">
        <f>'TAMUC FGD'!$L$18</f>
        <v>0</v>
      </c>
      <c r="M250" s="390">
        <f>'TAMUC FGD'!$M$18</f>
        <v>47071090</v>
      </c>
      <c r="N250" s="401"/>
    </row>
    <row r="251" spans="1:14" s="171" customFormat="1" ht="12.75" hidden="1" customHeight="1" outlineLevel="1">
      <c r="A251" s="166"/>
      <c r="B251" s="674" t="str">
        <f>'TAMUCC FGD'!$B$2</f>
        <v>Texas A&amp;M University - Corpus Christi</v>
      </c>
      <c r="C251" s="5"/>
      <c r="D251" s="390">
        <f>'TAMUCC FGD'!$D$18</f>
        <v>20946816</v>
      </c>
      <c r="E251" s="390">
        <f>'TAMUCC FGD'!$E$18</f>
        <v>36344267</v>
      </c>
      <c r="F251" s="390">
        <f>'TAMUCC FGD'!$F$18</f>
        <v>0</v>
      </c>
      <c r="G251" s="390">
        <f>'TAMUCC FGD'!$G$18</f>
        <v>0</v>
      </c>
      <c r="H251" s="390">
        <f>'TAMUCC FGD'!$H$18</f>
        <v>0</v>
      </c>
      <c r="I251" s="390">
        <f>'TAMUCC FGD'!$I$18</f>
        <v>0</v>
      </c>
      <c r="J251" s="390">
        <f>'TAMUCC FGD'!$J$18</f>
        <v>0</v>
      </c>
      <c r="K251" s="390">
        <f>'TAMUCC FGD'!$K$18</f>
        <v>0</v>
      </c>
      <c r="L251" s="390">
        <f>'TAMUCC FGD'!$L$18</f>
        <v>0</v>
      </c>
      <c r="M251" s="390">
        <f>'TAMUCC FGD'!$M$18</f>
        <v>57291083</v>
      </c>
      <c r="N251" s="401"/>
    </row>
    <row r="252" spans="1:14" s="171" customFormat="1" ht="12.75" hidden="1" customHeight="1" outlineLevel="1">
      <c r="A252" s="166"/>
      <c r="B252" s="674" t="str">
        <f>'TAMUCT FGD'!$B$2</f>
        <v>Texas A&amp;M University - Central Texas</v>
      </c>
      <c r="C252" s="5"/>
      <c r="D252" s="390">
        <f>'TAMUCT FGD'!$D$18</f>
        <v>3612726</v>
      </c>
      <c r="E252" s="390">
        <f>'TAMUCT FGD'!$E$18</f>
        <v>9013187</v>
      </c>
      <c r="F252" s="390">
        <f>'TAMUCT FGD'!$F$18</f>
        <v>0</v>
      </c>
      <c r="G252" s="390">
        <f>'TAMUCT FGD'!$G$18</f>
        <v>0</v>
      </c>
      <c r="H252" s="390">
        <f>'TAMUCT FGD'!$H$18</f>
        <v>0</v>
      </c>
      <c r="I252" s="390">
        <f>'TAMUCT FGD'!$I$18</f>
        <v>0</v>
      </c>
      <c r="J252" s="390">
        <f>'TAMUCT FGD'!$J$18</f>
        <v>0</v>
      </c>
      <c r="K252" s="390">
        <f>'TAMUCT FGD'!$K$18</f>
        <v>0</v>
      </c>
      <c r="L252" s="390">
        <f>'TAMUCT FGD'!$L$18</f>
        <v>0</v>
      </c>
      <c r="M252" s="390">
        <f>'TAMUCT FGD'!$M$18</f>
        <v>12625913</v>
      </c>
      <c r="N252" s="401"/>
    </row>
    <row r="253" spans="1:14" s="171" customFormat="1" ht="12.75" hidden="1" customHeight="1" outlineLevel="1">
      <c r="A253" s="166"/>
      <c r="B253" s="674" t="str">
        <f>'TAMUG FGD'!$B$2</f>
        <v>Texas A&amp;M University at Galveston</v>
      </c>
      <c r="C253" s="5"/>
      <c r="D253" s="390">
        <f>'TAMUG FGD'!$D$18</f>
        <v>3686466</v>
      </c>
      <c r="E253" s="390">
        <f>'TAMUG FGD'!$E$18</f>
        <v>12730789</v>
      </c>
      <c r="F253" s="390">
        <f>'TAMUG FGD'!$F$18</f>
        <v>0</v>
      </c>
      <c r="G253" s="390">
        <f>'TAMUG FGD'!$G$18</f>
        <v>0</v>
      </c>
      <c r="H253" s="390">
        <f>'TAMUG FGD'!$H$18</f>
        <v>0</v>
      </c>
      <c r="I253" s="390">
        <f>'TAMUG FGD'!$I$18</f>
        <v>0</v>
      </c>
      <c r="J253" s="390">
        <f>'TAMUG FGD'!$J$18</f>
        <v>0</v>
      </c>
      <c r="K253" s="390">
        <f>'TAMUG FGD'!$K$18</f>
        <v>0</v>
      </c>
      <c r="L253" s="390">
        <f>'TAMUG FGD'!$L$18</f>
        <v>0</v>
      </c>
      <c r="M253" s="390">
        <f>'TAMUG FGD'!$M$18</f>
        <v>16417255</v>
      </c>
      <c r="N253" s="401"/>
    </row>
    <row r="254" spans="1:14" s="171" customFormat="1" ht="12.75" hidden="1" customHeight="1" outlineLevel="1">
      <c r="A254" s="166"/>
      <c r="B254" s="674" t="str">
        <f>'TAMUK FGD'!$B$2</f>
        <v>Texas A&amp;M University - Kingsville</v>
      </c>
      <c r="C254" s="5"/>
      <c r="D254" s="390">
        <f>'TAMUK FGD'!$D$18</f>
        <v>16862217</v>
      </c>
      <c r="E254" s="390">
        <f>'TAMUK FGD'!$E$18</f>
        <v>19586739</v>
      </c>
      <c r="F254" s="390">
        <f>'TAMUK FGD'!$F$18</f>
        <v>0</v>
      </c>
      <c r="G254" s="390">
        <f>'TAMUK FGD'!$G$18</f>
        <v>-2077784</v>
      </c>
      <c r="H254" s="390">
        <f>'TAMUK FGD'!$H$18</f>
        <v>0</v>
      </c>
      <c r="I254" s="390">
        <f>'TAMUK FGD'!$I$18</f>
        <v>0</v>
      </c>
      <c r="J254" s="390">
        <f>'TAMUK FGD'!$J$18</f>
        <v>0</v>
      </c>
      <c r="K254" s="390">
        <f>'TAMUK FGD'!$K$18</f>
        <v>0</v>
      </c>
      <c r="L254" s="390">
        <f>'TAMUK FGD'!$L$18</f>
        <v>0</v>
      </c>
      <c r="M254" s="390">
        <f>'TAMUK FGD'!$M$18</f>
        <v>34371172</v>
      </c>
      <c r="N254" s="401"/>
    </row>
    <row r="255" spans="1:14" s="171" customFormat="1" ht="12.75" hidden="1" customHeight="1" outlineLevel="1">
      <c r="A255" s="166"/>
      <c r="B255" s="674" t="str">
        <f>'TAMUSA FGD'!$B$2</f>
        <v>Texas A&amp;M University - San Antonio</v>
      </c>
      <c r="C255" s="5"/>
      <c r="D255" s="390">
        <f>'TAMUSA FGD'!$D$18</f>
        <v>8461511</v>
      </c>
      <c r="E255" s="390">
        <f>'TAMUSA FGD'!$E$18</f>
        <v>15759650</v>
      </c>
      <c r="F255" s="390">
        <f>'TAMUSA FGD'!$F$18</f>
        <v>0</v>
      </c>
      <c r="G255" s="390">
        <f>'TAMUSA FGD'!$G$18</f>
        <v>0</v>
      </c>
      <c r="H255" s="390">
        <f>'TAMUSA FGD'!$H$18</f>
        <v>0</v>
      </c>
      <c r="I255" s="390">
        <f>'TAMUSA FGD'!$I$18</f>
        <v>0</v>
      </c>
      <c r="J255" s="390">
        <f>'TAMUSA FGD'!$J$18</f>
        <v>0</v>
      </c>
      <c r="K255" s="390">
        <f>'TAMUSA FGD'!$K$18</f>
        <v>0</v>
      </c>
      <c r="L255" s="390">
        <f>'TAMUSA FGD'!$L$18</f>
        <v>0</v>
      </c>
      <c r="M255" s="390">
        <f>'TAMUSA FGD'!$M$18</f>
        <v>24221161</v>
      </c>
      <c r="N255" s="401"/>
    </row>
    <row r="256" spans="1:14" s="171" customFormat="1" ht="12.75" hidden="1" customHeight="1" outlineLevel="1">
      <c r="A256" s="166"/>
      <c r="B256" s="674" t="str">
        <f>'TAMUT FGD'!$B$2</f>
        <v>Texas A&amp;M University - Texarkana</v>
      </c>
      <c r="C256" s="5"/>
      <c r="D256" s="390">
        <f>'TAMUT FGD'!$D$18</f>
        <v>7142334</v>
      </c>
      <c r="E256" s="390">
        <f>'TAMUT FGD'!$E$18</f>
        <v>7910668</v>
      </c>
      <c r="F256" s="390">
        <f>'TAMUT FGD'!$F$18</f>
        <v>0</v>
      </c>
      <c r="G256" s="390">
        <f>'TAMUT FGD'!$G$18</f>
        <v>0</v>
      </c>
      <c r="H256" s="390">
        <f>'TAMUT FGD'!$H$18</f>
        <v>0</v>
      </c>
      <c r="I256" s="390">
        <f>'TAMUT FGD'!$I$18</f>
        <v>0</v>
      </c>
      <c r="J256" s="390">
        <f>'TAMUT FGD'!$J$18</f>
        <v>0</v>
      </c>
      <c r="K256" s="390">
        <f>'TAMUT FGD'!$K$18</f>
        <v>0</v>
      </c>
      <c r="L256" s="390">
        <f>'TAMUT FGD'!$L$18</f>
        <v>0</v>
      </c>
      <c r="M256" s="390">
        <f>'TAMUT FGD'!$M$18</f>
        <v>15053002</v>
      </c>
      <c r="N256" s="401"/>
    </row>
    <row r="257" spans="1:14" s="171" customFormat="1" ht="12.75" hidden="1" customHeight="1" outlineLevel="1">
      <c r="A257" s="166"/>
      <c r="B257" s="674" t="str">
        <f>'TARLST FGD'!$B$2</f>
        <v>Tarleton State University</v>
      </c>
      <c r="C257" s="5"/>
      <c r="D257" s="390">
        <f>'TARLST FGD'!$D$18</f>
        <v>25074542</v>
      </c>
      <c r="E257" s="390">
        <f>'TARLST FGD'!$E$18</f>
        <v>54264209</v>
      </c>
      <c r="F257" s="390">
        <f>'TARLST FGD'!$F$18</f>
        <v>0</v>
      </c>
      <c r="G257" s="390">
        <f>'TARLST FGD'!$G$18</f>
        <v>0</v>
      </c>
      <c r="H257" s="390">
        <f>'TARLST FGD'!$H$18</f>
        <v>0</v>
      </c>
      <c r="I257" s="390">
        <f>'TARLST FGD'!$I$18</f>
        <v>0</v>
      </c>
      <c r="J257" s="390">
        <f>'TARLST FGD'!$J$18</f>
        <v>0</v>
      </c>
      <c r="K257" s="390">
        <f>'TARLST FGD'!$K$18</f>
        <v>0</v>
      </c>
      <c r="L257" s="390">
        <f>'TARLST FGD'!$L$18</f>
        <v>0</v>
      </c>
      <c r="M257" s="390">
        <f>'TARLST FGD'!$M$18</f>
        <v>79338751</v>
      </c>
      <c r="N257" s="401"/>
    </row>
    <row r="258" spans="1:14" s="171" customFormat="1" ht="12.75" hidden="1" customHeight="1" outlineLevel="1">
      <c r="A258" s="166"/>
      <c r="B258" s="674" t="str">
        <f>'TSU FGD'!$B$2</f>
        <v>Texas Southern University</v>
      </c>
      <c r="C258" s="5"/>
      <c r="D258" s="390">
        <f>'TSU FGD'!$D$18</f>
        <v>30505343</v>
      </c>
      <c r="E258" s="390">
        <f>'TSU FGD'!$E$18</f>
        <v>36354034</v>
      </c>
      <c r="F258" s="390">
        <f>'TSU FGD'!$F$18</f>
        <v>0</v>
      </c>
      <c r="G258" s="390">
        <f>'TSU FGD'!$G$18</f>
        <v>0</v>
      </c>
      <c r="H258" s="390">
        <f>'TSU FGD'!$H$18</f>
        <v>0</v>
      </c>
      <c r="I258" s="390">
        <f>'TSU FGD'!$I$18</f>
        <v>0</v>
      </c>
      <c r="J258" s="390">
        <f>'TSU FGD'!$J$18</f>
        <v>0</v>
      </c>
      <c r="K258" s="390">
        <f>'TSU FGD'!$K$18</f>
        <v>0</v>
      </c>
      <c r="L258" s="390">
        <f>'TSU FGD'!$L$18</f>
        <v>0</v>
      </c>
      <c r="M258" s="390">
        <f>'TSU FGD'!$M$18</f>
        <v>66859377</v>
      </c>
      <c r="N258" s="401"/>
    </row>
    <row r="259" spans="1:14" s="171" customFormat="1" ht="12.75" hidden="1" customHeight="1" outlineLevel="1">
      <c r="A259" s="166"/>
      <c r="B259" s="674" t="str">
        <f>'TTU FGD'!$B$2</f>
        <v>Texas Tech University</v>
      </c>
      <c r="C259" s="5"/>
      <c r="D259" s="390">
        <f>'TTU FGD'!$D$18</f>
        <v>107268518</v>
      </c>
      <c r="E259" s="390">
        <f>'TTU FGD'!$E$18</f>
        <v>259398922</v>
      </c>
      <c r="F259" s="390">
        <f>'TTU FGD'!$F$18</f>
        <v>0</v>
      </c>
      <c r="G259" s="390">
        <f>'TTU FGD'!$G$18</f>
        <v>0</v>
      </c>
      <c r="H259" s="390">
        <f>'TTU FGD'!$H$18</f>
        <v>0</v>
      </c>
      <c r="I259" s="390">
        <f>'TTU FGD'!$I$18</f>
        <v>0</v>
      </c>
      <c r="J259" s="390">
        <f>'TTU FGD'!$J$18</f>
        <v>0</v>
      </c>
      <c r="K259" s="390">
        <f>'TTU FGD'!$K$18</f>
        <v>0</v>
      </c>
      <c r="L259" s="390">
        <f>'TTU FGD'!$L$18</f>
        <v>0</v>
      </c>
      <c r="M259" s="390">
        <f>'TTU FGD'!$M$18</f>
        <v>366667440</v>
      </c>
      <c r="N259" s="401"/>
    </row>
    <row r="260" spans="1:14" s="171" customFormat="1" ht="12.75" hidden="1" customHeight="1" outlineLevel="1">
      <c r="A260" s="166"/>
      <c r="B260" s="674" t="str">
        <f>'TWU FGD'!$B$2</f>
        <v>Texas Woman's University</v>
      </c>
      <c r="C260" s="5"/>
      <c r="D260" s="390">
        <f>'TWU FGD'!$D$18</f>
        <v>38779077</v>
      </c>
      <c r="E260" s="390">
        <f>'TWU FGD'!$E$18</f>
        <v>85692866</v>
      </c>
      <c r="F260" s="390">
        <f>'TWU FGD'!$F$18</f>
        <v>0</v>
      </c>
      <c r="G260" s="390">
        <f>'TWU FGD'!$G$18</f>
        <v>0</v>
      </c>
      <c r="H260" s="390">
        <f>'TWU FGD'!$H$18</f>
        <v>0</v>
      </c>
      <c r="I260" s="390">
        <f>'TWU FGD'!$I$18</f>
        <v>0</v>
      </c>
      <c r="J260" s="390">
        <f>'TWU FGD'!$J$18</f>
        <v>0</v>
      </c>
      <c r="K260" s="390">
        <f>'TWU FGD'!$K$18</f>
        <v>0</v>
      </c>
      <c r="L260" s="390">
        <f>'TWU FGD'!$L$18</f>
        <v>0</v>
      </c>
      <c r="M260" s="390">
        <f>'TWU FGD'!$M$18</f>
        <v>124471943</v>
      </c>
      <c r="N260" s="401"/>
    </row>
    <row r="261" spans="1:14" s="171" customFormat="1" ht="12.75" hidden="1" customHeight="1" outlineLevel="1">
      <c r="A261" s="166"/>
      <c r="B261" s="674" t="str">
        <f>'TXST FGD'!$B$2</f>
        <v>Texas State University</v>
      </c>
      <c r="C261" s="5"/>
      <c r="D261" s="390">
        <f>'TXST FGD'!$D$18</f>
        <v>63271861</v>
      </c>
      <c r="E261" s="390">
        <f>'TXST FGD'!$E$18</f>
        <v>234730059</v>
      </c>
      <c r="F261" s="390">
        <f>'TXST FGD'!$F$18</f>
        <v>0</v>
      </c>
      <c r="G261" s="390">
        <f>'TXST FGD'!$G$18</f>
        <v>0</v>
      </c>
      <c r="H261" s="390">
        <f>'TXST FGD'!$H$18</f>
        <v>0</v>
      </c>
      <c r="I261" s="390">
        <f>'TXST FGD'!$I$18</f>
        <v>0</v>
      </c>
      <c r="J261" s="390">
        <f>'TXST FGD'!$J$18</f>
        <v>0</v>
      </c>
      <c r="K261" s="390">
        <f>'TXST FGD'!$K$18</f>
        <v>0</v>
      </c>
      <c r="L261" s="390">
        <f>'TXST FGD'!$L$18</f>
        <v>0</v>
      </c>
      <c r="M261" s="390">
        <f>'TXST FGD'!$M$18</f>
        <v>298001920</v>
      </c>
      <c r="N261" s="401"/>
    </row>
    <row r="262" spans="1:14" s="171" customFormat="1" ht="12.75" hidden="1" customHeight="1" outlineLevel="1">
      <c r="A262" s="166"/>
      <c r="B262" s="674" t="str">
        <f>'TYL FGD'!$B$2</f>
        <v>The University of Texas at Tyler</v>
      </c>
      <c r="C262" s="5"/>
      <c r="D262" s="390">
        <f>'TYL FGD'!$D$18</f>
        <v>15964812</v>
      </c>
      <c r="E262" s="390">
        <f>'TYL FGD'!$E$18</f>
        <v>50671735</v>
      </c>
      <c r="F262" s="390">
        <f>'TYL FGD'!$F$18</f>
        <v>0</v>
      </c>
      <c r="G262" s="390">
        <f>'TYL FGD'!$G$18</f>
        <v>0</v>
      </c>
      <c r="H262" s="390">
        <f>'TYL FGD'!$H$18</f>
        <v>0</v>
      </c>
      <c r="I262" s="390">
        <f>'TYL FGD'!$I$18</f>
        <v>0</v>
      </c>
      <c r="J262" s="390">
        <f>'TYL FGD'!$J$18</f>
        <v>0</v>
      </c>
      <c r="K262" s="390">
        <f>'TYL FGD'!$K$18</f>
        <v>0</v>
      </c>
      <c r="L262" s="390">
        <f>'TYL FGD'!$L$18</f>
        <v>0</v>
      </c>
      <c r="M262" s="390">
        <f>'TYL FGD'!$M$18</f>
        <v>66636547</v>
      </c>
      <c r="N262" s="401"/>
    </row>
    <row r="263" spans="1:14" s="171" customFormat="1" ht="12.75" hidden="1" customHeight="1" outlineLevel="1">
      <c r="A263" s="166"/>
      <c r="B263" s="674" t="str">
        <f>'UH1 FGD'!$B$2</f>
        <v>University of Houston - Academic &amp; Health (A+H)</v>
      </c>
      <c r="C263" s="5"/>
      <c r="D263" s="390">
        <f>'UH1 FGD'!$D$18</f>
        <v>111503467</v>
      </c>
      <c r="E263" s="390">
        <f>'UH1 FGD'!$E$18</f>
        <v>328197290</v>
      </c>
      <c r="F263" s="390">
        <f>'UH1 FGD'!$F$18</f>
        <v>0</v>
      </c>
      <c r="G263" s="390">
        <f>'UH1 FGD'!$G$18</f>
        <v>0</v>
      </c>
      <c r="H263" s="390">
        <f>'UH1 FGD'!$H$18</f>
        <v>0</v>
      </c>
      <c r="I263" s="390">
        <f>'UH1 FGD'!$I$18</f>
        <v>0</v>
      </c>
      <c r="J263" s="390">
        <f>'UH1 FGD'!$J$18</f>
        <v>0</v>
      </c>
      <c r="K263" s="390">
        <f>'UH1 FGD'!$K$18</f>
        <v>0</v>
      </c>
      <c r="L263" s="390">
        <f>'UH1 FGD'!$L$18</f>
        <v>0</v>
      </c>
      <c r="M263" s="390">
        <f>'UH1 FGD'!$M$18</f>
        <v>439700757</v>
      </c>
      <c r="N263" s="401"/>
    </row>
    <row r="264" spans="1:14" s="171" customFormat="1" ht="12.75" hidden="1" customHeight="1" outlineLevel="1">
      <c r="A264" s="166"/>
      <c r="B264" s="674" t="str">
        <f>'UHCL FGD'!$B$2</f>
        <v>University of Houston - Clear Lake</v>
      </c>
      <c r="C264" s="5"/>
      <c r="D264" s="390">
        <f>'UHCL FGD'!$D$18</f>
        <v>16444282</v>
      </c>
      <c r="E264" s="390">
        <f>'UHCL FGD'!$E$18</f>
        <v>46775012</v>
      </c>
      <c r="F264" s="390">
        <f>'UHCL FGD'!$F$18</f>
        <v>0</v>
      </c>
      <c r="G264" s="390">
        <f>'UHCL FGD'!$G$18</f>
        <v>0</v>
      </c>
      <c r="H264" s="390">
        <f>'UHCL FGD'!$H$18</f>
        <v>0</v>
      </c>
      <c r="I264" s="390">
        <f>'UHCL FGD'!$I$18</f>
        <v>0</v>
      </c>
      <c r="J264" s="390">
        <f>'UHCL FGD'!$J$18</f>
        <v>0</v>
      </c>
      <c r="K264" s="390">
        <f>'UHCL FGD'!$K$18</f>
        <v>0</v>
      </c>
      <c r="L264" s="390">
        <f>'UHCL FGD'!$L$18</f>
        <v>0</v>
      </c>
      <c r="M264" s="390">
        <f>'UHCL FGD'!$M$18</f>
        <v>63219294</v>
      </c>
      <c r="N264" s="401"/>
    </row>
    <row r="265" spans="1:14" s="171" customFormat="1" ht="12.75" hidden="1" customHeight="1" outlineLevel="1">
      <c r="A265" s="166"/>
      <c r="B265" s="674" t="str">
        <f>'UHD FGD'!$B$2</f>
        <v>University of Houston - Downtown</v>
      </c>
      <c r="C265" s="5"/>
      <c r="D265" s="390">
        <f>'UHD FGD'!$D$18</f>
        <v>23181529</v>
      </c>
      <c r="E265" s="390">
        <f>'UHD FGD'!$E$18</f>
        <v>68855000</v>
      </c>
      <c r="F265" s="390">
        <f>'UHD FGD'!$F$18</f>
        <v>0</v>
      </c>
      <c r="G265" s="390">
        <f>'UHD FGD'!$G$18</f>
        <v>0</v>
      </c>
      <c r="H265" s="390">
        <f>'UHD FGD'!$H$18</f>
        <v>0</v>
      </c>
      <c r="I265" s="390">
        <f>'UHD FGD'!$I$18</f>
        <v>0</v>
      </c>
      <c r="J265" s="390">
        <f>'UHD FGD'!$J$18</f>
        <v>0</v>
      </c>
      <c r="K265" s="390">
        <f>'UHD FGD'!$K$18</f>
        <v>0</v>
      </c>
      <c r="L265" s="390">
        <f>'UHD FGD'!$L$18</f>
        <v>0</v>
      </c>
      <c r="M265" s="390">
        <f>'UHD FGD'!$M$18</f>
        <v>92036529</v>
      </c>
      <c r="N265" s="401"/>
    </row>
    <row r="266" spans="1:14" s="171" customFormat="1" ht="12.75" hidden="1" customHeight="1" outlineLevel="1">
      <c r="A266" s="166"/>
      <c r="B266" s="674" t="str">
        <f>'UHV FGD'!$B$2</f>
        <v>University of Houston - Victoria</v>
      </c>
      <c r="C266" s="5"/>
      <c r="D266" s="390">
        <f>'UHV FGD'!$D$18</f>
        <v>7370478</v>
      </c>
      <c r="E266" s="390">
        <f>'UHV FGD'!$E$18</f>
        <v>18327485</v>
      </c>
      <c r="F266" s="390">
        <f>'UHV FGD'!$F$18</f>
        <v>0</v>
      </c>
      <c r="G266" s="390">
        <f>'UHV FGD'!$G$18</f>
        <v>0</v>
      </c>
      <c r="H266" s="390">
        <f>'UHV FGD'!$H$18</f>
        <v>0</v>
      </c>
      <c r="I266" s="390">
        <f>'UHV FGD'!$I$18</f>
        <v>0</v>
      </c>
      <c r="J266" s="390">
        <f>'UHV FGD'!$J$18</f>
        <v>0</v>
      </c>
      <c r="K266" s="390">
        <f>'UHV FGD'!$K$18</f>
        <v>0</v>
      </c>
      <c r="L266" s="390">
        <f>'UHV FGD'!$L$18</f>
        <v>0</v>
      </c>
      <c r="M266" s="390">
        <f>'UHV FGD'!$M$18</f>
        <v>25697963</v>
      </c>
      <c r="N266" s="401"/>
    </row>
    <row r="267" spans="1:14" s="171" customFormat="1" ht="12.75" hidden="1" customHeight="1" outlineLevel="1">
      <c r="A267" s="166"/>
      <c r="B267" s="674" t="str">
        <f>'UNT FGD'!$B$2</f>
        <v>University of North Texas</v>
      </c>
      <c r="C267" s="5"/>
      <c r="D267" s="390">
        <f>'UNT FGD'!$D$18</f>
        <v>107054119</v>
      </c>
      <c r="E267" s="390">
        <f>'UNT FGD'!$E$18</f>
        <v>291040051</v>
      </c>
      <c r="F267" s="390">
        <f>'UNT FGD'!$F$18</f>
        <v>0</v>
      </c>
      <c r="G267" s="390">
        <f>'UNT FGD'!$G$18</f>
        <v>0</v>
      </c>
      <c r="H267" s="390">
        <f>'UNT FGD'!$H$18</f>
        <v>0</v>
      </c>
      <c r="I267" s="390">
        <f>'UNT FGD'!$I$18</f>
        <v>0</v>
      </c>
      <c r="J267" s="390">
        <f>'UNT FGD'!$J$18</f>
        <v>0</v>
      </c>
      <c r="K267" s="390">
        <f>'UNT FGD'!$K$18</f>
        <v>0</v>
      </c>
      <c r="L267" s="390">
        <f>'UNT FGD'!$L$18</f>
        <v>0</v>
      </c>
      <c r="M267" s="390">
        <f>'UNT FGD'!$M$18</f>
        <v>398094170</v>
      </c>
      <c r="N267" s="401"/>
    </row>
    <row r="268" spans="1:14" s="171" customFormat="1" ht="12.75" hidden="1" customHeight="1" outlineLevel="1">
      <c r="A268" s="166"/>
      <c r="B268" s="674" t="str">
        <f>'UNTD FGD'!$B$2</f>
        <v>University of North Texas at Dallas</v>
      </c>
      <c r="C268" s="5"/>
      <c r="D268" s="390">
        <f>'UNTD FGD'!$D$18</f>
        <v>9210927</v>
      </c>
      <c r="E268" s="390">
        <f>'UNTD FGD'!$E$18</f>
        <v>23733463</v>
      </c>
      <c r="F268" s="390">
        <f>'UNTD FGD'!$F$18</f>
        <v>0</v>
      </c>
      <c r="G268" s="390">
        <f>'UNTD FGD'!$G$18</f>
        <v>0</v>
      </c>
      <c r="H268" s="390">
        <f>'UNTD FGD'!$H$18</f>
        <v>0</v>
      </c>
      <c r="I268" s="390">
        <f>'UNTD FGD'!$I$18</f>
        <v>0</v>
      </c>
      <c r="J268" s="390">
        <f>'UNTD FGD'!$J$18</f>
        <v>0</v>
      </c>
      <c r="K268" s="390">
        <f>'UNTD FGD'!$K$18</f>
        <v>0</v>
      </c>
      <c r="L268" s="390">
        <f>'UNTD FGD'!$L$18</f>
        <v>0</v>
      </c>
      <c r="M268" s="390">
        <f>'UNTD FGD'!$M$18</f>
        <v>32944390</v>
      </c>
      <c r="N268" s="401"/>
    </row>
    <row r="269" spans="1:14" s="171" customFormat="1" ht="12.75" hidden="1" customHeight="1" outlineLevel="1">
      <c r="A269" s="166"/>
      <c r="B269" s="674" t="str">
        <f>'WTAMU FGD'!$B$2</f>
        <v>West Texas A&amp;M University</v>
      </c>
      <c r="C269" s="5"/>
      <c r="D269" s="390">
        <f>'WTAMU FGD'!$D$18</f>
        <v>28918362</v>
      </c>
      <c r="E269" s="390">
        <f>'WTAMU FGD'!$E$18</f>
        <v>41773343</v>
      </c>
      <c r="F269" s="390">
        <f>'WTAMU FGD'!$F$18</f>
        <v>0</v>
      </c>
      <c r="G269" s="390">
        <f>'WTAMU FGD'!$G$18</f>
        <v>0</v>
      </c>
      <c r="H269" s="390">
        <f>'WTAMU FGD'!$H$18</f>
        <v>0</v>
      </c>
      <c r="I269" s="390">
        <f>'WTAMU FGD'!$I$18</f>
        <v>0</v>
      </c>
      <c r="J269" s="390">
        <f>'WTAMU FGD'!$J$18</f>
        <v>0</v>
      </c>
      <c r="K269" s="390">
        <f>'WTAMU FGD'!$K$18</f>
        <v>0</v>
      </c>
      <c r="L269" s="390">
        <f>'WTAMU FGD'!$L$18</f>
        <v>0</v>
      </c>
      <c r="M269" s="390">
        <f>'WTAMU FGD'!$M$18</f>
        <v>70691705</v>
      </c>
      <c r="N269" s="401"/>
    </row>
    <row r="270" spans="1:14" s="171" customFormat="1" collapsed="1">
      <c r="A270" s="166"/>
      <c r="B270" s="558" t="s">
        <v>1042</v>
      </c>
      <c r="C270" s="558"/>
      <c r="D270" s="581">
        <f t="shared" ref="D270:M270" si="6">SUM(D234:D269)</f>
        <v>1529151060</v>
      </c>
      <c r="E270" s="581">
        <f t="shared" si="6"/>
        <v>4071191523</v>
      </c>
      <c r="F270" s="581">
        <f t="shared" si="6"/>
        <v>0</v>
      </c>
      <c r="G270" s="581">
        <f t="shared" si="6"/>
        <v>-3218960</v>
      </c>
      <c r="H270" s="581">
        <f t="shared" si="6"/>
        <v>0</v>
      </c>
      <c r="I270" s="581">
        <f t="shared" si="6"/>
        <v>0</v>
      </c>
      <c r="J270" s="581">
        <f t="shared" si="6"/>
        <v>0</v>
      </c>
      <c r="K270" s="581">
        <f t="shared" si="6"/>
        <v>0</v>
      </c>
      <c r="L270" s="581">
        <f t="shared" si="6"/>
        <v>0</v>
      </c>
      <c r="M270" s="581">
        <f t="shared" si="6"/>
        <v>5597123623</v>
      </c>
      <c r="N270" s="401"/>
    </row>
    <row r="271" spans="1:14" s="171" customFormat="1" ht="12.75" hidden="1" customHeight="1" outlineLevel="1">
      <c r="A271" s="166"/>
      <c r="B271" s="675" t="str">
        <f>'ARL FGD'!$B$2</f>
        <v>The University of Texas at Arlington</v>
      </c>
      <c r="C271" s="584"/>
      <c r="D271" s="397">
        <f>'ARL FGD'!$D$19</f>
        <v>-23766991</v>
      </c>
      <c r="E271" s="397">
        <f>'ARL FGD'!$E$19</f>
        <v>-4291292</v>
      </c>
      <c r="F271" s="397">
        <f>'ARL FGD'!$F$19</f>
        <v>0</v>
      </c>
      <c r="G271" s="397">
        <f>'ARL FGD'!$G$19</f>
        <v>0</v>
      </c>
      <c r="H271" s="397">
        <f>'ARL FGD'!$H$19</f>
        <v>0</v>
      </c>
      <c r="I271" s="397">
        <f>'ARL FGD'!$I$19</f>
        <v>0</v>
      </c>
      <c r="J271" s="397">
        <f>'ARL FGD'!$J$19</f>
        <v>0</v>
      </c>
      <c r="K271" s="397">
        <f>'ARL FGD'!$K$19</f>
        <v>0</v>
      </c>
      <c r="L271" s="397">
        <f>'ARL FGD'!$L$19</f>
        <v>0</v>
      </c>
      <c r="M271" s="397">
        <f>'ARL FGD'!$M$19</f>
        <v>-28058283</v>
      </c>
      <c r="N271" s="401"/>
    </row>
    <row r="272" spans="1:14" s="171" customFormat="1" ht="12.75" hidden="1" customHeight="1" outlineLevel="1">
      <c r="A272" s="166"/>
      <c r="B272" s="675" t="str">
        <f>'ASU FGD'!$B$2</f>
        <v>Angelo State University</v>
      </c>
      <c r="C272" s="584"/>
      <c r="D272" s="397">
        <f>'ASU FGD'!$D$19</f>
        <v>-3874804</v>
      </c>
      <c r="E272" s="397">
        <f>'ASU FGD'!$E$19</f>
        <v>0</v>
      </c>
      <c r="F272" s="397">
        <f>'ASU FGD'!$F$19</f>
        <v>0</v>
      </c>
      <c r="G272" s="397">
        <f>'ASU FGD'!$G$19</f>
        <v>0</v>
      </c>
      <c r="H272" s="397">
        <f>'ASU FGD'!$H$19</f>
        <v>0</v>
      </c>
      <c r="I272" s="397">
        <f>'ASU FGD'!$I$19</f>
        <v>0</v>
      </c>
      <c r="J272" s="397">
        <f>'ASU FGD'!$J$19</f>
        <v>0</v>
      </c>
      <c r="K272" s="397">
        <f>'ASU FGD'!$K$19</f>
        <v>0</v>
      </c>
      <c r="L272" s="397">
        <f>'ASU FGD'!$L$19</f>
        <v>0</v>
      </c>
      <c r="M272" s="397">
        <f>'ASU FGD'!$M$19</f>
        <v>-3874804</v>
      </c>
      <c r="N272" s="401"/>
    </row>
    <row r="273" spans="1:14" s="171" customFormat="1" ht="12.75" hidden="1" customHeight="1" outlineLevel="1">
      <c r="A273" s="166"/>
      <c r="B273" s="675" t="str">
        <f>'AUS1 FGD'!$B$2</f>
        <v>The University of Texas at Austin - Academic &amp; Health (A+H)</v>
      </c>
      <c r="C273" s="584"/>
      <c r="D273" s="397">
        <f>'AUS1 FGD'!$D$19</f>
        <v>-47589478</v>
      </c>
      <c r="E273" s="397">
        <f>'AUS1 FGD'!$E$19</f>
        <v>-14919675</v>
      </c>
      <c r="F273" s="397">
        <f>'AUS1 FGD'!$F$19</f>
        <v>0</v>
      </c>
      <c r="G273" s="397">
        <f>'AUS1 FGD'!$G$19</f>
        <v>0</v>
      </c>
      <c r="H273" s="397">
        <f>'AUS1 FGD'!$H$19</f>
        <v>0</v>
      </c>
      <c r="I273" s="397">
        <f>'AUS1 FGD'!$I$19</f>
        <v>0</v>
      </c>
      <c r="J273" s="397">
        <f>'AUS1 FGD'!$J$19</f>
        <v>0</v>
      </c>
      <c r="K273" s="397">
        <f>'AUS1 FGD'!$K$19</f>
        <v>0</v>
      </c>
      <c r="L273" s="397">
        <f>'AUS1 FGD'!$L$19</f>
        <v>0</v>
      </c>
      <c r="M273" s="397">
        <f>'AUS1 FGD'!$M$19</f>
        <v>-62509153</v>
      </c>
      <c r="N273" s="401"/>
    </row>
    <row r="274" spans="1:14" s="171" customFormat="1" ht="12.75" hidden="1" customHeight="1" outlineLevel="1">
      <c r="A274" s="166"/>
      <c r="B274" s="675" t="str">
        <f>'RGV1 FGD'!$B$2</f>
        <v>The University of Texas RGV - Academic &amp; Health (A+H)</v>
      </c>
      <c r="C274" s="584"/>
      <c r="D274" s="397">
        <f>'RGV1 FGD'!$D$19</f>
        <v>-7967341</v>
      </c>
      <c r="E274" s="397">
        <f>'RGV1 FGD'!$E$19</f>
        <v>0</v>
      </c>
      <c r="F274" s="397">
        <f>'RGV1 FGD'!$F$19</f>
        <v>0</v>
      </c>
      <c r="G274" s="397">
        <f>'RGV1 FGD'!$G$19</f>
        <v>0</v>
      </c>
      <c r="H274" s="397">
        <f>'RGV1 FGD'!$H$19</f>
        <v>0</v>
      </c>
      <c r="I274" s="397">
        <f>'RGV1 FGD'!$I$19</f>
        <v>0</v>
      </c>
      <c r="J274" s="397">
        <f>'RGV1 FGD'!$J$19</f>
        <v>0</v>
      </c>
      <c r="K274" s="397">
        <f>'RGV1 FGD'!$K$19</f>
        <v>0</v>
      </c>
      <c r="L274" s="397">
        <f>'RGV1 FGD'!$L$19</f>
        <v>0</v>
      </c>
      <c r="M274" s="397">
        <f>'RGV1 FGD'!$M$19</f>
        <v>-7967341</v>
      </c>
      <c r="N274" s="401"/>
    </row>
    <row r="275" spans="1:14" s="171" customFormat="1" ht="12.75" hidden="1" customHeight="1" outlineLevel="1">
      <c r="A275" s="166"/>
      <c r="B275" s="675" t="str">
        <f>'DAL FGD'!$B$2</f>
        <v>The University of Texas at Dallas</v>
      </c>
      <c r="C275" s="584"/>
      <c r="D275" s="397">
        <f>'DAL FGD'!$D$19</f>
        <v>-23425097</v>
      </c>
      <c r="E275" s="397">
        <f>'DAL FGD'!$E$19</f>
        <v>-20731031</v>
      </c>
      <c r="F275" s="397">
        <f>'DAL FGD'!$F$19</f>
        <v>0</v>
      </c>
      <c r="G275" s="397">
        <f>'DAL FGD'!$G$19</f>
        <v>0</v>
      </c>
      <c r="H275" s="397">
        <f>'DAL FGD'!$H$19</f>
        <v>0</v>
      </c>
      <c r="I275" s="397">
        <f>'DAL FGD'!$I$19</f>
        <v>0</v>
      </c>
      <c r="J275" s="397">
        <f>'DAL FGD'!$J$19</f>
        <v>0</v>
      </c>
      <c r="K275" s="397">
        <f>'DAL FGD'!$K$19</f>
        <v>0</v>
      </c>
      <c r="L275" s="397">
        <f>'DAL FGD'!$L$19</f>
        <v>0</v>
      </c>
      <c r="M275" s="397">
        <f>'DAL FGD'!$M$19</f>
        <v>-44156128</v>
      </c>
      <c r="N275" s="401"/>
    </row>
    <row r="276" spans="1:14" s="171" customFormat="1" ht="12.75" hidden="1" customHeight="1" outlineLevel="1">
      <c r="A276" s="166"/>
      <c r="B276" s="675" t="str">
        <f>'E-P FGD'!$B$2</f>
        <v>The University of Texas at El Paso</v>
      </c>
      <c r="C276" s="584"/>
      <c r="D276" s="397">
        <f>'E-P FGD'!$D$19</f>
        <v>-20405045</v>
      </c>
      <c r="E276" s="397">
        <f>'E-P FGD'!$E$19</f>
        <v>-18272</v>
      </c>
      <c r="F276" s="397">
        <f>'E-P FGD'!$F$19</f>
        <v>0</v>
      </c>
      <c r="G276" s="397">
        <f>'E-P FGD'!$G$19</f>
        <v>0</v>
      </c>
      <c r="H276" s="397">
        <f>'E-P FGD'!$H$19</f>
        <v>0</v>
      </c>
      <c r="I276" s="397">
        <f>'E-P FGD'!$I$19</f>
        <v>0</v>
      </c>
      <c r="J276" s="397">
        <f>'E-P FGD'!$J$19</f>
        <v>0</v>
      </c>
      <c r="K276" s="397">
        <f>'E-P FGD'!$K$19</f>
        <v>0</v>
      </c>
      <c r="L276" s="397">
        <f>'E-P FGD'!$L$19</f>
        <v>0</v>
      </c>
      <c r="M276" s="397">
        <f>'E-P FGD'!$M$19</f>
        <v>-20423317</v>
      </c>
      <c r="N276" s="401"/>
    </row>
    <row r="277" spans="1:14" s="171" customFormat="1" ht="12.75" hidden="1" customHeight="1" outlineLevel="1">
      <c r="A277" s="166"/>
      <c r="B277" s="675" t="str">
        <f>'LU FGD'!$B$2</f>
        <v xml:space="preserve">Lamar University </v>
      </c>
      <c r="C277" s="584"/>
      <c r="D277" s="397">
        <f>'LU FGD'!$D$19</f>
        <v>-4406982</v>
      </c>
      <c r="E277" s="397">
        <f>'LU FGD'!$E$19</f>
        <v>0</v>
      </c>
      <c r="F277" s="397">
        <f>'LU FGD'!$F$19</f>
        <v>0</v>
      </c>
      <c r="G277" s="397">
        <f>'LU FGD'!$G$19</f>
        <v>0</v>
      </c>
      <c r="H277" s="397">
        <f>'LU FGD'!$H$19</f>
        <v>0</v>
      </c>
      <c r="I277" s="397">
        <f>'LU FGD'!$I$19</f>
        <v>0</v>
      </c>
      <c r="J277" s="397">
        <f>'LU FGD'!$J$19</f>
        <v>0</v>
      </c>
      <c r="K277" s="397">
        <f>'LU FGD'!$K$19</f>
        <v>0</v>
      </c>
      <c r="L277" s="397">
        <f>'LU FGD'!$L$19</f>
        <v>0</v>
      </c>
      <c r="M277" s="397">
        <f>'LU FGD'!$M$19</f>
        <v>-4406982</v>
      </c>
      <c r="N277" s="401"/>
    </row>
    <row r="278" spans="1:14" s="171" customFormat="1" ht="12.75" hidden="1" customHeight="1" outlineLevel="1">
      <c r="A278" s="166"/>
      <c r="B278" s="675" t="str">
        <f>'MidWST FGD'!$B$2</f>
        <v>Midwestern State University</v>
      </c>
      <c r="C278" s="584"/>
      <c r="D278" s="397">
        <f>'MidWST FGD'!$D$19</f>
        <v>-3442502</v>
      </c>
      <c r="E278" s="397">
        <f>'MidWST FGD'!$E$19</f>
        <v>0</v>
      </c>
      <c r="F278" s="397">
        <f>'MidWST FGD'!$F$19</f>
        <v>0</v>
      </c>
      <c r="G278" s="397">
        <f>'MidWST FGD'!$G$19</f>
        <v>0</v>
      </c>
      <c r="H278" s="397">
        <f>'MidWST FGD'!$H$19</f>
        <v>0</v>
      </c>
      <c r="I278" s="397">
        <f>'MidWST FGD'!$I$19</f>
        <v>0</v>
      </c>
      <c r="J278" s="397">
        <f>'MidWST FGD'!$J$19</f>
        <v>0</v>
      </c>
      <c r="K278" s="397">
        <f>'MidWST FGD'!$K$19</f>
        <v>0</v>
      </c>
      <c r="L278" s="397">
        <f>'MidWST FGD'!$L$19</f>
        <v>0</v>
      </c>
      <c r="M278" s="397">
        <f>'MidWST FGD'!$M$19</f>
        <v>-3442502</v>
      </c>
      <c r="N278" s="401"/>
    </row>
    <row r="279" spans="1:14" s="171" customFormat="1" ht="12.75" hidden="1" customHeight="1" outlineLevel="1">
      <c r="A279" s="166"/>
      <c r="B279" s="675" t="str">
        <f>'P-B FGD'!$B$2</f>
        <v>The University of Texas of the Permian Basin</v>
      </c>
      <c r="C279" s="584"/>
      <c r="D279" s="397">
        <f>'P-B FGD'!$D$19</f>
        <v>-1862320</v>
      </c>
      <c r="E279" s="397">
        <f>'P-B FGD'!$E$19</f>
        <v>-24942</v>
      </c>
      <c r="F279" s="397">
        <f>'P-B FGD'!$F$19</f>
        <v>0</v>
      </c>
      <c r="G279" s="397">
        <f>'P-B FGD'!$G$19</f>
        <v>0</v>
      </c>
      <c r="H279" s="397">
        <f>'P-B FGD'!$H$19</f>
        <v>0</v>
      </c>
      <c r="I279" s="397">
        <f>'P-B FGD'!$I$19</f>
        <v>0</v>
      </c>
      <c r="J279" s="397">
        <f>'P-B FGD'!$J$19</f>
        <v>0</v>
      </c>
      <c r="K279" s="397">
        <f>'P-B FGD'!$K$19</f>
        <v>0</v>
      </c>
      <c r="L279" s="397">
        <f>'P-B FGD'!$L$19</f>
        <v>0</v>
      </c>
      <c r="M279" s="397">
        <f>'P-B FGD'!$M$19</f>
        <v>-1887262</v>
      </c>
      <c r="N279" s="401"/>
    </row>
    <row r="280" spans="1:14" s="171" customFormat="1" ht="12.75" hidden="1" customHeight="1" outlineLevel="1">
      <c r="A280" s="166"/>
      <c r="B280" s="675" t="str">
        <f>'PVAMU FGD'!$B$2</f>
        <v>Prairie View A&amp;M University</v>
      </c>
      <c r="C280" s="584"/>
      <c r="D280" s="397">
        <f>'PVAMU FGD'!$D$19</f>
        <v>-6328824</v>
      </c>
      <c r="E280" s="397">
        <f>'PVAMU FGD'!$E$19</f>
        <v>0</v>
      </c>
      <c r="F280" s="397">
        <f>'PVAMU FGD'!$F$19</f>
        <v>0</v>
      </c>
      <c r="G280" s="397">
        <f>'PVAMU FGD'!$G$19</f>
        <v>0</v>
      </c>
      <c r="H280" s="397">
        <f>'PVAMU FGD'!$H$19</f>
        <v>0</v>
      </c>
      <c r="I280" s="397">
        <f>'PVAMU FGD'!$I$19</f>
        <v>0</v>
      </c>
      <c r="J280" s="397">
        <f>'PVAMU FGD'!$J$19</f>
        <v>0</v>
      </c>
      <c r="K280" s="397">
        <f>'PVAMU FGD'!$K$19</f>
        <v>0</v>
      </c>
      <c r="L280" s="397">
        <f>'PVAMU FGD'!$L$19</f>
        <v>0</v>
      </c>
      <c r="M280" s="397">
        <f>'PVAMU FGD'!$M$19</f>
        <v>-6328824</v>
      </c>
      <c r="N280" s="401"/>
    </row>
    <row r="281" spans="1:14" s="171" customFormat="1" ht="12.75" hidden="1" customHeight="1" outlineLevel="1">
      <c r="A281" s="166"/>
      <c r="B281" s="675" t="str">
        <f>'S-A FGD'!$B$2</f>
        <v>The University of Texas at San Antonio</v>
      </c>
      <c r="C281" s="584"/>
      <c r="D281" s="397">
        <f>'S-A FGD'!$D$19</f>
        <v>-11667359</v>
      </c>
      <c r="E281" s="397">
        <f>'S-A FGD'!$E$19</f>
        <v>0</v>
      </c>
      <c r="F281" s="397">
        <f>'S-A FGD'!$F$19</f>
        <v>0</v>
      </c>
      <c r="G281" s="397">
        <f>'S-A FGD'!$G$19</f>
        <v>0</v>
      </c>
      <c r="H281" s="397">
        <f>'S-A FGD'!$H$19</f>
        <v>0</v>
      </c>
      <c r="I281" s="397">
        <f>'S-A FGD'!$I$19</f>
        <v>0</v>
      </c>
      <c r="J281" s="397">
        <f>'S-A FGD'!$J$19</f>
        <v>0</v>
      </c>
      <c r="K281" s="397">
        <f>'S-A FGD'!$K$19</f>
        <v>0</v>
      </c>
      <c r="L281" s="397">
        <f>'S-A FGD'!$L$19</f>
        <v>0</v>
      </c>
      <c r="M281" s="397">
        <f>'S-A FGD'!$M$19</f>
        <v>-11667359</v>
      </c>
      <c r="N281" s="401"/>
    </row>
    <row r="282" spans="1:14" s="171" customFormat="1" ht="12.75" hidden="1" customHeight="1" outlineLevel="1">
      <c r="A282" s="166"/>
      <c r="B282" s="675" t="str">
        <f>'SFA FGD'!$B$2</f>
        <v>Stephen F. Austin State University</v>
      </c>
      <c r="C282" s="584"/>
      <c r="D282" s="397">
        <f>'SFA FGD'!$D$19</f>
        <v>-290751</v>
      </c>
      <c r="E282" s="397">
        <f>'SFA FGD'!$E$19</f>
        <v>-39150</v>
      </c>
      <c r="F282" s="397">
        <f>'SFA FGD'!$F$19</f>
        <v>0</v>
      </c>
      <c r="G282" s="397">
        <f>'SFA FGD'!$G$19</f>
        <v>0</v>
      </c>
      <c r="H282" s="397">
        <f>'SFA FGD'!$H$19</f>
        <v>0</v>
      </c>
      <c r="I282" s="397">
        <f>'SFA FGD'!$I$19</f>
        <v>0</v>
      </c>
      <c r="J282" s="397">
        <f>'SFA FGD'!$J$19</f>
        <v>0</v>
      </c>
      <c r="K282" s="397">
        <f>'SFA FGD'!$K$19</f>
        <v>0</v>
      </c>
      <c r="L282" s="397">
        <f>'SFA FGD'!$L$19</f>
        <v>0</v>
      </c>
      <c r="M282" s="397">
        <f>'SFA FGD'!$M$19</f>
        <v>-329901</v>
      </c>
      <c r="N282" s="401"/>
    </row>
    <row r="283" spans="1:14" s="171" customFormat="1" ht="12.75" hidden="1" customHeight="1" outlineLevel="1">
      <c r="A283" s="166"/>
      <c r="B283" s="675" t="str">
        <f>'shsu1 FGD'!$B$2</f>
        <v>Sam Houston State University - Academic &amp; Health (A+H)</v>
      </c>
      <c r="C283" s="584"/>
      <c r="D283" s="397">
        <f>'shsu1 FGD'!$D$19</f>
        <v>0</v>
      </c>
      <c r="E283" s="397">
        <f>'shsu1 FGD'!$E$19</f>
        <v>0</v>
      </c>
      <c r="F283" s="397">
        <f>'shsu1 FGD'!$F$19</f>
        <v>0</v>
      </c>
      <c r="G283" s="397">
        <f>'shsu1 FGD'!$G$19</f>
        <v>0</v>
      </c>
      <c r="H283" s="397">
        <f>'shsu1 FGD'!$H$19</f>
        <v>0</v>
      </c>
      <c r="I283" s="397">
        <f>'shsu1 FGD'!$I$19</f>
        <v>0</v>
      </c>
      <c r="J283" s="397">
        <f>'shsu1 FGD'!$J$19</f>
        <v>0</v>
      </c>
      <c r="K283" s="397">
        <f>'shsu1 FGD'!$K$19</f>
        <v>0</v>
      </c>
      <c r="L283" s="397">
        <f>'shsu1 FGD'!$L$19</f>
        <v>0</v>
      </c>
      <c r="M283" s="397">
        <f>'shsu1 FGD'!$M$19</f>
        <v>0</v>
      </c>
      <c r="N283" s="401"/>
    </row>
    <row r="284" spans="1:14" s="171" customFormat="1" ht="12.75" hidden="1" customHeight="1" outlineLevel="1">
      <c r="A284" s="166"/>
      <c r="B284" s="675" t="str">
        <f>'SRSU FGD'!$B$2</f>
        <v>Sul Ross State University</v>
      </c>
      <c r="C284" s="584"/>
      <c r="D284" s="397">
        <f>'SRSU FGD'!$D$19</f>
        <v>0</v>
      </c>
      <c r="E284" s="397">
        <f>'SRSU FGD'!$E$19</f>
        <v>0</v>
      </c>
      <c r="F284" s="397">
        <f>'SRSU FGD'!$F$19</f>
        <v>0</v>
      </c>
      <c r="G284" s="397">
        <f>'SRSU FGD'!$G$19</f>
        <v>0</v>
      </c>
      <c r="H284" s="397">
        <f>'SRSU FGD'!$H$19</f>
        <v>0</v>
      </c>
      <c r="I284" s="397">
        <f>'SRSU FGD'!$I$19</f>
        <v>0</v>
      </c>
      <c r="J284" s="397">
        <f>'SRSU FGD'!$J$19</f>
        <v>0</v>
      </c>
      <c r="K284" s="397">
        <f>'SRSU FGD'!$K$19</f>
        <v>0</v>
      </c>
      <c r="L284" s="397">
        <f>'SRSU FGD'!$L$19</f>
        <v>0</v>
      </c>
      <c r="M284" s="397">
        <f>'SRSU FGD'!$M$19</f>
        <v>0</v>
      </c>
      <c r="N284" s="401"/>
    </row>
    <row r="285" spans="1:14" s="171" customFormat="1" ht="12.75" hidden="1" customHeight="1" outlineLevel="1">
      <c r="A285" s="166"/>
      <c r="B285" s="675" t="str">
        <f>'TAMIU FGD'!$B$2</f>
        <v>Texas A&amp;M International University</v>
      </c>
      <c r="C285" s="584"/>
      <c r="D285" s="397">
        <f>'TAMIU FGD'!$D$19</f>
        <v>-2218786</v>
      </c>
      <c r="E285" s="397">
        <f>'TAMIU FGD'!$E$19</f>
        <v>-18656</v>
      </c>
      <c r="F285" s="397">
        <f>'TAMIU FGD'!$F$19</f>
        <v>0</v>
      </c>
      <c r="G285" s="397">
        <f>'TAMIU FGD'!$G$19</f>
        <v>0</v>
      </c>
      <c r="H285" s="397">
        <f>'TAMIU FGD'!$H$19</f>
        <v>0</v>
      </c>
      <c r="I285" s="397">
        <f>'TAMIU FGD'!$I$19</f>
        <v>0</v>
      </c>
      <c r="J285" s="397">
        <f>'TAMIU FGD'!$J$19</f>
        <v>0</v>
      </c>
      <c r="K285" s="397">
        <f>'TAMIU FGD'!$K$19</f>
        <v>0</v>
      </c>
      <c r="L285" s="397">
        <f>'TAMIU FGD'!$L$19</f>
        <v>0</v>
      </c>
      <c r="M285" s="397">
        <f>'TAMIU FGD'!$M$19</f>
        <v>-2237442</v>
      </c>
      <c r="N285" s="401"/>
    </row>
    <row r="286" spans="1:14" s="171" customFormat="1" ht="12.75" hidden="1" customHeight="1" outlineLevel="1">
      <c r="A286" s="166"/>
      <c r="B286" s="675" t="str">
        <f>'TAMU FGD'!$B$2</f>
        <v>Texas A&amp;M University</v>
      </c>
      <c r="C286" s="584"/>
      <c r="D286" s="397">
        <f>'TAMU FGD'!$D$19</f>
        <v>-50160841</v>
      </c>
      <c r="E286" s="397">
        <f>'TAMU FGD'!$E$19</f>
        <v>-24505166</v>
      </c>
      <c r="F286" s="397">
        <f>'TAMU FGD'!$F$19</f>
        <v>0</v>
      </c>
      <c r="G286" s="397">
        <f>'TAMU FGD'!$G$19</f>
        <v>0</v>
      </c>
      <c r="H286" s="397">
        <f>'TAMU FGD'!$H$19</f>
        <v>0</v>
      </c>
      <c r="I286" s="397">
        <f>'TAMU FGD'!$I$19</f>
        <v>0</v>
      </c>
      <c r="J286" s="397">
        <f>'TAMU FGD'!$J$19</f>
        <v>0</v>
      </c>
      <c r="K286" s="397">
        <f>'TAMU FGD'!$K$19</f>
        <v>0</v>
      </c>
      <c r="L286" s="397">
        <f>'TAMU FGD'!$L$19</f>
        <v>0</v>
      </c>
      <c r="M286" s="397">
        <f>'TAMU FGD'!$M$19</f>
        <v>-74666007</v>
      </c>
      <c r="N286" s="401"/>
    </row>
    <row r="287" spans="1:14" s="171" customFormat="1" ht="12.75" hidden="1" customHeight="1" outlineLevel="1">
      <c r="A287" s="166"/>
      <c r="B287" s="675" t="str">
        <f>'TAMUC FGD'!$B$2</f>
        <v>Texas A&amp;M University - Commerce</v>
      </c>
      <c r="C287" s="584"/>
      <c r="D287" s="397">
        <f>'TAMUC FGD'!$D$19</f>
        <v>-1809864</v>
      </c>
      <c r="E287" s="397">
        <f>'TAMUC FGD'!$E$19</f>
        <v>0</v>
      </c>
      <c r="F287" s="397">
        <f>'TAMUC FGD'!$F$19</f>
        <v>0</v>
      </c>
      <c r="G287" s="397">
        <f>'TAMUC FGD'!$G$19</f>
        <v>0</v>
      </c>
      <c r="H287" s="397">
        <f>'TAMUC FGD'!$H$19</f>
        <v>0</v>
      </c>
      <c r="I287" s="397">
        <f>'TAMUC FGD'!$I$19</f>
        <v>0</v>
      </c>
      <c r="J287" s="397">
        <f>'TAMUC FGD'!$J$19</f>
        <v>0</v>
      </c>
      <c r="K287" s="397">
        <f>'TAMUC FGD'!$K$19</f>
        <v>0</v>
      </c>
      <c r="L287" s="397">
        <f>'TAMUC FGD'!$L$19</f>
        <v>0</v>
      </c>
      <c r="M287" s="397">
        <f>'TAMUC FGD'!$M$19</f>
        <v>-1809864</v>
      </c>
      <c r="N287" s="401"/>
    </row>
    <row r="288" spans="1:14" s="171" customFormat="1" ht="12.75" hidden="1" customHeight="1" outlineLevel="1">
      <c r="A288" s="166"/>
      <c r="B288" s="675" t="str">
        <f>'TAMUCC FGD'!$B$2</f>
        <v>Texas A&amp;M University - Corpus Christi</v>
      </c>
      <c r="C288" s="584"/>
      <c r="D288" s="397">
        <f>'TAMUCC FGD'!$D$19</f>
        <v>-3221002</v>
      </c>
      <c r="E288" s="397">
        <f>'TAMUCC FGD'!$E$19</f>
        <v>0</v>
      </c>
      <c r="F288" s="397">
        <f>'TAMUCC FGD'!$F$19</f>
        <v>0</v>
      </c>
      <c r="G288" s="397">
        <f>'TAMUCC FGD'!$G$19</f>
        <v>0</v>
      </c>
      <c r="H288" s="397">
        <f>'TAMUCC FGD'!$H$19</f>
        <v>0</v>
      </c>
      <c r="I288" s="397">
        <f>'TAMUCC FGD'!$I$19</f>
        <v>0</v>
      </c>
      <c r="J288" s="397">
        <f>'TAMUCC FGD'!$J$19</f>
        <v>0</v>
      </c>
      <c r="K288" s="397">
        <f>'TAMUCC FGD'!$K$19</f>
        <v>0</v>
      </c>
      <c r="L288" s="397">
        <f>'TAMUCC FGD'!$L$19</f>
        <v>0</v>
      </c>
      <c r="M288" s="397">
        <f>'TAMUCC FGD'!$M$19</f>
        <v>-3221002</v>
      </c>
      <c r="N288" s="401"/>
    </row>
    <row r="289" spans="1:14" s="171" customFormat="1" ht="12.75" hidden="1" customHeight="1" outlineLevel="1">
      <c r="A289" s="166"/>
      <c r="B289" s="675" t="str">
        <f>'TAMUCT FGD'!$B$2</f>
        <v>Texas A&amp;M University - Central Texas</v>
      </c>
      <c r="C289" s="584"/>
      <c r="D289" s="397">
        <f>'TAMUCT FGD'!$D$19</f>
        <v>-861313</v>
      </c>
      <c r="E289" s="397">
        <f>'TAMUCT FGD'!$E$19</f>
        <v>0</v>
      </c>
      <c r="F289" s="397">
        <f>'TAMUCT FGD'!$F$19</f>
        <v>0</v>
      </c>
      <c r="G289" s="397">
        <f>'TAMUCT FGD'!$G$19</f>
        <v>0</v>
      </c>
      <c r="H289" s="397">
        <f>'TAMUCT FGD'!$H$19</f>
        <v>0</v>
      </c>
      <c r="I289" s="397">
        <f>'TAMUCT FGD'!$I$19</f>
        <v>0</v>
      </c>
      <c r="J289" s="397">
        <f>'TAMUCT FGD'!$J$19</f>
        <v>0</v>
      </c>
      <c r="K289" s="397">
        <f>'TAMUCT FGD'!$K$19</f>
        <v>0</v>
      </c>
      <c r="L289" s="397">
        <f>'TAMUCT FGD'!$L$19</f>
        <v>0</v>
      </c>
      <c r="M289" s="397">
        <f>'TAMUCT FGD'!$M$19</f>
        <v>-861313</v>
      </c>
      <c r="N289" s="401"/>
    </row>
    <row r="290" spans="1:14" s="171" customFormat="1" ht="12.75" hidden="1" customHeight="1" outlineLevel="1">
      <c r="A290" s="166"/>
      <c r="B290" s="675" t="str">
        <f>'TAMUG FGD'!$B$2</f>
        <v>Texas A&amp;M University at Galveston</v>
      </c>
      <c r="C290" s="584"/>
      <c r="D290" s="397">
        <f>'TAMUG FGD'!$D$19</f>
        <v>-573751</v>
      </c>
      <c r="E290" s="397">
        <f>'TAMUG FGD'!$E$19</f>
        <v>-468590</v>
      </c>
      <c r="F290" s="397">
        <f>'TAMUG FGD'!$F$19</f>
        <v>0</v>
      </c>
      <c r="G290" s="397">
        <f>'TAMUG FGD'!$G$19</f>
        <v>0</v>
      </c>
      <c r="H290" s="397">
        <f>'TAMUG FGD'!$H$19</f>
        <v>0</v>
      </c>
      <c r="I290" s="397">
        <f>'TAMUG FGD'!$I$19</f>
        <v>0</v>
      </c>
      <c r="J290" s="397">
        <f>'TAMUG FGD'!$J$19</f>
        <v>0</v>
      </c>
      <c r="K290" s="397">
        <f>'TAMUG FGD'!$K$19</f>
        <v>0</v>
      </c>
      <c r="L290" s="397">
        <f>'TAMUG FGD'!$L$19</f>
        <v>0</v>
      </c>
      <c r="M290" s="397">
        <f>'TAMUG FGD'!$M$19</f>
        <v>-1042341</v>
      </c>
      <c r="N290" s="401"/>
    </row>
    <row r="291" spans="1:14" s="171" customFormat="1" ht="12.75" hidden="1" customHeight="1" outlineLevel="1">
      <c r="A291" s="166"/>
      <c r="B291" s="675" t="str">
        <f>'TAMUK FGD'!$B$2</f>
        <v>Texas A&amp;M University - Kingsville</v>
      </c>
      <c r="C291" s="584"/>
      <c r="D291" s="397">
        <f>'TAMUK FGD'!$D$19</f>
        <v>-2358812</v>
      </c>
      <c r="E291" s="397">
        <f>'TAMUK FGD'!$E$19</f>
        <v>0</v>
      </c>
      <c r="F291" s="397">
        <f>'TAMUK FGD'!$F$19</f>
        <v>0</v>
      </c>
      <c r="G291" s="397">
        <f>'TAMUK FGD'!$G$19</f>
        <v>0</v>
      </c>
      <c r="H291" s="397">
        <f>'TAMUK FGD'!$H$19</f>
        <v>0</v>
      </c>
      <c r="I291" s="397">
        <f>'TAMUK FGD'!$I$19</f>
        <v>0</v>
      </c>
      <c r="J291" s="397">
        <f>'TAMUK FGD'!$J$19</f>
        <v>0</v>
      </c>
      <c r="K291" s="397">
        <f>'TAMUK FGD'!$K$19</f>
        <v>0</v>
      </c>
      <c r="L291" s="397">
        <f>'TAMUK FGD'!$L$19</f>
        <v>0</v>
      </c>
      <c r="M291" s="397">
        <f>'TAMUK FGD'!$M$19</f>
        <v>-2358812</v>
      </c>
      <c r="N291" s="401"/>
    </row>
    <row r="292" spans="1:14" s="171" customFormat="1" ht="12.75" hidden="1" customHeight="1" outlineLevel="1">
      <c r="A292" s="166"/>
      <c r="B292" s="675" t="str">
        <f>'TAMUSA FGD'!$B$2</f>
        <v>Texas A&amp;M University - San Antonio</v>
      </c>
      <c r="C292" s="584"/>
      <c r="D292" s="397">
        <f>'TAMUSA FGD'!$D$19</f>
        <v>-249081</v>
      </c>
      <c r="E292" s="397">
        <f>'TAMUSA FGD'!$E$19</f>
        <v>0</v>
      </c>
      <c r="F292" s="397">
        <f>'TAMUSA FGD'!$F$19</f>
        <v>0</v>
      </c>
      <c r="G292" s="397">
        <f>'TAMUSA FGD'!$G$19</f>
        <v>0</v>
      </c>
      <c r="H292" s="397">
        <f>'TAMUSA FGD'!$H$19</f>
        <v>0</v>
      </c>
      <c r="I292" s="397">
        <f>'TAMUSA FGD'!$I$19</f>
        <v>0</v>
      </c>
      <c r="J292" s="397">
        <f>'TAMUSA FGD'!$J$19</f>
        <v>0</v>
      </c>
      <c r="K292" s="397">
        <f>'TAMUSA FGD'!$K$19</f>
        <v>0</v>
      </c>
      <c r="L292" s="397">
        <f>'TAMUSA FGD'!$L$19</f>
        <v>0</v>
      </c>
      <c r="M292" s="397">
        <f>'TAMUSA FGD'!$M$19</f>
        <v>-249081</v>
      </c>
      <c r="N292" s="401"/>
    </row>
    <row r="293" spans="1:14" s="171" customFormat="1" ht="12.75" hidden="1" customHeight="1" outlineLevel="1">
      <c r="A293" s="166"/>
      <c r="B293" s="675" t="str">
        <f>'TAMUT FGD'!$B$2</f>
        <v>Texas A&amp;M University - Texarkana</v>
      </c>
      <c r="C293" s="584"/>
      <c r="D293" s="397">
        <f>'TAMUT FGD'!$D$19</f>
        <v>-4518700</v>
      </c>
      <c r="E293" s="397">
        <f>'TAMUT FGD'!$E$19</f>
        <v>0</v>
      </c>
      <c r="F293" s="397">
        <f>'TAMUT FGD'!$F$19</f>
        <v>0</v>
      </c>
      <c r="G293" s="397">
        <f>'TAMUT FGD'!$G$19</f>
        <v>0</v>
      </c>
      <c r="H293" s="397">
        <f>'TAMUT FGD'!$H$19</f>
        <v>0</v>
      </c>
      <c r="I293" s="397">
        <f>'TAMUT FGD'!$I$19</f>
        <v>0</v>
      </c>
      <c r="J293" s="397">
        <f>'TAMUT FGD'!$J$19</f>
        <v>0</v>
      </c>
      <c r="K293" s="397">
        <f>'TAMUT FGD'!$K$19</f>
        <v>0</v>
      </c>
      <c r="L293" s="397">
        <f>'TAMUT FGD'!$L$19</f>
        <v>0</v>
      </c>
      <c r="M293" s="397">
        <f>'TAMUT FGD'!$M$19</f>
        <v>-4518700</v>
      </c>
      <c r="N293" s="401"/>
    </row>
    <row r="294" spans="1:14" s="171" customFormat="1" ht="12.75" hidden="1" customHeight="1" outlineLevel="1">
      <c r="A294" s="166"/>
      <c r="B294" s="675" t="str">
        <f>'TARLST FGD'!$B$2</f>
        <v>Tarleton State University</v>
      </c>
      <c r="C294" s="584"/>
      <c r="D294" s="397">
        <f>'TARLST FGD'!$D$19</f>
        <v>-3086314</v>
      </c>
      <c r="E294" s="397">
        <f>'TARLST FGD'!$E$19</f>
        <v>0</v>
      </c>
      <c r="F294" s="397">
        <f>'TARLST FGD'!$F$19</f>
        <v>0</v>
      </c>
      <c r="G294" s="397">
        <f>'TARLST FGD'!$G$19</f>
        <v>0</v>
      </c>
      <c r="H294" s="397">
        <f>'TARLST FGD'!$H$19</f>
        <v>0</v>
      </c>
      <c r="I294" s="397">
        <f>'TARLST FGD'!$I$19</f>
        <v>0</v>
      </c>
      <c r="J294" s="397">
        <f>'TARLST FGD'!$J$19</f>
        <v>0</v>
      </c>
      <c r="K294" s="397">
        <f>'TARLST FGD'!$K$19</f>
        <v>0</v>
      </c>
      <c r="L294" s="397">
        <f>'TARLST FGD'!$L$19</f>
        <v>0</v>
      </c>
      <c r="M294" s="397">
        <f>'TARLST FGD'!$M$19</f>
        <v>-3086314</v>
      </c>
      <c r="N294" s="401"/>
    </row>
    <row r="295" spans="1:14" s="171" customFormat="1" ht="12.75" hidden="1" customHeight="1" outlineLevel="1">
      <c r="A295" s="166"/>
      <c r="B295" s="675" t="str">
        <f>'TSU FGD'!$B$2</f>
        <v>Texas Southern University</v>
      </c>
      <c r="C295" s="584"/>
      <c r="D295" s="397">
        <f>'TSU FGD'!$D$19</f>
        <v>-4872104</v>
      </c>
      <c r="E295" s="397">
        <f>'TSU FGD'!$E$19</f>
        <v>0</v>
      </c>
      <c r="F295" s="397">
        <f>'TSU FGD'!$F$19</f>
        <v>0</v>
      </c>
      <c r="G295" s="397">
        <f>'TSU FGD'!$G$19</f>
        <v>0</v>
      </c>
      <c r="H295" s="397">
        <f>'TSU FGD'!$H$19</f>
        <v>0</v>
      </c>
      <c r="I295" s="397">
        <f>'TSU FGD'!$I$19</f>
        <v>0</v>
      </c>
      <c r="J295" s="397">
        <f>'TSU FGD'!$J$19</f>
        <v>0</v>
      </c>
      <c r="K295" s="397">
        <f>'TSU FGD'!$K$19</f>
        <v>0</v>
      </c>
      <c r="L295" s="397">
        <f>'TSU FGD'!$L$19</f>
        <v>0</v>
      </c>
      <c r="M295" s="397">
        <f>'TSU FGD'!$M$19</f>
        <v>-4872104</v>
      </c>
      <c r="N295" s="401"/>
    </row>
    <row r="296" spans="1:14" s="171" customFormat="1" ht="12.75" hidden="1" customHeight="1" outlineLevel="1">
      <c r="A296" s="166"/>
      <c r="B296" s="675" t="str">
        <f>'TTU FGD'!$B$2</f>
        <v>Texas Tech University</v>
      </c>
      <c r="C296" s="584"/>
      <c r="D296" s="397">
        <f>'TTU FGD'!$D$19</f>
        <v>-39328111</v>
      </c>
      <c r="E296" s="397">
        <f>'TTU FGD'!$E$19</f>
        <v>0</v>
      </c>
      <c r="F296" s="397">
        <f>'TTU FGD'!$F$19</f>
        <v>0</v>
      </c>
      <c r="G296" s="397">
        <f>'TTU FGD'!$G$19</f>
        <v>0</v>
      </c>
      <c r="H296" s="397">
        <f>'TTU FGD'!$H$19</f>
        <v>0</v>
      </c>
      <c r="I296" s="397">
        <f>'TTU FGD'!$I$19</f>
        <v>0</v>
      </c>
      <c r="J296" s="397">
        <f>'TTU FGD'!$J$19</f>
        <v>0</v>
      </c>
      <c r="K296" s="397">
        <f>'TTU FGD'!$K$19</f>
        <v>0</v>
      </c>
      <c r="L296" s="397">
        <f>'TTU FGD'!$L$19</f>
        <v>0</v>
      </c>
      <c r="M296" s="397">
        <f>'TTU FGD'!$M$19</f>
        <v>-39328111</v>
      </c>
      <c r="N296" s="401"/>
    </row>
    <row r="297" spans="1:14" s="171" customFormat="1" ht="12.75" hidden="1" customHeight="1" outlineLevel="1">
      <c r="A297" s="166"/>
      <c r="B297" s="675" t="str">
        <f>'TWU FGD'!$B$2</f>
        <v>Texas Woman's University</v>
      </c>
      <c r="C297" s="584"/>
      <c r="D297" s="397">
        <f>'TWU FGD'!$D$19</f>
        <v>0</v>
      </c>
      <c r="E297" s="397">
        <f>'TWU FGD'!$E$19</f>
        <v>0</v>
      </c>
      <c r="F297" s="397">
        <f>'TWU FGD'!$F$19</f>
        <v>0</v>
      </c>
      <c r="G297" s="397">
        <f>'TWU FGD'!$G$19</f>
        <v>0</v>
      </c>
      <c r="H297" s="397">
        <f>'TWU FGD'!$H$19</f>
        <v>0</v>
      </c>
      <c r="I297" s="397">
        <f>'TWU FGD'!$I$19</f>
        <v>0</v>
      </c>
      <c r="J297" s="397">
        <f>'TWU FGD'!$J$19</f>
        <v>0</v>
      </c>
      <c r="K297" s="397">
        <f>'TWU FGD'!$K$19</f>
        <v>0</v>
      </c>
      <c r="L297" s="397">
        <f>'TWU FGD'!$L$19</f>
        <v>0</v>
      </c>
      <c r="M297" s="397">
        <f>'TWU FGD'!$M$19</f>
        <v>0</v>
      </c>
      <c r="N297" s="401"/>
    </row>
    <row r="298" spans="1:14" s="171" customFormat="1" ht="12.75" hidden="1" customHeight="1" outlineLevel="1">
      <c r="A298" s="166"/>
      <c r="B298" s="675" t="str">
        <f>'TXST FGD'!$B$2</f>
        <v>Texas State University</v>
      </c>
      <c r="C298" s="584"/>
      <c r="D298" s="397">
        <f>'TXST FGD'!$D$19</f>
        <v>-7598758</v>
      </c>
      <c r="E298" s="397">
        <f>'TXST FGD'!$E$19</f>
        <v>-41058</v>
      </c>
      <c r="F298" s="397">
        <f>'TXST FGD'!$F$19</f>
        <v>0</v>
      </c>
      <c r="G298" s="397">
        <f>'TXST FGD'!$G$19</f>
        <v>0</v>
      </c>
      <c r="H298" s="397">
        <f>'TXST FGD'!$H$19</f>
        <v>0</v>
      </c>
      <c r="I298" s="397">
        <f>'TXST FGD'!$I$19</f>
        <v>0</v>
      </c>
      <c r="J298" s="397">
        <f>'TXST FGD'!$J$19</f>
        <v>0</v>
      </c>
      <c r="K298" s="397">
        <f>'TXST FGD'!$K$19</f>
        <v>0</v>
      </c>
      <c r="L298" s="397">
        <f>'TXST FGD'!$L$19</f>
        <v>0</v>
      </c>
      <c r="M298" s="397">
        <f>'TXST FGD'!$M$19</f>
        <v>-7639816</v>
      </c>
      <c r="N298" s="401"/>
    </row>
    <row r="299" spans="1:14" s="171" customFormat="1" ht="12.75" hidden="1" customHeight="1" outlineLevel="1">
      <c r="A299" s="166"/>
      <c r="B299" s="675" t="str">
        <f>'TYL FGD'!$B$2</f>
        <v>The University of Texas at Tyler</v>
      </c>
      <c r="C299" s="584"/>
      <c r="D299" s="397">
        <f>'TYL FGD'!$D$19</f>
        <v>-3042502</v>
      </c>
      <c r="E299" s="397">
        <f>'TYL FGD'!$E$19</f>
        <v>0</v>
      </c>
      <c r="F299" s="397">
        <f>'TYL FGD'!$F$19</f>
        <v>0</v>
      </c>
      <c r="G299" s="397">
        <f>'TYL FGD'!$G$19</f>
        <v>0</v>
      </c>
      <c r="H299" s="397">
        <f>'TYL FGD'!$H$19</f>
        <v>0</v>
      </c>
      <c r="I299" s="397">
        <f>'TYL FGD'!$I$19</f>
        <v>0</v>
      </c>
      <c r="J299" s="397">
        <f>'TYL FGD'!$J$19</f>
        <v>0</v>
      </c>
      <c r="K299" s="397">
        <f>'TYL FGD'!$K$19</f>
        <v>0</v>
      </c>
      <c r="L299" s="397">
        <f>'TYL FGD'!$L$19</f>
        <v>0</v>
      </c>
      <c r="M299" s="397">
        <f>'TYL FGD'!$M$19</f>
        <v>-3042502</v>
      </c>
      <c r="N299" s="401"/>
    </row>
    <row r="300" spans="1:14" s="171" customFormat="1" ht="12.75" hidden="1" customHeight="1" outlineLevel="1">
      <c r="A300" s="166"/>
      <c r="B300" s="675" t="str">
        <f>'UH1 FGD'!$B$2</f>
        <v>University of Houston - Academic &amp; Health (A+H)</v>
      </c>
      <c r="C300" s="584"/>
      <c r="D300" s="397">
        <f>'UH1 FGD'!$D$19</f>
        <v>-25020117</v>
      </c>
      <c r="E300" s="397">
        <f>'UH1 FGD'!$E$19</f>
        <v>-6174155</v>
      </c>
      <c r="F300" s="397">
        <f>'UH1 FGD'!$F$19</f>
        <v>0</v>
      </c>
      <c r="G300" s="397">
        <f>'UH1 FGD'!$G$19</f>
        <v>0</v>
      </c>
      <c r="H300" s="397">
        <f>'UH1 FGD'!$H$19</f>
        <v>0</v>
      </c>
      <c r="I300" s="397">
        <f>'UH1 FGD'!$I$19</f>
        <v>0</v>
      </c>
      <c r="J300" s="397">
        <f>'UH1 FGD'!$J$19</f>
        <v>0</v>
      </c>
      <c r="K300" s="397">
        <f>'UH1 FGD'!$K$19</f>
        <v>0</v>
      </c>
      <c r="L300" s="397">
        <f>'UH1 FGD'!$L$19</f>
        <v>0</v>
      </c>
      <c r="M300" s="397">
        <f>'UH1 FGD'!$M$19</f>
        <v>-31194272</v>
      </c>
      <c r="N300" s="401"/>
    </row>
    <row r="301" spans="1:14" s="171" customFormat="1" ht="12.75" hidden="1" customHeight="1" outlineLevel="1">
      <c r="A301" s="166"/>
      <c r="B301" s="675" t="str">
        <f>'UHCL FGD'!$B$2</f>
        <v>University of Houston - Clear Lake</v>
      </c>
      <c r="C301" s="584"/>
      <c r="D301" s="397">
        <f>'UHCL FGD'!$D$19</f>
        <v>-2198078</v>
      </c>
      <c r="E301" s="397">
        <f>'UHCL FGD'!$E$19</f>
        <v>-669105</v>
      </c>
      <c r="F301" s="397">
        <f>'UHCL FGD'!$F$19</f>
        <v>0</v>
      </c>
      <c r="G301" s="397">
        <f>'UHCL FGD'!$G$19</f>
        <v>0</v>
      </c>
      <c r="H301" s="397">
        <f>'UHCL FGD'!$H$19</f>
        <v>0</v>
      </c>
      <c r="I301" s="397">
        <f>'UHCL FGD'!$I$19</f>
        <v>0</v>
      </c>
      <c r="J301" s="397">
        <f>'UHCL FGD'!$J$19</f>
        <v>0</v>
      </c>
      <c r="K301" s="397">
        <f>'UHCL FGD'!$K$19</f>
        <v>0</v>
      </c>
      <c r="L301" s="397">
        <f>'UHCL FGD'!$L$19</f>
        <v>0</v>
      </c>
      <c r="M301" s="397">
        <f>'UHCL FGD'!$M$19</f>
        <v>-2867183</v>
      </c>
      <c r="N301" s="401"/>
    </row>
    <row r="302" spans="1:14" s="171" customFormat="1" ht="12.75" hidden="1" customHeight="1" outlineLevel="1">
      <c r="A302" s="166"/>
      <c r="B302" s="675" t="str">
        <f>'UHD FGD'!$B$2</f>
        <v>University of Houston - Downtown</v>
      </c>
      <c r="C302" s="584"/>
      <c r="D302" s="397">
        <f>'UHD FGD'!$D$19</f>
        <v>-608814</v>
      </c>
      <c r="E302" s="397">
        <f>'UHD FGD'!$E$19</f>
        <v>0</v>
      </c>
      <c r="F302" s="397">
        <f>'UHD FGD'!$F$19</f>
        <v>0</v>
      </c>
      <c r="G302" s="397">
        <f>'UHD FGD'!$G$19</f>
        <v>0</v>
      </c>
      <c r="H302" s="397">
        <f>'UHD FGD'!$H$19</f>
        <v>0</v>
      </c>
      <c r="I302" s="397">
        <f>'UHD FGD'!$I$19</f>
        <v>0</v>
      </c>
      <c r="J302" s="397">
        <f>'UHD FGD'!$J$19</f>
        <v>0</v>
      </c>
      <c r="K302" s="397">
        <f>'UHD FGD'!$K$19</f>
        <v>0</v>
      </c>
      <c r="L302" s="397">
        <f>'UHD FGD'!$L$19</f>
        <v>0</v>
      </c>
      <c r="M302" s="397">
        <f>'UHD FGD'!$M$19</f>
        <v>-608814</v>
      </c>
      <c r="N302" s="401"/>
    </row>
    <row r="303" spans="1:14" s="171" customFormat="1" ht="12.75" hidden="1" customHeight="1" outlineLevel="1">
      <c r="A303" s="166"/>
      <c r="B303" s="675" t="str">
        <f>'UHV FGD'!$B$2</f>
        <v>University of Houston - Victoria</v>
      </c>
      <c r="C303" s="584"/>
      <c r="D303" s="397">
        <f>'UHV FGD'!$D$19</f>
        <v>-488714</v>
      </c>
      <c r="E303" s="397">
        <f>'UHV FGD'!$E$19</f>
        <v>0</v>
      </c>
      <c r="F303" s="397">
        <f>'UHV FGD'!$F$19</f>
        <v>0</v>
      </c>
      <c r="G303" s="397">
        <f>'UHV FGD'!$G$19</f>
        <v>0</v>
      </c>
      <c r="H303" s="397">
        <f>'UHV FGD'!$H$19</f>
        <v>0</v>
      </c>
      <c r="I303" s="397">
        <f>'UHV FGD'!$I$19</f>
        <v>0</v>
      </c>
      <c r="J303" s="397">
        <f>'UHV FGD'!$J$19</f>
        <v>0</v>
      </c>
      <c r="K303" s="397">
        <f>'UHV FGD'!$K$19</f>
        <v>0</v>
      </c>
      <c r="L303" s="397">
        <f>'UHV FGD'!$L$19</f>
        <v>0</v>
      </c>
      <c r="M303" s="397">
        <f>'UHV FGD'!$M$19</f>
        <v>-488714</v>
      </c>
      <c r="N303" s="401"/>
    </row>
    <row r="304" spans="1:14" s="171" customFormat="1" ht="12.75" hidden="1" customHeight="1" outlineLevel="1">
      <c r="A304" s="166"/>
      <c r="B304" s="675" t="str">
        <f>'UNT FGD'!$B$2</f>
        <v>University of North Texas</v>
      </c>
      <c r="C304" s="584"/>
      <c r="D304" s="397">
        <f>'UNT FGD'!$D$19</f>
        <v>-25532559</v>
      </c>
      <c r="E304" s="397">
        <f>'UNT FGD'!$E$19</f>
        <v>-111572</v>
      </c>
      <c r="F304" s="397">
        <f>'UNT FGD'!$F$19</f>
        <v>0</v>
      </c>
      <c r="G304" s="397">
        <f>'UNT FGD'!$G$19</f>
        <v>0</v>
      </c>
      <c r="H304" s="397">
        <f>'UNT FGD'!$H$19</f>
        <v>0</v>
      </c>
      <c r="I304" s="397">
        <f>'UNT FGD'!$I$19</f>
        <v>0</v>
      </c>
      <c r="J304" s="397">
        <f>'UNT FGD'!$J$19</f>
        <v>0</v>
      </c>
      <c r="K304" s="397">
        <f>'UNT FGD'!$K$19</f>
        <v>0</v>
      </c>
      <c r="L304" s="397">
        <f>'UNT FGD'!$L$19</f>
        <v>0</v>
      </c>
      <c r="M304" s="397">
        <f>'UNT FGD'!$M$19</f>
        <v>-25644131</v>
      </c>
      <c r="N304" s="401"/>
    </row>
    <row r="305" spans="1:14" s="171" customFormat="1" ht="12.75" hidden="1" customHeight="1" outlineLevel="1">
      <c r="A305" s="166"/>
      <c r="B305" s="675" t="str">
        <f>'UNTD FGD'!$B$2</f>
        <v>University of North Texas at Dallas</v>
      </c>
      <c r="C305" s="584"/>
      <c r="D305" s="397">
        <f>'UNTD FGD'!$D$19</f>
        <v>-145362</v>
      </c>
      <c r="E305" s="397">
        <f>'UNTD FGD'!$E$19</f>
        <v>0</v>
      </c>
      <c r="F305" s="397">
        <f>'UNTD FGD'!$F$19</f>
        <v>0</v>
      </c>
      <c r="G305" s="397">
        <f>'UNTD FGD'!$G$19</f>
        <v>0</v>
      </c>
      <c r="H305" s="397">
        <f>'UNTD FGD'!$H$19</f>
        <v>0</v>
      </c>
      <c r="I305" s="397">
        <f>'UNTD FGD'!$I$19</f>
        <v>0</v>
      </c>
      <c r="J305" s="397">
        <f>'UNTD FGD'!$J$19</f>
        <v>0</v>
      </c>
      <c r="K305" s="397">
        <f>'UNTD FGD'!$K$19</f>
        <v>0</v>
      </c>
      <c r="L305" s="397">
        <f>'UNTD FGD'!$L$19</f>
        <v>0</v>
      </c>
      <c r="M305" s="397">
        <f>'UNTD FGD'!$M$19</f>
        <v>-145362</v>
      </c>
      <c r="N305" s="401"/>
    </row>
    <row r="306" spans="1:14" s="171" customFormat="1" ht="12.75" hidden="1" customHeight="1" outlineLevel="1">
      <c r="A306" s="166"/>
      <c r="B306" s="675" t="str">
        <f>'WTAMU FGD'!$B$2</f>
        <v>West Texas A&amp;M University</v>
      </c>
      <c r="C306" s="584"/>
      <c r="D306" s="397">
        <f>'WTAMU FGD'!$D$19</f>
        <v>-14243182</v>
      </c>
      <c r="E306" s="397">
        <f>'WTAMU FGD'!$E$19</f>
        <v>0</v>
      </c>
      <c r="F306" s="397">
        <f>'WTAMU FGD'!$F$19</f>
        <v>0</v>
      </c>
      <c r="G306" s="397">
        <f>'WTAMU FGD'!$G$19</f>
        <v>0</v>
      </c>
      <c r="H306" s="397">
        <f>'WTAMU FGD'!$H$19</f>
        <v>0</v>
      </c>
      <c r="I306" s="397">
        <f>'WTAMU FGD'!$I$19</f>
        <v>0</v>
      </c>
      <c r="J306" s="397">
        <f>'WTAMU FGD'!$J$19</f>
        <v>0</v>
      </c>
      <c r="K306" s="397">
        <f>'WTAMU FGD'!$K$19</f>
        <v>0</v>
      </c>
      <c r="L306" s="397">
        <f>'WTAMU FGD'!$L$19</f>
        <v>0</v>
      </c>
      <c r="M306" s="397">
        <f>'WTAMU FGD'!$M$19</f>
        <v>-14243182</v>
      </c>
      <c r="N306" s="401"/>
    </row>
    <row r="307" spans="1:14" s="171" customFormat="1" collapsed="1">
      <c r="A307" s="166"/>
      <c r="B307" s="261" t="s">
        <v>722</v>
      </c>
      <c r="C307" s="261"/>
      <c r="D307" s="390">
        <f t="shared" ref="D307:M307" si="7">SUM(D271:D306)</f>
        <v>-347164259</v>
      </c>
      <c r="E307" s="390">
        <f t="shared" si="7"/>
        <v>-72012664</v>
      </c>
      <c r="F307" s="390">
        <f t="shared" si="7"/>
        <v>0</v>
      </c>
      <c r="G307" s="390">
        <f t="shared" si="7"/>
        <v>0</v>
      </c>
      <c r="H307" s="390">
        <f t="shared" si="7"/>
        <v>0</v>
      </c>
      <c r="I307" s="390">
        <f t="shared" si="7"/>
        <v>0</v>
      </c>
      <c r="J307" s="390">
        <f t="shared" si="7"/>
        <v>0</v>
      </c>
      <c r="K307" s="390">
        <f t="shared" si="7"/>
        <v>0</v>
      </c>
      <c r="L307" s="390">
        <f t="shared" si="7"/>
        <v>0</v>
      </c>
      <c r="M307" s="390">
        <f t="shared" si="7"/>
        <v>-419176923</v>
      </c>
      <c r="N307" s="401"/>
    </row>
    <row r="308" spans="1:14" s="171" customFormat="1" ht="12.75" hidden="1" customHeight="1" outlineLevel="1">
      <c r="A308" s="166"/>
      <c r="B308" s="674" t="str">
        <f>'ARL FGD'!$B$2</f>
        <v>The University of Texas at Arlington</v>
      </c>
      <c r="C308" s="261"/>
      <c r="D308" s="390">
        <f>'ARL FGD'!$D$20</f>
        <v>0</v>
      </c>
      <c r="E308" s="390">
        <f>'ARL FGD'!$E$20</f>
        <v>0</v>
      </c>
      <c r="F308" s="390">
        <f>'ARL FGD'!$F$20</f>
        <v>0</v>
      </c>
      <c r="G308" s="390">
        <f>'ARL FGD'!$G$20</f>
        <v>0</v>
      </c>
      <c r="H308" s="390">
        <f>'ARL FGD'!$H$20</f>
        <v>0</v>
      </c>
      <c r="I308" s="390">
        <f>'ARL FGD'!$I$20</f>
        <v>0</v>
      </c>
      <c r="J308" s="390">
        <f>'ARL FGD'!$J$20</f>
        <v>0</v>
      </c>
      <c r="K308" s="390">
        <f>'ARL FGD'!$K$20</f>
        <v>0</v>
      </c>
      <c r="L308" s="390">
        <f>'ARL FGD'!$L$20</f>
        <v>0</v>
      </c>
      <c r="M308" s="390">
        <f>'ARL FGD'!$M$20</f>
        <v>0</v>
      </c>
      <c r="N308" s="401"/>
    </row>
    <row r="309" spans="1:14" s="171" customFormat="1" ht="12.75" hidden="1" customHeight="1" outlineLevel="1">
      <c r="A309" s="166"/>
      <c r="B309" s="674" t="str">
        <f>'ASU FGD'!$B$2</f>
        <v>Angelo State University</v>
      </c>
      <c r="C309" s="261"/>
      <c r="D309" s="390">
        <f>'ASU FGD'!$D$20</f>
        <v>-1522154</v>
      </c>
      <c r="E309" s="390">
        <f>'ASU FGD'!$E$20</f>
        <v>0</v>
      </c>
      <c r="F309" s="390">
        <f>'ASU FGD'!$F$20</f>
        <v>0</v>
      </c>
      <c r="G309" s="390">
        <f>'ASU FGD'!$G$20</f>
        <v>0</v>
      </c>
      <c r="H309" s="390">
        <f>'ASU FGD'!$H$20</f>
        <v>0</v>
      </c>
      <c r="I309" s="390">
        <f>'ASU FGD'!$I$20</f>
        <v>0</v>
      </c>
      <c r="J309" s="390">
        <f>'ASU FGD'!$J$20</f>
        <v>0</v>
      </c>
      <c r="K309" s="390">
        <f>'ASU FGD'!$K$20</f>
        <v>0</v>
      </c>
      <c r="L309" s="390">
        <f>'ASU FGD'!$L$20</f>
        <v>0</v>
      </c>
      <c r="M309" s="390">
        <f>'ASU FGD'!$M$20</f>
        <v>-1522154</v>
      </c>
      <c r="N309" s="401"/>
    </row>
    <row r="310" spans="1:14" s="171" customFormat="1" ht="12.75" hidden="1" customHeight="1" outlineLevel="1">
      <c r="A310" s="166"/>
      <c r="B310" s="674" t="str">
        <f>'AUS1 FGD'!$B$2</f>
        <v>The University of Texas at Austin - Academic &amp; Health (A+H)</v>
      </c>
      <c r="C310" s="261"/>
      <c r="D310" s="390">
        <f>'AUS1 FGD'!$D$20</f>
        <v>0</v>
      </c>
      <c r="E310" s="390">
        <f>'AUS1 FGD'!$E$20</f>
        <v>0</v>
      </c>
      <c r="F310" s="390">
        <f>'AUS1 FGD'!$F$20</f>
        <v>0</v>
      </c>
      <c r="G310" s="390">
        <f>'AUS1 FGD'!$G$20</f>
        <v>0</v>
      </c>
      <c r="H310" s="390">
        <f>'AUS1 FGD'!$H$20</f>
        <v>0</v>
      </c>
      <c r="I310" s="390">
        <f>'AUS1 FGD'!$I$20</f>
        <v>0</v>
      </c>
      <c r="J310" s="390">
        <f>'AUS1 FGD'!$J$20</f>
        <v>0</v>
      </c>
      <c r="K310" s="390">
        <f>'AUS1 FGD'!$K$20</f>
        <v>0</v>
      </c>
      <c r="L310" s="390">
        <f>'AUS1 FGD'!$L$20</f>
        <v>0</v>
      </c>
      <c r="M310" s="390">
        <f>'AUS1 FGD'!$M$20</f>
        <v>0</v>
      </c>
      <c r="N310" s="401"/>
    </row>
    <row r="311" spans="1:14" s="171" customFormat="1" ht="12.75" hidden="1" customHeight="1" outlineLevel="1">
      <c r="A311" s="166"/>
      <c r="B311" s="674" t="str">
        <f>'RGV1 FGD'!$B$2</f>
        <v>The University of Texas RGV - Academic &amp; Health (A+H)</v>
      </c>
      <c r="C311" s="261"/>
      <c r="D311" s="390">
        <f>'RGV1 FGD'!$D$20</f>
        <v>0</v>
      </c>
      <c r="E311" s="390">
        <f>'RGV1 FGD'!$E$20</f>
        <v>-5458</v>
      </c>
      <c r="F311" s="390">
        <f>'RGV1 FGD'!$F$20</f>
        <v>0</v>
      </c>
      <c r="G311" s="390">
        <f>'RGV1 FGD'!$G$20</f>
        <v>0</v>
      </c>
      <c r="H311" s="390">
        <f>'RGV1 FGD'!$H$20</f>
        <v>0</v>
      </c>
      <c r="I311" s="390">
        <f>'RGV1 FGD'!$I$20</f>
        <v>0</v>
      </c>
      <c r="J311" s="390">
        <f>'RGV1 FGD'!$J$20</f>
        <v>0</v>
      </c>
      <c r="K311" s="390">
        <f>'RGV1 FGD'!$K$20</f>
        <v>0</v>
      </c>
      <c r="L311" s="390">
        <f>'RGV1 FGD'!$L$20</f>
        <v>0</v>
      </c>
      <c r="M311" s="390">
        <f>'RGV1 FGD'!$M$20</f>
        <v>-5458</v>
      </c>
      <c r="N311" s="401"/>
    </row>
    <row r="312" spans="1:14" s="171" customFormat="1" ht="12.75" hidden="1" customHeight="1" outlineLevel="1">
      <c r="A312" s="166"/>
      <c r="B312" s="674" t="str">
        <f>'DAL FGD'!$B$2</f>
        <v>The University of Texas at Dallas</v>
      </c>
      <c r="C312" s="261"/>
      <c r="D312" s="390">
        <f>'DAL FGD'!$D$20</f>
        <v>0</v>
      </c>
      <c r="E312" s="390">
        <f>'DAL FGD'!$E$20</f>
        <v>0</v>
      </c>
      <c r="F312" s="390">
        <f>'DAL FGD'!$F$20</f>
        <v>0</v>
      </c>
      <c r="G312" s="390">
        <f>'DAL FGD'!$G$20</f>
        <v>0</v>
      </c>
      <c r="H312" s="390">
        <f>'DAL FGD'!$H$20</f>
        <v>0</v>
      </c>
      <c r="I312" s="390">
        <f>'DAL FGD'!$I$20</f>
        <v>0</v>
      </c>
      <c r="J312" s="390">
        <f>'DAL FGD'!$J$20</f>
        <v>0</v>
      </c>
      <c r="K312" s="390">
        <f>'DAL FGD'!$K$20</f>
        <v>0</v>
      </c>
      <c r="L312" s="390">
        <f>'DAL FGD'!$L$20</f>
        <v>0</v>
      </c>
      <c r="M312" s="390">
        <f>'DAL FGD'!$M$20</f>
        <v>0</v>
      </c>
      <c r="N312" s="401"/>
    </row>
    <row r="313" spans="1:14" s="171" customFormat="1" ht="12.75" hidden="1" customHeight="1" outlineLevel="1">
      <c r="A313" s="166"/>
      <c r="B313" s="674" t="str">
        <f>'E-P FGD'!$B$2</f>
        <v>The University of Texas at El Paso</v>
      </c>
      <c r="C313" s="261"/>
      <c r="D313" s="390">
        <f>'E-P FGD'!$D$20</f>
        <v>0</v>
      </c>
      <c r="E313" s="390">
        <f>'E-P FGD'!$E$20</f>
        <v>0</v>
      </c>
      <c r="F313" s="390">
        <f>'E-P FGD'!$F$20</f>
        <v>0</v>
      </c>
      <c r="G313" s="390">
        <f>'E-P FGD'!$G$20</f>
        <v>0</v>
      </c>
      <c r="H313" s="390">
        <f>'E-P FGD'!$H$20</f>
        <v>0</v>
      </c>
      <c r="I313" s="390">
        <f>'E-P FGD'!$I$20</f>
        <v>0</v>
      </c>
      <c r="J313" s="390">
        <f>'E-P FGD'!$J$20</f>
        <v>0</v>
      </c>
      <c r="K313" s="390">
        <f>'E-P FGD'!$K$20</f>
        <v>0</v>
      </c>
      <c r="L313" s="390">
        <f>'E-P FGD'!$L$20</f>
        <v>0</v>
      </c>
      <c r="M313" s="390">
        <f>'E-P FGD'!$M$20</f>
        <v>0</v>
      </c>
      <c r="N313" s="401"/>
    </row>
    <row r="314" spans="1:14" s="171" customFormat="1" ht="12.75" hidden="1" customHeight="1" outlineLevel="1">
      <c r="A314" s="166"/>
      <c r="B314" s="674" t="str">
        <f>'LU FGD'!$B$2</f>
        <v xml:space="preserve">Lamar University </v>
      </c>
      <c r="C314" s="261"/>
      <c r="D314" s="390">
        <f>'LU FGD'!$D$20</f>
        <v>0</v>
      </c>
      <c r="E314" s="390">
        <f>'LU FGD'!$E$20</f>
        <v>0</v>
      </c>
      <c r="F314" s="390">
        <f>'LU FGD'!$F$20</f>
        <v>0</v>
      </c>
      <c r="G314" s="390">
        <f>'LU FGD'!$G$20</f>
        <v>0</v>
      </c>
      <c r="H314" s="390">
        <f>'LU FGD'!$H$20</f>
        <v>0</v>
      </c>
      <c r="I314" s="390">
        <f>'LU FGD'!$I$20</f>
        <v>0</v>
      </c>
      <c r="J314" s="390">
        <f>'LU FGD'!$J$20</f>
        <v>0</v>
      </c>
      <c r="K314" s="390">
        <f>'LU FGD'!$K$20</f>
        <v>0</v>
      </c>
      <c r="L314" s="390">
        <f>'LU FGD'!$L$20</f>
        <v>0</v>
      </c>
      <c r="M314" s="390">
        <f>'LU FGD'!$M$20</f>
        <v>0</v>
      </c>
      <c r="N314" s="401"/>
    </row>
    <row r="315" spans="1:14" s="171" customFormat="1" ht="12.75" hidden="1" customHeight="1" outlineLevel="1">
      <c r="A315" s="166"/>
      <c r="B315" s="674" t="str">
        <f>'MidWST FGD'!$B$2</f>
        <v>Midwestern State University</v>
      </c>
      <c r="C315" s="261"/>
      <c r="D315" s="390">
        <f>'MidWST FGD'!$D$20</f>
        <v>0</v>
      </c>
      <c r="E315" s="390">
        <f>'MidWST FGD'!$E$20</f>
        <v>0</v>
      </c>
      <c r="F315" s="390">
        <f>'MidWST FGD'!$F$20</f>
        <v>0</v>
      </c>
      <c r="G315" s="390">
        <f>'MidWST FGD'!$G$20</f>
        <v>0</v>
      </c>
      <c r="H315" s="390">
        <f>'MidWST FGD'!$H$20</f>
        <v>0</v>
      </c>
      <c r="I315" s="390">
        <f>'MidWST FGD'!$I$20</f>
        <v>0</v>
      </c>
      <c r="J315" s="390">
        <f>'MidWST FGD'!$J$20</f>
        <v>0</v>
      </c>
      <c r="K315" s="390">
        <f>'MidWST FGD'!$K$20</f>
        <v>0</v>
      </c>
      <c r="L315" s="390">
        <f>'MidWST FGD'!$L$20</f>
        <v>0</v>
      </c>
      <c r="M315" s="390">
        <f>'MidWST FGD'!$M$20</f>
        <v>0</v>
      </c>
      <c r="N315" s="401"/>
    </row>
    <row r="316" spans="1:14" s="171" customFormat="1" ht="12.75" hidden="1" customHeight="1" outlineLevel="1">
      <c r="A316" s="166"/>
      <c r="B316" s="674" t="str">
        <f>'P-B FGD'!$B$2</f>
        <v>The University of Texas of the Permian Basin</v>
      </c>
      <c r="C316" s="261"/>
      <c r="D316" s="390">
        <f>'P-B FGD'!$D$20</f>
        <v>0</v>
      </c>
      <c r="E316" s="390">
        <f>'P-B FGD'!$E$20</f>
        <v>0</v>
      </c>
      <c r="F316" s="390">
        <f>'P-B FGD'!$F$20</f>
        <v>0</v>
      </c>
      <c r="G316" s="390">
        <f>'P-B FGD'!$G$20</f>
        <v>0</v>
      </c>
      <c r="H316" s="390">
        <f>'P-B FGD'!$H$20</f>
        <v>0</v>
      </c>
      <c r="I316" s="390">
        <f>'P-B FGD'!$I$20</f>
        <v>0</v>
      </c>
      <c r="J316" s="390">
        <f>'P-B FGD'!$J$20</f>
        <v>0</v>
      </c>
      <c r="K316" s="390">
        <f>'P-B FGD'!$K$20</f>
        <v>0</v>
      </c>
      <c r="L316" s="390">
        <f>'P-B FGD'!$L$20</f>
        <v>0</v>
      </c>
      <c r="M316" s="390">
        <f>'P-B FGD'!$M$20</f>
        <v>0</v>
      </c>
      <c r="N316" s="401"/>
    </row>
    <row r="317" spans="1:14" s="171" customFormat="1" ht="12.75" hidden="1" customHeight="1" outlineLevel="1">
      <c r="A317" s="166"/>
      <c r="B317" s="674" t="str">
        <f>'PVAMU FGD'!$B$2</f>
        <v>Prairie View A&amp;M University</v>
      </c>
      <c r="C317" s="261"/>
      <c r="D317" s="390">
        <f>'PVAMU FGD'!$D$20</f>
        <v>0</v>
      </c>
      <c r="E317" s="390">
        <f>'PVAMU FGD'!$E$20</f>
        <v>0</v>
      </c>
      <c r="F317" s="390">
        <f>'PVAMU FGD'!$F$20</f>
        <v>0</v>
      </c>
      <c r="G317" s="390">
        <f>'PVAMU FGD'!$G$20</f>
        <v>0</v>
      </c>
      <c r="H317" s="390">
        <f>'PVAMU FGD'!$H$20</f>
        <v>0</v>
      </c>
      <c r="I317" s="390">
        <f>'PVAMU FGD'!$I$20</f>
        <v>0</v>
      </c>
      <c r="J317" s="390">
        <f>'PVAMU FGD'!$J$20</f>
        <v>0</v>
      </c>
      <c r="K317" s="390">
        <f>'PVAMU FGD'!$K$20</f>
        <v>0</v>
      </c>
      <c r="L317" s="390">
        <f>'PVAMU FGD'!$L$20</f>
        <v>0</v>
      </c>
      <c r="M317" s="390">
        <f>'PVAMU FGD'!$M$20</f>
        <v>0</v>
      </c>
      <c r="N317" s="401"/>
    </row>
    <row r="318" spans="1:14" s="171" customFormat="1" ht="12.75" hidden="1" customHeight="1" outlineLevel="1">
      <c r="A318" s="166"/>
      <c r="B318" s="674" t="str">
        <f>'S-A FGD'!$B$2</f>
        <v>The University of Texas at San Antonio</v>
      </c>
      <c r="C318" s="261"/>
      <c r="D318" s="390">
        <f>'S-A FGD'!$D$20</f>
        <v>0</v>
      </c>
      <c r="E318" s="390">
        <f>'S-A FGD'!$E$20</f>
        <v>0</v>
      </c>
      <c r="F318" s="390">
        <f>'S-A FGD'!$F$20</f>
        <v>0</v>
      </c>
      <c r="G318" s="390">
        <f>'S-A FGD'!$G$20</f>
        <v>0</v>
      </c>
      <c r="H318" s="390">
        <f>'S-A FGD'!$H$20</f>
        <v>0</v>
      </c>
      <c r="I318" s="390">
        <f>'S-A FGD'!$I$20</f>
        <v>0</v>
      </c>
      <c r="J318" s="390">
        <f>'S-A FGD'!$J$20</f>
        <v>0</v>
      </c>
      <c r="K318" s="390">
        <f>'S-A FGD'!$K$20</f>
        <v>0</v>
      </c>
      <c r="L318" s="390">
        <f>'S-A FGD'!$L$20</f>
        <v>0</v>
      </c>
      <c r="M318" s="390">
        <f>'S-A FGD'!$M$20</f>
        <v>0</v>
      </c>
      <c r="N318" s="401"/>
    </row>
    <row r="319" spans="1:14" s="171" customFormat="1" ht="12.75" hidden="1" customHeight="1" outlineLevel="1">
      <c r="A319" s="166"/>
      <c r="B319" s="674" t="str">
        <f>'SFA FGD'!$B$2</f>
        <v>Stephen F. Austin State University</v>
      </c>
      <c r="C319" s="261"/>
      <c r="D319" s="390">
        <f>'SFA FGD'!$D$20</f>
        <v>0</v>
      </c>
      <c r="E319" s="390">
        <f>'SFA FGD'!$E$20</f>
        <v>0</v>
      </c>
      <c r="F319" s="390">
        <f>'SFA FGD'!$F$20</f>
        <v>0</v>
      </c>
      <c r="G319" s="390">
        <f>'SFA FGD'!$G$20</f>
        <v>0</v>
      </c>
      <c r="H319" s="390">
        <f>'SFA FGD'!$H$20</f>
        <v>0</v>
      </c>
      <c r="I319" s="390">
        <f>'SFA FGD'!$I$20</f>
        <v>0</v>
      </c>
      <c r="J319" s="390">
        <f>'SFA FGD'!$J$20</f>
        <v>0</v>
      </c>
      <c r="K319" s="390">
        <f>'SFA FGD'!$K$20</f>
        <v>0</v>
      </c>
      <c r="L319" s="390">
        <f>'SFA FGD'!$L$20</f>
        <v>0</v>
      </c>
      <c r="M319" s="390">
        <f>'SFA FGD'!$M$20</f>
        <v>0</v>
      </c>
      <c r="N319" s="401"/>
    </row>
    <row r="320" spans="1:14" s="171" customFormat="1" ht="12.75" hidden="1" customHeight="1" outlineLevel="1">
      <c r="A320" s="166"/>
      <c r="B320" s="674" t="str">
        <f>'shsu1 FGD'!$B$2</f>
        <v>Sam Houston State University - Academic &amp; Health (A+H)</v>
      </c>
      <c r="C320" s="261"/>
      <c r="D320" s="390">
        <f>'shsu1 FGD'!$D$20</f>
        <v>0</v>
      </c>
      <c r="E320" s="390">
        <f>'shsu1 FGD'!$E$20</f>
        <v>0</v>
      </c>
      <c r="F320" s="390">
        <f>'shsu1 FGD'!$F$20</f>
        <v>0</v>
      </c>
      <c r="G320" s="390">
        <f>'shsu1 FGD'!$G$20</f>
        <v>0</v>
      </c>
      <c r="H320" s="390">
        <f>'shsu1 FGD'!$H$20</f>
        <v>0</v>
      </c>
      <c r="I320" s="390">
        <f>'shsu1 FGD'!$I$20</f>
        <v>0</v>
      </c>
      <c r="J320" s="390">
        <f>'shsu1 FGD'!$J$20</f>
        <v>0</v>
      </c>
      <c r="K320" s="390">
        <f>'shsu1 FGD'!$K$20</f>
        <v>0</v>
      </c>
      <c r="L320" s="390">
        <f>'shsu1 FGD'!$L$20</f>
        <v>0</v>
      </c>
      <c r="M320" s="390">
        <f>'shsu1 FGD'!$M$20</f>
        <v>0</v>
      </c>
      <c r="N320" s="401"/>
    </row>
    <row r="321" spans="1:14" s="171" customFormat="1" ht="12.75" hidden="1" customHeight="1" outlineLevel="1">
      <c r="A321" s="166"/>
      <c r="B321" s="674" t="str">
        <f>'SRSU FGD'!$B$2</f>
        <v>Sul Ross State University</v>
      </c>
      <c r="C321" s="261"/>
      <c r="D321" s="390">
        <f>'SRSU FGD'!$D$20</f>
        <v>0</v>
      </c>
      <c r="E321" s="390">
        <f>'SRSU FGD'!$E$20</f>
        <v>0</v>
      </c>
      <c r="F321" s="390">
        <f>'SRSU FGD'!$F$20</f>
        <v>0</v>
      </c>
      <c r="G321" s="390">
        <f>'SRSU FGD'!$G$20</f>
        <v>0</v>
      </c>
      <c r="H321" s="390">
        <f>'SRSU FGD'!$H$20</f>
        <v>0</v>
      </c>
      <c r="I321" s="390">
        <f>'SRSU FGD'!$I$20</f>
        <v>0</v>
      </c>
      <c r="J321" s="390">
        <f>'SRSU FGD'!$J$20</f>
        <v>0</v>
      </c>
      <c r="K321" s="390">
        <f>'SRSU FGD'!$K$20</f>
        <v>0</v>
      </c>
      <c r="L321" s="390">
        <f>'SRSU FGD'!$L$20</f>
        <v>0</v>
      </c>
      <c r="M321" s="390">
        <f>'SRSU FGD'!$M$20</f>
        <v>0</v>
      </c>
      <c r="N321" s="401"/>
    </row>
    <row r="322" spans="1:14" s="171" customFormat="1" ht="12.75" hidden="1" customHeight="1" outlineLevel="1">
      <c r="A322" s="166"/>
      <c r="B322" s="674" t="str">
        <f>'TAMIU FGD'!$B$2</f>
        <v>Texas A&amp;M International University</v>
      </c>
      <c r="C322" s="261"/>
      <c r="D322" s="390">
        <f>'TAMIU FGD'!$D$20</f>
        <v>0</v>
      </c>
      <c r="E322" s="390">
        <f>'TAMIU FGD'!$E$20</f>
        <v>0</v>
      </c>
      <c r="F322" s="390">
        <f>'TAMIU FGD'!$F$20</f>
        <v>0</v>
      </c>
      <c r="G322" s="390">
        <f>'TAMIU FGD'!$G$20</f>
        <v>0</v>
      </c>
      <c r="H322" s="390">
        <f>'TAMIU FGD'!$H$20</f>
        <v>0</v>
      </c>
      <c r="I322" s="390">
        <f>'TAMIU FGD'!$I$20</f>
        <v>0</v>
      </c>
      <c r="J322" s="390">
        <f>'TAMIU FGD'!$J$20</f>
        <v>0</v>
      </c>
      <c r="K322" s="390">
        <f>'TAMIU FGD'!$K$20</f>
        <v>0</v>
      </c>
      <c r="L322" s="390">
        <f>'TAMIU FGD'!$L$20</f>
        <v>0</v>
      </c>
      <c r="M322" s="390">
        <f>'TAMIU FGD'!$M$20</f>
        <v>0</v>
      </c>
      <c r="N322" s="401"/>
    </row>
    <row r="323" spans="1:14" s="171" customFormat="1" ht="12.75" hidden="1" customHeight="1" outlineLevel="1">
      <c r="A323" s="166"/>
      <c r="B323" s="674" t="str">
        <f>'TAMU FGD'!$B$2</f>
        <v>Texas A&amp;M University</v>
      </c>
      <c r="C323" s="261"/>
      <c r="D323" s="390">
        <f>'TAMU FGD'!$D$20</f>
        <v>-883830</v>
      </c>
      <c r="E323" s="390">
        <f>'TAMU FGD'!$E$20</f>
        <v>-114010</v>
      </c>
      <c r="F323" s="390">
        <f>'TAMU FGD'!$F$20</f>
        <v>0</v>
      </c>
      <c r="G323" s="390">
        <f>'TAMU FGD'!$G$20</f>
        <v>0</v>
      </c>
      <c r="H323" s="390">
        <f>'TAMU FGD'!$H$20</f>
        <v>0</v>
      </c>
      <c r="I323" s="390">
        <f>'TAMU FGD'!$I$20</f>
        <v>0</v>
      </c>
      <c r="J323" s="390">
        <f>'TAMU FGD'!$J$20</f>
        <v>0</v>
      </c>
      <c r="K323" s="390">
        <f>'TAMU FGD'!$K$20</f>
        <v>0</v>
      </c>
      <c r="L323" s="390">
        <f>'TAMU FGD'!$L$20</f>
        <v>0</v>
      </c>
      <c r="M323" s="390">
        <f>'TAMU FGD'!$M$20</f>
        <v>-997840</v>
      </c>
      <c r="N323" s="401"/>
    </row>
    <row r="324" spans="1:14" s="171" customFormat="1" ht="12.75" hidden="1" customHeight="1" outlineLevel="1">
      <c r="A324" s="166"/>
      <c r="B324" s="674" t="str">
        <f>'TAMUC FGD'!$B$2</f>
        <v>Texas A&amp;M University - Commerce</v>
      </c>
      <c r="C324" s="261"/>
      <c r="D324" s="390">
        <f>'TAMUC FGD'!$D$20</f>
        <v>0</v>
      </c>
      <c r="E324" s="390">
        <f>'TAMUC FGD'!$E$20</f>
        <v>0</v>
      </c>
      <c r="F324" s="390">
        <f>'TAMUC FGD'!$F$20</f>
        <v>0</v>
      </c>
      <c r="G324" s="390">
        <f>'TAMUC FGD'!$G$20</f>
        <v>0</v>
      </c>
      <c r="H324" s="390">
        <f>'TAMUC FGD'!$H$20</f>
        <v>0</v>
      </c>
      <c r="I324" s="390">
        <f>'TAMUC FGD'!$I$20</f>
        <v>0</v>
      </c>
      <c r="J324" s="390">
        <f>'TAMUC FGD'!$J$20</f>
        <v>0</v>
      </c>
      <c r="K324" s="390">
        <f>'TAMUC FGD'!$K$20</f>
        <v>0</v>
      </c>
      <c r="L324" s="390">
        <f>'TAMUC FGD'!$L$20</f>
        <v>0</v>
      </c>
      <c r="M324" s="390">
        <f>'TAMUC FGD'!$M$20</f>
        <v>0</v>
      </c>
      <c r="N324" s="401"/>
    </row>
    <row r="325" spans="1:14" s="171" customFormat="1" ht="12.75" hidden="1" customHeight="1" outlineLevel="1">
      <c r="A325" s="166"/>
      <c r="B325" s="674" t="str">
        <f>'TAMUCC FGD'!$B$2</f>
        <v>Texas A&amp;M University - Corpus Christi</v>
      </c>
      <c r="C325" s="261"/>
      <c r="D325" s="390">
        <f>'TAMUCC FGD'!$D$20</f>
        <v>0</v>
      </c>
      <c r="E325" s="390">
        <f>'TAMUCC FGD'!$E$20</f>
        <v>0</v>
      </c>
      <c r="F325" s="390">
        <f>'TAMUCC FGD'!$F$20</f>
        <v>0</v>
      </c>
      <c r="G325" s="390">
        <f>'TAMUCC FGD'!$G$20</f>
        <v>0</v>
      </c>
      <c r="H325" s="390">
        <f>'TAMUCC FGD'!$H$20</f>
        <v>0</v>
      </c>
      <c r="I325" s="390">
        <f>'TAMUCC FGD'!$I$20</f>
        <v>0</v>
      </c>
      <c r="J325" s="390">
        <f>'TAMUCC FGD'!$J$20</f>
        <v>0</v>
      </c>
      <c r="K325" s="390">
        <f>'TAMUCC FGD'!$K$20</f>
        <v>0</v>
      </c>
      <c r="L325" s="390">
        <f>'TAMUCC FGD'!$L$20</f>
        <v>0</v>
      </c>
      <c r="M325" s="390">
        <f>'TAMUCC FGD'!$M$20</f>
        <v>0</v>
      </c>
      <c r="N325" s="401"/>
    </row>
    <row r="326" spans="1:14" s="171" customFormat="1" ht="12.75" hidden="1" customHeight="1" outlineLevel="1">
      <c r="A326" s="166"/>
      <c r="B326" s="674" t="str">
        <f>'TAMUCT FGD'!$B$2</f>
        <v>Texas A&amp;M University - Central Texas</v>
      </c>
      <c r="C326" s="261"/>
      <c r="D326" s="390">
        <f>'TAMUCT FGD'!$D$20</f>
        <v>0</v>
      </c>
      <c r="E326" s="390">
        <f>'TAMUCT FGD'!$E$20</f>
        <v>0</v>
      </c>
      <c r="F326" s="390">
        <f>'TAMUCT FGD'!$F$20</f>
        <v>0</v>
      </c>
      <c r="G326" s="390">
        <f>'TAMUCT FGD'!$G$20</f>
        <v>0</v>
      </c>
      <c r="H326" s="390">
        <f>'TAMUCT FGD'!$H$20</f>
        <v>0</v>
      </c>
      <c r="I326" s="390">
        <f>'TAMUCT FGD'!$I$20</f>
        <v>0</v>
      </c>
      <c r="J326" s="390">
        <f>'TAMUCT FGD'!$J$20</f>
        <v>0</v>
      </c>
      <c r="K326" s="390">
        <f>'TAMUCT FGD'!$K$20</f>
        <v>0</v>
      </c>
      <c r="L326" s="390">
        <f>'TAMUCT FGD'!$L$20</f>
        <v>0</v>
      </c>
      <c r="M326" s="390">
        <f>'TAMUCT FGD'!$M$20</f>
        <v>0</v>
      </c>
      <c r="N326" s="401"/>
    </row>
    <row r="327" spans="1:14" s="171" customFormat="1" ht="12.75" hidden="1" customHeight="1" outlineLevel="1">
      <c r="A327" s="166"/>
      <c r="B327" s="674" t="str">
        <f>'TAMUG FGD'!$B$2</f>
        <v>Texas A&amp;M University at Galveston</v>
      </c>
      <c r="C327" s="261"/>
      <c r="D327" s="390">
        <f>'TAMUG FGD'!$D$20</f>
        <v>-2345</v>
      </c>
      <c r="E327" s="390">
        <f>'TAMUG FGD'!$E$20</f>
        <v>-73929</v>
      </c>
      <c r="F327" s="390">
        <f>'TAMUG FGD'!$F$20</f>
        <v>0</v>
      </c>
      <c r="G327" s="390">
        <f>'TAMUG FGD'!$G$20</f>
        <v>0</v>
      </c>
      <c r="H327" s="390">
        <f>'TAMUG FGD'!$H$20</f>
        <v>0</v>
      </c>
      <c r="I327" s="390">
        <f>'TAMUG FGD'!$I$20</f>
        <v>0</v>
      </c>
      <c r="J327" s="390">
        <f>'TAMUG FGD'!$J$20</f>
        <v>0</v>
      </c>
      <c r="K327" s="390">
        <f>'TAMUG FGD'!$K$20</f>
        <v>0</v>
      </c>
      <c r="L327" s="390">
        <f>'TAMUG FGD'!$L$20</f>
        <v>0</v>
      </c>
      <c r="M327" s="390">
        <f>'TAMUG FGD'!$M$20</f>
        <v>-76274</v>
      </c>
      <c r="N327" s="401"/>
    </row>
    <row r="328" spans="1:14" s="171" customFormat="1" ht="12.75" hidden="1" customHeight="1" outlineLevel="1">
      <c r="A328" s="166"/>
      <c r="B328" s="674" t="str">
        <f>'TAMUK FGD'!$B$2</f>
        <v>Texas A&amp;M University - Kingsville</v>
      </c>
      <c r="C328" s="261"/>
      <c r="D328" s="390">
        <f>'TAMUK FGD'!$D$20</f>
        <v>0</v>
      </c>
      <c r="E328" s="390">
        <f>'TAMUK FGD'!$E$20</f>
        <v>0</v>
      </c>
      <c r="F328" s="390">
        <f>'TAMUK FGD'!$F$20</f>
        <v>0</v>
      </c>
      <c r="G328" s="390">
        <f>'TAMUK FGD'!$G$20</f>
        <v>0</v>
      </c>
      <c r="H328" s="390">
        <f>'TAMUK FGD'!$H$20</f>
        <v>0</v>
      </c>
      <c r="I328" s="390">
        <f>'TAMUK FGD'!$I$20</f>
        <v>0</v>
      </c>
      <c r="J328" s="390">
        <f>'TAMUK FGD'!$J$20</f>
        <v>0</v>
      </c>
      <c r="K328" s="390">
        <f>'TAMUK FGD'!$K$20</f>
        <v>0</v>
      </c>
      <c r="L328" s="390">
        <f>'TAMUK FGD'!$L$20</f>
        <v>0</v>
      </c>
      <c r="M328" s="390">
        <f>'TAMUK FGD'!$M$20</f>
        <v>0</v>
      </c>
      <c r="N328" s="401"/>
    </row>
    <row r="329" spans="1:14" s="171" customFormat="1" ht="12.75" hidden="1" customHeight="1" outlineLevel="1">
      <c r="A329" s="166"/>
      <c r="B329" s="674" t="str">
        <f>'TAMUSA FGD'!$B$2</f>
        <v>Texas A&amp;M University - San Antonio</v>
      </c>
      <c r="C329" s="261"/>
      <c r="D329" s="390">
        <f>'TAMUSA FGD'!$D$20</f>
        <v>0</v>
      </c>
      <c r="E329" s="390">
        <f>'TAMUSA FGD'!$E$20</f>
        <v>0</v>
      </c>
      <c r="F329" s="390">
        <f>'TAMUSA FGD'!$F$20</f>
        <v>0</v>
      </c>
      <c r="G329" s="390">
        <f>'TAMUSA FGD'!$G$20</f>
        <v>0</v>
      </c>
      <c r="H329" s="390">
        <f>'TAMUSA FGD'!$H$20</f>
        <v>0</v>
      </c>
      <c r="I329" s="390">
        <f>'TAMUSA FGD'!$I$20</f>
        <v>0</v>
      </c>
      <c r="J329" s="390">
        <f>'TAMUSA FGD'!$J$20</f>
        <v>0</v>
      </c>
      <c r="K329" s="390">
        <f>'TAMUSA FGD'!$K$20</f>
        <v>0</v>
      </c>
      <c r="L329" s="390">
        <f>'TAMUSA FGD'!$L$20</f>
        <v>0</v>
      </c>
      <c r="M329" s="390">
        <f>'TAMUSA FGD'!$M$20</f>
        <v>0</v>
      </c>
      <c r="N329" s="401"/>
    </row>
    <row r="330" spans="1:14" s="171" customFormat="1" ht="12.75" hidden="1" customHeight="1" outlineLevel="1">
      <c r="A330" s="166"/>
      <c r="B330" s="674" t="str">
        <f>'TAMUT FGD'!$B$2</f>
        <v>Texas A&amp;M University - Texarkana</v>
      </c>
      <c r="C330" s="261"/>
      <c r="D330" s="390">
        <f>'TAMUT FGD'!$D$20</f>
        <v>0</v>
      </c>
      <c r="E330" s="390">
        <f>'TAMUT FGD'!$E$20</f>
        <v>0</v>
      </c>
      <c r="F330" s="390">
        <f>'TAMUT FGD'!$F$20</f>
        <v>0</v>
      </c>
      <c r="G330" s="390">
        <f>'TAMUT FGD'!$G$20</f>
        <v>0</v>
      </c>
      <c r="H330" s="390">
        <f>'TAMUT FGD'!$H$20</f>
        <v>0</v>
      </c>
      <c r="I330" s="390">
        <f>'TAMUT FGD'!$I$20</f>
        <v>0</v>
      </c>
      <c r="J330" s="390">
        <f>'TAMUT FGD'!$J$20</f>
        <v>0</v>
      </c>
      <c r="K330" s="390">
        <f>'TAMUT FGD'!$K$20</f>
        <v>0</v>
      </c>
      <c r="L330" s="390">
        <f>'TAMUT FGD'!$L$20</f>
        <v>0</v>
      </c>
      <c r="M330" s="390">
        <f>'TAMUT FGD'!$M$20</f>
        <v>0</v>
      </c>
      <c r="N330" s="401"/>
    </row>
    <row r="331" spans="1:14" s="171" customFormat="1" ht="12.75" hidden="1" customHeight="1" outlineLevel="1">
      <c r="A331" s="166"/>
      <c r="B331" s="674" t="str">
        <f>'TARLST FGD'!$B$2</f>
        <v>Tarleton State University</v>
      </c>
      <c r="C331" s="261"/>
      <c r="D331" s="390">
        <f>'TARLST FGD'!$D$20</f>
        <v>0</v>
      </c>
      <c r="E331" s="390">
        <f>'TARLST FGD'!$E$20</f>
        <v>0</v>
      </c>
      <c r="F331" s="390">
        <f>'TARLST FGD'!$F$20</f>
        <v>0</v>
      </c>
      <c r="G331" s="390">
        <f>'TARLST FGD'!$G$20</f>
        <v>0</v>
      </c>
      <c r="H331" s="390">
        <f>'TARLST FGD'!$H$20</f>
        <v>0</v>
      </c>
      <c r="I331" s="390">
        <f>'TARLST FGD'!$I$20</f>
        <v>0</v>
      </c>
      <c r="J331" s="390">
        <f>'TARLST FGD'!$J$20</f>
        <v>0</v>
      </c>
      <c r="K331" s="390">
        <f>'TARLST FGD'!$K$20</f>
        <v>0</v>
      </c>
      <c r="L331" s="390">
        <f>'TARLST FGD'!$L$20</f>
        <v>0</v>
      </c>
      <c r="M331" s="390">
        <f>'TARLST FGD'!$M$20</f>
        <v>0</v>
      </c>
      <c r="N331" s="401"/>
    </row>
    <row r="332" spans="1:14" s="171" customFormat="1" ht="12.75" hidden="1" customHeight="1" outlineLevel="1">
      <c r="A332" s="166"/>
      <c r="B332" s="674" t="str">
        <f>'TSU FGD'!$B$2</f>
        <v>Texas Southern University</v>
      </c>
      <c r="C332" s="261"/>
      <c r="D332" s="390">
        <f>'TSU FGD'!$D$20</f>
        <v>0</v>
      </c>
      <c r="E332" s="390">
        <f>'TSU FGD'!$E$20</f>
        <v>0</v>
      </c>
      <c r="F332" s="390">
        <f>'TSU FGD'!$F$20</f>
        <v>0</v>
      </c>
      <c r="G332" s="390">
        <f>'TSU FGD'!$G$20</f>
        <v>0</v>
      </c>
      <c r="H332" s="390">
        <f>'TSU FGD'!$H$20</f>
        <v>0</v>
      </c>
      <c r="I332" s="390">
        <f>'TSU FGD'!$I$20</f>
        <v>0</v>
      </c>
      <c r="J332" s="390">
        <f>'TSU FGD'!$J$20</f>
        <v>0</v>
      </c>
      <c r="K332" s="390">
        <f>'TSU FGD'!$K$20</f>
        <v>0</v>
      </c>
      <c r="L332" s="390">
        <f>'TSU FGD'!$L$20</f>
        <v>0</v>
      </c>
      <c r="M332" s="390">
        <f>'TSU FGD'!$M$20</f>
        <v>0</v>
      </c>
      <c r="N332" s="401"/>
    </row>
    <row r="333" spans="1:14" s="171" customFormat="1" ht="12.75" hidden="1" customHeight="1" outlineLevel="1">
      <c r="A333" s="166"/>
      <c r="B333" s="674" t="str">
        <f>'TTU FGD'!$B$2</f>
        <v>Texas Tech University</v>
      </c>
      <c r="C333" s="261"/>
      <c r="D333" s="390">
        <f>'TTU FGD'!$D$20</f>
        <v>0</v>
      </c>
      <c r="E333" s="390">
        <f>'TTU FGD'!$E$20</f>
        <v>0</v>
      </c>
      <c r="F333" s="390">
        <f>'TTU FGD'!$F$20</f>
        <v>0</v>
      </c>
      <c r="G333" s="390">
        <f>'TTU FGD'!$G$20</f>
        <v>0</v>
      </c>
      <c r="H333" s="390">
        <f>'TTU FGD'!$H$20</f>
        <v>0</v>
      </c>
      <c r="I333" s="390">
        <f>'TTU FGD'!$I$20</f>
        <v>0</v>
      </c>
      <c r="J333" s="390">
        <f>'TTU FGD'!$J$20</f>
        <v>0</v>
      </c>
      <c r="K333" s="390">
        <f>'TTU FGD'!$K$20</f>
        <v>0</v>
      </c>
      <c r="L333" s="390">
        <f>'TTU FGD'!$L$20</f>
        <v>0</v>
      </c>
      <c r="M333" s="390">
        <f>'TTU FGD'!$M$20</f>
        <v>0</v>
      </c>
      <c r="N333" s="401"/>
    </row>
    <row r="334" spans="1:14" s="171" customFormat="1" ht="12.75" hidden="1" customHeight="1" outlineLevel="1">
      <c r="A334" s="166"/>
      <c r="B334" s="674" t="str">
        <f>'TWU FGD'!$B$2</f>
        <v>Texas Woman's University</v>
      </c>
      <c r="C334" s="261"/>
      <c r="D334" s="390">
        <f>'TWU FGD'!$D$20</f>
        <v>0</v>
      </c>
      <c r="E334" s="390">
        <f>'TWU FGD'!$E$20</f>
        <v>0</v>
      </c>
      <c r="F334" s="390">
        <f>'TWU FGD'!$F$20</f>
        <v>0</v>
      </c>
      <c r="G334" s="390">
        <f>'TWU FGD'!$G$20</f>
        <v>0</v>
      </c>
      <c r="H334" s="390">
        <f>'TWU FGD'!$H$20</f>
        <v>0</v>
      </c>
      <c r="I334" s="390">
        <f>'TWU FGD'!$I$20</f>
        <v>0</v>
      </c>
      <c r="J334" s="390">
        <f>'TWU FGD'!$J$20</f>
        <v>0</v>
      </c>
      <c r="K334" s="390">
        <f>'TWU FGD'!$K$20</f>
        <v>0</v>
      </c>
      <c r="L334" s="390">
        <f>'TWU FGD'!$L$20</f>
        <v>0</v>
      </c>
      <c r="M334" s="390">
        <f>'TWU FGD'!$M$20</f>
        <v>0</v>
      </c>
      <c r="N334" s="401"/>
    </row>
    <row r="335" spans="1:14" s="171" customFormat="1" ht="12.75" hidden="1" customHeight="1" outlineLevel="1">
      <c r="A335" s="166"/>
      <c r="B335" s="674" t="str">
        <f>'TXST FGD'!$B$2</f>
        <v>Texas State University</v>
      </c>
      <c r="C335" s="261"/>
      <c r="D335" s="390">
        <f>'TXST FGD'!$D$20</f>
        <v>0</v>
      </c>
      <c r="E335" s="390">
        <f>'TXST FGD'!$E$20</f>
        <v>0</v>
      </c>
      <c r="F335" s="390">
        <f>'TXST FGD'!$F$20</f>
        <v>0</v>
      </c>
      <c r="G335" s="390">
        <f>'TXST FGD'!$G$20</f>
        <v>0</v>
      </c>
      <c r="H335" s="390">
        <f>'TXST FGD'!$H$20</f>
        <v>0</v>
      </c>
      <c r="I335" s="390">
        <f>'TXST FGD'!$I$20</f>
        <v>0</v>
      </c>
      <c r="J335" s="390">
        <f>'TXST FGD'!$J$20</f>
        <v>0</v>
      </c>
      <c r="K335" s="390">
        <f>'TXST FGD'!$K$20</f>
        <v>0</v>
      </c>
      <c r="L335" s="390">
        <f>'TXST FGD'!$L$20</f>
        <v>0</v>
      </c>
      <c r="M335" s="390">
        <f>'TXST FGD'!$M$20</f>
        <v>0</v>
      </c>
      <c r="N335" s="401"/>
    </row>
    <row r="336" spans="1:14" s="171" customFormat="1" ht="12.75" hidden="1" customHeight="1" outlineLevel="1">
      <c r="A336" s="166"/>
      <c r="B336" s="674" t="str">
        <f>'TYL FGD'!$B$2</f>
        <v>The University of Texas at Tyler</v>
      </c>
      <c r="C336" s="261"/>
      <c r="D336" s="390">
        <f>'TYL FGD'!$D$20</f>
        <v>0</v>
      </c>
      <c r="E336" s="390">
        <f>'TYL FGD'!$E$20</f>
        <v>0</v>
      </c>
      <c r="F336" s="390">
        <f>'TYL FGD'!$F$20</f>
        <v>0</v>
      </c>
      <c r="G336" s="390">
        <f>'TYL FGD'!$G$20</f>
        <v>0</v>
      </c>
      <c r="H336" s="390">
        <f>'TYL FGD'!$H$20</f>
        <v>0</v>
      </c>
      <c r="I336" s="390">
        <f>'TYL FGD'!$I$20</f>
        <v>0</v>
      </c>
      <c r="J336" s="390">
        <f>'TYL FGD'!$J$20</f>
        <v>0</v>
      </c>
      <c r="K336" s="390">
        <f>'TYL FGD'!$K$20</f>
        <v>0</v>
      </c>
      <c r="L336" s="390">
        <f>'TYL FGD'!$L$20</f>
        <v>0</v>
      </c>
      <c r="M336" s="390">
        <f>'TYL FGD'!$M$20</f>
        <v>0</v>
      </c>
      <c r="N336" s="401"/>
    </row>
    <row r="337" spans="1:14" s="171" customFormat="1" ht="12.75" hidden="1" customHeight="1" outlineLevel="1">
      <c r="A337" s="166"/>
      <c r="B337" s="674" t="str">
        <f>'UH1 FGD'!$B$2</f>
        <v>University of Houston - Academic &amp; Health (A+H)</v>
      </c>
      <c r="C337" s="261"/>
      <c r="D337" s="390">
        <f>'UH1 FGD'!$D$20</f>
        <v>0</v>
      </c>
      <c r="E337" s="390">
        <f>'UH1 FGD'!$E$20</f>
        <v>0</v>
      </c>
      <c r="F337" s="390">
        <f>'UH1 FGD'!$F$20</f>
        <v>0</v>
      </c>
      <c r="G337" s="390">
        <f>'UH1 FGD'!$G$20</f>
        <v>0</v>
      </c>
      <c r="H337" s="390">
        <f>'UH1 FGD'!$H$20</f>
        <v>0</v>
      </c>
      <c r="I337" s="390">
        <f>'UH1 FGD'!$I$20</f>
        <v>0</v>
      </c>
      <c r="J337" s="390">
        <f>'UH1 FGD'!$J$20</f>
        <v>0</v>
      </c>
      <c r="K337" s="390">
        <f>'UH1 FGD'!$K$20</f>
        <v>0</v>
      </c>
      <c r="L337" s="390">
        <f>'UH1 FGD'!$L$20</f>
        <v>0</v>
      </c>
      <c r="M337" s="390">
        <f>'UH1 FGD'!$M$20</f>
        <v>0</v>
      </c>
      <c r="N337" s="401"/>
    </row>
    <row r="338" spans="1:14" s="171" customFormat="1" ht="12.75" hidden="1" customHeight="1" outlineLevel="1">
      <c r="A338" s="166"/>
      <c r="B338" s="674" t="str">
        <f>'UHCL FGD'!$B$2</f>
        <v>University of Houston - Clear Lake</v>
      </c>
      <c r="C338" s="261"/>
      <c r="D338" s="390">
        <f>'UHCL FGD'!$D$20</f>
        <v>0</v>
      </c>
      <c r="E338" s="390">
        <f>'UHCL FGD'!$E$20</f>
        <v>0</v>
      </c>
      <c r="F338" s="390">
        <f>'UHCL FGD'!$F$20</f>
        <v>0</v>
      </c>
      <c r="G338" s="390">
        <f>'UHCL FGD'!$G$20</f>
        <v>0</v>
      </c>
      <c r="H338" s="390">
        <f>'UHCL FGD'!$H$20</f>
        <v>0</v>
      </c>
      <c r="I338" s="390">
        <f>'UHCL FGD'!$I$20</f>
        <v>0</v>
      </c>
      <c r="J338" s="390">
        <f>'UHCL FGD'!$J$20</f>
        <v>0</v>
      </c>
      <c r="K338" s="390">
        <f>'UHCL FGD'!$K$20</f>
        <v>0</v>
      </c>
      <c r="L338" s="390">
        <f>'UHCL FGD'!$L$20</f>
        <v>0</v>
      </c>
      <c r="M338" s="390">
        <f>'UHCL FGD'!$M$20</f>
        <v>0</v>
      </c>
      <c r="N338" s="401"/>
    </row>
    <row r="339" spans="1:14" s="171" customFormat="1" ht="12.75" hidden="1" customHeight="1" outlineLevel="1">
      <c r="A339" s="166"/>
      <c r="B339" s="674" t="str">
        <f>'UHD FGD'!$B$2</f>
        <v>University of Houston - Downtown</v>
      </c>
      <c r="C339" s="261"/>
      <c r="D339" s="390">
        <f>'UHD FGD'!$D$20</f>
        <v>0</v>
      </c>
      <c r="E339" s="390">
        <f>'UHD FGD'!$E$20</f>
        <v>0</v>
      </c>
      <c r="F339" s="390">
        <f>'UHD FGD'!$F$20</f>
        <v>0</v>
      </c>
      <c r="G339" s="390">
        <f>'UHD FGD'!$G$20</f>
        <v>0</v>
      </c>
      <c r="H339" s="390">
        <f>'UHD FGD'!$H$20</f>
        <v>0</v>
      </c>
      <c r="I339" s="390">
        <f>'UHD FGD'!$I$20</f>
        <v>0</v>
      </c>
      <c r="J339" s="390">
        <f>'UHD FGD'!$J$20</f>
        <v>0</v>
      </c>
      <c r="K339" s="390">
        <f>'UHD FGD'!$K$20</f>
        <v>0</v>
      </c>
      <c r="L339" s="390">
        <f>'UHD FGD'!$L$20</f>
        <v>0</v>
      </c>
      <c r="M339" s="390">
        <f>'UHD FGD'!$M$20</f>
        <v>0</v>
      </c>
      <c r="N339" s="401"/>
    </row>
    <row r="340" spans="1:14" s="171" customFormat="1" ht="12.75" hidden="1" customHeight="1" outlineLevel="1">
      <c r="A340" s="166"/>
      <c r="B340" s="674" t="str">
        <f>'UHV FGD'!$B$2</f>
        <v>University of Houston - Victoria</v>
      </c>
      <c r="C340" s="261"/>
      <c r="D340" s="390">
        <f>'UHV FGD'!$D$20</f>
        <v>0</v>
      </c>
      <c r="E340" s="390">
        <f>'UHV FGD'!$E$20</f>
        <v>0</v>
      </c>
      <c r="F340" s="390">
        <f>'UHV FGD'!$F$20</f>
        <v>0</v>
      </c>
      <c r="G340" s="390">
        <f>'UHV FGD'!$G$20</f>
        <v>0</v>
      </c>
      <c r="H340" s="390">
        <f>'UHV FGD'!$H$20</f>
        <v>0</v>
      </c>
      <c r="I340" s="390">
        <f>'UHV FGD'!$I$20</f>
        <v>0</v>
      </c>
      <c r="J340" s="390">
        <f>'UHV FGD'!$J$20</f>
        <v>0</v>
      </c>
      <c r="K340" s="390">
        <f>'UHV FGD'!$K$20</f>
        <v>0</v>
      </c>
      <c r="L340" s="390">
        <f>'UHV FGD'!$L$20</f>
        <v>0</v>
      </c>
      <c r="M340" s="390">
        <f>'UHV FGD'!$M$20</f>
        <v>0</v>
      </c>
      <c r="N340" s="401"/>
    </row>
    <row r="341" spans="1:14" s="171" customFormat="1" ht="12.75" hidden="1" customHeight="1" outlineLevel="1">
      <c r="A341" s="166"/>
      <c r="B341" s="674" t="str">
        <f>'UNT FGD'!$B$2</f>
        <v>University of North Texas</v>
      </c>
      <c r="C341" s="261"/>
      <c r="D341" s="390">
        <f>'UNT FGD'!$D$20</f>
        <v>-219026</v>
      </c>
      <c r="E341" s="390">
        <f>'UNT FGD'!$E$20</f>
        <v>-1291663</v>
      </c>
      <c r="F341" s="390">
        <f>'UNT FGD'!$F$20</f>
        <v>0</v>
      </c>
      <c r="G341" s="390">
        <f>'UNT FGD'!$G$20</f>
        <v>0</v>
      </c>
      <c r="H341" s="390">
        <f>'UNT FGD'!$H$20</f>
        <v>0</v>
      </c>
      <c r="I341" s="390">
        <f>'UNT FGD'!$I$20</f>
        <v>0</v>
      </c>
      <c r="J341" s="390">
        <f>'UNT FGD'!$J$20</f>
        <v>0</v>
      </c>
      <c r="K341" s="390">
        <f>'UNT FGD'!$K$20</f>
        <v>0</v>
      </c>
      <c r="L341" s="390">
        <f>'UNT FGD'!$L$20</f>
        <v>0</v>
      </c>
      <c r="M341" s="390">
        <f>'UNT FGD'!$M$20</f>
        <v>-1510689</v>
      </c>
      <c r="N341" s="401"/>
    </row>
    <row r="342" spans="1:14" s="171" customFormat="1" ht="12.75" hidden="1" customHeight="1" outlineLevel="1">
      <c r="A342" s="166"/>
      <c r="B342" s="674" t="str">
        <f>'UNTD FGD'!$B$2</f>
        <v>University of North Texas at Dallas</v>
      </c>
      <c r="C342" s="261"/>
      <c r="D342" s="390">
        <f>'UNTD FGD'!$D$20</f>
        <v>0</v>
      </c>
      <c r="E342" s="390">
        <f>'UNTD FGD'!$E$20</f>
        <v>0</v>
      </c>
      <c r="F342" s="390">
        <f>'UNTD FGD'!$F$20</f>
        <v>0</v>
      </c>
      <c r="G342" s="390">
        <f>'UNTD FGD'!$G$20</f>
        <v>0</v>
      </c>
      <c r="H342" s="390">
        <f>'UNTD FGD'!$H$20</f>
        <v>0</v>
      </c>
      <c r="I342" s="390">
        <f>'UNTD FGD'!$I$20</f>
        <v>0</v>
      </c>
      <c r="J342" s="390">
        <f>'UNTD FGD'!$J$20</f>
        <v>0</v>
      </c>
      <c r="K342" s="390">
        <f>'UNTD FGD'!$K$20</f>
        <v>0</v>
      </c>
      <c r="L342" s="390">
        <f>'UNTD FGD'!$L$20</f>
        <v>0</v>
      </c>
      <c r="M342" s="390">
        <f>'UNTD FGD'!$M$20</f>
        <v>0</v>
      </c>
      <c r="N342" s="401"/>
    </row>
    <row r="343" spans="1:14" s="171" customFormat="1" ht="12.75" hidden="1" customHeight="1" outlineLevel="1">
      <c r="A343" s="166"/>
      <c r="B343" s="674" t="str">
        <f>'WTAMU FGD'!$B$2</f>
        <v>West Texas A&amp;M University</v>
      </c>
      <c r="C343" s="261"/>
      <c r="D343" s="390">
        <f>'WTAMU FGD'!$D$20</f>
        <v>0</v>
      </c>
      <c r="E343" s="390">
        <f>'WTAMU FGD'!$E$20</f>
        <v>0</v>
      </c>
      <c r="F343" s="390">
        <f>'WTAMU FGD'!$F$20</f>
        <v>0</v>
      </c>
      <c r="G343" s="390">
        <f>'WTAMU FGD'!$G$20</f>
        <v>0</v>
      </c>
      <c r="H343" s="390">
        <f>'WTAMU FGD'!$H$20</f>
        <v>0</v>
      </c>
      <c r="I343" s="390">
        <f>'WTAMU FGD'!$I$20</f>
        <v>0</v>
      </c>
      <c r="J343" s="390">
        <f>'WTAMU FGD'!$J$20</f>
        <v>0</v>
      </c>
      <c r="K343" s="390">
        <f>'WTAMU FGD'!$K$20</f>
        <v>0</v>
      </c>
      <c r="L343" s="390">
        <f>'WTAMU FGD'!$L$20</f>
        <v>0</v>
      </c>
      <c r="M343" s="390">
        <f>'WTAMU FGD'!$M$20</f>
        <v>0</v>
      </c>
      <c r="N343" s="401"/>
    </row>
    <row r="344" spans="1:14" s="171" customFormat="1" collapsed="1">
      <c r="A344" s="166"/>
      <c r="B344" s="261" t="s">
        <v>723</v>
      </c>
      <c r="C344" s="261"/>
      <c r="D344" s="390">
        <f t="shared" ref="D344:M344" si="8">SUM(D308:D343)</f>
        <v>-2627355</v>
      </c>
      <c r="E344" s="390">
        <f t="shared" si="8"/>
        <v>-1485060</v>
      </c>
      <c r="F344" s="390">
        <f t="shared" si="8"/>
        <v>0</v>
      </c>
      <c r="G344" s="390">
        <f t="shared" si="8"/>
        <v>0</v>
      </c>
      <c r="H344" s="390">
        <f t="shared" si="8"/>
        <v>0</v>
      </c>
      <c r="I344" s="390">
        <f t="shared" si="8"/>
        <v>0</v>
      </c>
      <c r="J344" s="390">
        <f t="shared" si="8"/>
        <v>0</v>
      </c>
      <c r="K344" s="390">
        <f t="shared" si="8"/>
        <v>0</v>
      </c>
      <c r="L344" s="390">
        <f t="shared" si="8"/>
        <v>0</v>
      </c>
      <c r="M344" s="390">
        <f t="shared" si="8"/>
        <v>-4112415</v>
      </c>
      <c r="N344" s="401"/>
    </row>
    <row r="345" spans="1:14" s="171" customFormat="1" ht="12.75" hidden="1" customHeight="1" outlineLevel="1">
      <c r="A345" s="166"/>
      <c r="B345" s="674" t="str">
        <f>'ARL FGD'!$B$2</f>
        <v>The University of Texas at Arlington</v>
      </c>
      <c r="C345" s="261"/>
      <c r="D345" s="390">
        <f>'ARL FGD'!$D$21</f>
        <v>0</v>
      </c>
      <c r="E345" s="390">
        <f>'ARL FGD'!$E$21</f>
        <v>0</v>
      </c>
      <c r="F345" s="390">
        <f>'ARL FGD'!$F$21</f>
        <v>0</v>
      </c>
      <c r="G345" s="390">
        <f>'ARL FGD'!$G$21</f>
        <v>0</v>
      </c>
      <c r="H345" s="390">
        <f>'ARL FGD'!$H$21</f>
        <v>0</v>
      </c>
      <c r="I345" s="390">
        <f>'ARL FGD'!$I$21</f>
        <v>0</v>
      </c>
      <c r="J345" s="390">
        <f>'ARL FGD'!$J$21</f>
        <v>0</v>
      </c>
      <c r="K345" s="390">
        <f>'ARL FGD'!$K$21</f>
        <v>0</v>
      </c>
      <c r="L345" s="390">
        <f>'ARL FGD'!$L$21</f>
        <v>0</v>
      </c>
      <c r="M345" s="390">
        <f>'ARL FGD'!$M$21</f>
        <v>0</v>
      </c>
      <c r="N345" s="401"/>
    </row>
    <row r="346" spans="1:14" s="171" customFormat="1" ht="12.75" hidden="1" customHeight="1" outlineLevel="1">
      <c r="A346" s="166"/>
      <c r="B346" s="674" t="str">
        <f>'ASU FGD'!$B$2</f>
        <v>Angelo State University</v>
      </c>
      <c r="C346" s="261"/>
      <c r="D346" s="390">
        <f>'ASU FGD'!$D$21</f>
        <v>0</v>
      </c>
      <c r="E346" s="390">
        <f>'ASU FGD'!$E$21</f>
        <v>0</v>
      </c>
      <c r="F346" s="390">
        <f>'ASU FGD'!$F$21</f>
        <v>0</v>
      </c>
      <c r="G346" s="390">
        <f>'ASU FGD'!$G$21</f>
        <v>0</v>
      </c>
      <c r="H346" s="390">
        <f>'ASU FGD'!$H$21</f>
        <v>0</v>
      </c>
      <c r="I346" s="390">
        <f>'ASU FGD'!$I$21</f>
        <v>0</v>
      </c>
      <c r="J346" s="390">
        <f>'ASU FGD'!$J$21</f>
        <v>0</v>
      </c>
      <c r="K346" s="390">
        <f>'ASU FGD'!$K$21</f>
        <v>0</v>
      </c>
      <c r="L346" s="390">
        <f>'ASU FGD'!$L$21</f>
        <v>0</v>
      </c>
      <c r="M346" s="390">
        <f>'ASU FGD'!$M$21</f>
        <v>0</v>
      </c>
      <c r="N346" s="401"/>
    </row>
    <row r="347" spans="1:14" s="171" customFormat="1" ht="12.75" hidden="1" customHeight="1" outlineLevel="1">
      <c r="A347" s="166"/>
      <c r="B347" s="674" t="str">
        <f>'AUS1 FGD'!$B$2</f>
        <v>The University of Texas at Austin - Academic &amp; Health (A+H)</v>
      </c>
      <c r="C347" s="261"/>
      <c r="D347" s="390">
        <f>'AUS1 FGD'!$D$21</f>
        <v>0</v>
      </c>
      <c r="E347" s="390">
        <f>'AUS1 FGD'!$E$21</f>
        <v>0</v>
      </c>
      <c r="F347" s="390">
        <f>'AUS1 FGD'!$F$21</f>
        <v>0</v>
      </c>
      <c r="G347" s="390">
        <f>'AUS1 FGD'!$G$21</f>
        <v>0</v>
      </c>
      <c r="H347" s="390">
        <f>'AUS1 FGD'!$H$21</f>
        <v>0</v>
      </c>
      <c r="I347" s="390">
        <f>'AUS1 FGD'!$I$21</f>
        <v>0</v>
      </c>
      <c r="J347" s="390">
        <f>'AUS1 FGD'!$J$21</f>
        <v>0</v>
      </c>
      <c r="K347" s="390">
        <f>'AUS1 FGD'!$K$21</f>
        <v>0</v>
      </c>
      <c r="L347" s="390">
        <f>'AUS1 FGD'!$L$21</f>
        <v>0</v>
      </c>
      <c r="M347" s="390">
        <f>'AUS1 FGD'!$M$21</f>
        <v>0</v>
      </c>
      <c r="N347" s="401"/>
    </row>
    <row r="348" spans="1:14" s="171" customFormat="1" ht="12.75" hidden="1" customHeight="1" outlineLevel="1">
      <c r="A348" s="166"/>
      <c r="B348" s="674" t="str">
        <f>'RGV1 FGD'!$B$2</f>
        <v>The University of Texas RGV - Academic &amp; Health (A+H)</v>
      </c>
      <c r="C348" s="261"/>
      <c r="D348" s="390">
        <f>'RGV1 FGD'!$D$21</f>
        <v>0</v>
      </c>
      <c r="E348" s="390">
        <f>'RGV1 FGD'!$E$21</f>
        <v>0</v>
      </c>
      <c r="F348" s="390">
        <f>'RGV1 FGD'!$F$21</f>
        <v>0</v>
      </c>
      <c r="G348" s="390">
        <f>'RGV1 FGD'!$G$21</f>
        <v>0</v>
      </c>
      <c r="H348" s="390">
        <f>'RGV1 FGD'!$H$21</f>
        <v>0</v>
      </c>
      <c r="I348" s="390">
        <f>'RGV1 FGD'!$I$21</f>
        <v>0</v>
      </c>
      <c r="J348" s="390">
        <f>'RGV1 FGD'!$J$21</f>
        <v>0</v>
      </c>
      <c r="K348" s="390">
        <f>'RGV1 FGD'!$K$21</f>
        <v>0</v>
      </c>
      <c r="L348" s="390">
        <f>'RGV1 FGD'!$L$21</f>
        <v>0</v>
      </c>
      <c r="M348" s="390">
        <f>'RGV1 FGD'!$M$21</f>
        <v>0</v>
      </c>
      <c r="N348" s="401"/>
    </row>
    <row r="349" spans="1:14" s="171" customFormat="1" ht="12.75" hidden="1" customHeight="1" outlineLevel="1">
      <c r="A349" s="166"/>
      <c r="B349" s="674" t="str">
        <f>'DAL FGD'!$B$2</f>
        <v>The University of Texas at Dallas</v>
      </c>
      <c r="C349" s="261"/>
      <c r="D349" s="390">
        <f>'DAL FGD'!$D$21</f>
        <v>0</v>
      </c>
      <c r="E349" s="390">
        <f>'DAL FGD'!$E$21</f>
        <v>0</v>
      </c>
      <c r="F349" s="390">
        <f>'DAL FGD'!$F$21</f>
        <v>0</v>
      </c>
      <c r="G349" s="390">
        <f>'DAL FGD'!$G$21</f>
        <v>0</v>
      </c>
      <c r="H349" s="390">
        <f>'DAL FGD'!$H$21</f>
        <v>0</v>
      </c>
      <c r="I349" s="390">
        <f>'DAL FGD'!$I$21</f>
        <v>0</v>
      </c>
      <c r="J349" s="390">
        <f>'DAL FGD'!$J$21</f>
        <v>0</v>
      </c>
      <c r="K349" s="390">
        <f>'DAL FGD'!$K$21</f>
        <v>0</v>
      </c>
      <c r="L349" s="390">
        <f>'DAL FGD'!$L$21</f>
        <v>0</v>
      </c>
      <c r="M349" s="390">
        <f>'DAL FGD'!$M$21</f>
        <v>0</v>
      </c>
      <c r="N349" s="401"/>
    </row>
    <row r="350" spans="1:14" s="171" customFormat="1" ht="12.75" hidden="1" customHeight="1" outlineLevel="1">
      <c r="A350" s="166"/>
      <c r="B350" s="674" t="str">
        <f>'E-P FGD'!$B$2</f>
        <v>The University of Texas at El Paso</v>
      </c>
      <c r="C350" s="261"/>
      <c r="D350" s="390">
        <f>'E-P FGD'!$D$21</f>
        <v>0</v>
      </c>
      <c r="E350" s="390">
        <f>'E-P FGD'!$E$21</f>
        <v>0</v>
      </c>
      <c r="F350" s="390">
        <f>'E-P FGD'!$F$21</f>
        <v>0</v>
      </c>
      <c r="G350" s="390">
        <f>'E-P FGD'!$G$21</f>
        <v>0</v>
      </c>
      <c r="H350" s="390">
        <f>'E-P FGD'!$H$21</f>
        <v>0</v>
      </c>
      <c r="I350" s="390">
        <f>'E-P FGD'!$I$21</f>
        <v>0</v>
      </c>
      <c r="J350" s="390">
        <f>'E-P FGD'!$J$21</f>
        <v>0</v>
      </c>
      <c r="K350" s="390">
        <f>'E-P FGD'!$K$21</f>
        <v>0</v>
      </c>
      <c r="L350" s="390">
        <f>'E-P FGD'!$L$21</f>
        <v>0</v>
      </c>
      <c r="M350" s="390">
        <f>'E-P FGD'!$M$21</f>
        <v>0</v>
      </c>
      <c r="N350" s="401"/>
    </row>
    <row r="351" spans="1:14" s="171" customFormat="1" ht="12.75" hidden="1" customHeight="1" outlineLevel="1">
      <c r="A351" s="166"/>
      <c r="B351" s="674" t="str">
        <f>'LU FGD'!$B$2</f>
        <v xml:space="preserve">Lamar University </v>
      </c>
      <c r="C351" s="261"/>
      <c r="D351" s="390">
        <f>'LU FGD'!$D$21</f>
        <v>0</v>
      </c>
      <c r="E351" s="390">
        <f>'LU FGD'!$E$21</f>
        <v>0</v>
      </c>
      <c r="F351" s="390">
        <f>'LU FGD'!$F$21</f>
        <v>0</v>
      </c>
      <c r="G351" s="390">
        <f>'LU FGD'!$G$21</f>
        <v>0</v>
      </c>
      <c r="H351" s="390">
        <f>'LU FGD'!$H$21</f>
        <v>0</v>
      </c>
      <c r="I351" s="390">
        <f>'LU FGD'!$I$21</f>
        <v>0</v>
      </c>
      <c r="J351" s="390">
        <f>'LU FGD'!$J$21</f>
        <v>0</v>
      </c>
      <c r="K351" s="390">
        <f>'LU FGD'!$K$21</f>
        <v>0</v>
      </c>
      <c r="L351" s="390">
        <f>'LU FGD'!$L$21</f>
        <v>0</v>
      </c>
      <c r="M351" s="390">
        <f>'LU FGD'!$M$21</f>
        <v>0</v>
      </c>
      <c r="N351" s="401"/>
    </row>
    <row r="352" spans="1:14" s="171" customFormat="1" ht="12.75" hidden="1" customHeight="1" outlineLevel="1">
      <c r="A352" s="166"/>
      <c r="B352" s="674" t="str">
        <f>'MidWST FGD'!$B$2</f>
        <v>Midwestern State University</v>
      </c>
      <c r="C352" s="261"/>
      <c r="D352" s="390">
        <f>'MidWST FGD'!$D$21</f>
        <v>0</v>
      </c>
      <c r="E352" s="390">
        <f>'MidWST FGD'!$E$21</f>
        <v>0</v>
      </c>
      <c r="F352" s="390">
        <f>'MidWST FGD'!$F$21</f>
        <v>0</v>
      </c>
      <c r="G352" s="390">
        <f>'MidWST FGD'!$G$21</f>
        <v>0</v>
      </c>
      <c r="H352" s="390">
        <f>'MidWST FGD'!$H$21</f>
        <v>0</v>
      </c>
      <c r="I352" s="390">
        <f>'MidWST FGD'!$I$21</f>
        <v>0</v>
      </c>
      <c r="J352" s="390">
        <f>'MidWST FGD'!$J$21</f>
        <v>0</v>
      </c>
      <c r="K352" s="390">
        <f>'MidWST FGD'!$K$21</f>
        <v>0</v>
      </c>
      <c r="L352" s="390">
        <f>'MidWST FGD'!$L$21</f>
        <v>0</v>
      </c>
      <c r="M352" s="390">
        <f>'MidWST FGD'!$M$21</f>
        <v>0</v>
      </c>
      <c r="N352" s="401"/>
    </row>
    <row r="353" spans="1:14" s="171" customFormat="1" ht="12.75" hidden="1" customHeight="1" outlineLevel="1">
      <c r="A353" s="166"/>
      <c r="B353" s="674" t="str">
        <f>'P-B FGD'!$B$2</f>
        <v>The University of Texas of the Permian Basin</v>
      </c>
      <c r="C353" s="261"/>
      <c r="D353" s="390">
        <f>'P-B FGD'!$D$21</f>
        <v>0</v>
      </c>
      <c r="E353" s="390">
        <f>'P-B FGD'!$E$21</f>
        <v>0</v>
      </c>
      <c r="F353" s="390">
        <f>'P-B FGD'!$F$21</f>
        <v>0</v>
      </c>
      <c r="G353" s="390">
        <f>'P-B FGD'!$G$21</f>
        <v>0</v>
      </c>
      <c r="H353" s="390">
        <f>'P-B FGD'!$H$21</f>
        <v>0</v>
      </c>
      <c r="I353" s="390">
        <f>'P-B FGD'!$I$21</f>
        <v>0</v>
      </c>
      <c r="J353" s="390">
        <f>'P-B FGD'!$J$21</f>
        <v>0</v>
      </c>
      <c r="K353" s="390">
        <f>'P-B FGD'!$K$21</f>
        <v>0</v>
      </c>
      <c r="L353" s="390">
        <f>'P-B FGD'!$L$21</f>
        <v>0</v>
      </c>
      <c r="M353" s="390">
        <f>'P-B FGD'!$M$21</f>
        <v>0</v>
      </c>
      <c r="N353" s="401"/>
    </row>
    <row r="354" spans="1:14" s="171" customFormat="1" ht="12.75" hidden="1" customHeight="1" outlineLevel="1">
      <c r="A354" s="166"/>
      <c r="B354" s="674" t="str">
        <f>'PVAMU FGD'!$B$2</f>
        <v>Prairie View A&amp;M University</v>
      </c>
      <c r="C354" s="261"/>
      <c r="D354" s="390">
        <f>'PVAMU FGD'!$D$21</f>
        <v>0</v>
      </c>
      <c r="E354" s="390">
        <f>'PVAMU FGD'!$E$21</f>
        <v>0</v>
      </c>
      <c r="F354" s="390">
        <f>'PVAMU FGD'!$F$21</f>
        <v>0</v>
      </c>
      <c r="G354" s="390">
        <f>'PVAMU FGD'!$G$21</f>
        <v>0</v>
      </c>
      <c r="H354" s="390">
        <f>'PVAMU FGD'!$H$21</f>
        <v>0</v>
      </c>
      <c r="I354" s="390">
        <f>'PVAMU FGD'!$I$21</f>
        <v>0</v>
      </c>
      <c r="J354" s="390">
        <f>'PVAMU FGD'!$J$21</f>
        <v>0</v>
      </c>
      <c r="K354" s="390">
        <f>'PVAMU FGD'!$K$21</f>
        <v>0</v>
      </c>
      <c r="L354" s="390">
        <f>'PVAMU FGD'!$L$21</f>
        <v>0</v>
      </c>
      <c r="M354" s="390">
        <f>'PVAMU FGD'!$M$21</f>
        <v>0</v>
      </c>
      <c r="N354" s="401"/>
    </row>
    <row r="355" spans="1:14" s="171" customFormat="1" ht="12.75" hidden="1" customHeight="1" outlineLevel="1">
      <c r="A355" s="166"/>
      <c r="B355" s="674" t="str">
        <f>'S-A FGD'!$B$2</f>
        <v>The University of Texas at San Antonio</v>
      </c>
      <c r="C355" s="261"/>
      <c r="D355" s="390">
        <f>'S-A FGD'!$D$21</f>
        <v>0</v>
      </c>
      <c r="E355" s="390">
        <f>'S-A FGD'!$E$21</f>
        <v>0</v>
      </c>
      <c r="F355" s="390">
        <f>'S-A FGD'!$F$21</f>
        <v>0</v>
      </c>
      <c r="G355" s="390">
        <f>'S-A FGD'!$G$21</f>
        <v>0</v>
      </c>
      <c r="H355" s="390">
        <f>'S-A FGD'!$H$21</f>
        <v>0</v>
      </c>
      <c r="I355" s="390">
        <f>'S-A FGD'!$I$21</f>
        <v>0</v>
      </c>
      <c r="J355" s="390">
        <f>'S-A FGD'!$J$21</f>
        <v>0</v>
      </c>
      <c r="K355" s="390">
        <f>'S-A FGD'!$K$21</f>
        <v>0</v>
      </c>
      <c r="L355" s="390">
        <f>'S-A FGD'!$L$21</f>
        <v>0</v>
      </c>
      <c r="M355" s="390">
        <f>'S-A FGD'!$M$21</f>
        <v>0</v>
      </c>
      <c r="N355" s="401"/>
    </row>
    <row r="356" spans="1:14" s="171" customFormat="1" ht="12.75" hidden="1" customHeight="1" outlineLevel="1">
      <c r="A356" s="166"/>
      <c r="B356" s="674" t="str">
        <f>'SFA FGD'!$B$2</f>
        <v>Stephen F. Austin State University</v>
      </c>
      <c r="C356" s="261"/>
      <c r="D356" s="390">
        <f>'SFA FGD'!$D$21</f>
        <v>0</v>
      </c>
      <c r="E356" s="390">
        <f>'SFA FGD'!$E$21</f>
        <v>0</v>
      </c>
      <c r="F356" s="390">
        <f>'SFA FGD'!$F$21</f>
        <v>0</v>
      </c>
      <c r="G356" s="390">
        <f>'SFA FGD'!$G$21</f>
        <v>0</v>
      </c>
      <c r="H356" s="390">
        <f>'SFA FGD'!$H$21</f>
        <v>0</v>
      </c>
      <c r="I356" s="390">
        <f>'SFA FGD'!$I$21</f>
        <v>0</v>
      </c>
      <c r="J356" s="390">
        <f>'SFA FGD'!$J$21</f>
        <v>0</v>
      </c>
      <c r="K356" s="390">
        <f>'SFA FGD'!$K$21</f>
        <v>0</v>
      </c>
      <c r="L356" s="390">
        <f>'SFA FGD'!$L$21</f>
        <v>0</v>
      </c>
      <c r="M356" s="390">
        <f>'SFA FGD'!$M$21</f>
        <v>0</v>
      </c>
      <c r="N356" s="401"/>
    </row>
    <row r="357" spans="1:14" s="171" customFormat="1" ht="12.75" hidden="1" customHeight="1" outlineLevel="1">
      <c r="A357" s="166"/>
      <c r="B357" s="674" t="str">
        <f>'shsu1 FGD'!$B$2</f>
        <v>Sam Houston State University - Academic &amp; Health (A+H)</v>
      </c>
      <c r="C357" s="261"/>
      <c r="D357" s="390">
        <f>'shsu1 FGD'!$D$21</f>
        <v>0</v>
      </c>
      <c r="E357" s="390">
        <f>'shsu1 FGD'!$E$21</f>
        <v>0</v>
      </c>
      <c r="F357" s="390">
        <f>'shsu1 FGD'!$F$21</f>
        <v>0</v>
      </c>
      <c r="G357" s="390">
        <f>'shsu1 FGD'!$G$21</f>
        <v>0</v>
      </c>
      <c r="H357" s="390">
        <f>'shsu1 FGD'!$H$21</f>
        <v>0</v>
      </c>
      <c r="I357" s="390">
        <f>'shsu1 FGD'!$I$21</f>
        <v>0</v>
      </c>
      <c r="J357" s="390">
        <f>'shsu1 FGD'!$J$21</f>
        <v>0</v>
      </c>
      <c r="K357" s="390">
        <f>'shsu1 FGD'!$K$21</f>
        <v>0</v>
      </c>
      <c r="L357" s="390">
        <f>'shsu1 FGD'!$L$21</f>
        <v>0</v>
      </c>
      <c r="M357" s="390">
        <f>'shsu1 FGD'!$M$21</f>
        <v>0</v>
      </c>
      <c r="N357" s="401"/>
    </row>
    <row r="358" spans="1:14" s="171" customFormat="1" ht="12.75" hidden="1" customHeight="1" outlineLevel="1">
      <c r="A358" s="166"/>
      <c r="B358" s="674" t="str">
        <f>'SRSU FGD'!$B$2</f>
        <v>Sul Ross State University</v>
      </c>
      <c r="C358" s="261"/>
      <c r="D358" s="390">
        <f>'SRSU FGD'!$D$21</f>
        <v>0</v>
      </c>
      <c r="E358" s="390">
        <f>'SRSU FGD'!$E$21</f>
        <v>0</v>
      </c>
      <c r="F358" s="390">
        <f>'SRSU FGD'!$F$21</f>
        <v>0</v>
      </c>
      <c r="G358" s="390">
        <f>'SRSU FGD'!$G$21</f>
        <v>0</v>
      </c>
      <c r="H358" s="390">
        <f>'SRSU FGD'!$H$21</f>
        <v>0</v>
      </c>
      <c r="I358" s="390">
        <f>'SRSU FGD'!$I$21</f>
        <v>0</v>
      </c>
      <c r="J358" s="390">
        <f>'SRSU FGD'!$J$21</f>
        <v>0</v>
      </c>
      <c r="K358" s="390">
        <f>'SRSU FGD'!$K$21</f>
        <v>0</v>
      </c>
      <c r="L358" s="390">
        <f>'SRSU FGD'!$L$21</f>
        <v>0</v>
      </c>
      <c r="M358" s="390">
        <f>'SRSU FGD'!$M$21</f>
        <v>0</v>
      </c>
      <c r="N358" s="401"/>
    </row>
    <row r="359" spans="1:14" s="171" customFormat="1" ht="12.75" hidden="1" customHeight="1" outlineLevel="1">
      <c r="A359" s="166"/>
      <c r="B359" s="674" t="str">
        <f>'TAMIU FGD'!$B$2</f>
        <v>Texas A&amp;M International University</v>
      </c>
      <c r="C359" s="261"/>
      <c r="D359" s="390">
        <f>'TAMIU FGD'!$D$21</f>
        <v>-624434</v>
      </c>
      <c r="E359" s="390">
        <f>'TAMIU FGD'!$E$21</f>
        <v>-394537</v>
      </c>
      <c r="F359" s="390">
        <f>'TAMIU FGD'!$F$21</f>
        <v>0</v>
      </c>
      <c r="G359" s="390">
        <f>'TAMIU FGD'!$G$21</f>
        <v>0</v>
      </c>
      <c r="H359" s="390">
        <f>'TAMIU FGD'!$H$21</f>
        <v>0</v>
      </c>
      <c r="I359" s="390">
        <f>'TAMIU FGD'!$I$21</f>
        <v>0</v>
      </c>
      <c r="J359" s="390">
        <f>'TAMIU FGD'!$J$21</f>
        <v>0</v>
      </c>
      <c r="K359" s="390">
        <f>'TAMIU FGD'!$K$21</f>
        <v>0</v>
      </c>
      <c r="L359" s="390">
        <f>'TAMIU FGD'!$L$21</f>
        <v>0</v>
      </c>
      <c r="M359" s="390">
        <f>'TAMIU FGD'!$M$21</f>
        <v>-1018971</v>
      </c>
      <c r="N359" s="401"/>
    </row>
    <row r="360" spans="1:14" s="171" customFormat="1" ht="12.75" hidden="1" customHeight="1" outlineLevel="1">
      <c r="A360" s="166"/>
      <c r="B360" s="674" t="str">
        <f>'TAMU FGD'!$B$2</f>
        <v>Texas A&amp;M University</v>
      </c>
      <c r="C360" s="261"/>
      <c r="D360" s="390">
        <f>'TAMU FGD'!$D$21</f>
        <v>0</v>
      </c>
      <c r="E360" s="390">
        <f>'TAMU FGD'!$E$21</f>
        <v>0</v>
      </c>
      <c r="F360" s="390">
        <f>'TAMU FGD'!$F$21</f>
        <v>0</v>
      </c>
      <c r="G360" s="390">
        <f>'TAMU FGD'!$G$21</f>
        <v>0</v>
      </c>
      <c r="H360" s="390">
        <f>'TAMU FGD'!$H$21</f>
        <v>0</v>
      </c>
      <c r="I360" s="390">
        <f>'TAMU FGD'!$I$21</f>
        <v>0</v>
      </c>
      <c r="J360" s="390">
        <f>'TAMU FGD'!$J$21</f>
        <v>0</v>
      </c>
      <c r="K360" s="390">
        <f>'TAMU FGD'!$K$21</f>
        <v>0</v>
      </c>
      <c r="L360" s="390">
        <f>'TAMU FGD'!$L$21</f>
        <v>0</v>
      </c>
      <c r="M360" s="390">
        <f>'TAMU FGD'!$M$21</f>
        <v>0</v>
      </c>
      <c r="N360" s="401"/>
    </row>
    <row r="361" spans="1:14" s="171" customFormat="1" ht="12.75" hidden="1" customHeight="1" outlineLevel="1">
      <c r="A361" s="166"/>
      <c r="B361" s="674" t="str">
        <f>'TAMUC FGD'!$B$2</f>
        <v>Texas A&amp;M University - Commerce</v>
      </c>
      <c r="C361" s="261"/>
      <c r="D361" s="390">
        <f>'TAMUC FGD'!$D$21</f>
        <v>0</v>
      </c>
      <c r="E361" s="390">
        <f>'TAMUC FGD'!$E$21</f>
        <v>0</v>
      </c>
      <c r="F361" s="390">
        <f>'TAMUC FGD'!$F$21</f>
        <v>0</v>
      </c>
      <c r="G361" s="390">
        <f>'TAMUC FGD'!$G$21</f>
        <v>0</v>
      </c>
      <c r="H361" s="390">
        <f>'TAMUC FGD'!$H$21</f>
        <v>0</v>
      </c>
      <c r="I361" s="390">
        <f>'TAMUC FGD'!$I$21</f>
        <v>0</v>
      </c>
      <c r="J361" s="390">
        <f>'TAMUC FGD'!$J$21</f>
        <v>0</v>
      </c>
      <c r="K361" s="390">
        <f>'TAMUC FGD'!$K$21</f>
        <v>0</v>
      </c>
      <c r="L361" s="390">
        <f>'TAMUC FGD'!$L$21</f>
        <v>0</v>
      </c>
      <c r="M361" s="390">
        <f>'TAMUC FGD'!$M$21</f>
        <v>0</v>
      </c>
      <c r="N361" s="401"/>
    </row>
    <row r="362" spans="1:14" s="171" customFormat="1" ht="12.75" hidden="1" customHeight="1" outlineLevel="1">
      <c r="A362" s="166"/>
      <c r="B362" s="674" t="str">
        <f>'TAMUCC FGD'!$B$2</f>
        <v>Texas A&amp;M University - Corpus Christi</v>
      </c>
      <c r="C362" s="261"/>
      <c r="D362" s="390">
        <f>'TAMUCC FGD'!$D$21</f>
        <v>0</v>
      </c>
      <c r="E362" s="390">
        <f>'TAMUCC FGD'!$E$21</f>
        <v>0</v>
      </c>
      <c r="F362" s="390">
        <f>'TAMUCC FGD'!$F$21</f>
        <v>0</v>
      </c>
      <c r="G362" s="390">
        <f>'TAMUCC FGD'!$G$21</f>
        <v>0</v>
      </c>
      <c r="H362" s="390">
        <f>'TAMUCC FGD'!$H$21</f>
        <v>0</v>
      </c>
      <c r="I362" s="390">
        <f>'TAMUCC FGD'!$I$21</f>
        <v>0</v>
      </c>
      <c r="J362" s="390">
        <f>'TAMUCC FGD'!$J$21</f>
        <v>0</v>
      </c>
      <c r="K362" s="390">
        <f>'TAMUCC FGD'!$K$21</f>
        <v>0</v>
      </c>
      <c r="L362" s="390">
        <f>'TAMUCC FGD'!$L$21</f>
        <v>0</v>
      </c>
      <c r="M362" s="390">
        <f>'TAMUCC FGD'!$M$21</f>
        <v>0</v>
      </c>
      <c r="N362" s="401"/>
    </row>
    <row r="363" spans="1:14" s="171" customFormat="1" ht="12.75" hidden="1" customHeight="1" outlineLevel="1">
      <c r="A363" s="166"/>
      <c r="B363" s="674" t="str">
        <f>'TAMUCT FGD'!$B$2</f>
        <v>Texas A&amp;M University - Central Texas</v>
      </c>
      <c r="C363" s="261"/>
      <c r="D363" s="390">
        <f>'TAMUCT FGD'!$D$21</f>
        <v>0</v>
      </c>
      <c r="E363" s="390">
        <f>'TAMUCT FGD'!$E$21</f>
        <v>0</v>
      </c>
      <c r="F363" s="390">
        <f>'TAMUCT FGD'!$F$21</f>
        <v>0</v>
      </c>
      <c r="G363" s="390">
        <f>'TAMUCT FGD'!$G$21</f>
        <v>0</v>
      </c>
      <c r="H363" s="390">
        <f>'TAMUCT FGD'!$H$21</f>
        <v>0</v>
      </c>
      <c r="I363" s="390">
        <f>'TAMUCT FGD'!$I$21</f>
        <v>0</v>
      </c>
      <c r="J363" s="390">
        <f>'TAMUCT FGD'!$J$21</f>
        <v>0</v>
      </c>
      <c r="K363" s="390">
        <f>'TAMUCT FGD'!$K$21</f>
        <v>0</v>
      </c>
      <c r="L363" s="390">
        <f>'TAMUCT FGD'!$L$21</f>
        <v>0</v>
      </c>
      <c r="M363" s="390">
        <f>'TAMUCT FGD'!$M$21</f>
        <v>0</v>
      </c>
      <c r="N363" s="401"/>
    </row>
    <row r="364" spans="1:14" s="171" customFormat="1" ht="12.75" hidden="1" customHeight="1" outlineLevel="1">
      <c r="A364" s="166"/>
      <c r="B364" s="674" t="str">
        <f>'TAMUG FGD'!$B$2</f>
        <v>Texas A&amp;M University at Galveston</v>
      </c>
      <c r="C364" s="261"/>
      <c r="D364" s="390">
        <f>'TAMUG FGD'!$D$21</f>
        <v>0</v>
      </c>
      <c r="E364" s="390">
        <f>'TAMUG FGD'!$E$21</f>
        <v>0</v>
      </c>
      <c r="F364" s="390">
        <f>'TAMUG FGD'!$F$21</f>
        <v>0</v>
      </c>
      <c r="G364" s="390">
        <f>'TAMUG FGD'!$G$21</f>
        <v>0</v>
      </c>
      <c r="H364" s="390">
        <f>'TAMUG FGD'!$H$21</f>
        <v>0</v>
      </c>
      <c r="I364" s="390">
        <f>'TAMUG FGD'!$I$21</f>
        <v>0</v>
      </c>
      <c r="J364" s="390">
        <f>'TAMUG FGD'!$J$21</f>
        <v>0</v>
      </c>
      <c r="K364" s="390">
        <f>'TAMUG FGD'!$K$21</f>
        <v>0</v>
      </c>
      <c r="L364" s="390">
        <f>'TAMUG FGD'!$L$21</f>
        <v>0</v>
      </c>
      <c r="M364" s="390">
        <f>'TAMUG FGD'!$M$21</f>
        <v>0</v>
      </c>
      <c r="N364" s="401"/>
    </row>
    <row r="365" spans="1:14" s="171" customFormat="1" ht="12.75" hidden="1" customHeight="1" outlineLevel="1">
      <c r="A365" s="166"/>
      <c r="B365" s="674" t="str">
        <f>'TAMUK FGD'!$B$2</f>
        <v>Texas A&amp;M University - Kingsville</v>
      </c>
      <c r="C365" s="261"/>
      <c r="D365" s="390">
        <f>'TAMUK FGD'!$D$21</f>
        <v>0</v>
      </c>
      <c r="E365" s="390">
        <f>'TAMUK FGD'!$E$21</f>
        <v>0</v>
      </c>
      <c r="F365" s="390">
        <f>'TAMUK FGD'!$F$21</f>
        <v>0</v>
      </c>
      <c r="G365" s="390">
        <f>'TAMUK FGD'!$G$21</f>
        <v>0</v>
      </c>
      <c r="H365" s="390">
        <f>'TAMUK FGD'!$H$21</f>
        <v>0</v>
      </c>
      <c r="I365" s="390">
        <f>'TAMUK FGD'!$I$21</f>
        <v>0</v>
      </c>
      <c r="J365" s="390">
        <f>'TAMUK FGD'!$J$21</f>
        <v>0</v>
      </c>
      <c r="K365" s="390">
        <f>'TAMUK FGD'!$K$21</f>
        <v>0</v>
      </c>
      <c r="L365" s="390">
        <f>'TAMUK FGD'!$L$21</f>
        <v>0</v>
      </c>
      <c r="M365" s="390">
        <f>'TAMUK FGD'!$M$21</f>
        <v>0</v>
      </c>
      <c r="N365" s="401"/>
    </row>
    <row r="366" spans="1:14" s="171" customFormat="1" ht="12.75" hidden="1" customHeight="1" outlineLevel="1">
      <c r="A366" s="166"/>
      <c r="B366" s="674" t="str">
        <f>'TAMUSA FGD'!$B$2</f>
        <v>Texas A&amp;M University - San Antonio</v>
      </c>
      <c r="C366" s="261"/>
      <c r="D366" s="390">
        <f>'TAMUSA FGD'!$D$21</f>
        <v>0</v>
      </c>
      <c r="E366" s="390">
        <f>'TAMUSA FGD'!$E$21</f>
        <v>0</v>
      </c>
      <c r="F366" s="390">
        <f>'TAMUSA FGD'!$F$21</f>
        <v>0</v>
      </c>
      <c r="G366" s="390">
        <f>'TAMUSA FGD'!$G$21</f>
        <v>0</v>
      </c>
      <c r="H366" s="390">
        <f>'TAMUSA FGD'!$H$21</f>
        <v>0</v>
      </c>
      <c r="I366" s="390">
        <f>'TAMUSA FGD'!$I$21</f>
        <v>0</v>
      </c>
      <c r="J366" s="390">
        <f>'TAMUSA FGD'!$J$21</f>
        <v>0</v>
      </c>
      <c r="K366" s="390">
        <f>'TAMUSA FGD'!$K$21</f>
        <v>0</v>
      </c>
      <c r="L366" s="390">
        <f>'TAMUSA FGD'!$L$21</f>
        <v>0</v>
      </c>
      <c r="M366" s="390">
        <f>'TAMUSA FGD'!$M$21</f>
        <v>0</v>
      </c>
      <c r="N366" s="401"/>
    </row>
    <row r="367" spans="1:14" s="171" customFormat="1" ht="12.75" hidden="1" customHeight="1" outlineLevel="1">
      <c r="A367" s="166"/>
      <c r="B367" s="674" t="str">
        <f>'TAMUT FGD'!$B$2</f>
        <v>Texas A&amp;M University - Texarkana</v>
      </c>
      <c r="C367" s="261"/>
      <c r="D367" s="390">
        <f>'TAMUT FGD'!$D$21</f>
        <v>0</v>
      </c>
      <c r="E367" s="390">
        <f>'TAMUT FGD'!$E$21</f>
        <v>0</v>
      </c>
      <c r="F367" s="390">
        <f>'TAMUT FGD'!$F$21</f>
        <v>0</v>
      </c>
      <c r="G367" s="390">
        <f>'TAMUT FGD'!$G$21</f>
        <v>0</v>
      </c>
      <c r="H367" s="390">
        <f>'TAMUT FGD'!$H$21</f>
        <v>0</v>
      </c>
      <c r="I367" s="390">
        <f>'TAMUT FGD'!$I$21</f>
        <v>0</v>
      </c>
      <c r="J367" s="390">
        <f>'TAMUT FGD'!$J$21</f>
        <v>0</v>
      </c>
      <c r="K367" s="390">
        <f>'TAMUT FGD'!$K$21</f>
        <v>0</v>
      </c>
      <c r="L367" s="390">
        <f>'TAMUT FGD'!$L$21</f>
        <v>0</v>
      </c>
      <c r="M367" s="390">
        <f>'TAMUT FGD'!$M$21</f>
        <v>0</v>
      </c>
      <c r="N367" s="401"/>
    </row>
    <row r="368" spans="1:14" s="171" customFormat="1" ht="12.75" hidden="1" customHeight="1" outlineLevel="1">
      <c r="A368" s="166"/>
      <c r="B368" s="674" t="str">
        <f>'TARLST FGD'!$B$2</f>
        <v>Tarleton State University</v>
      </c>
      <c r="C368" s="261"/>
      <c r="D368" s="390">
        <f>'TARLST FGD'!$D$21</f>
        <v>0</v>
      </c>
      <c r="E368" s="390">
        <f>'TARLST FGD'!$E$21</f>
        <v>0</v>
      </c>
      <c r="F368" s="390">
        <f>'TARLST FGD'!$F$21</f>
        <v>0</v>
      </c>
      <c r="G368" s="390">
        <f>'TARLST FGD'!$G$21</f>
        <v>0</v>
      </c>
      <c r="H368" s="390">
        <f>'TARLST FGD'!$H$21</f>
        <v>0</v>
      </c>
      <c r="I368" s="390">
        <f>'TARLST FGD'!$I$21</f>
        <v>0</v>
      </c>
      <c r="J368" s="390">
        <f>'TARLST FGD'!$J$21</f>
        <v>0</v>
      </c>
      <c r="K368" s="390">
        <f>'TARLST FGD'!$K$21</f>
        <v>0</v>
      </c>
      <c r="L368" s="390">
        <f>'TARLST FGD'!$L$21</f>
        <v>0</v>
      </c>
      <c r="M368" s="390">
        <f>'TARLST FGD'!$M$21</f>
        <v>0</v>
      </c>
      <c r="N368" s="401"/>
    </row>
    <row r="369" spans="1:14" s="171" customFormat="1" ht="12.75" hidden="1" customHeight="1" outlineLevel="1">
      <c r="A369" s="166"/>
      <c r="B369" s="674" t="str">
        <f>'TSU FGD'!$B$2</f>
        <v>Texas Southern University</v>
      </c>
      <c r="C369" s="261"/>
      <c r="D369" s="390">
        <f>'TSU FGD'!$D$21</f>
        <v>0</v>
      </c>
      <c r="E369" s="390">
        <f>'TSU FGD'!$E$21</f>
        <v>0</v>
      </c>
      <c r="F369" s="390">
        <f>'TSU FGD'!$F$21</f>
        <v>0</v>
      </c>
      <c r="G369" s="390">
        <f>'TSU FGD'!$G$21</f>
        <v>0</v>
      </c>
      <c r="H369" s="390">
        <f>'TSU FGD'!$H$21</f>
        <v>0</v>
      </c>
      <c r="I369" s="390">
        <f>'TSU FGD'!$I$21</f>
        <v>0</v>
      </c>
      <c r="J369" s="390">
        <f>'TSU FGD'!$J$21</f>
        <v>0</v>
      </c>
      <c r="K369" s="390">
        <f>'TSU FGD'!$K$21</f>
        <v>0</v>
      </c>
      <c r="L369" s="390">
        <f>'TSU FGD'!$L$21</f>
        <v>0</v>
      </c>
      <c r="M369" s="390">
        <f>'TSU FGD'!$M$21</f>
        <v>0</v>
      </c>
      <c r="N369" s="401"/>
    </row>
    <row r="370" spans="1:14" s="171" customFormat="1" ht="12.75" hidden="1" customHeight="1" outlineLevel="1">
      <c r="A370" s="166"/>
      <c r="B370" s="674" t="str">
        <f>'TTU FGD'!$B$2</f>
        <v>Texas Tech University</v>
      </c>
      <c r="C370" s="261"/>
      <c r="D370" s="390">
        <f>'TTU FGD'!$D$21</f>
        <v>0</v>
      </c>
      <c r="E370" s="390">
        <f>'TTU FGD'!$E$21</f>
        <v>0</v>
      </c>
      <c r="F370" s="390">
        <f>'TTU FGD'!$F$21</f>
        <v>0</v>
      </c>
      <c r="G370" s="390">
        <f>'TTU FGD'!$G$21</f>
        <v>0</v>
      </c>
      <c r="H370" s="390">
        <f>'TTU FGD'!$H$21</f>
        <v>0</v>
      </c>
      <c r="I370" s="390">
        <f>'TTU FGD'!$I$21</f>
        <v>0</v>
      </c>
      <c r="J370" s="390">
        <f>'TTU FGD'!$J$21</f>
        <v>0</v>
      </c>
      <c r="K370" s="390">
        <f>'TTU FGD'!$K$21</f>
        <v>0</v>
      </c>
      <c r="L370" s="390">
        <f>'TTU FGD'!$L$21</f>
        <v>0</v>
      </c>
      <c r="M370" s="390">
        <f>'TTU FGD'!$M$21</f>
        <v>0</v>
      </c>
      <c r="N370" s="401"/>
    </row>
    <row r="371" spans="1:14" s="171" customFormat="1" ht="12.75" hidden="1" customHeight="1" outlineLevel="1">
      <c r="A371" s="166"/>
      <c r="B371" s="674" t="str">
        <f>'TWU FGD'!$B$2</f>
        <v>Texas Woman's University</v>
      </c>
      <c r="C371" s="261"/>
      <c r="D371" s="390">
        <f>'TWU FGD'!$D$21</f>
        <v>0</v>
      </c>
      <c r="E371" s="390">
        <f>'TWU FGD'!$E$21</f>
        <v>0</v>
      </c>
      <c r="F371" s="390">
        <f>'TWU FGD'!$F$21</f>
        <v>0</v>
      </c>
      <c r="G371" s="390">
        <f>'TWU FGD'!$G$21</f>
        <v>0</v>
      </c>
      <c r="H371" s="390">
        <f>'TWU FGD'!$H$21</f>
        <v>0</v>
      </c>
      <c r="I371" s="390">
        <f>'TWU FGD'!$I$21</f>
        <v>0</v>
      </c>
      <c r="J371" s="390">
        <f>'TWU FGD'!$J$21</f>
        <v>0</v>
      </c>
      <c r="K371" s="390">
        <f>'TWU FGD'!$K$21</f>
        <v>0</v>
      </c>
      <c r="L371" s="390">
        <f>'TWU FGD'!$L$21</f>
        <v>0</v>
      </c>
      <c r="M371" s="390">
        <f>'TWU FGD'!$M$21</f>
        <v>0</v>
      </c>
      <c r="N371" s="401"/>
    </row>
    <row r="372" spans="1:14" s="171" customFormat="1" ht="12.75" hidden="1" customHeight="1" outlineLevel="1">
      <c r="A372" s="166"/>
      <c r="B372" s="674" t="str">
        <f>'TXST FGD'!$B$2</f>
        <v>Texas State University</v>
      </c>
      <c r="C372" s="261"/>
      <c r="D372" s="390">
        <f>'TXST FGD'!$D$21</f>
        <v>0</v>
      </c>
      <c r="E372" s="390">
        <f>'TXST FGD'!$E$21</f>
        <v>0</v>
      </c>
      <c r="F372" s="390">
        <f>'TXST FGD'!$F$21</f>
        <v>0</v>
      </c>
      <c r="G372" s="390">
        <f>'TXST FGD'!$G$21</f>
        <v>0</v>
      </c>
      <c r="H372" s="390">
        <f>'TXST FGD'!$H$21</f>
        <v>0</v>
      </c>
      <c r="I372" s="390">
        <f>'TXST FGD'!$I$21</f>
        <v>0</v>
      </c>
      <c r="J372" s="390">
        <f>'TXST FGD'!$J$21</f>
        <v>0</v>
      </c>
      <c r="K372" s="390">
        <f>'TXST FGD'!$K$21</f>
        <v>0</v>
      </c>
      <c r="L372" s="390">
        <f>'TXST FGD'!$L$21</f>
        <v>0</v>
      </c>
      <c r="M372" s="390">
        <f>'TXST FGD'!$M$21</f>
        <v>0</v>
      </c>
      <c r="N372" s="401"/>
    </row>
    <row r="373" spans="1:14" s="171" customFormat="1" ht="12.75" hidden="1" customHeight="1" outlineLevel="1">
      <c r="A373" s="166"/>
      <c r="B373" s="674" t="str">
        <f>'TYL FGD'!$B$2</f>
        <v>The University of Texas at Tyler</v>
      </c>
      <c r="C373" s="261"/>
      <c r="D373" s="390">
        <f>'TYL FGD'!$D$21</f>
        <v>0</v>
      </c>
      <c r="E373" s="390">
        <f>'TYL FGD'!$E$21</f>
        <v>0</v>
      </c>
      <c r="F373" s="390">
        <f>'TYL FGD'!$F$21</f>
        <v>0</v>
      </c>
      <c r="G373" s="390">
        <f>'TYL FGD'!$G$21</f>
        <v>0</v>
      </c>
      <c r="H373" s="390">
        <f>'TYL FGD'!$H$21</f>
        <v>0</v>
      </c>
      <c r="I373" s="390">
        <f>'TYL FGD'!$I$21</f>
        <v>0</v>
      </c>
      <c r="J373" s="390">
        <f>'TYL FGD'!$J$21</f>
        <v>0</v>
      </c>
      <c r="K373" s="390">
        <f>'TYL FGD'!$K$21</f>
        <v>0</v>
      </c>
      <c r="L373" s="390">
        <f>'TYL FGD'!$L$21</f>
        <v>0</v>
      </c>
      <c r="M373" s="390">
        <f>'TYL FGD'!$M$21</f>
        <v>0</v>
      </c>
      <c r="N373" s="401"/>
    </row>
    <row r="374" spans="1:14" s="171" customFormat="1" ht="12.75" hidden="1" customHeight="1" outlineLevel="1">
      <c r="A374" s="166"/>
      <c r="B374" s="674" t="str">
        <f>'UH1 FGD'!$B$2</f>
        <v>University of Houston - Academic &amp; Health (A+H)</v>
      </c>
      <c r="C374" s="261"/>
      <c r="D374" s="390">
        <f>'UH1 FGD'!$D$21</f>
        <v>0</v>
      </c>
      <c r="E374" s="390">
        <f>'UH1 FGD'!$E$21</f>
        <v>0</v>
      </c>
      <c r="F374" s="390">
        <f>'UH1 FGD'!$F$21</f>
        <v>0</v>
      </c>
      <c r="G374" s="390">
        <f>'UH1 FGD'!$G$21</f>
        <v>0</v>
      </c>
      <c r="H374" s="390">
        <f>'UH1 FGD'!$H$21</f>
        <v>0</v>
      </c>
      <c r="I374" s="390">
        <f>'UH1 FGD'!$I$21</f>
        <v>0</v>
      </c>
      <c r="J374" s="390">
        <f>'UH1 FGD'!$J$21</f>
        <v>0</v>
      </c>
      <c r="K374" s="390">
        <f>'UH1 FGD'!$K$21</f>
        <v>0</v>
      </c>
      <c r="L374" s="390">
        <f>'UH1 FGD'!$L$21</f>
        <v>0</v>
      </c>
      <c r="M374" s="390">
        <f>'UH1 FGD'!$M$21</f>
        <v>0</v>
      </c>
      <c r="N374" s="401"/>
    </row>
    <row r="375" spans="1:14" s="171" customFormat="1" ht="12.75" hidden="1" customHeight="1" outlineLevel="1">
      <c r="A375" s="166"/>
      <c r="B375" s="674" t="str">
        <f>'UHCL FGD'!$B$2</f>
        <v>University of Houston - Clear Lake</v>
      </c>
      <c r="C375" s="261"/>
      <c r="D375" s="390">
        <f>'UHCL FGD'!$D$21</f>
        <v>0</v>
      </c>
      <c r="E375" s="390">
        <f>'UHCL FGD'!$E$21</f>
        <v>0</v>
      </c>
      <c r="F375" s="390">
        <f>'UHCL FGD'!$F$21</f>
        <v>0</v>
      </c>
      <c r="G375" s="390">
        <f>'UHCL FGD'!$G$21</f>
        <v>0</v>
      </c>
      <c r="H375" s="390">
        <f>'UHCL FGD'!$H$21</f>
        <v>0</v>
      </c>
      <c r="I375" s="390">
        <f>'UHCL FGD'!$I$21</f>
        <v>0</v>
      </c>
      <c r="J375" s="390">
        <f>'UHCL FGD'!$J$21</f>
        <v>0</v>
      </c>
      <c r="K375" s="390">
        <f>'UHCL FGD'!$K$21</f>
        <v>0</v>
      </c>
      <c r="L375" s="390">
        <f>'UHCL FGD'!$L$21</f>
        <v>0</v>
      </c>
      <c r="M375" s="390">
        <f>'UHCL FGD'!$M$21</f>
        <v>0</v>
      </c>
      <c r="N375" s="401"/>
    </row>
    <row r="376" spans="1:14" s="171" customFormat="1" ht="12.75" hidden="1" customHeight="1" outlineLevel="1">
      <c r="A376" s="166"/>
      <c r="B376" s="674" t="str">
        <f>'UHD FGD'!$B$2</f>
        <v>University of Houston - Downtown</v>
      </c>
      <c r="C376" s="261"/>
      <c r="D376" s="390">
        <f>'UHD FGD'!$D$21</f>
        <v>0</v>
      </c>
      <c r="E376" s="390">
        <f>'UHD FGD'!$E$21</f>
        <v>0</v>
      </c>
      <c r="F376" s="390">
        <f>'UHD FGD'!$F$21</f>
        <v>0</v>
      </c>
      <c r="G376" s="390">
        <f>'UHD FGD'!$G$21</f>
        <v>0</v>
      </c>
      <c r="H376" s="390">
        <f>'UHD FGD'!$H$21</f>
        <v>0</v>
      </c>
      <c r="I376" s="390">
        <f>'UHD FGD'!$I$21</f>
        <v>0</v>
      </c>
      <c r="J376" s="390">
        <f>'UHD FGD'!$J$21</f>
        <v>0</v>
      </c>
      <c r="K376" s="390">
        <f>'UHD FGD'!$K$21</f>
        <v>0</v>
      </c>
      <c r="L376" s="390">
        <f>'UHD FGD'!$L$21</f>
        <v>0</v>
      </c>
      <c r="M376" s="390">
        <f>'UHD FGD'!$M$21</f>
        <v>0</v>
      </c>
      <c r="N376" s="401"/>
    </row>
    <row r="377" spans="1:14" s="171" customFormat="1" ht="12.75" hidden="1" customHeight="1" outlineLevel="1">
      <c r="A377" s="166"/>
      <c r="B377" s="674" t="str">
        <f>'UHV FGD'!$B$2</f>
        <v>University of Houston - Victoria</v>
      </c>
      <c r="C377" s="261"/>
      <c r="D377" s="390">
        <f>'UHV FGD'!$D$21</f>
        <v>0</v>
      </c>
      <c r="E377" s="390">
        <f>'UHV FGD'!$E$21</f>
        <v>0</v>
      </c>
      <c r="F377" s="390">
        <f>'UHV FGD'!$F$21</f>
        <v>0</v>
      </c>
      <c r="G377" s="390">
        <f>'UHV FGD'!$G$21</f>
        <v>0</v>
      </c>
      <c r="H377" s="390">
        <f>'UHV FGD'!$H$21</f>
        <v>0</v>
      </c>
      <c r="I377" s="390">
        <f>'UHV FGD'!$I$21</f>
        <v>0</v>
      </c>
      <c r="J377" s="390">
        <f>'UHV FGD'!$J$21</f>
        <v>0</v>
      </c>
      <c r="K377" s="390">
        <f>'UHV FGD'!$K$21</f>
        <v>0</v>
      </c>
      <c r="L377" s="390">
        <f>'UHV FGD'!$L$21</f>
        <v>0</v>
      </c>
      <c r="M377" s="390">
        <f>'UHV FGD'!$M$21</f>
        <v>0</v>
      </c>
      <c r="N377" s="401"/>
    </row>
    <row r="378" spans="1:14" s="171" customFormat="1" ht="12.75" hidden="1" customHeight="1" outlineLevel="1">
      <c r="A378" s="166"/>
      <c r="B378" s="674" t="str">
        <f>'UNT FGD'!$B$2</f>
        <v>University of North Texas</v>
      </c>
      <c r="C378" s="261"/>
      <c r="D378" s="390">
        <f>'UNT FGD'!$D$21</f>
        <v>-2867096</v>
      </c>
      <c r="E378" s="390">
        <f>'UNT FGD'!$E$21</f>
        <v>-18297157</v>
      </c>
      <c r="F378" s="390">
        <f>'UNT FGD'!$F$21</f>
        <v>0</v>
      </c>
      <c r="G378" s="390">
        <f>'UNT FGD'!$G$21</f>
        <v>0</v>
      </c>
      <c r="H378" s="390">
        <f>'UNT FGD'!$H$21</f>
        <v>0</v>
      </c>
      <c r="I378" s="390">
        <f>'UNT FGD'!$I$21</f>
        <v>0</v>
      </c>
      <c r="J378" s="390">
        <f>'UNT FGD'!$J$21</f>
        <v>0</v>
      </c>
      <c r="K378" s="390">
        <f>'UNT FGD'!$K$21</f>
        <v>0</v>
      </c>
      <c r="L378" s="390">
        <f>'UNT FGD'!$L$21</f>
        <v>0</v>
      </c>
      <c r="M378" s="390">
        <f>'UNT FGD'!$M$21</f>
        <v>-21164253</v>
      </c>
      <c r="N378" s="401"/>
    </row>
    <row r="379" spans="1:14" s="171" customFormat="1" ht="12.75" hidden="1" customHeight="1" outlineLevel="1">
      <c r="A379" s="166"/>
      <c r="B379" s="674" t="str">
        <f>'UNTD FGD'!$B$2</f>
        <v>University of North Texas at Dallas</v>
      </c>
      <c r="C379" s="261"/>
      <c r="D379" s="390">
        <f>'UNTD FGD'!$D$21</f>
        <v>-417459</v>
      </c>
      <c r="E379" s="390">
        <f>'UNTD FGD'!$E$21</f>
        <v>-1101672</v>
      </c>
      <c r="F379" s="390">
        <f>'UNTD FGD'!$F$21</f>
        <v>0</v>
      </c>
      <c r="G379" s="390">
        <f>'UNTD FGD'!$G$21</f>
        <v>0</v>
      </c>
      <c r="H379" s="390">
        <f>'UNTD FGD'!$H$21</f>
        <v>0</v>
      </c>
      <c r="I379" s="390">
        <f>'UNTD FGD'!$I$21</f>
        <v>0</v>
      </c>
      <c r="J379" s="390">
        <f>'UNTD FGD'!$J$21</f>
        <v>0</v>
      </c>
      <c r="K379" s="390">
        <f>'UNTD FGD'!$K$21</f>
        <v>0</v>
      </c>
      <c r="L379" s="390">
        <f>'UNTD FGD'!$L$21</f>
        <v>0</v>
      </c>
      <c r="M379" s="390">
        <f>'UNTD FGD'!$M$21</f>
        <v>-1519131</v>
      </c>
      <c r="N379" s="401"/>
    </row>
    <row r="380" spans="1:14" s="171" customFormat="1" ht="12.75" hidden="1" customHeight="1" outlineLevel="1">
      <c r="A380" s="166"/>
      <c r="B380" s="674" t="str">
        <f>'WTAMU FGD'!$B$2</f>
        <v>West Texas A&amp;M University</v>
      </c>
      <c r="C380" s="261"/>
      <c r="D380" s="390">
        <f>'WTAMU FGD'!$D$21</f>
        <v>0</v>
      </c>
      <c r="E380" s="390">
        <f>'WTAMU FGD'!$E$21</f>
        <v>0</v>
      </c>
      <c r="F380" s="390">
        <f>'WTAMU FGD'!$F$21</f>
        <v>0</v>
      </c>
      <c r="G380" s="390">
        <f>'WTAMU FGD'!$G$21</f>
        <v>0</v>
      </c>
      <c r="H380" s="390">
        <f>'WTAMU FGD'!$H$21</f>
        <v>0</v>
      </c>
      <c r="I380" s="390">
        <f>'WTAMU FGD'!$I$21</f>
        <v>0</v>
      </c>
      <c r="J380" s="390">
        <f>'WTAMU FGD'!$J$21</f>
        <v>0</v>
      </c>
      <c r="K380" s="390">
        <f>'WTAMU FGD'!$K$21</f>
        <v>0</v>
      </c>
      <c r="L380" s="390">
        <f>'WTAMU FGD'!$L$21</f>
        <v>0</v>
      </c>
      <c r="M380" s="390">
        <f>'WTAMU FGD'!$M$21</f>
        <v>0</v>
      </c>
      <c r="N380" s="401"/>
    </row>
    <row r="381" spans="1:14" s="171" customFormat="1" collapsed="1">
      <c r="A381" s="166"/>
      <c r="B381" s="261" t="s">
        <v>724</v>
      </c>
      <c r="C381" s="261"/>
      <c r="D381" s="390">
        <f t="shared" ref="D381:M381" si="9">SUM(D345:D380)</f>
        <v>-3908989</v>
      </c>
      <c r="E381" s="390">
        <f t="shared" si="9"/>
        <v>-19793366</v>
      </c>
      <c r="F381" s="390">
        <f t="shared" si="9"/>
        <v>0</v>
      </c>
      <c r="G381" s="390">
        <f t="shared" si="9"/>
        <v>0</v>
      </c>
      <c r="H381" s="390">
        <f t="shared" si="9"/>
        <v>0</v>
      </c>
      <c r="I381" s="390">
        <f t="shared" si="9"/>
        <v>0</v>
      </c>
      <c r="J381" s="390">
        <f t="shared" si="9"/>
        <v>0</v>
      </c>
      <c r="K381" s="390">
        <f t="shared" si="9"/>
        <v>0</v>
      </c>
      <c r="L381" s="390">
        <f t="shared" si="9"/>
        <v>0</v>
      </c>
      <c r="M381" s="390">
        <f t="shared" si="9"/>
        <v>-23702355</v>
      </c>
      <c r="N381" s="401"/>
    </row>
    <row r="382" spans="1:14" s="171" customFormat="1" ht="12.75" hidden="1" customHeight="1" outlineLevel="1">
      <c r="A382" s="166"/>
      <c r="B382" s="674" t="str">
        <f>'ARL FGD'!$B$2</f>
        <v>The University of Texas at Arlington</v>
      </c>
      <c r="C382" s="261"/>
      <c r="D382" s="390">
        <f>'ARL FGD'!$D$22</f>
        <v>0</v>
      </c>
      <c r="E382" s="390">
        <f>'ARL FGD'!$E$22</f>
        <v>0</v>
      </c>
      <c r="F382" s="390">
        <f>'ARL FGD'!$F$22</f>
        <v>0</v>
      </c>
      <c r="G382" s="390">
        <f>'ARL FGD'!$G$22</f>
        <v>0</v>
      </c>
      <c r="H382" s="390">
        <f>'ARL FGD'!$H$22</f>
        <v>0</v>
      </c>
      <c r="I382" s="390">
        <f>'ARL FGD'!$I$22</f>
        <v>0</v>
      </c>
      <c r="J382" s="390">
        <f>'ARL FGD'!$J$22</f>
        <v>0</v>
      </c>
      <c r="K382" s="390">
        <f>'ARL FGD'!$K$22</f>
        <v>0</v>
      </c>
      <c r="L382" s="390">
        <f>'ARL FGD'!$L$22</f>
        <v>0</v>
      </c>
      <c r="M382" s="390">
        <f>'ARL FGD'!$M$22</f>
        <v>0</v>
      </c>
      <c r="N382" s="401"/>
    </row>
    <row r="383" spans="1:14" s="171" customFormat="1" ht="12.75" hidden="1" customHeight="1" outlineLevel="1">
      <c r="A383" s="166"/>
      <c r="B383" s="674" t="str">
        <f>'ASU FGD'!$B$2</f>
        <v>Angelo State University</v>
      </c>
      <c r="C383" s="261"/>
      <c r="D383" s="390">
        <f>'ASU FGD'!$D$22</f>
        <v>0</v>
      </c>
      <c r="E383" s="390">
        <f>'ASU FGD'!$E$22</f>
        <v>0</v>
      </c>
      <c r="F383" s="390">
        <f>'ASU FGD'!$F$22</f>
        <v>0</v>
      </c>
      <c r="G383" s="390">
        <f>'ASU FGD'!$G$22</f>
        <v>0</v>
      </c>
      <c r="H383" s="390">
        <f>'ASU FGD'!$H$22</f>
        <v>0</v>
      </c>
      <c r="I383" s="390">
        <f>'ASU FGD'!$I$22</f>
        <v>0</v>
      </c>
      <c r="J383" s="390">
        <f>'ASU FGD'!$J$22</f>
        <v>0</v>
      </c>
      <c r="K383" s="390">
        <f>'ASU FGD'!$K$22</f>
        <v>0</v>
      </c>
      <c r="L383" s="390">
        <f>'ASU FGD'!$L$22</f>
        <v>0</v>
      </c>
      <c r="M383" s="390">
        <f>'ASU FGD'!$M$22</f>
        <v>0</v>
      </c>
      <c r="N383" s="401"/>
    </row>
    <row r="384" spans="1:14" s="171" customFormat="1" ht="12.75" hidden="1" customHeight="1" outlineLevel="1">
      <c r="A384" s="166"/>
      <c r="B384" s="674" t="str">
        <f>'AUS1 FGD'!$B$2</f>
        <v>The University of Texas at Austin - Academic &amp; Health (A+H)</v>
      </c>
      <c r="C384" s="261"/>
      <c r="D384" s="390">
        <f>'AUS1 FGD'!$D$22</f>
        <v>0</v>
      </c>
      <c r="E384" s="390">
        <f>'AUS1 FGD'!$E$22</f>
        <v>0</v>
      </c>
      <c r="F384" s="390">
        <f>'AUS1 FGD'!$F$22</f>
        <v>0</v>
      </c>
      <c r="G384" s="390">
        <f>'AUS1 FGD'!$G$22</f>
        <v>0</v>
      </c>
      <c r="H384" s="390">
        <f>'AUS1 FGD'!$H$22</f>
        <v>0</v>
      </c>
      <c r="I384" s="390">
        <f>'AUS1 FGD'!$I$22</f>
        <v>0</v>
      </c>
      <c r="J384" s="390">
        <f>'AUS1 FGD'!$J$22</f>
        <v>0</v>
      </c>
      <c r="K384" s="390">
        <f>'AUS1 FGD'!$K$22</f>
        <v>0</v>
      </c>
      <c r="L384" s="390">
        <f>'AUS1 FGD'!$L$22</f>
        <v>0</v>
      </c>
      <c r="M384" s="390">
        <f>'AUS1 FGD'!$M$22</f>
        <v>0</v>
      </c>
      <c r="N384" s="401"/>
    </row>
    <row r="385" spans="1:14" s="171" customFormat="1" ht="12.75" hidden="1" customHeight="1" outlineLevel="1">
      <c r="A385" s="166"/>
      <c r="B385" s="674" t="str">
        <f>'RGV1 FGD'!$B$2</f>
        <v>The University of Texas RGV - Academic &amp; Health (A+H)</v>
      </c>
      <c r="C385" s="261"/>
      <c r="D385" s="390">
        <f>'RGV1 FGD'!$D$22</f>
        <v>0</v>
      </c>
      <c r="E385" s="390">
        <f>'RGV1 FGD'!$E$22</f>
        <v>0</v>
      </c>
      <c r="F385" s="390">
        <f>'RGV1 FGD'!$F$22</f>
        <v>0</v>
      </c>
      <c r="G385" s="390">
        <f>'RGV1 FGD'!$G$22</f>
        <v>0</v>
      </c>
      <c r="H385" s="390">
        <f>'RGV1 FGD'!$H$22</f>
        <v>0</v>
      </c>
      <c r="I385" s="390">
        <f>'RGV1 FGD'!$I$22</f>
        <v>0</v>
      </c>
      <c r="J385" s="390">
        <f>'RGV1 FGD'!$J$22</f>
        <v>0</v>
      </c>
      <c r="K385" s="390">
        <f>'RGV1 FGD'!$K$22</f>
        <v>0</v>
      </c>
      <c r="L385" s="390">
        <f>'RGV1 FGD'!$L$22</f>
        <v>0</v>
      </c>
      <c r="M385" s="390">
        <f>'RGV1 FGD'!$M$22</f>
        <v>0</v>
      </c>
      <c r="N385" s="401"/>
    </row>
    <row r="386" spans="1:14" s="171" customFormat="1" ht="12.75" hidden="1" customHeight="1" outlineLevel="1">
      <c r="A386" s="166"/>
      <c r="B386" s="674" t="str">
        <f>'DAL FGD'!$B$2</f>
        <v>The University of Texas at Dallas</v>
      </c>
      <c r="C386" s="261"/>
      <c r="D386" s="390">
        <f>'DAL FGD'!$D$22</f>
        <v>0</v>
      </c>
      <c r="E386" s="390">
        <f>'DAL FGD'!$E$22</f>
        <v>0</v>
      </c>
      <c r="F386" s="390">
        <f>'DAL FGD'!$F$22</f>
        <v>0</v>
      </c>
      <c r="G386" s="390">
        <f>'DAL FGD'!$G$22</f>
        <v>0</v>
      </c>
      <c r="H386" s="390">
        <f>'DAL FGD'!$H$22</f>
        <v>0</v>
      </c>
      <c r="I386" s="390">
        <f>'DAL FGD'!$I$22</f>
        <v>0</v>
      </c>
      <c r="J386" s="390">
        <f>'DAL FGD'!$J$22</f>
        <v>0</v>
      </c>
      <c r="K386" s="390">
        <f>'DAL FGD'!$K$22</f>
        <v>0</v>
      </c>
      <c r="L386" s="390">
        <f>'DAL FGD'!$L$22</f>
        <v>0</v>
      </c>
      <c r="M386" s="390">
        <f>'DAL FGD'!$M$22</f>
        <v>0</v>
      </c>
      <c r="N386" s="401"/>
    </row>
    <row r="387" spans="1:14" s="171" customFormat="1" ht="12.75" hidden="1" customHeight="1" outlineLevel="1">
      <c r="A387" s="166"/>
      <c r="B387" s="674" t="str">
        <f>'E-P FGD'!$B$2</f>
        <v>The University of Texas at El Paso</v>
      </c>
      <c r="C387" s="261"/>
      <c r="D387" s="390">
        <f>'E-P FGD'!$D$22</f>
        <v>0</v>
      </c>
      <c r="E387" s="390">
        <f>'E-P FGD'!$E$22</f>
        <v>0</v>
      </c>
      <c r="F387" s="390">
        <f>'E-P FGD'!$F$22</f>
        <v>0</v>
      </c>
      <c r="G387" s="390">
        <f>'E-P FGD'!$G$22</f>
        <v>0</v>
      </c>
      <c r="H387" s="390">
        <f>'E-P FGD'!$H$22</f>
        <v>0</v>
      </c>
      <c r="I387" s="390">
        <f>'E-P FGD'!$I$22</f>
        <v>0</v>
      </c>
      <c r="J387" s="390">
        <f>'E-P FGD'!$J$22</f>
        <v>0</v>
      </c>
      <c r="K387" s="390">
        <f>'E-P FGD'!$K$22</f>
        <v>0</v>
      </c>
      <c r="L387" s="390">
        <f>'E-P FGD'!$L$22</f>
        <v>0</v>
      </c>
      <c r="M387" s="390">
        <f>'E-P FGD'!$M$22</f>
        <v>0</v>
      </c>
      <c r="N387" s="401"/>
    </row>
    <row r="388" spans="1:14" s="171" customFormat="1" ht="12.75" hidden="1" customHeight="1" outlineLevel="1">
      <c r="A388" s="166"/>
      <c r="B388" s="674" t="str">
        <f>'LU FGD'!$B$2</f>
        <v xml:space="preserve">Lamar University </v>
      </c>
      <c r="C388" s="261"/>
      <c r="D388" s="390">
        <f>'LU FGD'!$D$22</f>
        <v>0</v>
      </c>
      <c r="E388" s="390">
        <f>'LU FGD'!$E$22</f>
        <v>0</v>
      </c>
      <c r="F388" s="390">
        <f>'LU FGD'!$F$22</f>
        <v>0</v>
      </c>
      <c r="G388" s="390">
        <f>'LU FGD'!$G$22</f>
        <v>0</v>
      </c>
      <c r="H388" s="390">
        <f>'LU FGD'!$H$22</f>
        <v>0</v>
      </c>
      <c r="I388" s="390">
        <f>'LU FGD'!$I$22</f>
        <v>0</v>
      </c>
      <c r="J388" s="390">
        <f>'LU FGD'!$J$22</f>
        <v>0</v>
      </c>
      <c r="K388" s="390">
        <f>'LU FGD'!$K$22</f>
        <v>0</v>
      </c>
      <c r="L388" s="390">
        <f>'LU FGD'!$L$22</f>
        <v>0</v>
      </c>
      <c r="M388" s="390">
        <f>'LU FGD'!$M$22</f>
        <v>0</v>
      </c>
      <c r="N388" s="401"/>
    </row>
    <row r="389" spans="1:14" s="171" customFormat="1" ht="12.75" hidden="1" customHeight="1" outlineLevel="1">
      <c r="A389" s="166"/>
      <c r="B389" s="674" t="str">
        <f>'MidWST FGD'!$B$2</f>
        <v>Midwestern State University</v>
      </c>
      <c r="C389" s="261"/>
      <c r="D389" s="390">
        <f>'MidWST FGD'!$D$22</f>
        <v>0</v>
      </c>
      <c r="E389" s="390">
        <f>'MidWST FGD'!$E$22</f>
        <v>0</v>
      </c>
      <c r="F389" s="390">
        <f>'MidWST FGD'!$F$22</f>
        <v>0</v>
      </c>
      <c r="G389" s="390">
        <f>'MidWST FGD'!$G$22</f>
        <v>0</v>
      </c>
      <c r="H389" s="390">
        <f>'MidWST FGD'!$H$22</f>
        <v>0</v>
      </c>
      <c r="I389" s="390">
        <f>'MidWST FGD'!$I$22</f>
        <v>0</v>
      </c>
      <c r="J389" s="390">
        <f>'MidWST FGD'!$J$22</f>
        <v>0</v>
      </c>
      <c r="K389" s="390">
        <f>'MidWST FGD'!$K$22</f>
        <v>0</v>
      </c>
      <c r="L389" s="390">
        <f>'MidWST FGD'!$L$22</f>
        <v>0</v>
      </c>
      <c r="M389" s="390">
        <f>'MidWST FGD'!$M$22</f>
        <v>0</v>
      </c>
      <c r="N389" s="401"/>
    </row>
    <row r="390" spans="1:14" s="171" customFormat="1" ht="12.75" hidden="1" customHeight="1" outlineLevel="1">
      <c r="A390" s="166"/>
      <c r="B390" s="674" t="str">
        <f>'P-B FGD'!$B$2</f>
        <v>The University of Texas of the Permian Basin</v>
      </c>
      <c r="C390" s="261"/>
      <c r="D390" s="390">
        <f>'P-B FGD'!$D$22</f>
        <v>0</v>
      </c>
      <c r="E390" s="390">
        <f>'P-B FGD'!$E$22</f>
        <v>0</v>
      </c>
      <c r="F390" s="390">
        <f>'P-B FGD'!$F$22</f>
        <v>0</v>
      </c>
      <c r="G390" s="390">
        <f>'P-B FGD'!$G$22</f>
        <v>0</v>
      </c>
      <c r="H390" s="390">
        <f>'P-B FGD'!$H$22</f>
        <v>0</v>
      </c>
      <c r="I390" s="390">
        <f>'P-B FGD'!$I$22</f>
        <v>0</v>
      </c>
      <c r="J390" s="390">
        <f>'P-B FGD'!$J$22</f>
        <v>0</v>
      </c>
      <c r="K390" s="390">
        <f>'P-B FGD'!$K$22</f>
        <v>0</v>
      </c>
      <c r="L390" s="390">
        <f>'P-B FGD'!$L$22</f>
        <v>0</v>
      </c>
      <c r="M390" s="390">
        <f>'P-B FGD'!$M$22</f>
        <v>0</v>
      </c>
      <c r="N390" s="401"/>
    </row>
    <row r="391" spans="1:14" s="171" customFormat="1" ht="12.75" hidden="1" customHeight="1" outlineLevel="1">
      <c r="A391" s="166"/>
      <c r="B391" s="674" t="str">
        <f>'PVAMU FGD'!$B$2</f>
        <v>Prairie View A&amp;M University</v>
      </c>
      <c r="C391" s="261"/>
      <c r="D391" s="390">
        <f>'PVAMU FGD'!$D$22</f>
        <v>0</v>
      </c>
      <c r="E391" s="390">
        <f>'PVAMU FGD'!$E$22</f>
        <v>0</v>
      </c>
      <c r="F391" s="390">
        <f>'PVAMU FGD'!$F$22</f>
        <v>0</v>
      </c>
      <c r="G391" s="390">
        <f>'PVAMU FGD'!$G$22</f>
        <v>0</v>
      </c>
      <c r="H391" s="390">
        <f>'PVAMU FGD'!$H$22</f>
        <v>0</v>
      </c>
      <c r="I391" s="390">
        <f>'PVAMU FGD'!$I$22</f>
        <v>0</v>
      </c>
      <c r="J391" s="390">
        <f>'PVAMU FGD'!$J$22</f>
        <v>0</v>
      </c>
      <c r="K391" s="390">
        <f>'PVAMU FGD'!$K$22</f>
        <v>0</v>
      </c>
      <c r="L391" s="390">
        <f>'PVAMU FGD'!$L$22</f>
        <v>0</v>
      </c>
      <c r="M391" s="390">
        <f>'PVAMU FGD'!$M$22</f>
        <v>0</v>
      </c>
      <c r="N391" s="401"/>
    </row>
    <row r="392" spans="1:14" s="171" customFormat="1" ht="12.75" hidden="1" customHeight="1" outlineLevel="1">
      <c r="A392" s="166"/>
      <c r="B392" s="674" t="str">
        <f>'S-A FGD'!$B$2</f>
        <v>The University of Texas at San Antonio</v>
      </c>
      <c r="C392" s="261"/>
      <c r="D392" s="390">
        <f>'S-A FGD'!$D$22</f>
        <v>0</v>
      </c>
      <c r="E392" s="390">
        <f>'S-A FGD'!$E$22</f>
        <v>0</v>
      </c>
      <c r="F392" s="390">
        <f>'S-A FGD'!$F$22</f>
        <v>0</v>
      </c>
      <c r="G392" s="390">
        <f>'S-A FGD'!$G$22</f>
        <v>0</v>
      </c>
      <c r="H392" s="390">
        <f>'S-A FGD'!$H$22</f>
        <v>0</v>
      </c>
      <c r="I392" s="390">
        <f>'S-A FGD'!$I$22</f>
        <v>0</v>
      </c>
      <c r="J392" s="390">
        <f>'S-A FGD'!$J$22</f>
        <v>0</v>
      </c>
      <c r="K392" s="390">
        <f>'S-A FGD'!$K$22</f>
        <v>0</v>
      </c>
      <c r="L392" s="390">
        <f>'S-A FGD'!$L$22</f>
        <v>0</v>
      </c>
      <c r="M392" s="390">
        <f>'S-A FGD'!$M$22</f>
        <v>0</v>
      </c>
      <c r="N392" s="401"/>
    </row>
    <row r="393" spans="1:14" s="171" customFormat="1" ht="12.75" hidden="1" customHeight="1" outlineLevel="1">
      <c r="A393" s="166"/>
      <c r="B393" s="674" t="str">
        <f>'SFA FGD'!$B$2</f>
        <v>Stephen F. Austin State University</v>
      </c>
      <c r="C393" s="261"/>
      <c r="D393" s="390">
        <f>'SFA FGD'!$D$22</f>
        <v>0</v>
      </c>
      <c r="E393" s="390">
        <f>'SFA FGD'!$E$22</f>
        <v>0</v>
      </c>
      <c r="F393" s="390">
        <f>'SFA FGD'!$F$22</f>
        <v>0</v>
      </c>
      <c r="G393" s="390">
        <f>'SFA FGD'!$G$22</f>
        <v>0</v>
      </c>
      <c r="H393" s="390">
        <f>'SFA FGD'!$H$22</f>
        <v>0</v>
      </c>
      <c r="I393" s="390">
        <f>'SFA FGD'!$I$22</f>
        <v>0</v>
      </c>
      <c r="J393" s="390">
        <f>'SFA FGD'!$J$22</f>
        <v>0</v>
      </c>
      <c r="K393" s="390">
        <f>'SFA FGD'!$K$22</f>
        <v>0</v>
      </c>
      <c r="L393" s="390">
        <f>'SFA FGD'!$L$22</f>
        <v>0</v>
      </c>
      <c r="M393" s="390">
        <f>'SFA FGD'!$M$22</f>
        <v>0</v>
      </c>
      <c r="N393" s="401"/>
    </row>
    <row r="394" spans="1:14" s="171" customFormat="1" ht="12.75" hidden="1" customHeight="1" outlineLevel="1">
      <c r="A394" s="166"/>
      <c r="B394" s="674" t="str">
        <f>'shsu1 FGD'!$B$2</f>
        <v>Sam Houston State University - Academic &amp; Health (A+H)</v>
      </c>
      <c r="C394" s="261"/>
      <c r="D394" s="390">
        <f>'shsu1 FGD'!$D$22</f>
        <v>0</v>
      </c>
      <c r="E394" s="390">
        <f>'shsu1 FGD'!$E$22</f>
        <v>0</v>
      </c>
      <c r="F394" s="390">
        <f>'shsu1 FGD'!$F$22</f>
        <v>0</v>
      </c>
      <c r="G394" s="390">
        <f>'shsu1 FGD'!$G$22</f>
        <v>0</v>
      </c>
      <c r="H394" s="390">
        <f>'shsu1 FGD'!$H$22</f>
        <v>0</v>
      </c>
      <c r="I394" s="390">
        <f>'shsu1 FGD'!$I$22</f>
        <v>0</v>
      </c>
      <c r="J394" s="390">
        <f>'shsu1 FGD'!$J$22</f>
        <v>0</v>
      </c>
      <c r="K394" s="390">
        <f>'shsu1 FGD'!$K$22</f>
        <v>0</v>
      </c>
      <c r="L394" s="390">
        <f>'shsu1 FGD'!$L$22</f>
        <v>0</v>
      </c>
      <c r="M394" s="390">
        <f>'shsu1 FGD'!$M$22</f>
        <v>0</v>
      </c>
      <c r="N394" s="401"/>
    </row>
    <row r="395" spans="1:14" s="171" customFormat="1" ht="12.75" hidden="1" customHeight="1" outlineLevel="1">
      <c r="A395" s="166"/>
      <c r="B395" s="674" t="str">
        <f>'SRSU FGD'!$B$2</f>
        <v>Sul Ross State University</v>
      </c>
      <c r="C395" s="261"/>
      <c r="D395" s="390">
        <f>'SRSU FGD'!$D$22</f>
        <v>0</v>
      </c>
      <c r="E395" s="390">
        <f>'SRSU FGD'!$E$22</f>
        <v>0</v>
      </c>
      <c r="F395" s="390">
        <f>'SRSU FGD'!$F$22</f>
        <v>0</v>
      </c>
      <c r="G395" s="390">
        <f>'SRSU FGD'!$G$22</f>
        <v>0</v>
      </c>
      <c r="H395" s="390">
        <f>'SRSU FGD'!$H$22</f>
        <v>0</v>
      </c>
      <c r="I395" s="390">
        <f>'SRSU FGD'!$I$22</f>
        <v>0</v>
      </c>
      <c r="J395" s="390">
        <f>'SRSU FGD'!$J$22</f>
        <v>0</v>
      </c>
      <c r="K395" s="390">
        <f>'SRSU FGD'!$K$22</f>
        <v>0</v>
      </c>
      <c r="L395" s="390">
        <f>'SRSU FGD'!$L$22</f>
        <v>0</v>
      </c>
      <c r="M395" s="390">
        <f>'SRSU FGD'!$M$22</f>
        <v>0</v>
      </c>
      <c r="N395" s="401"/>
    </row>
    <row r="396" spans="1:14" s="171" customFormat="1" ht="12.75" hidden="1" customHeight="1" outlineLevel="1">
      <c r="A396" s="166"/>
      <c r="B396" s="674" t="str">
        <f>'TAMIU FGD'!$B$2</f>
        <v>Texas A&amp;M International University</v>
      </c>
      <c r="C396" s="261"/>
      <c r="D396" s="390">
        <f>'TAMIU FGD'!$D$22</f>
        <v>0</v>
      </c>
      <c r="E396" s="390">
        <f>'TAMIU FGD'!$E$22</f>
        <v>0</v>
      </c>
      <c r="F396" s="390">
        <f>'TAMIU FGD'!$F$22</f>
        <v>0</v>
      </c>
      <c r="G396" s="390">
        <f>'TAMIU FGD'!$G$22</f>
        <v>0</v>
      </c>
      <c r="H396" s="390">
        <f>'TAMIU FGD'!$H$22</f>
        <v>0</v>
      </c>
      <c r="I396" s="390">
        <f>'TAMIU FGD'!$I$22</f>
        <v>0</v>
      </c>
      <c r="J396" s="390">
        <f>'TAMIU FGD'!$J$22</f>
        <v>0</v>
      </c>
      <c r="K396" s="390">
        <f>'TAMIU FGD'!$K$22</f>
        <v>0</v>
      </c>
      <c r="L396" s="390">
        <f>'TAMIU FGD'!$L$22</f>
        <v>0</v>
      </c>
      <c r="M396" s="390">
        <f>'TAMIU FGD'!$M$22</f>
        <v>0</v>
      </c>
      <c r="N396" s="401"/>
    </row>
    <row r="397" spans="1:14" s="171" customFormat="1" ht="12.75" hidden="1" customHeight="1" outlineLevel="1">
      <c r="A397" s="166"/>
      <c r="B397" s="674" t="str">
        <f>'TAMU FGD'!$B$2</f>
        <v>Texas A&amp;M University</v>
      </c>
      <c r="C397" s="261"/>
      <c r="D397" s="390">
        <f>'TAMU FGD'!$D$22</f>
        <v>0</v>
      </c>
      <c r="E397" s="390">
        <f>'TAMU FGD'!$E$22</f>
        <v>0</v>
      </c>
      <c r="F397" s="390">
        <f>'TAMU FGD'!$F$22</f>
        <v>0</v>
      </c>
      <c r="G397" s="390">
        <f>'TAMU FGD'!$G$22</f>
        <v>0</v>
      </c>
      <c r="H397" s="390">
        <f>'TAMU FGD'!$H$22</f>
        <v>0</v>
      </c>
      <c r="I397" s="390">
        <f>'TAMU FGD'!$I$22</f>
        <v>0</v>
      </c>
      <c r="J397" s="390">
        <f>'TAMU FGD'!$J$22</f>
        <v>0</v>
      </c>
      <c r="K397" s="390">
        <f>'TAMU FGD'!$K$22</f>
        <v>0</v>
      </c>
      <c r="L397" s="390">
        <f>'TAMU FGD'!$L$22</f>
        <v>0</v>
      </c>
      <c r="M397" s="390">
        <f>'TAMU FGD'!$M$22</f>
        <v>0</v>
      </c>
      <c r="N397" s="401"/>
    </row>
    <row r="398" spans="1:14" s="171" customFormat="1" ht="12.75" hidden="1" customHeight="1" outlineLevel="1">
      <c r="A398" s="166"/>
      <c r="B398" s="674" t="str">
        <f>'TAMUC FGD'!$B$2</f>
        <v>Texas A&amp;M University - Commerce</v>
      </c>
      <c r="C398" s="261"/>
      <c r="D398" s="390">
        <f>'TAMUC FGD'!$D$22</f>
        <v>0</v>
      </c>
      <c r="E398" s="390">
        <f>'TAMUC FGD'!$E$22</f>
        <v>0</v>
      </c>
      <c r="F398" s="390">
        <f>'TAMUC FGD'!$F$22</f>
        <v>0</v>
      </c>
      <c r="G398" s="390">
        <f>'TAMUC FGD'!$G$22</f>
        <v>0</v>
      </c>
      <c r="H398" s="390">
        <f>'TAMUC FGD'!$H$22</f>
        <v>0</v>
      </c>
      <c r="I398" s="390">
        <f>'TAMUC FGD'!$I$22</f>
        <v>0</v>
      </c>
      <c r="J398" s="390">
        <f>'TAMUC FGD'!$J$22</f>
        <v>0</v>
      </c>
      <c r="K398" s="390">
        <f>'TAMUC FGD'!$K$22</f>
        <v>0</v>
      </c>
      <c r="L398" s="390">
        <f>'TAMUC FGD'!$L$22</f>
        <v>0</v>
      </c>
      <c r="M398" s="390">
        <f>'TAMUC FGD'!$M$22</f>
        <v>0</v>
      </c>
      <c r="N398" s="401"/>
    </row>
    <row r="399" spans="1:14" s="171" customFormat="1" ht="12.75" hidden="1" customHeight="1" outlineLevel="1">
      <c r="A399" s="166"/>
      <c r="B399" s="674" t="str">
        <f>'TAMUCC FGD'!$B$2</f>
        <v>Texas A&amp;M University - Corpus Christi</v>
      </c>
      <c r="C399" s="261"/>
      <c r="D399" s="390">
        <f>'TAMUCC FGD'!$D$22</f>
        <v>0</v>
      </c>
      <c r="E399" s="390">
        <f>'TAMUCC FGD'!$E$22</f>
        <v>0</v>
      </c>
      <c r="F399" s="390">
        <f>'TAMUCC FGD'!$F$22</f>
        <v>0</v>
      </c>
      <c r="G399" s="390">
        <f>'TAMUCC FGD'!$G$22</f>
        <v>0</v>
      </c>
      <c r="H399" s="390">
        <f>'TAMUCC FGD'!$H$22</f>
        <v>0</v>
      </c>
      <c r="I399" s="390">
        <f>'TAMUCC FGD'!$I$22</f>
        <v>0</v>
      </c>
      <c r="J399" s="390">
        <f>'TAMUCC FGD'!$J$22</f>
        <v>0</v>
      </c>
      <c r="K399" s="390">
        <f>'TAMUCC FGD'!$K$22</f>
        <v>0</v>
      </c>
      <c r="L399" s="390">
        <f>'TAMUCC FGD'!$L$22</f>
        <v>0</v>
      </c>
      <c r="M399" s="390">
        <f>'TAMUCC FGD'!$M$22</f>
        <v>0</v>
      </c>
      <c r="N399" s="401"/>
    </row>
    <row r="400" spans="1:14" s="171" customFormat="1" ht="12.75" hidden="1" customHeight="1" outlineLevel="1">
      <c r="A400" s="166"/>
      <c r="B400" s="674" t="str">
        <f>'TAMUCT FGD'!$B$2</f>
        <v>Texas A&amp;M University - Central Texas</v>
      </c>
      <c r="C400" s="261"/>
      <c r="D400" s="390">
        <f>'TAMUCT FGD'!$D$22</f>
        <v>0</v>
      </c>
      <c r="E400" s="390">
        <f>'TAMUCT FGD'!$E$22</f>
        <v>0</v>
      </c>
      <c r="F400" s="390">
        <f>'TAMUCT FGD'!$F$22</f>
        <v>0</v>
      </c>
      <c r="G400" s="390">
        <f>'TAMUCT FGD'!$G$22</f>
        <v>0</v>
      </c>
      <c r="H400" s="390">
        <f>'TAMUCT FGD'!$H$22</f>
        <v>0</v>
      </c>
      <c r="I400" s="390">
        <f>'TAMUCT FGD'!$I$22</f>
        <v>0</v>
      </c>
      <c r="J400" s="390">
        <f>'TAMUCT FGD'!$J$22</f>
        <v>0</v>
      </c>
      <c r="K400" s="390">
        <f>'TAMUCT FGD'!$K$22</f>
        <v>0</v>
      </c>
      <c r="L400" s="390">
        <f>'TAMUCT FGD'!$L$22</f>
        <v>0</v>
      </c>
      <c r="M400" s="390">
        <f>'TAMUCT FGD'!$M$22</f>
        <v>0</v>
      </c>
      <c r="N400" s="401"/>
    </row>
    <row r="401" spans="1:14" s="171" customFormat="1" ht="12.75" hidden="1" customHeight="1" outlineLevel="1">
      <c r="A401" s="166"/>
      <c r="B401" s="674" t="str">
        <f>'TAMUG FGD'!$B$2</f>
        <v>Texas A&amp;M University at Galveston</v>
      </c>
      <c r="C401" s="261"/>
      <c r="D401" s="390">
        <f>'TAMUG FGD'!$D$22</f>
        <v>0</v>
      </c>
      <c r="E401" s="390">
        <f>'TAMUG FGD'!$E$22</f>
        <v>0</v>
      </c>
      <c r="F401" s="390">
        <f>'TAMUG FGD'!$F$22</f>
        <v>0</v>
      </c>
      <c r="G401" s="390">
        <f>'TAMUG FGD'!$G$22</f>
        <v>0</v>
      </c>
      <c r="H401" s="390">
        <f>'TAMUG FGD'!$H$22</f>
        <v>0</v>
      </c>
      <c r="I401" s="390">
        <f>'TAMUG FGD'!$I$22</f>
        <v>0</v>
      </c>
      <c r="J401" s="390">
        <f>'TAMUG FGD'!$J$22</f>
        <v>0</v>
      </c>
      <c r="K401" s="390">
        <f>'TAMUG FGD'!$K$22</f>
        <v>0</v>
      </c>
      <c r="L401" s="390">
        <f>'TAMUG FGD'!$L$22</f>
        <v>0</v>
      </c>
      <c r="M401" s="390">
        <f>'TAMUG FGD'!$M$22</f>
        <v>0</v>
      </c>
      <c r="N401" s="401"/>
    </row>
    <row r="402" spans="1:14" s="171" customFormat="1" ht="12.75" hidden="1" customHeight="1" outlineLevel="1">
      <c r="A402" s="166"/>
      <c r="B402" s="674" t="str">
        <f>'TAMUK FGD'!$B$2</f>
        <v>Texas A&amp;M University - Kingsville</v>
      </c>
      <c r="C402" s="261"/>
      <c r="D402" s="390">
        <f>'TAMUK FGD'!$D$22</f>
        <v>0</v>
      </c>
      <c r="E402" s="390">
        <f>'TAMUK FGD'!$E$22</f>
        <v>0</v>
      </c>
      <c r="F402" s="390">
        <f>'TAMUK FGD'!$F$22</f>
        <v>0</v>
      </c>
      <c r="G402" s="390">
        <f>'TAMUK FGD'!$G$22</f>
        <v>0</v>
      </c>
      <c r="H402" s="390">
        <f>'TAMUK FGD'!$H$22</f>
        <v>0</v>
      </c>
      <c r="I402" s="390">
        <f>'TAMUK FGD'!$I$22</f>
        <v>0</v>
      </c>
      <c r="J402" s="390">
        <f>'TAMUK FGD'!$J$22</f>
        <v>0</v>
      </c>
      <c r="K402" s="390">
        <f>'TAMUK FGD'!$K$22</f>
        <v>0</v>
      </c>
      <c r="L402" s="390">
        <f>'TAMUK FGD'!$L$22</f>
        <v>0</v>
      </c>
      <c r="M402" s="390">
        <f>'TAMUK FGD'!$M$22</f>
        <v>0</v>
      </c>
      <c r="N402" s="401"/>
    </row>
    <row r="403" spans="1:14" s="171" customFormat="1" ht="12.75" hidden="1" customHeight="1" outlineLevel="1">
      <c r="A403" s="166"/>
      <c r="B403" s="674" t="str">
        <f>'TAMUSA FGD'!$B$2</f>
        <v>Texas A&amp;M University - San Antonio</v>
      </c>
      <c r="C403" s="261"/>
      <c r="D403" s="390">
        <f>'TAMUSA FGD'!$D$22</f>
        <v>0</v>
      </c>
      <c r="E403" s="390">
        <f>'TAMUSA FGD'!$E$22</f>
        <v>0</v>
      </c>
      <c r="F403" s="390">
        <f>'TAMUSA FGD'!$F$22</f>
        <v>0</v>
      </c>
      <c r="G403" s="390">
        <f>'TAMUSA FGD'!$G$22</f>
        <v>0</v>
      </c>
      <c r="H403" s="390">
        <f>'TAMUSA FGD'!$H$22</f>
        <v>0</v>
      </c>
      <c r="I403" s="390">
        <f>'TAMUSA FGD'!$I$22</f>
        <v>0</v>
      </c>
      <c r="J403" s="390">
        <f>'TAMUSA FGD'!$J$22</f>
        <v>0</v>
      </c>
      <c r="K403" s="390">
        <f>'TAMUSA FGD'!$K$22</f>
        <v>0</v>
      </c>
      <c r="L403" s="390">
        <f>'TAMUSA FGD'!$L$22</f>
        <v>0</v>
      </c>
      <c r="M403" s="390">
        <f>'TAMUSA FGD'!$M$22</f>
        <v>0</v>
      </c>
      <c r="N403" s="401"/>
    </row>
    <row r="404" spans="1:14" s="171" customFormat="1" ht="12.75" hidden="1" customHeight="1" outlineLevel="1">
      <c r="A404" s="166"/>
      <c r="B404" s="674" t="str">
        <f>'TAMUT FGD'!$B$2</f>
        <v>Texas A&amp;M University - Texarkana</v>
      </c>
      <c r="C404" s="261"/>
      <c r="D404" s="390">
        <f>'TAMUT FGD'!$D$22</f>
        <v>0</v>
      </c>
      <c r="E404" s="390">
        <f>'TAMUT FGD'!$E$22</f>
        <v>0</v>
      </c>
      <c r="F404" s="390">
        <f>'TAMUT FGD'!$F$22</f>
        <v>0</v>
      </c>
      <c r="G404" s="390">
        <f>'TAMUT FGD'!$G$22</f>
        <v>0</v>
      </c>
      <c r="H404" s="390">
        <f>'TAMUT FGD'!$H$22</f>
        <v>0</v>
      </c>
      <c r="I404" s="390">
        <f>'TAMUT FGD'!$I$22</f>
        <v>0</v>
      </c>
      <c r="J404" s="390">
        <f>'TAMUT FGD'!$J$22</f>
        <v>0</v>
      </c>
      <c r="K404" s="390">
        <f>'TAMUT FGD'!$K$22</f>
        <v>0</v>
      </c>
      <c r="L404" s="390">
        <f>'TAMUT FGD'!$L$22</f>
        <v>0</v>
      </c>
      <c r="M404" s="390">
        <f>'TAMUT FGD'!$M$22</f>
        <v>0</v>
      </c>
      <c r="N404" s="401"/>
    </row>
    <row r="405" spans="1:14" s="171" customFormat="1" ht="12.75" hidden="1" customHeight="1" outlineLevel="1">
      <c r="A405" s="166"/>
      <c r="B405" s="674" t="str">
        <f>'TARLST FGD'!$B$2</f>
        <v>Tarleton State University</v>
      </c>
      <c r="C405" s="261"/>
      <c r="D405" s="390">
        <f>'TARLST FGD'!$D$22</f>
        <v>0</v>
      </c>
      <c r="E405" s="390">
        <f>'TARLST FGD'!$E$22</f>
        <v>0</v>
      </c>
      <c r="F405" s="390">
        <f>'TARLST FGD'!$F$22</f>
        <v>0</v>
      </c>
      <c r="G405" s="390">
        <f>'TARLST FGD'!$G$22</f>
        <v>0</v>
      </c>
      <c r="H405" s="390">
        <f>'TARLST FGD'!$H$22</f>
        <v>0</v>
      </c>
      <c r="I405" s="390">
        <f>'TARLST FGD'!$I$22</f>
        <v>0</v>
      </c>
      <c r="J405" s="390">
        <f>'TARLST FGD'!$J$22</f>
        <v>0</v>
      </c>
      <c r="K405" s="390">
        <f>'TARLST FGD'!$K$22</f>
        <v>0</v>
      </c>
      <c r="L405" s="390">
        <f>'TARLST FGD'!$L$22</f>
        <v>0</v>
      </c>
      <c r="M405" s="390">
        <f>'TARLST FGD'!$M$22</f>
        <v>0</v>
      </c>
      <c r="N405" s="401"/>
    </row>
    <row r="406" spans="1:14" s="171" customFormat="1" ht="12.75" hidden="1" customHeight="1" outlineLevel="1">
      <c r="A406" s="166"/>
      <c r="B406" s="674" t="str">
        <f>'TSU FGD'!$B$2</f>
        <v>Texas Southern University</v>
      </c>
      <c r="C406" s="261"/>
      <c r="D406" s="390">
        <f>'TSU FGD'!$D$22</f>
        <v>0</v>
      </c>
      <c r="E406" s="390">
        <f>'TSU FGD'!$E$22</f>
        <v>0</v>
      </c>
      <c r="F406" s="390">
        <f>'TSU FGD'!$F$22</f>
        <v>0</v>
      </c>
      <c r="G406" s="390">
        <f>'TSU FGD'!$G$22</f>
        <v>0</v>
      </c>
      <c r="H406" s="390">
        <f>'TSU FGD'!$H$22</f>
        <v>0</v>
      </c>
      <c r="I406" s="390">
        <f>'TSU FGD'!$I$22</f>
        <v>0</v>
      </c>
      <c r="J406" s="390">
        <f>'TSU FGD'!$J$22</f>
        <v>0</v>
      </c>
      <c r="K406" s="390">
        <f>'TSU FGD'!$K$22</f>
        <v>0</v>
      </c>
      <c r="L406" s="390">
        <f>'TSU FGD'!$L$22</f>
        <v>0</v>
      </c>
      <c r="M406" s="390">
        <f>'TSU FGD'!$M$22</f>
        <v>0</v>
      </c>
      <c r="N406" s="401"/>
    </row>
    <row r="407" spans="1:14" s="171" customFormat="1" ht="12.75" hidden="1" customHeight="1" outlineLevel="1">
      <c r="A407" s="166"/>
      <c r="B407" s="674" t="str">
        <f>'TTU FGD'!$B$2</f>
        <v>Texas Tech University</v>
      </c>
      <c r="C407" s="261"/>
      <c r="D407" s="390">
        <f>'TTU FGD'!$D$22</f>
        <v>0</v>
      </c>
      <c r="E407" s="390">
        <f>'TTU FGD'!$E$22</f>
        <v>0</v>
      </c>
      <c r="F407" s="390">
        <f>'TTU FGD'!$F$22</f>
        <v>0</v>
      </c>
      <c r="G407" s="390">
        <f>'TTU FGD'!$G$22</f>
        <v>0</v>
      </c>
      <c r="H407" s="390">
        <f>'TTU FGD'!$H$22</f>
        <v>0</v>
      </c>
      <c r="I407" s="390">
        <f>'TTU FGD'!$I$22</f>
        <v>0</v>
      </c>
      <c r="J407" s="390">
        <f>'TTU FGD'!$J$22</f>
        <v>0</v>
      </c>
      <c r="K407" s="390">
        <f>'TTU FGD'!$K$22</f>
        <v>0</v>
      </c>
      <c r="L407" s="390">
        <f>'TTU FGD'!$L$22</f>
        <v>0</v>
      </c>
      <c r="M407" s="390">
        <f>'TTU FGD'!$M$22</f>
        <v>0</v>
      </c>
      <c r="N407" s="401"/>
    </row>
    <row r="408" spans="1:14" s="171" customFormat="1" ht="12.75" hidden="1" customHeight="1" outlineLevel="1">
      <c r="A408" s="166"/>
      <c r="B408" s="674" t="str">
        <f>'TWU FGD'!$B$2</f>
        <v>Texas Woman's University</v>
      </c>
      <c r="C408" s="261"/>
      <c r="D408" s="390">
        <f>'TWU FGD'!$D$22</f>
        <v>0</v>
      </c>
      <c r="E408" s="390">
        <f>'TWU FGD'!$E$22</f>
        <v>0</v>
      </c>
      <c r="F408" s="390">
        <f>'TWU FGD'!$F$22</f>
        <v>0</v>
      </c>
      <c r="G408" s="390">
        <f>'TWU FGD'!$G$22</f>
        <v>0</v>
      </c>
      <c r="H408" s="390">
        <f>'TWU FGD'!$H$22</f>
        <v>0</v>
      </c>
      <c r="I408" s="390">
        <f>'TWU FGD'!$I$22</f>
        <v>0</v>
      </c>
      <c r="J408" s="390">
        <f>'TWU FGD'!$J$22</f>
        <v>0</v>
      </c>
      <c r="K408" s="390">
        <f>'TWU FGD'!$K$22</f>
        <v>0</v>
      </c>
      <c r="L408" s="390">
        <f>'TWU FGD'!$L$22</f>
        <v>0</v>
      </c>
      <c r="M408" s="390">
        <f>'TWU FGD'!$M$22</f>
        <v>0</v>
      </c>
      <c r="N408" s="401"/>
    </row>
    <row r="409" spans="1:14" s="171" customFormat="1" ht="12.75" hidden="1" customHeight="1" outlineLevel="1">
      <c r="A409" s="166"/>
      <c r="B409" s="674" t="str">
        <f>'TXST FGD'!$B$2</f>
        <v>Texas State University</v>
      </c>
      <c r="C409" s="261"/>
      <c r="D409" s="390">
        <f>'TXST FGD'!$D$22</f>
        <v>0</v>
      </c>
      <c r="E409" s="390">
        <f>'TXST FGD'!$E$22</f>
        <v>0</v>
      </c>
      <c r="F409" s="390">
        <f>'TXST FGD'!$F$22</f>
        <v>0</v>
      </c>
      <c r="G409" s="390">
        <f>'TXST FGD'!$G$22</f>
        <v>0</v>
      </c>
      <c r="H409" s="390">
        <f>'TXST FGD'!$H$22</f>
        <v>0</v>
      </c>
      <c r="I409" s="390">
        <f>'TXST FGD'!$I$22</f>
        <v>0</v>
      </c>
      <c r="J409" s="390">
        <f>'TXST FGD'!$J$22</f>
        <v>0</v>
      </c>
      <c r="K409" s="390">
        <f>'TXST FGD'!$K$22</f>
        <v>0</v>
      </c>
      <c r="L409" s="390">
        <f>'TXST FGD'!$L$22</f>
        <v>0</v>
      </c>
      <c r="M409" s="390">
        <f>'TXST FGD'!$M$22</f>
        <v>0</v>
      </c>
      <c r="N409" s="401"/>
    </row>
    <row r="410" spans="1:14" s="171" customFormat="1" ht="12.75" hidden="1" customHeight="1" outlineLevel="1">
      <c r="A410" s="166"/>
      <c r="B410" s="674" t="str">
        <f>'TYL FGD'!$B$2</f>
        <v>The University of Texas at Tyler</v>
      </c>
      <c r="C410" s="261"/>
      <c r="D410" s="390">
        <f>'TYL FGD'!$D$22</f>
        <v>0</v>
      </c>
      <c r="E410" s="390">
        <f>'TYL FGD'!$E$22</f>
        <v>0</v>
      </c>
      <c r="F410" s="390">
        <f>'TYL FGD'!$F$22</f>
        <v>0</v>
      </c>
      <c r="G410" s="390">
        <f>'TYL FGD'!$G$22</f>
        <v>0</v>
      </c>
      <c r="H410" s="390">
        <f>'TYL FGD'!$H$22</f>
        <v>0</v>
      </c>
      <c r="I410" s="390">
        <f>'TYL FGD'!$I$22</f>
        <v>0</v>
      </c>
      <c r="J410" s="390">
        <f>'TYL FGD'!$J$22</f>
        <v>0</v>
      </c>
      <c r="K410" s="390">
        <f>'TYL FGD'!$K$22</f>
        <v>0</v>
      </c>
      <c r="L410" s="390">
        <f>'TYL FGD'!$L$22</f>
        <v>0</v>
      </c>
      <c r="M410" s="390">
        <f>'TYL FGD'!$M$22</f>
        <v>0</v>
      </c>
      <c r="N410" s="401"/>
    </row>
    <row r="411" spans="1:14" s="171" customFormat="1" ht="12.75" hidden="1" customHeight="1" outlineLevel="1">
      <c r="A411" s="166"/>
      <c r="B411" s="674" t="str">
        <f>'UH1 FGD'!$B$2</f>
        <v>University of Houston - Academic &amp; Health (A+H)</v>
      </c>
      <c r="C411" s="261"/>
      <c r="D411" s="390">
        <f>'UH1 FGD'!$D$22</f>
        <v>0</v>
      </c>
      <c r="E411" s="390">
        <f>'UH1 FGD'!$E$22</f>
        <v>0</v>
      </c>
      <c r="F411" s="390">
        <f>'UH1 FGD'!$F$22</f>
        <v>0</v>
      </c>
      <c r="G411" s="390">
        <f>'UH1 FGD'!$G$22</f>
        <v>0</v>
      </c>
      <c r="H411" s="390">
        <f>'UH1 FGD'!$H$22</f>
        <v>0</v>
      </c>
      <c r="I411" s="390">
        <f>'UH1 FGD'!$I$22</f>
        <v>0</v>
      </c>
      <c r="J411" s="390">
        <f>'UH1 FGD'!$J$22</f>
        <v>0</v>
      </c>
      <c r="K411" s="390">
        <f>'UH1 FGD'!$K$22</f>
        <v>0</v>
      </c>
      <c r="L411" s="390">
        <f>'UH1 FGD'!$L$22</f>
        <v>0</v>
      </c>
      <c r="M411" s="390">
        <f>'UH1 FGD'!$M$22</f>
        <v>0</v>
      </c>
      <c r="N411" s="401"/>
    </row>
    <row r="412" spans="1:14" s="171" customFormat="1" ht="12.75" hidden="1" customHeight="1" outlineLevel="1">
      <c r="A412" s="166"/>
      <c r="B412" s="674" t="str">
        <f>'UHCL FGD'!$B$2</f>
        <v>University of Houston - Clear Lake</v>
      </c>
      <c r="C412" s="261"/>
      <c r="D412" s="390">
        <f>'UHCL FGD'!$D$22</f>
        <v>0</v>
      </c>
      <c r="E412" s="390">
        <f>'UHCL FGD'!$E$22</f>
        <v>0</v>
      </c>
      <c r="F412" s="390">
        <f>'UHCL FGD'!$F$22</f>
        <v>0</v>
      </c>
      <c r="G412" s="390">
        <f>'UHCL FGD'!$G$22</f>
        <v>0</v>
      </c>
      <c r="H412" s="390">
        <f>'UHCL FGD'!$H$22</f>
        <v>0</v>
      </c>
      <c r="I412" s="390">
        <f>'UHCL FGD'!$I$22</f>
        <v>0</v>
      </c>
      <c r="J412" s="390">
        <f>'UHCL FGD'!$J$22</f>
        <v>0</v>
      </c>
      <c r="K412" s="390">
        <f>'UHCL FGD'!$K$22</f>
        <v>0</v>
      </c>
      <c r="L412" s="390">
        <f>'UHCL FGD'!$L$22</f>
        <v>0</v>
      </c>
      <c r="M412" s="390">
        <f>'UHCL FGD'!$M$22</f>
        <v>0</v>
      </c>
      <c r="N412" s="401"/>
    </row>
    <row r="413" spans="1:14" s="171" customFormat="1" ht="12.75" hidden="1" customHeight="1" outlineLevel="1">
      <c r="A413" s="166"/>
      <c r="B413" s="674" t="str">
        <f>'UHD FGD'!$B$2</f>
        <v>University of Houston - Downtown</v>
      </c>
      <c r="C413" s="261"/>
      <c r="D413" s="390">
        <f>'UHD FGD'!$D$22</f>
        <v>0</v>
      </c>
      <c r="E413" s="390">
        <f>'UHD FGD'!$E$22</f>
        <v>0</v>
      </c>
      <c r="F413" s="390">
        <f>'UHD FGD'!$F$22</f>
        <v>0</v>
      </c>
      <c r="G413" s="390">
        <f>'UHD FGD'!$G$22</f>
        <v>0</v>
      </c>
      <c r="H413" s="390">
        <f>'UHD FGD'!$H$22</f>
        <v>0</v>
      </c>
      <c r="I413" s="390">
        <f>'UHD FGD'!$I$22</f>
        <v>0</v>
      </c>
      <c r="J413" s="390">
        <f>'UHD FGD'!$J$22</f>
        <v>0</v>
      </c>
      <c r="K413" s="390">
        <f>'UHD FGD'!$K$22</f>
        <v>0</v>
      </c>
      <c r="L413" s="390">
        <f>'UHD FGD'!$L$22</f>
        <v>0</v>
      </c>
      <c r="M413" s="390">
        <f>'UHD FGD'!$M$22</f>
        <v>0</v>
      </c>
      <c r="N413" s="401"/>
    </row>
    <row r="414" spans="1:14" s="171" customFormat="1" ht="12.75" hidden="1" customHeight="1" outlineLevel="1">
      <c r="A414" s="166"/>
      <c r="B414" s="674" t="str">
        <f>'UHV FGD'!$B$2</f>
        <v>University of Houston - Victoria</v>
      </c>
      <c r="C414" s="261"/>
      <c r="D414" s="390">
        <f>'UHV FGD'!$D$22</f>
        <v>0</v>
      </c>
      <c r="E414" s="390">
        <f>'UHV FGD'!$E$22</f>
        <v>0</v>
      </c>
      <c r="F414" s="390">
        <f>'UHV FGD'!$F$22</f>
        <v>0</v>
      </c>
      <c r="G414" s="390">
        <f>'UHV FGD'!$G$22</f>
        <v>0</v>
      </c>
      <c r="H414" s="390">
        <f>'UHV FGD'!$H$22</f>
        <v>0</v>
      </c>
      <c r="I414" s="390">
        <f>'UHV FGD'!$I$22</f>
        <v>0</v>
      </c>
      <c r="J414" s="390">
        <f>'UHV FGD'!$J$22</f>
        <v>0</v>
      </c>
      <c r="K414" s="390">
        <f>'UHV FGD'!$K$22</f>
        <v>0</v>
      </c>
      <c r="L414" s="390">
        <f>'UHV FGD'!$L$22</f>
        <v>0</v>
      </c>
      <c r="M414" s="390">
        <f>'UHV FGD'!$M$22</f>
        <v>0</v>
      </c>
      <c r="N414" s="401"/>
    </row>
    <row r="415" spans="1:14" s="171" customFormat="1" ht="12.75" hidden="1" customHeight="1" outlineLevel="1">
      <c r="A415" s="166"/>
      <c r="B415" s="674" t="str">
        <f>'UNT FGD'!$B$2</f>
        <v>University of North Texas</v>
      </c>
      <c r="C415" s="261"/>
      <c r="D415" s="390">
        <f>'UNT FGD'!$D$22</f>
        <v>-424908</v>
      </c>
      <c r="E415" s="390">
        <f>'UNT FGD'!$E$22</f>
        <v>-3472529</v>
      </c>
      <c r="F415" s="390">
        <f>'UNT FGD'!$F$22</f>
        <v>0</v>
      </c>
      <c r="G415" s="390">
        <f>'UNT FGD'!$G$22</f>
        <v>0</v>
      </c>
      <c r="H415" s="390">
        <f>'UNT FGD'!$H$22</f>
        <v>0</v>
      </c>
      <c r="I415" s="390">
        <f>'UNT FGD'!$I$22</f>
        <v>0</v>
      </c>
      <c r="J415" s="390">
        <f>'UNT FGD'!$J$22</f>
        <v>0</v>
      </c>
      <c r="K415" s="390">
        <f>'UNT FGD'!$K$22</f>
        <v>0</v>
      </c>
      <c r="L415" s="390">
        <f>'UNT FGD'!$L$22</f>
        <v>0</v>
      </c>
      <c r="M415" s="390">
        <f>'UNT FGD'!$M$22</f>
        <v>-3897437</v>
      </c>
      <c r="N415" s="401"/>
    </row>
    <row r="416" spans="1:14" s="171" customFormat="1" ht="12.75" hidden="1" customHeight="1" outlineLevel="1">
      <c r="A416" s="166"/>
      <c r="B416" s="674" t="str">
        <f>'UNTD FGD'!$B$2</f>
        <v>University of North Texas at Dallas</v>
      </c>
      <c r="C416" s="261"/>
      <c r="D416" s="390">
        <f>'UNTD FGD'!$D$22</f>
        <v>0</v>
      </c>
      <c r="E416" s="390">
        <f>'UNTD FGD'!$E$22</f>
        <v>0</v>
      </c>
      <c r="F416" s="390">
        <f>'UNTD FGD'!$F$22</f>
        <v>0</v>
      </c>
      <c r="G416" s="390">
        <f>'UNTD FGD'!$G$22</f>
        <v>0</v>
      </c>
      <c r="H416" s="390">
        <f>'UNTD FGD'!$H$22</f>
        <v>0</v>
      </c>
      <c r="I416" s="390">
        <f>'UNTD FGD'!$I$22</f>
        <v>0</v>
      </c>
      <c r="J416" s="390">
        <f>'UNTD FGD'!$J$22</f>
        <v>0</v>
      </c>
      <c r="K416" s="390">
        <f>'UNTD FGD'!$K$22</f>
        <v>0</v>
      </c>
      <c r="L416" s="390">
        <f>'UNTD FGD'!$L$22</f>
        <v>0</v>
      </c>
      <c r="M416" s="390">
        <f>'UNTD FGD'!$M$22</f>
        <v>0</v>
      </c>
      <c r="N416" s="401"/>
    </row>
    <row r="417" spans="1:14" s="171" customFormat="1" ht="12.75" hidden="1" customHeight="1" outlineLevel="1">
      <c r="A417" s="166"/>
      <c r="B417" s="674" t="str">
        <f>'WTAMU FGD'!$B$2</f>
        <v>West Texas A&amp;M University</v>
      </c>
      <c r="C417" s="261"/>
      <c r="D417" s="390">
        <f>'WTAMU FGD'!$D$22</f>
        <v>0</v>
      </c>
      <c r="E417" s="390">
        <f>'WTAMU FGD'!$E$22</f>
        <v>0</v>
      </c>
      <c r="F417" s="390">
        <f>'WTAMU FGD'!$F$22</f>
        <v>0</v>
      </c>
      <c r="G417" s="390">
        <f>'WTAMU FGD'!$G$22</f>
        <v>0</v>
      </c>
      <c r="H417" s="390">
        <f>'WTAMU FGD'!$H$22</f>
        <v>0</v>
      </c>
      <c r="I417" s="390">
        <f>'WTAMU FGD'!$I$22</f>
        <v>0</v>
      </c>
      <c r="J417" s="390">
        <f>'WTAMU FGD'!$J$22</f>
        <v>0</v>
      </c>
      <c r="K417" s="390">
        <f>'WTAMU FGD'!$K$22</f>
        <v>0</v>
      </c>
      <c r="L417" s="390">
        <f>'WTAMU FGD'!$L$22</f>
        <v>0</v>
      </c>
      <c r="M417" s="390">
        <f>'WTAMU FGD'!$M$22</f>
        <v>0</v>
      </c>
      <c r="N417" s="401"/>
    </row>
    <row r="418" spans="1:14" s="171" customFormat="1" collapsed="1">
      <c r="A418" s="166"/>
      <c r="B418" s="261" t="s">
        <v>725</v>
      </c>
      <c r="C418" s="261"/>
      <c r="D418" s="390">
        <f t="shared" ref="D418:M418" si="10">SUM(D382:D417)</f>
        <v>-424908</v>
      </c>
      <c r="E418" s="390">
        <f t="shared" si="10"/>
        <v>-3472529</v>
      </c>
      <c r="F418" s="390">
        <f t="shared" si="10"/>
        <v>0</v>
      </c>
      <c r="G418" s="390">
        <f t="shared" si="10"/>
        <v>0</v>
      </c>
      <c r="H418" s="390">
        <f t="shared" si="10"/>
        <v>0</v>
      </c>
      <c r="I418" s="390">
        <f t="shared" si="10"/>
        <v>0</v>
      </c>
      <c r="J418" s="390">
        <f t="shared" si="10"/>
        <v>0</v>
      </c>
      <c r="K418" s="390">
        <f t="shared" si="10"/>
        <v>0</v>
      </c>
      <c r="L418" s="390">
        <f t="shared" si="10"/>
        <v>0</v>
      </c>
      <c r="M418" s="390">
        <f t="shared" si="10"/>
        <v>-3897437</v>
      </c>
      <c r="N418" s="401"/>
    </row>
    <row r="419" spans="1:14" s="171" customFormat="1" ht="12.75" hidden="1" customHeight="1" outlineLevel="1">
      <c r="A419" s="166"/>
      <c r="B419" s="674" t="str">
        <f>'ARL FGD'!$B$2</f>
        <v>The University of Texas at Arlington</v>
      </c>
      <c r="C419" s="261"/>
      <c r="D419" s="390">
        <f>'ARL FGD'!$D$23</f>
        <v>82109351</v>
      </c>
      <c r="E419" s="390">
        <f>'ARL FGD'!$E$23</f>
        <v>236831438</v>
      </c>
      <c r="F419" s="390">
        <f>'ARL FGD'!$F$23</f>
        <v>0</v>
      </c>
      <c r="G419" s="390">
        <f>'ARL FGD'!$G$23</f>
        <v>0</v>
      </c>
      <c r="H419" s="390">
        <f>'ARL FGD'!$H$23</f>
        <v>0</v>
      </c>
      <c r="I419" s="390">
        <f>'ARL FGD'!$I$23</f>
        <v>0</v>
      </c>
      <c r="J419" s="390">
        <f>'ARL FGD'!$J$23</f>
        <v>0</v>
      </c>
      <c r="K419" s="390">
        <f>'ARL FGD'!$K$23</f>
        <v>0</v>
      </c>
      <c r="L419" s="390">
        <f>'ARL FGD'!$L$23</f>
        <v>0</v>
      </c>
      <c r="M419" s="390">
        <f>'ARL FGD'!$M$23</f>
        <v>318940789</v>
      </c>
      <c r="N419" s="401"/>
    </row>
    <row r="420" spans="1:14" s="171" customFormat="1" ht="12.75" hidden="1" customHeight="1" outlineLevel="1">
      <c r="A420" s="166"/>
      <c r="B420" s="674" t="str">
        <f>'ASU FGD'!$B$2</f>
        <v>Angelo State University</v>
      </c>
      <c r="C420" s="261"/>
      <c r="D420" s="390">
        <f>'ASU FGD'!$D$23</f>
        <v>13821790</v>
      </c>
      <c r="E420" s="390">
        <f>'ASU FGD'!$E$23</f>
        <v>26883268</v>
      </c>
      <c r="F420" s="390">
        <f>'ASU FGD'!$F$23</f>
        <v>0</v>
      </c>
      <c r="G420" s="390">
        <f>'ASU FGD'!$G$23</f>
        <v>0</v>
      </c>
      <c r="H420" s="390">
        <f>'ASU FGD'!$H$23</f>
        <v>0</v>
      </c>
      <c r="I420" s="390">
        <f>'ASU FGD'!$I$23</f>
        <v>0</v>
      </c>
      <c r="J420" s="390">
        <f>'ASU FGD'!$J$23</f>
        <v>0</v>
      </c>
      <c r="K420" s="390">
        <f>'ASU FGD'!$K$23</f>
        <v>0</v>
      </c>
      <c r="L420" s="390">
        <f>'ASU FGD'!$L$23</f>
        <v>0</v>
      </c>
      <c r="M420" s="390">
        <f>'ASU FGD'!$M$23</f>
        <v>40705058</v>
      </c>
      <c r="N420" s="401"/>
    </row>
    <row r="421" spans="1:14" s="171" customFormat="1" ht="12.75" hidden="1" customHeight="1" outlineLevel="1">
      <c r="A421" s="166"/>
      <c r="B421" s="674" t="str">
        <f>'AUS1 FGD'!$B$2</f>
        <v>The University of Texas at Austin - Academic &amp; Health (A+H)</v>
      </c>
      <c r="C421" s="261"/>
      <c r="D421" s="390">
        <f>'AUS1 FGD'!$D$23</f>
        <v>112577357</v>
      </c>
      <c r="E421" s="390">
        <f>'AUS1 FGD'!$E$23</f>
        <v>508168932</v>
      </c>
      <c r="F421" s="390">
        <f>'AUS1 FGD'!$F$23</f>
        <v>0</v>
      </c>
      <c r="G421" s="390">
        <f>'AUS1 FGD'!$G$23</f>
        <v>0</v>
      </c>
      <c r="H421" s="390">
        <f>'AUS1 FGD'!$H$23</f>
        <v>0</v>
      </c>
      <c r="I421" s="390">
        <f>'AUS1 FGD'!$I$23</f>
        <v>0</v>
      </c>
      <c r="J421" s="390">
        <f>'AUS1 FGD'!$J$23</f>
        <v>0</v>
      </c>
      <c r="K421" s="390">
        <f>'AUS1 FGD'!$K$23</f>
        <v>0</v>
      </c>
      <c r="L421" s="390">
        <f>'AUS1 FGD'!$L$23</f>
        <v>0</v>
      </c>
      <c r="M421" s="390">
        <f>'AUS1 FGD'!$M$23</f>
        <v>620746289</v>
      </c>
      <c r="N421" s="401"/>
    </row>
    <row r="422" spans="1:14" s="171" customFormat="1" ht="12.75" hidden="1" customHeight="1" outlineLevel="1">
      <c r="A422" s="166"/>
      <c r="B422" s="674" t="str">
        <f>'RGV1 FGD'!$B$2</f>
        <v>The University of Texas RGV - Academic &amp; Health (A+H)</v>
      </c>
      <c r="C422" s="261"/>
      <c r="D422" s="390">
        <f>'RGV1 FGD'!$D$23</f>
        <v>52235378</v>
      </c>
      <c r="E422" s="390">
        <f>'RGV1 FGD'!$E$23</f>
        <v>171059604</v>
      </c>
      <c r="F422" s="390">
        <f>'RGV1 FGD'!$F$23</f>
        <v>0</v>
      </c>
      <c r="G422" s="390">
        <f>'RGV1 FGD'!$G$23</f>
        <v>0</v>
      </c>
      <c r="H422" s="390">
        <f>'RGV1 FGD'!$H$23</f>
        <v>0</v>
      </c>
      <c r="I422" s="390">
        <f>'RGV1 FGD'!$I$23</f>
        <v>0</v>
      </c>
      <c r="J422" s="390">
        <f>'RGV1 FGD'!$J$23</f>
        <v>0</v>
      </c>
      <c r="K422" s="390">
        <f>'RGV1 FGD'!$K$23</f>
        <v>0</v>
      </c>
      <c r="L422" s="390">
        <f>'RGV1 FGD'!$L$23</f>
        <v>0</v>
      </c>
      <c r="M422" s="390">
        <f>'RGV1 FGD'!$M$23</f>
        <v>223294982</v>
      </c>
      <c r="N422" s="401"/>
    </row>
    <row r="423" spans="1:14" s="171" customFormat="1" ht="12.75" hidden="1" customHeight="1" outlineLevel="1">
      <c r="A423" s="166"/>
      <c r="B423" s="674" t="str">
        <f>'DAL FGD'!$B$2</f>
        <v>The University of Texas at Dallas</v>
      </c>
      <c r="C423" s="261"/>
      <c r="D423" s="390">
        <f>'DAL FGD'!$D$23</f>
        <v>57896284</v>
      </c>
      <c r="E423" s="390">
        <f>'DAL FGD'!$E$23</f>
        <v>269026815</v>
      </c>
      <c r="F423" s="390">
        <f>'DAL FGD'!$F$23</f>
        <v>0</v>
      </c>
      <c r="G423" s="390">
        <f>'DAL FGD'!$G$23</f>
        <v>0</v>
      </c>
      <c r="H423" s="390">
        <f>'DAL FGD'!$H$23</f>
        <v>0</v>
      </c>
      <c r="I423" s="390">
        <f>'DAL FGD'!$I$23</f>
        <v>0</v>
      </c>
      <c r="J423" s="390">
        <f>'DAL FGD'!$J$23</f>
        <v>0</v>
      </c>
      <c r="K423" s="390">
        <f>'DAL FGD'!$K$23</f>
        <v>0</v>
      </c>
      <c r="L423" s="390">
        <f>'DAL FGD'!$L$23</f>
        <v>0</v>
      </c>
      <c r="M423" s="390">
        <f>'DAL FGD'!$M$23</f>
        <v>326923099</v>
      </c>
      <c r="N423" s="401"/>
    </row>
    <row r="424" spans="1:14" s="171" customFormat="1" ht="12.75" hidden="1" customHeight="1" outlineLevel="1">
      <c r="A424" s="166"/>
      <c r="B424" s="674" t="str">
        <f>'E-P FGD'!$B$2</f>
        <v>The University of Texas at El Paso</v>
      </c>
      <c r="C424" s="261"/>
      <c r="D424" s="390">
        <f>'E-P FGD'!$D$23</f>
        <v>35885186</v>
      </c>
      <c r="E424" s="390">
        <f>'E-P FGD'!$E$23</f>
        <v>114478598</v>
      </c>
      <c r="F424" s="390">
        <f>'E-P FGD'!$F$23</f>
        <v>0</v>
      </c>
      <c r="G424" s="390">
        <f>'E-P FGD'!$G$23</f>
        <v>0</v>
      </c>
      <c r="H424" s="390">
        <f>'E-P FGD'!$H$23</f>
        <v>0</v>
      </c>
      <c r="I424" s="390">
        <f>'E-P FGD'!$I$23</f>
        <v>0</v>
      </c>
      <c r="J424" s="390">
        <f>'E-P FGD'!$J$23</f>
        <v>0</v>
      </c>
      <c r="K424" s="390">
        <f>'E-P FGD'!$K$23</f>
        <v>0</v>
      </c>
      <c r="L424" s="390">
        <f>'E-P FGD'!$L$23</f>
        <v>0</v>
      </c>
      <c r="M424" s="390">
        <f>'E-P FGD'!$M$23</f>
        <v>150363784</v>
      </c>
      <c r="N424" s="401"/>
    </row>
    <row r="425" spans="1:14" s="171" customFormat="1" ht="12.75" hidden="1" customHeight="1" outlineLevel="1">
      <c r="A425" s="166"/>
      <c r="B425" s="674" t="str">
        <f>'LU FGD'!$B$2</f>
        <v xml:space="preserve">Lamar University </v>
      </c>
      <c r="C425" s="261"/>
      <c r="D425" s="390">
        <f>'LU FGD'!$D$23</f>
        <v>20885070</v>
      </c>
      <c r="E425" s="390">
        <f>'LU FGD'!$E$23</f>
        <v>83187991</v>
      </c>
      <c r="F425" s="390">
        <f>'LU FGD'!$F$23</f>
        <v>0</v>
      </c>
      <c r="G425" s="390">
        <f>'LU FGD'!$G$23</f>
        <v>0</v>
      </c>
      <c r="H425" s="390">
        <f>'LU FGD'!$H$23</f>
        <v>0</v>
      </c>
      <c r="I425" s="390">
        <f>'LU FGD'!$I$23</f>
        <v>0</v>
      </c>
      <c r="J425" s="390">
        <f>'LU FGD'!$J$23</f>
        <v>0</v>
      </c>
      <c r="K425" s="390">
        <f>'LU FGD'!$K$23</f>
        <v>0</v>
      </c>
      <c r="L425" s="390">
        <f>'LU FGD'!$L$23</f>
        <v>0</v>
      </c>
      <c r="M425" s="390">
        <f>'LU FGD'!$M$23</f>
        <v>104073061</v>
      </c>
      <c r="N425" s="401"/>
    </row>
    <row r="426" spans="1:14" s="171" customFormat="1" ht="12.75" hidden="1" customHeight="1" outlineLevel="1">
      <c r="A426" s="166"/>
      <c r="B426" s="674" t="str">
        <f>'MidWST FGD'!$B$2</f>
        <v>Midwestern State University</v>
      </c>
      <c r="C426" s="261"/>
      <c r="D426" s="390">
        <f>'MidWST FGD'!$D$23</f>
        <v>7164919</v>
      </c>
      <c r="E426" s="390">
        <f>'MidWST FGD'!$E$23</f>
        <v>19823872</v>
      </c>
      <c r="F426" s="390">
        <f>'MidWST FGD'!$F$23</f>
        <v>0</v>
      </c>
      <c r="G426" s="390">
        <f>'MidWST FGD'!$G$23</f>
        <v>0</v>
      </c>
      <c r="H426" s="390">
        <f>'MidWST FGD'!$H$23</f>
        <v>0</v>
      </c>
      <c r="I426" s="390">
        <f>'MidWST FGD'!$I$23</f>
        <v>0</v>
      </c>
      <c r="J426" s="390">
        <f>'MidWST FGD'!$J$23</f>
        <v>0</v>
      </c>
      <c r="K426" s="390">
        <f>'MidWST FGD'!$K$23</f>
        <v>0</v>
      </c>
      <c r="L426" s="390">
        <f>'MidWST FGD'!$L$23</f>
        <v>0</v>
      </c>
      <c r="M426" s="390">
        <f>'MidWST FGD'!$M$23</f>
        <v>26988791</v>
      </c>
      <c r="N426" s="401"/>
    </row>
    <row r="427" spans="1:14" s="171" customFormat="1" ht="12.75" hidden="1" customHeight="1" outlineLevel="1">
      <c r="A427" s="166"/>
      <c r="B427" s="674" t="str">
        <f>'P-B FGD'!$B$2</f>
        <v>The University of Texas of the Permian Basin</v>
      </c>
      <c r="C427" s="261"/>
      <c r="D427" s="390">
        <f>'P-B FGD'!$D$23</f>
        <v>6963868</v>
      </c>
      <c r="E427" s="390">
        <f>'P-B FGD'!$E$23</f>
        <v>21514556</v>
      </c>
      <c r="F427" s="390">
        <f>'P-B FGD'!$F$23</f>
        <v>0</v>
      </c>
      <c r="G427" s="390">
        <f>'P-B FGD'!$G$23</f>
        <v>0</v>
      </c>
      <c r="H427" s="390">
        <f>'P-B FGD'!$H$23</f>
        <v>0</v>
      </c>
      <c r="I427" s="390">
        <f>'P-B FGD'!$I$23</f>
        <v>0</v>
      </c>
      <c r="J427" s="390">
        <f>'P-B FGD'!$J$23</f>
        <v>0</v>
      </c>
      <c r="K427" s="390">
        <f>'P-B FGD'!$K$23</f>
        <v>0</v>
      </c>
      <c r="L427" s="390">
        <f>'P-B FGD'!$L$23</f>
        <v>0</v>
      </c>
      <c r="M427" s="390">
        <f>'P-B FGD'!$M$23</f>
        <v>28478424</v>
      </c>
      <c r="N427" s="401"/>
    </row>
    <row r="428" spans="1:14" s="171" customFormat="1" ht="12.75" hidden="1" customHeight="1" outlineLevel="1">
      <c r="A428" s="166"/>
      <c r="B428" s="674" t="str">
        <f>'PVAMU FGD'!$B$2</f>
        <v>Prairie View A&amp;M University</v>
      </c>
      <c r="C428" s="261"/>
      <c r="D428" s="390">
        <f>'PVAMU FGD'!$D$23</f>
        <v>18946966</v>
      </c>
      <c r="E428" s="390">
        <f>'PVAMU FGD'!$E$23</f>
        <v>48598981</v>
      </c>
      <c r="F428" s="390">
        <f>'PVAMU FGD'!$F$23</f>
        <v>0</v>
      </c>
      <c r="G428" s="390">
        <f>'PVAMU FGD'!$G$23</f>
        <v>0</v>
      </c>
      <c r="H428" s="390">
        <f>'PVAMU FGD'!$H$23</f>
        <v>0</v>
      </c>
      <c r="I428" s="390">
        <f>'PVAMU FGD'!$I$23</f>
        <v>0</v>
      </c>
      <c r="J428" s="390">
        <f>'PVAMU FGD'!$J$23</f>
        <v>0</v>
      </c>
      <c r="K428" s="390">
        <f>'PVAMU FGD'!$K$23</f>
        <v>0</v>
      </c>
      <c r="L428" s="390">
        <f>'PVAMU FGD'!$L$23</f>
        <v>0</v>
      </c>
      <c r="M428" s="390">
        <f>'PVAMU FGD'!$M$23</f>
        <v>67545947</v>
      </c>
      <c r="N428" s="401"/>
    </row>
    <row r="429" spans="1:14" s="171" customFormat="1" ht="12.75" hidden="1" customHeight="1" outlineLevel="1">
      <c r="A429" s="166"/>
      <c r="B429" s="674" t="str">
        <f>'S-A FGD'!$B$2</f>
        <v>The University of Texas at San Antonio</v>
      </c>
      <c r="C429" s="261"/>
      <c r="D429" s="390">
        <f>'S-A FGD'!$D$23</f>
        <v>52047613</v>
      </c>
      <c r="E429" s="390">
        <f>'S-A FGD'!$E$23</f>
        <v>179828468</v>
      </c>
      <c r="F429" s="390">
        <f>'S-A FGD'!$F$23</f>
        <v>0</v>
      </c>
      <c r="G429" s="390">
        <f>'S-A FGD'!$G$23</f>
        <v>0</v>
      </c>
      <c r="H429" s="390">
        <f>'S-A FGD'!$H$23</f>
        <v>0</v>
      </c>
      <c r="I429" s="390">
        <f>'S-A FGD'!$I$23</f>
        <v>0</v>
      </c>
      <c r="J429" s="390">
        <f>'S-A FGD'!$J$23</f>
        <v>0</v>
      </c>
      <c r="K429" s="390">
        <f>'S-A FGD'!$K$23</f>
        <v>0</v>
      </c>
      <c r="L429" s="390">
        <f>'S-A FGD'!$L$23</f>
        <v>0</v>
      </c>
      <c r="M429" s="390">
        <f>'S-A FGD'!$M$23</f>
        <v>231876081</v>
      </c>
      <c r="N429" s="401"/>
    </row>
    <row r="430" spans="1:14" s="171" customFormat="1" ht="12.75" hidden="1" customHeight="1" outlineLevel="1">
      <c r="A430" s="166"/>
      <c r="B430" s="674" t="str">
        <f>'SFA FGD'!$B$2</f>
        <v>Stephen F. Austin State University</v>
      </c>
      <c r="C430" s="261"/>
      <c r="D430" s="390">
        <f>'SFA FGD'!$D$23</f>
        <v>18345811</v>
      </c>
      <c r="E430" s="390">
        <f>'SFA FGD'!$E$23</f>
        <v>72109475</v>
      </c>
      <c r="F430" s="390">
        <f>'SFA FGD'!$F$23</f>
        <v>0</v>
      </c>
      <c r="G430" s="390">
        <f>'SFA FGD'!$G$23</f>
        <v>0</v>
      </c>
      <c r="H430" s="390">
        <f>'SFA FGD'!$H$23</f>
        <v>0</v>
      </c>
      <c r="I430" s="390">
        <f>'SFA FGD'!$I$23</f>
        <v>0</v>
      </c>
      <c r="J430" s="390">
        <f>'SFA FGD'!$J$23</f>
        <v>0</v>
      </c>
      <c r="K430" s="390">
        <f>'SFA FGD'!$K$23</f>
        <v>0</v>
      </c>
      <c r="L430" s="390">
        <f>'SFA FGD'!$L$23</f>
        <v>0</v>
      </c>
      <c r="M430" s="390">
        <f>'SFA FGD'!$M$23</f>
        <v>90455286</v>
      </c>
      <c r="N430" s="401"/>
    </row>
    <row r="431" spans="1:14" s="171" customFormat="1" ht="12.75" hidden="1" customHeight="1" outlineLevel="1">
      <c r="A431" s="166"/>
      <c r="B431" s="674" t="str">
        <f>'shsu1 FGD'!$B$2</f>
        <v>Sam Houston State University - Academic &amp; Health (A+H)</v>
      </c>
      <c r="C431" s="261"/>
      <c r="D431" s="390">
        <f>'shsu1 FGD'!$D$23</f>
        <v>39045930</v>
      </c>
      <c r="E431" s="390">
        <f>'shsu1 FGD'!$E$23</f>
        <v>108090556</v>
      </c>
      <c r="F431" s="390">
        <f>'shsu1 FGD'!$F$23</f>
        <v>0</v>
      </c>
      <c r="G431" s="390">
        <f>'shsu1 FGD'!$G$23</f>
        <v>0</v>
      </c>
      <c r="H431" s="390">
        <f>'shsu1 FGD'!$H$23</f>
        <v>0</v>
      </c>
      <c r="I431" s="390">
        <f>'shsu1 FGD'!$I$23</f>
        <v>0</v>
      </c>
      <c r="J431" s="390">
        <f>'shsu1 FGD'!$J$23</f>
        <v>0</v>
      </c>
      <c r="K431" s="390">
        <f>'shsu1 FGD'!$K$23</f>
        <v>0</v>
      </c>
      <c r="L431" s="390">
        <f>'shsu1 FGD'!$L$23</f>
        <v>0</v>
      </c>
      <c r="M431" s="390">
        <f>'shsu1 FGD'!$M$23</f>
        <v>147136486</v>
      </c>
      <c r="N431" s="401"/>
    </row>
    <row r="432" spans="1:14" s="171" customFormat="1" ht="12.75" hidden="1" customHeight="1" outlineLevel="1">
      <c r="A432" s="166"/>
      <c r="B432" s="674" t="str">
        <f>'SRSU FGD'!$B$2</f>
        <v>Sul Ross State University</v>
      </c>
      <c r="C432" s="261"/>
      <c r="D432" s="390">
        <f>'SRSU FGD'!$D$23</f>
        <v>2827081</v>
      </c>
      <c r="E432" s="390">
        <f>'SRSU FGD'!$E$23</f>
        <v>7542791</v>
      </c>
      <c r="F432" s="390">
        <f>'SRSU FGD'!$F$23</f>
        <v>0</v>
      </c>
      <c r="G432" s="390">
        <f>'SRSU FGD'!$G$23</f>
        <v>0</v>
      </c>
      <c r="H432" s="390">
        <f>'SRSU FGD'!$H$23</f>
        <v>0</v>
      </c>
      <c r="I432" s="390">
        <f>'SRSU FGD'!$I$23</f>
        <v>0</v>
      </c>
      <c r="J432" s="390">
        <f>'SRSU FGD'!$J$23</f>
        <v>0</v>
      </c>
      <c r="K432" s="390">
        <f>'SRSU FGD'!$K$23</f>
        <v>0</v>
      </c>
      <c r="L432" s="390">
        <f>'SRSU FGD'!$L$23</f>
        <v>0</v>
      </c>
      <c r="M432" s="390">
        <f>'SRSU FGD'!$M$23</f>
        <v>10369872</v>
      </c>
      <c r="N432" s="401"/>
    </row>
    <row r="433" spans="1:14" s="171" customFormat="1" ht="12.75" hidden="1" customHeight="1" outlineLevel="1">
      <c r="A433" s="166"/>
      <c r="B433" s="674" t="str">
        <f>'TAMIU FGD'!$B$2</f>
        <v>Texas A&amp;M International University</v>
      </c>
      <c r="C433" s="261"/>
      <c r="D433" s="390">
        <f>'TAMIU FGD'!$D$23</f>
        <v>11287396</v>
      </c>
      <c r="E433" s="390">
        <f>'TAMIU FGD'!$E$23</f>
        <v>22330741</v>
      </c>
      <c r="F433" s="390">
        <f>'TAMIU FGD'!$F$23</f>
        <v>0</v>
      </c>
      <c r="G433" s="390">
        <f>'TAMIU FGD'!$G$23</f>
        <v>0</v>
      </c>
      <c r="H433" s="390">
        <f>'TAMIU FGD'!$H$23</f>
        <v>0</v>
      </c>
      <c r="I433" s="390">
        <f>'TAMIU FGD'!$I$23</f>
        <v>0</v>
      </c>
      <c r="J433" s="390">
        <f>'TAMIU FGD'!$J$23</f>
        <v>0</v>
      </c>
      <c r="K433" s="390">
        <f>'TAMIU FGD'!$K$23</f>
        <v>0</v>
      </c>
      <c r="L433" s="390">
        <f>'TAMIU FGD'!$L$23</f>
        <v>0</v>
      </c>
      <c r="M433" s="390">
        <f>'TAMIU FGD'!$M$23</f>
        <v>33618137</v>
      </c>
      <c r="N433" s="401"/>
    </row>
    <row r="434" spans="1:14" s="171" customFormat="1" ht="12.75" hidden="1" customHeight="1" outlineLevel="1">
      <c r="A434" s="166"/>
      <c r="B434" s="674" t="str">
        <f>'TAMU FGD'!$B$2</f>
        <v>Texas A&amp;M University</v>
      </c>
      <c r="C434" s="261"/>
      <c r="D434" s="390">
        <f>'TAMU FGD'!$D$23</f>
        <v>122877459</v>
      </c>
      <c r="E434" s="390">
        <f>'TAMU FGD'!$E$23</f>
        <v>445818888</v>
      </c>
      <c r="F434" s="390">
        <f>'TAMU FGD'!$F$23</f>
        <v>0</v>
      </c>
      <c r="G434" s="390">
        <f>'TAMU FGD'!$G$23</f>
        <v>0</v>
      </c>
      <c r="H434" s="390">
        <f>'TAMU FGD'!$H$23</f>
        <v>0</v>
      </c>
      <c r="I434" s="390">
        <f>'TAMU FGD'!$I$23</f>
        <v>0</v>
      </c>
      <c r="J434" s="390">
        <f>'TAMU FGD'!$J$23</f>
        <v>0</v>
      </c>
      <c r="K434" s="390">
        <f>'TAMU FGD'!$K$23</f>
        <v>0</v>
      </c>
      <c r="L434" s="390">
        <f>'TAMU FGD'!$L$23</f>
        <v>0</v>
      </c>
      <c r="M434" s="390">
        <f>'TAMU FGD'!$M$23</f>
        <v>568696347</v>
      </c>
      <c r="N434" s="401"/>
    </row>
    <row r="435" spans="1:14" s="171" customFormat="1" ht="12.75" hidden="1" customHeight="1" outlineLevel="1">
      <c r="A435" s="166"/>
      <c r="B435" s="674" t="str">
        <f>'TAMUC FGD'!$B$2</f>
        <v>Texas A&amp;M University - Commerce</v>
      </c>
      <c r="C435" s="261"/>
      <c r="D435" s="390">
        <f>'TAMUC FGD'!$D$23</f>
        <v>16726811</v>
      </c>
      <c r="E435" s="390">
        <f>'TAMUC FGD'!$E$23</f>
        <v>29675591</v>
      </c>
      <c r="F435" s="390">
        <f>'TAMUC FGD'!$F$23</f>
        <v>0</v>
      </c>
      <c r="G435" s="390">
        <f>'TAMUC FGD'!$G$23</f>
        <v>-1141176</v>
      </c>
      <c r="H435" s="390">
        <f>'TAMUC FGD'!$H$23</f>
        <v>0</v>
      </c>
      <c r="I435" s="390">
        <f>'TAMUC FGD'!$I$23</f>
        <v>0</v>
      </c>
      <c r="J435" s="390">
        <f>'TAMUC FGD'!$J$23</f>
        <v>0</v>
      </c>
      <c r="K435" s="390">
        <f>'TAMUC FGD'!$K$23</f>
        <v>0</v>
      </c>
      <c r="L435" s="390">
        <f>'TAMUC FGD'!$L$23</f>
        <v>0</v>
      </c>
      <c r="M435" s="390">
        <f>'TAMUC FGD'!$M$23</f>
        <v>45261226</v>
      </c>
      <c r="N435" s="401"/>
    </row>
    <row r="436" spans="1:14" s="171" customFormat="1" ht="12.75" hidden="1" customHeight="1" outlineLevel="1">
      <c r="A436" s="166"/>
      <c r="B436" s="674" t="str">
        <f>'TAMUCC FGD'!$B$2</f>
        <v>Texas A&amp;M University - Corpus Christi</v>
      </c>
      <c r="C436" s="261"/>
      <c r="D436" s="390">
        <f>'TAMUCC FGD'!$D$23</f>
        <v>17725814</v>
      </c>
      <c r="E436" s="390">
        <f>'TAMUCC FGD'!$E$23</f>
        <v>36344267</v>
      </c>
      <c r="F436" s="390">
        <f>'TAMUCC FGD'!$F$23</f>
        <v>0</v>
      </c>
      <c r="G436" s="390">
        <f>'TAMUCC FGD'!$G$23</f>
        <v>0</v>
      </c>
      <c r="H436" s="390">
        <f>'TAMUCC FGD'!$H$23</f>
        <v>0</v>
      </c>
      <c r="I436" s="390">
        <f>'TAMUCC FGD'!$I$23</f>
        <v>0</v>
      </c>
      <c r="J436" s="390">
        <f>'TAMUCC FGD'!$J$23</f>
        <v>0</v>
      </c>
      <c r="K436" s="390">
        <f>'TAMUCC FGD'!$K$23</f>
        <v>0</v>
      </c>
      <c r="L436" s="390">
        <f>'TAMUCC FGD'!$L$23</f>
        <v>0</v>
      </c>
      <c r="M436" s="390">
        <f>'TAMUCC FGD'!$M$23</f>
        <v>54070081</v>
      </c>
      <c r="N436" s="401"/>
    </row>
    <row r="437" spans="1:14" s="171" customFormat="1" ht="12.75" hidden="1" customHeight="1" outlineLevel="1">
      <c r="A437" s="166"/>
      <c r="B437" s="674" t="str">
        <f>'TAMUCT FGD'!$B$2</f>
        <v>Texas A&amp;M University - Central Texas</v>
      </c>
      <c r="C437" s="261"/>
      <c r="D437" s="390">
        <f>'TAMUCT FGD'!$D$23</f>
        <v>2751413</v>
      </c>
      <c r="E437" s="390">
        <f>'TAMUCT FGD'!$E$23</f>
        <v>9013187</v>
      </c>
      <c r="F437" s="390">
        <f>'TAMUCT FGD'!$F$23</f>
        <v>0</v>
      </c>
      <c r="G437" s="390">
        <f>'TAMUCT FGD'!$G$23</f>
        <v>0</v>
      </c>
      <c r="H437" s="390">
        <f>'TAMUCT FGD'!$H$23</f>
        <v>0</v>
      </c>
      <c r="I437" s="390">
        <f>'TAMUCT FGD'!$I$23</f>
        <v>0</v>
      </c>
      <c r="J437" s="390">
        <f>'TAMUCT FGD'!$J$23</f>
        <v>0</v>
      </c>
      <c r="K437" s="390">
        <f>'TAMUCT FGD'!$K$23</f>
        <v>0</v>
      </c>
      <c r="L437" s="390">
        <f>'TAMUCT FGD'!$L$23</f>
        <v>0</v>
      </c>
      <c r="M437" s="390">
        <f>'TAMUCT FGD'!$M$23</f>
        <v>11764600</v>
      </c>
      <c r="N437" s="401"/>
    </row>
    <row r="438" spans="1:14" s="171" customFormat="1" ht="12.75" hidden="1" customHeight="1" outlineLevel="1">
      <c r="A438" s="166"/>
      <c r="B438" s="674" t="str">
        <f>'TAMUG FGD'!$B$2</f>
        <v>Texas A&amp;M University at Galveston</v>
      </c>
      <c r="C438" s="261"/>
      <c r="D438" s="390">
        <f>'TAMUG FGD'!$D$23</f>
        <v>3110370</v>
      </c>
      <c r="E438" s="390">
        <f>'TAMUG FGD'!$E$23</f>
        <v>12188270</v>
      </c>
      <c r="F438" s="390">
        <f>'TAMUG FGD'!$F$23</f>
        <v>0</v>
      </c>
      <c r="G438" s="390">
        <f>'TAMUG FGD'!$G$23</f>
        <v>0</v>
      </c>
      <c r="H438" s="390">
        <f>'TAMUG FGD'!$H$23</f>
        <v>0</v>
      </c>
      <c r="I438" s="390">
        <f>'TAMUG FGD'!$I$23</f>
        <v>0</v>
      </c>
      <c r="J438" s="390">
        <f>'TAMUG FGD'!$J$23</f>
        <v>0</v>
      </c>
      <c r="K438" s="390">
        <f>'TAMUG FGD'!$K$23</f>
        <v>0</v>
      </c>
      <c r="L438" s="390">
        <f>'TAMUG FGD'!$L$23</f>
        <v>0</v>
      </c>
      <c r="M438" s="390">
        <f>'TAMUG FGD'!$M$23</f>
        <v>15298640</v>
      </c>
      <c r="N438" s="401"/>
    </row>
    <row r="439" spans="1:14" s="171" customFormat="1" ht="12.75" hidden="1" customHeight="1" outlineLevel="1">
      <c r="A439" s="166"/>
      <c r="B439" s="674" t="str">
        <f>'TAMUK FGD'!$B$2</f>
        <v>Texas A&amp;M University - Kingsville</v>
      </c>
      <c r="C439" s="261"/>
      <c r="D439" s="390">
        <f>'TAMUK FGD'!$D$23</f>
        <v>14503405</v>
      </c>
      <c r="E439" s="390">
        <f>'TAMUK FGD'!$E$23</f>
        <v>19586739</v>
      </c>
      <c r="F439" s="390">
        <f>'TAMUK FGD'!$F$23</f>
        <v>0</v>
      </c>
      <c r="G439" s="390">
        <f>'TAMUK FGD'!$G$23</f>
        <v>-2077784</v>
      </c>
      <c r="H439" s="390">
        <f>'TAMUK FGD'!$H$23</f>
        <v>0</v>
      </c>
      <c r="I439" s="390">
        <f>'TAMUK FGD'!$I$23</f>
        <v>0</v>
      </c>
      <c r="J439" s="390">
        <f>'TAMUK FGD'!$J$23</f>
        <v>0</v>
      </c>
      <c r="K439" s="390">
        <f>'TAMUK FGD'!$K$23</f>
        <v>0</v>
      </c>
      <c r="L439" s="390">
        <f>'TAMUK FGD'!$L$23</f>
        <v>0</v>
      </c>
      <c r="M439" s="390">
        <f>'TAMUK FGD'!$M$23</f>
        <v>32012360</v>
      </c>
      <c r="N439" s="401"/>
    </row>
    <row r="440" spans="1:14" s="171" customFormat="1" ht="12.75" hidden="1" customHeight="1" outlineLevel="1">
      <c r="A440" s="166"/>
      <c r="B440" s="674" t="str">
        <f>'TAMUSA FGD'!$B$2</f>
        <v>Texas A&amp;M University - San Antonio</v>
      </c>
      <c r="C440" s="261"/>
      <c r="D440" s="390">
        <f>'TAMUSA FGD'!$D$23</f>
        <v>8212430</v>
      </c>
      <c r="E440" s="390">
        <f>'TAMUSA FGD'!$E$23</f>
        <v>15759650</v>
      </c>
      <c r="F440" s="390">
        <f>'TAMUSA FGD'!$F$23</f>
        <v>0</v>
      </c>
      <c r="G440" s="390">
        <f>'TAMUSA FGD'!$G$23</f>
        <v>0</v>
      </c>
      <c r="H440" s="390">
        <f>'TAMUSA FGD'!$H$23</f>
        <v>0</v>
      </c>
      <c r="I440" s="390">
        <f>'TAMUSA FGD'!$I$23</f>
        <v>0</v>
      </c>
      <c r="J440" s="390">
        <f>'TAMUSA FGD'!$J$23</f>
        <v>0</v>
      </c>
      <c r="K440" s="390">
        <f>'TAMUSA FGD'!$K$23</f>
        <v>0</v>
      </c>
      <c r="L440" s="390">
        <f>'TAMUSA FGD'!$L$23</f>
        <v>0</v>
      </c>
      <c r="M440" s="390">
        <f>'TAMUSA FGD'!$M$23</f>
        <v>23972080</v>
      </c>
      <c r="N440" s="401"/>
    </row>
    <row r="441" spans="1:14" s="171" customFormat="1" ht="12.75" hidden="1" customHeight="1" outlineLevel="1">
      <c r="A441" s="166"/>
      <c r="B441" s="674" t="str">
        <f>'TAMUT FGD'!$B$2</f>
        <v>Texas A&amp;M University - Texarkana</v>
      </c>
      <c r="C441" s="261"/>
      <c r="D441" s="390">
        <f>'TAMUT FGD'!$D$23</f>
        <v>2623634</v>
      </c>
      <c r="E441" s="390">
        <f>'TAMUT FGD'!$E$23</f>
        <v>7910668</v>
      </c>
      <c r="F441" s="390">
        <f>'TAMUT FGD'!$F$23</f>
        <v>0</v>
      </c>
      <c r="G441" s="390">
        <f>'TAMUT FGD'!$G$23</f>
        <v>0</v>
      </c>
      <c r="H441" s="390">
        <f>'TAMUT FGD'!$H$23</f>
        <v>0</v>
      </c>
      <c r="I441" s="390">
        <f>'TAMUT FGD'!$I$23</f>
        <v>0</v>
      </c>
      <c r="J441" s="390">
        <f>'TAMUT FGD'!$J$23</f>
        <v>0</v>
      </c>
      <c r="K441" s="390">
        <f>'TAMUT FGD'!$K$23</f>
        <v>0</v>
      </c>
      <c r="L441" s="390">
        <f>'TAMUT FGD'!$L$23</f>
        <v>0</v>
      </c>
      <c r="M441" s="390">
        <f>'TAMUT FGD'!$M$23</f>
        <v>10534302</v>
      </c>
      <c r="N441" s="401"/>
    </row>
    <row r="442" spans="1:14" s="171" customFormat="1" ht="12.75" hidden="1" customHeight="1" outlineLevel="1">
      <c r="A442" s="166"/>
      <c r="B442" s="674" t="str">
        <f>'TARLST FGD'!$B$2</f>
        <v>Tarleton State University</v>
      </c>
      <c r="C442" s="261"/>
      <c r="D442" s="390">
        <f>'TARLST FGD'!$D$23</f>
        <v>21988228</v>
      </c>
      <c r="E442" s="390">
        <f>'TARLST FGD'!$E$23</f>
        <v>54264209</v>
      </c>
      <c r="F442" s="390">
        <f>'TARLST FGD'!$F$23</f>
        <v>0</v>
      </c>
      <c r="G442" s="390">
        <f>'TARLST FGD'!$G$23</f>
        <v>0</v>
      </c>
      <c r="H442" s="390">
        <f>'TARLST FGD'!$H$23</f>
        <v>0</v>
      </c>
      <c r="I442" s="390">
        <f>'TARLST FGD'!$I$23</f>
        <v>0</v>
      </c>
      <c r="J442" s="390">
        <f>'TARLST FGD'!$J$23</f>
        <v>0</v>
      </c>
      <c r="K442" s="390">
        <f>'TARLST FGD'!$K$23</f>
        <v>0</v>
      </c>
      <c r="L442" s="390">
        <f>'TARLST FGD'!$L$23</f>
        <v>0</v>
      </c>
      <c r="M442" s="390">
        <f>'TARLST FGD'!$M$23</f>
        <v>76252437</v>
      </c>
      <c r="N442" s="401"/>
    </row>
    <row r="443" spans="1:14" s="171" customFormat="1" ht="12.75" hidden="1" customHeight="1" outlineLevel="1">
      <c r="A443" s="166"/>
      <c r="B443" s="674" t="str">
        <f>'TSU FGD'!$B$2</f>
        <v>Texas Southern University</v>
      </c>
      <c r="C443" s="261"/>
      <c r="D443" s="390">
        <f>'TSU FGD'!$D$23</f>
        <v>25633239</v>
      </c>
      <c r="E443" s="390">
        <f>'TSU FGD'!$E$23</f>
        <v>36354034</v>
      </c>
      <c r="F443" s="390">
        <f>'TSU FGD'!$F$23</f>
        <v>0</v>
      </c>
      <c r="G443" s="390">
        <f>'TSU FGD'!$G$23</f>
        <v>0</v>
      </c>
      <c r="H443" s="390">
        <f>'TSU FGD'!$H$23</f>
        <v>0</v>
      </c>
      <c r="I443" s="390">
        <f>'TSU FGD'!$I$23</f>
        <v>0</v>
      </c>
      <c r="J443" s="390">
        <f>'TSU FGD'!$J$23</f>
        <v>0</v>
      </c>
      <c r="K443" s="390">
        <f>'TSU FGD'!$K$23</f>
        <v>0</v>
      </c>
      <c r="L443" s="390">
        <f>'TSU FGD'!$L$23</f>
        <v>0</v>
      </c>
      <c r="M443" s="390">
        <f>'TSU FGD'!$M$23</f>
        <v>61987273</v>
      </c>
      <c r="N443" s="401"/>
    </row>
    <row r="444" spans="1:14" s="171" customFormat="1" ht="12.75" hidden="1" customHeight="1" outlineLevel="1">
      <c r="A444" s="166"/>
      <c r="B444" s="674" t="str">
        <f>'TTU FGD'!$B$2</f>
        <v>Texas Tech University</v>
      </c>
      <c r="C444" s="261"/>
      <c r="D444" s="390">
        <f>'TTU FGD'!$D$23</f>
        <v>67940407</v>
      </c>
      <c r="E444" s="390">
        <f>'TTU FGD'!$E$23</f>
        <v>259398922</v>
      </c>
      <c r="F444" s="390">
        <f>'TTU FGD'!$F$23</f>
        <v>0</v>
      </c>
      <c r="G444" s="390">
        <f>'TTU FGD'!$G$23</f>
        <v>0</v>
      </c>
      <c r="H444" s="390">
        <f>'TTU FGD'!$H$23</f>
        <v>0</v>
      </c>
      <c r="I444" s="390">
        <f>'TTU FGD'!$I$23</f>
        <v>0</v>
      </c>
      <c r="J444" s="390">
        <f>'TTU FGD'!$J$23</f>
        <v>0</v>
      </c>
      <c r="K444" s="390">
        <f>'TTU FGD'!$K$23</f>
        <v>0</v>
      </c>
      <c r="L444" s="390">
        <f>'TTU FGD'!$L$23</f>
        <v>0</v>
      </c>
      <c r="M444" s="390">
        <f>'TTU FGD'!$M$23</f>
        <v>327339329</v>
      </c>
      <c r="N444" s="401"/>
    </row>
    <row r="445" spans="1:14" s="171" customFormat="1" ht="12.75" hidden="1" customHeight="1" outlineLevel="1">
      <c r="A445" s="166"/>
      <c r="B445" s="674" t="str">
        <f>'TWU FGD'!$B$2</f>
        <v>Texas Woman's University</v>
      </c>
      <c r="C445" s="261"/>
      <c r="D445" s="390">
        <f>'TWU FGD'!$D$23</f>
        <v>38779077</v>
      </c>
      <c r="E445" s="390">
        <f>'TWU FGD'!$E$23</f>
        <v>85692866</v>
      </c>
      <c r="F445" s="390">
        <f>'TWU FGD'!$F$23</f>
        <v>0</v>
      </c>
      <c r="G445" s="390">
        <f>'TWU FGD'!$G$23</f>
        <v>0</v>
      </c>
      <c r="H445" s="390">
        <f>'TWU FGD'!$H$23</f>
        <v>0</v>
      </c>
      <c r="I445" s="390">
        <f>'TWU FGD'!$I$23</f>
        <v>0</v>
      </c>
      <c r="J445" s="390">
        <f>'TWU FGD'!$J$23</f>
        <v>0</v>
      </c>
      <c r="K445" s="390">
        <f>'TWU FGD'!$K$23</f>
        <v>0</v>
      </c>
      <c r="L445" s="390">
        <f>'TWU FGD'!$L$23</f>
        <v>0</v>
      </c>
      <c r="M445" s="390">
        <f>'TWU FGD'!$M$23</f>
        <v>124471943</v>
      </c>
      <c r="N445" s="401"/>
    </row>
    <row r="446" spans="1:14" s="171" customFormat="1" ht="12.75" hidden="1" customHeight="1" outlineLevel="1">
      <c r="A446" s="166"/>
      <c r="B446" s="674" t="str">
        <f>'TXST FGD'!$B$2</f>
        <v>Texas State University</v>
      </c>
      <c r="C446" s="261"/>
      <c r="D446" s="390">
        <f>'TXST FGD'!$D$23</f>
        <v>55673103</v>
      </c>
      <c r="E446" s="390">
        <f>'TXST FGD'!$E$23</f>
        <v>234689001</v>
      </c>
      <c r="F446" s="390">
        <f>'TXST FGD'!$F$23</f>
        <v>0</v>
      </c>
      <c r="G446" s="390">
        <f>'TXST FGD'!$G$23</f>
        <v>0</v>
      </c>
      <c r="H446" s="390">
        <f>'TXST FGD'!$H$23</f>
        <v>0</v>
      </c>
      <c r="I446" s="390">
        <f>'TXST FGD'!$I$23</f>
        <v>0</v>
      </c>
      <c r="J446" s="390">
        <f>'TXST FGD'!$J$23</f>
        <v>0</v>
      </c>
      <c r="K446" s="390">
        <f>'TXST FGD'!$K$23</f>
        <v>0</v>
      </c>
      <c r="L446" s="390">
        <f>'TXST FGD'!$L$23</f>
        <v>0</v>
      </c>
      <c r="M446" s="390">
        <f>'TXST FGD'!$M$23</f>
        <v>290362104</v>
      </c>
      <c r="N446" s="401"/>
    </row>
    <row r="447" spans="1:14" s="171" customFormat="1" ht="12.75" hidden="1" customHeight="1" outlineLevel="1">
      <c r="A447" s="166"/>
      <c r="B447" s="674" t="str">
        <f>'TYL FGD'!$B$2</f>
        <v>The University of Texas at Tyler</v>
      </c>
      <c r="C447" s="261"/>
      <c r="D447" s="390">
        <f>'TYL FGD'!$D$23</f>
        <v>12922310</v>
      </c>
      <c r="E447" s="390">
        <f>'TYL FGD'!$E$23</f>
        <v>50671735</v>
      </c>
      <c r="F447" s="390">
        <f>'TYL FGD'!$F$23</f>
        <v>0</v>
      </c>
      <c r="G447" s="390">
        <f>'TYL FGD'!$G$23</f>
        <v>0</v>
      </c>
      <c r="H447" s="390">
        <f>'TYL FGD'!$H$23</f>
        <v>0</v>
      </c>
      <c r="I447" s="390">
        <f>'TYL FGD'!$I$23</f>
        <v>0</v>
      </c>
      <c r="J447" s="390">
        <f>'TYL FGD'!$J$23</f>
        <v>0</v>
      </c>
      <c r="K447" s="390">
        <f>'TYL FGD'!$K$23</f>
        <v>0</v>
      </c>
      <c r="L447" s="390">
        <f>'TYL FGD'!$L$23</f>
        <v>0</v>
      </c>
      <c r="M447" s="390">
        <f>'TYL FGD'!$M$23</f>
        <v>63594045</v>
      </c>
      <c r="N447" s="401"/>
    </row>
    <row r="448" spans="1:14" s="171" customFormat="1" ht="12.75" hidden="1" customHeight="1" outlineLevel="1">
      <c r="A448" s="166"/>
      <c r="B448" s="674" t="str">
        <f>'UH1 FGD'!$B$2</f>
        <v>University of Houston - Academic &amp; Health (A+H)</v>
      </c>
      <c r="C448" s="261"/>
      <c r="D448" s="390">
        <f>'UH1 FGD'!$D$23</f>
        <v>86483350</v>
      </c>
      <c r="E448" s="390">
        <f>'UH1 FGD'!$E$23</f>
        <v>322023135</v>
      </c>
      <c r="F448" s="390">
        <f>'UH1 FGD'!$F$23</f>
        <v>0</v>
      </c>
      <c r="G448" s="390">
        <f>'UH1 FGD'!$G$23</f>
        <v>0</v>
      </c>
      <c r="H448" s="390">
        <f>'UH1 FGD'!$H$23</f>
        <v>0</v>
      </c>
      <c r="I448" s="390">
        <f>'UH1 FGD'!$I$23</f>
        <v>0</v>
      </c>
      <c r="J448" s="390">
        <f>'UH1 FGD'!$J$23</f>
        <v>0</v>
      </c>
      <c r="K448" s="390">
        <f>'UH1 FGD'!$K$23</f>
        <v>0</v>
      </c>
      <c r="L448" s="390">
        <f>'UH1 FGD'!$L$23</f>
        <v>0</v>
      </c>
      <c r="M448" s="390">
        <f>'UH1 FGD'!$M$23</f>
        <v>408506485</v>
      </c>
      <c r="N448" s="401"/>
    </row>
    <row r="449" spans="1:14" s="171" customFormat="1" ht="12.75" hidden="1" customHeight="1" outlineLevel="1">
      <c r="A449" s="166"/>
      <c r="B449" s="674" t="str">
        <f>'UHCL FGD'!$B$2</f>
        <v>University of Houston - Clear Lake</v>
      </c>
      <c r="C449" s="261"/>
      <c r="D449" s="390">
        <f>'UHCL FGD'!$D$23</f>
        <v>14246204</v>
      </c>
      <c r="E449" s="390">
        <f>'UHCL FGD'!$E$23</f>
        <v>46105907</v>
      </c>
      <c r="F449" s="390">
        <f>'UHCL FGD'!$F$23</f>
        <v>0</v>
      </c>
      <c r="G449" s="390">
        <f>'UHCL FGD'!$G$23</f>
        <v>0</v>
      </c>
      <c r="H449" s="390">
        <f>'UHCL FGD'!$H$23</f>
        <v>0</v>
      </c>
      <c r="I449" s="390">
        <f>'UHCL FGD'!$I$23</f>
        <v>0</v>
      </c>
      <c r="J449" s="390">
        <f>'UHCL FGD'!$J$23</f>
        <v>0</v>
      </c>
      <c r="K449" s="390">
        <f>'UHCL FGD'!$K$23</f>
        <v>0</v>
      </c>
      <c r="L449" s="390">
        <f>'UHCL FGD'!$L$23</f>
        <v>0</v>
      </c>
      <c r="M449" s="390">
        <f>'UHCL FGD'!$M$23</f>
        <v>60352111</v>
      </c>
      <c r="N449" s="401"/>
    </row>
    <row r="450" spans="1:14" s="171" customFormat="1" ht="12.75" hidden="1" customHeight="1" outlineLevel="1">
      <c r="A450" s="166"/>
      <c r="B450" s="674" t="str">
        <f>'UHD FGD'!$B$2</f>
        <v>University of Houston - Downtown</v>
      </c>
      <c r="C450" s="261"/>
      <c r="D450" s="390">
        <f>'UHD FGD'!$D$23</f>
        <v>22572715</v>
      </c>
      <c r="E450" s="390">
        <f>'UHD FGD'!$E$23</f>
        <v>68855000</v>
      </c>
      <c r="F450" s="390">
        <f>'UHD FGD'!$F$23</f>
        <v>0</v>
      </c>
      <c r="G450" s="390">
        <f>'UHD FGD'!$G$23</f>
        <v>0</v>
      </c>
      <c r="H450" s="390">
        <f>'UHD FGD'!$H$23</f>
        <v>0</v>
      </c>
      <c r="I450" s="390">
        <f>'UHD FGD'!$I$23</f>
        <v>0</v>
      </c>
      <c r="J450" s="390">
        <f>'UHD FGD'!$J$23</f>
        <v>0</v>
      </c>
      <c r="K450" s="390">
        <f>'UHD FGD'!$K$23</f>
        <v>0</v>
      </c>
      <c r="L450" s="390">
        <f>'UHD FGD'!$L$23</f>
        <v>0</v>
      </c>
      <c r="M450" s="390">
        <f>'UHD FGD'!$M$23</f>
        <v>91427715</v>
      </c>
      <c r="N450" s="401"/>
    </row>
    <row r="451" spans="1:14" s="171" customFormat="1" ht="12.75" hidden="1" customHeight="1" outlineLevel="1">
      <c r="A451" s="166"/>
      <c r="B451" s="674" t="str">
        <f>'UHV FGD'!$B$2</f>
        <v>University of Houston - Victoria</v>
      </c>
      <c r="C451" s="261"/>
      <c r="D451" s="390">
        <f>'UHV FGD'!$D$23</f>
        <v>6881764</v>
      </c>
      <c r="E451" s="390">
        <f>'UHV FGD'!$E$23</f>
        <v>18327485</v>
      </c>
      <c r="F451" s="390">
        <f>'UHV FGD'!$F$23</f>
        <v>0</v>
      </c>
      <c r="G451" s="390">
        <f>'UHV FGD'!$G$23</f>
        <v>0</v>
      </c>
      <c r="H451" s="390">
        <f>'UHV FGD'!$H$23</f>
        <v>0</v>
      </c>
      <c r="I451" s="390">
        <f>'UHV FGD'!$I$23</f>
        <v>0</v>
      </c>
      <c r="J451" s="390">
        <f>'UHV FGD'!$J$23</f>
        <v>0</v>
      </c>
      <c r="K451" s="390">
        <f>'UHV FGD'!$K$23</f>
        <v>0</v>
      </c>
      <c r="L451" s="390">
        <f>'UHV FGD'!$L$23</f>
        <v>0</v>
      </c>
      <c r="M451" s="390">
        <f>'UHV FGD'!$M$23</f>
        <v>25209249</v>
      </c>
      <c r="N451" s="401"/>
    </row>
    <row r="452" spans="1:14" s="171" customFormat="1" ht="12.75" hidden="1" customHeight="1" outlineLevel="1">
      <c r="A452" s="166"/>
      <c r="B452" s="674" t="str">
        <f>'UNT FGD'!$B$2</f>
        <v>University of North Texas</v>
      </c>
      <c r="C452" s="261"/>
      <c r="D452" s="390">
        <f>'UNT FGD'!$D$23</f>
        <v>78010530</v>
      </c>
      <c r="E452" s="390">
        <f>'UNT FGD'!$E$23</f>
        <v>267867130</v>
      </c>
      <c r="F452" s="390">
        <f>'UNT FGD'!$F$23</f>
        <v>0</v>
      </c>
      <c r="G452" s="390">
        <f>'UNT FGD'!$G$23</f>
        <v>0</v>
      </c>
      <c r="H452" s="390">
        <f>'UNT FGD'!$H$23</f>
        <v>0</v>
      </c>
      <c r="I452" s="390">
        <f>'UNT FGD'!$I$23</f>
        <v>0</v>
      </c>
      <c r="J452" s="390">
        <f>'UNT FGD'!$J$23</f>
        <v>0</v>
      </c>
      <c r="K452" s="390">
        <f>'UNT FGD'!$K$23</f>
        <v>0</v>
      </c>
      <c r="L452" s="390">
        <f>'UNT FGD'!$L$23</f>
        <v>0</v>
      </c>
      <c r="M452" s="390">
        <f>'UNT FGD'!$M$23</f>
        <v>345877660</v>
      </c>
      <c r="N452" s="401"/>
    </row>
    <row r="453" spans="1:14" s="171" customFormat="1" ht="12.75" hidden="1" customHeight="1" outlineLevel="1">
      <c r="A453" s="166"/>
      <c r="B453" s="674" t="str">
        <f>'UNTD FGD'!$B$2</f>
        <v>University of North Texas at Dallas</v>
      </c>
      <c r="C453" s="261"/>
      <c r="D453" s="390">
        <f>'UNTD FGD'!$D$23</f>
        <v>8648106</v>
      </c>
      <c r="E453" s="390">
        <f>'UNTD FGD'!$E$23</f>
        <v>22631791</v>
      </c>
      <c r="F453" s="390">
        <f>'UNTD FGD'!$F$23</f>
        <v>0</v>
      </c>
      <c r="G453" s="390">
        <f>'UNTD FGD'!$G$23</f>
        <v>0</v>
      </c>
      <c r="H453" s="390">
        <f>'UNTD FGD'!$H$23</f>
        <v>0</v>
      </c>
      <c r="I453" s="390">
        <f>'UNTD FGD'!$I$23</f>
        <v>0</v>
      </c>
      <c r="J453" s="390">
        <f>'UNTD FGD'!$J$23</f>
        <v>0</v>
      </c>
      <c r="K453" s="390">
        <f>'UNTD FGD'!$K$23</f>
        <v>0</v>
      </c>
      <c r="L453" s="390">
        <f>'UNTD FGD'!$L$23</f>
        <v>0</v>
      </c>
      <c r="M453" s="390">
        <f>'UNTD FGD'!$M$23</f>
        <v>31279897</v>
      </c>
      <c r="N453" s="401"/>
    </row>
    <row r="454" spans="1:14" s="171" customFormat="1" ht="12.75" hidden="1" customHeight="1" outlineLevel="1">
      <c r="A454" s="166"/>
      <c r="B454" s="674" t="str">
        <f>'WTAMU FGD'!$B$2</f>
        <v>West Texas A&amp;M University</v>
      </c>
      <c r="C454" s="261"/>
      <c r="D454" s="390">
        <f>'WTAMU FGD'!$D$23</f>
        <v>14675180</v>
      </c>
      <c r="E454" s="390">
        <f>'WTAMU FGD'!$E$23</f>
        <v>41773343</v>
      </c>
      <c r="F454" s="390">
        <f>'WTAMU FGD'!$F$23</f>
        <v>0</v>
      </c>
      <c r="G454" s="390">
        <f>'WTAMU FGD'!$G$23</f>
        <v>0</v>
      </c>
      <c r="H454" s="390">
        <f>'WTAMU FGD'!$H$23</f>
        <v>0</v>
      </c>
      <c r="I454" s="390">
        <f>'WTAMU FGD'!$I$23</f>
        <v>0</v>
      </c>
      <c r="J454" s="390">
        <f>'WTAMU FGD'!$J$23</f>
        <v>0</v>
      </c>
      <c r="K454" s="390">
        <f>'WTAMU FGD'!$K$23</f>
        <v>0</v>
      </c>
      <c r="L454" s="390">
        <f>'WTAMU FGD'!$L$23</f>
        <v>0</v>
      </c>
      <c r="M454" s="390">
        <f>'WTAMU FGD'!$M$23</f>
        <v>56448523</v>
      </c>
      <c r="N454" s="401"/>
    </row>
    <row r="455" spans="1:14" s="171" customFormat="1" collapsed="1">
      <c r="A455" s="166"/>
      <c r="B455" s="558" t="s">
        <v>726</v>
      </c>
      <c r="C455" s="563"/>
      <c r="D455" s="565">
        <f t="shared" ref="D455:M455" si="11">SUM(D419:D454)</f>
        <v>1175025549</v>
      </c>
      <c r="E455" s="565">
        <f t="shared" si="11"/>
        <v>3974427904</v>
      </c>
      <c r="F455" s="565">
        <f t="shared" si="11"/>
        <v>0</v>
      </c>
      <c r="G455" s="565">
        <f t="shared" si="11"/>
        <v>-3218960</v>
      </c>
      <c r="H455" s="565">
        <f t="shared" si="11"/>
        <v>0</v>
      </c>
      <c r="I455" s="565">
        <f t="shared" si="11"/>
        <v>0</v>
      </c>
      <c r="J455" s="565">
        <f t="shared" si="11"/>
        <v>0</v>
      </c>
      <c r="K455" s="565">
        <f t="shared" si="11"/>
        <v>0</v>
      </c>
      <c r="L455" s="565">
        <f t="shared" si="11"/>
        <v>0</v>
      </c>
      <c r="M455" s="565">
        <f t="shared" si="11"/>
        <v>5146234493</v>
      </c>
      <c r="N455" s="401"/>
    </row>
    <row r="456" spans="1:14" s="171" customFormat="1" ht="12.75" hidden="1" customHeight="1" outlineLevel="1">
      <c r="A456" s="166"/>
      <c r="B456" s="676" t="str">
        <f>'ARL FGD'!$B$2</f>
        <v>The University of Texas at Arlington</v>
      </c>
      <c r="C456" s="566"/>
      <c r="D456" s="567">
        <f>'ARL FGD'!$D$24</f>
        <v>0</v>
      </c>
      <c r="E456" s="567">
        <f>'ARL FGD'!$E$24</f>
        <v>0</v>
      </c>
      <c r="F456" s="567">
        <f>'ARL FGD'!$F$24</f>
        <v>0</v>
      </c>
      <c r="G456" s="567">
        <f>'ARL FGD'!$G$24</f>
        <v>0</v>
      </c>
      <c r="H456" s="567">
        <f>'ARL FGD'!$H$24</f>
        <v>0</v>
      </c>
      <c r="I456" s="567">
        <f>'ARL FGD'!$I$24</f>
        <v>0</v>
      </c>
      <c r="J456" s="567">
        <f>'ARL FGD'!$J$24</f>
        <v>0</v>
      </c>
      <c r="K456" s="567">
        <f>'ARL FGD'!$K$24</f>
        <v>0</v>
      </c>
      <c r="L456" s="567">
        <f>'ARL FGD'!$L$24</f>
        <v>0</v>
      </c>
      <c r="M456" s="567">
        <f>'ARL FGD'!$M$24</f>
        <v>0</v>
      </c>
      <c r="N456" s="401"/>
    </row>
    <row r="457" spans="1:14" s="171" customFormat="1" ht="12.75" hidden="1" customHeight="1" outlineLevel="1">
      <c r="A457" s="166"/>
      <c r="B457" s="676" t="str">
        <f>'ASU FGD'!$B$2</f>
        <v>Angelo State University</v>
      </c>
      <c r="C457" s="566"/>
      <c r="D457" s="567">
        <f>'ASU FGD'!$D$24</f>
        <v>0</v>
      </c>
      <c r="E457" s="567">
        <f>'ASU FGD'!$E$24</f>
        <v>0</v>
      </c>
      <c r="F457" s="567">
        <f>'ASU FGD'!$F$24</f>
        <v>0</v>
      </c>
      <c r="G457" s="567">
        <f>'ASU FGD'!$G$24</f>
        <v>0</v>
      </c>
      <c r="H457" s="567">
        <f>'ASU FGD'!$H$24</f>
        <v>0</v>
      </c>
      <c r="I457" s="567">
        <f>'ASU FGD'!$I$24</f>
        <v>0</v>
      </c>
      <c r="J457" s="567">
        <f>'ASU FGD'!$J$24</f>
        <v>0</v>
      </c>
      <c r="K457" s="567">
        <f>'ASU FGD'!$K$24</f>
        <v>0</v>
      </c>
      <c r="L457" s="567">
        <f>'ASU FGD'!$L$24</f>
        <v>0</v>
      </c>
      <c r="M457" s="567">
        <f>'ASU FGD'!$M$24</f>
        <v>0</v>
      </c>
      <c r="N457" s="401"/>
    </row>
    <row r="458" spans="1:14" s="171" customFormat="1" ht="12.75" hidden="1" customHeight="1" outlineLevel="1">
      <c r="A458" s="166"/>
      <c r="B458" s="676" t="str">
        <f>'AUS1 FGD'!$B$2</f>
        <v>The University of Texas at Austin - Academic &amp; Health (A+H)</v>
      </c>
      <c r="C458" s="566"/>
      <c r="D458" s="567">
        <f>'AUS1 FGD'!$D$24</f>
        <v>0</v>
      </c>
      <c r="E458" s="567">
        <f>'AUS1 FGD'!$E$24</f>
        <v>0</v>
      </c>
      <c r="F458" s="567">
        <f>'AUS1 FGD'!$F$24</f>
        <v>0</v>
      </c>
      <c r="G458" s="567">
        <f>'AUS1 FGD'!$G$24</f>
        <v>0</v>
      </c>
      <c r="H458" s="567">
        <f>'AUS1 FGD'!$H$24</f>
        <v>0</v>
      </c>
      <c r="I458" s="567">
        <f>'AUS1 FGD'!$I$24</f>
        <v>0</v>
      </c>
      <c r="J458" s="567">
        <f>'AUS1 FGD'!$J$24</f>
        <v>0</v>
      </c>
      <c r="K458" s="567">
        <f>'AUS1 FGD'!$K$24</f>
        <v>0</v>
      </c>
      <c r="L458" s="567">
        <f>'AUS1 FGD'!$L$24</f>
        <v>0</v>
      </c>
      <c r="M458" s="567">
        <f>'AUS1 FGD'!$M$24</f>
        <v>0</v>
      </c>
      <c r="N458" s="401"/>
    </row>
    <row r="459" spans="1:14" s="171" customFormat="1" ht="12.75" hidden="1" customHeight="1" outlineLevel="1">
      <c r="A459" s="166"/>
      <c r="B459" s="676" t="str">
        <f>'RGV1 FGD'!$B$2</f>
        <v>The University of Texas RGV - Academic &amp; Health (A+H)</v>
      </c>
      <c r="C459" s="566"/>
      <c r="D459" s="567">
        <f>'RGV1 FGD'!$D$24</f>
        <v>0</v>
      </c>
      <c r="E459" s="567">
        <f>'RGV1 FGD'!$E$24</f>
        <v>0</v>
      </c>
      <c r="F459" s="567">
        <f>'RGV1 FGD'!$F$24</f>
        <v>0</v>
      </c>
      <c r="G459" s="567">
        <f>'RGV1 FGD'!$G$24</f>
        <v>0</v>
      </c>
      <c r="H459" s="567">
        <f>'RGV1 FGD'!$H$24</f>
        <v>0</v>
      </c>
      <c r="I459" s="567">
        <f>'RGV1 FGD'!$I$24</f>
        <v>0</v>
      </c>
      <c r="J459" s="567">
        <f>'RGV1 FGD'!$J$24</f>
        <v>0</v>
      </c>
      <c r="K459" s="567">
        <f>'RGV1 FGD'!$K$24</f>
        <v>0</v>
      </c>
      <c r="L459" s="567">
        <f>'RGV1 FGD'!$L$24</f>
        <v>0</v>
      </c>
      <c r="M459" s="567">
        <f>'RGV1 FGD'!$M$24</f>
        <v>0</v>
      </c>
      <c r="N459" s="401"/>
    </row>
    <row r="460" spans="1:14" s="171" customFormat="1" ht="12.75" hidden="1" customHeight="1" outlineLevel="1">
      <c r="A460" s="166"/>
      <c r="B460" s="676" t="str">
        <f>'DAL FGD'!$B$2</f>
        <v>The University of Texas at Dallas</v>
      </c>
      <c r="C460" s="566"/>
      <c r="D460" s="567">
        <f>'DAL FGD'!$D$24</f>
        <v>0</v>
      </c>
      <c r="E460" s="567">
        <f>'DAL FGD'!$E$24</f>
        <v>0</v>
      </c>
      <c r="F460" s="567">
        <f>'DAL FGD'!$F$24</f>
        <v>0</v>
      </c>
      <c r="G460" s="567">
        <f>'DAL FGD'!$G$24</f>
        <v>0</v>
      </c>
      <c r="H460" s="567">
        <f>'DAL FGD'!$H$24</f>
        <v>0</v>
      </c>
      <c r="I460" s="567">
        <f>'DAL FGD'!$I$24</f>
        <v>0</v>
      </c>
      <c r="J460" s="567">
        <f>'DAL FGD'!$J$24</f>
        <v>0</v>
      </c>
      <c r="K460" s="567">
        <f>'DAL FGD'!$K$24</f>
        <v>0</v>
      </c>
      <c r="L460" s="567">
        <f>'DAL FGD'!$L$24</f>
        <v>0</v>
      </c>
      <c r="M460" s="567">
        <f>'DAL FGD'!$M$24</f>
        <v>0</v>
      </c>
      <c r="N460" s="401"/>
    </row>
    <row r="461" spans="1:14" s="171" customFormat="1" ht="12.75" hidden="1" customHeight="1" outlineLevel="1">
      <c r="A461" s="166"/>
      <c r="B461" s="676" t="str">
        <f>'E-P FGD'!$B$2</f>
        <v>The University of Texas at El Paso</v>
      </c>
      <c r="C461" s="566"/>
      <c r="D461" s="567">
        <f>'E-P FGD'!$D$24</f>
        <v>0</v>
      </c>
      <c r="E461" s="567">
        <f>'E-P FGD'!$E$24</f>
        <v>0</v>
      </c>
      <c r="F461" s="567">
        <f>'E-P FGD'!$F$24</f>
        <v>0</v>
      </c>
      <c r="G461" s="567">
        <f>'E-P FGD'!$G$24</f>
        <v>0</v>
      </c>
      <c r="H461" s="567">
        <f>'E-P FGD'!$H$24</f>
        <v>0</v>
      </c>
      <c r="I461" s="567">
        <f>'E-P FGD'!$I$24</f>
        <v>0</v>
      </c>
      <c r="J461" s="567">
        <f>'E-P FGD'!$J$24</f>
        <v>0</v>
      </c>
      <c r="K461" s="567">
        <f>'E-P FGD'!$K$24</f>
        <v>0</v>
      </c>
      <c r="L461" s="567">
        <f>'E-P FGD'!$L$24</f>
        <v>0</v>
      </c>
      <c r="M461" s="567">
        <f>'E-P FGD'!$M$24</f>
        <v>0</v>
      </c>
      <c r="N461" s="401"/>
    </row>
    <row r="462" spans="1:14" s="171" customFormat="1" ht="12.75" hidden="1" customHeight="1" outlineLevel="1">
      <c r="A462" s="166"/>
      <c r="B462" s="676" t="str">
        <f>'LU FGD'!$B$2</f>
        <v xml:space="preserve">Lamar University </v>
      </c>
      <c r="C462" s="566"/>
      <c r="D462" s="567">
        <f>'LU FGD'!$D$24</f>
        <v>0</v>
      </c>
      <c r="E462" s="567">
        <f>'LU FGD'!$E$24</f>
        <v>0</v>
      </c>
      <c r="F462" s="567">
        <f>'LU FGD'!$F$24</f>
        <v>0</v>
      </c>
      <c r="G462" s="567">
        <f>'LU FGD'!$G$24</f>
        <v>0</v>
      </c>
      <c r="H462" s="567">
        <f>'LU FGD'!$H$24</f>
        <v>0</v>
      </c>
      <c r="I462" s="567">
        <f>'LU FGD'!$I$24</f>
        <v>0</v>
      </c>
      <c r="J462" s="567">
        <f>'LU FGD'!$J$24</f>
        <v>0</v>
      </c>
      <c r="K462" s="567">
        <f>'LU FGD'!$K$24</f>
        <v>0</v>
      </c>
      <c r="L462" s="567">
        <f>'LU FGD'!$L$24</f>
        <v>0</v>
      </c>
      <c r="M462" s="567">
        <f>'LU FGD'!$M$24</f>
        <v>0</v>
      </c>
      <c r="N462" s="401"/>
    </row>
    <row r="463" spans="1:14" s="171" customFormat="1" ht="12.75" hidden="1" customHeight="1" outlineLevel="1">
      <c r="A463" s="166"/>
      <c r="B463" s="676" t="str">
        <f>'MidWST FGD'!$B$2</f>
        <v>Midwestern State University</v>
      </c>
      <c r="C463" s="566"/>
      <c r="D463" s="567">
        <f>'MidWST FGD'!$D$24</f>
        <v>0</v>
      </c>
      <c r="E463" s="567">
        <f>'MidWST FGD'!$E$24</f>
        <v>0</v>
      </c>
      <c r="F463" s="567">
        <f>'MidWST FGD'!$F$24</f>
        <v>0</v>
      </c>
      <c r="G463" s="567">
        <f>'MidWST FGD'!$G$24</f>
        <v>0</v>
      </c>
      <c r="H463" s="567">
        <f>'MidWST FGD'!$H$24</f>
        <v>0</v>
      </c>
      <c r="I463" s="567">
        <f>'MidWST FGD'!$I$24</f>
        <v>0</v>
      </c>
      <c r="J463" s="567">
        <f>'MidWST FGD'!$J$24</f>
        <v>0</v>
      </c>
      <c r="K463" s="567">
        <f>'MidWST FGD'!$K$24</f>
        <v>0</v>
      </c>
      <c r="L463" s="567">
        <f>'MidWST FGD'!$L$24</f>
        <v>0</v>
      </c>
      <c r="M463" s="567">
        <f>'MidWST FGD'!$M$24</f>
        <v>0</v>
      </c>
      <c r="N463" s="401"/>
    </row>
    <row r="464" spans="1:14" s="171" customFormat="1" ht="12.75" hidden="1" customHeight="1" outlineLevel="1">
      <c r="A464" s="166"/>
      <c r="B464" s="676" t="str">
        <f>'P-B FGD'!$B$2</f>
        <v>The University of Texas of the Permian Basin</v>
      </c>
      <c r="C464" s="566"/>
      <c r="D464" s="567">
        <f>'P-B FGD'!$D$24</f>
        <v>0</v>
      </c>
      <c r="E464" s="567">
        <f>'P-B FGD'!$E$24</f>
        <v>0</v>
      </c>
      <c r="F464" s="567">
        <f>'P-B FGD'!$F$24</f>
        <v>0</v>
      </c>
      <c r="G464" s="567">
        <f>'P-B FGD'!$G$24</f>
        <v>0</v>
      </c>
      <c r="H464" s="567">
        <f>'P-B FGD'!$H$24</f>
        <v>0</v>
      </c>
      <c r="I464" s="567">
        <f>'P-B FGD'!$I$24</f>
        <v>0</v>
      </c>
      <c r="J464" s="567">
        <f>'P-B FGD'!$J$24</f>
        <v>0</v>
      </c>
      <c r="K464" s="567">
        <f>'P-B FGD'!$K$24</f>
        <v>0</v>
      </c>
      <c r="L464" s="567">
        <f>'P-B FGD'!$L$24</f>
        <v>0</v>
      </c>
      <c r="M464" s="567">
        <f>'P-B FGD'!$M$24</f>
        <v>0</v>
      </c>
      <c r="N464" s="401"/>
    </row>
    <row r="465" spans="1:14" s="171" customFormat="1" ht="12.75" hidden="1" customHeight="1" outlineLevel="1">
      <c r="A465" s="166"/>
      <c r="B465" s="676" t="str">
        <f>'PVAMU FGD'!$B$2</f>
        <v>Prairie View A&amp;M University</v>
      </c>
      <c r="C465" s="566"/>
      <c r="D465" s="567">
        <f>'PVAMU FGD'!$D$24</f>
        <v>0</v>
      </c>
      <c r="E465" s="567">
        <f>'PVAMU FGD'!$E$24</f>
        <v>0</v>
      </c>
      <c r="F465" s="567">
        <f>'PVAMU FGD'!$F$24</f>
        <v>0</v>
      </c>
      <c r="G465" s="567">
        <f>'PVAMU FGD'!$G$24</f>
        <v>0</v>
      </c>
      <c r="H465" s="567">
        <f>'PVAMU FGD'!$H$24</f>
        <v>0</v>
      </c>
      <c r="I465" s="567">
        <f>'PVAMU FGD'!$I$24</f>
        <v>0</v>
      </c>
      <c r="J465" s="567">
        <f>'PVAMU FGD'!$J$24</f>
        <v>0</v>
      </c>
      <c r="K465" s="567">
        <f>'PVAMU FGD'!$K$24</f>
        <v>0</v>
      </c>
      <c r="L465" s="567">
        <f>'PVAMU FGD'!$L$24</f>
        <v>0</v>
      </c>
      <c r="M465" s="567">
        <f>'PVAMU FGD'!$M$24</f>
        <v>0</v>
      </c>
      <c r="N465" s="401"/>
    </row>
    <row r="466" spans="1:14" s="171" customFormat="1" ht="12.75" hidden="1" customHeight="1" outlineLevel="1">
      <c r="A466" s="166"/>
      <c r="B466" s="676" t="str">
        <f>'S-A FGD'!$B$2</f>
        <v>The University of Texas at San Antonio</v>
      </c>
      <c r="C466" s="566"/>
      <c r="D466" s="567">
        <f>'S-A FGD'!$D$24</f>
        <v>0</v>
      </c>
      <c r="E466" s="567">
        <f>'S-A FGD'!$E$24</f>
        <v>0</v>
      </c>
      <c r="F466" s="567">
        <f>'S-A FGD'!$F$24</f>
        <v>0</v>
      </c>
      <c r="G466" s="567">
        <f>'S-A FGD'!$G$24</f>
        <v>0</v>
      </c>
      <c r="H466" s="567">
        <f>'S-A FGD'!$H$24</f>
        <v>0</v>
      </c>
      <c r="I466" s="567">
        <f>'S-A FGD'!$I$24</f>
        <v>0</v>
      </c>
      <c r="J466" s="567">
        <f>'S-A FGD'!$J$24</f>
        <v>0</v>
      </c>
      <c r="K466" s="567">
        <f>'S-A FGD'!$K$24</f>
        <v>0</v>
      </c>
      <c r="L466" s="567">
        <f>'S-A FGD'!$L$24</f>
        <v>0</v>
      </c>
      <c r="M466" s="567">
        <f>'S-A FGD'!$M$24</f>
        <v>0</v>
      </c>
      <c r="N466" s="401"/>
    </row>
    <row r="467" spans="1:14" s="171" customFormat="1" ht="12.75" hidden="1" customHeight="1" outlineLevel="1">
      <c r="A467" s="166"/>
      <c r="B467" s="676" t="str">
        <f>'SFA FGD'!$B$2</f>
        <v>Stephen F. Austin State University</v>
      </c>
      <c r="C467" s="566"/>
      <c r="D467" s="567">
        <f>'SFA FGD'!$D$24</f>
        <v>0</v>
      </c>
      <c r="E467" s="567">
        <f>'SFA FGD'!$E$24</f>
        <v>0</v>
      </c>
      <c r="F467" s="567">
        <f>'SFA FGD'!$F$24</f>
        <v>0</v>
      </c>
      <c r="G467" s="567">
        <f>'SFA FGD'!$G$24</f>
        <v>0</v>
      </c>
      <c r="H467" s="567">
        <f>'SFA FGD'!$H$24</f>
        <v>0</v>
      </c>
      <c r="I467" s="567">
        <f>'SFA FGD'!$I$24</f>
        <v>0</v>
      </c>
      <c r="J467" s="567">
        <f>'SFA FGD'!$J$24</f>
        <v>0</v>
      </c>
      <c r="K467" s="567">
        <f>'SFA FGD'!$K$24</f>
        <v>0</v>
      </c>
      <c r="L467" s="567">
        <f>'SFA FGD'!$L$24</f>
        <v>0</v>
      </c>
      <c r="M467" s="567">
        <f>'SFA FGD'!$M$24</f>
        <v>0</v>
      </c>
      <c r="N467" s="401"/>
    </row>
    <row r="468" spans="1:14" s="171" customFormat="1" ht="12.75" hidden="1" customHeight="1" outlineLevel="1">
      <c r="A468" s="166"/>
      <c r="B468" s="676" t="str">
        <f>'shsu1 FGD'!$B$2</f>
        <v>Sam Houston State University - Academic &amp; Health (A+H)</v>
      </c>
      <c r="C468" s="566"/>
      <c r="D468" s="567">
        <f>'shsu1 FGD'!$D$24</f>
        <v>-5049720</v>
      </c>
      <c r="E468" s="567">
        <f>'shsu1 FGD'!$E$24</f>
        <v>-70060</v>
      </c>
      <c r="F468" s="567">
        <f>'shsu1 FGD'!$F$24</f>
        <v>0</v>
      </c>
      <c r="G468" s="567">
        <f>'shsu1 FGD'!$G$24</f>
        <v>0</v>
      </c>
      <c r="H468" s="567">
        <f>'shsu1 FGD'!$H$24</f>
        <v>0</v>
      </c>
      <c r="I468" s="567">
        <f>'shsu1 FGD'!$I$24</f>
        <v>0</v>
      </c>
      <c r="J468" s="567">
        <f>'shsu1 FGD'!$J$24</f>
        <v>0</v>
      </c>
      <c r="K468" s="567">
        <f>'shsu1 FGD'!$K$24</f>
        <v>0</v>
      </c>
      <c r="L468" s="567">
        <f>'shsu1 FGD'!$L$24</f>
        <v>0</v>
      </c>
      <c r="M468" s="567">
        <f>'shsu1 FGD'!$M$24</f>
        <v>-5119780</v>
      </c>
      <c r="N468" s="401"/>
    </row>
    <row r="469" spans="1:14" s="171" customFormat="1" ht="12.75" hidden="1" customHeight="1" outlineLevel="1">
      <c r="A469" s="166"/>
      <c r="B469" s="676" t="str">
        <f>'SRSU FGD'!$B$2</f>
        <v>Sul Ross State University</v>
      </c>
      <c r="C469" s="566"/>
      <c r="D469" s="567">
        <f>'SRSU FGD'!$D$24</f>
        <v>-22233</v>
      </c>
      <c r="E469" s="567">
        <f>'SRSU FGD'!$E$24</f>
        <v>-95818</v>
      </c>
      <c r="F469" s="567">
        <f>'SRSU FGD'!$F$24</f>
        <v>0</v>
      </c>
      <c r="G469" s="567">
        <f>'SRSU FGD'!$G$24</f>
        <v>0</v>
      </c>
      <c r="H469" s="567">
        <f>'SRSU FGD'!$H$24</f>
        <v>0</v>
      </c>
      <c r="I469" s="567">
        <f>'SRSU FGD'!$I$24</f>
        <v>0</v>
      </c>
      <c r="J469" s="567">
        <f>'SRSU FGD'!$J$24</f>
        <v>0</v>
      </c>
      <c r="K469" s="567">
        <f>'SRSU FGD'!$K$24</f>
        <v>0</v>
      </c>
      <c r="L469" s="567">
        <f>'SRSU FGD'!$L$24</f>
        <v>0</v>
      </c>
      <c r="M469" s="567">
        <f>'SRSU FGD'!$M$24</f>
        <v>-118051</v>
      </c>
      <c r="N469" s="401"/>
    </row>
    <row r="470" spans="1:14" s="171" customFormat="1" ht="12.75" hidden="1" customHeight="1" outlineLevel="1">
      <c r="A470" s="166"/>
      <c r="B470" s="676" t="str">
        <f>'TAMIU FGD'!$B$2</f>
        <v>Texas A&amp;M International University</v>
      </c>
      <c r="C470" s="566"/>
      <c r="D470" s="567">
        <f>'TAMIU FGD'!$D$24</f>
        <v>0</v>
      </c>
      <c r="E470" s="567">
        <f>'TAMIU FGD'!$E$24</f>
        <v>0</v>
      </c>
      <c r="F470" s="567">
        <f>'TAMIU FGD'!$F$24</f>
        <v>0</v>
      </c>
      <c r="G470" s="567">
        <f>'TAMIU FGD'!$G$24</f>
        <v>0</v>
      </c>
      <c r="H470" s="567">
        <f>'TAMIU FGD'!$H$24</f>
        <v>0</v>
      </c>
      <c r="I470" s="567">
        <f>'TAMIU FGD'!$I$24</f>
        <v>0</v>
      </c>
      <c r="J470" s="567">
        <f>'TAMIU FGD'!$J$24</f>
        <v>0</v>
      </c>
      <c r="K470" s="567">
        <f>'TAMIU FGD'!$K$24</f>
        <v>0</v>
      </c>
      <c r="L470" s="567">
        <f>'TAMIU FGD'!$L$24</f>
        <v>0</v>
      </c>
      <c r="M470" s="567">
        <f>'TAMIU FGD'!$M$24</f>
        <v>0</v>
      </c>
      <c r="N470" s="401"/>
    </row>
    <row r="471" spans="1:14" s="171" customFormat="1" ht="12.75" hidden="1" customHeight="1" outlineLevel="1">
      <c r="A471" s="166"/>
      <c r="B471" s="676" t="str">
        <f>'TAMU FGD'!$B$2</f>
        <v>Texas A&amp;M University</v>
      </c>
      <c r="C471" s="566"/>
      <c r="D471" s="567">
        <f>'TAMU FGD'!$D$24</f>
        <v>0</v>
      </c>
      <c r="E471" s="567">
        <f>'TAMU FGD'!$E$24</f>
        <v>0</v>
      </c>
      <c r="F471" s="567">
        <f>'TAMU FGD'!$F$24</f>
        <v>0</v>
      </c>
      <c r="G471" s="567">
        <f>'TAMU FGD'!$G$24</f>
        <v>0</v>
      </c>
      <c r="H471" s="567">
        <f>'TAMU FGD'!$H$24</f>
        <v>0</v>
      </c>
      <c r="I471" s="567">
        <f>'TAMU FGD'!$I$24</f>
        <v>0</v>
      </c>
      <c r="J471" s="567">
        <f>'TAMU FGD'!$J$24</f>
        <v>0</v>
      </c>
      <c r="K471" s="567">
        <f>'TAMU FGD'!$K$24</f>
        <v>0</v>
      </c>
      <c r="L471" s="567">
        <f>'TAMU FGD'!$L$24</f>
        <v>0</v>
      </c>
      <c r="M471" s="567">
        <f>'TAMU FGD'!$M$24</f>
        <v>0</v>
      </c>
      <c r="N471" s="401"/>
    </row>
    <row r="472" spans="1:14" s="171" customFormat="1" ht="12.75" hidden="1" customHeight="1" outlineLevel="1">
      <c r="A472" s="166"/>
      <c r="B472" s="676" t="str">
        <f>'TAMUC FGD'!$B$2</f>
        <v>Texas A&amp;M University - Commerce</v>
      </c>
      <c r="C472" s="566"/>
      <c r="D472" s="567">
        <f>'TAMUC FGD'!$D$24</f>
        <v>0</v>
      </c>
      <c r="E472" s="567">
        <f>'TAMUC FGD'!$E$24</f>
        <v>0</v>
      </c>
      <c r="F472" s="567">
        <f>'TAMUC FGD'!$F$24</f>
        <v>0</v>
      </c>
      <c r="G472" s="567">
        <f>'TAMUC FGD'!$G$24</f>
        <v>0</v>
      </c>
      <c r="H472" s="567">
        <f>'TAMUC FGD'!$H$24</f>
        <v>0</v>
      </c>
      <c r="I472" s="567">
        <f>'TAMUC FGD'!$I$24</f>
        <v>0</v>
      </c>
      <c r="J472" s="567">
        <f>'TAMUC FGD'!$J$24</f>
        <v>0</v>
      </c>
      <c r="K472" s="567">
        <f>'TAMUC FGD'!$K$24</f>
        <v>0</v>
      </c>
      <c r="L472" s="567">
        <f>'TAMUC FGD'!$L$24</f>
        <v>0</v>
      </c>
      <c r="M472" s="567">
        <f>'TAMUC FGD'!$M$24</f>
        <v>0</v>
      </c>
      <c r="N472" s="401"/>
    </row>
    <row r="473" spans="1:14" s="171" customFormat="1" ht="12.75" hidden="1" customHeight="1" outlineLevel="1">
      <c r="A473" s="166"/>
      <c r="B473" s="676" t="str">
        <f>'TAMUCC FGD'!$B$2</f>
        <v>Texas A&amp;M University - Corpus Christi</v>
      </c>
      <c r="C473" s="566"/>
      <c r="D473" s="567">
        <f>'TAMUCC FGD'!$D$24</f>
        <v>-122856</v>
      </c>
      <c r="E473" s="567">
        <f>'TAMUCC FGD'!$E$24</f>
        <v>-37355</v>
      </c>
      <c r="F473" s="567">
        <f>'TAMUCC FGD'!$F$24</f>
        <v>0</v>
      </c>
      <c r="G473" s="567">
        <f>'TAMUCC FGD'!$G$24</f>
        <v>0</v>
      </c>
      <c r="H473" s="567">
        <f>'TAMUCC FGD'!$H$24</f>
        <v>0</v>
      </c>
      <c r="I473" s="567">
        <f>'TAMUCC FGD'!$I$24</f>
        <v>0</v>
      </c>
      <c r="J473" s="567">
        <f>'TAMUCC FGD'!$J$24</f>
        <v>0</v>
      </c>
      <c r="K473" s="567">
        <f>'TAMUCC FGD'!$K$24</f>
        <v>0</v>
      </c>
      <c r="L473" s="567">
        <f>'TAMUCC FGD'!$L$24</f>
        <v>0</v>
      </c>
      <c r="M473" s="567">
        <f>'TAMUCC FGD'!$M$24</f>
        <v>-160211</v>
      </c>
      <c r="N473" s="401"/>
    </row>
    <row r="474" spans="1:14" s="171" customFormat="1" ht="12.75" hidden="1" customHeight="1" outlineLevel="1">
      <c r="A474" s="166"/>
      <c r="B474" s="676" t="str">
        <f>'TAMUCT FGD'!$B$2</f>
        <v>Texas A&amp;M University - Central Texas</v>
      </c>
      <c r="C474" s="566"/>
      <c r="D474" s="567">
        <f>'TAMUCT FGD'!$D$24</f>
        <v>0</v>
      </c>
      <c r="E474" s="567">
        <f>'TAMUCT FGD'!$E$24</f>
        <v>0</v>
      </c>
      <c r="F474" s="567">
        <f>'TAMUCT FGD'!$F$24</f>
        <v>0</v>
      </c>
      <c r="G474" s="567">
        <f>'TAMUCT FGD'!$G$24</f>
        <v>0</v>
      </c>
      <c r="H474" s="567">
        <f>'TAMUCT FGD'!$H$24</f>
        <v>0</v>
      </c>
      <c r="I474" s="567">
        <f>'TAMUCT FGD'!$I$24</f>
        <v>0</v>
      </c>
      <c r="J474" s="567">
        <f>'TAMUCT FGD'!$J$24</f>
        <v>0</v>
      </c>
      <c r="K474" s="567">
        <f>'TAMUCT FGD'!$K$24</f>
        <v>0</v>
      </c>
      <c r="L474" s="567">
        <f>'TAMUCT FGD'!$L$24</f>
        <v>0</v>
      </c>
      <c r="M474" s="567">
        <f>'TAMUCT FGD'!$M$24</f>
        <v>0</v>
      </c>
      <c r="N474" s="401"/>
    </row>
    <row r="475" spans="1:14" s="171" customFormat="1" ht="12.75" hidden="1" customHeight="1" outlineLevel="1">
      <c r="A475" s="166"/>
      <c r="B475" s="676" t="str">
        <f>'TAMUG FGD'!$B$2</f>
        <v>Texas A&amp;M University at Galveston</v>
      </c>
      <c r="C475" s="566"/>
      <c r="D475" s="567">
        <f>'TAMUG FGD'!$D$24</f>
        <v>0</v>
      </c>
      <c r="E475" s="567">
        <f>'TAMUG FGD'!$E$24</f>
        <v>0</v>
      </c>
      <c r="F475" s="567">
        <f>'TAMUG FGD'!$F$24</f>
        <v>0</v>
      </c>
      <c r="G475" s="567">
        <f>'TAMUG FGD'!$G$24</f>
        <v>0</v>
      </c>
      <c r="H475" s="567">
        <f>'TAMUG FGD'!$H$24</f>
        <v>0</v>
      </c>
      <c r="I475" s="567">
        <f>'TAMUG FGD'!$I$24</f>
        <v>0</v>
      </c>
      <c r="J475" s="567">
        <f>'TAMUG FGD'!$J$24</f>
        <v>0</v>
      </c>
      <c r="K475" s="567">
        <f>'TAMUG FGD'!$K$24</f>
        <v>0</v>
      </c>
      <c r="L475" s="567">
        <f>'TAMUG FGD'!$L$24</f>
        <v>0</v>
      </c>
      <c r="M475" s="567">
        <f>'TAMUG FGD'!$M$24</f>
        <v>0</v>
      </c>
      <c r="N475" s="401"/>
    </row>
    <row r="476" spans="1:14" s="171" customFormat="1" ht="12.75" hidden="1" customHeight="1" outlineLevel="1">
      <c r="A476" s="166"/>
      <c r="B476" s="676" t="str">
        <f>'TAMUK FGD'!$B$2</f>
        <v>Texas A&amp;M University - Kingsville</v>
      </c>
      <c r="C476" s="566"/>
      <c r="D476" s="567">
        <f>'TAMUK FGD'!$D$24</f>
        <v>-1148</v>
      </c>
      <c r="E476" s="567">
        <f>'TAMUK FGD'!$E$24</f>
        <v>-1573</v>
      </c>
      <c r="F476" s="567">
        <f>'TAMUK FGD'!$F$24</f>
        <v>0</v>
      </c>
      <c r="G476" s="567">
        <f>'TAMUK FGD'!$G$24</f>
        <v>0</v>
      </c>
      <c r="H476" s="567">
        <f>'TAMUK FGD'!$H$24</f>
        <v>0</v>
      </c>
      <c r="I476" s="567">
        <f>'TAMUK FGD'!$I$24</f>
        <v>0</v>
      </c>
      <c r="J476" s="567">
        <f>'TAMUK FGD'!$J$24</f>
        <v>0</v>
      </c>
      <c r="K476" s="567">
        <f>'TAMUK FGD'!$K$24</f>
        <v>0</v>
      </c>
      <c r="L476" s="567">
        <f>'TAMUK FGD'!$L$24</f>
        <v>0</v>
      </c>
      <c r="M476" s="567">
        <f>'TAMUK FGD'!$M$24</f>
        <v>-2721</v>
      </c>
      <c r="N476" s="401"/>
    </row>
    <row r="477" spans="1:14" s="171" customFormat="1" ht="12.75" hidden="1" customHeight="1" outlineLevel="1">
      <c r="A477" s="166"/>
      <c r="B477" s="676" t="str">
        <f>'TAMUSA FGD'!$B$2</f>
        <v>Texas A&amp;M University - San Antonio</v>
      </c>
      <c r="C477" s="566"/>
      <c r="D477" s="567">
        <f>'TAMUSA FGD'!$D$24</f>
        <v>0</v>
      </c>
      <c r="E477" s="567">
        <f>'TAMUSA FGD'!$E$24</f>
        <v>0</v>
      </c>
      <c r="F477" s="567">
        <f>'TAMUSA FGD'!$F$24</f>
        <v>0</v>
      </c>
      <c r="G477" s="567">
        <f>'TAMUSA FGD'!$G$24</f>
        <v>0</v>
      </c>
      <c r="H477" s="567">
        <f>'TAMUSA FGD'!$H$24</f>
        <v>0</v>
      </c>
      <c r="I477" s="567">
        <f>'TAMUSA FGD'!$I$24</f>
        <v>0</v>
      </c>
      <c r="J477" s="567">
        <f>'TAMUSA FGD'!$J$24</f>
        <v>0</v>
      </c>
      <c r="K477" s="567">
        <f>'TAMUSA FGD'!$K$24</f>
        <v>0</v>
      </c>
      <c r="L477" s="567">
        <f>'TAMUSA FGD'!$L$24</f>
        <v>0</v>
      </c>
      <c r="M477" s="567">
        <f>'TAMUSA FGD'!$M$24</f>
        <v>0</v>
      </c>
      <c r="N477" s="401"/>
    </row>
    <row r="478" spans="1:14" s="171" customFormat="1" ht="12.75" hidden="1" customHeight="1" outlineLevel="1">
      <c r="A478" s="166"/>
      <c r="B478" s="676" t="str">
        <f>'TAMUT FGD'!$B$2</f>
        <v>Texas A&amp;M University - Texarkana</v>
      </c>
      <c r="C478" s="566"/>
      <c r="D478" s="567">
        <f>'TAMUT FGD'!$D$24</f>
        <v>0</v>
      </c>
      <c r="E478" s="567">
        <f>'TAMUT FGD'!$E$24</f>
        <v>0</v>
      </c>
      <c r="F478" s="567">
        <f>'TAMUT FGD'!$F$24</f>
        <v>0</v>
      </c>
      <c r="G478" s="567">
        <f>'TAMUT FGD'!$G$24</f>
        <v>0</v>
      </c>
      <c r="H478" s="567">
        <f>'TAMUT FGD'!$H$24</f>
        <v>0</v>
      </c>
      <c r="I478" s="567">
        <f>'TAMUT FGD'!$I$24</f>
        <v>0</v>
      </c>
      <c r="J478" s="567">
        <f>'TAMUT FGD'!$J$24</f>
        <v>0</v>
      </c>
      <c r="K478" s="567">
        <f>'TAMUT FGD'!$K$24</f>
        <v>0</v>
      </c>
      <c r="L478" s="567">
        <f>'TAMUT FGD'!$L$24</f>
        <v>0</v>
      </c>
      <c r="M478" s="567">
        <f>'TAMUT FGD'!$M$24</f>
        <v>0</v>
      </c>
      <c r="N478" s="401"/>
    </row>
    <row r="479" spans="1:14" s="171" customFormat="1" ht="12.75" hidden="1" customHeight="1" outlineLevel="1">
      <c r="A479" s="166"/>
      <c r="B479" s="676" t="str">
        <f>'TARLST FGD'!$B$2</f>
        <v>Tarleton State University</v>
      </c>
      <c r="C479" s="566"/>
      <c r="D479" s="567">
        <f>'TARLST FGD'!$D$24</f>
        <v>0</v>
      </c>
      <c r="E479" s="567">
        <f>'TARLST FGD'!$E$24</f>
        <v>0</v>
      </c>
      <c r="F479" s="567">
        <f>'TARLST FGD'!$F$24</f>
        <v>0</v>
      </c>
      <c r="G479" s="567">
        <f>'TARLST FGD'!$G$24</f>
        <v>0</v>
      </c>
      <c r="H479" s="567">
        <f>'TARLST FGD'!$H$24</f>
        <v>0</v>
      </c>
      <c r="I479" s="567">
        <f>'TARLST FGD'!$I$24</f>
        <v>0</v>
      </c>
      <c r="J479" s="567">
        <f>'TARLST FGD'!$J$24</f>
        <v>0</v>
      </c>
      <c r="K479" s="567">
        <f>'TARLST FGD'!$K$24</f>
        <v>0</v>
      </c>
      <c r="L479" s="567">
        <f>'TARLST FGD'!$L$24</f>
        <v>0</v>
      </c>
      <c r="M479" s="567">
        <f>'TARLST FGD'!$M$24</f>
        <v>0</v>
      </c>
      <c r="N479" s="401"/>
    </row>
    <row r="480" spans="1:14" s="171" customFormat="1" ht="12.75" hidden="1" customHeight="1" outlineLevel="1">
      <c r="A480" s="166"/>
      <c r="B480" s="676" t="str">
        <f>'TSU FGD'!$B$2</f>
        <v>Texas Southern University</v>
      </c>
      <c r="C480" s="566"/>
      <c r="D480" s="567">
        <f>'TSU FGD'!$D$24</f>
        <v>0</v>
      </c>
      <c r="E480" s="567">
        <f>'TSU FGD'!$E$24</f>
        <v>0</v>
      </c>
      <c r="F480" s="567">
        <f>'TSU FGD'!$F$24</f>
        <v>0</v>
      </c>
      <c r="G480" s="567">
        <f>'TSU FGD'!$G$24</f>
        <v>0</v>
      </c>
      <c r="H480" s="567">
        <f>'TSU FGD'!$H$24</f>
        <v>0</v>
      </c>
      <c r="I480" s="567">
        <f>'TSU FGD'!$I$24</f>
        <v>0</v>
      </c>
      <c r="J480" s="567">
        <f>'TSU FGD'!$J$24</f>
        <v>0</v>
      </c>
      <c r="K480" s="567">
        <f>'TSU FGD'!$K$24</f>
        <v>0</v>
      </c>
      <c r="L480" s="567">
        <f>'TSU FGD'!$L$24</f>
        <v>0</v>
      </c>
      <c r="M480" s="567">
        <f>'TSU FGD'!$M$24</f>
        <v>0</v>
      </c>
      <c r="N480" s="401"/>
    </row>
    <row r="481" spans="1:14" s="171" customFormat="1" ht="12.75" hidden="1" customHeight="1" outlineLevel="1">
      <c r="A481" s="166"/>
      <c r="B481" s="676" t="str">
        <f>'TTU FGD'!$B$2</f>
        <v>Texas Tech University</v>
      </c>
      <c r="C481" s="566"/>
      <c r="D481" s="567">
        <f>'TTU FGD'!$D$24</f>
        <v>0</v>
      </c>
      <c r="E481" s="567">
        <f>'TTU FGD'!$E$24</f>
        <v>0</v>
      </c>
      <c r="F481" s="567">
        <f>'TTU FGD'!$F$24</f>
        <v>0</v>
      </c>
      <c r="G481" s="567">
        <f>'TTU FGD'!$G$24</f>
        <v>0</v>
      </c>
      <c r="H481" s="567">
        <f>'TTU FGD'!$H$24</f>
        <v>0</v>
      </c>
      <c r="I481" s="567">
        <f>'TTU FGD'!$I$24</f>
        <v>0</v>
      </c>
      <c r="J481" s="567">
        <f>'TTU FGD'!$J$24</f>
        <v>0</v>
      </c>
      <c r="K481" s="567">
        <f>'TTU FGD'!$K$24</f>
        <v>0</v>
      </c>
      <c r="L481" s="567">
        <f>'TTU FGD'!$L$24</f>
        <v>0</v>
      </c>
      <c r="M481" s="567">
        <f>'TTU FGD'!$M$24</f>
        <v>0</v>
      </c>
      <c r="N481" s="401"/>
    </row>
    <row r="482" spans="1:14" s="171" customFormat="1" ht="12.75" hidden="1" customHeight="1" outlineLevel="1">
      <c r="A482" s="166"/>
      <c r="B482" s="676" t="str">
        <f>'TWU FGD'!$B$2</f>
        <v>Texas Woman's University</v>
      </c>
      <c r="C482" s="566"/>
      <c r="D482" s="567">
        <f>'TWU FGD'!$D$24</f>
        <v>-5958562</v>
      </c>
      <c r="E482" s="567">
        <f>'TWU FGD'!$E$24</f>
        <v>0</v>
      </c>
      <c r="F482" s="567">
        <f>'TWU FGD'!$F$24</f>
        <v>0</v>
      </c>
      <c r="G482" s="567">
        <f>'TWU FGD'!$G$24</f>
        <v>0</v>
      </c>
      <c r="H482" s="567">
        <f>'TWU FGD'!$H$24</f>
        <v>0</v>
      </c>
      <c r="I482" s="567">
        <f>'TWU FGD'!$I$24</f>
        <v>0</v>
      </c>
      <c r="J482" s="567">
        <f>'TWU FGD'!$J$24</f>
        <v>0</v>
      </c>
      <c r="K482" s="567">
        <f>'TWU FGD'!$K$24</f>
        <v>0</v>
      </c>
      <c r="L482" s="567">
        <f>'TWU FGD'!$L$24</f>
        <v>0</v>
      </c>
      <c r="M482" s="567">
        <f>'TWU FGD'!$M$24</f>
        <v>-5958562</v>
      </c>
      <c r="N482" s="401"/>
    </row>
    <row r="483" spans="1:14" s="171" customFormat="1" ht="12.75" hidden="1" customHeight="1" outlineLevel="1">
      <c r="A483" s="166"/>
      <c r="B483" s="676" t="str">
        <f>'TXST FGD'!$B$2</f>
        <v>Texas State University</v>
      </c>
      <c r="C483" s="566"/>
      <c r="D483" s="567">
        <f>'TXST FGD'!$D$24</f>
        <v>0</v>
      </c>
      <c r="E483" s="567">
        <f>'TXST FGD'!$E$24</f>
        <v>0</v>
      </c>
      <c r="F483" s="567">
        <f>'TXST FGD'!$F$24</f>
        <v>0</v>
      </c>
      <c r="G483" s="567">
        <f>'TXST FGD'!$G$24</f>
        <v>0</v>
      </c>
      <c r="H483" s="567">
        <f>'TXST FGD'!$H$24</f>
        <v>0</v>
      </c>
      <c r="I483" s="567">
        <f>'TXST FGD'!$I$24</f>
        <v>0</v>
      </c>
      <c r="J483" s="567">
        <f>'TXST FGD'!$J$24</f>
        <v>0</v>
      </c>
      <c r="K483" s="567">
        <f>'TXST FGD'!$K$24</f>
        <v>0</v>
      </c>
      <c r="L483" s="567">
        <f>'TXST FGD'!$L$24</f>
        <v>0</v>
      </c>
      <c r="M483" s="567">
        <f>'TXST FGD'!$M$24</f>
        <v>0</v>
      </c>
      <c r="N483" s="401"/>
    </row>
    <row r="484" spans="1:14" s="171" customFormat="1" ht="12.75" hidden="1" customHeight="1" outlineLevel="1">
      <c r="A484" s="166"/>
      <c r="B484" s="676" t="str">
        <f>'TYL FGD'!$B$2</f>
        <v>The University of Texas at Tyler</v>
      </c>
      <c r="C484" s="566"/>
      <c r="D484" s="567">
        <f>'TYL FGD'!$D$24</f>
        <v>0</v>
      </c>
      <c r="E484" s="567">
        <f>'TYL FGD'!$E$24</f>
        <v>0</v>
      </c>
      <c r="F484" s="567">
        <f>'TYL FGD'!$F$24</f>
        <v>0</v>
      </c>
      <c r="G484" s="567">
        <f>'TYL FGD'!$G$24</f>
        <v>0</v>
      </c>
      <c r="H484" s="567">
        <f>'TYL FGD'!$H$24</f>
        <v>0</v>
      </c>
      <c r="I484" s="567">
        <f>'TYL FGD'!$I$24</f>
        <v>0</v>
      </c>
      <c r="J484" s="567">
        <f>'TYL FGD'!$J$24</f>
        <v>0</v>
      </c>
      <c r="K484" s="567">
        <f>'TYL FGD'!$K$24</f>
        <v>0</v>
      </c>
      <c r="L484" s="567">
        <f>'TYL FGD'!$L$24</f>
        <v>0</v>
      </c>
      <c r="M484" s="567">
        <f>'TYL FGD'!$M$24</f>
        <v>0</v>
      </c>
      <c r="N484" s="401"/>
    </row>
    <row r="485" spans="1:14" s="171" customFormat="1" ht="12.75" hidden="1" customHeight="1" outlineLevel="1">
      <c r="A485" s="166"/>
      <c r="B485" s="676" t="str">
        <f>'UH1 FGD'!$B$2</f>
        <v>University of Houston - Academic &amp; Health (A+H)</v>
      </c>
      <c r="C485" s="566"/>
      <c r="D485" s="567">
        <f>'UH1 FGD'!$D$24</f>
        <v>0</v>
      </c>
      <c r="E485" s="567">
        <f>'UH1 FGD'!$E$24</f>
        <v>0</v>
      </c>
      <c r="F485" s="567">
        <f>'UH1 FGD'!$F$24</f>
        <v>0</v>
      </c>
      <c r="G485" s="567">
        <f>'UH1 FGD'!$G$24</f>
        <v>0</v>
      </c>
      <c r="H485" s="567">
        <f>'UH1 FGD'!$H$24</f>
        <v>0</v>
      </c>
      <c r="I485" s="567">
        <f>'UH1 FGD'!$I$24</f>
        <v>0</v>
      </c>
      <c r="J485" s="567">
        <f>'UH1 FGD'!$J$24</f>
        <v>0</v>
      </c>
      <c r="K485" s="567">
        <f>'UH1 FGD'!$K$24</f>
        <v>0</v>
      </c>
      <c r="L485" s="567">
        <f>'UH1 FGD'!$L$24</f>
        <v>0</v>
      </c>
      <c r="M485" s="567">
        <f>'UH1 FGD'!$M$24</f>
        <v>0</v>
      </c>
      <c r="N485" s="401"/>
    </row>
    <row r="486" spans="1:14" s="171" customFormat="1" ht="12.75" hidden="1" customHeight="1" outlineLevel="1">
      <c r="A486" s="166"/>
      <c r="B486" s="676" t="str">
        <f>'UHCL FGD'!$B$2</f>
        <v>University of Houston - Clear Lake</v>
      </c>
      <c r="C486" s="566"/>
      <c r="D486" s="567">
        <f>'UHCL FGD'!$D$24</f>
        <v>0</v>
      </c>
      <c r="E486" s="567">
        <f>'UHCL FGD'!$E$24</f>
        <v>0</v>
      </c>
      <c r="F486" s="567">
        <f>'UHCL FGD'!$F$24</f>
        <v>0</v>
      </c>
      <c r="G486" s="567">
        <f>'UHCL FGD'!$G$24</f>
        <v>0</v>
      </c>
      <c r="H486" s="567">
        <f>'UHCL FGD'!$H$24</f>
        <v>0</v>
      </c>
      <c r="I486" s="567">
        <f>'UHCL FGD'!$I$24</f>
        <v>0</v>
      </c>
      <c r="J486" s="567">
        <f>'UHCL FGD'!$J$24</f>
        <v>0</v>
      </c>
      <c r="K486" s="567">
        <f>'UHCL FGD'!$K$24</f>
        <v>0</v>
      </c>
      <c r="L486" s="567">
        <f>'UHCL FGD'!$L$24</f>
        <v>0</v>
      </c>
      <c r="M486" s="567">
        <f>'UHCL FGD'!$M$24</f>
        <v>0</v>
      </c>
      <c r="N486" s="401"/>
    </row>
    <row r="487" spans="1:14" s="171" customFormat="1" ht="12.75" hidden="1" customHeight="1" outlineLevel="1">
      <c r="A487" s="166"/>
      <c r="B487" s="676" t="str">
        <f>'UHD FGD'!$B$2</f>
        <v>University of Houston - Downtown</v>
      </c>
      <c r="C487" s="566"/>
      <c r="D487" s="567">
        <f>'UHD FGD'!$D$24</f>
        <v>0</v>
      </c>
      <c r="E487" s="567">
        <f>'UHD FGD'!$E$24</f>
        <v>0</v>
      </c>
      <c r="F487" s="567">
        <f>'UHD FGD'!$F$24</f>
        <v>0</v>
      </c>
      <c r="G487" s="567">
        <f>'UHD FGD'!$G$24</f>
        <v>0</v>
      </c>
      <c r="H487" s="567">
        <f>'UHD FGD'!$H$24</f>
        <v>0</v>
      </c>
      <c r="I487" s="567">
        <f>'UHD FGD'!$I$24</f>
        <v>0</v>
      </c>
      <c r="J487" s="567">
        <f>'UHD FGD'!$J$24</f>
        <v>0</v>
      </c>
      <c r="K487" s="567">
        <f>'UHD FGD'!$K$24</f>
        <v>0</v>
      </c>
      <c r="L487" s="567">
        <f>'UHD FGD'!$L$24</f>
        <v>0</v>
      </c>
      <c r="M487" s="567">
        <f>'UHD FGD'!$M$24</f>
        <v>0</v>
      </c>
      <c r="N487" s="401"/>
    </row>
    <row r="488" spans="1:14" s="171" customFormat="1" ht="12.75" hidden="1" customHeight="1" outlineLevel="1">
      <c r="A488" s="166"/>
      <c r="B488" s="676" t="str">
        <f>'UHV FGD'!$B$2</f>
        <v>University of Houston - Victoria</v>
      </c>
      <c r="C488" s="566"/>
      <c r="D488" s="567">
        <f>'UHV FGD'!$D$24</f>
        <v>0</v>
      </c>
      <c r="E488" s="567">
        <f>'UHV FGD'!$E$24</f>
        <v>0</v>
      </c>
      <c r="F488" s="567">
        <f>'UHV FGD'!$F$24</f>
        <v>0</v>
      </c>
      <c r="G488" s="567">
        <f>'UHV FGD'!$G$24</f>
        <v>0</v>
      </c>
      <c r="H488" s="567">
        <f>'UHV FGD'!$H$24</f>
        <v>0</v>
      </c>
      <c r="I488" s="567">
        <f>'UHV FGD'!$I$24</f>
        <v>0</v>
      </c>
      <c r="J488" s="567">
        <f>'UHV FGD'!$J$24</f>
        <v>0</v>
      </c>
      <c r="K488" s="567">
        <f>'UHV FGD'!$K$24</f>
        <v>0</v>
      </c>
      <c r="L488" s="567">
        <f>'UHV FGD'!$L$24</f>
        <v>0</v>
      </c>
      <c r="M488" s="567">
        <f>'UHV FGD'!$M$24</f>
        <v>0</v>
      </c>
      <c r="N488" s="401"/>
    </row>
    <row r="489" spans="1:14" s="171" customFormat="1" ht="12.75" hidden="1" customHeight="1" outlineLevel="1">
      <c r="A489" s="166"/>
      <c r="B489" s="676" t="str">
        <f>'UNT FGD'!$B$2</f>
        <v>University of North Texas</v>
      </c>
      <c r="C489" s="566"/>
      <c r="D489" s="567">
        <f>'UNT FGD'!$D$24</f>
        <v>0</v>
      </c>
      <c r="E489" s="567">
        <f>'UNT FGD'!$E$24</f>
        <v>0</v>
      </c>
      <c r="F489" s="567">
        <f>'UNT FGD'!$F$24</f>
        <v>0</v>
      </c>
      <c r="G489" s="567">
        <f>'UNT FGD'!$G$24</f>
        <v>0</v>
      </c>
      <c r="H489" s="567">
        <f>'UNT FGD'!$H$24</f>
        <v>0</v>
      </c>
      <c r="I489" s="567">
        <f>'UNT FGD'!$I$24</f>
        <v>0</v>
      </c>
      <c r="J489" s="567">
        <f>'UNT FGD'!$J$24</f>
        <v>0</v>
      </c>
      <c r="K489" s="567">
        <f>'UNT FGD'!$K$24</f>
        <v>0</v>
      </c>
      <c r="L489" s="567">
        <f>'UNT FGD'!$L$24</f>
        <v>0</v>
      </c>
      <c r="M489" s="567">
        <f>'UNT FGD'!$M$24</f>
        <v>0</v>
      </c>
      <c r="N489" s="401"/>
    </row>
    <row r="490" spans="1:14" s="171" customFormat="1" ht="12.75" hidden="1" customHeight="1" outlineLevel="1">
      <c r="A490" s="166"/>
      <c r="B490" s="676" t="str">
        <f>'UNTD FGD'!$B$2</f>
        <v>University of North Texas at Dallas</v>
      </c>
      <c r="C490" s="566"/>
      <c r="D490" s="567">
        <f>'UNTD FGD'!$D$24</f>
        <v>0</v>
      </c>
      <c r="E490" s="567">
        <f>'UNTD FGD'!$E$24</f>
        <v>0</v>
      </c>
      <c r="F490" s="567">
        <f>'UNTD FGD'!$F$24</f>
        <v>0</v>
      </c>
      <c r="G490" s="567">
        <f>'UNTD FGD'!$G$24</f>
        <v>0</v>
      </c>
      <c r="H490" s="567">
        <f>'UNTD FGD'!$H$24</f>
        <v>0</v>
      </c>
      <c r="I490" s="567">
        <f>'UNTD FGD'!$I$24</f>
        <v>0</v>
      </c>
      <c r="J490" s="567">
        <f>'UNTD FGD'!$J$24</f>
        <v>0</v>
      </c>
      <c r="K490" s="567">
        <f>'UNTD FGD'!$K$24</f>
        <v>0</v>
      </c>
      <c r="L490" s="567">
        <f>'UNTD FGD'!$L$24</f>
        <v>0</v>
      </c>
      <c r="M490" s="567">
        <f>'UNTD FGD'!$M$24</f>
        <v>0</v>
      </c>
      <c r="N490" s="401"/>
    </row>
    <row r="491" spans="1:14" s="171" customFormat="1" ht="12.75" hidden="1" customHeight="1" outlineLevel="1">
      <c r="A491" s="166"/>
      <c r="B491" s="676" t="str">
        <f>'WTAMU FGD'!$B$2</f>
        <v>West Texas A&amp;M University</v>
      </c>
      <c r="C491" s="566"/>
      <c r="D491" s="567">
        <f>'WTAMU FGD'!$D$24</f>
        <v>0</v>
      </c>
      <c r="E491" s="567">
        <f>'WTAMU FGD'!$E$24</f>
        <v>0</v>
      </c>
      <c r="F491" s="567">
        <f>'WTAMU FGD'!$F$24</f>
        <v>0</v>
      </c>
      <c r="G491" s="567">
        <f>'WTAMU FGD'!$G$24</f>
        <v>0</v>
      </c>
      <c r="H491" s="567">
        <f>'WTAMU FGD'!$H$24</f>
        <v>0</v>
      </c>
      <c r="I491" s="567">
        <f>'WTAMU FGD'!$I$24</f>
        <v>0</v>
      </c>
      <c r="J491" s="567">
        <f>'WTAMU FGD'!$J$24</f>
        <v>0</v>
      </c>
      <c r="K491" s="567">
        <f>'WTAMU FGD'!$K$24</f>
        <v>0</v>
      </c>
      <c r="L491" s="567">
        <f>'WTAMU FGD'!$L$24</f>
        <v>0</v>
      </c>
      <c r="M491" s="567">
        <f>'WTAMU FGD'!$M$24</f>
        <v>0</v>
      </c>
      <c r="N491" s="401"/>
    </row>
    <row r="492" spans="1:14" s="171" customFormat="1" collapsed="1">
      <c r="A492" s="166"/>
      <c r="B492" s="261" t="s">
        <v>727</v>
      </c>
      <c r="C492" s="566"/>
      <c r="D492" s="390">
        <f t="shared" ref="D492:M492" si="12">SUM(D456:D491)</f>
        <v>-11154519</v>
      </c>
      <c r="E492" s="390">
        <f t="shared" si="12"/>
        <v>-204806</v>
      </c>
      <c r="F492" s="390">
        <f t="shared" si="12"/>
        <v>0</v>
      </c>
      <c r="G492" s="390">
        <f t="shared" si="12"/>
        <v>0</v>
      </c>
      <c r="H492" s="390">
        <f t="shared" si="12"/>
        <v>0</v>
      </c>
      <c r="I492" s="390">
        <f t="shared" si="12"/>
        <v>0</v>
      </c>
      <c r="J492" s="390">
        <f t="shared" si="12"/>
        <v>0</v>
      </c>
      <c r="K492" s="390">
        <f t="shared" si="12"/>
        <v>0</v>
      </c>
      <c r="L492" s="390">
        <f t="shared" si="12"/>
        <v>0</v>
      </c>
      <c r="M492" s="567">
        <f t="shared" si="12"/>
        <v>-11359325</v>
      </c>
      <c r="N492" s="401"/>
    </row>
    <row r="493" spans="1:14" s="171" customFormat="1" ht="12.75" hidden="1" customHeight="1" outlineLevel="1">
      <c r="A493" s="166"/>
      <c r="B493" s="674" t="str">
        <f>'ARL FGD'!$B$2</f>
        <v>The University of Texas at Arlington</v>
      </c>
      <c r="C493" s="566"/>
      <c r="D493" s="390">
        <f>'ARL FGD'!$D$25</f>
        <v>0</v>
      </c>
      <c r="E493" s="390">
        <f>'ARL FGD'!$E$25</f>
        <v>0</v>
      </c>
      <c r="F493" s="390">
        <f>'ARL FGD'!$F$25</f>
        <v>0</v>
      </c>
      <c r="G493" s="390">
        <f>'ARL FGD'!$G$25</f>
        <v>0</v>
      </c>
      <c r="H493" s="390">
        <f>'ARL FGD'!$H$25</f>
        <v>0</v>
      </c>
      <c r="I493" s="390">
        <f>'ARL FGD'!$I$25</f>
        <v>0</v>
      </c>
      <c r="J493" s="390">
        <f>'ARL FGD'!$J$25</f>
        <v>0</v>
      </c>
      <c r="K493" s="390">
        <f>'ARL FGD'!$K$25</f>
        <v>0</v>
      </c>
      <c r="L493" s="390">
        <f>'ARL FGD'!$L$25</f>
        <v>0</v>
      </c>
      <c r="M493" s="567">
        <f>'ARL FGD'!$M$25</f>
        <v>0</v>
      </c>
      <c r="N493" s="401"/>
    </row>
    <row r="494" spans="1:14" s="171" customFormat="1" ht="12.75" hidden="1" customHeight="1" outlineLevel="1">
      <c r="A494" s="166"/>
      <c r="B494" s="674" t="str">
        <f>'ASU FGD'!$B$2</f>
        <v>Angelo State University</v>
      </c>
      <c r="C494" s="566"/>
      <c r="D494" s="390">
        <f>'ASU FGD'!$D$25</f>
        <v>0</v>
      </c>
      <c r="E494" s="390">
        <f>'ASU FGD'!$E$25</f>
        <v>0</v>
      </c>
      <c r="F494" s="390">
        <f>'ASU FGD'!$F$25</f>
        <v>0</v>
      </c>
      <c r="G494" s="390">
        <f>'ASU FGD'!$G$25</f>
        <v>0</v>
      </c>
      <c r="H494" s="390">
        <f>'ASU FGD'!$H$25</f>
        <v>0</v>
      </c>
      <c r="I494" s="390">
        <f>'ASU FGD'!$I$25</f>
        <v>0</v>
      </c>
      <c r="J494" s="390">
        <f>'ASU FGD'!$J$25</f>
        <v>0</v>
      </c>
      <c r="K494" s="390">
        <f>'ASU FGD'!$K$25</f>
        <v>0</v>
      </c>
      <c r="L494" s="390">
        <f>'ASU FGD'!$L$25</f>
        <v>0</v>
      </c>
      <c r="M494" s="567">
        <f>'ASU FGD'!$M$25</f>
        <v>0</v>
      </c>
      <c r="N494" s="401"/>
    </row>
    <row r="495" spans="1:14" s="171" customFormat="1" ht="12.75" hidden="1" customHeight="1" outlineLevel="1">
      <c r="A495" s="166"/>
      <c r="B495" s="674" t="str">
        <f>'AUS1 FGD'!$B$2</f>
        <v>The University of Texas at Austin - Academic &amp; Health (A+H)</v>
      </c>
      <c r="C495" s="566"/>
      <c r="D495" s="390">
        <f>'AUS1 FGD'!$D$25</f>
        <v>0</v>
      </c>
      <c r="E495" s="390">
        <f>'AUS1 FGD'!$E$25</f>
        <v>0</v>
      </c>
      <c r="F495" s="390">
        <f>'AUS1 FGD'!$F$25</f>
        <v>0</v>
      </c>
      <c r="G495" s="390">
        <f>'AUS1 FGD'!$G$25</f>
        <v>0</v>
      </c>
      <c r="H495" s="390">
        <f>'AUS1 FGD'!$H$25</f>
        <v>0</v>
      </c>
      <c r="I495" s="390">
        <f>'AUS1 FGD'!$I$25</f>
        <v>0</v>
      </c>
      <c r="J495" s="390">
        <f>'AUS1 FGD'!$J$25</f>
        <v>0</v>
      </c>
      <c r="K495" s="390">
        <f>'AUS1 FGD'!$K$25</f>
        <v>0</v>
      </c>
      <c r="L495" s="390">
        <f>'AUS1 FGD'!$L$25</f>
        <v>0</v>
      </c>
      <c r="M495" s="567">
        <f>'AUS1 FGD'!$M$25</f>
        <v>0</v>
      </c>
      <c r="N495" s="401"/>
    </row>
    <row r="496" spans="1:14" s="171" customFormat="1" ht="12.75" hidden="1" customHeight="1" outlineLevel="1">
      <c r="A496" s="166"/>
      <c r="B496" s="674" t="str">
        <f>'RGV1 FGD'!$B$2</f>
        <v>The University of Texas RGV - Academic &amp; Health (A+H)</v>
      </c>
      <c r="C496" s="566"/>
      <c r="D496" s="390">
        <f>'RGV1 FGD'!$D$25</f>
        <v>0</v>
      </c>
      <c r="E496" s="390">
        <f>'RGV1 FGD'!$E$25</f>
        <v>0</v>
      </c>
      <c r="F496" s="390">
        <f>'RGV1 FGD'!$F$25</f>
        <v>0</v>
      </c>
      <c r="G496" s="390">
        <f>'RGV1 FGD'!$G$25</f>
        <v>0</v>
      </c>
      <c r="H496" s="390">
        <f>'RGV1 FGD'!$H$25</f>
        <v>0</v>
      </c>
      <c r="I496" s="390">
        <f>'RGV1 FGD'!$I$25</f>
        <v>0</v>
      </c>
      <c r="J496" s="390">
        <f>'RGV1 FGD'!$J$25</f>
        <v>0</v>
      </c>
      <c r="K496" s="390">
        <f>'RGV1 FGD'!$K$25</f>
        <v>0</v>
      </c>
      <c r="L496" s="390">
        <f>'RGV1 FGD'!$L$25</f>
        <v>0</v>
      </c>
      <c r="M496" s="567">
        <f>'RGV1 FGD'!$M$25</f>
        <v>0</v>
      </c>
      <c r="N496" s="401"/>
    </row>
    <row r="497" spans="1:14" s="171" customFormat="1" ht="12.75" hidden="1" customHeight="1" outlineLevel="1">
      <c r="A497" s="166"/>
      <c r="B497" s="674" t="str">
        <f>'DAL FGD'!$B$2</f>
        <v>The University of Texas at Dallas</v>
      </c>
      <c r="C497" s="566"/>
      <c r="D497" s="390">
        <f>'DAL FGD'!$D$25</f>
        <v>0</v>
      </c>
      <c r="E497" s="390">
        <f>'DAL FGD'!$E$25</f>
        <v>0</v>
      </c>
      <c r="F497" s="390">
        <f>'DAL FGD'!$F$25</f>
        <v>0</v>
      </c>
      <c r="G497" s="390">
        <f>'DAL FGD'!$G$25</f>
        <v>0</v>
      </c>
      <c r="H497" s="390">
        <f>'DAL FGD'!$H$25</f>
        <v>0</v>
      </c>
      <c r="I497" s="390">
        <f>'DAL FGD'!$I$25</f>
        <v>0</v>
      </c>
      <c r="J497" s="390">
        <f>'DAL FGD'!$J$25</f>
        <v>0</v>
      </c>
      <c r="K497" s="390">
        <f>'DAL FGD'!$K$25</f>
        <v>0</v>
      </c>
      <c r="L497" s="390">
        <f>'DAL FGD'!$L$25</f>
        <v>0</v>
      </c>
      <c r="M497" s="567">
        <f>'DAL FGD'!$M$25</f>
        <v>0</v>
      </c>
      <c r="N497" s="401"/>
    </row>
    <row r="498" spans="1:14" s="171" customFormat="1" ht="12.75" hidden="1" customHeight="1" outlineLevel="1">
      <c r="A498" s="166"/>
      <c r="B498" s="674" t="str">
        <f>'E-P FGD'!$B$2</f>
        <v>The University of Texas at El Paso</v>
      </c>
      <c r="C498" s="566"/>
      <c r="D498" s="390">
        <f>'E-P FGD'!$D$25</f>
        <v>0</v>
      </c>
      <c r="E498" s="390">
        <f>'E-P FGD'!$E$25</f>
        <v>0</v>
      </c>
      <c r="F498" s="390">
        <f>'E-P FGD'!$F$25</f>
        <v>0</v>
      </c>
      <c r="G498" s="390">
        <f>'E-P FGD'!$G$25</f>
        <v>0</v>
      </c>
      <c r="H498" s="390">
        <f>'E-P FGD'!$H$25</f>
        <v>0</v>
      </c>
      <c r="I498" s="390">
        <f>'E-P FGD'!$I$25</f>
        <v>0</v>
      </c>
      <c r="J498" s="390">
        <f>'E-P FGD'!$J$25</f>
        <v>0</v>
      </c>
      <c r="K498" s="390">
        <f>'E-P FGD'!$K$25</f>
        <v>0</v>
      </c>
      <c r="L498" s="390">
        <f>'E-P FGD'!$L$25</f>
        <v>0</v>
      </c>
      <c r="M498" s="567">
        <f>'E-P FGD'!$M$25</f>
        <v>0</v>
      </c>
      <c r="N498" s="401"/>
    </row>
    <row r="499" spans="1:14" s="171" customFormat="1" ht="12.75" hidden="1" customHeight="1" outlineLevel="1">
      <c r="A499" s="166"/>
      <c r="B499" s="674" t="str">
        <f>'LU FGD'!$B$2</f>
        <v xml:space="preserve">Lamar University </v>
      </c>
      <c r="C499" s="566"/>
      <c r="D499" s="390">
        <f>'LU FGD'!$D$25</f>
        <v>0</v>
      </c>
      <c r="E499" s="390">
        <f>'LU FGD'!$E$25</f>
        <v>0</v>
      </c>
      <c r="F499" s="390">
        <f>'LU FGD'!$F$25</f>
        <v>0</v>
      </c>
      <c r="G499" s="390">
        <f>'LU FGD'!$G$25</f>
        <v>0</v>
      </c>
      <c r="H499" s="390">
        <f>'LU FGD'!$H$25</f>
        <v>0</v>
      </c>
      <c r="I499" s="390">
        <f>'LU FGD'!$I$25</f>
        <v>0</v>
      </c>
      <c r="J499" s="390">
        <f>'LU FGD'!$J$25</f>
        <v>0</v>
      </c>
      <c r="K499" s="390">
        <f>'LU FGD'!$K$25</f>
        <v>0</v>
      </c>
      <c r="L499" s="390">
        <f>'LU FGD'!$L$25</f>
        <v>0</v>
      </c>
      <c r="M499" s="567">
        <f>'LU FGD'!$M$25</f>
        <v>0</v>
      </c>
      <c r="N499" s="401"/>
    </row>
    <row r="500" spans="1:14" s="171" customFormat="1" ht="12.75" hidden="1" customHeight="1" outlineLevel="1">
      <c r="A500" s="166"/>
      <c r="B500" s="674" t="str">
        <f>'MidWST FGD'!$B$2</f>
        <v>Midwestern State University</v>
      </c>
      <c r="C500" s="566"/>
      <c r="D500" s="390">
        <f>'MidWST FGD'!$D$25</f>
        <v>0</v>
      </c>
      <c r="E500" s="390">
        <f>'MidWST FGD'!$E$25</f>
        <v>0</v>
      </c>
      <c r="F500" s="390">
        <f>'MidWST FGD'!$F$25</f>
        <v>0</v>
      </c>
      <c r="G500" s="390">
        <f>'MidWST FGD'!$G$25</f>
        <v>0</v>
      </c>
      <c r="H500" s="390">
        <f>'MidWST FGD'!$H$25</f>
        <v>0</v>
      </c>
      <c r="I500" s="390">
        <f>'MidWST FGD'!$I$25</f>
        <v>0</v>
      </c>
      <c r="J500" s="390">
        <f>'MidWST FGD'!$J$25</f>
        <v>0</v>
      </c>
      <c r="K500" s="390">
        <f>'MidWST FGD'!$K$25</f>
        <v>0</v>
      </c>
      <c r="L500" s="390">
        <f>'MidWST FGD'!$L$25</f>
        <v>0</v>
      </c>
      <c r="M500" s="567">
        <f>'MidWST FGD'!$M$25</f>
        <v>0</v>
      </c>
      <c r="N500" s="401"/>
    </row>
    <row r="501" spans="1:14" s="171" customFormat="1" ht="12.75" hidden="1" customHeight="1" outlineLevel="1">
      <c r="A501" s="166"/>
      <c r="B501" s="674" t="str">
        <f>'P-B FGD'!$B$2</f>
        <v>The University of Texas of the Permian Basin</v>
      </c>
      <c r="C501" s="566"/>
      <c r="D501" s="390">
        <f>'P-B FGD'!$D$25</f>
        <v>0</v>
      </c>
      <c r="E501" s="390">
        <f>'P-B FGD'!$E$25</f>
        <v>0</v>
      </c>
      <c r="F501" s="390">
        <f>'P-B FGD'!$F$25</f>
        <v>0</v>
      </c>
      <c r="G501" s="390">
        <f>'P-B FGD'!$G$25</f>
        <v>0</v>
      </c>
      <c r="H501" s="390">
        <f>'P-B FGD'!$H$25</f>
        <v>0</v>
      </c>
      <c r="I501" s="390">
        <f>'P-B FGD'!$I$25</f>
        <v>0</v>
      </c>
      <c r="J501" s="390">
        <f>'P-B FGD'!$J$25</f>
        <v>0</v>
      </c>
      <c r="K501" s="390">
        <f>'P-B FGD'!$K$25</f>
        <v>0</v>
      </c>
      <c r="L501" s="390">
        <f>'P-B FGD'!$L$25</f>
        <v>0</v>
      </c>
      <c r="M501" s="567">
        <f>'P-B FGD'!$M$25</f>
        <v>0</v>
      </c>
      <c r="N501" s="401"/>
    </row>
    <row r="502" spans="1:14" s="171" customFormat="1" ht="12.75" hidden="1" customHeight="1" outlineLevel="1">
      <c r="A502" s="166"/>
      <c r="B502" s="674" t="str">
        <f>'PVAMU FGD'!$B$2</f>
        <v>Prairie View A&amp;M University</v>
      </c>
      <c r="C502" s="566"/>
      <c r="D502" s="390">
        <f>'PVAMU FGD'!$D$25</f>
        <v>0</v>
      </c>
      <c r="E502" s="390">
        <f>'PVAMU FGD'!$E$25</f>
        <v>0</v>
      </c>
      <c r="F502" s="390">
        <f>'PVAMU FGD'!$F$25</f>
        <v>0</v>
      </c>
      <c r="G502" s="390">
        <f>'PVAMU FGD'!$G$25</f>
        <v>0</v>
      </c>
      <c r="H502" s="390">
        <f>'PVAMU FGD'!$H$25</f>
        <v>0</v>
      </c>
      <c r="I502" s="390">
        <f>'PVAMU FGD'!$I$25</f>
        <v>0</v>
      </c>
      <c r="J502" s="390">
        <f>'PVAMU FGD'!$J$25</f>
        <v>0</v>
      </c>
      <c r="K502" s="390">
        <f>'PVAMU FGD'!$K$25</f>
        <v>0</v>
      </c>
      <c r="L502" s="390">
        <f>'PVAMU FGD'!$L$25</f>
        <v>0</v>
      </c>
      <c r="M502" s="567">
        <f>'PVAMU FGD'!$M$25</f>
        <v>0</v>
      </c>
      <c r="N502" s="401"/>
    </row>
    <row r="503" spans="1:14" s="171" customFormat="1" ht="12.75" hidden="1" customHeight="1" outlineLevel="1">
      <c r="A503" s="166"/>
      <c r="B503" s="674" t="str">
        <f>'S-A FGD'!$B$2</f>
        <v>The University of Texas at San Antonio</v>
      </c>
      <c r="C503" s="566"/>
      <c r="D503" s="390">
        <f>'S-A FGD'!$D$25</f>
        <v>0</v>
      </c>
      <c r="E503" s="390">
        <f>'S-A FGD'!$E$25</f>
        <v>0</v>
      </c>
      <c r="F503" s="390">
        <f>'S-A FGD'!$F$25</f>
        <v>0</v>
      </c>
      <c r="G503" s="390">
        <f>'S-A FGD'!$G$25</f>
        <v>0</v>
      </c>
      <c r="H503" s="390">
        <f>'S-A FGD'!$H$25</f>
        <v>0</v>
      </c>
      <c r="I503" s="390">
        <f>'S-A FGD'!$I$25</f>
        <v>0</v>
      </c>
      <c r="J503" s="390">
        <f>'S-A FGD'!$J$25</f>
        <v>0</v>
      </c>
      <c r="K503" s="390">
        <f>'S-A FGD'!$K$25</f>
        <v>0</v>
      </c>
      <c r="L503" s="390">
        <f>'S-A FGD'!$L$25</f>
        <v>0</v>
      </c>
      <c r="M503" s="567">
        <f>'S-A FGD'!$M$25</f>
        <v>0</v>
      </c>
      <c r="N503" s="401"/>
    </row>
    <row r="504" spans="1:14" s="171" customFormat="1" ht="12.75" hidden="1" customHeight="1" outlineLevel="1">
      <c r="A504" s="166"/>
      <c r="B504" s="674" t="str">
        <f>'SFA FGD'!$B$2</f>
        <v>Stephen F. Austin State University</v>
      </c>
      <c r="C504" s="566"/>
      <c r="D504" s="390">
        <f>'SFA FGD'!$D$25</f>
        <v>0</v>
      </c>
      <c r="E504" s="390">
        <f>'SFA FGD'!$E$25</f>
        <v>0</v>
      </c>
      <c r="F504" s="390">
        <f>'SFA FGD'!$F$25</f>
        <v>0</v>
      </c>
      <c r="G504" s="390">
        <f>'SFA FGD'!$G$25</f>
        <v>0</v>
      </c>
      <c r="H504" s="390">
        <f>'SFA FGD'!$H$25</f>
        <v>0</v>
      </c>
      <c r="I504" s="390">
        <f>'SFA FGD'!$I$25</f>
        <v>0</v>
      </c>
      <c r="J504" s="390">
        <f>'SFA FGD'!$J$25</f>
        <v>0</v>
      </c>
      <c r="K504" s="390">
        <f>'SFA FGD'!$K$25</f>
        <v>0</v>
      </c>
      <c r="L504" s="390">
        <f>'SFA FGD'!$L$25</f>
        <v>0</v>
      </c>
      <c r="M504" s="567">
        <f>'SFA FGD'!$M$25</f>
        <v>0</v>
      </c>
      <c r="N504" s="401"/>
    </row>
    <row r="505" spans="1:14" s="171" customFormat="1" ht="12.75" hidden="1" customHeight="1" outlineLevel="1">
      <c r="A505" s="166"/>
      <c r="B505" s="674" t="str">
        <f>'shsu1 FGD'!$B$2</f>
        <v>Sam Houston State University - Academic &amp; Health (A+H)</v>
      </c>
      <c r="C505" s="566"/>
      <c r="D505" s="390">
        <f>'shsu1 FGD'!$D$25</f>
        <v>0</v>
      </c>
      <c r="E505" s="390">
        <f>'shsu1 FGD'!$E$25</f>
        <v>0</v>
      </c>
      <c r="F505" s="390">
        <f>'shsu1 FGD'!$F$25</f>
        <v>0</v>
      </c>
      <c r="G505" s="390">
        <f>'shsu1 FGD'!$G$25</f>
        <v>0</v>
      </c>
      <c r="H505" s="390">
        <f>'shsu1 FGD'!$H$25</f>
        <v>0</v>
      </c>
      <c r="I505" s="390">
        <f>'shsu1 FGD'!$I$25</f>
        <v>0</v>
      </c>
      <c r="J505" s="390">
        <f>'shsu1 FGD'!$J$25</f>
        <v>0</v>
      </c>
      <c r="K505" s="390">
        <f>'shsu1 FGD'!$K$25</f>
        <v>0</v>
      </c>
      <c r="L505" s="390">
        <f>'shsu1 FGD'!$L$25</f>
        <v>0</v>
      </c>
      <c r="M505" s="567">
        <f>'shsu1 FGD'!$M$25</f>
        <v>0</v>
      </c>
      <c r="N505" s="401"/>
    </row>
    <row r="506" spans="1:14" s="171" customFormat="1" ht="12.75" hidden="1" customHeight="1" outlineLevel="1">
      <c r="A506" s="166"/>
      <c r="B506" s="674" t="str">
        <f>'SRSU FGD'!$B$2</f>
        <v>Sul Ross State University</v>
      </c>
      <c r="C506" s="566"/>
      <c r="D506" s="390">
        <f>'SRSU FGD'!$D$25</f>
        <v>-13704</v>
      </c>
      <c r="E506" s="390">
        <f>'SRSU FGD'!$E$25</f>
        <v>0</v>
      </c>
      <c r="F506" s="390">
        <f>'SRSU FGD'!$F$25</f>
        <v>0</v>
      </c>
      <c r="G506" s="390">
        <f>'SRSU FGD'!$G$25</f>
        <v>0</v>
      </c>
      <c r="H506" s="390">
        <f>'SRSU FGD'!$H$25</f>
        <v>0</v>
      </c>
      <c r="I506" s="390">
        <f>'SRSU FGD'!$I$25</f>
        <v>0</v>
      </c>
      <c r="J506" s="390">
        <f>'SRSU FGD'!$J$25</f>
        <v>0</v>
      </c>
      <c r="K506" s="390">
        <f>'SRSU FGD'!$K$25</f>
        <v>0</v>
      </c>
      <c r="L506" s="390">
        <f>'SRSU FGD'!$L$25</f>
        <v>0</v>
      </c>
      <c r="M506" s="567">
        <f>'SRSU FGD'!$M$25</f>
        <v>-13704</v>
      </c>
      <c r="N506" s="401"/>
    </row>
    <row r="507" spans="1:14" s="171" customFormat="1" ht="12.75" hidden="1" customHeight="1" outlineLevel="1">
      <c r="A507" s="166"/>
      <c r="B507" s="674" t="str">
        <f>'TAMIU FGD'!$B$2</f>
        <v>Texas A&amp;M International University</v>
      </c>
      <c r="C507" s="566"/>
      <c r="D507" s="390">
        <f>'TAMIU FGD'!$D$25</f>
        <v>0</v>
      </c>
      <c r="E507" s="390">
        <f>'TAMIU FGD'!$E$25</f>
        <v>0</v>
      </c>
      <c r="F507" s="390">
        <f>'TAMIU FGD'!$F$25</f>
        <v>0</v>
      </c>
      <c r="G507" s="390">
        <f>'TAMIU FGD'!$G$25</f>
        <v>0</v>
      </c>
      <c r="H507" s="390">
        <f>'TAMIU FGD'!$H$25</f>
        <v>0</v>
      </c>
      <c r="I507" s="390">
        <f>'TAMIU FGD'!$I$25</f>
        <v>0</v>
      </c>
      <c r="J507" s="390">
        <f>'TAMIU FGD'!$J$25</f>
        <v>0</v>
      </c>
      <c r="K507" s="390">
        <f>'TAMIU FGD'!$K$25</f>
        <v>0</v>
      </c>
      <c r="L507" s="390">
        <f>'TAMIU FGD'!$L$25</f>
        <v>0</v>
      </c>
      <c r="M507" s="567">
        <f>'TAMIU FGD'!$M$25</f>
        <v>0</v>
      </c>
      <c r="N507" s="401"/>
    </row>
    <row r="508" spans="1:14" s="171" customFormat="1" ht="12.75" hidden="1" customHeight="1" outlineLevel="1">
      <c r="A508" s="166"/>
      <c r="B508" s="674" t="str">
        <f>'TAMU FGD'!$B$2</f>
        <v>Texas A&amp;M University</v>
      </c>
      <c r="C508" s="566"/>
      <c r="D508" s="390">
        <f>'TAMU FGD'!$D$25</f>
        <v>0</v>
      </c>
      <c r="E508" s="390">
        <f>'TAMU FGD'!$E$25</f>
        <v>0</v>
      </c>
      <c r="F508" s="390">
        <f>'TAMU FGD'!$F$25</f>
        <v>0</v>
      </c>
      <c r="G508" s="390">
        <f>'TAMU FGD'!$G$25</f>
        <v>0</v>
      </c>
      <c r="H508" s="390">
        <f>'TAMU FGD'!$H$25</f>
        <v>0</v>
      </c>
      <c r="I508" s="390">
        <f>'TAMU FGD'!$I$25</f>
        <v>0</v>
      </c>
      <c r="J508" s="390">
        <f>'TAMU FGD'!$J$25</f>
        <v>0</v>
      </c>
      <c r="K508" s="390">
        <f>'TAMU FGD'!$K$25</f>
        <v>0</v>
      </c>
      <c r="L508" s="390">
        <f>'TAMU FGD'!$L$25</f>
        <v>0</v>
      </c>
      <c r="M508" s="567">
        <f>'TAMU FGD'!$M$25</f>
        <v>0</v>
      </c>
      <c r="N508" s="401"/>
    </row>
    <row r="509" spans="1:14" s="171" customFormat="1" ht="12.75" hidden="1" customHeight="1" outlineLevel="1">
      <c r="A509" s="166"/>
      <c r="B509" s="674" t="str">
        <f>'TAMUC FGD'!$B$2</f>
        <v>Texas A&amp;M University - Commerce</v>
      </c>
      <c r="C509" s="566"/>
      <c r="D509" s="390">
        <f>'TAMUC FGD'!$D$25</f>
        <v>0</v>
      </c>
      <c r="E509" s="390">
        <f>'TAMUC FGD'!$E$25</f>
        <v>0</v>
      </c>
      <c r="F509" s="390">
        <f>'TAMUC FGD'!$F$25</f>
        <v>0</v>
      </c>
      <c r="G509" s="390">
        <f>'TAMUC FGD'!$G$25</f>
        <v>0</v>
      </c>
      <c r="H509" s="390">
        <f>'TAMUC FGD'!$H$25</f>
        <v>0</v>
      </c>
      <c r="I509" s="390">
        <f>'TAMUC FGD'!$I$25</f>
        <v>0</v>
      </c>
      <c r="J509" s="390">
        <f>'TAMUC FGD'!$J$25</f>
        <v>0</v>
      </c>
      <c r="K509" s="390">
        <f>'TAMUC FGD'!$K$25</f>
        <v>0</v>
      </c>
      <c r="L509" s="390">
        <f>'TAMUC FGD'!$L$25</f>
        <v>0</v>
      </c>
      <c r="M509" s="567">
        <f>'TAMUC FGD'!$M$25</f>
        <v>0</v>
      </c>
      <c r="N509" s="401"/>
    </row>
    <row r="510" spans="1:14" s="171" customFormat="1" ht="12.75" hidden="1" customHeight="1" outlineLevel="1">
      <c r="A510" s="166"/>
      <c r="B510" s="674" t="str">
        <f>'TAMUCC FGD'!$B$2</f>
        <v>Texas A&amp;M University - Corpus Christi</v>
      </c>
      <c r="C510" s="566"/>
      <c r="D510" s="390">
        <f>'TAMUCC FGD'!$D$25</f>
        <v>0</v>
      </c>
      <c r="E510" s="390">
        <f>'TAMUCC FGD'!$E$25</f>
        <v>0</v>
      </c>
      <c r="F510" s="390">
        <f>'TAMUCC FGD'!$F$25</f>
        <v>0</v>
      </c>
      <c r="G510" s="390">
        <f>'TAMUCC FGD'!$G$25</f>
        <v>0</v>
      </c>
      <c r="H510" s="390">
        <f>'TAMUCC FGD'!$H$25</f>
        <v>0</v>
      </c>
      <c r="I510" s="390">
        <f>'TAMUCC FGD'!$I$25</f>
        <v>0</v>
      </c>
      <c r="J510" s="390">
        <f>'TAMUCC FGD'!$J$25</f>
        <v>0</v>
      </c>
      <c r="K510" s="390">
        <f>'TAMUCC FGD'!$K$25</f>
        <v>0</v>
      </c>
      <c r="L510" s="390">
        <f>'TAMUCC FGD'!$L$25</f>
        <v>0</v>
      </c>
      <c r="M510" s="567">
        <f>'TAMUCC FGD'!$M$25</f>
        <v>0</v>
      </c>
      <c r="N510" s="401"/>
    </row>
    <row r="511" spans="1:14" s="171" customFormat="1" ht="12.75" hidden="1" customHeight="1" outlineLevel="1">
      <c r="A511" s="166"/>
      <c r="B511" s="674" t="str">
        <f>'TAMUCT FGD'!$B$2</f>
        <v>Texas A&amp;M University - Central Texas</v>
      </c>
      <c r="C511" s="566"/>
      <c r="D511" s="390">
        <f>'TAMUCT FGD'!$D$25</f>
        <v>0</v>
      </c>
      <c r="E511" s="390">
        <f>'TAMUCT FGD'!$E$25</f>
        <v>0</v>
      </c>
      <c r="F511" s="390">
        <f>'TAMUCT FGD'!$F$25</f>
        <v>0</v>
      </c>
      <c r="G511" s="390">
        <f>'TAMUCT FGD'!$G$25</f>
        <v>0</v>
      </c>
      <c r="H511" s="390">
        <f>'TAMUCT FGD'!$H$25</f>
        <v>0</v>
      </c>
      <c r="I511" s="390">
        <f>'TAMUCT FGD'!$I$25</f>
        <v>0</v>
      </c>
      <c r="J511" s="390">
        <f>'TAMUCT FGD'!$J$25</f>
        <v>0</v>
      </c>
      <c r="K511" s="390">
        <f>'TAMUCT FGD'!$K$25</f>
        <v>0</v>
      </c>
      <c r="L511" s="390">
        <f>'TAMUCT FGD'!$L$25</f>
        <v>0</v>
      </c>
      <c r="M511" s="567">
        <f>'TAMUCT FGD'!$M$25</f>
        <v>0</v>
      </c>
      <c r="N511" s="401"/>
    </row>
    <row r="512" spans="1:14" s="171" customFormat="1" ht="12.75" hidden="1" customHeight="1" outlineLevel="1">
      <c r="A512" s="166"/>
      <c r="B512" s="674" t="str">
        <f>'TAMUG FGD'!$B$2</f>
        <v>Texas A&amp;M University at Galveston</v>
      </c>
      <c r="C512" s="566"/>
      <c r="D512" s="390">
        <f>'TAMUG FGD'!$D$25</f>
        <v>0</v>
      </c>
      <c r="E512" s="390">
        <f>'TAMUG FGD'!$E$25</f>
        <v>0</v>
      </c>
      <c r="F512" s="390">
        <f>'TAMUG FGD'!$F$25</f>
        <v>0</v>
      </c>
      <c r="G512" s="390">
        <f>'TAMUG FGD'!$G$25</f>
        <v>0</v>
      </c>
      <c r="H512" s="390">
        <f>'TAMUG FGD'!$H$25</f>
        <v>0</v>
      </c>
      <c r="I512" s="390">
        <f>'TAMUG FGD'!$I$25</f>
        <v>0</v>
      </c>
      <c r="J512" s="390">
        <f>'TAMUG FGD'!$J$25</f>
        <v>0</v>
      </c>
      <c r="K512" s="390">
        <f>'TAMUG FGD'!$K$25</f>
        <v>0</v>
      </c>
      <c r="L512" s="390">
        <f>'TAMUG FGD'!$L$25</f>
        <v>0</v>
      </c>
      <c r="M512" s="567">
        <f>'TAMUG FGD'!$M$25</f>
        <v>0</v>
      </c>
      <c r="N512" s="401"/>
    </row>
    <row r="513" spans="1:14" s="171" customFormat="1" ht="12.75" hidden="1" customHeight="1" outlineLevel="1">
      <c r="A513" s="166"/>
      <c r="B513" s="674" t="str">
        <f>'TAMUK FGD'!$B$2</f>
        <v>Texas A&amp;M University - Kingsville</v>
      </c>
      <c r="C513" s="566"/>
      <c r="D513" s="390">
        <f>'TAMUK FGD'!$D$25</f>
        <v>0</v>
      </c>
      <c r="E513" s="390">
        <f>'TAMUK FGD'!$E$25</f>
        <v>0</v>
      </c>
      <c r="F513" s="390">
        <f>'TAMUK FGD'!$F$25</f>
        <v>0</v>
      </c>
      <c r="G513" s="390">
        <f>'TAMUK FGD'!$G$25</f>
        <v>0</v>
      </c>
      <c r="H513" s="390">
        <f>'TAMUK FGD'!$H$25</f>
        <v>0</v>
      </c>
      <c r="I513" s="390">
        <f>'TAMUK FGD'!$I$25</f>
        <v>0</v>
      </c>
      <c r="J513" s="390">
        <f>'TAMUK FGD'!$J$25</f>
        <v>0</v>
      </c>
      <c r="K513" s="390">
        <f>'TAMUK FGD'!$K$25</f>
        <v>0</v>
      </c>
      <c r="L513" s="390">
        <f>'TAMUK FGD'!$L$25</f>
        <v>0</v>
      </c>
      <c r="M513" s="567">
        <f>'TAMUK FGD'!$M$25</f>
        <v>0</v>
      </c>
      <c r="N513" s="401"/>
    </row>
    <row r="514" spans="1:14" s="171" customFormat="1" ht="12.75" hidden="1" customHeight="1" outlineLevel="1">
      <c r="A514" s="166"/>
      <c r="B514" s="674" t="str">
        <f>'TAMUSA FGD'!$B$2</f>
        <v>Texas A&amp;M University - San Antonio</v>
      </c>
      <c r="C514" s="566"/>
      <c r="D514" s="390">
        <f>'TAMUSA FGD'!$D$25</f>
        <v>0</v>
      </c>
      <c r="E514" s="390">
        <f>'TAMUSA FGD'!$E$25</f>
        <v>0</v>
      </c>
      <c r="F514" s="390">
        <f>'TAMUSA FGD'!$F$25</f>
        <v>0</v>
      </c>
      <c r="G514" s="390">
        <f>'TAMUSA FGD'!$G$25</f>
        <v>0</v>
      </c>
      <c r="H514" s="390">
        <f>'TAMUSA FGD'!$H$25</f>
        <v>0</v>
      </c>
      <c r="I514" s="390">
        <f>'TAMUSA FGD'!$I$25</f>
        <v>0</v>
      </c>
      <c r="J514" s="390">
        <f>'TAMUSA FGD'!$J$25</f>
        <v>0</v>
      </c>
      <c r="K514" s="390">
        <f>'TAMUSA FGD'!$K$25</f>
        <v>0</v>
      </c>
      <c r="L514" s="390">
        <f>'TAMUSA FGD'!$L$25</f>
        <v>0</v>
      </c>
      <c r="M514" s="567">
        <f>'TAMUSA FGD'!$M$25</f>
        <v>0</v>
      </c>
      <c r="N514" s="401"/>
    </row>
    <row r="515" spans="1:14" s="171" customFormat="1" ht="12.75" hidden="1" customHeight="1" outlineLevel="1">
      <c r="A515" s="166"/>
      <c r="B515" s="674" t="str">
        <f>'TAMUT FGD'!$B$2</f>
        <v>Texas A&amp;M University - Texarkana</v>
      </c>
      <c r="C515" s="566"/>
      <c r="D515" s="390">
        <f>'TAMUT FGD'!$D$25</f>
        <v>0</v>
      </c>
      <c r="E515" s="390">
        <f>'TAMUT FGD'!$E$25</f>
        <v>0</v>
      </c>
      <c r="F515" s="390">
        <f>'TAMUT FGD'!$F$25</f>
        <v>0</v>
      </c>
      <c r="G515" s="390">
        <f>'TAMUT FGD'!$G$25</f>
        <v>0</v>
      </c>
      <c r="H515" s="390">
        <f>'TAMUT FGD'!$H$25</f>
        <v>0</v>
      </c>
      <c r="I515" s="390">
        <f>'TAMUT FGD'!$I$25</f>
        <v>0</v>
      </c>
      <c r="J515" s="390">
        <f>'TAMUT FGD'!$J$25</f>
        <v>0</v>
      </c>
      <c r="K515" s="390">
        <f>'TAMUT FGD'!$K$25</f>
        <v>0</v>
      </c>
      <c r="L515" s="390">
        <f>'TAMUT FGD'!$L$25</f>
        <v>0</v>
      </c>
      <c r="M515" s="567">
        <f>'TAMUT FGD'!$M$25</f>
        <v>0</v>
      </c>
      <c r="N515" s="401"/>
    </row>
    <row r="516" spans="1:14" s="171" customFormat="1" ht="12.75" hidden="1" customHeight="1" outlineLevel="1">
      <c r="A516" s="166"/>
      <c r="B516" s="674" t="str">
        <f>'TARLST FGD'!$B$2</f>
        <v>Tarleton State University</v>
      </c>
      <c r="C516" s="566"/>
      <c r="D516" s="390">
        <f>'TARLST FGD'!$D$25</f>
        <v>0</v>
      </c>
      <c r="E516" s="390">
        <f>'TARLST FGD'!$E$25</f>
        <v>0</v>
      </c>
      <c r="F516" s="390">
        <f>'TARLST FGD'!$F$25</f>
        <v>0</v>
      </c>
      <c r="G516" s="390">
        <f>'TARLST FGD'!$G$25</f>
        <v>0</v>
      </c>
      <c r="H516" s="390">
        <f>'TARLST FGD'!$H$25</f>
        <v>0</v>
      </c>
      <c r="I516" s="390">
        <f>'TARLST FGD'!$I$25</f>
        <v>0</v>
      </c>
      <c r="J516" s="390">
        <f>'TARLST FGD'!$J$25</f>
        <v>0</v>
      </c>
      <c r="K516" s="390">
        <f>'TARLST FGD'!$K$25</f>
        <v>0</v>
      </c>
      <c r="L516" s="390">
        <f>'TARLST FGD'!$L$25</f>
        <v>0</v>
      </c>
      <c r="M516" s="567">
        <f>'TARLST FGD'!$M$25</f>
        <v>0</v>
      </c>
      <c r="N516" s="401"/>
    </row>
    <row r="517" spans="1:14" s="171" customFormat="1" ht="12.75" hidden="1" customHeight="1" outlineLevel="1">
      <c r="A517" s="166"/>
      <c r="B517" s="674" t="str">
        <f>'TSU FGD'!$B$2</f>
        <v>Texas Southern University</v>
      </c>
      <c r="C517" s="566"/>
      <c r="D517" s="390">
        <f>'TSU FGD'!$D$25</f>
        <v>0</v>
      </c>
      <c r="E517" s="390">
        <f>'TSU FGD'!$E$25</f>
        <v>0</v>
      </c>
      <c r="F517" s="390">
        <f>'TSU FGD'!$F$25</f>
        <v>0</v>
      </c>
      <c r="G517" s="390">
        <f>'TSU FGD'!$G$25</f>
        <v>0</v>
      </c>
      <c r="H517" s="390">
        <f>'TSU FGD'!$H$25</f>
        <v>0</v>
      </c>
      <c r="I517" s="390">
        <f>'TSU FGD'!$I$25</f>
        <v>0</v>
      </c>
      <c r="J517" s="390">
        <f>'TSU FGD'!$J$25</f>
        <v>0</v>
      </c>
      <c r="K517" s="390">
        <f>'TSU FGD'!$K$25</f>
        <v>0</v>
      </c>
      <c r="L517" s="390">
        <f>'TSU FGD'!$L$25</f>
        <v>0</v>
      </c>
      <c r="M517" s="567">
        <f>'TSU FGD'!$M$25</f>
        <v>0</v>
      </c>
      <c r="N517" s="401"/>
    </row>
    <row r="518" spans="1:14" s="171" customFormat="1" ht="12.75" hidden="1" customHeight="1" outlineLevel="1">
      <c r="A518" s="166"/>
      <c r="B518" s="674" t="str">
        <f>'TTU FGD'!$B$2</f>
        <v>Texas Tech University</v>
      </c>
      <c r="C518" s="566"/>
      <c r="D518" s="390">
        <f>'TTU FGD'!$D$25</f>
        <v>0</v>
      </c>
      <c r="E518" s="390">
        <f>'TTU FGD'!$E$25</f>
        <v>0</v>
      </c>
      <c r="F518" s="390">
        <f>'TTU FGD'!$F$25</f>
        <v>0</v>
      </c>
      <c r="G518" s="390">
        <f>'TTU FGD'!$G$25</f>
        <v>0</v>
      </c>
      <c r="H518" s="390">
        <f>'TTU FGD'!$H$25</f>
        <v>0</v>
      </c>
      <c r="I518" s="390">
        <f>'TTU FGD'!$I$25</f>
        <v>0</v>
      </c>
      <c r="J518" s="390">
        <f>'TTU FGD'!$J$25</f>
        <v>0</v>
      </c>
      <c r="K518" s="390">
        <f>'TTU FGD'!$K$25</f>
        <v>0</v>
      </c>
      <c r="L518" s="390">
        <f>'TTU FGD'!$L$25</f>
        <v>0</v>
      </c>
      <c r="M518" s="567">
        <f>'TTU FGD'!$M$25</f>
        <v>0</v>
      </c>
      <c r="N518" s="401"/>
    </row>
    <row r="519" spans="1:14" s="171" customFormat="1" ht="12.75" hidden="1" customHeight="1" outlineLevel="1">
      <c r="A519" s="166"/>
      <c r="B519" s="674" t="str">
        <f>'TWU FGD'!$B$2</f>
        <v>Texas Woman's University</v>
      </c>
      <c r="C519" s="566"/>
      <c r="D519" s="390">
        <f>'TWU FGD'!$D$25</f>
        <v>0</v>
      </c>
      <c r="E519" s="390">
        <f>'TWU FGD'!$E$25</f>
        <v>-40224</v>
      </c>
      <c r="F519" s="390">
        <f>'TWU FGD'!$F$25</f>
        <v>0</v>
      </c>
      <c r="G519" s="390">
        <f>'TWU FGD'!$G$25</f>
        <v>0</v>
      </c>
      <c r="H519" s="390">
        <f>'TWU FGD'!$H$25</f>
        <v>0</v>
      </c>
      <c r="I519" s="390">
        <f>'TWU FGD'!$I$25</f>
        <v>0</v>
      </c>
      <c r="J519" s="390">
        <f>'TWU FGD'!$J$25</f>
        <v>0</v>
      </c>
      <c r="K519" s="390">
        <f>'TWU FGD'!$K$25</f>
        <v>0</v>
      </c>
      <c r="L519" s="390">
        <f>'TWU FGD'!$L$25</f>
        <v>0</v>
      </c>
      <c r="M519" s="567">
        <f>'TWU FGD'!$M$25</f>
        <v>-40224</v>
      </c>
      <c r="N519" s="401"/>
    </row>
    <row r="520" spans="1:14" s="171" customFormat="1" ht="12.75" hidden="1" customHeight="1" outlineLevel="1">
      <c r="A520" s="166"/>
      <c r="B520" s="674" t="str">
        <f>'TXST FGD'!$B$2</f>
        <v>Texas State University</v>
      </c>
      <c r="C520" s="566"/>
      <c r="D520" s="390">
        <f>'TXST FGD'!$D$25</f>
        <v>0</v>
      </c>
      <c r="E520" s="390">
        <f>'TXST FGD'!$E$25</f>
        <v>0</v>
      </c>
      <c r="F520" s="390">
        <f>'TXST FGD'!$F$25</f>
        <v>0</v>
      </c>
      <c r="G520" s="390">
        <f>'TXST FGD'!$G$25</f>
        <v>0</v>
      </c>
      <c r="H520" s="390">
        <f>'TXST FGD'!$H$25</f>
        <v>0</v>
      </c>
      <c r="I520" s="390">
        <f>'TXST FGD'!$I$25</f>
        <v>0</v>
      </c>
      <c r="J520" s="390">
        <f>'TXST FGD'!$J$25</f>
        <v>0</v>
      </c>
      <c r="K520" s="390">
        <f>'TXST FGD'!$K$25</f>
        <v>0</v>
      </c>
      <c r="L520" s="390">
        <f>'TXST FGD'!$L$25</f>
        <v>0</v>
      </c>
      <c r="M520" s="567">
        <f>'TXST FGD'!$M$25</f>
        <v>0</v>
      </c>
      <c r="N520" s="401"/>
    </row>
    <row r="521" spans="1:14" s="171" customFormat="1" ht="12.75" hidden="1" customHeight="1" outlineLevel="1">
      <c r="A521" s="166"/>
      <c r="B521" s="674" t="str">
        <f>'TYL FGD'!$B$2</f>
        <v>The University of Texas at Tyler</v>
      </c>
      <c r="C521" s="566"/>
      <c r="D521" s="390">
        <f>'TYL FGD'!$D$25</f>
        <v>0</v>
      </c>
      <c r="E521" s="390">
        <f>'TYL FGD'!$E$25</f>
        <v>0</v>
      </c>
      <c r="F521" s="390">
        <f>'TYL FGD'!$F$25</f>
        <v>0</v>
      </c>
      <c r="G521" s="390">
        <f>'TYL FGD'!$G$25</f>
        <v>0</v>
      </c>
      <c r="H521" s="390">
        <f>'TYL FGD'!$H$25</f>
        <v>0</v>
      </c>
      <c r="I521" s="390">
        <f>'TYL FGD'!$I$25</f>
        <v>0</v>
      </c>
      <c r="J521" s="390">
        <f>'TYL FGD'!$J$25</f>
        <v>0</v>
      </c>
      <c r="K521" s="390">
        <f>'TYL FGD'!$K$25</f>
        <v>0</v>
      </c>
      <c r="L521" s="390">
        <f>'TYL FGD'!$L$25</f>
        <v>0</v>
      </c>
      <c r="M521" s="567">
        <f>'TYL FGD'!$M$25</f>
        <v>0</v>
      </c>
      <c r="N521" s="401"/>
    </row>
    <row r="522" spans="1:14" s="171" customFormat="1" ht="12.75" hidden="1" customHeight="1" outlineLevel="1">
      <c r="A522" s="166"/>
      <c r="B522" s="674" t="str">
        <f>'UH1 FGD'!$B$2</f>
        <v>University of Houston - Academic &amp; Health (A+H)</v>
      </c>
      <c r="C522" s="566"/>
      <c r="D522" s="390">
        <f>'UH1 FGD'!$D$25</f>
        <v>0</v>
      </c>
      <c r="E522" s="390">
        <f>'UH1 FGD'!$E$25</f>
        <v>0</v>
      </c>
      <c r="F522" s="390">
        <f>'UH1 FGD'!$F$25</f>
        <v>0</v>
      </c>
      <c r="G522" s="390">
        <f>'UH1 FGD'!$G$25</f>
        <v>0</v>
      </c>
      <c r="H522" s="390">
        <f>'UH1 FGD'!$H$25</f>
        <v>0</v>
      </c>
      <c r="I522" s="390">
        <f>'UH1 FGD'!$I$25</f>
        <v>0</v>
      </c>
      <c r="J522" s="390">
        <f>'UH1 FGD'!$J$25</f>
        <v>0</v>
      </c>
      <c r="K522" s="390">
        <f>'UH1 FGD'!$K$25</f>
        <v>0</v>
      </c>
      <c r="L522" s="390">
        <f>'UH1 FGD'!$L$25</f>
        <v>0</v>
      </c>
      <c r="M522" s="567">
        <f>'UH1 FGD'!$M$25</f>
        <v>0</v>
      </c>
      <c r="N522" s="401"/>
    </row>
    <row r="523" spans="1:14" s="171" customFormat="1" ht="12.75" hidden="1" customHeight="1" outlineLevel="1">
      <c r="A523" s="166"/>
      <c r="B523" s="674" t="str">
        <f>'UHCL FGD'!$B$2</f>
        <v>University of Houston - Clear Lake</v>
      </c>
      <c r="C523" s="566"/>
      <c r="D523" s="390">
        <f>'UHCL FGD'!$D$25</f>
        <v>0</v>
      </c>
      <c r="E523" s="390">
        <f>'UHCL FGD'!$E$25</f>
        <v>0</v>
      </c>
      <c r="F523" s="390">
        <f>'UHCL FGD'!$F$25</f>
        <v>0</v>
      </c>
      <c r="G523" s="390">
        <f>'UHCL FGD'!$G$25</f>
        <v>0</v>
      </c>
      <c r="H523" s="390">
        <f>'UHCL FGD'!$H$25</f>
        <v>0</v>
      </c>
      <c r="I523" s="390">
        <f>'UHCL FGD'!$I$25</f>
        <v>0</v>
      </c>
      <c r="J523" s="390">
        <f>'UHCL FGD'!$J$25</f>
        <v>0</v>
      </c>
      <c r="K523" s="390">
        <f>'UHCL FGD'!$K$25</f>
        <v>0</v>
      </c>
      <c r="L523" s="390">
        <f>'UHCL FGD'!$L$25</f>
        <v>0</v>
      </c>
      <c r="M523" s="567">
        <f>'UHCL FGD'!$M$25</f>
        <v>0</v>
      </c>
      <c r="N523" s="401"/>
    </row>
    <row r="524" spans="1:14" s="171" customFormat="1" ht="12.75" hidden="1" customHeight="1" outlineLevel="1">
      <c r="A524" s="166"/>
      <c r="B524" s="674" t="str">
        <f>'UHD FGD'!$B$2</f>
        <v>University of Houston - Downtown</v>
      </c>
      <c r="C524" s="566"/>
      <c r="D524" s="390">
        <f>'UHD FGD'!$D$25</f>
        <v>0</v>
      </c>
      <c r="E524" s="390">
        <f>'UHD FGD'!$E$25</f>
        <v>0</v>
      </c>
      <c r="F524" s="390">
        <f>'UHD FGD'!$F$25</f>
        <v>0</v>
      </c>
      <c r="G524" s="390">
        <f>'UHD FGD'!$G$25</f>
        <v>0</v>
      </c>
      <c r="H524" s="390">
        <f>'UHD FGD'!$H$25</f>
        <v>0</v>
      </c>
      <c r="I524" s="390">
        <f>'UHD FGD'!$I$25</f>
        <v>0</v>
      </c>
      <c r="J524" s="390">
        <f>'UHD FGD'!$J$25</f>
        <v>0</v>
      </c>
      <c r="K524" s="390">
        <f>'UHD FGD'!$K$25</f>
        <v>0</v>
      </c>
      <c r="L524" s="390">
        <f>'UHD FGD'!$L$25</f>
        <v>0</v>
      </c>
      <c r="M524" s="567">
        <f>'UHD FGD'!$M$25</f>
        <v>0</v>
      </c>
      <c r="N524" s="401"/>
    </row>
    <row r="525" spans="1:14" s="171" customFormat="1" ht="12.75" hidden="1" customHeight="1" outlineLevel="1">
      <c r="A525" s="166"/>
      <c r="B525" s="674" t="str">
        <f>'UHV FGD'!$B$2</f>
        <v>University of Houston - Victoria</v>
      </c>
      <c r="C525" s="566"/>
      <c r="D525" s="390">
        <f>'UHV FGD'!$D$25</f>
        <v>0</v>
      </c>
      <c r="E525" s="390">
        <f>'UHV FGD'!$E$25</f>
        <v>0</v>
      </c>
      <c r="F525" s="390">
        <f>'UHV FGD'!$F$25</f>
        <v>0</v>
      </c>
      <c r="G525" s="390">
        <f>'UHV FGD'!$G$25</f>
        <v>0</v>
      </c>
      <c r="H525" s="390">
        <f>'UHV FGD'!$H$25</f>
        <v>0</v>
      </c>
      <c r="I525" s="390">
        <f>'UHV FGD'!$I$25</f>
        <v>0</v>
      </c>
      <c r="J525" s="390">
        <f>'UHV FGD'!$J$25</f>
        <v>0</v>
      </c>
      <c r="K525" s="390">
        <f>'UHV FGD'!$K$25</f>
        <v>0</v>
      </c>
      <c r="L525" s="390">
        <f>'UHV FGD'!$L$25</f>
        <v>0</v>
      </c>
      <c r="M525" s="567">
        <f>'UHV FGD'!$M$25</f>
        <v>0</v>
      </c>
      <c r="N525" s="401"/>
    </row>
    <row r="526" spans="1:14" s="171" customFormat="1" ht="12.75" hidden="1" customHeight="1" outlineLevel="1">
      <c r="A526" s="166"/>
      <c r="B526" s="674" t="str">
        <f>'UNT FGD'!$B$2</f>
        <v>University of North Texas</v>
      </c>
      <c r="C526" s="566"/>
      <c r="D526" s="390">
        <f>'UNT FGD'!$D$25</f>
        <v>0</v>
      </c>
      <c r="E526" s="390">
        <f>'UNT FGD'!$E$25</f>
        <v>0</v>
      </c>
      <c r="F526" s="390">
        <f>'UNT FGD'!$F$25</f>
        <v>0</v>
      </c>
      <c r="G526" s="390">
        <f>'UNT FGD'!$G$25</f>
        <v>0</v>
      </c>
      <c r="H526" s="390">
        <f>'UNT FGD'!$H$25</f>
        <v>0</v>
      </c>
      <c r="I526" s="390">
        <f>'UNT FGD'!$I$25</f>
        <v>0</v>
      </c>
      <c r="J526" s="390">
        <f>'UNT FGD'!$J$25</f>
        <v>0</v>
      </c>
      <c r="K526" s="390">
        <f>'UNT FGD'!$K$25</f>
        <v>0</v>
      </c>
      <c r="L526" s="390">
        <f>'UNT FGD'!$L$25</f>
        <v>0</v>
      </c>
      <c r="M526" s="567">
        <f>'UNT FGD'!$M$25</f>
        <v>0</v>
      </c>
      <c r="N526" s="401"/>
    </row>
    <row r="527" spans="1:14" s="171" customFormat="1" ht="12.75" hidden="1" customHeight="1" outlineLevel="1">
      <c r="A527" s="166"/>
      <c r="B527" s="674" t="str">
        <f>'UNTD FGD'!$B$2</f>
        <v>University of North Texas at Dallas</v>
      </c>
      <c r="C527" s="566"/>
      <c r="D527" s="390">
        <f>'UNTD FGD'!$D$25</f>
        <v>0</v>
      </c>
      <c r="E527" s="390">
        <f>'UNTD FGD'!$E$25</f>
        <v>0</v>
      </c>
      <c r="F527" s="390">
        <f>'UNTD FGD'!$F$25</f>
        <v>0</v>
      </c>
      <c r="G527" s="390">
        <f>'UNTD FGD'!$G$25</f>
        <v>0</v>
      </c>
      <c r="H527" s="390">
        <f>'UNTD FGD'!$H$25</f>
        <v>0</v>
      </c>
      <c r="I527" s="390">
        <f>'UNTD FGD'!$I$25</f>
        <v>0</v>
      </c>
      <c r="J527" s="390">
        <f>'UNTD FGD'!$J$25</f>
        <v>0</v>
      </c>
      <c r="K527" s="390">
        <f>'UNTD FGD'!$K$25</f>
        <v>0</v>
      </c>
      <c r="L527" s="390">
        <f>'UNTD FGD'!$L$25</f>
        <v>0</v>
      </c>
      <c r="M527" s="567">
        <f>'UNTD FGD'!$M$25</f>
        <v>0</v>
      </c>
      <c r="N527" s="401"/>
    </row>
    <row r="528" spans="1:14" s="171" customFormat="1" ht="12.75" hidden="1" customHeight="1" outlineLevel="1">
      <c r="A528" s="166"/>
      <c r="B528" s="674" t="str">
        <f>'WTAMU FGD'!$B$2</f>
        <v>West Texas A&amp;M University</v>
      </c>
      <c r="C528" s="566"/>
      <c r="D528" s="390">
        <f>'WTAMU FGD'!$D$25</f>
        <v>0</v>
      </c>
      <c r="E528" s="390">
        <f>'WTAMU FGD'!$E$25</f>
        <v>0</v>
      </c>
      <c r="F528" s="390">
        <f>'WTAMU FGD'!$F$25</f>
        <v>0</v>
      </c>
      <c r="G528" s="390">
        <f>'WTAMU FGD'!$G$25</f>
        <v>0</v>
      </c>
      <c r="H528" s="390">
        <f>'WTAMU FGD'!$H$25</f>
        <v>0</v>
      </c>
      <c r="I528" s="390">
        <f>'WTAMU FGD'!$I$25</f>
        <v>0</v>
      </c>
      <c r="J528" s="390">
        <f>'WTAMU FGD'!$J$25</f>
        <v>0</v>
      </c>
      <c r="K528" s="390">
        <f>'WTAMU FGD'!$K$25</f>
        <v>0</v>
      </c>
      <c r="L528" s="390">
        <f>'WTAMU FGD'!$L$25</f>
        <v>0</v>
      </c>
      <c r="M528" s="567">
        <f>'WTAMU FGD'!$M$25</f>
        <v>0</v>
      </c>
      <c r="N528" s="401"/>
    </row>
    <row r="529" spans="1:14" s="171" customFormat="1" collapsed="1">
      <c r="A529" s="166"/>
      <c r="B529" s="261" t="s">
        <v>728</v>
      </c>
      <c r="C529" s="566"/>
      <c r="D529" s="390">
        <f t="shared" ref="D529:M529" si="13">SUM(D493:D528)</f>
        <v>-13704</v>
      </c>
      <c r="E529" s="390">
        <f t="shared" si="13"/>
        <v>-40224</v>
      </c>
      <c r="F529" s="390">
        <f t="shared" si="13"/>
        <v>0</v>
      </c>
      <c r="G529" s="390">
        <f t="shared" si="13"/>
        <v>0</v>
      </c>
      <c r="H529" s="390">
        <f t="shared" si="13"/>
        <v>0</v>
      </c>
      <c r="I529" s="390">
        <f t="shared" si="13"/>
        <v>0</v>
      </c>
      <c r="J529" s="390">
        <f t="shared" si="13"/>
        <v>0</v>
      </c>
      <c r="K529" s="390">
        <f t="shared" si="13"/>
        <v>0</v>
      </c>
      <c r="L529" s="390">
        <f t="shared" si="13"/>
        <v>0</v>
      </c>
      <c r="M529" s="567">
        <f t="shared" si="13"/>
        <v>-53928</v>
      </c>
      <c r="N529" s="401"/>
    </row>
    <row r="530" spans="1:14" s="171" customFormat="1" ht="12.75" hidden="1" customHeight="1" outlineLevel="1">
      <c r="A530" s="166"/>
      <c r="B530" s="390" t="str">
        <f>'ARL FGD'!$B$2</f>
        <v>The University of Texas at Arlington</v>
      </c>
      <c r="C530" s="566"/>
      <c r="D530" s="390">
        <f>'ARL FGD'!$D$26</f>
        <v>-10276334</v>
      </c>
      <c r="E530" s="390">
        <f>'ARL FGD'!$E$26</f>
        <v>-1855449</v>
      </c>
      <c r="F530" s="390">
        <f>'ARL FGD'!$F$26</f>
        <v>0</v>
      </c>
      <c r="G530" s="390">
        <f>'ARL FGD'!$G$26</f>
        <v>0</v>
      </c>
      <c r="H530" s="390">
        <f>'ARL FGD'!$H$26</f>
        <v>0</v>
      </c>
      <c r="I530" s="390">
        <f>'ARL FGD'!$I$26</f>
        <v>0</v>
      </c>
      <c r="J530" s="390">
        <f>'ARL FGD'!$J$26</f>
        <v>0</v>
      </c>
      <c r="K530" s="390">
        <f>'ARL FGD'!$K$26</f>
        <v>0</v>
      </c>
      <c r="L530" s="390">
        <f>'ARL FGD'!$L$26</f>
        <v>0</v>
      </c>
      <c r="M530" s="567">
        <f>'ARL FGD'!$M$26</f>
        <v>-12131783</v>
      </c>
      <c r="N530" s="401"/>
    </row>
    <row r="531" spans="1:14" s="171" customFormat="1" ht="12.75" hidden="1" customHeight="1" outlineLevel="1">
      <c r="A531" s="166"/>
      <c r="B531" s="390" t="str">
        <f>'ASU FGD'!$B$2</f>
        <v>Angelo State University</v>
      </c>
      <c r="C531" s="566"/>
      <c r="D531" s="390">
        <f>'ASU FGD'!$D$26</f>
        <v>-905678</v>
      </c>
      <c r="E531" s="390">
        <f>'ASU FGD'!$E$26</f>
        <v>-1903913</v>
      </c>
      <c r="F531" s="390">
        <f>'ASU FGD'!$F$26</f>
        <v>0</v>
      </c>
      <c r="G531" s="390">
        <f>'ASU FGD'!$G$26</f>
        <v>0</v>
      </c>
      <c r="H531" s="390">
        <f>'ASU FGD'!$H$26</f>
        <v>0</v>
      </c>
      <c r="I531" s="390">
        <f>'ASU FGD'!$I$26</f>
        <v>0</v>
      </c>
      <c r="J531" s="390">
        <f>'ASU FGD'!$J$26</f>
        <v>0</v>
      </c>
      <c r="K531" s="390">
        <f>'ASU FGD'!$K$26</f>
        <v>0</v>
      </c>
      <c r="L531" s="390">
        <f>'ASU FGD'!$L$26</f>
        <v>0</v>
      </c>
      <c r="M531" s="567">
        <f>'ASU FGD'!$M$26</f>
        <v>-2809591</v>
      </c>
      <c r="N531" s="401"/>
    </row>
    <row r="532" spans="1:14" s="171" customFormat="1" ht="12.75" hidden="1" customHeight="1" outlineLevel="1">
      <c r="A532" s="166"/>
      <c r="B532" s="390" t="str">
        <f>'AUS1 FGD'!$B$2</f>
        <v>The University of Texas at Austin - Academic &amp; Health (A+H)</v>
      </c>
      <c r="C532" s="566"/>
      <c r="D532" s="390">
        <f>'AUS1 FGD'!$D$26</f>
        <v>-2153425</v>
      </c>
      <c r="E532" s="390">
        <f>'AUS1 FGD'!$E$26</f>
        <v>-16439042</v>
      </c>
      <c r="F532" s="390">
        <f>'AUS1 FGD'!$F$26</f>
        <v>0</v>
      </c>
      <c r="G532" s="390">
        <f>'AUS1 FGD'!$G$26</f>
        <v>0</v>
      </c>
      <c r="H532" s="390">
        <f>'AUS1 FGD'!$H$26</f>
        <v>0</v>
      </c>
      <c r="I532" s="390">
        <f>'AUS1 FGD'!$I$26</f>
        <v>0</v>
      </c>
      <c r="J532" s="390">
        <f>'AUS1 FGD'!$J$26</f>
        <v>0</v>
      </c>
      <c r="K532" s="390">
        <f>'AUS1 FGD'!$K$26</f>
        <v>0</v>
      </c>
      <c r="L532" s="390">
        <f>'AUS1 FGD'!$L$26</f>
        <v>0</v>
      </c>
      <c r="M532" s="567">
        <f>'AUS1 FGD'!$M$26</f>
        <v>-18592467</v>
      </c>
      <c r="N532" s="401"/>
    </row>
    <row r="533" spans="1:14" s="171" customFormat="1" ht="12.75" hidden="1" customHeight="1" outlineLevel="1">
      <c r="A533" s="166"/>
      <c r="B533" s="390" t="str">
        <f>'RGV1 FGD'!$B$2</f>
        <v>The University of Texas RGV - Academic &amp; Health (A+H)</v>
      </c>
      <c r="C533" s="566"/>
      <c r="D533" s="390">
        <f>'RGV1 FGD'!$D$26</f>
        <v>-3102128</v>
      </c>
      <c r="E533" s="390">
        <f>'RGV1 FGD'!$E$26</f>
        <v>-4969663</v>
      </c>
      <c r="F533" s="390">
        <f>'RGV1 FGD'!$F$26</f>
        <v>0</v>
      </c>
      <c r="G533" s="390">
        <f>'RGV1 FGD'!$G$26</f>
        <v>0</v>
      </c>
      <c r="H533" s="390">
        <f>'RGV1 FGD'!$H$26</f>
        <v>0</v>
      </c>
      <c r="I533" s="390">
        <f>'RGV1 FGD'!$I$26</f>
        <v>0</v>
      </c>
      <c r="J533" s="390">
        <f>'RGV1 FGD'!$J$26</f>
        <v>0</v>
      </c>
      <c r="K533" s="390">
        <f>'RGV1 FGD'!$K$26</f>
        <v>0</v>
      </c>
      <c r="L533" s="390">
        <f>'RGV1 FGD'!$L$26</f>
        <v>0</v>
      </c>
      <c r="M533" s="567">
        <f>'RGV1 FGD'!$M$26</f>
        <v>-8071791</v>
      </c>
      <c r="N533" s="401"/>
    </row>
    <row r="534" spans="1:14" s="171" customFormat="1" ht="12.75" hidden="1" customHeight="1" outlineLevel="1">
      <c r="A534" s="166"/>
      <c r="B534" s="390" t="str">
        <f>'DAL FGD'!$B$2</f>
        <v>The University of Texas at Dallas</v>
      </c>
      <c r="C534" s="566"/>
      <c r="D534" s="390">
        <f>'DAL FGD'!$D$26</f>
        <v>-809660</v>
      </c>
      <c r="E534" s="390">
        <f>'DAL FGD'!$E$26</f>
        <v>-7278847</v>
      </c>
      <c r="F534" s="390">
        <f>'DAL FGD'!$F$26</f>
        <v>0</v>
      </c>
      <c r="G534" s="390">
        <f>'DAL FGD'!$G$26</f>
        <v>0</v>
      </c>
      <c r="H534" s="390">
        <f>'DAL FGD'!$H$26</f>
        <v>0</v>
      </c>
      <c r="I534" s="390">
        <f>'DAL FGD'!$I$26</f>
        <v>0</v>
      </c>
      <c r="J534" s="390">
        <f>'DAL FGD'!$J$26</f>
        <v>0</v>
      </c>
      <c r="K534" s="390">
        <f>'DAL FGD'!$K$26</f>
        <v>0</v>
      </c>
      <c r="L534" s="390">
        <f>'DAL FGD'!$L$26</f>
        <v>0</v>
      </c>
      <c r="M534" s="567">
        <f>'DAL FGD'!$M$26</f>
        <v>-8088507</v>
      </c>
      <c r="N534" s="401"/>
    </row>
    <row r="535" spans="1:14" s="171" customFormat="1" ht="12.75" hidden="1" customHeight="1" outlineLevel="1">
      <c r="A535" s="166"/>
      <c r="B535" s="390" t="str">
        <f>'E-P FGD'!$B$2</f>
        <v>The University of Texas at El Paso</v>
      </c>
      <c r="C535" s="566"/>
      <c r="D535" s="390">
        <f>'E-P FGD'!$D$26</f>
        <v>-1205632</v>
      </c>
      <c r="E535" s="390">
        <f>'E-P FGD'!$E$26</f>
        <v>-4362762</v>
      </c>
      <c r="F535" s="390">
        <f>'E-P FGD'!$F$26</f>
        <v>0</v>
      </c>
      <c r="G535" s="390">
        <f>'E-P FGD'!$G$26</f>
        <v>0</v>
      </c>
      <c r="H535" s="390">
        <f>'E-P FGD'!$H$26</f>
        <v>0</v>
      </c>
      <c r="I535" s="390">
        <f>'E-P FGD'!$I$26</f>
        <v>0</v>
      </c>
      <c r="J535" s="390">
        <f>'E-P FGD'!$J$26</f>
        <v>0</v>
      </c>
      <c r="K535" s="390">
        <f>'E-P FGD'!$K$26</f>
        <v>0</v>
      </c>
      <c r="L535" s="390">
        <f>'E-P FGD'!$L$26</f>
        <v>0</v>
      </c>
      <c r="M535" s="567">
        <f>'E-P FGD'!$M$26</f>
        <v>-5568394</v>
      </c>
      <c r="N535" s="401"/>
    </row>
    <row r="536" spans="1:14" s="171" customFormat="1" ht="12.75" hidden="1" customHeight="1" outlineLevel="1">
      <c r="A536" s="166"/>
      <c r="B536" s="390" t="str">
        <f>'LU FGD'!$B$2</f>
        <v xml:space="preserve">Lamar University </v>
      </c>
      <c r="C536" s="566"/>
      <c r="D536" s="390">
        <f>'LU FGD'!$D$26</f>
        <v>-1130251</v>
      </c>
      <c r="E536" s="390">
        <f>'LU FGD'!$E$26</f>
        <v>-3562300</v>
      </c>
      <c r="F536" s="390">
        <f>'LU FGD'!$F$26</f>
        <v>0</v>
      </c>
      <c r="G536" s="390">
        <f>'LU FGD'!$G$26</f>
        <v>0</v>
      </c>
      <c r="H536" s="390">
        <f>'LU FGD'!$H$26</f>
        <v>0</v>
      </c>
      <c r="I536" s="390">
        <f>'LU FGD'!$I$26</f>
        <v>0</v>
      </c>
      <c r="J536" s="390">
        <f>'LU FGD'!$J$26</f>
        <v>0</v>
      </c>
      <c r="K536" s="390">
        <f>'LU FGD'!$K$26</f>
        <v>0</v>
      </c>
      <c r="L536" s="390">
        <f>'LU FGD'!$L$26</f>
        <v>0</v>
      </c>
      <c r="M536" s="567">
        <f>'LU FGD'!$M$26</f>
        <v>-4692551</v>
      </c>
      <c r="N536" s="401"/>
    </row>
    <row r="537" spans="1:14" s="171" customFormat="1" ht="12.75" hidden="1" customHeight="1" outlineLevel="1">
      <c r="A537" s="166"/>
      <c r="B537" s="390" t="str">
        <f>'MidWST FGD'!$B$2</f>
        <v>Midwestern State University</v>
      </c>
      <c r="C537" s="566"/>
      <c r="D537" s="390">
        <f>'MidWST FGD'!$D$26</f>
        <v>-487495</v>
      </c>
      <c r="E537" s="390">
        <f>'MidWST FGD'!$E$26</f>
        <v>-1046245</v>
      </c>
      <c r="F537" s="390">
        <f>'MidWST FGD'!$F$26</f>
        <v>0</v>
      </c>
      <c r="G537" s="390">
        <f>'MidWST FGD'!$G$26</f>
        <v>0</v>
      </c>
      <c r="H537" s="390">
        <f>'MidWST FGD'!$H$26</f>
        <v>0</v>
      </c>
      <c r="I537" s="390">
        <f>'MidWST FGD'!$I$26</f>
        <v>0</v>
      </c>
      <c r="J537" s="390">
        <f>'MidWST FGD'!$J$26</f>
        <v>0</v>
      </c>
      <c r="K537" s="390">
        <f>'MidWST FGD'!$K$26</f>
        <v>0</v>
      </c>
      <c r="L537" s="390">
        <f>'MidWST FGD'!$L$26</f>
        <v>0</v>
      </c>
      <c r="M537" s="567">
        <f>'MidWST FGD'!$M$26</f>
        <v>-1533740</v>
      </c>
      <c r="N537" s="401"/>
    </row>
    <row r="538" spans="1:14" s="171" customFormat="1" ht="12.75" hidden="1" customHeight="1" outlineLevel="1">
      <c r="A538" s="166"/>
      <c r="B538" s="390" t="str">
        <f>'P-B FGD'!$B$2</f>
        <v>The University of Texas of the Permian Basin</v>
      </c>
      <c r="C538" s="566"/>
      <c r="D538" s="390">
        <f>'P-B FGD'!$D$26</f>
        <v>-261585</v>
      </c>
      <c r="E538" s="390">
        <f>'P-B FGD'!$E$26</f>
        <v>-1392843</v>
      </c>
      <c r="F538" s="390">
        <f>'P-B FGD'!$F$26</f>
        <v>0</v>
      </c>
      <c r="G538" s="390">
        <f>'P-B FGD'!$G$26</f>
        <v>0</v>
      </c>
      <c r="H538" s="390">
        <f>'P-B FGD'!$H$26</f>
        <v>0</v>
      </c>
      <c r="I538" s="390">
        <f>'P-B FGD'!$I$26</f>
        <v>0</v>
      </c>
      <c r="J538" s="390">
        <f>'P-B FGD'!$J$26</f>
        <v>0</v>
      </c>
      <c r="K538" s="390">
        <f>'P-B FGD'!$K$26</f>
        <v>0</v>
      </c>
      <c r="L538" s="390">
        <f>'P-B FGD'!$L$26</f>
        <v>0</v>
      </c>
      <c r="M538" s="567">
        <f>'P-B FGD'!$M$26</f>
        <v>-1654428</v>
      </c>
      <c r="N538" s="401"/>
    </row>
    <row r="539" spans="1:14" s="171" customFormat="1" ht="12.75" hidden="1" customHeight="1" outlineLevel="1">
      <c r="A539" s="166"/>
      <c r="B539" s="390" t="str">
        <f>'PVAMU FGD'!$B$2</f>
        <v>Prairie View A&amp;M University</v>
      </c>
      <c r="C539" s="566"/>
      <c r="D539" s="390">
        <f>'PVAMU FGD'!$D$26</f>
        <v>-668437</v>
      </c>
      <c r="E539" s="390">
        <f>'PVAMU FGD'!$E$26</f>
        <v>-2177839</v>
      </c>
      <c r="F539" s="390">
        <f>'PVAMU FGD'!$F$26</f>
        <v>0</v>
      </c>
      <c r="G539" s="390">
        <f>'PVAMU FGD'!$G$26</f>
        <v>0</v>
      </c>
      <c r="H539" s="390">
        <f>'PVAMU FGD'!$H$26</f>
        <v>0</v>
      </c>
      <c r="I539" s="390">
        <f>'PVAMU FGD'!$I$26</f>
        <v>0</v>
      </c>
      <c r="J539" s="390">
        <f>'PVAMU FGD'!$J$26</f>
        <v>0</v>
      </c>
      <c r="K539" s="390">
        <f>'PVAMU FGD'!$K$26</f>
        <v>0</v>
      </c>
      <c r="L539" s="390">
        <f>'PVAMU FGD'!$L$26</f>
        <v>0</v>
      </c>
      <c r="M539" s="567">
        <f>'PVAMU FGD'!$M$26</f>
        <v>-2846276</v>
      </c>
      <c r="N539" s="401"/>
    </row>
    <row r="540" spans="1:14" s="171" customFormat="1" ht="12.75" hidden="1" customHeight="1" outlineLevel="1">
      <c r="A540" s="166"/>
      <c r="B540" s="390" t="str">
        <f>'S-A FGD'!$B$2</f>
        <v>The University of Texas at San Antonio</v>
      </c>
      <c r="C540" s="566"/>
      <c r="D540" s="390">
        <f>'S-A FGD'!$D$26</f>
        <v>-3539872</v>
      </c>
      <c r="E540" s="390">
        <f>'S-A FGD'!$E$26</f>
        <v>-17248917</v>
      </c>
      <c r="F540" s="390">
        <f>'S-A FGD'!$F$26</f>
        <v>0</v>
      </c>
      <c r="G540" s="390">
        <f>'S-A FGD'!$G$26</f>
        <v>0</v>
      </c>
      <c r="H540" s="390">
        <f>'S-A FGD'!$H$26</f>
        <v>0</v>
      </c>
      <c r="I540" s="390">
        <f>'S-A FGD'!$I$26</f>
        <v>0</v>
      </c>
      <c r="J540" s="390">
        <f>'S-A FGD'!$J$26</f>
        <v>0</v>
      </c>
      <c r="K540" s="390">
        <f>'S-A FGD'!$K$26</f>
        <v>0</v>
      </c>
      <c r="L540" s="390">
        <f>'S-A FGD'!$L$26</f>
        <v>0</v>
      </c>
      <c r="M540" s="567">
        <f>'S-A FGD'!$M$26</f>
        <v>-20788789</v>
      </c>
      <c r="N540" s="401"/>
    </row>
    <row r="541" spans="1:14" s="171" customFormat="1" ht="12.75" hidden="1" customHeight="1" outlineLevel="1">
      <c r="A541" s="166"/>
      <c r="B541" s="390" t="str">
        <f>'SFA FGD'!$B$2</f>
        <v>Stephen F. Austin State University</v>
      </c>
      <c r="C541" s="566"/>
      <c r="D541" s="390">
        <f>'SFA FGD'!$D$26</f>
        <v>-1159264</v>
      </c>
      <c r="E541" s="390">
        <f>'SFA FGD'!$E$26</f>
        <v>-10020259</v>
      </c>
      <c r="F541" s="390">
        <f>'SFA FGD'!$F$26</f>
        <v>0</v>
      </c>
      <c r="G541" s="390">
        <f>'SFA FGD'!$G$26</f>
        <v>0</v>
      </c>
      <c r="H541" s="390">
        <f>'SFA FGD'!$H$26</f>
        <v>0</v>
      </c>
      <c r="I541" s="390">
        <f>'SFA FGD'!$I$26</f>
        <v>0</v>
      </c>
      <c r="J541" s="390">
        <f>'SFA FGD'!$J$26</f>
        <v>0</v>
      </c>
      <c r="K541" s="390">
        <f>'SFA FGD'!$K$26</f>
        <v>0</v>
      </c>
      <c r="L541" s="390">
        <f>'SFA FGD'!$L$26</f>
        <v>0</v>
      </c>
      <c r="M541" s="567">
        <f>'SFA FGD'!$M$26</f>
        <v>-11179523</v>
      </c>
      <c r="N541" s="401"/>
    </row>
    <row r="542" spans="1:14" s="171" customFormat="1" ht="12.75" hidden="1" customHeight="1" outlineLevel="1">
      <c r="A542" s="166"/>
      <c r="B542" s="390" t="str">
        <f>'shsu1 FGD'!$B$2</f>
        <v>Sam Houston State University - Academic &amp; Health (A+H)</v>
      </c>
      <c r="C542" s="566"/>
      <c r="D542" s="390">
        <f>'shsu1 FGD'!$D$26</f>
        <v>-3784272</v>
      </c>
      <c r="E542" s="390">
        <f>'shsu1 FGD'!$E$26</f>
        <v>-6976456</v>
      </c>
      <c r="F542" s="390">
        <f>'shsu1 FGD'!$F$26</f>
        <v>0</v>
      </c>
      <c r="G542" s="390">
        <f>'shsu1 FGD'!$G$26</f>
        <v>0</v>
      </c>
      <c r="H542" s="390">
        <f>'shsu1 FGD'!$H$26</f>
        <v>0</v>
      </c>
      <c r="I542" s="390">
        <f>'shsu1 FGD'!$I$26</f>
        <v>0</v>
      </c>
      <c r="J542" s="390">
        <f>'shsu1 FGD'!$J$26</f>
        <v>0</v>
      </c>
      <c r="K542" s="390">
        <f>'shsu1 FGD'!$K$26</f>
        <v>0</v>
      </c>
      <c r="L542" s="390">
        <f>'shsu1 FGD'!$L$26</f>
        <v>0</v>
      </c>
      <c r="M542" s="567">
        <f>'shsu1 FGD'!$M$26</f>
        <v>-10760728</v>
      </c>
      <c r="N542" s="401"/>
    </row>
    <row r="543" spans="1:14" s="171" customFormat="1" ht="12.75" hidden="1" customHeight="1" outlineLevel="1">
      <c r="A543" s="166"/>
      <c r="B543" s="390" t="str">
        <f>'SRSU FGD'!$B$2</f>
        <v>Sul Ross State University</v>
      </c>
      <c r="C543" s="566"/>
      <c r="D543" s="390">
        <f>'SRSU FGD'!$D$26</f>
        <v>-28848</v>
      </c>
      <c r="E543" s="390">
        <f>'SRSU FGD'!$E$26</f>
        <v>-76916</v>
      </c>
      <c r="F543" s="390">
        <f>'SRSU FGD'!$F$26</f>
        <v>0</v>
      </c>
      <c r="G543" s="390">
        <f>'SRSU FGD'!$G$26</f>
        <v>0</v>
      </c>
      <c r="H543" s="390">
        <f>'SRSU FGD'!$H$26</f>
        <v>0</v>
      </c>
      <c r="I543" s="390">
        <f>'SRSU FGD'!$I$26</f>
        <v>0</v>
      </c>
      <c r="J543" s="390">
        <f>'SRSU FGD'!$J$26</f>
        <v>0</v>
      </c>
      <c r="K543" s="390">
        <f>'SRSU FGD'!$K$26</f>
        <v>0</v>
      </c>
      <c r="L543" s="390">
        <f>'SRSU FGD'!$L$26</f>
        <v>0</v>
      </c>
      <c r="M543" s="567">
        <f>'SRSU FGD'!$M$26</f>
        <v>-105764</v>
      </c>
      <c r="N543" s="401"/>
    </row>
    <row r="544" spans="1:14" s="171" customFormat="1" ht="12.75" hidden="1" customHeight="1" outlineLevel="1">
      <c r="A544" s="166"/>
      <c r="B544" s="390" t="str">
        <f>'TAMIU FGD'!$B$2</f>
        <v>Texas A&amp;M International University</v>
      </c>
      <c r="C544" s="566"/>
      <c r="D544" s="390">
        <f>'TAMIU FGD'!$D$26</f>
        <v>-371078</v>
      </c>
      <c r="E544" s="390">
        <f>'TAMIU FGD'!$E$26</f>
        <v>-760186</v>
      </c>
      <c r="F544" s="390">
        <f>'TAMIU FGD'!$F$26</f>
        <v>0</v>
      </c>
      <c r="G544" s="390">
        <f>'TAMIU FGD'!$G$26</f>
        <v>0</v>
      </c>
      <c r="H544" s="390">
        <f>'TAMIU FGD'!$H$26</f>
        <v>0</v>
      </c>
      <c r="I544" s="390">
        <f>'TAMIU FGD'!$I$26</f>
        <v>0</v>
      </c>
      <c r="J544" s="390">
        <f>'TAMIU FGD'!$J$26</f>
        <v>0</v>
      </c>
      <c r="K544" s="390">
        <f>'TAMIU FGD'!$K$26</f>
        <v>0</v>
      </c>
      <c r="L544" s="390">
        <f>'TAMIU FGD'!$L$26</f>
        <v>0</v>
      </c>
      <c r="M544" s="567">
        <f>'TAMIU FGD'!$M$26</f>
        <v>-1131264</v>
      </c>
      <c r="N544" s="401"/>
    </row>
    <row r="545" spans="1:14" s="171" customFormat="1" ht="12.75" hidden="1" customHeight="1" outlineLevel="1">
      <c r="A545" s="166"/>
      <c r="B545" s="390" t="str">
        <f>'TAMU FGD'!$B$2</f>
        <v>Texas A&amp;M University</v>
      </c>
      <c r="C545" s="566"/>
      <c r="D545" s="390">
        <f>'TAMU FGD'!$D$26</f>
        <v>-4065689</v>
      </c>
      <c r="E545" s="390">
        <f>'TAMU FGD'!$E$26</f>
        <v>-22713357</v>
      </c>
      <c r="F545" s="390">
        <f>'TAMU FGD'!$F$26</f>
        <v>0</v>
      </c>
      <c r="G545" s="390">
        <f>'TAMU FGD'!$G$26</f>
        <v>0</v>
      </c>
      <c r="H545" s="390">
        <f>'TAMU FGD'!$H$26</f>
        <v>0</v>
      </c>
      <c r="I545" s="390">
        <f>'TAMU FGD'!$I$26</f>
        <v>0</v>
      </c>
      <c r="J545" s="390">
        <f>'TAMU FGD'!$J$26</f>
        <v>0</v>
      </c>
      <c r="K545" s="390">
        <f>'TAMU FGD'!$K$26</f>
        <v>0</v>
      </c>
      <c r="L545" s="390">
        <f>'TAMU FGD'!$L$26</f>
        <v>0</v>
      </c>
      <c r="M545" s="567">
        <f>'TAMU FGD'!$M$26</f>
        <v>-26779046</v>
      </c>
      <c r="N545" s="401"/>
    </row>
    <row r="546" spans="1:14" s="171" customFormat="1" ht="12.75" hidden="1" customHeight="1" outlineLevel="1">
      <c r="A546" s="166"/>
      <c r="B546" s="390" t="str">
        <f>'TAMUC FGD'!$B$2</f>
        <v>Texas A&amp;M University - Commerce</v>
      </c>
      <c r="C546" s="566"/>
      <c r="D546" s="390">
        <f>'TAMUC FGD'!$D$26</f>
        <v>-761863</v>
      </c>
      <c r="E546" s="390">
        <f>'TAMUC FGD'!$E$26</f>
        <v>-3441466</v>
      </c>
      <c r="F546" s="390">
        <f>'TAMUC FGD'!$F$26</f>
        <v>0</v>
      </c>
      <c r="G546" s="390">
        <f>'TAMUC FGD'!$G$26</f>
        <v>0</v>
      </c>
      <c r="H546" s="390">
        <f>'TAMUC FGD'!$H$26</f>
        <v>0</v>
      </c>
      <c r="I546" s="390">
        <f>'TAMUC FGD'!$I$26</f>
        <v>0</v>
      </c>
      <c r="J546" s="390">
        <f>'TAMUC FGD'!$J$26</f>
        <v>0</v>
      </c>
      <c r="K546" s="390">
        <f>'TAMUC FGD'!$K$26</f>
        <v>0</v>
      </c>
      <c r="L546" s="390">
        <f>'TAMUC FGD'!$L$26</f>
        <v>0</v>
      </c>
      <c r="M546" s="567">
        <f>'TAMUC FGD'!$M$26</f>
        <v>-4203329</v>
      </c>
      <c r="N546" s="401"/>
    </row>
    <row r="547" spans="1:14" s="171" customFormat="1" ht="12.75" hidden="1" customHeight="1" outlineLevel="1">
      <c r="A547" s="166"/>
      <c r="B547" s="390" t="str">
        <f>'TAMUCC FGD'!$B$2</f>
        <v>Texas A&amp;M University - Corpus Christi</v>
      </c>
      <c r="C547" s="566"/>
      <c r="D547" s="390">
        <f>'TAMUCC FGD'!$D$26</f>
        <v>-1189087</v>
      </c>
      <c r="E547" s="390">
        <f>'TAMUCC FGD'!$E$26</f>
        <v>-3199402</v>
      </c>
      <c r="F547" s="390">
        <f>'TAMUCC FGD'!$F$26</f>
        <v>0</v>
      </c>
      <c r="G547" s="390">
        <f>'TAMUCC FGD'!$G$26</f>
        <v>0</v>
      </c>
      <c r="H547" s="390">
        <f>'TAMUCC FGD'!$H$26</f>
        <v>0</v>
      </c>
      <c r="I547" s="390">
        <f>'TAMUCC FGD'!$I$26</f>
        <v>0</v>
      </c>
      <c r="J547" s="390">
        <f>'TAMUCC FGD'!$J$26</f>
        <v>0</v>
      </c>
      <c r="K547" s="390">
        <f>'TAMUCC FGD'!$K$26</f>
        <v>0</v>
      </c>
      <c r="L547" s="390">
        <f>'TAMUCC FGD'!$L$26</f>
        <v>0</v>
      </c>
      <c r="M547" s="567">
        <f>'TAMUCC FGD'!$M$26</f>
        <v>-4388489</v>
      </c>
      <c r="N547" s="401"/>
    </row>
    <row r="548" spans="1:14" s="171" customFormat="1" ht="12.75" hidden="1" customHeight="1" outlineLevel="1">
      <c r="A548" s="166"/>
      <c r="B548" s="390" t="str">
        <f>'TAMUCT FGD'!$B$2</f>
        <v>Texas A&amp;M University - Central Texas</v>
      </c>
      <c r="C548" s="566"/>
      <c r="D548" s="390">
        <f>'TAMUCT FGD'!$D$26</f>
        <v>-261357</v>
      </c>
      <c r="E548" s="390">
        <f>'TAMUCT FGD'!$E$26</f>
        <v>-1306303</v>
      </c>
      <c r="F548" s="390">
        <f>'TAMUCT FGD'!$F$26</f>
        <v>0</v>
      </c>
      <c r="G548" s="390">
        <f>'TAMUCT FGD'!$G$26</f>
        <v>0</v>
      </c>
      <c r="H548" s="390">
        <f>'TAMUCT FGD'!$H$26</f>
        <v>0</v>
      </c>
      <c r="I548" s="390">
        <f>'TAMUCT FGD'!$I$26</f>
        <v>0</v>
      </c>
      <c r="J548" s="390">
        <f>'TAMUCT FGD'!$J$26</f>
        <v>0</v>
      </c>
      <c r="K548" s="390">
        <f>'TAMUCT FGD'!$K$26</f>
        <v>0</v>
      </c>
      <c r="L548" s="390">
        <f>'TAMUCT FGD'!$L$26</f>
        <v>0</v>
      </c>
      <c r="M548" s="567">
        <f>'TAMUCT FGD'!$M$26</f>
        <v>-1567660</v>
      </c>
      <c r="N548" s="401"/>
    </row>
    <row r="549" spans="1:14" s="171" customFormat="1" ht="12.75" hidden="1" customHeight="1" outlineLevel="1">
      <c r="A549" s="166"/>
      <c r="B549" s="390" t="str">
        <f>'TAMUG FGD'!$B$2</f>
        <v>Texas A&amp;M University at Galveston</v>
      </c>
      <c r="C549" s="566"/>
      <c r="D549" s="390">
        <f>'TAMUG FGD'!$D$26</f>
        <v>-192094</v>
      </c>
      <c r="E549" s="390">
        <f>'TAMUG FGD'!$E$26</f>
        <v>-917179</v>
      </c>
      <c r="F549" s="390">
        <f>'TAMUG FGD'!$F$26</f>
        <v>0</v>
      </c>
      <c r="G549" s="390">
        <f>'TAMUG FGD'!$G$26</f>
        <v>0</v>
      </c>
      <c r="H549" s="390">
        <f>'TAMUG FGD'!$H$26</f>
        <v>0</v>
      </c>
      <c r="I549" s="390">
        <f>'TAMUG FGD'!$I$26</f>
        <v>0</v>
      </c>
      <c r="J549" s="390">
        <f>'TAMUG FGD'!$J$26</f>
        <v>0</v>
      </c>
      <c r="K549" s="390">
        <f>'TAMUG FGD'!$K$26</f>
        <v>0</v>
      </c>
      <c r="L549" s="390">
        <f>'TAMUG FGD'!$L$26</f>
        <v>0</v>
      </c>
      <c r="M549" s="567">
        <f>'TAMUG FGD'!$M$26</f>
        <v>-1109273</v>
      </c>
      <c r="N549" s="401"/>
    </row>
    <row r="550" spans="1:14" s="171" customFormat="1" ht="12.75" hidden="1" customHeight="1" outlineLevel="1">
      <c r="A550" s="166"/>
      <c r="B550" s="390" t="str">
        <f>'TAMUK FGD'!$B$2</f>
        <v>Texas A&amp;M University - Kingsville</v>
      </c>
      <c r="C550" s="566"/>
      <c r="D550" s="390">
        <f>'TAMUK FGD'!$D$26</f>
        <v>-567283</v>
      </c>
      <c r="E550" s="390">
        <f>'TAMUK FGD'!$E$26</f>
        <v>-1148127</v>
      </c>
      <c r="F550" s="390">
        <f>'TAMUK FGD'!$F$26</f>
        <v>0</v>
      </c>
      <c r="G550" s="390">
        <f>'TAMUK FGD'!$G$26</f>
        <v>0</v>
      </c>
      <c r="H550" s="390">
        <f>'TAMUK FGD'!$H$26</f>
        <v>0</v>
      </c>
      <c r="I550" s="390">
        <f>'TAMUK FGD'!$I$26</f>
        <v>0</v>
      </c>
      <c r="J550" s="390">
        <f>'TAMUK FGD'!$J$26</f>
        <v>0</v>
      </c>
      <c r="K550" s="390">
        <f>'TAMUK FGD'!$K$26</f>
        <v>0</v>
      </c>
      <c r="L550" s="390">
        <f>'TAMUK FGD'!$L$26</f>
        <v>0</v>
      </c>
      <c r="M550" s="567">
        <f>'TAMUK FGD'!$M$26</f>
        <v>-1715410</v>
      </c>
      <c r="N550" s="401"/>
    </row>
    <row r="551" spans="1:14" s="171" customFormat="1" ht="12.75" hidden="1" customHeight="1" outlineLevel="1">
      <c r="A551" s="166"/>
      <c r="B551" s="390" t="str">
        <f>'TAMUSA FGD'!$B$2</f>
        <v>Texas A&amp;M University - San Antonio</v>
      </c>
      <c r="C551" s="566"/>
      <c r="D551" s="390">
        <f>'TAMUSA FGD'!$D$26</f>
        <v>-771035</v>
      </c>
      <c r="E551" s="390">
        <f>'TAMUSA FGD'!$E$26</f>
        <v>-1511867</v>
      </c>
      <c r="F551" s="390">
        <f>'TAMUSA FGD'!$F$26</f>
        <v>0</v>
      </c>
      <c r="G551" s="390">
        <f>'TAMUSA FGD'!$G$26</f>
        <v>0</v>
      </c>
      <c r="H551" s="390">
        <f>'TAMUSA FGD'!$H$26</f>
        <v>0</v>
      </c>
      <c r="I551" s="390">
        <f>'TAMUSA FGD'!$I$26</f>
        <v>0</v>
      </c>
      <c r="J551" s="390">
        <f>'TAMUSA FGD'!$J$26</f>
        <v>0</v>
      </c>
      <c r="K551" s="390">
        <f>'TAMUSA FGD'!$K$26</f>
        <v>0</v>
      </c>
      <c r="L551" s="390">
        <f>'TAMUSA FGD'!$L$26</f>
        <v>0</v>
      </c>
      <c r="M551" s="567">
        <f>'TAMUSA FGD'!$M$26</f>
        <v>-2282902</v>
      </c>
      <c r="N551" s="401"/>
    </row>
    <row r="552" spans="1:14" s="171" customFormat="1" ht="12.75" hidden="1" customHeight="1" outlineLevel="1">
      <c r="A552" s="166"/>
      <c r="B552" s="390" t="str">
        <f>'TAMUT FGD'!$B$2</f>
        <v>Texas A&amp;M University - Texarkana</v>
      </c>
      <c r="C552" s="566"/>
      <c r="D552" s="390">
        <f>'TAMUT FGD'!$D$26</f>
        <v>-141609</v>
      </c>
      <c r="E552" s="390">
        <f>'TAMUT FGD'!$E$26</f>
        <v>-460517</v>
      </c>
      <c r="F552" s="390">
        <f>'TAMUT FGD'!$F$26</f>
        <v>0</v>
      </c>
      <c r="G552" s="390">
        <f>'TAMUT FGD'!$G$26</f>
        <v>0</v>
      </c>
      <c r="H552" s="390">
        <f>'TAMUT FGD'!$H$26</f>
        <v>0</v>
      </c>
      <c r="I552" s="390">
        <f>'TAMUT FGD'!$I$26</f>
        <v>0</v>
      </c>
      <c r="J552" s="390">
        <f>'TAMUT FGD'!$J$26</f>
        <v>0</v>
      </c>
      <c r="K552" s="390">
        <f>'TAMUT FGD'!$K$26</f>
        <v>0</v>
      </c>
      <c r="L552" s="390">
        <f>'TAMUT FGD'!$L$26</f>
        <v>0</v>
      </c>
      <c r="M552" s="567">
        <f>'TAMUT FGD'!$M$26</f>
        <v>-602126</v>
      </c>
      <c r="N552" s="401"/>
    </row>
    <row r="553" spans="1:14" s="171" customFormat="1" ht="12.75" hidden="1" customHeight="1" outlineLevel="1">
      <c r="A553" s="166"/>
      <c r="B553" s="390" t="str">
        <f>'TARLST FGD'!$B$2</f>
        <v>Tarleton State University</v>
      </c>
      <c r="C553" s="566"/>
      <c r="D553" s="390">
        <f>'TARLST FGD'!$D$26</f>
        <v>-1357717</v>
      </c>
      <c r="E553" s="390">
        <f>'TARLST FGD'!$E$26</f>
        <v>-3617011</v>
      </c>
      <c r="F553" s="390">
        <f>'TARLST FGD'!$F$26</f>
        <v>0</v>
      </c>
      <c r="G553" s="390">
        <f>'TARLST FGD'!$G$26</f>
        <v>0</v>
      </c>
      <c r="H553" s="390">
        <f>'TARLST FGD'!$H$26</f>
        <v>0</v>
      </c>
      <c r="I553" s="390">
        <f>'TARLST FGD'!$I$26</f>
        <v>0</v>
      </c>
      <c r="J553" s="390">
        <f>'TARLST FGD'!$J$26</f>
        <v>0</v>
      </c>
      <c r="K553" s="390">
        <f>'TARLST FGD'!$K$26</f>
        <v>0</v>
      </c>
      <c r="L553" s="390">
        <f>'TARLST FGD'!$L$26</f>
        <v>0</v>
      </c>
      <c r="M553" s="567">
        <f>'TARLST FGD'!$M$26</f>
        <v>-4974728</v>
      </c>
      <c r="N553" s="401"/>
    </row>
    <row r="554" spans="1:14" s="171" customFormat="1" ht="12.75" hidden="1" customHeight="1" outlineLevel="1">
      <c r="A554" s="166"/>
      <c r="B554" s="390" t="str">
        <f>'TSU FGD'!$B$2</f>
        <v>Texas Southern University</v>
      </c>
      <c r="C554" s="566"/>
      <c r="D554" s="390">
        <f>'TSU FGD'!$D$26</f>
        <v>-3192164</v>
      </c>
      <c r="E554" s="390">
        <f>'TSU FGD'!$E$26</f>
        <v>0</v>
      </c>
      <c r="F554" s="390">
        <f>'TSU FGD'!$F$26</f>
        <v>0</v>
      </c>
      <c r="G554" s="390">
        <f>'TSU FGD'!$G$26</f>
        <v>0</v>
      </c>
      <c r="H554" s="390">
        <f>'TSU FGD'!$H$26</f>
        <v>0</v>
      </c>
      <c r="I554" s="390">
        <f>'TSU FGD'!$I$26</f>
        <v>0</v>
      </c>
      <c r="J554" s="390">
        <f>'TSU FGD'!$J$26</f>
        <v>0</v>
      </c>
      <c r="K554" s="390">
        <f>'TSU FGD'!$K$26</f>
        <v>0</v>
      </c>
      <c r="L554" s="390">
        <f>'TSU FGD'!$L$26</f>
        <v>0</v>
      </c>
      <c r="M554" s="567">
        <f>'TSU FGD'!$M$26</f>
        <v>-3192164</v>
      </c>
      <c r="N554" s="401"/>
    </row>
    <row r="555" spans="1:14" s="171" customFormat="1" ht="12.75" hidden="1" customHeight="1" outlineLevel="1">
      <c r="A555" s="166"/>
      <c r="B555" s="390" t="str">
        <f>'TTU FGD'!$B$2</f>
        <v>Texas Tech University</v>
      </c>
      <c r="C555" s="566"/>
      <c r="D555" s="390">
        <f>'TTU FGD'!$D$26</f>
        <v>-3498747</v>
      </c>
      <c r="E555" s="390">
        <f>'TTU FGD'!$E$26</f>
        <v>-14937102</v>
      </c>
      <c r="F555" s="390">
        <f>'TTU FGD'!$F$26</f>
        <v>0</v>
      </c>
      <c r="G555" s="390">
        <f>'TTU FGD'!$G$26</f>
        <v>0</v>
      </c>
      <c r="H555" s="390">
        <f>'TTU FGD'!$H$26</f>
        <v>0</v>
      </c>
      <c r="I555" s="390">
        <f>'TTU FGD'!$I$26</f>
        <v>0</v>
      </c>
      <c r="J555" s="390">
        <f>'TTU FGD'!$J$26</f>
        <v>0</v>
      </c>
      <c r="K555" s="390">
        <f>'TTU FGD'!$K$26</f>
        <v>0</v>
      </c>
      <c r="L555" s="390">
        <f>'TTU FGD'!$L$26</f>
        <v>0</v>
      </c>
      <c r="M555" s="567">
        <f>'TTU FGD'!$M$26</f>
        <v>-18435849</v>
      </c>
      <c r="N555" s="401"/>
    </row>
    <row r="556" spans="1:14" s="171" customFormat="1" ht="12.75" hidden="1" customHeight="1" outlineLevel="1">
      <c r="A556" s="166"/>
      <c r="B556" s="390" t="str">
        <f>'TWU FGD'!$B$2</f>
        <v>Texas Woman's University</v>
      </c>
      <c r="C556" s="566"/>
      <c r="D556" s="390">
        <f>'TWU FGD'!$D$26</f>
        <v>-2419468</v>
      </c>
      <c r="E556" s="390">
        <f>'TWU FGD'!$E$26</f>
        <v>0</v>
      </c>
      <c r="F556" s="390">
        <f>'TWU FGD'!$F$26</f>
        <v>0</v>
      </c>
      <c r="G556" s="390">
        <f>'TWU FGD'!$G$26</f>
        <v>0</v>
      </c>
      <c r="H556" s="390">
        <f>'TWU FGD'!$H$26</f>
        <v>0</v>
      </c>
      <c r="I556" s="390">
        <f>'TWU FGD'!$I$26</f>
        <v>0</v>
      </c>
      <c r="J556" s="390">
        <f>'TWU FGD'!$J$26</f>
        <v>0</v>
      </c>
      <c r="K556" s="390">
        <f>'TWU FGD'!$K$26</f>
        <v>0</v>
      </c>
      <c r="L556" s="390">
        <f>'TWU FGD'!$L$26</f>
        <v>0</v>
      </c>
      <c r="M556" s="567">
        <f>'TWU FGD'!$M$26</f>
        <v>-2419468</v>
      </c>
      <c r="N556" s="401"/>
    </row>
    <row r="557" spans="1:14" s="171" customFormat="1" ht="12.75" hidden="1" customHeight="1" outlineLevel="1">
      <c r="A557" s="166"/>
      <c r="B557" s="390" t="str">
        <f>'TXST FGD'!$B$2</f>
        <v>Texas State University</v>
      </c>
      <c r="C557" s="566"/>
      <c r="D557" s="390">
        <f>'TXST FGD'!$D$26</f>
        <v>-3337674</v>
      </c>
      <c r="E557" s="390">
        <f>'TXST FGD'!$E$26</f>
        <v>-15886194</v>
      </c>
      <c r="F557" s="390">
        <f>'TXST FGD'!$F$26</f>
        <v>0</v>
      </c>
      <c r="G557" s="390">
        <f>'TXST FGD'!$G$26</f>
        <v>0</v>
      </c>
      <c r="H557" s="390">
        <f>'TXST FGD'!$H$26</f>
        <v>0</v>
      </c>
      <c r="I557" s="390">
        <f>'TXST FGD'!$I$26</f>
        <v>0</v>
      </c>
      <c r="J557" s="390">
        <f>'TXST FGD'!$J$26</f>
        <v>0</v>
      </c>
      <c r="K557" s="390">
        <f>'TXST FGD'!$K$26</f>
        <v>0</v>
      </c>
      <c r="L557" s="390">
        <f>'TXST FGD'!$L$26</f>
        <v>0</v>
      </c>
      <c r="M557" s="567">
        <f>'TXST FGD'!$M$26</f>
        <v>-19223868</v>
      </c>
      <c r="N557" s="401"/>
    </row>
    <row r="558" spans="1:14" s="171" customFormat="1" ht="12.75" hidden="1" customHeight="1" outlineLevel="1">
      <c r="A558" s="166"/>
      <c r="B558" s="390" t="str">
        <f>'TYL FGD'!$B$2</f>
        <v>The University of Texas at Tyler</v>
      </c>
      <c r="C558" s="566"/>
      <c r="D558" s="390">
        <f>'TYL FGD'!$D$26</f>
        <v>-632467</v>
      </c>
      <c r="E558" s="390">
        <f>'TYL FGD'!$E$26</f>
        <v>-3514916</v>
      </c>
      <c r="F558" s="390">
        <f>'TYL FGD'!$F$26</f>
        <v>0</v>
      </c>
      <c r="G558" s="390">
        <f>'TYL FGD'!$G$26</f>
        <v>0</v>
      </c>
      <c r="H558" s="390">
        <f>'TYL FGD'!$H$26</f>
        <v>0</v>
      </c>
      <c r="I558" s="390">
        <f>'TYL FGD'!$I$26</f>
        <v>0</v>
      </c>
      <c r="J558" s="390">
        <f>'TYL FGD'!$J$26</f>
        <v>0</v>
      </c>
      <c r="K558" s="390">
        <f>'TYL FGD'!$K$26</f>
        <v>0</v>
      </c>
      <c r="L558" s="390">
        <f>'TYL FGD'!$L$26</f>
        <v>0</v>
      </c>
      <c r="M558" s="567">
        <f>'TYL FGD'!$M$26</f>
        <v>-4147383</v>
      </c>
      <c r="N558" s="401"/>
    </row>
    <row r="559" spans="1:14" s="171" customFormat="1" ht="12.75" hidden="1" customHeight="1" outlineLevel="1">
      <c r="A559" s="166"/>
      <c r="B559" s="390" t="str">
        <f>'UH1 FGD'!$B$2</f>
        <v>University of Houston - Academic &amp; Health (A+H)</v>
      </c>
      <c r="C559" s="566"/>
      <c r="D559" s="390">
        <f>'UH1 FGD'!$D$26</f>
        <v>-2520916</v>
      </c>
      <c r="E559" s="390">
        <f>'UH1 FGD'!$E$26</f>
        <v>-8475373</v>
      </c>
      <c r="F559" s="390">
        <f>'UH1 FGD'!$F$26</f>
        <v>0</v>
      </c>
      <c r="G559" s="390">
        <f>'UH1 FGD'!$G$26</f>
        <v>0</v>
      </c>
      <c r="H559" s="390">
        <f>'UH1 FGD'!$H$26</f>
        <v>0</v>
      </c>
      <c r="I559" s="390">
        <f>'UH1 FGD'!$I$26</f>
        <v>0</v>
      </c>
      <c r="J559" s="390">
        <f>'UH1 FGD'!$J$26</f>
        <v>0</v>
      </c>
      <c r="K559" s="390">
        <f>'UH1 FGD'!$K$26</f>
        <v>0</v>
      </c>
      <c r="L559" s="390">
        <f>'UH1 FGD'!$L$26</f>
        <v>0</v>
      </c>
      <c r="M559" s="567">
        <f>'UH1 FGD'!$M$26</f>
        <v>-10996289</v>
      </c>
      <c r="N559" s="401"/>
    </row>
    <row r="560" spans="1:14" s="171" customFormat="1" ht="12.75" hidden="1" customHeight="1" outlineLevel="1">
      <c r="A560" s="166"/>
      <c r="B560" s="390" t="str">
        <f>'UHCL FGD'!$B$2</f>
        <v>University of Houston - Clear Lake</v>
      </c>
      <c r="C560" s="566"/>
      <c r="D560" s="390">
        <f>'UHCL FGD'!$D$26</f>
        <v>-443736</v>
      </c>
      <c r="E560" s="390">
        <f>'UHCL FGD'!$E$26</f>
        <v>-1578438</v>
      </c>
      <c r="F560" s="390">
        <f>'UHCL FGD'!$F$26</f>
        <v>0</v>
      </c>
      <c r="G560" s="390">
        <f>'UHCL FGD'!$G$26</f>
        <v>0</v>
      </c>
      <c r="H560" s="390">
        <f>'UHCL FGD'!$H$26</f>
        <v>0</v>
      </c>
      <c r="I560" s="390">
        <f>'UHCL FGD'!$I$26</f>
        <v>0</v>
      </c>
      <c r="J560" s="390">
        <f>'UHCL FGD'!$J$26</f>
        <v>0</v>
      </c>
      <c r="K560" s="390">
        <f>'UHCL FGD'!$K$26</f>
        <v>0</v>
      </c>
      <c r="L560" s="390">
        <f>'UHCL FGD'!$L$26</f>
        <v>0</v>
      </c>
      <c r="M560" s="567">
        <f>'UHCL FGD'!$M$26</f>
        <v>-2022174</v>
      </c>
      <c r="N560" s="401"/>
    </row>
    <row r="561" spans="1:14" s="171" customFormat="1" ht="12.75" hidden="1" customHeight="1" outlineLevel="1">
      <c r="A561" s="166"/>
      <c r="B561" s="390" t="str">
        <f>'UHD FGD'!$B$2</f>
        <v>University of Houston - Downtown</v>
      </c>
      <c r="C561" s="566"/>
      <c r="D561" s="390">
        <f>'UHD FGD'!$D$26</f>
        <v>-473684</v>
      </c>
      <c r="E561" s="390">
        <f>'UHD FGD'!$E$26</f>
        <v>-1569709</v>
      </c>
      <c r="F561" s="390">
        <f>'UHD FGD'!$F$26</f>
        <v>0</v>
      </c>
      <c r="G561" s="390">
        <f>'UHD FGD'!$G$26</f>
        <v>0</v>
      </c>
      <c r="H561" s="390">
        <f>'UHD FGD'!$H$26</f>
        <v>0</v>
      </c>
      <c r="I561" s="390">
        <f>'UHD FGD'!$I$26</f>
        <v>0</v>
      </c>
      <c r="J561" s="390">
        <f>'UHD FGD'!$J$26</f>
        <v>0</v>
      </c>
      <c r="K561" s="390">
        <f>'UHD FGD'!$K$26</f>
        <v>0</v>
      </c>
      <c r="L561" s="390">
        <f>'UHD FGD'!$L$26</f>
        <v>0</v>
      </c>
      <c r="M561" s="567">
        <f>'UHD FGD'!$M$26</f>
        <v>-2043393</v>
      </c>
      <c r="N561" s="401"/>
    </row>
    <row r="562" spans="1:14" s="171" customFormat="1" ht="12.75" hidden="1" customHeight="1" outlineLevel="1">
      <c r="A562" s="166"/>
      <c r="B562" s="390" t="str">
        <f>'UHV FGD'!$B$2</f>
        <v>University of Houston - Victoria</v>
      </c>
      <c r="C562" s="566"/>
      <c r="D562" s="390">
        <f>'UHV FGD'!$D$26</f>
        <v>-326598</v>
      </c>
      <c r="E562" s="390">
        <f>'UHV FGD'!$E$26</f>
        <v>-875656</v>
      </c>
      <c r="F562" s="390">
        <f>'UHV FGD'!$F$26</f>
        <v>0</v>
      </c>
      <c r="G562" s="390">
        <f>'UHV FGD'!$G$26</f>
        <v>0</v>
      </c>
      <c r="H562" s="390">
        <f>'UHV FGD'!$H$26</f>
        <v>0</v>
      </c>
      <c r="I562" s="390">
        <f>'UHV FGD'!$I$26</f>
        <v>0</v>
      </c>
      <c r="J562" s="390">
        <f>'UHV FGD'!$J$26</f>
        <v>0</v>
      </c>
      <c r="K562" s="390">
        <f>'UHV FGD'!$K$26</f>
        <v>0</v>
      </c>
      <c r="L562" s="390">
        <f>'UHV FGD'!$L$26</f>
        <v>0</v>
      </c>
      <c r="M562" s="567">
        <f>'UHV FGD'!$M$26</f>
        <v>-1202254</v>
      </c>
      <c r="N562" s="401"/>
    </row>
    <row r="563" spans="1:14" s="171" customFormat="1" ht="12.75" hidden="1" customHeight="1" outlineLevel="1">
      <c r="A563" s="166"/>
      <c r="B563" s="390" t="str">
        <f>'UNT FGD'!$B$2</f>
        <v>University of North Texas</v>
      </c>
      <c r="C563" s="566"/>
      <c r="D563" s="390">
        <f>'UNT FGD'!$D$26</f>
        <v>0</v>
      </c>
      <c r="E563" s="390">
        <f>'UNT FGD'!$E$26</f>
        <v>0</v>
      </c>
      <c r="F563" s="390">
        <f>'UNT FGD'!$F$26</f>
        <v>0</v>
      </c>
      <c r="G563" s="390">
        <f>'UNT FGD'!$G$26</f>
        <v>0</v>
      </c>
      <c r="H563" s="390">
        <f>'UNT FGD'!$H$26</f>
        <v>0</v>
      </c>
      <c r="I563" s="390">
        <f>'UNT FGD'!$I$26</f>
        <v>0</v>
      </c>
      <c r="J563" s="390">
        <f>'UNT FGD'!$J$26</f>
        <v>0</v>
      </c>
      <c r="K563" s="390">
        <f>'UNT FGD'!$K$26</f>
        <v>0</v>
      </c>
      <c r="L563" s="390">
        <f>'UNT FGD'!$L$26</f>
        <v>0</v>
      </c>
      <c r="M563" s="567">
        <f>'UNT FGD'!$M$26</f>
        <v>0</v>
      </c>
      <c r="N563" s="401"/>
    </row>
    <row r="564" spans="1:14" s="171" customFormat="1" ht="12.75" hidden="1" customHeight="1" outlineLevel="1">
      <c r="A564" s="166"/>
      <c r="B564" s="390" t="str">
        <f>'UNTD FGD'!$B$2</f>
        <v>University of North Texas at Dallas</v>
      </c>
      <c r="C564" s="566"/>
      <c r="D564" s="390">
        <f>'UNTD FGD'!$D$26</f>
        <v>0</v>
      </c>
      <c r="E564" s="390">
        <f>'UNTD FGD'!$E$26</f>
        <v>0</v>
      </c>
      <c r="F564" s="390">
        <f>'UNTD FGD'!$F$26</f>
        <v>0</v>
      </c>
      <c r="G564" s="390">
        <f>'UNTD FGD'!$G$26</f>
        <v>0</v>
      </c>
      <c r="H564" s="390">
        <f>'UNTD FGD'!$H$26</f>
        <v>0</v>
      </c>
      <c r="I564" s="390">
        <f>'UNTD FGD'!$I$26</f>
        <v>0</v>
      </c>
      <c r="J564" s="390">
        <f>'UNTD FGD'!$J$26</f>
        <v>0</v>
      </c>
      <c r="K564" s="390">
        <f>'UNTD FGD'!$K$26</f>
        <v>0</v>
      </c>
      <c r="L564" s="390">
        <f>'UNTD FGD'!$L$26</f>
        <v>0</v>
      </c>
      <c r="M564" s="567">
        <f>'UNTD FGD'!$M$26</f>
        <v>0</v>
      </c>
      <c r="N564" s="401"/>
    </row>
    <row r="565" spans="1:14" s="171" customFormat="1" ht="12.75" hidden="1" customHeight="1" outlineLevel="1">
      <c r="A565" s="166"/>
      <c r="B565" s="390" t="str">
        <f>'WTAMU FGD'!$B$2</f>
        <v>West Texas A&amp;M University</v>
      </c>
      <c r="C565" s="566"/>
      <c r="D565" s="390">
        <f>'WTAMU FGD'!$D$26</f>
        <v>-712481</v>
      </c>
      <c r="E565" s="390">
        <f>'WTAMU FGD'!$E$26</f>
        <v>-3372625</v>
      </c>
      <c r="F565" s="390">
        <f>'WTAMU FGD'!$F$26</f>
        <v>0</v>
      </c>
      <c r="G565" s="390">
        <f>'WTAMU FGD'!$G$26</f>
        <v>0</v>
      </c>
      <c r="H565" s="390">
        <f>'WTAMU FGD'!$H$26</f>
        <v>0</v>
      </c>
      <c r="I565" s="390">
        <f>'WTAMU FGD'!$I$26</f>
        <v>0</v>
      </c>
      <c r="J565" s="390">
        <f>'WTAMU FGD'!$J$26</f>
        <v>0</v>
      </c>
      <c r="K565" s="390">
        <f>'WTAMU FGD'!$K$26</f>
        <v>0</v>
      </c>
      <c r="L565" s="390">
        <f>'WTAMU FGD'!$L$26</f>
        <v>0</v>
      </c>
      <c r="M565" s="567">
        <f>'WTAMU FGD'!$M$26</f>
        <v>-4085106</v>
      </c>
      <c r="N565" s="401"/>
    </row>
    <row r="566" spans="1:14" s="171" customFormat="1" collapsed="1">
      <c r="A566" s="166"/>
      <c r="B566" s="261" t="s">
        <v>729</v>
      </c>
      <c r="C566" s="566"/>
      <c r="D566" s="390">
        <f t="shared" ref="D566:M566" si="14">SUM(D530:D565)</f>
        <v>-56749628</v>
      </c>
      <c r="E566" s="390">
        <f t="shared" si="14"/>
        <v>-168596879</v>
      </c>
      <c r="F566" s="390">
        <f t="shared" si="14"/>
        <v>0</v>
      </c>
      <c r="G566" s="390">
        <f t="shared" si="14"/>
        <v>0</v>
      </c>
      <c r="H566" s="390">
        <f t="shared" si="14"/>
        <v>0</v>
      </c>
      <c r="I566" s="390">
        <f t="shared" si="14"/>
        <v>0</v>
      </c>
      <c r="J566" s="390">
        <f t="shared" si="14"/>
        <v>0</v>
      </c>
      <c r="K566" s="390">
        <f t="shared" si="14"/>
        <v>0</v>
      </c>
      <c r="L566" s="390">
        <f t="shared" si="14"/>
        <v>0</v>
      </c>
      <c r="M566" s="567">
        <f t="shared" si="14"/>
        <v>-225346507</v>
      </c>
      <c r="N566" s="401"/>
    </row>
    <row r="567" spans="1:14" s="171" customFormat="1" ht="12.75" hidden="1" customHeight="1" outlineLevel="1">
      <c r="A567" s="166"/>
      <c r="B567" s="674" t="str">
        <f>'ARL FGD'!$B$2</f>
        <v>The University of Texas at Arlington</v>
      </c>
      <c r="C567" s="566"/>
      <c r="D567" s="390">
        <f>'ARL FGD'!$D$27</f>
        <v>0</v>
      </c>
      <c r="E567" s="390">
        <f>'ARL FGD'!$E$27</f>
        <v>0</v>
      </c>
      <c r="F567" s="390">
        <f>'ARL FGD'!$F$27</f>
        <v>0</v>
      </c>
      <c r="G567" s="390">
        <f>'ARL FGD'!$G$27</f>
        <v>0</v>
      </c>
      <c r="H567" s="390">
        <f>'ARL FGD'!$H$27</f>
        <v>0</v>
      </c>
      <c r="I567" s="390">
        <f>'ARL FGD'!$I$27</f>
        <v>0</v>
      </c>
      <c r="J567" s="390">
        <f>'ARL FGD'!$J$27</f>
        <v>0</v>
      </c>
      <c r="K567" s="390">
        <f>'ARL FGD'!$K$27</f>
        <v>0</v>
      </c>
      <c r="L567" s="390">
        <f>'ARL FGD'!$L$27</f>
        <v>0</v>
      </c>
      <c r="M567" s="567">
        <f>'ARL FGD'!$M$27</f>
        <v>0</v>
      </c>
      <c r="N567" s="401"/>
    </row>
    <row r="568" spans="1:14" s="171" customFormat="1" ht="12.75" hidden="1" customHeight="1" outlineLevel="1">
      <c r="A568" s="166"/>
      <c r="B568" s="674" t="str">
        <f>'ASU FGD'!$B$2</f>
        <v>Angelo State University</v>
      </c>
      <c r="C568" s="566"/>
      <c r="D568" s="390">
        <f>'ASU FGD'!$D$27</f>
        <v>-41769</v>
      </c>
      <c r="E568" s="390">
        <f>'ASU FGD'!$E$27</f>
        <v>-12180</v>
      </c>
      <c r="F568" s="390">
        <f>'ASU FGD'!$F$27</f>
        <v>0</v>
      </c>
      <c r="G568" s="390">
        <f>'ASU FGD'!$G$27</f>
        <v>0</v>
      </c>
      <c r="H568" s="390">
        <f>'ASU FGD'!$H$27</f>
        <v>0</v>
      </c>
      <c r="I568" s="390">
        <f>'ASU FGD'!$I$27</f>
        <v>0</v>
      </c>
      <c r="J568" s="390">
        <f>'ASU FGD'!$J$27</f>
        <v>0</v>
      </c>
      <c r="K568" s="390">
        <f>'ASU FGD'!$K$27</f>
        <v>0</v>
      </c>
      <c r="L568" s="390">
        <f>'ASU FGD'!$L$27</f>
        <v>0</v>
      </c>
      <c r="M568" s="567">
        <f>'ASU FGD'!$M$27</f>
        <v>-53949</v>
      </c>
      <c r="N568" s="401"/>
    </row>
    <row r="569" spans="1:14" s="171" customFormat="1" ht="12.75" hidden="1" customHeight="1" outlineLevel="1">
      <c r="A569" s="166"/>
      <c r="B569" s="674" t="str">
        <f>'AUS1 FGD'!$B$2</f>
        <v>The University of Texas at Austin - Academic &amp; Health (A+H)</v>
      </c>
      <c r="C569" s="566"/>
      <c r="D569" s="390">
        <f>'AUS1 FGD'!$D$27</f>
        <v>0</v>
      </c>
      <c r="E569" s="390">
        <f>'AUS1 FGD'!$E$27</f>
        <v>0</v>
      </c>
      <c r="F569" s="390">
        <f>'AUS1 FGD'!$F$27</f>
        <v>0</v>
      </c>
      <c r="G569" s="390">
        <f>'AUS1 FGD'!$G$27</f>
        <v>0</v>
      </c>
      <c r="H569" s="390">
        <f>'AUS1 FGD'!$H$27</f>
        <v>0</v>
      </c>
      <c r="I569" s="390">
        <f>'AUS1 FGD'!$I$27</f>
        <v>0</v>
      </c>
      <c r="J569" s="390">
        <f>'AUS1 FGD'!$J$27</f>
        <v>0</v>
      </c>
      <c r="K569" s="390">
        <f>'AUS1 FGD'!$K$27</f>
        <v>0</v>
      </c>
      <c r="L569" s="390">
        <f>'AUS1 FGD'!$L$27</f>
        <v>0</v>
      </c>
      <c r="M569" s="567">
        <f>'AUS1 FGD'!$M$27</f>
        <v>0</v>
      </c>
      <c r="N569" s="401"/>
    </row>
    <row r="570" spans="1:14" s="171" customFormat="1" ht="12.75" hidden="1" customHeight="1" outlineLevel="1">
      <c r="A570" s="166"/>
      <c r="B570" s="674" t="str">
        <f>'RGV1 FGD'!$B$2</f>
        <v>The University of Texas RGV - Academic &amp; Health (A+H)</v>
      </c>
      <c r="C570" s="566"/>
      <c r="D570" s="390">
        <f>'RGV1 FGD'!$D$27</f>
        <v>0</v>
      </c>
      <c r="E570" s="390">
        <f>'RGV1 FGD'!$E$27</f>
        <v>0</v>
      </c>
      <c r="F570" s="390">
        <f>'RGV1 FGD'!$F$27</f>
        <v>0</v>
      </c>
      <c r="G570" s="390">
        <f>'RGV1 FGD'!$G$27</f>
        <v>0</v>
      </c>
      <c r="H570" s="390">
        <f>'RGV1 FGD'!$H$27</f>
        <v>0</v>
      </c>
      <c r="I570" s="390">
        <f>'RGV1 FGD'!$I$27</f>
        <v>0</v>
      </c>
      <c r="J570" s="390">
        <f>'RGV1 FGD'!$J$27</f>
        <v>0</v>
      </c>
      <c r="K570" s="390">
        <f>'RGV1 FGD'!$K$27</f>
        <v>0</v>
      </c>
      <c r="L570" s="390">
        <f>'RGV1 FGD'!$L$27</f>
        <v>0</v>
      </c>
      <c r="M570" s="567">
        <f>'RGV1 FGD'!$M$27</f>
        <v>0</v>
      </c>
      <c r="N570" s="401"/>
    </row>
    <row r="571" spans="1:14" s="171" customFormat="1" ht="12.75" hidden="1" customHeight="1" outlineLevel="1">
      <c r="A571" s="166"/>
      <c r="B571" s="674" t="str">
        <f>'DAL FGD'!$B$2</f>
        <v>The University of Texas at Dallas</v>
      </c>
      <c r="C571" s="566"/>
      <c r="D571" s="390">
        <f>'DAL FGD'!$D$27</f>
        <v>0</v>
      </c>
      <c r="E571" s="390">
        <f>'DAL FGD'!$E$27</f>
        <v>0</v>
      </c>
      <c r="F571" s="390">
        <f>'DAL FGD'!$F$27</f>
        <v>0</v>
      </c>
      <c r="G571" s="390">
        <f>'DAL FGD'!$G$27</f>
        <v>0</v>
      </c>
      <c r="H571" s="390">
        <f>'DAL FGD'!$H$27</f>
        <v>0</v>
      </c>
      <c r="I571" s="390">
        <f>'DAL FGD'!$I$27</f>
        <v>0</v>
      </c>
      <c r="J571" s="390">
        <f>'DAL FGD'!$J$27</f>
        <v>0</v>
      </c>
      <c r="K571" s="390">
        <f>'DAL FGD'!$K$27</f>
        <v>0</v>
      </c>
      <c r="L571" s="390">
        <f>'DAL FGD'!$L$27</f>
        <v>0</v>
      </c>
      <c r="M571" s="567">
        <f>'DAL FGD'!$M$27</f>
        <v>0</v>
      </c>
      <c r="N571" s="401"/>
    </row>
    <row r="572" spans="1:14" s="171" customFormat="1" ht="12.75" hidden="1" customHeight="1" outlineLevel="1">
      <c r="A572" s="166"/>
      <c r="B572" s="674" t="str">
        <f>'E-P FGD'!$B$2</f>
        <v>The University of Texas at El Paso</v>
      </c>
      <c r="C572" s="566"/>
      <c r="D572" s="390">
        <f>'E-P FGD'!$D$27</f>
        <v>0</v>
      </c>
      <c r="E572" s="390">
        <f>'E-P FGD'!$E$27</f>
        <v>0</v>
      </c>
      <c r="F572" s="390">
        <f>'E-P FGD'!$F$27</f>
        <v>0</v>
      </c>
      <c r="G572" s="390">
        <f>'E-P FGD'!$G$27</f>
        <v>0</v>
      </c>
      <c r="H572" s="390">
        <f>'E-P FGD'!$H$27</f>
        <v>0</v>
      </c>
      <c r="I572" s="390">
        <f>'E-P FGD'!$I$27</f>
        <v>0</v>
      </c>
      <c r="J572" s="390">
        <f>'E-P FGD'!$J$27</f>
        <v>0</v>
      </c>
      <c r="K572" s="390">
        <f>'E-P FGD'!$K$27</f>
        <v>0</v>
      </c>
      <c r="L572" s="390">
        <f>'E-P FGD'!$L$27</f>
        <v>0</v>
      </c>
      <c r="M572" s="567">
        <f>'E-P FGD'!$M$27</f>
        <v>0</v>
      </c>
      <c r="N572" s="401"/>
    </row>
    <row r="573" spans="1:14" s="171" customFormat="1" ht="12.75" hidden="1" customHeight="1" outlineLevel="1">
      <c r="A573" s="166"/>
      <c r="B573" s="674" t="str">
        <f>'LU FGD'!$B$2</f>
        <v xml:space="preserve">Lamar University </v>
      </c>
      <c r="C573" s="566"/>
      <c r="D573" s="390">
        <f>'LU FGD'!$D$27</f>
        <v>0</v>
      </c>
      <c r="E573" s="390">
        <f>'LU FGD'!$E$27</f>
        <v>0</v>
      </c>
      <c r="F573" s="390">
        <f>'LU FGD'!$F$27</f>
        <v>0</v>
      </c>
      <c r="G573" s="390">
        <f>'LU FGD'!$G$27</f>
        <v>0</v>
      </c>
      <c r="H573" s="390">
        <f>'LU FGD'!$H$27</f>
        <v>0</v>
      </c>
      <c r="I573" s="390">
        <f>'LU FGD'!$I$27</f>
        <v>0</v>
      </c>
      <c r="J573" s="390">
        <f>'LU FGD'!$J$27</f>
        <v>0</v>
      </c>
      <c r="K573" s="390">
        <f>'LU FGD'!$K$27</f>
        <v>0</v>
      </c>
      <c r="L573" s="390">
        <f>'LU FGD'!$L$27</f>
        <v>0</v>
      </c>
      <c r="M573" s="567">
        <f>'LU FGD'!$M$27</f>
        <v>0</v>
      </c>
      <c r="N573" s="401"/>
    </row>
    <row r="574" spans="1:14" s="171" customFormat="1" ht="12.75" hidden="1" customHeight="1" outlineLevel="1">
      <c r="A574" s="166"/>
      <c r="B574" s="674" t="str">
        <f>'MidWST FGD'!$B$2</f>
        <v>Midwestern State University</v>
      </c>
      <c r="C574" s="566"/>
      <c r="D574" s="390">
        <f>'MidWST FGD'!$D$27</f>
        <v>0</v>
      </c>
      <c r="E574" s="390">
        <f>'MidWST FGD'!$E$27</f>
        <v>-132158</v>
      </c>
      <c r="F574" s="390">
        <f>'MidWST FGD'!$F$27</f>
        <v>0</v>
      </c>
      <c r="G574" s="390">
        <f>'MidWST FGD'!$G$27</f>
        <v>0</v>
      </c>
      <c r="H574" s="390">
        <f>'MidWST FGD'!$H$27</f>
        <v>0</v>
      </c>
      <c r="I574" s="390">
        <f>'MidWST FGD'!$I$27</f>
        <v>0</v>
      </c>
      <c r="J574" s="390">
        <f>'MidWST FGD'!$J$27</f>
        <v>0</v>
      </c>
      <c r="K574" s="390">
        <f>'MidWST FGD'!$K$27</f>
        <v>0</v>
      </c>
      <c r="L574" s="390">
        <f>'MidWST FGD'!$L$27</f>
        <v>0</v>
      </c>
      <c r="M574" s="567">
        <f>'MidWST FGD'!$M$27</f>
        <v>-132158</v>
      </c>
      <c r="N574" s="401"/>
    </row>
    <row r="575" spans="1:14" s="171" customFormat="1" ht="12.75" hidden="1" customHeight="1" outlineLevel="1">
      <c r="A575" s="166"/>
      <c r="B575" s="674" t="str">
        <f>'P-B FGD'!$B$2</f>
        <v>The University of Texas of the Permian Basin</v>
      </c>
      <c r="C575" s="566"/>
      <c r="D575" s="390">
        <f>'P-B FGD'!$D$27</f>
        <v>0</v>
      </c>
      <c r="E575" s="390">
        <f>'P-B FGD'!$E$27</f>
        <v>0</v>
      </c>
      <c r="F575" s="390">
        <f>'P-B FGD'!$F$27</f>
        <v>0</v>
      </c>
      <c r="G575" s="390">
        <f>'P-B FGD'!$G$27</f>
        <v>0</v>
      </c>
      <c r="H575" s="390">
        <f>'P-B FGD'!$H$27</f>
        <v>0</v>
      </c>
      <c r="I575" s="390">
        <f>'P-B FGD'!$I$27</f>
        <v>0</v>
      </c>
      <c r="J575" s="390">
        <f>'P-B FGD'!$J$27</f>
        <v>0</v>
      </c>
      <c r="K575" s="390">
        <f>'P-B FGD'!$K$27</f>
        <v>0</v>
      </c>
      <c r="L575" s="390">
        <f>'P-B FGD'!$L$27</f>
        <v>0</v>
      </c>
      <c r="M575" s="567">
        <f>'P-B FGD'!$M$27</f>
        <v>0</v>
      </c>
      <c r="N575" s="401"/>
    </row>
    <row r="576" spans="1:14" s="171" customFormat="1" ht="12.75" hidden="1" customHeight="1" outlineLevel="1">
      <c r="A576" s="166"/>
      <c r="B576" s="674" t="str">
        <f>'PVAMU FGD'!$B$2</f>
        <v>Prairie View A&amp;M University</v>
      </c>
      <c r="C576" s="566"/>
      <c r="D576" s="390">
        <f>'PVAMU FGD'!$D$27</f>
        <v>0</v>
      </c>
      <c r="E576" s="390">
        <f>'PVAMU FGD'!$E$27</f>
        <v>0</v>
      </c>
      <c r="F576" s="390">
        <f>'PVAMU FGD'!$F$27</f>
        <v>0</v>
      </c>
      <c r="G576" s="390">
        <f>'PVAMU FGD'!$G$27</f>
        <v>0</v>
      </c>
      <c r="H576" s="390">
        <f>'PVAMU FGD'!$H$27</f>
        <v>0</v>
      </c>
      <c r="I576" s="390">
        <f>'PVAMU FGD'!$I$27</f>
        <v>0</v>
      </c>
      <c r="J576" s="390">
        <f>'PVAMU FGD'!$J$27</f>
        <v>0</v>
      </c>
      <c r="K576" s="390">
        <f>'PVAMU FGD'!$K$27</f>
        <v>0</v>
      </c>
      <c r="L576" s="390">
        <f>'PVAMU FGD'!$L$27</f>
        <v>0</v>
      </c>
      <c r="M576" s="567">
        <f>'PVAMU FGD'!$M$27</f>
        <v>0</v>
      </c>
      <c r="N576" s="401"/>
    </row>
    <row r="577" spans="1:14" s="171" customFormat="1" ht="12.75" hidden="1" customHeight="1" outlineLevel="1">
      <c r="A577" s="166"/>
      <c r="B577" s="674" t="str">
        <f>'S-A FGD'!$B$2</f>
        <v>The University of Texas at San Antonio</v>
      </c>
      <c r="C577" s="566"/>
      <c r="D577" s="390">
        <f>'S-A FGD'!$D$27</f>
        <v>0</v>
      </c>
      <c r="E577" s="390">
        <f>'S-A FGD'!$E$27</f>
        <v>0</v>
      </c>
      <c r="F577" s="390">
        <f>'S-A FGD'!$F$27</f>
        <v>0</v>
      </c>
      <c r="G577" s="390">
        <f>'S-A FGD'!$G$27</f>
        <v>0</v>
      </c>
      <c r="H577" s="390">
        <f>'S-A FGD'!$H$27</f>
        <v>0</v>
      </c>
      <c r="I577" s="390">
        <f>'S-A FGD'!$I$27</f>
        <v>0</v>
      </c>
      <c r="J577" s="390">
        <f>'S-A FGD'!$J$27</f>
        <v>0</v>
      </c>
      <c r="K577" s="390">
        <f>'S-A FGD'!$K$27</f>
        <v>0</v>
      </c>
      <c r="L577" s="390">
        <f>'S-A FGD'!$L$27</f>
        <v>0</v>
      </c>
      <c r="M577" s="567">
        <f>'S-A FGD'!$M$27</f>
        <v>0</v>
      </c>
      <c r="N577" s="401"/>
    </row>
    <row r="578" spans="1:14" s="171" customFormat="1" ht="12.75" hidden="1" customHeight="1" outlineLevel="1">
      <c r="A578" s="166"/>
      <c r="B578" s="674" t="str">
        <f>'SFA FGD'!$B$2</f>
        <v>Stephen F. Austin State University</v>
      </c>
      <c r="C578" s="566"/>
      <c r="D578" s="390">
        <f>'SFA FGD'!$D$27</f>
        <v>0</v>
      </c>
      <c r="E578" s="390">
        <f>'SFA FGD'!$E$27</f>
        <v>0</v>
      </c>
      <c r="F578" s="390">
        <f>'SFA FGD'!$F$27</f>
        <v>0</v>
      </c>
      <c r="G578" s="390">
        <f>'SFA FGD'!$G$27</f>
        <v>0</v>
      </c>
      <c r="H578" s="390">
        <f>'SFA FGD'!$H$27</f>
        <v>0</v>
      </c>
      <c r="I578" s="390">
        <f>'SFA FGD'!$I$27</f>
        <v>0</v>
      </c>
      <c r="J578" s="390">
        <f>'SFA FGD'!$J$27</f>
        <v>0</v>
      </c>
      <c r="K578" s="390">
        <f>'SFA FGD'!$K$27</f>
        <v>0</v>
      </c>
      <c r="L578" s="390">
        <f>'SFA FGD'!$L$27</f>
        <v>0</v>
      </c>
      <c r="M578" s="567">
        <f>'SFA FGD'!$M$27</f>
        <v>0</v>
      </c>
      <c r="N578" s="401"/>
    </row>
    <row r="579" spans="1:14" s="171" customFormat="1" ht="12.75" hidden="1" customHeight="1" outlineLevel="1">
      <c r="A579" s="166"/>
      <c r="B579" s="674" t="str">
        <f>'shsu1 FGD'!$B$2</f>
        <v>Sam Houston State University - Academic &amp; Health (A+H)</v>
      </c>
      <c r="C579" s="566"/>
      <c r="D579" s="390">
        <f>'shsu1 FGD'!$D$27</f>
        <v>0</v>
      </c>
      <c r="E579" s="390">
        <f>'shsu1 FGD'!$E$27</f>
        <v>0</v>
      </c>
      <c r="F579" s="390">
        <f>'shsu1 FGD'!$F$27</f>
        <v>0</v>
      </c>
      <c r="G579" s="390">
        <f>'shsu1 FGD'!$G$27</f>
        <v>0</v>
      </c>
      <c r="H579" s="390">
        <f>'shsu1 FGD'!$H$27</f>
        <v>0</v>
      </c>
      <c r="I579" s="390">
        <f>'shsu1 FGD'!$I$27</f>
        <v>0</v>
      </c>
      <c r="J579" s="390">
        <f>'shsu1 FGD'!$J$27</f>
        <v>0</v>
      </c>
      <c r="K579" s="390">
        <f>'shsu1 FGD'!$K$27</f>
        <v>0</v>
      </c>
      <c r="L579" s="390">
        <f>'shsu1 FGD'!$L$27</f>
        <v>0</v>
      </c>
      <c r="M579" s="567">
        <f>'shsu1 FGD'!$M$27</f>
        <v>0</v>
      </c>
      <c r="N579" s="401"/>
    </row>
    <row r="580" spans="1:14" s="171" customFormat="1" ht="12.75" hidden="1" customHeight="1" outlineLevel="1">
      <c r="A580" s="166"/>
      <c r="B580" s="674" t="str">
        <f>'SRSU FGD'!$B$2</f>
        <v>Sul Ross State University</v>
      </c>
      <c r="C580" s="566"/>
      <c r="D580" s="390">
        <f>'SRSU FGD'!$D$27</f>
        <v>0</v>
      </c>
      <c r="E580" s="390">
        <f>'SRSU FGD'!$E$27</f>
        <v>0</v>
      </c>
      <c r="F580" s="390">
        <f>'SRSU FGD'!$F$27</f>
        <v>0</v>
      </c>
      <c r="G580" s="390">
        <f>'SRSU FGD'!$G$27</f>
        <v>0</v>
      </c>
      <c r="H580" s="390">
        <f>'SRSU FGD'!$H$27</f>
        <v>0</v>
      </c>
      <c r="I580" s="390">
        <f>'SRSU FGD'!$I$27</f>
        <v>0</v>
      </c>
      <c r="J580" s="390">
        <f>'SRSU FGD'!$J$27</f>
        <v>0</v>
      </c>
      <c r="K580" s="390">
        <f>'SRSU FGD'!$K$27</f>
        <v>0</v>
      </c>
      <c r="L580" s="390">
        <f>'SRSU FGD'!$L$27</f>
        <v>0</v>
      </c>
      <c r="M580" s="567">
        <f>'SRSU FGD'!$M$27</f>
        <v>0</v>
      </c>
      <c r="N580" s="401"/>
    </row>
    <row r="581" spans="1:14" s="171" customFormat="1" ht="12.75" hidden="1" customHeight="1" outlineLevel="1">
      <c r="A581" s="166"/>
      <c r="B581" s="674" t="str">
        <f>'TAMIU FGD'!$B$2</f>
        <v>Texas A&amp;M International University</v>
      </c>
      <c r="C581" s="566"/>
      <c r="D581" s="390">
        <f>'TAMIU FGD'!$D$27</f>
        <v>0</v>
      </c>
      <c r="E581" s="390">
        <f>'TAMIU FGD'!$E$27</f>
        <v>0</v>
      </c>
      <c r="F581" s="390">
        <f>'TAMIU FGD'!$F$27</f>
        <v>0</v>
      </c>
      <c r="G581" s="390">
        <f>'TAMIU FGD'!$G$27</f>
        <v>0</v>
      </c>
      <c r="H581" s="390">
        <f>'TAMIU FGD'!$H$27</f>
        <v>0</v>
      </c>
      <c r="I581" s="390">
        <f>'TAMIU FGD'!$I$27</f>
        <v>0</v>
      </c>
      <c r="J581" s="390">
        <f>'TAMIU FGD'!$J$27</f>
        <v>0</v>
      </c>
      <c r="K581" s="390">
        <f>'TAMIU FGD'!$K$27</f>
        <v>0</v>
      </c>
      <c r="L581" s="390">
        <f>'TAMIU FGD'!$L$27</f>
        <v>0</v>
      </c>
      <c r="M581" s="567">
        <f>'TAMIU FGD'!$M$27</f>
        <v>0</v>
      </c>
      <c r="N581" s="401"/>
    </row>
    <row r="582" spans="1:14" s="171" customFormat="1" ht="12.75" hidden="1" customHeight="1" outlineLevel="1">
      <c r="A582" s="166"/>
      <c r="B582" s="674" t="str">
        <f>'TAMU FGD'!$B$2</f>
        <v>Texas A&amp;M University</v>
      </c>
      <c r="C582" s="566"/>
      <c r="D582" s="390">
        <f>'TAMU FGD'!$D$27</f>
        <v>0</v>
      </c>
      <c r="E582" s="390">
        <f>'TAMU FGD'!$E$27</f>
        <v>0</v>
      </c>
      <c r="F582" s="390">
        <f>'TAMU FGD'!$F$27</f>
        <v>0</v>
      </c>
      <c r="G582" s="390">
        <f>'TAMU FGD'!$G$27</f>
        <v>0</v>
      </c>
      <c r="H582" s="390">
        <f>'TAMU FGD'!$H$27</f>
        <v>0</v>
      </c>
      <c r="I582" s="390">
        <f>'TAMU FGD'!$I$27</f>
        <v>0</v>
      </c>
      <c r="J582" s="390">
        <f>'TAMU FGD'!$J$27</f>
        <v>0</v>
      </c>
      <c r="K582" s="390">
        <f>'TAMU FGD'!$K$27</f>
        <v>0</v>
      </c>
      <c r="L582" s="390">
        <f>'TAMU FGD'!$L$27</f>
        <v>0</v>
      </c>
      <c r="M582" s="567">
        <f>'TAMU FGD'!$M$27</f>
        <v>0</v>
      </c>
      <c r="N582" s="401"/>
    </row>
    <row r="583" spans="1:14" s="171" customFormat="1" ht="12.75" hidden="1" customHeight="1" outlineLevel="1">
      <c r="A583" s="166"/>
      <c r="B583" s="674" t="str">
        <f>'TAMUC FGD'!$B$2</f>
        <v>Texas A&amp;M University - Commerce</v>
      </c>
      <c r="C583" s="566"/>
      <c r="D583" s="390">
        <f>'TAMUC FGD'!$D$27</f>
        <v>0</v>
      </c>
      <c r="E583" s="390">
        <f>'TAMUC FGD'!$E$27</f>
        <v>0</v>
      </c>
      <c r="F583" s="390">
        <f>'TAMUC FGD'!$F$27</f>
        <v>0</v>
      </c>
      <c r="G583" s="390">
        <f>'TAMUC FGD'!$G$27</f>
        <v>0</v>
      </c>
      <c r="H583" s="390">
        <f>'TAMUC FGD'!$H$27</f>
        <v>0</v>
      </c>
      <c r="I583" s="390">
        <f>'TAMUC FGD'!$I$27</f>
        <v>0</v>
      </c>
      <c r="J583" s="390">
        <f>'TAMUC FGD'!$J$27</f>
        <v>0</v>
      </c>
      <c r="K583" s="390">
        <f>'TAMUC FGD'!$K$27</f>
        <v>0</v>
      </c>
      <c r="L583" s="390">
        <f>'TAMUC FGD'!$L$27</f>
        <v>0</v>
      </c>
      <c r="M583" s="567">
        <f>'TAMUC FGD'!$M$27</f>
        <v>0</v>
      </c>
      <c r="N583" s="401"/>
    </row>
    <row r="584" spans="1:14" s="171" customFormat="1" ht="12.75" hidden="1" customHeight="1" outlineLevel="1">
      <c r="A584" s="166"/>
      <c r="B584" s="674" t="str">
        <f>'TAMUCC FGD'!$B$2</f>
        <v>Texas A&amp;M University - Corpus Christi</v>
      </c>
      <c r="C584" s="566"/>
      <c r="D584" s="390">
        <f>'TAMUCC FGD'!$D$27</f>
        <v>0</v>
      </c>
      <c r="E584" s="390">
        <f>'TAMUCC FGD'!$E$27</f>
        <v>0</v>
      </c>
      <c r="F584" s="390">
        <f>'TAMUCC FGD'!$F$27</f>
        <v>0</v>
      </c>
      <c r="G584" s="390">
        <f>'TAMUCC FGD'!$G$27</f>
        <v>0</v>
      </c>
      <c r="H584" s="390">
        <f>'TAMUCC FGD'!$H$27</f>
        <v>0</v>
      </c>
      <c r="I584" s="390">
        <f>'TAMUCC FGD'!$I$27</f>
        <v>0</v>
      </c>
      <c r="J584" s="390">
        <f>'TAMUCC FGD'!$J$27</f>
        <v>0</v>
      </c>
      <c r="K584" s="390">
        <f>'TAMUCC FGD'!$K$27</f>
        <v>0</v>
      </c>
      <c r="L584" s="390">
        <f>'TAMUCC FGD'!$L$27</f>
        <v>0</v>
      </c>
      <c r="M584" s="567">
        <f>'TAMUCC FGD'!$M$27</f>
        <v>0</v>
      </c>
      <c r="N584" s="401"/>
    </row>
    <row r="585" spans="1:14" s="171" customFormat="1" ht="12.75" hidden="1" customHeight="1" outlineLevel="1">
      <c r="A585" s="166"/>
      <c r="B585" s="674" t="str">
        <f>'TAMUCT FGD'!$B$2</f>
        <v>Texas A&amp;M University - Central Texas</v>
      </c>
      <c r="C585" s="566"/>
      <c r="D585" s="390">
        <f>'TAMUCT FGD'!$D$27</f>
        <v>0</v>
      </c>
      <c r="E585" s="390">
        <f>'TAMUCT FGD'!$E$27</f>
        <v>0</v>
      </c>
      <c r="F585" s="390">
        <f>'TAMUCT FGD'!$F$27</f>
        <v>0</v>
      </c>
      <c r="G585" s="390">
        <f>'TAMUCT FGD'!$G$27</f>
        <v>0</v>
      </c>
      <c r="H585" s="390">
        <f>'TAMUCT FGD'!$H$27</f>
        <v>0</v>
      </c>
      <c r="I585" s="390">
        <f>'TAMUCT FGD'!$I$27</f>
        <v>0</v>
      </c>
      <c r="J585" s="390">
        <f>'TAMUCT FGD'!$J$27</f>
        <v>0</v>
      </c>
      <c r="K585" s="390">
        <f>'TAMUCT FGD'!$K$27</f>
        <v>0</v>
      </c>
      <c r="L585" s="390">
        <f>'TAMUCT FGD'!$L$27</f>
        <v>0</v>
      </c>
      <c r="M585" s="567">
        <f>'TAMUCT FGD'!$M$27</f>
        <v>0</v>
      </c>
      <c r="N585" s="401"/>
    </row>
    <row r="586" spans="1:14" s="171" customFormat="1" ht="12.75" hidden="1" customHeight="1" outlineLevel="1">
      <c r="A586" s="166"/>
      <c r="B586" s="674" t="str">
        <f>'TAMUG FGD'!$B$2</f>
        <v>Texas A&amp;M University at Galveston</v>
      </c>
      <c r="C586" s="566"/>
      <c r="D586" s="390">
        <f>'TAMUG FGD'!$D$27</f>
        <v>0</v>
      </c>
      <c r="E586" s="390">
        <f>'TAMUG FGD'!$E$27</f>
        <v>0</v>
      </c>
      <c r="F586" s="390">
        <f>'TAMUG FGD'!$F$27</f>
        <v>0</v>
      </c>
      <c r="G586" s="390">
        <f>'TAMUG FGD'!$G$27</f>
        <v>0</v>
      </c>
      <c r="H586" s="390">
        <f>'TAMUG FGD'!$H$27</f>
        <v>0</v>
      </c>
      <c r="I586" s="390">
        <f>'TAMUG FGD'!$I$27</f>
        <v>0</v>
      </c>
      <c r="J586" s="390">
        <f>'TAMUG FGD'!$J$27</f>
        <v>0</v>
      </c>
      <c r="K586" s="390">
        <f>'TAMUG FGD'!$K$27</f>
        <v>0</v>
      </c>
      <c r="L586" s="390">
        <f>'TAMUG FGD'!$L$27</f>
        <v>0</v>
      </c>
      <c r="M586" s="567">
        <f>'TAMUG FGD'!$M$27</f>
        <v>0</v>
      </c>
      <c r="N586" s="401"/>
    </row>
    <row r="587" spans="1:14" s="171" customFormat="1" ht="12.75" hidden="1" customHeight="1" outlineLevel="1">
      <c r="A587" s="166"/>
      <c r="B587" s="674" t="str">
        <f>'TAMUK FGD'!$B$2</f>
        <v>Texas A&amp;M University - Kingsville</v>
      </c>
      <c r="C587" s="566"/>
      <c r="D587" s="390">
        <f>'TAMUK FGD'!$D$27</f>
        <v>0</v>
      </c>
      <c r="E587" s="390">
        <f>'TAMUK FGD'!$E$27</f>
        <v>0</v>
      </c>
      <c r="F587" s="390">
        <f>'TAMUK FGD'!$F$27</f>
        <v>0</v>
      </c>
      <c r="G587" s="390">
        <f>'TAMUK FGD'!$G$27</f>
        <v>0</v>
      </c>
      <c r="H587" s="390">
        <f>'TAMUK FGD'!$H$27</f>
        <v>0</v>
      </c>
      <c r="I587" s="390">
        <f>'TAMUK FGD'!$I$27</f>
        <v>0</v>
      </c>
      <c r="J587" s="390">
        <f>'TAMUK FGD'!$J$27</f>
        <v>0</v>
      </c>
      <c r="K587" s="390">
        <f>'TAMUK FGD'!$K$27</f>
        <v>0</v>
      </c>
      <c r="L587" s="390">
        <f>'TAMUK FGD'!$L$27</f>
        <v>0</v>
      </c>
      <c r="M587" s="567">
        <f>'TAMUK FGD'!$M$27</f>
        <v>0</v>
      </c>
      <c r="N587" s="401"/>
    </row>
    <row r="588" spans="1:14" s="171" customFormat="1" ht="12.75" hidden="1" customHeight="1" outlineLevel="1">
      <c r="A588" s="166"/>
      <c r="B588" s="674" t="str">
        <f>'TAMUSA FGD'!$B$2</f>
        <v>Texas A&amp;M University - San Antonio</v>
      </c>
      <c r="C588" s="566"/>
      <c r="D588" s="390">
        <f>'TAMUSA FGD'!$D$27</f>
        <v>0</v>
      </c>
      <c r="E588" s="390">
        <f>'TAMUSA FGD'!$E$27</f>
        <v>0</v>
      </c>
      <c r="F588" s="390">
        <f>'TAMUSA FGD'!$F$27</f>
        <v>0</v>
      </c>
      <c r="G588" s="390">
        <f>'TAMUSA FGD'!$G$27</f>
        <v>0</v>
      </c>
      <c r="H588" s="390">
        <f>'TAMUSA FGD'!$H$27</f>
        <v>0</v>
      </c>
      <c r="I588" s="390">
        <f>'TAMUSA FGD'!$I$27</f>
        <v>0</v>
      </c>
      <c r="J588" s="390">
        <f>'TAMUSA FGD'!$J$27</f>
        <v>0</v>
      </c>
      <c r="K588" s="390">
        <f>'TAMUSA FGD'!$K$27</f>
        <v>0</v>
      </c>
      <c r="L588" s="390">
        <f>'TAMUSA FGD'!$L$27</f>
        <v>0</v>
      </c>
      <c r="M588" s="567">
        <f>'TAMUSA FGD'!$M$27</f>
        <v>0</v>
      </c>
      <c r="N588" s="401"/>
    </row>
    <row r="589" spans="1:14" s="171" customFormat="1" ht="12.75" hidden="1" customHeight="1" outlineLevel="1">
      <c r="A589" s="166"/>
      <c r="B589" s="674" t="str">
        <f>'TAMUT FGD'!$B$2</f>
        <v>Texas A&amp;M University - Texarkana</v>
      </c>
      <c r="C589" s="566"/>
      <c r="D589" s="390">
        <f>'TAMUT FGD'!$D$27</f>
        <v>0</v>
      </c>
      <c r="E589" s="390">
        <f>'TAMUT FGD'!$E$27</f>
        <v>0</v>
      </c>
      <c r="F589" s="390">
        <f>'TAMUT FGD'!$F$27</f>
        <v>0</v>
      </c>
      <c r="G589" s="390">
        <f>'TAMUT FGD'!$G$27</f>
        <v>0</v>
      </c>
      <c r="H589" s="390">
        <f>'TAMUT FGD'!$H$27</f>
        <v>0</v>
      </c>
      <c r="I589" s="390">
        <f>'TAMUT FGD'!$I$27</f>
        <v>0</v>
      </c>
      <c r="J589" s="390">
        <f>'TAMUT FGD'!$J$27</f>
        <v>0</v>
      </c>
      <c r="K589" s="390">
        <f>'TAMUT FGD'!$K$27</f>
        <v>0</v>
      </c>
      <c r="L589" s="390">
        <f>'TAMUT FGD'!$L$27</f>
        <v>0</v>
      </c>
      <c r="M589" s="567">
        <f>'TAMUT FGD'!$M$27</f>
        <v>0</v>
      </c>
      <c r="N589" s="401"/>
    </row>
    <row r="590" spans="1:14" s="171" customFormat="1" ht="12.75" hidden="1" customHeight="1" outlineLevel="1">
      <c r="A590" s="166"/>
      <c r="B590" s="674" t="str">
        <f>'TARLST FGD'!$B$2</f>
        <v>Tarleton State University</v>
      </c>
      <c r="C590" s="566"/>
      <c r="D590" s="390">
        <f>'TARLST FGD'!$D$27</f>
        <v>-277625</v>
      </c>
      <c r="E590" s="390">
        <f>'TARLST FGD'!$E$27</f>
        <v>0</v>
      </c>
      <c r="F590" s="390">
        <f>'TARLST FGD'!$F$27</f>
        <v>0</v>
      </c>
      <c r="G590" s="390">
        <f>'TARLST FGD'!$G$27</f>
        <v>0</v>
      </c>
      <c r="H590" s="390">
        <f>'TARLST FGD'!$H$27</f>
        <v>0</v>
      </c>
      <c r="I590" s="390">
        <f>'TARLST FGD'!$I$27</f>
        <v>0</v>
      </c>
      <c r="J590" s="390">
        <f>'TARLST FGD'!$J$27</f>
        <v>0</v>
      </c>
      <c r="K590" s="390">
        <f>'TARLST FGD'!$K$27</f>
        <v>0</v>
      </c>
      <c r="L590" s="390">
        <f>'TARLST FGD'!$L$27</f>
        <v>0</v>
      </c>
      <c r="M590" s="567">
        <f>'TARLST FGD'!$M$27</f>
        <v>-277625</v>
      </c>
      <c r="N590" s="401"/>
    </row>
    <row r="591" spans="1:14" s="171" customFormat="1" ht="12.75" hidden="1" customHeight="1" outlineLevel="1">
      <c r="A591" s="166"/>
      <c r="B591" s="674" t="str">
        <f>'TSU FGD'!$B$2</f>
        <v>Texas Southern University</v>
      </c>
      <c r="C591" s="566"/>
      <c r="D591" s="390">
        <f>'TSU FGD'!$D$27</f>
        <v>0</v>
      </c>
      <c r="E591" s="390">
        <f>'TSU FGD'!$E$27</f>
        <v>0</v>
      </c>
      <c r="F591" s="390">
        <f>'TSU FGD'!$F$27</f>
        <v>0</v>
      </c>
      <c r="G591" s="390">
        <f>'TSU FGD'!$G$27</f>
        <v>0</v>
      </c>
      <c r="H591" s="390">
        <f>'TSU FGD'!$H$27</f>
        <v>0</v>
      </c>
      <c r="I591" s="390">
        <f>'TSU FGD'!$I$27</f>
        <v>0</v>
      </c>
      <c r="J591" s="390">
        <f>'TSU FGD'!$J$27</f>
        <v>0</v>
      </c>
      <c r="K591" s="390">
        <f>'TSU FGD'!$K$27</f>
        <v>0</v>
      </c>
      <c r="L591" s="390">
        <f>'TSU FGD'!$L$27</f>
        <v>0</v>
      </c>
      <c r="M591" s="567">
        <f>'TSU FGD'!$M$27</f>
        <v>0</v>
      </c>
      <c r="N591" s="401"/>
    </row>
    <row r="592" spans="1:14" s="171" customFormat="1" ht="12.75" hidden="1" customHeight="1" outlineLevel="1">
      <c r="A592" s="166"/>
      <c r="B592" s="674" t="str">
        <f>'TTU FGD'!$B$2</f>
        <v>Texas Tech University</v>
      </c>
      <c r="C592" s="566"/>
      <c r="D592" s="390">
        <f>'TTU FGD'!$D$27</f>
        <v>0</v>
      </c>
      <c r="E592" s="390">
        <f>'TTU FGD'!$E$27</f>
        <v>0</v>
      </c>
      <c r="F592" s="390">
        <f>'TTU FGD'!$F$27</f>
        <v>0</v>
      </c>
      <c r="G592" s="390">
        <f>'TTU FGD'!$G$27</f>
        <v>0</v>
      </c>
      <c r="H592" s="390">
        <f>'TTU FGD'!$H$27</f>
        <v>0</v>
      </c>
      <c r="I592" s="390">
        <f>'TTU FGD'!$I$27</f>
        <v>0</v>
      </c>
      <c r="J592" s="390">
        <f>'TTU FGD'!$J$27</f>
        <v>0</v>
      </c>
      <c r="K592" s="390">
        <f>'TTU FGD'!$K$27</f>
        <v>0</v>
      </c>
      <c r="L592" s="390">
        <f>'TTU FGD'!$L$27</f>
        <v>0</v>
      </c>
      <c r="M592" s="567">
        <f>'TTU FGD'!$M$27</f>
        <v>0</v>
      </c>
      <c r="N592" s="401"/>
    </row>
    <row r="593" spans="1:14" s="171" customFormat="1" ht="12.75" hidden="1" customHeight="1" outlineLevel="1">
      <c r="A593" s="166"/>
      <c r="B593" s="674" t="str">
        <f>'TWU FGD'!$B$2</f>
        <v>Texas Woman's University</v>
      </c>
      <c r="C593" s="566"/>
      <c r="D593" s="390">
        <f>'TWU FGD'!$D$27</f>
        <v>0</v>
      </c>
      <c r="E593" s="390">
        <f>'TWU FGD'!$E$27</f>
        <v>-2881523</v>
      </c>
      <c r="F593" s="390">
        <f>'TWU FGD'!$F$27</f>
        <v>0</v>
      </c>
      <c r="G593" s="390">
        <f>'TWU FGD'!$G$27</f>
        <v>0</v>
      </c>
      <c r="H593" s="390">
        <f>'TWU FGD'!$H$27</f>
        <v>0</v>
      </c>
      <c r="I593" s="390">
        <f>'TWU FGD'!$I$27</f>
        <v>0</v>
      </c>
      <c r="J593" s="390">
        <f>'TWU FGD'!$J$27</f>
        <v>0</v>
      </c>
      <c r="K593" s="390">
        <f>'TWU FGD'!$K$27</f>
        <v>0</v>
      </c>
      <c r="L593" s="390">
        <f>'TWU FGD'!$L$27</f>
        <v>0</v>
      </c>
      <c r="M593" s="567">
        <f>'TWU FGD'!$M$27</f>
        <v>-2881523</v>
      </c>
      <c r="N593" s="401"/>
    </row>
    <row r="594" spans="1:14" s="171" customFormat="1" ht="12.75" hidden="1" customHeight="1" outlineLevel="1">
      <c r="A594" s="166"/>
      <c r="B594" s="674" t="str">
        <f>'TXST FGD'!$B$2</f>
        <v>Texas State University</v>
      </c>
      <c r="C594" s="566"/>
      <c r="D594" s="390">
        <f>'TXST FGD'!$D$27</f>
        <v>0</v>
      </c>
      <c r="E594" s="390">
        <f>'TXST FGD'!$E$27</f>
        <v>0</v>
      </c>
      <c r="F594" s="390">
        <f>'TXST FGD'!$F$27</f>
        <v>0</v>
      </c>
      <c r="G594" s="390">
        <f>'TXST FGD'!$G$27</f>
        <v>0</v>
      </c>
      <c r="H594" s="390">
        <f>'TXST FGD'!$H$27</f>
        <v>0</v>
      </c>
      <c r="I594" s="390">
        <f>'TXST FGD'!$I$27</f>
        <v>0</v>
      </c>
      <c r="J594" s="390">
        <f>'TXST FGD'!$J$27</f>
        <v>0</v>
      </c>
      <c r="K594" s="390">
        <f>'TXST FGD'!$K$27</f>
        <v>0</v>
      </c>
      <c r="L594" s="390">
        <f>'TXST FGD'!$L$27</f>
        <v>0</v>
      </c>
      <c r="M594" s="567">
        <f>'TXST FGD'!$M$27</f>
        <v>0</v>
      </c>
      <c r="N594" s="401"/>
    </row>
    <row r="595" spans="1:14" s="171" customFormat="1" ht="12.75" hidden="1" customHeight="1" outlineLevel="1">
      <c r="A595" s="166"/>
      <c r="B595" s="674" t="str">
        <f>'TYL FGD'!$B$2</f>
        <v>The University of Texas at Tyler</v>
      </c>
      <c r="C595" s="566"/>
      <c r="D595" s="390">
        <f>'TYL FGD'!$D$27</f>
        <v>0</v>
      </c>
      <c r="E595" s="390">
        <f>'TYL FGD'!$E$27</f>
        <v>0</v>
      </c>
      <c r="F595" s="390">
        <f>'TYL FGD'!$F$27</f>
        <v>0</v>
      </c>
      <c r="G595" s="390">
        <f>'TYL FGD'!$G$27</f>
        <v>0</v>
      </c>
      <c r="H595" s="390">
        <f>'TYL FGD'!$H$27</f>
        <v>0</v>
      </c>
      <c r="I595" s="390">
        <f>'TYL FGD'!$I$27</f>
        <v>0</v>
      </c>
      <c r="J595" s="390">
        <f>'TYL FGD'!$J$27</f>
        <v>0</v>
      </c>
      <c r="K595" s="390">
        <f>'TYL FGD'!$K$27</f>
        <v>0</v>
      </c>
      <c r="L595" s="390">
        <f>'TYL FGD'!$L$27</f>
        <v>0</v>
      </c>
      <c r="M595" s="567">
        <f>'TYL FGD'!$M$27</f>
        <v>0</v>
      </c>
      <c r="N595" s="401"/>
    </row>
    <row r="596" spans="1:14" s="171" customFormat="1" ht="12.75" hidden="1" customHeight="1" outlineLevel="1">
      <c r="A596" s="166"/>
      <c r="B596" s="674" t="str">
        <f>'UH1 FGD'!$B$2</f>
        <v>University of Houston - Academic &amp; Health (A+H)</v>
      </c>
      <c r="C596" s="566"/>
      <c r="D596" s="390">
        <f>'UH1 FGD'!$D$27</f>
        <v>0</v>
      </c>
      <c r="E596" s="390">
        <f>'UH1 FGD'!$E$27</f>
        <v>0</v>
      </c>
      <c r="F596" s="390">
        <f>'UH1 FGD'!$F$27</f>
        <v>0</v>
      </c>
      <c r="G596" s="390">
        <f>'UH1 FGD'!$G$27</f>
        <v>0</v>
      </c>
      <c r="H596" s="390">
        <f>'UH1 FGD'!$H$27</f>
        <v>0</v>
      </c>
      <c r="I596" s="390">
        <f>'UH1 FGD'!$I$27</f>
        <v>0</v>
      </c>
      <c r="J596" s="390">
        <f>'UH1 FGD'!$J$27</f>
        <v>0</v>
      </c>
      <c r="K596" s="390">
        <f>'UH1 FGD'!$K$27</f>
        <v>0</v>
      </c>
      <c r="L596" s="390">
        <f>'UH1 FGD'!$L$27</f>
        <v>0</v>
      </c>
      <c r="M596" s="567">
        <f>'UH1 FGD'!$M$27</f>
        <v>0</v>
      </c>
      <c r="N596" s="401"/>
    </row>
    <row r="597" spans="1:14" s="171" customFormat="1" ht="12.75" hidden="1" customHeight="1" outlineLevel="1">
      <c r="A597" s="166"/>
      <c r="B597" s="674" t="str">
        <f>'UHCL FGD'!$B$2</f>
        <v>University of Houston - Clear Lake</v>
      </c>
      <c r="C597" s="566"/>
      <c r="D597" s="390">
        <f>'UHCL FGD'!$D$27</f>
        <v>0</v>
      </c>
      <c r="E597" s="390">
        <f>'UHCL FGD'!$E$27</f>
        <v>0</v>
      </c>
      <c r="F597" s="390">
        <f>'UHCL FGD'!$F$27</f>
        <v>0</v>
      </c>
      <c r="G597" s="390">
        <f>'UHCL FGD'!$G$27</f>
        <v>0</v>
      </c>
      <c r="H597" s="390">
        <f>'UHCL FGD'!$H$27</f>
        <v>0</v>
      </c>
      <c r="I597" s="390">
        <f>'UHCL FGD'!$I$27</f>
        <v>0</v>
      </c>
      <c r="J597" s="390">
        <f>'UHCL FGD'!$J$27</f>
        <v>0</v>
      </c>
      <c r="K597" s="390">
        <f>'UHCL FGD'!$K$27</f>
        <v>0</v>
      </c>
      <c r="L597" s="390">
        <f>'UHCL FGD'!$L$27</f>
        <v>0</v>
      </c>
      <c r="M597" s="567">
        <f>'UHCL FGD'!$M$27</f>
        <v>0</v>
      </c>
      <c r="N597" s="401"/>
    </row>
    <row r="598" spans="1:14" s="171" customFormat="1" ht="12.75" hidden="1" customHeight="1" outlineLevel="1">
      <c r="A598" s="166"/>
      <c r="B598" s="674" t="str">
        <f>'UHD FGD'!$B$2</f>
        <v>University of Houston - Downtown</v>
      </c>
      <c r="C598" s="566"/>
      <c r="D598" s="390">
        <f>'UHD FGD'!$D$27</f>
        <v>0</v>
      </c>
      <c r="E598" s="390">
        <f>'UHD FGD'!$E$27</f>
        <v>0</v>
      </c>
      <c r="F598" s="390">
        <f>'UHD FGD'!$F$27</f>
        <v>0</v>
      </c>
      <c r="G598" s="390">
        <f>'UHD FGD'!$G$27</f>
        <v>0</v>
      </c>
      <c r="H598" s="390">
        <f>'UHD FGD'!$H$27</f>
        <v>0</v>
      </c>
      <c r="I598" s="390">
        <f>'UHD FGD'!$I$27</f>
        <v>0</v>
      </c>
      <c r="J598" s="390">
        <f>'UHD FGD'!$J$27</f>
        <v>0</v>
      </c>
      <c r="K598" s="390">
        <f>'UHD FGD'!$K$27</f>
        <v>0</v>
      </c>
      <c r="L598" s="390">
        <f>'UHD FGD'!$L$27</f>
        <v>0</v>
      </c>
      <c r="M598" s="567">
        <f>'UHD FGD'!$M$27</f>
        <v>0</v>
      </c>
      <c r="N598" s="401"/>
    </row>
    <row r="599" spans="1:14" s="171" customFormat="1" ht="12.75" hidden="1" customHeight="1" outlineLevel="1">
      <c r="A599" s="166"/>
      <c r="B599" s="674" t="str">
        <f>'UHV FGD'!$B$2</f>
        <v>University of Houston - Victoria</v>
      </c>
      <c r="C599" s="566"/>
      <c r="D599" s="390">
        <f>'UHV FGD'!$D$27</f>
        <v>0</v>
      </c>
      <c r="E599" s="390">
        <f>'UHV FGD'!$E$27</f>
        <v>0</v>
      </c>
      <c r="F599" s="390">
        <f>'UHV FGD'!$F$27</f>
        <v>0</v>
      </c>
      <c r="G599" s="390">
        <f>'UHV FGD'!$G$27</f>
        <v>0</v>
      </c>
      <c r="H599" s="390">
        <f>'UHV FGD'!$H$27</f>
        <v>0</v>
      </c>
      <c r="I599" s="390">
        <f>'UHV FGD'!$I$27</f>
        <v>0</v>
      </c>
      <c r="J599" s="390">
        <f>'UHV FGD'!$J$27</f>
        <v>0</v>
      </c>
      <c r="K599" s="390">
        <f>'UHV FGD'!$K$27</f>
        <v>0</v>
      </c>
      <c r="L599" s="390">
        <f>'UHV FGD'!$L$27</f>
        <v>0</v>
      </c>
      <c r="M599" s="567">
        <f>'UHV FGD'!$M$27</f>
        <v>0</v>
      </c>
      <c r="N599" s="401"/>
    </row>
    <row r="600" spans="1:14" s="171" customFormat="1" ht="12.75" hidden="1" customHeight="1" outlineLevel="1">
      <c r="A600" s="166"/>
      <c r="B600" s="674" t="str">
        <f>'UNT FGD'!$B$2</f>
        <v>University of North Texas</v>
      </c>
      <c r="C600" s="566"/>
      <c r="D600" s="390">
        <f>'UNT FGD'!$D$27</f>
        <v>0</v>
      </c>
      <c r="E600" s="390">
        <f>'UNT FGD'!$E$27</f>
        <v>0</v>
      </c>
      <c r="F600" s="390">
        <f>'UNT FGD'!$F$27</f>
        <v>0</v>
      </c>
      <c r="G600" s="390">
        <f>'UNT FGD'!$G$27</f>
        <v>0</v>
      </c>
      <c r="H600" s="390">
        <f>'UNT FGD'!$H$27</f>
        <v>0</v>
      </c>
      <c r="I600" s="390">
        <f>'UNT FGD'!$I$27</f>
        <v>0</v>
      </c>
      <c r="J600" s="390">
        <f>'UNT FGD'!$J$27</f>
        <v>0</v>
      </c>
      <c r="K600" s="390">
        <f>'UNT FGD'!$K$27</f>
        <v>0</v>
      </c>
      <c r="L600" s="390">
        <f>'UNT FGD'!$L$27</f>
        <v>0</v>
      </c>
      <c r="M600" s="567">
        <f>'UNT FGD'!$M$27</f>
        <v>0</v>
      </c>
      <c r="N600" s="401"/>
    </row>
    <row r="601" spans="1:14" s="171" customFormat="1" ht="12.75" hidden="1" customHeight="1" outlineLevel="1">
      <c r="A601" s="166"/>
      <c r="B601" s="674" t="str">
        <f>'UNTD FGD'!$B$2</f>
        <v>University of North Texas at Dallas</v>
      </c>
      <c r="C601" s="566"/>
      <c r="D601" s="390">
        <f>'UNTD FGD'!$D$27</f>
        <v>0</v>
      </c>
      <c r="E601" s="390">
        <f>'UNTD FGD'!$E$27</f>
        <v>0</v>
      </c>
      <c r="F601" s="390">
        <f>'UNTD FGD'!$F$27</f>
        <v>0</v>
      </c>
      <c r="G601" s="390">
        <f>'UNTD FGD'!$G$27</f>
        <v>0</v>
      </c>
      <c r="H601" s="390">
        <f>'UNTD FGD'!$H$27</f>
        <v>0</v>
      </c>
      <c r="I601" s="390">
        <f>'UNTD FGD'!$I$27</f>
        <v>0</v>
      </c>
      <c r="J601" s="390">
        <f>'UNTD FGD'!$J$27</f>
        <v>0</v>
      </c>
      <c r="K601" s="390">
        <f>'UNTD FGD'!$K$27</f>
        <v>0</v>
      </c>
      <c r="L601" s="390">
        <f>'UNTD FGD'!$L$27</f>
        <v>0</v>
      </c>
      <c r="M601" s="567">
        <f>'UNTD FGD'!$M$27</f>
        <v>0</v>
      </c>
      <c r="N601" s="401"/>
    </row>
    <row r="602" spans="1:14" s="171" customFormat="1" ht="12.75" hidden="1" customHeight="1" outlineLevel="1">
      <c r="A602" s="166"/>
      <c r="B602" s="674" t="str">
        <f>'WTAMU FGD'!$B$2</f>
        <v>West Texas A&amp;M University</v>
      </c>
      <c r="C602" s="566"/>
      <c r="D602" s="390">
        <f>'WTAMU FGD'!$D$27</f>
        <v>0</v>
      </c>
      <c r="E602" s="390">
        <f>'WTAMU FGD'!$E$27</f>
        <v>0</v>
      </c>
      <c r="F602" s="390">
        <f>'WTAMU FGD'!$F$27</f>
        <v>0</v>
      </c>
      <c r="G602" s="390">
        <f>'WTAMU FGD'!$G$27</f>
        <v>0</v>
      </c>
      <c r="H602" s="390">
        <f>'WTAMU FGD'!$H$27</f>
        <v>0</v>
      </c>
      <c r="I602" s="390">
        <f>'WTAMU FGD'!$I$27</f>
        <v>0</v>
      </c>
      <c r="J602" s="390">
        <f>'WTAMU FGD'!$J$27</f>
        <v>0</v>
      </c>
      <c r="K602" s="390">
        <f>'WTAMU FGD'!$K$27</f>
        <v>0</v>
      </c>
      <c r="L602" s="390">
        <f>'WTAMU FGD'!$L$27</f>
        <v>0</v>
      </c>
      <c r="M602" s="567">
        <f>'WTAMU FGD'!$M$27</f>
        <v>0</v>
      </c>
      <c r="N602" s="401"/>
    </row>
    <row r="603" spans="1:14" s="171" customFormat="1" collapsed="1">
      <c r="A603" s="166"/>
      <c r="B603" s="261" t="s">
        <v>730</v>
      </c>
      <c r="C603" s="566"/>
      <c r="D603" s="390">
        <f t="shared" ref="D603:M603" si="15">SUM(D567:D602)</f>
        <v>-319394</v>
      </c>
      <c r="E603" s="390">
        <f t="shared" si="15"/>
        <v>-3025861</v>
      </c>
      <c r="F603" s="390">
        <f t="shared" si="15"/>
        <v>0</v>
      </c>
      <c r="G603" s="390">
        <f t="shared" si="15"/>
        <v>0</v>
      </c>
      <c r="H603" s="390">
        <f t="shared" si="15"/>
        <v>0</v>
      </c>
      <c r="I603" s="390">
        <f t="shared" si="15"/>
        <v>0</v>
      </c>
      <c r="J603" s="390">
        <f t="shared" si="15"/>
        <v>0</v>
      </c>
      <c r="K603" s="390">
        <f t="shared" si="15"/>
        <v>0</v>
      </c>
      <c r="L603" s="390">
        <f t="shared" si="15"/>
        <v>0</v>
      </c>
      <c r="M603" s="567">
        <f t="shared" si="15"/>
        <v>-3345255</v>
      </c>
      <c r="N603" s="401"/>
    </row>
    <row r="604" spans="1:14" s="171" customFormat="1" ht="12.75" hidden="1" customHeight="1" outlineLevel="1">
      <c r="A604" s="166"/>
      <c r="B604" s="674" t="str">
        <f>'ARL FGD'!$B$2</f>
        <v>The University of Texas at Arlington</v>
      </c>
      <c r="C604" s="566"/>
      <c r="D604" s="390">
        <f>'ARL FGD'!$D$28</f>
        <v>-10625726</v>
      </c>
      <c r="E604" s="390">
        <f>'ARL FGD'!$E$28</f>
        <v>-56894527</v>
      </c>
      <c r="F604" s="390">
        <f>'ARL FGD'!$F$28</f>
        <v>0</v>
      </c>
      <c r="G604" s="390">
        <f>'ARL FGD'!$G$28</f>
        <v>0</v>
      </c>
      <c r="H604" s="390">
        <f>'ARL FGD'!$H$28</f>
        <v>0</v>
      </c>
      <c r="I604" s="390">
        <f>'ARL FGD'!$I$28</f>
        <v>0</v>
      </c>
      <c r="J604" s="390">
        <f>'ARL FGD'!$J$28</f>
        <v>0</v>
      </c>
      <c r="K604" s="390">
        <f>'ARL FGD'!$K$28</f>
        <v>0</v>
      </c>
      <c r="L604" s="390">
        <f>'ARL FGD'!$L$28</f>
        <v>0</v>
      </c>
      <c r="M604" s="567">
        <f>'ARL FGD'!$M$28</f>
        <v>-67520253</v>
      </c>
      <c r="N604" s="401"/>
    </row>
    <row r="605" spans="1:14" s="171" customFormat="1" ht="12.75" hidden="1" customHeight="1" outlineLevel="1">
      <c r="A605" s="166"/>
      <c r="B605" s="674" t="str">
        <f>'ASU FGD'!$B$2</f>
        <v>Angelo State University</v>
      </c>
      <c r="C605" s="566"/>
      <c r="D605" s="390">
        <f>'ASU FGD'!$D$28</f>
        <v>-3907335</v>
      </c>
      <c r="E605" s="390">
        <f>'ASU FGD'!$E$28</f>
        <v>-7577482</v>
      </c>
      <c r="F605" s="390">
        <f>'ASU FGD'!$F$28</f>
        <v>0</v>
      </c>
      <c r="G605" s="390">
        <f>'ASU FGD'!$G$28</f>
        <v>0</v>
      </c>
      <c r="H605" s="390">
        <f>'ASU FGD'!$H$28</f>
        <v>0</v>
      </c>
      <c r="I605" s="390">
        <f>'ASU FGD'!$I$28</f>
        <v>0</v>
      </c>
      <c r="J605" s="390">
        <f>'ASU FGD'!$J$28</f>
        <v>0</v>
      </c>
      <c r="K605" s="390">
        <f>'ASU FGD'!$K$28</f>
        <v>0</v>
      </c>
      <c r="L605" s="390">
        <f>'ASU FGD'!$L$28</f>
        <v>0</v>
      </c>
      <c r="M605" s="567">
        <f>'ASU FGD'!$M$28</f>
        <v>-11484817</v>
      </c>
      <c r="N605" s="401"/>
    </row>
    <row r="606" spans="1:14" s="171" customFormat="1" ht="12.75" hidden="1" customHeight="1" outlineLevel="1">
      <c r="A606" s="166"/>
      <c r="B606" s="674" t="str">
        <f>'AUS1 FGD'!$B$2</f>
        <v>The University of Texas at Austin - Academic &amp; Health (A+H)</v>
      </c>
      <c r="C606" s="566"/>
      <c r="D606" s="390">
        <f>'AUS1 FGD'!$D$28</f>
        <v>-28784005</v>
      </c>
      <c r="E606" s="390">
        <f>'AUS1 FGD'!$E$28</f>
        <v>-121655829</v>
      </c>
      <c r="F606" s="390">
        <f>'AUS1 FGD'!$F$28</f>
        <v>0</v>
      </c>
      <c r="G606" s="390">
        <f>'AUS1 FGD'!$G$28</f>
        <v>0</v>
      </c>
      <c r="H606" s="390">
        <f>'AUS1 FGD'!$H$28</f>
        <v>0</v>
      </c>
      <c r="I606" s="390">
        <f>'AUS1 FGD'!$I$28</f>
        <v>0</v>
      </c>
      <c r="J606" s="390">
        <f>'AUS1 FGD'!$J$28</f>
        <v>0</v>
      </c>
      <c r="K606" s="390">
        <f>'AUS1 FGD'!$K$28</f>
        <v>0</v>
      </c>
      <c r="L606" s="390">
        <f>'AUS1 FGD'!$L$28</f>
        <v>0</v>
      </c>
      <c r="M606" s="567">
        <f>'AUS1 FGD'!$M$28</f>
        <v>-150439834</v>
      </c>
      <c r="N606" s="401"/>
    </row>
    <row r="607" spans="1:14" s="171" customFormat="1" ht="12.75" hidden="1" customHeight="1" outlineLevel="1">
      <c r="A607" s="166"/>
      <c r="B607" s="674" t="str">
        <f>'RGV1 FGD'!$B$2</f>
        <v>The University of Texas RGV - Academic &amp; Health (A+H)</v>
      </c>
      <c r="C607" s="566"/>
      <c r="D607" s="390">
        <f>'RGV1 FGD'!$D$28</f>
        <v>-24287025</v>
      </c>
      <c r="E607" s="390">
        <f>'RGV1 FGD'!$E$28</f>
        <v>-93353751</v>
      </c>
      <c r="F607" s="390">
        <f>'RGV1 FGD'!$F$28</f>
        <v>0</v>
      </c>
      <c r="G607" s="390">
        <f>'RGV1 FGD'!$G$28</f>
        <v>0</v>
      </c>
      <c r="H607" s="390">
        <f>'RGV1 FGD'!$H$28</f>
        <v>0</v>
      </c>
      <c r="I607" s="390">
        <f>'RGV1 FGD'!$I$28</f>
        <v>0</v>
      </c>
      <c r="J607" s="390">
        <f>'RGV1 FGD'!$J$28</f>
        <v>0</v>
      </c>
      <c r="K607" s="390">
        <f>'RGV1 FGD'!$K$28</f>
        <v>0</v>
      </c>
      <c r="L607" s="390">
        <f>'RGV1 FGD'!$L$28</f>
        <v>0</v>
      </c>
      <c r="M607" s="567">
        <f>'RGV1 FGD'!$M$28</f>
        <v>-117640776</v>
      </c>
      <c r="N607" s="401"/>
    </row>
    <row r="608" spans="1:14" s="171" customFormat="1" ht="12.75" hidden="1" customHeight="1" outlineLevel="1">
      <c r="A608" s="166"/>
      <c r="B608" s="674" t="str">
        <f>'DAL FGD'!$B$2</f>
        <v>The University of Texas at Dallas</v>
      </c>
      <c r="C608" s="566"/>
      <c r="D608" s="390">
        <f>'DAL FGD'!$D$28</f>
        <v>-17747863</v>
      </c>
      <c r="E608" s="390">
        <f>'DAL FGD'!$E$28</f>
        <v>-103878231</v>
      </c>
      <c r="F608" s="390">
        <f>'DAL FGD'!$F$28</f>
        <v>0</v>
      </c>
      <c r="G608" s="390">
        <f>'DAL FGD'!$G$28</f>
        <v>0</v>
      </c>
      <c r="H608" s="390">
        <f>'DAL FGD'!$H$28</f>
        <v>0</v>
      </c>
      <c r="I608" s="390">
        <f>'DAL FGD'!$I$28</f>
        <v>0</v>
      </c>
      <c r="J608" s="390">
        <f>'DAL FGD'!$J$28</f>
        <v>0</v>
      </c>
      <c r="K608" s="390">
        <f>'DAL FGD'!$K$28</f>
        <v>0</v>
      </c>
      <c r="L608" s="390">
        <f>'DAL FGD'!$L$28</f>
        <v>0</v>
      </c>
      <c r="M608" s="567">
        <f>'DAL FGD'!$M$28</f>
        <v>-121626094</v>
      </c>
      <c r="N608" s="401"/>
    </row>
    <row r="609" spans="1:14" s="171" customFormat="1" ht="12.75" hidden="1" customHeight="1" outlineLevel="1">
      <c r="A609" s="166"/>
      <c r="B609" s="674" t="str">
        <f>'E-P FGD'!$B$2</f>
        <v>The University of Texas at El Paso</v>
      </c>
      <c r="C609" s="566"/>
      <c r="D609" s="390">
        <f>'E-P FGD'!$D$28</f>
        <v>-8511425</v>
      </c>
      <c r="E609" s="390">
        <f>'E-P FGD'!$E$28</f>
        <v>-26598360</v>
      </c>
      <c r="F609" s="390">
        <f>'E-P FGD'!$F$28</f>
        <v>0</v>
      </c>
      <c r="G609" s="390">
        <f>'E-P FGD'!$G$28</f>
        <v>0</v>
      </c>
      <c r="H609" s="390">
        <f>'E-P FGD'!$H$28</f>
        <v>0</v>
      </c>
      <c r="I609" s="390">
        <f>'E-P FGD'!$I$28</f>
        <v>0</v>
      </c>
      <c r="J609" s="390">
        <f>'E-P FGD'!$J$28</f>
        <v>0</v>
      </c>
      <c r="K609" s="390">
        <f>'E-P FGD'!$K$28</f>
        <v>0</v>
      </c>
      <c r="L609" s="390">
        <f>'E-P FGD'!$L$28</f>
        <v>0</v>
      </c>
      <c r="M609" s="567">
        <f>'E-P FGD'!$M$28</f>
        <v>-35109785</v>
      </c>
      <c r="N609" s="401"/>
    </row>
    <row r="610" spans="1:14" s="171" customFormat="1" ht="12.75" hidden="1" customHeight="1" outlineLevel="1">
      <c r="A610" s="166"/>
      <c r="B610" s="674" t="str">
        <f>'LU FGD'!$B$2</f>
        <v xml:space="preserve">Lamar University </v>
      </c>
      <c r="C610" s="566"/>
      <c r="D610" s="390">
        <f>'LU FGD'!$D$28</f>
        <v>-3703171</v>
      </c>
      <c r="E610" s="390">
        <f>'LU FGD'!$E$28</f>
        <v>-12366338</v>
      </c>
      <c r="F610" s="390">
        <f>'LU FGD'!$F$28</f>
        <v>0</v>
      </c>
      <c r="G610" s="390">
        <f>'LU FGD'!$G$28</f>
        <v>0</v>
      </c>
      <c r="H610" s="390">
        <f>'LU FGD'!$H$28</f>
        <v>0</v>
      </c>
      <c r="I610" s="390">
        <f>'LU FGD'!$I$28</f>
        <v>0</v>
      </c>
      <c r="J610" s="390">
        <f>'LU FGD'!$J$28</f>
        <v>0</v>
      </c>
      <c r="K610" s="390">
        <f>'LU FGD'!$K$28</f>
        <v>0</v>
      </c>
      <c r="L610" s="390">
        <f>'LU FGD'!$L$28</f>
        <v>0</v>
      </c>
      <c r="M610" s="567">
        <f>'LU FGD'!$M$28</f>
        <v>-16069509</v>
      </c>
      <c r="N610" s="401"/>
    </row>
    <row r="611" spans="1:14" s="171" customFormat="1" ht="12.75" hidden="1" customHeight="1" outlineLevel="1">
      <c r="A611" s="166"/>
      <c r="B611" s="674" t="str">
        <f>'MidWST FGD'!$B$2</f>
        <v>Midwestern State University</v>
      </c>
      <c r="C611" s="566"/>
      <c r="D611" s="390">
        <f>'MidWST FGD'!$D$28</f>
        <v>-2060157</v>
      </c>
      <c r="E611" s="390">
        <f>'MidWST FGD'!$E$28</f>
        <v>-5870431</v>
      </c>
      <c r="F611" s="390">
        <f>'MidWST FGD'!$F$28</f>
        <v>0</v>
      </c>
      <c r="G611" s="390">
        <f>'MidWST FGD'!$G$28</f>
        <v>0</v>
      </c>
      <c r="H611" s="390">
        <f>'MidWST FGD'!$H$28</f>
        <v>0</v>
      </c>
      <c r="I611" s="390">
        <f>'MidWST FGD'!$I$28</f>
        <v>0</v>
      </c>
      <c r="J611" s="390">
        <f>'MidWST FGD'!$J$28</f>
        <v>0</v>
      </c>
      <c r="K611" s="390">
        <f>'MidWST FGD'!$K$28</f>
        <v>0</v>
      </c>
      <c r="L611" s="390">
        <f>'MidWST FGD'!$L$28</f>
        <v>0</v>
      </c>
      <c r="M611" s="567">
        <f>'MidWST FGD'!$M$28</f>
        <v>-7930588</v>
      </c>
      <c r="N611" s="401"/>
    </row>
    <row r="612" spans="1:14" s="171" customFormat="1" ht="12.75" hidden="1" customHeight="1" outlineLevel="1">
      <c r="A612" s="166"/>
      <c r="B612" s="674" t="str">
        <f>'P-B FGD'!$B$2</f>
        <v>The University of Texas of the Permian Basin</v>
      </c>
      <c r="C612" s="566"/>
      <c r="D612" s="390">
        <f>'P-B FGD'!$D$28</f>
        <v>-1819972</v>
      </c>
      <c r="E612" s="390">
        <f>'P-B FGD'!$E$28</f>
        <v>-7636034</v>
      </c>
      <c r="F612" s="390">
        <f>'P-B FGD'!$F$28</f>
        <v>0</v>
      </c>
      <c r="G612" s="390">
        <f>'P-B FGD'!$G$28</f>
        <v>0</v>
      </c>
      <c r="H612" s="390">
        <f>'P-B FGD'!$H$28</f>
        <v>0</v>
      </c>
      <c r="I612" s="390">
        <f>'P-B FGD'!$I$28</f>
        <v>0</v>
      </c>
      <c r="J612" s="390">
        <f>'P-B FGD'!$J$28</f>
        <v>0</v>
      </c>
      <c r="K612" s="390">
        <f>'P-B FGD'!$K$28</f>
        <v>0</v>
      </c>
      <c r="L612" s="390">
        <f>'P-B FGD'!$L$28</f>
        <v>0</v>
      </c>
      <c r="M612" s="567">
        <f>'P-B FGD'!$M$28</f>
        <v>-9456006</v>
      </c>
      <c r="N612" s="401"/>
    </row>
    <row r="613" spans="1:14" s="171" customFormat="1" ht="12.75" hidden="1" customHeight="1" outlineLevel="1">
      <c r="A613" s="166"/>
      <c r="B613" s="674" t="str">
        <f>'PVAMU FGD'!$B$2</f>
        <v>Prairie View A&amp;M University</v>
      </c>
      <c r="C613" s="566"/>
      <c r="D613" s="390">
        <f>'PVAMU FGD'!$D$28</f>
        <v>-6927114</v>
      </c>
      <c r="E613" s="390">
        <f>'PVAMU FGD'!$E$28</f>
        <v>-17304753</v>
      </c>
      <c r="F613" s="390">
        <f>'PVAMU FGD'!$F$28</f>
        <v>0</v>
      </c>
      <c r="G613" s="390">
        <f>'PVAMU FGD'!$G$28</f>
        <v>0</v>
      </c>
      <c r="H613" s="390">
        <f>'PVAMU FGD'!$H$28</f>
        <v>0</v>
      </c>
      <c r="I613" s="390">
        <f>'PVAMU FGD'!$I$28</f>
        <v>0</v>
      </c>
      <c r="J613" s="390">
        <f>'PVAMU FGD'!$J$28</f>
        <v>0</v>
      </c>
      <c r="K613" s="390">
        <f>'PVAMU FGD'!$K$28</f>
        <v>0</v>
      </c>
      <c r="L613" s="390">
        <f>'PVAMU FGD'!$L$28</f>
        <v>0</v>
      </c>
      <c r="M613" s="567">
        <f>'PVAMU FGD'!$M$28</f>
        <v>-24231867</v>
      </c>
      <c r="N613" s="401"/>
    </row>
    <row r="614" spans="1:14" s="171" customFormat="1" ht="12.75" hidden="1" customHeight="1" outlineLevel="1">
      <c r="A614" s="166"/>
      <c r="B614" s="674" t="str">
        <f>'S-A FGD'!$B$2</f>
        <v>The University of Texas at San Antonio</v>
      </c>
      <c r="C614" s="566"/>
      <c r="D614" s="390">
        <f>'S-A FGD'!$D$28</f>
        <v>-12685435</v>
      </c>
      <c r="E614" s="390">
        <f>'S-A FGD'!$E$28</f>
        <v>-38410411</v>
      </c>
      <c r="F614" s="390">
        <f>'S-A FGD'!$F$28</f>
        <v>0</v>
      </c>
      <c r="G614" s="390">
        <f>'S-A FGD'!$G$28</f>
        <v>0</v>
      </c>
      <c r="H614" s="390">
        <f>'S-A FGD'!$H$28</f>
        <v>0</v>
      </c>
      <c r="I614" s="390">
        <f>'S-A FGD'!$I$28</f>
        <v>0</v>
      </c>
      <c r="J614" s="390">
        <f>'S-A FGD'!$J$28</f>
        <v>0</v>
      </c>
      <c r="K614" s="390">
        <f>'S-A FGD'!$K$28</f>
        <v>0</v>
      </c>
      <c r="L614" s="390">
        <f>'S-A FGD'!$L$28</f>
        <v>0</v>
      </c>
      <c r="M614" s="567">
        <f>'S-A FGD'!$M$28</f>
        <v>-51095846</v>
      </c>
      <c r="N614" s="401"/>
    </row>
    <row r="615" spans="1:14" s="171" customFormat="1" ht="12.75" hidden="1" customHeight="1" outlineLevel="1">
      <c r="A615" s="166"/>
      <c r="B615" s="674" t="str">
        <f>'SFA FGD'!$B$2</f>
        <v>Stephen F. Austin State University</v>
      </c>
      <c r="C615" s="566"/>
      <c r="D615" s="390">
        <f>'SFA FGD'!$D$28</f>
        <v>-5670118</v>
      </c>
      <c r="E615" s="390">
        <f>'SFA FGD'!$E$28</f>
        <v>-16564063</v>
      </c>
      <c r="F615" s="390">
        <f>'SFA FGD'!$F$28</f>
        <v>0</v>
      </c>
      <c r="G615" s="390">
        <f>'SFA FGD'!$G$28</f>
        <v>0</v>
      </c>
      <c r="H615" s="390">
        <f>'SFA FGD'!$H$28</f>
        <v>0</v>
      </c>
      <c r="I615" s="390">
        <f>'SFA FGD'!$I$28</f>
        <v>0</v>
      </c>
      <c r="J615" s="390">
        <f>'SFA FGD'!$J$28</f>
        <v>0</v>
      </c>
      <c r="K615" s="390">
        <f>'SFA FGD'!$K$28</f>
        <v>0</v>
      </c>
      <c r="L615" s="390">
        <f>'SFA FGD'!$L$28</f>
        <v>0</v>
      </c>
      <c r="M615" s="567">
        <f>'SFA FGD'!$M$28</f>
        <v>-22234181</v>
      </c>
      <c r="N615" s="401"/>
    </row>
    <row r="616" spans="1:14" s="171" customFormat="1" ht="12.75" hidden="1" customHeight="1" outlineLevel="1">
      <c r="A616" s="166"/>
      <c r="B616" s="674" t="str">
        <f>'shsu1 FGD'!$B$2</f>
        <v>Sam Houston State University - Academic &amp; Health (A+H)</v>
      </c>
      <c r="C616" s="566"/>
      <c r="D616" s="390">
        <f>'shsu1 FGD'!$D$28</f>
        <v>0</v>
      </c>
      <c r="E616" s="390">
        <f>'shsu1 FGD'!$E$28</f>
        <v>-42289638</v>
      </c>
      <c r="F616" s="390">
        <f>'shsu1 FGD'!$F$28</f>
        <v>0</v>
      </c>
      <c r="G616" s="390">
        <f>'shsu1 FGD'!$G$28</f>
        <v>0</v>
      </c>
      <c r="H616" s="390">
        <f>'shsu1 FGD'!$H$28</f>
        <v>0</v>
      </c>
      <c r="I616" s="390">
        <f>'shsu1 FGD'!$I$28</f>
        <v>0</v>
      </c>
      <c r="J616" s="390">
        <f>'shsu1 FGD'!$J$28</f>
        <v>0</v>
      </c>
      <c r="K616" s="390">
        <f>'shsu1 FGD'!$K$28</f>
        <v>0</v>
      </c>
      <c r="L616" s="390">
        <f>'shsu1 FGD'!$L$28</f>
        <v>0</v>
      </c>
      <c r="M616" s="567">
        <f>'shsu1 FGD'!$M$28</f>
        <v>-42289638</v>
      </c>
      <c r="N616" s="401"/>
    </row>
    <row r="617" spans="1:14" s="171" customFormat="1" ht="12.75" hidden="1" customHeight="1" outlineLevel="1">
      <c r="A617" s="166"/>
      <c r="B617" s="674" t="str">
        <f>'SRSU FGD'!$B$2</f>
        <v>Sul Ross State University</v>
      </c>
      <c r="C617" s="566"/>
      <c r="D617" s="390">
        <f>'SRSU FGD'!$D$28</f>
        <v>0</v>
      </c>
      <c r="E617" s="390">
        <f>'SRSU FGD'!$E$28</f>
        <v>-3814981</v>
      </c>
      <c r="F617" s="390">
        <f>'SRSU FGD'!$F$28</f>
        <v>0</v>
      </c>
      <c r="G617" s="390">
        <f>'SRSU FGD'!$G$28</f>
        <v>0</v>
      </c>
      <c r="H617" s="390">
        <f>'SRSU FGD'!$H$28</f>
        <v>0</v>
      </c>
      <c r="I617" s="390">
        <f>'SRSU FGD'!$I$28</f>
        <v>0</v>
      </c>
      <c r="J617" s="390">
        <f>'SRSU FGD'!$J$28</f>
        <v>0</v>
      </c>
      <c r="K617" s="390">
        <f>'SRSU FGD'!$K$28</f>
        <v>0</v>
      </c>
      <c r="L617" s="390">
        <f>'SRSU FGD'!$L$28</f>
        <v>0</v>
      </c>
      <c r="M617" s="567">
        <f>'SRSU FGD'!$M$28</f>
        <v>-3814981</v>
      </c>
      <c r="N617" s="401"/>
    </row>
    <row r="618" spans="1:14" s="171" customFormat="1" ht="12.75" hidden="1" customHeight="1" outlineLevel="1">
      <c r="A618" s="166"/>
      <c r="B618" s="674" t="str">
        <f>'TAMIU FGD'!$B$2</f>
        <v>Texas A&amp;M International University</v>
      </c>
      <c r="C618" s="566"/>
      <c r="D618" s="390">
        <f>'TAMIU FGD'!$D$28</f>
        <v>-4838061</v>
      </c>
      <c r="E618" s="390">
        <f>'TAMIU FGD'!$E$28</f>
        <v>-9545463</v>
      </c>
      <c r="F618" s="390">
        <f>'TAMIU FGD'!$F$28</f>
        <v>0</v>
      </c>
      <c r="G618" s="390">
        <f>'TAMIU FGD'!$G$28</f>
        <v>0</v>
      </c>
      <c r="H618" s="390">
        <f>'TAMIU FGD'!$H$28</f>
        <v>0</v>
      </c>
      <c r="I618" s="390">
        <f>'TAMIU FGD'!$I$28</f>
        <v>0</v>
      </c>
      <c r="J618" s="390">
        <f>'TAMIU FGD'!$J$28</f>
        <v>0</v>
      </c>
      <c r="K618" s="390">
        <f>'TAMIU FGD'!$K$28</f>
        <v>0</v>
      </c>
      <c r="L618" s="390">
        <f>'TAMIU FGD'!$L$28</f>
        <v>0</v>
      </c>
      <c r="M618" s="567">
        <f>'TAMIU FGD'!$M$28</f>
        <v>-14383524</v>
      </c>
      <c r="N618" s="401"/>
    </row>
    <row r="619" spans="1:14" s="171" customFormat="1" ht="12.75" hidden="1" customHeight="1" outlineLevel="1">
      <c r="A619" s="166"/>
      <c r="B619" s="674" t="str">
        <f>'TAMU FGD'!$B$2</f>
        <v>Texas A&amp;M University</v>
      </c>
      <c r="C619" s="566"/>
      <c r="D619" s="390">
        <f>'TAMU FGD'!$D$28</f>
        <v>-23205163</v>
      </c>
      <c r="E619" s="390">
        <f>'TAMU FGD'!$E$28</f>
        <v>-76229615</v>
      </c>
      <c r="F619" s="390">
        <f>'TAMU FGD'!$F$28</f>
        <v>0</v>
      </c>
      <c r="G619" s="390">
        <f>'TAMU FGD'!$G$28</f>
        <v>0</v>
      </c>
      <c r="H619" s="390">
        <f>'TAMU FGD'!$H$28</f>
        <v>0</v>
      </c>
      <c r="I619" s="390">
        <f>'TAMU FGD'!$I$28</f>
        <v>0</v>
      </c>
      <c r="J619" s="390">
        <f>'TAMU FGD'!$J$28</f>
        <v>0</v>
      </c>
      <c r="K619" s="390">
        <f>'TAMU FGD'!$K$28</f>
        <v>0</v>
      </c>
      <c r="L619" s="390">
        <f>'TAMU FGD'!$L$28</f>
        <v>0</v>
      </c>
      <c r="M619" s="567">
        <f>'TAMU FGD'!$M$28</f>
        <v>-99434778</v>
      </c>
      <c r="N619" s="401"/>
    </row>
    <row r="620" spans="1:14" s="171" customFormat="1" ht="12.75" hidden="1" customHeight="1" outlineLevel="1">
      <c r="A620" s="166"/>
      <c r="B620" s="674" t="str">
        <f>'TAMUC FGD'!$B$2</f>
        <v>Texas A&amp;M University - Commerce</v>
      </c>
      <c r="C620" s="566"/>
      <c r="D620" s="390">
        <f>'TAMUC FGD'!$D$28</f>
        <v>-3228037</v>
      </c>
      <c r="E620" s="390">
        <f>'TAMUC FGD'!$E$28</f>
        <v>-3637148</v>
      </c>
      <c r="F620" s="390">
        <f>'TAMUC FGD'!$F$28</f>
        <v>0</v>
      </c>
      <c r="G620" s="390">
        <f>'TAMUC FGD'!$G$28</f>
        <v>0</v>
      </c>
      <c r="H620" s="390">
        <f>'TAMUC FGD'!$H$28</f>
        <v>0</v>
      </c>
      <c r="I620" s="390">
        <f>'TAMUC FGD'!$I$28</f>
        <v>0</v>
      </c>
      <c r="J620" s="390">
        <f>'TAMUC FGD'!$J$28</f>
        <v>0</v>
      </c>
      <c r="K620" s="390">
        <f>'TAMUC FGD'!$K$28</f>
        <v>0</v>
      </c>
      <c r="L620" s="390">
        <f>'TAMUC FGD'!$L$28</f>
        <v>0</v>
      </c>
      <c r="M620" s="567">
        <f>'TAMUC FGD'!$M$28</f>
        <v>-6865185</v>
      </c>
      <c r="N620" s="401"/>
    </row>
    <row r="621" spans="1:14" s="171" customFormat="1" ht="12.75" hidden="1" customHeight="1" outlineLevel="1">
      <c r="A621" s="166"/>
      <c r="B621" s="674" t="str">
        <f>'TAMUCC FGD'!$B$2</f>
        <v>Texas A&amp;M University - Corpus Christi</v>
      </c>
      <c r="C621" s="566"/>
      <c r="D621" s="390">
        <f>'TAMUCC FGD'!$D$28</f>
        <v>-3578086</v>
      </c>
      <c r="E621" s="390">
        <f>'TAMUCC FGD'!$E$28</f>
        <v>-6789553</v>
      </c>
      <c r="F621" s="390">
        <f>'TAMUCC FGD'!$F$28</f>
        <v>0</v>
      </c>
      <c r="G621" s="390">
        <f>'TAMUCC FGD'!$G$28</f>
        <v>0</v>
      </c>
      <c r="H621" s="390">
        <f>'TAMUCC FGD'!$H$28</f>
        <v>0</v>
      </c>
      <c r="I621" s="390">
        <f>'TAMUCC FGD'!$I$28</f>
        <v>0</v>
      </c>
      <c r="J621" s="390">
        <f>'TAMUCC FGD'!$J$28</f>
        <v>0</v>
      </c>
      <c r="K621" s="390">
        <f>'TAMUCC FGD'!$K$28</f>
        <v>0</v>
      </c>
      <c r="L621" s="390">
        <f>'TAMUCC FGD'!$L$28</f>
        <v>0</v>
      </c>
      <c r="M621" s="567">
        <f>'TAMUCC FGD'!$M$28</f>
        <v>-10367639</v>
      </c>
      <c r="N621" s="401"/>
    </row>
    <row r="622" spans="1:14" s="171" customFormat="1" ht="12.75" hidden="1" customHeight="1" outlineLevel="1">
      <c r="A622" s="166"/>
      <c r="B622" s="674" t="str">
        <f>'TAMUCT FGD'!$B$2</f>
        <v>Texas A&amp;M University - Central Texas</v>
      </c>
      <c r="C622" s="566"/>
      <c r="D622" s="390">
        <f>'TAMUCT FGD'!$D$28</f>
        <v>-437764</v>
      </c>
      <c r="E622" s="390">
        <f>'TAMUCT FGD'!$E$28</f>
        <v>-983908</v>
      </c>
      <c r="F622" s="390">
        <f>'TAMUCT FGD'!$F$28</f>
        <v>0</v>
      </c>
      <c r="G622" s="390">
        <f>'TAMUCT FGD'!$G$28</f>
        <v>0</v>
      </c>
      <c r="H622" s="390">
        <f>'TAMUCT FGD'!$H$28</f>
        <v>0</v>
      </c>
      <c r="I622" s="390">
        <f>'TAMUCT FGD'!$I$28</f>
        <v>0</v>
      </c>
      <c r="J622" s="390">
        <f>'TAMUCT FGD'!$J$28</f>
        <v>0</v>
      </c>
      <c r="K622" s="390">
        <f>'TAMUCT FGD'!$K$28</f>
        <v>0</v>
      </c>
      <c r="L622" s="390">
        <f>'TAMUCT FGD'!$L$28</f>
        <v>0</v>
      </c>
      <c r="M622" s="567">
        <f>'TAMUCT FGD'!$M$28</f>
        <v>-1421672</v>
      </c>
      <c r="N622" s="401"/>
    </row>
    <row r="623" spans="1:14" s="171" customFormat="1" ht="12.75" hidden="1" customHeight="1" outlineLevel="1">
      <c r="A623" s="166"/>
      <c r="B623" s="674" t="str">
        <f>'TAMUG FGD'!$B$2</f>
        <v>Texas A&amp;M University at Galveston</v>
      </c>
      <c r="C623" s="566"/>
      <c r="D623" s="390">
        <f>'TAMUG FGD'!$D$28</f>
        <v>-341183</v>
      </c>
      <c r="E623" s="390">
        <f>'TAMUG FGD'!$E$28</f>
        <v>-1172514</v>
      </c>
      <c r="F623" s="390">
        <f>'TAMUG FGD'!$F$28</f>
        <v>0</v>
      </c>
      <c r="G623" s="390">
        <f>'TAMUG FGD'!$G$28</f>
        <v>0</v>
      </c>
      <c r="H623" s="390">
        <f>'TAMUG FGD'!$H$28</f>
        <v>0</v>
      </c>
      <c r="I623" s="390">
        <f>'TAMUG FGD'!$I$28</f>
        <v>0</v>
      </c>
      <c r="J623" s="390">
        <f>'TAMUG FGD'!$J$28</f>
        <v>0</v>
      </c>
      <c r="K623" s="390">
        <f>'TAMUG FGD'!$K$28</f>
        <v>0</v>
      </c>
      <c r="L623" s="390">
        <f>'TAMUG FGD'!$L$28</f>
        <v>0</v>
      </c>
      <c r="M623" s="567">
        <f>'TAMUG FGD'!$M$28</f>
        <v>-1513697</v>
      </c>
      <c r="N623" s="401"/>
    </row>
    <row r="624" spans="1:14" s="171" customFormat="1" ht="12.75" hidden="1" customHeight="1" outlineLevel="1">
      <c r="A624" s="166"/>
      <c r="B624" s="674" t="str">
        <f>'TAMUK FGD'!$B$2</f>
        <v>Texas A&amp;M University - Kingsville</v>
      </c>
      <c r="C624" s="566"/>
      <c r="D624" s="390">
        <f>'TAMUK FGD'!$D$28</f>
        <v>-3704019</v>
      </c>
      <c r="E624" s="390">
        <f>'TAMUK FGD'!$E$28</f>
        <v>-5585042</v>
      </c>
      <c r="F624" s="390">
        <f>'TAMUK FGD'!$F$28</f>
        <v>0</v>
      </c>
      <c r="G624" s="390">
        <f>'TAMUK FGD'!$G$28</f>
        <v>0</v>
      </c>
      <c r="H624" s="390">
        <f>'TAMUK FGD'!$H$28</f>
        <v>0</v>
      </c>
      <c r="I624" s="390">
        <f>'TAMUK FGD'!$I$28</f>
        <v>0</v>
      </c>
      <c r="J624" s="390">
        <f>'TAMUK FGD'!$J$28</f>
        <v>0</v>
      </c>
      <c r="K624" s="390">
        <f>'TAMUK FGD'!$K$28</f>
        <v>0</v>
      </c>
      <c r="L624" s="390">
        <f>'TAMUK FGD'!$L$28</f>
        <v>0</v>
      </c>
      <c r="M624" s="567">
        <f>'TAMUK FGD'!$M$28</f>
        <v>-9289061</v>
      </c>
      <c r="N624" s="401"/>
    </row>
    <row r="625" spans="1:14" s="171" customFormat="1" ht="12.75" hidden="1" customHeight="1" outlineLevel="1">
      <c r="A625" s="166"/>
      <c r="B625" s="674" t="str">
        <f>'TAMUSA FGD'!$B$2</f>
        <v>Texas A&amp;M University - San Antonio</v>
      </c>
      <c r="C625" s="566"/>
      <c r="D625" s="390">
        <f>'TAMUSA FGD'!$D$28</f>
        <v>-2017779</v>
      </c>
      <c r="E625" s="390">
        <f>'TAMUSA FGD'!$E$28</f>
        <v>-3839867</v>
      </c>
      <c r="F625" s="390">
        <f>'TAMUSA FGD'!$F$28</f>
        <v>0</v>
      </c>
      <c r="G625" s="390">
        <f>'TAMUSA FGD'!$G$28</f>
        <v>0</v>
      </c>
      <c r="H625" s="390">
        <f>'TAMUSA FGD'!$H$28</f>
        <v>0</v>
      </c>
      <c r="I625" s="390">
        <f>'TAMUSA FGD'!$I$28</f>
        <v>0</v>
      </c>
      <c r="J625" s="390">
        <f>'TAMUSA FGD'!$J$28</f>
        <v>0</v>
      </c>
      <c r="K625" s="390">
        <f>'TAMUSA FGD'!$K$28</f>
        <v>0</v>
      </c>
      <c r="L625" s="390">
        <f>'TAMUSA FGD'!$L$28</f>
        <v>0</v>
      </c>
      <c r="M625" s="567">
        <f>'TAMUSA FGD'!$M$28</f>
        <v>-5857646</v>
      </c>
      <c r="N625" s="401"/>
    </row>
    <row r="626" spans="1:14" s="171" customFormat="1" ht="12.75" hidden="1" customHeight="1" outlineLevel="1">
      <c r="A626" s="166"/>
      <c r="B626" s="674" t="str">
        <f>'TAMUT FGD'!$B$2</f>
        <v>Texas A&amp;M University - Texarkana</v>
      </c>
      <c r="C626" s="566"/>
      <c r="D626" s="390">
        <f>'TAMUT FGD'!$D$28</f>
        <v>-576982</v>
      </c>
      <c r="E626" s="390">
        <f>'TAMUT FGD'!$E$28</f>
        <v>-1706148</v>
      </c>
      <c r="F626" s="390">
        <f>'TAMUT FGD'!$F$28</f>
        <v>0</v>
      </c>
      <c r="G626" s="390">
        <f>'TAMUT FGD'!$G$28</f>
        <v>0</v>
      </c>
      <c r="H626" s="390">
        <f>'TAMUT FGD'!$H$28</f>
        <v>0</v>
      </c>
      <c r="I626" s="390">
        <f>'TAMUT FGD'!$I$28</f>
        <v>0</v>
      </c>
      <c r="J626" s="390">
        <f>'TAMUT FGD'!$J$28</f>
        <v>0</v>
      </c>
      <c r="K626" s="390">
        <f>'TAMUT FGD'!$K$28</f>
        <v>0</v>
      </c>
      <c r="L626" s="390">
        <f>'TAMUT FGD'!$L$28</f>
        <v>0</v>
      </c>
      <c r="M626" s="567">
        <f>'TAMUT FGD'!$M$28</f>
        <v>-2283130</v>
      </c>
      <c r="N626" s="401"/>
    </row>
    <row r="627" spans="1:14" s="171" customFormat="1" ht="12.75" hidden="1" customHeight="1" outlineLevel="1">
      <c r="A627" s="166"/>
      <c r="B627" s="674" t="str">
        <f>'TARLST FGD'!$B$2</f>
        <v>Tarleton State University</v>
      </c>
      <c r="C627" s="566"/>
      <c r="D627" s="390">
        <f>'TARLST FGD'!$D$28</f>
        <v>-3824237</v>
      </c>
      <c r="E627" s="390">
        <f>'TARLST FGD'!$E$28</f>
        <v>-9856549</v>
      </c>
      <c r="F627" s="390">
        <f>'TARLST FGD'!$F$28</f>
        <v>0</v>
      </c>
      <c r="G627" s="390">
        <f>'TARLST FGD'!$G$28</f>
        <v>0</v>
      </c>
      <c r="H627" s="390">
        <f>'TARLST FGD'!$H$28</f>
        <v>0</v>
      </c>
      <c r="I627" s="390">
        <f>'TARLST FGD'!$I$28</f>
        <v>0</v>
      </c>
      <c r="J627" s="390">
        <f>'TARLST FGD'!$J$28</f>
        <v>0</v>
      </c>
      <c r="K627" s="390">
        <f>'TARLST FGD'!$K$28</f>
        <v>0</v>
      </c>
      <c r="L627" s="390">
        <f>'TARLST FGD'!$L$28</f>
        <v>0</v>
      </c>
      <c r="M627" s="567">
        <f>'TARLST FGD'!$M$28</f>
        <v>-13680786</v>
      </c>
      <c r="N627" s="401"/>
    </row>
    <row r="628" spans="1:14" s="171" customFormat="1" ht="12.75" hidden="1" customHeight="1" outlineLevel="1">
      <c r="A628" s="166"/>
      <c r="B628" s="674" t="str">
        <f>'TSU FGD'!$B$2</f>
        <v>Texas Southern University</v>
      </c>
      <c r="C628" s="566"/>
      <c r="D628" s="390">
        <f>'TSU FGD'!$D$28</f>
        <v>-6406898</v>
      </c>
      <c r="E628" s="390">
        <f>'TSU FGD'!$E$28</f>
        <v>-10355799</v>
      </c>
      <c r="F628" s="390">
        <f>'TSU FGD'!$F$28</f>
        <v>0</v>
      </c>
      <c r="G628" s="390">
        <f>'TSU FGD'!$G$28</f>
        <v>0</v>
      </c>
      <c r="H628" s="390">
        <f>'TSU FGD'!$H$28</f>
        <v>0</v>
      </c>
      <c r="I628" s="390">
        <f>'TSU FGD'!$I$28</f>
        <v>0</v>
      </c>
      <c r="J628" s="390">
        <f>'TSU FGD'!$J$28</f>
        <v>0</v>
      </c>
      <c r="K628" s="390">
        <f>'TSU FGD'!$K$28</f>
        <v>0</v>
      </c>
      <c r="L628" s="390">
        <f>'TSU FGD'!$L$28</f>
        <v>0</v>
      </c>
      <c r="M628" s="567">
        <f>'TSU FGD'!$M$28</f>
        <v>-16762697</v>
      </c>
      <c r="N628" s="401"/>
    </row>
    <row r="629" spans="1:14" s="171" customFormat="1" ht="12.75" hidden="1" customHeight="1" outlineLevel="1">
      <c r="A629" s="166"/>
      <c r="B629" s="674" t="str">
        <f>'TTU FGD'!$B$2</f>
        <v>Texas Tech University</v>
      </c>
      <c r="C629" s="566"/>
      <c r="D629" s="390">
        <f>'TTU FGD'!$D$28</f>
        <v>-13351618</v>
      </c>
      <c r="E629" s="390">
        <f>'TTU FGD'!$E$28</f>
        <v>-50987434</v>
      </c>
      <c r="F629" s="390">
        <f>'TTU FGD'!$F$28</f>
        <v>0</v>
      </c>
      <c r="G629" s="390">
        <f>'TTU FGD'!$G$28</f>
        <v>0</v>
      </c>
      <c r="H629" s="390">
        <f>'TTU FGD'!$H$28</f>
        <v>0</v>
      </c>
      <c r="I629" s="390">
        <f>'TTU FGD'!$I$28</f>
        <v>0</v>
      </c>
      <c r="J629" s="390">
        <f>'TTU FGD'!$J$28</f>
        <v>0</v>
      </c>
      <c r="K629" s="390">
        <f>'TTU FGD'!$K$28</f>
        <v>0</v>
      </c>
      <c r="L629" s="390">
        <f>'TTU FGD'!$L$28</f>
        <v>0</v>
      </c>
      <c r="M629" s="567">
        <f>'TTU FGD'!$M$28</f>
        <v>-64339052</v>
      </c>
      <c r="N629" s="401"/>
    </row>
    <row r="630" spans="1:14" s="171" customFormat="1" ht="12.75" hidden="1" customHeight="1" outlineLevel="1">
      <c r="A630" s="166"/>
      <c r="B630" s="674" t="str">
        <f>'TWU FGD'!$B$2</f>
        <v>Texas Woman's University</v>
      </c>
      <c r="C630" s="566"/>
      <c r="D630" s="390">
        <f>'TWU FGD'!$D$28</f>
        <v>0</v>
      </c>
      <c r="E630" s="390">
        <f>'TWU FGD'!$E$28</f>
        <v>0</v>
      </c>
      <c r="F630" s="390">
        <f>'TWU FGD'!$F$28</f>
        <v>0</v>
      </c>
      <c r="G630" s="390">
        <f>'TWU FGD'!$G$28</f>
        <v>0</v>
      </c>
      <c r="H630" s="390">
        <f>'TWU FGD'!$H$28</f>
        <v>0</v>
      </c>
      <c r="I630" s="390">
        <f>'TWU FGD'!$I$28</f>
        <v>0</v>
      </c>
      <c r="J630" s="390">
        <f>'TWU FGD'!$J$28</f>
        <v>0</v>
      </c>
      <c r="K630" s="390">
        <f>'TWU FGD'!$K$28</f>
        <v>0</v>
      </c>
      <c r="L630" s="390">
        <f>'TWU FGD'!$L$28</f>
        <v>0</v>
      </c>
      <c r="M630" s="567">
        <f>'TWU FGD'!$M$28</f>
        <v>0</v>
      </c>
      <c r="N630" s="401"/>
    </row>
    <row r="631" spans="1:14" s="171" customFormat="1" ht="12.75" hidden="1" customHeight="1" outlineLevel="1">
      <c r="A631" s="166"/>
      <c r="B631" s="674" t="str">
        <f>'TXST FGD'!$B$2</f>
        <v>Texas State University</v>
      </c>
      <c r="C631" s="566"/>
      <c r="D631" s="390">
        <f>'TXST FGD'!$D$28</f>
        <v>-13677468</v>
      </c>
      <c r="E631" s="390">
        <f>'TXST FGD'!$E$28</f>
        <v>-55250342</v>
      </c>
      <c r="F631" s="390">
        <f>'TXST FGD'!$F$28</f>
        <v>0</v>
      </c>
      <c r="G631" s="390">
        <f>'TXST FGD'!$G$28</f>
        <v>0</v>
      </c>
      <c r="H631" s="390">
        <f>'TXST FGD'!$H$28</f>
        <v>0</v>
      </c>
      <c r="I631" s="390">
        <f>'TXST FGD'!$I$28</f>
        <v>0</v>
      </c>
      <c r="J631" s="390">
        <f>'TXST FGD'!$J$28</f>
        <v>0</v>
      </c>
      <c r="K631" s="390">
        <f>'TXST FGD'!$K$28</f>
        <v>0</v>
      </c>
      <c r="L631" s="390">
        <f>'TXST FGD'!$L$28</f>
        <v>0</v>
      </c>
      <c r="M631" s="567">
        <f>'TXST FGD'!$M$28</f>
        <v>-68927810</v>
      </c>
      <c r="N631" s="401"/>
    </row>
    <row r="632" spans="1:14" s="171" customFormat="1" ht="12.75" hidden="1" customHeight="1" outlineLevel="1">
      <c r="A632" s="166"/>
      <c r="B632" s="674" t="str">
        <f>'TYL FGD'!$B$2</f>
        <v>The University of Texas at Tyler</v>
      </c>
      <c r="C632" s="566"/>
      <c r="D632" s="390">
        <f>'TYL FGD'!$D$28</f>
        <v>-3973427</v>
      </c>
      <c r="E632" s="390">
        <f>'TYL FGD'!$E$28</f>
        <v>-19504874</v>
      </c>
      <c r="F632" s="390">
        <f>'TYL FGD'!$F$28</f>
        <v>0</v>
      </c>
      <c r="G632" s="390">
        <f>'TYL FGD'!$G$28</f>
        <v>0</v>
      </c>
      <c r="H632" s="390">
        <f>'TYL FGD'!$H$28</f>
        <v>0</v>
      </c>
      <c r="I632" s="390">
        <f>'TYL FGD'!$I$28</f>
        <v>0</v>
      </c>
      <c r="J632" s="390">
        <f>'TYL FGD'!$J$28</f>
        <v>0</v>
      </c>
      <c r="K632" s="390">
        <f>'TYL FGD'!$K$28</f>
        <v>0</v>
      </c>
      <c r="L632" s="390">
        <f>'TYL FGD'!$L$28</f>
        <v>0</v>
      </c>
      <c r="M632" s="567">
        <f>'TYL FGD'!$M$28</f>
        <v>-23478301</v>
      </c>
      <c r="N632" s="401"/>
    </row>
    <row r="633" spans="1:14" s="171" customFormat="1" ht="12.75" hidden="1" customHeight="1" outlineLevel="1">
      <c r="A633" s="166"/>
      <c r="B633" s="674" t="str">
        <f>'UH1 FGD'!$B$2</f>
        <v>University of Houston - Academic &amp; Health (A+H)</v>
      </c>
      <c r="C633" s="566"/>
      <c r="D633" s="390">
        <f>'UH1 FGD'!$D$28</f>
        <v>-22457428</v>
      </c>
      <c r="E633" s="390">
        <f>'UH1 FGD'!$E$28</f>
        <v>-84639861</v>
      </c>
      <c r="F633" s="390">
        <f>'UH1 FGD'!$F$28</f>
        <v>0</v>
      </c>
      <c r="G633" s="390">
        <f>'UH1 FGD'!$G$28</f>
        <v>0</v>
      </c>
      <c r="H633" s="390">
        <f>'UH1 FGD'!$H$28</f>
        <v>0</v>
      </c>
      <c r="I633" s="390">
        <f>'UH1 FGD'!$I$28</f>
        <v>0</v>
      </c>
      <c r="J633" s="390">
        <f>'UH1 FGD'!$J$28</f>
        <v>0</v>
      </c>
      <c r="K633" s="390">
        <f>'UH1 FGD'!$K$28</f>
        <v>0</v>
      </c>
      <c r="L633" s="390">
        <f>'UH1 FGD'!$L$28</f>
        <v>0</v>
      </c>
      <c r="M633" s="567">
        <f>'UH1 FGD'!$M$28</f>
        <v>-107097289</v>
      </c>
      <c r="N633" s="401"/>
    </row>
    <row r="634" spans="1:14" s="171" customFormat="1" ht="12.75" hidden="1" customHeight="1" outlineLevel="1">
      <c r="A634" s="166"/>
      <c r="B634" s="674" t="str">
        <f>'UHCL FGD'!$B$2</f>
        <v>University of Houston - Clear Lake</v>
      </c>
      <c r="C634" s="566"/>
      <c r="D634" s="390">
        <f>'UHCL FGD'!$D$28</f>
        <v>-3886644</v>
      </c>
      <c r="E634" s="390">
        <f>'UHCL FGD'!$E$28</f>
        <v>-10739130</v>
      </c>
      <c r="F634" s="390">
        <f>'UHCL FGD'!$F$28</f>
        <v>0</v>
      </c>
      <c r="G634" s="390">
        <f>'UHCL FGD'!$G$28</f>
        <v>0</v>
      </c>
      <c r="H634" s="390">
        <f>'UHCL FGD'!$H$28</f>
        <v>0</v>
      </c>
      <c r="I634" s="390">
        <f>'UHCL FGD'!$I$28</f>
        <v>0</v>
      </c>
      <c r="J634" s="390">
        <f>'UHCL FGD'!$J$28</f>
        <v>0</v>
      </c>
      <c r="K634" s="390">
        <f>'UHCL FGD'!$K$28</f>
        <v>0</v>
      </c>
      <c r="L634" s="390">
        <f>'UHCL FGD'!$L$28</f>
        <v>0</v>
      </c>
      <c r="M634" s="567">
        <f>'UHCL FGD'!$M$28</f>
        <v>-14625774</v>
      </c>
      <c r="N634" s="401"/>
    </row>
    <row r="635" spans="1:14" s="171" customFormat="1" ht="12.75" hidden="1" customHeight="1" outlineLevel="1">
      <c r="A635" s="166"/>
      <c r="B635" s="674" t="str">
        <f>'UHD FGD'!$B$2</f>
        <v>University of Houston - Downtown</v>
      </c>
      <c r="C635" s="566"/>
      <c r="D635" s="390">
        <f>'UHD FGD'!$D$28</f>
        <v>-8429850</v>
      </c>
      <c r="E635" s="390">
        <f>'UHD FGD'!$E$28</f>
        <v>-25507734</v>
      </c>
      <c r="F635" s="390">
        <f>'UHD FGD'!$F$28</f>
        <v>0</v>
      </c>
      <c r="G635" s="390">
        <f>'UHD FGD'!$G$28</f>
        <v>0</v>
      </c>
      <c r="H635" s="390">
        <f>'UHD FGD'!$H$28</f>
        <v>0</v>
      </c>
      <c r="I635" s="390">
        <f>'UHD FGD'!$I$28</f>
        <v>0</v>
      </c>
      <c r="J635" s="390">
        <f>'UHD FGD'!$J$28</f>
        <v>0</v>
      </c>
      <c r="K635" s="390">
        <f>'UHD FGD'!$K$28</f>
        <v>0</v>
      </c>
      <c r="L635" s="390">
        <f>'UHD FGD'!$L$28</f>
        <v>0</v>
      </c>
      <c r="M635" s="567">
        <f>'UHD FGD'!$M$28</f>
        <v>-33937584</v>
      </c>
      <c r="N635" s="401"/>
    </row>
    <row r="636" spans="1:14" s="171" customFormat="1" ht="12.75" hidden="1" customHeight="1" outlineLevel="1">
      <c r="A636" s="166"/>
      <c r="B636" s="674" t="str">
        <f>'UHV FGD'!$B$2</f>
        <v>University of Houston - Victoria</v>
      </c>
      <c r="C636" s="566"/>
      <c r="D636" s="390">
        <f>'UHV FGD'!$D$28</f>
        <v>-1510778</v>
      </c>
      <c r="E636" s="390">
        <f>'UHV FGD'!$E$28</f>
        <v>-4017626</v>
      </c>
      <c r="F636" s="390">
        <f>'UHV FGD'!$F$28</f>
        <v>0</v>
      </c>
      <c r="G636" s="390">
        <f>'UHV FGD'!$G$28</f>
        <v>0</v>
      </c>
      <c r="H636" s="390">
        <f>'UHV FGD'!$H$28</f>
        <v>0</v>
      </c>
      <c r="I636" s="390">
        <f>'UHV FGD'!$I$28</f>
        <v>0</v>
      </c>
      <c r="J636" s="390">
        <f>'UHV FGD'!$J$28</f>
        <v>0</v>
      </c>
      <c r="K636" s="390">
        <f>'UHV FGD'!$K$28</f>
        <v>0</v>
      </c>
      <c r="L636" s="390">
        <f>'UHV FGD'!$L$28</f>
        <v>0</v>
      </c>
      <c r="M636" s="567">
        <f>'UHV FGD'!$M$28</f>
        <v>-5528404</v>
      </c>
      <c r="N636" s="401"/>
    </row>
    <row r="637" spans="1:14" s="171" customFormat="1" ht="12.75" hidden="1" customHeight="1" outlineLevel="1">
      <c r="A637" s="166"/>
      <c r="B637" s="674" t="str">
        <f>'UNT FGD'!$B$2</f>
        <v>University of North Texas</v>
      </c>
      <c r="C637" s="566"/>
      <c r="D637" s="390">
        <f>'UNT FGD'!$D$28</f>
        <v>-17223659</v>
      </c>
      <c r="E637" s="390">
        <f>'UNT FGD'!$E$28</f>
        <v>-16586045</v>
      </c>
      <c r="F637" s="390">
        <f>'UNT FGD'!$F$28</f>
        <v>0</v>
      </c>
      <c r="G637" s="390">
        <f>'UNT FGD'!$G$28</f>
        <v>0</v>
      </c>
      <c r="H637" s="390">
        <f>'UNT FGD'!$H$28</f>
        <v>0</v>
      </c>
      <c r="I637" s="390">
        <f>'UNT FGD'!$I$28</f>
        <v>0</v>
      </c>
      <c r="J637" s="390">
        <f>'UNT FGD'!$J$28</f>
        <v>0</v>
      </c>
      <c r="K637" s="390">
        <f>'UNT FGD'!$K$28</f>
        <v>0</v>
      </c>
      <c r="L637" s="390">
        <f>'UNT FGD'!$L$28</f>
        <v>0</v>
      </c>
      <c r="M637" s="567">
        <f>'UNT FGD'!$M$28</f>
        <v>-33809704</v>
      </c>
      <c r="N637" s="401"/>
    </row>
    <row r="638" spans="1:14" s="171" customFormat="1" ht="12.75" hidden="1" customHeight="1" outlineLevel="1">
      <c r="A638" s="166"/>
      <c r="B638" s="674" t="str">
        <f>'UNTD FGD'!$B$2</f>
        <v>University of North Texas at Dallas</v>
      </c>
      <c r="C638" s="566"/>
      <c r="D638" s="390">
        <f>'UNTD FGD'!$D$28</f>
        <v>-926451</v>
      </c>
      <c r="E638" s="390">
        <f>'UNTD FGD'!$E$28</f>
        <v>-6458848</v>
      </c>
      <c r="F638" s="390">
        <f>'UNTD FGD'!$F$28</f>
        <v>0</v>
      </c>
      <c r="G638" s="390">
        <f>'UNTD FGD'!$G$28</f>
        <v>0</v>
      </c>
      <c r="H638" s="390">
        <f>'UNTD FGD'!$H$28</f>
        <v>0</v>
      </c>
      <c r="I638" s="390">
        <f>'UNTD FGD'!$I$28</f>
        <v>0</v>
      </c>
      <c r="J638" s="390">
        <f>'UNTD FGD'!$J$28</f>
        <v>0</v>
      </c>
      <c r="K638" s="390">
        <f>'UNTD FGD'!$K$28</f>
        <v>0</v>
      </c>
      <c r="L638" s="390">
        <f>'UNTD FGD'!$L$28</f>
        <v>0</v>
      </c>
      <c r="M638" s="567">
        <f>'UNTD FGD'!$M$28</f>
        <v>-7385299</v>
      </c>
      <c r="N638" s="401"/>
    </row>
    <row r="639" spans="1:14" s="171" customFormat="1" ht="12.75" hidden="1" customHeight="1" outlineLevel="1">
      <c r="A639" s="166"/>
      <c r="B639" s="674" t="str">
        <f>'WTAMU FGD'!$B$2</f>
        <v>West Texas A&amp;M University</v>
      </c>
      <c r="C639" s="566"/>
      <c r="D639" s="390">
        <f>'WTAMU FGD'!$D$28</f>
        <v>-3449413</v>
      </c>
      <c r="E639" s="390">
        <f>'WTAMU FGD'!$E$28</f>
        <v>-8474331</v>
      </c>
      <c r="F639" s="390">
        <f>'WTAMU FGD'!$F$28</f>
        <v>0</v>
      </c>
      <c r="G639" s="390">
        <f>'WTAMU FGD'!$G$28</f>
        <v>0</v>
      </c>
      <c r="H639" s="390">
        <f>'WTAMU FGD'!$H$28</f>
        <v>0</v>
      </c>
      <c r="I639" s="390">
        <f>'WTAMU FGD'!$I$28</f>
        <v>0</v>
      </c>
      <c r="J639" s="390">
        <f>'WTAMU FGD'!$J$28</f>
        <v>0</v>
      </c>
      <c r="K639" s="390">
        <f>'WTAMU FGD'!$K$28</f>
        <v>0</v>
      </c>
      <c r="L639" s="390">
        <f>'WTAMU FGD'!$L$28</f>
        <v>0</v>
      </c>
      <c r="M639" s="567">
        <f>'WTAMU FGD'!$M$28</f>
        <v>-11923744</v>
      </c>
      <c r="N639" s="401"/>
    </row>
    <row r="640" spans="1:14" s="171" customFormat="1" collapsed="1">
      <c r="A640" s="166"/>
      <c r="B640" s="261" t="s">
        <v>2133</v>
      </c>
      <c r="C640" s="566"/>
      <c r="D640" s="390">
        <f t="shared" ref="D640:M640" si="16">SUM(D604:D639)</f>
        <v>-267774291</v>
      </c>
      <c r="E640" s="390">
        <f t="shared" si="16"/>
        <v>-966082660</v>
      </c>
      <c r="F640" s="390">
        <f t="shared" si="16"/>
        <v>0</v>
      </c>
      <c r="G640" s="390">
        <f t="shared" si="16"/>
        <v>0</v>
      </c>
      <c r="H640" s="390">
        <f t="shared" si="16"/>
        <v>0</v>
      </c>
      <c r="I640" s="390">
        <f t="shared" si="16"/>
        <v>0</v>
      </c>
      <c r="J640" s="390">
        <f t="shared" si="16"/>
        <v>0</v>
      </c>
      <c r="K640" s="390">
        <f t="shared" si="16"/>
        <v>0</v>
      </c>
      <c r="L640" s="390">
        <f t="shared" si="16"/>
        <v>0</v>
      </c>
      <c r="M640" s="567">
        <f t="shared" si="16"/>
        <v>-1233856951</v>
      </c>
      <c r="N640" s="401"/>
    </row>
    <row r="641" spans="1:14" s="171" customFormat="1" ht="12.75" hidden="1" customHeight="1" outlineLevel="1">
      <c r="A641" s="166"/>
      <c r="B641" s="390" t="str">
        <f>'ARL FGD'!$B$2</f>
        <v>The University of Texas at Arlington</v>
      </c>
      <c r="C641" s="566"/>
      <c r="D641" s="390">
        <f>'ARL FGD'!$D$29</f>
        <v>61207291</v>
      </c>
      <c r="E641" s="390">
        <f>'ARL FGD'!$E$29</f>
        <v>178081462</v>
      </c>
      <c r="F641" s="390">
        <f>'ARL FGD'!$F$29</f>
        <v>0</v>
      </c>
      <c r="G641" s="390">
        <f>'ARL FGD'!$G$29</f>
        <v>0</v>
      </c>
      <c r="H641" s="390">
        <f>'ARL FGD'!$H$29</f>
        <v>0</v>
      </c>
      <c r="I641" s="390">
        <f>'ARL FGD'!$I$29</f>
        <v>0</v>
      </c>
      <c r="J641" s="390">
        <f>'ARL FGD'!$J$29</f>
        <v>0</v>
      </c>
      <c r="K641" s="390">
        <f>'ARL FGD'!$K$29</f>
        <v>0</v>
      </c>
      <c r="L641" s="390">
        <f>'ARL FGD'!$L$29</f>
        <v>0</v>
      </c>
      <c r="M641" s="567">
        <f>'ARL FGD'!$M$29</f>
        <v>239288753</v>
      </c>
      <c r="N641" s="401"/>
    </row>
    <row r="642" spans="1:14" s="171" customFormat="1" ht="12.75" hidden="1" customHeight="1" outlineLevel="1">
      <c r="A642" s="166"/>
      <c r="B642" s="390" t="str">
        <f>'ASU FGD'!$B$2</f>
        <v>Angelo State University</v>
      </c>
      <c r="C642" s="566"/>
      <c r="D642" s="390">
        <f>'ASU FGD'!$D$29</f>
        <v>8967008</v>
      </c>
      <c r="E642" s="390">
        <f>'ASU FGD'!$E$29</f>
        <v>17389693</v>
      </c>
      <c r="F642" s="390">
        <f>'ASU FGD'!$F$29</f>
        <v>0</v>
      </c>
      <c r="G642" s="390">
        <f>'ASU FGD'!$G$29</f>
        <v>0</v>
      </c>
      <c r="H642" s="390">
        <f>'ASU FGD'!$H$29</f>
        <v>0</v>
      </c>
      <c r="I642" s="390">
        <f>'ASU FGD'!$I$29</f>
        <v>0</v>
      </c>
      <c r="J642" s="390">
        <f>'ASU FGD'!$J$29</f>
        <v>0</v>
      </c>
      <c r="K642" s="390">
        <f>'ASU FGD'!$K$29</f>
        <v>0</v>
      </c>
      <c r="L642" s="390">
        <f>'ASU FGD'!$L$29</f>
        <v>0</v>
      </c>
      <c r="M642" s="567">
        <f>'ASU FGD'!$M$29</f>
        <v>26356701</v>
      </c>
      <c r="N642" s="401"/>
    </row>
    <row r="643" spans="1:14" s="171" customFormat="1" ht="12.75" hidden="1" customHeight="1" outlineLevel="1">
      <c r="A643" s="166"/>
      <c r="B643" s="390" t="str">
        <f>'AUS1 FGD'!$B$2</f>
        <v>The University of Texas at Austin - Academic &amp; Health (A+H)</v>
      </c>
      <c r="C643" s="566"/>
      <c r="D643" s="390">
        <f>'AUS1 FGD'!$D$29</f>
        <v>81639927</v>
      </c>
      <c r="E643" s="390">
        <f>'AUS1 FGD'!$E$29</f>
        <v>370074061</v>
      </c>
      <c r="F643" s="390">
        <f>'AUS1 FGD'!$F$29</f>
        <v>0</v>
      </c>
      <c r="G643" s="390">
        <f>'AUS1 FGD'!$G$29</f>
        <v>0</v>
      </c>
      <c r="H643" s="390">
        <f>'AUS1 FGD'!$H$29</f>
        <v>0</v>
      </c>
      <c r="I643" s="390">
        <f>'AUS1 FGD'!$I$29</f>
        <v>0</v>
      </c>
      <c r="J643" s="390">
        <f>'AUS1 FGD'!$J$29</f>
        <v>0</v>
      </c>
      <c r="K643" s="390">
        <f>'AUS1 FGD'!$K$29</f>
        <v>0</v>
      </c>
      <c r="L643" s="390">
        <f>'AUS1 FGD'!$L$29</f>
        <v>0</v>
      </c>
      <c r="M643" s="567">
        <f>'AUS1 FGD'!$M$29</f>
        <v>451713988</v>
      </c>
      <c r="N643" s="401"/>
    </row>
    <row r="644" spans="1:14" s="171" customFormat="1" ht="12.75" hidden="1" customHeight="1" outlineLevel="1">
      <c r="A644" s="166"/>
      <c r="B644" s="390" t="str">
        <f>'RGV1 FGD'!$B$2</f>
        <v>The University of Texas RGV - Academic &amp; Health (A+H)</v>
      </c>
      <c r="C644" s="566"/>
      <c r="D644" s="390">
        <f>'RGV1 FGD'!$D$29</f>
        <v>24846225</v>
      </c>
      <c r="E644" s="390">
        <f>'RGV1 FGD'!$E$29</f>
        <v>72736190</v>
      </c>
      <c r="F644" s="390">
        <f>'RGV1 FGD'!$F$29</f>
        <v>0</v>
      </c>
      <c r="G644" s="390">
        <f>'RGV1 FGD'!$G$29</f>
        <v>0</v>
      </c>
      <c r="H644" s="390">
        <f>'RGV1 FGD'!$H$29</f>
        <v>0</v>
      </c>
      <c r="I644" s="390">
        <f>'RGV1 FGD'!$I$29</f>
        <v>0</v>
      </c>
      <c r="J644" s="390">
        <f>'RGV1 FGD'!$J$29</f>
        <v>0</v>
      </c>
      <c r="K644" s="390">
        <f>'RGV1 FGD'!$K$29</f>
        <v>0</v>
      </c>
      <c r="L644" s="390">
        <f>'RGV1 FGD'!$L$29</f>
        <v>0</v>
      </c>
      <c r="M644" s="567">
        <f>'RGV1 FGD'!$M$29</f>
        <v>97582415</v>
      </c>
      <c r="N644" s="401"/>
    </row>
    <row r="645" spans="1:14" s="171" customFormat="1" ht="12.75" hidden="1" customHeight="1" outlineLevel="1">
      <c r="A645" s="166"/>
      <c r="B645" s="390" t="str">
        <f>'DAL FGD'!$B$2</f>
        <v>The University of Texas at Dallas</v>
      </c>
      <c r="C645" s="566"/>
      <c r="D645" s="390">
        <f>'DAL FGD'!$D$29</f>
        <v>39338761</v>
      </c>
      <c r="E645" s="390">
        <f>'DAL FGD'!$E$29</f>
        <v>157869737</v>
      </c>
      <c r="F645" s="390">
        <f>'DAL FGD'!$F$29</f>
        <v>0</v>
      </c>
      <c r="G645" s="390">
        <f>'DAL FGD'!$G$29</f>
        <v>0</v>
      </c>
      <c r="H645" s="390">
        <f>'DAL FGD'!$H$29</f>
        <v>0</v>
      </c>
      <c r="I645" s="390">
        <f>'DAL FGD'!$I$29</f>
        <v>0</v>
      </c>
      <c r="J645" s="390">
        <f>'DAL FGD'!$J$29</f>
        <v>0</v>
      </c>
      <c r="K645" s="390">
        <f>'DAL FGD'!$K$29</f>
        <v>0</v>
      </c>
      <c r="L645" s="390">
        <f>'DAL FGD'!$L$29</f>
        <v>0</v>
      </c>
      <c r="M645" s="567">
        <f>'DAL FGD'!$M$29</f>
        <v>197208498</v>
      </c>
      <c r="N645" s="401"/>
    </row>
    <row r="646" spans="1:14" s="171" customFormat="1" ht="12.75" hidden="1" customHeight="1" outlineLevel="1">
      <c r="A646" s="166"/>
      <c r="B646" s="390" t="str">
        <f>'E-P FGD'!$B$2</f>
        <v>The University of Texas at El Paso</v>
      </c>
      <c r="C646" s="566"/>
      <c r="D646" s="390">
        <f>'E-P FGD'!$D$29</f>
        <v>26168129</v>
      </c>
      <c r="E646" s="390">
        <f>'E-P FGD'!$E$29</f>
        <v>83517476</v>
      </c>
      <c r="F646" s="390">
        <f>'E-P FGD'!$F$29</f>
        <v>0</v>
      </c>
      <c r="G646" s="390">
        <f>'E-P FGD'!$G$29</f>
        <v>0</v>
      </c>
      <c r="H646" s="390">
        <f>'E-P FGD'!$H$29</f>
        <v>0</v>
      </c>
      <c r="I646" s="390">
        <f>'E-P FGD'!$I$29</f>
        <v>0</v>
      </c>
      <c r="J646" s="390">
        <f>'E-P FGD'!$J$29</f>
        <v>0</v>
      </c>
      <c r="K646" s="390">
        <f>'E-P FGD'!$K$29</f>
        <v>0</v>
      </c>
      <c r="L646" s="390">
        <f>'E-P FGD'!$L$29</f>
        <v>0</v>
      </c>
      <c r="M646" s="567">
        <f>'E-P FGD'!$M$29</f>
        <v>109685605</v>
      </c>
      <c r="N646" s="401"/>
    </row>
    <row r="647" spans="1:14" s="171" customFormat="1" ht="12.75" hidden="1" customHeight="1" outlineLevel="1">
      <c r="A647" s="166"/>
      <c r="B647" s="390" t="str">
        <f>'LU FGD'!$B$2</f>
        <v xml:space="preserve">Lamar University </v>
      </c>
      <c r="C647" s="566"/>
      <c r="D647" s="390">
        <f>'LU FGD'!$D$29</f>
        <v>16051648</v>
      </c>
      <c r="E647" s="390">
        <f>'LU FGD'!$E$29</f>
        <v>67259353</v>
      </c>
      <c r="F647" s="390">
        <f>'LU FGD'!$F$29</f>
        <v>0</v>
      </c>
      <c r="G647" s="390">
        <f>'LU FGD'!$G$29</f>
        <v>0</v>
      </c>
      <c r="H647" s="390">
        <f>'LU FGD'!$H$29</f>
        <v>0</v>
      </c>
      <c r="I647" s="390">
        <f>'LU FGD'!$I$29</f>
        <v>0</v>
      </c>
      <c r="J647" s="390">
        <f>'LU FGD'!$J$29</f>
        <v>0</v>
      </c>
      <c r="K647" s="390">
        <f>'LU FGD'!$K$29</f>
        <v>0</v>
      </c>
      <c r="L647" s="390">
        <f>'LU FGD'!$L$29</f>
        <v>0</v>
      </c>
      <c r="M647" s="567">
        <f>'LU FGD'!$M$29</f>
        <v>83311001</v>
      </c>
      <c r="N647" s="401"/>
    </row>
    <row r="648" spans="1:14" s="171" customFormat="1" ht="12.75" hidden="1" customHeight="1" outlineLevel="1">
      <c r="A648" s="166"/>
      <c r="B648" s="390" t="str">
        <f>'MidWST FGD'!$B$2</f>
        <v>Midwestern State University</v>
      </c>
      <c r="C648" s="566"/>
      <c r="D648" s="390">
        <f>'MidWST FGD'!$D$29</f>
        <v>4617267</v>
      </c>
      <c r="E648" s="390">
        <f>'MidWST FGD'!$E$29</f>
        <v>12775038</v>
      </c>
      <c r="F648" s="390">
        <f>'MidWST FGD'!$F$29</f>
        <v>0</v>
      </c>
      <c r="G648" s="390">
        <f>'MidWST FGD'!$G$29</f>
        <v>0</v>
      </c>
      <c r="H648" s="390">
        <f>'MidWST FGD'!$H$29</f>
        <v>0</v>
      </c>
      <c r="I648" s="390">
        <f>'MidWST FGD'!$I$29</f>
        <v>0</v>
      </c>
      <c r="J648" s="390">
        <f>'MidWST FGD'!$J$29</f>
        <v>0</v>
      </c>
      <c r="K648" s="390">
        <f>'MidWST FGD'!$K$29</f>
        <v>0</v>
      </c>
      <c r="L648" s="390">
        <f>'MidWST FGD'!$L$29</f>
        <v>0</v>
      </c>
      <c r="M648" s="567">
        <f>'MidWST FGD'!$M$29</f>
        <v>17392305</v>
      </c>
      <c r="N648" s="401"/>
    </row>
    <row r="649" spans="1:14" s="171" customFormat="1" ht="12.75" hidden="1" customHeight="1" outlineLevel="1">
      <c r="A649" s="166"/>
      <c r="B649" s="390" t="str">
        <f>'P-B FGD'!$B$2</f>
        <v>The University of Texas of the Permian Basin</v>
      </c>
      <c r="C649" s="566"/>
      <c r="D649" s="390">
        <f>'P-B FGD'!$D$29</f>
        <v>4882311</v>
      </c>
      <c r="E649" s="390">
        <f>'P-B FGD'!$E$29</f>
        <v>12485679</v>
      </c>
      <c r="F649" s="390">
        <f>'P-B FGD'!$F$29</f>
        <v>0</v>
      </c>
      <c r="G649" s="390">
        <f>'P-B FGD'!$G$29</f>
        <v>0</v>
      </c>
      <c r="H649" s="390">
        <f>'P-B FGD'!$H$29</f>
        <v>0</v>
      </c>
      <c r="I649" s="390">
        <f>'P-B FGD'!$I$29</f>
        <v>0</v>
      </c>
      <c r="J649" s="390">
        <f>'P-B FGD'!$J$29</f>
        <v>0</v>
      </c>
      <c r="K649" s="390">
        <f>'P-B FGD'!$K$29</f>
        <v>0</v>
      </c>
      <c r="L649" s="390">
        <f>'P-B FGD'!$L$29</f>
        <v>0</v>
      </c>
      <c r="M649" s="567">
        <f>'P-B FGD'!$M$29</f>
        <v>17367990</v>
      </c>
      <c r="N649" s="401"/>
    </row>
    <row r="650" spans="1:14" s="171" customFormat="1" ht="12.75" hidden="1" customHeight="1" outlineLevel="1">
      <c r="A650" s="166"/>
      <c r="B650" s="390" t="str">
        <f>'PVAMU FGD'!$B$2</f>
        <v>Prairie View A&amp;M University</v>
      </c>
      <c r="C650" s="566"/>
      <c r="D650" s="390">
        <f>'PVAMU FGD'!$D$29</f>
        <v>11351415</v>
      </c>
      <c r="E650" s="390">
        <f>'PVAMU FGD'!$E$29</f>
        <v>29116389</v>
      </c>
      <c r="F650" s="390">
        <f>'PVAMU FGD'!$F$29</f>
        <v>0</v>
      </c>
      <c r="G650" s="390">
        <f>'PVAMU FGD'!$G$29</f>
        <v>0</v>
      </c>
      <c r="H650" s="390">
        <f>'PVAMU FGD'!$H$29</f>
        <v>0</v>
      </c>
      <c r="I650" s="390">
        <f>'PVAMU FGD'!$I$29</f>
        <v>0</v>
      </c>
      <c r="J650" s="390">
        <f>'PVAMU FGD'!$J$29</f>
        <v>0</v>
      </c>
      <c r="K650" s="390">
        <f>'PVAMU FGD'!$K$29</f>
        <v>0</v>
      </c>
      <c r="L650" s="390">
        <f>'PVAMU FGD'!$L$29</f>
        <v>0</v>
      </c>
      <c r="M650" s="567">
        <f>'PVAMU FGD'!$M$29</f>
        <v>40467804</v>
      </c>
      <c r="N650" s="401"/>
    </row>
    <row r="651" spans="1:14" s="171" customFormat="1" ht="12.75" hidden="1" customHeight="1" outlineLevel="1">
      <c r="A651" s="166"/>
      <c r="B651" s="390" t="str">
        <f>'S-A FGD'!$B$2</f>
        <v>The University of Texas at San Antonio</v>
      </c>
      <c r="C651" s="566"/>
      <c r="D651" s="390">
        <f>'S-A FGD'!$D$29</f>
        <v>35822306</v>
      </c>
      <c r="E651" s="390">
        <f>'S-A FGD'!$E$29</f>
        <v>124169140</v>
      </c>
      <c r="F651" s="390">
        <f>'S-A FGD'!$F$29</f>
        <v>0</v>
      </c>
      <c r="G651" s="390">
        <f>'S-A FGD'!$G$29</f>
        <v>0</v>
      </c>
      <c r="H651" s="390">
        <f>'S-A FGD'!$H$29</f>
        <v>0</v>
      </c>
      <c r="I651" s="390">
        <f>'S-A FGD'!$I$29</f>
        <v>0</v>
      </c>
      <c r="J651" s="390">
        <f>'S-A FGD'!$J$29</f>
        <v>0</v>
      </c>
      <c r="K651" s="390">
        <f>'S-A FGD'!$K$29</f>
        <v>0</v>
      </c>
      <c r="L651" s="390">
        <f>'S-A FGD'!$L$29</f>
        <v>0</v>
      </c>
      <c r="M651" s="567">
        <f>'S-A FGD'!$M$29</f>
        <v>159991446</v>
      </c>
      <c r="N651" s="401"/>
    </row>
    <row r="652" spans="1:14" s="171" customFormat="1" ht="12.75" hidden="1" customHeight="1" outlineLevel="1">
      <c r="A652" s="166"/>
      <c r="B652" s="390" t="str">
        <f>'SFA FGD'!$B$2</f>
        <v>Stephen F. Austin State University</v>
      </c>
      <c r="C652" s="566"/>
      <c r="D652" s="390">
        <f>'SFA FGD'!$D$29</f>
        <v>11516429</v>
      </c>
      <c r="E652" s="390">
        <f>'SFA FGD'!$E$29</f>
        <v>45525153</v>
      </c>
      <c r="F652" s="390">
        <f>'SFA FGD'!$F$29</f>
        <v>0</v>
      </c>
      <c r="G652" s="390">
        <f>'SFA FGD'!$G$29</f>
        <v>0</v>
      </c>
      <c r="H652" s="390">
        <f>'SFA FGD'!$H$29</f>
        <v>0</v>
      </c>
      <c r="I652" s="390">
        <f>'SFA FGD'!$I$29</f>
        <v>0</v>
      </c>
      <c r="J652" s="390">
        <f>'SFA FGD'!$J$29</f>
        <v>0</v>
      </c>
      <c r="K652" s="390">
        <f>'SFA FGD'!$K$29</f>
        <v>0</v>
      </c>
      <c r="L652" s="390">
        <f>'SFA FGD'!$L$29</f>
        <v>0</v>
      </c>
      <c r="M652" s="567">
        <f>'SFA FGD'!$M$29</f>
        <v>57041582</v>
      </c>
      <c r="N652" s="401"/>
    </row>
    <row r="653" spans="1:14" s="171" customFormat="1" ht="12.75" hidden="1" customHeight="1" outlineLevel="1">
      <c r="A653" s="166"/>
      <c r="B653" s="390" t="str">
        <f>'shsu1 FGD'!$B$2</f>
        <v>Sam Houston State University - Academic &amp; Health (A+H)</v>
      </c>
      <c r="C653" s="566"/>
      <c r="D653" s="390">
        <f>'shsu1 FGD'!$D$29</f>
        <v>30211938</v>
      </c>
      <c r="E653" s="390">
        <f>'shsu1 FGD'!$E$29</f>
        <v>58754402</v>
      </c>
      <c r="F653" s="390">
        <f>'shsu1 FGD'!$F$29</f>
        <v>0</v>
      </c>
      <c r="G653" s="390">
        <f>'shsu1 FGD'!$G$29</f>
        <v>0</v>
      </c>
      <c r="H653" s="390">
        <f>'shsu1 FGD'!$H$29</f>
        <v>0</v>
      </c>
      <c r="I653" s="390">
        <f>'shsu1 FGD'!$I$29</f>
        <v>0</v>
      </c>
      <c r="J653" s="390">
        <f>'shsu1 FGD'!$J$29</f>
        <v>0</v>
      </c>
      <c r="K653" s="390">
        <f>'shsu1 FGD'!$K$29</f>
        <v>0</v>
      </c>
      <c r="L653" s="390">
        <f>'shsu1 FGD'!$L$29</f>
        <v>0</v>
      </c>
      <c r="M653" s="567">
        <f>'shsu1 FGD'!$M$29</f>
        <v>88966340</v>
      </c>
      <c r="N653" s="401"/>
    </row>
    <row r="654" spans="1:14" s="171" customFormat="1" ht="12.75" hidden="1" customHeight="1" outlineLevel="1">
      <c r="A654" s="166"/>
      <c r="B654" s="390" t="str">
        <f>'SRSU FGD'!$B$2</f>
        <v>Sul Ross State University</v>
      </c>
      <c r="C654" s="566"/>
      <c r="D654" s="390">
        <f>'SRSU FGD'!$D$29</f>
        <v>2762296</v>
      </c>
      <c r="E654" s="390">
        <f>'SRSU FGD'!$E$29</f>
        <v>3555076</v>
      </c>
      <c r="F654" s="390">
        <f>'SRSU FGD'!$F$29</f>
        <v>0</v>
      </c>
      <c r="G654" s="390">
        <f>'SRSU FGD'!$G$29</f>
        <v>0</v>
      </c>
      <c r="H654" s="390">
        <f>'SRSU FGD'!$H$29</f>
        <v>0</v>
      </c>
      <c r="I654" s="390">
        <f>'SRSU FGD'!$I$29</f>
        <v>0</v>
      </c>
      <c r="J654" s="390">
        <f>'SRSU FGD'!$J$29</f>
        <v>0</v>
      </c>
      <c r="K654" s="390">
        <f>'SRSU FGD'!$K$29</f>
        <v>0</v>
      </c>
      <c r="L654" s="390">
        <f>'SRSU FGD'!$L$29</f>
        <v>0</v>
      </c>
      <c r="M654" s="567">
        <f>'SRSU FGD'!$M$29</f>
        <v>6317372</v>
      </c>
      <c r="N654" s="401"/>
    </row>
    <row r="655" spans="1:14" s="171" customFormat="1" ht="12.75" hidden="1" customHeight="1" outlineLevel="1">
      <c r="A655" s="166"/>
      <c r="B655" s="390" t="str">
        <f>'TAMIU FGD'!$B$2</f>
        <v>Texas A&amp;M International University</v>
      </c>
      <c r="C655" s="566"/>
      <c r="D655" s="390">
        <f>'TAMIU FGD'!$D$29</f>
        <v>6078257</v>
      </c>
      <c r="E655" s="390">
        <f>'TAMIU FGD'!$E$29</f>
        <v>12025092</v>
      </c>
      <c r="F655" s="390">
        <f>'TAMIU FGD'!$F$29</f>
        <v>0</v>
      </c>
      <c r="G655" s="390">
        <f>'TAMIU FGD'!$G$29</f>
        <v>0</v>
      </c>
      <c r="H655" s="390">
        <f>'TAMIU FGD'!$H$29</f>
        <v>0</v>
      </c>
      <c r="I655" s="390">
        <f>'TAMIU FGD'!$I$29</f>
        <v>0</v>
      </c>
      <c r="J655" s="390">
        <f>'TAMIU FGD'!$J$29</f>
        <v>0</v>
      </c>
      <c r="K655" s="390">
        <f>'TAMIU FGD'!$K$29</f>
        <v>0</v>
      </c>
      <c r="L655" s="390">
        <f>'TAMIU FGD'!$L$29</f>
        <v>0</v>
      </c>
      <c r="M655" s="567">
        <f>'TAMIU FGD'!$M$29</f>
        <v>18103349</v>
      </c>
      <c r="N655" s="401"/>
    </row>
    <row r="656" spans="1:14" s="171" customFormat="1" ht="12.75" hidden="1" customHeight="1" outlineLevel="1">
      <c r="A656" s="166"/>
      <c r="B656" s="390" t="str">
        <f>'TAMU FGD'!$B$2</f>
        <v>Texas A&amp;M University</v>
      </c>
      <c r="C656" s="566"/>
      <c r="D656" s="390">
        <f>'TAMU FGD'!$D$29</f>
        <v>95606607</v>
      </c>
      <c r="E656" s="390">
        <f>'TAMU FGD'!$E$29</f>
        <v>346875916</v>
      </c>
      <c r="F656" s="390">
        <f>'TAMU FGD'!$F$29</f>
        <v>0</v>
      </c>
      <c r="G656" s="390">
        <f>'TAMU FGD'!$G$29</f>
        <v>0</v>
      </c>
      <c r="H656" s="390">
        <f>'TAMU FGD'!$H$29</f>
        <v>0</v>
      </c>
      <c r="I656" s="390">
        <f>'TAMU FGD'!$I$29</f>
        <v>0</v>
      </c>
      <c r="J656" s="390">
        <f>'TAMU FGD'!$J$29</f>
        <v>0</v>
      </c>
      <c r="K656" s="390">
        <f>'TAMU FGD'!$K$29</f>
        <v>0</v>
      </c>
      <c r="L656" s="390">
        <f>'TAMU FGD'!$L$29</f>
        <v>0</v>
      </c>
      <c r="M656" s="567">
        <f>'TAMU FGD'!$M$29</f>
        <v>442482523</v>
      </c>
      <c r="N656" s="401"/>
    </row>
    <row r="657" spans="1:14" s="171" customFormat="1" ht="12.75" hidden="1" customHeight="1" outlineLevel="1">
      <c r="A657" s="166"/>
      <c r="B657" s="390" t="str">
        <f>'TAMUC FGD'!$B$2</f>
        <v>Texas A&amp;M University - Commerce</v>
      </c>
      <c r="C657" s="566"/>
      <c r="D657" s="390">
        <f>'TAMUC FGD'!$D$29</f>
        <v>12736911</v>
      </c>
      <c r="E657" s="390">
        <f>'TAMUC FGD'!$E$29</f>
        <v>22596977</v>
      </c>
      <c r="F657" s="390">
        <f>'TAMUC FGD'!$F$29</f>
        <v>0</v>
      </c>
      <c r="G657" s="390">
        <f>'TAMUC FGD'!$G$29</f>
        <v>-1141176</v>
      </c>
      <c r="H657" s="390">
        <f>'TAMUC FGD'!$H$29</f>
        <v>0</v>
      </c>
      <c r="I657" s="390">
        <f>'TAMUC FGD'!$I$29</f>
        <v>0</v>
      </c>
      <c r="J657" s="390">
        <f>'TAMUC FGD'!$J$29</f>
        <v>0</v>
      </c>
      <c r="K657" s="390">
        <f>'TAMUC FGD'!$K$29</f>
        <v>0</v>
      </c>
      <c r="L657" s="390">
        <f>'TAMUC FGD'!$L$29</f>
        <v>0</v>
      </c>
      <c r="M657" s="567">
        <f>'TAMUC FGD'!$M$29</f>
        <v>34192712</v>
      </c>
      <c r="N657" s="401"/>
    </row>
    <row r="658" spans="1:14" s="171" customFormat="1" ht="12.75" hidden="1" customHeight="1" outlineLevel="1">
      <c r="A658" s="166"/>
      <c r="B658" s="390" t="str">
        <f>'TAMUCC FGD'!$B$2</f>
        <v>Texas A&amp;M University - Corpus Christi</v>
      </c>
      <c r="C658" s="566"/>
      <c r="D658" s="390">
        <f>'TAMUCC FGD'!$D$29</f>
        <v>12835785</v>
      </c>
      <c r="E658" s="390">
        <f>'TAMUCC FGD'!$E$29</f>
        <v>26317957</v>
      </c>
      <c r="F658" s="390">
        <f>'TAMUCC FGD'!$F$29</f>
        <v>0</v>
      </c>
      <c r="G658" s="390">
        <f>'TAMUCC FGD'!$G$29</f>
        <v>0</v>
      </c>
      <c r="H658" s="390">
        <f>'TAMUCC FGD'!$H$29</f>
        <v>0</v>
      </c>
      <c r="I658" s="390">
        <f>'TAMUCC FGD'!$I$29</f>
        <v>0</v>
      </c>
      <c r="J658" s="390">
        <f>'TAMUCC FGD'!$J$29</f>
        <v>0</v>
      </c>
      <c r="K658" s="390">
        <f>'TAMUCC FGD'!$K$29</f>
        <v>0</v>
      </c>
      <c r="L658" s="390">
        <f>'TAMUCC FGD'!$L$29</f>
        <v>0</v>
      </c>
      <c r="M658" s="567">
        <f>'TAMUCC FGD'!$M$29</f>
        <v>39153742</v>
      </c>
      <c r="N658" s="401"/>
    </row>
    <row r="659" spans="1:14" s="171" customFormat="1" ht="12.75" hidden="1" customHeight="1" outlineLevel="1">
      <c r="A659" s="166"/>
      <c r="B659" s="390" t="str">
        <f>'TAMUCT FGD'!$B$2</f>
        <v>Texas A&amp;M University - Central Texas</v>
      </c>
      <c r="C659" s="566"/>
      <c r="D659" s="390">
        <f>'TAMUCT FGD'!$D$29</f>
        <v>2052292</v>
      </c>
      <c r="E659" s="390">
        <f>'TAMUCT FGD'!$E$29</f>
        <v>6722976</v>
      </c>
      <c r="F659" s="390">
        <f>'TAMUCT FGD'!$F$29</f>
        <v>0</v>
      </c>
      <c r="G659" s="390">
        <f>'TAMUCT FGD'!$G$29</f>
        <v>0</v>
      </c>
      <c r="H659" s="390">
        <f>'TAMUCT FGD'!$H$29</f>
        <v>0</v>
      </c>
      <c r="I659" s="390">
        <f>'TAMUCT FGD'!$I$29</f>
        <v>0</v>
      </c>
      <c r="J659" s="390">
        <f>'TAMUCT FGD'!$J$29</f>
        <v>0</v>
      </c>
      <c r="K659" s="390">
        <f>'TAMUCT FGD'!$K$29</f>
        <v>0</v>
      </c>
      <c r="L659" s="390">
        <f>'TAMUCT FGD'!$L$29</f>
        <v>0</v>
      </c>
      <c r="M659" s="567">
        <f>'TAMUCT FGD'!$M$29</f>
        <v>8775268</v>
      </c>
      <c r="N659" s="401"/>
    </row>
    <row r="660" spans="1:14" s="171" customFormat="1" ht="12.75" hidden="1" customHeight="1" outlineLevel="1">
      <c r="A660" s="166"/>
      <c r="B660" s="390" t="str">
        <f>'TAMUG FGD'!$B$2</f>
        <v>Texas A&amp;M University at Galveston</v>
      </c>
      <c r="C660" s="566"/>
      <c r="D660" s="390">
        <f>'TAMUG FGD'!$D$29</f>
        <v>2577093</v>
      </c>
      <c r="E660" s="390">
        <f>'TAMUG FGD'!$E$29</f>
        <v>10098577</v>
      </c>
      <c r="F660" s="390">
        <f>'TAMUG FGD'!$F$29</f>
        <v>0</v>
      </c>
      <c r="G660" s="390">
        <f>'TAMUG FGD'!$G$29</f>
        <v>0</v>
      </c>
      <c r="H660" s="390">
        <f>'TAMUG FGD'!$H$29</f>
        <v>0</v>
      </c>
      <c r="I660" s="390">
        <f>'TAMUG FGD'!$I$29</f>
        <v>0</v>
      </c>
      <c r="J660" s="390">
        <f>'TAMUG FGD'!$J$29</f>
        <v>0</v>
      </c>
      <c r="K660" s="390">
        <f>'TAMUG FGD'!$K$29</f>
        <v>0</v>
      </c>
      <c r="L660" s="390">
        <f>'TAMUG FGD'!$L$29</f>
        <v>0</v>
      </c>
      <c r="M660" s="567">
        <f>'TAMUG FGD'!$M$29</f>
        <v>12675670</v>
      </c>
      <c r="N660" s="401"/>
    </row>
    <row r="661" spans="1:14" s="171" customFormat="1" ht="12.75" hidden="1" customHeight="1" outlineLevel="1">
      <c r="A661" s="166"/>
      <c r="B661" s="390" t="str">
        <f>'TAMUK FGD'!$B$2</f>
        <v>Texas A&amp;M University - Kingsville</v>
      </c>
      <c r="C661" s="566"/>
      <c r="D661" s="390">
        <f>'TAMUK FGD'!$D$29</f>
        <v>10230955</v>
      </c>
      <c r="E661" s="390">
        <f>'TAMUK FGD'!$E$29</f>
        <v>12851997</v>
      </c>
      <c r="F661" s="390">
        <f>'TAMUK FGD'!$F$29</f>
        <v>0</v>
      </c>
      <c r="G661" s="390">
        <f>'TAMUK FGD'!$G$29</f>
        <v>-2077784</v>
      </c>
      <c r="H661" s="390">
        <f>'TAMUK FGD'!$H$29</f>
        <v>0</v>
      </c>
      <c r="I661" s="390">
        <f>'TAMUK FGD'!$I$29</f>
        <v>0</v>
      </c>
      <c r="J661" s="390">
        <f>'TAMUK FGD'!$J$29</f>
        <v>0</v>
      </c>
      <c r="K661" s="390">
        <f>'TAMUK FGD'!$K$29</f>
        <v>0</v>
      </c>
      <c r="L661" s="390">
        <f>'TAMUK FGD'!$L$29</f>
        <v>0</v>
      </c>
      <c r="M661" s="567">
        <f>'TAMUK FGD'!$M$29</f>
        <v>21005168</v>
      </c>
      <c r="N661" s="401"/>
    </row>
    <row r="662" spans="1:14" s="171" customFormat="1" ht="12.75" hidden="1" customHeight="1" outlineLevel="1">
      <c r="A662" s="166"/>
      <c r="B662" s="390" t="str">
        <f>'TAMUSA FGD'!$B$2</f>
        <v>Texas A&amp;M University - San Antonio</v>
      </c>
      <c r="C662" s="566"/>
      <c r="D662" s="390">
        <f>'TAMUSA FGD'!$D$29</f>
        <v>5423616</v>
      </c>
      <c r="E662" s="390">
        <f>'TAMUSA FGD'!$E$29</f>
        <v>10407916</v>
      </c>
      <c r="F662" s="390">
        <f>'TAMUSA FGD'!$F$29</f>
        <v>0</v>
      </c>
      <c r="G662" s="390">
        <f>'TAMUSA FGD'!$G$29</f>
        <v>0</v>
      </c>
      <c r="H662" s="390">
        <f>'TAMUSA FGD'!$H$29</f>
        <v>0</v>
      </c>
      <c r="I662" s="390">
        <f>'TAMUSA FGD'!$I$29</f>
        <v>0</v>
      </c>
      <c r="J662" s="390">
        <f>'TAMUSA FGD'!$J$29</f>
        <v>0</v>
      </c>
      <c r="K662" s="390">
        <f>'TAMUSA FGD'!$K$29</f>
        <v>0</v>
      </c>
      <c r="L662" s="390">
        <f>'TAMUSA FGD'!$L$29</f>
        <v>0</v>
      </c>
      <c r="M662" s="567">
        <f>'TAMUSA FGD'!$M$29</f>
        <v>15831532</v>
      </c>
      <c r="N662" s="401"/>
    </row>
    <row r="663" spans="1:14" s="171" customFormat="1" ht="12.75" hidden="1" customHeight="1" outlineLevel="1">
      <c r="A663" s="166"/>
      <c r="B663" s="390" t="str">
        <f>'TAMUT FGD'!$B$2</f>
        <v>Texas A&amp;M University - Texarkana</v>
      </c>
      <c r="C663" s="566"/>
      <c r="D663" s="390">
        <f>'TAMUT FGD'!$D$29</f>
        <v>1905043</v>
      </c>
      <c r="E663" s="390">
        <f>'TAMUT FGD'!$E$29</f>
        <v>5744003</v>
      </c>
      <c r="F663" s="390">
        <f>'TAMUT FGD'!$F$29</f>
        <v>0</v>
      </c>
      <c r="G663" s="390">
        <f>'TAMUT FGD'!$G$29</f>
        <v>0</v>
      </c>
      <c r="H663" s="390">
        <f>'TAMUT FGD'!$H$29</f>
        <v>0</v>
      </c>
      <c r="I663" s="390">
        <f>'TAMUT FGD'!$I$29</f>
        <v>0</v>
      </c>
      <c r="J663" s="390">
        <f>'TAMUT FGD'!$J$29</f>
        <v>0</v>
      </c>
      <c r="K663" s="390">
        <f>'TAMUT FGD'!$K$29</f>
        <v>0</v>
      </c>
      <c r="L663" s="390">
        <f>'TAMUT FGD'!$L$29</f>
        <v>0</v>
      </c>
      <c r="M663" s="567">
        <f>'TAMUT FGD'!$M$29</f>
        <v>7649046</v>
      </c>
      <c r="N663" s="401"/>
    </row>
    <row r="664" spans="1:14" s="171" customFormat="1" ht="12.75" hidden="1" customHeight="1" outlineLevel="1">
      <c r="A664" s="166"/>
      <c r="B664" s="390" t="str">
        <f>'TARLST FGD'!$B$2</f>
        <v>Tarleton State University</v>
      </c>
      <c r="C664" s="566"/>
      <c r="D664" s="390">
        <f>'TARLST FGD'!$D$29</f>
        <v>16528649</v>
      </c>
      <c r="E664" s="390">
        <f>'TARLST FGD'!$E$29</f>
        <v>40790649</v>
      </c>
      <c r="F664" s="390">
        <f>'TARLST FGD'!$F$29</f>
        <v>0</v>
      </c>
      <c r="G664" s="390">
        <f>'TARLST FGD'!$G$29</f>
        <v>0</v>
      </c>
      <c r="H664" s="390">
        <f>'TARLST FGD'!$H$29</f>
        <v>0</v>
      </c>
      <c r="I664" s="390">
        <f>'TARLST FGD'!$I$29</f>
        <v>0</v>
      </c>
      <c r="J664" s="390">
        <f>'TARLST FGD'!$J$29</f>
        <v>0</v>
      </c>
      <c r="K664" s="390">
        <f>'TARLST FGD'!$K$29</f>
        <v>0</v>
      </c>
      <c r="L664" s="390">
        <f>'TARLST FGD'!$L$29</f>
        <v>0</v>
      </c>
      <c r="M664" s="567">
        <f>'TARLST FGD'!$M$29</f>
        <v>57319298</v>
      </c>
      <c r="N664" s="401"/>
    </row>
    <row r="665" spans="1:14" s="171" customFormat="1" ht="12.75" hidden="1" customHeight="1" outlineLevel="1">
      <c r="A665" s="166"/>
      <c r="B665" s="390" t="str">
        <f>'TSU FGD'!$B$2</f>
        <v>Texas Southern University</v>
      </c>
      <c r="C665" s="566"/>
      <c r="D665" s="390">
        <f>'TSU FGD'!$D$29</f>
        <v>16034177</v>
      </c>
      <c r="E665" s="390">
        <f>'TSU FGD'!$E$29</f>
        <v>25998235</v>
      </c>
      <c r="F665" s="390">
        <f>'TSU FGD'!$F$29</f>
        <v>0</v>
      </c>
      <c r="G665" s="390">
        <f>'TSU FGD'!$G$29</f>
        <v>0</v>
      </c>
      <c r="H665" s="390">
        <f>'TSU FGD'!$H$29</f>
        <v>0</v>
      </c>
      <c r="I665" s="390">
        <f>'TSU FGD'!$I$29</f>
        <v>0</v>
      </c>
      <c r="J665" s="390">
        <f>'TSU FGD'!$J$29</f>
        <v>0</v>
      </c>
      <c r="K665" s="390">
        <f>'TSU FGD'!$K$29</f>
        <v>0</v>
      </c>
      <c r="L665" s="390">
        <f>'TSU FGD'!$L$29</f>
        <v>0</v>
      </c>
      <c r="M665" s="567">
        <f>'TSU FGD'!$M$29</f>
        <v>42032412</v>
      </c>
      <c r="N665" s="401"/>
    </row>
    <row r="666" spans="1:14" s="171" customFormat="1" ht="12.75" hidden="1" customHeight="1" outlineLevel="1">
      <c r="A666" s="166"/>
      <c r="B666" s="390" t="str">
        <f>'TTU FGD'!$B$2</f>
        <v>Texas Tech University</v>
      </c>
      <c r="C666" s="566"/>
      <c r="D666" s="390">
        <f>'TTU FGD'!$D$29</f>
        <v>51090042</v>
      </c>
      <c r="E666" s="390">
        <f>'TTU FGD'!$E$29</f>
        <v>193474386</v>
      </c>
      <c r="F666" s="390">
        <f>'TTU FGD'!$F$29</f>
        <v>0</v>
      </c>
      <c r="G666" s="390">
        <f>'TTU FGD'!$G$29</f>
        <v>0</v>
      </c>
      <c r="H666" s="390">
        <f>'TTU FGD'!$H$29</f>
        <v>0</v>
      </c>
      <c r="I666" s="390">
        <f>'TTU FGD'!$I$29</f>
        <v>0</v>
      </c>
      <c r="J666" s="390">
        <f>'TTU FGD'!$J$29</f>
        <v>0</v>
      </c>
      <c r="K666" s="390">
        <f>'TTU FGD'!$K$29</f>
        <v>0</v>
      </c>
      <c r="L666" s="390">
        <f>'TTU FGD'!$L$29</f>
        <v>0</v>
      </c>
      <c r="M666" s="567">
        <f>'TTU FGD'!$M$29</f>
        <v>244564428</v>
      </c>
      <c r="N666" s="401"/>
    </row>
    <row r="667" spans="1:14" s="171" customFormat="1" ht="12.75" hidden="1" customHeight="1" outlineLevel="1">
      <c r="A667" s="166"/>
      <c r="B667" s="390" t="str">
        <f>'TWU FGD'!$B$2</f>
        <v>Texas Woman's University</v>
      </c>
      <c r="C667" s="566"/>
      <c r="D667" s="390">
        <f>'TWU FGD'!$D$29</f>
        <v>30401047</v>
      </c>
      <c r="E667" s="390">
        <f>'TWU FGD'!$E$29</f>
        <v>82771119</v>
      </c>
      <c r="F667" s="390">
        <f>'TWU FGD'!$F$29</f>
        <v>0</v>
      </c>
      <c r="G667" s="390">
        <f>'TWU FGD'!$G$29</f>
        <v>0</v>
      </c>
      <c r="H667" s="390">
        <f>'TWU FGD'!$H$29</f>
        <v>0</v>
      </c>
      <c r="I667" s="390">
        <f>'TWU FGD'!$I$29</f>
        <v>0</v>
      </c>
      <c r="J667" s="390">
        <f>'TWU FGD'!$J$29</f>
        <v>0</v>
      </c>
      <c r="K667" s="390">
        <f>'TWU FGD'!$K$29</f>
        <v>0</v>
      </c>
      <c r="L667" s="390">
        <f>'TWU FGD'!$L$29</f>
        <v>0</v>
      </c>
      <c r="M667" s="567">
        <f>'TWU FGD'!$M$29</f>
        <v>113172166</v>
      </c>
      <c r="N667" s="401"/>
    </row>
    <row r="668" spans="1:14" s="171" customFormat="1" ht="12.75" hidden="1" customHeight="1" outlineLevel="1">
      <c r="A668" s="166"/>
      <c r="B668" s="390" t="str">
        <f>'TXST FGD'!$B$2</f>
        <v>Texas State University</v>
      </c>
      <c r="C668" s="566"/>
      <c r="D668" s="390">
        <f>'TXST FGD'!$D$29</f>
        <v>38657961</v>
      </c>
      <c r="E668" s="390">
        <f>'TXST FGD'!$E$29</f>
        <v>163552465</v>
      </c>
      <c r="F668" s="390">
        <f>'TXST FGD'!$F$29</f>
        <v>0</v>
      </c>
      <c r="G668" s="390">
        <f>'TXST FGD'!$G$29</f>
        <v>0</v>
      </c>
      <c r="H668" s="390">
        <f>'TXST FGD'!$H$29</f>
        <v>0</v>
      </c>
      <c r="I668" s="390">
        <f>'TXST FGD'!$I$29</f>
        <v>0</v>
      </c>
      <c r="J668" s="390">
        <f>'TXST FGD'!$J$29</f>
        <v>0</v>
      </c>
      <c r="K668" s="390">
        <f>'TXST FGD'!$K$29</f>
        <v>0</v>
      </c>
      <c r="L668" s="390">
        <f>'TXST FGD'!$L$29</f>
        <v>0</v>
      </c>
      <c r="M668" s="567">
        <f>'TXST FGD'!$M$29</f>
        <v>202210426</v>
      </c>
      <c r="N668" s="401"/>
    </row>
    <row r="669" spans="1:14" s="171" customFormat="1" ht="12.75" hidden="1" customHeight="1" outlineLevel="1">
      <c r="A669" s="166"/>
      <c r="B669" s="390" t="str">
        <f>'TYL FGD'!$B$2</f>
        <v>The University of Texas at Tyler</v>
      </c>
      <c r="C669" s="566"/>
      <c r="D669" s="390">
        <f>'TYL FGD'!$D$29</f>
        <v>8316416</v>
      </c>
      <c r="E669" s="390">
        <f>'TYL FGD'!$E$29</f>
        <v>27651945</v>
      </c>
      <c r="F669" s="390">
        <f>'TYL FGD'!$F$29</f>
        <v>0</v>
      </c>
      <c r="G669" s="390">
        <f>'TYL FGD'!$G$29</f>
        <v>0</v>
      </c>
      <c r="H669" s="390">
        <f>'TYL FGD'!$H$29</f>
        <v>0</v>
      </c>
      <c r="I669" s="390">
        <f>'TYL FGD'!$I$29</f>
        <v>0</v>
      </c>
      <c r="J669" s="390">
        <f>'TYL FGD'!$J$29</f>
        <v>0</v>
      </c>
      <c r="K669" s="390">
        <f>'TYL FGD'!$K$29</f>
        <v>0</v>
      </c>
      <c r="L669" s="390">
        <f>'TYL FGD'!$L$29</f>
        <v>0</v>
      </c>
      <c r="M669" s="567">
        <f>'TYL FGD'!$M$29</f>
        <v>35968361</v>
      </c>
      <c r="N669" s="401"/>
    </row>
    <row r="670" spans="1:14" s="171" customFormat="1" ht="12.75" hidden="1" customHeight="1" outlineLevel="1">
      <c r="A670" s="166"/>
      <c r="B670" s="390" t="str">
        <f>'UH1 FGD'!$B$2</f>
        <v>University of Houston - Academic &amp; Health (A+H)</v>
      </c>
      <c r="C670" s="566"/>
      <c r="D670" s="390">
        <f>'UH1 FGD'!$D$29</f>
        <v>61505006</v>
      </c>
      <c r="E670" s="390">
        <f>'UH1 FGD'!$E$29</f>
        <v>228907901</v>
      </c>
      <c r="F670" s="390">
        <f>'UH1 FGD'!$F$29</f>
        <v>0</v>
      </c>
      <c r="G670" s="390">
        <f>'UH1 FGD'!$G$29</f>
        <v>0</v>
      </c>
      <c r="H670" s="390">
        <f>'UH1 FGD'!$H$29</f>
        <v>0</v>
      </c>
      <c r="I670" s="390">
        <f>'UH1 FGD'!$I$29</f>
        <v>0</v>
      </c>
      <c r="J670" s="390">
        <f>'UH1 FGD'!$J$29</f>
        <v>0</v>
      </c>
      <c r="K670" s="390">
        <f>'UH1 FGD'!$K$29</f>
        <v>0</v>
      </c>
      <c r="L670" s="390">
        <f>'UH1 FGD'!$L$29</f>
        <v>0</v>
      </c>
      <c r="M670" s="567">
        <f>'UH1 FGD'!$M$29</f>
        <v>290412907</v>
      </c>
      <c r="N670" s="401"/>
    </row>
    <row r="671" spans="1:14" s="171" customFormat="1" ht="12.75" hidden="1" customHeight="1" outlineLevel="1">
      <c r="A671" s="166"/>
      <c r="B671" s="390" t="str">
        <f>'UHCL FGD'!$B$2</f>
        <v>University of Houston - Clear Lake</v>
      </c>
      <c r="C671" s="566"/>
      <c r="D671" s="390">
        <f>'UHCL FGD'!$D$29</f>
        <v>9915824</v>
      </c>
      <c r="E671" s="390">
        <f>'UHCL FGD'!$E$29</f>
        <v>33788339</v>
      </c>
      <c r="F671" s="390">
        <f>'UHCL FGD'!$F$29</f>
        <v>0</v>
      </c>
      <c r="G671" s="390">
        <f>'UHCL FGD'!$G$29</f>
        <v>0</v>
      </c>
      <c r="H671" s="390">
        <f>'UHCL FGD'!$H$29</f>
        <v>0</v>
      </c>
      <c r="I671" s="390">
        <f>'UHCL FGD'!$I$29</f>
        <v>0</v>
      </c>
      <c r="J671" s="390">
        <f>'UHCL FGD'!$J$29</f>
        <v>0</v>
      </c>
      <c r="K671" s="390">
        <f>'UHCL FGD'!$K$29</f>
        <v>0</v>
      </c>
      <c r="L671" s="390">
        <f>'UHCL FGD'!$L$29</f>
        <v>0</v>
      </c>
      <c r="M671" s="567">
        <f>'UHCL FGD'!$M$29</f>
        <v>43704163</v>
      </c>
      <c r="N671" s="401"/>
    </row>
    <row r="672" spans="1:14" s="171" customFormat="1" ht="12.75" hidden="1" customHeight="1" outlineLevel="1">
      <c r="A672" s="166"/>
      <c r="B672" s="390" t="str">
        <f>'UHD FGD'!$B$2</f>
        <v>University of Houston - Downtown</v>
      </c>
      <c r="C672" s="566"/>
      <c r="D672" s="390">
        <f>'UHD FGD'!$D$29</f>
        <v>13669181</v>
      </c>
      <c r="E672" s="390">
        <f>'UHD FGD'!$E$29</f>
        <v>41777557</v>
      </c>
      <c r="F672" s="390">
        <f>'UHD FGD'!$F$29</f>
        <v>0</v>
      </c>
      <c r="G672" s="390">
        <f>'UHD FGD'!$G$29</f>
        <v>0</v>
      </c>
      <c r="H672" s="390">
        <f>'UHD FGD'!$H$29</f>
        <v>0</v>
      </c>
      <c r="I672" s="390">
        <f>'UHD FGD'!$I$29</f>
        <v>0</v>
      </c>
      <c r="J672" s="390">
        <f>'UHD FGD'!$J$29</f>
        <v>0</v>
      </c>
      <c r="K672" s="390">
        <f>'UHD FGD'!$K$29</f>
        <v>0</v>
      </c>
      <c r="L672" s="390">
        <f>'UHD FGD'!$L$29</f>
        <v>0</v>
      </c>
      <c r="M672" s="567">
        <f>'UHD FGD'!$M$29</f>
        <v>55446738</v>
      </c>
      <c r="N672" s="401"/>
    </row>
    <row r="673" spans="1:14" s="171" customFormat="1" ht="12.75" hidden="1" customHeight="1" outlineLevel="1">
      <c r="A673" s="166"/>
      <c r="B673" s="390" t="str">
        <f>'UHV FGD'!$B$2</f>
        <v>University of Houston - Victoria</v>
      </c>
      <c r="C673" s="566"/>
      <c r="D673" s="390">
        <f>'UHV FGD'!$D$29</f>
        <v>5044388</v>
      </c>
      <c r="E673" s="390">
        <f>'UHV FGD'!$E$29</f>
        <v>13434203</v>
      </c>
      <c r="F673" s="390">
        <f>'UHV FGD'!$F$29</f>
        <v>0</v>
      </c>
      <c r="G673" s="390">
        <f>'UHV FGD'!$G$29</f>
        <v>0</v>
      </c>
      <c r="H673" s="390">
        <f>'UHV FGD'!$H$29</f>
        <v>0</v>
      </c>
      <c r="I673" s="390">
        <f>'UHV FGD'!$I$29</f>
        <v>0</v>
      </c>
      <c r="J673" s="390">
        <f>'UHV FGD'!$J$29</f>
        <v>0</v>
      </c>
      <c r="K673" s="390">
        <f>'UHV FGD'!$K$29</f>
        <v>0</v>
      </c>
      <c r="L673" s="390">
        <f>'UHV FGD'!$L$29</f>
        <v>0</v>
      </c>
      <c r="M673" s="567">
        <f>'UHV FGD'!$M$29</f>
        <v>18478591</v>
      </c>
      <c r="N673" s="401"/>
    </row>
    <row r="674" spans="1:14" s="171" customFormat="1" ht="12.75" hidden="1" customHeight="1" outlineLevel="1">
      <c r="A674" s="166"/>
      <c r="B674" s="390" t="str">
        <f>'UNT FGD'!$B$2</f>
        <v>University of North Texas</v>
      </c>
      <c r="C674" s="566"/>
      <c r="D674" s="390">
        <f>'UNT FGD'!$D$29</f>
        <v>60786871</v>
      </c>
      <c r="E674" s="390">
        <f>'UNT FGD'!$E$29</f>
        <v>251281085</v>
      </c>
      <c r="F674" s="390">
        <f>'UNT FGD'!$F$29</f>
        <v>0</v>
      </c>
      <c r="G674" s="390">
        <f>'UNT FGD'!$G$29</f>
        <v>0</v>
      </c>
      <c r="H674" s="390">
        <f>'UNT FGD'!$H$29</f>
        <v>0</v>
      </c>
      <c r="I674" s="390">
        <f>'UNT FGD'!$I$29</f>
        <v>0</v>
      </c>
      <c r="J674" s="390">
        <f>'UNT FGD'!$J$29</f>
        <v>0</v>
      </c>
      <c r="K674" s="390">
        <f>'UNT FGD'!$K$29</f>
        <v>0</v>
      </c>
      <c r="L674" s="390">
        <f>'UNT FGD'!$L$29</f>
        <v>0</v>
      </c>
      <c r="M674" s="567">
        <f>'UNT FGD'!$M$29</f>
        <v>312067956</v>
      </c>
      <c r="N674" s="401"/>
    </row>
    <row r="675" spans="1:14" s="171" customFormat="1" ht="12.75" hidden="1" customHeight="1" outlineLevel="1">
      <c r="A675" s="166"/>
      <c r="B675" s="390" t="str">
        <f>'UNTD FGD'!$B$2</f>
        <v>University of North Texas at Dallas</v>
      </c>
      <c r="C675" s="566"/>
      <c r="D675" s="390">
        <f>'UNTD FGD'!$D$29</f>
        <v>7721655</v>
      </c>
      <c r="E675" s="390">
        <f>'UNTD FGD'!$E$29</f>
        <v>16172943</v>
      </c>
      <c r="F675" s="390">
        <f>'UNTD FGD'!$F$29</f>
        <v>0</v>
      </c>
      <c r="G675" s="390">
        <f>'UNTD FGD'!$G$29</f>
        <v>0</v>
      </c>
      <c r="H675" s="390">
        <f>'UNTD FGD'!$H$29</f>
        <v>0</v>
      </c>
      <c r="I675" s="390">
        <f>'UNTD FGD'!$I$29</f>
        <v>0</v>
      </c>
      <c r="J675" s="390">
        <f>'UNTD FGD'!$J$29</f>
        <v>0</v>
      </c>
      <c r="K675" s="390">
        <f>'UNTD FGD'!$K$29</f>
        <v>0</v>
      </c>
      <c r="L675" s="390">
        <f>'UNTD FGD'!$L$29</f>
        <v>0</v>
      </c>
      <c r="M675" s="567">
        <f>'UNTD FGD'!$M$29</f>
        <v>23894598</v>
      </c>
      <c r="N675" s="401"/>
    </row>
    <row r="676" spans="1:14" s="171" customFormat="1" ht="12.75" hidden="1" customHeight="1" outlineLevel="1">
      <c r="A676" s="166"/>
      <c r="B676" s="390" t="str">
        <f>'WTAMU FGD'!$B$2</f>
        <v>West Texas A&amp;M University</v>
      </c>
      <c r="C676" s="566"/>
      <c r="D676" s="390">
        <f>'WTAMU FGD'!$D$29</f>
        <v>10513286</v>
      </c>
      <c r="E676" s="390">
        <f>'WTAMU FGD'!$E$29</f>
        <v>29926387</v>
      </c>
      <c r="F676" s="390">
        <f>'WTAMU FGD'!$F$29</f>
        <v>0</v>
      </c>
      <c r="G676" s="390">
        <f>'WTAMU FGD'!$G$29</f>
        <v>0</v>
      </c>
      <c r="H676" s="390">
        <f>'WTAMU FGD'!$H$29</f>
        <v>0</v>
      </c>
      <c r="I676" s="390">
        <f>'WTAMU FGD'!$I$29</f>
        <v>0</v>
      </c>
      <c r="J676" s="390">
        <f>'WTAMU FGD'!$J$29</f>
        <v>0</v>
      </c>
      <c r="K676" s="390">
        <f>'WTAMU FGD'!$K$29</f>
        <v>0</v>
      </c>
      <c r="L676" s="390">
        <f>'WTAMU FGD'!$L$29</f>
        <v>0</v>
      </c>
      <c r="M676" s="567">
        <f>'WTAMU FGD'!$M$29</f>
        <v>40439673</v>
      </c>
      <c r="N676" s="401"/>
    </row>
    <row r="677" spans="1:14" s="171" customFormat="1" collapsed="1">
      <c r="A677" s="166"/>
      <c r="B677" s="575" t="s">
        <v>39</v>
      </c>
      <c r="C677" s="563"/>
      <c r="D677" s="581">
        <f t="shared" ref="D677:M677" si="17">SUM(D641:D676)</f>
        <v>839014013</v>
      </c>
      <c r="E677" s="581">
        <f t="shared" si="17"/>
        <v>2836477474</v>
      </c>
      <c r="F677" s="581">
        <f t="shared" si="17"/>
        <v>0</v>
      </c>
      <c r="G677" s="581">
        <f t="shared" si="17"/>
        <v>-3218960</v>
      </c>
      <c r="H677" s="581">
        <f t="shared" si="17"/>
        <v>0</v>
      </c>
      <c r="I677" s="581">
        <f t="shared" si="17"/>
        <v>0</v>
      </c>
      <c r="J677" s="581">
        <f t="shared" si="17"/>
        <v>0</v>
      </c>
      <c r="K677" s="581">
        <f t="shared" si="17"/>
        <v>0</v>
      </c>
      <c r="L677" s="581">
        <f t="shared" si="17"/>
        <v>0</v>
      </c>
      <c r="M677" s="581">
        <f t="shared" si="17"/>
        <v>3672272527</v>
      </c>
      <c r="N677" s="401"/>
    </row>
    <row r="678" spans="1:14" s="171" customFormat="1">
      <c r="A678" s="166"/>
      <c r="B678" s="261"/>
      <c r="C678" s="566"/>
      <c r="D678" s="566"/>
      <c r="E678" s="566"/>
      <c r="F678" s="566"/>
      <c r="G678" s="566"/>
      <c r="H678" s="566"/>
      <c r="I678" s="566"/>
      <c r="J678" s="566"/>
      <c r="K678" s="566"/>
      <c r="L678" s="566"/>
      <c r="M678" s="567"/>
      <c r="N678" s="401"/>
    </row>
    <row r="679" spans="1:14" s="171" customFormat="1" ht="12.75" hidden="1" customHeight="1" outlineLevel="1">
      <c r="A679" s="166"/>
      <c r="B679" s="676" t="str">
        <f>'ARL FGD'!$B$2</f>
        <v>The University of Texas at Arlington</v>
      </c>
      <c r="C679" s="566"/>
      <c r="D679" s="458">
        <f>'ARL FGD'!$D$31</f>
        <v>673</v>
      </c>
      <c r="E679" s="458">
        <f>'ARL FGD'!$E$31</f>
        <v>126604325</v>
      </c>
      <c r="F679" s="458">
        <f>'ARL FGD'!$F$31</f>
        <v>23528282</v>
      </c>
      <c r="G679" s="458">
        <f>'ARL FGD'!$G$31</f>
        <v>0</v>
      </c>
      <c r="H679" s="458">
        <f>'ARL FGD'!$H$31</f>
        <v>0</v>
      </c>
      <c r="I679" s="458">
        <f>'ARL FGD'!$I$31</f>
        <v>0</v>
      </c>
      <c r="J679" s="458">
        <f>'ARL FGD'!$J$31</f>
        <v>0</v>
      </c>
      <c r="K679" s="458">
        <f>'ARL FGD'!$K$31</f>
        <v>0</v>
      </c>
      <c r="L679" s="458">
        <f>'ARL FGD'!$L$31</f>
        <v>0</v>
      </c>
      <c r="M679" s="567">
        <f>'ARL FGD'!$M$31</f>
        <v>150133280</v>
      </c>
      <c r="N679" s="401"/>
    </row>
    <row r="680" spans="1:14" s="171" customFormat="1" ht="12.75" hidden="1" customHeight="1" outlineLevel="1">
      <c r="A680" s="166"/>
      <c r="B680" s="676" t="str">
        <f>'ASU FGD'!$B$2</f>
        <v>Angelo State University</v>
      </c>
      <c r="C680" s="566"/>
      <c r="D680" s="458">
        <f>'ASU FGD'!$D$31</f>
        <v>0</v>
      </c>
      <c r="E680" s="458">
        <f>'ASU FGD'!$E$31</f>
        <v>17973884</v>
      </c>
      <c r="F680" s="458">
        <f>'ASU FGD'!$F$31</f>
        <v>10001469</v>
      </c>
      <c r="G680" s="458">
        <f>'ASU FGD'!$G$31</f>
        <v>0</v>
      </c>
      <c r="H680" s="458">
        <f>'ASU FGD'!$H$31</f>
        <v>0</v>
      </c>
      <c r="I680" s="458">
        <f>'ASU FGD'!$I$31</f>
        <v>0</v>
      </c>
      <c r="J680" s="458">
        <f>'ASU FGD'!$J$31</f>
        <v>0</v>
      </c>
      <c r="K680" s="458">
        <f>'ASU FGD'!$K$31</f>
        <v>0</v>
      </c>
      <c r="L680" s="458">
        <f>'ASU FGD'!$L$31</f>
        <v>0</v>
      </c>
      <c r="M680" s="567">
        <f>'ASU FGD'!$M$31</f>
        <v>27975353</v>
      </c>
      <c r="N680" s="401"/>
    </row>
    <row r="681" spans="1:14" s="171" customFormat="1" ht="12.75" hidden="1" customHeight="1" outlineLevel="1">
      <c r="A681" s="166"/>
      <c r="B681" s="676" t="str">
        <f>'AUS1 FGD'!$B$2</f>
        <v>The University of Texas at Austin - Academic &amp; Health (A+H)</v>
      </c>
      <c r="C681" s="566"/>
      <c r="D681" s="458">
        <f>'AUS1 FGD'!$D$31</f>
        <v>137021</v>
      </c>
      <c r="E681" s="458">
        <f>'AUS1 FGD'!$E$31</f>
        <v>47758957</v>
      </c>
      <c r="F681" s="458">
        <f>'AUS1 FGD'!$F$31</f>
        <v>44566198</v>
      </c>
      <c r="G681" s="458">
        <f>'AUS1 FGD'!$G$31</f>
        <v>0</v>
      </c>
      <c r="H681" s="458">
        <f>'AUS1 FGD'!$H$31</f>
        <v>0</v>
      </c>
      <c r="I681" s="458">
        <f>'AUS1 FGD'!$I$31</f>
        <v>0</v>
      </c>
      <c r="J681" s="458">
        <f>'AUS1 FGD'!$J$31</f>
        <v>0</v>
      </c>
      <c r="K681" s="458">
        <f>'AUS1 FGD'!$K$31</f>
        <v>0</v>
      </c>
      <c r="L681" s="458">
        <f>'AUS1 FGD'!$L$31</f>
        <v>0</v>
      </c>
      <c r="M681" s="567">
        <f>'AUS1 FGD'!$M$31</f>
        <v>92462176</v>
      </c>
      <c r="N681" s="401"/>
    </row>
    <row r="682" spans="1:14" s="171" customFormat="1" ht="12.75" hidden="1" customHeight="1" outlineLevel="1">
      <c r="A682" s="166"/>
      <c r="B682" s="676" t="str">
        <f>'RGV1 FGD'!$B$2</f>
        <v>The University of Texas RGV - Academic &amp; Health (A+H)</v>
      </c>
      <c r="C682" s="566"/>
      <c r="D682" s="458">
        <f>'RGV1 FGD'!$D$31</f>
        <v>2731768</v>
      </c>
      <c r="E682" s="458">
        <f>'RGV1 FGD'!$E$31</f>
        <v>27680157</v>
      </c>
      <c r="F682" s="458">
        <f>'RGV1 FGD'!$F$31</f>
        <v>23568184</v>
      </c>
      <c r="G682" s="458">
        <f>'RGV1 FGD'!$G$31</f>
        <v>0</v>
      </c>
      <c r="H682" s="458">
        <f>'RGV1 FGD'!$H$31</f>
        <v>0</v>
      </c>
      <c r="I682" s="458">
        <f>'RGV1 FGD'!$I$31</f>
        <v>0</v>
      </c>
      <c r="J682" s="458">
        <f>'RGV1 FGD'!$J$31</f>
        <v>0</v>
      </c>
      <c r="K682" s="458">
        <f>'RGV1 FGD'!$K$31</f>
        <v>0</v>
      </c>
      <c r="L682" s="458">
        <f>'RGV1 FGD'!$L$31</f>
        <v>0</v>
      </c>
      <c r="M682" s="567">
        <f>'RGV1 FGD'!$M$31</f>
        <v>53980109</v>
      </c>
      <c r="N682" s="401"/>
    </row>
    <row r="683" spans="1:14" s="171" customFormat="1" ht="12.75" hidden="1" customHeight="1" outlineLevel="1">
      <c r="A683" s="166"/>
      <c r="B683" s="676" t="str">
        <f>'DAL FGD'!$B$2</f>
        <v>The University of Texas at Dallas</v>
      </c>
      <c r="C683" s="566"/>
      <c r="D683" s="458">
        <f>'DAL FGD'!$D$31</f>
        <v>586454</v>
      </c>
      <c r="E683" s="458">
        <f>'DAL FGD'!$E$31</f>
        <v>81331885</v>
      </c>
      <c r="F683" s="458">
        <f>'DAL FGD'!$F$31</f>
        <v>30564043</v>
      </c>
      <c r="G683" s="458">
        <f>'DAL FGD'!$G$31</f>
        <v>0</v>
      </c>
      <c r="H683" s="458">
        <f>'DAL FGD'!$H$31</f>
        <v>0</v>
      </c>
      <c r="I683" s="458">
        <f>'DAL FGD'!$I$31</f>
        <v>0</v>
      </c>
      <c r="J683" s="458">
        <f>'DAL FGD'!$J$31</f>
        <v>0</v>
      </c>
      <c r="K683" s="458">
        <f>'DAL FGD'!$K$31</f>
        <v>0</v>
      </c>
      <c r="L683" s="458">
        <f>'DAL FGD'!$L$31</f>
        <v>0</v>
      </c>
      <c r="M683" s="567">
        <f>'DAL FGD'!$M$31</f>
        <v>112482382</v>
      </c>
      <c r="N683" s="401"/>
    </row>
    <row r="684" spans="1:14" s="171" customFormat="1" ht="12.75" hidden="1" customHeight="1" outlineLevel="1">
      <c r="A684" s="166"/>
      <c r="B684" s="676" t="str">
        <f>'E-P FGD'!$B$2</f>
        <v>The University of Texas at El Paso</v>
      </c>
      <c r="C684" s="566"/>
      <c r="D684" s="458">
        <f>'E-P FGD'!$D$31</f>
        <v>0</v>
      </c>
      <c r="E684" s="458">
        <f>'E-P FGD'!$E$31</f>
        <v>41928689</v>
      </c>
      <c r="F684" s="458">
        <f>'E-P FGD'!$F$31</f>
        <v>11946404</v>
      </c>
      <c r="G684" s="458">
        <f>'E-P FGD'!$G$31</f>
        <v>0</v>
      </c>
      <c r="H684" s="458">
        <f>'E-P FGD'!$H$31</f>
        <v>0</v>
      </c>
      <c r="I684" s="458">
        <f>'E-P FGD'!$I$31</f>
        <v>0</v>
      </c>
      <c r="J684" s="458">
        <f>'E-P FGD'!$J$31</f>
        <v>0</v>
      </c>
      <c r="K684" s="458">
        <f>'E-P FGD'!$K$31</f>
        <v>0</v>
      </c>
      <c r="L684" s="458">
        <f>'E-P FGD'!$L$31</f>
        <v>0</v>
      </c>
      <c r="M684" s="567">
        <f>'E-P FGD'!$M$31</f>
        <v>53875093</v>
      </c>
      <c r="N684" s="401"/>
    </row>
    <row r="685" spans="1:14" s="171" customFormat="1" ht="12.75" hidden="1" customHeight="1" outlineLevel="1">
      <c r="A685" s="166"/>
      <c r="B685" s="676" t="str">
        <f>'LU FGD'!$B$2</f>
        <v xml:space="preserve">Lamar University </v>
      </c>
      <c r="C685" s="566"/>
      <c r="D685" s="458">
        <f>'LU FGD'!$D$31</f>
        <v>20015</v>
      </c>
      <c r="E685" s="458">
        <f>'LU FGD'!$E$31</f>
        <v>27635059</v>
      </c>
      <c r="F685" s="458">
        <f>'LU FGD'!$F$31</f>
        <v>8070414</v>
      </c>
      <c r="G685" s="458">
        <f>'LU FGD'!$G$31</f>
        <v>0</v>
      </c>
      <c r="H685" s="458">
        <f>'LU FGD'!$H$31</f>
        <v>0</v>
      </c>
      <c r="I685" s="458">
        <f>'LU FGD'!$I$31</f>
        <v>0</v>
      </c>
      <c r="J685" s="458">
        <f>'LU FGD'!$J$31</f>
        <v>0</v>
      </c>
      <c r="K685" s="458">
        <f>'LU FGD'!$K$31</f>
        <v>0</v>
      </c>
      <c r="L685" s="458">
        <f>'LU FGD'!$L$31</f>
        <v>0</v>
      </c>
      <c r="M685" s="567">
        <f>'LU FGD'!$M$31</f>
        <v>35725488</v>
      </c>
      <c r="N685" s="401"/>
    </row>
    <row r="686" spans="1:14" s="171" customFormat="1" ht="12.75" hidden="1" customHeight="1" outlineLevel="1">
      <c r="A686" s="166"/>
      <c r="B686" s="676" t="str">
        <f>'MidWST FGD'!$B$2</f>
        <v>Midwestern State University</v>
      </c>
      <c r="C686" s="566"/>
      <c r="D686" s="458">
        <f>'MidWST FGD'!$D$31</f>
        <v>50290</v>
      </c>
      <c r="E686" s="458">
        <f>'MidWST FGD'!$E$31</f>
        <v>25000602</v>
      </c>
      <c r="F686" s="458">
        <f>'MidWST FGD'!$F$31</f>
        <v>460882</v>
      </c>
      <c r="G686" s="458">
        <f>'MidWST FGD'!$G$31</f>
        <v>0</v>
      </c>
      <c r="H686" s="458">
        <f>'MidWST FGD'!$H$31</f>
        <v>0</v>
      </c>
      <c r="I686" s="458">
        <f>'MidWST FGD'!$I$31</f>
        <v>0</v>
      </c>
      <c r="J686" s="458">
        <f>'MidWST FGD'!$J$31</f>
        <v>0</v>
      </c>
      <c r="K686" s="458">
        <f>'MidWST FGD'!$K$31</f>
        <v>0</v>
      </c>
      <c r="L686" s="458">
        <f>'MidWST FGD'!$L$31</f>
        <v>0</v>
      </c>
      <c r="M686" s="567">
        <f>'MidWST FGD'!$M$31</f>
        <v>25511774</v>
      </c>
      <c r="N686" s="401"/>
    </row>
    <row r="687" spans="1:14" s="171" customFormat="1" ht="12.75" hidden="1" customHeight="1" outlineLevel="1">
      <c r="A687" s="166"/>
      <c r="B687" s="676" t="str">
        <f>'P-B FGD'!$B$2</f>
        <v>The University of Texas of the Permian Basin</v>
      </c>
      <c r="C687" s="566"/>
      <c r="D687" s="458">
        <f>'P-B FGD'!$D$31</f>
        <v>21983</v>
      </c>
      <c r="E687" s="458">
        <f>'P-B FGD'!$E$31</f>
        <v>12174362</v>
      </c>
      <c r="F687" s="458">
        <f>'P-B FGD'!$F$31</f>
        <v>3455383</v>
      </c>
      <c r="G687" s="458">
        <f>'P-B FGD'!$G$31</f>
        <v>0</v>
      </c>
      <c r="H687" s="458">
        <f>'P-B FGD'!$H$31</f>
        <v>0</v>
      </c>
      <c r="I687" s="458">
        <f>'P-B FGD'!$I$31</f>
        <v>0</v>
      </c>
      <c r="J687" s="458">
        <f>'P-B FGD'!$J$31</f>
        <v>0</v>
      </c>
      <c r="K687" s="458">
        <f>'P-B FGD'!$K$31</f>
        <v>0</v>
      </c>
      <c r="L687" s="458">
        <f>'P-B FGD'!$L$31</f>
        <v>0</v>
      </c>
      <c r="M687" s="567">
        <f>'P-B FGD'!$M$31</f>
        <v>15651728</v>
      </c>
      <c r="N687" s="401"/>
    </row>
    <row r="688" spans="1:14" s="171" customFormat="1" ht="12.75" hidden="1" customHeight="1" outlineLevel="1">
      <c r="A688" s="166"/>
      <c r="B688" s="676" t="str">
        <f>'PVAMU FGD'!$B$2</f>
        <v>Prairie View A&amp;M University</v>
      </c>
      <c r="C688" s="566"/>
      <c r="D688" s="458">
        <f>'PVAMU FGD'!$D$31</f>
        <v>155186</v>
      </c>
      <c r="E688" s="458">
        <f>'PVAMU FGD'!$E$31</f>
        <v>26396890</v>
      </c>
      <c r="F688" s="458">
        <f>'PVAMU FGD'!$F$31</f>
        <v>8871409</v>
      </c>
      <c r="G688" s="458">
        <f>'PVAMU FGD'!$G$31</f>
        <v>-3084040</v>
      </c>
      <c r="H688" s="458">
        <f>'PVAMU FGD'!$H$31</f>
        <v>0</v>
      </c>
      <c r="I688" s="458">
        <f>'PVAMU FGD'!$I$31</f>
        <v>0</v>
      </c>
      <c r="J688" s="458">
        <f>'PVAMU FGD'!$J$31</f>
        <v>0</v>
      </c>
      <c r="K688" s="458">
        <f>'PVAMU FGD'!$K$31</f>
        <v>0</v>
      </c>
      <c r="L688" s="458">
        <f>'PVAMU FGD'!$L$31</f>
        <v>0</v>
      </c>
      <c r="M688" s="567">
        <f>'PVAMU FGD'!$M$31</f>
        <v>32339445</v>
      </c>
      <c r="N688" s="401"/>
    </row>
    <row r="689" spans="1:14" s="171" customFormat="1" ht="12.75" hidden="1" customHeight="1" outlineLevel="1">
      <c r="A689" s="166"/>
      <c r="B689" s="676" t="str">
        <f>'S-A FGD'!$B$2</f>
        <v>The University of Texas at San Antonio</v>
      </c>
      <c r="C689" s="566"/>
      <c r="D689" s="458">
        <f>'S-A FGD'!$D$31</f>
        <v>5394733</v>
      </c>
      <c r="E689" s="458">
        <f>'S-A FGD'!$E$31</f>
        <v>93394615</v>
      </c>
      <c r="F689" s="458">
        <f>'S-A FGD'!$F$31</f>
        <v>33909362</v>
      </c>
      <c r="G689" s="458">
        <f>'S-A FGD'!$G$31</f>
        <v>0</v>
      </c>
      <c r="H689" s="458">
        <f>'S-A FGD'!$H$31</f>
        <v>0</v>
      </c>
      <c r="I689" s="458">
        <f>'S-A FGD'!$I$31</f>
        <v>0</v>
      </c>
      <c r="J689" s="458">
        <f>'S-A FGD'!$J$31</f>
        <v>0</v>
      </c>
      <c r="K689" s="458">
        <f>'S-A FGD'!$K$31</f>
        <v>0</v>
      </c>
      <c r="L689" s="458">
        <f>'S-A FGD'!$L$31</f>
        <v>0</v>
      </c>
      <c r="M689" s="567">
        <f>'S-A FGD'!$M$31</f>
        <v>132698710</v>
      </c>
      <c r="N689" s="401"/>
    </row>
    <row r="690" spans="1:14" s="171" customFormat="1" ht="12.75" hidden="1" customHeight="1" outlineLevel="1">
      <c r="A690" s="166"/>
      <c r="B690" s="676" t="str">
        <f>'SFA FGD'!$B$2</f>
        <v>Stephen F. Austin State University</v>
      </c>
      <c r="C690" s="566"/>
      <c r="D690" s="458">
        <f>'SFA FGD'!$D$31</f>
        <v>189736</v>
      </c>
      <c r="E690" s="458">
        <f>'SFA FGD'!$E$31</f>
        <v>30847387</v>
      </c>
      <c r="F690" s="458">
        <f>'SFA FGD'!$F$31</f>
        <v>6808865</v>
      </c>
      <c r="G690" s="458">
        <f>'SFA FGD'!$G$31</f>
        <v>0</v>
      </c>
      <c r="H690" s="458">
        <f>'SFA FGD'!$H$31</f>
        <v>0</v>
      </c>
      <c r="I690" s="458">
        <f>'SFA FGD'!$I$31</f>
        <v>0</v>
      </c>
      <c r="J690" s="458">
        <f>'SFA FGD'!$J$31</f>
        <v>0</v>
      </c>
      <c r="K690" s="458">
        <f>'SFA FGD'!$K$31</f>
        <v>0</v>
      </c>
      <c r="L690" s="458">
        <f>'SFA FGD'!$L$31</f>
        <v>0</v>
      </c>
      <c r="M690" s="567">
        <f>'SFA FGD'!$M$31</f>
        <v>37845988</v>
      </c>
      <c r="N690" s="401"/>
    </row>
    <row r="691" spans="1:14" s="171" customFormat="1" ht="12.75" hidden="1" customHeight="1" outlineLevel="1">
      <c r="A691" s="166"/>
      <c r="B691" s="676" t="str">
        <f>'shsu1 FGD'!$B$2</f>
        <v>Sam Houston State University - Academic &amp; Health (A+H)</v>
      </c>
      <c r="C691" s="566"/>
      <c r="D691" s="458">
        <f>'shsu1 FGD'!$D$31</f>
        <v>457509</v>
      </c>
      <c r="E691" s="458">
        <f>'shsu1 FGD'!$E$31</f>
        <v>83809733</v>
      </c>
      <c r="F691" s="458">
        <f>'shsu1 FGD'!$F$31</f>
        <v>10765137</v>
      </c>
      <c r="G691" s="458">
        <f>'shsu1 FGD'!$G$31</f>
        <v>0</v>
      </c>
      <c r="H691" s="458">
        <f>'shsu1 FGD'!$H$31</f>
        <v>0</v>
      </c>
      <c r="I691" s="458">
        <f>'shsu1 FGD'!$I$31</f>
        <v>0</v>
      </c>
      <c r="J691" s="458">
        <f>'shsu1 FGD'!$J$31</f>
        <v>0</v>
      </c>
      <c r="K691" s="458">
        <f>'shsu1 FGD'!$K$31</f>
        <v>0</v>
      </c>
      <c r="L691" s="458">
        <f>'shsu1 FGD'!$L$31</f>
        <v>0</v>
      </c>
      <c r="M691" s="567">
        <f>'shsu1 FGD'!$M$31</f>
        <v>95032379</v>
      </c>
      <c r="N691" s="401"/>
    </row>
    <row r="692" spans="1:14" s="171" customFormat="1" ht="12.75" hidden="1" customHeight="1" outlineLevel="1">
      <c r="A692" s="166"/>
      <c r="B692" s="676" t="str">
        <f>'SRSU FGD'!$B$2</f>
        <v>Sul Ross State University</v>
      </c>
      <c r="C692" s="566"/>
      <c r="D692" s="458">
        <f>'SRSU FGD'!$D$31</f>
        <v>513036</v>
      </c>
      <c r="E692" s="458">
        <f>'SRSU FGD'!$E$31</f>
        <v>4289945</v>
      </c>
      <c r="F692" s="458">
        <f>'SRSU FGD'!$F$31</f>
        <v>0</v>
      </c>
      <c r="G692" s="458">
        <f>'SRSU FGD'!$G$31</f>
        <v>0</v>
      </c>
      <c r="H692" s="458">
        <f>'SRSU FGD'!$H$31</f>
        <v>0</v>
      </c>
      <c r="I692" s="458">
        <f>'SRSU FGD'!$I$31</f>
        <v>0</v>
      </c>
      <c r="J692" s="458">
        <f>'SRSU FGD'!$J$31</f>
        <v>0</v>
      </c>
      <c r="K692" s="458">
        <f>'SRSU FGD'!$K$31</f>
        <v>0</v>
      </c>
      <c r="L692" s="458">
        <f>'SRSU FGD'!$L$31</f>
        <v>0</v>
      </c>
      <c r="M692" s="567">
        <f>'SRSU FGD'!$M$31</f>
        <v>4802981</v>
      </c>
      <c r="N692" s="401"/>
    </row>
    <row r="693" spans="1:14" s="171" customFormat="1" ht="12.75" hidden="1" customHeight="1" outlineLevel="1">
      <c r="A693" s="166"/>
      <c r="B693" s="676" t="str">
        <f>'TAMIU FGD'!$B$2</f>
        <v>Texas A&amp;M International University</v>
      </c>
      <c r="C693" s="566"/>
      <c r="D693" s="458">
        <f>'TAMIU FGD'!$D$31</f>
        <v>487923</v>
      </c>
      <c r="E693" s="458">
        <f>'TAMIU FGD'!$E$31</f>
        <v>25291016</v>
      </c>
      <c r="F693" s="458">
        <f>'TAMIU FGD'!$F$31</f>
        <v>9384625</v>
      </c>
      <c r="G693" s="458">
        <f>'TAMIU FGD'!$G$31</f>
        <v>88</v>
      </c>
      <c r="H693" s="458">
        <f>'TAMIU FGD'!$H$31</f>
        <v>0</v>
      </c>
      <c r="I693" s="458">
        <f>'TAMIU FGD'!$I$31</f>
        <v>0</v>
      </c>
      <c r="J693" s="458">
        <f>'TAMIU FGD'!$J$31</f>
        <v>0</v>
      </c>
      <c r="K693" s="458">
        <f>'TAMIU FGD'!$K$31</f>
        <v>0</v>
      </c>
      <c r="L693" s="458">
        <f>'TAMIU FGD'!$L$31</f>
        <v>0</v>
      </c>
      <c r="M693" s="567">
        <f>'TAMIU FGD'!$M$31</f>
        <v>35163652</v>
      </c>
      <c r="N693" s="401"/>
    </row>
    <row r="694" spans="1:14" s="171" customFormat="1" ht="12.75" hidden="1" customHeight="1" outlineLevel="1">
      <c r="A694" s="166"/>
      <c r="B694" s="676" t="str">
        <f>'TAMU FGD'!$B$2</f>
        <v>Texas A&amp;M University</v>
      </c>
      <c r="C694" s="566"/>
      <c r="D694" s="458">
        <f>'TAMU FGD'!$D$31</f>
        <v>868842</v>
      </c>
      <c r="E694" s="458">
        <f>'TAMU FGD'!$E$31</f>
        <v>263043084</v>
      </c>
      <c r="F694" s="458">
        <f>'TAMU FGD'!$F$31</f>
        <v>41088294</v>
      </c>
      <c r="G694" s="458">
        <f>'TAMU FGD'!$G$31</f>
        <v>0</v>
      </c>
      <c r="H694" s="458">
        <f>'TAMU FGD'!$H$31</f>
        <v>0</v>
      </c>
      <c r="I694" s="458">
        <f>'TAMU FGD'!$I$31</f>
        <v>0</v>
      </c>
      <c r="J694" s="458">
        <f>'TAMU FGD'!$J$31</f>
        <v>0</v>
      </c>
      <c r="K694" s="458">
        <f>'TAMU FGD'!$K$31</f>
        <v>0</v>
      </c>
      <c r="L694" s="458">
        <f>'TAMU FGD'!$L$31</f>
        <v>0</v>
      </c>
      <c r="M694" s="567">
        <f>'TAMU FGD'!$M$31</f>
        <v>305000220</v>
      </c>
      <c r="N694" s="401"/>
    </row>
    <row r="695" spans="1:14" s="171" customFormat="1" ht="12.75" hidden="1" customHeight="1" outlineLevel="1">
      <c r="A695" s="166"/>
      <c r="B695" s="676" t="str">
        <f>'TAMUC FGD'!$B$2</f>
        <v>Texas A&amp;M University - Commerce</v>
      </c>
      <c r="C695" s="566"/>
      <c r="D695" s="458">
        <f>'TAMUC FGD'!$D$31</f>
        <v>368684</v>
      </c>
      <c r="E695" s="458">
        <f>'TAMUC FGD'!$E$31</f>
        <v>50059555</v>
      </c>
      <c r="F695" s="458">
        <f>'TAMUC FGD'!$F$31</f>
        <v>18122584</v>
      </c>
      <c r="G695" s="458">
        <f>'TAMUC FGD'!$G$31</f>
        <v>-1681659</v>
      </c>
      <c r="H695" s="458">
        <f>'TAMUC FGD'!$H$31</f>
        <v>0</v>
      </c>
      <c r="I695" s="458">
        <f>'TAMUC FGD'!$I$31</f>
        <v>0</v>
      </c>
      <c r="J695" s="458">
        <f>'TAMUC FGD'!$J$31</f>
        <v>0</v>
      </c>
      <c r="K695" s="458">
        <f>'TAMUC FGD'!$K$31</f>
        <v>0</v>
      </c>
      <c r="L695" s="458">
        <f>'TAMUC FGD'!$L$31</f>
        <v>0</v>
      </c>
      <c r="M695" s="567">
        <f>'TAMUC FGD'!$M$31</f>
        <v>66869164</v>
      </c>
      <c r="N695" s="401"/>
    </row>
    <row r="696" spans="1:14" s="171" customFormat="1" ht="12.75" hidden="1" customHeight="1" outlineLevel="1">
      <c r="A696" s="166"/>
      <c r="B696" s="676" t="str">
        <f>'TAMUCC FGD'!$B$2</f>
        <v>Texas A&amp;M University - Corpus Christi</v>
      </c>
      <c r="C696" s="566"/>
      <c r="D696" s="458">
        <f>'TAMUCC FGD'!$D$31</f>
        <v>259682</v>
      </c>
      <c r="E696" s="458">
        <f>'TAMUCC FGD'!$E$31</f>
        <v>39055073</v>
      </c>
      <c r="F696" s="458">
        <f>'TAMUCC FGD'!$F$31</f>
        <v>20051285</v>
      </c>
      <c r="G696" s="458">
        <f>'TAMUCC FGD'!$G$31</f>
        <v>0</v>
      </c>
      <c r="H696" s="458">
        <f>'TAMUCC FGD'!$H$31</f>
        <v>0</v>
      </c>
      <c r="I696" s="458">
        <f>'TAMUCC FGD'!$I$31</f>
        <v>0</v>
      </c>
      <c r="J696" s="458">
        <f>'TAMUCC FGD'!$J$31</f>
        <v>0</v>
      </c>
      <c r="K696" s="458">
        <f>'TAMUCC FGD'!$K$31</f>
        <v>0</v>
      </c>
      <c r="L696" s="458">
        <f>'TAMUCC FGD'!$L$31</f>
        <v>0</v>
      </c>
      <c r="M696" s="567">
        <f>'TAMUCC FGD'!$M$31</f>
        <v>59366040</v>
      </c>
      <c r="N696" s="401"/>
    </row>
    <row r="697" spans="1:14" s="171" customFormat="1" ht="12.75" hidden="1" customHeight="1" outlineLevel="1">
      <c r="A697" s="166"/>
      <c r="B697" s="676" t="str">
        <f>'TAMUCT FGD'!$B$2</f>
        <v>Texas A&amp;M University - Central Texas</v>
      </c>
      <c r="C697" s="566"/>
      <c r="D697" s="458">
        <f>'TAMUCT FGD'!$D$31</f>
        <v>28961</v>
      </c>
      <c r="E697" s="458">
        <f>'TAMUCT FGD'!$E$31</f>
        <v>5178483</v>
      </c>
      <c r="F697" s="458">
        <f>'TAMUCT FGD'!$F$31</f>
        <v>0</v>
      </c>
      <c r="G697" s="458">
        <f>'TAMUCT FGD'!$G$31</f>
        <v>875</v>
      </c>
      <c r="H697" s="458">
        <f>'TAMUCT FGD'!$H$31</f>
        <v>0</v>
      </c>
      <c r="I697" s="458">
        <f>'TAMUCT FGD'!$I$31</f>
        <v>0</v>
      </c>
      <c r="J697" s="458">
        <f>'TAMUCT FGD'!$J$31</f>
        <v>0</v>
      </c>
      <c r="K697" s="458">
        <f>'TAMUCT FGD'!$K$31</f>
        <v>0</v>
      </c>
      <c r="L697" s="458">
        <f>'TAMUCT FGD'!$L$31</f>
        <v>0</v>
      </c>
      <c r="M697" s="567">
        <f>'TAMUCT FGD'!$M$31</f>
        <v>5208319</v>
      </c>
      <c r="N697" s="401"/>
    </row>
    <row r="698" spans="1:14" s="171" customFormat="1" ht="12.75" hidden="1" customHeight="1" outlineLevel="1">
      <c r="A698" s="166"/>
      <c r="B698" s="676" t="str">
        <f>'TAMUG FGD'!$B$2</f>
        <v>Texas A&amp;M University at Galveston</v>
      </c>
      <c r="C698" s="566"/>
      <c r="D698" s="458">
        <f>'TAMUG FGD'!$D$31</f>
        <v>82892</v>
      </c>
      <c r="E698" s="458">
        <f>'TAMUG FGD'!$E$31</f>
        <v>10326980</v>
      </c>
      <c r="F698" s="458">
        <f>'TAMUG FGD'!$F$31</f>
        <v>73125</v>
      </c>
      <c r="G698" s="458">
        <f>'TAMUG FGD'!$G$31</f>
        <v>0</v>
      </c>
      <c r="H698" s="458">
        <f>'TAMUG FGD'!$H$31</f>
        <v>0</v>
      </c>
      <c r="I698" s="458">
        <f>'TAMUG FGD'!$I$31</f>
        <v>0</v>
      </c>
      <c r="J698" s="458">
        <f>'TAMUG FGD'!$J$31</f>
        <v>0</v>
      </c>
      <c r="K698" s="458">
        <f>'TAMUG FGD'!$K$31</f>
        <v>0</v>
      </c>
      <c r="L698" s="458">
        <f>'TAMUG FGD'!$L$31</f>
        <v>0</v>
      </c>
      <c r="M698" s="567">
        <f>'TAMUG FGD'!$M$31</f>
        <v>10482997</v>
      </c>
      <c r="N698" s="401"/>
    </row>
    <row r="699" spans="1:14" s="171" customFormat="1" ht="12.75" hidden="1" customHeight="1" outlineLevel="1">
      <c r="A699" s="166"/>
      <c r="B699" s="676" t="str">
        <f>'TAMUK FGD'!$B$2</f>
        <v>Texas A&amp;M University - Kingsville</v>
      </c>
      <c r="C699" s="566"/>
      <c r="D699" s="458">
        <f>'TAMUK FGD'!$D$31</f>
        <v>298279</v>
      </c>
      <c r="E699" s="458">
        <f>'TAMUK FGD'!$E$31</f>
        <v>20201160</v>
      </c>
      <c r="F699" s="458">
        <f>'TAMUK FGD'!$F$31</f>
        <v>8141833</v>
      </c>
      <c r="G699" s="458">
        <f>'TAMUK FGD'!$G$31</f>
        <v>-321932</v>
      </c>
      <c r="H699" s="458">
        <f>'TAMUK FGD'!$H$31</f>
        <v>0</v>
      </c>
      <c r="I699" s="458">
        <f>'TAMUK FGD'!$I$31</f>
        <v>0</v>
      </c>
      <c r="J699" s="458">
        <f>'TAMUK FGD'!$J$31</f>
        <v>0</v>
      </c>
      <c r="K699" s="458">
        <f>'TAMUK FGD'!$K$31</f>
        <v>0</v>
      </c>
      <c r="L699" s="458">
        <f>'TAMUK FGD'!$L$31</f>
        <v>0</v>
      </c>
      <c r="M699" s="567">
        <f>'TAMUK FGD'!$M$31</f>
        <v>28319340</v>
      </c>
      <c r="N699" s="401"/>
    </row>
    <row r="700" spans="1:14" s="171" customFormat="1" ht="12.75" hidden="1" customHeight="1" outlineLevel="1">
      <c r="A700" s="166"/>
      <c r="B700" s="676" t="str">
        <f>'TAMUSA FGD'!$B$2</f>
        <v>Texas A&amp;M University - San Antonio</v>
      </c>
      <c r="C700" s="566"/>
      <c r="D700" s="458">
        <f>'TAMUSA FGD'!$D$31</f>
        <v>138037</v>
      </c>
      <c r="E700" s="458">
        <f>'TAMUSA FGD'!$E$31</f>
        <v>21112352</v>
      </c>
      <c r="F700" s="458">
        <f>'TAMUSA FGD'!$F$31</f>
        <v>644309</v>
      </c>
      <c r="G700" s="458">
        <f>'TAMUSA FGD'!$G$31</f>
        <v>-794764</v>
      </c>
      <c r="H700" s="458">
        <f>'TAMUSA FGD'!$H$31</f>
        <v>0</v>
      </c>
      <c r="I700" s="458">
        <f>'TAMUSA FGD'!$I$31</f>
        <v>0</v>
      </c>
      <c r="J700" s="458">
        <f>'TAMUSA FGD'!$J$31</f>
        <v>0</v>
      </c>
      <c r="K700" s="458">
        <f>'TAMUSA FGD'!$K$31</f>
        <v>0</v>
      </c>
      <c r="L700" s="458">
        <f>'TAMUSA FGD'!$L$31</f>
        <v>0</v>
      </c>
      <c r="M700" s="567">
        <f>'TAMUSA FGD'!$M$31</f>
        <v>21099934</v>
      </c>
      <c r="N700" s="401"/>
    </row>
    <row r="701" spans="1:14" s="171" customFormat="1" ht="12.75" hidden="1" customHeight="1" outlineLevel="1">
      <c r="A701" s="166"/>
      <c r="B701" s="676" t="str">
        <f>'TAMUT FGD'!$B$2</f>
        <v>Texas A&amp;M University - Texarkana</v>
      </c>
      <c r="C701" s="566"/>
      <c r="D701" s="458">
        <f>'TAMUT FGD'!$D$31</f>
        <v>248</v>
      </c>
      <c r="E701" s="458">
        <f>'TAMUT FGD'!$E$31</f>
        <v>4099791</v>
      </c>
      <c r="F701" s="458">
        <f>'TAMUT FGD'!$F$31</f>
        <v>1012799</v>
      </c>
      <c r="G701" s="458">
        <f>'TAMUT FGD'!$G$31</f>
        <v>0</v>
      </c>
      <c r="H701" s="458">
        <f>'TAMUT FGD'!$H$31</f>
        <v>0</v>
      </c>
      <c r="I701" s="458">
        <f>'TAMUT FGD'!$I$31</f>
        <v>0</v>
      </c>
      <c r="J701" s="458">
        <f>'TAMUT FGD'!$J$31</f>
        <v>0</v>
      </c>
      <c r="K701" s="458">
        <f>'TAMUT FGD'!$K$31</f>
        <v>0</v>
      </c>
      <c r="L701" s="458">
        <f>'TAMUT FGD'!$L$31</f>
        <v>0</v>
      </c>
      <c r="M701" s="567">
        <f>'TAMUT FGD'!$M$31</f>
        <v>5112838</v>
      </c>
      <c r="N701" s="401"/>
    </row>
    <row r="702" spans="1:14" s="171" customFormat="1" ht="12.75" hidden="1" customHeight="1" outlineLevel="1">
      <c r="A702" s="166"/>
      <c r="B702" s="676" t="str">
        <f>'TARLST FGD'!$B$2</f>
        <v>Tarleton State University</v>
      </c>
      <c r="C702" s="566"/>
      <c r="D702" s="458">
        <f>'TARLST FGD'!$D$31</f>
        <v>74013</v>
      </c>
      <c r="E702" s="458">
        <f>'TARLST FGD'!$E$31</f>
        <v>34784376</v>
      </c>
      <c r="F702" s="458">
        <f>'TARLST FGD'!$F$31</f>
        <v>15718774</v>
      </c>
      <c r="G702" s="458">
        <f>'TARLST FGD'!$G$31</f>
        <v>-248750</v>
      </c>
      <c r="H702" s="458">
        <f>'TARLST FGD'!$H$31</f>
        <v>0</v>
      </c>
      <c r="I702" s="458">
        <f>'TARLST FGD'!$I$31</f>
        <v>0</v>
      </c>
      <c r="J702" s="458">
        <f>'TARLST FGD'!$J$31</f>
        <v>0</v>
      </c>
      <c r="K702" s="458">
        <f>'TARLST FGD'!$K$31</f>
        <v>0</v>
      </c>
      <c r="L702" s="458">
        <f>'TARLST FGD'!$L$31</f>
        <v>0</v>
      </c>
      <c r="M702" s="567">
        <f>'TARLST FGD'!$M$31</f>
        <v>50328413</v>
      </c>
      <c r="N702" s="401"/>
    </row>
    <row r="703" spans="1:14" s="171" customFormat="1" ht="12.75" hidden="1" customHeight="1" outlineLevel="1">
      <c r="A703" s="166"/>
      <c r="B703" s="676" t="str">
        <f>'TSU FGD'!$B$2</f>
        <v>Texas Southern University</v>
      </c>
      <c r="C703" s="566"/>
      <c r="D703" s="458">
        <f>'TSU FGD'!$D$31</f>
        <v>540072</v>
      </c>
      <c r="E703" s="458">
        <f>'TSU FGD'!$E$31</f>
        <v>10239026</v>
      </c>
      <c r="F703" s="458">
        <f>'TSU FGD'!$F$31</f>
        <v>5465940</v>
      </c>
      <c r="G703" s="458">
        <f>'TSU FGD'!$G$31</f>
        <v>0</v>
      </c>
      <c r="H703" s="458">
        <f>'TSU FGD'!$H$31</f>
        <v>0</v>
      </c>
      <c r="I703" s="458">
        <f>'TSU FGD'!$I$31</f>
        <v>0</v>
      </c>
      <c r="J703" s="458">
        <f>'TSU FGD'!$J$31</f>
        <v>0</v>
      </c>
      <c r="K703" s="458">
        <f>'TSU FGD'!$K$31</f>
        <v>0</v>
      </c>
      <c r="L703" s="458">
        <f>'TSU FGD'!$L$31</f>
        <v>0</v>
      </c>
      <c r="M703" s="567">
        <f>'TSU FGD'!$M$31</f>
        <v>16245038</v>
      </c>
      <c r="N703" s="401"/>
    </row>
    <row r="704" spans="1:14" s="171" customFormat="1" ht="12.75" hidden="1" customHeight="1" outlineLevel="1">
      <c r="A704" s="166"/>
      <c r="B704" s="676" t="str">
        <f>'TTU FGD'!$B$2</f>
        <v>Texas Tech University</v>
      </c>
      <c r="C704" s="566"/>
      <c r="D704" s="458">
        <f>'TTU FGD'!$D$31</f>
        <v>0</v>
      </c>
      <c r="E704" s="458">
        <f>'TTU FGD'!$E$31</f>
        <v>145193948</v>
      </c>
      <c r="F704" s="458">
        <f>'TTU FGD'!$F$31</f>
        <v>5817123</v>
      </c>
      <c r="G704" s="458">
        <f>'TTU FGD'!$G$31</f>
        <v>0</v>
      </c>
      <c r="H704" s="458">
        <f>'TTU FGD'!$H$31</f>
        <v>0</v>
      </c>
      <c r="I704" s="458">
        <f>'TTU FGD'!$I$31</f>
        <v>0</v>
      </c>
      <c r="J704" s="458">
        <f>'TTU FGD'!$J$31</f>
        <v>0</v>
      </c>
      <c r="K704" s="458">
        <f>'TTU FGD'!$K$31</f>
        <v>0</v>
      </c>
      <c r="L704" s="458">
        <f>'TTU FGD'!$L$31</f>
        <v>0</v>
      </c>
      <c r="M704" s="567">
        <f>'TTU FGD'!$M$31</f>
        <v>151011071</v>
      </c>
      <c r="N704" s="401"/>
    </row>
    <row r="705" spans="1:14" s="171" customFormat="1" ht="12.75" hidden="1" customHeight="1" outlineLevel="1">
      <c r="A705" s="166"/>
      <c r="B705" s="676" t="str">
        <f>'TWU FGD'!$B$2</f>
        <v>Texas Woman's University</v>
      </c>
      <c r="C705" s="566"/>
      <c r="D705" s="458">
        <f>'TWU FGD'!$D$31</f>
        <v>581559</v>
      </c>
      <c r="E705" s="458">
        <f>'TWU FGD'!$E$31</f>
        <v>18494260</v>
      </c>
      <c r="F705" s="458">
        <f>'TWU FGD'!$F$31</f>
        <v>0</v>
      </c>
      <c r="G705" s="458">
        <f>'TWU FGD'!$G$31</f>
        <v>0</v>
      </c>
      <c r="H705" s="458">
        <f>'TWU FGD'!$H$31</f>
        <v>0</v>
      </c>
      <c r="I705" s="458">
        <f>'TWU FGD'!$I$31</f>
        <v>0</v>
      </c>
      <c r="J705" s="458">
        <f>'TWU FGD'!$J$31</f>
        <v>0</v>
      </c>
      <c r="K705" s="458">
        <f>'TWU FGD'!$K$31</f>
        <v>0</v>
      </c>
      <c r="L705" s="458">
        <f>'TWU FGD'!$L$31</f>
        <v>0</v>
      </c>
      <c r="M705" s="567">
        <f>'TWU FGD'!$M$31</f>
        <v>19075819</v>
      </c>
      <c r="N705" s="401"/>
    </row>
    <row r="706" spans="1:14" s="171" customFormat="1" ht="12.75" hidden="1" customHeight="1" outlineLevel="1">
      <c r="A706" s="166"/>
      <c r="B706" s="676" t="str">
        <f>'TXST FGD'!$B$2</f>
        <v>Texas State University</v>
      </c>
      <c r="C706" s="566"/>
      <c r="D706" s="458">
        <f>'TXST FGD'!$D$31</f>
        <v>1995141</v>
      </c>
      <c r="E706" s="458">
        <f>'TXST FGD'!$E$31</f>
        <v>56328453</v>
      </c>
      <c r="F706" s="458">
        <f>'TXST FGD'!$F$31</f>
        <v>56902251</v>
      </c>
      <c r="G706" s="458">
        <f>'TXST FGD'!$G$31</f>
        <v>0</v>
      </c>
      <c r="H706" s="458">
        <f>'TXST FGD'!$H$31</f>
        <v>0</v>
      </c>
      <c r="I706" s="458">
        <f>'TXST FGD'!$I$31</f>
        <v>0</v>
      </c>
      <c r="J706" s="458">
        <f>'TXST FGD'!$J$31</f>
        <v>0</v>
      </c>
      <c r="K706" s="458">
        <f>'TXST FGD'!$K$31</f>
        <v>0</v>
      </c>
      <c r="L706" s="458">
        <f>'TXST FGD'!$L$31</f>
        <v>0</v>
      </c>
      <c r="M706" s="567">
        <f>'TXST FGD'!$M$31</f>
        <v>115225845</v>
      </c>
      <c r="N706" s="401"/>
    </row>
    <row r="707" spans="1:14" s="171" customFormat="1" ht="12.75" hidden="1" customHeight="1" outlineLevel="1">
      <c r="A707" s="166"/>
      <c r="B707" s="676" t="str">
        <f>'TYL FGD'!$B$2</f>
        <v>The University of Texas at Tyler</v>
      </c>
      <c r="C707" s="566"/>
      <c r="D707" s="458">
        <f>'TYL FGD'!$D$31</f>
        <v>0</v>
      </c>
      <c r="E707" s="458">
        <f>'TYL FGD'!$E$31</f>
        <v>16305108</v>
      </c>
      <c r="F707" s="458">
        <f>'TYL FGD'!$F$31</f>
        <v>7482582</v>
      </c>
      <c r="G707" s="458">
        <f>'TYL FGD'!$G$31</f>
        <v>0</v>
      </c>
      <c r="H707" s="458">
        <f>'TYL FGD'!$H$31</f>
        <v>0</v>
      </c>
      <c r="I707" s="458">
        <f>'TYL FGD'!$I$31</f>
        <v>0</v>
      </c>
      <c r="J707" s="458">
        <f>'TYL FGD'!$J$31</f>
        <v>0</v>
      </c>
      <c r="K707" s="458">
        <f>'TYL FGD'!$K$31</f>
        <v>0</v>
      </c>
      <c r="L707" s="458">
        <f>'TYL FGD'!$L$31</f>
        <v>0</v>
      </c>
      <c r="M707" s="567">
        <f>'TYL FGD'!$M$31</f>
        <v>23787690</v>
      </c>
      <c r="N707" s="401"/>
    </row>
    <row r="708" spans="1:14" s="171" customFormat="1" ht="12.75" hidden="1" customHeight="1" outlineLevel="1">
      <c r="A708" s="166"/>
      <c r="B708" s="676" t="str">
        <f>'UH1 FGD'!$B$2</f>
        <v>University of Houston - Academic &amp; Health (A+H)</v>
      </c>
      <c r="C708" s="566"/>
      <c r="D708" s="458">
        <f>'UH1 FGD'!$D$31</f>
        <v>374369</v>
      </c>
      <c r="E708" s="458">
        <f>'UH1 FGD'!$E$31</f>
        <v>124343953</v>
      </c>
      <c r="F708" s="458">
        <f>'UH1 FGD'!$F$31</f>
        <v>30007974</v>
      </c>
      <c r="G708" s="458">
        <f>'UH1 FGD'!$G$31</f>
        <v>0</v>
      </c>
      <c r="H708" s="458">
        <f>'UH1 FGD'!$H$31</f>
        <v>0</v>
      </c>
      <c r="I708" s="458">
        <f>'UH1 FGD'!$I$31</f>
        <v>0</v>
      </c>
      <c r="J708" s="458">
        <f>'UH1 FGD'!$J$31</f>
        <v>0</v>
      </c>
      <c r="K708" s="458">
        <f>'UH1 FGD'!$K$31</f>
        <v>0</v>
      </c>
      <c r="L708" s="458">
        <f>'UH1 FGD'!$L$31</f>
        <v>0</v>
      </c>
      <c r="M708" s="567">
        <f>'UH1 FGD'!$M$31</f>
        <v>154726296</v>
      </c>
      <c r="N708" s="401"/>
    </row>
    <row r="709" spans="1:14" s="171" customFormat="1" ht="12.75" hidden="1" customHeight="1" outlineLevel="1">
      <c r="A709" s="166"/>
      <c r="B709" s="676" t="str">
        <f>'UHCL FGD'!$B$2</f>
        <v>University of Houston - Clear Lake</v>
      </c>
      <c r="C709" s="566"/>
      <c r="D709" s="458">
        <f>'UHCL FGD'!$D$31</f>
        <v>0</v>
      </c>
      <c r="E709" s="458">
        <f>'UHCL FGD'!$E$31</f>
        <v>10593496</v>
      </c>
      <c r="F709" s="458">
        <f>'UHCL FGD'!$F$31</f>
        <v>8118407</v>
      </c>
      <c r="G709" s="458">
        <f>'UHCL FGD'!$G$31</f>
        <v>0</v>
      </c>
      <c r="H709" s="458">
        <f>'UHCL FGD'!$H$31</f>
        <v>0</v>
      </c>
      <c r="I709" s="458">
        <f>'UHCL FGD'!$I$31</f>
        <v>0</v>
      </c>
      <c r="J709" s="458">
        <f>'UHCL FGD'!$J$31</f>
        <v>0</v>
      </c>
      <c r="K709" s="458">
        <f>'UHCL FGD'!$K$31</f>
        <v>0</v>
      </c>
      <c r="L709" s="458">
        <f>'UHCL FGD'!$L$31</f>
        <v>0</v>
      </c>
      <c r="M709" s="567">
        <f>'UHCL FGD'!$M$31</f>
        <v>18711903</v>
      </c>
      <c r="N709" s="401"/>
    </row>
    <row r="710" spans="1:14" s="171" customFormat="1" ht="12.75" hidden="1" customHeight="1" outlineLevel="1">
      <c r="A710" s="166"/>
      <c r="B710" s="676" t="str">
        <f>'UHD FGD'!$B$2</f>
        <v>University of Houston - Downtown</v>
      </c>
      <c r="C710" s="566"/>
      <c r="D710" s="458">
        <f>'UHD FGD'!$D$31</f>
        <v>8771</v>
      </c>
      <c r="E710" s="458">
        <f>'UHD FGD'!$E$31</f>
        <v>17188563</v>
      </c>
      <c r="F710" s="458">
        <f>'UHD FGD'!$F$31</f>
        <v>10423974</v>
      </c>
      <c r="G710" s="458">
        <f>'UHD FGD'!$G$31</f>
        <v>0</v>
      </c>
      <c r="H710" s="458">
        <f>'UHD FGD'!$H$31</f>
        <v>0</v>
      </c>
      <c r="I710" s="458">
        <f>'UHD FGD'!$I$31</f>
        <v>0</v>
      </c>
      <c r="J710" s="458">
        <f>'UHD FGD'!$J$31</f>
        <v>0</v>
      </c>
      <c r="K710" s="458">
        <f>'UHD FGD'!$K$31</f>
        <v>0</v>
      </c>
      <c r="L710" s="458">
        <f>'UHD FGD'!$L$31</f>
        <v>0</v>
      </c>
      <c r="M710" s="567">
        <f>'UHD FGD'!$M$31</f>
        <v>27621308</v>
      </c>
      <c r="N710" s="401"/>
    </row>
    <row r="711" spans="1:14" s="171" customFormat="1" ht="12.75" hidden="1" customHeight="1" outlineLevel="1">
      <c r="A711" s="166"/>
      <c r="B711" s="676" t="str">
        <f>'UHV FGD'!$B$2</f>
        <v>University of Houston - Victoria</v>
      </c>
      <c r="C711" s="566"/>
      <c r="D711" s="458">
        <f>'UHV FGD'!$D$31</f>
        <v>2604</v>
      </c>
      <c r="E711" s="458">
        <f>'UHV FGD'!$E$31</f>
        <v>6663694</v>
      </c>
      <c r="F711" s="458">
        <f>'UHV FGD'!$F$31</f>
        <v>4691716</v>
      </c>
      <c r="G711" s="458">
        <f>'UHV FGD'!$G$31</f>
        <v>0</v>
      </c>
      <c r="H711" s="458">
        <f>'UHV FGD'!$H$31</f>
        <v>0</v>
      </c>
      <c r="I711" s="458">
        <f>'UHV FGD'!$I$31</f>
        <v>0</v>
      </c>
      <c r="J711" s="458">
        <f>'UHV FGD'!$J$31</f>
        <v>0</v>
      </c>
      <c r="K711" s="458">
        <f>'UHV FGD'!$K$31</f>
        <v>0</v>
      </c>
      <c r="L711" s="458">
        <f>'UHV FGD'!$L$31</f>
        <v>0</v>
      </c>
      <c r="M711" s="567">
        <f>'UHV FGD'!$M$31</f>
        <v>11358014</v>
      </c>
      <c r="N711" s="401"/>
    </row>
    <row r="712" spans="1:14" s="171" customFormat="1" ht="12.75" hidden="1" customHeight="1" outlineLevel="1">
      <c r="A712" s="166"/>
      <c r="B712" s="676" t="str">
        <f>'UNT FGD'!$B$2</f>
        <v>University of North Texas</v>
      </c>
      <c r="C712" s="566"/>
      <c r="D712" s="458">
        <f>'UNT FGD'!$D$31</f>
        <v>391881</v>
      </c>
      <c r="E712" s="458">
        <f>'UNT FGD'!$E$31</f>
        <v>127878370</v>
      </c>
      <c r="F712" s="458">
        <f>'UNT FGD'!$F$31</f>
        <v>17637071</v>
      </c>
      <c r="G712" s="458">
        <f>'UNT FGD'!$G$31</f>
        <v>0</v>
      </c>
      <c r="H712" s="458">
        <f>'UNT FGD'!$H$31</f>
        <v>0</v>
      </c>
      <c r="I712" s="458">
        <f>'UNT FGD'!$I$31</f>
        <v>0</v>
      </c>
      <c r="J712" s="458">
        <f>'UNT FGD'!$J$31</f>
        <v>0</v>
      </c>
      <c r="K712" s="458">
        <f>'UNT FGD'!$K$31</f>
        <v>0</v>
      </c>
      <c r="L712" s="458">
        <f>'UNT FGD'!$L$31</f>
        <v>0</v>
      </c>
      <c r="M712" s="567">
        <f>'UNT FGD'!$M$31</f>
        <v>145907322</v>
      </c>
      <c r="N712" s="401"/>
    </row>
    <row r="713" spans="1:14" s="171" customFormat="1" ht="12.75" hidden="1" customHeight="1" outlineLevel="1">
      <c r="A713" s="166"/>
      <c r="B713" s="676" t="str">
        <f>'UNTD FGD'!$B$2</f>
        <v>University of North Texas at Dallas</v>
      </c>
      <c r="C713" s="566"/>
      <c r="D713" s="458">
        <f>'UNTD FGD'!$D$31</f>
        <v>0</v>
      </c>
      <c r="E713" s="458">
        <f>'UNTD FGD'!$E$31</f>
        <v>6466914</v>
      </c>
      <c r="F713" s="458">
        <f>'UNTD FGD'!$F$31</f>
        <v>0</v>
      </c>
      <c r="G713" s="458">
        <f>'UNTD FGD'!$G$31</f>
        <v>0</v>
      </c>
      <c r="H713" s="458">
        <f>'UNTD FGD'!$H$31</f>
        <v>0</v>
      </c>
      <c r="I713" s="458">
        <f>'UNTD FGD'!$I$31</f>
        <v>0</v>
      </c>
      <c r="J713" s="458">
        <f>'UNTD FGD'!$J$31</f>
        <v>0</v>
      </c>
      <c r="K713" s="458">
        <f>'UNTD FGD'!$K$31</f>
        <v>0</v>
      </c>
      <c r="L713" s="458">
        <f>'UNTD FGD'!$L$31</f>
        <v>0</v>
      </c>
      <c r="M713" s="567">
        <f>'UNTD FGD'!$M$31</f>
        <v>6466914</v>
      </c>
      <c r="N713" s="401"/>
    </row>
    <row r="714" spans="1:14" s="171" customFormat="1" ht="12.75" hidden="1" customHeight="1" outlineLevel="1">
      <c r="A714" s="166"/>
      <c r="B714" s="676" t="str">
        <f>'WTAMU FGD'!$B$2</f>
        <v>West Texas A&amp;M University</v>
      </c>
      <c r="C714" s="566"/>
      <c r="D714" s="458">
        <f>'WTAMU FGD'!$D$31</f>
        <v>11682</v>
      </c>
      <c r="E714" s="458">
        <f>'WTAMU FGD'!$E$31</f>
        <v>15591142</v>
      </c>
      <c r="F714" s="458">
        <f>'WTAMU FGD'!$F$31</f>
        <v>13350806</v>
      </c>
      <c r="G714" s="458">
        <f>'WTAMU FGD'!$G$31</f>
        <v>0</v>
      </c>
      <c r="H714" s="458">
        <f>'WTAMU FGD'!$H$31</f>
        <v>0</v>
      </c>
      <c r="I714" s="458">
        <f>'WTAMU FGD'!$I$31</f>
        <v>0</v>
      </c>
      <c r="J714" s="458">
        <f>'WTAMU FGD'!$J$31</f>
        <v>0</v>
      </c>
      <c r="K714" s="458">
        <f>'WTAMU FGD'!$K$31</f>
        <v>0</v>
      </c>
      <c r="L714" s="458">
        <f>'WTAMU FGD'!$L$31</f>
        <v>0</v>
      </c>
      <c r="M714" s="567">
        <f>'WTAMU FGD'!$M$31</f>
        <v>28953630</v>
      </c>
      <c r="N714" s="401"/>
    </row>
    <row r="715" spans="1:14" s="171" customFormat="1" collapsed="1">
      <c r="A715" s="166"/>
      <c r="B715" s="558" t="s">
        <v>1052</v>
      </c>
      <c r="C715" s="558"/>
      <c r="D715" s="581">
        <f t="shared" ref="D715:M715" si="18">SUM(D679:D714)</f>
        <v>16772044</v>
      </c>
      <c r="E715" s="581">
        <f t="shared" si="18"/>
        <v>1675265287</v>
      </c>
      <c r="F715" s="581">
        <f t="shared" si="18"/>
        <v>490651504</v>
      </c>
      <c r="G715" s="581">
        <f t="shared" si="18"/>
        <v>-6130182</v>
      </c>
      <c r="H715" s="581">
        <f t="shared" si="18"/>
        <v>0</v>
      </c>
      <c r="I715" s="581">
        <f t="shared" si="18"/>
        <v>0</v>
      </c>
      <c r="J715" s="581">
        <f t="shared" si="18"/>
        <v>0</v>
      </c>
      <c r="K715" s="581">
        <f t="shared" si="18"/>
        <v>0</v>
      </c>
      <c r="L715" s="581">
        <f t="shared" si="18"/>
        <v>0</v>
      </c>
      <c r="M715" s="581">
        <f t="shared" si="18"/>
        <v>2176558653</v>
      </c>
      <c r="N715" s="401"/>
    </row>
    <row r="716" spans="1:14" s="171" customFormat="1" ht="12.75" hidden="1" customHeight="1" outlineLevel="1">
      <c r="A716" s="166"/>
      <c r="B716" s="675" t="str">
        <f>'ARL FGD'!$B$2</f>
        <v>The University of Texas at Arlington</v>
      </c>
      <c r="C716" s="584"/>
      <c r="D716" s="397">
        <f>'ARL FGD'!$D$32</f>
        <v>-113</v>
      </c>
      <c r="E716" s="397">
        <f>'ARL FGD'!$E$32</f>
        <v>-1320397</v>
      </c>
      <c r="F716" s="397">
        <f>'ARL FGD'!$F$32</f>
        <v>-3631093</v>
      </c>
      <c r="G716" s="397">
        <f>'ARL FGD'!$G$32</f>
        <v>0</v>
      </c>
      <c r="H716" s="397">
        <f>'ARL FGD'!$H$32</f>
        <v>0</v>
      </c>
      <c r="I716" s="397">
        <f>'ARL FGD'!$I$32</f>
        <v>0</v>
      </c>
      <c r="J716" s="397">
        <f>'ARL FGD'!$J$32</f>
        <v>0</v>
      </c>
      <c r="K716" s="397">
        <f>'ARL FGD'!$K$32</f>
        <v>0</v>
      </c>
      <c r="L716" s="397">
        <f>'ARL FGD'!$L$32</f>
        <v>0</v>
      </c>
      <c r="M716" s="397">
        <f>'ARL FGD'!$M$32</f>
        <v>-4951603</v>
      </c>
      <c r="N716" s="401"/>
    </row>
    <row r="717" spans="1:14" s="171" customFormat="1" ht="12.75" hidden="1" customHeight="1" outlineLevel="1">
      <c r="A717" s="166"/>
      <c r="B717" s="675" t="str">
        <f>'ASU FGD'!$B$2</f>
        <v>Angelo State University</v>
      </c>
      <c r="C717" s="584"/>
      <c r="D717" s="397">
        <f>'ASU FGD'!$D$32</f>
        <v>0</v>
      </c>
      <c r="E717" s="397">
        <f>'ASU FGD'!$E$32</f>
        <v>0</v>
      </c>
      <c r="F717" s="397">
        <f>'ASU FGD'!$F$32</f>
        <v>0</v>
      </c>
      <c r="G717" s="397">
        <f>'ASU FGD'!$G$32</f>
        <v>0</v>
      </c>
      <c r="H717" s="397">
        <f>'ASU FGD'!$H$32</f>
        <v>0</v>
      </c>
      <c r="I717" s="397">
        <f>'ASU FGD'!$I$32</f>
        <v>0</v>
      </c>
      <c r="J717" s="397">
        <f>'ASU FGD'!$J$32</f>
        <v>0</v>
      </c>
      <c r="K717" s="397">
        <f>'ASU FGD'!$K$32</f>
        <v>0</v>
      </c>
      <c r="L717" s="397">
        <f>'ASU FGD'!$L$32</f>
        <v>0</v>
      </c>
      <c r="M717" s="397">
        <f>'ASU FGD'!$M$32</f>
        <v>0</v>
      </c>
      <c r="N717" s="401"/>
    </row>
    <row r="718" spans="1:14" s="171" customFormat="1" ht="12.75" hidden="1" customHeight="1" outlineLevel="1">
      <c r="A718" s="166"/>
      <c r="B718" s="675" t="str">
        <f>'AUS1 FGD'!$B$2</f>
        <v>The University of Texas at Austin - Academic &amp; Health (A+H)</v>
      </c>
      <c r="C718" s="584"/>
      <c r="D718" s="397">
        <f>'AUS1 FGD'!$D$32</f>
        <v>0</v>
      </c>
      <c r="E718" s="397">
        <f>'AUS1 FGD'!$E$32</f>
        <v>0</v>
      </c>
      <c r="F718" s="397">
        <f>'AUS1 FGD'!$F$32</f>
        <v>0</v>
      </c>
      <c r="G718" s="397">
        <f>'AUS1 FGD'!$G$32</f>
        <v>0</v>
      </c>
      <c r="H718" s="397">
        <f>'AUS1 FGD'!$H$32</f>
        <v>0</v>
      </c>
      <c r="I718" s="397">
        <f>'AUS1 FGD'!$I$32</f>
        <v>0</v>
      </c>
      <c r="J718" s="397">
        <f>'AUS1 FGD'!$J$32</f>
        <v>0</v>
      </c>
      <c r="K718" s="397">
        <f>'AUS1 FGD'!$K$32</f>
        <v>0</v>
      </c>
      <c r="L718" s="397">
        <f>'AUS1 FGD'!$L$32</f>
        <v>0</v>
      </c>
      <c r="M718" s="397">
        <f>'AUS1 FGD'!$M$32</f>
        <v>0</v>
      </c>
      <c r="N718" s="401"/>
    </row>
    <row r="719" spans="1:14" s="171" customFormat="1" ht="12.75" hidden="1" customHeight="1" outlineLevel="1">
      <c r="A719" s="166"/>
      <c r="B719" s="675" t="str">
        <f>'RGV1 FGD'!$B$2</f>
        <v>The University of Texas RGV - Academic &amp; Health (A+H)</v>
      </c>
      <c r="C719" s="584"/>
      <c r="D719" s="397">
        <f>'RGV1 FGD'!$D$32</f>
        <v>0</v>
      </c>
      <c r="E719" s="397">
        <f>'RGV1 FGD'!$E$32</f>
        <v>0</v>
      </c>
      <c r="F719" s="397">
        <f>'RGV1 FGD'!$F$32</f>
        <v>0</v>
      </c>
      <c r="G719" s="397">
        <f>'RGV1 FGD'!$G$32</f>
        <v>0</v>
      </c>
      <c r="H719" s="397">
        <f>'RGV1 FGD'!$H$32</f>
        <v>0</v>
      </c>
      <c r="I719" s="397">
        <f>'RGV1 FGD'!$I$32</f>
        <v>0</v>
      </c>
      <c r="J719" s="397">
        <f>'RGV1 FGD'!$J$32</f>
        <v>0</v>
      </c>
      <c r="K719" s="397">
        <f>'RGV1 FGD'!$K$32</f>
        <v>0</v>
      </c>
      <c r="L719" s="397">
        <f>'RGV1 FGD'!$L$32</f>
        <v>0</v>
      </c>
      <c r="M719" s="397">
        <f>'RGV1 FGD'!$M$32</f>
        <v>0</v>
      </c>
      <c r="N719" s="401"/>
    </row>
    <row r="720" spans="1:14" s="171" customFormat="1" ht="12.75" hidden="1" customHeight="1" outlineLevel="1">
      <c r="A720" s="166"/>
      <c r="B720" s="675" t="str">
        <f>'DAL FGD'!$B$2</f>
        <v>The University of Texas at Dallas</v>
      </c>
      <c r="C720" s="584"/>
      <c r="D720" s="397">
        <f>'DAL FGD'!$D$32</f>
        <v>0</v>
      </c>
      <c r="E720" s="397">
        <f>'DAL FGD'!$E$32</f>
        <v>-54927</v>
      </c>
      <c r="F720" s="397">
        <f>'DAL FGD'!$F$32</f>
        <v>-20533</v>
      </c>
      <c r="G720" s="397">
        <f>'DAL FGD'!$G$32</f>
        <v>0</v>
      </c>
      <c r="H720" s="397">
        <f>'DAL FGD'!$H$32</f>
        <v>0</v>
      </c>
      <c r="I720" s="397">
        <f>'DAL FGD'!$I$32</f>
        <v>0</v>
      </c>
      <c r="J720" s="397">
        <f>'DAL FGD'!$J$32</f>
        <v>0</v>
      </c>
      <c r="K720" s="397">
        <f>'DAL FGD'!$K$32</f>
        <v>0</v>
      </c>
      <c r="L720" s="397">
        <f>'DAL FGD'!$L$32</f>
        <v>0</v>
      </c>
      <c r="M720" s="397">
        <f>'DAL FGD'!$M$32</f>
        <v>-75460</v>
      </c>
      <c r="N720" s="401"/>
    </row>
    <row r="721" spans="1:14" s="171" customFormat="1" ht="12.75" hidden="1" customHeight="1" outlineLevel="1">
      <c r="A721" s="166"/>
      <c r="B721" s="675" t="str">
        <f>'E-P FGD'!$B$2</f>
        <v>The University of Texas at El Paso</v>
      </c>
      <c r="C721" s="584"/>
      <c r="D721" s="397">
        <f>'E-P FGD'!$D$32</f>
        <v>0</v>
      </c>
      <c r="E721" s="397">
        <f>'E-P FGD'!$E$32</f>
        <v>-6690</v>
      </c>
      <c r="F721" s="397">
        <f>'E-P FGD'!$F$32</f>
        <v>-552</v>
      </c>
      <c r="G721" s="397">
        <f>'E-P FGD'!$G$32</f>
        <v>0</v>
      </c>
      <c r="H721" s="397">
        <f>'E-P FGD'!$H$32</f>
        <v>0</v>
      </c>
      <c r="I721" s="397">
        <f>'E-P FGD'!$I$32</f>
        <v>0</v>
      </c>
      <c r="J721" s="397">
        <f>'E-P FGD'!$J$32</f>
        <v>0</v>
      </c>
      <c r="K721" s="397">
        <f>'E-P FGD'!$K$32</f>
        <v>0</v>
      </c>
      <c r="L721" s="397">
        <f>'E-P FGD'!$L$32</f>
        <v>0</v>
      </c>
      <c r="M721" s="397">
        <f>'E-P FGD'!$M$32</f>
        <v>-7242</v>
      </c>
      <c r="N721" s="401"/>
    </row>
    <row r="722" spans="1:14" s="171" customFormat="1" ht="12.75" hidden="1" customHeight="1" outlineLevel="1">
      <c r="A722" s="166"/>
      <c r="B722" s="675" t="str">
        <f>'LU FGD'!$B$2</f>
        <v xml:space="preserve">Lamar University </v>
      </c>
      <c r="C722" s="584"/>
      <c r="D722" s="397">
        <f>'LU FGD'!$D$32</f>
        <v>0</v>
      </c>
      <c r="E722" s="397">
        <f>'LU FGD'!$E$32</f>
        <v>0</v>
      </c>
      <c r="F722" s="397">
        <f>'LU FGD'!$F$32</f>
        <v>0</v>
      </c>
      <c r="G722" s="397">
        <f>'LU FGD'!$G$32</f>
        <v>0</v>
      </c>
      <c r="H722" s="397">
        <f>'LU FGD'!$H$32</f>
        <v>0</v>
      </c>
      <c r="I722" s="397">
        <f>'LU FGD'!$I$32</f>
        <v>0</v>
      </c>
      <c r="J722" s="397">
        <f>'LU FGD'!$J$32</f>
        <v>0</v>
      </c>
      <c r="K722" s="397">
        <f>'LU FGD'!$K$32</f>
        <v>0</v>
      </c>
      <c r="L722" s="397">
        <f>'LU FGD'!$L$32</f>
        <v>0</v>
      </c>
      <c r="M722" s="397">
        <f>'LU FGD'!$M$32</f>
        <v>0</v>
      </c>
      <c r="N722" s="401"/>
    </row>
    <row r="723" spans="1:14" s="171" customFormat="1" ht="12.75" hidden="1" customHeight="1" outlineLevel="1">
      <c r="A723" s="166"/>
      <c r="B723" s="675" t="str">
        <f>'MidWST FGD'!$B$2</f>
        <v>Midwestern State University</v>
      </c>
      <c r="C723" s="584"/>
      <c r="D723" s="397">
        <f>'MidWST FGD'!$D$32</f>
        <v>0</v>
      </c>
      <c r="E723" s="397">
        <f>'MidWST FGD'!$E$32</f>
        <v>0</v>
      </c>
      <c r="F723" s="397">
        <f>'MidWST FGD'!$F$32</f>
        <v>0</v>
      </c>
      <c r="G723" s="397">
        <f>'MidWST FGD'!$G$32</f>
        <v>0</v>
      </c>
      <c r="H723" s="397">
        <f>'MidWST FGD'!$H$32</f>
        <v>0</v>
      </c>
      <c r="I723" s="397">
        <f>'MidWST FGD'!$I$32</f>
        <v>0</v>
      </c>
      <c r="J723" s="397">
        <f>'MidWST FGD'!$J$32</f>
        <v>0</v>
      </c>
      <c r="K723" s="397">
        <f>'MidWST FGD'!$K$32</f>
        <v>0</v>
      </c>
      <c r="L723" s="397">
        <f>'MidWST FGD'!$L$32</f>
        <v>0</v>
      </c>
      <c r="M723" s="397">
        <f>'MidWST FGD'!$M$32</f>
        <v>0</v>
      </c>
      <c r="N723" s="401"/>
    </row>
    <row r="724" spans="1:14" s="171" customFormat="1" ht="12.75" hidden="1" customHeight="1" outlineLevel="1">
      <c r="A724" s="166"/>
      <c r="B724" s="675" t="str">
        <f>'P-B FGD'!$B$2</f>
        <v>The University of Texas of the Permian Basin</v>
      </c>
      <c r="C724" s="584"/>
      <c r="D724" s="397">
        <f>'P-B FGD'!$D$32</f>
        <v>0</v>
      </c>
      <c r="E724" s="397">
        <f>'P-B FGD'!$E$32</f>
        <v>0</v>
      </c>
      <c r="F724" s="397">
        <f>'P-B FGD'!$F$32</f>
        <v>0</v>
      </c>
      <c r="G724" s="397">
        <f>'P-B FGD'!$G$32</f>
        <v>0</v>
      </c>
      <c r="H724" s="397">
        <f>'P-B FGD'!$H$32</f>
        <v>0</v>
      </c>
      <c r="I724" s="397">
        <f>'P-B FGD'!$I$32</f>
        <v>0</v>
      </c>
      <c r="J724" s="397">
        <f>'P-B FGD'!$J$32</f>
        <v>0</v>
      </c>
      <c r="K724" s="397">
        <f>'P-B FGD'!$K$32</f>
        <v>0</v>
      </c>
      <c r="L724" s="397">
        <f>'P-B FGD'!$L$32</f>
        <v>0</v>
      </c>
      <c r="M724" s="397">
        <f>'P-B FGD'!$M$32</f>
        <v>0</v>
      </c>
      <c r="N724" s="401"/>
    </row>
    <row r="725" spans="1:14" s="171" customFormat="1" ht="12.75" hidden="1" customHeight="1" outlineLevel="1">
      <c r="A725" s="166"/>
      <c r="B725" s="675" t="str">
        <f>'PVAMU FGD'!$B$2</f>
        <v>Prairie View A&amp;M University</v>
      </c>
      <c r="C725" s="584"/>
      <c r="D725" s="397">
        <f>'PVAMU FGD'!$D$32</f>
        <v>0</v>
      </c>
      <c r="E725" s="397">
        <f>'PVAMU FGD'!$E$32</f>
        <v>0</v>
      </c>
      <c r="F725" s="397">
        <f>'PVAMU FGD'!$F$32</f>
        <v>0</v>
      </c>
      <c r="G725" s="397">
        <f>'PVAMU FGD'!$G$32</f>
        <v>0</v>
      </c>
      <c r="H725" s="397">
        <f>'PVAMU FGD'!$H$32</f>
        <v>0</v>
      </c>
      <c r="I725" s="397">
        <f>'PVAMU FGD'!$I$32</f>
        <v>0</v>
      </c>
      <c r="J725" s="397">
        <f>'PVAMU FGD'!$J$32</f>
        <v>0</v>
      </c>
      <c r="K725" s="397">
        <f>'PVAMU FGD'!$K$32</f>
        <v>0</v>
      </c>
      <c r="L725" s="397">
        <f>'PVAMU FGD'!$L$32</f>
        <v>0</v>
      </c>
      <c r="M725" s="397">
        <f>'PVAMU FGD'!$M$32</f>
        <v>0</v>
      </c>
      <c r="N725" s="401"/>
    </row>
    <row r="726" spans="1:14" s="171" customFormat="1" ht="12.75" hidden="1" customHeight="1" outlineLevel="1">
      <c r="A726" s="166"/>
      <c r="B726" s="675" t="str">
        <f>'S-A FGD'!$B$2</f>
        <v>The University of Texas at San Antonio</v>
      </c>
      <c r="C726" s="584"/>
      <c r="D726" s="397">
        <f>'S-A FGD'!$D$32</f>
        <v>0</v>
      </c>
      <c r="E726" s="397">
        <f>'S-A FGD'!$E$32</f>
        <v>0</v>
      </c>
      <c r="F726" s="397">
        <f>'S-A FGD'!$F$32</f>
        <v>0</v>
      </c>
      <c r="G726" s="397">
        <f>'S-A FGD'!$G$32</f>
        <v>0</v>
      </c>
      <c r="H726" s="397">
        <f>'S-A FGD'!$H$32</f>
        <v>0</v>
      </c>
      <c r="I726" s="397">
        <f>'S-A FGD'!$I$32</f>
        <v>0</v>
      </c>
      <c r="J726" s="397">
        <f>'S-A FGD'!$J$32</f>
        <v>0</v>
      </c>
      <c r="K726" s="397">
        <f>'S-A FGD'!$K$32</f>
        <v>0</v>
      </c>
      <c r="L726" s="397">
        <f>'S-A FGD'!$L$32</f>
        <v>0</v>
      </c>
      <c r="M726" s="397">
        <f>'S-A FGD'!$M$32</f>
        <v>0</v>
      </c>
      <c r="N726" s="401"/>
    </row>
    <row r="727" spans="1:14" s="171" customFormat="1" ht="12.75" hidden="1" customHeight="1" outlineLevel="1">
      <c r="A727" s="166"/>
      <c r="B727" s="675" t="str">
        <f>'SFA FGD'!$B$2</f>
        <v>Stephen F. Austin State University</v>
      </c>
      <c r="C727" s="584"/>
      <c r="D727" s="397">
        <f>'SFA FGD'!$D$32</f>
        <v>0</v>
      </c>
      <c r="E727" s="397">
        <f>'SFA FGD'!$E$32</f>
        <v>0</v>
      </c>
      <c r="F727" s="397">
        <f>'SFA FGD'!$F$32</f>
        <v>0</v>
      </c>
      <c r="G727" s="397">
        <f>'SFA FGD'!$G$32</f>
        <v>0</v>
      </c>
      <c r="H727" s="397">
        <f>'SFA FGD'!$H$32</f>
        <v>0</v>
      </c>
      <c r="I727" s="397">
        <f>'SFA FGD'!$I$32</f>
        <v>0</v>
      </c>
      <c r="J727" s="397">
        <f>'SFA FGD'!$J$32</f>
        <v>0</v>
      </c>
      <c r="K727" s="397">
        <f>'SFA FGD'!$K$32</f>
        <v>0</v>
      </c>
      <c r="L727" s="397">
        <f>'SFA FGD'!$L$32</f>
        <v>0</v>
      </c>
      <c r="M727" s="397">
        <f>'SFA FGD'!$M$32</f>
        <v>0</v>
      </c>
      <c r="N727" s="401"/>
    </row>
    <row r="728" spans="1:14" s="171" customFormat="1" ht="12.75" hidden="1" customHeight="1" outlineLevel="1">
      <c r="A728" s="166"/>
      <c r="B728" s="675" t="str">
        <f>'shsu1 FGD'!$B$2</f>
        <v>Sam Houston State University - Academic &amp; Health (A+H)</v>
      </c>
      <c r="C728" s="584"/>
      <c r="D728" s="397">
        <f>'shsu1 FGD'!$D$32</f>
        <v>0</v>
      </c>
      <c r="E728" s="397">
        <f>'shsu1 FGD'!$E$32</f>
        <v>0</v>
      </c>
      <c r="F728" s="397">
        <f>'shsu1 FGD'!$F$32</f>
        <v>0</v>
      </c>
      <c r="G728" s="397">
        <f>'shsu1 FGD'!$G$32</f>
        <v>0</v>
      </c>
      <c r="H728" s="397">
        <f>'shsu1 FGD'!$H$32</f>
        <v>0</v>
      </c>
      <c r="I728" s="397">
        <f>'shsu1 FGD'!$I$32</f>
        <v>0</v>
      </c>
      <c r="J728" s="397">
        <f>'shsu1 FGD'!$J$32</f>
        <v>0</v>
      </c>
      <c r="K728" s="397">
        <f>'shsu1 FGD'!$K$32</f>
        <v>0</v>
      </c>
      <c r="L728" s="397">
        <f>'shsu1 FGD'!$L$32</f>
        <v>0</v>
      </c>
      <c r="M728" s="397">
        <f>'shsu1 FGD'!$M$32</f>
        <v>0</v>
      </c>
      <c r="N728" s="401"/>
    </row>
    <row r="729" spans="1:14" s="171" customFormat="1" ht="12.75" hidden="1" customHeight="1" outlineLevel="1">
      <c r="A729" s="166"/>
      <c r="B729" s="675" t="str">
        <f>'SRSU FGD'!$B$2</f>
        <v>Sul Ross State University</v>
      </c>
      <c r="C729" s="584"/>
      <c r="D729" s="397">
        <f>'SRSU FGD'!$D$32</f>
        <v>0</v>
      </c>
      <c r="E729" s="397">
        <f>'SRSU FGD'!$E$32</f>
        <v>0</v>
      </c>
      <c r="F729" s="397">
        <f>'SRSU FGD'!$F$32</f>
        <v>0</v>
      </c>
      <c r="G729" s="397">
        <f>'SRSU FGD'!$G$32</f>
        <v>0</v>
      </c>
      <c r="H729" s="397">
        <f>'SRSU FGD'!$H$32</f>
        <v>0</v>
      </c>
      <c r="I729" s="397">
        <f>'SRSU FGD'!$I$32</f>
        <v>0</v>
      </c>
      <c r="J729" s="397">
        <f>'SRSU FGD'!$J$32</f>
        <v>0</v>
      </c>
      <c r="K729" s="397">
        <f>'SRSU FGD'!$K$32</f>
        <v>0</v>
      </c>
      <c r="L729" s="397">
        <f>'SRSU FGD'!$L$32</f>
        <v>0</v>
      </c>
      <c r="M729" s="397">
        <f>'SRSU FGD'!$M$32</f>
        <v>0</v>
      </c>
      <c r="N729" s="401"/>
    </row>
    <row r="730" spans="1:14" s="171" customFormat="1" ht="12.75" hidden="1" customHeight="1" outlineLevel="1">
      <c r="A730" s="166"/>
      <c r="B730" s="675" t="str">
        <f>'TAMIU FGD'!$B$2</f>
        <v>Texas A&amp;M International University</v>
      </c>
      <c r="C730" s="584"/>
      <c r="D730" s="397">
        <f>'TAMIU FGD'!$D$32</f>
        <v>0</v>
      </c>
      <c r="E730" s="397">
        <f>'TAMIU FGD'!$E$32</f>
        <v>-324957</v>
      </c>
      <c r="F730" s="397">
        <f>'TAMIU FGD'!$F$32</f>
        <v>-13511</v>
      </c>
      <c r="G730" s="397">
        <f>'TAMIU FGD'!$G$32</f>
        <v>0</v>
      </c>
      <c r="H730" s="397">
        <f>'TAMIU FGD'!$H$32</f>
        <v>0</v>
      </c>
      <c r="I730" s="397">
        <f>'TAMIU FGD'!$I$32</f>
        <v>0</v>
      </c>
      <c r="J730" s="397">
        <f>'TAMIU FGD'!$J$32</f>
        <v>0</v>
      </c>
      <c r="K730" s="397">
        <f>'TAMIU FGD'!$K$32</f>
        <v>0</v>
      </c>
      <c r="L730" s="397">
        <f>'TAMIU FGD'!$L$32</f>
        <v>0</v>
      </c>
      <c r="M730" s="397">
        <f>'TAMIU FGD'!$M$32</f>
        <v>-338468</v>
      </c>
      <c r="N730" s="401"/>
    </row>
    <row r="731" spans="1:14" s="171" customFormat="1" ht="12.75" hidden="1" customHeight="1" outlineLevel="1">
      <c r="A731" s="166"/>
      <c r="B731" s="675" t="str">
        <f>'TAMU FGD'!$B$2</f>
        <v>Texas A&amp;M University</v>
      </c>
      <c r="C731" s="584"/>
      <c r="D731" s="397">
        <f>'TAMU FGD'!$D$32</f>
        <v>0</v>
      </c>
      <c r="E731" s="397">
        <f>'TAMU FGD'!$E$32</f>
        <v>-87128</v>
      </c>
      <c r="F731" s="397">
        <f>'TAMU FGD'!$F$32</f>
        <v>0</v>
      </c>
      <c r="G731" s="397">
        <f>'TAMU FGD'!$G$32</f>
        <v>0</v>
      </c>
      <c r="H731" s="397">
        <f>'TAMU FGD'!$H$32</f>
        <v>0</v>
      </c>
      <c r="I731" s="397">
        <f>'TAMU FGD'!$I$32</f>
        <v>0</v>
      </c>
      <c r="J731" s="397">
        <f>'TAMU FGD'!$J$32</f>
        <v>0</v>
      </c>
      <c r="K731" s="397">
        <f>'TAMU FGD'!$K$32</f>
        <v>0</v>
      </c>
      <c r="L731" s="397">
        <f>'TAMU FGD'!$L$32</f>
        <v>0</v>
      </c>
      <c r="M731" s="397">
        <f>'TAMU FGD'!$M$32</f>
        <v>-87128</v>
      </c>
      <c r="N731" s="401"/>
    </row>
    <row r="732" spans="1:14" s="171" customFormat="1" ht="12.75" hidden="1" customHeight="1" outlineLevel="1">
      <c r="A732" s="166"/>
      <c r="B732" s="675" t="str">
        <f>'TAMUC FGD'!$B$2</f>
        <v>Texas A&amp;M University - Commerce</v>
      </c>
      <c r="C732" s="584"/>
      <c r="D732" s="397">
        <f>'TAMUC FGD'!$D$32</f>
        <v>0</v>
      </c>
      <c r="E732" s="397">
        <f>'TAMUC FGD'!$E$32</f>
        <v>-6053495</v>
      </c>
      <c r="F732" s="397">
        <f>'TAMUC FGD'!$F$32</f>
        <v>0</v>
      </c>
      <c r="G732" s="397">
        <f>'TAMUC FGD'!$G$32</f>
        <v>0</v>
      </c>
      <c r="H732" s="397">
        <f>'TAMUC FGD'!$H$32</f>
        <v>0</v>
      </c>
      <c r="I732" s="397">
        <f>'TAMUC FGD'!$I$32</f>
        <v>0</v>
      </c>
      <c r="J732" s="397">
        <f>'TAMUC FGD'!$J$32</f>
        <v>0</v>
      </c>
      <c r="K732" s="397">
        <f>'TAMUC FGD'!$K$32</f>
        <v>0</v>
      </c>
      <c r="L732" s="397">
        <f>'TAMUC FGD'!$L$32</f>
        <v>0</v>
      </c>
      <c r="M732" s="397">
        <f>'TAMUC FGD'!$M$32</f>
        <v>-6053495</v>
      </c>
      <c r="N732" s="401"/>
    </row>
    <row r="733" spans="1:14" s="171" customFormat="1" ht="12.75" hidden="1" customHeight="1" outlineLevel="1">
      <c r="A733" s="166"/>
      <c r="B733" s="675" t="str">
        <f>'TAMUCC FGD'!$B$2</f>
        <v>Texas A&amp;M University - Corpus Christi</v>
      </c>
      <c r="C733" s="584"/>
      <c r="D733" s="397">
        <f>'TAMUCC FGD'!$D$32</f>
        <v>0</v>
      </c>
      <c r="E733" s="397">
        <f>'TAMUCC FGD'!$E$32</f>
        <v>0</v>
      </c>
      <c r="F733" s="397">
        <f>'TAMUCC FGD'!$F$32</f>
        <v>0</v>
      </c>
      <c r="G733" s="397">
        <f>'TAMUCC FGD'!$G$32</f>
        <v>0</v>
      </c>
      <c r="H733" s="397">
        <f>'TAMUCC FGD'!$H$32</f>
        <v>0</v>
      </c>
      <c r="I733" s="397">
        <f>'TAMUCC FGD'!$I$32</f>
        <v>0</v>
      </c>
      <c r="J733" s="397">
        <f>'TAMUCC FGD'!$J$32</f>
        <v>0</v>
      </c>
      <c r="K733" s="397">
        <f>'TAMUCC FGD'!$K$32</f>
        <v>0</v>
      </c>
      <c r="L733" s="397">
        <f>'TAMUCC FGD'!$L$32</f>
        <v>0</v>
      </c>
      <c r="M733" s="397">
        <f>'TAMUCC FGD'!$M$32</f>
        <v>0</v>
      </c>
      <c r="N733" s="401"/>
    </row>
    <row r="734" spans="1:14" s="171" customFormat="1" ht="12.75" hidden="1" customHeight="1" outlineLevel="1">
      <c r="A734" s="166"/>
      <c r="B734" s="675" t="str">
        <f>'TAMUCT FGD'!$B$2</f>
        <v>Texas A&amp;M University - Central Texas</v>
      </c>
      <c r="C734" s="584"/>
      <c r="D734" s="397">
        <f>'TAMUCT FGD'!$D$32</f>
        <v>0</v>
      </c>
      <c r="E734" s="397">
        <f>'TAMUCT FGD'!$E$32</f>
        <v>0</v>
      </c>
      <c r="F734" s="397">
        <f>'TAMUCT FGD'!$F$32</f>
        <v>0</v>
      </c>
      <c r="G734" s="397">
        <f>'TAMUCT FGD'!$G$32</f>
        <v>0</v>
      </c>
      <c r="H734" s="397">
        <f>'TAMUCT FGD'!$H$32</f>
        <v>0</v>
      </c>
      <c r="I734" s="397">
        <f>'TAMUCT FGD'!$I$32</f>
        <v>0</v>
      </c>
      <c r="J734" s="397">
        <f>'TAMUCT FGD'!$J$32</f>
        <v>0</v>
      </c>
      <c r="K734" s="397">
        <f>'TAMUCT FGD'!$K$32</f>
        <v>0</v>
      </c>
      <c r="L734" s="397">
        <f>'TAMUCT FGD'!$L$32</f>
        <v>0</v>
      </c>
      <c r="M734" s="397">
        <f>'TAMUCT FGD'!$M$32</f>
        <v>0</v>
      </c>
      <c r="N734" s="401"/>
    </row>
    <row r="735" spans="1:14" s="171" customFormat="1" ht="12.75" hidden="1" customHeight="1" outlineLevel="1">
      <c r="A735" s="166"/>
      <c r="B735" s="675" t="str">
        <f>'TAMUG FGD'!$B$2</f>
        <v>Texas A&amp;M University at Galveston</v>
      </c>
      <c r="C735" s="584"/>
      <c r="D735" s="397">
        <f>'TAMUG FGD'!$D$32</f>
        <v>0</v>
      </c>
      <c r="E735" s="397">
        <f>'TAMUG FGD'!$E$32</f>
        <v>-4500</v>
      </c>
      <c r="F735" s="397">
        <f>'TAMUG FGD'!$F$32</f>
        <v>0</v>
      </c>
      <c r="G735" s="397">
        <f>'TAMUG FGD'!$G$32</f>
        <v>0</v>
      </c>
      <c r="H735" s="397">
        <f>'TAMUG FGD'!$H$32</f>
        <v>0</v>
      </c>
      <c r="I735" s="397">
        <f>'TAMUG FGD'!$I$32</f>
        <v>0</v>
      </c>
      <c r="J735" s="397">
        <f>'TAMUG FGD'!$J$32</f>
        <v>0</v>
      </c>
      <c r="K735" s="397">
        <f>'TAMUG FGD'!$K$32</f>
        <v>0</v>
      </c>
      <c r="L735" s="397">
        <f>'TAMUG FGD'!$L$32</f>
        <v>0</v>
      </c>
      <c r="M735" s="397">
        <f>'TAMUG FGD'!$M$32</f>
        <v>-4500</v>
      </c>
      <c r="N735" s="401"/>
    </row>
    <row r="736" spans="1:14" s="171" customFormat="1" ht="12.75" hidden="1" customHeight="1" outlineLevel="1">
      <c r="A736" s="166"/>
      <c r="B736" s="675" t="str">
        <f>'TAMUK FGD'!$B$2</f>
        <v>Texas A&amp;M University - Kingsville</v>
      </c>
      <c r="C736" s="584"/>
      <c r="D736" s="397">
        <f>'TAMUK FGD'!$D$32</f>
        <v>0</v>
      </c>
      <c r="E736" s="397">
        <f>'TAMUK FGD'!$E$32</f>
        <v>0</v>
      </c>
      <c r="F736" s="397">
        <f>'TAMUK FGD'!$F$32</f>
        <v>0</v>
      </c>
      <c r="G736" s="397">
        <f>'TAMUK FGD'!$G$32</f>
        <v>0</v>
      </c>
      <c r="H736" s="397">
        <f>'TAMUK FGD'!$H$32</f>
        <v>0</v>
      </c>
      <c r="I736" s="397">
        <f>'TAMUK FGD'!$I$32</f>
        <v>0</v>
      </c>
      <c r="J736" s="397">
        <f>'TAMUK FGD'!$J$32</f>
        <v>0</v>
      </c>
      <c r="K736" s="397">
        <f>'TAMUK FGD'!$K$32</f>
        <v>0</v>
      </c>
      <c r="L736" s="397">
        <f>'TAMUK FGD'!$L$32</f>
        <v>0</v>
      </c>
      <c r="M736" s="397">
        <f>'TAMUK FGD'!$M$32</f>
        <v>0</v>
      </c>
      <c r="N736" s="401"/>
    </row>
    <row r="737" spans="1:14" s="171" customFormat="1" ht="12.75" hidden="1" customHeight="1" outlineLevel="1">
      <c r="A737" s="166"/>
      <c r="B737" s="675" t="str">
        <f>'TAMUSA FGD'!$B$2</f>
        <v>Texas A&amp;M University - San Antonio</v>
      </c>
      <c r="C737" s="584"/>
      <c r="D737" s="397">
        <f>'TAMUSA FGD'!$D$32</f>
        <v>0</v>
      </c>
      <c r="E737" s="397">
        <f>'TAMUSA FGD'!$E$32</f>
        <v>0</v>
      </c>
      <c r="F737" s="397">
        <f>'TAMUSA FGD'!$F$32</f>
        <v>0</v>
      </c>
      <c r="G737" s="397">
        <f>'TAMUSA FGD'!$G$32</f>
        <v>0</v>
      </c>
      <c r="H737" s="397">
        <f>'TAMUSA FGD'!$H$32</f>
        <v>0</v>
      </c>
      <c r="I737" s="397">
        <f>'TAMUSA FGD'!$I$32</f>
        <v>0</v>
      </c>
      <c r="J737" s="397">
        <f>'TAMUSA FGD'!$J$32</f>
        <v>0</v>
      </c>
      <c r="K737" s="397">
        <f>'TAMUSA FGD'!$K$32</f>
        <v>0</v>
      </c>
      <c r="L737" s="397">
        <f>'TAMUSA FGD'!$L$32</f>
        <v>0</v>
      </c>
      <c r="M737" s="397">
        <f>'TAMUSA FGD'!$M$32</f>
        <v>0</v>
      </c>
      <c r="N737" s="401"/>
    </row>
    <row r="738" spans="1:14" s="171" customFormat="1" ht="12.75" hidden="1" customHeight="1" outlineLevel="1">
      <c r="A738" s="166"/>
      <c r="B738" s="675" t="str">
        <f>'TAMUT FGD'!$B$2</f>
        <v>Texas A&amp;M University - Texarkana</v>
      </c>
      <c r="C738" s="584"/>
      <c r="D738" s="397">
        <f>'TAMUT FGD'!$D$32</f>
        <v>0</v>
      </c>
      <c r="E738" s="397">
        <f>'TAMUT FGD'!$E$32</f>
        <v>0</v>
      </c>
      <c r="F738" s="397">
        <f>'TAMUT FGD'!$F$32</f>
        <v>0</v>
      </c>
      <c r="G738" s="397">
        <f>'TAMUT FGD'!$G$32</f>
        <v>0</v>
      </c>
      <c r="H738" s="397">
        <f>'TAMUT FGD'!$H$32</f>
        <v>0</v>
      </c>
      <c r="I738" s="397">
        <f>'TAMUT FGD'!$I$32</f>
        <v>0</v>
      </c>
      <c r="J738" s="397">
        <f>'TAMUT FGD'!$J$32</f>
        <v>0</v>
      </c>
      <c r="K738" s="397">
        <f>'TAMUT FGD'!$K$32</f>
        <v>0</v>
      </c>
      <c r="L738" s="397">
        <f>'TAMUT FGD'!$L$32</f>
        <v>0</v>
      </c>
      <c r="M738" s="397">
        <f>'TAMUT FGD'!$M$32</f>
        <v>0</v>
      </c>
      <c r="N738" s="401"/>
    </row>
    <row r="739" spans="1:14" s="171" customFormat="1" ht="12.75" hidden="1" customHeight="1" outlineLevel="1">
      <c r="A739" s="166"/>
      <c r="B739" s="675" t="str">
        <f>'TARLST FGD'!$B$2</f>
        <v>Tarleton State University</v>
      </c>
      <c r="C739" s="584"/>
      <c r="D739" s="397">
        <f>'TARLST FGD'!$D$32</f>
        <v>0</v>
      </c>
      <c r="E739" s="397">
        <f>'TARLST FGD'!$E$32</f>
        <v>0</v>
      </c>
      <c r="F739" s="397">
        <f>'TARLST FGD'!$F$32</f>
        <v>0</v>
      </c>
      <c r="G739" s="397">
        <f>'TARLST FGD'!$G$32</f>
        <v>0</v>
      </c>
      <c r="H739" s="397">
        <f>'TARLST FGD'!$H$32</f>
        <v>0</v>
      </c>
      <c r="I739" s="397">
        <f>'TARLST FGD'!$I$32</f>
        <v>0</v>
      </c>
      <c r="J739" s="397">
        <f>'TARLST FGD'!$J$32</f>
        <v>0</v>
      </c>
      <c r="K739" s="397">
        <f>'TARLST FGD'!$K$32</f>
        <v>0</v>
      </c>
      <c r="L739" s="397">
        <f>'TARLST FGD'!$L$32</f>
        <v>0</v>
      </c>
      <c r="M739" s="397">
        <f>'TARLST FGD'!$M$32</f>
        <v>0</v>
      </c>
      <c r="N739" s="401"/>
    </row>
    <row r="740" spans="1:14" s="171" customFormat="1" ht="12.75" hidden="1" customHeight="1" outlineLevel="1">
      <c r="A740" s="166"/>
      <c r="B740" s="675" t="str">
        <f>'TSU FGD'!$B$2</f>
        <v>Texas Southern University</v>
      </c>
      <c r="C740" s="584"/>
      <c r="D740" s="397">
        <f>'TSU FGD'!$D$32</f>
        <v>0</v>
      </c>
      <c r="E740" s="397">
        <f>'TSU FGD'!$E$32</f>
        <v>0</v>
      </c>
      <c r="F740" s="397">
        <f>'TSU FGD'!$F$32</f>
        <v>0</v>
      </c>
      <c r="G740" s="397">
        <f>'TSU FGD'!$G$32</f>
        <v>0</v>
      </c>
      <c r="H740" s="397">
        <f>'TSU FGD'!$H$32</f>
        <v>0</v>
      </c>
      <c r="I740" s="397">
        <f>'TSU FGD'!$I$32</f>
        <v>0</v>
      </c>
      <c r="J740" s="397">
        <f>'TSU FGD'!$J$32</f>
        <v>0</v>
      </c>
      <c r="K740" s="397">
        <f>'TSU FGD'!$K$32</f>
        <v>0</v>
      </c>
      <c r="L740" s="397">
        <f>'TSU FGD'!$L$32</f>
        <v>0</v>
      </c>
      <c r="M740" s="397">
        <f>'TSU FGD'!$M$32</f>
        <v>0</v>
      </c>
      <c r="N740" s="401"/>
    </row>
    <row r="741" spans="1:14" s="171" customFormat="1" ht="12.75" hidden="1" customHeight="1" outlineLevel="1">
      <c r="A741" s="166"/>
      <c r="B741" s="675" t="str">
        <f>'TTU FGD'!$B$2</f>
        <v>Texas Tech University</v>
      </c>
      <c r="C741" s="584"/>
      <c r="D741" s="397">
        <f>'TTU FGD'!$D$32</f>
        <v>0</v>
      </c>
      <c r="E741" s="397">
        <f>'TTU FGD'!$E$32</f>
        <v>0</v>
      </c>
      <c r="F741" s="397">
        <f>'TTU FGD'!$F$32</f>
        <v>0</v>
      </c>
      <c r="G741" s="397">
        <f>'TTU FGD'!$G$32</f>
        <v>0</v>
      </c>
      <c r="H741" s="397">
        <f>'TTU FGD'!$H$32</f>
        <v>0</v>
      </c>
      <c r="I741" s="397">
        <f>'TTU FGD'!$I$32</f>
        <v>0</v>
      </c>
      <c r="J741" s="397">
        <f>'TTU FGD'!$J$32</f>
        <v>0</v>
      </c>
      <c r="K741" s="397">
        <f>'TTU FGD'!$K$32</f>
        <v>0</v>
      </c>
      <c r="L741" s="397">
        <f>'TTU FGD'!$L$32</f>
        <v>0</v>
      </c>
      <c r="M741" s="397">
        <f>'TTU FGD'!$M$32</f>
        <v>0</v>
      </c>
      <c r="N741" s="401"/>
    </row>
    <row r="742" spans="1:14" s="171" customFormat="1" ht="12.75" hidden="1" customHeight="1" outlineLevel="1">
      <c r="A742" s="166"/>
      <c r="B742" s="675" t="str">
        <f>'TWU FGD'!$B$2</f>
        <v>Texas Woman's University</v>
      </c>
      <c r="C742" s="584"/>
      <c r="D742" s="397">
        <f>'TWU FGD'!$D$32</f>
        <v>0</v>
      </c>
      <c r="E742" s="397">
        <f>'TWU FGD'!$E$32</f>
        <v>0</v>
      </c>
      <c r="F742" s="397">
        <f>'TWU FGD'!$F$32</f>
        <v>0</v>
      </c>
      <c r="G742" s="397">
        <f>'TWU FGD'!$G$32</f>
        <v>0</v>
      </c>
      <c r="H742" s="397">
        <f>'TWU FGD'!$H$32</f>
        <v>0</v>
      </c>
      <c r="I742" s="397">
        <f>'TWU FGD'!$I$32</f>
        <v>0</v>
      </c>
      <c r="J742" s="397">
        <f>'TWU FGD'!$J$32</f>
        <v>0</v>
      </c>
      <c r="K742" s="397">
        <f>'TWU FGD'!$K$32</f>
        <v>0</v>
      </c>
      <c r="L742" s="397">
        <f>'TWU FGD'!$L$32</f>
        <v>0</v>
      </c>
      <c r="M742" s="397">
        <f>'TWU FGD'!$M$32</f>
        <v>0</v>
      </c>
      <c r="N742" s="401"/>
    </row>
    <row r="743" spans="1:14" s="171" customFormat="1" ht="12.75" hidden="1" customHeight="1" outlineLevel="1">
      <c r="A743" s="166"/>
      <c r="B743" s="675" t="str">
        <f>'TXST FGD'!$B$2</f>
        <v>Texas State University</v>
      </c>
      <c r="C743" s="584"/>
      <c r="D743" s="397">
        <f>'TXST FGD'!$D$32</f>
        <v>0</v>
      </c>
      <c r="E743" s="397">
        <f>'TXST FGD'!$E$32</f>
        <v>-126999</v>
      </c>
      <c r="F743" s="397">
        <f>'TXST FGD'!$F$32</f>
        <v>-114066</v>
      </c>
      <c r="G743" s="397">
        <f>'TXST FGD'!$G$32</f>
        <v>0</v>
      </c>
      <c r="H743" s="397">
        <f>'TXST FGD'!$H$32</f>
        <v>0</v>
      </c>
      <c r="I743" s="397">
        <f>'TXST FGD'!$I$32</f>
        <v>0</v>
      </c>
      <c r="J743" s="397">
        <f>'TXST FGD'!$J$32</f>
        <v>0</v>
      </c>
      <c r="K743" s="397">
        <f>'TXST FGD'!$K$32</f>
        <v>0</v>
      </c>
      <c r="L743" s="397">
        <f>'TXST FGD'!$L$32</f>
        <v>0</v>
      </c>
      <c r="M743" s="397">
        <f>'TXST FGD'!$M$32</f>
        <v>-241065</v>
      </c>
      <c r="N743" s="401"/>
    </row>
    <row r="744" spans="1:14" s="171" customFormat="1" ht="12.75" hidden="1" customHeight="1" outlineLevel="1">
      <c r="A744" s="166"/>
      <c r="B744" s="675" t="str">
        <f>'TYL FGD'!$B$2</f>
        <v>The University of Texas at Tyler</v>
      </c>
      <c r="C744" s="584"/>
      <c r="D744" s="397">
        <f>'TYL FGD'!$D$32</f>
        <v>0</v>
      </c>
      <c r="E744" s="397">
        <f>'TYL FGD'!$E$32</f>
        <v>0</v>
      </c>
      <c r="F744" s="397">
        <f>'TYL FGD'!$F$32</f>
        <v>0</v>
      </c>
      <c r="G744" s="397">
        <f>'TYL FGD'!$G$32</f>
        <v>0</v>
      </c>
      <c r="H744" s="397">
        <f>'TYL FGD'!$H$32</f>
        <v>0</v>
      </c>
      <c r="I744" s="397">
        <f>'TYL FGD'!$I$32</f>
        <v>0</v>
      </c>
      <c r="J744" s="397">
        <f>'TYL FGD'!$J$32</f>
        <v>0</v>
      </c>
      <c r="K744" s="397">
        <f>'TYL FGD'!$K$32</f>
        <v>0</v>
      </c>
      <c r="L744" s="397">
        <f>'TYL FGD'!$L$32</f>
        <v>0</v>
      </c>
      <c r="M744" s="397">
        <f>'TYL FGD'!$M$32</f>
        <v>0</v>
      </c>
      <c r="N744" s="401"/>
    </row>
    <row r="745" spans="1:14" s="171" customFormat="1" ht="12.75" hidden="1" customHeight="1" outlineLevel="1">
      <c r="A745" s="166"/>
      <c r="B745" s="675" t="str">
        <f>'UH1 FGD'!$B$2</f>
        <v>University of Houston - Academic &amp; Health (A+H)</v>
      </c>
      <c r="C745" s="584"/>
      <c r="D745" s="397">
        <f>'UH1 FGD'!$D$32</f>
        <v>-4</v>
      </c>
      <c r="E745" s="397">
        <f>'UH1 FGD'!$E$32</f>
        <v>-914</v>
      </c>
      <c r="F745" s="397">
        <f>'UH1 FGD'!$F$32</f>
        <v>-504</v>
      </c>
      <c r="G745" s="397">
        <f>'UH1 FGD'!$G$32</f>
        <v>0</v>
      </c>
      <c r="H745" s="397">
        <f>'UH1 FGD'!$H$32</f>
        <v>0</v>
      </c>
      <c r="I745" s="397">
        <f>'UH1 FGD'!$I$32</f>
        <v>0</v>
      </c>
      <c r="J745" s="397">
        <f>'UH1 FGD'!$J$32</f>
        <v>0</v>
      </c>
      <c r="K745" s="397">
        <f>'UH1 FGD'!$K$32</f>
        <v>0</v>
      </c>
      <c r="L745" s="397">
        <f>'UH1 FGD'!$L$32</f>
        <v>0</v>
      </c>
      <c r="M745" s="397">
        <f>'UH1 FGD'!$M$32</f>
        <v>-1422</v>
      </c>
      <c r="N745" s="401"/>
    </row>
    <row r="746" spans="1:14" s="171" customFormat="1" ht="12.75" hidden="1" customHeight="1" outlineLevel="1">
      <c r="A746" s="166"/>
      <c r="B746" s="675" t="str">
        <f>'UHCL FGD'!$B$2</f>
        <v>University of Houston - Clear Lake</v>
      </c>
      <c r="C746" s="584"/>
      <c r="D746" s="397">
        <f>'UHCL FGD'!$D$32</f>
        <v>0</v>
      </c>
      <c r="E746" s="397">
        <f>'UHCL FGD'!$E$32</f>
        <v>-151537</v>
      </c>
      <c r="F746" s="397">
        <f>'UHCL FGD'!$F$32</f>
        <v>-153</v>
      </c>
      <c r="G746" s="397">
        <f>'UHCL FGD'!$G$32</f>
        <v>0</v>
      </c>
      <c r="H746" s="397">
        <f>'UHCL FGD'!$H$32</f>
        <v>0</v>
      </c>
      <c r="I746" s="397">
        <f>'UHCL FGD'!$I$32</f>
        <v>0</v>
      </c>
      <c r="J746" s="397">
        <f>'UHCL FGD'!$J$32</f>
        <v>0</v>
      </c>
      <c r="K746" s="397">
        <f>'UHCL FGD'!$K$32</f>
        <v>0</v>
      </c>
      <c r="L746" s="397">
        <f>'UHCL FGD'!$L$32</f>
        <v>0</v>
      </c>
      <c r="M746" s="397">
        <f>'UHCL FGD'!$M$32</f>
        <v>-151690</v>
      </c>
      <c r="N746" s="401"/>
    </row>
    <row r="747" spans="1:14" s="171" customFormat="1" ht="12.75" hidden="1" customHeight="1" outlineLevel="1">
      <c r="A747" s="166"/>
      <c r="B747" s="675" t="str">
        <f>'UHD FGD'!$B$2</f>
        <v>University of Houston - Downtown</v>
      </c>
      <c r="C747" s="584"/>
      <c r="D747" s="397">
        <f>'UHD FGD'!$D$32</f>
        <v>0</v>
      </c>
      <c r="E747" s="397">
        <f>'UHD FGD'!$E$32</f>
        <v>-5729</v>
      </c>
      <c r="F747" s="397">
        <f>'UHD FGD'!$F$32</f>
        <v>0</v>
      </c>
      <c r="G747" s="397">
        <f>'UHD FGD'!$G$32</f>
        <v>0</v>
      </c>
      <c r="H747" s="397">
        <f>'UHD FGD'!$H$32</f>
        <v>0</v>
      </c>
      <c r="I747" s="397">
        <f>'UHD FGD'!$I$32</f>
        <v>0</v>
      </c>
      <c r="J747" s="397">
        <f>'UHD FGD'!$J$32</f>
        <v>0</v>
      </c>
      <c r="K747" s="397">
        <f>'UHD FGD'!$K$32</f>
        <v>0</v>
      </c>
      <c r="L747" s="397">
        <f>'UHD FGD'!$L$32</f>
        <v>0</v>
      </c>
      <c r="M747" s="397">
        <f>'UHD FGD'!$M$32</f>
        <v>-5729</v>
      </c>
      <c r="N747" s="401"/>
    </row>
    <row r="748" spans="1:14" s="171" customFormat="1" ht="12.75" hidden="1" customHeight="1" outlineLevel="1">
      <c r="A748" s="166"/>
      <c r="B748" s="675" t="str">
        <f>'UHV FGD'!$B$2</f>
        <v>University of Houston - Victoria</v>
      </c>
      <c r="C748" s="584"/>
      <c r="D748" s="397">
        <f>'UHV FGD'!$D$32</f>
        <v>0</v>
      </c>
      <c r="E748" s="397">
        <f>'UHV FGD'!$E$32</f>
        <v>0</v>
      </c>
      <c r="F748" s="397">
        <f>'UHV FGD'!$F$32</f>
        <v>0</v>
      </c>
      <c r="G748" s="397">
        <f>'UHV FGD'!$G$32</f>
        <v>0</v>
      </c>
      <c r="H748" s="397">
        <f>'UHV FGD'!$H$32</f>
        <v>0</v>
      </c>
      <c r="I748" s="397">
        <f>'UHV FGD'!$I$32</f>
        <v>0</v>
      </c>
      <c r="J748" s="397">
        <f>'UHV FGD'!$J$32</f>
        <v>0</v>
      </c>
      <c r="K748" s="397">
        <f>'UHV FGD'!$K$32</f>
        <v>0</v>
      </c>
      <c r="L748" s="397">
        <f>'UHV FGD'!$L$32</f>
        <v>0</v>
      </c>
      <c r="M748" s="397">
        <f>'UHV FGD'!$M$32</f>
        <v>0</v>
      </c>
      <c r="N748" s="401"/>
    </row>
    <row r="749" spans="1:14" s="171" customFormat="1" ht="12.75" hidden="1" customHeight="1" outlineLevel="1">
      <c r="A749" s="166"/>
      <c r="B749" s="675" t="str">
        <f>'UNT FGD'!$B$2</f>
        <v>University of North Texas</v>
      </c>
      <c r="C749" s="584"/>
      <c r="D749" s="397">
        <f>'UNT FGD'!$D$32</f>
        <v>0</v>
      </c>
      <c r="E749" s="397">
        <f>'UNT FGD'!$E$32</f>
        <v>0</v>
      </c>
      <c r="F749" s="397">
        <f>'UNT FGD'!$F$32</f>
        <v>0</v>
      </c>
      <c r="G749" s="397">
        <f>'UNT FGD'!$G$32</f>
        <v>0</v>
      </c>
      <c r="H749" s="397">
        <f>'UNT FGD'!$H$32</f>
        <v>0</v>
      </c>
      <c r="I749" s="397">
        <f>'UNT FGD'!$I$32</f>
        <v>0</v>
      </c>
      <c r="J749" s="397">
        <f>'UNT FGD'!$J$32</f>
        <v>0</v>
      </c>
      <c r="K749" s="397">
        <f>'UNT FGD'!$K$32</f>
        <v>0</v>
      </c>
      <c r="L749" s="397">
        <f>'UNT FGD'!$L$32</f>
        <v>0</v>
      </c>
      <c r="M749" s="397">
        <f>'UNT FGD'!$M$32</f>
        <v>0</v>
      </c>
      <c r="N749" s="401"/>
    </row>
    <row r="750" spans="1:14" s="171" customFormat="1" ht="12.75" hidden="1" customHeight="1" outlineLevel="1">
      <c r="A750" s="166"/>
      <c r="B750" s="675" t="str">
        <f>'UNTD FGD'!$B$2</f>
        <v>University of North Texas at Dallas</v>
      </c>
      <c r="C750" s="584"/>
      <c r="D750" s="397">
        <f>'UNTD FGD'!$D$32</f>
        <v>0</v>
      </c>
      <c r="E750" s="397">
        <f>'UNTD FGD'!$E$32</f>
        <v>0</v>
      </c>
      <c r="F750" s="397">
        <f>'UNTD FGD'!$F$32</f>
        <v>0</v>
      </c>
      <c r="G750" s="397">
        <f>'UNTD FGD'!$G$32</f>
        <v>0</v>
      </c>
      <c r="H750" s="397">
        <f>'UNTD FGD'!$H$32</f>
        <v>0</v>
      </c>
      <c r="I750" s="397">
        <f>'UNTD FGD'!$I$32</f>
        <v>0</v>
      </c>
      <c r="J750" s="397">
        <f>'UNTD FGD'!$J$32</f>
        <v>0</v>
      </c>
      <c r="K750" s="397">
        <f>'UNTD FGD'!$K$32</f>
        <v>0</v>
      </c>
      <c r="L750" s="397">
        <f>'UNTD FGD'!$L$32</f>
        <v>0</v>
      </c>
      <c r="M750" s="397">
        <f>'UNTD FGD'!$M$32</f>
        <v>0</v>
      </c>
      <c r="N750" s="401"/>
    </row>
    <row r="751" spans="1:14" s="171" customFormat="1" ht="12.75" hidden="1" customHeight="1" outlineLevel="1">
      <c r="A751" s="166"/>
      <c r="B751" s="675" t="str">
        <f>'WTAMU FGD'!$B$2</f>
        <v>West Texas A&amp;M University</v>
      </c>
      <c r="C751" s="584"/>
      <c r="D751" s="397">
        <f>'WTAMU FGD'!$D$32</f>
        <v>0</v>
      </c>
      <c r="E751" s="397">
        <f>'WTAMU FGD'!$E$32</f>
        <v>0</v>
      </c>
      <c r="F751" s="397">
        <f>'WTAMU FGD'!$F$32</f>
        <v>0</v>
      </c>
      <c r="G751" s="397">
        <f>'WTAMU FGD'!$G$32</f>
        <v>0</v>
      </c>
      <c r="H751" s="397">
        <f>'WTAMU FGD'!$H$32</f>
        <v>0</v>
      </c>
      <c r="I751" s="397">
        <f>'WTAMU FGD'!$I$32</f>
        <v>0</v>
      </c>
      <c r="J751" s="397">
        <f>'WTAMU FGD'!$J$32</f>
        <v>0</v>
      </c>
      <c r="K751" s="397">
        <f>'WTAMU FGD'!$K$32</f>
        <v>0</v>
      </c>
      <c r="L751" s="397">
        <f>'WTAMU FGD'!$L$32</f>
        <v>0</v>
      </c>
      <c r="M751" s="397">
        <f>'WTAMU FGD'!$M$32</f>
        <v>0</v>
      </c>
      <c r="N751" s="401"/>
    </row>
    <row r="752" spans="1:14" collapsed="1">
      <c r="B752" s="261" t="s">
        <v>722</v>
      </c>
      <c r="C752" s="261"/>
      <c r="D752" s="390">
        <f t="shared" ref="D752:M752" si="19">SUM(D716:D751)</f>
        <v>-117</v>
      </c>
      <c r="E752" s="390">
        <f t="shared" si="19"/>
        <v>-8137273</v>
      </c>
      <c r="F752" s="390">
        <f t="shared" si="19"/>
        <v>-3780412</v>
      </c>
      <c r="G752" s="390">
        <f t="shared" si="19"/>
        <v>0</v>
      </c>
      <c r="H752" s="390">
        <f t="shared" si="19"/>
        <v>0</v>
      </c>
      <c r="I752" s="390">
        <f t="shared" si="19"/>
        <v>0</v>
      </c>
      <c r="J752" s="390">
        <f t="shared" si="19"/>
        <v>0</v>
      </c>
      <c r="K752" s="390">
        <f t="shared" si="19"/>
        <v>0</v>
      </c>
      <c r="L752" s="390">
        <f t="shared" si="19"/>
        <v>0</v>
      </c>
      <c r="M752" s="567">
        <f t="shared" si="19"/>
        <v>-11917802</v>
      </c>
      <c r="N752" s="401"/>
    </row>
    <row r="753" spans="2:14" s="160" customFormat="1" ht="12.75" hidden="1" customHeight="1" outlineLevel="1">
      <c r="B753" s="674" t="str">
        <f>'ARL FGD'!$B$2</f>
        <v>The University of Texas at Arlington</v>
      </c>
      <c r="C753" s="261"/>
      <c r="D753" s="390">
        <f>'ARL FGD'!$D$33</f>
        <v>0</v>
      </c>
      <c r="E753" s="390">
        <f>'ARL FGD'!$E$33</f>
        <v>0</v>
      </c>
      <c r="F753" s="390">
        <f>'ARL FGD'!$F$33</f>
        <v>0</v>
      </c>
      <c r="G753" s="390">
        <f>'ARL FGD'!$G$33</f>
        <v>0</v>
      </c>
      <c r="H753" s="390">
        <f>'ARL FGD'!$H$33</f>
        <v>0</v>
      </c>
      <c r="I753" s="390">
        <f>'ARL FGD'!$I$33</f>
        <v>0</v>
      </c>
      <c r="J753" s="390">
        <f>'ARL FGD'!$J$33</f>
        <v>0</v>
      </c>
      <c r="K753" s="390">
        <f>'ARL FGD'!$K$33</f>
        <v>0</v>
      </c>
      <c r="L753" s="390">
        <f>'ARL FGD'!$L$33</f>
        <v>0</v>
      </c>
      <c r="M753" s="567">
        <f>'ARL FGD'!$M$33</f>
        <v>0</v>
      </c>
      <c r="N753" s="401"/>
    </row>
    <row r="754" spans="2:14" s="160" customFormat="1" ht="12.75" hidden="1" customHeight="1" outlineLevel="1">
      <c r="B754" s="674" t="str">
        <f>'ASU FGD'!$B$2</f>
        <v>Angelo State University</v>
      </c>
      <c r="C754" s="261"/>
      <c r="D754" s="390">
        <f>'ASU FGD'!$D$33</f>
        <v>0</v>
      </c>
      <c r="E754" s="390">
        <f>'ASU FGD'!$E$33</f>
        <v>0</v>
      </c>
      <c r="F754" s="390">
        <f>'ASU FGD'!$F$33</f>
        <v>0</v>
      </c>
      <c r="G754" s="390">
        <f>'ASU FGD'!$G$33</f>
        <v>0</v>
      </c>
      <c r="H754" s="390">
        <f>'ASU FGD'!$H$33</f>
        <v>0</v>
      </c>
      <c r="I754" s="390">
        <f>'ASU FGD'!$I$33</f>
        <v>0</v>
      </c>
      <c r="J754" s="390">
        <f>'ASU FGD'!$J$33</f>
        <v>0</v>
      </c>
      <c r="K754" s="390">
        <f>'ASU FGD'!$K$33</f>
        <v>0</v>
      </c>
      <c r="L754" s="390">
        <f>'ASU FGD'!$L$33</f>
        <v>0</v>
      </c>
      <c r="M754" s="567">
        <f>'ASU FGD'!$M$33</f>
        <v>0</v>
      </c>
      <c r="N754" s="401"/>
    </row>
    <row r="755" spans="2:14" s="160" customFormat="1" ht="12.75" hidden="1" customHeight="1" outlineLevel="1">
      <c r="B755" s="674" t="str">
        <f>'AUS1 FGD'!$B$2</f>
        <v>The University of Texas at Austin - Academic &amp; Health (A+H)</v>
      </c>
      <c r="C755" s="261"/>
      <c r="D755" s="390">
        <f>'AUS1 FGD'!$D$33</f>
        <v>0</v>
      </c>
      <c r="E755" s="390">
        <f>'AUS1 FGD'!$E$33</f>
        <v>0</v>
      </c>
      <c r="F755" s="390">
        <f>'AUS1 FGD'!$F$33</f>
        <v>0</v>
      </c>
      <c r="G755" s="390">
        <f>'AUS1 FGD'!$G$33</f>
        <v>0</v>
      </c>
      <c r="H755" s="390">
        <f>'AUS1 FGD'!$H$33</f>
        <v>0</v>
      </c>
      <c r="I755" s="390">
        <f>'AUS1 FGD'!$I$33</f>
        <v>0</v>
      </c>
      <c r="J755" s="390">
        <f>'AUS1 FGD'!$J$33</f>
        <v>0</v>
      </c>
      <c r="K755" s="390">
        <f>'AUS1 FGD'!$K$33</f>
        <v>0</v>
      </c>
      <c r="L755" s="390">
        <f>'AUS1 FGD'!$L$33</f>
        <v>0</v>
      </c>
      <c r="M755" s="567">
        <f>'AUS1 FGD'!$M$33</f>
        <v>0</v>
      </c>
      <c r="N755" s="401"/>
    </row>
    <row r="756" spans="2:14" s="160" customFormat="1" ht="12.75" hidden="1" customHeight="1" outlineLevel="1">
      <c r="B756" s="674" t="str">
        <f>'RGV1 FGD'!$B$2</f>
        <v>The University of Texas RGV - Academic &amp; Health (A+H)</v>
      </c>
      <c r="C756" s="261"/>
      <c r="D756" s="390">
        <f>'RGV1 FGD'!$D$33</f>
        <v>0</v>
      </c>
      <c r="E756" s="390">
        <f>'RGV1 FGD'!$E$33</f>
        <v>0</v>
      </c>
      <c r="F756" s="390">
        <f>'RGV1 FGD'!$F$33</f>
        <v>0</v>
      </c>
      <c r="G756" s="390">
        <f>'RGV1 FGD'!$G$33</f>
        <v>0</v>
      </c>
      <c r="H756" s="390">
        <f>'RGV1 FGD'!$H$33</f>
        <v>0</v>
      </c>
      <c r="I756" s="390">
        <f>'RGV1 FGD'!$I$33</f>
        <v>0</v>
      </c>
      <c r="J756" s="390">
        <f>'RGV1 FGD'!$J$33</f>
        <v>0</v>
      </c>
      <c r="K756" s="390">
        <f>'RGV1 FGD'!$K$33</f>
        <v>0</v>
      </c>
      <c r="L756" s="390">
        <f>'RGV1 FGD'!$L$33</f>
        <v>0</v>
      </c>
      <c r="M756" s="567">
        <f>'RGV1 FGD'!$M$33</f>
        <v>0</v>
      </c>
      <c r="N756" s="401"/>
    </row>
    <row r="757" spans="2:14" s="160" customFormat="1" ht="12.75" hidden="1" customHeight="1" outlineLevel="1">
      <c r="B757" s="674" t="str">
        <f>'DAL FGD'!$B$2</f>
        <v>The University of Texas at Dallas</v>
      </c>
      <c r="C757" s="261"/>
      <c r="D757" s="390">
        <f>'DAL FGD'!$D$33</f>
        <v>0</v>
      </c>
      <c r="E757" s="390">
        <f>'DAL FGD'!$E$33</f>
        <v>0</v>
      </c>
      <c r="F757" s="390">
        <f>'DAL FGD'!$F$33</f>
        <v>0</v>
      </c>
      <c r="G757" s="390">
        <f>'DAL FGD'!$G$33</f>
        <v>0</v>
      </c>
      <c r="H757" s="390">
        <f>'DAL FGD'!$H$33</f>
        <v>0</v>
      </c>
      <c r="I757" s="390">
        <f>'DAL FGD'!$I$33</f>
        <v>0</v>
      </c>
      <c r="J757" s="390">
        <f>'DAL FGD'!$J$33</f>
        <v>0</v>
      </c>
      <c r="K757" s="390">
        <f>'DAL FGD'!$K$33</f>
        <v>0</v>
      </c>
      <c r="L757" s="390">
        <f>'DAL FGD'!$L$33</f>
        <v>0</v>
      </c>
      <c r="M757" s="567">
        <f>'DAL FGD'!$M$33</f>
        <v>0</v>
      </c>
      <c r="N757" s="401"/>
    </row>
    <row r="758" spans="2:14" s="160" customFormat="1" ht="12.75" hidden="1" customHeight="1" outlineLevel="1">
      <c r="B758" s="674" t="str">
        <f>'E-P FGD'!$B$2</f>
        <v>The University of Texas at El Paso</v>
      </c>
      <c r="C758" s="261"/>
      <c r="D758" s="390">
        <f>'E-P FGD'!$D$33</f>
        <v>0</v>
      </c>
      <c r="E758" s="390">
        <f>'E-P FGD'!$E$33</f>
        <v>0</v>
      </c>
      <c r="F758" s="390">
        <f>'E-P FGD'!$F$33</f>
        <v>0</v>
      </c>
      <c r="G758" s="390">
        <f>'E-P FGD'!$G$33</f>
        <v>0</v>
      </c>
      <c r="H758" s="390">
        <f>'E-P FGD'!$H$33</f>
        <v>0</v>
      </c>
      <c r="I758" s="390">
        <f>'E-P FGD'!$I$33</f>
        <v>0</v>
      </c>
      <c r="J758" s="390">
        <f>'E-P FGD'!$J$33</f>
        <v>0</v>
      </c>
      <c r="K758" s="390">
        <f>'E-P FGD'!$K$33</f>
        <v>0</v>
      </c>
      <c r="L758" s="390">
        <f>'E-P FGD'!$L$33</f>
        <v>0</v>
      </c>
      <c r="M758" s="567">
        <f>'E-P FGD'!$M$33</f>
        <v>0</v>
      </c>
      <c r="N758" s="401"/>
    </row>
    <row r="759" spans="2:14" s="160" customFormat="1" ht="12.75" hidden="1" customHeight="1" outlineLevel="1">
      <c r="B759" s="674" t="str">
        <f>'LU FGD'!$B$2</f>
        <v xml:space="preserve">Lamar University </v>
      </c>
      <c r="C759" s="261"/>
      <c r="D759" s="390">
        <f>'LU FGD'!$D$33</f>
        <v>0</v>
      </c>
      <c r="E759" s="390">
        <f>'LU FGD'!$E$33</f>
        <v>0</v>
      </c>
      <c r="F759" s="390">
        <f>'LU FGD'!$F$33</f>
        <v>0</v>
      </c>
      <c r="G759" s="390">
        <f>'LU FGD'!$G$33</f>
        <v>0</v>
      </c>
      <c r="H759" s="390">
        <f>'LU FGD'!$H$33</f>
        <v>0</v>
      </c>
      <c r="I759" s="390">
        <f>'LU FGD'!$I$33</f>
        <v>0</v>
      </c>
      <c r="J759" s="390">
        <f>'LU FGD'!$J$33</f>
        <v>0</v>
      </c>
      <c r="K759" s="390">
        <f>'LU FGD'!$K$33</f>
        <v>0</v>
      </c>
      <c r="L759" s="390">
        <f>'LU FGD'!$L$33</f>
        <v>0</v>
      </c>
      <c r="M759" s="567">
        <f>'LU FGD'!$M$33</f>
        <v>0</v>
      </c>
      <c r="N759" s="401"/>
    </row>
    <row r="760" spans="2:14" s="160" customFormat="1" ht="12.75" hidden="1" customHeight="1" outlineLevel="1">
      <c r="B760" s="674" t="str">
        <f>'MidWST FGD'!$B$2</f>
        <v>Midwestern State University</v>
      </c>
      <c r="C760" s="261"/>
      <c r="D760" s="390">
        <f>'MidWST FGD'!$D$33</f>
        <v>0</v>
      </c>
      <c r="E760" s="390">
        <f>'MidWST FGD'!$E$33</f>
        <v>0</v>
      </c>
      <c r="F760" s="390">
        <f>'MidWST FGD'!$F$33</f>
        <v>0</v>
      </c>
      <c r="G760" s="390">
        <f>'MidWST FGD'!$G$33</f>
        <v>0</v>
      </c>
      <c r="H760" s="390">
        <f>'MidWST FGD'!$H$33</f>
        <v>0</v>
      </c>
      <c r="I760" s="390">
        <f>'MidWST FGD'!$I$33</f>
        <v>0</v>
      </c>
      <c r="J760" s="390">
        <f>'MidWST FGD'!$J$33</f>
        <v>0</v>
      </c>
      <c r="K760" s="390">
        <f>'MidWST FGD'!$K$33</f>
        <v>0</v>
      </c>
      <c r="L760" s="390">
        <f>'MidWST FGD'!$L$33</f>
        <v>0</v>
      </c>
      <c r="M760" s="567">
        <f>'MidWST FGD'!$M$33</f>
        <v>0</v>
      </c>
      <c r="N760" s="401"/>
    </row>
    <row r="761" spans="2:14" s="160" customFormat="1" ht="12.75" hidden="1" customHeight="1" outlineLevel="1">
      <c r="B761" s="674" t="str">
        <f>'P-B FGD'!$B$2</f>
        <v>The University of Texas of the Permian Basin</v>
      </c>
      <c r="C761" s="261"/>
      <c r="D761" s="390">
        <f>'P-B FGD'!$D$33</f>
        <v>0</v>
      </c>
      <c r="E761" s="390">
        <f>'P-B FGD'!$E$33</f>
        <v>0</v>
      </c>
      <c r="F761" s="390">
        <f>'P-B FGD'!$F$33</f>
        <v>0</v>
      </c>
      <c r="G761" s="390">
        <f>'P-B FGD'!$G$33</f>
        <v>0</v>
      </c>
      <c r="H761" s="390">
        <f>'P-B FGD'!$H$33</f>
        <v>0</v>
      </c>
      <c r="I761" s="390">
        <f>'P-B FGD'!$I$33</f>
        <v>0</v>
      </c>
      <c r="J761" s="390">
        <f>'P-B FGD'!$J$33</f>
        <v>0</v>
      </c>
      <c r="K761" s="390">
        <f>'P-B FGD'!$K$33</f>
        <v>0</v>
      </c>
      <c r="L761" s="390">
        <f>'P-B FGD'!$L$33</f>
        <v>0</v>
      </c>
      <c r="M761" s="567">
        <f>'P-B FGD'!$M$33</f>
        <v>0</v>
      </c>
      <c r="N761" s="401"/>
    </row>
    <row r="762" spans="2:14" s="160" customFormat="1" ht="12.75" hidden="1" customHeight="1" outlineLevel="1">
      <c r="B762" s="674" t="str">
        <f>'PVAMU FGD'!$B$2</f>
        <v>Prairie View A&amp;M University</v>
      </c>
      <c r="C762" s="261"/>
      <c r="D762" s="390">
        <f>'PVAMU FGD'!$D$33</f>
        <v>0</v>
      </c>
      <c r="E762" s="390">
        <f>'PVAMU FGD'!$E$33</f>
        <v>0</v>
      </c>
      <c r="F762" s="390">
        <f>'PVAMU FGD'!$F$33</f>
        <v>0</v>
      </c>
      <c r="G762" s="390">
        <f>'PVAMU FGD'!$G$33</f>
        <v>0</v>
      </c>
      <c r="H762" s="390">
        <f>'PVAMU FGD'!$H$33</f>
        <v>0</v>
      </c>
      <c r="I762" s="390">
        <f>'PVAMU FGD'!$I$33</f>
        <v>0</v>
      </c>
      <c r="J762" s="390">
        <f>'PVAMU FGD'!$J$33</f>
        <v>0</v>
      </c>
      <c r="K762" s="390">
        <f>'PVAMU FGD'!$K$33</f>
        <v>0</v>
      </c>
      <c r="L762" s="390">
        <f>'PVAMU FGD'!$L$33</f>
        <v>0</v>
      </c>
      <c r="M762" s="567">
        <f>'PVAMU FGD'!$M$33</f>
        <v>0</v>
      </c>
      <c r="N762" s="401"/>
    </row>
    <row r="763" spans="2:14" s="160" customFormat="1" ht="12.75" hidden="1" customHeight="1" outlineLevel="1">
      <c r="B763" s="674" t="str">
        <f>'S-A FGD'!$B$2</f>
        <v>The University of Texas at San Antonio</v>
      </c>
      <c r="C763" s="261"/>
      <c r="D763" s="390">
        <f>'S-A FGD'!$D$33</f>
        <v>0</v>
      </c>
      <c r="E763" s="390">
        <f>'S-A FGD'!$E$33</f>
        <v>0</v>
      </c>
      <c r="F763" s="390">
        <f>'S-A FGD'!$F$33</f>
        <v>0</v>
      </c>
      <c r="G763" s="390">
        <f>'S-A FGD'!$G$33</f>
        <v>0</v>
      </c>
      <c r="H763" s="390">
        <f>'S-A FGD'!$H$33</f>
        <v>0</v>
      </c>
      <c r="I763" s="390">
        <f>'S-A FGD'!$I$33</f>
        <v>0</v>
      </c>
      <c r="J763" s="390">
        <f>'S-A FGD'!$J$33</f>
        <v>0</v>
      </c>
      <c r="K763" s="390">
        <f>'S-A FGD'!$K$33</f>
        <v>0</v>
      </c>
      <c r="L763" s="390">
        <f>'S-A FGD'!$L$33</f>
        <v>0</v>
      </c>
      <c r="M763" s="567">
        <f>'S-A FGD'!$M$33</f>
        <v>0</v>
      </c>
      <c r="N763" s="401"/>
    </row>
    <row r="764" spans="2:14" s="160" customFormat="1" ht="12.75" hidden="1" customHeight="1" outlineLevel="1">
      <c r="B764" s="674" t="str">
        <f>'SFA FGD'!$B$2</f>
        <v>Stephen F. Austin State University</v>
      </c>
      <c r="C764" s="261"/>
      <c r="D764" s="390">
        <f>'SFA FGD'!$D$33</f>
        <v>0</v>
      </c>
      <c r="E764" s="390">
        <f>'SFA FGD'!$E$33</f>
        <v>0</v>
      </c>
      <c r="F764" s="390">
        <f>'SFA FGD'!$F$33</f>
        <v>0</v>
      </c>
      <c r="G764" s="390">
        <f>'SFA FGD'!$G$33</f>
        <v>0</v>
      </c>
      <c r="H764" s="390">
        <f>'SFA FGD'!$H$33</f>
        <v>0</v>
      </c>
      <c r="I764" s="390">
        <f>'SFA FGD'!$I$33</f>
        <v>0</v>
      </c>
      <c r="J764" s="390">
        <f>'SFA FGD'!$J$33</f>
        <v>0</v>
      </c>
      <c r="K764" s="390">
        <f>'SFA FGD'!$K$33</f>
        <v>0</v>
      </c>
      <c r="L764" s="390">
        <f>'SFA FGD'!$L$33</f>
        <v>0</v>
      </c>
      <c r="M764" s="567">
        <f>'SFA FGD'!$M$33</f>
        <v>0</v>
      </c>
      <c r="N764" s="401"/>
    </row>
    <row r="765" spans="2:14" s="160" customFormat="1" ht="12.75" hidden="1" customHeight="1" outlineLevel="1">
      <c r="B765" s="674" t="str">
        <f>'shsu1 FGD'!$B$2</f>
        <v>Sam Houston State University - Academic &amp; Health (A+H)</v>
      </c>
      <c r="C765" s="261"/>
      <c r="D765" s="390">
        <f>'shsu1 FGD'!$D$33</f>
        <v>0</v>
      </c>
      <c r="E765" s="390">
        <f>'shsu1 FGD'!$E$33</f>
        <v>0</v>
      </c>
      <c r="F765" s="390">
        <f>'shsu1 FGD'!$F$33</f>
        <v>0</v>
      </c>
      <c r="G765" s="390">
        <f>'shsu1 FGD'!$G$33</f>
        <v>0</v>
      </c>
      <c r="H765" s="390">
        <f>'shsu1 FGD'!$H$33</f>
        <v>0</v>
      </c>
      <c r="I765" s="390">
        <f>'shsu1 FGD'!$I$33</f>
        <v>0</v>
      </c>
      <c r="J765" s="390">
        <f>'shsu1 FGD'!$J$33</f>
        <v>0</v>
      </c>
      <c r="K765" s="390">
        <f>'shsu1 FGD'!$K$33</f>
        <v>0</v>
      </c>
      <c r="L765" s="390">
        <f>'shsu1 FGD'!$L$33</f>
        <v>0</v>
      </c>
      <c r="M765" s="567">
        <f>'shsu1 FGD'!$M$33</f>
        <v>0</v>
      </c>
      <c r="N765" s="401"/>
    </row>
    <row r="766" spans="2:14" s="160" customFormat="1" ht="12.75" hidden="1" customHeight="1" outlineLevel="1">
      <c r="B766" s="674" t="str">
        <f>'SRSU FGD'!$B$2</f>
        <v>Sul Ross State University</v>
      </c>
      <c r="C766" s="261"/>
      <c r="D766" s="390">
        <f>'SRSU FGD'!$D$33</f>
        <v>0</v>
      </c>
      <c r="E766" s="390">
        <f>'SRSU FGD'!$E$33</f>
        <v>0</v>
      </c>
      <c r="F766" s="390">
        <f>'SRSU FGD'!$F$33</f>
        <v>0</v>
      </c>
      <c r="G766" s="390">
        <f>'SRSU FGD'!$G$33</f>
        <v>0</v>
      </c>
      <c r="H766" s="390">
        <f>'SRSU FGD'!$H$33</f>
        <v>0</v>
      </c>
      <c r="I766" s="390">
        <f>'SRSU FGD'!$I$33</f>
        <v>0</v>
      </c>
      <c r="J766" s="390">
        <f>'SRSU FGD'!$J$33</f>
        <v>0</v>
      </c>
      <c r="K766" s="390">
        <f>'SRSU FGD'!$K$33</f>
        <v>0</v>
      </c>
      <c r="L766" s="390">
        <f>'SRSU FGD'!$L$33</f>
        <v>0</v>
      </c>
      <c r="M766" s="567">
        <f>'SRSU FGD'!$M$33</f>
        <v>0</v>
      </c>
      <c r="N766" s="401"/>
    </row>
    <row r="767" spans="2:14" s="160" customFormat="1" ht="12.75" hidden="1" customHeight="1" outlineLevel="1">
      <c r="B767" s="674" t="str">
        <f>'TAMIU FGD'!$B$2</f>
        <v>Texas A&amp;M International University</v>
      </c>
      <c r="C767" s="261"/>
      <c r="D767" s="390">
        <f>'TAMIU FGD'!$D$33</f>
        <v>0</v>
      </c>
      <c r="E767" s="390">
        <f>'TAMIU FGD'!$E$33</f>
        <v>0</v>
      </c>
      <c r="F767" s="390">
        <f>'TAMIU FGD'!$F$33</f>
        <v>0</v>
      </c>
      <c r="G767" s="390">
        <f>'TAMIU FGD'!$G$33</f>
        <v>0</v>
      </c>
      <c r="H767" s="390">
        <f>'TAMIU FGD'!$H$33</f>
        <v>0</v>
      </c>
      <c r="I767" s="390">
        <f>'TAMIU FGD'!$I$33</f>
        <v>0</v>
      </c>
      <c r="J767" s="390">
        <f>'TAMIU FGD'!$J$33</f>
        <v>0</v>
      </c>
      <c r="K767" s="390">
        <f>'TAMIU FGD'!$K$33</f>
        <v>0</v>
      </c>
      <c r="L767" s="390">
        <f>'TAMIU FGD'!$L$33</f>
        <v>0</v>
      </c>
      <c r="M767" s="567">
        <f>'TAMIU FGD'!$M$33</f>
        <v>0</v>
      </c>
      <c r="N767" s="401"/>
    </row>
    <row r="768" spans="2:14" s="160" customFormat="1" ht="12.75" hidden="1" customHeight="1" outlineLevel="1">
      <c r="B768" s="674" t="str">
        <f>'TAMU FGD'!$B$2</f>
        <v>Texas A&amp;M University</v>
      </c>
      <c r="C768" s="261"/>
      <c r="D768" s="390">
        <f>'TAMU FGD'!$D$33</f>
        <v>-4</v>
      </c>
      <c r="E768" s="390">
        <f>'TAMU FGD'!$E$33</f>
        <v>-48776</v>
      </c>
      <c r="F768" s="390">
        <f>'TAMU FGD'!$F$33</f>
        <v>-71714</v>
      </c>
      <c r="G768" s="390">
        <f>'TAMU FGD'!$G$33</f>
        <v>0</v>
      </c>
      <c r="H768" s="390">
        <f>'TAMU FGD'!$H$33</f>
        <v>0</v>
      </c>
      <c r="I768" s="390">
        <f>'TAMU FGD'!$I$33</f>
        <v>0</v>
      </c>
      <c r="J768" s="390">
        <f>'TAMU FGD'!$J$33</f>
        <v>0</v>
      </c>
      <c r="K768" s="390">
        <f>'TAMU FGD'!$K$33</f>
        <v>0</v>
      </c>
      <c r="L768" s="390">
        <f>'TAMU FGD'!$L$33</f>
        <v>0</v>
      </c>
      <c r="M768" s="567">
        <f>'TAMU FGD'!$M$33</f>
        <v>-120494</v>
      </c>
      <c r="N768" s="401"/>
    </row>
    <row r="769" spans="2:14" s="160" customFormat="1" ht="12.75" hidden="1" customHeight="1" outlineLevel="1">
      <c r="B769" s="674" t="str">
        <f>'TAMUC FGD'!$B$2</f>
        <v>Texas A&amp;M University - Commerce</v>
      </c>
      <c r="C769" s="261"/>
      <c r="D769" s="390">
        <f>'TAMUC FGD'!$D$33</f>
        <v>0</v>
      </c>
      <c r="E769" s="390">
        <f>'TAMUC FGD'!$E$33</f>
        <v>0</v>
      </c>
      <c r="F769" s="390">
        <f>'TAMUC FGD'!$F$33</f>
        <v>0</v>
      </c>
      <c r="G769" s="390">
        <f>'TAMUC FGD'!$G$33</f>
        <v>0</v>
      </c>
      <c r="H769" s="390">
        <f>'TAMUC FGD'!$H$33</f>
        <v>0</v>
      </c>
      <c r="I769" s="390">
        <f>'TAMUC FGD'!$I$33</f>
        <v>0</v>
      </c>
      <c r="J769" s="390">
        <f>'TAMUC FGD'!$J$33</f>
        <v>0</v>
      </c>
      <c r="K769" s="390">
        <f>'TAMUC FGD'!$K$33</f>
        <v>0</v>
      </c>
      <c r="L769" s="390">
        <f>'TAMUC FGD'!$L$33</f>
        <v>0</v>
      </c>
      <c r="M769" s="567">
        <f>'TAMUC FGD'!$M$33</f>
        <v>0</v>
      </c>
      <c r="N769" s="401"/>
    </row>
    <row r="770" spans="2:14" s="160" customFormat="1" ht="12.75" hidden="1" customHeight="1" outlineLevel="1">
      <c r="B770" s="674" t="str">
        <f>'TAMUCC FGD'!$B$2</f>
        <v>Texas A&amp;M University - Corpus Christi</v>
      </c>
      <c r="C770" s="261"/>
      <c r="D770" s="390">
        <f>'TAMUCC FGD'!$D$33</f>
        <v>0</v>
      </c>
      <c r="E770" s="390">
        <f>'TAMUCC FGD'!$E$33</f>
        <v>0</v>
      </c>
      <c r="F770" s="390">
        <f>'TAMUCC FGD'!$F$33</f>
        <v>0</v>
      </c>
      <c r="G770" s="390">
        <f>'TAMUCC FGD'!$G$33</f>
        <v>0</v>
      </c>
      <c r="H770" s="390">
        <f>'TAMUCC FGD'!$H$33</f>
        <v>0</v>
      </c>
      <c r="I770" s="390">
        <f>'TAMUCC FGD'!$I$33</f>
        <v>0</v>
      </c>
      <c r="J770" s="390">
        <f>'TAMUCC FGD'!$J$33</f>
        <v>0</v>
      </c>
      <c r="K770" s="390">
        <f>'TAMUCC FGD'!$K$33</f>
        <v>0</v>
      </c>
      <c r="L770" s="390">
        <f>'TAMUCC FGD'!$L$33</f>
        <v>0</v>
      </c>
      <c r="M770" s="567">
        <f>'TAMUCC FGD'!$M$33</f>
        <v>0</v>
      </c>
      <c r="N770" s="401"/>
    </row>
    <row r="771" spans="2:14" s="160" customFormat="1" ht="12.75" hidden="1" customHeight="1" outlineLevel="1">
      <c r="B771" s="674" t="str">
        <f>'TAMUCT FGD'!$B$2</f>
        <v>Texas A&amp;M University - Central Texas</v>
      </c>
      <c r="C771" s="261"/>
      <c r="D771" s="390">
        <f>'TAMUCT FGD'!$D$33</f>
        <v>0</v>
      </c>
      <c r="E771" s="390">
        <f>'TAMUCT FGD'!$E$33</f>
        <v>0</v>
      </c>
      <c r="F771" s="390">
        <f>'TAMUCT FGD'!$F$33</f>
        <v>0</v>
      </c>
      <c r="G771" s="390">
        <f>'TAMUCT FGD'!$G$33</f>
        <v>0</v>
      </c>
      <c r="H771" s="390">
        <f>'TAMUCT FGD'!$H$33</f>
        <v>0</v>
      </c>
      <c r="I771" s="390">
        <f>'TAMUCT FGD'!$I$33</f>
        <v>0</v>
      </c>
      <c r="J771" s="390">
        <f>'TAMUCT FGD'!$J$33</f>
        <v>0</v>
      </c>
      <c r="K771" s="390">
        <f>'TAMUCT FGD'!$K$33</f>
        <v>0</v>
      </c>
      <c r="L771" s="390">
        <f>'TAMUCT FGD'!$L$33</f>
        <v>0</v>
      </c>
      <c r="M771" s="567">
        <f>'TAMUCT FGD'!$M$33</f>
        <v>0</v>
      </c>
      <c r="N771" s="401"/>
    </row>
    <row r="772" spans="2:14" s="160" customFormat="1" ht="12.75" hidden="1" customHeight="1" outlineLevel="1">
      <c r="B772" s="674" t="str">
        <f>'TAMUG FGD'!$B$2</f>
        <v>Texas A&amp;M University at Galveston</v>
      </c>
      <c r="C772" s="261"/>
      <c r="D772" s="390">
        <f>'TAMUG FGD'!$D$33</f>
        <v>-32</v>
      </c>
      <c r="E772" s="390">
        <f>'TAMUG FGD'!$E$33</f>
        <v>-5879</v>
      </c>
      <c r="F772" s="390">
        <f>'TAMUG FGD'!$F$33</f>
        <v>0</v>
      </c>
      <c r="G772" s="390">
        <f>'TAMUG FGD'!$G$33</f>
        <v>0</v>
      </c>
      <c r="H772" s="390">
        <f>'TAMUG FGD'!$H$33</f>
        <v>0</v>
      </c>
      <c r="I772" s="390">
        <f>'TAMUG FGD'!$I$33</f>
        <v>0</v>
      </c>
      <c r="J772" s="390">
        <f>'TAMUG FGD'!$J$33</f>
        <v>0</v>
      </c>
      <c r="K772" s="390">
        <f>'TAMUG FGD'!$K$33</f>
        <v>0</v>
      </c>
      <c r="L772" s="390">
        <f>'TAMUG FGD'!$L$33</f>
        <v>0</v>
      </c>
      <c r="M772" s="567">
        <f>'TAMUG FGD'!$M$33</f>
        <v>-5911</v>
      </c>
      <c r="N772" s="401"/>
    </row>
    <row r="773" spans="2:14" s="160" customFormat="1" ht="12.75" hidden="1" customHeight="1" outlineLevel="1">
      <c r="B773" s="674" t="str">
        <f>'TAMUK FGD'!$B$2</f>
        <v>Texas A&amp;M University - Kingsville</v>
      </c>
      <c r="C773" s="261"/>
      <c r="D773" s="390">
        <f>'TAMUK FGD'!$D$33</f>
        <v>0</v>
      </c>
      <c r="E773" s="390">
        <f>'TAMUK FGD'!$E$33</f>
        <v>0</v>
      </c>
      <c r="F773" s="390">
        <f>'TAMUK FGD'!$F$33</f>
        <v>0</v>
      </c>
      <c r="G773" s="390">
        <f>'TAMUK FGD'!$G$33</f>
        <v>0</v>
      </c>
      <c r="H773" s="390">
        <f>'TAMUK FGD'!$H$33</f>
        <v>0</v>
      </c>
      <c r="I773" s="390">
        <f>'TAMUK FGD'!$I$33</f>
        <v>0</v>
      </c>
      <c r="J773" s="390">
        <f>'TAMUK FGD'!$J$33</f>
        <v>0</v>
      </c>
      <c r="K773" s="390">
        <f>'TAMUK FGD'!$K$33</f>
        <v>0</v>
      </c>
      <c r="L773" s="390">
        <f>'TAMUK FGD'!$L$33</f>
        <v>0</v>
      </c>
      <c r="M773" s="567">
        <f>'TAMUK FGD'!$M$33</f>
        <v>0</v>
      </c>
      <c r="N773" s="401"/>
    </row>
    <row r="774" spans="2:14" s="160" customFormat="1" ht="12.75" hidden="1" customHeight="1" outlineLevel="1">
      <c r="B774" s="674" t="str">
        <f>'TAMUSA FGD'!$B$2</f>
        <v>Texas A&amp;M University - San Antonio</v>
      </c>
      <c r="C774" s="261"/>
      <c r="D774" s="390">
        <f>'TAMUSA FGD'!$D$33</f>
        <v>0</v>
      </c>
      <c r="E774" s="390">
        <f>'TAMUSA FGD'!$E$33</f>
        <v>0</v>
      </c>
      <c r="F774" s="390">
        <f>'TAMUSA FGD'!$F$33</f>
        <v>0</v>
      </c>
      <c r="G774" s="390">
        <f>'TAMUSA FGD'!$G$33</f>
        <v>0</v>
      </c>
      <c r="H774" s="390">
        <f>'TAMUSA FGD'!$H$33</f>
        <v>0</v>
      </c>
      <c r="I774" s="390">
        <f>'TAMUSA FGD'!$I$33</f>
        <v>0</v>
      </c>
      <c r="J774" s="390">
        <f>'TAMUSA FGD'!$J$33</f>
        <v>0</v>
      </c>
      <c r="K774" s="390">
        <f>'TAMUSA FGD'!$K$33</f>
        <v>0</v>
      </c>
      <c r="L774" s="390">
        <f>'TAMUSA FGD'!$L$33</f>
        <v>0</v>
      </c>
      <c r="M774" s="567">
        <f>'TAMUSA FGD'!$M$33</f>
        <v>0</v>
      </c>
      <c r="N774" s="401"/>
    </row>
    <row r="775" spans="2:14" s="160" customFormat="1" ht="12.75" hidden="1" customHeight="1" outlineLevel="1">
      <c r="B775" s="674" t="str">
        <f>'TAMUT FGD'!$B$2</f>
        <v>Texas A&amp;M University - Texarkana</v>
      </c>
      <c r="C775" s="261"/>
      <c r="D775" s="390">
        <f>'TAMUT FGD'!$D$33</f>
        <v>0</v>
      </c>
      <c r="E775" s="390">
        <f>'TAMUT FGD'!$E$33</f>
        <v>0</v>
      </c>
      <c r="F775" s="390">
        <f>'TAMUT FGD'!$F$33</f>
        <v>0</v>
      </c>
      <c r="G775" s="390">
        <f>'TAMUT FGD'!$G$33</f>
        <v>0</v>
      </c>
      <c r="H775" s="390">
        <f>'TAMUT FGD'!$H$33</f>
        <v>0</v>
      </c>
      <c r="I775" s="390">
        <f>'TAMUT FGD'!$I$33</f>
        <v>0</v>
      </c>
      <c r="J775" s="390">
        <f>'TAMUT FGD'!$J$33</f>
        <v>0</v>
      </c>
      <c r="K775" s="390">
        <f>'TAMUT FGD'!$K$33</f>
        <v>0</v>
      </c>
      <c r="L775" s="390">
        <f>'TAMUT FGD'!$L$33</f>
        <v>0</v>
      </c>
      <c r="M775" s="567">
        <f>'TAMUT FGD'!$M$33</f>
        <v>0</v>
      </c>
      <c r="N775" s="401"/>
    </row>
    <row r="776" spans="2:14" s="160" customFormat="1" ht="12.75" hidden="1" customHeight="1" outlineLevel="1">
      <c r="B776" s="674" t="str">
        <f>'TARLST FGD'!$B$2</f>
        <v>Tarleton State University</v>
      </c>
      <c r="C776" s="261"/>
      <c r="D776" s="390">
        <f>'TARLST FGD'!$D$33</f>
        <v>0</v>
      </c>
      <c r="E776" s="390">
        <f>'TARLST FGD'!$E$33</f>
        <v>0</v>
      </c>
      <c r="F776" s="390">
        <f>'TARLST FGD'!$F$33</f>
        <v>0</v>
      </c>
      <c r="G776" s="390">
        <f>'TARLST FGD'!$G$33</f>
        <v>0</v>
      </c>
      <c r="H776" s="390">
        <f>'TARLST FGD'!$H$33</f>
        <v>0</v>
      </c>
      <c r="I776" s="390">
        <f>'TARLST FGD'!$I$33</f>
        <v>0</v>
      </c>
      <c r="J776" s="390">
        <f>'TARLST FGD'!$J$33</f>
        <v>0</v>
      </c>
      <c r="K776" s="390">
        <f>'TARLST FGD'!$K$33</f>
        <v>0</v>
      </c>
      <c r="L776" s="390">
        <f>'TARLST FGD'!$L$33</f>
        <v>0</v>
      </c>
      <c r="M776" s="567">
        <f>'TARLST FGD'!$M$33</f>
        <v>0</v>
      </c>
      <c r="N776" s="401"/>
    </row>
    <row r="777" spans="2:14" s="160" customFormat="1" ht="12.75" hidden="1" customHeight="1" outlineLevel="1">
      <c r="B777" s="674" t="str">
        <f>'TSU FGD'!$B$2</f>
        <v>Texas Southern University</v>
      </c>
      <c r="C777" s="261"/>
      <c r="D777" s="390">
        <f>'TSU FGD'!$D$33</f>
        <v>0</v>
      </c>
      <c r="E777" s="390">
        <f>'TSU FGD'!$E$33</f>
        <v>0</v>
      </c>
      <c r="F777" s="390">
        <f>'TSU FGD'!$F$33</f>
        <v>0</v>
      </c>
      <c r="G777" s="390">
        <f>'TSU FGD'!$G$33</f>
        <v>0</v>
      </c>
      <c r="H777" s="390">
        <f>'TSU FGD'!$H$33</f>
        <v>0</v>
      </c>
      <c r="I777" s="390">
        <f>'TSU FGD'!$I$33</f>
        <v>0</v>
      </c>
      <c r="J777" s="390">
        <f>'TSU FGD'!$J$33</f>
        <v>0</v>
      </c>
      <c r="K777" s="390">
        <f>'TSU FGD'!$K$33</f>
        <v>0</v>
      </c>
      <c r="L777" s="390">
        <f>'TSU FGD'!$L$33</f>
        <v>0</v>
      </c>
      <c r="M777" s="567">
        <f>'TSU FGD'!$M$33</f>
        <v>0</v>
      </c>
      <c r="N777" s="401"/>
    </row>
    <row r="778" spans="2:14" s="160" customFormat="1" ht="12.75" hidden="1" customHeight="1" outlineLevel="1">
      <c r="B778" s="674" t="str">
        <f>'TTU FGD'!$B$2</f>
        <v>Texas Tech University</v>
      </c>
      <c r="C778" s="261"/>
      <c r="D778" s="390">
        <f>'TTU FGD'!$D$33</f>
        <v>0</v>
      </c>
      <c r="E778" s="390">
        <f>'TTU FGD'!$E$33</f>
        <v>0</v>
      </c>
      <c r="F778" s="390">
        <f>'TTU FGD'!$F$33</f>
        <v>0</v>
      </c>
      <c r="G778" s="390">
        <f>'TTU FGD'!$G$33</f>
        <v>0</v>
      </c>
      <c r="H778" s="390">
        <f>'TTU FGD'!$H$33</f>
        <v>0</v>
      </c>
      <c r="I778" s="390">
        <f>'TTU FGD'!$I$33</f>
        <v>0</v>
      </c>
      <c r="J778" s="390">
        <f>'TTU FGD'!$J$33</f>
        <v>0</v>
      </c>
      <c r="K778" s="390">
        <f>'TTU FGD'!$K$33</f>
        <v>0</v>
      </c>
      <c r="L778" s="390">
        <f>'TTU FGD'!$L$33</f>
        <v>0</v>
      </c>
      <c r="M778" s="567">
        <f>'TTU FGD'!$M$33</f>
        <v>0</v>
      </c>
      <c r="N778" s="401"/>
    </row>
    <row r="779" spans="2:14" s="160" customFormat="1" ht="12.75" hidden="1" customHeight="1" outlineLevel="1">
      <c r="B779" s="674" t="str">
        <f>'TWU FGD'!$B$2</f>
        <v>Texas Woman's University</v>
      </c>
      <c r="C779" s="261"/>
      <c r="D779" s="390">
        <f>'TWU FGD'!$D$33</f>
        <v>0</v>
      </c>
      <c r="E779" s="390">
        <f>'TWU FGD'!$E$33</f>
        <v>0</v>
      </c>
      <c r="F779" s="390">
        <f>'TWU FGD'!$F$33</f>
        <v>0</v>
      </c>
      <c r="G779" s="390">
        <f>'TWU FGD'!$G$33</f>
        <v>0</v>
      </c>
      <c r="H779" s="390">
        <f>'TWU FGD'!$H$33</f>
        <v>0</v>
      </c>
      <c r="I779" s="390">
        <f>'TWU FGD'!$I$33</f>
        <v>0</v>
      </c>
      <c r="J779" s="390">
        <f>'TWU FGD'!$J$33</f>
        <v>0</v>
      </c>
      <c r="K779" s="390">
        <f>'TWU FGD'!$K$33</f>
        <v>0</v>
      </c>
      <c r="L779" s="390">
        <f>'TWU FGD'!$L$33</f>
        <v>0</v>
      </c>
      <c r="M779" s="567">
        <f>'TWU FGD'!$M$33</f>
        <v>0</v>
      </c>
      <c r="N779" s="401"/>
    </row>
    <row r="780" spans="2:14" s="160" customFormat="1" ht="12.75" hidden="1" customHeight="1" outlineLevel="1">
      <c r="B780" s="674" t="str">
        <f>'TXST FGD'!$B$2</f>
        <v>Texas State University</v>
      </c>
      <c r="C780" s="261"/>
      <c r="D780" s="390">
        <f>'TXST FGD'!$D$33</f>
        <v>0</v>
      </c>
      <c r="E780" s="390">
        <f>'TXST FGD'!$E$33</f>
        <v>0</v>
      </c>
      <c r="F780" s="390">
        <f>'TXST FGD'!$F$33</f>
        <v>0</v>
      </c>
      <c r="G780" s="390">
        <f>'TXST FGD'!$G$33</f>
        <v>0</v>
      </c>
      <c r="H780" s="390">
        <f>'TXST FGD'!$H$33</f>
        <v>0</v>
      </c>
      <c r="I780" s="390">
        <f>'TXST FGD'!$I$33</f>
        <v>0</v>
      </c>
      <c r="J780" s="390">
        <f>'TXST FGD'!$J$33</f>
        <v>0</v>
      </c>
      <c r="K780" s="390">
        <f>'TXST FGD'!$K$33</f>
        <v>0</v>
      </c>
      <c r="L780" s="390">
        <f>'TXST FGD'!$L$33</f>
        <v>0</v>
      </c>
      <c r="M780" s="567">
        <f>'TXST FGD'!$M$33</f>
        <v>0</v>
      </c>
      <c r="N780" s="401"/>
    </row>
    <row r="781" spans="2:14" s="160" customFormat="1" ht="12.75" hidden="1" customHeight="1" outlineLevel="1">
      <c r="B781" s="674" t="str">
        <f>'TYL FGD'!$B$2</f>
        <v>The University of Texas at Tyler</v>
      </c>
      <c r="C781" s="261"/>
      <c r="D781" s="390">
        <f>'TYL FGD'!$D$33</f>
        <v>0</v>
      </c>
      <c r="E781" s="390">
        <f>'TYL FGD'!$E$33</f>
        <v>0</v>
      </c>
      <c r="F781" s="390">
        <f>'TYL FGD'!$F$33</f>
        <v>0</v>
      </c>
      <c r="G781" s="390">
        <f>'TYL FGD'!$G$33</f>
        <v>0</v>
      </c>
      <c r="H781" s="390">
        <f>'TYL FGD'!$H$33</f>
        <v>0</v>
      </c>
      <c r="I781" s="390">
        <f>'TYL FGD'!$I$33</f>
        <v>0</v>
      </c>
      <c r="J781" s="390">
        <f>'TYL FGD'!$J$33</f>
        <v>0</v>
      </c>
      <c r="K781" s="390">
        <f>'TYL FGD'!$K$33</f>
        <v>0</v>
      </c>
      <c r="L781" s="390">
        <f>'TYL FGD'!$L$33</f>
        <v>0</v>
      </c>
      <c r="M781" s="567">
        <f>'TYL FGD'!$M$33</f>
        <v>0</v>
      </c>
      <c r="N781" s="401"/>
    </row>
    <row r="782" spans="2:14" s="160" customFormat="1" ht="12.75" hidden="1" customHeight="1" outlineLevel="1">
      <c r="B782" s="674" t="str">
        <f>'UH1 FGD'!$B$2</f>
        <v>University of Houston - Academic &amp; Health (A+H)</v>
      </c>
      <c r="C782" s="261"/>
      <c r="D782" s="390">
        <f>'UH1 FGD'!$D$33</f>
        <v>0</v>
      </c>
      <c r="E782" s="390">
        <f>'UH1 FGD'!$E$33</f>
        <v>0</v>
      </c>
      <c r="F782" s="390">
        <f>'UH1 FGD'!$F$33</f>
        <v>0</v>
      </c>
      <c r="G782" s="390">
        <f>'UH1 FGD'!$G$33</f>
        <v>0</v>
      </c>
      <c r="H782" s="390">
        <f>'UH1 FGD'!$H$33</f>
        <v>0</v>
      </c>
      <c r="I782" s="390">
        <f>'UH1 FGD'!$I$33</f>
        <v>0</v>
      </c>
      <c r="J782" s="390">
        <f>'UH1 FGD'!$J$33</f>
        <v>0</v>
      </c>
      <c r="K782" s="390">
        <f>'UH1 FGD'!$K$33</f>
        <v>0</v>
      </c>
      <c r="L782" s="390">
        <f>'UH1 FGD'!$L$33</f>
        <v>0</v>
      </c>
      <c r="M782" s="567">
        <f>'UH1 FGD'!$M$33</f>
        <v>0</v>
      </c>
      <c r="N782" s="401"/>
    </row>
    <row r="783" spans="2:14" s="160" customFormat="1" ht="12.75" hidden="1" customHeight="1" outlineLevel="1">
      <c r="B783" s="674" t="str">
        <f>'UHCL FGD'!$B$2</f>
        <v>University of Houston - Clear Lake</v>
      </c>
      <c r="C783" s="261"/>
      <c r="D783" s="390">
        <f>'UHCL FGD'!$D$33</f>
        <v>0</v>
      </c>
      <c r="E783" s="390">
        <f>'UHCL FGD'!$E$33</f>
        <v>0</v>
      </c>
      <c r="F783" s="390">
        <f>'UHCL FGD'!$F$33</f>
        <v>0</v>
      </c>
      <c r="G783" s="390">
        <f>'UHCL FGD'!$G$33</f>
        <v>0</v>
      </c>
      <c r="H783" s="390">
        <f>'UHCL FGD'!$H$33</f>
        <v>0</v>
      </c>
      <c r="I783" s="390">
        <f>'UHCL FGD'!$I$33</f>
        <v>0</v>
      </c>
      <c r="J783" s="390">
        <f>'UHCL FGD'!$J$33</f>
        <v>0</v>
      </c>
      <c r="K783" s="390">
        <f>'UHCL FGD'!$K$33</f>
        <v>0</v>
      </c>
      <c r="L783" s="390">
        <f>'UHCL FGD'!$L$33</f>
        <v>0</v>
      </c>
      <c r="M783" s="567">
        <f>'UHCL FGD'!$M$33</f>
        <v>0</v>
      </c>
      <c r="N783" s="401"/>
    </row>
    <row r="784" spans="2:14" s="160" customFormat="1" ht="12.75" hidden="1" customHeight="1" outlineLevel="1">
      <c r="B784" s="674" t="str">
        <f>'UHD FGD'!$B$2</f>
        <v>University of Houston - Downtown</v>
      </c>
      <c r="C784" s="261"/>
      <c r="D784" s="390">
        <f>'UHD FGD'!$D$33</f>
        <v>0</v>
      </c>
      <c r="E784" s="390">
        <f>'UHD FGD'!$E$33</f>
        <v>0</v>
      </c>
      <c r="F784" s="390">
        <f>'UHD FGD'!$F$33</f>
        <v>0</v>
      </c>
      <c r="G784" s="390">
        <f>'UHD FGD'!$G$33</f>
        <v>0</v>
      </c>
      <c r="H784" s="390">
        <f>'UHD FGD'!$H$33</f>
        <v>0</v>
      </c>
      <c r="I784" s="390">
        <f>'UHD FGD'!$I$33</f>
        <v>0</v>
      </c>
      <c r="J784" s="390">
        <f>'UHD FGD'!$J$33</f>
        <v>0</v>
      </c>
      <c r="K784" s="390">
        <f>'UHD FGD'!$K$33</f>
        <v>0</v>
      </c>
      <c r="L784" s="390">
        <f>'UHD FGD'!$L$33</f>
        <v>0</v>
      </c>
      <c r="M784" s="567">
        <f>'UHD FGD'!$M$33</f>
        <v>0</v>
      </c>
      <c r="N784" s="401"/>
    </row>
    <row r="785" spans="2:14" s="160" customFormat="1" ht="12.75" hidden="1" customHeight="1" outlineLevel="1">
      <c r="B785" s="674" t="str">
        <f>'UHV FGD'!$B$2</f>
        <v>University of Houston - Victoria</v>
      </c>
      <c r="C785" s="261"/>
      <c r="D785" s="390">
        <f>'UHV FGD'!$D$33</f>
        <v>0</v>
      </c>
      <c r="E785" s="390">
        <f>'UHV FGD'!$E$33</f>
        <v>0</v>
      </c>
      <c r="F785" s="390">
        <f>'UHV FGD'!$F$33</f>
        <v>0</v>
      </c>
      <c r="G785" s="390">
        <f>'UHV FGD'!$G$33</f>
        <v>0</v>
      </c>
      <c r="H785" s="390">
        <f>'UHV FGD'!$H$33</f>
        <v>0</v>
      </c>
      <c r="I785" s="390">
        <f>'UHV FGD'!$I$33</f>
        <v>0</v>
      </c>
      <c r="J785" s="390">
        <f>'UHV FGD'!$J$33</f>
        <v>0</v>
      </c>
      <c r="K785" s="390">
        <f>'UHV FGD'!$K$33</f>
        <v>0</v>
      </c>
      <c r="L785" s="390">
        <f>'UHV FGD'!$L$33</f>
        <v>0</v>
      </c>
      <c r="M785" s="567">
        <f>'UHV FGD'!$M$33</f>
        <v>0</v>
      </c>
      <c r="N785" s="401"/>
    </row>
    <row r="786" spans="2:14" s="160" customFormat="1" ht="12.75" hidden="1" customHeight="1" outlineLevel="1">
      <c r="B786" s="674" t="str">
        <f>'UNT FGD'!$B$2</f>
        <v>University of North Texas</v>
      </c>
      <c r="C786" s="261"/>
      <c r="D786" s="390">
        <f>'UNT FGD'!$D$33</f>
        <v>0</v>
      </c>
      <c r="E786" s="390">
        <f>'UNT FGD'!$E$33</f>
        <v>0</v>
      </c>
      <c r="F786" s="390">
        <f>'UNT FGD'!$F$33</f>
        <v>0</v>
      </c>
      <c r="G786" s="390">
        <f>'UNT FGD'!$G$33</f>
        <v>0</v>
      </c>
      <c r="H786" s="390">
        <f>'UNT FGD'!$H$33</f>
        <v>0</v>
      </c>
      <c r="I786" s="390">
        <f>'UNT FGD'!$I$33</f>
        <v>0</v>
      </c>
      <c r="J786" s="390">
        <f>'UNT FGD'!$J$33</f>
        <v>0</v>
      </c>
      <c r="K786" s="390">
        <f>'UNT FGD'!$K$33</f>
        <v>0</v>
      </c>
      <c r="L786" s="390">
        <f>'UNT FGD'!$L$33</f>
        <v>0</v>
      </c>
      <c r="M786" s="567">
        <f>'UNT FGD'!$M$33</f>
        <v>0</v>
      </c>
      <c r="N786" s="401"/>
    </row>
    <row r="787" spans="2:14" s="160" customFormat="1" ht="12.75" hidden="1" customHeight="1" outlineLevel="1">
      <c r="B787" s="674" t="str">
        <f>'UNTD FGD'!$B$2</f>
        <v>University of North Texas at Dallas</v>
      </c>
      <c r="C787" s="261"/>
      <c r="D787" s="390">
        <f>'UNTD FGD'!$D$33</f>
        <v>0</v>
      </c>
      <c r="E787" s="390">
        <f>'UNTD FGD'!$E$33</f>
        <v>0</v>
      </c>
      <c r="F787" s="390">
        <f>'UNTD FGD'!$F$33</f>
        <v>0</v>
      </c>
      <c r="G787" s="390">
        <f>'UNTD FGD'!$G$33</f>
        <v>0</v>
      </c>
      <c r="H787" s="390">
        <f>'UNTD FGD'!$H$33</f>
        <v>0</v>
      </c>
      <c r="I787" s="390">
        <f>'UNTD FGD'!$I$33</f>
        <v>0</v>
      </c>
      <c r="J787" s="390">
        <f>'UNTD FGD'!$J$33</f>
        <v>0</v>
      </c>
      <c r="K787" s="390">
        <f>'UNTD FGD'!$K$33</f>
        <v>0</v>
      </c>
      <c r="L787" s="390">
        <f>'UNTD FGD'!$L$33</f>
        <v>0</v>
      </c>
      <c r="M787" s="567">
        <f>'UNTD FGD'!$M$33</f>
        <v>0</v>
      </c>
      <c r="N787" s="401"/>
    </row>
    <row r="788" spans="2:14" s="160" customFormat="1" ht="12.75" hidden="1" customHeight="1" outlineLevel="1">
      <c r="B788" s="674" t="str">
        <f>'WTAMU FGD'!$B$2</f>
        <v>West Texas A&amp;M University</v>
      </c>
      <c r="C788" s="261"/>
      <c r="D788" s="390">
        <f>'WTAMU FGD'!$D$33</f>
        <v>0</v>
      </c>
      <c r="E788" s="390">
        <f>'WTAMU FGD'!$E$33</f>
        <v>0</v>
      </c>
      <c r="F788" s="390">
        <f>'WTAMU FGD'!$F$33</f>
        <v>0</v>
      </c>
      <c r="G788" s="390">
        <f>'WTAMU FGD'!$G$33</f>
        <v>0</v>
      </c>
      <c r="H788" s="390">
        <f>'WTAMU FGD'!$H$33</f>
        <v>0</v>
      </c>
      <c r="I788" s="390">
        <f>'WTAMU FGD'!$I$33</f>
        <v>0</v>
      </c>
      <c r="J788" s="390">
        <f>'WTAMU FGD'!$J$33</f>
        <v>0</v>
      </c>
      <c r="K788" s="390">
        <f>'WTAMU FGD'!$K$33</f>
        <v>0</v>
      </c>
      <c r="L788" s="390">
        <f>'WTAMU FGD'!$L$33</f>
        <v>0</v>
      </c>
      <c r="M788" s="567">
        <f>'WTAMU FGD'!$M$33</f>
        <v>0</v>
      </c>
      <c r="N788" s="401"/>
    </row>
    <row r="789" spans="2:14" s="160" customFormat="1" collapsed="1">
      <c r="B789" s="261" t="s">
        <v>723</v>
      </c>
      <c r="C789" s="261"/>
      <c r="D789" s="390">
        <f t="shared" ref="D789:M789" si="20">SUM(D753:D788)</f>
        <v>-36</v>
      </c>
      <c r="E789" s="390">
        <f t="shared" si="20"/>
        <v>-54655</v>
      </c>
      <c r="F789" s="390">
        <f t="shared" si="20"/>
        <v>-71714</v>
      </c>
      <c r="G789" s="390">
        <f t="shared" si="20"/>
        <v>0</v>
      </c>
      <c r="H789" s="390">
        <f t="shared" si="20"/>
        <v>0</v>
      </c>
      <c r="I789" s="390">
        <f t="shared" si="20"/>
        <v>0</v>
      </c>
      <c r="J789" s="390">
        <f t="shared" si="20"/>
        <v>0</v>
      </c>
      <c r="K789" s="390">
        <f t="shared" si="20"/>
        <v>0</v>
      </c>
      <c r="L789" s="390">
        <f t="shared" si="20"/>
        <v>0</v>
      </c>
      <c r="M789" s="567">
        <f t="shared" si="20"/>
        <v>-126405</v>
      </c>
      <c r="N789" s="401"/>
    </row>
    <row r="790" spans="2:14" s="160" customFormat="1" ht="12.75" hidden="1" customHeight="1" outlineLevel="1">
      <c r="B790" s="674" t="str">
        <f>'ARL FGD'!$B$2</f>
        <v>The University of Texas at Arlington</v>
      </c>
      <c r="C790" s="261"/>
      <c r="D790" s="390">
        <f>'ARL FGD'!$D$34</f>
        <v>0</v>
      </c>
      <c r="E790" s="390">
        <f>'ARL FGD'!$E$34</f>
        <v>0</v>
      </c>
      <c r="F790" s="390">
        <f>'ARL FGD'!$F$34</f>
        <v>0</v>
      </c>
      <c r="G790" s="390">
        <f>'ARL FGD'!$G$34</f>
        <v>0</v>
      </c>
      <c r="H790" s="390">
        <f>'ARL FGD'!$H$34</f>
        <v>0</v>
      </c>
      <c r="I790" s="390">
        <f>'ARL FGD'!$I$34</f>
        <v>0</v>
      </c>
      <c r="J790" s="390">
        <f>'ARL FGD'!$J$34</f>
        <v>0</v>
      </c>
      <c r="K790" s="390">
        <f>'ARL FGD'!$K$34</f>
        <v>0</v>
      </c>
      <c r="L790" s="390">
        <f>'ARL FGD'!$L$34</f>
        <v>0</v>
      </c>
      <c r="M790" s="567">
        <f>'ARL FGD'!$M$34</f>
        <v>0</v>
      </c>
      <c r="N790" s="401"/>
    </row>
    <row r="791" spans="2:14" s="160" customFormat="1" ht="12.75" hidden="1" customHeight="1" outlineLevel="1">
      <c r="B791" s="674" t="str">
        <f>'ASU FGD'!$B$2</f>
        <v>Angelo State University</v>
      </c>
      <c r="C791" s="261"/>
      <c r="D791" s="390">
        <f>'ASU FGD'!$D$34</f>
        <v>0</v>
      </c>
      <c r="E791" s="390">
        <f>'ASU FGD'!$E$34</f>
        <v>0</v>
      </c>
      <c r="F791" s="390">
        <f>'ASU FGD'!$F$34</f>
        <v>0</v>
      </c>
      <c r="G791" s="390">
        <f>'ASU FGD'!$G$34</f>
        <v>0</v>
      </c>
      <c r="H791" s="390">
        <f>'ASU FGD'!$H$34</f>
        <v>0</v>
      </c>
      <c r="I791" s="390">
        <f>'ASU FGD'!$I$34</f>
        <v>0</v>
      </c>
      <c r="J791" s="390">
        <f>'ASU FGD'!$J$34</f>
        <v>0</v>
      </c>
      <c r="K791" s="390">
        <f>'ASU FGD'!$K$34</f>
        <v>0</v>
      </c>
      <c r="L791" s="390">
        <f>'ASU FGD'!$L$34</f>
        <v>0</v>
      </c>
      <c r="M791" s="567">
        <f>'ASU FGD'!$M$34</f>
        <v>0</v>
      </c>
      <c r="N791" s="401"/>
    </row>
    <row r="792" spans="2:14" s="160" customFormat="1" ht="12.75" hidden="1" customHeight="1" outlineLevel="1">
      <c r="B792" s="674" t="str">
        <f>'AUS1 FGD'!$B$2</f>
        <v>The University of Texas at Austin - Academic &amp; Health (A+H)</v>
      </c>
      <c r="C792" s="261"/>
      <c r="D792" s="390">
        <f>'AUS1 FGD'!$D$34</f>
        <v>0</v>
      </c>
      <c r="E792" s="390">
        <f>'AUS1 FGD'!$E$34</f>
        <v>0</v>
      </c>
      <c r="F792" s="390">
        <f>'AUS1 FGD'!$F$34</f>
        <v>0</v>
      </c>
      <c r="G792" s="390">
        <f>'AUS1 FGD'!$G$34</f>
        <v>0</v>
      </c>
      <c r="H792" s="390">
        <f>'AUS1 FGD'!$H$34</f>
        <v>0</v>
      </c>
      <c r="I792" s="390">
        <f>'AUS1 FGD'!$I$34</f>
        <v>0</v>
      </c>
      <c r="J792" s="390">
        <f>'AUS1 FGD'!$J$34</f>
        <v>0</v>
      </c>
      <c r="K792" s="390">
        <f>'AUS1 FGD'!$K$34</f>
        <v>0</v>
      </c>
      <c r="L792" s="390">
        <f>'AUS1 FGD'!$L$34</f>
        <v>0</v>
      </c>
      <c r="M792" s="567">
        <f>'AUS1 FGD'!$M$34</f>
        <v>0</v>
      </c>
      <c r="N792" s="401"/>
    </row>
    <row r="793" spans="2:14" s="160" customFormat="1" ht="12.75" hidden="1" customHeight="1" outlineLevel="1">
      <c r="B793" s="674" t="str">
        <f>'RGV1 FGD'!$B$2</f>
        <v>The University of Texas RGV - Academic &amp; Health (A+H)</v>
      </c>
      <c r="C793" s="261"/>
      <c r="D793" s="390">
        <f>'RGV1 FGD'!$D$34</f>
        <v>0</v>
      </c>
      <c r="E793" s="390">
        <f>'RGV1 FGD'!$E$34</f>
        <v>0</v>
      </c>
      <c r="F793" s="390">
        <f>'RGV1 FGD'!$F$34</f>
        <v>0</v>
      </c>
      <c r="G793" s="390">
        <f>'RGV1 FGD'!$G$34</f>
        <v>0</v>
      </c>
      <c r="H793" s="390">
        <f>'RGV1 FGD'!$H$34</f>
        <v>0</v>
      </c>
      <c r="I793" s="390">
        <f>'RGV1 FGD'!$I$34</f>
        <v>0</v>
      </c>
      <c r="J793" s="390">
        <f>'RGV1 FGD'!$J$34</f>
        <v>0</v>
      </c>
      <c r="K793" s="390">
        <f>'RGV1 FGD'!$K$34</f>
        <v>0</v>
      </c>
      <c r="L793" s="390">
        <f>'RGV1 FGD'!$L$34</f>
        <v>0</v>
      </c>
      <c r="M793" s="567">
        <f>'RGV1 FGD'!$M$34</f>
        <v>0</v>
      </c>
      <c r="N793" s="401"/>
    </row>
    <row r="794" spans="2:14" s="160" customFormat="1" ht="12.75" hidden="1" customHeight="1" outlineLevel="1">
      <c r="B794" s="674" t="str">
        <f>'DAL FGD'!$B$2</f>
        <v>The University of Texas at Dallas</v>
      </c>
      <c r="C794" s="261"/>
      <c r="D794" s="390">
        <f>'DAL FGD'!$D$34</f>
        <v>0</v>
      </c>
      <c r="E794" s="390">
        <f>'DAL FGD'!$E$34</f>
        <v>0</v>
      </c>
      <c r="F794" s="390">
        <f>'DAL FGD'!$F$34</f>
        <v>1157</v>
      </c>
      <c r="G794" s="390">
        <f>'DAL FGD'!$G$34</f>
        <v>0</v>
      </c>
      <c r="H794" s="390">
        <f>'DAL FGD'!$H$34</f>
        <v>0</v>
      </c>
      <c r="I794" s="390">
        <f>'DAL FGD'!$I$34</f>
        <v>0</v>
      </c>
      <c r="J794" s="390">
        <f>'DAL FGD'!$J$34</f>
        <v>0</v>
      </c>
      <c r="K794" s="390">
        <f>'DAL FGD'!$K$34</f>
        <v>0</v>
      </c>
      <c r="L794" s="390">
        <f>'DAL FGD'!$L$34</f>
        <v>0</v>
      </c>
      <c r="M794" s="567">
        <f>'DAL FGD'!$M$34</f>
        <v>1157</v>
      </c>
      <c r="N794" s="401"/>
    </row>
    <row r="795" spans="2:14" s="160" customFormat="1" ht="12.75" hidden="1" customHeight="1" outlineLevel="1">
      <c r="B795" s="674" t="str">
        <f>'E-P FGD'!$B$2</f>
        <v>The University of Texas at El Paso</v>
      </c>
      <c r="C795" s="261"/>
      <c r="D795" s="390">
        <f>'E-P FGD'!$D$34</f>
        <v>0</v>
      </c>
      <c r="E795" s="390">
        <f>'E-P FGD'!$E$34</f>
        <v>0</v>
      </c>
      <c r="F795" s="390">
        <f>'E-P FGD'!$F$34</f>
        <v>0</v>
      </c>
      <c r="G795" s="390">
        <f>'E-P FGD'!$G$34</f>
        <v>0</v>
      </c>
      <c r="H795" s="390">
        <f>'E-P FGD'!$H$34</f>
        <v>0</v>
      </c>
      <c r="I795" s="390">
        <f>'E-P FGD'!$I$34</f>
        <v>0</v>
      </c>
      <c r="J795" s="390">
        <f>'E-P FGD'!$J$34</f>
        <v>0</v>
      </c>
      <c r="K795" s="390">
        <f>'E-P FGD'!$K$34</f>
        <v>0</v>
      </c>
      <c r="L795" s="390">
        <f>'E-P FGD'!$L$34</f>
        <v>0</v>
      </c>
      <c r="M795" s="567">
        <f>'E-P FGD'!$M$34</f>
        <v>0</v>
      </c>
      <c r="N795" s="401"/>
    </row>
    <row r="796" spans="2:14" s="160" customFormat="1" ht="12.75" hidden="1" customHeight="1" outlineLevel="1">
      <c r="B796" s="674" t="str">
        <f>'LU FGD'!$B$2</f>
        <v xml:space="preserve">Lamar University </v>
      </c>
      <c r="C796" s="261"/>
      <c r="D796" s="390">
        <f>'LU FGD'!$D$34</f>
        <v>0</v>
      </c>
      <c r="E796" s="390">
        <f>'LU FGD'!$E$34</f>
        <v>0</v>
      </c>
      <c r="F796" s="390">
        <f>'LU FGD'!$F$34</f>
        <v>0</v>
      </c>
      <c r="G796" s="390">
        <f>'LU FGD'!$G$34</f>
        <v>0</v>
      </c>
      <c r="H796" s="390">
        <f>'LU FGD'!$H$34</f>
        <v>0</v>
      </c>
      <c r="I796" s="390">
        <f>'LU FGD'!$I$34</f>
        <v>0</v>
      </c>
      <c r="J796" s="390">
        <f>'LU FGD'!$J$34</f>
        <v>0</v>
      </c>
      <c r="K796" s="390">
        <f>'LU FGD'!$K$34</f>
        <v>0</v>
      </c>
      <c r="L796" s="390">
        <f>'LU FGD'!$L$34</f>
        <v>0</v>
      </c>
      <c r="M796" s="567">
        <f>'LU FGD'!$M$34</f>
        <v>0</v>
      </c>
      <c r="N796" s="401"/>
    </row>
    <row r="797" spans="2:14" s="160" customFormat="1" ht="12.75" hidden="1" customHeight="1" outlineLevel="1">
      <c r="B797" s="674" t="str">
        <f>'MidWST FGD'!$B$2</f>
        <v>Midwestern State University</v>
      </c>
      <c r="C797" s="261"/>
      <c r="D797" s="390">
        <f>'MidWST FGD'!$D$34</f>
        <v>0</v>
      </c>
      <c r="E797" s="390">
        <f>'MidWST FGD'!$E$34</f>
        <v>0</v>
      </c>
      <c r="F797" s="390">
        <f>'MidWST FGD'!$F$34</f>
        <v>0</v>
      </c>
      <c r="G797" s="390">
        <f>'MidWST FGD'!$G$34</f>
        <v>0</v>
      </c>
      <c r="H797" s="390">
        <f>'MidWST FGD'!$H$34</f>
        <v>0</v>
      </c>
      <c r="I797" s="390">
        <f>'MidWST FGD'!$I$34</f>
        <v>0</v>
      </c>
      <c r="J797" s="390">
        <f>'MidWST FGD'!$J$34</f>
        <v>0</v>
      </c>
      <c r="K797" s="390">
        <f>'MidWST FGD'!$K$34</f>
        <v>0</v>
      </c>
      <c r="L797" s="390">
        <f>'MidWST FGD'!$L$34</f>
        <v>0</v>
      </c>
      <c r="M797" s="567">
        <f>'MidWST FGD'!$M$34</f>
        <v>0</v>
      </c>
      <c r="N797" s="401"/>
    </row>
    <row r="798" spans="2:14" s="160" customFormat="1" ht="12.75" hidden="1" customHeight="1" outlineLevel="1">
      <c r="B798" s="674" t="str">
        <f>'P-B FGD'!$B$2</f>
        <v>The University of Texas of the Permian Basin</v>
      </c>
      <c r="C798" s="261"/>
      <c r="D798" s="390">
        <f>'P-B FGD'!$D$34</f>
        <v>0</v>
      </c>
      <c r="E798" s="390">
        <f>'P-B FGD'!$E$34</f>
        <v>0</v>
      </c>
      <c r="F798" s="390">
        <f>'P-B FGD'!$F$34</f>
        <v>0</v>
      </c>
      <c r="G798" s="390">
        <f>'P-B FGD'!$G$34</f>
        <v>0</v>
      </c>
      <c r="H798" s="390">
        <f>'P-B FGD'!$H$34</f>
        <v>0</v>
      </c>
      <c r="I798" s="390">
        <f>'P-B FGD'!$I$34</f>
        <v>0</v>
      </c>
      <c r="J798" s="390">
        <f>'P-B FGD'!$J$34</f>
        <v>0</v>
      </c>
      <c r="K798" s="390">
        <f>'P-B FGD'!$K$34</f>
        <v>0</v>
      </c>
      <c r="L798" s="390">
        <f>'P-B FGD'!$L$34</f>
        <v>0</v>
      </c>
      <c r="M798" s="567">
        <f>'P-B FGD'!$M$34</f>
        <v>0</v>
      </c>
      <c r="N798" s="401"/>
    </row>
    <row r="799" spans="2:14" s="160" customFormat="1" ht="12.75" hidden="1" customHeight="1" outlineLevel="1">
      <c r="B799" s="674" t="str">
        <f>'PVAMU FGD'!$B$2</f>
        <v>Prairie View A&amp;M University</v>
      </c>
      <c r="C799" s="261"/>
      <c r="D799" s="390">
        <f>'PVAMU FGD'!$D$34</f>
        <v>0</v>
      </c>
      <c r="E799" s="390">
        <f>'PVAMU FGD'!$E$34</f>
        <v>0</v>
      </c>
      <c r="F799" s="390">
        <f>'PVAMU FGD'!$F$34</f>
        <v>0</v>
      </c>
      <c r="G799" s="390">
        <f>'PVAMU FGD'!$G$34</f>
        <v>0</v>
      </c>
      <c r="H799" s="390">
        <f>'PVAMU FGD'!$H$34</f>
        <v>0</v>
      </c>
      <c r="I799" s="390">
        <f>'PVAMU FGD'!$I$34</f>
        <v>0</v>
      </c>
      <c r="J799" s="390">
        <f>'PVAMU FGD'!$J$34</f>
        <v>0</v>
      </c>
      <c r="K799" s="390">
        <f>'PVAMU FGD'!$K$34</f>
        <v>0</v>
      </c>
      <c r="L799" s="390">
        <f>'PVAMU FGD'!$L$34</f>
        <v>0</v>
      </c>
      <c r="M799" s="567">
        <f>'PVAMU FGD'!$M$34</f>
        <v>0</v>
      </c>
      <c r="N799" s="401"/>
    </row>
    <row r="800" spans="2:14" s="160" customFormat="1" ht="12.75" hidden="1" customHeight="1" outlineLevel="1">
      <c r="B800" s="674" t="str">
        <f>'S-A FGD'!$B$2</f>
        <v>The University of Texas at San Antonio</v>
      </c>
      <c r="C800" s="261"/>
      <c r="D800" s="390">
        <f>'S-A FGD'!$D$34</f>
        <v>0</v>
      </c>
      <c r="E800" s="390">
        <f>'S-A FGD'!$E$34</f>
        <v>0</v>
      </c>
      <c r="F800" s="390">
        <f>'S-A FGD'!$F$34</f>
        <v>0</v>
      </c>
      <c r="G800" s="390">
        <f>'S-A FGD'!$G$34</f>
        <v>0</v>
      </c>
      <c r="H800" s="390">
        <f>'S-A FGD'!$H$34</f>
        <v>0</v>
      </c>
      <c r="I800" s="390">
        <f>'S-A FGD'!$I$34</f>
        <v>0</v>
      </c>
      <c r="J800" s="390">
        <f>'S-A FGD'!$J$34</f>
        <v>0</v>
      </c>
      <c r="K800" s="390">
        <f>'S-A FGD'!$K$34</f>
        <v>0</v>
      </c>
      <c r="L800" s="390">
        <f>'S-A FGD'!$L$34</f>
        <v>0</v>
      </c>
      <c r="M800" s="567">
        <f>'S-A FGD'!$M$34</f>
        <v>0</v>
      </c>
      <c r="N800" s="401"/>
    </row>
    <row r="801" spans="2:14" s="160" customFormat="1" ht="12.75" hidden="1" customHeight="1" outlineLevel="1">
      <c r="B801" s="674" t="str">
        <f>'SFA FGD'!$B$2</f>
        <v>Stephen F. Austin State University</v>
      </c>
      <c r="C801" s="261"/>
      <c r="D801" s="390">
        <f>'SFA FGD'!$D$34</f>
        <v>0</v>
      </c>
      <c r="E801" s="390">
        <f>'SFA FGD'!$E$34</f>
        <v>0</v>
      </c>
      <c r="F801" s="390">
        <f>'SFA FGD'!$F$34</f>
        <v>0</v>
      </c>
      <c r="G801" s="390">
        <f>'SFA FGD'!$G$34</f>
        <v>0</v>
      </c>
      <c r="H801" s="390">
        <f>'SFA FGD'!$H$34</f>
        <v>0</v>
      </c>
      <c r="I801" s="390">
        <f>'SFA FGD'!$I$34</f>
        <v>0</v>
      </c>
      <c r="J801" s="390">
        <f>'SFA FGD'!$J$34</f>
        <v>0</v>
      </c>
      <c r="K801" s="390">
        <f>'SFA FGD'!$K$34</f>
        <v>0</v>
      </c>
      <c r="L801" s="390">
        <f>'SFA FGD'!$L$34</f>
        <v>0</v>
      </c>
      <c r="M801" s="567">
        <f>'SFA FGD'!$M$34</f>
        <v>0</v>
      </c>
      <c r="N801" s="401"/>
    </row>
    <row r="802" spans="2:14" s="160" customFormat="1" ht="12.75" hidden="1" customHeight="1" outlineLevel="1">
      <c r="B802" s="674" t="str">
        <f>'shsu1 FGD'!$B$2</f>
        <v>Sam Houston State University - Academic &amp; Health (A+H)</v>
      </c>
      <c r="C802" s="261"/>
      <c r="D802" s="390">
        <f>'shsu1 FGD'!$D$34</f>
        <v>0</v>
      </c>
      <c r="E802" s="390">
        <f>'shsu1 FGD'!$E$34</f>
        <v>0</v>
      </c>
      <c r="F802" s="390">
        <f>'shsu1 FGD'!$F$34</f>
        <v>0</v>
      </c>
      <c r="G802" s="390">
        <f>'shsu1 FGD'!$G$34</f>
        <v>0</v>
      </c>
      <c r="H802" s="390">
        <f>'shsu1 FGD'!$H$34</f>
        <v>0</v>
      </c>
      <c r="I802" s="390">
        <f>'shsu1 FGD'!$I$34</f>
        <v>0</v>
      </c>
      <c r="J802" s="390">
        <f>'shsu1 FGD'!$J$34</f>
        <v>0</v>
      </c>
      <c r="K802" s="390">
        <f>'shsu1 FGD'!$K$34</f>
        <v>0</v>
      </c>
      <c r="L802" s="390">
        <f>'shsu1 FGD'!$L$34</f>
        <v>0</v>
      </c>
      <c r="M802" s="567">
        <f>'shsu1 FGD'!$M$34</f>
        <v>0</v>
      </c>
      <c r="N802" s="401"/>
    </row>
    <row r="803" spans="2:14" s="160" customFormat="1" ht="12.75" hidden="1" customHeight="1" outlineLevel="1">
      <c r="B803" s="674" t="str">
        <f>'SRSU FGD'!$B$2</f>
        <v>Sul Ross State University</v>
      </c>
      <c r="C803" s="261"/>
      <c r="D803" s="390">
        <f>'SRSU FGD'!$D$34</f>
        <v>0</v>
      </c>
      <c r="E803" s="390">
        <f>'SRSU FGD'!$E$34</f>
        <v>0</v>
      </c>
      <c r="F803" s="390">
        <f>'SRSU FGD'!$F$34</f>
        <v>0</v>
      </c>
      <c r="G803" s="390">
        <f>'SRSU FGD'!$G$34</f>
        <v>0</v>
      </c>
      <c r="H803" s="390">
        <f>'SRSU FGD'!$H$34</f>
        <v>0</v>
      </c>
      <c r="I803" s="390">
        <f>'SRSU FGD'!$I$34</f>
        <v>0</v>
      </c>
      <c r="J803" s="390">
        <f>'SRSU FGD'!$J$34</f>
        <v>0</v>
      </c>
      <c r="K803" s="390">
        <f>'SRSU FGD'!$K$34</f>
        <v>0</v>
      </c>
      <c r="L803" s="390">
        <f>'SRSU FGD'!$L$34</f>
        <v>0</v>
      </c>
      <c r="M803" s="567">
        <f>'SRSU FGD'!$M$34</f>
        <v>0</v>
      </c>
      <c r="N803" s="401"/>
    </row>
    <row r="804" spans="2:14" s="160" customFormat="1" ht="12.75" hidden="1" customHeight="1" outlineLevel="1">
      <c r="B804" s="674" t="str">
        <f>'TAMIU FGD'!$B$2</f>
        <v>Texas A&amp;M International University</v>
      </c>
      <c r="C804" s="261"/>
      <c r="D804" s="390">
        <f>'TAMIU FGD'!$D$34</f>
        <v>0</v>
      </c>
      <c r="E804" s="390">
        <f>'TAMIU FGD'!$E$34</f>
        <v>-785140</v>
      </c>
      <c r="F804" s="390">
        <f>'TAMIU FGD'!$F$34</f>
        <v>-1236632</v>
      </c>
      <c r="G804" s="390">
        <f>'TAMIU FGD'!$G$34</f>
        <v>0</v>
      </c>
      <c r="H804" s="390">
        <f>'TAMIU FGD'!$H$34</f>
        <v>0</v>
      </c>
      <c r="I804" s="390">
        <f>'TAMIU FGD'!$I$34</f>
        <v>0</v>
      </c>
      <c r="J804" s="390">
        <f>'TAMIU FGD'!$J$34</f>
        <v>0</v>
      </c>
      <c r="K804" s="390">
        <f>'TAMIU FGD'!$K$34</f>
        <v>0</v>
      </c>
      <c r="L804" s="390">
        <f>'TAMIU FGD'!$L$34</f>
        <v>0</v>
      </c>
      <c r="M804" s="567">
        <f>'TAMIU FGD'!$M$34</f>
        <v>-2021772</v>
      </c>
      <c r="N804" s="401"/>
    </row>
    <row r="805" spans="2:14" s="160" customFormat="1" ht="12.75" hidden="1" customHeight="1" outlineLevel="1">
      <c r="B805" s="674" t="str">
        <f>'TAMU FGD'!$B$2</f>
        <v>Texas A&amp;M University</v>
      </c>
      <c r="C805" s="261"/>
      <c r="D805" s="390">
        <f>'TAMU FGD'!$D$34</f>
        <v>0</v>
      </c>
      <c r="E805" s="390">
        <f>'TAMU FGD'!$E$34</f>
        <v>0</v>
      </c>
      <c r="F805" s="390">
        <f>'TAMU FGD'!$F$34</f>
        <v>0</v>
      </c>
      <c r="G805" s="390">
        <f>'TAMU FGD'!$G$34</f>
        <v>0</v>
      </c>
      <c r="H805" s="390">
        <f>'TAMU FGD'!$H$34</f>
        <v>0</v>
      </c>
      <c r="I805" s="390">
        <f>'TAMU FGD'!$I$34</f>
        <v>0</v>
      </c>
      <c r="J805" s="390">
        <f>'TAMU FGD'!$J$34</f>
        <v>0</v>
      </c>
      <c r="K805" s="390">
        <f>'TAMU FGD'!$K$34</f>
        <v>0</v>
      </c>
      <c r="L805" s="390">
        <f>'TAMU FGD'!$L$34</f>
        <v>0</v>
      </c>
      <c r="M805" s="567">
        <f>'TAMU FGD'!$M$34</f>
        <v>0</v>
      </c>
      <c r="N805" s="401"/>
    </row>
    <row r="806" spans="2:14" s="160" customFormat="1" ht="12.75" hidden="1" customHeight="1" outlineLevel="1">
      <c r="B806" s="674" t="str">
        <f>'TAMUC FGD'!$B$2</f>
        <v>Texas A&amp;M University - Commerce</v>
      </c>
      <c r="C806" s="261"/>
      <c r="D806" s="390">
        <f>'TAMUC FGD'!$D$34</f>
        <v>0</v>
      </c>
      <c r="E806" s="390">
        <f>'TAMUC FGD'!$E$34</f>
        <v>0</v>
      </c>
      <c r="F806" s="390">
        <f>'TAMUC FGD'!$F$34</f>
        <v>0</v>
      </c>
      <c r="G806" s="390">
        <f>'TAMUC FGD'!$G$34</f>
        <v>0</v>
      </c>
      <c r="H806" s="390">
        <f>'TAMUC FGD'!$H$34</f>
        <v>0</v>
      </c>
      <c r="I806" s="390">
        <f>'TAMUC FGD'!$I$34</f>
        <v>0</v>
      </c>
      <c r="J806" s="390">
        <f>'TAMUC FGD'!$J$34</f>
        <v>0</v>
      </c>
      <c r="K806" s="390">
        <f>'TAMUC FGD'!$K$34</f>
        <v>0</v>
      </c>
      <c r="L806" s="390">
        <f>'TAMUC FGD'!$L$34</f>
        <v>0</v>
      </c>
      <c r="M806" s="567">
        <f>'TAMUC FGD'!$M$34</f>
        <v>0</v>
      </c>
      <c r="N806" s="401"/>
    </row>
    <row r="807" spans="2:14" s="160" customFormat="1" ht="12.75" hidden="1" customHeight="1" outlineLevel="1">
      <c r="B807" s="674" t="str">
        <f>'TAMUCC FGD'!$B$2</f>
        <v>Texas A&amp;M University - Corpus Christi</v>
      </c>
      <c r="C807" s="261"/>
      <c r="D807" s="390">
        <f>'TAMUCC FGD'!$D$34</f>
        <v>0</v>
      </c>
      <c r="E807" s="390">
        <f>'TAMUCC FGD'!$E$34</f>
        <v>0</v>
      </c>
      <c r="F807" s="390">
        <f>'TAMUCC FGD'!$F$34</f>
        <v>0</v>
      </c>
      <c r="G807" s="390">
        <f>'TAMUCC FGD'!$G$34</f>
        <v>0</v>
      </c>
      <c r="H807" s="390">
        <f>'TAMUCC FGD'!$H$34</f>
        <v>0</v>
      </c>
      <c r="I807" s="390">
        <f>'TAMUCC FGD'!$I$34</f>
        <v>0</v>
      </c>
      <c r="J807" s="390">
        <f>'TAMUCC FGD'!$J$34</f>
        <v>0</v>
      </c>
      <c r="K807" s="390">
        <f>'TAMUCC FGD'!$K$34</f>
        <v>0</v>
      </c>
      <c r="L807" s="390">
        <f>'TAMUCC FGD'!$L$34</f>
        <v>0</v>
      </c>
      <c r="M807" s="567">
        <f>'TAMUCC FGD'!$M$34</f>
        <v>0</v>
      </c>
      <c r="N807" s="401"/>
    </row>
    <row r="808" spans="2:14" s="160" customFormat="1" ht="12.75" hidden="1" customHeight="1" outlineLevel="1">
      <c r="B808" s="674" t="str">
        <f>'TAMUCT FGD'!$B$2</f>
        <v>Texas A&amp;M University - Central Texas</v>
      </c>
      <c r="C808" s="261"/>
      <c r="D808" s="390">
        <f>'TAMUCT FGD'!$D$34</f>
        <v>0</v>
      </c>
      <c r="E808" s="390">
        <f>'TAMUCT FGD'!$E$34</f>
        <v>0</v>
      </c>
      <c r="F808" s="390">
        <f>'TAMUCT FGD'!$F$34</f>
        <v>0</v>
      </c>
      <c r="G808" s="390">
        <f>'TAMUCT FGD'!$G$34</f>
        <v>0</v>
      </c>
      <c r="H808" s="390">
        <f>'TAMUCT FGD'!$H$34</f>
        <v>0</v>
      </c>
      <c r="I808" s="390">
        <f>'TAMUCT FGD'!$I$34</f>
        <v>0</v>
      </c>
      <c r="J808" s="390">
        <f>'TAMUCT FGD'!$J$34</f>
        <v>0</v>
      </c>
      <c r="K808" s="390">
        <f>'TAMUCT FGD'!$K$34</f>
        <v>0</v>
      </c>
      <c r="L808" s="390">
        <f>'TAMUCT FGD'!$L$34</f>
        <v>0</v>
      </c>
      <c r="M808" s="567">
        <f>'TAMUCT FGD'!$M$34</f>
        <v>0</v>
      </c>
      <c r="N808" s="401"/>
    </row>
    <row r="809" spans="2:14" s="160" customFormat="1" ht="12.75" hidden="1" customHeight="1" outlineLevel="1">
      <c r="B809" s="674" t="str">
        <f>'TAMUG FGD'!$B$2</f>
        <v>Texas A&amp;M University at Galveston</v>
      </c>
      <c r="C809" s="261"/>
      <c r="D809" s="390">
        <f>'TAMUG FGD'!$D$34</f>
        <v>0</v>
      </c>
      <c r="E809" s="390">
        <f>'TAMUG FGD'!$E$34</f>
        <v>0</v>
      </c>
      <c r="F809" s="390">
        <f>'TAMUG FGD'!$F$34</f>
        <v>0</v>
      </c>
      <c r="G809" s="390">
        <f>'TAMUG FGD'!$G$34</f>
        <v>0</v>
      </c>
      <c r="H809" s="390">
        <f>'TAMUG FGD'!$H$34</f>
        <v>0</v>
      </c>
      <c r="I809" s="390">
        <f>'TAMUG FGD'!$I$34</f>
        <v>0</v>
      </c>
      <c r="J809" s="390">
        <f>'TAMUG FGD'!$J$34</f>
        <v>0</v>
      </c>
      <c r="K809" s="390">
        <f>'TAMUG FGD'!$K$34</f>
        <v>0</v>
      </c>
      <c r="L809" s="390">
        <f>'TAMUG FGD'!$L$34</f>
        <v>0</v>
      </c>
      <c r="M809" s="567">
        <f>'TAMUG FGD'!$M$34</f>
        <v>0</v>
      </c>
      <c r="N809" s="401"/>
    </row>
    <row r="810" spans="2:14" s="160" customFormat="1" ht="12.75" hidden="1" customHeight="1" outlineLevel="1">
      <c r="B810" s="674" t="str">
        <f>'TAMUK FGD'!$B$2</f>
        <v>Texas A&amp;M University - Kingsville</v>
      </c>
      <c r="C810" s="261"/>
      <c r="D810" s="390">
        <f>'TAMUK FGD'!$D$34</f>
        <v>0</v>
      </c>
      <c r="E810" s="390">
        <f>'TAMUK FGD'!$E$34</f>
        <v>0</v>
      </c>
      <c r="F810" s="390">
        <f>'TAMUK FGD'!$F$34</f>
        <v>0</v>
      </c>
      <c r="G810" s="390">
        <f>'TAMUK FGD'!$G$34</f>
        <v>0</v>
      </c>
      <c r="H810" s="390">
        <f>'TAMUK FGD'!$H$34</f>
        <v>0</v>
      </c>
      <c r="I810" s="390">
        <f>'TAMUK FGD'!$I$34</f>
        <v>0</v>
      </c>
      <c r="J810" s="390">
        <f>'TAMUK FGD'!$J$34</f>
        <v>0</v>
      </c>
      <c r="K810" s="390">
        <f>'TAMUK FGD'!$K$34</f>
        <v>0</v>
      </c>
      <c r="L810" s="390">
        <f>'TAMUK FGD'!$L$34</f>
        <v>0</v>
      </c>
      <c r="M810" s="567">
        <f>'TAMUK FGD'!$M$34</f>
        <v>0</v>
      </c>
      <c r="N810" s="401"/>
    </row>
    <row r="811" spans="2:14" s="160" customFormat="1" ht="12.75" hidden="1" customHeight="1" outlineLevel="1">
      <c r="B811" s="674" t="str">
        <f>'TAMUSA FGD'!$B$2</f>
        <v>Texas A&amp;M University - San Antonio</v>
      </c>
      <c r="C811" s="261"/>
      <c r="D811" s="390">
        <f>'TAMUSA FGD'!$D$34</f>
        <v>0</v>
      </c>
      <c r="E811" s="390">
        <f>'TAMUSA FGD'!$E$34</f>
        <v>0</v>
      </c>
      <c r="F811" s="390">
        <f>'TAMUSA FGD'!$F$34</f>
        <v>0</v>
      </c>
      <c r="G811" s="390">
        <f>'TAMUSA FGD'!$G$34</f>
        <v>0</v>
      </c>
      <c r="H811" s="390">
        <f>'TAMUSA FGD'!$H$34</f>
        <v>0</v>
      </c>
      <c r="I811" s="390">
        <f>'TAMUSA FGD'!$I$34</f>
        <v>0</v>
      </c>
      <c r="J811" s="390">
        <f>'TAMUSA FGD'!$J$34</f>
        <v>0</v>
      </c>
      <c r="K811" s="390">
        <f>'TAMUSA FGD'!$K$34</f>
        <v>0</v>
      </c>
      <c r="L811" s="390">
        <f>'TAMUSA FGD'!$L$34</f>
        <v>0</v>
      </c>
      <c r="M811" s="567">
        <f>'TAMUSA FGD'!$M$34</f>
        <v>0</v>
      </c>
      <c r="N811" s="401"/>
    </row>
    <row r="812" spans="2:14" s="160" customFormat="1" ht="12.75" hidden="1" customHeight="1" outlineLevel="1">
      <c r="B812" s="674" t="str">
        <f>'TAMUT FGD'!$B$2</f>
        <v>Texas A&amp;M University - Texarkana</v>
      </c>
      <c r="C812" s="261"/>
      <c r="D812" s="390">
        <f>'TAMUT FGD'!$D$34</f>
        <v>0</v>
      </c>
      <c r="E812" s="390">
        <f>'TAMUT FGD'!$E$34</f>
        <v>0</v>
      </c>
      <c r="F812" s="390">
        <f>'TAMUT FGD'!$F$34</f>
        <v>0</v>
      </c>
      <c r="G812" s="390">
        <f>'TAMUT FGD'!$G$34</f>
        <v>0</v>
      </c>
      <c r="H812" s="390">
        <f>'TAMUT FGD'!$H$34</f>
        <v>0</v>
      </c>
      <c r="I812" s="390">
        <f>'TAMUT FGD'!$I$34</f>
        <v>0</v>
      </c>
      <c r="J812" s="390">
        <f>'TAMUT FGD'!$J$34</f>
        <v>0</v>
      </c>
      <c r="K812" s="390">
        <f>'TAMUT FGD'!$K$34</f>
        <v>0</v>
      </c>
      <c r="L812" s="390">
        <f>'TAMUT FGD'!$L$34</f>
        <v>0</v>
      </c>
      <c r="M812" s="567">
        <f>'TAMUT FGD'!$M$34</f>
        <v>0</v>
      </c>
      <c r="N812" s="401"/>
    </row>
    <row r="813" spans="2:14" s="160" customFormat="1" ht="12.75" hidden="1" customHeight="1" outlineLevel="1">
      <c r="B813" s="674" t="str">
        <f>'TARLST FGD'!$B$2</f>
        <v>Tarleton State University</v>
      </c>
      <c r="C813" s="261"/>
      <c r="D813" s="390">
        <f>'TARLST FGD'!$D$34</f>
        <v>0</v>
      </c>
      <c r="E813" s="390">
        <f>'TARLST FGD'!$E$34</f>
        <v>0</v>
      </c>
      <c r="F813" s="390">
        <f>'TARLST FGD'!$F$34</f>
        <v>0</v>
      </c>
      <c r="G813" s="390">
        <f>'TARLST FGD'!$G$34</f>
        <v>0</v>
      </c>
      <c r="H813" s="390">
        <f>'TARLST FGD'!$H$34</f>
        <v>0</v>
      </c>
      <c r="I813" s="390">
        <f>'TARLST FGD'!$I$34</f>
        <v>0</v>
      </c>
      <c r="J813" s="390">
        <f>'TARLST FGD'!$J$34</f>
        <v>0</v>
      </c>
      <c r="K813" s="390">
        <f>'TARLST FGD'!$K$34</f>
        <v>0</v>
      </c>
      <c r="L813" s="390">
        <f>'TARLST FGD'!$L$34</f>
        <v>0</v>
      </c>
      <c r="M813" s="567">
        <f>'TARLST FGD'!$M$34</f>
        <v>0</v>
      </c>
      <c r="N813" s="401"/>
    </row>
    <row r="814" spans="2:14" s="160" customFormat="1" ht="12.75" hidden="1" customHeight="1" outlineLevel="1">
      <c r="B814" s="674" t="str">
        <f>'TSU FGD'!$B$2</f>
        <v>Texas Southern University</v>
      </c>
      <c r="C814" s="261"/>
      <c r="D814" s="390">
        <f>'TSU FGD'!$D$34</f>
        <v>0</v>
      </c>
      <c r="E814" s="390">
        <f>'TSU FGD'!$E$34</f>
        <v>0</v>
      </c>
      <c r="F814" s="390">
        <f>'TSU FGD'!$F$34</f>
        <v>0</v>
      </c>
      <c r="G814" s="390">
        <f>'TSU FGD'!$G$34</f>
        <v>0</v>
      </c>
      <c r="H814" s="390">
        <f>'TSU FGD'!$H$34</f>
        <v>0</v>
      </c>
      <c r="I814" s="390">
        <f>'TSU FGD'!$I$34</f>
        <v>0</v>
      </c>
      <c r="J814" s="390">
        <f>'TSU FGD'!$J$34</f>
        <v>0</v>
      </c>
      <c r="K814" s="390">
        <f>'TSU FGD'!$K$34</f>
        <v>0</v>
      </c>
      <c r="L814" s="390">
        <f>'TSU FGD'!$L$34</f>
        <v>0</v>
      </c>
      <c r="M814" s="567">
        <f>'TSU FGD'!$M$34</f>
        <v>0</v>
      </c>
      <c r="N814" s="401"/>
    </row>
    <row r="815" spans="2:14" s="160" customFormat="1" ht="12.75" hidden="1" customHeight="1" outlineLevel="1">
      <c r="B815" s="674" t="str">
        <f>'TTU FGD'!$B$2</f>
        <v>Texas Tech University</v>
      </c>
      <c r="C815" s="261"/>
      <c r="D815" s="390">
        <f>'TTU FGD'!$D$34</f>
        <v>0</v>
      </c>
      <c r="E815" s="390">
        <f>'TTU FGD'!$E$34</f>
        <v>0</v>
      </c>
      <c r="F815" s="390">
        <f>'TTU FGD'!$F$34</f>
        <v>0</v>
      </c>
      <c r="G815" s="390">
        <f>'TTU FGD'!$G$34</f>
        <v>0</v>
      </c>
      <c r="H815" s="390">
        <f>'TTU FGD'!$H$34</f>
        <v>0</v>
      </c>
      <c r="I815" s="390">
        <f>'TTU FGD'!$I$34</f>
        <v>0</v>
      </c>
      <c r="J815" s="390">
        <f>'TTU FGD'!$J$34</f>
        <v>0</v>
      </c>
      <c r="K815" s="390">
        <f>'TTU FGD'!$K$34</f>
        <v>0</v>
      </c>
      <c r="L815" s="390">
        <f>'TTU FGD'!$L$34</f>
        <v>0</v>
      </c>
      <c r="M815" s="567">
        <f>'TTU FGD'!$M$34</f>
        <v>0</v>
      </c>
      <c r="N815" s="401"/>
    </row>
    <row r="816" spans="2:14" s="160" customFormat="1" ht="12.75" hidden="1" customHeight="1" outlineLevel="1">
      <c r="B816" s="674" t="str">
        <f>'TWU FGD'!$B$2</f>
        <v>Texas Woman's University</v>
      </c>
      <c r="C816" s="261"/>
      <c r="D816" s="390">
        <f>'TWU FGD'!$D$34</f>
        <v>0</v>
      </c>
      <c r="E816" s="390">
        <f>'TWU FGD'!$E$34</f>
        <v>0</v>
      </c>
      <c r="F816" s="390">
        <f>'TWU FGD'!$F$34</f>
        <v>0</v>
      </c>
      <c r="G816" s="390">
        <f>'TWU FGD'!$G$34</f>
        <v>0</v>
      </c>
      <c r="H816" s="390">
        <f>'TWU FGD'!$H$34</f>
        <v>0</v>
      </c>
      <c r="I816" s="390">
        <f>'TWU FGD'!$I$34</f>
        <v>0</v>
      </c>
      <c r="J816" s="390">
        <f>'TWU FGD'!$J$34</f>
        <v>0</v>
      </c>
      <c r="K816" s="390">
        <f>'TWU FGD'!$K$34</f>
        <v>0</v>
      </c>
      <c r="L816" s="390">
        <f>'TWU FGD'!$L$34</f>
        <v>0</v>
      </c>
      <c r="M816" s="567">
        <f>'TWU FGD'!$M$34</f>
        <v>0</v>
      </c>
      <c r="N816" s="401"/>
    </row>
    <row r="817" spans="2:14" s="160" customFormat="1" ht="12.75" hidden="1" customHeight="1" outlineLevel="1">
      <c r="B817" s="674" t="str">
        <f>'TXST FGD'!$B$2</f>
        <v>Texas State University</v>
      </c>
      <c r="C817" s="261"/>
      <c r="D817" s="390">
        <f>'TXST FGD'!$D$34</f>
        <v>0</v>
      </c>
      <c r="E817" s="390">
        <f>'TXST FGD'!$E$34</f>
        <v>0</v>
      </c>
      <c r="F817" s="390">
        <f>'TXST FGD'!$F$34</f>
        <v>0</v>
      </c>
      <c r="G817" s="390">
        <f>'TXST FGD'!$G$34</f>
        <v>0</v>
      </c>
      <c r="H817" s="390">
        <f>'TXST FGD'!$H$34</f>
        <v>0</v>
      </c>
      <c r="I817" s="390">
        <f>'TXST FGD'!$I$34</f>
        <v>0</v>
      </c>
      <c r="J817" s="390">
        <f>'TXST FGD'!$J$34</f>
        <v>0</v>
      </c>
      <c r="K817" s="390">
        <f>'TXST FGD'!$K$34</f>
        <v>0</v>
      </c>
      <c r="L817" s="390">
        <f>'TXST FGD'!$L$34</f>
        <v>0</v>
      </c>
      <c r="M817" s="567">
        <f>'TXST FGD'!$M$34</f>
        <v>0</v>
      </c>
      <c r="N817" s="401"/>
    </row>
    <row r="818" spans="2:14" s="160" customFormat="1" ht="12.75" hidden="1" customHeight="1" outlineLevel="1">
      <c r="B818" s="674" t="str">
        <f>'TYL FGD'!$B$2</f>
        <v>The University of Texas at Tyler</v>
      </c>
      <c r="C818" s="261"/>
      <c r="D818" s="390">
        <f>'TYL FGD'!$D$34</f>
        <v>0</v>
      </c>
      <c r="E818" s="390">
        <f>'TYL FGD'!$E$34</f>
        <v>0</v>
      </c>
      <c r="F818" s="390">
        <f>'TYL FGD'!$F$34</f>
        <v>0</v>
      </c>
      <c r="G818" s="390">
        <f>'TYL FGD'!$G$34</f>
        <v>0</v>
      </c>
      <c r="H818" s="390">
        <f>'TYL FGD'!$H$34</f>
        <v>0</v>
      </c>
      <c r="I818" s="390">
        <f>'TYL FGD'!$I$34</f>
        <v>0</v>
      </c>
      <c r="J818" s="390">
        <f>'TYL FGD'!$J$34</f>
        <v>0</v>
      </c>
      <c r="K818" s="390">
        <f>'TYL FGD'!$K$34</f>
        <v>0</v>
      </c>
      <c r="L818" s="390">
        <f>'TYL FGD'!$L$34</f>
        <v>0</v>
      </c>
      <c r="M818" s="567">
        <f>'TYL FGD'!$M$34</f>
        <v>0</v>
      </c>
      <c r="N818" s="401"/>
    </row>
    <row r="819" spans="2:14" s="160" customFormat="1" ht="12.75" hidden="1" customHeight="1" outlineLevel="1">
      <c r="B819" s="674" t="str">
        <f>'UH1 FGD'!$B$2</f>
        <v>University of Houston - Academic &amp; Health (A+H)</v>
      </c>
      <c r="C819" s="261"/>
      <c r="D819" s="390">
        <f>'UH1 FGD'!$D$34</f>
        <v>0</v>
      </c>
      <c r="E819" s="390">
        <f>'UH1 FGD'!$E$34</f>
        <v>0</v>
      </c>
      <c r="F819" s="390">
        <f>'UH1 FGD'!$F$34</f>
        <v>0</v>
      </c>
      <c r="G819" s="390">
        <f>'UH1 FGD'!$G$34</f>
        <v>0</v>
      </c>
      <c r="H819" s="390">
        <f>'UH1 FGD'!$H$34</f>
        <v>0</v>
      </c>
      <c r="I819" s="390">
        <f>'UH1 FGD'!$I$34</f>
        <v>0</v>
      </c>
      <c r="J819" s="390">
        <f>'UH1 FGD'!$J$34</f>
        <v>0</v>
      </c>
      <c r="K819" s="390">
        <f>'UH1 FGD'!$K$34</f>
        <v>0</v>
      </c>
      <c r="L819" s="390">
        <f>'UH1 FGD'!$L$34</f>
        <v>0</v>
      </c>
      <c r="M819" s="567">
        <f>'UH1 FGD'!$M$34</f>
        <v>0</v>
      </c>
      <c r="N819" s="401"/>
    </row>
    <row r="820" spans="2:14" s="160" customFormat="1" ht="12.75" hidden="1" customHeight="1" outlineLevel="1">
      <c r="B820" s="674" t="str">
        <f>'UHCL FGD'!$B$2</f>
        <v>University of Houston - Clear Lake</v>
      </c>
      <c r="C820" s="261"/>
      <c r="D820" s="390">
        <f>'UHCL FGD'!$D$34</f>
        <v>0</v>
      </c>
      <c r="E820" s="390">
        <f>'UHCL FGD'!$E$34</f>
        <v>0</v>
      </c>
      <c r="F820" s="390">
        <f>'UHCL FGD'!$F$34</f>
        <v>0</v>
      </c>
      <c r="G820" s="390">
        <f>'UHCL FGD'!$G$34</f>
        <v>0</v>
      </c>
      <c r="H820" s="390">
        <f>'UHCL FGD'!$H$34</f>
        <v>0</v>
      </c>
      <c r="I820" s="390">
        <f>'UHCL FGD'!$I$34</f>
        <v>0</v>
      </c>
      <c r="J820" s="390">
        <f>'UHCL FGD'!$J$34</f>
        <v>0</v>
      </c>
      <c r="K820" s="390">
        <f>'UHCL FGD'!$K$34</f>
        <v>0</v>
      </c>
      <c r="L820" s="390">
        <f>'UHCL FGD'!$L$34</f>
        <v>0</v>
      </c>
      <c r="M820" s="567">
        <f>'UHCL FGD'!$M$34</f>
        <v>0</v>
      </c>
      <c r="N820" s="401"/>
    </row>
    <row r="821" spans="2:14" s="160" customFormat="1" ht="12.75" hidden="1" customHeight="1" outlineLevel="1">
      <c r="B821" s="674" t="str">
        <f>'UHD FGD'!$B$2</f>
        <v>University of Houston - Downtown</v>
      </c>
      <c r="C821" s="261"/>
      <c r="D821" s="390">
        <f>'UHD FGD'!$D$34</f>
        <v>0</v>
      </c>
      <c r="E821" s="390">
        <f>'UHD FGD'!$E$34</f>
        <v>0</v>
      </c>
      <c r="F821" s="390">
        <f>'UHD FGD'!$F$34</f>
        <v>0</v>
      </c>
      <c r="G821" s="390">
        <f>'UHD FGD'!$G$34</f>
        <v>0</v>
      </c>
      <c r="H821" s="390">
        <f>'UHD FGD'!$H$34</f>
        <v>0</v>
      </c>
      <c r="I821" s="390">
        <f>'UHD FGD'!$I$34</f>
        <v>0</v>
      </c>
      <c r="J821" s="390">
        <f>'UHD FGD'!$J$34</f>
        <v>0</v>
      </c>
      <c r="K821" s="390">
        <f>'UHD FGD'!$K$34</f>
        <v>0</v>
      </c>
      <c r="L821" s="390">
        <f>'UHD FGD'!$L$34</f>
        <v>0</v>
      </c>
      <c r="M821" s="567">
        <f>'UHD FGD'!$M$34</f>
        <v>0</v>
      </c>
      <c r="N821" s="401"/>
    </row>
    <row r="822" spans="2:14" s="160" customFormat="1" ht="12.75" hidden="1" customHeight="1" outlineLevel="1">
      <c r="B822" s="674" t="str">
        <f>'UHV FGD'!$B$2</f>
        <v>University of Houston - Victoria</v>
      </c>
      <c r="C822" s="261"/>
      <c r="D822" s="390">
        <f>'UHV FGD'!$D$34</f>
        <v>0</v>
      </c>
      <c r="E822" s="390">
        <f>'UHV FGD'!$E$34</f>
        <v>0</v>
      </c>
      <c r="F822" s="390">
        <f>'UHV FGD'!$F$34</f>
        <v>0</v>
      </c>
      <c r="G822" s="390">
        <f>'UHV FGD'!$G$34</f>
        <v>0</v>
      </c>
      <c r="H822" s="390">
        <f>'UHV FGD'!$H$34</f>
        <v>0</v>
      </c>
      <c r="I822" s="390">
        <f>'UHV FGD'!$I$34</f>
        <v>0</v>
      </c>
      <c r="J822" s="390">
        <f>'UHV FGD'!$J$34</f>
        <v>0</v>
      </c>
      <c r="K822" s="390">
        <f>'UHV FGD'!$K$34</f>
        <v>0</v>
      </c>
      <c r="L822" s="390">
        <f>'UHV FGD'!$L$34</f>
        <v>0</v>
      </c>
      <c r="M822" s="567">
        <f>'UHV FGD'!$M$34</f>
        <v>0</v>
      </c>
      <c r="N822" s="401"/>
    </row>
    <row r="823" spans="2:14" s="160" customFormat="1" ht="12.75" hidden="1" customHeight="1" outlineLevel="1">
      <c r="B823" s="674" t="str">
        <f>'UNT FGD'!$B$2</f>
        <v>University of North Texas</v>
      </c>
      <c r="C823" s="261"/>
      <c r="D823" s="390">
        <f>'UNT FGD'!$D$34</f>
        <v>0</v>
      </c>
      <c r="E823" s="390">
        <f>'UNT FGD'!$E$34</f>
        <v>0</v>
      </c>
      <c r="F823" s="390">
        <f>'UNT FGD'!$F$34</f>
        <v>0</v>
      </c>
      <c r="G823" s="390">
        <f>'UNT FGD'!$G$34</f>
        <v>0</v>
      </c>
      <c r="H823" s="390">
        <f>'UNT FGD'!$H$34</f>
        <v>0</v>
      </c>
      <c r="I823" s="390">
        <f>'UNT FGD'!$I$34</f>
        <v>0</v>
      </c>
      <c r="J823" s="390">
        <f>'UNT FGD'!$J$34</f>
        <v>0</v>
      </c>
      <c r="K823" s="390">
        <f>'UNT FGD'!$K$34</f>
        <v>0</v>
      </c>
      <c r="L823" s="390">
        <f>'UNT FGD'!$L$34</f>
        <v>0</v>
      </c>
      <c r="M823" s="567">
        <f>'UNT FGD'!$M$34</f>
        <v>0</v>
      </c>
      <c r="N823" s="401"/>
    </row>
    <row r="824" spans="2:14" s="160" customFormat="1" ht="12.75" hidden="1" customHeight="1" outlineLevel="1">
      <c r="B824" s="674" t="str">
        <f>'UNTD FGD'!$B$2</f>
        <v>University of North Texas at Dallas</v>
      </c>
      <c r="C824" s="261"/>
      <c r="D824" s="390">
        <f>'UNTD FGD'!$D$34</f>
        <v>0</v>
      </c>
      <c r="E824" s="390">
        <f>'UNTD FGD'!$E$34</f>
        <v>0</v>
      </c>
      <c r="F824" s="390">
        <f>'UNTD FGD'!$F$34</f>
        <v>0</v>
      </c>
      <c r="G824" s="390">
        <f>'UNTD FGD'!$G$34</f>
        <v>0</v>
      </c>
      <c r="H824" s="390">
        <f>'UNTD FGD'!$H$34</f>
        <v>0</v>
      </c>
      <c r="I824" s="390">
        <f>'UNTD FGD'!$I$34</f>
        <v>0</v>
      </c>
      <c r="J824" s="390">
        <f>'UNTD FGD'!$J$34</f>
        <v>0</v>
      </c>
      <c r="K824" s="390">
        <f>'UNTD FGD'!$K$34</f>
        <v>0</v>
      </c>
      <c r="L824" s="390">
        <f>'UNTD FGD'!$L$34</f>
        <v>0</v>
      </c>
      <c r="M824" s="567">
        <f>'UNTD FGD'!$M$34</f>
        <v>0</v>
      </c>
      <c r="N824" s="401"/>
    </row>
    <row r="825" spans="2:14" s="160" customFormat="1" ht="12.75" hidden="1" customHeight="1" outlineLevel="1">
      <c r="B825" s="674" t="str">
        <f>'WTAMU FGD'!$B$2</f>
        <v>West Texas A&amp;M University</v>
      </c>
      <c r="C825" s="261"/>
      <c r="D825" s="390">
        <f>'WTAMU FGD'!$D$34</f>
        <v>0</v>
      </c>
      <c r="E825" s="390">
        <f>'WTAMU FGD'!$E$34</f>
        <v>0</v>
      </c>
      <c r="F825" s="390">
        <f>'WTAMU FGD'!$F$34</f>
        <v>0</v>
      </c>
      <c r="G825" s="390">
        <f>'WTAMU FGD'!$G$34</f>
        <v>0</v>
      </c>
      <c r="H825" s="390">
        <f>'WTAMU FGD'!$H$34</f>
        <v>0</v>
      </c>
      <c r="I825" s="390">
        <f>'WTAMU FGD'!$I$34</f>
        <v>0</v>
      </c>
      <c r="J825" s="390">
        <f>'WTAMU FGD'!$J$34</f>
        <v>0</v>
      </c>
      <c r="K825" s="390">
        <f>'WTAMU FGD'!$K$34</f>
        <v>0</v>
      </c>
      <c r="L825" s="390">
        <f>'WTAMU FGD'!$L$34</f>
        <v>0</v>
      </c>
      <c r="M825" s="567">
        <f>'WTAMU FGD'!$M$34</f>
        <v>0</v>
      </c>
      <c r="N825" s="401"/>
    </row>
    <row r="826" spans="2:14" s="160" customFormat="1" collapsed="1">
      <c r="B826" s="261" t="s">
        <v>724</v>
      </c>
      <c r="C826" s="261"/>
      <c r="D826" s="390">
        <f t="shared" ref="D826:M826" si="21">SUM(D790:D825)</f>
        <v>0</v>
      </c>
      <c r="E826" s="390">
        <f t="shared" si="21"/>
        <v>-785140</v>
      </c>
      <c r="F826" s="390">
        <f t="shared" si="21"/>
        <v>-1235475</v>
      </c>
      <c r="G826" s="390">
        <f t="shared" si="21"/>
        <v>0</v>
      </c>
      <c r="H826" s="390">
        <f t="shared" si="21"/>
        <v>0</v>
      </c>
      <c r="I826" s="390">
        <f t="shared" si="21"/>
        <v>0</v>
      </c>
      <c r="J826" s="390">
        <f t="shared" si="21"/>
        <v>0</v>
      </c>
      <c r="K826" s="390">
        <f t="shared" si="21"/>
        <v>0</v>
      </c>
      <c r="L826" s="390">
        <f t="shared" si="21"/>
        <v>0</v>
      </c>
      <c r="M826" s="567">
        <f t="shared" si="21"/>
        <v>-2020615</v>
      </c>
      <c r="N826" s="401"/>
    </row>
    <row r="827" spans="2:14" s="160" customFormat="1" ht="12.75" hidden="1" customHeight="1" outlineLevel="1">
      <c r="B827" s="674" t="str">
        <f>'ARL FGD'!$B$2</f>
        <v>The University of Texas at Arlington</v>
      </c>
      <c r="C827" s="261"/>
      <c r="D827" s="390">
        <f>'ARL FGD'!$D$35</f>
        <v>0</v>
      </c>
      <c r="E827" s="390">
        <f>'ARL FGD'!$E$35</f>
        <v>0</v>
      </c>
      <c r="F827" s="390">
        <f>'ARL FGD'!$F$35</f>
        <v>0</v>
      </c>
      <c r="G827" s="390">
        <f>'ARL FGD'!$G$35</f>
        <v>0</v>
      </c>
      <c r="H827" s="390">
        <f>'ARL FGD'!$H$35</f>
        <v>0</v>
      </c>
      <c r="I827" s="390">
        <f>'ARL FGD'!$I$35</f>
        <v>0</v>
      </c>
      <c r="J827" s="390">
        <f>'ARL FGD'!$J$35</f>
        <v>0</v>
      </c>
      <c r="K827" s="390">
        <f>'ARL FGD'!$K$35</f>
        <v>0</v>
      </c>
      <c r="L827" s="390">
        <f>'ARL FGD'!$L$35</f>
        <v>0</v>
      </c>
      <c r="M827" s="567">
        <f>'ARL FGD'!$M$35</f>
        <v>0</v>
      </c>
      <c r="N827" s="401"/>
    </row>
    <row r="828" spans="2:14" s="160" customFormat="1" ht="12.75" hidden="1" customHeight="1" outlineLevel="1">
      <c r="B828" s="674" t="str">
        <f>'ASU FGD'!$B$2</f>
        <v>Angelo State University</v>
      </c>
      <c r="C828" s="261"/>
      <c r="D828" s="390">
        <f>'ASU FGD'!$D$35</f>
        <v>0</v>
      </c>
      <c r="E828" s="390">
        <f>'ASU FGD'!$E$35</f>
        <v>0</v>
      </c>
      <c r="F828" s="390">
        <f>'ASU FGD'!$F$35</f>
        <v>0</v>
      </c>
      <c r="G828" s="390">
        <f>'ASU FGD'!$G$35</f>
        <v>0</v>
      </c>
      <c r="H828" s="390">
        <f>'ASU FGD'!$H$35</f>
        <v>0</v>
      </c>
      <c r="I828" s="390">
        <f>'ASU FGD'!$I$35</f>
        <v>0</v>
      </c>
      <c r="J828" s="390">
        <f>'ASU FGD'!$J$35</f>
        <v>0</v>
      </c>
      <c r="K828" s="390">
        <f>'ASU FGD'!$K$35</f>
        <v>0</v>
      </c>
      <c r="L828" s="390">
        <f>'ASU FGD'!$L$35</f>
        <v>0</v>
      </c>
      <c r="M828" s="567">
        <f>'ASU FGD'!$M$35</f>
        <v>0</v>
      </c>
      <c r="N828" s="401"/>
    </row>
    <row r="829" spans="2:14" s="160" customFormat="1" ht="12.75" hidden="1" customHeight="1" outlineLevel="1">
      <c r="B829" s="674" t="str">
        <f>'AUS1 FGD'!$B$2</f>
        <v>The University of Texas at Austin - Academic &amp; Health (A+H)</v>
      </c>
      <c r="C829" s="261"/>
      <c r="D829" s="390">
        <f>'AUS1 FGD'!$D$35</f>
        <v>0</v>
      </c>
      <c r="E829" s="390">
        <f>'AUS1 FGD'!$E$35</f>
        <v>0</v>
      </c>
      <c r="F829" s="390">
        <f>'AUS1 FGD'!$F$35</f>
        <v>0</v>
      </c>
      <c r="G829" s="390">
        <f>'AUS1 FGD'!$G$35</f>
        <v>0</v>
      </c>
      <c r="H829" s="390">
        <f>'AUS1 FGD'!$H$35</f>
        <v>0</v>
      </c>
      <c r="I829" s="390">
        <f>'AUS1 FGD'!$I$35</f>
        <v>0</v>
      </c>
      <c r="J829" s="390">
        <f>'AUS1 FGD'!$J$35</f>
        <v>0</v>
      </c>
      <c r="K829" s="390">
        <f>'AUS1 FGD'!$K$35</f>
        <v>0</v>
      </c>
      <c r="L829" s="390">
        <f>'AUS1 FGD'!$L$35</f>
        <v>0</v>
      </c>
      <c r="M829" s="567">
        <f>'AUS1 FGD'!$M$35</f>
        <v>0</v>
      </c>
      <c r="N829" s="401"/>
    </row>
    <row r="830" spans="2:14" s="160" customFormat="1" ht="12.75" hidden="1" customHeight="1" outlineLevel="1">
      <c r="B830" s="674" t="str">
        <f>'RGV1 FGD'!$B$2</f>
        <v>The University of Texas RGV - Academic &amp; Health (A+H)</v>
      </c>
      <c r="C830" s="261"/>
      <c r="D830" s="390">
        <f>'RGV1 FGD'!$D$35</f>
        <v>0</v>
      </c>
      <c r="E830" s="390">
        <f>'RGV1 FGD'!$E$35</f>
        <v>0</v>
      </c>
      <c r="F830" s="390">
        <f>'RGV1 FGD'!$F$35</f>
        <v>0</v>
      </c>
      <c r="G830" s="390">
        <f>'RGV1 FGD'!$G$35</f>
        <v>0</v>
      </c>
      <c r="H830" s="390">
        <f>'RGV1 FGD'!$H$35</f>
        <v>0</v>
      </c>
      <c r="I830" s="390">
        <f>'RGV1 FGD'!$I$35</f>
        <v>0</v>
      </c>
      <c r="J830" s="390">
        <f>'RGV1 FGD'!$J$35</f>
        <v>0</v>
      </c>
      <c r="K830" s="390">
        <f>'RGV1 FGD'!$K$35</f>
        <v>0</v>
      </c>
      <c r="L830" s="390">
        <f>'RGV1 FGD'!$L$35</f>
        <v>0</v>
      </c>
      <c r="M830" s="567">
        <f>'RGV1 FGD'!$M$35</f>
        <v>0</v>
      </c>
      <c r="N830" s="401"/>
    </row>
    <row r="831" spans="2:14" s="160" customFormat="1" ht="12.75" hidden="1" customHeight="1" outlineLevel="1">
      <c r="B831" s="674" t="str">
        <f>'DAL FGD'!$B$2</f>
        <v>The University of Texas at Dallas</v>
      </c>
      <c r="C831" s="261"/>
      <c r="D831" s="390">
        <f>'DAL FGD'!$D$35</f>
        <v>0</v>
      </c>
      <c r="E831" s="390">
        <f>'DAL FGD'!$E$35</f>
        <v>0</v>
      </c>
      <c r="F831" s="390">
        <f>'DAL FGD'!$F$35</f>
        <v>0</v>
      </c>
      <c r="G831" s="390">
        <f>'DAL FGD'!$G$35</f>
        <v>0</v>
      </c>
      <c r="H831" s="390">
        <f>'DAL FGD'!$H$35</f>
        <v>0</v>
      </c>
      <c r="I831" s="390">
        <f>'DAL FGD'!$I$35</f>
        <v>0</v>
      </c>
      <c r="J831" s="390">
        <f>'DAL FGD'!$J$35</f>
        <v>0</v>
      </c>
      <c r="K831" s="390">
        <f>'DAL FGD'!$K$35</f>
        <v>0</v>
      </c>
      <c r="L831" s="390">
        <f>'DAL FGD'!$L$35</f>
        <v>0</v>
      </c>
      <c r="M831" s="567">
        <f>'DAL FGD'!$M$35</f>
        <v>0</v>
      </c>
      <c r="N831" s="401"/>
    </row>
    <row r="832" spans="2:14" s="160" customFormat="1" ht="12.75" hidden="1" customHeight="1" outlineLevel="1">
      <c r="B832" s="674" t="str">
        <f>'E-P FGD'!$B$2</f>
        <v>The University of Texas at El Paso</v>
      </c>
      <c r="C832" s="261"/>
      <c r="D832" s="390">
        <f>'E-P FGD'!$D$35</f>
        <v>0</v>
      </c>
      <c r="E832" s="390">
        <f>'E-P FGD'!$E$35</f>
        <v>0</v>
      </c>
      <c r="F832" s="390">
        <f>'E-P FGD'!$F$35</f>
        <v>0</v>
      </c>
      <c r="G832" s="390">
        <f>'E-P FGD'!$G$35</f>
        <v>0</v>
      </c>
      <c r="H832" s="390">
        <f>'E-P FGD'!$H$35</f>
        <v>0</v>
      </c>
      <c r="I832" s="390">
        <f>'E-P FGD'!$I$35</f>
        <v>0</v>
      </c>
      <c r="J832" s="390">
        <f>'E-P FGD'!$J$35</f>
        <v>0</v>
      </c>
      <c r="K832" s="390">
        <f>'E-P FGD'!$K$35</f>
        <v>0</v>
      </c>
      <c r="L832" s="390">
        <f>'E-P FGD'!$L$35</f>
        <v>0</v>
      </c>
      <c r="M832" s="567">
        <f>'E-P FGD'!$M$35</f>
        <v>0</v>
      </c>
      <c r="N832" s="401"/>
    </row>
    <row r="833" spans="2:14" s="160" customFormat="1" ht="12.75" hidden="1" customHeight="1" outlineLevel="1">
      <c r="B833" s="674" t="str">
        <f>'LU FGD'!$B$2</f>
        <v xml:space="preserve">Lamar University </v>
      </c>
      <c r="C833" s="261"/>
      <c r="D833" s="390">
        <f>'LU FGD'!$D$35</f>
        <v>0</v>
      </c>
      <c r="E833" s="390">
        <f>'LU FGD'!$E$35</f>
        <v>0</v>
      </c>
      <c r="F833" s="390">
        <f>'LU FGD'!$F$35</f>
        <v>0</v>
      </c>
      <c r="G833" s="390">
        <f>'LU FGD'!$G$35</f>
        <v>0</v>
      </c>
      <c r="H833" s="390">
        <f>'LU FGD'!$H$35</f>
        <v>0</v>
      </c>
      <c r="I833" s="390">
        <f>'LU FGD'!$I$35</f>
        <v>0</v>
      </c>
      <c r="J833" s="390">
        <f>'LU FGD'!$J$35</f>
        <v>0</v>
      </c>
      <c r="K833" s="390">
        <f>'LU FGD'!$K$35</f>
        <v>0</v>
      </c>
      <c r="L833" s="390">
        <f>'LU FGD'!$L$35</f>
        <v>0</v>
      </c>
      <c r="M833" s="567">
        <f>'LU FGD'!$M$35</f>
        <v>0</v>
      </c>
      <c r="N833" s="401"/>
    </row>
    <row r="834" spans="2:14" s="160" customFormat="1" ht="12.75" hidden="1" customHeight="1" outlineLevel="1">
      <c r="B834" s="674" t="str">
        <f>'MidWST FGD'!$B$2</f>
        <v>Midwestern State University</v>
      </c>
      <c r="C834" s="261"/>
      <c r="D834" s="390">
        <f>'MidWST FGD'!$D$35</f>
        <v>0</v>
      </c>
      <c r="E834" s="390">
        <f>'MidWST FGD'!$E$35</f>
        <v>0</v>
      </c>
      <c r="F834" s="390">
        <f>'MidWST FGD'!$F$35</f>
        <v>0</v>
      </c>
      <c r="G834" s="390">
        <f>'MidWST FGD'!$G$35</f>
        <v>0</v>
      </c>
      <c r="H834" s="390">
        <f>'MidWST FGD'!$H$35</f>
        <v>0</v>
      </c>
      <c r="I834" s="390">
        <f>'MidWST FGD'!$I$35</f>
        <v>0</v>
      </c>
      <c r="J834" s="390">
        <f>'MidWST FGD'!$J$35</f>
        <v>0</v>
      </c>
      <c r="K834" s="390">
        <f>'MidWST FGD'!$K$35</f>
        <v>0</v>
      </c>
      <c r="L834" s="390">
        <f>'MidWST FGD'!$L$35</f>
        <v>0</v>
      </c>
      <c r="M834" s="567">
        <f>'MidWST FGD'!$M$35</f>
        <v>0</v>
      </c>
      <c r="N834" s="401"/>
    </row>
    <row r="835" spans="2:14" s="160" customFormat="1" ht="12.75" hidden="1" customHeight="1" outlineLevel="1">
      <c r="B835" s="674" t="str">
        <f>'P-B FGD'!$B$2</f>
        <v>The University of Texas of the Permian Basin</v>
      </c>
      <c r="C835" s="261"/>
      <c r="D835" s="390">
        <f>'P-B FGD'!$D$35</f>
        <v>0</v>
      </c>
      <c r="E835" s="390">
        <f>'P-B FGD'!$E$35</f>
        <v>0</v>
      </c>
      <c r="F835" s="390">
        <f>'P-B FGD'!$F$35</f>
        <v>0</v>
      </c>
      <c r="G835" s="390">
        <f>'P-B FGD'!$G$35</f>
        <v>0</v>
      </c>
      <c r="H835" s="390">
        <f>'P-B FGD'!$H$35</f>
        <v>0</v>
      </c>
      <c r="I835" s="390">
        <f>'P-B FGD'!$I$35</f>
        <v>0</v>
      </c>
      <c r="J835" s="390">
        <f>'P-B FGD'!$J$35</f>
        <v>0</v>
      </c>
      <c r="K835" s="390">
        <f>'P-B FGD'!$K$35</f>
        <v>0</v>
      </c>
      <c r="L835" s="390">
        <f>'P-B FGD'!$L$35</f>
        <v>0</v>
      </c>
      <c r="M835" s="567">
        <f>'P-B FGD'!$M$35</f>
        <v>0</v>
      </c>
      <c r="N835" s="401"/>
    </row>
    <row r="836" spans="2:14" s="160" customFormat="1" ht="12.75" hidden="1" customHeight="1" outlineLevel="1">
      <c r="B836" s="674" t="str">
        <f>'PVAMU FGD'!$B$2</f>
        <v>Prairie View A&amp;M University</v>
      </c>
      <c r="C836" s="261"/>
      <c r="D836" s="390">
        <f>'PVAMU FGD'!$D$35</f>
        <v>0</v>
      </c>
      <c r="E836" s="390">
        <f>'PVAMU FGD'!$E$35</f>
        <v>0</v>
      </c>
      <c r="F836" s="390">
        <f>'PVAMU FGD'!$F$35</f>
        <v>0</v>
      </c>
      <c r="G836" s="390">
        <f>'PVAMU FGD'!$G$35</f>
        <v>0</v>
      </c>
      <c r="H836" s="390">
        <f>'PVAMU FGD'!$H$35</f>
        <v>0</v>
      </c>
      <c r="I836" s="390">
        <f>'PVAMU FGD'!$I$35</f>
        <v>0</v>
      </c>
      <c r="J836" s="390">
        <f>'PVAMU FGD'!$J$35</f>
        <v>0</v>
      </c>
      <c r="K836" s="390">
        <f>'PVAMU FGD'!$K$35</f>
        <v>0</v>
      </c>
      <c r="L836" s="390">
        <f>'PVAMU FGD'!$L$35</f>
        <v>0</v>
      </c>
      <c r="M836" s="567">
        <f>'PVAMU FGD'!$M$35</f>
        <v>0</v>
      </c>
      <c r="N836" s="401"/>
    </row>
    <row r="837" spans="2:14" s="160" customFormat="1" ht="12.75" hidden="1" customHeight="1" outlineLevel="1">
      <c r="B837" s="674" t="str">
        <f>'S-A FGD'!$B$2</f>
        <v>The University of Texas at San Antonio</v>
      </c>
      <c r="C837" s="261"/>
      <c r="D837" s="390">
        <f>'S-A FGD'!$D$35</f>
        <v>0</v>
      </c>
      <c r="E837" s="390">
        <f>'S-A FGD'!$E$35</f>
        <v>0</v>
      </c>
      <c r="F837" s="390">
        <f>'S-A FGD'!$F$35</f>
        <v>0</v>
      </c>
      <c r="G837" s="390">
        <f>'S-A FGD'!$G$35</f>
        <v>0</v>
      </c>
      <c r="H837" s="390">
        <f>'S-A FGD'!$H$35</f>
        <v>0</v>
      </c>
      <c r="I837" s="390">
        <f>'S-A FGD'!$I$35</f>
        <v>0</v>
      </c>
      <c r="J837" s="390">
        <f>'S-A FGD'!$J$35</f>
        <v>0</v>
      </c>
      <c r="K837" s="390">
        <f>'S-A FGD'!$K$35</f>
        <v>0</v>
      </c>
      <c r="L837" s="390">
        <f>'S-A FGD'!$L$35</f>
        <v>0</v>
      </c>
      <c r="M837" s="567">
        <f>'S-A FGD'!$M$35</f>
        <v>0</v>
      </c>
      <c r="N837" s="401"/>
    </row>
    <row r="838" spans="2:14" s="160" customFormat="1" ht="12.75" hidden="1" customHeight="1" outlineLevel="1">
      <c r="B838" s="674" t="str">
        <f>'SFA FGD'!$B$2</f>
        <v>Stephen F. Austin State University</v>
      </c>
      <c r="C838" s="261"/>
      <c r="D838" s="390">
        <f>'SFA FGD'!$D$35</f>
        <v>0</v>
      </c>
      <c r="E838" s="390">
        <f>'SFA FGD'!$E$35</f>
        <v>0</v>
      </c>
      <c r="F838" s="390">
        <f>'SFA FGD'!$F$35</f>
        <v>0</v>
      </c>
      <c r="G838" s="390">
        <f>'SFA FGD'!$G$35</f>
        <v>0</v>
      </c>
      <c r="H838" s="390">
        <f>'SFA FGD'!$H$35</f>
        <v>0</v>
      </c>
      <c r="I838" s="390">
        <f>'SFA FGD'!$I$35</f>
        <v>0</v>
      </c>
      <c r="J838" s="390">
        <f>'SFA FGD'!$J$35</f>
        <v>0</v>
      </c>
      <c r="K838" s="390">
        <f>'SFA FGD'!$K$35</f>
        <v>0</v>
      </c>
      <c r="L838" s="390">
        <f>'SFA FGD'!$L$35</f>
        <v>0</v>
      </c>
      <c r="M838" s="567">
        <f>'SFA FGD'!$M$35</f>
        <v>0</v>
      </c>
      <c r="N838" s="401"/>
    </row>
    <row r="839" spans="2:14" s="160" customFormat="1" ht="12.75" hidden="1" customHeight="1" outlineLevel="1">
      <c r="B839" s="674" t="str">
        <f>'shsu1 FGD'!$B$2</f>
        <v>Sam Houston State University - Academic &amp; Health (A+H)</v>
      </c>
      <c r="C839" s="261"/>
      <c r="D839" s="390">
        <f>'shsu1 FGD'!$D$35</f>
        <v>0</v>
      </c>
      <c r="E839" s="390">
        <f>'shsu1 FGD'!$E$35</f>
        <v>0</v>
      </c>
      <c r="F839" s="390">
        <f>'shsu1 FGD'!$F$35</f>
        <v>0</v>
      </c>
      <c r="G839" s="390">
        <f>'shsu1 FGD'!$G$35</f>
        <v>0</v>
      </c>
      <c r="H839" s="390">
        <f>'shsu1 FGD'!$H$35</f>
        <v>0</v>
      </c>
      <c r="I839" s="390">
        <f>'shsu1 FGD'!$I$35</f>
        <v>0</v>
      </c>
      <c r="J839" s="390">
        <f>'shsu1 FGD'!$J$35</f>
        <v>0</v>
      </c>
      <c r="K839" s="390">
        <f>'shsu1 FGD'!$K$35</f>
        <v>0</v>
      </c>
      <c r="L839" s="390">
        <f>'shsu1 FGD'!$L$35</f>
        <v>0</v>
      </c>
      <c r="M839" s="567">
        <f>'shsu1 FGD'!$M$35</f>
        <v>0</v>
      </c>
      <c r="N839" s="401"/>
    </row>
    <row r="840" spans="2:14" s="160" customFormat="1" ht="12.75" hidden="1" customHeight="1" outlineLevel="1">
      <c r="B840" s="674" t="str">
        <f>'SRSU FGD'!$B$2</f>
        <v>Sul Ross State University</v>
      </c>
      <c r="C840" s="261"/>
      <c r="D840" s="390">
        <f>'SRSU FGD'!$D$35</f>
        <v>0</v>
      </c>
      <c r="E840" s="390">
        <f>'SRSU FGD'!$E$35</f>
        <v>0</v>
      </c>
      <c r="F840" s="390">
        <f>'SRSU FGD'!$F$35</f>
        <v>0</v>
      </c>
      <c r="G840" s="390">
        <f>'SRSU FGD'!$G$35</f>
        <v>0</v>
      </c>
      <c r="H840" s="390">
        <f>'SRSU FGD'!$H$35</f>
        <v>0</v>
      </c>
      <c r="I840" s="390">
        <f>'SRSU FGD'!$I$35</f>
        <v>0</v>
      </c>
      <c r="J840" s="390">
        <f>'SRSU FGD'!$J$35</f>
        <v>0</v>
      </c>
      <c r="K840" s="390">
        <f>'SRSU FGD'!$K$35</f>
        <v>0</v>
      </c>
      <c r="L840" s="390">
        <f>'SRSU FGD'!$L$35</f>
        <v>0</v>
      </c>
      <c r="M840" s="567">
        <f>'SRSU FGD'!$M$35</f>
        <v>0</v>
      </c>
      <c r="N840" s="401"/>
    </row>
    <row r="841" spans="2:14" s="160" customFormat="1" ht="12.75" hidden="1" customHeight="1" outlineLevel="1">
      <c r="B841" s="674" t="str">
        <f>'TAMIU FGD'!$B$2</f>
        <v>Texas A&amp;M International University</v>
      </c>
      <c r="C841" s="261"/>
      <c r="D841" s="390">
        <f>'TAMIU FGD'!$D$35</f>
        <v>0</v>
      </c>
      <c r="E841" s="390">
        <f>'TAMIU FGD'!$E$35</f>
        <v>0</v>
      </c>
      <c r="F841" s="390">
        <f>'TAMIU FGD'!$F$35</f>
        <v>0</v>
      </c>
      <c r="G841" s="390">
        <f>'TAMIU FGD'!$G$35</f>
        <v>0</v>
      </c>
      <c r="H841" s="390">
        <f>'TAMIU FGD'!$H$35</f>
        <v>0</v>
      </c>
      <c r="I841" s="390">
        <f>'TAMIU FGD'!$I$35</f>
        <v>0</v>
      </c>
      <c r="J841" s="390">
        <f>'TAMIU FGD'!$J$35</f>
        <v>0</v>
      </c>
      <c r="K841" s="390">
        <f>'TAMIU FGD'!$K$35</f>
        <v>0</v>
      </c>
      <c r="L841" s="390">
        <f>'TAMIU FGD'!$L$35</f>
        <v>0</v>
      </c>
      <c r="M841" s="567">
        <f>'TAMIU FGD'!$M$35</f>
        <v>0</v>
      </c>
      <c r="N841" s="401"/>
    </row>
    <row r="842" spans="2:14" s="160" customFormat="1" ht="12.75" hidden="1" customHeight="1" outlineLevel="1">
      <c r="B842" s="674" t="str">
        <f>'TAMU FGD'!$B$2</f>
        <v>Texas A&amp;M University</v>
      </c>
      <c r="C842" s="261"/>
      <c r="D842" s="390">
        <f>'TAMU FGD'!$D$35</f>
        <v>0</v>
      </c>
      <c r="E842" s="390">
        <f>'TAMU FGD'!$E$35</f>
        <v>0</v>
      </c>
      <c r="F842" s="390">
        <f>'TAMU FGD'!$F$35</f>
        <v>0</v>
      </c>
      <c r="G842" s="390">
        <f>'TAMU FGD'!$G$35</f>
        <v>0</v>
      </c>
      <c r="H842" s="390">
        <f>'TAMU FGD'!$H$35</f>
        <v>0</v>
      </c>
      <c r="I842" s="390">
        <f>'TAMU FGD'!$I$35</f>
        <v>0</v>
      </c>
      <c r="J842" s="390">
        <f>'TAMU FGD'!$J$35</f>
        <v>0</v>
      </c>
      <c r="K842" s="390">
        <f>'TAMU FGD'!$K$35</f>
        <v>0</v>
      </c>
      <c r="L842" s="390">
        <f>'TAMU FGD'!$L$35</f>
        <v>0</v>
      </c>
      <c r="M842" s="567">
        <f>'TAMU FGD'!$M$35</f>
        <v>0</v>
      </c>
      <c r="N842" s="401"/>
    </row>
    <row r="843" spans="2:14" s="160" customFormat="1" ht="12.75" hidden="1" customHeight="1" outlineLevel="1">
      <c r="B843" s="674" t="str">
        <f>'TAMUC FGD'!$B$2</f>
        <v>Texas A&amp;M University - Commerce</v>
      </c>
      <c r="C843" s="261"/>
      <c r="D843" s="390">
        <f>'TAMUC FGD'!$D$35</f>
        <v>0</v>
      </c>
      <c r="E843" s="390">
        <f>'TAMUC FGD'!$E$35</f>
        <v>0</v>
      </c>
      <c r="F843" s="390">
        <f>'TAMUC FGD'!$F$35</f>
        <v>0</v>
      </c>
      <c r="G843" s="390">
        <f>'TAMUC FGD'!$G$35</f>
        <v>0</v>
      </c>
      <c r="H843" s="390">
        <f>'TAMUC FGD'!$H$35</f>
        <v>0</v>
      </c>
      <c r="I843" s="390">
        <f>'TAMUC FGD'!$I$35</f>
        <v>0</v>
      </c>
      <c r="J843" s="390">
        <f>'TAMUC FGD'!$J$35</f>
        <v>0</v>
      </c>
      <c r="K843" s="390">
        <f>'TAMUC FGD'!$K$35</f>
        <v>0</v>
      </c>
      <c r="L843" s="390">
        <f>'TAMUC FGD'!$L$35</f>
        <v>0</v>
      </c>
      <c r="M843" s="567">
        <f>'TAMUC FGD'!$M$35</f>
        <v>0</v>
      </c>
      <c r="N843" s="401"/>
    </row>
    <row r="844" spans="2:14" s="160" customFormat="1" ht="12.75" hidden="1" customHeight="1" outlineLevel="1">
      <c r="B844" s="674" t="str">
        <f>'TAMUCC FGD'!$B$2</f>
        <v>Texas A&amp;M University - Corpus Christi</v>
      </c>
      <c r="C844" s="261"/>
      <c r="D844" s="390">
        <f>'TAMUCC FGD'!$D$35</f>
        <v>0</v>
      </c>
      <c r="E844" s="390">
        <f>'TAMUCC FGD'!$E$35</f>
        <v>0</v>
      </c>
      <c r="F844" s="390">
        <f>'TAMUCC FGD'!$F$35</f>
        <v>0</v>
      </c>
      <c r="G844" s="390">
        <f>'TAMUCC FGD'!$G$35</f>
        <v>0</v>
      </c>
      <c r="H844" s="390">
        <f>'TAMUCC FGD'!$H$35</f>
        <v>0</v>
      </c>
      <c r="I844" s="390">
        <f>'TAMUCC FGD'!$I$35</f>
        <v>0</v>
      </c>
      <c r="J844" s="390">
        <f>'TAMUCC FGD'!$J$35</f>
        <v>0</v>
      </c>
      <c r="K844" s="390">
        <f>'TAMUCC FGD'!$K$35</f>
        <v>0</v>
      </c>
      <c r="L844" s="390">
        <f>'TAMUCC FGD'!$L$35</f>
        <v>0</v>
      </c>
      <c r="M844" s="567">
        <f>'TAMUCC FGD'!$M$35</f>
        <v>0</v>
      </c>
      <c r="N844" s="401"/>
    </row>
    <row r="845" spans="2:14" s="160" customFormat="1" ht="12.75" hidden="1" customHeight="1" outlineLevel="1">
      <c r="B845" s="674" t="str">
        <f>'TAMUCT FGD'!$B$2</f>
        <v>Texas A&amp;M University - Central Texas</v>
      </c>
      <c r="C845" s="261"/>
      <c r="D845" s="390">
        <f>'TAMUCT FGD'!$D$35</f>
        <v>0</v>
      </c>
      <c r="E845" s="390">
        <f>'TAMUCT FGD'!$E$35</f>
        <v>0</v>
      </c>
      <c r="F845" s="390">
        <f>'TAMUCT FGD'!$F$35</f>
        <v>0</v>
      </c>
      <c r="G845" s="390">
        <f>'TAMUCT FGD'!$G$35</f>
        <v>0</v>
      </c>
      <c r="H845" s="390">
        <f>'TAMUCT FGD'!$H$35</f>
        <v>0</v>
      </c>
      <c r="I845" s="390">
        <f>'TAMUCT FGD'!$I$35</f>
        <v>0</v>
      </c>
      <c r="J845" s="390">
        <f>'TAMUCT FGD'!$J$35</f>
        <v>0</v>
      </c>
      <c r="K845" s="390">
        <f>'TAMUCT FGD'!$K$35</f>
        <v>0</v>
      </c>
      <c r="L845" s="390">
        <f>'TAMUCT FGD'!$L$35</f>
        <v>0</v>
      </c>
      <c r="M845" s="567">
        <f>'TAMUCT FGD'!$M$35</f>
        <v>0</v>
      </c>
      <c r="N845" s="401"/>
    </row>
    <row r="846" spans="2:14" s="160" customFormat="1" ht="12.75" hidden="1" customHeight="1" outlineLevel="1">
      <c r="B846" s="674" t="str">
        <f>'TAMUG FGD'!$B$2</f>
        <v>Texas A&amp;M University at Galveston</v>
      </c>
      <c r="C846" s="261"/>
      <c r="D846" s="390">
        <f>'TAMUG FGD'!$D$35</f>
        <v>0</v>
      </c>
      <c r="E846" s="390">
        <f>'TAMUG FGD'!$E$35</f>
        <v>0</v>
      </c>
      <c r="F846" s="390">
        <f>'TAMUG FGD'!$F$35</f>
        <v>0</v>
      </c>
      <c r="G846" s="390">
        <f>'TAMUG FGD'!$G$35</f>
        <v>0</v>
      </c>
      <c r="H846" s="390">
        <f>'TAMUG FGD'!$H$35</f>
        <v>0</v>
      </c>
      <c r="I846" s="390">
        <f>'TAMUG FGD'!$I$35</f>
        <v>0</v>
      </c>
      <c r="J846" s="390">
        <f>'TAMUG FGD'!$J$35</f>
        <v>0</v>
      </c>
      <c r="K846" s="390">
        <f>'TAMUG FGD'!$K$35</f>
        <v>0</v>
      </c>
      <c r="L846" s="390">
        <f>'TAMUG FGD'!$L$35</f>
        <v>0</v>
      </c>
      <c r="M846" s="567">
        <f>'TAMUG FGD'!$M$35</f>
        <v>0</v>
      </c>
      <c r="N846" s="401"/>
    </row>
    <row r="847" spans="2:14" s="160" customFormat="1" ht="12.75" hidden="1" customHeight="1" outlineLevel="1">
      <c r="B847" s="674" t="str">
        <f>'TAMUK FGD'!$B$2</f>
        <v>Texas A&amp;M University - Kingsville</v>
      </c>
      <c r="C847" s="261"/>
      <c r="D847" s="390">
        <f>'TAMUK FGD'!$D$35</f>
        <v>0</v>
      </c>
      <c r="E847" s="390">
        <f>'TAMUK FGD'!$E$35</f>
        <v>0</v>
      </c>
      <c r="F847" s="390">
        <f>'TAMUK FGD'!$F$35</f>
        <v>0</v>
      </c>
      <c r="G847" s="390">
        <f>'TAMUK FGD'!$G$35</f>
        <v>0</v>
      </c>
      <c r="H847" s="390">
        <f>'TAMUK FGD'!$H$35</f>
        <v>0</v>
      </c>
      <c r="I847" s="390">
        <f>'TAMUK FGD'!$I$35</f>
        <v>0</v>
      </c>
      <c r="J847" s="390">
        <f>'TAMUK FGD'!$J$35</f>
        <v>0</v>
      </c>
      <c r="K847" s="390">
        <f>'TAMUK FGD'!$K$35</f>
        <v>0</v>
      </c>
      <c r="L847" s="390">
        <f>'TAMUK FGD'!$L$35</f>
        <v>0</v>
      </c>
      <c r="M847" s="567">
        <f>'TAMUK FGD'!$M$35</f>
        <v>0</v>
      </c>
      <c r="N847" s="401"/>
    </row>
    <row r="848" spans="2:14" s="160" customFormat="1" ht="12.75" hidden="1" customHeight="1" outlineLevel="1">
      <c r="B848" s="674" t="str">
        <f>'TAMUSA FGD'!$B$2</f>
        <v>Texas A&amp;M University - San Antonio</v>
      </c>
      <c r="C848" s="261"/>
      <c r="D848" s="390">
        <f>'TAMUSA FGD'!$D$35</f>
        <v>0</v>
      </c>
      <c r="E848" s="390">
        <f>'TAMUSA FGD'!$E$35</f>
        <v>0</v>
      </c>
      <c r="F848" s="390">
        <f>'TAMUSA FGD'!$F$35</f>
        <v>0</v>
      </c>
      <c r="G848" s="390">
        <f>'TAMUSA FGD'!$G$35</f>
        <v>0</v>
      </c>
      <c r="H848" s="390">
        <f>'TAMUSA FGD'!$H$35</f>
        <v>0</v>
      </c>
      <c r="I848" s="390">
        <f>'TAMUSA FGD'!$I$35</f>
        <v>0</v>
      </c>
      <c r="J848" s="390">
        <f>'TAMUSA FGD'!$J$35</f>
        <v>0</v>
      </c>
      <c r="K848" s="390">
        <f>'TAMUSA FGD'!$K$35</f>
        <v>0</v>
      </c>
      <c r="L848" s="390">
        <f>'TAMUSA FGD'!$L$35</f>
        <v>0</v>
      </c>
      <c r="M848" s="567">
        <f>'TAMUSA FGD'!$M$35</f>
        <v>0</v>
      </c>
      <c r="N848" s="401"/>
    </row>
    <row r="849" spans="2:14" s="160" customFormat="1" ht="12.75" hidden="1" customHeight="1" outlineLevel="1">
      <c r="B849" s="674" t="str">
        <f>'TAMUT FGD'!$B$2</f>
        <v>Texas A&amp;M University - Texarkana</v>
      </c>
      <c r="C849" s="261"/>
      <c r="D849" s="390">
        <f>'TAMUT FGD'!$D$35</f>
        <v>0</v>
      </c>
      <c r="E849" s="390">
        <f>'TAMUT FGD'!$E$35</f>
        <v>0</v>
      </c>
      <c r="F849" s="390">
        <f>'TAMUT FGD'!$F$35</f>
        <v>0</v>
      </c>
      <c r="G849" s="390">
        <f>'TAMUT FGD'!$G$35</f>
        <v>0</v>
      </c>
      <c r="H849" s="390">
        <f>'TAMUT FGD'!$H$35</f>
        <v>0</v>
      </c>
      <c r="I849" s="390">
        <f>'TAMUT FGD'!$I$35</f>
        <v>0</v>
      </c>
      <c r="J849" s="390">
        <f>'TAMUT FGD'!$J$35</f>
        <v>0</v>
      </c>
      <c r="K849" s="390">
        <f>'TAMUT FGD'!$K$35</f>
        <v>0</v>
      </c>
      <c r="L849" s="390">
        <f>'TAMUT FGD'!$L$35</f>
        <v>0</v>
      </c>
      <c r="M849" s="567">
        <f>'TAMUT FGD'!$M$35</f>
        <v>0</v>
      </c>
      <c r="N849" s="401"/>
    </row>
    <row r="850" spans="2:14" s="160" customFormat="1" ht="12.75" hidden="1" customHeight="1" outlineLevel="1">
      <c r="B850" s="674" t="str">
        <f>'TARLST FGD'!$B$2</f>
        <v>Tarleton State University</v>
      </c>
      <c r="C850" s="261"/>
      <c r="D850" s="390">
        <f>'TARLST FGD'!$D$35</f>
        <v>0</v>
      </c>
      <c r="E850" s="390">
        <f>'TARLST FGD'!$E$35</f>
        <v>0</v>
      </c>
      <c r="F850" s="390">
        <f>'TARLST FGD'!$F$35</f>
        <v>0</v>
      </c>
      <c r="G850" s="390">
        <f>'TARLST FGD'!$G$35</f>
        <v>0</v>
      </c>
      <c r="H850" s="390">
        <f>'TARLST FGD'!$H$35</f>
        <v>0</v>
      </c>
      <c r="I850" s="390">
        <f>'TARLST FGD'!$I$35</f>
        <v>0</v>
      </c>
      <c r="J850" s="390">
        <f>'TARLST FGD'!$J$35</f>
        <v>0</v>
      </c>
      <c r="K850" s="390">
        <f>'TARLST FGD'!$K$35</f>
        <v>0</v>
      </c>
      <c r="L850" s="390">
        <f>'TARLST FGD'!$L$35</f>
        <v>0</v>
      </c>
      <c r="M850" s="567">
        <f>'TARLST FGD'!$M$35</f>
        <v>0</v>
      </c>
      <c r="N850" s="401"/>
    </row>
    <row r="851" spans="2:14" s="160" customFormat="1" ht="12.75" hidden="1" customHeight="1" outlineLevel="1">
      <c r="B851" s="674" t="str">
        <f>'TSU FGD'!$B$2</f>
        <v>Texas Southern University</v>
      </c>
      <c r="C851" s="261"/>
      <c r="D851" s="390">
        <f>'TSU FGD'!$D$35</f>
        <v>0</v>
      </c>
      <c r="E851" s="390">
        <f>'TSU FGD'!$E$35</f>
        <v>0</v>
      </c>
      <c r="F851" s="390">
        <f>'TSU FGD'!$F$35</f>
        <v>0</v>
      </c>
      <c r="G851" s="390">
        <f>'TSU FGD'!$G$35</f>
        <v>0</v>
      </c>
      <c r="H851" s="390">
        <f>'TSU FGD'!$H$35</f>
        <v>0</v>
      </c>
      <c r="I851" s="390">
        <f>'TSU FGD'!$I$35</f>
        <v>0</v>
      </c>
      <c r="J851" s="390">
        <f>'TSU FGD'!$J$35</f>
        <v>0</v>
      </c>
      <c r="K851" s="390">
        <f>'TSU FGD'!$K$35</f>
        <v>0</v>
      </c>
      <c r="L851" s="390">
        <f>'TSU FGD'!$L$35</f>
        <v>0</v>
      </c>
      <c r="M851" s="567">
        <f>'TSU FGD'!$M$35</f>
        <v>0</v>
      </c>
      <c r="N851" s="401"/>
    </row>
    <row r="852" spans="2:14" s="160" customFormat="1" ht="12.75" hidden="1" customHeight="1" outlineLevel="1">
      <c r="B852" s="674" t="str">
        <f>'TTU FGD'!$B$2</f>
        <v>Texas Tech University</v>
      </c>
      <c r="C852" s="261"/>
      <c r="D852" s="390">
        <f>'TTU FGD'!$D$35</f>
        <v>0</v>
      </c>
      <c r="E852" s="390">
        <f>'TTU FGD'!$E$35</f>
        <v>0</v>
      </c>
      <c r="F852" s="390">
        <f>'TTU FGD'!$F$35</f>
        <v>0</v>
      </c>
      <c r="G852" s="390">
        <f>'TTU FGD'!$G$35</f>
        <v>0</v>
      </c>
      <c r="H852" s="390">
        <f>'TTU FGD'!$H$35</f>
        <v>0</v>
      </c>
      <c r="I852" s="390">
        <f>'TTU FGD'!$I$35</f>
        <v>0</v>
      </c>
      <c r="J852" s="390">
        <f>'TTU FGD'!$J$35</f>
        <v>0</v>
      </c>
      <c r="K852" s="390">
        <f>'TTU FGD'!$K$35</f>
        <v>0</v>
      </c>
      <c r="L852" s="390">
        <f>'TTU FGD'!$L$35</f>
        <v>0</v>
      </c>
      <c r="M852" s="567">
        <f>'TTU FGD'!$M$35</f>
        <v>0</v>
      </c>
      <c r="N852" s="401"/>
    </row>
    <row r="853" spans="2:14" s="160" customFormat="1" ht="12.75" hidden="1" customHeight="1" outlineLevel="1">
      <c r="B853" s="674" t="str">
        <f>'TWU FGD'!$B$2</f>
        <v>Texas Woman's University</v>
      </c>
      <c r="C853" s="261"/>
      <c r="D853" s="390">
        <f>'TWU FGD'!$D$35</f>
        <v>0</v>
      </c>
      <c r="E853" s="390">
        <f>'TWU FGD'!$E$35</f>
        <v>0</v>
      </c>
      <c r="F853" s="390">
        <f>'TWU FGD'!$F$35</f>
        <v>0</v>
      </c>
      <c r="G853" s="390">
        <f>'TWU FGD'!$G$35</f>
        <v>0</v>
      </c>
      <c r="H853" s="390">
        <f>'TWU FGD'!$H$35</f>
        <v>0</v>
      </c>
      <c r="I853" s="390">
        <f>'TWU FGD'!$I$35</f>
        <v>0</v>
      </c>
      <c r="J853" s="390">
        <f>'TWU FGD'!$J$35</f>
        <v>0</v>
      </c>
      <c r="K853" s="390">
        <f>'TWU FGD'!$K$35</f>
        <v>0</v>
      </c>
      <c r="L853" s="390">
        <f>'TWU FGD'!$L$35</f>
        <v>0</v>
      </c>
      <c r="M853" s="567">
        <f>'TWU FGD'!$M$35</f>
        <v>0</v>
      </c>
      <c r="N853" s="401"/>
    </row>
    <row r="854" spans="2:14" s="160" customFormat="1" ht="12.75" hidden="1" customHeight="1" outlineLevel="1">
      <c r="B854" s="674" t="str">
        <f>'TXST FGD'!$B$2</f>
        <v>Texas State University</v>
      </c>
      <c r="C854" s="261"/>
      <c r="D854" s="390">
        <f>'TXST FGD'!$D$35</f>
        <v>0</v>
      </c>
      <c r="E854" s="390">
        <f>'TXST FGD'!$E$35</f>
        <v>0</v>
      </c>
      <c r="F854" s="390">
        <f>'TXST FGD'!$F$35</f>
        <v>0</v>
      </c>
      <c r="G854" s="390">
        <f>'TXST FGD'!$G$35</f>
        <v>0</v>
      </c>
      <c r="H854" s="390">
        <f>'TXST FGD'!$H$35</f>
        <v>0</v>
      </c>
      <c r="I854" s="390">
        <f>'TXST FGD'!$I$35</f>
        <v>0</v>
      </c>
      <c r="J854" s="390">
        <f>'TXST FGD'!$J$35</f>
        <v>0</v>
      </c>
      <c r="K854" s="390">
        <f>'TXST FGD'!$K$35</f>
        <v>0</v>
      </c>
      <c r="L854" s="390">
        <f>'TXST FGD'!$L$35</f>
        <v>0</v>
      </c>
      <c r="M854" s="567">
        <f>'TXST FGD'!$M$35</f>
        <v>0</v>
      </c>
      <c r="N854" s="401"/>
    </row>
    <row r="855" spans="2:14" s="160" customFormat="1" ht="12.75" hidden="1" customHeight="1" outlineLevel="1">
      <c r="B855" s="674" t="str">
        <f>'TYL FGD'!$B$2</f>
        <v>The University of Texas at Tyler</v>
      </c>
      <c r="C855" s="261"/>
      <c r="D855" s="390">
        <f>'TYL FGD'!$D$35</f>
        <v>0</v>
      </c>
      <c r="E855" s="390">
        <f>'TYL FGD'!$E$35</f>
        <v>0</v>
      </c>
      <c r="F855" s="390">
        <f>'TYL FGD'!$F$35</f>
        <v>0</v>
      </c>
      <c r="G855" s="390">
        <f>'TYL FGD'!$G$35</f>
        <v>0</v>
      </c>
      <c r="H855" s="390">
        <f>'TYL FGD'!$H$35</f>
        <v>0</v>
      </c>
      <c r="I855" s="390">
        <f>'TYL FGD'!$I$35</f>
        <v>0</v>
      </c>
      <c r="J855" s="390">
        <f>'TYL FGD'!$J$35</f>
        <v>0</v>
      </c>
      <c r="K855" s="390">
        <f>'TYL FGD'!$K$35</f>
        <v>0</v>
      </c>
      <c r="L855" s="390">
        <f>'TYL FGD'!$L$35</f>
        <v>0</v>
      </c>
      <c r="M855" s="567">
        <f>'TYL FGD'!$M$35</f>
        <v>0</v>
      </c>
      <c r="N855" s="401"/>
    </row>
    <row r="856" spans="2:14" s="160" customFormat="1" ht="12.75" hidden="1" customHeight="1" outlineLevel="1">
      <c r="B856" s="674" t="str">
        <f>'UH1 FGD'!$B$2</f>
        <v>University of Houston - Academic &amp; Health (A+H)</v>
      </c>
      <c r="C856" s="261"/>
      <c r="D856" s="390">
        <f>'UH1 FGD'!$D$35</f>
        <v>0</v>
      </c>
      <c r="E856" s="390">
        <f>'UH1 FGD'!$E$35</f>
        <v>0</v>
      </c>
      <c r="F856" s="390">
        <f>'UH1 FGD'!$F$35</f>
        <v>0</v>
      </c>
      <c r="G856" s="390">
        <f>'UH1 FGD'!$G$35</f>
        <v>0</v>
      </c>
      <c r="H856" s="390">
        <f>'UH1 FGD'!$H$35</f>
        <v>0</v>
      </c>
      <c r="I856" s="390">
        <f>'UH1 FGD'!$I$35</f>
        <v>0</v>
      </c>
      <c r="J856" s="390">
        <f>'UH1 FGD'!$J$35</f>
        <v>0</v>
      </c>
      <c r="K856" s="390">
        <f>'UH1 FGD'!$K$35</f>
        <v>0</v>
      </c>
      <c r="L856" s="390">
        <f>'UH1 FGD'!$L$35</f>
        <v>0</v>
      </c>
      <c r="M856" s="567">
        <f>'UH1 FGD'!$M$35</f>
        <v>0</v>
      </c>
      <c r="N856" s="401"/>
    </row>
    <row r="857" spans="2:14" s="160" customFormat="1" ht="12.75" hidden="1" customHeight="1" outlineLevel="1">
      <c r="B857" s="674" t="str">
        <f>'UHCL FGD'!$B$2</f>
        <v>University of Houston - Clear Lake</v>
      </c>
      <c r="C857" s="261"/>
      <c r="D857" s="390">
        <f>'UHCL FGD'!$D$35</f>
        <v>0</v>
      </c>
      <c r="E857" s="390">
        <f>'UHCL FGD'!$E$35</f>
        <v>0</v>
      </c>
      <c r="F857" s="390">
        <f>'UHCL FGD'!$F$35</f>
        <v>0</v>
      </c>
      <c r="G857" s="390">
        <f>'UHCL FGD'!$G$35</f>
        <v>0</v>
      </c>
      <c r="H857" s="390">
        <f>'UHCL FGD'!$H$35</f>
        <v>0</v>
      </c>
      <c r="I857" s="390">
        <f>'UHCL FGD'!$I$35</f>
        <v>0</v>
      </c>
      <c r="J857" s="390">
        <f>'UHCL FGD'!$J$35</f>
        <v>0</v>
      </c>
      <c r="K857" s="390">
        <f>'UHCL FGD'!$K$35</f>
        <v>0</v>
      </c>
      <c r="L857" s="390">
        <f>'UHCL FGD'!$L$35</f>
        <v>0</v>
      </c>
      <c r="M857" s="567">
        <f>'UHCL FGD'!$M$35</f>
        <v>0</v>
      </c>
      <c r="N857" s="401"/>
    </row>
    <row r="858" spans="2:14" s="160" customFormat="1" ht="12.75" hidden="1" customHeight="1" outlineLevel="1">
      <c r="B858" s="674" t="str">
        <f>'UHD FGD'!$B$2</f>
        <v>University of Houston - Downtown</v>
      </c>
      <c r="C858" s="261"/>
      <c r="D858" s="390">
        <f>'UHD FGD'!$D$35</f>
        <v>0</v>
      </c>
      <c r="E858" s="390">
        <f>'UHD FGD'!$E$35</f>
        <v>0</v>
      </c>
      <c r="F858" s="390">
        <f>'UHD FGD'!$F$35</f>
        <v>0</v>
      </c>
      <c r="G858" s="390">
        <f>'UHD FGD'!$G$35</f>
        <v>0</v>
      </c>
      <c r="H858" s="390">
        <f>'UHD FGD'!$H$35</f>
        <v>0</v>
      </c>
      <c r="I858" s="390">
        <f>'UHD FGD'!$I$35</f>
        <v>0</v>
      </c>
      <c r="J858" s="390">
        <f>'UHD FGD'!$J$35</f>
        <v>0</v>
      </c>
      <c r="K858" s="390">
        <f>'UHD FGD'!$K$35</f>
        <v>0</v>
      </c>
      <c r="L858" s="390">
        <f>'UHD FGD'!$L$35</f>
        <v>0</v>
      </c>
      <c r="M858" s="567">
        <f>'UHD FGD'!$M$35</f>
        <v>0</v>
      </c>
      <c r="N858" s="401"/>
    </row>
    <row r="859" spans="2:14" s="160" customFormat="1" ht="12.75" hidden="1" customHeight="1" outlineLevel="1">
      <c r="B859" s="674" t="str">
        <f>'UHV FGD'!$B$2</f>
        <v>University of Houston - Victoria</v>
      </c>
      <c r="C859" s="261"/>
      <c r="D859" s="390">
        <f>'UHV FGD'!$D$35</f>
        <v>0</v>
      </c>
      <c r="E859" s="390">
        <f>'UHV FGD'!$E$35</f>
        <v>0</v>
      </c>
      <c r="F859" s="390">
        <f>'UHV FGD'!$F$35</f>
        <v>0</v>
      </c>
      <c r="G859" s="390">
        <f>'UHV FGD'!$G$35</f>
        <v>0</v>
      </c>
      <c r="H859" s="390">
        <f>'UHV FGD'!$H$35</f>
        <v>0</v>
      </c>
      <c r="I859" s="390">
        <f>'UHV FGD'!$I$35</f>
        <v>0</v>
      </c>
      <c r="J859" s="390">
        <f>'UHV FGD'!$J$35</f>
        <v>0</v>
      </c>
      <c r="K859" s="390">
        <f>'UHV FGD'!$K$35</f>
        <v>0</v>
      </c>
      <c r="L859" s="390">
        <f>'UHV FGD'!$L$35</f>
        <v>0</v>
      </c>
      <c r="M859" s="567">
        <f>'UHV FGD'!$M$35</f>
        <v>0</v>
      </c>
      <c r="N859" s="401"/>
    </row>
    <row r="860" spans="2:14" s="160" customFormat="1" ht="12.75" hidden="1" customHeight="1" outlineLevel="1">
      <c r="B860" s="674" t="str">
        <f>'UNT FGD'!$B$2</f>
        <v>University of North Texas</v>
      </c>
      <c r="C860" s="261"/>
      <c r="D860" s="390">
        <f>'UNT FGD'!$D$35</f>
        <v>0</v>
      </c>
      <c r="E860" s="390">
        <f>'UNT FGD'!$E$35</f>
        <v>0</v>
      </c>
      <c r="F860" s="390">
        <f>'UNT FGD'!$F$35</f>
        <v>0</v>
      </c>
      <c r="G860" s="390">
        <f>'UNT FGD'!$G$35</f>
        <v>0</v>
      </c>
      <c r="H860" s="390">
        <f>'UNT FGD'!$H$35</f>
        <v>0</v>
      </c>
      <c r="I860" s="390">
        <f>'UNT FGD'!$I$35</f>
        <v>0</v>
      </c>
      <c r="J860" s="390">
        <f>'UNT FGD'!$J$35</f>
        <v>0</v>
      </c>
      <c r="K860" s="390">
        <f>'UNT FGD'!$K$35</f>
        <v>0</v>
      </c>
      <c r="L860" s="390">
        <f>'UNT FGD'!$L$35</f>
        <v>0</v>
      </c>
      <c r="M860" s="567">
        <f>'UNT FGD'!$M$35</f>
        <v>0</v>
      </c>
      <c r="N860" s="401"/>
    </row>
    <row r="861" spans="2:14" s="160" customFormat="1" ht="12.75" hidden="1" customHeight="1" outlineLevel="1">
      <c r="B861" s="674" t="str">
        <f>'UNTD FGD'!$B$2</f>
        <v>University of North Texas at Dallas</v>
      </c>
      <c r="C861" s="261"/>
      <c r="D861" s="390">
        <f>'UNTD FGD'!$D$35</f>
        <v>0</v>
      </c>
      <c r="E861" s="390">
        <f>'UNTD FGD'!$E$35</f>
        <v>0</v>
      </c>
      <c r="F861" s="390">
        <f>'UNTD FGD'!$F$35</f>
        <v>0</v>
      </c>
      <c r="G861" s="390">
        <f>'UNTD FGD'!$G$35</f>
        <v>0</v>
      </c>
      <c r="H861" s="390">
        <f>'UNTD FGD'!$H$35</f>
        <v>0</v>
      </c>
      <c r="I861" s="390">
        <f>'UNTD FGD'!$I$35</f>
        <v>0</v>
      </c>
      <c r="J861" s="390">
        <f>'UNTD FGD'!$J$35</f>
        <v>0</v>
      </c>
      <c r="K861" s="390">
        <f>'UNTD FGD'!$K$35</f>
        <v>0</v>
      </c>
      <c r="L861" s="390">
        <f>'UNTD FGD'!$L$35</f>
        <v>0</v>
      </c>
      <c r="M861" s="567">
        <f>'UNTD FGD'!$M$35</f>
        <v>0</v>
      </c>
      <c r="N861" s="401"/>
    </row>
    <row r="862" spans="2:14" s="160" customFormat="1" ht="12.75" hidden="1" customHeight="1" outlineLevel="1">
      <c r="B862" s="674" t="str">
        <f>'WTAMU FGD'!$B$2</f>
        <v>West Texas A&amp;M University</v>
      </c>
      <c r="C862" s="261"/>
      <c r="D862" s="390">
        <f>'WTAMU FGD'!$D$35</f>
        <v>0</v>
      </c>
      <c r="E862" s="390">
        <f>'WTAMU FGD'!$E$35</f>
        <v>0</v>
      </c>
      <c r="F862" s="390">
        <f>'WTAMU FGD'!$F$35</f>
        <v>0</v>
      </c>
      <c r="G862" s="390">
        <f>'WTAMU FGD'!$G$35</f>
        <v>0</v>
      </c>
      <c r="H862" s="390">
        <f>'WTAMU FGD'!$H$35</f>
        <v>0</v>
      </c>
      <c r="I862" s="390">
        <f>'WTAMU FGD'!$I$35</f>
        <v>0</v>
      </c>
      <c r="J862" s="390">
        <f>'WTAMU FGD'!$J$35</f>
        <v>0</v>
      </c>
      <c r="K862" s="390">
        <f>'WTAMU FGD'!$K$35</f>
        <v>0</v>
      </c>
      <c r="L862" s="390">
        <f>'WTAMU FGD'!$L$35</f>
        <v>0</v>
      </c>
      <c r="M862" s="567">
        <f>'WTAMU FGD'!$M$35</f>
        <v>0</v>
      </c>
      <c r="N862" s="401"/>
    </row>
    <row r="863" spans="2:14" s="160" customFormat="1" collapsed="1">
      <c r="B863" s="261" t="s">
        <v>725</v>
      </c>
      <c r="C863" s="261"/>
      <c r="D863" s="390">
        <f t="shared" ref="D863:M863" si="22">SUM(D827:D862)</f>
        <v>0</v>
      </c>
      <c r="E863" s="390">
        <f t="shared" si="22"/>
        <v>0</v>
      </c>
      <c r="F863" s="390">
        <f t="shared" si="22"/>
        <v>0</v>
      </c>
      <c r="G863" s="390">
        <f t="shared" si="22"/>
        <v>0</v>
      </c>
      <c r="H863" s="390">
        <f t="shared" si="22"/>
        <v>0</v>
      </c>
      <c r="I863" s="390">
        <f t="shared" si="22"/>
        <v>0</v>
      </c>
      <c r="J863" s="390">
        <f t="shared" si="22"/>
        <v>0</v>
      </c>
      <c r="K863" s="390">
        <f t="shared" si="22"/>
        <v>0</v>
      </c>
      <c r="L863" s="390">
        <f t="shared" si="22"/>
        <v>0</v>
      </c>
      <c r="M863" s="567">
        <f t="shared" si="22"/>
        <v>0</v>
      </c>
      <c r="N863" s="401"/>
    </row>
    <row r="864" spans="2:14" s="160" customFormat="1" ht="12.75" hidden="1" customHeight="1" outlineLevel="1">
      <c r="B864" s="390" t="str">
        <f>'ARL FGD'!$B$2</f>
        <v>The University of Texas at Arlington</v>
      </c>
      <c r="C864" s="261"/>
      <c r="D864" s="390">
        <f>'ARL FGD'!$D$36</f>
        <v>560</v>
      </c>
      <c r="E864" s="390">
        <f>'ARL FGD'!$E$36</f>
        <v>125283928</v>
      </c>
      <c r="F864" s="390">
        <f>'ARL FGD'!$F$36</f>
        <v>19897189</v>
      </c>
      <c r="G864" s="390">
        <f>'ARL FGD'!$G$36</f>
        <v>0</v>
      </c>
      <c r="H864" s="390">
        <f>'ARL FGD'!$H$36</f>
        <v>0</v>
      </c>
      <c r="I864" s="390">
        <f>'ARL FGD'!$I$36</f>
        <v>0</v>
      </c>
      <c r="J864" s="390">
        <f>'ARL FGD'!$J$36</f>
        <v>0</v>
      </c>
      <c r="K864" s="390">
        <f>'ARL FGD'!$K$36</f>
        <v>0</v>
      </c>
      <c r="L864" s="390">
        <f>'ARL FGD'!$L$36</f>
        <v>0</v>
      </c>
      <c r="M864" s="567">
        <f>'ARL FGD'!$M$36</f>
        <v>145181677</v>
      </c>
      <c r="N864" s="401"/>
    </row>
    <row r="865" spans="2:14" s="160" customFormat="1" ht="12.75" hidden="1" customHeight="1" outlineLevel="1">
      <c r="B865" s="390" t="str">
        <f>'ASU FGD'!$B$2</f>
        <v>Angelo State University</v>
      </c>
      <c r="C865" s="261"/>
      <c r="D865" s="390">
        <f>'ASU FGD'!$D$36</f>
        <v>0</v>
      </c>
      <c r="E865" s="390">
        <f>'ASU FGD'!$E$36</f>
        <v>17973884</v>
      </c>
      <c r="F865" s="390">
        <f>'ASU FGD'!$F$36</f>
        <v>10001469</v>
      </c>
      <c r="G865" s="390">
        <f>'ASU FGD'!$G$36</f>
        <v>0</v>
      </c>
      <c r="H865" s="390">
        <f>'ASU FGD'!$H$36</f>
        <v>0</v>
      </c>
      <c r="I865" s="390">
        <f>'ASU FGD'!$I$36</f>
        <v>0</v>
      </c>
      <c r="J865" s="390">
        <f>'ASU FGD'!$J$36</f>
        <v>0</v>
      </c>
      <c r="K865" s="390">
        <f>'ASU FGD'!$K$36</f>
        <v>0</v>
      </c>
      <c r="L865" s="390">
        <f>'ASU FGD'!$L$36</f>
        <v>0</v>
      </c>
      <c r="M865" s="567">
        <f>'ASU FGD'!$M$36</f>
        <v>27975353</v>
      </c>
      <c r="N865" s="401"/>
    </row>
    <row r="866" spans="2:14" s="160" customFormat="1" ht="12.75" hidden="1" customHeight="1" outlineLevel="1">
      <c r="B866" s="390" t="str">
        <f>'AUS1 FGD'!$B$2</f>
        <v>The University of Texas at Austin - Academic &amp; Health (A+H)</v>
      </c>
      <c r="C866" s="261"/>
      <c r="D866" s="390">
        <f>'AUS1 FGD'!$D$36</f>
        <v>137021</v>
      </c>
      <c r="E866" s="390">
        <f>'AUS1 FGD'!$E$36</f>
        <v>47758957</v>
      </c>
      <c r="F866" s="390">
        <f>'AUS1 FGD'!$F$36</f>
        <v>44566198</v>
      </c>
      <c r="G866" s="390">
        <f>'AUS1 FGD'!$G$36</f>
        <v>0</v>
      </c>
      <c r="H866" s="390">
        <f>'AUS1 FGD'!$H$36</f>
        <v>0</v>
      </c>
      <c r="I866" s="390">
        <f>'AUS1 FGD'!$I$36</f>
        <v>0</v>
      </c>
      <c r="J866" s="390">
        <f>'AUS1 FGD'!$J$36</f>
        <v>0</v>
      </c>
      <c r="K866" s="390">
        <f>'AUS1 FGD'!$K$36</f>
        <v>0</v>
      </c>
      <c r="L866" s="390">
        <f>'AUS1 FGD'!$L$36</f>
        <v>0</v>
      </c>
      <c r="M866" s="567">
        <f>'AUS1 FGD'!$M$36</f>
        <v>92462176</v>
      </c>
      <c r="N866" s="401"/>
    </row>
    <row r="867" spans="2:14" s="160" customFormat="1" ht="12.75" hidden="1" customHeight="1" outlineLevel="1">
      <c r="B867" s="390" t="str">
        <f>'RGV1 FGD'!$B$2</f>
        <v>The University of Texas RGV - Academic &amp; Health (A+H)</v>
      </c>
      <c r="C867" s="261"/>
      <c r="D867" s="390">
        <f>'RGV1 FGD'!$D$36</f>
        <v>2731768</v>
      </c>
      <c r="E867" s="390">
        <f>'RGV1 FGD'!$E$36</f>
        <v>27680157</v>
      </c>
      <c r="F867" s="390">
        <f>'RGV1 FGD'!$F$36</f>
        <v>23568184</v>
      </c>
      <c r="G867" s="390">
        <f>'RGV1 FGD'!$G$36</f>
        <v>0</v>
      </c>
      <c r="H867" s="390">
        <f>'RGV1 FGD'!$H$36</f>
        <v>0</v>
      </c>
      <c r="I867" s="390">
        <f>'RGV1 FGD'!$I$36</f>
        <v>0</v>
      </c>
      <c r="J867" s="390">
        <f>'RGV1 FGD'!$J$36</f>
        <v>0</v>
      </c>
      <c r="K867" s="390">
        <f>'RGV1 FGD'!$K$36</f>
        <v>0</v>
      </c>
      <c r="L867" s="390">
        <f>'RGV1 FGD'!$L$36</f>
        <v>0</v>
      </c>
      <c r="M867" s="567">
        <f>'RGV1 FGD'!$M$36</f>
        <v>53980109</v>
      </c>
      <c r="N867" s="401"/>
    </row>
    <row r="868" spans="2:14" s="160" customFormat="1" ht="12.75" hidden="1" customHeight="1" outlineLevel="1">
      <c r="B868" s="390" t="str">
        <f>'DAL FGD'!$B$2</f>
        <v>The University of Texas at Dallas</v>
      </c>
      <c r="C868" s="261"/>
      <c r="D868" s="390">
        <f>'DAL FGD'!$D$36</f>
        <v>586454</v>
      </c>
      <c r="E868" s="390">
        <f>'DAL FGD'!$E$36</f>
        <v>81276958</v>
      </c>
      <c r="F868" s="390">
        <f>'DAL FGD'!$F$36</f>
        <v>30544667</v>
      </c>
      <c r="G868" s="390">
        <f>'DAL FGD'!$G$36</f>
        <v>0</v>
      </c>
      <c r="H868" s="390">
        <f>'DAL FGD'!$H$36</f>
        <v>0</v>
      </c>
      <c r="I868" s="390">
        <f>'DAL FGD'!$I$36</f>
        <v>0</v>
      </c>
      <c r="J868" s="390">
        <f>'DAL FGD'!$J$36</f>
        <v>0</v>
      </c>
      <c r="K868" s="390">
        <f>'DAL FGD'!$K$36</f>
        <v>0</v>
      </c>
      <c r="L868" s="390">
        <f>'DAL FGD'!$L$36</f>
        <v>0</v>
      </c>
      <c r="M868" s="567">
        <f>'DAL FGD'!$M$36</f>
        <v>112408079</v>
      </c>
      <c r="N868" s="401"/>
    </row>
    <row r="869" spans="2:14" s="160" customFormat="1" ht="12.75" hidden="1" customHeight="1" outlineLevel="1">
      <c r="B869" s="390" t="str">
        <f>'E-P FGD'!$B$2</f>
        <v>The University of Texas at El Paso</v>
      </c>
      <c r="C869" s="261"/>
      <c r="D869" s="390">
        <f>'E-P FGD'!$D$36</f>
        <v>0</v>
      </c>
      <c r="E869" s="390">
        <f>'E-P FGD'!$E$36</f>
        <v>41921999</v>
      </c>
      <c r="F869" s="390">
        <f>'E-P FGD'!$F$36</f>
        <v>11945852</v>
      </c>
      <c r="G869" s="390">
        <f>'E-P FGD'!$G$36</f>
        <v>0</v>
      </c>
      <c r="H869" s="390">
        <f>'E-P FGD'!$H$36</f>
        <v>0</v>
      </c>
      <c r="I869" s="390">
        <f>'E-P FGD'!$I$36</f>
        <v>0</v>
      </c>
      <c r="J869" s="390">
        <f>'E-P FGD'!$J$36</f>
        <v>0</v>
      </c>
      <c r="K869" s="390">
        <f>'E-P FGD'!$K$36</f>
        <v>0</v>
      </c>
      <c r="L869" s="390">
        <f>'E-P FGD'!$L$36</f>
        <v>0</v>
      </c>
      <c r="M869" s="567">
        <f>'E-P FGD'!$M$36</f>
        <v>53867851</v>
      </c>
      <c r="N869" s="401"/>
    </row>
    <row r="870" spans="2:14" s="160" customFormat="1" ht="12.75" hidden="1" customHeight="1" outlineLevel="1">
      <c r="B870" s="390" t="str">
        <f>'LU FGD'!$B$2</f>
        <v xml:space="preserve">Lamar University </v>
      </c>
      <c r="C870" s="261"/>
      <c r="D870" s="390">
        <f>'LU FGD'!$D$36</f>
        <v>20015</v>
      </c>
      <c r="E870" s="390">
        <f>'LU FGD'!$E$36</f>
        <v>27635059</v>
      </c>
      <c r="F870" s="390">
        <f>'LU FGD'!$F$36</f>
        <v>8070414</v>
      </c>
      <c r="G870" s="390">
        <f>'LU FGD'!$G$36</f>
        <v>0</v>
      </c>
      <c r="H870" s="390">
        <f>'LU FGD'!$H$36</f>
        <v>0</v>
      </c>
      <c r="I870" s="390">
        <f>'LU FGD'!$I$36</f>
        <v>0</v>
      </c>
      <c r="J870" s="390">
        <f>'LU FGD'!$J$36</f>
        <v>0</v>
      </c>
      <c r="K870" s="390">
        <f>'LU FGD'!$K$36</f>
        <v>0</v>
      </c>
      <c r="L870" s="390">
        <f>'LU FGD'!$L$36</f>
        <v>0</v>
      </c>
      <c r="M870" s="567">
        <f>'LU FGD'!$M$36</f>
        <v>35725488</v>
      </c>
      <c r="N870" s="401"/>
    </row>
    <row r="871" spans="2:14" s="160" customFormat="1" ht="12.75" hidden="1" customHeight="1" outlineLevel="1">
      <c r="B871" s="390" t="str">
        <f>'MidWST FGD'!$B$2</f>
        <v>Midwestern State University</v>
      </c>
      <c r="C871" s="261"/>
      <c r="D871" s="390">
        <f>'MidWST FGD'!$D$36</f>
        <v>50290</v>
      </c>
      <c r="E871" s="390">
        <f>'MidWST FGD'!$E$36</f>
        <v>25000602</v>
      </c>
      <c r="F871" s="390">
        <f>'MidWST FGD'!$F$36</f>
        <v>460882</v>
      </c>
      <c r="G871" s="390">
        <f>'MidWST FGD'!$G$36</f>
        <v>0</v>
      </c>
      <c r="H871" s="390">
        <f>'MidWST FGD'!$H$36</f>
        <v>0</v>
      </c>
      <c r="I871" s="390">
        <f>'MidWST FGD'!$I$36</f>
        <v>0</v>
      </c>
      <c r="J871" s="390">
        <f>'MidWST FGD'!$J$36</f>
        <v>0</v>
      </c>
      <c r="K871" s="390">
        <f>'MidWST FGD'!$K$36</f>
        <v>0</v>
      </c>
      <c r="L871" s="390">
        <f>'MidWST FGD'!$L$36</f>
        <v>0</v>
      </c>
      <c r="M871" s="567">
        <f>'MidWST FGD'!$M$36</f>
        <v>25511774</v>
      </c>
      <c r="N871" s="401"/>
    </row>
    <row r="872" spans="2:14" s="160" customFormat="1" ht="12.75" hidden="1" customHeight="1" outlineLevel="1">
      <c r="B872" s="390" t="str">
        <f>'P-B FGD'!$B$2</f>
        <v>The University of Texas of the Permian Basin</v>
      </c>
      <c r="C872" s="261"/>
      <c r="D872" s="390">
        <f>'P-B FGD'!$D$36</f>
        <v>21983</v>
      </c>
      <c r="E872" s="390">
        <f>'P-B FGD'!$E$36</f>
        <v>12174362</v>
      </c>
      <c r="F872" s="390">
        <f>'P-B FGD'!$F$36</f>
        <v>3455383</v>
      </c>
      <c r="G872" s="390">
        <f>'P-B FGD'!$G$36</f>
        <v>0</v>
      </c>
      <c r="H872" s="390">
        <f>'P-B FGD'!$H$36</f>
        <v>0</v>
      </c>
      <c r="I872" s="390">
        <f>'P-B FGD'!$I$36</f>
        <v>0</v>
      </c>
      <c r="J872" s="390">
        <f>'P-B FGD'!$J$36</f>
        <v>0</v>
      </c>
      <c r="K872" s="390">
        <f>'P-B FGD'!$K$36</f>
        <v>0</v>
      </c>
      <c r="L872" s="390">
        <f>'P-B FGD'!$L$36</f>
        <v>0</v>
      </c>
      <c r="M872" s="567">
        <f>'P-B FGD'!$M$36</f>
        <v>15651728</v>
      </c>
      <c r="N872" s="401"/>
    </row>
    <row r="873" spans="2:14" s="160" customFormat="1" ht="12.75" hidden="1" customHeight="1" outlineLevel="1">
      <c r="B873" s="390" t="str">
        <f>'PVAMU FGD'!$B$2</f>
        <v>Prairie View A&amp;M University</v>
      </c>
      <c r="C873" s="261"/>
      <c r="D873" s="390">
        <f>'PVAMU FGD'!$D$36</f>
        <v>155186</v>
      </c>
      <c r="E873" s="390">
        <f>'PVAMU FGD'!$E$36</f>
        <v>26396890</v>
      </c>
      <c r="F873" s="390">
        <f>'PVAMU FGD'!$F$36</f>
        <v>8871409</v>
      </c>
      <c r="G873" s="390">
        <f>'PVAMU FGD'!$G$36</f>
        <v>-3084040</v>
      </c>
      <c r="H873" s="390">
        <f>'PVAMU FGD'!$H$36</f>
        <v>0</v>
      </c>
      <c r="I873" s="390">
        <f>'PVAMU FGD'!$I$36</f>
        <v>0</v>
      </c>
      <c r="J873" s="390">
        <f>'PVAMU FGD'!$J$36</f>
        <v>0</v>
      </c>
      <c r="K873" s="390">
        <f>'PVAMU FGD'!$K$36</f>
        <v>0</v>
      </c>
      <c r="L873" s="390">
        <f>'PVAMU FGD'!$L$36</f>
        <v>0</v>
      </c>
      <c r="M873" s="567">
        <f>'PVAMU FGD'!$M$36</f>
        <v>32339445</v>
      </c>
      <c r="N873" s="401"/>
    </row>
    <row r="874" spans="2:14" s="160" customFormat="1" ht="12.75" hidden="1" customHeight="1" outlineLevel="1">
      <c r="B874" s="390" t="str">
        <f>'S-A FGD'!$B$2</f>
        <v>The University of Texas at San Antonio</v>
      </c>
      <c r="C874" s="261"/>
      <c r="D874" s="390">
        <f>'S-A FGD'!$D$36</f>
        <v>5394733</v>
      </c>
      <c r="E874" s="390">
        <f>'S-A FGD'!$E$36</f>
        <v>93394615</v>
      </c>
      <c r="F874" s="390">
        <f>'S-A FGD'!$F$36</f>
        <v>33909362</v>
      </c>
      <c r="G874" s="390">
        <f>'S-A FGD'!$G$36</f>
        <v>0</v>
      </c>
      <c r="H874" s="390">
        <f>'S-A FGD'!$H$36</f>
        <v>0</v>
      </c>
      <c r="I874" s="390">
        <f>'S-A FGD'!$I$36</f>
        <v>0</v>
      </c>
      <c r="J874" s="390">
        <f>'S-A FGD'!$J$36</f>
        <v>0</v>
      </c>
      <c r="K874" s="390">
        <f>'S-A FGD'!$K$36</f>
        <v>0</v>
      </c>
      <c r="L874" s="390">
        <f>'S-A FGD'!$L$36</f>
        <v>0</v>
      </c>
      <c r="M874" s="567">
        <f>'S-A FGD'!$M$36</f>
        <v>132698710</v>
      </c>
      <c r="N874" s="401"/>
    </row>
    <row r="875" spans="2:14" s="160" customFormat="1" ht="12.75" hidden="1" customHeight="1" outlineLevel="1">
      <c r="B875" s="390" t="str">
        <f>'SFA FGD'!$B$2</f>
        <v>Stephen F. Austin State University</v>
      </c>
      <c r="C875" s="261"/>
      <c r="D875" s="390">
        <f>'SFA FGD'!$D$36</f>
        <v>189736</v>
      </c>
      <c r="E875" s="390">
        <f>'SFA FGD'!$E$36</f>
        <v>30847387</v>
      </c>
      <c r="F875" s="390">
        <f>'SFA FGD'!$F$36</f>
        <v>6808865</v>
      </c>
      <c r="G875" s="390">
        <f>'SFA FGD'!$G$36</f>
        <v>0</v>
      </c>
      <c r="H875" s="390">
        <f>'SFA FGD'!$H$36</f>
        <v>0</v>
      </c>
      <c r="I875" s="390">
        <f>'SFA FGD'!$I$36</f>
        <v>0</v>
      </c>
      <c r="J875" s="390">
        <f>'SFA FGD'!$J$36</f>
        <v>0</v>
      </c>
      <c r="K875" s="390">
        <f>'SFA FGD'!$K$36</f>
        <v>0</v>
      </c>
      <c r="L875" s="390">
        <f>'SFA FGD'!$L$36</f>
        <v>0</v>
      </c>
      <c r="M875" s="567">
        <f>'SFA FGD'!$M$36</f>
        <v>37845988</v>
      </c>
      <c r="N875" s="401"/>
    </row>
    <row r="876" spans="2:14" s="160" customFormat="1" ht="12.75" hidden="1" customHeight="1" outlineLevel="1">
      <c r="B876" s="390" t="str">
        <f>'shsu1 FGD'!$B$2</f>
        <v>Sam Houston State University - Academic &amp; Health (A+H)</v>
      </c>
      <c r="C876" s="261"/>
      <c r="D876" s="390">
        <f>'shsu1 FGD'!$D$36</f>
        <v>457509</v>
      </c>
      <c r="E876" s="390">
        <f>'shsu1 FGD'!$E$36</f>
        <v>83809733</v>
      </c>
      <c r="F876" s="390">
        <f>'shsu1 FGD'!$F$36</f>
        <v>10765137</v>
      </c>
      <c r="G876" s="390">
        <f>'shsu1 FGD'!$G$36</f>
        <v>0</v>
      </c>
      <c r="H876" s="390">
        <f>'shsu1 FGD'!$H$36</f>
        <v>0</v>
      </c>
      <c r="I876" s="390">
        <f>'shsu1 FGD'!$I$36</f>
        <v>0</v>
      </c>
      <c r="J876" s="390">
        <f>'shsu1 FGD'!$J$36</f>
        <v>0</v>
      </c>
      <c r="K876" s="390">
        <f>'shsu1 FGD'!$K$36</f>
        <v>0</v>
      </c>
      <c r="L876" s="390">
        <f>'shsu1 FGD'!$L$36</f>
        <v>0</v>
      </c>
      <c r="M876" s="567">
        <f>'shsu1 FGD'!$M$36</f>
        <v>95032379</v>
      </c>
      <c r="N876" s="401"/>
    </row>
    <row r="877" spans="2:14" s="160" customFormat="1" ht="12.75" hidden="1" customHeight="1" outlineLevel="1">
      <c r="B877" s="390" t="str">
        <f>'SRSU FGD'!$B$2</f>
        <v>Sul Ross State University</v>
      </c>
      <c r="C877" s="261"/>
      <c r="D877" s="390">
        <f>'SRSU FGD'!$D$36</f>
        <v>513036</v>
      </c>
      <c r="E877" s="390">
        <f>'SRSU FGD'!$E$36</f>
        <v>4289945</v>
      </c>
      <c r="F877" s="390">
        <f>'SRSU FGD'!$F$36</f>
        <v>0</v>
      </c>
      <c r="G877" s="390">
        <f>'SRSU FGD'!$G$36</f>
        <v>0</v>
      </c>
      <c r="H877" s="390">
        <f>'SRSU FGD'!$H$36</f>
        <v>0</v>
      </c>
      <c r="I877" s="390">
        <f>'SRSU FGD'!$I$36</f>
        <v>0</v>
      </c>
      <c r="J877" s="390">
        <f>'SRSU FGD'!$J$36</f>
        <v>0</v>
      </c>
      <c r="K877" s="390">
        <f>'SRSU FGD'!$K$36</f>
        <v>0</v>
      </c>
      <c r="L877" s="390">
        <f>'SRSU FGD'!$L$36</f>
        <v>0</v>
      </c>
      <c r="M877" s="567">
        <f>'SRSU FGD'!$M$36</f>
        <v>4802981</v>
      </c>
      <c r="N877" s="401"/>
    </row>
    <row r="878" spans="2:14" s="160" customFormat="1" ht="12.75" hidden="1" customHeight="1" outlineLevel="1">
      <c r="B878" s="390" t="str">
        <f>'TAMIU FGD'!$B$2</f>
        <v>Texas A&amp;M International University</v>
      </c>
      <c r="C878" s="261"/>
      <c r="D878" s="390">
        <f>'TAMIU FGD'!$D$36</f>
        <v>487923</v>
      </c>
      <c r="E878" s="390">
        <f>'TAMIU FGD'!$E$36</f>
        <v>24180919</v>
      </c>
      <c r="F878" s="390">
        <f>'TAMIU FGD'!$F$36</f>
        <v>8134482</v>
      </c>
      <c r="G878" s="390">
        <f>'TAMIU FGD'!$G$36</f>
        <v>88</v>
      </c>
      <c r="H878" s="390">
        <f>'TAMIU FGD'!$H$36</f>
        <v>0</v>
      </c>
      <c r="I878" s="390">
        <f>'TAMIU FGD'!$I$36</f>
        <v>0</v>
      </c>
      <c r="J878" s="390">
        <f>'TAMIU FGD'!$J$36</f>
        <v>0</v>
      </c>
      <c r="K878" s="390">
        <f>'TAMIU FGD'!$K$36</f>
        <v>0</v>
      </c>
      <c r="L878" s="390">
        <f>'TAMIU FGD'!$L$36</f>
        <v>0</v>
      </c>
      <c r="M878" s="567">
        <f>'TAMIU FGD'!$M$36</f>
        <v>32803412</v>
      </c>
      <c r="N878" s="401"/>
    </row>
    <row r="879" spans="2:14" s="160" customFormat="1" ht="12.75" hidden="1" customHeight="1" outlineLevel="1">
      <c r="B879" s="390" t="str">
        <f>'TAMU FGD'!$B$2</f>
        <v>Texas A&amp;M University</v>
      </c>
      <c r="C879" s="261"/>
      <c r="D879" s="390">
        <f>'TAMU FGD'!$D$36</f>
        <v>868838</v>
      </c>
      <c r="E879" s="390">
        <f>'TAMU FGD'!$E$36</f>
        <v>262907180</v>
      </c>
      <c r="F879" s="390">
        <f>'TAMU FGD'!$F$36</f>
        <v>41016580</v>
      </c>
      <c r="G879" s="390">
        <f>'TAMU FGD'!$G$36</f>
        <v>0</v>
      </c>
      <c r="H879" s="390">
        <f>'TAMU FGD'!$H$36</f>
        <v>0</v>
      </c>
      <c r="I879" s="390">
        <f>'TAMU FGD'!$I$36</f>
        <v>0</v>
      </c>
      <c r="J879" s="390">
        <f>'TAMU FGD'!$J$36</f>
        <v>0</v>
      </c>
      <c r="K879" s="390">
        <f>'TAMU FGD'!$K$36</f>
        <v>0</v>
      </c>
      <c r="L879" s="390">
        <f>'TAMU FGD'!$L$36</f>
        <v>0</v>
      </c>
      <c r="M879" s="567">
        <f>'TAMU FGD'!$M$36</f>
        <v>304792598</v>
      </c>
      <c r="N879" s="401"/>
    </row>
    <row r="880" spans="2:14" s="160" customFormat="1" ht="12.75" hidden="1" customHeight="1" outlineLevel="1">
      <c r="B880" s="390" t="str">
        <f>'TAMUC FGD'!$B$2</f>
        <v>Texas A&amp;M University - Commerce</v>
      </c>
      <c r="C880" s="261"/>
      <c r="D880" s="390">
        <f>'TAMUC FGD'!$D$36</f>
        <v>368684</v>
      </c>
      <c r="E880" s="390">
        <f>'TAMUC FGD'!$E$36</f>
        <v>44006060</v>
      </c>
      <c r="F880" s="390">
        <f>'TAMUC FGD'!$F$36</f>
        <v>18122584</v>
      </c>
      <c r="G880" s="390">
        <f>'TAMUC FGD'!$G$36</f>
        <v>-1681659</v>
      </c>
      <c r="H880" s="390">
        <f>'TAMUC FGD'!$H$36</f>
        <v>0</v>
      </c>
      <c r="I880" s="390">
        <f>'TAMUC FGD'!$I$36</f>
        <v>0</v>
      </c>
      <c r="J880" s="390">
        <f>'TAMUC FGD'!$J$36</f>
        <v>0</v>
      </c>
      <c r="K880" s="390">
        <f>'TAMUC FGD'!$K$36</f>
        <v>0</v>
      </c>
      <c r="L880" s="390">
        <f>'TAMUC FGD'!$L$36</f>
        <v>0</v>
      </c>
      <c r="M880" s="567">
        <f>'TAMUC FGD'!$M$36</f>
        <v>60815669</v>
      </c>
      <c r="N880" s="401"/>
    </row>
    <row r="881" spans="2:14" s="160" customFormat="1" ht="12.75" hidden="1" customHeight="1" outlineLevel="1">
      <c r="B881" s="390" t="str">
        <f>'TAMUCC FGD'!$B$2</f>
        <v>Texas A&amp;M University - Corpus Christi</v>
      </c>
      <c r="C881" s="261"/>
      <c r="D881" s="390">
        <f>'TAMUCC FGD'!$D$36</f>
        <v>259682</v>
      </c>
      <c r="E881" s="390">
        <f>'TAMUCC FGD'!$E$36</f>
        <v>39055073</v>
      </c>
      <c r="F881" s="390">
        <f>'TAMUCC FGD'!$F$36</f>
        <v>20051285</v>
      </c>
      <c r="G881" s="390">
        <f>'TAMUCC FGD'!$G$36</f>
        <v>0</v>
      </c>
      <c r="H881" s="390">
        <f>'TAMUCC FGD'!$H$36</f>
        <v>0</v>
      </c>
      <c r="I881" s="390">
        <f>'TAMUCC FGD'!$I$36</f>
        <v>0</v>
      </c>
      <c r="J881" s="390">
        <f>'TAMUCC FGD'!$J$36</f>
        <v>0</v>
      </c>
      <c r="K881" s="390">
        <f>'TAMUCC FGD'!$K$36</f>
        <v>0</v>
      </c>
      <c r="L881" s="390">
        <f>'TAMUCC FGD'!$L$36</f>
        <v>0</v>
      </c>
      <c r="M881" s="567">
        <f>'TAMUCC FGD'!$M$36</f>
        <v>59366040</v>
      </c>
      <c r="N881" s="401"/>
    </row>
    <row r="882" spans="2:14" s="160" customFormat="1" ht="12.75" hidden="1" customHeight="1" outlineLevel="1">
      <c r="B882" s="390" t="str">
        <f>'TAMUCT FGD'!$B$2</f>
        <v>Texas A&amp;M University - Central Texas</v>
      </c>
      <c r="C882" s="261"/>
      <c r="D882" s="390">
        <f>'TAMUCT FGD'!$D$36</f>
        <v>28961</v>
      </c>
      <c r="E882" s="390">
        <f>'TAMUCT FGD'!$E$36</f>
        <v>5178483</v>
      </c>
      <c r="F882" s="390">
        <f>'TAMUCT FGD'!$F$36</f>
        <v>0</v>
      </c>
      <c r="G882" s="390">
        <f>'TAMUCT FGD'!$G$36</f>
        <v>875</v>
      </c>
      <c r="H882" s="390">
        <f>'TAMUCT FGD'!$H$36</f>
        <v>0</v>
      </c>
      <c r="I882" s="390">
        <f>'TAMUCT FGD'!$I$36</f>
        <v>0</v>
      </c>
      <c r="J882" s="390">
        <f>'TAMUCT FGD'!$J$36</f>
        <v>0</v>
      </c>
      <c r="K882" s="390">
        <f>'TAMUCT FGD'!$K$36</f>
        <v>0</v>
      </c>
      <c r="L882" s="390">
        <f>'TAMUCT FGD'!$L$36</f>
        <v>0</v>
      </c>
      <c r="M882" s="567">
        <f>'TAMUCT FGD'!$M$36</f>
        <v>5208319</v>
      </c>
      <c r="N882" s="401"/>
    </row>
    <row r="883" spans="2:14" s="160" customFormat="1" ht="12.75" hidden="1" customHeight="1" outlineLevel="1">
      <c r="B883" s="390" t="str">
        <f>'TAMUG FGD'!$B$2</f>
        <v>Texas A&amp;M University at Galveston</v>
      </c>
      <c r="C883" s="261"/>
      <c r="D883" s="390">
        <f>'TAMUG FGD'!$D$36</f>
        <v>82860</v>
      </c>
      <c r="E883" s="390">
        <f>'TAMUG FGD'!$E$36</f>
        <v>10316601</v>
      </c>
      <c r="F883" s="390">
        <f>'TAMUG FGD'!$F$36</f>
        <v>73125</v>
      </c>
      <c r="G883" s="390">
        <f>'TAMUG FGD'!$G$36</f>
        <v>0</v>
      </c>
      <c r="H883" s="390">
        <f>'TAMUG FGD'!$H$36</f>
        <v>0</v>
      </c>
      <c r="I883" s="390">
        <f>'TAMUG FGD'!$I$36</f>
        <v>0</v>
      </c>
      <c r="J883" s="390">
        <f>'TAMUG FGD'!$J$36</f>
        <v>0</v>
      </c>
      <c r="K883" s="390">
        <f>'TAMUG FGD'!$K$36</f>
        <v>0</v>
      </c>
      <c r="L883" s="390">
        <f>'TAMUG FGD'!$L$36</f>
        <v>0</v>
      </c>
      <c r="M883" s="567">
        <f>'TAMUG FGD'!$M$36</f>
        <v>10472586</v>
      </c>
      <c r="N883" s="401"/>
    </row>
    <row r="884" spans="2:14" s="160" customFormat="1" ht="12.75" hidden="1" customHeight="1" outlineLevel="1">
      <c r="B884" s="390" t="str">
        <f>'TAMUK FGD'!$B$2</f>
        <v>Texas A&amp;M University - Kingsville</v>
      </c>
      <c r="C884" s="261"/>
      <c r="D884" s="390">
        <f>'TAMUK FGD'!$D$36</f>
        <v>298279</v>
      </c>
      <c r="E884" s="390">
        <f>'TAMUK FGD'!$E$36</f>
        <v>20201160</v>
      </c>
      <c r="F884" s="390">
        <f>'TAMUK FGD'!$F$36</f>
        <v>8141833</v>
      </c>
      <c r="G884" s="390">
        <f>'TAMUK FGD'!$G$36</f>
        <v>-321932</v>
      </c>
      <c r="H884" s="390">
        <f>'TAMUK FGD'!$H$36</f>
        <v>0</v>
      </c>
      <c r="I884" s="390">
        <f>'TAMUK FGD'!$I$36</f>
        <v>0</v>
      </c>
      <c r="J884" s="390">
        <f>'TAMUK FGD'!$J$36</f>
        <v>0</v>
      </c>
      <c r="K884" s="390">
        <f>'TAMUK FGD'!$K$36</f>
        <v>0</v>
      </c>
      <c r="L884" s="390">
        <f>'TAMUK FGD'!$L$36</f>
        <v>0</v>
      </c>
      <c r="M884" s="567">
        <f>'TAMUK FGD'!$M$36</f>
        <v>28319340</v>
      </c>
      <c r="N884" s="401"/>
    </row>
    <row r="885" spans="2:14" s="160" customFormat="1" ht="12.75" hidden="1" customHeight="1" outlineLevel="1">
      <c r="B885" s="390" t="str">
        <f>'TAMUSA FGD'!$B$2</f>
        <v>Texas A&amp;M University - San Antonio</v>
      </c>
      <c r="C885" s="261"/>
      <c r="D885" s="390">
        <f>'TAMUSA FGD'!$D$36</f>
        <v>138037</v>
      </c>
      <c r="E885" s="390">
        <f>'TAMUSA FGD'!$E$36</f>
        <v>21112352</v>
      </c>
      <c r="F885" s="390">
        <f>'TAMUSA FGD'!$F$36</f>
        <v>644309</v>
      </c>
      <c r="G885" s="390">
        <f>'TAMUSA FGD'!$G$36</f>
        <v>-794764</v>
      </c>
      <c r="H885" s="390">
        <f>'TAMUSA FGD'!$H$36</f>
        <v>0</v>
      </c>
      <c r="I885" s="390">
        <f>'TAMUSA FGD'!$I$36</f>
        <v>0</v>
      </c>
      <c r="J885" s="390">
        <f>'TAMUSA FGD'!$J$36</f>
        <v>0</v>
      </c>
      <c r="K885" s="390">
        <f>'TAMUSA FGD'!$K$36</f>
        <v>0</v>
      </c>
      <c r="L885" s="390">
        <f>'TAMUSA FGD'!$L$36</f>
        <v>0</v>
      </c>
      <c r="M885" s="567">
        <f>'TAMUSA FGD'!$M$36</f>
        <v>21099934</v>
      </c>
      <c r="N885" s="401"/>
    </row>
    <row r="886" spans="2:14" s="160" customFormat="1" ht="12.75" hidden="1" customHeight="1" outlineLevel="1">
      <c r="B886" s="390" t="str">
        <f>'TAMUT FGD'!$B$2</f>
        <v>Texas A&amp;M University - Texarkana</v>
      </c>
      <c r="C886" s="261"/>
      <c r="D886" s="390">
        <f>'TAMUT FGD'!$D$36</f>
        <v>248</v>
      </c>
      <c r="E886" s="390">
        <f>'TAMUT FGD'!$E$36</f>
        <v>4099791</v>
      </c>
      <c r="F886" s="390">
        <f>'TAMUT FGD'!$F$36</f>
        <v>1012799</v>
      </c>
      <c r="G886" s="390">
        <f>'TAMUT FGD'!$G$36</f>
        <v>0</v>
      </c>
      <c r="H886" s="390">
        <f>'TAMUT FGD'!$H$36</f>
        <v>0</v>
      </c>
      <c r="I886" s="390">
        <f>'TAMUT FGD'!$I$36</f>
        <v>0</v>
      </c>
      <c r="J886" s="390">
        <f>'TAMUT FGD'!$J$36</f>
        <v>0</v>
      </c>
      <c r="K886" s="390">
        <f>'TAMUT FGD'!$K$36</f>
        <v>0</v>
      </c>
      <c r="L886" s="390">
        <f>'TAMUT FGD'!$L$36</f>
        <v>0</v>
      </c>
      <c r="M886" s="567">
        <f>'TAMUT FGD'!$M$36</f>
        <v>5112838</v>
      </c>
      <c r="N886" s="401"/>
    </row>
    <row r="887" spans="2:14" s="160" customFormat="1" ht="12.75" hidden="1" customHeight="1" outlineLevel="1">
      <c r="B887" s="390" t="str">
        <f>'TARLST FGD'!$B$2</f>
        <v>Tarleton State University</v>
      </c>
      <c r="C887" s="261"/>
      <c r="D887" s="390">
        <f>'TARLST FGD'!$D$36</f>
        <v>74013</v>
      </c>
      <c r="E887" s="390">
        <f>'TARLST FGD'!$E$36</f>
        <v>34784376</v>
      </c>
      <c r="F887" s="390">
        <f>'TARLST FGD'!$F$36</f>
        <v>15718774</v>
      </c>
      <c r="G887" s="390">
        <f>'TARLST FGD'!$G$36</f>
        <v>-248750</v>
      </c>
      <c r="H887" s="390">
        <f>'TARLST FGD'!$H$36</f>
        <v>0</v>
      </c>
      <c r="I887" s="390">
        <f>'TARLST FGD'!$I$36</f>
        <v>0</v>
      </c>
      <c r="J887" s="390">
        <f>'TARLST FGD'!$J$36</f>
        <v>0</v>
      </c>
      <c r="K887" s="390">
        <f>'TARLST FGD'!$K$36</f>
        <v>0</v>
      </c>
      <c r="L887" s="390">
        <f>'TARLST FGD'!$L$36</f>
        <v>0</v>
      </c>
      <c r="M887" s="567">
        <f>'TARLST FGD'!$M$36</f>
        <v>50328413</v>
      </c>
      <c r="N887" s="401"/>
    </row>
    <row r="888" spans="2:14" s="160" customFormat="1" ht="12.75" hidden="1" customHeight="1" outlineLevel="1">
      <c r="B888" s="390" t="str">
        <f>'TSU FGD'!$B$2</f>
        <v>Texas Southern University</v>
      </c>
      <c r="C888" s="261"/>
      <c r="D888" s="390">
        <f>'TSU FGD'!$D$36</f>
        <v>540072</v>
      </c>
      <c r="E888" s="390">
        <f>'TSU FGD'!$E$36</f>
        <v>10239026</v>
      </c>
      <c r="F888" s="390">
        <f>'TSU FGD'!$F$36</f>
        <v>5465940</v>
      </c>
      <c r="G888" s="390">
        <f>'TSU FGD'!$G$36</f>
        <v>0</v>
      </c>
      <c r="H888" s="390">
        <f>'TSU FGD'!$H$36</f>
        <v>0</v>
      </c>
      <c r="I888" s="390">
        <f>'TSU FGD'!$I$36</f>
        <v>0</v>
      </c>
      <c r="J888" s="390">
        <f>'TSU FGD'!$J$36</f>
        <v>0</v>
      </c>
      <c r="K888" s="390">
        <f>'TSU FGD'!$K$36</f>
        <v>0</v>
      </c>
      <c r="L888" s="390">
        <f>'TSU FGD'!$L$36</f>
        <v>0</v>
      </c>
      <c r="M888" s="567">
        <f>'TSU FGD'!$M$36</f>
        <v>16245038</v>
      </c>
      <c r="N888" s="401"/>
    </row>
    <row r="889" spans="2:14" s="160" customFormat="1" ht="12.75" hidden="1" customHeight="1" outlineLevel="1">
      <c r="B889" s="390" t="str">
        <f>'TTU FGD'!$B$2</f>
        <v>Texas Tech University</v>
      </c>
      <c r="C889" s="261"/>
      <c r="D889" s="390">
        <f>'TTU FGD'!$D$36</f>
        <v>0</v>
      </c>
      <c r="E889" s="390">
        <f>'TTU FGD'!$E$36</f>
        <v>145193948</v>
      </c>
      <c r="F889" s="390">
        <f>'TTU FGD'!$F$36</f>
        <v>5817123</v>
      </c>
      <c r="G889" s="390">
        <f>'TTU FGD'!$G$36</f>
        <v>0</v>
      </c>
      <c r="H889" s="390">
        <f>'TTU FGD'!$H$36</f>
        <v>0</v>
      </c>
      <c r="I889" s="390">
        <f>'TTU FGD'!$I$36</f>
        <v>0</v>
      </c>
      <c r="J889" s="390">
        <f>'TTU FGD'!$J$36</f>
        <v>0</v>
      </c>
      <c r="K889" s="390">
        <f>'TTU FGD'!$K$36</f>
        <v>0</v>
      </c>
      <c r="L889" s="390">
        <f>'TTU FGD'!$L$36</f>
        <v>0</v>
      </c>
      <c r="M889" s="567">
        <f>'TTU FGD'!$M$36</f>
        <v>151011071</v>
      </c>
      <c r="N889" s="401"/>
    </row>
    <row r="890" spans="2:14" s="160" customFormat="1" ht="12.75" hidden="1" customHeight="1" outlineLevel="1">
      <c r="B890" s="390" t="str">
        <f>'TWU FGD'!$B$2</f>
        <v>Texas Woman's University</v>
      </c>
      <c r="C890" s="261"/>
      <c r="D890" s="390">
        <f>'TWU FGD'!$D$36</f>
        <v>581559</v>
      </c>
      <c r="E890" s="390">
        <f>'TWU FGD'!$E$36</f>
        <v>18494260</v>
      </c>
      <c r="F890" s="390">
        <f>'TWU FGD'!$F$36</f>
        <v>0</v>
      </c>
      <c r="G890" s="390">
        <f>'TWU FGD'!$G$36</f>
        <v>0</v>
      </c>
      <c r="H890" s="390">
        <f>'TWU FGD'!$H$36</f>
        <v>0</v>
      </c>
      <c r="I890" s="390">
        <f>'TWU FGD'!$I$36</f>
        <v>0</v>
      </c>
      <c r="J890" s="390">
        <f>'TWU FGD'!$J$36</f>
        <v>0</v>
      </c>
      <c r="K890" s="390">
        <f>'TWU FGD'!$K$36</f>
        <v>0</v>
      </c>
      <c r="L890" s="390">
        <f>'TWU FGD'!$L$36</f>
        <v>0</v>
      </c>
      <c r="M890" s="567">
        <f>'TWU FGD'!$M$36</f>
        <v>19075819</v>
      </c>
      <c r="N890" s="401"/>
    </row>
    <row r="891" spans="2:14" s="160" customFormat="1" ht="12.75" hidden="1" customHeight="1" outlineLevel="1">
      <c r="B891" s="390" t="str">
        <f>'TXST FGD'!$B$2</f>
        <v>Texas State University</v>
      </c>
      <c r="C891" s="261"/>
      <c r="D891" s="390">
        <f>'TXST FGD'!$D$36</f>
        <v>1995141</v>
      </c>
      <c r="E891" s="390">
        <f>'TXST FGD'!$E$36</f>
        <v>56201454</v>
      </c>
      <c r="F891" s="390">
        <f>'TXST FGD'!$F$36</f>
        <v>56788185</v>
      </c>
      <c r="G891" s="390">
        <f>'TXST FGD'!$G$36</f>
        <v>0</v>
      </c>
      <c r="H891" s="390">
        <f>'TXST FGD'!$H$36</f>
        <v>0</v>
      </c>
      <c r="I891" s="390">
        <f>'TXST FGD'!$I$36</f>
        <v>0</v>
      </c>
      <c r="J891" s="390">
        <f>'TXST FGD'!$J$36</f>
        <v>0</v>
      </c>
      <c r="K891" s="390">
        <f>'TXST FGD'!$K$36</f>
        <v>0</v>
      </c>
      <c r="L891" s="390">
        <f>'TXST FGD'!$L$36</f>
        <v>0</v>
      </c>
      <c r="M891" s="567">
        <f>'TXST FGD'!$M$36</f>
        <v>114984780</v>
      </c>
      <c r="N891" s="401"/>
    </row>
    <row r="892" spans="2:14" s="160" customFormat="1" ht="12.75" hidden="1" customHeight="1" outlineLevel="1">
      <c r="B892" s="390" t="str">
        <f>'TYL FGD'!$B$2</f>
        <v>The University of Texas at Tyler</v>
      </c>
      <c r="C892" s="261"/>
      <c r="D892" s="390">
        <f>'TYL FGD'!$D$36</f>
        <v>0</v>
      </c>
      <c r="E892" s="390">
        <f>'TYL FGD'!$E$36</f>
        <v>16305108</v>
      </c>
      <c r="F892" s="390">
        <f>'TYL FGD'!$F$36</f>
        <v>7482582</v>
      </c>
      <c r="G892" s="390">
        <f>'TYL FGD'!$G$36</f>
        <v>0</v>
      </c>
      <c r="H892" s="390">
        <f>'TYL FGD'!$H$36</f>
        <v>0</v>
      </c>
      <c r="I892" s="390">
        <f>'TYL FGD'!$I$36</f>
        <v>0</v>
      </c>
      <c r="J892" s="390">
        <f>'TYL FGD'!$J$36</f>
        <v>0</v>
      </c>
      <c r="K892" s="390">
        <f>'TYL FGD'!$K$36</f>
        <v>0</v>
      </c>
      <c r="L892" s="390">
        <f>'TYL FGD'!$L$36</f>
        <v>0</v>
      </c>
      <c r="M892" s="567">
        <f>'TYL FGD'!$M$36</f>
        <v>23787690</v>
      </c>
      <c r="N892" s="401"/>
    </row>
    <row r="893" spans="2:14" s="160" customFormat="1" ht="12.75" hidden="1" customHeight="1" outlineLevel="1">
      <c r="B893" s="390" t="str">
        <f>'UH1 FGD'!$B$2</f>
        <v>University of Houston - Academic &amp; Health (A+H)</v>
      </c>
      <c r="C893" s="261"/>
      <c r="D893" s="390">
        <f>'UH1 FGD'!$D$36</f>
        <v>374365</v>
      </c>
      <c r="E893" s="390">
        <f>'UH1 FGD'!$E$36</f>
        <v>124343039</v>
      </c>
      <c r="F893" s="390">
        <f>'UH1 FGD'!$F$36</f>
        <v>30007470</v>
      </c>
      <c r="G893" s="390">
        <f>'UH1 FGD'!$G$36</f>
        <v>0</v>
      </c>
      <c r="H893" s="390">
        <f>'UH1 FGD'!$H$36</f>
        <v>0</v>
      </c>
      <c r="I893" s="390">
        <f>'UH1 FGD'!$I$36</f>
        <v>0</v>
      </c>
      <c r="J893" s="390">
        <f>'UH1 FGD'!$J$36</f>
        <v>0</v>
      </c>
      <c r="K893" s="390">
        <f>'UH1 FGD'!$K$36</f>
        <v>0</v>
      </c>
      <c r="L893" s="390">
        <f>'UH1 FGD'!$L$36</f>
        <v>0</v>
      </c>
      <c r="M893" s="567">
        <f>'UH1 FGD'!$M$36</f>
        <v>154724874</v>
      </c>
      <c r="N893" s="401"/>
    </row>
    <row r="894" spans="2:14" s="160" customFormat="1" ht="12.75" hidden="1" customHeight="1" outlineLevel="1">
      <c r="B894" s="390" t="str">
        <f>'UHCL FGD'!$B$2</f>
        <v>University of Houston - Clear Lake</v>
      </c>
      <c r="C894" s="261"/>
      <c r="D894" s="390">
        <f>'UHCL FGD'!$D$36</f>
        <v>0</v>
      </c>
      <c r="E894" s="390">
        <f>'UHCL FGD'!$E$36</f>
        <v>10441959</v>
      </c>
      <c r="F894" s="390">
        <f>'UHCL FGD'!$F$36</f>
        <v>8118254</v>
      </c>
      <c r="G894" s="390">
        <f>'UHCL FGD'!$G$36</f>
        <v>0</v>
      </c>
      <c r="H894" s="390">
        <f>'UHCL FGD'!$H$36</f>
        <v>0</v>
      </c>
      <c r="I894" s="390">
        <f>'UHCL FGD'!$I$36</f>
        <v>0</v>
      </c>
      <c r="J894" s="390">
        <f>'UHCL FGD'!$J$36</f>
        <v>0</v>
      </c>
      <c r="K894" s="390">
        <f>'UHCL FGD'!$K$36</f>
        <v>0</v>
      </c>
      <c r="L894" s="390">
        <f>'UHCL FGD'!$L$36</f>
        <v>0</v>
      </c>
      <c r="M894" s="567">
        <f>'UHCL FGD'!$M$36</f>
        <v>18560213</v>
      </c>
      <c r="N894" s="401"/>
    </row>
    <row r="895" spans="2:14" s="160" customFormat="1" ht="12.75" hidden="1" customHeight="1" outlineLevel="1">
      <c r="B895" s="390" t="str">
        <f>'UHD FGD'!$B$2</f>
        <v>University of Houston - Downtown</v>
      </c>
      <c r="C895" s="261"/>
      <c r="D895" s="390">
        <f>'UHD FGD'!$D$36</f>
        <v>8771</v>
      </c>
      <c r="E895" s="390">
        <f>'UHD FGD'!$E$36</f>
        <v>17182834</v>
      </c>
      <c r="F895" s="390">
        <f>'UHD FGD'!$F$36</f>
        <v>10423974</v>
      </c>
      <c r="G895" s="390">
        <f>'UHD FGD'!$G$36</f>
        <v>0</v>
      </c>
      <c r="H895" s="390">
        <f>'UHD FGD'!$H$36</f>
        <v>0</v>
      </c>
      <c r="I895" s="390">
        <f>'UHD FGD'!$I$36</f>
        <v>0</v>
      </c>
      <c r="J895" s="390">
        <f>'UHD FGD'!$J$36</f>
        <v>0</v>
      </c>
      <c r="K895" s="390">
        <f>'UHD FGD'!$K$36</f>
        <v>0</v>
      </c>
      <c r="L895" s="390">
        <f>'UHD FGD'!$L$36</f>
        <v>0</v>
      </c>
      <c r="M895" s="567">
        <f>'UHD FGD'!$M$36</f>
        <v>27615579</v>
      </c>
      <c r="N895" s="401"/>
    </row>
    <row r="896" spans="2:14" s="160" customFormat="1" ht="12.75" hidden="1" customHeight="1" outlineLevel="1">
      <c r="B896" s="390" t="str">
        <f>'UHV FGD'!$B$2</f>
        <v>University of Houston - Victoria</v>
      </c>
      <c r="C896" s="261"/>
      <c r="D896" s="390">
        <f>'UHV FGD'!$D$36</f>
        <v>2604</v>
      </c>
      <c r="E896" s="390">
        <f>'UHV FGD'!$E$36</f>
        <v>6663694</v>
      </c>
      <c r="F896" s="390">
        <f>'UHV FGD'!$F$36</f>
        <v>4691716</v>
      </c>
      <c r="G896" s="390">
        <f>'UHV FGD'!$G$36</f>
        <v>0</v>
      </c>
      <c r="H896" s="390">
        <f>'UHV FGD'!$H$36</f>
        <v>0</v>
      </c>
      <c r="I896" s="390">
        <f>'UHV FGD'!$I$36</f>
        <v>0</v>
      </c>
      <c r="J896" s="390">
        <f>'UHV FGD'!$J$36</f>
        <v>0</v>
      </c>
      <c r="K896" s="390">
        <f>'UHV FGD'!$K$36</f>
        <v>0</v>
      </c>
      <c r="L896" s="390">
        <f>'UHV FGD'!$L$36</f>
        <v>0</v>
      </c>
      <c r="M896" s="567">
        <f>'UHV FGD'!$M$36</f>
        <v>11358014</v>
      </c>
      <c r="N896" s="401"/>
    </row>
    <row r="897" spans="2:14" s="160" customFormat="1" ht="12.75" hidden="1" customHeight="1" outlineLevel="1">
      <c r="B897" s="390" t="str">
        <f>'UNT FGD'!$B$2</f>
        <v>University of North Texas</v>
      </c>
      <c r="C897" s="261"/>
      <c r="D897" s="390">
        <f>'UNT FGD'!$D$36</f>
        <v>391881</v>
      </c>
      <c r="E897" s="390">
        <f>'UNT FGD'!$E$36</f>
        <v>127878370</v>
      </c>
      <c r="F897" s="390">
        <f>'UNT FGD'!$F$36</f>
        <v>17637071</v>
      </c>
      <c r="G897" s="390">
        <f>'UNT FGD'!$G$36</f>
        <v>0</v>
      </c>
      <c r="H897" s="390">
        <f>'UNT FGD'!$H$36</f>
        <v>0</v>
      </c>
      <c r="I897" s="390">
        <f>'UNT FGD'!$I$36</f>
        <v>0</v>
      </c>
      <c r="J897" s="390">
        <f>'UNT FGD'!$J$36</f>
        <v>0</v>
      </c>
      <c r="K897" s="390">
        <f>'UNT FGD'!$K$36</f>
        <v>0</v>
      </c>
      <c r="L897" s="390">
        <f>'UNT FGD'!$L$36</f>
        <v>0</v>
      </c>
      <c r="M897" s="567">
        <f>'UNT FGD'!$M$36</f>
        <v>145907322</v>
      </c>
      <c r="N897" s="401"/>
    </row>
    <row r="898" spans="2:14" s="160" customFormat="1" ht="12.75" hidden="1" customHeight="1" outlineLevel="1">
      <c r="B898" s="390" t="str">
        <f>'UNTD FGD'!$B$2</f>
        <v>University of North Texas at Dallas</v>
      </c>
      <c r="C898" s="261"/>
      <c r="D898" s="390">
        <f>'UNTD FGD'!$D$36</f>
        <v>0</v>
      </c>
      <c r="E898" s="390">
        <f>'UNTD FGD'!$E$36</f>
        <v>6466914</v>
      </c>
      <c r="F898" s="390">
        <f>'UNTD FGD'!$F$36</f>
        <v>0</v>
      </c>
      <c r="G898" s="390">
        <f>'UNTD FGD'!$G$36</f>
        <v>0</v>
      </c>
      <c r="H898" s="390">
        <f>'UNTD FGD'!$H$36</f>
        <v>0</v>
      </c>
      <c r="I898" s="390">
        <f>'UNTD FGD'!$I$36</f>
        <v>0</v>
      </c>
      <c r="J898" s="390">
        <f>'UNTD FGD'!$J$36</f>
        <v>0</v>
      </c>
      <c r="K898" s="390">
        <f>'UNTD FGD'!$K$36</f>
        <v>0</v>
      </c>
      <c r="L898" s="390">
        <f>'UNTD FGD'!$L$36</f>
        <v>0</v>
      </c>
      <c r="M898" s="567">
        <f>'UNTD FGD'!$M$36</f>
        <v>6466914</v>
      </c>
      <c r="N898" s="401"/>
    </row>
    <row r="899" spans="2:14" s="160" customFormat="1" ht="12.75" hidden="1" customHeight="1" outlineLevel="1">
      <c r="B899" s="390" t="str">
        <f>'WTAMU FGD'!$B$2</f>
        <v>West Texas A&amp;M University</v>
      </c>
      <c r="C899" s="261"/>
      <c r="D899" s="390">
        <f>'WTAMU FGD'!$D$36</f>
        <v>11682</v>
      </c>
      <c r="E899" s="390">
        <f>'WTAMU FGD'!$E$36</f>
        <v>15591142</v>
      </c>
      <c r="F899" s="390">
        <f>'WTAMU FGD'!$F$36</f>
        <v>13350806</v>
      </c>
      <c r="G899" s="390">
        <f>'WTAMU FGD'!$G$36</f>
        <v>0</v>
      </c>
      <c r="H899" s="390">
        <f>'WTAMU FGD'!$H$36</f>
        <v>0</v>
      </c>
      <c r="I899" s="390">
        <f>'WTAMU FGD'!$I$36</f>
        <v>0</v>
      </c>
      <c r="J899" s="390">
        <f>'WTAMU FGD'!$J$36</f>
        <v>0</v>
      </c>
      <c r="K899" s="390">
        <f>'WTAMU FGD'!$K$36</f>
        <v>0</v>
      </c>
      <c r="L899" s="390">
        <f>'WTAMU FGD'!$L$36</f>
        <v>0</v>
      </c>
      <c r="M899" s="567">
        <f>'WTAMU FGD'!$M$36</f>
        <v>28953630</v>
      </c>
      <c r="N899" s="401"/>
    </row>
    <row r="900" spans="2:14" s="160" customFormat="1" collapsed="1">
      <c r="B900" s="558" t="s">
        <v>732</v>
      </c>
      <c r="C900" s="563"/>
      <c r="D900" s="565">
        <f t="shared" ref="D900:M900" si="23">SUM(D864:D899)</f>
        <v>16771891</v>
      </c>
      <c r="E900" s="565">
        <f t="shared" si="23"/>
        <v>1666288219</v>
      </c>
      <c r="F900" s="565">
        <f t="shared" si="23"/>
        <v>485563903</v>
      </c>
      <c r="G900" s="565">
        <f t="shared" si="23"/>
        <v>-6130182</v>
      </c>
      <c r="H900" s="565">
        <f t="shared" si="23"/>
        <v>0</v>
      </c>
      <c r="I900" s="565">
        <f t="shared" si="23"/>
        <v>0</v>
      </c>
      <c r="J900" s="565">
        <f t="shared" si="23"/>
        <v>0</v>
      </c>
      <c r="K900" s="565">
        <f t="shared" si="23"/>
        <v>0</v>
      </c>
      <c r="L900" s="565">
        <f t="shared" si="23"/>
        <v>0</v>
      </c>
      <c r="M900" s="565">
        <f t="shared" si="23"/>
        <v>2162493831</v>
      </c>
      <c r="N900" s="401"/>
    </row>
    <row r="901" spans="2:14" s="160" customFormat="1" ht="12.75" hidden="1" customHeight="1" outlineLevel="1">
      <c r="B901" s="676" t="str">
        <f>'ARL FGD'!$B$2</f>
        <v>The University of Texas at Arlington</v>
      </c>
      <c r="C901" s="566"/>
      <c r="D901" s="567">
        <f>'ARL FGD'!$D$37</f>
        <v>0</v>
      </c>
      <c r="E901" s="567">
        <f>'ARL FGD'!$E$37</f>
        <v>0</v>
      </c>
      <c r="F901" s="567">
        <f>'ARL FGD'!$F$37</f>
        <v>0</v>
      </c>
      <c r="G901" s="567">
        <f>'ARL FGD'!$G$37</f>
        <v>0</v>
      </c>
      <c r="H901" s="567">
        <f>'ARL FGD'!$H$37</f>
        <v>0</v>
      </c>
      <c r="I901" s="567">
        <f>'ARL FGD'!$I$37</f>
        <v>0</v>
      </c>
      <c r="J901" s="567">
        <f>'ARL FGD'!$J$37</f>
        <v>0</v>
      </c>
      <c r="K901" s="567">
        <f>'ARL FGD'!$K$37</f>
        <v>0</v>
      </c>
      <c r="L901" s="567">
        <f>'ARL FGD'!$L$37</f>
        <v>0</v>
      </c>
      <c r="M901" s="567">
        <f>'ARL FGD'!$M$37</f>
        <v>0</v>
      </c>
      <c r="N901" s="401"/>
    </row>
    <row r="902" spans="2:14" s="160" customFormat="1" ht="12.75" hidden="1" customHeight="1" outlineLevel="1">
      <c r="B902" s="676" t="str">
        <f>'ASU FGD'!$B$2</f>
        <v>Angelo State University</v>
      </c>
      <c r="C902" s="566"/>
      <c r="D902" s="567">
        <f>'ASU FGD'!$D$37</f>
        <v>0</v>
      </c>
      <c r="E902" s="567">
        <f>'ASU FGD'!$E$37</f>
        <v>0</v>
      </c>
      <c r="F902" s="567">
        <f>'ASU FGD'!$F$37</f>
        <v>0</v>
      </c>
      <c r="G902" s="567">
        <f>'ASU FGD'!$G$37</f>
        <v>0</v>
      </c>
      <c r="H902" s="567">
        <f>'ASU FGD'!$H$37</f>
        <v>0</v>
      </c>
      <c r="I902" s="567">
        <f>'ASU FGD'!$I$37</f>
        <v>0</v>
      </c>
      <c r="J902" s="567">
        <f>'ASU FGD'!$J$37</f>
        <v>0</v>
      </c>
      <c r="K902" s="567">
        <f>'ASU FGD'!$K$37</f>
        <v>0</v>
      </c>
      <c r="L902" s="567">
        <f>'ASU FGD'!$L$37</f>
        <v>0</v>
      </c>
      <c r="M902" s="567">
        <f>'ASU FGD'!$M$37</f>
        <v>0</v>
      </c>
      <c r="N902" s="401"/>
    </row>
    <row r="903" spans="2:14" s="160" customFormat="1" ht="12.75" hidden="1" customHeight="1" outlineLevel="1">
      <c r="B903" s="676" t="str">
        <f>'AUS1 FGD'!$B$2</f>
        <v>The University of Texas at Austin - Academic &amp; Health (A+H)</v>
      </c>
      <c r="C903" s="566"/>
      <c r="D903" s="567">
        <f>'AUS1 FGD'!$D$37</f>
        <v>0</v>
      </c>
      <c r="E903" s="567">
        <f>'AUS1 FGD'!$E$37</f>
        <v>0</v>
      </c>
      <c r="F903" s="567">
        <f>'AUS1 FGD'!$F$37</f>
        <v>0</v>
      </c>
      <c r="G903" s="567">
        <f>'AUS1 FGD'!$G$37</f>
        <v>0</v>
      </c>
      <c r="H903" s="567">
        <f>'AUS1 FGD'!$H$37</f>
        <v>0</v>
      </c>
      <c r="I903" s="567">
        <f>'AUS1 FGD'!$I$37</f>
        <v>0</v>
      </c>
      <c r="J903" s="567">
        <f>'AUS1 FGD'!$J$37</f>
        <v>0</v>
      </c>
      <c r="K903" s="567">
        <f>'AUS1 FGD'!$K$37</f>
        <v>0</v>
      </c>
      <c r="L903" s="567">
        <f>'AUS1 FGD'!$L$37</f>
        <v>0</v>
      </c>
      <c r="M903" s="567">
        <f>'AUS1 FGD'!$M$37</f>
        <v>0</v>
      </c>
      <c r="N903" s="401"/>
    </row>
    <row r="904" spans="2:14" s="160" customFormat="1" ht="12.75" hidden="1" customHeight="1" outlineLevel="1">
      <c r="B904" s="676" t="str">
        <f>'RGV1 FGD'!$B$2</f>
        <v>The University of Texas RGV - Academic &amp; Health (A+H)</v>
      </c>
      <c r="C904" s="566"/>
      <c r="D904" s="567">
        <f>'RGV1 FGD'!$D$37</f>
        <v>0</v>
      </c>
      <c r="E904" s="567">
        <f>'RGV1 FGD'!$E$37</f>
        <v>0</v>
      </c>
      <c r="F904" s="567">
        <f>'RGV1 FGD'!$F$37</f>
        <v>0</v>
      </c>
      <c r="G904" s="567">
        <f>'RGV1 FGD'!$G$37</f>
        <v>0</v>
      </c>
      <c r="H904" s="567">
        <f>'RGV1 FGD'!$H$37</f>
        <v>0</v>
      </c>
      <c r="I904" s="567">
        <f>'RGV1 FGD'!$I$37</f>
        <v>0</v>
      </c>
      <c r="J904" s="567">
        <f>'RGV1 FGD'!$J$37</f>
        <v>0</v>
      </c>
      <c r="K904" s="567">
        <f>'RGV1 FGD'!$K$37</f>
        <v>0</v>
      </c>
      <c r="L904" s="567">
        <f>'RGV1 FGD'!$L$37</f>
        <v>0</v>
      </c>
      <c r="M904" s="567">
        <f>'RGV1 FGD'!$M$37</f>
        <v>0</v>
      </c>
      <c r="N904" s="401"/>
    </row>
    <row r="905" spans="2:14" s="160" customFormat="1" ht="12.75" hidden="1" customHeight="1" outlineLevel="1">
      <c r="B905" s="676" t="str">
        <f>'DAL FGD'!$B$2</f>
        <v>The University of Texas at Dallas</v>
      </c>
      <c r="C905" s="566"/>
      <c r="D905" s="567">
        <f>'DAL FGD'!$D$37</f>
        <v>0</v>
      </c>
      <c r="E905" s="567">
        <f>'DAL FGD'!$E$37</f>
        <v>0</v>
      </c>
      <c r="F905" s="567">
        <f>'DAL FGD'!$F$37</f>
        <v>0</v>
      </c>
      <c r="G905" s="567">
        <f>'DAL FGD'!$G$37</f>
        <v>0</v>
      </c>
      <c r="H905" s="567">
        <f>'DAL FGD'!$H$37</f>
        <v>0</v>
      </c>
      <c r="I905" s="567">
        <f>'DAL FGD'!$I$37</f>
        <v>0</v>
      </c>
      <c r="J905" s="567">
        <f>'DAL FGD'!$J$37</f>
        <v>0</v>
      </c>
      <c r="K905" s="567">
        <f>'DAL FGD'!$K$37</f>
        <v>0</v>
      </c>
      <c r="L905" s="567">
        <f>'DAL FGD'!$L$37</f>
        <v>0</v>
      </c>
      <c r="M905" s="567">
        <f>'DAL FGD'!$M$37</f>
        <v>0</v>
      </c>
      <c r="N905" s="401"/>
    </row>
    <row r="906" spans="2:14" s="160" customFormat="1" ht="12.75" hidden="1" customHeight="1" outlineLevel="1">
      <c r="B906" s="676" t="str">
        <f>'E-P FGD'!$B$2</f>
        <v>The University of Texas at El Paso</v>
      </c>
      <c r="C906" s="566"/>
      <c r="D906" s="567">
        <f>'E-P FGD'!$D$37</f>
        <v>0</v>
      </c>
      <c r="E906" s="567">
        <f>'E-P FGD'!$E$37</f>
        <v>0</v>
      </c>
      <c r="F906" s="567">
        <f>'E-P FGD'!$F$37</f>
        <v>0</v>
      </c>
      <c r="G906" s="567">
        <f>'E-P FGD'!$G$37</f>
        <v>0</v>
      </c>
      <c r="H906" s="567">
        <f>'E-P FGD'!$H$37</f>
        <v>0</v>
      </c>
      <c r="I906" s="567">
        <f>'E-P FGD'!$I$37</f>
        <v>0</v>
      </c>
      <c r="J906" s="567">
        <f>'E-P FGD'!$J$37</f>
        <v>0</v>
      </c>
      <c r="K906" s="567">
        <f>'E-P FGD'!$K$37</f>
        <v>0</v>
      </c>
      <c r="L906" s="567">
        <f>'E-P FGD'!$L$37</f>
        <v>0</v>
      </c>
      <c r="M906" s="567">
        <f>'E-P FGD'!$M$37</f>
        <v>0</v>
      </c>
      <c r="N906" s="401"/>
    </row>
    <row r="907" spans="2:14" s="160" customFormat="1" ht="12.75" hidden="1" customHeight="1" outlineLevel="1">
      <c r="B907" s="676" t="str">
        <f>'LU FGD'!$B$2</f>
        <v xml:space="preserve">Lamar University </v>
      </c>
      <c r="C907" s="566"/>
      <c r="D907" s="567">
        <f>'LU FGD'!$D$37</f>
        <v>0</v>
      </c>
      <c r="E907" s="567">
        <f>'LU FGD'!$E$37</f>
        <v>0</v>
      </c>
      <c r="F907" s="567">
        <f>'LU FGD'!$F$37</f>
        <v>0</v>
      </c>
      <c r="G907" s="567">
        <f>'LU FGD'!$G$37</f>
        <v>0</v>
      </c>
      <c r="H907" s="567">
        <f>'LU FGD'!$H$37</f>
        <v>0</v>
      </c>
      <c r="I907" s="567">
        <f>'LU FGD'!$I$37</f>
        <v>0</v>
      </c>
      <c r="J907" s="567">
        <f>'LU FGD'!$J$37</f>
        <v>0</v>
      </c>
      <c r="K907" s="567">
        <f>'LU FGD'!$K$37</f>
        <v>0</v>
      </c>
      <c r="L907" s="567">
        <f>'LU FGD'!$L$37</f>
        <v>0</v>
      </c>
      <c r="M907" s="567">
        <f>'LU FGD'!$M$37</f>
        <v>0</v>
      </c>
      <c r="N907" s="401"/>
    </row>
    <row r="908" spans="2:14" s="160" customFormat="1" ht="12.75" hidden="1" customHeight="1" outlineLevel="1">
      <c r="B908" s="676" t="str">
        <f>'MidWST FGD'!$B$2</f>
        <v>Midwestern State University</v>
      </c>
      <c r="C908" s="566"/>
      <c r="D908" s="567">
        <f>'MidWST FGD'!$D$37</f>
        <v>0</v>
      </c>
      <c r="E908" s="567">
        <f>'MidWST FGD'!$E$37</f>
        <v>0</v>
      </c>
      <c r="F908" s="567">
        <f>'MidWST FGD'!$F$37</f>
        <v>0</v>
      </c>
      <c r="G908" s="567">
        <f>'MidWST FGD'!$G$37</f>
        <v>0</v>
      </c>
      <c r="H908" s="567">
        <f>'MidWST FGD'!$H$37</f>
        <v>0</v>
      </c>
      <c r="I908" s="567">
        <f>'MidWST FGD'!$I$37</f>
        <v>0</v>
      </c>
      <c r="J908" s="567">
        <f>'MidWST FGD'!$J$37</f>
        <v>0</v>
      </c>
      <c r="K908" s="567">
        <f>'MidWST FGD'!$K$37</f>
        <v>0</v>
      </c>
      <c r="L908" s="567">
        <f>'MidWST FGD'!$L$37</f>
        <v>0</v>
      </c>
      <c r="M908" s="567">
        <f>'MidWST FGD'!$M$37</f>
        <v>0</v>
      </c>
      <c r="N908" s="401"/>
    </row>
    <row r="909" spans="2:14" s="160" customFormat="1" ht="12.75" hidden="1" customHeight="1" outlineLevel="1">
      <c r="B909" s="676" t="str">
        <f>'P-B FGD'!$B$2</f>
        <v>The University of Texas of the Permian Basin</v>
      </c>
      <c r="C909" s="566"/>
      <c r="D909" s="567">
        <f>'P-B FGD'!$D$37</f>
        <v>0</v>
      </c>
      <c r="E909" s="567">
        <f>'P-B FGD'!$E$37</f>
        <v>0</v>
      </c>
      <c r="F909" s="567">
        <f>'P-B FGD'!$F$37</f>
        <v>0</v>
      </c>
      <c r="G909" s="567">
        <f>'P-B FGD'!$G$37</f>
        <v>0</v>
      </c>
      <c r="H909" s="567">
        <f>'P-B FGD'!$H$37</f>
        <v>0</v>
      </c>
      <c r="I909" s="567">
        <f>'P-B FGD'!$I$37</f>
        <v>0</v>
      </c>
      <c r="J909" s="567">
        <f>'P-B FGD'!$J$37</f>
        <v>0</v>
      </c>
      <c r="K909" s="567">
        <f>'P-B FGD'!$K$37</f>
        <v>0</v>
      </c>
      <c r="L909" s="567">
        <f>'P-B FGD'!$L$37</f>
        <v>0</v>
      </c>
      <c r="M909" s="567">
        <f>'P-B FGD'!$M$37</f>
        <v>0</v>
      </c>
      <c r="N909" s="401"/>
    </row>
    <row r="910" spans="2:14" s="160" customFormat="1" ht="12.75" hidden="1" customHeight="1" outlineLevel="1">
      <c r="B910" s="676" t="str">
        <f>'PVAMU FGD'!$B$2</f>
        <v>Prairie View A&amp;M University</v>
      </c>
      <c r="C910" s="566"/>
      <c r="D910" s="567">
        <f>'PVAMU FGD'!$D$37</f>
        <v>0</v>
      </c>
      <c r="E910" s="567">
        <f>'PVAMU FGD'!$E$37</f>
        <v>0</v>
      </c>
      <c r="F910" s="567">
        <f>'PVAMU FGD'!$F$37</f>
        <v>0</v>
      </c>
      <c r="G910" s="567">
        <f>'PVAMU FGD'!$G$37</f>
        <v>0</v>
      </c>
      <c r="H910" s="567">
        <f>'PVAMU FGD'!$H$37</f>
        <v>0</v>
      </c>
      <c r="I910" s="567">
        <f>'PVAMU FGD'!$I$37</f>
        <v>0</v>
      </c>
      <c r="J910" s="567">
        <f>'PVAMU FGD'!$J$37</f>
        <v>0</v>
      </c>
      <c r="K910" s="567">
        <f>'PVAMU FGD'!$K$37</f>
        <v>0</v>
      </c>
      <c r="L910" s="567">
        <f>'PVAMU FGD'!$L$37</f>
        <v>0</v>
      </c>
      <c r="M910" s="567">
        <f>'PVAMU FGD'!$M$37</f>
        <v>0</v>
      </c>
      <c r="N910" s="401"/>
    </row>
    <row r="911" spans="2:14" s="160" customFormat="1" ht="12.75" hidden="1" customHeight="1" outlineLevel="1">
      <c r="B911" s="676" t="str">
        <f>'S-A FGD'!$B$2</f>
        <v>The University of Texas at San Antonio</v>
      </c>
      <c r="C911" s="566"/>
      <c r="D911" s="567">
        <f>'S-A FGD'!$D$37</f>
        <v>0</v>
      </c>
      <c r="E911" s="567">
        <f>'S-A FGD'!$E$37</f>
        <v>0</v>
      </c>
      <c r="F911" s="567">
        <f>'S-A FGD'!$F$37</f>
        <v>0</v>
      </c>
      <c r="G911" s="567">
        <f>'S-A FGD'!$G$37</f>
        <v>0</v>
      </c>
      <c r="H911" s="567">
        <f>'S-A FGD'!$H$37</f>
        <v>0</v>
      </c>
      <c r="I911" s="567">
        <f>'S-A FGD'!$I$37</f>
        <v>0</v>
      </c>
      <c r="J911" s="567">
        <f>'S-A FGD'!$J$37</f>
        <v>0</v>
      </c>
      <c r="K911" s="567">
        <f>'S-A FGD'!$K$37</f>
        <v>0</v>
      </c>
      <c r="L911" s="567">
        <f>'S-A FGD'!$L$37</f>
        <v>0</v>
      </c>
      <c r="M911" s="567">
        <f>'S-A FGD'!$M$37</f>
        <v>0</v>
      </c>
      <c r="N911" s="401"/>
    </row>
    <row r="912" spans="2:14" s="160" customFormat="1" ht="12.75" hidden="1" customHeight="1" outlineLevel="1">
      <c r="B912" s="676" t="str">
        <f>'SFA FGD'!$B$2</f>
        <v>Stephen F. Austin State University</v>
      </c>
      <c r="C912" s="566"/>
      <c r="D912" s="567">
        <f>'SFA FGD'!$D$37</f>
        <v>0</v>
      </c>
      <c r="E912" s="567">
        <f>'SFA FGD'!$E$37</f>
        <v>0</v>
      </c>
      <c r="F912" s="567">
        <f>'SFA FGD'!$F$37</f>
        <v>0</v>
      </c>
      <c r="G912" s="567">
        <f>'SFA FGD'!$G$37</f>
        <v>0</v>
      </c>
      <c r="H912" s="567">
        <f>'SFA FGD'!$H$37</f>
        <v>0</v>
      </c>
      <c r="I912" s="567">
        <f>'SFA FGD'!$I$37</f>
        <v>0</v>
      </c>
      <c r="J912" s="567">
        <f>'SFA FGD'!$J$37</f>
        <v>0</v>
      </c>
      <c r="K912" s="567">
        <f>'SFA FGD'!$K$37</f>
        <v>0</v>
      </c>
      <c r="L912" s="567">
        <f>'SFA FGD'!$L$37</f>
        <v>0</v>
      </c>
      <c r="M912" s="567">
        <f>'SFA FGD'!$M$37</f>
        <v>0</v>
      </c>
      <c r="N912" s="401"/>
    </row>
    <row r="913" spans="2:14" s="160" customFormat="1" ht="12.75" hidden="1" customHeight="1" outlineLevel="1">
      <c r="B913" s="676" t="str">
        <f>'shsu1 FGD'!$B$2</f>
        <v>Sam Houston State University - Academic &amp; Health (A+H)</v>
      </c>
      <c r="C913" s="566"/>
      <c r="D913" s="567">
        <f>'shsu1 FGD'!$D$37</f>
        <v>0</v>
      </c>
      <c r="E913" s="567">
        <f>'shsu1 FGD'!$E$37</f>
        <v>0</v>
      </c>
      <c r="F913" s="567">
        <f>'shsu1 FGD'!$F$37</f>
        <v>0</v>
      </c>
      <c r="G913" s="567">
        <f>'shsu1 FGD'!$G$37</f>
        <v>0</v>
      </c>
      <c r="H913" s="567">
        <f>'shsu1 FGD'!$H$37</f>
        <v>0</v>
      </c>
      <c r="I913" s="567">
        <f>'shsu1 FGD'!$I$37</f>
        <v>0</v>
      </c>
      <c r="J913" s="567">
        <f>'shsu1 FGD'!$J$37</f>
        <v>0</v>
      </c>
      <c r="K913" s="567">
        <f>'shsu1 FGD'!$K$37</f>
        <v>0</v>
      </c>
      <c r="L913" s="567">
        <f>'shsu1 FGD'!$L$37</f>
        <v>0</v>
      </c>
      <c r="M913" s="567">
        <f>'shsu1 FGD'!$M$37</f>
        <v>0</v>
      </c>
      <c r="N913" s="401"/>
    </row>
    <row r="914" spans="2:14" s="160" customFormat="1" ht="12.75" hidden="1" customHeight="1" outlineLevel="1">
      <c r="B914" s="676" t="str">
        <f>'SRSU FGD'!$B$2</f>
        <v>Sul Ross State University</v>
      </c>
      <c r="C914" s="566"/>
      <c r="D914" s="567">
        <f>'SRSU FGD'!$D$37</f>
        <v>-218143</v>
      </c>
      <c r="E914" s="567">
        <f>'SRSU FGD'!$E$37</f>
        <v>-581626</v>
      </c>
      <c r="F914" s="567">
        <f>'SRSU FGD'!$F$37</f>
        <v>0</v>
      </c>
      <c r="G914" s="567">
        <f>'SRSU FGD'!$G$37</f>
        <v>0</v>
      </c>
      <c r="H914" s="567">
        <f>'SRSU FGD'!$H$37</f>
        <v>0</v>
      </c>
      <c r="I914" s="567">
        <f>'SRSU FGD'!$I$37</f>
        <v>0</v>
      </c>
      <c r="J914" s="567">
        <f>'SRSU FGD'!$J$37</f>
        <v>0</v>
      </c>
      <c r="K914" s="567">
        <f>'SRSU FGD'!$K$37</f>
        <v>0</v>
      </c>
      <c r="L914" s="567">
        <f>'SRSU FGD'!$L$37</f>
        <v>0</v>
      </c>
      <c r="M914" s="567">
        <f>'SRSU FGD'!$M$37</f>
        <v>-799769</v>
      </c>
      <c r="N914" s="401"/>
    </row>
    <row r="915" spans="2:14" s="160" customFormat="1" ht="12.75" hidden="1" customHeight="1" outlineLevel="1">
      <c r="B915" s="676" t="str">
        <f>'TAMIU FGD'!$B$2</f>
        <v>Texas A&amp;M International University</v>
      </c>
      <c r="C915" s="566"/>
      <c r="D915" s="567">
        <f>'TAMIU FGD'!$D$37</f>
        <v>0</v>
      </c>
      <c r="E915" s="567">
        <f>'TAMIU FGD'!$E$37</f>
        <v>0</v>
      </c>
      <c r="F915" s="567">
        <f>'TAMIU FGD'!$F$37</f>
        <v>0</v>
      </c>
      <c r="G915" s="567">
        <f>'TAMIU FGD'!$G$37</f>
        <v>0</v>
      </c>
      <c r="H915" s="567">
        <f>'TAMIU FGD'!$H$37</f>
        <v>0</v>
      </c>
      <c r="I915" s="567">
        <f>'TAMIU FGD'!$I$37</f>
        <v>0</v>
      </c>
      <c r="J915" s="567">
        <f>'TAMIU FGD'!$J$37</f>
        <v>0</v>
      </c>
      <c r="K915" s="567">
        <f>'TAMIU FGD'!$K$37</f>
        <v>0</v>
      </c>
      <c r="L915" s="567">
        <f>'TAMIU FGD'!$L$37</f>
        <v>0</v>
      </c>
      <c r="M915" s="567">
        <f>'TAMIU FGD'!$M$37</f>
        <v>0</v>
      </c>
      <c r="N915" s="401"/>
    </row>
    <row r="916" spans="2:14" s="160" customFormat="1" ht="12.75" hidden="1" customHeight="1" outlineLevel="1">
      <c r="B916" s="676" t="str">
        <f>'TAMU FGD'!$B$2</f>
        <v>Texas A&amp;M University</v>
      </c>
      <c r="C916" s="566"/>
      <c r="D916" s="567">
        <f>'TAMU FGD'!$D$37</f>
        <v>0</v>
      </c>
      <c r="E916" s="567">
        <f>'TAMU FGD'!$E$37</f>
        <v>0</v>
      </c>
      <c r="F916" s="567">
        <f>'TAMU FGD'!$F$37</f>
        <v>0</v>
      </c>
      <c r="G916" s="567">
        <f>'TAMU FGD'!$G$37</f>
        <v>0</v>
      </c>
      <c r="H916" s="567">
        <f>'TAMU FGD'!$H$37</f>
        <v>0</v>
      </c>
      <c r="I916" s="567">
        <f>'TAMU FGD'!$I$37</f>
        <v>0</v>
      </c>
      <c r="J916" s="567">
        <f>'TAMU FGD'!$J$37</f>
        <v>0</v>
      </c>
      <c r="K916" s="567">
        <f>'TAMU FGD'!$K$37</f>
        <v>0</v>
      </c>
      <c r="L916" s="567">
        <f>'TAMU FGD'!$L$37</f>
        <v>0</v>
      </c>
      <c r="M916" s="567">
        <f>'TAMU FGD'!$M$37</f>
        <v>0</v>
      </c>
      <c r="N916" s="401"/>
    </row>
    <row r="917" spans="2:14" s="160" customFormat="1" ht="12.75" hidden="1" customHeight="1" outlineLevel="1">
      <c r="B917" s="676" t="str">
        <f>'TAMUC FGD'!$B$2</f>
        <v>Texas A&amp;M University - Commerce</v>
      </c>
      <c r="C917" s="566"/>
      <c r="D917" s="567">
        <f>'TAMUC FGD'!$D$37</f>
        <v>0</v>
      </c>
      <c r="E917" s="567">
        <f>'TAMUC FGD'!$E$37</f>
        <v>0</v>
      </c>
      <c r="F917" s="567">
        <f>'TAMUC FGD'!$F$37</f>
        <v>0</v>
      </c>
      <c r="G917" s="567">
        <f>'TAMUC FGD'!$G$37</f>
        <v>0</v>
      </c>
      <c r="H917" s="567">
        <f>'TAMUC FGD'!$H$37</f>
        <v>0</v>
      </c>
      <c r="I917" s="567">
        <f>'TAMUC FGD'!$I$37</f>
        <v>0</v>
      </c>
      <c r="J917" s="567">
        <f>'TAMUC FGD'!$J$37</f>
        <v>0</v>
      </c>
      <c r="K917" s="567">
        <f>'TAMUC FGD'!$K$37</f>
        <v>0</v>
      </c>
      <c r="L917" s="567">
        <f>'TAMUC FGD'!$L$37</f>
        <v>0</v>
      </c>
      <c r="M917" s="567">
        <f>'TAMUC FGD'!$M$37</f>
        <v>0</v>
      </c>
      <c r="N917" s="401"/>
    </row>
    <row r="918" spans="2:14" s="160" customFormat="1" ht="12.75" hidden="1" customHeight="1" outlineLevel="1">
      <c r="B918" s="676" t="str">
        <f>'TAMUCC FGD'!$B$2</f>
        <v>Texas A&amp;M University - Corpus Christi</v>
      </c>
      <c r="C918" s="566"/>
      <c r="D918" s="567">
        <f>'TAMUCC FGD'!$D$37</f>
        <v>0</v>
      </c>
      <c r="E918" s="567">
        <f>'TAMUCC FGD'!$E$37</f>
        <v>0</v>
      </c>
      <c r="F918" s="567">
        <f>'TAMUCC FGD'!$F$37</f>
        <v>0</v>
      </c>
      <c r="G918" s="567">
        <f>'TAMUCC FGD'!$G$37</f>
        <v>0</v>
      </c>
      <c r="H918" s="567">
        <f>'TAMUCC FGD'!$H$37</f>
        <v>0</v>
      </c>
      <c r="I918" s="567">
        <f>'TAMUCC FGD'!$I$37</f>
        <v>0</v>
      </c>
      <c r="J918" s="567">
        <f>'TAMUCC FGD'!$J$37</f>
        <v>0</v>
      </c>
      <c r="K918" s="567">
        <f>'TAMUCC FGD'!$K$37</f>
        <v>0</v>
      </c>
      <c r="L918" s="567">
        <f>'TAMUCC FGD'!$L$37</f>
        <v>0</v>
      </c>
      <c r="M918" s="567">
        <f>'TAMUCC FGD'!$M$37</f>
        <v>0</v>
      </c>
      <c r="N918" s="401"/>
    </row>
    <row r="919" spans="2:14" s="160" customFormat="1" ht="12.75" hidden="1" customHeight="1" outlineLevel="1">
      <c r="B919" s="676" t="str">
        <f>'TAMUCT FGD'!$B$2</f>
        <v>Texas A&amp;M University - Central Texas</v>
      </c>
      <c r="C919" s="566"/>
      <c r="D919" s="567">
        <f>'TAMUCT FGD'!$D$37</f>
        <v>0</v>
      </c>
      <c r="E919" s="567">
        <f>'TAMUCT FGD'!$E$37</f>
        <v>0</v>
      </c>
      <c r="F919" s="567">
        <f>'TAMUCT FGD'!$F$37</f>
        <v>0</v>
      </c>
      <c r="G919" s="567">
        <f>'TAMUCT FGD'!$G$37</f>
        <v>0</v>
      </c>
      <c r="H919" s="567">
        <f>'TAMUCT FGD'!$H$37</f>
        <v>0</v>
      </c>
      <c r="I919" s="567">
        <f>'TAMUCT FGD'!$I$37</f>
        <v>0</v>
      </c>
      <c r="J919" s="567">
        <f>'TAMUCT FGD'!$J$37</f>
        <v>0</v>
      </c>
      <c r="K919" s="567">
        <f>'TAMUCT FGD'!$K$37</f>
        <v>0</v>
      </c>
      <c r="L919" s="567">
        <f>'TAMUCT FGD'!$L$37</f>
        <v>0</v>
      </c>
      <c r="M919" s="567">
        <f>'TAMUCT FGD'!$M$37</f>
        <v>0</v>
      </c>
      <c r="N919" s="401"/>
    </row>
    <row r="920" spans="2:14" s="160" customFormat="1" ht="12.75" hidden="1" customHeight="1" outlineLevel="1">
      <c r="B920" s="676" t="str">
        <f>'TAMUG FGD'!$B$2</f>
        <v>Texas A&amp;M University at Galveston</v>
      </c>
      <c r="C920" s="566"/>
      <c r="D920" s="567">
        <f>'TAMUG FGD'!$D$37</f>
        <v>0</v>
      </c>
      <c r="E920" s="567">
        <f>'TAMUG FGD'!$E$37</f>
        <v>0</v>
      </c>
      <c r="F920" s="567">
        <f>'TAMUG FGD'!$F$37</f>
        <v>0</v>
      </c>
      <c r="G920" s="567">
        <f>'TAMUG FGD'!$G$37</f>
        <v>0</v>
      </c>
      <c r="H920" s="567">
        <f>'TAMUG FGD'!$H$37</f>
        <v>0</v>
      </c>
      <c r="I920" s="567">
        <f>'TAMUG FGD'!$I$37</f>
        <v>0</v>
      </c>
      <c r="J920" s="567">
        <f>'TAMUG FGD'!$J$37</f>
        <v>0</v>
      </c>
      <c r="K920" s="567">
        <f>'TAMUG FGD'!$K$37</f>
        <v>0</v>
      </c>
      <c r="L920" s="567">
        <f>'TAMUG FGD'!$L$37</f>
        <v>0</v>
      </c>
      <c r="M920" s="567">
        <f>'TAMUG FGD'!$M$37</f>
        <v>0</v>
      </c>
      <c r="N920" s="401"/>
    </row>
    <row r="921" spans="2:14" s="160" customFormat="1" ht="12.75" hidden="1" customHeight="1" outlineLevel="1">
      <c r="B921" s="676" t="str">
        <f>'TAMUK FGD'!$B$2</f>
        <v>Texas A&amp;M University - Kingsville</v>
      </c>
      <c r="C921" s="566"/>
      <c r="D921" s="567">
        <f>'TAMUK FGD'!$D$37</f>
        <v>0</v>
      </c>
      <c r="E921" s="567">
        <f>'TAMUK FGD'!$E$37</f>
        <v>0</v>
      </c>
      <c r="F921" s="567">
        <f>'TAMUK FGD'!$F$37</f>
        <v>0</v>
      </c>
      <c r="G921" s="567">
        <f>'TAMUK FGD'!$G$37</f>
        <v>0</v>
      </c>
      <c r="H921" s="567">
        <f>'TAMUK FGD'!$H$37</f>
        <v>0</v>
      </c>
      <c r="I921" s="567">
        <f>'TAMUK FGD'!$I$37</f>
        <v>0</v>
      </c>
      <c r="J921" s="567">
        <f>'TAMUK FGD'!$J$37</f>
        <v>0</v>
      </c>
      <c r="K921" s="567">
        <f>'TAMUK FGD'!$K$37</f>
        <v>0</v>
      </c>
      <c r="L921" s="567">
        <f>'TAMUK FGD'!$L$37</f>
        <v>0</v>
      </c>
      <c r="M921" s="567">
        <f>'TAMUK FGD'!$M$37</f>
        <v>0</v>
      </c>
      <c r="N921" s="401"/>
    </row>
    <row r="922" spans="2:14" s="160" customFormat="1" ht="12.75" hidden="1" customHeight="1" outlineLevel="1">
      <c r="B922" s="676" t="str">
        <f>'TAMUSA FGD'!$B$2</f>
        <v>Texas A&amp;M University - San Antonio</v>
      </c>
      <c r="C922" s="566"/>
      <c r="D922" s="567">
        <f>'TAMUSA FGD'!$D$37</f>
        <v>0</v>
      </c>
      <c r="E922" s="567">
        <f>'TAMUSA FGD'!$E$37</f>
        <v>0</v>
      </c>
      <c r="F922" s="567">
        <f>'TAMUSA FGD'!$F$37</f>
        <v>0</v>
      </c>
      <c r="G922" s="567">
        <f>'TAMUSA FGD'!$G$37</f>
        <v>0</v>
      </c>
      <c r="H922" s="567">
        <f>'TAMUSA FGD'!$H$37</f>
        <v>0</v>
      </c>
      <c r="I922" s="567">
        <f>'TAMUSA FGD'!$I$37</f>
        <v>0</v>
      </c>
      <c r="J922" s="567">
        <f>'TAMUSA FGD'!$J$37</f>
        <v>0</v>
      </c>
      <c r="K922" s="567">
        <f>'TAMUSA FGD'!$K$37</f>
        <v>0</v>
      </c>
      <c r="L922" s="567">
        <f>'TAMUSA FGD'!$L$37</f>
        <v>0</v>
      </c>
      <c r="M922" s="567">
        <f>'TAMUSA FGD'!$M$37</f>
        <v>0</v>
      </c>
      <c r="N922" s="401"/>
    </row>
    <row r="923" spans="2:14" s="160" customFormat="1" ht="12.75" hidden="1" customHeight="1" outlineLevel="1">
      <c r="B923" s="676" t="str">
        <f>'TAMUT FGD'!$B$2</f>
        <v>Texas A&amp;M University - Texarkana</v>
      </c>
      <c r="C923" s="566"/>
      <c r="D923" s="567">
        <f>'TAMUT FGD'!$D$37</f>
        <v>0</v>
      </c>
      <c r="E923" s="567">
        <f>'TAMUT FGD'!$E$37</f>
        <v>0</v>
      </c>
      <c r="F923" s="567">
        <f>'TAMUT FGD'!$F$37</f>
        <v>0</v>
      </c>
      <c r="G923" s="567">
        <f>'TAMUT FGD'!$G$37</f>
        <v>0</v>
      </c>
      <c r="H923" s="567">
        <f>'TAMUT FGD'!$H$37</f>
        <v>0</v>
      </c>
      <c r="I923" s="567">
        <f>'TAMUT FGD'!$I$37</f>
        <v>0</v>
      </c>
      <c r="J923" s="567">
        <f>'TAMUT FGD'!$J$37</f>
        <v>0</v>
      </c>
      <c r="K923" s="567">
        <f>'TAMUT FGD'!$K$37</f>
        <v>0</v>
      </c>
      <c r="L923" s="567">
        <f>'TAMUT FGD'!$L$37</f>
        <v>0</v>
      </c>
      <c r="M923" s="567">
        <f>'TAMUT FGD'!$M$37</f>
        <v>0</v>
      </c>
      <c r="N923" s="401"/>
    </row>
    <row r="924" spans="2:14" s="160" customFormat="1" ht="12.75" hidden="1" customHeight="1" outlineLevel="1">
      <c r="B924" s="676" t="str">
        <f>'TARLST FGD'!$B$2</f>
        <v>Tarleton State University</v>
      </c>
      <c r="C924" s="566"/>
      <c r="D924" s="567">
        <f>'TARLST FGD'!$D$37</f>
        <v>0</v>
      </c>
      <c r="E924" s="567">
        <f>'TARLST FGD'!$E$37</f>
        <v>0</v>
      </c>
      <c r="F924" s="567">
        <f>'TARLST FGD'!$F$37</f>
        <v>0</v>
      </c>
      <c r="G924" s="567">
        <f>'TARLST FGD'!$G$37</f>
        <v>0</v>
      </c>
      <c r="H924" s="567">
        <f>'TARLST FGD'!$H$37</f>
        <v>0</v>
      </c>
      <c r="I924" s="567">
        <f>'TARLST FGD'!$I$37</f>
        <v>0</v>
      </c>
      <c r="J924" s="567">
        <f>'TARLST FGD'!$J$37</f>
        <v>0</v>
      </c>
      <c r="K924" s="567">
        <f>'TARLST FGD'!$K$37</f>
        <v>0</v>
      </c>
      <c r="L924" s="567">
        <f>'TARLST FGD'!$L$37</f>
        <v>0</v>
      </c>
      <c r="M924" s="567">
        <f>'TARLST FGD'!$M$37</f>
        <v>0</v>
      </c>
      <c r="N924" s="401"/>
    </row>
    <row r="925" spans="2:14" s="160" customFormat="1" ht="12.75" hidden="1" customHeight="1" outlineLevel="1">
      <c r="B925" s="676" t="str">
        <f>'TSU FGD'!$B$2</f>
        <v>Texas Southern University</v>
      </c>
      <c r="C925" s="566"/>
      <c r="D925" s="567">
        <f>'TSU FGD'!$D$37</f>
        <v>0</v>
      </c>
      <c r="E925" s="567">
        <f>'TSU FGD'!$E$37</f>
        <v>0</v>
      </c>
      <c r="F925" s="567">
        <f>'TSU FGD'!$F$37</f>
        <v>0</v>
      </c>
      <c r="G925" s="567">
        <f>'TSU FGD'!$G$37</f>
        <v>0</v>
      </c>
      <c r="H925" s="567">
        <f>'TSU FGD'!$H$37</f>
        <v>0</v>
      </c>
      <c r="I925" s="567">
        <f>'TSU FGD'!$I$37</f>
        <v>0</v>
      </c>
      <c r="J925" s="567">
        <f>'TSU FGD'!$J$37</f>
        <v>0</v>
      </c>
      <c r="K925" s="567">
        <f>'TSU FGD'!$K$37</f>
        <v>0</v>
      </c>
      <c r="L925" s="567">
        <f>'TSU FGD'!$L$37</f>
        <v>0</v>
      </c>
      <c r="M925" s="567">
        <f>'TSU FGD'!$M$37</f>
        <v>0</v>
      </c>
      <c r="N925" s="401"/>
    </row>
    <row r="926" spans="2:14" s="160" customFormat="1" ht="12.75" hidden="1" customHeight="1" outlineLevel="1">
      <c r="B926" s="676" t="str">
        <f>'TTU FGD'!$B$2</f>
        <v>Texas Tech University</v>
      </c>
      <c r="C926" s="566"/>
      <c r="D926" s="567">
        <f>'TTU FGD'!$D$37</f>
        <v>0</v>
      </c>
      <c r="E926" s="567">
        <f>'TTU FGD'!$E$37</f>
        <v>0</v>
      </c>
      <c r="F926" s="567">
        <f>'TTU FGD'!$F$37</f>
        <v>0</v>
      </c>
      <c r="G926" s="567">
        <f>'TTU FGD'!$G$37</f>
        <v>0</v>
      </c>
      <c r="H926" s="567">
        <f>'TTU FGD'!$H$37</f>
        <v>0</v>
      </c>
      <c r="I926" s="567">
        <f>'TTU FGD'!$I$37</f>
        <v>0</v>
      </c>
      <c r="J926" s="567">
        <f>'TTU FGD'!$J$37</f>
        <v>0</v>
      </c>
      <c r="K926" s="567">
        <f>'TTU FGD'!$K$37</f>
        <v>0</v>
      </c>
      <c r="L926" s="567">
        <f>'TTU FGD'!$L$37</f>
        <v>0</v>
      </c>
      <c r="M926" s="567">
        <f>'TTU FGD'!$M$37</f>
        <v>0</v>
      </c>
      <c r="N926" s="401"/>
    </row>
    <row r="927" spans="2:14" s="160" customFormat="1" ht="12.75" hidden="1" customHeight="1" outlineLevel="1">
      <c r="B927" s="676" t="str">
        <f>'TWU FGD'!$B$2</f>
        <v>Texas Woman's University</v>
      </c>
      <c r="C927" s="566"/>
      <c r="D927" s="567">
        <f>'TWU FGD'!$D$37</f>
        <v>-87170</v>
      </c>
      <c r="E927" s="567">
        <f>'TWU FGD'!$E$37</f>
        <v>0</v>
      </c>
      <c r="F927" s="567">
        <f>'TWU FGD'!$F$37</f>
        <v>0</v>
      </c>
      <c r="G927" s="567">
        <f>'TWU FGD'!$G$37</f>
        <v>0</v>
      </c>
      <c r="H927" s="567">
        <f>'TWU FGD'!$H$37</f>
        <v>0</v>
      </c>
      <c r="I927" s="567">
        <f>'TWU FGD'!$I$37</f>
        <v>0</v>
      </c>
      <c r="J927" s="567">
        <f>'TWU FGD'!$J$37</f>
        <v>0</v>
      </c>
      <c r="K927" s="567">
        <f>'TWU FGD'!$K$37</f>
        <v>0</v>
      </c>
      <c r="L927" s="567">
        <f>'TWU FGD'!$L$37</f>
        <v>0</v>
      </c>
      <c r="M927" s="567">
        <f>'TWU FGD'!$M$37</f>
        <v>-87170</v>
      </c>
      <c r="N927" s="401"/>
    </row>
    <row r="928" spans="2:14" s="160" customFormat="1" ht="12.75" hidden="1" customHeight="1" outlineLevel="1">
      <c r="B928" s="676" t="str">
        <f>'TXST FGD'!$B$2</f>
        <v>Texas State University</v>
      </c>
      <c r="C928" s="566"/>
      <c r="D928" s="567">
        <f>'TXST FGD'!$D$37</f>
        <v>0</v>
      </c>
      <c r="E928" s="567">
        <f>'TXST FGD'!$E$37</f>
        <v>0</v>
      </c>
      <c r="F928" s="567">
        <f>'TXST FGD'!$F$37</f>
        <v>0</v>
      </c>
      <c r="G928" s="567">
        <f>'TXST FGD'!$G$37</f>
        <v>0</v>
      </c>
      <c r="H928" s="567">
        <f>'TXST FGD'!$H$37</f>
        <v>0</v>
      </c>
      <c r="I928" s="567">
        <f>'TXST FGD'!$I$37</f>
        <v>0</v>
      </c>
      <c r="J928" s="567">
        <f>'TXST FGD'!$J$37</f>
        <v>0</v>
      </c>
      <c r="K928" s="567">
        <f>'TXST FGD'!$K$37</f>
        <v>0</v>
      </c>
      <c r="L928" s="567">
        <f>'TXST FGD'!$L$37</f>
        <v>0</v>
      </c>
      <c r="M928" s="567">
        <f>'TXST FGD'!$M$37</f>
        <v>0</v>
      </c>
      <c r="N928" s="401"/>
    </row>
    <row r="929" spans="2:14" s="160" customFormat="1" ht="12.75" hidden="1" customHeight="1" outlineLevel="1">
      <c r="B929" s="676" t="str">
        <f>'TYL FGD'!$B$2</f>
        <v>The University of Texas at Tyler</v>
      </c>
      <c r="C929" s="566"/>
      <c r="D929" s="567">
        <f>'TYL FGD'!$D$37</f>
        <v>0</v>
      </c>
      <c r="E929" s="567">
        <f>'TYL FGD'!$E$37</f>
        <v>0</v>
      </c>
      <c r="F929" s="567">
        <f>'TYL FGD'!$F$37</f>
        <v>0</v>
      </c>
      <c r="G929" s="567">
        <f>'TYL FGD'!$G$37</f>
        <v>0</v>
      </c>
      <c r="H929" s="567">
        <f>'TYL FGD'!$H$37</f>
        <v>0</v>
      </c>
      <c r="I929" s="567">
        <f>'TYL FGD'!$I$37</f>
        <v>0</v>
      </c>
      <c r="J929" s="567">
        <f>'TYL FGD'!$J$37</f>
        <v>0</v>
      </c>
      <c r="K929" s="567">
        <f>'TYL FGD'!$K$37</f>
        <v>0</v>
      </c>
      <c r="L929" s="567">
        <f>'TYL FGD'!$L$37</f>
        <v>0</v>
      </c>
      <c r="M929" s="567">
        <f>'TYL FGD'!$M$37</f>
        <v>0</v>
      </c>
      <c r="N929" s="401"/>
    </row>
    <row r="930" spans="2:14" s="160" customFormat="1" ht="12.75" hidden="1" customHeight="1" outlineLevel="1">
      <c r="B930" s="676" t="str">
        <f>'UH1 FGD'!$B$2</f>
        <v>University of Houston - Academic &amp; Health (A+H)</v>
      </c>
      <c r="C930" s="566"/>
      <c r="D930" s="567">
        <f>'UH1 FGD'!$D$37</f>
        <v>0</v>
      </c>
      <c r="E930" s="567">
        <f>'UH1 FGD'!$E$37</f>
        <v>0</v>
      </c>
      <c r="F930" s="567">
        <f>'UH1 FGD'!$F$37</f>
        <v>0</v>
      </c>
      <c r="G930" s="567">
        <f>'UH1 FGD'!$G$37</f>
        <v>0</v>
      </c>
      <c r="H930" s="567">
        <f>'UH1 FGD'!$H$37</f>
        <v>0</v>
      </c>
      <c r="I930" s="567">
        <f>'UH1 FGD'!$I$37</f>
        <v>0</v>
      </c>
      <c r="J930" s="567">
        <f>'UH1 FGD'!$J$37</f>
        <v>0</v>
      </c>
      <c r="K930" s="567">
        <f>'UH1 FGD'!$K$37</f>
        <v>0</v>
      </c>
      <c r="L930" s="567">
        <f>'UH1 FGD'!$L$37</f>
        <v>0</v>
      </c>
      <c r="M930" s="567">
        <f>'UH1 FGD'!$M$37</f>
        <v>0</v>
      </c>
      <c r="N930" s="401"/>
    </row>
    <row r="931" spans="2:14" s="160" customFormat="1" ht="12.75" hidden="1" customHeight="1" outlineLevel="1">
      <c r="B931" s="676" t="str">
        <f>'UHCL FGD'!$B$2</f>
        <v>University of Houston - Clear Lake</v>
      </c>
      <c r="C931" s="566"/>
      <c r="D931" s="567">
        <f>'UHCL FGD'!$D$37</f>
        <v>0</v>
      </c>
      <c r="E931" s="567">
        <f>'UHCL FGD'!$E$37</f>
        <v>0</v>
      </c>
      <c r="F931" s="567">
        <f>'UHCL FGD'!$F$37</f>
        <v>0</v>
      </c>
      <c r="G931" s="567">
        <f>'UHCL FGD'!$G$37</f>
        <v>0</v>
      </c>
      <c r="H931" s="567">
        <f>'UHCL FGD'!$H$37</f>
        <v>0</v>
      </c>
      <c r="I931" s="567">
        <f>'UHCL FGD'!$I$37</f>
        <v>0</v>
      </c>
      <c r="J931" s="567">
        <f>'UHCL FGD'!$J$37</f>
        <v>0</v>
      </c>
      <c r="K931" s="567">
        <f>'UHCL FGD'!$K$37</f>
        <v>0</v>
      </c>
      <c r="L931" s="567">
        <f>'UHCL FGD'!$L$37</f>
        <v>0</v>
      </c>
      <c r="M931" s="567">
        <f>'UHCL FGD'!$M$37</f>
        <v>0</v>
      </c>
      <c r="N931" s="401"/>
    </row>
    <row r="932" spans="2:14" s="160" customFormat="1" ht="12.75" hidden="1" customHeight="1" outlineLevel="1">
      <c r="B932" s="676" t="str">
        <f>'UHD FGD'!$B$2</f>
        <v>University of Houston - Downtown</v>
      </c>
      <c r="C932" s="566"/>
      <c r="D932" s="567">
        <f>'UHD FGD'!$D$37</f>
        <v>0</v>
      </c>
      <c r="E932" s="567">
        <f>'UHD FGD'!$E$37</f>
        <v>0</v>
      </c>
      <c r="F932" s="567">
        <f>'UHD FGD'!$F$37</f>
        <v>0</v>
      </c>
      <c r="G932" s="567">
        <f>'UHD FGD'!$G$37</f>
        <v>0</v>
      </c>
      <c r="H932" s="567">
        <f>'UHD FGD'!$H$37</f>
        <v>0</v>
      </c>
      <c r="I932" s="567">
        <f>'UHD FGD'!$I$37</f>
        <v>0</v>
      </c>
      <c r="J932" s="567">
        <f>'UHD FGD'!$J$37</f>
        <v>0</v>
      </c>
      <c r="K932" s="567">
        <f>'UHD FGD'!$K$37</f>
        <v>0</v>
      </c>
      <c r="L932" s="567">
        <f>'UHD FGD'!$L$37</f>
        <v>0</v>
      </c>
      <c r="M932" s="567">
        <f>'UHD FGD'!$M$37</f>
        <v>0</v>
      </c>
      <c r="N932" s="401"/>
    </row>
    <row r="933" spans="2:14" s="160" customFormat="1" ht="12.75" hidden="1" customHeight="1" outlineLevel="1">
      <c r="B933" s="676" t="str">
        <f>'UHV FGD'!$B$2</f>
        <v>University of Houston - Victoria</v>
      </c>
      <c r="C933" s="566"/>
      <c r="D933" s="567">
        <f>'UHV FGD'!$D$37</f>
        <v>0</v>
      </c>
      <c r="E933" s="567">
        <f>'UHV FGD'!$E$37</f>
        <v>0</v>
      </c>
      <c r="F933" s="567">
        <f>'UHV FGD'!$F$37</f>
        <v>0</v>
      </c>
      <c r="G933" s="567">
        <f>'UHV FGD'!$G$37</f>
        <v>0</v>
      </c>
      <c r="H933" s="567">
        <f>'UHV FGD'!$H$37</f>
        <v>0</v>
      </c>
      <c r="I933" s="567">
        <f>'UHV FGD'!$I$37</f>
        <v>0</v>
      </c>
      <c r="J933" s="567">
        <f>'UHV FGD'!$J$37</f>
        <v>0</v>
      </c>
      <c r="K933" s="567">
        <f>'UHV FGD'!$K$37</f>
        <v>0</v>
      </c>
      <c r="L933" s="567">
        <f>'UHV FGD'!$L$37</f>
        <v>0</v>
      </c>
      <c r="M933" s="567">
        <f>'UHV FGD'!$M$37</f>
        <v>0</v>
      </c>
      <c r="N933" s="401"/>
    </row>
    <row r="934" spans="2:14" s="160" customFormat="1" ht="12.75" hidden="1" customHeight="1" outlineLevel="1">
      <c r="B934" s="676" t="str">
        <f>'UNT FGD'!$B$2</f>
        <v>University of North Texas</v>
      </c>
      <c r="C934" s="566"/>
      <c r="D934" s="567">
        <f>'UNT FGD'!$D$37</f>
        <v>0</v>
      </c>
      <c r="E934" s="567">
        <f>'UNT FGD'!$E$37</f>
        <v>0</v>
      </c>
      <c r="F934" s="567">
        <f>'UNT FGD'!$F$37</f>
        <v>0</v>
      </c>
      <c r="G934" s="567">
        <f>'UNT FGD'!$G$37</f>
        <v>0</v>
      </c>
      <c r="H934" s="567">
        <f>'UNT FGD'!$H$37</f>
        <v>0</v>
      </c>
      <c r="I934" s="567">
        <f>'UNT FGD'!$I$37</f>
        <v>0</v>
      </c>
      <c r="J934" s="567">
        <f>'UNT FGD'!$J$37</f>
        <v>0</v>
      </c>
      <c r="K934" s="567">
        <f>'UNT FGD'!$K$37</f>
        <v>0</v>
      </c>
      <c r="L934" s="567">
        <f>'UNT FGD'!$L$37</f>
        <v>0</v>
      </c>
      <c r="M934" s="567">
        <f>'UNT FGD'!$M$37</f>
        <v>0</v>
      </c>
      <c r="N934" s="401"/>
    </row>
    <row r="935" spans="2:14" s="160" customFormat="1" ht="12.75" hidden="1" customHeight="1" outlineLevel="1">
      <c r="B935" s="676" t="str">
        <f>'UNTD FGD'!$B$2</f>
        <v>University of North Texas at Dallas</v>
      </c>
      <c r="C935" s="566"/>
      <c r="D935" s="567">
        <f>'UNTD FGD'!$D$37</f>
        <v>0</v>
      </c>
      <c r="E935" s="567">
        <f>'UNTD FGD'!$E$37</f>
        <v>0</v>
      </c>
      <c r="F935" s="567">
        <f>'UNTD FGD'!$F$37</f>
        <v>0</v>
      </c>
      <c r="G935" s="567">
        <f>'UNTD FGD'!$G$37</f>
        <v>0</v>
      </c>
      <c r="H935" s="567">
        <f>'UNTD FGD'!$H$37</f>
        <v>0</v>
      </c>
      <c r="I935" s="567">
        <f>'UNTD FGD'!$I$37</f>
        <v>0</v>
      </c>
      <c r="J935" s="567">
        <f>'UNTD FGD'!$J$37</f>
        <v>0</v>
      </c>
      <c r="K935" s="567">
        <f>'UNTD FGD'!$K$37</f>
        <v>0</v>
      </c>
      <c r="L935" s="567">
        <f>'UNTD FGD'!$L$37</f>
        <v>0</v>
      </c>
      <c r="M935" s="567">
        <f>'UNTD FGD'!$M$37</f>
        <v>0</v>
      </c>
      <c r="N935" s="401"/>
    </row>
    <row r="936" spans="2:14" s="160" customFormat="1" ht="12.75" hidden="1" customHeight="1" outlineLevel="1">
      <c r="B936" s="676" t="str">
        <f>'WTAMU FGD'!$B$2</f>
        <v>West Texas A&amp;M University</v>
      </c>
      <c r="C936" s="566"/>
      <c r="D936" s="567">
        <f>'WTAMU FGD'!$D$37</f>
        <v>0</v>
      </c>
      <c r="E936" s="567">
        <f>'WTAMU FGD'!$E$37</f>
        <v>0</v>
      </c>
      <c r="F936" s="567">
        <f>'WTAMU FGD'!$F$37</f>
        <v>0</v>
      </c>
      <c r="G936" s="567">
        <f>'WTAMU FGD'!$G$37</f>
        <v>0</v>
      </c>
      <c r="H936" s="567">
        <f>'WTAMU FGD'!$H$37</f>
        <v>0</v>
      </c>
      <c r="I936" s="567">
        <f>'WTAMU FGD'!$I$37</f>
        <v>0</v>
      </c>
      <c r="J936" s="567">
        <f>'WTAMU FGD'!$J$37</f>
        <v>0</v>
      </c>
      <c r="K936" s="567">
        <f>'WTAMU FGD'!$K$37</f>
        <v>0</v>
      </c>
      <c r="L936" s="567">
        <f>'WTAMU FGD'!$L$37</f>
        <v>0</v>
      </c>
      <c r="M936" s="567">
        <f>'WTAMU FGD'!$M$37</f>
        <v>0</v>
      </c>
      <c r="N936" s="401"/>
    </row>
    <row r="937" spans="2:14" s="160" customFormat="1" collapsed="1">
      <c r="B937" s="261" t="s">
        <v>727</v>
      </c>
      <c r="C937" s="566"/>
      <c r="D937" s="390">
        <f t="shared" ref="D937:M937" si="24">SUM(D901:D936)</f>
        <v>-305313</v>
      </c>
      <c r="E937" s="390">
        <f t="shared" si="24"/>
        <v>-581626</v>
      </c>
      <c r="F937" s="390">
        <f t="shared" si="24"/>
        <v>0</v>
      </c>
      <c r="G937" s="390">
        <f t="shared" si="24"/>
        <v>0</v>
      </c>
      <c r="H937" s="390">
        <f t="shared" si="24"/>
        <v>0</v>
      </c>
      <c r="I937" s="390">
        <f t="shared" si="24"/>
        <v>0</v>
      </c>
      <c r="J937" s="390">
        <f t="shared" si="24"/>
        <v>0</v>
      </c>
      <c r="K937" s="390">
        <f t="shared" si="24"/>
        <v>0</v>
      </c>
      <c r="L937" s="390">
        <f t="shared" si="24"/>
        <v>0</v>
      </c>
      <c r="M937" s="567">
        <f t="shared" si="24"/>
        <v>-886939</v>
      </c>
      <c r="N937" s="401"/>
    </row>
    <row r="938" spans="2:14" s="160" customFormat="1" ht="12.75" hidden="1" customHeight="1" outlineLevel="1">
      <c r="B938" s="674" t="str">
        <f>'ARL FGD'!$B$2</f>
        <v>The University of Texas at Arlington</v>
      </c>
      <c r="C938" s="566"/>
      <c r="D938" s="390">
        <f>'ARL FGD'!$D$38</f>
        <v>0</v>
      </c>
      <c r="E938" s="390">
        <f>'ARL FGD'!$E$38</f>
        <v>0</v>
      </c>
      <c r="F938" s="390">
        <f>'ARL FGD'!$F$38</f>
        <v>0</v>
      </c>
      <c r="G938" s="390">
        <f>'ARL FGD'!$G$38</f>
        <v>0</v>
      </c>
      <c r="H938" s="390">
        <f>'ARL FGD'!$H$38</f>
        <v>0</v>
      </c>
      <c r="I938" s="390">
        <f>'ARL FGD'!$I$38</f>
        <v>0</v>
      </c>
      <c r="J938" s="390">
        <f>'ARL FGD'!$J$38</f>
        <v>0</v>
      </c>
      <c r="K938" s="390">
        <f>'ARL FGD'!$K$38</f>
        <v>0</v>
      </c>
      <c r="L938" s="390">
        <f>'ARL FGD'!$L$38</f>
        <v>0</v>
      </c>
      <c r="M938" s="567">
        <f>'ARL FGD'!$M$38</f>
        <v>0</v>
      </c>
      <c r="N938" s="401"/>
    </row>
    <row r="939" spans="2:14" s="160" customFormat="1" ht="12.75" hidden="1" customHeight="1" outlineLevel="1">
      <c r="B939" s="674" t="str">
        <f>'ASU FGD'!$B$2</f>
        <v>Angelo State University</v>
      </c>
      <c r="C939" s="566"/>
      <c r="D939" s="390">
        <f>'ASU FGD'!$D$38</f>
        <v>0</v>
      </c>
      <c r="E939" s="390">
        <f>'ASU FGD'!$E$38</f>
        <v>0</v>
      </c>
      <c r="F939" s="390">
        <f>'ASU FGD'!$F$38</f>
        <v>0</v>
      </c>
      <c r="G939" s="390">
        <f>'ASU FGD'!$G$38</f>
        <v>0</v>
      </c>
      <c r="H939" s="390">
        <f>'ASU FGD'!$H$38</f>
        <v>0</v>
      </c>
      <c r="I939" s="390">
        <f>'ASU FGD'!$I$38</f>
        <v>0</v>
      </c>
      <c r="J939" s="390">
        <f>'ASU FGD'!$J$38</f>
        <v>0</v>
      </c>
      <c r="K939" s="390">
        <f>'ASU FGD'!$K$38</f>
        <v>0</v>
      </c>
      <c r="L939" s="390">
        <f>'ASU FGD'!$L$38</f>
        <v>0</v>
      </c>
      <c r="M939" s="567">
        <f>'ASU FGD'!$M$38</f>
        <v>0</v>
      </c>
      <c r="N939" s="401"/>
    </row>
    <row r="940" spans="2:14" s="160" customFormat="1" ht="12.75" hidden="1" customHeight="1" outlineLevel="1">
      <c r="B940" s="674" t="str">
        <f>'AUS1 FGD'!$B$2</f>
        <v>The University of Texas at Austin - Academic &amp; Health (A+H)</v>
      </c>
      <c r="C940" s="566"/>
      <c r="D940" s="390">
        <f>'AUS1 FGD'!$D$38</f>
        <v>0</v>
      </c>
      <c r="E940" s="390">
        <f>'AUS1 FGD'!$E$38</f>
        <v>0</v>
      </c>
      <c r="F940" s="390">
        <f>'AUS1 FGD'!$F$38</f>
        <v>0</v>
      </c>
      <c r="G940" s="390">
        <f>'AUS1 FGD'!$G$38</f>
        <v>0</v>
      </c>
      <c r="H940" s="390">
        <f>'AUS1 FGD'!$H$38</f>
        <v>0</v>
      </c>
      <c r="I940" s="390">
        <f>'AUS1 FGD'!$I$38</f>
        <v>0</v>
      </c>
      <c r="J940" s="390">
        <f>'AUS1 FGD'!$J$38</f>
        <v>0</v>
      </c>
      <c r="K940" s="390">
        <f>'AUS1 FGD'!$K$38</f>
        <v>0</v>
      </c>
      <c r="L940" s="390">
        <f>'AUS1 FGD'!$L$38</f>
        <v>0</v>
      </c>
      <c r="M940" s="567">
        <f>'AUS1 FGD'!$M$38</f>
        <v>0</v>
      </c>
      <c r="N940" s="401"/>
    </row>
    <row r="941" spans="2:14" s="160" customFormat="1" ht="12.75" hidden="1" customHeight="1" outlineLevel="1">
      <c r="B941" s="674" t="str">
        <f>'RGV1 FGD'!$B$2</f>
        <v>The University of Texas RGV - Academic &amp; Health (A+H)</v>
      </c>
      <c r="C941" s="566"/>
      <c r="D941" s="390">
        <f>'RGV1 FGD'!$D$38</f>
        <v>0</v>
      </c>
      <c r="E941" s="390">
        <f>'RGV1 FGD'!$E$38</f>
        <v>0</v>
      </c>
      <c r="F941" s="390">
        <f>'RGV1 FGD'!$F$38</f>
        <v>0</v>
      </c>
      <c r="G941" s="390">
        <f>'RGV1 FGD'!$G$38</f>
        <v>0</v>
      </c>
      <c r="H941" s="390">
        <f>'RGV1 FGD'!$H$38</f>
        <v>0</v>
      </c>
      <c r="I941" s="390">
        <f>'RGV1 FGD'!$I$38</f>
        <v>0</v>
      </c>
      <c r="J941" s="390">
        <f>'RGV1 FGD'!$J$38</f>
        <v>0</v>
      </c>
      <c r="K941" s="390">
        <f>'RGV1 FGD'!$K$38</f>
        <v>0</v>
      </c>
      <c r="L941" s="390">
        <f>'RGV1 FGD'!$L$38</f>
        <v>0</v>
      </c>
      <c r="M941" s="567">
        <f>'RGV1 FGD'!$M$38</f>
        <v>0</v>
      </c>
      <c r="N941" s="401"/>
    </row>
    <row r="942" spans="2:14" s="160" customFormat="1" ht="12.75" hidden="1" customHeight="1" outlineLevel="1">
      <c r="B942" s="674" t="str">
        <f>'DAL FGD'!$B$2</f>
        <v>The University of Texas at Dallas</v>
      </c>
      <c r="C942" s="566"/>
      <c r="D942" s="390">
        <f>'DAL FGD'!$D$38</f>
        <v>0</v>
      </c>
      <c r="E942" s="390">
        <f>'DAL FGD'!$E$38</f>
        <v>0</v>
      </c>
      <c r="F942" s="390">
        <f>'DAL FGD'!$F$38</f>
        <v>0</v>
      </c>
      <c r="G942" s="390">
        <f>'DAL FGD'!$G$38</f>
        <v>0</v>
      </c>
      <c r="H942" s="390">
        <f>'DAL FGD'!$H$38</f>
        <v>0</v>
      </c>
      <c r="I942" s="390">
        <f>'DAL FGD'!$I$38</f>
        <v>0</v>
      </c>
      <c r="J942" s="390">
        <f>'DAL FGD'!$J$38</f>
        <v>0</v>
      </c>
      <c r="K942" s="390">
        <f>'DAL FGD'!$K$38</f>
        <v>0</v>
      </c>
      <c r="L942" s="390">
        <f>'DAL FGD'!$L$38</f>
        <v>0</v>
      </c>
      <c r="M942" s="567">
        <f>'DAL FGD'!$M$38</f>
        <v>0</v>
      </c>
      <c r="N942" s="401"/>
    </row>
    <row r="943" spans="2:14" s="160" customFormat="1" ht="12.75" hidden="1" customHeight="1" outlineLevel="1">
      <c r="B943" s="674" t="str">
        <f>'E-P FGD'!$B$2</f>
        <v>The University of Texas at El Paso</v>
      </c>
      <c r="C943" s="566"/>
      <c r="D943" s="390">
        <f>'E-P FGD'!$D$38</f>
        <v>0</v>
      </c>
      <c r="E943" s="390">
        <f>'E-P FGD'!$E$38</f>
        <v>0</v>
      </c>
      <c r="F943" s="390">
        <f>'E-P FGD'!$F$38</f>
        <v>0</v>
      </c>
      <c r="G943" s="390">
        <f>'E-P FGD'!$G$38</f>
        <v>0</v>
      </c>
      <c r="H943" s="390">
        <f>'E-P FGD'!$H$38</f>
        <v>0</v>
      </c>
      <c r="I943" s="390">
        <f>'E-P FGD'!$I$38</f>
        <v>0</v>
      </c>
      <c r="J943" s="390">
        <f>'E-P FGD'!$J$38</f>
        <v>0</v>
      </c>
      <c r="K943" s="390">
        <f>'E-P FGD'!$K$38</f>
        <v>0</v>
      </c>
      <c r="L943" s="390">
        <f>'E-P FGD'!$L$38</f>
        <v>0</v>
      </c>
      <c r="M943" s="567">
        <f>'E-P FGD'!$M$38</f>
        <v>0</v>
      </c>
      <c r="N943" s="401"/>
    </row>
    <row r="944" spans="2:14" s="160" customFormat="1" ht="12.75" hidden="1" customHeight="1" outlineLevel="1">
      <c r="B944" s="674" t="str">
        <f>'LU FGD'!$B$2</f>
        <v xml:space="preserve">Lamar University </v>
      </c>
      <c r="C944" s="566"/>
      <c r="D944" s="390">
        <f>'LU FGD'!$D$38</f>
        <v>0</v>
      </c>
      <c r="E944" s="390">
        <f>'LU FGD'!$E$38</f>
        <v>0</v>
      </c>
      <c r="F944" s="390">
        <f>'LU FGD'!$F$38</f>
        <v>0</v>
      </c>
      <c r="G944" s="390">
        <f>'LU FGD'!$G$38</f>
        <v>0</v>
      </c>
      <c r="H944" s="390">
        <f>'LU FGD'!$H$38</f>
        <v>0</v>
      </c>
      <c r="I944" s="390">
        <f>'LU FGD'!$I$38</f>
        <v>0</v>
      </c>
      <c r="J944" s="390">
        <f>'LU FGD'!$J$38</f>
        <v>0</v>
      </c>
      <c r="K944" s="390">
        <f>'LU FGD'!$K$38</f>
        <v>0</v>
      </c>
      <c r="L944" s="390">
        <f>'LU FGD'!$L$38</f>
        <v>0</v>
      </c>
      <c r="M944" s="567">
        <f>'LU FGD'!$M$38</f>
        <v>0</v>
      </c>
      <c r="N944" s="401"/>
    </row>
    <row r="945" spans="2:14" s="160" customFormat="1" ht="12.75" hidden="1" customHeight="1" outlineLevel="1">
      <c r="B945" s="674" t="str">
        <f>'MidWST FGD'!$B$2</f>
        <v>Midwestern State University</v>
      </c>
      <c r="C945" s="566"/>
      <c r="D945" s="390">
        <f>'MidWST FGD'!$D$38</f>
        <v>0</v>
      </c>
      <c r="E945" s="390">
        <f>'MidWST FGD'!$E$38</f>
        <v>0</v>
      </c>
      <c r="F945" s="390">
        <f>'MidWST FGD'!$F$38</f>
        <v>0</v>
      </c>
      <c r="G945" s="390">
        <f>'MidWST FGD'!$G$38</f>
        <v>0</v>
      </c>
      <c r="H945" s="390">
        <f>'MidWST FGD'!$H$38</f>
        <v>0</v>
      </c>
      <c r="I945" s="390">
        <f>'MidWST FGD'!$I$38</f>
        <v>0</v>
      </c>
      <c r="J945" s="390">
        <f>'MidWST FGD'!$J$38</f>
        <v>0</v>
      </c>
      <c r="K945" s="390">
        <f>'MidWST FGD'!$K$38</f>
        <v>0</v>
      </c>
      <c r="L945" s="390">
        <f>'MidWST FGD'!$L$38</f>
        <v>0</v>
      </c>
      <c r="M945" s="567">
        <f>'MidWST FGD'!$M$38</f>
        <v>0</v>
      </c>
      <c r="N945" s="401"/>
    </row>
    <row r="946" spans="2:14" s="160" customFormat="1" ht="12.75" hidden="1" customHeight="1" outlineLevel="1">
      <c r="B946" s="674" t="str">
        <f>'P-B FGD'!$B$2</f>
        <v>The University of Texas of the Permian Basin</v>
      </c>
      <c r="C946" s="566"/>
      <c r="D946" s="390">
        <f>'P-B FGD'!$D$38</f>
        <v>0</v>
      </c>
      <c r="E946" s="390">
        <f>'P-B FGD'!$E$38</f>
        <v>0</v>
      </c>
      <c r="F946" s="390">
        <f>'P-B FGD'!$F$38</f>
        <v>0</v>
      </c>
      <c r="G946" s="390">
        <f>'P-B FGD'!$G$38</f>
        <v>0</v>
      </c>
      <c r="H946" s="390">
        <f>'P-B FGD'!$H$38</f>
        <v>0</v>
      </c>
      <c r="I946" s="390">
        <f>'P-B FGD'!$I$38</f>
        <v>0</v>
      </c>
      <c r="J946" s="390">
        <f>'P-B FGD'!$J$38</f>
        <v>0</v>
      </c>
      <c r="K946" s="390">
        <f>'P-B FGD'!$K$38</f>
        <v>0</v>
      </c>
      <c r="L946" s="390">
        <f>'P-B FGD'!$L$38</f>
        <v>0</v>
      </c>
      <c r="M946" s="567">
        <f>'P-B FGD'!$M$38</f>
        <v>0</v>
      </c>
      <c r="N946" s="401"/>
    </row>
    <row r="947" spans="2:14" s="160" customFormat="1" ht="12.75" hidden="1" customHeight="1" outlineLevel="1">
      <c r="B947" s="674" t="str">
        <f>'PVAMU FGD'!$B$2</f>
        <v>Prairie View A&amp;M University</v>
      </c>
      <c r="C947" s="566"/>
      <c r="D947" s="390">
        <f>'PVAMU FGD'!$D$38</f>
        <v>0</v>
      </c>
      <c r="E947" s="390">
        <f>'PVAMU FGD'!$E$38</f>
        <v>0</v>
      </c>
      <c r="F947" s="390">
        <f>'PVAMU FGD'!$F$38</f>
        <v>0</v>
      </c>
      <c r="G947" s="390">
        <f>'PVAMU FGD'!$G$38</f>
        <v>0</v>
      </c>
      <c r="H947" s="390">
        <f>'PVAMU FGD'!$H$38</f>
        <v>0</v>
      </c>
      <c r="I947" s="390">
        <f>'PVAMU FGD'!$I$38</f>
        <v>0</v>
      </c>
      <c r="J947" s="390">
        <f>'PVAMU FGD'!$J$38</f>
        <v>0</v>
      </c>
      <c r="K947" s="390">
        <f>'PVAMU FGD'!$K$38</f>
        <v>0</v>
      </c>
      <c r="L947" s="390">
        <f>'PVAMU FGD'!$L$38</f>
        <v>0</v>
      </c>
      <c r="M947" s="567">
        <f>'PVAMU FGD'!$M$38</f>
        <v>0</v>
      </c>
      <c r="N947" s="401"/>
    </row>
    <row r="948" spans="2:14" s="160" customFormat="1" ht="12.75" hidden="1" customHeight="1" outlineLevel="1">
      <c r="B948" s="674" t="str">
        <f>'S-A FGD'!$B$2</f>
        <v>The University of Texas at San Antonio</v>
      </c>
      <c r="C948" s="566"/>
      <c r="D948" s="390">
        <f>'S-A FGD'!$D$38</f>
        <v>0</v>
      </c>
      <c r="E948" s="390">
        <f>'S-A FGD'!$E$38</f>
        <v>0</v>
      </c>
      <c r="F948" s="390">
        <f>'S-A FGD'!$F$38</f>
        <v>0</v>
      </c>
      <c r="G948" s="390">
        <f>'S-A FGD'!$G$38</f>
        <v>0</v>
      </c>
      <c r="H948" s="390">
        <f>'S-A FGD'!$H$38</f>
        <v>0</v>
      </c>
      <c r="I948" s="390">
        <f>'S-A FGD'!$I$38</f>
        <v>0</v>
      </c>
      <c r="J948" s="390">
        <f>'S-A FGD'!$J$38</f>
        <v>0</v>
      </c>
      <c r="K948" s="390">
        <f>'S-A FGD'!$K$38</f>
        <v>0</v>
      </c>
      <c r="L948" s="390">
        <f>'S-A FGD'!$L$38</f>
        <v>0</v>
      </c>
      <c r="M948" s="567">
        <f>'S-A FGD'!$M$38</f>
        <v>0</v>
      </c>
      <c r="N948" s="401"/>
    </row>
    <row r="949" spans="2:14" s="160" customFormat="1" ht="12.75" hidden="1" customHeight="1" outlineLevel="1">
      <c r="B949" s="674" t="str">
        <f>'SFA FGD'!$B$2</f>
        <v>Stephen F. Austin State University</v>
      </c>
      <c r="C949" s="566"/>
      <c r="D949" s="390">
        <f>'SFA FGD'!$D$38</f>
        <v>0</v>
      </c>
      <c r="E949" s="390">
        <f>'SFA FGD'!$E$38</f>
        <v>0</v>
      </c>
      <c r="F949" s="390">
        <f>'SFA FGD'!$F$38</f>
        <v>0</v>
      </c>
      <c r="G949" s="390">
        <f>'SFA FGD'!$G$38</f>
        <v>0</v>
      </c>
      <c r="H949" s="390">
        <f>'SFA FGD'!$H$38</f>
        <v>0</v>
      </c>
      <c r="I949" s="390">
        <f>'SFA FGD'!$I$38</f>
        <v>0</v>
      </c>
      <c r="J949" s="390">
        <f>'SFA FGD'!$J$38</f>
        <v>0</v>
      </c>
      <c r="K949" s="390">
        <f>'SFA FGD'!$K$38</f>
        <v>0</v>
      </c>
      <c r="L949" s="390">
        <f>'SFA FGD'!$L$38</f>
        <v>0</v>
      </c>
      <c r="M949" s="567">
        <f>'SFA FGD'!$M$38</f>
        <v>0</v>
      </c>
      <c r="N949" s="401"/>
    </row>
    <row r="950" spans="2:14" s="160" customFormat="1" ht="12.75" hidden="1" customHeight="1" outlineLevel="1">
      <c r="B950" s="674" t="str">
        <f>'shsu1 FGD'!$B$2</f>
        <v>Sam Houston State University - Academic &amp; Health (A+H)</v>
      </c>
      <c r="C950" s="566"/>
      <c r="D950" s="390">
        <f>'shsu1 FGD'!$D$38</f>
        <v>0</v>
      </c>
      <c r="E950" s="390">
        <f>'shsu1 FGD'!$E$38</f>
        <v>0</v>
      </c>
      <c r="F950" s="390">
        <f>'shsu1 FGD'!$F$38</f>
        <v>0</v>
      </c>
      <c r="G950" s="390">
        <f>'shsu1 FGD'!$G$38</f>
        <v>0</v>
      </c>
      <c r="H950" s="390">
        <f>'shsu1 FGD'!$H$38</f>
        <v>0</v>
      </c>
      <c r="I950" s="390">
        <f>'shsu1 FGD'!$I$38</f>
        <v>0</v>
      </c>
      <c r="J950" s="390">
        <f>'shsu1 FGD'!$J$38</f>
        <v>0</v>
      </c>
      <c r="K950" s="390">
        <f>'shsu1 FGD'!$K$38</f>
        <v>0</v>
      </c>
      <c r="L950" s="390">
        <f>'shsu1 FGD'!$L$38</f>
        <v>0</v>
      </c>
      <c r="M950" s="567">
        <f>'shsu1 FGD'!$M$38</f>
        <v>0</v>
      </c>
      <c r="N950" s="401"/>
    </row>
    <row r="951" spans="2:14" s="160" customFormat="1" ht="12.75" hidden="1" customHeight="1" outlineLevel="1">
      <c r="B951" s="674" t="str">
        <f>'SRSU FGD'!$B$2</f>
        <v>Sul Ross State University</v>
      </c>
      <c r="C951" s="566"/>
      <c r="D951" s="390">
        <f>'SRSU FGD'!$D$38</f>
        <v>0</v>
      </c>
      <c r="E951" s="390">
        <f>'SRSU FGD'!$E$38</f>
        <v>0</v>
      </c>
      <c r="F951" s="390">
        <f>'SRSU FGD'!$F$38</f>
        <v>0</v>
      </c>
      <c r="G951" s="390">
        <f>'SRSU FGD'!$G$38</f>
        <v>0</v>
      </c>
      <c r="H951" s="390">
        <f>'SRSU FGD'!$H$38</f>
        <v>0</v>
      </c>
      <c r="I951" s="390">
        <f>'SRSU FGD'!$I$38</f>
        <v>0</v>
      </c>
      <c r="J951" s="390">
        <f>'SRSU FGD'!$J$38</f>
        <v>0</v>
      </c>
      <c r="K951" s="390">
        <f>'SRSU FGD'!$K$38</f>
        <v>0</v>
      </c>
      <c r="L951" s="390">
        <f>'SRSU FGD'!$L$38</f>
        <v>0</v>
      </c>
      <c r="M951" s="567">
        <f>'SRSU FGD'!$M$38</f>
        <v>0</v>
      </c>
      <c r="N951" s="401"/>
    </row>
    <row r="952" spans="2:14" s="160" customFormat="1" ht="12.75" hidden="1" customHeight="1" outlineLevel="1">
      <c r="B952" s="674" t="str">
        <f>'TAMIU FGD'!$B$2</f>
        <v>Texas A&amp;M International University</v>
      </c>
      <c r="C952" s="566"/>
      <c r="D952" s="390">
        <f>'TAMIU FGD'!$D$38</f>
        <v>0</v>
      </c>
      <c r="E952" s="390">
        <f>'TAMIU FGD'!$E$38</f>
        <v>0</v>
      </c>
      <c r="F952" s="390">
        <f>'TAMIU FGD'!$F$38</f>
        <v>0</v>
      </c>
      <c r="G952" s="390">
        <f>'TAMIU FGD'!$G$38</f>
        <v>0</v>
      </c>
      <c r="H952" s="390">
        <f>'TAMIU FGD'!$H$38</f>
        <v>0</v>
      </c>
      <c r="I952" s="390">
        <f>'TAMIU FGD'!$I$38</f>
        <v>0</v>
      </c>
      <c r="J952" s="390">
        <f>'TAMIU FGD'!$J$38</f>
        <v>0</v>
      </c>
      <c r="K952" s="390">
        <f>'TAMIU FGD'!$K$38</f>
        <v>0</v>
      </c>
      <c r="L952" s="390">
        <f>'TAMIU FGD'!$L$38</f>
        <v>0</v>
      </c>
      <c r="M952" s="567">
        <f>'TAMIU FGD'!$M$38</f>
        <v>0</v>
      </c>
      <c r="N952" s="401"/>
    </row>
    <row r="953" spans="2:14" s="160" customFormat="1" ht="12.75" hidden="1" customHeight="1" outlineLevel="1">
      <c r="B953" s="674" t="str">
        <f>'TAMU FGD'!$B$2</f>
        <v>Texas A&amp;M University</v>
      </c>
      <c r="C953" s="566"/>
      <c r="D953" s="390">
        <f>'TAMU FGD'!$D$38</f>
        <v>0</v>
      </c>
      <c r="E953" s="390">
        <f>'TAMU FGD'!$E$38</f>
        <v>0</v>
      </c>
      <c r="F953" s="390">
        <f>'TAMU FGD'!$F$38</f>
        <v>0</v>
      </c>
      <c r="G953" s="390">
        <f>'TAMU FGD'!$G$38</f>
        <v>0</v>
      </c>
      <c r="H953" s="390">
        <f>'TAMU FGD'!$H$38</f>
        <v>0</v>
      </c>
      <c r="I953" s="390">
        <f>'TAMU FGD'!$I$38</f>
        <v>0</v>
      </c>
      <c r="J953" s="390">
        <f>'TAMU FGD'!$J$38</f>
        <v>0</v>
      </c>
      <c r="K953" s="390">
        <f>'TAMU FGD'!$K$38</f>
        <v>0</v>
      </c>
      <c r="L953" s="390">
        <f>'TAMU FGD'!$L$38</f>
        <v>0</v>
      </c>
      <c r="M953" s="567">
        <f>'TAMU FGD'!$M$38</f>
        <v>0</v>
      </c>
      <c r="N953" s="401"/>
    </row>
    <row r="954" spans="2:14" s="160" customFormat="1" ht="12.75" hidden="1" customHeight="1" outlineLevel="1">
      <c r="B954" s="674" t="str">
        <f>'TAMUC FGD'!$B$2</f>
        <v>Texas A&amp;M University - Commerce</v>
      </c>
      <c r="C954" s="566"/>
      <c r="D954" s="390">
        <f>'TAMUC FGD'!$D$38</f>
        <v>0</v>
      </c>
      <c r="E954" s="390">
        <f>'TAMUC FGD'!$E$38</f>
        <v>0</v>
      </c>
      <c r="F954" s="390">
        <f>'TAMUC FGD'!$F$38</f>
        <v>0</v>
      </c>
      <c r="G954" s="390">
        <f>'TAMUC FGD'!$G$38</f>
        <v>0</v>
      </c>
      <c r="H954" s="390">
        <f>'TAMUC FGD'!$H$38</f>
        <v>0</v>
      </c>
      <c r="I954" s="390">
        <f>'TAMUC FGD'!$I$38</f>
        <v>0</v>
      </c>
      <c r="J954" s="390">
        <f>'TAMUC FGD'!$J$38</f>
        <v>0</v>
      </c>
      <c r="K954" s="390">
        <f>'TAMUC FGD'!$K$38</f>
        <v>0</v>
      </c>
      <c r="L954" s="390">
        <f>'TAMUC FGD'!$L$38</f>
        <v>0</v>
      </c>
      <c r="M954" s="567">
        <f>'TAMUC FGD'!$M$38</f>
        <v>0</v>
      </c>
      <c r="N954" s="401"/>
    </row>
    <row r="955" spans="2:14" s="160" customFormat="1" ht="12.75" hidden="1" customHeight="1" outlineLevel="1">
      <c r="B955" s="674" t="str">
        <f>'TAMUCC FGD'!$B$2</f>
        <v>Texas A&amp;M University - Corpus Christi</v>
      </c>
      <c r="C955" s="566"/>
      <c r="D955" s="390">
        <f>'TAMUCC FGD'!$D$38</f>
        <v>0</v>
      </c>
      <c r="E955" s="390">
        <f>'TAMUCC FGD'!$E$38</f>
        <v>0</v>
      </c>
      <c r="F955" s="390">
        <f>'TAMUCC FGD'!$F$38</f>
        <v>0</v>
      </c>
      <c r="G955" s="390">
        <f>'TAMUCC FGD'!$G$38</f>
        <v>0</v>
      </c>
      <c r="H955" s="390">
        <f>'TAMUCC FGD'!$H$38</f>
        <v>0</v>
      </c>
      <c r="I955" s="390">
        <f>'TAMUCC FGD'!$I$38</f>
        <v>0</v>
      </c>
      <c r="J955" s="390">
        <f>'TAMUCC FGD'!$J$38</f>
        <v>0</v>
      </c>
      <c r="K955" s="390">
        <f>'TAMUCC FGD'!$K$38</f>
        <v>0</v>
      </c>
      <c r="L955" s="390">
        <f>'TAMUCC FGD'!$L$38</f>
        <v>0</v>
      </c>
      <c r="M955" s="567">
        <f>'TAMUCC FGD'!$M$38</f>
        <v>0</v>
      </c>
      <c r="N955" s="401"/>
    </row>
    <row r="956" spans="2:14" s="160" customFormat="1" ht="12.75" hidden="1" customHeight="1" outlineLevel="1">
      <c r="B956" s="674" t="str">
        <f>'TAMUCT FGD'!$B$2</f>
        <v>Texas A&amp;M University - Central Texas</v>
      </c>
      <c r="C956" s="566"/>
      <c r="D956" s="390">
        <f>'TAMUCT FGD'!$D$38</f>
        <v>0</v>
      </c>
      <c r="E956" s="390">
        <f>'TAMUCT FGD'!$E$38</f>
        <v>0</v>
      </c>
      <c r="F956" s="390">
        <f>'TAMUCT FGD'!$F$38</f>
        <v>0</v>
      </c>
      <c r="G956" s="390">
        <f>'TAMUCT FGD'!$G$38</f>
        <v>0</v>
      </c>
      <c r="H956" s="390">
        <f>'TAMUCT FGD'!$H$38</f>
        <v>0</v>
      </c>
      <c r="I956" s="390">
        <f>'TAMUCT FGD'!$I$38</f>
        <v>0</v>
      </c>
      <c r="J956" s="390">
        <f>'TAMUCT FGD'!$J$38</f>
        <v>0</v>
      </c>
      <c r="K956" s="390">
        <f>'TAMUCT FGD'!$K$38</f>
        <v>0</v>
      </c>
      <c r="L956" s="390">
        <f>'TAMUCT FGD'!$L$38</f>
        <v>0</v>
      </c>
      <c r="M956" s="567">
        <f>'TAMUCT FGD'!$M$38</f>
        <v>0</v>
      </c>
      <c r="N956" s="401"/>
    </row>
    <row r="957" spans="2:14" s="160" customFormat="1" ht="12.75" hidden="1" customHeight="1" outlineLevel="1">
      <c r="B957" s="674" t="str">
        <f>'TAMUG FGD'!$B$2</f>
        <v>Texas A&amp;M University at Galveston</v>
      </c>
      <c r="C957" s="566"/>
      <c r="D957" s="390">
        <f>'TAMUG FGD'!$D$38</f>
        <v>0</v>
      </c>
      <c r="E957" s="390">
        <f>'TAMUG FGD'!$E$38</f>
        <v>0</v>
      </c>
      <c r="F957" s="390">
        <f>'TAMUG FGD'!$F$38</f>
        <v>0</v>
      </c>
      <c r="G957" s="390">
        <f>'TAMUG FGD'!$G$38</f>
        <v>0</v>
      </c>
      <c r="H957" s="390">
        <f>'TAMUG FGD'!$H$38</f>
        <v>0</v>
      </c>
      <c r="I957" s="390">
        <f>'TAMUG FGD'!$I$38</f>
        <v>0</v>
      </c>
      <c r="J957" s="390">
        <f>'TAMUG FGD'!$J$38</f>
        <v>0</v>
      </c>
      <c r="K957" s="390">
        <f>'TAMUG FGD'!$K$38</f>
        <v>0</v>
      </c>
      <c r="L957" s="390">
        <f>'TAMUG FGD'!$L$38</f>
        <v>0</v>
      </c>
      <c r="M957" s="567">
        <f>'TAMUG FGD'!$M$38</f>
        <v>0</v>
      </c>
      <c r="N957" s="401"/>
    </row>
    <row r="958" spans="2:14" s="160" customFormat="1" ht="12.75" hidden="1" customHeight="1" outlineLevel="1">
      <c r="B958" s="674" t="str">
        <f>'TAMUK FGD'!$B$2</f>
        <v>Texas A&amp;M University - Kingsville</v>
      </c>
      <c r="C958" s="566"/>
      <c r="D958" s="390">
        <f>'TAMUK FGD'!$D$38</f>
        <v>0</v>
      </c>
      <c r="E958" s="390">
        <f>'TAMUK FGD'!$E$38</f>
        <v>0</v>
      </c>
      <c r="F958" s="390">
        <f>'TAMUK FGD'!$F$38</f>
        <v>0</v>
      </c>
      <c r="G958" s="390">
        <f>'TAMUK FGD'!$G$38</f>
        <v>0</v>
      </c>
      <c r="H958" s="390">
        <f>'TAMUK FGD'!$H$38</f>
        <v>0</v>
      </c>
      <c r="I958" s="390">
        <f>'TAMUK FGD'!$I$38</f>
        <v>0</v>
      </c>
      <c r="J958" s="390">
        <f>'TAMUK FGD'!$J$38</f>
        <v>0</v>
      </c>
      <c r="K958" s="390">
        <f>'TAMUK FGD'!$K$38</f>
        <v>0</v>
      </c>
      <c r="L958" s="390">
        <f>'TAMUK FGD'!$L$38</f>
        <v>0</v>
      </c>
      <c r="M958" s="567">
        <f>'TAMUK FGD'!$M$38</f>
        <v>0</v>
      </c>
      <c r="N958" s="401"/>
    </row>
    <row r="959" spans="2:14" s="160" customFormat="1" ht="12.75" hidden="1" customHeight="1" outlineLevel="1">
      <c r="B959" s="674" t="str">
        <f>'TAMUSA FGD'!$B$2</f>
        <v>Texas A&amp;M University - San Antonio</v>
      </c>
      <c r="C959" s="566"/>
      <c r="D959" s="390">
        <f>'TAMUSA FGD'!$D$38</f>
        <v>0</v>
      </c>
      <c r="E959" s="390">
        <f>'TAMUSA FGD'!$E$38</f>
        <v>0</v>
      </c>
      <c r="F959" s="390">
        <f>'TAMUSA FGD'!$F$38</f>
        <v>0</v>
      </c>
      <c r="G959" s="390">
        <f>'TAMUSA FGD'!$G$38</f>
        <v>0</v>
      </c>
      <c r="H959" s="390">
        <f>'TAMUSA FGD'!$H$38</f>
        <v>0</v>
      </c>
      <c r="I959" s="390">
        <f>'TAMUSA FGD'!$I$38</f>
        <v>0</v>
      </c>
      <c r="J959" s="390">
        <f>'TAMUSA FGD'!$J$38</f>
        <v>0</v>
      </c>
      <c r="K959" s="390">
        <f>'TAMUSA FGD'!$K$38</f>
        <v>0</v>
      </c>
      <c r="L959" s="390">
        <f>'TAMUSA FGD'!$L$38</f>
        <v>0</v>
      </c>
      <c r="M959" s="567">
        <f>'TAMUSA FGD'!$M$38</f>
        <v>0</v>
      </c>
      <c r="N959" s="401"/>
    </row>
    <row r="960" spans="2:14" s="160" customFormat="1" ht="12.75" hidden="1" customHeight="1" outlineLevel="1">
      <c r="B960" s="674" t="str">
        <f>'TAMUT FGD'!$B$2</f>
        <v>Texas A&amp;M University - Texarkana</v>
      </c>
      <c r="C960" s="566"/>
      <c r="D960" s="390">
        <f>'TAMUT FGD'!$D$38</f>
        <v>0</v>
      </c>
      <c r="E960" s="390">
        <f>'TAMUT FGD'!$E$38</f>
        <v>0</v>
      </c>
      <c r="F960" s="390">
        <f>'TAMUT FGD'!$F$38</f>
        <v>0</v>
      </c>
      <c r="G960" s="390">
        <f>'TAMUT FGD'!$G$38</f>
        <v>0</v>
      </c>
      <c r="H960" s="390">
        <f>'TAMUT FGD'!$H$38</f>
        <v>0</v>
      </c>
      <c r="I960" s="390">
        <f>'TAMUT FGD'!$I$38</f>
        <v>0</v>
      </c>
      <c r="J960" s="390">
        <f>'TAMUT FGD'!$J$38</f>
        <v>0</v>
      </c>
      <c r="K960" s="390">
        <f>'TAMUT FGD'!$K$38</f>
        <v>0</v>
      </c>
      <c r="L960" s="390">
        <f>'TAMUT FGD'!$L$38</f>
        <v>0</v>
      </c>
      <c r="M960" s="567">
        <f>'TAMUT FGD'!$M$38</f>
        <v>0</v>
      </c>
      <c r="N960" s="401"/>
    </row>
    <row r="961" spans="2:14" s="160" customFormat="1" ht="12.75" hidden="1" customHeight="1" outlineLevel="1">
      <c r="B961" s="674" t="str">
        <f>'TARLST FGD'!$B$2</f>
        <v>Tarleton State University</v>
      </c>
      <c r="C961" s="566"/>
      <c r="D961" s="390">
        <f>'TARLST FGD'!$D$38</f>
        <v>0</v>
      </c>
      <c r="E961" s="390">
        <f>'TARLST FGD'!$E$38</f>
        <v>0</v>
      </c>
      <c r="F961" s="390">
        <f>'TARLST FGD'!$F$38</f>
        <v>0</v>
      </c>
      <c r="G961" s="390">
        <f>'TARLST FGD'!$G$38</f>
        <v>0</v>
      </c>
      <c r="H961" s="390">
        <f>'TARLST FGD'!$H$38</f>
        <v>0</v>
      </c>
      <c r="I961" s="390">
        <f>'TARLST FGD'!$I$38</f>
        <v>0</v>
      </c>
      <c r="J961" s="390">
        <f>'TARLST FGD'!$J$38</f>
        <v>0</v>
      </c>
      <c r="K961" s="390">
        <f>'TARLST FGD'!$K$38</f>
        <v>0</v>
      </c>
      <c r="L961" s="390">
        <f>'TARLST FGD'!$L$38</f>
        <v>0</v>
      </c>
      <c r="M961" s="567">
        <f>'TARLST FGD'!$M$38</f>
        <v>0</v>
      </c>
      <c r="N961" s="401"/>
    </row>
    <row r="962" spans="2:14" s="160" customFormat="1" ht="12.75" hidden="1" customHeight="1" outlineLevel="1">
      <c r="B962" s="674" t="str">
        <f>'TSU FGD'!$B$2</f>
        <v>Texas Southern University</v>
      </c>
      <c r="C962" s="566"/>
      <c r="D962" s="390">
        <f>'TSU FGD'!$D$38</f>
        <v>0</v>
      </c>
      <c r="E962" s="390">
        <f>'TSU FGD'!$E$38</f>
        <v>0</v>
      </c>
      <c r="F962" s="390">
        <f>'TSU FGD'!$F$38</f>
        <v>0</v>
      </c>
      <c r="G962" s="390">
        <f>'TSU FGD'!$G$38</f>
        <v>0</v>
      </c>
      <c r="H962" s="390">
        <f>'TSU FGD'!$H$38</f>
        <v>0</v>
      </c>
      <c r="I962" s="390">
        <f>'TSU FGD'!$I$38</f>
        <v>0</v>
      </c>
      <c r="J962" s="390">
        <f>'TSU FGD'!$J$38</f>
        <v>0</v>
      </c>
      <c r="K962" s="390">
        <f>'TSU FGD'!$K$38</f>
        <v>0</v>
      </c>
      <c r="L962" s="390">
        <f>'TSU FGD'!$L$38</f>
        <v>0</v>
      </c>
      <c r="M962" s="567">
        <f>'TSU FGD'!$M$38</f>
        <v>0</v>
      </c>
      <c r="N962" s="401"/>
    </row>
    <row r="963" spans="2:14" s="160" customFormat="1" ht="12.75" hidden="1" customHeight="1" outlineLevel="1">
      <c r="B963" s="674" t="str">
        <f>'TTU FGD'!$B$2</f>
        <v>Texas Tech University</v>
      </c>
      <c r="C963" s="566"/>
      <c r="D963" s="390">
        <f>'TTU FGD'!$D$38</f>
        <v>0</v>
      </c>
      <c r="E963" s="390">
        <f>'TTU FGD'!$E$38</f>
        <v>0</v>
      </c>
      <c r="F963" s="390">
        <f>'TTU FGD'!$F$38</f>
        <v>0</v>
      </c>
      <c r="G963" s="390">
        <f>'TTU FGD'!$G$38</f>
        <v>0</v>
      </c>
      <c r="H963" s="390">
        <f>'TTU FGD'!$H$38</f>
        <v>0</v>
      </c>
      <c r="I963" s="390">
        <f>'TTU FGD'!$I$38</f>
        <v>0</v>
      </c>
      <c r="J963" s="390">
        <f>'TTU FGD'!$J$38</f>
        <v>0</v>
      </c>
      <c r="K963" s="390">
        <f>'TTU FGD'!$K$38</f>
        <v>0</v>
      </c>
      <c r="L963" s="390">
        <f>'TTU FGD'!$L$38</f>
        <v>0</v>
      </c>
      <c r="M963" s="567">
        <f>'TTU FGD'!$M$38</f>
        <v>0</v>
      </c>
      <c r="N963" s="401"/>
    </row>
    <row r="964" spans="2:14" s="160" customFormat="1" ht="12.75" hidden="1" customHeight="1" outlineLevel="1">
      <c r="B964" s="674" t="str">
        <f>'TWU FGD'!$B$2</f>
        <v>Texas Woman's University</v>
      </c>
      <c r="C964" s="566"/>
      <c r="D964" s="390">
        <f>'TWU FGD'!$D$38</f>
        <v>0</v>
      </c>
      <c r="E964" s="390">
        <f>'TWU FGD'!$E$38</f>
        <v>-2325</v>
      </c>
      <c r="F964" s="390">
        <f>'TWU FGD'!$F$38</f>
        <v>0</v>
      </c>
      <c r="G964" s="390">
        <f>'TWU FGD'!$G$38</f>
        <v>0</v>
      </c>
      <c r="H964" s="390">
        <f>'TWU FGD'!$H$38</f>
        <v>0</v>
      </c>
      <c r="I964" s="390">
        <f>'TWU FGD'!$I$38</f>
        <v>0</v>
      </c>
      <c r="J964" s="390">
        <f>'TWU FGD'!$J$38</f>
        <v>0</v>
      </c>
      <c r="K964" s="390">
        <f>'TWU FGD'!$K$38</f>
        <v>0</v>
      </c>
      <c r="L964" s="390">
        <f>'TWU FGD'!$L$38</f>
        <v>0</v>
      </c>
      <c r="M964" s="567">
        <f>'TWU FGD'!$M$38</f>
        <v>-2325</v>
      </c>
      <c r="N964" s="401"/>
    </row>
    <row r="965" spans="2:14" s="160" customFormat="1" ht="12.75" hidden="1" customHeight="1" outlineLevel="1">
      <c r="B965" s="674" t="str">
        <f>'TXST FGD'!$B$2</f>
        <v>Texas State University</v>
      </c>
      <c r="C965" s="566"/>
      <c r="D965" s="390">
        <f>'TXST FGD'!$D$38</f>
        <v>0</v>
      </c>
      <c r="E965" s="390">
        <f>'TXST FGD'!$E$38</f>
        <v>0</v>
      </c>
      <c r="F965" s="390">
        <f>'TXST FGD'!$F$38</f>
        <v>0</v>
      </c>
      <c r="G965" s="390">
        <f>'TXST FGD'!$G$38</f>
        <v>0</v>
      </c>
      <c r="H965" s="390">
        <f>'TXST FGD'!$H$38</f>
        <v>0</v>
      </c>
      <c r="I965" s="390">
        <f>'TXST FGD'!$I$38</f>
        <v>0</v>
      </c>
      <c r="J965" s="390">
        <f>'TXST FGD'!$J$38</f>
        <v>0</v>
      </c>
      <c r="K965" s="390">
        <f>'TXST FGD'!$K$38</f>
        <v>0</v>
      </c>
      <c r="L965" s="390">
        <f>'TXST FGD'!$L$38</f>
        <v>0</v>
      </c>
      <c r="M965" s="567">
        <f>'TXST FGD'!$M$38</f>
        <v>0</v>
      </c>
      <c r="N965" s="401"/>
    </row>
    <row r="966" spans="2:14" s="160" customFormat="1" ht="12.75" hidden="1" customHeight="1" outlineLevel="1">
      <c r="B966" s="674" t="str">
        <f>'TYL FGD'!$B$2</f>
        <v>The University of Texas at Tyler</v>
      </c>
      <c r="C966" s="566"/>
      <c r="D966" s="390">
        <f>'TYL FGD'!$D$38</f>
        <v>0</v>
      </c>
      <c r="E966" s="390">
        <f>'TYL FGD'!$E$38</f>
        <v>0</v>
      </c>
      <c r="F966" s="390">
        <f>'TYL FGD'!$F$38</f>
        <v>0</v>
      </c>
      <c r="G966" s="390">
        <f>'TYL FGD'!$G$38</f>
        <v>0</v>
      </c>
      <c r="H966" s="390">
        <f>'TYL FGD'!$H$38</f>
        <v>0</v>
      </c>
      <c r="I966" s="390">
        <f>'TYL FGD'!$I$38</f>
        <v>0</v>
      </c>
      <c r="J966" s="390">
        <f>'TYL FGD'!$J$38</f>
        <v>0</v>
      </c>
      <c r="K966" s="390">
        <f>'TYL FGD'!$K$38</f>
        <v>0</v>
      </c>
      <c r="L966" s="390">
        <f>'TYL FGD'!$L$38</f>
        <v>0</v>
      </c>
      <c r="M966" s="567">
        <f>'TYL FGD'!$M$38</f>
        <v>0</v>
      </c>
      <c r="N966" s="401"/>
    </row>
    <row r="967" spans="2:14" s="160" customFormat="1" ht="12.75" hidden="1" customHeight="1" outlineLevel="1">
      <c r="B967" s="674" t="str">
        <f>'UH1 FGD'!$B$2</f>
        <v>University of Houston - Academic &amp; Health (A+H)</v>
      </c>
      <c r="C967" s="566"/>
      <c r="D967" s="390">
        <f>'UH1 FGD'!$D$38</f>
        <v>0</v>
      </c>
      <c r="E967" s="390">
        <f>'UH1 FGD'!$E$38</f>
        <v>0</v>
      </c>
      <c r="F967" s="390">
        <f>'UH1 FGD'!$F$38</f>
        <v>0</v>
      </c>
      <c r="G967" s="390">
        <f>'UH1 FGD'!$G$38</f>
        <v>0</v>
      </c>
      <c r="H967" s="390">
        <f>'UH1 FGD'!$H$38</f>
        <v>0</v>
      </c>
      <c r="I967" s="390">
        <f>'UH1 FGD'!$I$38</f>
        <v>0</v>
      </c>
      <c r="J967" s="390">
        <f>'UH1 FGD'!$J$38</f>
        <v>0</v>
      </c>
      <c r="K967" s="390">
        <f>'UH1 FGD'!$K$38</f>
        <v>0</v>
      </c>
      <c r="L967" s="390">
        <f>'UH1 FGD'!$L$38</f>
        <v>0</v>
      </c>
      <c r="M967" s="567">
        <f>'UH1 FGD'!$M$38</f>
        <v>0</v>
      </c>
      <c r="N967" s="401"/>
    </row>
    <row r="968" spans="2:14" s="160" customFormat="1" ht="12.75" hidden="1" customHeight="1" outlineLevel="1">
      <c r="B968" s="674" t="str">
        <f>'UHCL FGD'!$B$2</f>
        <v>University of Houston - Clear Lake</v>
      </c>
      <c r="C968" s="566"/>
      <c r="D968" s="390">
        <f>'UHCL FGD'!$D$38</f>
        <v>0</v>
      </c>
      <c r="E968" s="390">
        <f>'UHCL FGD'!$E$38</f>
        <v>0</v>
      </c>
      <c r="F968" s="390">
        <f>'UHCL FGD'!$F$38</f>
        <v>0</v>
      </c>
      <c r="G968" s="390">
        <f>'UHCL FGD'!$G$38</f>
        <v>0</v>
      </c>
      <c r="H968" s="390">
        <f>'UHCL FGD'!$H$38</f>
        <v>0</v>
      </c>
      <c r="I968" s="390">
        <f>'UHCL FGD'!$I$38</f>
        <v>0</v>
      </c>
      <c r="J968" s="390">
        <f>'UHCL FGD'!$J$38</f>
        <v>0</v>
      </c>
      <c r="K968" s="390">
        <f>'UHCL FGD'!$K$38</f>
        <v>0</v>
      </c>
      <c r="L968" s="390">
        <f>'UHCL FGD'!$L$38</f>
        <v>0</v>
      </c>
      <c r="M968" s="567">
        <f>'UHCL FGD'!$M$38</f>
        <v>0</v>
      </c>
      <c r="N968" s="401"/>
    </row>
    <row r="969" spans="2:14" s="160" customFormat="1" ht="12.75" hidden="1" customHeight="1" outlineLevel="1">
      <c r="B969" s="674" t="str">
        <f>'UHD FGD'!$B$2</f>
        <v>University of Houston - Downtown</v>
      </c>
      <c r="C969" s="566"/>
      <c r="D969" s="390">
        <f>'UHD FGD'!$D$38</f>
        <v>0</v>
      </c>
      <c r="E969" s="390">
        <f>'UHD FGD'!$E$38</f>
        <v>0</v>
      </c>
      <c r="F969" s="390">
        <f>'UHD FGD'!$F$38</f>
        <v>0</v>
      </c>
      <c r="G969" s="390">
        <f>'UHD FGD'!$G$38</f>
        <v>0</v>
      </c>
      <c r="H969" s="390">
        <f>'UHD FGD'!$H$38</f>
        <v>0</v>
      </c>
      <c r="I969" s="390">
        <f>'UHD FGD'!$I$38</f>
        <v>0</v>
      </c>
      <c r="J969" s="390">
        <f>'UHD FGD'!$J$38</f>
        <v>0</v>
      </c>
      <c r="K969" s="390">
        <f>'UHD FGD'!$K$38</f>
        <v>0</v>
      </c>
      <c r="L969" s="390">
        <f>'UHD FGD'!$L$38</f>
        <v>0</v>
      </c>
      <c r="M969" s="567">
        <f>'UHD FGD'!$M$38</f>
        <v>0</v>
      </c>
      <c r="N969" s="401"/>
    </row>
    <row r="970" spans="2:14" s="160" customFormat="1" ht="12.75" hidden="1" customHeight="1" outlineLevel="1">
      <c r="B970" s="674" t="str">
        <f>'UHV FGD'!$B$2</f>
        <v>University of Houston - Victoria</v>
      </c>
      <c r="C970" s="566"/>
      <c r="D970" s="390">
        <f>'UHV FGD'!$D$38</f>
        <v>0</v>
      </c>
      <c r="E970" s="390">
        <f>'UHV FGD'!$E$38</f>
        <v>0</v>
      </c>
      <c r="F970" s="390">
        <f>'UHV FGD'!$F$38</f>
        <v>0</v>
      </c>
      <c r="G970" s="390">
        <f>'UHV FGD'!$G$38</f>
        <v>0</v>
      </c>
      <c r="H970" s="390">
        <f>'UHV FGD'!$H$38</f>
        <v>0</v>
      </c>
      <c r="I970" s="390">
        <f>'UHV FGD'!$I$38</f>
        <v>0</v>
      </c>
      <c r="J970" s="390">
        <f>'UHV FGD'!$J$38</f>
        <v>0</v>
      </c>
      <c r="K970" s="390">
        <f>'UHV FGD'!$K$38</f>
        <v>0</v>
      </c>
      <c r="L970" s="390">
        <f>'UHV FGD'!$L$38</f>
        <v>0</v>
      </c>
      <c r="M970" s="567">
        <f>'UHV FGD'!$M$38</f>
        <v>0</v>
      </c>
      <c r="N970" s="401"/>
    </row>
    <row r="971" spans="2:14" s="160" customFormat="1" ht="12.75" hidden="1" customHeight="1" outlineLevel="1">
      <c r="B971" s="674" t="str">
        <f>'UNT FGD'!$B$2</f>
        <v>University of North Texas</v>
      </c>
      <c r="C971" s="566"/>
      <c r="D971" s="390">
        <f>'UNT FGD'!$D$38</f>
        <v>0</v>
      </c>
      <c r="E971" s="390">
        <f>'UNT FGD'!$E$38</f>
        <v>0</v>
      </c>
      <c r="F971" s="390">
        <f>'UNT FGD'!$F$38</f>
        <v>0</v>
      </c>
      <c r="G971" s="390">
        <f>'UNT FGD'!$G$38</f>
        <v>0</v>
      </c>
      <c r="H971" s="390">
        <f>'UNT FGD'!$H$38</f>
        <v>0</v>
      </c>
      <c r="I971" s="390">
        <f>'UNT FGD'!$I$38</f>
        <v>0</v>
      </c>
      <c r="J971" s="390">
        <f>'UNT FGD'!$J$38</f>
        <v>0</v>
      </c>
      <c r="K971" s="390">
        <f>'UNT FGD'!$K$38</f>
        <v>0</v>
      </c>
      <c r="L971" s="390">
        <f>'UNT FGD'!$L$38</f>
        <v>0</v>
      </c>
      <c r="M971" s="567">
        <f>'UNT FGD'!$M$38</f>
        <v>0</v>
      </c>
      <c r="N971" s="401"/>
    </row>
    <row r="972" spans="2:14" s="160" customFormat="1" ht="12.75" hidden="1" customHeight="1" outlineLevel="1">
      <c r="B972" s="674" t="str">
        <f>'UNTD FGD'!$B$2</f>
        <v>University of North Texas at Dallas</v>
      </c>
      <c r="C972" s="566"/>
      <c r="D972" s="390">
        <f>'UNTD FGD'!$D$38</f>
        <v>0</v>
      </c>
      <c r="E972" s="390">
        <f>'UNTD FGD'!$E$38</f>
        <v>0</v>
      </c>
      <c r="F972" s="390">
        <f>'UNTD FGD'!$F$38</f>
        <v>0</v>
      </c>
      <c r="G972" s="390">
        <f>'UNTD FGD'!$G$38</f>
        <v>0</v>
      </c>
      <c r="H972" s="390">
        <f>'UNTD FGD'!$H$38</f>
        <v>0</v>
      </c>
      <c r="I972" s="390">
        <f>'UNTD FGD'!$I$38</f>
        <v>0</v>
      </c>
      <c r="J972" s="390">
        <f>'UNTD FGD'!$J$38</f>
        <v>0</v>
      </c>
      <c r="K972" s="390">
        <f>'UNTD FGD'!$K$38</f>
        <v>0</v>
      </c>
      <c r="L972" s="390">
        <f>'UNTD FGD'!$L$38</f>
        <v>0</v>
      </c>
      <c r="M972" s="567">
        <f>'UNTD FGD'!$M$38</f>
        <v>0</v>
      </c>
      <c r="N972" s="401"/>
    </row>
    <row r="973" spans="2:14" s="160" customFormat="1" ht="12.75" hidden="1" customHeight="1" outlineLevel="1">
      <c r="B973" s="674" t="str">
        <f>'WTAMU FGD'!$B$2</f>
        <v>West Texas A&amp;M University</v>
      </c>
      <c r="C973" s="566"/>
      <c r="D973" s="390">
        <f>'WTAMU FGD'!$D$38</f>
        <v>0</v>
      </c>
      <c r="E973" s="390">
        <f>'WTAMU FGD'!$E$38</f>
        <v>0</v>
      </c>
      <c r="F973" s="390">
        <f>'WTAMU FGD'!$F$38</f>
        <v>0</v>
      </c>
      <c r="G973" s="390">
        <f>'WTAMU FGD'!$G$38</f>
        <v>0</v>
      </c>
      <c r="H973" s="390">
        <f>'WTAMU FGD'!$H$38</f>
        <v>0</v>
      </c>
      <c r="I973" s="390">
        <f>'WTAMU FGD'!$I$38</f>
        <v>0</v>
      </c>
      <c r="J973" s="390">
        <f>'WTAMU FGD'!$J$38</f>
        <v>0</v>
      </c>
      <c r="K973" s="390">
        <f>'WTAMU FGD'!$K$38</f>
        <v>0</v>
      </c>
      <c r="L973" s="390">
        <f>'WTAMU FGD'!$L$38</f>
        <v>0</v>
      </c>
      <c r="M973" s="567">
        <f>'WTAMU FGD'!$M$38</f>
        <v>0</v>
      </c>
      <c r="N973" s="401"/>
    </row>
    <row r="974" spans="2:14" s="160" customFormat="1" collapsed="1">
      <c r="B974" s="261" t="s">
        <v>728</v>
      </c>
      <c r="C974" s="566"/>
      <c r="D974" s="390">
        <f t="shared" ref="D974:M974" si="25">SUM(D938:D973)</f>
        <v>0</v>
      </c>
      <c r="E974" s="390">
        <f t="shared" si="25"/>
        <v>-2325</v>
      </c>
      <c r="F974" s="390">
        <f t="shared" si="25"/>
        <v>0</v>
      </c>
      <c r="G974" s="390">
        <f t="shared" si="25"/>
        <v>0</v>
      </c>
      <c r="H974" s="390">
        <f t="shared" si="25"/>
        <v>0</v>
      </c>
      <c r="I974" s="390">
        <f t="shared" si="25"/>
        <v>0</v>
      </c>
      <c r="J974" s="390">
        <f t="shared" si="25"/>
        <v>0</v>
      </c>
      <c r="K974" s="390">
        <f t="shared" si="25"/>
        <v>0</v>
      </c>
      <c r="L974" s="390">
        <f t="shared" si="25"/>
        <v>0</v>
      </c>
      <c r="M974" s="567">
        <f t="shared" si="25"/>
        <v>-2325</v>
      </c>
      <c r="N974" s="401"/>
    </row>
    <row r="975" spans="2:14" s="160" customFormat="1" ht="12.75" hidden="1" customHeight="1" outlineLevel="1">
      <c r="B975" s="674" t="str">
        <f>'ARL FGD'!$B$2</f>
        <v>The University of Texas at Arlington</v>
      </c>
      <c r="C975" s="566"/>
      <c r="D975" s="390">
        <f>'ARL FGD'!$D$39</f>
        <v>0</v>
      </c>
      <c r="E975" s="390">
        <f>'ARL FGD'!$E$39</f>
        <v>-570907</v>
      </c>
      <c r="F975" s="390">
        <f>'ARL FGD'!$F$39</f>
        <v>-1569996</v>
      </c>
      <c r="G975" s="390">
        <f>'ARL FGD'!$G$39</f>
        <v>0</v>
      </c>
      <c r="H975" s="390">
        <f>'ARL FGD'!$H$39</f>
        <v>0</v>
      </c>
      <c r="I975" s="390">
        <f>'ARL FGD'!$I$39</f>
        <v>0</v>
      </c>
      <c r="J975" s="390">
        <f>'ARL FGD'!$J$39</f>
        <v>0</v>
      </c>
      <c r="K975" s="390">
        <f>'ARL FGD'!$K$39</f>
        <v>0</v>
      </c>
      <c r="L975" s="390">
        <f>'ARL FGD'!$L$39</f>
        <v>0</v>
      </c>
      <c r="M975" s="567">
        <f>'ARL FGD'!$M$39</f>
        <v>-2140903</v>
      </c>
      <c r="N975" s="401"/>
    </row>
    <row r="976" spans="2:14" s="160" customFormat="1" ht="12.75" hidden="1" customHeight="1" outlineLevel="1">
      <c r="B976" s="674" t="str">
        <f>'ASU FGD'!$B$2</f>
        <v>Angelo State University</v>
      </c>
      <c r="C976" s="566"/>
      <c r="D976" s="390">
        <f>'ASU FGD'!$D$39</f>
        <v>0</v>
      </c>
      <c r="E976" s="390">
        <f>'ASU FGD'!$E$39</f>
        <v>-1117190</v>
      </c>
      <c r="F976" s="390">
        <f>'ASU FGD'!$F$39</f>
        <v>-445462</v>
      </c>
      <c r="G976" s="390">
        <f>'ASU FGD'!$G$39</f>
        <v>0</v>
      </c>
      <c r="H976" s="390">
        <f>'ASU FGD'!$H$39</f>
        <v>0</v>
      </c>
      <c r="I976" s="390">
        <f>'ASU FGD'!$I$39</f>
        <v>0</v>
      </c>
      <c r="J976" s="390">
        <f>'ASU FGD'!$J$39</f>
        <v>0</v>
      </c>
      <c r="K976" s="390">
        <f>'ASU FGD'!$K$39</f>
        <v>0</v>
      </c>
      <c r="L976" s="390">
        <f>'ASU FGD'!$L$39</f>
        <v>0</v>
      </c>
      <c r="M976" s="567">
        <f>'ASU FGD'!$M$39</f>
        <v>-1562652</v>
      </c>
      <c r="N976" s="401"/>
    </row>
    <row r="977" spans="2:14" s="160" customFormat="1" ht="12.75" hidden="1" customHeight="1" outlineLevel="1">
      <c r="B977" s="674" t="str">
        <f>'AUS1 FGD'!$B$2</f>
        <v>The University of Texas at Austin - Academic &amp; Health (A+H)</v>
      </c>
      <c r="C977" s="566"/>
      <c r="D977" s="390">
        <f>'AUS1 FGD'!$D$39</f>
        <v>0</v>
      </c>
      <c r="E977" s="390">
        <f>'AUS1 FGD'!$E$39</f>
        <v>-1189957</v>
      </c>
      <c r="F977" s="390">
        <f>'AUS1 FGD'!$F$39</f>
        <v>0</v>
      </c>
      <c r="G977" s="390">
        <f>'AUS1 FGD'!$G$39</f>
        <v>0</v>
      </c>
      <c r="H977" s="390">
        <f>'AUS1 FGD'!$H$39</f>
        <v>0</v>
      </c>
      <c r="I977" s="390">
        <f>'AUS1 FGD'!$I$39</f>
        <v>0</v>
      </c>
      <c r="J977" s="390">
        <f>'AUS1 FGD'!$J$39</f>
        <v>0</v>
      </c>
      <c r="K977" s="390">
        <f>'AUS1 FGD'!$K$39</f>
        <v>0</v>
      </c>
      <c r="L977" s="390">
        <f>'AUS1 FGD'!$L$39</f>
        <v>0</v>
      </c>
      <c r="M977" s="567">
        <f>'AUS1 FGD'!$M$39</f>
        <v>-1189957</v>
      </c>
      <c r="N977" s="401"/>
    </row>
    <row r="978" spans="2:14" s="160" customFormat="1" ht="12.75" hidden="1" customHeight="1" outlineLevel="1">
      <c r="B978" s="674" t="str">
        <f>'RGV1 FGD'!$B$2</f>
        <v>The University of Texas RGV - Academic &amp; Health (A+H)</v>
      </c>
      <c r="C978" s="566"/>
      <c r="D978" s="390">
        <f>'RGV1 FGD'!$D$39</f>
        <v>0</v>
      </c>
      <c r="E978" s="390">
        <f>'RGV1 FGD'!$E$39</f>
        <v>0</v>
      </c>
      <c r="F978" s="390">
        <f>'RGV1 FGD'!$F$39</f>
        <v>-992344</v>
      </c>
      <c r="G978" s="390">
        <f>'RGV1 FGD'!$G$39</f>
        <v>0</v>
      </c>
      <c r="H978" s="390">
        <f>'RGV1 FGD'!$H$39</f>
        <v>0</v>
      </c>
      <c r="I978" s="390">
        <f>'RGV1 FGD'!$I$39</f>
        <v>0</v>
      </c>
      <c r="J978" s="390">
        <f>'RGV1 FGD'!$J$39</f>
        <v>0</v>
      </c>
      <c r="K978" s="390">
        <f>'RGV1 FGD'!$K$39</f>
        <v>0</v>
      </c>
      <c r="L978" s="390">
        <f>'RGV1 FGD'!$L$39</f>
        <v>0</v>
      </c>
      <c r="M978" s="567">
        <f>'RGV1 FGD'!$M$39</f>
        <v>-992344</v>
      </c>
      <c r="N978" s="401"/>
    </row>
    <row r="979" spans="2:14" s="160" customFormat="1" ht="12.75" hidden="1" customHeight="1" outlineLevel="1">
      <c r="B979" s="674" t="str">
        <f>'DAL FGD'!$B$2</f>
        <v>The University of Texas at Dallas</v>
      </c>
      <c r="C979" s="566"/>
      <c r="D979" s="390">
        <f>'DAL FGD'!$D$39</f>
        <v>0</v>
      </c>
      <c r="E979" s="390">
        <f>'DAL FGD'!$E$39</f>
        <v>0</v>
      </c>
      <c r="F979" s="390">
        <f>'DAL FGD'!$F$39</f>
        <v>-661597</v>
      </c>
      <c r="G979" s="390">
        <f>'DAL FGD'!$G$39</f>
        <v>0</v>
      </c>
      <c r="H979" s="390">
        <f>'DAL FGD'!$H$39</f>
        <v>0</v>
      </c>
      <c r="I979" s="390">
        <f>'DAL FGD'!$I$39</f>
        <v>0</v>
      </c>
      <c r="J979" s="390">
        <f>'DAL FGD'!$J$39</f>
        <v>0</v>
      </c>
      <c r="K979" s="390">
        <f>'DAL FGD'!$K$39</f>
        <v>0</v>
      </c>
      <c r="L979" s="390">
        <f>'DAL FGD'!$L$39</f>
        <v>0</v>
      </c>
      <c r="M979" s="567">
        <f>'DAL FGD'!$M$39</f>
        <v>-661597</v>
      </c>
      <c r="N979" s="401"/>
    </row>
    <row r="980" spans="2:14" s="160" customFormat="1" ht="12.75" hidden="1" customHeight="1" outlineLevel="1">
      <c r="B980" s="674" t="str">
        <f>'E-P FGD'!$B$2</f>
        <v>The University of Texas at El Paso</v>
      </c>
      <c r="C980" s="566"/>
      <c r="D980" s="390">
        <f>'E-P FGD'!$D$39</f>
        <v>0</v>
      </c>
      <c r="E980" s="390">
        <f>'E-P FGD'!$E$39</f>
        <v>-1230141</v>
      </c>
      <c r="F980" s="390">
        <f>'E-P FGD'!$F$39</f>
        <v>-123714</v>
      </c>
      <c r="G980" s="390">
        <f>'E-P FGD'!$G$39</f>
        <v>0</v>
      </c>
      <c r="H980" s="390">
        <f>'E-P FGD'!$H$39</f>
        <v>0</v>
      </c>
      <c r="I980" s="390">
        <f>'E-P FGD'!$I$39</f>
        <v>0</v>
      </c>
      <c r="J980" s="390">
        <f>'E-P FGD'!$J$39</f>
        <v>0</v>
      </c>
      <c r="K980" s="390">
        <f>'E-P FGD'!$K$39</f>
        <v>0</v>
      </c>
      <c r="L980" s="390">
        <f>'E-P FGD'!$L$39</f>
        <v>0</v>
      </c>
      <c r="M980" s="567">
        <f>'E-P FGD'!$M$39</f>
        <v>-1353855</v>
      </c>
      <c r="N980" s="401"/>
    </row>
    <row r="981" spans="2:14" s="160" customFormat="1" ht="12.75" hidden="1" customHeight="1" outlineLevel="1">
      <c r="B981" s="674" t="str">
        <f>'LU FGD'!$B$2</f>
        <v xml:space="preserve">Lamar University </v>
      </c>
      <c r="C981" s="566"/>
      <c r="D981" s="390">
        <f>'LU FGD'!$D$39</f>
        <v>-2772</v>
      </c>
      <c r="E981" s="390">
        <f>'LU FGD'!$E$39</f>
        <v>-1049743</v>
      </c>
      <c r="F981" s="390">
        <f>'LU FGD'!$F$39</f>
        <v>-450628</v>
      </c>
      <c r="G981" s="390">
        <f>'LU FGD'!$G$39</f>
        <v>0</v>
      </c>
      <c r="H981" s="390">
        <f>'LU FGD'!$H$39</f>
        <v>0</v>
      </c>
      <c r="I981" s="390">
        <f>'LU FGD'!$I$39</f>
        <v>0</v>
      </c>
      <c r="J981" s="390">
        <f>'LU FGD'!$J$39</f>
        <v>0</v>
      </c>
      <c r="K981" s="390">
        <f>'LU FGD'!$K$39</f>
        <v>0</v>
      </c>
      <c r="L981" s="390">
        <f>'LU FGD'!$L$39</f>
        <v>0</v>
      </c>
      <c r="M981" s="567">
        <f>'LU FGD'!$M$39</f>
        <v>-1503143</v>
      </c>
      <c r="N981" s="401"/>
    </row>
    <row r="982" spans="2:14" s="160" customFormat="1" ht="12.75" hidden="1" customHeight="1" outlineLevel="1">
      <c r="B982" s="674" t="str">
        <f>'MidWST FGD'!$B$2</f>
        <v>Midwestern State University</v>
      </c>
      <c r="C982" s="566"/>
      <c r="D982" s="390">
        <f>'MidWST FGD'!$D$39</f>
        <v>-2705</v>
      </c>
      <c r="E982" s="390">
        <f>'MidWST FGD'!$E$39</f>
        <v>-1081098</v>
      </c>
      <c r="F982" s="390">
        <f>'MidWST FGD'!$F$39</f>
        <v>-58877</v>
      </c>
      <c r="G982" s="390">
        <f>'MidWST FGD'!$G$39</f>
        <v>0</v>
      </c>
      <c r="H982" s="390">
        <f>'MidWST FGD'!$H$39</f>
        <v>0</v>
      </c>
      <c r="I982" s="390">
        <f>'MidWST FGD'!$I$39</f>
        <v>0</v>
      </c>
      <c r="J982" s="390">
        <f>'MidWST FGD'!$J$39</f>
        <v>0</v>
      </c>
      <c r="K982" s="390">
        <f>'MidWST FGD'!$K$39</f>
        <v>0</v>
      </c>
      <c r="L982" s="390">
        <f>'MidWST FGD'!$L$39</f>
        <v>0</v>
      </c>
      <c r="M982" s="567">
        <f>'MidWST FGD'!$M$39</f>
        <v>-1142680</v>
      </c>
      <c r="N982" s="401"/>
    </row>
    <row r="983" spans="2:14" s="160" customFormat="1" ht="12.75" hidden="1" customHeight="1" outlineLevel="1">
      <c r="B983" s="674" t="str">
        <f>'P-B FGD'!$B$2</f>
        <v>The University of Texas of the Permian Basin</v>
      </c>
      <c r="C983" s="566"/>
      <c r="D983" s="390">
        <f>'P-B FGD'!$D$39</f>
        <v>0</v>
      </c>
      <c r="E983" s="390">
        <f>'P-B FGD'!$E$39</f>
        <v>0</v>
      </c>
      <c r="F983" s="390">
        <f>'P-B FGD'!$F$39</f>
        <v>-92958</v>
      </c>
      <c r="G983" s="390">
        <f>'P-B FGD'!$G$39</f>
        <v>0</v>
      </c>
      <c r="H983" s="390">
        <f>'P-B FGD'!$H$39</f>
        <v>0</v>
      </c>
      <c r="I983" s="390">
        <f>'P-B FGD'!$I$39</f>
        <v>0</v>
      </c>
      <c r="J983" s="390">
        <f>'P-B FGD'!$J$39</f>
        <v>0</v>
      </c>
      <c r="K983" s="390">
        <f>'P-B FGD'!$K$39</f>
        <v>0</v>
      </c>
      <c r="L983" s="390">
        <f>'P-B FGD'!$L$39</f>
        <v>0</v>
      </c>
      <c r="M983" s="567">
        <f>'P-B FGD'!$M$39</f>
        <v>-92958</v>
      </c>
      <c r="N983" s="401"/>
    </row>
    <row r="984" spans="2:14" s="160" customFormat="1" ht="12.75" hidden="1" customHeight="1" outlineLevel="1">
      <c r="B984" s="674" t="str">
        <f>'PVAMU FGD'!$B$2</f>
        <v>Prairie View A&amp;M University</v>
      </c>
      <c r="C984" s="566"/>
      <c r="D984" s="390">
        <f>'PVAMU FGD'!$D$39</f>
        <v>0</v>
      </c>
      <c r="E984" s="390">
        <f>'PVAMU FGD'!$E$39</f>
        <v>-1358183</v>
      </c>
      <c r="F984" s="390">
        <f>'PVAMU FGD'!$F$39</f>
        <v>-333000</v>
      </c>
      <c r="G984" s="390">
        <f>'PVAMU FGD'!$G$39</f>
        <v>0</v>
      </c>
      <c r="H984" s="390">
        <f>'PVAMU FGD'!$H$39</f>
        <v>0</v>
      </c>
      <c r="I984" s="390">
        <f>'PVAMU FGD'!$I$39</f>
        <v>0</v>
      </c>
      <c r="J984" s="390">
        <f>'PVAMU FGD'!$J$39</f>
        <v>0</v>
      </c>
      <c r="K984" s="390">
        <f>'PVAMU FGD'!$K$39</f>
        <v>0</v>
      </c>
      <c r="L984" s="390">
        <f>'PVAMU FGD'!$L$39</f>
        <v>0</v>
      </c>
      <c r="M984" s="567">
        <f>'PVAMU FGD'!$M$39</f>
        <v>-1691183</v>
      </c>
      <c r="N984" s="401"/>
    </row>
    <row r="985" spans="2:14" s="160" customFormat="1" ht="12.75" hidden="1" customHeight="1" outlineLevel="1">
      <c r="B985" s="674" t="str">
        <f>'S-A FGD'!$B$2</f>
        <v>The University of Texas at San Antonio</v>
      </c>
      <c r="C985" s="566"/>
      <c r="D985" s="390">
        <f>'S-A FGD'!$D$39</f>
        <v>0</v>
      </c>
      <c r="E985" s="390">
        <f>'S-A FGD'!$E$39</f>
        <v>0</v>
      </c>
      <c r="F985" s="390">
        <f>'S-A FGD'!$F$39</f>
        <v>-2350335</v>
      </c>
      <c r="G985" s="390">
        <f>'S-A FGD'!$G$39</f>
        <v>0</v>
      </c>
      <c r="H985" s="390">
        <f>'S-A FGD'!$H$39</f>
        <v>0</v>
      </c>
      <c r="I985" s="390">
        <f>'S-A FGD'!$I$39</f>
        <v>0</v>
      </c>
      <c r="J985" s="390">
        <f>'S-A FGD'!$J$39</f>
        <v>0</v>
      </c>
      <c r="K985" s="390">
        <f>'S-A FGD'!$K$39</f>
        <v>0</v>
      </c>
      <c r="L985" s="390">
        <f>'S-A FGD'!$L$39</f>
        <v>0</v>
      </c>
      <c r="M985" s="567">
        <f>'S-A FGD'!$M$39</f>
        <v>-2350335</v>
      </c>
      <c r="N985" s="401"/>
    </row>
    <row r="986" spans="2:14" s="160" customFormat="1" ht="12.75" hidden="1" customHeight="1" outlineLevel="1">
      <c r="B986" s="674" t="str">
        <f>'SFA FGD'!$B$2</f>
        <v>Stephen F. Austin State University</v>
      </c>
      <c r="C986" s="566"/>
      <c r="D986" s="390">
        <f>'SFA FGD'!$D$39</f>
        <v>-26447</v>
      </c>
      <c r="E986" s="390">
        <f>'SFA FGD'!$E$39</f>
        <v>-4314275</v>
      </c>
      <c r="F986" s="390">
        <f>'SFA FGD'!$F$39</f>
        <v>-720119</v>
      </c>
      <c r="G986" s="390">
        <f>'SFA FGD'!$G$39</f>
        <v>0</v>
      </c>
      <c r="H986" s="390">
        <f>'SFA FGD'!$H$39</f>
        <v>0</v>
      </c>
      <c r="I986" s="390">
        <f>'SFA FGD'!$I$39</f>
        <v>0</v>
      </c>
      <c r="J986" s="390">
        <f>'SFA FGD'!$J$39</f>
        <v>0</v>
      </c>
      <c r="K986" s="390">
        <f>'SFA FGD'!$K$39</f>
        <v>0</v>
      </c>
      <c r="L986" s="390">
        <f>'SFA FGD'!$L$39</f>
        <v>0</v>
      </c>
      <c r="M986" s="567">
        <f>'SFA FGD'!$M$39</f>
        <v>-5060841</v>
      </c>
      <c r="N986" s="401"/>
    </row>
    <row r="987" spans="2:14" s="160" customFormat="1" ht="12.75" hidden="1" customHeight="1" outlineLevel="1">
      <c r="B987" s="674" t="str">
        <f>'shsu1 FGD'!$B$2</f>
        <v>Sam Houston State University - Academic &amp; Health (A+H)</v>
      </c>
      <c r="C987" s="566"/>
      <c r="D987" s="390">
        <f>'shsu1 FGD'!$D$39</f>
        <v>0</v>
      </c>
      <c r="E987" s="390">
        <f>'shsu1 FGD'!$E$39</f>
        <v>-6987310</v>
      </c>
      <c r="F987" s="390">
        <f>'shsu1 FGD'!$F$39</f>
        <v>-144662</v>
      </c>
      <c r="G987" s="390">
        <f>'shsu1 FGD'!$G$39</f>
        <v>0</v>
      </c>
      <c r="H987" s="390">
        <f>'shsu1 FGD'!$H$39</f>
        <v>0</v>
      </c>
      <c r="I987" s="390">
        <f>'shsu1 FGD'!$I$39</f>
        <v>0</v>
      </c>
      <c r="J987" s="390">
        <f>'shsu1 FGD'!$J$39</f>
        <v>0</v>
      </c>
      <c r="K987" s="390">
        <f>'shsu1 FGD'!$K$39</f>
        <v>0</v>
      </c>
      <c r="L987" s="390">
        <f>'shsu1 FGD'!$L$39</f>
        <v>0</v>
      </c>
      <c r="M987" s="567">
        <f>'shsu1 FGD'!$M$39</f>
        <v>-7131972</v>
      </c>
      <c r="N987" s="401"/>
    </row>
    <row r="988" spans="2:14" s="160" customFormat="1" ht="12.75" hidden="1" customHeight="1" outlineLevel="1">
      <c r="B988" s="674" t="str">
        <f>'SRSU FGD'!$B$2</f>
        <v>Sul Ross State University</v>
      </c>
      <c r="C988" s="566"/>
      <c r="D988" s="390">
        <f>'SRSU FGD'!$D$39</f>
        <v>-175110</v>
      </c>
      <c r="E988" s="390">
        <f>'SRSU FGD'!$E$39</f>
        <v>-466887</v>
      </c>
      <c r="F988" s="390">
        <f>'SRSU FGD'!$F$39</f>
        <v>0</v>
      </c>
      <c r="G988" s="390">
        <f>'SRSU FGD'!$G$39</f>
        <v>0</v>
      </c>
      <c r="H988" s="390">
        <f>'SRSU FGD'!$H$39</f>
        <v>0</v>
      </c>
      <c r="I988" s="390">
        <f>'SRSU FGD'!$I$39</f>
        <v>0</v>
      </c>
      <c r="J988" s="390">
        <f>'SRSU FGD'!$J$39</f>
        <v>0</v>
      </c>
      <c r="K988" s="390">
        <f>'SRSU FGD'!$K$39</f>
        <v>0</v>
      </c>
      <c r="L988" s="390">
        <f>'SRSU FGD'!$L$39</f>
        <v>0</v>
      </c>
      <c r="M988" s="567">
        <f>'SRSU FGD'!$M$39</f>
        <v>-641997</v>
      </c>
      <c r="N988" s="401"/>
    </row>
    <row r="989" spans="2:14" s="160" customFormat="1" ht="12.75" hidden="1" customHeight="1" outlineLevel="1">
      <c r="B989" s="674" t="str">
        <f>'TAMIU FGD'!$B$2</f>
        <v>Texas A&amp;M International University</v>
      </c>
      <c r="C989" s="566"/>
      <c r="D989" s="390">
        <f>'TAMIU FGD'!$D$39</f>
        <v>-1590</v>
      </c>
      <c r="E989" s="390">
        <f>'TAMIU FGD'!$E$39</f>
        <v>-635245</v>
      </c>
      <c r="F989" s="390">
        <f>'TAMIU FGD'!$F$39</f>
        <v>-294005</v>
      </c>
      <c r="G989" s="390">
        <f>'TAMIU FGD'!$G$39</f>
        <v>0</v>
      </c>
      <c r="H989" s="390">
        <f>'TAMIU FGD'!$H$39</f>
        <v>0</v>
      </c>
      <c r="I989" s="390">
        <f>'TAMIU FGD'!$I$39</f>
        <v>0</v>
      </c>
      <c r="J989" s="390">
        <f>'TAMIU FGD'!$J$39</f>
        <v>0</v>
      </c>
      <c r="K989" s="390">
        <f>'TAMIU FGD'!$K$39</f>
        <v>0</v>
      </c>
      <c r="L989" s="390">
        <f>'TAMIU FGD'!$L$39</f>
        <v>0</v>
      </c>
      <c r="M989" s="567">
        <f>'TAMIU FGD'!$M$39</f>
        <v>-930840</v>
      </c>
      <c r="N989" s="401"/>
    </row>
    <row r="990" spans="2:14" s="160" customFormat="1" ht="12.75" hidden="1" customHeight="1" outlineLevel="1">
      <c r="B990" s="674" t="str">
        <f>'TAMU FGD'!$B$2</f>
        <v>Texas A&amp;M University</v>
      </c>
      <c r="C990" s="566"/>
      <c r="D990" s="390">
        <f>'TAMU FGD'!$D$39</f>
        <v>-2943</v>
      </c>
      <c r="E990" s="390">
        <f>'TAMU FGD'!$E$39</f>
        <v>-10905000</v>
      </c>
      <c r="F990" s="390">
        <f>'TAMU FGD'!$F$39</f>
        <v>-1546496</v>
      </c>
      <c r="G990" s="390">
        <f>'TAMU FGD'!$G$39</f>
        <v>0</v>
      </c>
      <c r="H990" s="390">
        <f>'TAMU FGD'!$H$39</f>
        <v>0</v>
      </c>
      <c r="I990" s="390">
        <f>'TAMU FGD'!$I$39</f>
        <v>0</v>
      </c>
      <c r="J990" s="390">
        <f>'TAMU FGD'!$J$39</f>
        <v>0</v>
      </c>
      <c r="K990" s="390">
        <f>'TAMU FGD'!$K$39</f>
        <v>0</v>
      </c>
      <c r="L990" s="390">
        <f>'TAMU FGD'!$L$39</f>
        <v>0</v>
      </c>
      <c r="M990" s="567">
        <f>'TAMU FGD'!$M$39</f>
        <v>-12454439</v>
      </c>
      <c r="N990" s="401"/>
    </row>
    <row r="991" spans="2:14" s="160" customFormat="1" ht="12.75" hidden="1" customHeight="1" outlineLevel="1">
      <c r="B991" s="674" t="str">
        <f>'TAMUC FGD'!$B$2</f>
        <v>Texas A&amp;M University - Commerce</v>
      </c>
      <c r="C991" s="566"/>
      <c r="D991" s="390">
        <f>'TAMUC FGD'!$D$39</f>
        <v>0</v>
      </c>
      <c r="E991" s="390">
        <f>'TAMUC FGD'!$E$39</f>
        <v>0</v>
      </c>
      <c r="F991" s="390">
        <f>'TAMUC FGD'!$F$39</f>
        <v>-647049</v>
      </c>
      <c r="G991" s="390">
        <f>'TAMUC FGD'!$G$39</f>
        <v>0</v>
      </c>
      <c r="H991" s="390">
        <f>'TAMUC FGD'!$H$39</f>
        <v>0</v>
      </c>
      <c r="I991" s="390">
        <f>'TAMUC FGD'!$I$39</f>
        <v>0</v>
      </c>
      <c r="J991" s="390">
        <f>'TAMUC FGD'!$J$39</f>
        <v>0</v>
      </c>
      <c r="K991" s="390">
        <f>'TAMUC FGD'!$K$39</f>
        <v>0</v>
      </c>
      <c r="L991" s="390">
        <f>'TAMUC FGD'!$L$39</f>
        <v>0</v>
      </c>
      <c r="M991" s="567">
        <f>'TAMUC FGD'!$M$39</f>
        <v>-647049</v>
      </c>
      <c r="N991" s="401"/>
    </row>
    <row r="992" spans="2:14" s="160" customFormat="1" ht="12.75" hidden="1" customHeight="1" outlineLevel="1">
      <c r="B992" s="674" t="str">
        <f>'TAMUCC FGD'!$B$2</f>
        <v>Texas A&amp;M University - Corpus Christi</v>
      </c>
      <c r="C992" s="566"/>
      <c r="D992" s="390">
        <f>'TAMUCC FGD'!$D$39</f>
        <v>-285530</v>
      </c>
      <c r="E992" s="390">
        <f>'TAMUCC FGD'!$E$39</f>
        <v>-2860151</v>
      </c>
      <c r="F992" s="390">
        <f>'TAMUCC FGD'!$F$39</f>
        <v>-2824578</v>
      </c>
      <c r="G992" s="390">
        <f>'TAMUCC FGD'!$G$39</f>
        <v>0</v>
      </c>
      <c r="H992" s="390">
        <f>'TAMUCC FGD'!$H$39</f>
        <v>0</v>
      </c>
      <c r="I992" s="390">
        <f>'TAMUCC FGD'!$I$39</f>
        <v>0</v>
      </c>
      <c r="J992" s="390">
        <f>'TAMUCC FGD'!$J$39</f>
        <v>0</v>
      </c>
      <c r="K992" s="390">
        <f>'TAMUCC FGD'!$K$39</f>
        <v>0</v>
      </c>
      <c r="L992" s="390">
        <f>'TAMUCC FGD'!$L$39</f>
        <v>0</v>
      </c>
      <c r="M992" s="567">
        <f>'TAMUCC FGD'!$M$39</f>
        <v>-5970259</v>
      </c>
      <c r="N992" s="401"/>
    </row>
    <row r="993" spans="2:14" s="160" customFormat="1" ht="12.75" hidden="1" customHeight="1" outlineLevel="1">
      <c r="B993" s="674" t="str">
        <f>'TAMUCT FGD'!$B$2</f>
        <v>Texas A&amp;M University - Central Texas</v>
      </c>
      <c r="C993" s="566"/>
      <c r="D993" s="390">
        <f>'TAMUCT FGD'!$D$39</f>
        <v>0</v>
      </c>
      <c r="E993" s="390">
        <f>'TAMUCT FGD'!$E$39</f>
        <v>0</v>
      </c>
      <c r="F993" s="390">
        <f>'TAMUCT FGD'!$F$39</f>
        <v>0</v>
      </c>
      <c r="G993" s="390">
        <f>'TAMUCT FGD'!$G$39</f>
        <v>0</v>
      </c>
      <c r="H993" s="390">
        <f>'TAMUCT FGD'!$H$39</f>
        <v>0</v>
      </c>
      <c r="I993" s="390">
        <f>'TAMUCT FGD'!$I$39</f>
        <v>0</v>
      </c>
      <c r="J993" s="390">
        <f>'TAMUCT FGD'!$J$39</f>
        <v>0</v>
      </c>
      <c r="K993" s="390">
        <f>'TAMUCT FGD'!$K$39</f>
        <v>0</v>
      </c>
      <c r="L993" s="390">
        <f>'TAMUCT FGD'!$L$39</f>
        <v>0</v>
      </c>
      <c r="M993" s="567">
        <f>'TAMUCT FGD'!$M$39</f>
        <v>0</v>
      </c>
      <c r="N993" s="401"/>
    </row>
    <row r="994" spans="2:14" s="160" customFormat="1" ht="12.75" hidden="1" customHeight="1" outlineLevel="1">
      <c r="B994" s="674" t="str">
        <f>'TAMUG FGD'!$B$2</f>
        <v>Texas A&amp;M University at Galveston</v>
      </c>
      <c r="C994" s="566"/>
      <c r="D994" s="390">
        <f>'TAMUG FGD'!$D$39</f>
        <v>-4287</v>
      </c>
      <c r="E994" s="390">
        <f>'TAMUG FGD'!$E$39</f>
        <v>-574699</v>
      </c>
      <c r="F994" s="390">
        <f>'TAMUG FGD'!$F$39</f>
        <v>0</v>
      </c>
      <c r="G994" s="390">
        <f>'TAMUG FGD'!$G$39</f>
        <v>0</v>
      </c>
      <c r="H994" s="390">
        <f>'TAMUG FGD'!$H$39</f>
        <v>0</v>
      </c>
      <c r="I994" s="390">
        <f>'TAMUG FGD'!$I$39</f>
        <v>0</v>
      </c>
      <c r="J994" s="390">
        <f>'TAMUG FGD'!$J$39</f>
        <v>0</v>
      </c>
      <c r="K994" s="390">
        <f>'TAMUG FGD'!$K$39</f>
        <v>0</v>
      </c>
      <c r="L994" s="390">
        <f>'TAMUG FGD'!$L$39</f>
        <v>0</v>
      </c>
      <c r="M994" s="567">
        <f>'TAMUG FGD'!$M$39</f>
        <v>-578986</v>
      </c>
      <c r="N994" s="401"/>
    </row>
    <row r="995" spans="2:14" s="160" customFormat="1" ht="12.75" hidden="1" customHeight="1" outlineLevel="1">
      <c r="B995" s="674" t="str">
        <f>'TAMUK FGD'!$B$2</f>
        <v>Texas A&amp;M University - Kingsville</v>
      </c>
      <c r="C995" s="566"/>
      <c r="D995" s="390">
        <f>'TAMUK FGD'!$D$39</f>
        <v>0</v>
      </c>
      <c r="E995" s="390">
        <f>'TAMUK FGD'!$E$39</f>
        <v>-1302722</v>
      </c>
      <c r="F995" s="390">
        <f>'TAMUK FGD'!$F$39</f>
        <v>-544743</v>
      </c>
      <c r="G995" s="390">
        <f>'TAMUK FGD'!$G$39</f>
        <v>0</v>
      </c>
      <c r="H995" s="390">
        <f>'TAMUK FGD'!$H$39</f>
        <v>0</v>
      </c>
      <c r="I995" s="390">
        <f>'TAMUK FGD'!$I$39</f>
        <v>0</v>
      </c>
      <c r="J995" s="390">
        <f>'TAMUK FGD'!$J$39</f>
        <v>0</v>
      </c>
      <c r="K995" s="390">
        <f>'TAMUK FGD'!$K$39</f>
        <v>0</v>
      </c>
      <c r="L995" s="390">
        <f>'TAMUK FGD'!$L$39</f>
        <v>0</v>
      </c>
      <c r="M995" s="567">
        <f>'TAMUK FGD'!$M$39</f>
        <v>-1847465</v>
      </c>
      <c r="N995" s="401"/>
    </row>
    <row r="996" spans="2:14" s="160" customFormat="1" ht="12.75" hidden="1" customHeight="1" outlineLevel="1">
      <c r="B996" s="674" t="str">
        <f>'TAMUSA FGD'!$B$2</f>
        <v>Texas A&amp;M University - San Antonio</v>
      </c>
      <c r="C996" s="566"/>
      <c r="D996" s="390">
        <f>'TAMUSA FGD'!$D$39</f>
        <v>0</v>
      </c>
      <c r="E996" s="390">
        <f>'TAMUSA FGD'!$E$39</f>
        <v>-1689415</v>
      </c>
      <c r="F996" s="390">
        <f>'TAMUSA FGD'!$F$39</f>
        <v>0</v>
      </c>
      <c r="G996" s="390">
        <f>'TAMUSA FGD'!$G$39</f>
        <v>0</v>
      </c>
      <c r="H996" s="390">
        <f>'TAMUSA FGD'!$H$39</f>
        <v>0</v>
      </c>
      <c r="I996" s="390">
        <f>'TAMUSA FGD'!$I$39</f>
        <v>0</v>
      </c>
      <c r="J996" s="390">
        <f>'TAMUSA FGD'!$J$39</f>
        <v>0</v>
      </c>
      <c r="K996" s="390">
        <f>'TAMUSA FGD'!$K$39</f>
        <v>0</v>
      </c>
      <c r="L996" s="390">
        <f>'TAMUSA FGD'!$L$39</f>
        <v>0</v>
      </c>
      <c r="M996" s="567">
        <f>'TAMUSA FGD'!$M$39</f>
        <v>-1689415</v>
      </c>
      <c r="N996" s="401"/>
    </row>
    <row r="997" spans="2:14" s="160" customFormat="1" ht="12.75" hidden="1" customHeight="1" outlineLevel="1">
      <c r="B997" s="674" t="str">
        <f>'TAMUT FGD'!$B$2</f>
        <v>Texas A&amp;M University - Texarkana</v>
      </c>
      <c r="C997" s="566"/>
      <c r="D997" s="390">
        <f>'TAMUT FGD'!$D$39</f>
        <v>-13</v>
      </c>
      <c r="E997" s="390">
        <f>'TAMUT FGD'!$E$39</f>
        <v>-233920</v>
      </c>
      <c r="F997" s="390">
        <f>'TAMUT FGD'!$F$39</f>
        <v>-49852</v>
      </c>
      <c r="G997" s="390">
        <f>'TAMUT FGD'!$G$39</f>
        <v>0</v>
      </c>
      <c r="H997" s="390">
        <f>'TAMUT FGD'!$H$39</f>
        <v>0</v>
      </c>
      <c r="I997" s="390">
        <f>'TAMUT FGD'!$I$39</f>
        <v>0</v>
      </c>
      <c r="J997" s="390">
        <f>'TAMUT FGD'!$J$39</f>
        <v>0</v>
      </c>
      <c r="K997" s="390">
        <f>'TAMUT FGD'!$K$39</f>
        <v>0</v>
      </c>
      <c r="L997" s="390">
        <f>'TAMUT FGD'!$L$39</f>
        <v>0</v>
      </c>
      <c r="M997" s="567">
        <f>'TAMUT FGD'!$M$39</f>
        <v>-283785</v>
      </c>
      <c r="N997" s="401"/>
    </row>
    <row r="998" spans="2:14" s="160" customFormat="1" ht="12.75" hidden="1" customHeight="1" outlineLevel="1">
      <c r="B998" s="674" t="str">
        <f>'TARLST FGD'!$B$2</f>
        <v>Tarleton State University</v>
      </c>
      <c r="C998" s="566"/>
      <c r="D998" s="390">
        <f>'TARLST FGD'!$D$39</f>
        <v>-4813</v>
      </c>
      <c r="E998" s="390">
        <f>'TARLST FGD'!$E$39</f>
        <v>-2088154</v>
      </c>
      <c r="F998" s="390">
        <f>'TARLST FGD'!$F$39</f>
        <v>-1069710</v>
      </c>
      <c r="G998" s="390">
        <f>'TARLST FGD'!$G$39</f>
        <v>0</v>
      </c>
      <c r="H998" s="390">
        <f>'TARLST FGD'!$H$39</f>
        <v>0</v>
      </c>
      <c r="I998" s="390">
        <f>'TARLST FGD'!$I$39</f>
        <v>0</v>
      </c>
      <c r="J998" s="390">
        <f>'TARLST FGD'!$J$39</f>
        <v>0</v>
      </c>
      <c r="K998" s="390">
        <f>'TARLST FGD'!$K$39</f>
        <v>0</v>
      </c>
      <c r="L998" s="390">
        <f>'TARLST FGD'!$L$39</f>
        <v>0</v>
      </c>
      <c r="M998" s="567">
        <f>'TARLST FGD'!$M$39</f>
        <v>-3162677</v>
      </c>
      <c r="N998" s="401"/>
    </row>
    <row r="999" spans="2:14" s="160" customFormat="1" ht="12.75" hidden="1" customHeight="1" outlineLevel="1">
      <c r="B999" s="674" t="str">
        <f>'TSU FGD'!$B$2</f>
        <v>Texas Southern University</v>
      </c>
      <c r="C999" s="566"/>
      <c r="D999" s="390">
        <f>'TSU FGD'!$D$39</f>
        <v>0</v>
      </c>
      <c r="E999" s="390">
        <f>'TSU FGD'!$E$39</f>
        <v>0</v>
      </c>
      <c r="F999" s="390">
        <f>'TSU FGD'!$F$39</f>
        <v>0</v>
      </c>
      <c r="G999" s="390">
        <f>'TSU FGD'!$G$39</f>
        <v>0</v>
      </c>
      <c r="H999" s="390">
        <f>'TSU FGD'!$H$39</f>
        <v>0</v>
      </c>
      <c r="I999" s="390">
        <f>'TSU FGD'!$I$39</f>
        <v>0</v>
      </c>
      <c r="J999" s="390">
        <f>'TSU FGD'!$J$39</f>
        <v>0</v>
      </c>
      <c r="K999" s="390">
        <f>'TSU FGD'!$K$39</f>
        <v>0</v>
      </c>
      <c r="L999" s="390">
        <f>'TSU FGD'!$L$39</f>
        <v>0</v>
      </c>
      <c r="M999" s="567">
        <f>'TSU FGD'!$M$39</f>
        <v>0</v>
      </c>
      <c r="N999" s="401"/>
    </row>
    <row r="1000" spans="2:14" s="160" customFormat="1" ht="12.75" hidden="1" customHeight="1" outlineLevel="1">
      <c r="B1000" s="674" t="str">
        <f>'TTU FGD'!$B$2</f>
        <v>Texas Tech University</v>
      </c>
      <c r="C1000" s="566"/>
      <c r="D1000" s="390">
        <f>'TTU FGD'!$D$39</f>
        <v>0</v>
      </c>
      <c r="E1000" s="390">
        <f>'TTU FGD'!$E$39</f>
        <v>-8360778</v>
      </c>
      <c r="F1000" s="390">
        <f>'TTU FGD'!$F$39</f>
        <v>-233459</v>
      </c>
      <c r="G1000" s="390">
        <f>'TTU FGD'!$G$39</f>
        <v>0</v>
      </c>
      <c r="H1000" s="390">
        <f>'TTU FGD'!$H$39</f>
        <v>0</v>
      </c>
      <c r="I1000" s="390">
        <f>'TTU FGD'!$I$39</f>
        <v>0</v>
      </c>
      <c r="J1000" s="390">
        <f>'TTU FGD'!$J$39</f>
        <v>0</v>
      </c>
      <c r="K1000" s="390">
        <f>'TTU FGD'!$K$39</f>
        <v>0</v>
      </c>
      <c r="L1000" s="390">
        <f>'TTU FGD'!$L$39</f>
        <v>0</v>
      </c>
      <c r="M1000" s="567">
        <f>'TTU FGD'!$M$39</f>
        <v>-8594237</v>
      </c>
      <c r="N1000" s="401"/>
    </row>
    <row r="1001" spans="2:14" s="160" customFormat="1" ht="12.75" hidden="1" customHeight="1" outlineLevel="1">
      <c r="B1001" s="674" t="str">
        <f>'TWU FGD'!$B$2</f>
        <v>Texas Woman's University</v>
      </c>
      <c r="C1001" s="566"/>
      <c r="D1001" s="390">
        <f>'TWU FGD'!$D$39</f>
        <v>-3136288</v>
      </c>
      <c r="E1001" s="390">
        <f>'TWU FGD'!$E$39</f>
        <v>0</v>
      </c>
      <c r="F1001" s="390">
        <f>'TWU FGD'!$F$39</f>
        <v>0</v>
      </c>
      <c r="G1001" s="390">
        <f>'TWU FGD'!$G$39</f>
        <v>0</v>
      </c>
      <c r="H1001" s="390">
        <f>'TWU FGD'!$H$39</f>
        <v>0</v>
      </c>
      <c r="I1001" s="390">
        <f>'TWU FGD'!$I$39</f>
        <v>0</v>
      </c>
      <c r="J1001" s="390">
        <f>'TWU FGD'!$J$39</f>
        <v>0</v>
      </c>
      <c r="K1001" s="390">
        <f>'TWU FGD'!$K$39</f>
        <v>0</v>
      </c>
      <c r="L1001" s="390">
        <f>'TWU FGD'!$L$39</f>
        <v>0</v>
      </c>
      <c r="M1001" s="567">
        <f>'TWU FGD'!$M$39</f>
        <v>-3136288</v>
      </c>
      <c r="N1001" s="401"/>
    </row>
    <row r="1002" spans="2:14" s="160" customFormat="1" ht="12.75" hidden="1" customHeight="1" outlineLevel="1">
      <c r="B1002" s="674" t="str">
        <f>'TXST FGD'!$B$2</f>
        <v>Texas State University</v>
      </c>
      <c r="C1002" s="566"/>
      <c r="D1002" s="390">
        <f>'TXST FGD'!$D$39</f>
        <v>-3105</v>
      </c>
      <c r="E1002" s="390">
        <f>'TXST FGD'!$E$39</f>
        <v>-3225472</v>
      </c>
      <c r="F1002" s="390">
        <f>'TXST FGD'!$F$39</f>
        <v>-14827445</v>
      </c>
      <c r="G1002" s="390">
        <f>'TXST FGD'!$G$39</f>
        <v>0</v>
      </c>
      <c r="H1002" s="390">
        <f>'TXST FGD'!$H$39</f>
        <v>0</v>
      </c>
      <c r="I1002" s="390">
        <f>'TXST FGD'!$I$39</f>
        <v>0</v>
      </c>
      <c r="J1002" s="390">
        <f>'TXST FGD'!$J$39</f>
        <v>0</v>
      </c>
      <c r="K1002" s="390">
        <f>'TXST FGD'!$K$39</f>
        <v>0</v>
      </c>
      <c r="L1002" s="390">
        <f>'TXST FGD'!$L$39</f>
        <v>0</v>
      </c>
      <c r="M1002" s="567">
        <f>'TXST FGD'!$M$39</f>
        <v>-18056022</v>
      </c>
      <c r="N1002" s="401"/>
    </row>
    <row r="1003" spans="2:14" s="160" customFormat="1" ht="12.75" hidden="1" customHeight="1" outlineLevel="1">
      <c r="B1003" s="674" t="str">
        <f>'TYL FGD'!$B$2</f>
        <v>The University of Texas at Tyler</v>
      </c>
      <c r="C1003" s="566"/>
      <c r="D1003" s="390">
        <f>'TYL FGD'!$D$39</f>
        <v>0</v>
      </c>
      <c r="E1003" s="390">
        <f>'TYL FGD'!$E$39</f>
        <v>0</v>
      </c>
      <c r="F1003" s="390">
        <f>'TYL FGD'!$F$39</f>
        <v>-148737</v>
      </c>
      <c r="G1003" s="390">
        <f>'TYL FGD'!$G$39</f>
        <v>0</v>
      </c>
      <c r="H1003" s="390">
        <f>'TYL FGD'!$H$39</f>
        <v>0</v>
      </c>
      <c r="I1003" s="390">
        <f>'TYL FGD'!$I$39</f>
        <v>0</v>
      </c>
      <c r="J1003" s="390">
        <f>'TYL FGD'!$J$39</f>
        <v>0</v>
      </c>
      <c r="K1003" s="390">
        <f>'TYL FGD'!$K$39</f>
        <v>0</v>
      </c>
      <c r="L1003" s="390">
        <f>'TYL FGD'!$L$39</f>
        <v>0</v>
      </c>
      <c r="M1003" s="567">
        <f>'TYL FGD'!$M$39</f>
        <v>-148737</v>
      </c>
      <c r="N1003" s="401"/>
    </row>
    <row r="1004" spans="2:14" s="160" customFormat="1" ht="12.75" hidden="1" customHeight="1" outlineLevel="1">
      <c r="B1004" s="674" t="str">
        <f>'UH1 FGD'!$B$2</f>
        <v>University of Houston - Academic &amp; Health (A+H)</v>
      </c>
      <c r="C1004" s="566"/>
      <c r="D1004" s="390">
        <f>'UH1 FGD'!$D$39</f>
        <v>-2821</v>
      </c>
      <c r="E1004" s="390">
        <f>'UH1 FGD'!$E$39</f>
        <v>-3176447</v>
      </c>
      <c r="F1004" s="390">
        <f>'UH1 FGD'!$F$39</f>
        <v>-249050</v>
      </c>
      <c r="G1004" s="390">
        <f>'UH1 FGD'!$G$39</f>
        <v>0</v>
      </c>
      <c r="H1004" s="390">
        <f>'UH1 FGD'!$H$39</f>
        <v>0</v>
      </c>
      <c r="I1004" s="390">
        <f>'UH1 FGD'!$I$39</f>
        <v>0</v>
      </c>
      <c r="J1004" s="390">
        <f>'UH1 FGD'!$J$39</f>
        <v>0</v>
      </c>
      <c r="K1004" s="390">
        <f>'UH1 FGD'!$K$39</f>
        <v>0</v>
      </c>
      <c r="L1004" s="390">
        <f>'UH1 FGD'!$L$39</f>
        <v>0</v>
      </c>
      <c r="M1004" s="567">
        <f>'UH1 FGD'!$M$39</f>
        <v>-3428318</v>
      </c>
      <c r="N1004" s="401"/>
    </row>
    <row r="1005" spans="2:14" s="160" customFormat="1" ht="12.75" hidden="1" customHeight="1" outlineLevel="1">
      <c r="B1005" s="674" t="str">
        <f>'UHCL FGD'!$B$2</f>
        <v>University of Houston - Clear Lake</v>
      </c>
      <c r="C1005" s="566"/>
      <c r="D1005" s="390">
        <f>'UHCL FGD'!$D$39</f>
        <v>0</v>
      </c>
      <c r="E1005" s="390">
        <f>'UHCL FGD'!$E$39</f>
        <v>-357481</v>
      </c>
      <c r="F1005" s="390">
        <f>'UHCL FGD'!$F$39</f>
        <v>-139945</v>
      </c>
      <c r="G1005" s="390">
        <f>'UHCL FGD'!$G$39</f>
        <v>0</v>
      </c>
      <c r="H1005" s="390">
        <f>'UHCL FGD'!$H$39</f>
        <v>0</v>
      </c>
      <c r="I1005" s="390">
        <f>'UHCL FGD'!$I$39</f>
        <v>0</v>
      </c>
      <c r="J1005" s="390">
        <f>'UHCL FGD'!$J$39</f>
        <v>0</v>
      </c>
      <c r="K1005" s="390">
        <f>'UHCL FGD'!$K$39</f>
        <v>0</v>
      </c>
      <c r="L1005" s="390">
        <f>'UHCL FGD'!$L$39</f>
        <v>0</v>
      </c>
      <c r="M1005" s="567">
        <f>'UHCL FGD'!$M$39</f>
        <v>-497426</v>
      </c>
      <c r="N1005" s="401"/>
    </row>
    <row r="1006" spans="2:14" s="160" customFormat="1" ht="12.75" hidden="1" customHeight="1" outlineLevel="1">
      <c r="B1006" s="674" t="str">
        <f>'UHD FGD'!$B$2</f>
        <v>University of Houston - Downtown</v>
      </c>
      <c r="C1006" s="566"/>
      <c r="D1006" s="390">
        <f>'UHD FGD'!$D$39</f>
        <v>0</v>
      </c>
      <c r="E1006" s="390">
        <f>'UHD FGD'!$E$39</f>
        <v>-493107</v>
      </c>
      <c r="F1006" s="390">
        <f>'UHD FGD'!$F$39</f>
        <v>-1355270</v>
      </c>
      <c r="G1006" s="390">
        <f>'UHD FGD'!$G$39</f>
        <v>0</v>
      </c>
      <c r="H1006" s="390">
        <f>'UHD FGD'!$H$39</f>
        <v>0</v>
      </c>
      <c r="I1006" s="390">
        <f>'UHD FGD'!$I$39</f>
        <v>0</v>
      </c>
      <c r="J1006" s="390">
        <f>'UHD FGD'!$J$39</f>
        <v>0</v>
      </c>
      <c r="K1006" s="390">
        <f>'UHD FGD'!$K$39</f>
        <v>0</v>
      </c>
      <c r="L1006" s="390">
        <f>'UHD FGD'!$L$39</f>
        <v>0</v>
      </c>
      <c r="M1006" s="567">
        <f>'UHD FGD'!$M$39</f>
        <v>-1848377</v>
      </c>
      <c r="N1006" s="401"/>
    </row>
    <row r="1007" spans="2:14" s="160" customFormat="1" ht="12.75" hidden="1" customHeight="1" outlineLevel="1">
      <c r="B1007" s="674" t="str">
        <f>'UHV FGD'!$B$2</f>
        <v>University of Houston - Victoria</v>
      </c>
      <c r="C1007" s="566"/>
      <c r="D1007" s="390">
        <f>'UHV FGD'!$D$39</f>
        <v>-115</v>
      </c>
      <c r="E1007" s="390">
        <f>'UHV FGD'!$E$39</f>
        <v>-318228</v>
      </c>
      <c r="F1007" s="390">
        <f>'UHV FGD'!$F$39</f>
        <v>-104289</v>
      </c>
      <c r="G1007" s="390">
        <f>'UHV FGD'!$G$39</f>
        <v>0</v>
      </c>
      <c r="H1007" s="390">
        <f>'UHV FGD'!$H$39</f>
        <v>0</v>
      </c>
      <c r="I1007" s="390">
        <f>'UHV FGD'!$I$39</f>
        <v>0</v>
      </c>
      <c r="J1007" s="390">
        <f>'UHV FGD'!$J$39</f>
        <v>0</v>
      </c>
      <c r="K1007" s="390">
        <f>'UHV FGD'!$K$39</f>
        <v>0</v>
      </c>
      <c r="L1007" s="390">
        <f>'UHV FGD'!$L$39</f>
        <v>0</v>
      </c>
      <c r="M1007" s="567">
        <f>'UHV FGD'!$M$39</f>
        <v>-422632</v>
      </c>
      <c r="N1007" s="401"/>
    </row>
    <row r="1008" spans="2:14" s="160" customFormat="1" ht="12.75" hidden="1" customHeight="1" outlineLevel="1">
      <c r="B1008" s="674" t="str">
        <f>'UNT FGD'!$B$2</f>
        <v>University of North Texas</v>
      </c>
      <c r="C1008" s="566"/>
      <c r="D1008" s="390">
        <f>'UNT FGD'!$D$39</f>
        <v>0</v>
      </c>
      <c r="E1008" s="390">
        <f>'UNT FGD'!$E$39</f>
        <v>0</v>
      </c>
      <c r="F1008" s="390">
        <f>'UNT FGD'!$F$39</f>
        <v>0</v>
      </c>
      <c r="G1008" s="390">
        <f>'UNT FGD'!$G$39</f>
        <v>0</v>
      </c>
      <c r="H1008" s="390">
        <f>'UNT FGD'!$H$39</f>
        <v>0</v>
      </c>
      <c r="I1008" s="390">
        <f>'UNT FGD'!$I$39</f>
        <v>0</v>
      </c>
      <c r="J1008" s="390">
        <f>'UNT FGD'!$J$39</f>
        <v>0</v>
      </c>
      <c r="K1008" s="390">
        <f>'UNT FGD'!$K$39</f>
        <v>0</v>
      </c>
      <c r="L1008" s="390">
        <f>'UNT FGD'!$L$39</f>
        <v>0</v>
      </c>
      <c r="M1008" s="567">
        <f>'UNT FGD'!$M$39</f>
        <v>0</v>
      </c>
      <c r="N1008" s="401"/>
    </row>
    <row r="1009" spans="2:14" s="160" customFormat="1" ht="12.75" hidden="1" customHeight="1" outlineLevel="1">
      <c r="B1009" s="674" t="str">
        <f>'UNTD FGD'!$B$2</f>
        <v>University of North Texas at Dallas</v>
      </c>
      <c r="C1009" s="566"/>
      <c r="D1009" s="390">
        <f>'UNTD FGD'!$D$39</f>
        <v>0</v>
      </c>
      <c r="E1009" s="390">
        <f>'UNTD FGD'!$E$39</f>
        <v>0</v>
      </c>
      <c r="F1009" s="390">
        <f>'UNTD FGD'!$F$39</f>
        <v>0</v>
      </c>
      <c r="G1009" s="390">
        <f>'UNTD FGD'!$G$39</f>
        <v>0</v>
      </c>
      <c r="H1009" s="390">
        <f>'UNTD FGD'!$H$39</f>
        <v>0</v>
      </c>
      <c r="I1009" s="390">
        <f>'UNTD FGD'!$I$39</f>
        <v>0</v>
      </c>
      <c r="J1009" s="390">
        <f>'UNTD FGD'!$J$39</f>
        <v>0</v>
      </c>
      <c r="K1009" s="390">
        <f>'UNTD FGD'!$K$39</f>
        <v>0</v>
      </c>
      <c r="L1009" s="390">
        <f>'UNTD FGD'!$L$39</f>
        <v>0</v>
      </c>
      <c r="M1009" s="567">
        <f>'UNTD FGD'!$M$39</f>
        <v>0</v>
      </c>
      <c r="N1009" s="401"/>
    </row>
    <row r="1010" spans="2:14" s="160" customFormat="1" ht="12.75" hidden="1" customHeight="1" outlineLevel="1">
      <c r="B1010" s="674" t="str">
        <f>'WTAMU FGD'!$B$2</f>
        <v>West Texas A&amp;M University</v>
      </c>
      <c r="C1010" s="566"/>
      <c r="D1010" s="390">
        <f>'WTAMU FGD'!$D$39</f>
        <v>0</v>
      </c>
      <c r="E1010" s="390">
        <f>'WTAMU FGD'!$E$39</f>
        <v>0</v>
      </c>
      <c r="F1010" s="390">
        <f>'WTAMU FGD'!$F$39</f>
        <v>-2734657</v>
      </c>
      <c r="G1010" s="390">
        <f>'WTAMU FGD'!$G$39</f>
        <v>0</v>
      </c>
      <c r="H1010" s="390">
        <f>'WTAMU FGD'!$H$39</f>
        <v>0</v>
      </c>
      <c r="I1010" s="390">
        <f>'WTAMU FGD'!$I$39</f>
        <v>0</v>
      </c>
      <c r="J1010" s="390">
        <f>'WTAMU FGD'!$J$39</f>
        <v>0</v>
      </c>
      <c r="K1010" s="390">
        <f>'WTAMU FGD'!$K$39</f>
        <v>0</v>
      </c>
      <c r="L1010" s="390">
        <f>'WTAMU FGD'!$L$39</f>
        <v>0</v>
      </c>
      <c r="M1010" s="567">
        <f>'WTAMU FGD'!$M$39</f>
        <v>-2734657</v>
      </c>
      <c r="N1010" s="401"/>
    </row>
    <row r="1011" spans="2:14" s="160" customFormat="1" collapsed="1">
      <c r="B1011" s="261" t="s">
        <v>729</v>
      </c>
      <c r="C1011" s="566"/>
      <c r="D1011" s="390">
        <f t="shared" ref="D1011:M1011" si="26">SUM(D975:D1010)</f>
        <v>-3648539</v>
      </c>
      <c r="E1011" s="390">
        <f t="shared" si="26"/>
        <v>-55586510</v>
      </c>
      <c r="F1011" s="390">
        <f t="shared" si="26"/>
        <v>-34712977</v>
      </c>
      <c r="G1011" s="390">
        <f t="shared" si="26"/>
        <v>0</v>
      </c>
      <c r="H1011" s="390">
        <f t="shared" si="26"/>
        <v>0</v>
      </c>
      <c r="I1011" s="390">
        <f t="shared" si="26"/>
        <v>0</v>
      </c>
      <c r="J1011" s="390">
        <f t="shared" si="26"/>
        <v>0</v>
      </c>
      <c r="K1011" s="390">
        <f t="shared" si="26"/>
        <v>0</v>
      </c>
      <c r="L1011" s="390">
        <f t="shared" si="26"/>
        <v>0</v>
      </c>
      <c r="M1011" s="567">
        <f t="shared" si="26"/>
        <v>-93948026</v>
      </c>
      <c r="N1011" s="401"/>
    </row>
    <row r="1012" spans="2:14" s="160" customFormat="1" ht="12.75" hidden="1" customHeight="1" outlineLevel="1">
      <c r="B1012" s="674" t="str">
        <f>'ARL FGD'!$B$2</f>
        <v>The University of Texas at Arlington</v>
      </c>
      <c r="C1012" s="566"/>
      <c r="D1012" s="390">
        <f>'ARL FGD'!$D$40</f>
        <v>0</v>
      </c>
      <c r="E1012" s="390">
        <f>'ARL FGD'!$E$40</f>
        <v>0</v>
      </c>
      <c r="F1012" s="390">
        <f>'ARL FGD'!$F$40</f>
        <v>0</v>
      </c>
      <c r="G1012" s="390">
        <f>'ARL FGD'!$G$40</f>
        <v>0</v>
      </c>
      <c r="H1012" s="390">
        <f>'ARL FGD'!$H$40</f>
        <v>0</v>
      </c>
      <c r="I1012" s="390">
        <f>'ARL FGD'!$I$40</f>
        <v>0</v>
      </c>
      <c r="J1012" s="390">
        <f>'ARL FGD'!$J$40</f>
        <v>0</v>
      </c>
      <c r="K1012" s="390">
        <f>'ARL FGD'!$K$40</f>
        <v>0</v>
      </c>
      <c r="L1012" s="390">
        <f>'ARL FGD'!$L$40</f>
        <v>0</v>
      </c>
      <c r="M1012" s="567">
        <f>'ARL FGD'!$M$40</f>
        <v>0</v>
      </c>
      <c r="N1012" s="401"/>
    </row>
    <row r="1013" spans="2:14" s="160" customFormat="1" ht="12.75" hidden="1" customHeight="1" outlineLevel="1">
      <c r="B1013" s="674" t="str">
        <f>'ASU FGD'!$B$2</f>
        <v>Angelo State University</v>
      </c>
      <c r="C1013" s="566"/>
      <c r="D1013" s="390">
        <f>'ASU FGD'!$D$40</f>
        <v>0</v>
      </c>
      <c r="E1013" s="390">
        <f>'ASU FGD'!$E$40</f>
        <v>-7818</v>
      </c>
      <c r="F1013" s="390">
        <f>'ASU FGD'!$F$40</f>
        <v>-6116</v>
      </c>
      <c r="G1013" s="390">
        <f>'ASU FGD'!$G$40</f>
        <v>0</v>
      </c>
      <c r="H1013" s="390">
        <f>'ASU FGD'!$H$40</f>
        <v>0</v>
      </c>
      <c r="I1013" s="390">
        <f>'ASU FGD'!$I$40</f>
        <v>0</v>
      </c>
      <c r="J1013" s="390">
        <f>'ASU FGD'!$J$40</f>
        <v>0</v>
      </c>
      <c r="K1013" s="390">
        <f>'ASU FGD'!$K$40</f>
        <v>0</v>
      </c>
      <c r="L1013" s="390">
        <f>'ASU FGD'!$L$40</f>
        <v>0</v>
      </c>
      <c r="M1013" s="567">
        <f>'ASU FGD'!$M$40</f>
        <v>-13934</v>
      </c>
      <c r="N1013" s="401"/>
    </row>
    <row r="1014" spans="2:14" s="160" customFormat="1" ht="12.75" hidden="1" customHeight="1" outlineLevel="1">
      <c r="B1014" s="674" t="str">
        <f>'AUS1 FGD'!$B$2</f>
        <v>The University of Texas at Austin - Academic &amp; Health (A+H)</v>
      </c>
      <c r="C1014" s="566"/>
      <c r="D1014" s="390">
        <f>'AUS1 FGD'!$D$40</f>
        <v>0</v>
      </c>
      <c r="E1014" s="390">
        <f>'AUS1 FGD'!$E$40</f>
        <v>0</v>
      </c>
      <c r="F1014" s="390">
        <f>'AUS1 FGD'!$F$40</f>
        <v>0</v>
      </c>
      <c r="G1014" s="390">
        <f>'AUS1 FGD'!$G$40</f>
        <v>0</v>
      </c>
      <c r="H1014" s="390">
        <f>'AUS1 FGD'!$H$40</f>
        <v>0</v>
      </c>
      <c r="I1014" s="390">
        <f>'AUS1 FGD'!$I$40</f>
        <v>0</v>
      </c>
      <c r="J1014" s="390">
        <f>'AUS1 FGD'!$J$40</f>
        <v>0</v>
      </c>
      <c r="K1014" s="390">
        <f>'AUS1 FGD'!$K$40</f>
        <v>0</v>
      </c>
      <c r="L1014" s="390">
        <f>'AUS1 FGD'!$L$40</f>
        <v>0</v>
      </c>
      <c r="M1014" s="567">
        <f>'AUS1 FGD'!$M$40</f>
        <v>0</v>
      </c>
      <c r="N1014" s="401"/>
    </row>
    <row r="1015" spans="2:14" s="160" customFormat="1" ht="12.75" hidden="1" customHeight="1" outlineLevel="1">
      <c r="B1015" s="674" t="str">
        <f>'RGV1 FGD'!$B$2</f>
        <v>The University of Texas RGV - Academic &amp; Health (A+H)</v>
      </c>
      <c r="C1015" s="566"/>
      <c r="D1015" s="390">
        <f>'RGV1 FGD'!$D$40</f>
        <v>0</v>
      </c>
      <c r="E1015" s="390">
        <f>'RGV1 FGD'!$E$40</f>
        <v>0</v>
      </c>
      <c r="F1015" s="390">
        <f>'RGV1 FGD'!$F$40</f>
        <v>0</v>
      </c>
      <c r="G1015" s="390">
        <f>'RGV1 FGD'!$G$40</f>
        <v>0</v>
      </c>
      <c r="H1015" s="390">
        <f>'RGV1 FGD'!$H$40</f>
        <v>0</v>
      </c>
      <c r="I1015" s="390">
        <f>'RGV1 FGD'!$I$40</f>
        <v>0</v>
      </c>
      <c r="J1015" s="390">
        <f>'RGV1 FGD'!$J$40</f>
        <v>0</v>
      </c>
      <c r="K1015" s="390">
        <f>'RGV1 FGD'!$K$40</f>
        <v>0</v>
      </c>
      <c r="L1015" s="390">
        <f>'RGV1 FGD'!$L$40</f>
        <v>0</v>
      </c>
      <c r="M1015" s="567">
        <f>'RGV1 FGD'!$M$40</f>
        <v>0</v>
      </c>
      <c r="N1015" s="401"/>
    </row>
    <row r="1016" spans="2:14" s="160" customFormat="1" ht="12.75" hidden="1" customHeight="1" outlineLevel="1">
      <c r="B1016" s="674" t="str">
        <f>'DAL FGD'!$B$2</f>
        <v>The University of Texas at Dallas</v>
      </c>
      <c r="C1016" s="566"/>
      <c r="D1016" s="390">
        <f>'DAL FGD'!$D$40</f>
        <v>0</v>
      </c>
      <c r="E1016" s="390">
        <f>'DAL FGD'!$E$40</f>
        <v>0</v>
      </c>
      <c r="F1016" s="390">
        <f>'DAL FGD'!$F$40</f>
        <v>0</v>
      </c>
      <c r="G1016" s="390">
        <f>'DAL FGD'!$G$40</f>
        <v>0</v>
      </c>
      <c r="H1016" s="390">
        <f>'DAL FGD'!$H$40</f>
        <v>0</v>
      </c>
      <c r="I1016" s="390">
        <f>'DAL FGD'!$I$40</f>
        <v>0</v>
      </c>
      <c r="J1016" s="390">
        <f>'DAL FGD'!$J$40</f>
        <v>0</v>
      </c>
      <c r="K1016" s="390">
        <f>'DAL FGD'!$K$40</f>
        <v>0</v>
      </c>
      <c r="L1016" s="390">
        <f>'DAL FGD'!$L$40</f>
        <v>0</v>
      </c>
      <c r="M1016" s="567">
        <f>'DAL FGD'!$M$40</f>
        <v>0</v>
      </c>
      <c r="N1016" s="401"/>
    </row>
    <row r="1017" spans="2:14" s="160" customFormat="1" ht="12.75" hidden="1" customHeight="1" outlineLevel="1">
      <c r="B1017" s="674" t="str">
        <f>'E-P FGD'!$B$2</f>
        <v>The University of Texas at El Paso</v>
      </c>
      <c r="C1017" s="566"/>
      <c r="D1017" s="390">
        <f>'E-P FGD'!$D$40</f>
        <v>0</v>
      </c>
      <c r="E1017" s="390">
        <f>'E-P FGD'!$E$40</f>
        <v>0</v>
      </c>
      <c r="F1017" s="390">
        <f>'E-P FGD'!$F$40</f>
        <v>0</v>
      </c>
      <c r="G1017" s="390">
        <f>'E-P FGD'!$G$40</f>
        <v>0</v>
      </c>
      <c r="H1017" s="390">
        <f>'E-P FGD'!$H$40</f>
        <v>0</v>
      </c>
      <c r="I1017" s="390">
        <f>'E-P FGD'!$I$40</f>
        <v>0</v>
      </c>
      <c r="J1017" s="390">
        <f>'E-P FGD'!$J$40</f>
        <v>0</v>
      </c>
      <c r="K1017" s="390">
        <f>'E-P FGD'!$K$40</f>
        <v>0</v>
      </c>
      <c r="L1017" s="390">
        <f>'E-P FGD'!$L$40</f>
        <v>0</v>
      </c>
      <c r="M1017" s="567">
        <f>'E-P FGD'!$M$40</f>
        <v>0</v>
      </c>
      <c r="N1017" s="401"/>
    </row>
    <row r="1018" spans="2:14" s="160" customFormat="1" ht="12.75" hidden="1" customHeight="1" outlineLevel="1">
      <c r="B1018" s="674" t="str">
        <f>'LU FGD'!$B$2</f>
        <v xml:space="preserve">Lamar University </v>
      </c>
      <c r="C1018" s="566"/>
      <c r="D1018" s="390">
        <f>'LU FGD'!$D$40</f>
        <v>0</v>
      </c>
      <c r="E1018" s="390">
        <f>'LU FGD'!$E$40</f>
        <v>0</v>
      </c>
      <c r="F1018" s="390">
        <f>'LU FGD'!$F$40</f>
        <v>0</v>
      </c>
      <c r="G1018" s="390">
        <f>'LU FGD'!$G$40</f>
        <v>0</v>
      </c>
      <c r="H1018" s="390">
        <f>'LU FGD'!$H$40</f>
        <v>0</v>
      </c>
      <c r="I1018" s="390">
        <f>'LU FGD'!$I$40</f>
        <v>0</v>
      </c>
      <c r="J1018" s="390">
        <f>'LU FGD'!$J$40</f>
        <v>0</v>
      </c>
      <c r="K1018" s="390">
        <f>'LU FGD'!$K$40</f>
        <v>0</v>
      </c>
      <c r="L1018" s="390">
        <f>'LU FGD'!$L$40</f>
        <v>0</v>
      </c>
      <c r="M1018" s="567">
        <f>'LU FGD'!$M$40</f>
        <v>0</v>
      </c>
      <c r="N1018" s="401"/>
    </row>
    <row r="1019" spans="2:14" s="160" customFormat="1" ht="12.75" hidden="1" customHeight="1" outlineLevel="1">
      <c r="B1019" s="674" t="str">
        <f>'MidWST FGD'!$B$2</f>
        <v>Midwestern State University</v>
      </c>
      <c r="C1019" s="566"/>
      <c r="D1019" s="390">
        <f>'MidWST FGD'!$D$40</f>
        <v>0</v>
      </c>
      <c r="E1019" s="390">
        <f>'MidWST FGD'!$E$40</f>
        <v>-998459</v>
      </c>
      <c r="F1019" s="390">
        <f>'MidWST FGD'!$F$40</f>
        <v>-133610</v>
      </c>
      <c r="G1019" s="390">
        <f>'MidWST FGD'!$G$40</f>
        <v>0</v>
      </c>
      <c r="H1019" s="390">
        <f>'MidWST FGD'!$H$40</f>
        <v>0</v>
      </c>
      <c r="I1019" s="390">
        <f>'MidWST FGD'!$I$40</f>
        <v>0</v>
      </c>
      <c r="J1019" s="390">
        <f>'MidWST FGD'!$J$40</f>
        <v>0</v>
      </c>
      <c r="K1019" s="390">
        <f>'MidWST FGD'!$K$40</f>
        <v>0</v>
      </c>
      <c r="L1019" s="390">
        <f>'MidWST FGD'!$L$40</f>
        <v>0</v>
      </c>
      <c r="M1019" s="567">
        <f>'MidWST FGD'!$M$40</f>
        <v>-1132069</v>
      </c>
      <c r="N1019" s="401"/>
    </row>
    <row r="1020" spans="2:14" s="160" customFormat="1" ht="12.75" hidden="1" customHeight="1" outlineLevel="1">
      <c r="B1020" s="674" t="str">
        <f>'P-B FGD'!$B$2</f>
        <v>The University of Texas of the Permian Basin</v>
      </c>
      <c r="C1020" s="566"/>
      <c r="D1020" s="390">
        <f>'P-B FGD'!$D$40</f>
        <v>0</v>
      </c>
      <c r="E1020" s="390">
        <f>'P-B FGD'!$E$40</f>
        <v>0</v>
      </c>
      <c r="F1020" s="390">
        <f>'P-B FGD'!$F$40</f>
        <v>0</v>
      </c>
      <c r="G1020" s="390">
        <f>'P-B FGD'!$G$40</f>
        <v>0</v>
      </c>
      <c r="H1020" s="390">
        <f>'P-B FGD'!$H$40</f>
        <v>0</v>
      </c>
      <c r="I1020" s="390">
        <f>'P-B FGD'!$I$40</f>
        <v>0</v>
      </c>
      <c r="J1020" s="390">
        <f>'P-B FGD'!$J$40</f>
        <v>0</v>
      </c>
      <c r="K1020" s="390">
        <f>'P-B FGD'!$K$40</f>
        <v>0</v>
      </c>
      <c r="L1020" s="390">
        <f>'P-B FGD'!$L$40</f>
        <v>0</v>
      </c>
      <c r="M1020" s="567">
        <f>'P-B FGD'!$M$40</f>
        <v>0</v>
      </c>
      <c r="N1020" s="401"/>
    </row>
    <row r="1021" spans="2:14" s="160" customFormat="1" ht="12.75" hidden="1" customHeight="1" outlineLevel="1">
      <c r="B1021" s="674" t="str">
        <f>'PVAMU FGD'!$B$2</f>
        <v>Prairie View A&amp;M University</v>
      </c>
      <c r="C1021" s="566"/>
      <c r="D1021" s="390">
        <f>'PVAMU FGD'!$D$40</f>
        <v>0</v>
      </c>
      <c r="E1021" s="390">
        <f>'PVAMU FGD'!$E$40</f>
        <v>0</v>
      </c>
      <c r="F1021" s="390">
        <f>'PVAMU FGD'!$F$40</f>
        <v>0</v>
      </c>
      <c r="G1021" s="390">
        <f>'PVAMU FGD'!$G$40</f>
        <v>0</v>
      </c>
      <c r="H1021" s="390">
        <f>'PVAMU FGD'!$H$40</f>
        <v>0</v>
      </c>
      <c r="I1021" s="390">
        <f>'PVAMU FGD'!$I$40</f>
        <v>0</v>
      </c>
      <c r="J1021" s="390">
        <f>'PVAMU FGD'!$J$40</f>
        <v>0</v>
      </c>
      <c r="K1021" s="390">
        <f>'PVAMU FGD'!$K$40</f>
        <v>0</v>
      </c>
      <c r="L1021" s="390">
        <f>'PVAMU FGD'!$L$40</f>
        <v>0</v>
      </c>
      <c r="M1021" s="567">
        <f>'PVAMU FGD'!$M$40</f>
        <v>0</v>
      </c>
      <c r="N1021" s="401"/>
    </row>
    <row r="1022" spans="2:14" s="160" customFormat="1" ht="12.75" hidden="1" customHeight="1" outlineLevel="1">
      <c r="B1022" s="674" t="str">
        <f>'S-A FGD'!$B$2</f>
        <v>The University of Texas at San Antonio</v>
      </c>
      <c r="C1022" s="566"/>
      <c r="D1022" s="390">
        <f>'S-A FGD'!$D$40</f>
        <v>0</v>
      </c>
      <c r="E1022" s="390">
        <f>'S-A FGD'!$E$40</f>
        <v>0</v>
      </c>
      <c r="F1022" s="390">
        <f>'S-A FGD'!$F$40</f>
        <v>0</v>
      </c>
      <c r="G1022" s="390">
        <f>'S-A FGD'!$G$40</f>
        <v>0</v>
      </c>
      <c r="H1022" s="390">
        <f>'S-A FGD'!$H$40</f>
        <v>0</v>
      </c>
      <c r="I1022" s="390">
        <f>'S-A FGD'!$I$40</f>
        <v>0</v>
      </c>
      <c r="J1022" s="390">
        <f>'S-A FGD'!$J$40</f>
        <v>0</v>
      </c>
      <c r="K1022" s="390">
        <f>'S-A FGD'!$K$40</f>
        <v>0</v>
      </c>
      <c r="L1022" s="390">
        <f>'S-A FGD'!$L$40</f>
        <v>0</v>
      </c>
      <c r="M1022" s="567">
        <f>'S-A FGD'!$M$40</f>
        <v>0</v>
      </c>
      <c r="N1022" s="401"/>
    </row>
    <row r="1023" spans="2:14" s="160" customFormat="1" ht="12.75" hidden="1" customHeight="1" outlineLevel="1">
      <c r="B1023" s="674" t="str">
        <f>'SFA FGD'!$B$2</f>
        <v>Stephen F. Austin State University</v>
      </c>
      <c r="C1023" s="566"/>
      <c r="D1023" s="390">
        <f>'SFA FGD'!$D$40</f>
        <v>0</v>
      </c>
      <c r="E1023" s="390">
        <f>'SFA FGD'!$E$40</f>
        <v>0</v>
      </c>
      <c r="F1023" s="390">
        <f>'SFA FGD'!$F$40</f>
        <v>0</v>
      </c>
      <c r="G1023" s="390">
        <f>'SFA FGD'!$G$40</f>
        <v>0</v>
      </c>
      <c r="H1023" s="390">
        <f>'SFA FGD'!$H$40</f>
        <v>0</v>
      </c>
      <c r="I1023" s="390">
        <f>'SFA FGD'!$I$40</f>
        <v>0</v>
      </c>
      <c r="J1023" s="390">
        <f>'SFA FGD'!$J$40</f>
        <v>0</v>
      </c>
      <c r="K1023" s="390">
        <f>'SFA FGD'!$K$40</f>
        <v>0</v>
      </c>
      <c r="L1023" s="390">
        <f>'SFA FGD'!$L$40</f>
        <v>0</v>
      </c>
      <c r="M1023" s="567">
        <f>'SFA FGD'!$M$40</f>
        <v>0</v>
      </c>
      <c r="N1023" s="401"/>
    </row>
    <row r="1024" spans="2:14" s="160" customFormat="1" ht="12.75" hidden="1" customHeight="1" outlineLevel="1">
      <c r="B1024" s="674" t="str">
        <f>'shsu1 FGD'!$B$2</f>
        <v>Sam Houston State University - Academic &amp; Health (A+H)</v>
      </c>
      <c r="C1024" s="566"/>
      <c r="D1024" s="390">
        <f>'shsu1 FGD'!$D$40</f>
        <v>0</v>
      </c>
      <c r="E1024" s="390">
        <f>'shsu1 FGD'!$E$40</f>
        <v>0</v>
      </c>
      <c r="F1024" s="390">
        <f>'shsu1 FGD'!$F$40</f>
        <v>0</v>
      </c>
      <c r="G1024" s="390">
        <f>'shsu1 FGD'!$G$40</f>
        <v>0</v>
      </c>
      <c r="H1024" s="390">
        <f>'shsu1 FGD'!$H$40</f>
        <v>0</v>
      </c>
      <c r="I1024" s="390">
        <f>'shsu1 FGD'!$I$40</f>
        <v>0</v>
      </c>
      <c r="J1024" s="390">
        <f>'shsu1 FGD'!$J$40</f>
        <v>0</v>
      </c>
      <c r="K1024" s="390">
        <f>'shsu1 FGD'!$K$40</f>
        <v>0</v>
      </c>
      <c r="L1024" s="390">
        <f>'shsu1 FGD'!$L$40</f>
        <v>0</v>
      </c>
      <c r="M1024" s="567">
        <f>'shsu1 FGD'!$M$40</f>
        <v>0</v>
      </c>
      <c r="N1024" s="401"/>
    </row>
    <row r="1025" spans="2:14" s="160" customFormat="1" ht="12.75" hidden="1" customHeight="1" outlineLevel="1">
      <c r="B1025" s="674" t="str">
        <f>'SRSU FGD'!$B$2</f>
        <v>Sul Ross State University</v>
      </c>
      <c r="C1025" s="566"/>
      <c r="D1025" s="390">
        <f>'SRSU FGD'!$D$40</f>
        <v>0</v>
      </c>
      <c r="E1025" s="390">
        <f>'SRSU FGD'!$E$40</f>
        <v>0</v>
      </c>
      <c r="F1025" s="390">
        <f>'SRSU FGD'!$F$40</f>
        <v>0</v>
      </c>
      <c r="G1025" s="390">
        <f>'SRSU FGD'!$G$40</f>
        <v>0</v>
      </c>
      <c r="H1025" s="390">
        <f>'SRSU FGD'!$H$40</f>
        <v>0</v>
      </c>
      <c r="I1025" s="390">
        <f>'SRSU FGD'!$I$40</f>
        <v>0</v>
      </c>
      <c r="J1025" s="390">
        <f>'SRSU FGD'!$J$40</f>
        <v>0</v>
      </c>
      <c r="K1025" s="390">
        <f>'SRSU FGD'!$K$40</f>
        <v>0</v>
      </c>
      <c r="L1025" s="390">
        <f>'SRSU FGD'!$L$40</f>
        <v>0</v>
      </c>
      <c r="M1025" s="567">
        <f>'SRSU FGD'!$M$40</f>
        <v>0</v>
      </c>
      <c r="N1025" s="401"/>
    </row>
    <row r="1026" spans="2:14" s="160" customFormat="1" ht="12.75" hidden="1" customHeight="1" outlineLevel="1">
      <c r="B1026" s="674" t="str">
        <f>'TAMIU FGD'!$B$2</f>
        <v>Texas A&amp;M International University</v>
      </c>
      <c r="C1026" s="566"/>
      <c r="D1026" s="390">
        <f>'TAMIU FGD'!$D$40</f>
        <v>0</v>
      </c>
      <c r="E1026" s="390">
        <f>'TAMIU FGD'!$E$40</f>
        <v>0</v>
      </c>
      <c r="F1026" s="390">
        <f>'TAMIU FGD'!$F$40</f>
        <v>0</v>
      </c>
      <c r="G1026" s="390">
        <f>'TAMIU FGD'!$G$40</f>
        <v>0</v>
      </c>
      <c r="H1026" s="390">
        <f>'TAMIU FGD'!$H$40</f>
        <v>0</v>
      </c>
      <c r="I1026" s="390">
        <f>'TAMIU FGD'!$I$40</f>
        <v>0</v>
      </c>
      <c r="J1026" s="390">
        <f>'TAMIU FGD'!$J$40</f>
        <v>0</v>
      </c>
      <c r="K1026" s="390">
        <f>'TAMIU FGD'!$K$40</f>
        <v>0</v>
      </c>
      <c r="L1026" s="390">
        <f>'TAMIU FGD'!$L$40</f>
        <v>0</v>
      </c>
      <c r="M1026" s="567">
        <f>'TAMIU FGD'!$M$40</f>
        <v>0</v>
      </c>
      <c r="N1026" s="401"/>
    </row>
    <row r="1027" spans="2:14" s="160" customFormat="1" ht="12.75" hidden="1" customHeight="1" outlineLevel="1">
      <c r="B1027" s="674" t="str">
        <f>'TAMU FGD'!$B$2</f>
        <v>Texas A&amp;M University</v>
      </c>
      <c r="C1027" s="566"/>
      <c r="D1027" s="390">
        <f>'TAMU FGD'!$D$40</f>
        <v>0</v>
      </c>
      <c r="E1027" s="390">
        <f>'TAMU FGD'!$E$40</f>
        <v>0</v>
      </c>
      <c r="F1027" s="390">
        <f>'TAMU FGD'!$F$40</f>
        <v>0</v>
      </c>
      <c r="G1027" s="390">
        <f>'TAMU FGD'!$G$40</f>
        <v>0</v>
      </c>
      <c r="H1027" s="390">
        <f>'TAMU FGD'!$H$40</f>
        <v>0</v>
      </c>
      <c r="I1027" s="390">
        <f>'TAMU FGD'!$I$40</f>
        <v>0</v>
      </c>
      <c r="J1027" s="390">
        <f>'TAMU FGD'!$J$40</f>
        <v>0</v>
      </c>
      <c r="K1027" s="390">
        <f>'TAMU FGD'!$K$40</f>
        <v>0</v>
      </c>
      <c r="L1027" s="390">
        <f>'TAMU FGD'!$L$40</f>
        <v>0</v>
      </c>
      <c r="M1027" s="567">
        <f>'TAMU FGD'!$M$40</f>
        <v>0</v>
      </c>
      <c r="N1027" s="401"/>
    </row>
    <row r="1028" spans="2:14" s="160" customFormat="1" ht="12.75" hidden="1" customHeight="1" outlineLevel="1">
      <c r="B1028" s="674" t="str">
        <f>'TAMUC FGD'!$B$2</f>
        <v>Texas A&amp;M University - Commerce</v>
      </c>
      <c r="C1028" s="566"/>
      <c r="D1028" s="390">
        <f>'TAMUC FGD'!$D$40</f>
        <v>0</v>
      </c>
      <c r="E1028" s="390">
        <f>'TAMUC FGD'!$E$40</f>
        <v>0</v>
      </c>
      <c r="F1028" s="390">
        <f>'TAMUC FGD'!$F$40</f>
        <v>0</v>
      </c>
      <c r="G1028" s="390">
        <f>'TAMUC FGD'!$G$40</f>
        <v>0</v>
      </c>
      <c r="H1028" s="390">
        <f>'TAMUC FGD'!$H$40</f>
        <v>0</v>
      </c>
      <c r="I1028" s="390">
        <f>'TAMUC FGD'!$I$40</f>
        <v>0</v>
      </c>
      <c r="J1028" s="390">
        <f>'TAMUC FGD'!$J$40</f>
        <v>0</v>
      </c>
      <c r="K1028" s="390">
        <f>'TAMUC FGD'!$K$40</f>
        <v>0</v>
      </c>
      <c r="L1028" s="390">
        <f>'TAMUC FGD'!$L$40</f>
        <v>0</v>
      </c>
      <c r="M1028" s="567">
        <f>'TAMUC FGD'!$M$40</f>
        <v>0</v>
      </c>
      <c r="N1028" s="401"/>
    </row>
    <row r="1029" spans="2:14" s="160" customFormat="1" ht="12.75" hidden="1" customHeight="1" outlineLevel="1">
      <c r="B1029" s="674" t="str">
        <f>'TAMUCC FGD'!$B$2</f>
        <v>Texas A&amp;M University - Corpus Christi</v>
      </c>
      <c r="C1029" s="566"/>
      <c r="D1029" s="390">
        <f>'TAMUCC FGD'!$D$40</f>
        <v>0</v>
      </c>
      <c r="E1029" s="390">
        <f>'TAMUCC FGD'!$E$40</f>
        <v>0</v>
      </c>
      <c r="F1029" s="390">
        <f>'TAMUCC FGD'!$F$40</f>
        <v>0</v>
      </c>
      <c r="G1029" s="390">
        <f>'TAMUCC FGD'!$G$40</f>
        <v>0</v>
      </c>
      <c r="H1029" s="390">
        <f>'TAMUCC FGD'!$H$40</f>
        <v>0</v>
      </c>
      <c r="I1029" s="390">
        <f>'TAMUCC FGD'!$I$40</f>
        <v>0</v>
      </c>
      <c r="J1029" s="390">
        <f>'TAMUCC FGD'!$J$40</f>
        <v>0</v>
      </c>
      <c r="K1029" s="390">
        <f>'TAMUCC FGD'!$K$40</f>
        <v>0</v>
      </c>
      <c r="L1029" s="390">
        <f>'TAMUCC FGD'!$L$40</f>
        <v>0</v>
      </c>
      <c r="M1029" s="567">
        <f>'TAMUCC FGD'!$M$40</f>
        <v>0</v>
      </c>
      <c r="N1029" s="401"/>
    </row>
    <row r="1030" spans="2:14" s="160" customFormat="1" ht="12.75" hidden="1" customHeight="1" outlineLevel="1">
      <c r="B1030" s="674" t="str">
        <f>'TAMUCT FGD'!$B$2</f>
        <v>Texas A&amp;M University - Central Texas</v>
      </c>
      <c r="C1030" s="566"/>
      <c r="D1030" s="390">
        <f>'TAMUCT FGD'!$D$40</f>
        <v>0</v>
      </c>
      <c r="E1030" s="390">
        <f>'TAMUCT FGD'!$E$40</f>
        <v>0</v>
      </c>
      <c r="F1030" s="390">
        <f>'TAMUCT FGD'!$F$40</f>
        <v>0</v>
      </c>
      <c r="G1030" s="390">
        <f>'TAMUCT FGD'!$G$40</f>
        <v>0</v>
      </c>
      <c r="H1030" s="390">
        <f>'TAMUCT FGD'!$H$40</f>
        <v>0</v>
      </c>
      <c r="I1030" s="390">
        <f>'TAMUCT FGD'!$I$40</f>
        <v>0</v>
      </c>
      <c r="J1030" s="390">
        <f>'TAMUCT FGD'!$J$40</f>
        <v>0</v>
      </c>
      <c r="K1030" s="390">
        <f>'TAMUCT FGD'!$K$40</f>
        <v>0</v>
      </c>
      <c r="L1030" s="390">
        <f>'TAMUCT FGD'!$L$40</f>
        <v>0</v>
      </c>
      <c r="M1030" s="567">
        <f>'TAMUCT FGD'!$M$40</f>
        <v>0</v>
      </c>
      <c r="N1030" s="401"/>
    </row>
    <row r="1031" spans="2:14" s="160" customFormat="1" ht="12.75" hidden="1" customHeight="1" outlineLevel="1">
      <c r="B1031" s="674" t="str">
        <f>'TAMUG FGD'!$B$2</f>
        <v>Texas A&amp;M University at Galveston</v>
      </c>
      <c r="C1031" s="566"/>
      <c r="D1031" s="390">
        <f>'TAMUG FGD'!$D$40</f>
        <v>0</v>
      </c>
      <c r="E1031" s="390">
        <f>'TAMUG FGD'!$E$40</f>
        <v>0</v>
      </c>
      <c r="F1031" s="390">
        <f>'TAMUG FGD'!$F$40</f>
        <v>0</v>
      </c>
      <c r="G1031" s="390">
        <f>'TAMUG FGD'!$G$40</f>
        <v>0</v>
      </c>
      <c r="H1031" s="390">
        <f>'TAMUG FGD'!$H$40</f>
        <v>0</v>
      </c>
      <c r="I1031" s="390">
        <f>'TAMUG FGD'!$I$40</f>
        <v>0</v>
      </c>
      <c r="J1031" s="390">
        <f>'TAMUG FGD'!$J$40</f>
        <v>0</v>
      </c>
      <c r="K1031" s="390">
        <f>'TAMUG FGD'!$K$40</f>
        <v>0</v>
      </c>
      <c r="L1031" s="390">
        <f>'TAMUG FGD'!$L$40</f>
        <v>0</v>
      </c>
      <c r="M1031" s="567">
        <f>'TAMUG FGD'!$M$40</f>
        <v>0</v>
      </c>
      <c r="N1031" s="401"/>
    </row>
    <row r="1032" spans="2:14" s="160" customFormat="1" ht="12.75" hidden="1" customHeight="1" outlineLevel="1">
      <c r="B1032" s="674" t="str">
        <f>'TAMUK FGD'!$B$2</f>
        <v>Texas A&amp;M University - Kingsville</v>
      </c>
      <c r="C1032" s="566"/>
      <c r="D1032" s="390">
        <f>'TAMUK FGD'!$D$40</f>
        <v>0</v>
      </c>
      <c r="E1032" s="390">
        <f>'TAMUK FGD'!$E$40</f>
        <v>0</v>
      </c>
      <c r="F1032" s="390">
        <f>'TAMUK FGD'!$F$40</f>
        <v>0</v>
      </c>
      <c r="G1032" s="390">
        <f>'TAMUK FGD'!$G$40</f>
        <v>0</v>
      </c>
      <c r="H1032" s="390">
        <f>'TAMUK FGD'!$H$40</f>
        <v>0</v>
      </c>
      <c r="I1032" s="390">
        <f>'TAMUK FGD'!$I$40</f>
        <v>0</v>
      </c>
      <c r="J1032" s="390">
        <f>'TAMUK FGD'!$J$40</f>
        <v>0</v>
      </c>
      <c r="K1032" s="390">
        <f>'TAMUK FGD'!$K$40</f>
        <v>0</v>
      </c>
      <c r="L1032" s="390">
        <f>'TAMUK FGD'!$L$40</f>
        <v>0</v>
      </c>
      <c r="M1032" s="567">
        <f>'TAMUK FGD'!$M$40</f>
        <v>0</v>
      </c>
      <c r="N1032" s="401"/>
    </row>
    <row r="1033" spans="2:14" s="160" customFormat="1" ht="12.75" hidden="1" customHeight="1" outlineLevel="1">
      <c r="B1033" s="674" t="str">
        <f>'TAMUSA FGD'!$B$2</f>
        <v>Texas A&amp;M University - San Antonio</v>
      </c>
      <c r="C1033" s="566"/>
      <c r="D1033" s="390">
        <f>'TAMUSA FGD'!$D$40</f>
        <v>0</v>
      </c>
      <c r="E1033" s="390">
        <f>'TAMUSA FGD'!$E$40</f>
        <v>0</v>
      </c>
      <c r="F1033" s="390">
        <f>'TAMUSA FGD'!$F$40</f>
        <v>0</v>
      </c>
      <c r="G1033" s="390">
        <f>'TAMUSA FGD'!$G$40</f>
        <v>0</v>
      </c>
      <c r="H1033" s="390">
        <f>'TAMUSA FGD'!$H$40</f>
        <v>0</v>
      </c>
      <c r="I1033" s="390">
        <f>'TAMUSA FGD'!$I$40</f>
        <v>0</v>
      </c>
      <c r="J1033" s="390">
        <f>'TAMUSA FGD'!$J$40</f>
        <v>0</v>
      </c>
      <c r="K1033" s="390">
        <f>'TAMUSA FGD'!$K$40</f>
        <v>0</v>
      </c>
      <c r="L1033" s="390">
        <f>'TAMUSA FGD'!$L$40</f>
        <v>0</v>
      </c>
      <c r="M1033" s="567">
        <f>'TAMUSA FGD'!$M$40</f>
        <v>0</v>
      </c>
      <c r="N1033" s="401"/>
    </row>
    <row r="1034" spans="2:14" s="160" customFormat="1" ht="12.75" hidden="1" customHeight="1" outlineLevel="1">
      <c r="B1034" s="674" t="str">
        <f>'TAMUT FGD'!$B$2</f>
        <v>Texas A&amp;M University - Texarkana</v>
      </c>
      <c r="C1034" s="566"/>
      <c r="D1034" s="390">
        <f>'TAMUT FGD'!$D$40</f>
        <v>0</v>
      </c>
      <c r="E1034" s="390">
        <f>'TAMUT FGD'!$E$40</f>
        <v>0</v>
      </c>
      <c r="F1034" s="390">
        <f>'TAMUT FGD'!$F$40</f>
        <v>0</v>
      </c>
      <c r="G1034" s="390">
        <f>'TAMUT FGD'!$G$40</f>
        <v>0</v>
      </c>
      <c r="H1034" s="390">
        <f>'TAMUT FGD'!$H$40</f>
        <v>0</v>
      </c>
      <c r="I1034" s="390">
        <f>'TAMUT FGD'!$I$40</f>
        <v>0</v>
      </c>
      <c r="J1034" s="390">
        <f>'TAMUT FGD'!$J$40</f>
        <v>0</v>
      </c>
      <c r="K1034" s="390">
        <f>'TAMUT FGD'!$K$40</f>
        <v>0</v>
      </c>
      <c r="L1034" s="390">
        <f>'TAMUT FGD'!$L$40</f>
        <v>0</v>
      </c>
      <c r="M1034" s="567">
        <f>'TAMUT FGD'!$M$40</f>
        <v>0</v>
      </c>
      <c r="N1034" s="401"/>
    </row>
    <row r="1035" spans="2:14" s="160" customFormat="1" ht="12.75" hidden="1" customHeight="1" outlineLevel="1">
      <c r="B1035" s="674" t="str">
        <f>'TARLST FGD'!$B$2</f>
        <v>Tarleton State University</v>
      </c>
      <c r="C1035" s="566"/>
      <c r="D1035" s="390">
        <f>'TARLST FGD'!$D$40</f>
        <v>0</v>
      </c>
      <c r="E1035" s="390">
        <f>'TARLST FGD'!$E$40</f>
        <v>0</v>
      </c>
      <c r="F1035" s="390">
        <f>'TARLST FGD'!$F$40</f>
        <v>0</v>
      </c>
      <c r="G1035" s="390">
        <f>'TARLST FGD'!$G$40</f>
        <v>0</v>
      </c>
      <c r="H1035" s="390">
        <f>'TARLST FGD'!$H$40</f>
        <v>0</v>
      </c>
      <c r="I1035" s="390">
        <f>'TARLST FGD'!$I$40</f>
        <v>0</v>
      </c>
      <c r="J1035" s="390">
        <f>'TARLST FGD'!$J$40</f>
        <v>0</v>
      </c>
      <c r="K1035" s="390">
        <f>'TARLST FGD'!$K$40</f>
        <v>0</v>
      </c>
      <c r="L1035" s="390">
        <f>'TARLST FGD'!$L$40</f>
        <v>0</v>
      </c>
      <c r="M1035" s="567">
        <f>'TARLST FGD'!$M$40</f>
        <v>0</v>
      </c>
      <c r="N1035" s="401"/>
    </row>
    <row r="1036" spans="2:14" s="160" customFormat="1" ht="12.75" hidden="1" customHeight="1" outlineLevel="1">
      <c r="B1036" s="674" t="str">
        <f>'TSU FGD'!$B$2</f>
        <v>Texas Southern University</v>
      </c>
      <c r="C1036" s="566"/>
      <c r="D1036" s="390">
        <f>'TSU FGD'!$D$40</f>
        <v>0</v>
      </c>
      <c r="E1036" s="390">
        <f>'TSU FGD'!$E$40</f>
        <v>0</v>
      </c>
      <c r="F1036" s="390">
        <f>'TSU FGD'!$F$40</f>
        <v>0</v>
      </c>
      <c r="G1036" s="390">
        <f>'TSU FGD'!$G$40</f>
        <v>0</v>
      </c>
      <c r="H1036" s="390">
        <f>'TSU FGD'!$H$40</f>
        <v>0</v>
      </c>
      <c r="I1036" s="390">
        <f>'TSU FGD'!$I$40</f>
        <v>0</v>
      </c>
      <c r="J1036" s="390">
        <f>'TSU FGD'!$J$40</f>
        <v>0</v>
      </c>
      <c r="K1036" s="390">
        <f>'TSU FGD'!$K$40</f>
        <v>0</v>
      </c>
      <c r="L1036" s="390">
        <f>'TSU FGD'!$L$40</f>
        <v>0</v>
      </c>
      <c r="M1036" s="567">
        <f>'TSU FGD'!$M$40</f>
        <v>0</v>
      </c>
      <c r="N1036" s="401"/>
    </row>
    <row r="1037" spans="2:14" s="160" customFormat="1" ht="12.75" hidden="1" customHeight="1" outlineLevel="1">
      <c r="B1037" s="674" t="str">
        <f>'TTU FGD'!$B$2</f>
        <v>Texas Tech University</v>
      </c>
      <c r="C1037" s="566"/>
      <c r="D1037" s="390">
        <f>'TTU FGD'!$D$40</f>
        <v>0</v>
      </c>
      <c r="E1037" s="390">
        <f>'TTU FGD'!$E$40</f>
        <v>0</v>
      </c>
      <c r="F1037" s="390">
        <f>'TTU FGD'!$F$40</f>
        <v>0</v>
      </c>
      <c r="G1037" s="390">
        <f>'TTU FGD'!$G$40</f>
        <v>0</v>
      </c>
      <c r="H1037" s="390">
        <f>'TTU FGD'!$H$40</f>
        <v>0</v>
      </c>
      <c r="I1037" s="390">
        <f>'TTU FGD'!$I$40</f>
        <v>0</v>
      </c>
      <c r="J1037" s="390">
        <f>'TTU FGD'!$J$40</f>
        <v>0</v>
      </c>
      <c r="K1037" s="390">
        <f>'TTU FGD'!$K$40</f>
        <v>0</v>
      </c>
      <c r="L1037" s="390">
        <f>'TTU FGD'!$L$40</f>
        <v>0</v>
      </c>
      <c r="M1037" s="567">
        <f>'TTU FGD'!$M$40</f>
        <v>0</v>
      </c>
      <c r="N1037" s="401"/>
    </row>
    <row r="1038" spans="2:14" s="160" customFormat="1" ht="12.75" hidden="1" customHeight="1" outlineLevel="1">
      <c r="B1038" s="674" t="str">
        <f>'TWU FGD'!$B$2</f>
        <v>Texas Woman's University</v>
      </c>
      <c r="C1038" s="566"/>
      <c r="D1038" s="390">
        <f>'TWU FGD'!$D$40</f>
        <v>0</v>
      </c>
      <c r="E1038" s="390">
        <f>'TWU FGD'!$E$40</f>
        <v>-921</v>
      </c>
      <c r="F1038" s="390">
        <f>'TWU FGD'!$F$40</f>
        <v>0</v>
      </c>
      <c r="G1038" s="390">
        <f>'TWU FGD'!$G$40</f>
        <v>0</v>
      </c>
      <c r="H1038" s="390">
        <f>'TWU FGD'!$H$40</f>
        <v>0</v>
      </c>
      <c r="I1038" s="390">
        <f>'TWU FGD'!$I$40</f>
        <v>0</v>
      </c>
      <c r="J1038" s="390">
        <f>'TWU FGD'!$J$40</f>
        <v>0</v>
      </c>
      <c r="K1038" s="390">
        <f>'TWU FGD'!$K$40</f>
        <v>0</v>
      </c>
      <c r="L1038" s="390">
        <f>'TWU FGD'!$L$40</f>
        <v>0</v>
      </c>
      <c r="M1038" s="567">
        <f>'TWU FGD'!$M$40</f>
        <v>-921</v>
      </c>
      <c r="N1038" s="401"/>
    </row>
    <row r="1039" spans="2:14" s="160" customFormat="1" ht="12.75" hidden="1" customHeight="1" outlineLevel="1">
      <c r="B1039" s="674" t="str">
        <f>'TXST FGD'!$B$2</f>
        <v>Texas State University</v>
      </c>
      <c r="C1039" s="566"/>
      <c r="D1039" s="390">
        <f>'TXST FGD'!$D$40</f>
        <v>0</v>
      </c>
      <c r="E1039" s="390">
        <f>'TXST FGD'!$E$40</f>
        <v>0</v>
      </c>
      <c r="F1039" s="390">
        <f>'TXST FGD'!$F$40</f>
        <v>0</v>
      </c>
      <c r="G1039" s="390">
        <f>'TXST FGD'!$G$40</f>
        <v>0</v>
      </c>
      <c r="H1039" s="390">
        <f>'TXST FGD'!$H$40</f>
        <v>0</v>
      </c>
      <c r="I1039" s="390">
        <f>'TXST FGD'!$I$40</f>
        <v>0</v>
      </c>
      <c r="J1039" s="390">
        <f>'TXST FGD'!$J$40</f>
        <v>0</v>
      </c>
      <c r="K1039" s="390">
        <f>'TXST FGD'!$K$40</f>
        <v>0</v>
      </c>
      <c r="L1039" s="390">
        <f>'TXST FGD'!$L$40</f>
        <v>0</v>
      </c>
      <c r="M1039" s="567">
        <f>'TXST FGD'!$M$40</f>
        <v>0</v>
      </c>
      <c r="N1039" s="401"/>
    </row>
    <row r="1040" spans="2:14" s="160" customFormat="1" ht="12.75" hidden="1" customHeight="1" outlineLevel="1">
      <c r="B1040" s="674" t="str">
        <f>'TYL FGD'!$B$2</f>
        <v>The University of Texas at Tyler</v>
      </c>
      <c r="C1040" s="566"/>
      <c r="D1040" s="390">
        <f>'TYL FGD'!$D$40</f>
        <v>0</v>
      </c>
      <c r="E1040" s="390">
        <f>'TYL FGD'!$E$40</f>
        <v>0</v>
      </c>
      <c r="F1040" s="390">
        <f>'TYL FGD'!$F$40</f>
        <v>-2265399</v>
      </c>
      <c r="G1040" s="390">
        <f>'TYL FGD'!$G$40</f>
        <v>0</v>
      </c>
      <c r="H1040" s="390">
        <f>'TYL FGD'!$H$40</f>
        <v>0</v>
      </c>
      <c r="I1040" s="390">
        <f>'TYL FGD'!$I$40</f>
        <v>0</v>
      </c>
      <c r="J1040" s="390">
        <f>'TYL FGD'!$J$40</f>
        <v>0</v>
      </c>
      <c r="K1040" s="390">
        <f>'TYL FGD'!$K$40</f>
        <v>0</v>
      </c>
      <c r="L1040" s="390">
        <f>'TYL FGD'!$L$40</f>
        <v>0</v>
      </c>
      <c r="M1040" s="567">
        <f>'TYL FGD'!$M$40</f>
        <v>-2265399</v>
      </c>
      <c r="N1040" s="401"/>
    </row>
    <row r="1041" spans="2:14" s="160" customFormat="1" ht="12.75" hidden="1" customHeight="1" outlineLevel="1">
      <c r="B1041" s="674" t="str">
        <f>'UH1 FGD'!$B$2</f>
        <v>University of Houston - Academic &amp; Health (A+H)</v>
      </c>
      <c r="C1041" s="566"/>
      <c r="D1041" s="390">
        <f>'UH1 FGD'!$D$40</f>
        <v>0</v>
      </c>
      <c r="E1041" s="390">
        <f>'UH1 FGD'!$E$40</f>
        <v>0</v>
      </c>
      <c r="F1041" s="390">
        <f>'UH1 FGD'!$F$40</f>
        <v>0</v>
      </c>
      <c r="G1041" s="390">
        <f>'UH1 FGD'!$G$40</f>
        <v>0</v>
      </c>
      <c r="H1041" s="390">
        <f>'UH1 FGD'!$H$40</f>
        <v>0</v>
      </c>
      <c r="I1041" s="390">
        <f>'UH1 FGD'!$I$40</f>
        <v>0</v>
      </c>
      <c r="J1041" s="390">
        <f>'UH1 FGD'!$J$40</f>
        <v>0</v>
      </c>
      <c r="K1041" s="390">
        <f>'UH1 FGD'!$K$40</f>
        <v>0</v>
      </c>
      <c r="L1041" s="390">
        <f>'UH1 FGD'!$L$40</f>
        <v>0</v>
      </c>
      <c r="M1041" s="567">
        <f>'UH1 FGD'!$M$40</f>
        <v>0</v>
      </c>
      <c r="N1041" s="401"/>
    </row>
    <row r="1042" spans="2:14" s="160" customFormat="1" ht="12.75" hidden="1" customHeight="1" outlineLevel="1">
      <c r="B1042" s="674" t="str">
        <f>'UHCL FGD'!$B$2</f>
        <v>University of Houston - Clear Lake</v>
      </c>
      <c r="C1042" s="566"/>
      <c r="D1042" s="390">
        <f>'UHCL FGD'!$D$40</f>
        <v>0</v>
      </c>
      <c r="E1042" s="390">
        <f>'UHCL FGD'!$E$40</f>
        <v>0</v>
      </c>
      <c r="F1042" s="390">
        <f>'UHCL FGD'!$F$40</f>
        <v>0</v>
      </c>
      <c r="G1042" s="390">
        <f>'UHCL FGD'!$G$40</f>
        <v>0</v>
      </c>
      <c r="H1042" s="390">
        <f>'UHCL FGD'!$H$40</f>
        <v>0</v>
      </c>
      <c r="I1042" s="390">
        <f>'UHCL FGD'!$I$40</f>
        <v>0</v>
      </c>
      <c r="J1042" s="390">
        <f>'UHCL FGD'!$J$40</f>
        <v>0</v>
      </c>
      <c r="K1042" s="390">
        <f>'UHCL FGD'!$K$40</f>
        <v>0</v>
      </c>
      <c r="L1042" s="390">
        <f>'UHCL FGD'!$L$40</f>
        <v>0</v>
      </c>
      <c r="M1042" s="567">
        <f>'UHCL FGD'!$M$40</f>
        <v>0</v>
      </c>
      <c r="N1042" s="401"/>
    </row>
    <row r="1043" spans="2:14" s="160" customFormat="1" ht="12.75" hidden="1" customHeight="1" outlineLevel="1">
      <c r="B1043" s="674" t="str">
        <f>'UHD FGD'!$B$2</f>
        <v>University of Houston - Downtown</v>
      </c>
      <c r="C1043" s="566"/>
      <c r="D1043" s="390">
        <f>'UHD FGD'!$D$40</f>
        <v>0</v>
      </c>
      <c r="E1043" s="390">
        <f>'UHD FGD'!$E$40</f>
        <v>0</v>
      </c>
      <c r="F1043" s="390">
        <f>'UHD FGD'!$F$40</f>
        <v>0</v>
      </c>
      <c r="G1043" s="390">
        <f>'UHD FGD'!$G$40</f>
        <v>0</v>
      </c>
      <c r="H1043" s="390">
        <f>'UHD FGD'!$H$40</f>
        <v>0</v>
      </c>
      <c r="I1043" s="390">
        <f>'UHD FGD'!$I$40</f>
        <v>0</v>
      </c>
      <c r="J1043" s="390">
        <f>'UHD FGD'!$J$40</f>
        <v>0</v>
      </c>
      <c r="K1043" s="390">
        <f>'UHD FGD'!$K$40</f>
        <v>0</v>
      </c>
      <c r="L1043" s="390">
        <f>'UHD FGD'!$L$40</f>
        <v>0</v>
      </c>
      <c r="M1043" s="567">
        <f>'UHD FGD'!$M$40</f>
        <v>0</v>
      </c>
      <c r="N1043" s="401"/>
    </row>
    <row r="1044" spans="2:14" s="160" customFormat="1" ht="12.75" hidden="1" customHeight="1" outlineLevel="1">
      <c r="B1044" s="674" t="str">
        <f>'UHV FGD'!$B$2</f>
        <v>University of Houston - Victoria</v>
      </c>
      <c r="C1044" s="566"/>
      <c r="D1044" s="390">
        <f>'UHV FGD'!$D$40</f>
        <v>0</v>
      </c>
      <c r="E1044" s="390">
        <f>'UHV FGD'!$E$40</f>
        <v>0</v>
      </c>
      <c r="F1044" s="390">
        <f>'UHV FGD'!$F$40</f>
        <v>0</v>
      </c>
      <c r="G1044" s="390">
        <f>'UHV FGD'!$G$40</f>
        <v>0</v>
      </c>
      <c r="H1044" s="390">
        <f>'UHV FGD'!$H$40</f>
        <v>0</v>
      </c>
      <c r="I1044" s="390">
        <f>'UHV FGD'!$I$40</f>
        <v>0</v>
      </c>
      <c r="J1044" s="390">
        <f>'UHV FGD'!$J$40</f>
        <v>0</v>
      </c>
      <c r="K1044" s="390">
        <f>'UHV FGD'!$K$40</f>
        <v>0</v>
      </c>
      <c r="L1044" s="390">
        <f>'UHV FGD'!$L$40</f>
        <v>0</v>
      </c>
      <c r="M1044" s="567">
        <f>'UHV FGD'!$M$40</f>
        <v>0</v>
      </c>
      <c r="N1044" s="401"/>
    </row>
    <row r="1045" spans="2:14" s="160" customFormat="1" ht="12.75" hidden="1" customHeight="1" outlineLevel="1">
      <c r="B1045" s="674" t="str">
        <f>'UNT FGD'!$B$2</f>
        <v>University of North Texas</v>
      </c>
      <c r="C1045" s="566"/>
      <c r="D1045" s="390">
        <f>'UNT FGD'!$D$40</f>
        <v>0</v>
      </c>
      <c r="E1045" s="390">
        <f>'UNT FGD'!$E$40</f>
        <v>0</v>
      </c>
      <c r="F1045" s="390">
        <f>'UNT FGD'!$F$40</f>
        <v>0</v>
      </c>
      <c r="G1045" s="390">
        <f>'UNT FGD'!$G$40</f>
        <v>0</v>
      </c>
      <c r="H1045" s="390">
        <f>'UNT FGD'!$H$40</f>
        <v>0</v>
      </c>
      <c r="I1045" s="390">
        <f>'UNT FGD'!$I$40</f>
        <v>0</v>
      </c>
      <c r="J1045" s="390">
        <f>'UNT FGD'!$J$40</f>
        <v>0</v>
      </c>
      <c r="K1045" s="390">
        <f>'UNT FGD'!$K$40</f>
        <v>0</v>
      </c>
      <c r="L1045" s="390">
        <f>'UNT FGD'!$L$40</f>
        <v>0</v>
      </c>
      <c r="M1045" s="567">
        <f>'UNT FGD'!$M$40</f>
        <v>0</v>
      </c>
      <c r="N1045" s="401"/>
    </row>
    <row r="1046" spans="2:14" s="160" customFormat="1" ht="12.75" hidden="1" customHeight="1" outlineLevel="1">
      <c r="B1046" s="674" t="str">
        <f>'UNTD FGD'!$B$2</f>
        <v>University of North Texas at Dallas</v>
      </c>
      <c r="C1046" s="566"/>
      <c r="D1046" s="390">
        <f>'UNTD FGD'!$D$40</f>
        <v>0</v>
      </c>
      <c r="E1046" s="390">
        <f>'UNTD FGD'!$E$40</f>
        <v>0</v>
      </c>
      <c r="F1046" s="390">
        <f>'UNTD FGD'!$F$40</f>
        <v>0</v>
      </c>
      <c r="G1046" s="390">
        <f>'UNTD FGD'!$G$40</f>
        <v>0</v>
      </c>
      <c r="H1046" s="390">
        <f>'UNTD FGD'!$H$40</f>
        <v>0</v>
      </c>
      <c r="I1046" s="390">
        <f>'UNTD FGD'!$I$40</f>
        <v>0</v>
      </c>
      <c r="J1046" s="390">
        <f>'UNTD FGD'!$J$40</f>
        <v>0</v>
      </c>
      <c r="K1046" s="390">
        <f>'UNTD FGD'!$K$40</f>
        <v>0</v>
      </c>
      <c r="L1046" s="390">
        <f>'UNTD FGD'!$L$40</f>
        <v>0</v>
      </c>
      <c r="M1046" s="567">
        <f>'UNTD FGD'!$M$40</f>
        <v>0</v>
      </c>
      <c r="N1046" s="401"/>
    </row>
    <row r="1047" spans="2:14" s="160" customFormat="1" ht="12.75" hidden="1" customHeight="1" outlineLevel="1">
      <c r="B1047" s="674" t="str">
        <f>'WTAMU FGD'!$B$2</f>
        <v>West Texas A&amp;M University</v>
      </c>
      <c r="C1047" s="566"/>
      <c r="D1047" s="390">
        <f>'WTAMU FGD'!$D$40</f>
        <v>0</v>
      </c>
      <c r="E1047" s="390">
        <f>'WTAMU FGD'!$E$40</f>
        <v>0</v>
      </c>
      <c r="F1047" s="390">
        <f>'WTAMU FGD'!$F$40</f>
        <v>0</v>
      </c>
      <c r="G1047" s="390">
        <f>'WTAMU FGD'!$G$40</f>
        <v>0</v>
      </c>
      <c r="H1047" s="390">
        <f>'WTAMU FGD'!$H$40</f>
        <v>0</v>
      </c>
      <c r="I1047" s="390">
        <f>'WTAMU FGD'!$I$40</f>
        <v>0</v>
      </c>
      <c r="J1047" s="390">
        <f>'WTAMU FGD'!$J$40</f>
        <v>0</v>
      </c>
      <c r="K1047" s="390">
        <f>'WTAMU FGD'!$K$40</f>
        <v>0</v>
      </c>
      <c r="L1047" s="390">
        <f>'WTAMU FGD'!$L$40</f>
        <v>0</v>
      </c>
      <c r="M1047" s="567">
        <f>'WTAMU FGD'!$M$40</f>
        <v>0</v>
      </c>
      <c r="N1047" s="401"/>
    </row>
    <row r="1048" spans="2:14" s="160" customFormat="1" collapsed="1">
      <c r="B1048" s="261" t="s">
        <v>730</v>
      </c>
      <c r="C1048" s="566"/>
      <c r="D1048" s="390">
        <f t="shared" ref="D1048:M1048" si="27">SUM(D1012:D1047)</f>
        <v>0</v>
      </c>
      <c r="E1048" s="390">
        <f t="shared" si="27"/>
        <v>-1007198</v>
      </c>
      <c r="F1048" s="390">
        <f t="shared" si="27"/>
        <v>-2405125</v>
      </c>
      <c r="G1048" s="390">
        <f t="shared" si="27"/>
        <v>0</v>
      </c>
      <c r="H1048" s="390">
        <f t="shared" si="27"/>
        <v>0</v>
      </c>
      <c r="I1048" s="390">
        <f t="shared" si="27"/>
        <v>0</v>
      </c>
      <c r="J1048" s="390">
        <f t="shared" si="27"/>
        <v>0</v>
      </c>
      <c r="K1048" s="390">
        <f t="shared" si="27"/>
        <v>0</v>
      </c>
      <c r="L1048" s="390">
        <f t="shared" si="27"/>
        <v>0</v>
      </c>
      <c r="M1048" s="567">
        <f t="shared" si="27"/>
        <v>-3412323</v>
      </c>
      <c r="N1048" s="401"/>
    </row>
    <row r="1049" spans="2:14" s="160" customFormat="1" ht="12.75" hidden="1" customHeight="1" outlineLevel="1">
      <c r="B1049" s="674" t="str">
        <f>'ARL FGD'!$B$2</f>
        <v>The University of Texas at Arlington</v>
      </c>
      <c r="C1049" s="566"/>
      <c r="D1049" s="390">
        <f>'ARL FGD'!$D$41</f>
        <v>-143</v>
      </c>
      <c r="E1049" s="390">
        <f>'ARL FGD'!$E$41</f>
        <v>-30507854</v>
      </c>
      <c r="F1049" s="390">
        <f>'ARL FGD'!$F$41</f>
        <v>-3341596</v>
      </c>
      <c r="G1049" s="390">
        <f>'ARL FGD'!$G$41</f>
        <v>0</v>
      </c>
      <c r="H1049" s="390">
        <f>'ARL FGD'!$H$41</f>
        <v>0</v>
      </c>
      <c r="I1049" s="390">
        <f>'ARL FGD'!$I$41</f>
        <v>0</v>
      </c>
      <c r="J1049" s="390">
        <f>'ARL FGD'!$J$41</f>
        <v>0</v>
      </c>
      <c r="K1049" s="390">
        <f>'ARL FGD'!$K$41</f>
        <v>0</v>
      </c>
      <c r="L1049" s="390">
        <f>'ARL FGD'!$L$41</f>
        <v>0</v>
      </c>
      <c r="M1049" s="567">
        <f>'ARL FGD'!$M$41</f>
        <v>-33849593</v>
      </c>
      <c r="N1049" s="401"/>
    </row>
    <row r="1050" spans="2:14" s="160" customFormat="1" ht="12.75" hidden="1" customHeight="1" outlineLevel="1">
      <c r="B1050" s="674" t="str">
        <f>'ASU FGD'!$B$2</f>
        <v>Angelo State University</v>
      </c>
      <c r="C1050" s="566"/>
      <c r="D1050" s="390">
        <f>'ASU FGD'!$D$41</f>
        <v>0</v>
      </c>
      <c r="E1050" s="390">
        <f>'ASU FGD'!$E$41</f>
        <v>-5113597</v>
      </c>
      <c r="F1050" s="390">
        <f>'ASU FGD'!$F$41</f>
        <v>-2898371</v>
      </c>
      <c r="G1050" s="390">
        <f>'ASU FGD'!$G$41</f>
        <v>0</v>
      </c>
      <c r="H1050" s="390">
        <f>'ASU FGD'!$H$41</f>
        <v>0</v>
      </c>
      <c r="I1050" s="390">
        <f>'ASU FGD'!$I$41</f>
        <v>0</v>
      </c>
      <c r="J1050" s="390">
        <f>'ASU FGD'!$J$41</f>
        <v>0</v>
      </c>
      <c r="K1050" s="390">
        <f>'ASU FGD'!$K$41</f>
        <v>0</v>
      </c>
      <c r="L1050" s="390">
        <f>'ASU FGD'!$L$41</f>
        <v>0</v>
      </c>
      <c r="M1050" s="567">
        <f>'ASU FGD'!$M$41</f>
        <v>-8011968</v>
      </c>
      <c r="N1050" s="401"/>
    </row>
    <row r="1051" spans="2:14" s="160" customFormat="1" ht="12.75" hidden="1" customHeight="1" outlineLevel="1">
      <c r="B1051" s="674" t="str">
        <f>'AUS1 FGD'!$B$2</f>
        <v>The University of Texas at Austin - Academic &amp; Health (A+H)</v>
      </c>
      <c r="C1051" s="566"/>
      <c r="D1051" s="390">
        <f>'AUS1 FGD'!$D$41</f>
        <v>-35035</v>
      </c>
      <c r="E1051" s="390">
        <f>'AUS1 FGD'!$E$41</f>
        <v>-11380596</v>
      </c>
      <c r="F1051" s="390">
        <f>'AUS1 FGD'!$F$41</f>
        <v>-10205840</v>
      </c>
      <c r="G1051" s="390">
        <f>'AUS1 FGD'!$G$41</f>
        <v>0</v>
      </c>
      <c r="H1051" s="390">
        <f>'AUS1 FGD'!$H$41</f>
        <v>0</v>
      </c>
      <c r="I1051" s="390">
        <f>'AUS1 FGD'!$I$41</f>
        <v>0</v>
      </c>
      <c r="J1051" s="390">
        <f>'AUS1 FGD'!$J$41</f>
        <v>0</v>
      </c>
      <c r="K1051" s="390">
        <f>'AUS1 FGD'!$K$41</f>
        <v>0</v>
      </c>
      <c r="L1051" s="390">
        <f>'AUS1 FGD'!$L$41</f>
        <v>0</v>
      </c>
      <c r="M1051" s="567">
        <f>'AUS1 FGD'!$M$41</f>
        <v>-21621471</v>
      </c>
      <c r="N1051" s="401"/>
    </row>
    <row r="1052" spans="2:14" s="160" customFormat="1" ht="12.75" hidden="1" customHeight="1" outlineLevel="1">
      <c r="B1052" s="674" t="str">
        <f>'RGV1 FGD'!$B$2</f>
        <v>The University of Texas RGV - Academic &amp; Health (A+H)</v>
      </c>
      <c r="C1052" s="566"/>
      <c r="D1052" s="390">
        <f>'RGV1 FGD'!$D$41</f>
        <v>0</v>
      </c>
      <c r="E1052" s="390">
        <f>'RGV1 FGD'!$E$41</f>
        <v>0</v>
      </c>
      <c r="F1052" s="390">
        <f>'RGV1 FGD'!$F$41</f>
        <v>-10651243</v>
      </c>
      <c r="G1052" s="390">
        <f>'RGV1 FGD'!$G$41</f>
        <v>0</v>
      </c>
      <c r="H1052" s="390">
        <f>'RGV1 FGD'!$H$41</f>
        <v>0</v>
      </c>
      <c r="I1052" s="390">
        <f>'RGV1 FGD'!$I$41</f>
        <v>0</v>
      </c>
      <c r="J1052" s="390">
        <f>'RGV1 FGD'!$J$41</f>
        <v>0</v>
      </c>
      <c r="K1052" s="390">
        <f>'RGV1 FGD'!$K$41</f>
        <v>0</v>
      </c>
      <c r="L1052" s="390">
        <f>'RGV1 FGD'!$L$41</f>
        <v>0</v>
      </c>
      <c r="M1052" s="567">
        <f>'RGV1 FGD'!$M$41</f>
        <v>-10651243</v>
      </c>
      <c r="N1052" s="401"/>
    </row>
    <row r="1053" spans="2:14" s="160" customFormat="1" ht="12.75" hidden="1" customHeight="1" outlineLevel="1">
      <c r="B1053" s="674" t="str">
        <f>'DAL FGD'!$B$2</f>
        <v>The University of Texas at Dallas</v>
      </c>
      <c r="C1053" s="566"/>
      <c r="D1053" s="390">
        <f>'DAL FGD'!$D$41</f>
        <v>0</v>
      </c>
      <c r="E1053" s="390">
        <f>'DAL FGD'!$E$41</f>
        <v>0</v>
      </c>
      <c r="F1053" s="390">
        <f>'DAL FGD'!$F$41</f>
        <v>-9030722</v>
      </c>
      <c r="G1053" s="390">
        <f>'DAL FGD'!$G$41</f>
        <v>0</v>
      </c>
      <c r="H1053" s="390">
        <f>'DAL FGD'!$H$41</f>
        <v>0</v>
      </c>
      <c r="I1053" s="390">
        <f>'DAL FGD'!$I$41</f>
        <v>0</v>
      </c>
      <c r="J1053" s="390">
        <f>'DAL FGD'!$J$41</f>
        <v>0</v>
      </c>
      <c r="K1053" s="390">
        <f>'DAL FGD'!$K$41</f>
        <v>0</v>
      </c>
      <c r="L1053" s="390">
        <f>'DAL FGD'!$L$41</f>
        <v>0</v>
      </c>
      <c r="M1053" s="567">
        <f>'DAL FGD'!$M$41</f>
        <v>-9030722</v>
      </c>
      <c r="N1053" s="401"/>
    </row>
    <row r="1054" spans="2:14" s="160" customFormat="1" ht="12.75" hidden="1" customHeight="1" outlineLevel="1">
      <c r="B1054" s="674" t="str">
        <f>'E-P FGD'!$B$2</f>
        <v>The University of Texas at El Paso</v>
      </c>
      <c r="C1054" s="566"/>
      <c r="D1054" s="390">
        <f>'E-P FGD'!$D$41</f>
        <v>0</v>
      </c>
      <c r="E1054" s="390">
        <f>'E-P FGD'!$E$41</f>
        <v>-10107780</v>
      </c>
      <c r="F1054" s="390">
        <f>'E-P FGD'!$F$41</f>
        <v>-3102927</v>
      </c>
      <c r="G1054" s="390">
        <f>'E-P FGD'!$G$41</f>
        <v>0</v>
      </c>
      <c r="H1054" s="390">
        <f>'E-P FGD'!$H$41</f>
        <v>0</v>
      </c>
      <c r="I1054" s="390">
        <f>'E-P FGD'!$I$41</f>
        <v>0</v>
      </c>
      <c r="J1054" s="390">
        <f>'E-P FGD'!$J$41</f>
        <v>0</v>
      </c>
      <c r="K1054" s="390">
        <f>'E-P FGD'!$K$41</f>
        <v>0</v>
      </c>
      <c r="L1054" s="390">
        <f>'E-P FGD'!$L$41</f>
        <v>0</v>
      </c>
      <c r="M1054" s="567">
        <f>'E-P FGD'!$M$41</f>
        <v>-13210707</v>
      </c>
      <c r="N1054" s="401"/>
    </row>
    <row r="1055" spans="2:14" s="160" customFormat="1" ht="12.75" hidden="1" customHeight="1" outlineLevel="1">
      <c r="B1055" s="674" t="str">
        <f>'LU FGD'!$B$2</f>
        <v xml:space="preserve">Lamar University </v>
      </c>
      <c r="C1055" s="566"/>
      <c r="D1055" s="390">
        <f>'LU FGD'!$D$41</f>
        <v>-677</v>
      </c>
      <c r="E1055" s="390">
        <f>'LU FGD'!$E$41</f>
        <v>-4268489</v>
      </c>
      <c r="F1055" s="390">
        <f>'LU FGD'!$F$41</f>
        <v>-1073665</v>
      </c>
      <c r="G1055" s="390">
        <f>'LU FGD'!$G$41</f>
        <v>0</v>
      </c>
      <c r="H1055" s="390">
        <f>'LU FGD'!$H$41</f>
        <v>0</v>
      </c>
      <c r="I1055" s="390">
        <f>'LU FGD'!$I$41</f>
        <v>0</v>
      </c>
      <c r="J1055" s="390">
        <f>'LU FGD'!$J$41</f>
        <v>0</v>
      </c>
      <c r="K1055" s="390">
        <f>'LU FGD'!$K$41</f>
        <v>0</v>
      </c>
      <c r="L1055" s="390">
        <f>'LU FGD'!$L$41</f>
        <v>0</v>
      </c>
      <c r="M1055" s="567">
        <f>'LU FGD'!$M$41</f>
        <v>-5342831</v>
      </c>
      <c r="N1055" s="401"/>
    </row>
    <row r="1056" spans="2:14" s="160" customFormat="1" ht="12.75" hidden="1" customHeight="1" outlineLevel="1">
      <c r="B1056" s="674" t="str">
        <f>'MidWST FGD'!$B$2</f>
        <v>Midwestern State University</v>
      </c>
      <c r="C1056" s="566"/>
      <c r="D1056" s="390">
        <f>'MidWST FGD'!$D$41</f>
        <v>-15177</v>
      </c>
      <c r="E1056" s="390">
        <f>'MidWST FGD'!$E$41</f>
        <v>-6809983</v>
      </c>
      <c r="F1056" s="390">
        <f>'MidWST FGD'!$F$41</f>
        <v>28610</v>
      </c>
      <c r="G1056" s="390">
        <f>'MidWST FGD'!$G$41</f>
        <v>0</v>
      </c>
      <c r="H1056" s="390">
        <f>'MidWST FGD'!$H$41</f>
        <v>0</v>
      </c>
      <c r="I1056" s="390">
        <f>'MidWST FGD'!$I$41</f>
        <v>0</v>
      </c>
      <c r="J1056" s="390">
        <f>'MidWST FGD'!$J$41</f>
        <v>0</v>
      </c>
      <c r="K1056" s="390">
        <f>'MidWST FGD'!$K$41</f>
        <v>0</v>
      </c>
      <c r="L1056" s="390">
        <f>'MidWST FGD'!$L$41</f>
        <v>0</v>
      </c>
      <c r="M1056" s="567">
        <f>'MidWST FGD'!$M$41</f>
        <v>-6796550</v>
      </c>
      <c r="N1056" s="401"/>
    </row>
    <row r="1057" spans="2:14" s="160" customFormat="1" ht="12.75" hidden="1" customHeight="1" outlineLevel="1">
      <c r="B1057" s="674" t="str">
        <f>'P-B FGD'!$B$2</f>
        <v>The University of Texas of the Permian Basin</v>
      </c>
      <c r="C1057" s="566"/>
      <c r="D1057" s="390">
        <f>'P-B FGD'!$D$41</f>
        <v>0</v>
      </c>
      <c r="E1057" s="390">
        <f>'P-B FGD'!$E$41</f>
        <v>0</v>
      </c>
      <c r="F1057" s="390">
        <f>'P-B FGD'!$F$41</f>
        <v>-413654</v>
      </c>
      <c r="G1057" s="390">
        <f>'P-B FGD'!$G$41</f>
        <v>0</v>
      </c>
      <c r="H1057" s="390">
        <f>'P-B FGD'!$H$41</f>
        <v>0</v>
      </c>
      <c r="I1057" s="390">
        <f>'P-B FGD'!$I$41</f>
        <v>0</v>
      </c>
      <c r="J1057" s="390">
        <f>'P-B FGD'!$J$41</f>
        <v>0</v>
      </c>
      <c r="K1057" s="390">
        <f>'P-B FGD'!$K$41</f>
        <v>0</v>
      </c>
      <c r="L1057" s="390">
        <f>'P-B FGD'!$L$41</f>
        <v>0</v>
      </c>
      <c r="M1057" s="567">
        <f>'P-B FGD'!$M$41</f>
        <v>-413654</v>
      </c>
      <c r="N1057" s="401"/>
    </row>
    <row r="1058" spans="2:14" s="160" customFormat="1" ht="12.75" hidden="1" customHeight="1" outlineLevel="1">
      <c r="B1058" s="674" t="str">
        <f>'PVAMU FGD'!$B$2</f>
        <v>Prairie View A&amp;M University</v>
      </c>
      <c r="C1058" s="566"/>
      <c r="D1058" s="390">
        <f>'PVAMU FGD'!$D$41</f>
        <v>-62212</v>
      </c>
      <c r="E1058" s="390">
        <f>'PVAMU FGD'!$E$41</f>
        <v>-9223929</v>
      </c>
      <c r="F1058" s="390">
        <f>'PVAMU FGD'!$F$41</f>
        <v>-3223413</v>
      </c>
      <c r="G1058" s="390">
        <f>'PVAMU FGD'!$G$41</f>
        <v>0</v>
      </c>
      <c r="H1058" s="390">
        <f>'PVAMU FGD'!$H$41</f>
        <v>0</v>
      </c>
      <c r="I1058" s="390">
        <f>'PVAMU FGD'!$I$41</f>
        <v>0</v>
      </c>
      <c r="J1058" s="390">
        <f>'PVAMU FGD'!$J$41</f>
        <v>0</v>
      </c>
      <c r="K1058" s="390">
        <f>'PVAMU FGD'!$K$41</f>
        <v>0</v>
      </c>
      <c r="L1058" s="390">
        <f>'PVAMU FGD'!$L$41</f>
        <v>0</v>
      </c>
      <c r="M1058" s="567">
        <f>'PVAMU FGD'!$M$41</f>
        <v>-12509554</v>
      </c>
      <c r="N1058" s="401"/>
    </row>
    <row r="1059" spans="2:14" s="160" customFormat="1" ht="12.75" hidden="1" customHeight="1" outlineLevel="1">
      <c r="B1059" s="674" t="str">
        <f>'S-A FGD'!$B$2</f>
        <v>The University of Texas at San Antonio</v>
      </c>
      <c r="C1059" s="566"/>
      <c r="D1059" s="390">
        <f>'S-A FGD'!$D$41</f>
        <v>-1681752</v>
      </c>
      <c r="E1059" s="390">
        <f>'S-A FGD'!$E$41</f>
        <v>-28906888</v>
      </c>
      <c r="F1059" s="390">
        <f>'S-A FGD'!$F$41</f>
        <v>-8051745</v>
      </c>
      <c r="G1059" s="390">
        <f>'S-A FGD'!$G$41</f>
        <v>0</v>
      </c>
      <c r="H1059" s="390">
        <f>'S-A FGD'!$H$41</f>
        <v>0</v>
      </c>
      <c r="I1059" s="390">
        <f>'S-A FGD'!$I$41</f>
        <v>0</v>
      </c>
      <c r="J1059" s="390">
        <f>'S-A FGD'!$J$41</f>
        <v>0</v>
      </c>
      <c r="K1059" s="390">
        <f>'S-A FGD'!$K$41</f>
        <v>0</v>
      </c>
      <c r="L1059" s="390">
        <f>'S-A FGD'!$L$41</f>
        <v>0</v>
      </c>
      <c r="M1059" s="567">
        <f>'S-A FGD'!$M$41</f>
        <v>-38640385</v>
      </c>
      <c r="N1059" s="401"/>
    </row>
    <row r="1060" spans="2:14" s="160" customFormat="1" ht="12.75" hidden="1" customHeight="1" outlineLevel="1">
      <c r="B1060" s="674" t="str">
        <f>'SFA FGD'!$B$2</f>
        <v>Stephen F. Austin State University</v>
      </c>
      <c r="C1060" s="566"/>
      <c r="D1060" s="390">
        <f>'SFA FGD'!$D$41</f>
        <v>-43502</v>
      </c>
      <c r="E1060" s="390">
        <f>'SFA FGD'!$E$41</f>
        <v>-7420451</v>
      </c>
      <c r="F1060" s="390">
        <f>'SFA FGD'!$F$41</f>
        <v>-1834734</v>
      </c>
      <c r="G1060" s="390">
        <f>'SFA FGD'!$G$41</f>
        <v>0</v>
      </c>
      <c r="H1060" s="390">
        <f>'SFA FGD'!$H$41</f>
        <v>0</v>
      </c>
      <c r="I1060" s="390">
        <f>'SFA FGD'!$I$41</f>
        <v>0</v>
      </c>
      <c r="J1060" s="390">
        <f>'SFA FGD'!$J$41</f>
        <v>0</v>
      </c>
      <c r="K1060" s="390">
        <f>'SFA FGD'!$K$41</f>
        <v>0</v>
      </c>
      <c r="L1060" s="390">
        <f>'SFA FGD'!$L$41</f>
        <v>0</v>
      </c>
      <c r="M1060" s="567">
        <f>'SFA FGD'!$M$41</f>
        <v>-9298687</v>
      </c>
      <c r="N1060" s="401"/>
    </row>
    <row r="1061" spans="2:14" s="160" customFormat="1" ht="12.75" hidden="1" customHeight="1" outlineLevel="1">
      <c r="B1061" s="674" t="str">
        <f>'shsu1 FGD'!$B$2</f>
        <v>Sam Houston State University - Academic &amp; Health (A+H)</v>
      </c>
      <c r="C1061" s="566"/>
      <c r="D1061" s="390">
        <f>'shsu1 FGD'!$D$41</f>
        <v>0</v>
      </c>
      <c r="E1061" s="390">
        <f>'shsu1 FGD'!$E$41</f>
        <v>0</v>
      </c>
      <c r="F1061" s="390">
        <f>'shsu1 FGD'!$F$41</f>
        <v>0</v>
      </c>
      <c r="G1061" s="390">
        <f>'shsu1 FGD'!$G$41</f>
        <v>0</v>
      </c>
      <c r="H1061" s="390">
        <f>'shsu1 FGD'!$H$41</f>
        <v>0</v>
      </c>
      <c r="I1061" s="390">
        <f>'shsu1 FGD'!$I$41</f>
        <v>0</v>
      </c>
      <c r="J1061" s="390">
        <f>'shsu1 FGD'!$J$41</f>
        <v>0</v>
      </c>
      <c r="K1061" s="390">
        <f>'shsu1 FGD'!$K$41</f>
        <v>0</v>
      </c>
      <c r="L1061" s="390">
        <f>'shsu1 FGD'!$L$41</f>
        <v>0</v>
      </c>
      <c r="M1061" s="567">
        <f>'shsu1 FGD'!$M$41</f>
        <v>0</v>
      </c>
      <c r="N1061" s="401"/>
    </row>
    <row r="1062" spans="2:14" s="160" customFormat="1" ht="12.75" hidden="1" customHeight="1" outlineLevel="1">
      <c r="B1062" s="674" t="str">
        <f>'SRSU FGD'!$B$2</f>
        <v>Sul Ross State University</v>
      </c>
      <c r="C1062" s="566"/>
      <c r="D1062" s="390">
        <f>'SRSU FGD'!$D$41</f>
        <v>0</v>
      </c>
      <c r="E1062" s="390">
        <f>'SRSU FGD'!$E$41</f>
        <v>0</v>
      </c>
      <c r="F1062" s="390">
        <f>'SRSU FGD'!$F$41</f>
        <v>0</v>
      </c>
      <c r="G1062" s="390">
        <f>'SRSU FGD'!$G$41</f>
        <v>0</v>
      </c>
      <c r="H1062" s="390">
        <f>'SRSU FGD'!$H$41</f>
        <v>0</v>
      </c>
      <c r="I1062" s="390">
        <f>'SRSU FGD'!$I$41</f>
        <v>0</v>
      </c>
      <c r="J1062" s="390">
        <f>'SRSU FGD'!$J$41</f>
        <v>0</v>
      </c>
      <c r="K1062" s="390">
        <f>'SRSU FGD'!$K$41</f>
        <v>0</v>
      </c>
      <c r="L1062" s="390">
        <f>'SRSU FGD'!$L$41</f>
        <v>0</v>
      </c>
      <c r="M1062" s="567">
        <f>'SRSU FGD'!$M$41</f>
        <v>0</v>
      </c>
      <c r="N1062" s="401"/>
    </row>
    <row r="1063" spans="2:14" s="160" customFormat="1" ht="12.75" hidden="1" customHeight="1" outlineLevel="1">
      <c r="B1063" s="674" t="str">
        <f>'TAMIU FGD'!$B$2</f>
        <v>Texas A&amp;M International University</v>
      </c>
      <c r="C1063" s="566"/>
      <c r="D1063" s="390">
        <f>'TAMIU FGD'!$D$41</f>
        <v>-223587</v>
      </c>
      <c r="E1063" s="390">
        <f>'TAMIU FGD'!$E$41</f>
        <v>-10524261</v>
      </c>
      <c r="F1063" s="390">
        <f>'TAMIU FGD'!$F$41</f>
        <v>-3460063</v>
      </c>
      <c r="G1063" s="390">
        <f>'TAMIU FGD'!$G$41</f>
        <v>0</v>
      </c>
      <c r="H1063" s="390">
        <f>'TAMIU FGD'!$H$41</f>
        <v>0</v>
      </c>
      <c r="I1063" s="390">
        <f>'TAMIU FGD'!$I$41</f>
        <v>0</v>
      </c>
      <c r="J1063" s="390">
        <f>'TAMIU FGD'!$J$41</f>
        <v>0</v>
      </c>
      <c r="K1063" s="390">
        <f>'TAMIU FGD'!$K$41</f>
        <v>0</v>
      </c>
      <c r="L1063" s="390">
        <f>'TAMIU FGD'!$L$41</f>
        <v>0</v>
      </c>
      <c r="M1063" s="567">
        <f>'TAMIU FGD'!$M$41</f>
        <v>-14207911</v>
      </c>
      <c r="N1063" s="401"/>
    </row>
    <row r="1064" spans="2:14" s="160" customFormat="1" ht="12.75" hidden="1" customHeight="1" outlineLevel="1">
      <c r="B1064" s="674" t="str">
        <f>'TAMU FGD'!$B$2</f>
        <v>Texas A&amp;M University</v>
      </c>
      <c r="C1064" s="566"/>
      <c r="D1064" s="390">
        <f>'TAMU FGD'!$D$41</f>
        <v>-189883</v>
      </c>
      <c r="E1064" s="390">
        <f>'TAMU FGD'!$E$41</f>
        <v>-47443398</v>
      </c>
      <c r="F1064" s="390">
        <f>'TAMU FGD'!$F$41</f>
        <v>-7556533</v>
      </c>
      <c r="G1064" s="390">
        <f>'TAMU FGD'!$G$41</f>
        <v>0</v>
      </c>
      <c r="H1064" s="390">
        <f>'TAMU FGD'!$H$41</f>
        <v>0</v>
      </c>
      <c r="I1064" s="390">
        <f>'TAMU FGD'!$I$41</f>
        <v>0</v>
      </c>
      <c r="J1064" s="390">
        <f>'TAMU FGD'!$J$41</f>
        <v>0</v>
      </c>
      <c r="K1064" s="390">
        <f>'TAMU FGD'!$K$41</f>
        <v>0</v>
      </c>
      <c r="L1064" s="390">
        <f>'TAMU FGD'!$L$41</f>
        <v>0</v>
      </c>
      <c r="M1064" s="567">
        <f>'TAMU FGD'!$M$41</f>
        <v>-55189814</v>
      </c>
      <c r="N1064" s="401"/>
    </row>
    <row r="1065" spans="2:14" s="160" customFormat="1" ht="12.75" hidden="1" customHeight="1" outlineLevel="1">
      <c r="B1065" s="674" t="str">
        <f>'TAMUC FGD'!$B$2</f>
        <v>Texas A&amp;M University - Commerce</v>
      </c>
      <c r="C1065" s="566"/>
      <c r="D1065" s="390">
        <f>'TAMUC FGD'!$D$41</f>
        <v>-87943</v>
      </c>
      <c r="E1065" s="390">
        <f>'TAMUC FGD'!$E$41</f>
        <v>-10496907</v>
      </c>
      <c r="F1065" s="390">
        <f>'TAMUC FGD'!$F$41</f>
        <v>-3675789</v>
      </c>
      <c r="G1065" s="390">
        <f>'TAMUC FGD'!$G$41</f>
        <v>0</v>
      </c>
      <c r="H1065" s="390">
        <f>'TAMUC FGD'!$H$41</f>
        <v>0</v>
      </c>
      <c r="I1065" s="390">
        <f>'TAMUC FGD'!$I$41</f>
        <v>0</v>
      </c>
      <c r="J1065" s="390">
        <f>'TAMUC FGD'!$J$41</f>
        <v>0</v>
      </c>
      <c r="K1065" s="390">
        <f>'TAMUC FGD'!$K$41</f>
        <v>0</v>
      </c>
      <c r="L1065" s="390">
        <f>'TAMUC FGD'!$L$41</f>
        <v>0</v>
      </c>
      <c r="M1065" s="567">
        <f>'TAMUC FGD'!$M$41</f>
        <v>-14260639</v>
      </c>
      <c r="N1065" s="401"/>
    </row>
    <row r="1066" spans="2:14" s="160" customFormat="1" ht="12.75" hidden="1" customHeight="1" outlineLevel="1">
      <c r="B1066" s="674" t="str">
        <f>'TAMUCC FGD'!$B$2</f>
        <v>Texas A&amp;M University - Corpus Christi</v>
      </c>
      <c r="C1066" s="566"/>
      <c r="D1066" s="390">
        <f>'TAMUCC FGD'!$D$41</f>
        <v>213891</v>
      </c>
      <c r="E1066" s="390">
        <f>'TAMUCC FGD'!$E$41</f>
        <v>-7913990</v>
      </c>
      <c r="F1066" s="390">
        <f>'TAMUCC FGD'!$F$41</f>
        <v>-2706979</v>
      </c>
      <c r="G1066" s="390">
        <f>'TAMUCC FGD'!$G$41</f>
        <v>0</v>
      </c>
      <c r="H1066" s="390">
        <f>'TAMUCC FGD'!$H$41</f>
        <v>0</v>
      </c>
      <c r="I1066" s="390">
        <f>'TAMUCC FGD'!$I$41</f>
        <v>0</v>
      </c>
      <c r="J1066" s="390">
        <f>'TAMUCC FGD'!$J$41</f>
        <v>0</v>
      </c>
      <c r="K1066" s="390">
        <f>'TAMUCC FGD'!$K$41</f>
        <v>0</v>
      </c>
      <c r="L1066" s="390">
        <f>'TAMUCC FGD'!$L$41</f>
        <v>0</v>
      </c>
      <c r="M1066" s="567">
        <f>'TAMUCC FGD'!$M$41</f>
        <v>-10407078</v>
      </c>
      <c r="N1066" s="401"/>
    </row>
    <row r="1067" spans="2:14" s="160" customFormat="1" ht="12.75" hidden="1" customHeight="1" outlineLevel="1">
      <c r="B1067" s="674" t="str">
        <f>'TAMUCT FGD'!$B$2</f>
        <v>Texas A&amp;M University - Central Texas</v>
      </c>
      <c r="C1067" s="566"/>
      <c r="D1067" s="390">
        <f>'TAMUCT FGD'!$D$41</f>
        <v>-7359</v>
      </c>
      <c r="E1067" s="390">
        <f>'TAMUCT FGD'!$E$41</f>
        <v>-1315829</v>
      </c>
      <c r="F1067" s="390">
        <f>'TAMUCT FGD'!$F$41</f>
        <v>0</v>
      </c>
      <c r="G1067" s="390">
        <f>'TAMUCT FGD'!$G$41</f>
        <v>0</v>
      </c>
      <c r="H1067" s="390">
        <f>'TAMUCT FGD'!$H$41</f>
        <v>0</v>
      </c>
      <c r="I1067" s="390">
        <f>'TAMUCT FGD'!$I$41</f>
        <v>0</v>
      </c>
      <c r="J1067" s="390">
        <f>'TAMUCT FGD'!$J$41</f>
        <v>0</v>
      </c>
      <c r="K1067" s="390">
        <f>'TAMUCT FGD'!$K$41</f>
        <v>0</v>
      </c>
      <c r="L1067" s="390">
        <f>'TAMUCT FGD'!$L$41</f>
        <v>0</v>
      </c>
      <c r="M1067" s="567">
        <f>'TAMUCT FGD'!$M$41</f>
        <v>-1323188</v>
      </c>
      <c r="N1067" s="401"/>
    </row>
    <row r="1068" spans="2:14" s="160" customFormat="1" ht="12.75" hidden="1" customHeight="1" outlineLevel="1">
      <c r="B1068" s="674" t="str">
        <f>'TAMUG FGD'!$B$2</f>
        <v>Texas A&amp;M University at Galveston</v>
      </c>
      <c r="C1068" s="566"/>
      <c r="D1068" s="390">
        <f>'TAMUG FGD'!$D$41</f>
        <v>-9919</v>
      </c>
      <c r="E1068" s="390">
        <f>'TAMUG FGD'!$E$41</f>
        <v>-1194094</v>
      </c>
      <c r="F1068" s="390">
        <f>'TAMUG FGD'!$F$41</f>
        <v>-12537</v>
      </c>
      <c r="G1068" s="390">
        <f>'TAMUG FGD'!$G$41</f>
        <v>0</v>
      </c>
      <c r="H1068" s="390">
        <f>'TAMUG FGD'!$H$41</f>
        <v>0</v>
      </c>
      <c r="I1068" s="390">
        <f>'TAMUG FGD'!$I$41</f>
        <v>0</v>
      </c>
      <c r="J1068" s="390">
        <f>'TAMUG FGD'!$J$41</f>
        <v>0</v>
      </c>
      <c r="K1068" s="390">
        <f>'TAMUG FGD'!$K$41</f>
        <v>0</v>
      </c>
      <c r="L1068" s="390">
        <f>'TAMUG FGD'!$L$41</f>
        <v>0</v>
      </c>
      <c r="M1068" s="567">
        <f>'TAMUG FGD'!$M$41</f>
        <v>-1216550</v>
      </c>
      <c r="N1068" s="401"/>
    </row>
    <row r="1069" spans="2:14" s="160" customFormat="1" ht="12.75" hidden="1" customHeight="1" outlineLevel="1">
      <c r="B1069" s="674" t="str">
        <f>'TAMUK FGD'!$B$2</f>
        <v>Texas A&amp;M University - Kingsville</v>
      </c>
      <c r="C1069" s="566"/>
      <c r="D1069" s="390">
        <f>'TAMUK FGD'!$D$41</f>
        <v>-98295</v>
      </c>
      <c r="E1069" s="390">
        <f>'TAMUK FGD'!$E$41</f>
        <v>-5615851</v>
      </c>
      <c r="F1069" s="390">
        <f>'TAMUK FGD'!$F$41</f>
        <v>-2175765</v>
      </c>
      <c r="G1069" s="390">
        <f>'TAMUK FGD'!$G$41</f>
        <v>0</v>
      </c>
      <c r="H1069" s="390">
        <f>'TAMUK FGD'!$H$41</f>
        <v>0</v>
      </c>
      <c r="I1069" s="390">
        <f>'TAMUK FGD'!$I$41</f>
        <v>0</v>
      </c>
      <c r="J1069" s="390">
        <f>'TAMUK FGD'!$J$41</f>
        <v>0</v>
      </c>
      <c r="K1069" s="390">
        <f>'TAMUK FGD'!$K$41</f>
        <v>0</v>
      </c>
      <c r="L1069" s="390">
        <f>'TAMUK FGD'!$L$41</f>
        <v>0</v>
      </c>
      <c r="M1069" s="567">
        <f>'TAMUK FGD'!$M$41</f>
        <v>-7889911</v>
      </c>
      <c r="N1069" s="401"/>
    </row>
    <row r="1070" spans="2:14" s="160" customFormat="1" ht="12.75" hidden="1" customHeight="1" outlineLevel="1">
      <c r="B1070" s="674" t="str">
        <f>'TAMUSA FGD'!$B$2</f>
        <v>Texas A&amp;M University - San Antonio</v>
      </c>
      <c r="C1070" s="566"/>
      <c r="D1070" s="390">
        <f>'TAMUSA FGD'!$D$41</f>
        <v>-46875</v>
      </c>
      <c r="E1070" s="390">
        <f>'TAMUSA FGD'!$E$41</f>
        <v>-5480005</v>
      </c>
      <c r="F1070" s="390">
        <f>'TAMUSA FGD'!$F$41</f>
        <v>-218797</v>
      </c>
      <c r="G1070" s="390">
        <f>'TAMUSA FGD'!$G$41</f>
        <v>0</v>
      </c>
      <c r="H1070" s="390">
        <f>'TAMUSA FGD'!$H$41</f>
        <v>0</v>
      </c>
      <c r="I1070" s="390">
        <f>'TAMUSA FGD'!$I$41</f>
        <v>0</v>
      </c>
      <c r="J1070" s="390">
        <f>'TAMUSA FGD'!$J$41</f>
        <v>0</v>
      </c>
      <c r="K1070" s="390">
        <f>'TAMUSA FGD'!$K$41</f>
        <v>0</v>
      </c>
      <c r="L1070" s="390">
        <f>'TAMUSA FGD'!$L$41</f>
        <v>0</v>
      </c>
      <c r="M1070" s="567">
        <f>'TAMUSA FGD'!$M$41</f>
        <v>-5745677</v>
      </c>
      <c r="N1070" s="401"/>
    </row>
    <row r="1071" spans="2:14" s="160" customFormat="1" ht="12.75" hidden="1" customHeight="1" outlineLevel="1">
      <c r="B1071" s="674" t="str">
        <f>'TAMUT FGD'!$B$2</f>
        <v>Texas A&amp;M University - Texarkana</v>
      </c>
      <c r="C1071" s="566"/>
      <c r="D1071" s="390">
        <f>'TAMUT FGD'!$D$41</f>
        <v>-55</v>
      </c>
      <c r="E1071" s="390">
        <f>'TAMUT FGD'!$E$41</f>
        <v>-888978</v>
      </c>
      <c r="F1071" s="390">
        <f>'TAMUT FGD'!$F$41</f>
        <v>-227545</v>
      </c>
      <c r="G1071" s="390">
        <f>'TAMUT FGD'!$G$41</f>
        <v>0</v>
      </c>
      <c r="H1071" s="390">
        <f>'TAMUT FGD'!$H$41</f>
        <v>0</v>
      </c>
      <c r="I1071" s="390">
        <f>'TAMUT FGD'!$I$41</f>
        <v>0</v>
      </c>
      <c r="J1071" s="390">
        <f>'TAMUT FGD'!$J$41</f>
        <v>0</v>
      </c>
      <c r="K1071" s="390">
        <f>'TAMUT FGD'!$K$41</f>
        <v>0</v>
      </c>
      <c r="L1071" s="390">
        <f>'TAMUT FGD'!$L$41</f>
        <v>0</v>
      </c>
      <c r="M1071" s="567">
        <f>'TAMUT FGD'!$M$41</f>
        <v>-1116578</v>
      </c>
      <c r="N1071" s="401"/>
    </row>
    <row r="1072" spans="2:14" s="160" customFormat="1" ht="12.75" hidden="1" customHeight="1" outlineLevel="1">
      <c r="B1072" s="674" t="str">
        <f>'TARLST FGD'!$B$2</f>
        <v>Tarleton State University</v>
      </c>
      <c r="C1072" s="566"/>
      <c r="D1072" s="390">
        <f>'TARLST FGD'!$D$41</f>
        <v>-13564</v>
      </c>
      <c r="E1072" s="390">
        <f>'TARLST FGD'!$E$41</f>
        <v>-6548651</v>
      </c>
      <c r="F1072" s="390">
        <f>'TARLST FGD'!$F$41</f>
        <v>-2833191</v>
      </c>
      <c r="G1072" s="390">
        <f>'TARLST FGD'!$G$41</f>
        <v>0</v>
      </c>
      <c r="H1072" s="390">
        <f>'TARLST FGD'!$H$41</f>
        <v>0</v>
      </c>
      <c r="I1072" s="390">
        <f>'TARLST FGD'!$I$41</f>
        <v>0</v>
      </c>
      <c r="J1072" s="390">
        <f>'TARLST FGD'!$J$41</f>
        <v>0</v>
      </c>
      <c r="K1072" s="390">
        <f>'TARLST FGD'!$K$41</f>
        <v>0</v>
      </c>
      <c r="L1072" s="390">
        <f>'TARLST FGD'!$L$41</f>
        <v>0</v>
      </c>
      <c r="M1072" s="567">
        <f>'TARLST FGD'!$M$41</f>
        <v>-9395406</v>
      </c>
      <c r="N1072" s="401"/>
    </row>
    <row r="1073" spans="2:14" s="160" customFormat="1" ht="12.75" hidden="1" customHeight="1" outlineLevel="1">
      <c r="B1073" s="674" t="str">
        <f>'TSU FGD'!$B$2</f>
        <v>Texas Southern University</v>
      </c>
      <c r="C1073" s="566"/>
      <c r="D1073" s="390">
        <f>'TSU FGD'!$D$41</f>
        <v>-1307741</v>
      </c>
      <c r="E1073" s="390">
        <f>'TSU FGD'!$E$41</f>
        <v>-2983387</v>
      </c>
      <c r="F1073" s="390">
        <f>'TSU FGD'!$F$41</f>
        <v>-336428</v>
      </c>
      <c r="G1073" s="390">
        <f>'TSU FGD'!$G$41</f>
        <v>0</v>
      </c>
      <c r="H1073" s="390">
        <f>'TSU FGD'!$H$41</f>
        <v>0</v>
      </c>
      <c r="I1073" s="390">
        <f>'TSU FGD'!$I$41</f>
        <v>0</v>
      </c>
      <c r="J1073" s="390">
        <f>'TSU FGD'!$J$41</f>
        <v>0</v>
      </c>
      <c r="K1073" s="390">
        <f>'TSU FGD'!$K$41</f>
        <v>0</v>
      </c>
      <c r="L1073" s="390">
        <f>'TSU FGD'!$L$41</f>
        <v>0</v>
      </c>
      <c r="M1073" s="567">
        <f>'TSU FGD'!$M$41</f>
        <v>-4627556</v>
      </c>
      <c r="N1073" s="401"/>
    </row>
    <row r="1074" spans="2:14" s="160" customFormat="1" ht="12.75" hidden="1" customHeight="1" outlineLevel="1">
      <c r="B1074" s="674" t="str">
        <f>'TTU FGD'!$B$2</f>
        <v>Texas Tech University</v>
      </c>
      <c r="C1074" s="566"/>
      <c r="D1074" s="390">
        <f>'TTU FGD'!$D$41</f>
        <v>0</v>
      </c>
      <c r="E1074" s="390">
        <f>'TTU FGD'!$E$41</f>
        <v>-28539313</v>
      </c>
      <c r="F1074" s="390">
        <f>'TTU FGD'!$F$41</f>
        <v>-1147111</v>
      </c>
      <c r="G1074" s="390">
        <f>'TTU FGD'!$G$41</f>
        <v>0</v>
      </c>
      <c r="H1074" s="390">
        <f>'TTU FGD'!$H$41</f>
        <v>0</v>
      </c>
      <c r="I1074" s="390">
        <f>'TTU FGD'!$I$41</f>
        <v>0</v>
      </c>
      <c r="J1074" s="390">
        <f>'TTU FGD'!$J$41</f>
        <v>0</v>
      </c>
      <c r="K1074" s="390">
        <f>'TTU FGD'!$K$41</f>
        <v>0</v>
      </c>
      <c r="L1074" s="390">
        <f>'TTU FGD'!$L$41</f>
        <v>0</v>
      </c>
      <c r="M1074" s="567">
        <f>'TTU FGD'!$M$41</f>
        <v>-29686424</v>
      </c>
      <c r="N1074" s="401"/>
    </row>
    <row r="1075" spans="2:14" s="160" customFormat="1" ht="12.75" hidden="1" customHeight="1" outlineLevel="1">
      <c r="B1075" s="674" t="str">
        <f>'TWU FGD'!$B$2</f>
        <v>Texas Woman's University</v>
      </c>
      <c r="C1075" s="566"/>
      <c r="D1075" s="390">
        <f>'TWU FGD'!$D$41</f>
        <v>-10929553</v>
      </c>
      <c r="E1075" s="390">
        <f>'TWU FGD'!$E$41</f>
        <v>-28930394</v>
      </c>
      <c r="F1075" s="390">
        <f>'TWU FGD'!$F$41</f>
        <v>0</v>
      </c>
      <c r="G1075" s="390">
        <f>'TWU FGD'!$G$41</f>
        <v>0</v>
      </c>
      <c r="H1075" s="390">
        <f>'TWU FGD'!$H$41</f>
        <v>0</v>
      </c>
      <c r="I1075" s="390">
        <f>'TWU FGD'!$I$41</f>
        <v>0</v>
      </c>
      <c r="J1075" s="390">
        <f>'TWU FGD'!$J$41</f>
        <v>0</v>
      </c>
      <c r="K1075" s="390">
        <f>'TWU FGD'!$K$41</f>
        <v>0</v>
      </c>
      <c r="L1075" s="390">
        <f>'TWU FGD'!$L$41</f>
        <v>0</v>
      </c>
      <c r="M1075" s="567">
        <f>'TWU FGD'!$M$41</f>
        <v>-39859947</v>
      </c>
      <c r="N1075" s="401"/>
    </row>
    <row r="1076" spans="2:14" s="160" customFormat="1" ht="12.75" hidden="1" customHeight="1" outlineLevel="1">
      <c r="B1076" s="674" t="str">
        <f>'TXST FGD'!$B$2</f>
        <v>Texas State University</v>
      </c>
      <c r="C1076" s="566"/>
      <c r="D1076" s="390">
        <f>'TXST FGD'!$D$41</f>
        <v>-644542</v>
      </c>
      <c r="E1076" s="390">
        <f>'TXST FGD'!$E$41</f>
        <v>-13997926</v>
      </c>
      <c r="F1076" s="390">
        <f>'TXST FGD'!$F$41</f>
        <v>1185291</v>
      </c>
      <c r="G1076" s="390">
        <f>'TXST FGD'!$G$41</f>
        <v>0</v>
      </c>
      <c r="H1076" s="390">
        <f>'TXST FGD'!$H$41</f>
        <v>0</v>
      </c>
      <c r="I1076" s="390">
        <f>'TXST FGD'!$I$41</f>
        <v>0</v>
      </c>
      <c r="J1076" s="390">
        <f>'TXST FGD'!$J$41</f>
        <v>0</v>
      </c>
      <c r="K1076" s="390">
        <f>'TXST FGD'!$K$41</f>
        <v>0</v>
      </c>
      <c r="L1076" s="390">
        <f>'TXST FGD'!$L$41</f>
        <v>0</v>
      </c>
      <c r="M1076" s="567">
        <f>'TXST FGD'!$M$41</f>
        <v>-13457177</v>
      </c>
      <c r="N1076" s="401"/>
    </row>
    <row r="1077" spans="2:14" s="160" customFormat="1" ht="12.75" hidden="1" customHeight="1" outlineLevel="1">
      <c r="B1077" s="674" t="str">
        <f>'TYL FGD'!$B$2</f>
        <v>The University of Texas at Tyler</v>
      </c>
      <c r="C1077" s="566"/>
      <c r="D1077" s="390">
        <f>'TYL FGD'!$D$41</f>
        <v>0</v>
      </c>
      <c r="E1077" s="390">
        <f>'TYL FGD'!$E$41</f>
        <v>0</v>
      </c>
      <c r="F1077" s="390">
        <f>'TYL FGD'!$F$41</f>
        <v>0</v>
      </c>
      <c r="G1077" s="390">
        <f>'TYL FGD'!$G$41</f>
        <v>0</v>
      </c>
      <c r="H1077" s="390">
        <f>'TYL FGD'!$H$41</f>
        <v>0</v>
      </c>
      <c r="I1077" s="390">
        <f>'TYL FGD'!$I$41</f>
        <v>0</v>
      </c>
      <c r="J1077" s="390">
        <f>'TYL FGD'!$J$41</f>
        <v>0</v>
      </c>
      <c r="K1077" s="390">
        <f>'TYL FGD'!$K$41</f>
        <v>0</v>
      </c>
      <c r="L1077" s="390">
        <f>'TYL FGD'!$L$41</f>
        <v>0</v>
      </c>
      <c r="M1077" s="567">
        <f>'TYL FGD'!$M$41</f>
        <v>0</v>
      </c>
      <c r="N1077" s="401"/>
    </row>
    <row r="1078" spans="2:14" s="160" customFormat="1" ht="12.75" hidden="1" customHeight="1" outlineLevel="1">
      <c r="B1078" s="674" t="str">
        <f>'UH1 FGD'!$B$2</f>
        <v>University of Houston - Academic &amp; Health (A+H)</v>
      </c>
      <c r="C1078" s="566"/>
      <c r="D1078" s="390">
        <f>'UH1 FGD'!$D$41</f>
        <v>-97543</v>
      </c>
      <c r="E1078" s="390">
        <f>'UH1 FGD'!$E$41</f>
        <v>-32630611</v>
      </c>
      <c r="F1078" s="390">
        <f>'UH1 FGD'!$F$41</f>
        <v>-8409216</v>
      </c>
      <c r="G1078" s="390">
        <f>'UH1 FGD'!$G$41</f>
        <v>0</v>
      </c>
      <c r="H1078" s="390">
        <f>'UH1 FGD'!$H$41</f>
        <v>0</v>
      </c>
      <c r="I1078" s="390">
        <f>'UH1 FGD'!$I$41</f>
        <v>0</v>
      </c>
      <c r="J1078" s="390">
        <f>'UH1 FGD'!$J$41</f>
        <v>0</v>
      </c>
      <c r="K1078" s="390">
        <f>'UH1 FGD'!$K$41</f>
        <v>0</v>
      </c>
      <c r="L1078" s="390">
        <f>'UH1 FGD'!$L$41</f>
        <v>0</v>
      </c>
      <c r="M1078" s="567">
        <f>'UH1 FGD'!$M$41</f>
        <v>-41137370</v>
      </c>
      <c r="N1078" s="401"/>
    </row>
    <row r="1079" spans="2:14" s="160" customFormat="1" ht="12.75" hidden="1" customHeight="1" outlineLevel="1">
      <c r="B1079" s="674" t="str">
        <f>'UHCL FGD'!$B$2</f>
        <v>University of Houston - Clear Lake</v>
      </c>
      <c r="C1079" s="566"/>
      <c r="D1079" s="390">
        <f>'UHCL FGD'!$D$41</f>
        <v>0</v>
      </c>
      <c r="E1079" s="390">
        <f>'UHCL FGD'!$E$41</f>
        <v>-2432173</v>
      </c>
      <c r="F1079" s="390">
        <f>'UHCL FGD'!$F$41</f>
        <v>-1997929</v>
      </c>
      <c r="G1079" s="390">
        <f>'UHCL FGD'!$G$41</f>
        <v>0</v>
      </c>
      <c r="H1079" s="390">
        <f>'UHCL FGD'!$H$41</f>
        <v>0</v>
      </c>
      <c r="I1079" s="390">
        <f>'UHCL FGD'!$I$41</f>
        <v>0</v>
      </c>
      <c r="J1079" s="390">
        <f>'UHCL FGD'!$J$41</f>
        <v>0</v>
      </c>
      <c r="K1079" s="390">
        <f>'UHCL FGD'!$K$41</f>
        <v>0</v>
      </c>
      <c r="L1079" s="390">
        <f>'UHCL FGD'!$L$41</f>
        <v>0</v>
      </c>
      <c r="M1079" s="567">
        <f>'UHCL FGD'!$M$41</f>
        <v>-4430102</v>
      </c>
      <c r="N1079" s="401"/>
    </row>
    <row r="1080" spans="2:14" s="160" customFormat="1" ht="12.75" hidden="1" customHeight="1" outlineLevel="1">
      <c r="B1080" s="674" t="str">
        <f>'UHD FGD'!$B$2</f>
        <v>University of Houston - Downtown</v>
      </c>
      <c r="C1080" s="566"/>
      <c r="D1080" s="390">
        <f>'UHD FGD'!$D$41</f>
        <v>-3289</v>
      </c>
      <c r="E1080" s="390">
        <f>'UHD FGD'!$E$41</f>
        <v>-6365380</v>
      </c>
      <c r="F1080" s="390">
        <f>'UHD FGD'!$F$41</f>
        <v>-2756261</v>
      </c>
      <c r="G1080" s="390">
        <f>'UHD FGD'!$G$41</f>
        <v>0</v>
      </c>
      <c r="H1080" s="390">
        <f>'UHD FGD'!$H$41</f>
        <v>0</v>
      </c>
      <c r="I1080" s="390">
        <f>'UHD FGD'!$I$41</f>
        <v>0</v>
      </c>
      <c r="J1080" s="390">
        <f>'UHD FGD'!$J$41</f>
        <v>0</v>
      </c>
      <c r="K1080" s="390">
        <f>'UHD FGD'!$K$41</f>
        <v>0</v>
      </c>
      <c r="L1080" s="390">
        <f>'UHD FGD'!$L$41</f>
        <v>0</v>
      </c>
      <c r="M1080" s="567">
        <f>'UHD FGD'!$M$41</f>
        <v>-9124930</v>
      </c>
      <c r="N1080" s="401"/>
    </row>
    <row r="1081" spans="2:14" s="160" customFormat="1" ht="12.75" hidden="1" customHeight="1" outlineLevel="1">
      <c r="B1081" s="674" t="str">
        <f>'UHV FGD'!$B$2</f>
        <v>University of Houston - Victoria</v>
      </c>
      <c r="C1081" s="566"/>
      <c r="D1081" s="390">
        <f>'UHV FGD'!$D$41</f>
        <v>-534</v>
      </c>
      <c r="E1081" s="390">
        <f>'UHV FGD'!$E$41</f>
        <v>-1460770</v>
      </c>
      <c r="F1081" s="390">
        <f>'UHV FGD'!$F$41</f>
        <v>-1148331</v>
      </c>
      <c r="G1081" s="390">
        <f>'UHV FGD'!$G$41</f>
        <v>0</v>
      </c>
      <c r="H1081" s="390">
        <f>'UHV FGD'!$H$41</f>
        <v>0</v>
      </c>
      <c r="I1081" s="390">
        <f>'UHV FGD'!$I$41</f>
        <v>0</v>
      </c>
      <c r="J1081" s="390">
        <f>'UHV FGD'!$J$41</f>
        <v>0</v>
      </c>
      <c r="K1081" s="390">
        <f>'UHV FGD'!$K$41</f>
        <v>0</v>
      </c>
      <c r="L1081" s="390">
        <f>'UHV FGD'!$L$41</f>
        <v>0</v>
      </c>
      <c r="M1081" s="567">
        <f>'UHV FGD'!$M$41</f>
        <v>-2609635</v>
      </c>
      <c r="N1081" s="401"/>
    </row>
    <row r="1082" spans="2:14" s="160" customFormat="1" ht="12.75" hidden="1" customHeight="1" outlineLevel="1">
      <c r="B1082" s="674" t="str">
        <f>'UNT FGD'!$B$2</f>
        <v>University of North Texas</v>
      </c>
      <c r="C1082" s="566"/>
      <c r="D1082" s="390">
        <f>'UNT FGD'!$D$41</f>
        <v>0</v>
      </c>
      <c r="E1082" s="390">
        <f>'UNT FGD'!$E$41</f>
        <v>-93987592</v>
      </c>
      <c r="F1082" s="390">
        <f>'UNT FGD'!$F$41</f>
        <v>-463035</v>
      </c>
      <c r="G1082" s="390">
        <f>'UNT FGD'!$G$41</f>
        <v>0</v>
      </c>
      <c r="H1082" s="390">
        <f>'UNT FGD'!$H$41</f>
        <v>0</v>
      </c>
      <c r="I1082" s="390">
        <f>'UNT FGD'!$I$41</f>
        <v>0</v>
      </c>
      <c r="J1082" s="390">
        <f>'UNT FGD'!$J$41</f>
        <v>0</v>
      </c>
      <c r="K1082" s="390">
        <f>'UNT FGD'!$K$41</f>
        <v>0</v>
      </c>
      <c r="L1082" s="390">
        <f>'UNT FGD'!$L$41</f>
        <v>0</v>
      </c>
      <c r="M1082" s="567">
        <f>'UNT FGD'!$M$41</f>
        <v>-94450627</v>
      </c>
      <c r="N1082" s="401"/>
    </row>
    <row r="1083" spans="2:14" s="160" customFormat="1" ht="12.75" hidden="1" customHeight="1" outlineLevel="1">
      <c r="B1083" s="674" t="str">
        <f>'UNTD FGD'!$B$2</f>
        <v>University of North Texas at Dallas</v>
      </c>
      <c r="C1083" s="566"/>
      <c r="D1083" s="390">
        <f>'UNTD FGD'!$D$41</f>
        <v>0</v>
      </c>
      <c r="E1083" s="390">
        <f>'UNTD FGD'!$E$41</f>
        <v>0</v>
      </c>
      <c r="F1083" s="390">
        <f>'UNTD FGD'!$F$41</f>
        <v>0</v>
      </c>
      <c r="G1083" s="390">
        <f>'UNTD FGD'!$G$41</f>
        <v>0</v>
      </c>
      <c r="H1083" s="390">
        <f>'UNTD FGD'!$H$41</f>
        <v>0</v>
      </c>
      <c r="I1083" s="390">
        <f>'UNTD FGD'!$I$41</f>
        <v>0</v>
      </c>
      <c r="J1083" s="390">
        <f>'UNTD FGD'!$J$41</f>
        <v>0</v>
      </c>
      <c r="K1083" s="390">
        <f>'UNTD FGD'!$K$41</f>
        <v>0</v>
      </c>
      <c r="L1083" s="390">
        <f>'UNTD FGD'!$L$41</f>
        <v>0</v>
      </c>
      <c r="M1083" s="567">
        <f>'UNTD FGD'!$M$41</f>
        <v>0</v>
      </c>
      <c r="N1083" s="401"/>
    </row>
    <row r="1084" spans="2:14" s="160" customFormat="1" ht="12.75" hidden="1" customHeight="1" outlineLevel="1">
      <c r="B1084" s="674" t="str">
        <f>'WTAMU FGD'!$B$2</f>
        <v>West Texas A&amp;M University</v>
      </c>
      <c r="C1084" s="566"/>
      <c r="D1084" s="390">
        <f>'WTAMU FGD'!$D$41</f>
        <v>-3313</v>
      </c>
      <c r="E1084" s="390">
        <f>'WTAMU FGD'!$E$41</f>
        <v>-4421661</v>
      </c>
      <c r="F1084" s="390">
        <f>'WTAMU FGD'!$F$41</f>
        <v>-1051643</v>
      </c>
      <c r="G1084" s="390">
        <f>'WTAMU FGD'!$G$41</f>
        <v>0</v>
      </c>
      <c r="H1084" s="390">
        <f>'WTAMU FGD'!$H$41</f>
        <v>0</v>
      </c>
      <c r="I1084" s="390">
        <f>'WTAMU FGD'!$I$41</f>
        <v>0</v>
      </c>
      <c r="J1084" s="390">
        <f>'WTAMU FGD'!$J$41</f>
        <v>0</v>
      </c>
      <c r="K1084" s="390">
        <f>'WTAMU FGD'!$K$41</f>
        <v>0</v>
      </c>
      <c r="L1084" s="390">
        <f>'WTAMU FGD'!$L$41</f>
        <v>0</v>
      </c>
      <c r="M1084" s="567">
        <f>'WTAMU FGD'!$M$41</f>
        <v>-5476617</v>
      </c>
      <c r="N1084" s="401"/>
    </row>
    <row r="1085" spans="2:14" s="160" customFormat="1" collapsed="1">
      <c r="B1085" s="261" t="s">
        <v>2133</v>
      </c>
      <c r="C1085" s="566"/>
      <c r="D1085" s="390">
        <f t="shared" ref="D1085:M1085" si="28">SUM(D1049:D1084)</f>
        <v>-15288602</v>
      </c>
      <c r="E1085" s="390">
        <f t="shared" si="28"/>
        <v>-426910738</v>
      </c>
      <c r="F1085" s="390">
        <f t="shared" si="28"/>
        <v>-92791162</v>
      </c>
      <c r="G1085" s="390">
        <f t="shared" si="28"/>
        <v>0</v>
      </c>
      <c r="H1085" s="390">
        <f t="shared" si="28"/>
        <v>0</v>
      </c>
      <c r="I1085" s="390">
        <f t="shared" si="28"/>
        <v>0</v>
      </c>
      <c r="J1085" s="390">
        <f t="shared" si="28"/>
        <v>0</v>
      </c>
      <c r="K1085" s="390">
        <f t="shared" si="28"/>
        <v>0</v>
      </c>
      <c r="L1085" s="390">
        <f t="shared" si="28"/>
        <v>0</v>
      </c>
      <c r="M1085" s="567">
        <f t="shared" si="28"/>
        <v>-534990502</v>
      </c>
      <c r="N1085" s="401"/>
    </row>
    <row r="1086" spans="2:14" s="160" customFormat="1" ht="12.75" hidden="1" customHeight="1" outlineLevel="1">
      <c r="B1086" s="390" t="str">
        <f>'ARL FGD'!$B$2</f>
        <v>The University of Texas at Arlington</v>
      </c>
      <c r="C1086" s="566"/>
      <c r="D1086" s="390">
        <f>'ARL FGD'!$D$42</f>
        <v>417</v>
      </c>
      <c r="E1086" s="390">
        <f>'ARL FGD'!$E$42</f>
        <v>94205167</v>
      </c>
      <c r="F1086" s="390">
        <f>'ARL FGD'!$F$42</f>
        <v>14985597</v>
      </c>
      <c r="G1086" s="390">
        <f>'ARL FGD'!$G$42</f>
        <v>0</v>
      </c>
      <c r="H1086" s="390">
        <f>'ARL FGD'!$H$42</f>
        <v>0</v>
      </c>
      <c r="I1086" s="390">
        <f>'ARL FGD'!$I$42</f>
        <v>0</v>
      </c>
      <c r="J1086" s="390">
        <f>'ARL FGD'!$J$42</f>
        <v>0</v>
      </c>
      <c r="K1086" s="390">
        <f>'ARL FGD'!$K$42</f>
        <v>0</v>
      </c>
      <c r="L1086" s="390">
        <f>'ARL FGD'!$L$42</f>
        <v>0</v>
      </c>
      <c r="M1086" s="567">
        <f>'ARL FGD'!$M$42</f>
        <v>109191181</v>
      </c>
      <c r="N1086" s="401"/>
    </row>
    <row r="1087" spans="2:14" s="160" customFormat="1" ht="12.75" hidden="1" customHeight="1" outlineLevel="1">
      <c r="B1087" s="390" t="str">
        <f>'ASU FGD'!$B$2</f>
        <v>Angelo State University</v>
      </c>
      <c r="C1087" s="566"/>
      <c r="D1087" s="390">
        <f>'ASU FGD'!$D$42</f>
        <v>0</v>
      </c>
      <c r="E1087" s="390">
        <f>'ASU FGD'!$E$42</f>
        <v>11735279</v>
      </c>
      <c r="F1087" s="390">
        <f>'ASU FGD'!$F$42</f>
        <v>6651520</v>
      </c>
      <c r="G1087" s="390">
        <f>'ASU FGD'!$G$42</f>
        <v>0</v>
      </c>
      <c r="H1087" s="390">
        <f>'ASU FGD'!$H$42</f>
        <v>0</v>
      </c>
      <c r="I1087" s="390">
        <f>'ASU FGD'!$I$42</f>
        <v>0</v>
      </c>
      <c r="J1087" s="390">
        <f>'ASU FGD'!$J$42</f>
        <v>0</v>
      </c>
      <c r="K1087" s="390">
        <f>'ASU FGD'!$K$42</f>
        <v>0</v>
      </c>
      <c r="L1087" s="390">
        <f>'ASU FGD'!$L$42</f>
        <v>0</v>
      </c>
      <c r="M1087" s="567">
        <f>'ASU FGD'!$M$42</f>
        <v>18386799</v>
      </c>
      <c r="N1087" s="401"/>
    </row>
    <row r="1088" spans="2:14" s="160" customFormat="1" ht="12.75" hidden="1" customHeight="1" outlineLevel="1">
      <c r="B1088" s="390" t="str">
        <f>'AUS1 FGD'!$B$2</f>
        <v>The University of Texas at Austin - Academic &amp; Health (A+H)</v>
      </c>
      <c r="C1088" s="566"/>
      <c r="D1088" s="390">
        <f>'AUS1 FGD'!$D$42</f>
        <v>101986</v>
      </c>
      <c r="E1088" s="390">
        <f>'AUS1 FGD'!$E$42</f>
        <v>35188404</v>
      </c>
      <c r="F1088" s="390">
        <f>'AUS1 FGD'!$F$42</f>
        <v>34360358</v>
      </c>
      <c r="G1088" s="390">
        <f>'AUS1 FGD'!$G$42</f>
        <v>0</v>
      </c>
      <c r="H1088" s="390">
        <f>'AUS1 FGD'!$H$42</f>
        <v>0</v>
      </c>
      <c r="I1088" s="390">
        <f>'AUS1 FGD'!$I$42</f>
        <v>0</v>
      </c>
      <c r="J1088" s="390">
        <f>'AUS1 FGD'!$J$42</f>
        <v>0</v>
      </c>
      <c r="K1088" s="390">
        <f>'AUS1 FGD'!$K$42</f>
        <v>0</v>
      </c>
      <c r="L1088" s="390">
        <f>'AUS1 FGD'!$L$42</f>
        <v>0</v>
      </c>
      <c r="M1088" s="567">
        <f>'AUS1 FGD'!$M$42</f>
        <v>69650748</v>
      </c>
      <c r="N1088" s="401"/>
    </row>
    <row r="1089" spans="2:14" s="160" customFormat="1" ht="12.75" hidden="1" customHeight="1" outlineLevel="1">
      <c r="B1089" s="390" t="str">
        <f>'RGV1 FGD'!$B$2</f>
        <v>The University of Texas RGV - Academic &amp; Health (A+H)</v>
      </c>
      <c r="C1089" s="566"/>
      <c r="D1089" s="390">
        <f>'RGV1 FGD'!$D$42</f>
        <v>2731768</v>
      </c>
      <c r="E1089" s="390">
        <f>'RGV1 FGD'!$E$42</f>
        <v>27680157</v>
      </c>
      <c r="F1089" s="390">
        <f>'RGV1 FGD'!$F$42</f>
        <v>11924597</v>
      </c>
      <c r="G1089" s="390">
        <f>'RGV1 FGD'!$G$42</f>
        <v>0</v>
      </c>
      <c r="H1089" s="390">
        <f>'RGV1 FGD'!$H$42</f>
        <v>0</v>
      </c>
      <c r="I1089" s="390">
        <f>'RGV1 FGD'!$I$42</f>
        <v>0</v>
      </c>
      <c r="J1089" s="390">
        <f>'RGV1 FGD'!$J$42</f>
        <v>0</v>
      </c>
      <c r="K1089" s="390">
        <f>'RGV1 FGD'!$K$42</f>
        <v>0</v>
      </c>
      <c r="L1089" s="390">
        <f>'RGV1 FGD'!$L$42</f>
        <v>0</v>
      </c>
      <c r="M1089" s="567">
        <f>'RGV1 FGD'!$M$42</f>
        <v>42336522</v>
      </c>
      <c r="N1089" s="401"/>
    </row>
    <row r="1090" spans="2:14" s="160" customFormat="1" ht="12.75" hidden="1" customHeight="1" outlineLevel="1">
      <c r="B1090" s="390" t="str">
        <f>'DAL FGD'!$B$2</f>
        <v>The University of Texas at Dallas</v>
      </c>
      <c r="C1090" s="566"/>
      <c r="D1090" s="390">
        <f>'DAL FGD'!$D$42</f>
        <v>586454</v>
      </c>
      <c r="E1090" s="390">
        <f>'DAL FGD'!$E$42</f>
        <v>81276958</v>
      </c>
      <c r="F1090" s="390">
        <f>'DAL FGD'!$F$42</f>
        <v>20852348</v>
      </c>
      <c r="G1090" s="390">
        <f>'DAL FGD'!$G$42</f>
        <v>0</v>
      </c>
      <c r="H1090" s="390">
        <f>'DAL FGD'!$H$42</f>
        <v>0</v>
      </c>
      <c r="I1090" s="390">
        <f>'DAL FGD'!$I$42</f>
        <v>0</v>
      </c>
      <c r="J1090" s="390">
        <f>'DAL FGD'!$J$42</f>
        <v>0</v>
      </c>
      <c r="K1090" s="390">
        <f>'DAL FGD'!$K$42</f>
        <v>0</v>
      </c>
      <c r="L1090" s="390">
        <f>'DAL FGD'!$L$42</f>
        <v>0</v>
      </c>
      <c r="M1090" s="567">
        <f>'DAL FGD'!$M$42</f>
        <v>102715760</v>
      </c>
      <c r="N1090" s="401"/>
    </row>
    <row r="1091" spans="2:14" s="160" customFormat="1" ht="12.75" hidden="1" customHeight="1" outlineLevel="1">
      <c r="B1091" s="390" t="str">
        <f>'E-P FGD'!$B$2</f>
        <v>The University of Texas at El Paso</v>
      </c>
      <c r="C1091" s="566"/>
      <c r="D1091" s="390">
        <f>'E-P FGD'!$D$42</f>
        <v>0</v>
      </c>
      <c r="E1091" s="390">
        <f>'E-P FGD'!$E$42</f>
        <v>30584078</v>
      </c>
      <c r="F1091" s="390">
        <f>'E-P FGD'!$F$42</f>
        <v>8719211</v>
      </c>
      <c r="G1091" s="390">
        <f>'E-P FGD'!$G$42</f>
        <v>0</v>
      </c>
      <c r="H1091" s="390">
        <f>'E-P FGD'!$H$42</f>
        <v>0</v>
      </c>
      <c r="I1091" s="390">
        <f>'E-P FGD'!$I$42</f>
        <v>0</v>
      </c>
      <c r="J1091" s="390">
        <f>'E-P FGD'!$J$42</f>
        <v>0</v>
      </c>
      <c r="K1091" s="390">
        <f>'E-P FGD'!$K$42</f>
        <v>0</v>
      </c>
      <c r="L1091" s="390">
        <f>'E-P FGD'!$L$42</f>
        <v>0</v>
      </c>
      <c r="M1091" s="567">
        <f>'E-P FGD'!$M$42</f>
        <v>39303289</v>
      </c>
      <c r="N1091" s="401"/>
    </row>
    <row r="1092" spans="2:14" s="160" customFormat="1" ht="12.75" hidden="1" customHeight="1" outlineLevel="1">
      <c r="B1092" s="390" t="str">
        <f>'LU FGD'!$B$2</f>
        <v xml:space="preserve">Lamar University </v>
      </c>
      <c r="C1092" s="566"/>
      <c r="D1092" s="390">
        <f>'LU FGD'!$D$42</f>
        <v>16566</v>
      </c>
      <c r="E1092" s="390">
        <f>'LU FGD'!$E$42</f>
        <v>22316827</v>
      </c>
      <c r="F1092" s="390">
        <f>'LU FGD'!$F$42</f>
        <v>6546121</v>
      </c>
      <c r="G1092" s="390">
        <f>'LU FGD'!$G$42</f>
        <v>0</v>
      </c>
      <c r="H1092" s="390">
        <f>'LU FGD'!$H$42</f>
        <v>0</v>
      </c>
      <c r="I1092" s="390">
        <f>'LU FGD'!$I$42</f>
        <v>0</v>
      </c>
      <c r="J1092" s="390">
        <f>'LU FGD'!$J$42</f>
        <v>0</v>
      </c>
      <c r="K1092" s="390">
        <f>'LU FGD'!$K$42</f>
        <v>0</v>
      </c>
      <c r="L1092" s="390">
        <f>'LU FGD'!$L$42</f>
        <v>0</v>
      </c>
      <c r="M1092" s="567">
        <f>'LU FGD'!$M$42</f>
        <v>28879514</v>
      </c>
      <c r="N1092" s="401"/>
    </row>
    <row r="1093" spans="2:14" s="160" customFormat="1" ht="12.75" hidden="1" customHeight="1" outlineLevel="1">
      <c r="B1093" s="390" t="str">
        <f>'MidWST FGD'!$B$2</f>
        <v>Midwestern State University</v>
      </c>
      <c r="C1093" s="566"/>
      <c r="D1093" s="390">
        <f>'MidWST FGD'!$D$42</f>
        <v>32408</v>
      </c>
      <c r="E1093" s="390">
        <f>'MidWST FGD'!$E$42</f>
        <v>16111062</v>
      </c>
      <c r="F1093" s="390">
        <f>'MidWST FGD'!$F$42</f>
        <v>297005</v>
      </c>
      <c r="G1093" s="390">
        <f>'MidWST FGD'!$G$42</f>
        <v>0</v>
      </c>
      <c r="H1093" s="390">
        <f>'MidWST FGD'!$H$42</f>
        <v>0</v>
      </c>
      <c r="I1093" s="390">
        <f>'MidWST FGD'!$I$42</f>
        <v>0</v>
      </c>
      <c r="J1093" s="390">
        <f>'MidWST FGD'!$J$42</f>
        <v>0</v>
      </c>
      <c r="K1093" s="390">
        <f>'MidWST FGD'!$K$42</f>
        <v>0</v>
      </c>
      <c r="L1093" s="390">
        <f>'MidWST FGD'!$L$42</f>
        <v>0</v>
      </c>
      <c r="M1093" s="567">
        <f>'MidWST FGD'!$M$42</f>
        <v>16440475</v>
      </c>
      <c r="N1093" s="401"/>
    </row>
    <row r="1094" spans="2:14" s="160" customFormat="1" ht="12.75" hidden="1" customHeight="1" outlineLevel="1">
      <c r="B1094" s="390" t="str">
        <f>'P-B FGD'!$B$2</f>
        <v>The University of Texas of the Permian Basin</v>
      </c>
      <c r="C1094" s="566"/>
      <c r="D1094" s="390">
        <f>'P-B FGD'!$D$42</f>
        <v>21983</v>
      </c>
      <c r="E1094" s="390">
        <f>'P-B FGD'!$E$42</f>
        <v>12174362</v>
      </c>
      <c r="F1094" s="390">
        <f>'P-B FGD'!$F$42</f>
        <v>2948771</v>
      </c>
      <c r="G1094" s="390">
        <f>'P-B FGD'!$G$42</f>
        <v>0</v>
      </c>
      <c r="H1094" s="390">
        <f>'P-B FGD'!$H$42</f>
        <v>0</v>
      </c>
      <c r="I1094" s="390">
        <f>'P-B FGD'!$I$42</f>
        <v>0</v>
      </c>
      <c r="J1094" s="390">
        <f>'P-B FGD'!$J$42</f>
        <v>0</v>
      </c>
      <c r="K1094" s="390">
        <f>'P-B FGD'!$K$42</f>
        <v>0</v>
      </c>
      <c r="L1094" s="390">
        <f>'P-B FGD'!$L$42</f>
        <v>0</v>
      </c>
      <c r="M1094" s="567">
        <f>'P-B FGD'!$M$42</f>
        <v>15145116</v>
      </c>
      <c r="N1094" s="401"/>
    </row>
    <row r="1095" spans="2:14" s="160" customFormat="1" ht="12.75" hidden="1" customHeight="1" outlineLevel="1">
      <c r="B1095" s="390" t="str">
        <f>'PVAMU FGD'!$B$2</f>
        <v>Prairie View A&amp;M University</v>
      </c>
      <c r="C1095" s="566"/>
      <c r="D1095" s="390">
        <f>'PVAMU FGD'!$D$42</f>
        <v>92974</v>
      </c>
      <c r="E1095" s="390">
        <f>'PVAMU FGD'!$E$42</f>
        <v>15814778</v>
      </c>
      <c r="F1095" s="390">
        <f>'PVAMU FGD'!$F$42</f>
        <v>5314996</v>
      </c>
      <c r="G1095" s="390">
        <f>'PVAMU FGD'!$G$42</f>
        <v>-3084040</v>
      </c>
      <c r="H1095" s="390">
        <f>'PVAMU FGD'!$H$42</f>
        <v>0</v>
      </c>
      <c r="I1095" s="390">
        <f>'PVAMU FGD'!$I$42</f>
        <v>0</v>
      </c>
      <c r="J1095" s="390">
        <f>'PVAMU FGD'!$J$42</f>
        <v>0</v>
      </c>
      <c r="K1095" s="390">
        <f>'PVAMU FGD'!$K$42</f>
        <v>0</v>
      </c>
      <c r="L1095" s="390">
        <f>'PVAMU FGD'!$L$42</f>
        <v>0</v>
      </c>
      <c r="M1095" s="567">
        <f>'PVAMU FGD'!$M$42</f>
        <v>18138708</v>
      </c>
      <c r="N1095" s="401"/>
    </row>
    <row r="1096" spans="2:14" s="160" customFormat="1" ht="12.75" hidden="1" customHeight="1" outlineLevel="1">
      <c r="B1096" s="390" t="str">
        <f>'S-A FGD'!$B$2</f>
        <v>The University of Texas at San Antonio</v>
      </c>
      <c r="C1096" s="566"/>
      <c r="D1096" s="390">
        <f>'S-A FGD'!$D$42</f>
        <v>3712981</v>
      </c>
      <c r="E1096" s="390">
        <f>'S-A FGD'!$E$42</f>
        <v>64487727</v>
      </c>
      <c r="F1096" s="390">
        <f>'S-A FGD'!$F$42</f>
        <v>23507282</v>
      </c>
      <c r="G1096" s="390">
        <f>'S-A FGD'!$G$42</f>
        <v>0</v>
      </c>
      <c r="H1096" s="390">
        <f>'S-A FGD'!$H$42</f>
        <v>0</v>
      </c>
      <c r="I1096" s="390">
        <f>'S-A FGD'!$I$42</f>
        <v>0</v>
      </c>
      <c r="J1096" s="390">
        <f>'S-A FGD'!$J$42</f>
        <v>0</v>
      </c>
      <c r="K1096" s="390">
        <f>'S-A FGD'!$K$42</f>
        <v>0</v>
      </c>
      <c r="L1096" s="390">
        <f>'S-A FGD'!$L$42</f>
        <v>0</v>
      </c>
      <c r="M1096" s="567">
        <f>'S-A FGD'!$M$42</f>
        <v>91707990</v>
      </c>
      <c r="N1096" s="401"/>
    </row>
    <row r="1097" spans="2:14" s="160" customFormat="1" ht="12.75" hidden="1" customHeight="1" outlineLevel="1">
      <c r="B1097" s="390" t="str">
        <f>'SFA FGD'!$B$2</f>
        <v>Stephen F. Austin State University</v>
      </c>
      <c r="C1097" s="566"/>
      <c r="D1097" s="390">
        <f>'SFA FGD'!$D$42</f>
        <v>119787</v>
      </c>
      <c r="E1097" s="390">
        <f>'SFA FGD'!$E$42</f>
        <v>19112661</v>
      </c>
      <c r="F1097" s="390">
        <f>'SFA FGD'!$F$42</f>
        <v>4254012</v>
      </c>
      <c r="G1097" s="390">
        <f>'SFA FGD'!$G$42</f>
        <v>0</v>
      </c>
      <c r="H1097" s="390">
        <f>'SFA FGD'!$H$42</f>
        <v>0</v>
      </c>
      <c r="I1097" s="390">
        <f>'SFA FGD'!$I$42</f>
        <v>0</v>
      </c>
      <c r="J1097" s="390">
        <f>'SFA FGD'!$J$42</f>
        <v>0</v>
      </c>
      <c r="K1097" s="390">
        <f>'SFA FGD'!$K$42</f>
        <v>0</v>
      </c>
      <c r="L1097" s="390">
        <f>'SFA FGD'!$L$42</f>
        <v>0</v>
      </c>
      <c r="M1097" s="567">
        <f>'SFA FGD'!$M$42</f>
        <v>23486460</v>
      </c>
      <c r="N1097" s="401"/>
    </row>
    <row r="1098" spans="2:14" s="160" customFormat="1" ht="12.75" hidden="1" customHeight="1" outlineLevel="1">
      <c r="B1098" s="390" t="str">
        <f>'shsu1 FGD'!$B$2</f>
        <v>Sam Houston State University - Academic &amp; Health (A+H)</v>
      </c>
      <c r="C1098" s="566"/>
      <c r="D1098" s="390">
        <f>'shsu1 FGD'!$D$42</f>
        <v>457509</v>
      </c>
      <c r="E1098" s="390">
        <f>'shsu1 FGD'!$E$42</f>
        <v>76822423</v>
      </c>
      <c r="F1098" s="390">
        <f>'shsu1 FGD'!$F$42</f>
        <v>10620475</v>
      </c>
      <c r="G1098" s="390">
        <f>'shsu1 FGD'!$G$42</f>
        <v>0</v>
      </c>
      <c r="H1098" s="390">
        <f>'shsu1 FGD'!$H$42</f>
        <v>0</v>
      </c>
      <c r="I1098" s="390">
        <f>'shsu1 FGD'!$I$42</f>
        <v>0</v>
      </c>
      <c r="J1098" s="390">
        <f>'shsu1 FGD'!$J$42</f>
        <v>0</v>
      </c>
      <c r="K1098" s="390">
        <f>'shsu1 FGD'!$K$42</f>
        <v>0</v>
      </c>
      <c r="L1098" s="390">
        <f>'shsu1 FGD'!$L$42</f>
        <v>0</v>
      </c>
      <c r="M1098" s="567">
        <f>'shsu1 FGD'!$M$42</f>
        <v>87900407</v>
      </c>
      <c r="N1098" s="401"/>
    </row>
    <row r="1099" spans="2:14" s="160" customFormat="1" ht="12.75" hidden="1" customHeight="1" outlineLevel="1">
      <c r="B1099" s="390" t="str">
        <f>'SRSU FGD'!$B$2</f>
        <v>Sul Ross State University</v>
      </c>
      <c r="C1099" s="566"/>
      <c r="D1099" s="390">
        <f>'SRSU FGD'!$D$42</f>
        <v>119783</v>
      </c>
      <c r="E1099" s="390">
        <f>'SRSU FGD'!$E$42</f>
        <v>3241432</v>
      </c>
      <c r="F1099" s="390">
        <f>'SRSU FGD'!$F$42</f>
        <v>0</v>
      </c>
      <c r="G1099" s="390">
        <f>'SRSU FGD'!$G$42</f>
        <v>0</v>
      </c>
      <c r="H1099" s="390">
        <f>'SRSU FGD'!$H$42</f>
        <v>0</v>
      </c>
      <c r="I1099" s="390">
        <f>'SRSU FGD'!$I$42</f>
        <v>0</v>
      </c>
      <c r="J1099" s="390">
        <f>'SRSU FGD'!$J$42</f>
        <v>0</v>
      </c>
      <c r="K1099" s="390">
        <f>'SRSU FGD'!$K$42</f>
        <v>0</v>
      </c>
      <c r="L1099" s="390">
        <f>'SRSU FGD'!$L$42</f>
        <v>0</v>
      </c>
      <c r="M1099" s="567">
        <f>'SRSU FGD'!$M$42</f>
        <v>3361215</v>
      </c>
      <c r="N1099" s="401"/>
    </row>
    <row r="1100" spans="2:14" s="160" customFormat="1" ht="12.75" hidden="1" customHeight="1" outlineLevel="1">
      <c r="B1100" s="390" t="str">
        <f>'TAMIU FGD'!$B$2</f>
        <v>Texas A&amp;M International University</v>
      </c>
      <c r="C1100" s="566"/>
      <c r="D1100" s="390">
        <f>'TAMIU FGD'!$D$42</f>
        <v>262746</v>
      </c>
      <c r="E1100" s="390">
        <f>'TAMIU FGD'!$E$42</f>
        <v>13021413</v>
      </c>
      <c r="F1100" s="390">
        <f>'TAMIU FGD'!$F$42</f>
        <v>4380414</v>
      </c>
      <c r="G1100" s="390">
        <f>'TAMIU FGD'!$G$42</f>
        <v>88</v>
      </c>
      <c r="H1100" s="390">
        <f>'TAMIU FGD'!$H$42</f>
        <v>0</v>
      </c>
      <c r="I1100" s="390">
        <f>'TAMIU FGD'!$I$42</f>
        <v>0</v>
      </c>
      <c r="J1100" s="390">
        <f>'TAMIU FGD'!$J$42</f>
        <v>0</v>
      </c>
      <c r="K1100" s="390">
        <f>'TAMIU FGD'!$K$42</f>
        <v>0</v>
      </c>
      <c r="L1100" s="390">
        <f>'TAMIU FGD'!$L$42</f>
        <v>0</v>
      </c>
      <c r="M1100" s="567">
        <f>'TAMIU FGD'!$M$42</f>
        <v>17664661</v>
      </c>
      <c r="N1100" s="401"/>
    </row>
    <row r="1101" spans="2:14" s="160" customFormat="1" ht="12.75" hidden="1" customHeight="1" outlineLevel="1">
      <c r="B1101" s="390" t="str">
        <f>'TAMU FGD'!$B$2</f>
        <v>Texas A&amp;M University</v>
      </c>
      <c r="C1101" s="566"/>
      <c r="D1101" s="390">
        <f>'TAMU FGD'!$D$42</f>
        <v>676012</v>
      </c>
      <c r="E1101" s="390">
        <f>'TAMU FGD'!$E$42</f>
        <v>204558782</v>
      </c>
      <c r="F1101" s="390">
        <f>'TAMU FGD'!$F$42</f>
        <v>31913551</v>
      </c>
      <c r="G1101" s="390">
        <f>'TAMU FGD'!$G$42</f>
        <v>0</v>
      </c>
      <c r="H1101" s="390">
        <f>'TAMU FGD'!$H$42</f>
        <v>0</v>
      </c>
      <c r="I1101" s="390">
        <f>'TAMU FGD'!$I$42</f>
        <v>0</v>
      </c>
      <c r="J1101" s="390">
        <f>'TAMU FGD'!$J$42</f>
        <v>0</v>
      </c>
      <c r="K1101" s="390">
        <f>'TAMU FGD'!$K$42</f>
        <v>0</v>
      </c>
      <c r="L1101" s="390">
        <f>'TAMU FGD'!$L$42</f>
        <v>0</v>
      </c>
      <c r="M1101" s="567">
        <f>'TAMU FGD'!$M$42</f>
        <v>237148345</v>
      </c>
      <c r="N1101" s="401"/>
    </row>
    <row r="1102" spans="2:14" s="160" customFormat="1" ht="12.75" hidden="1" customHeight="1" outlineLevel="1">
      <c r="B1102" s="390" t="str">
        <f>'TAMUC FGD'!$B$2</f>
        <v>Texas A&amp;M University - Commerce</v>
      </c>
      <c r="C1102" s="566"/>
      <c r="D1102" s="390">
        <f>'TAMUC FGD'!$D$42</f>
        <v>280741</v>
      </c>
      <c r="E1102" s="390">
        <f>'TAMUC FGD'!$E$42</f>
        <v>33509153</v>
      </c>
      <c r="F1102" s="390">
        <f>'TAMUC FGD'!$F$42</f>
        <v>13799746</v>
      </c>
      <c r="G1102" s="390">
        <f>'TAMUC FGD'!$G$42</f>
        <v>-1681659</v>
      </c>
      <c r="H1102" s="390">
        <f>'TAMUC FGD'!$H$42</f>
        <v>0</v>
      </c>
      <c r="I1102" s="390">
        <f>'TAMUC FGD'!$I$42</f>
        <v>0</v>
      </c>
      <c r="J1102" s="390">
        <f>'TAMUC FGD'!$J$42</f>
        <v>0</v>
      </c>
      <c r="K1102" s="390">
        <f>'TAMUC FGD'!$K$42</f>
        <v>0</v>
      </c>
      <c r="L1102" s="390">
        <f>'TAMUC FGD'!$L$42</f>
        <v>0</v>
      </c>
      <c r="M1102" s="567">
        <f>'TAMUC FGD'!$M$42</f>
        <v>45907981</v>
      </c>
      <c r="N1102" s="401"/>
    </row>
    <row r="1103" spans="2:14" s="160" customFormat="1" ht="12.75" hidden="1" customHeight="1" outlineLevel="1">
      <c r="B1103" s="390" t="str">
        <f>'TAMUCC FGD'!$B$2</f>
        <v>Texas A&amp;M University - Corpus Christi</v>
      </c>
      <c r="C1103" s="566"/>
      <c r="D1103" s="390">
        <f>'TAMUCC FGD'!$D$42</f>
        <v>188043</v>
      </c>
      <c r="E1103" s="390">
        <f>'TAMUCC FGD'!$E$42</f>
        <v>28280932</v>
      </c>
      <c r="F1103" s="390">
        <f>'TAMUCC FGD'!$F$42</f>
        <v>14519728</v>
      </c>
      <c r="G1103" s="390">
        <f>'TAMUCC FGD'!$G$42</f>
        <v>0</v>
      </c>
      <c r="H1103" s="390">
        <f>'TAMUCC FGD'!$H$42</f>
        <v>0</v>
      </c>
      <c r="I1103" s="390">
        <f>'TAMUCC FGD'!$I$42</f>
        <v>0</v>
      </c>
      <c r="J1103" s="390">
        <f>'TAMUCC FGD'!$J$42</f>
        <v>0</v>
      </c>
      <c r="K1103" s="390">
        <f>'TAMUCC FGD'!$K$42</f>
        <v>0</v>
      </c>
      <c r="L1103" s="390">
        <f>'TAMUCC FGD'!$L$42</f>
        <v>0</v>
      </c>
      <c r="M1103" s="567">
        <f>'TAMUCC FGD'!$M$42</f>
        <v>42988703</v>
      </c>
      <c r="N1103" s="401"/>
    </row>
    <row r="1104" spans="2:14" s="160" customFormat="1" ht="12.75" hidden="1" customHeight="1" outlineLevel="1">
      <c r="B1104" s="390" t="str">
        <f>'TAMUCT FGD'!$B$2</f>
        <v>Texas A&amp;M University - Central Texas</v>
      </c>
      <c r="C1104" s="566"/>
      <c r="D1104" s="390">
        <f>'TAMUCT FGD'!$D$42</f>
        <v>21602</v>
      </c>
      <c r="E1104" s="390">
        <f>'TAMUCT FGD'!$E$42</f>
        <v>3862654</v>
      </c>
      <c r="F1104" s="390">
        <f>'TAMUCT FGD'!$F$42</f>
        <v>0</v>
      </c>
      <c r="G1104" s="390">
        <f>'TAMUCT FGD'!$G$42</f>
        <v>875</v>
      </c>
      <c r="H1104" s="390">
        <f>'TAMUCT FGD'!$H$42</f>
        <v>0</v>
      </c>
      <c r="I1104" s="390">
        <f>'TAMUCT FGD'!$I$42</f>
        <v>0</v>
      </c>
      <c r="J1104" s="390">
        <f>'TAMUCT FGD'!$J$42</f>
        <v>0</v>
      </c>
      <c r="K1104" s="390">
        <f>'TAMUCT FGD'!$K$42</f>
        <v>0</v>
      </c>
      <c r="L1104" s="390">
        <f>'TAMUCT FGD'!$L$42</f>
        <v>0</v>
      </c>
      <c r="M1104" s="567">
        <f>'TAMUCT FGD'!$M$42</f>
        <v>3885131</v>
      </c>
      <c r="N1104" s="401"/>
    </row>
    <row r="1105" spans="2:14" s="160" customFormat="1" ht="12.75" hidden="1" customHeight="1" outlineLevel="1">
      <c r="B1105" s="390" t="str">
        <f>'TAMUG FGD'!$B$2</f>
        <v>Texas A&amp;M University at Galveston</v>
      </c>
      <c r="C1105" s="566"/>
      <c r="D1105" s="390">
        <f>'TAMUG FGD'!$D$42</f>
        <v>68654</v>
      </c>
      <c r="E1105" s="390">
        <f>'TAMUG FGD'!$E$42</f>
        <v>8547808</v>
      </c>
      <c r="F1105" s="390">
        <f>'TAMUG FGD'!$F$42</f>
        <v>60588</v>
      </c>
      <c r="G1105" s="390">
        <f>'TAMUG FGD'!$G$42</f>
        <v>0</v>
      </c>
      <c r="H1105" s="390">
        <f>'TAMUG FGD'!$H$42</f>
        <v>0</v>
      </c>
      <c r="I1105" s="390">
        <f>'TAMUG FGD'!$I$42</f>
        <v>0</v>
      </c>
      <c r="J1105" s="390">
        <f>'TAMUG FGD'!$J$42</f>
        <v>0</v>
      </c>
      <c r="K1105" s="390">
        <f>'TAMUG FGD'!$K$42</f>
        <v>0</v>
      </c>
      <c r="L1105" s="390">
        <f>'TAMUG FGD'!$L$42</f>
        <v>0</v>
      </c>
      <c r="M1105" s="567">
        <f>'TAMUG FGD'!$M$42</f>
        <v>8677050</v>
      </c>
      <c r="N1105" s="401"/>
    </row>
    <row r="1106" spans="2:14" s="160" customFormat="1" ht="12.75" hidden="1" customHeight="1" outlineLevel="1">
      <c r="B1106" s="390" t="str">
        <f>'TAMUK FGD'!$B$2</f>
        <v>Texas A&amp;M University - Kingsville</v>
      </c>
      <c r="C1106" s="566"/>
      <c r="D1106" s="390">
        <f>'TAMUK FGD'!$D$42</f>
        <v>199984</v>
      </c>
      <c r="E1106" s="390">
        <f>'TAMUK FGD'!$E$42</f>
        <v>13282587</v>
      </c>
      <c r="F1106" s="390">
        <f>'TAMUK FGD'!$F$42</f>
        <v>5421325</v>
      </c>
      <c r="G1106" s="390">
        <f>'TAMUK FGD'!$G$42</f>
        <v>-321932</v>
      </c>
      <c r="H1106" s="390">
        <f>'TAMUK FGD'!$H$42</f>
        <v>0</v>
      </c>
      <c r="I1106" s="390">
        <f>'TAMUK FGD'!$I$42</f>
        <v>0</v>
      </c>
      <c r="J1106" s="390">
        <f>'TAMUK FGD'!$J$42</f>
        <v>0</v>
      </c>
      <c r="K1106" s="390">
        <f>'TAMUK FGD'!$K$42</f>
        <v>0</v>
      </c>
      <c r="L1106" s="390">
        <f>'TAMUK FGD'!$L$42</f>
        <v>0</v>
      </c>
      <c r="M1106" s="567">
        <f>'TAMUK FGD'!$M$42</f>
        <v>18581964</v>
      </c>
      <c r="N1106" s="401"/>
    </row>
    <row r="1107" spans="2:14" s="160" customFormat="1" ht="12.75" hidden="1" customHeight="1" outlineLevel="1">
      <c r="B1107" s="390" t="str">
        <f>'TAMUSA FGD'!$B$2</f>
        <v>Texas A&amp;M University - San Antonio</v>
      </c>
      <c r="C1107" s="566"/>
      <c r="D1107" s="390">
        <f>'TAMUSA FGD'!$D$42</f>
        <v>91162</v>
      </c>
      <c r="E1107" s="390">
        <f>'TAMUSA FGD'!$E$42</f>
        <v>13942932</v>
      </c>
      <c r="F1107" s="390">
        <f>'TAMUSA FGD'!$F$42</f>
        <v>425512</v>
      </c>
      <c r="G1107" s="390">
        <f>'TAMUSA FGD'!$G$42</f>
        <v>-794764</v>
      </c>
      <c r="H1107" s="390">
        <f>'TAMUSA FGD'!$H$42</f>
        <v>0</v>
      </c>
      <c r="I1107" s="390">
        <f>'TAMUSA FGD'!$I$42</f>
        <v>0</v>
      </c>
      <c r="J1107" s="390">
        <f>'TAMUSA FGD'!$J$42</f>
        <v>0</v>
      </c>
      <c r="K1107" s="390">
        <f>'TAMUSA FGD'!$K$42</f>
        <v>0</v>
      </c>
      <c r="L1107" s="390">
        <f>'TAMUSA FGD'!$L$42</f>
        <v>0</v>
      </c>
      <c r="M1107" s="567">
        <f>'TAMUSA FGD'!$M$42</f>
        <v>13664842</v>
      </c>
      <c r="N1107" s="401"/>
    </row>
    <row r="1108" spans="2:14" s="160" customFormat="1" ht="12.75" hidden="1" customHeight="1" outlineLevel="1">
      <c r="B1108" s="390" t="str">
        <f>'TAMUT FGD'!$B$2</f>
        <v>Texas A&amp;M University - Texarkana</v>
      </c>
      <c r="C1108" s="566"/>
      <c r="D1108" s="390">
        <f>'TAMUT FGD'!$D$42</f>
        <v>180</v>
      </c>
      <c r="E1108" s="390">
        <f>'TAMUT FGD'!$E$42</f>
        <v>2976893</v>
      </c>
      <c r="F1108" s="390">
        <f>'TAMUT FGD'!$F$42</f>
        <v>735402</v>
      </c>
      <c r="G1108" s="390">
        <f>'TAMUT FGD'!$G$42</f>
        <v>0</v>
      </c>
      <c r="H1108" s="390">
        <f>'TAMUT FGD'!$H$42</f>
        <v>0</v>
      </c>
      <c r="I1108" s="390">
        <f>'TAMUT FGD'!$I$42</f>
        <v>0</v>
      </c>
      <c r="J1108" s="390">
        <f>'TAMUT FGD'!$J$42</f>
        <v>0</v>
      </c>
      <c r="K1108" s="390">
        <f>'TAMUT FGD'!$K$42</f>
        <v>0</v>
      </c>
      <c r="L1108" s="390">
        <f>'TAMUT FGD'!$L$42</f>
        <v>0</v>
      </c>
      <c r="M1108" s="567">
        <f>'TAMUT FGD'!$M$42</f>
        <v>3712475</v>
      </c>
      <c r="N1108" s="401"/>
    </row>
    <row r="1109" spans="2:14" s="160" customFormat="1" ht="12.75" hidden="1" customHeight="1" outlineLevel="1">
      <c r="B1109" s="390" t="str">
        <f>'TARLST FGD'!$B$2</f>
        <v>Tarleton State University</v>
      </c>
      <c r="C1109" s="566"/>
      <c r="D1109" s="390">
        <f>'TARLST FGD'!$D$42</f>
        <v>55636</v>
      </c>
      <c r="E1109" s="390">
        <f>'TARLST FGD'!$E$42</f>
        <v>26147571</v>
      </c>
      <c r="F1109" s="390">
        <f>'TARLST FGD'!$F$42</f>
        <v>11815873</v>
      </c>
      <c r="G1109" s="390">
        <f>'TARLST FGD'!$G$42</f>
        <v>-248750</v>
      </c>
      <c r="H1109" s="390">
        <f>'TARLST FGD'!$H$42</f>
        <v>0</v>
      </c>
      <c r="I1109" s="390">
        <f>'TARLST FGD'!$I$42</f>
        <v>0</v>
      </c>
      <c r="J1109" s="390">
        <f>'TARLST FGD'!$J$42</f>
        <v>0</v>
      </c>
      <c r="K1109" s="390">
        <f>'TARLST FGD'!$K$42</f>
        <v>0</v>
      </c>
      <c r="L1109" s="390">
        <f>'TARLST FGD'!$L$42</f>
        <v>0</v>
      </c>
      <c r="M1109" s="567">
        <f>'TARLST FGD'!$M$42</f>
        <v>37770330</v>
      </c>
      <c r="N1109" s="401"/>
    </row>
    <row r="1110" spans="2:14" s="160" customFormat="1" ht="12.75" hidden="1" customHeight="1" outlineLevel="1">
      <c r="B1110" s="390" t="str">
        <f>'TSU FGD'!$B$2</f>
        <v>Texas Southern University</v>
      </c>
      <c r="C1110" s="566"/>
      <c r="D1110" s="390">
        <f>'TSU FGD'!$D$42</f>
        <v>-767669</v>
      </c>
      <c r="E1110" s="390">
        <f>'TSU FGD'!$E$42</f>
        <v>7255639</v>
      </c>
      <c r="F1110" s="390">
        <f>'TSU FGD'!$F$42</f>
        <v>5129512</v>
      </c>
      <c r="G1110" s="390">
        <f>'TSU FGD'!$G$42</f>
        <v>0</v>
      </c>
      <c r="H1110" s="390">
        <f>'TSU FGD'!$H$42</f>
        <v>0</v>
      </c>
      <c r="I1110" s="390">
        <f>'TSU FGD'!$I$42</f>
        <v>0</v>
      </c>
      <c r="J1110" s="390">
        <f>'TSU FGD'!$J$42</f>
        <v>0</v>
      </c>
      <c r="K1110" s="390">
        <f>'TSU FGD'!$K$42</f>
        <v>0</v>
      </c>
      <c r="L1110" s="390">
        <f>'TSU FGD'!$L$42</f>
        <v>0</v>
      </c>
      <c r="M1110" s="567">
        <f>'TSU FGD'!$M$42</f>
        <v>11617482</v>
      </c>
      <c r="N1110" s="401"/>
    </row>
    <row r="1111" spans="2:14" s="160" customFormat="1" ht="12.75" hidden="1" customHeight="1" outlineLevel="1">
      <c r="B1111" s="390" t="str">
        <f>'TTU FGD'!$B$2</f>
        <v>Texas Tech University</v>
      </c>
      <c r="C1111" s="566"/>
      <c r="D1111" s="390">
        <f>'TTU FGD'!$D$42</f>
        <v>0</v>
      </c>
      <c r="E1111" s="390">
        <f>'TTU FGD'!$E$42</f>
        <v>108293857</v>
      </c>
      <c r="F1111" s="390">
        <f>'TTU FGD'!$F$42</f>
        <v>4436553</v>
      </c>
      <c r="G1111" s="390">
        <f>'TTU FGD'!$G$42</f>
        <v>0</v>
      </c>
      <c r="H1111" s="390">
        <f>'TTU FGD'!$H$42</f>
        <v>0</v>
      </c>
      <c r="I1111" s="390">
        <f>'TTU FGD'!$I$42</f>
        <v>0</v>
      </c>
      <c r="J1111" s="390">
        <f>'TTU FGD'!$J$42</f>
        <v>0</v>
      </c>
      <c r="K1111" s="390">
        <f>'TTU FGD'!$K$42</f>
        <v>0</v>
      </c>
      <c r="L1111" s="390">
        <f>'TTU FGD'!$L$42</f>
        <v>0</v>
      </c>
      <c r="M1111" s="567">
        <f>'TTU FGD'!$M$42</f>
        <v>112730410</v>
      </c>
      <c r="N1111" s="401"/>
    </row>
    <row r="1112" spans="2:14" s="160" customFormat="1" ht="12.75" hidden="1" customHeight="1" outlineLevel="1">
      <c r="B1112" s="390" t="str">
        <f>'TWU FGD'!$B$2</f>
        <v>Texas Woman's University</v>
      </c>
      <c r="C1112" s="566"/>
      <c r="D1112" s="390">
        <f>'TWU FGD'!$D$42</f>
        <v>-13571452</v>
      </c>
      <c r="E1112" s="390">
        <f>'TWU FGD'!$E$42</f>
        <v>-10439380</v>
      </c>
      <c r="F1112" s="390">
        <f>'TWU FGD'!$F$42</f>
        <v>0</v>
      </c>
      <c r="G1112" s="390">
        <f>'TWU FGD'!$G$42</f>
        <v>0</v>
      </c>
      <c r="H1112" s="390">
        <f>'TWU FGD'!$H$42</f>
        <v>0</v>
      </c>
      <c r="I1112" s="390">
        <f>'TWU FGD'!$I$42</f>
        <v>0</v>
      </c>
      <c r="J1112" s="390">
        <f>'TWU FGD'!$J$42</f>
        <v>0</v>
      </c>
      <c r="K1112" s="390">
        <f>'TWU FGD'!$K$42</f>
        <v>0</v>
      </c>
      <c r="L1112" s="390">
        <f>'TWU FGD'!$L$42</f>
        <v>0</v>
      </c>
      <c r="M1112" s="567">
        <f>'TWU FGD'!$M$42</f>
        <v>-24010832</v>
      </c>
      <c r="N1112" s="401"/>
    </row>
    <row r="1113" spans="2:14" s="160" customFormat="1" ht="12.75" hidden="1" customHeight="1" outlineLevel="1">
      <c r="B1113" s="390" t="str">
        <f>'TXST FGD'!$B$2</f>
        <v>Texas State University</v>
      </c>
      <c r="C1113" s="566"/>
      <c r="D1113" s="390">
        <f>'TXST FGD'!$D$42</f>
        <v>1347494</v>
      </c>
      <c r="E1113" s="390">
        <f>'TXST FGD'!$E$42</f>
        <v>38978056</v>
      </c>
      <c r="F1113" s="390">
        <f>'TXST FGD'!$F$42</f>
        <v>43146031</v>
      </c>
      <c r="G1113" s="390">
        <f>'TXST FGD'!$G$42</f>
        <v>0</v>
      </c>
      <c r="H1113" s="390">
        <f>'TXST FGD'!$H$42</f>
        <v>0</v>
      </c>
      <c r="I1113" s="390">
        <f>'TXST FGD'!$I$42</f>
        <v>0</v>
      </c>
      <c r="J1113" s="390">
        <f>'TXST FGD'!$J$42</f>
        <v>0</v>
      </c>
      <c r="K1113" s="390">
        <f>'TXST FGD'!$K$42</f>
        <v>0</v>
      </c>
      <c r="L1113" s="390">
        <f>'TXST FGD'!$L$42</f>
        <v>0</v>
      </c>
      <c r="M1113" s="567">
        <f>'TXST FGD'!$M$42</f>
        <v>83471581</v>
      </c>
      <c r="N1113" s="401"/>
    </row>
    <row r="1114" spans="2:14" s="160" customFormat="1" ht="12.75" hidden="1" customHeight="1" outlineLevel="1">
      <c r="B1114" s="390" t="str">
        <f>'TYL FGD'!$B$2</f>
        <v>The University of Texas at Tyler</v>
      </c>
      <c r="C1114" s="566"/>
      <c r="D1114" s="390">
        <f>'TYL FGD'!$D$42</f>
        <v>0</v>
      </c>
      <c r="E1114" s="390">
        <f>'TYL FGD'!$E$42</f>
        <v>16305108</v>
      </c>
      <c r="F1114" s="390">
        <f>'TYL FGD'!$F$42</f>
        <v>5068446</v>
      </c>
      <c r="G1114" s="390">
        <f>'TYL FGD'!$G$42</f>
        <v>0</v>
      </c>
      <c r="H1114" s="390">
        <f>'TYL FGD'!$H$42</f>
        <v>0</v>
      </c>
      <c r="I1114" s="390">
        <f>'TYL FGD'!$I$42</f>
        <v>0</v>
      </c>
      <c r="J1114" s="390">
        <f>'TYL FGD'!$J$42</f>
        <v>0</v>
      </c>
      <c r="K1114" s="390">
        <f>'TYL FGD'!$K$42</f>
        <v>0</v>
      </c>
      <c r="L1114" s="390">
        <f>'TYL FGD'!$L$42</f>
        <v>0</v>
      </c>
      <c r="M1114" s="567">
        <f>'TYL FGD'!$M$42</f>
        <v>21373554</v>
      </c>
      <c r="N1114" s="401"/>
    </row>
    <row r="1115" spans="2:14" s="160" customFormat="1" ht="12.75" hidden="1" customHeight="1" outlineLevel="1">
      <c r="B1115" s="390" t="str">
        <f>'UH1 FGD'!$B$2</f>
        <v>University of Houston - Academic &amp; Health (A+H)</v>
      </c>
      <c r="C1115" s="566"/>
      <c r="D1115" s="390">
        <f>'UH1 FGD'!$D$42</f>
        <v>274001</v>
      </c>
      <c r="E1115" s="390">
        <f>'UH1 FGD'!$E$42</f>
        <v>88535981</v>
      </c>
      <c r="F1115" s="390">
        <f>'UH1 FGD'!$F$42</f>
        <v>21349204</v>
      </c>
      <c r="G1115" s="390">
        <f>'UH1 FGD'!$G$42</f>
        <v>0</v>
      </c>
      <c r="H1115" s="390">
        <f>'UH1 FGD'!$H$42</f>
        <v>0</v>
      </c>
      <c r="I1115" s="390">
        <f>'UH1 FGD'!$I$42</f>
        <v>0</v>
      </c>
      <c r="J1115" s="390">
        <f>'UH1 FGD'!$J$42</f>
        <v>0</v>
      </c>
      <c r="K1115" s="390">
        <f>'UH1 FGD'!$K$42</f>
        <v>0</v>
      </c>
      <c r="L1115" s="390">
        <f>'UH1 FGD'!$L$42</f>
        <v>0</v>
      </c>
      <c r="M1115" s="567">
        <f>'UH1 FGD'!$M$42</f>
        <v>110159186</v>
      </c>
      <c r="N1115" s="401"/>
    </row>
    <row r="1116" spans="2:14" s="160" customFormat="1" ht="12.75" hidden="1" customHeight="1" outlineLevel="1">
      <c r="B1116" s="390" t="str">
        <f>'UHCL FGD'!$B$2</f>
        <v>University of Houston - Clear Lake</v>
      </c>
      <c r="C1116" s="566"/>
      <c r="D1116" s="390">
        <f>'UHCL FGD'!$D$42</f>
        <v>0</v>
      </c>
      <c r="E1116" s="390">
        <f>'UHCL FGD'!$E$42</f>
        <v>7652305</v>
      </c>
      <c r="F1116" s="390">
        <f>'UHCL FGD'!$F$42</f>
        <v>5980380</v>
      </c>
      <c r="G1116" s="390">
        <f>'UHCL FGD'!$G$42</f>
        <v>0</v>
      </c>
      <c r="H1116" s="390">
        <f>'UHCL FGD'!$H$42</f>
        <v>0</v>
      </c>
      <c r="I1116" s="390">
        <f>'UHCL FGD'!$I$42</f>
        <v>0</v>
      </c>
      <c r="J1116" s="390">
        <f>'UHCL FGD'!$J$42</f>
        <v>0</v>
      </c>
      <c r="K1116" s="390">
        <f>'UHCL FGD'!$K$42</f>
        <v>0</v>
      </c>
      <c r="L1116" s="390">
        <f>'UHCL FGD'!$L$42</f>
        <v>0</v>
      </c>
      <c r="M1116" s="567">
        <f>'UHCL FGD'!$M$42</f>
        <v>13632685</v>
      </c>
      <c r="N1116" s="401"/>
    </row>
    <row r="1117" spans="2:14" s="160" customFormat="1" ht="12.75" hidden="1" customHeight="1" outlineLevel="1">
      <c r="B1117" s="390" t="str">
        <f>'UHD FGD'!$B$2</f>
        <v>University of Houston - Downtown</v>
      </c>
      <c r="C1117" s="566"/>
      <c r="D1117" s="390">
        <f>'UHD FGD'!$D$42</f>
        <v>5482</v>
      </c>
      <c r="E1117" s="390">
        <f>'UHD FGD'!$E$42</f>
        <v>10324347</v>
      </c>
      <c r="F1117" s="390">
        <f>'UHD FGD'!$F$42</f>
        <v>6312443</v>
      </c>
      <c r="G1117" s="390">
        <f>'UHD FGD'!$G$42</f>
        <v>0</v>
      </c>
      <c r="H1117" s="390">
        <f>'UHD FGD'!$H$42</f>
        <v>0</v>
      </c>
      <c r="I1117" s="390">
        <f>'UHD FGD'!$I$42</f>
        <v>0</v>
      </c>
      <c r="J1117" s="390">
        <f>'UHD FGD'!$J$42</f>
        <v>0</v>
      </c>
      <c r="K1117" s="390">
        <f>'UHD FGD'!$K$42</f>
        <v>0</v>
      </c>
      <c r="L1117" s="390">
        <f>'UHD FGD'!$L$42</f>
        <v>0</v>
      </c>
      <c r="M1117" s="567">
        <f>'UHD FGD'!$M$42</f>
        <v>16642272</v>
      </c>
      <c r="N1117" s="401"/>
    </row>
    <row r="1118" spans="2:14" s="160" customFormat="1" ht="12.75" hidden="1" customHeight="1" outlineLevel="1">
      <c r="B1118" s="390" t="str">
        <f>'UHV FGD'!$B$2</f>
        <v>University of Houston - Victoria</v>
      </c>
      <c r="C1118" s="566"/>
      <c r="D1118" s="390">
        <f>'UHV FGD'!$D$42</f>
        <v>1955</v>
      </c>
      <c r="E1118" s="390">
        <f>'UHV FGD'!$E$42</f>
        <v>4884696</v>
      </c>
      <c r="F1118" s="390">
        <f>'UHV FGD'!$F$42</f>
        <v>3439096</v>
      </c>
      <c r="G1118" s="390">
        <f>'UHV FGD'!$G$42</f>
        <v>0</v>
      </c>
      <c r="H1118" s="390">
        <f>'UHV FGD'!$H$42</f>
        <v>0</v>
      </c>
      <c r="I1118" s="390">
        <f>'UHV FGD'!$I$42</f>
        <v>0</v>
      </c>
      <c r="J1118" s="390">
        <f>'UHV FGD'!$J$42</f>
        <v>0</v>
      </c>
      <c r="K1118" s="390">
        <f>'UHV FGD'!$K$42</f>
        <v>0</v>
      </c>
      <c r="L1118" s="390">
        <f>'UHV FGD'!$L$42</f>
        <v>0</v>
      </c>
      <c r="M1118" s="567">
        <f>'UHV FGD'!$M$42</f>
        <v>8325747</v>
      </c>
      <c r="N1118" s="401"/>
    </row>
    <row r="1119" spans="2:14" s="160" customFormat="1" ht="12.75" hidden="1" customHeight="1" outlineLevel="1">
      <c r="B1119" s="390" t="str">
        <f>'UNT FGD'!$B$2</f>
        <v>University of North Texas</v>
      </c>
      <c r="C1119" s="566"/>
      <c r="D1119" s="390">
        <f>'UNT FGD'!$D$42</f>
        <v>391881</v>
      </c>
      <c r="E1119" s="390">
        <f>'UNT FGD'!$E$42</f>
        <v>33890778</v>
      </c>
      <c r="F1119" s="390">
        <f>'UNT FGD'!$F$42</f>
        <v>17174036</v>
      </c>
      <c r="G1119" s="390">
        <f>'UNT FGD'!$G$42</f>
        <v>0</v>
      </c>
      <c r="H1119" s="390">
        <f>'UNT FGD'!$H$42</f>
        <v>0</v>
      </c>
      <c r="I1119" s="390">
        <f>'UNT FGD'!$I$42</f>
        <v>0</v>
      </c>
      <c r="J1119" s="390">
        <f>'UNT FGD'!$J$42</f>
        <v>0</v>
      </c>
      <c r="K1119" s="390">
        <f>'UNT FGD'!$K$42</f>
        <v>0</v>
      </c>
      <c r="L1119" s="390">
        <f>'UNT FGD'!$L$42</f>
        <v>0</v>
      </c>
      <c r="M1119" s="567">
        <f>'UNT FGD'!$M$42</f>
        <v>51456695</v>
      </c>
      <c r="N1119" s="401"/>
    </row>
    <row r="1120" spans="2:14" s="160" customFormat="1" ht="12.75" hidden="1" customHeight="1" outlineLevel="1">
      <c r="B1120" s="390" t="str">
        <f>'UNTD FGD'!$B$2</f>
        <v>University of North Texas at Dallas</v>
      </c>
      <c r="C1120" s="566"/>
      <c r="D1120" s="390">
        <f>'UNTD FGD'!$D$42</f>
        <v>0</v>
      </c>
      <c r="E1120" s="390">
        <f>'UNTD FGD'!$E$42</f>
        <v>6466914</v>
      </c>
      <c r="F1120" s="390">
        <f>'UNTD FGD'!$F$42</f>
        <v>0</v>
      </c>
      <c r="G1120" s="390">
        <f>'UNTD FGD'!$G$42</f>
        <v>0</v>
      </c>
      <c r="H1120" s="390">
        <f>'UNTD FGD'!$H$42</f>
        <v>0</v>
      </c>
      <c r="I1120" s="390">
        <f>'UNTD FGD'!$I$42</f>
        <v>0</v>
      </c>
      <c r="J1120" s="390">
        <f>'UNTD FGD'!$J$42</f>
        <v>0</v>
      </c>
      <c r="K1120" s="390">
        <f>'UNTD FGD'!$K$42</f>
        <v>0</v>
      </c>
      <c r="L1120" s="390">
        <f>'UNTD FGD'!$L$42</f>
        <v>0</v>
      </c>
      <c r="M1120" s="567">
        <f>'UNTD FGD'!$M$42</f>
        <v>6466914</v>
      </c>
      <c r="N1120" s="401"/>
    </row>
    <row r="1121" spans="2:14" s="160" customFormat="1" ht="12.75" hidden="1" customHeight="1" outlineLevel="1">
      <c r="B1121" s="390" t="str">
        <f>'WTAMU FGD'!$B$2</f>
        <v>West Texas A&amp;M University</v>
      </c>
      <c r="C1121" s="566"/>
      <c r="D1121" s="390">
        <f>'WTAMU FGD'!$D$42</f>
        <v>8369</v>
      </c>
      <c r="E1121" s="390">
        <f>'WTAMU FGD'!$E$42</f>
        <v>11169481</v>
      </c>
      <c r="F1121" s="390">
        <f>'WTAMU FGD'!$F$42</f>
        <v>9564506</v>
      </c>
      <c r="G1121" s="390">
        <f>'WTAMU FGD'!$G$42</f>
        <v>0</v>
      </c>
      <c r="H1121" s="390">
        <f>'WTAMU FGD'!$H$42</f>
        <v>0</v>
      </c>
      <c r="I1121" s="390">
        <f>'WTAMU FGD'!$I$42</f>
        <v>0</v>
      </c>
      <c r="J1121" s="390">
        <f>'WTAMU FGD'!$J$42</f>
        <v>0</v>
      </c>
      <c r="K1121" s="390">
        <f>'WTAMU FGD'!$K$42</f>
        <v>0</v>
      </c>
      <c r="L1121" s="390">
        <f>'WTAMU FGD'!$L$42</f>
        <v>0</v>
      </c>
      <c r="M1121" s="567">
        <f>'WTAMU FGD'!$M$42</f>
        <v>20742356</v>
      </c>
      <c r="N1121" s="401"/>
    </row>
    <row r="1122" spans="2:14" s="160" customFormat="1" collapsed="1">
      <c r="B1122" s="575" t="s">
        <v>40</v>
      </c>
      <c r="C1122" s="563"/>
      <c r="D1122" s="581">
        <f t="shared" ref="D1122:M1122" si="29">SUM(D1086:D1121)</f>
        <v>-2470563</v>
      </c>
      <c r="E1122" s="581">
        <f t="shared" si="29"/>
        <v>1182199822</v>
      </c>
      <c r="F1122" s="581">
        <f t="shared" si="29"/>
        <v>355654639</v>
      </c>
      <c r="G1122" s="581">
        <f t="shared" si="29"/>
        <v>-6130182</v>
      </c>
      <c r="H1122" s="581">
        <f t="shared" si="29"/>
        <v>0</v>
      </c>
      <c r="I1122" s="581">
        <f t="shared" si="29"/>
        <v>0</v>
      </c>
      <c r="J1122" s="581">
        <f t="shared" si="29"/>
        <v>0</v>
      </c>
      <c r="K1122" s="581">
        <f t="shared" si="29"/>
        <v>0</v>
      </c>
      <c r="L1122" s="581">
        <f t="shared" si="29"/>
        <v>0</v>
      </c>
      <c r="M1122" s="581">
        <f t="shared" si="29"/>
        <v>1529253716</v>
      </c>
      <c r="N1122" s="401"/>
    </row>
    <row r="1123" spans="2:14" s="160" customFormat="1">
      <c r="B1123" s="261"/>
      <c r="C1123" s="566"/>
      <c r="D1123" s="566"/>
      <c r="E1123" s="566"/>
      <c r="F1123" s="566"/>
      <c r="G1123" s="566"/>
      <c r="H1123" s="566"/>
      <c r="I1123" s="566"/>
      <c r="J1123" s="566"/>
      <c r="K1123" s="566"/>
      <c r="L1123" s="566"/>
      <c r="M1123" s="567"/>
      <c r="N1123" s="401"/>
    </row>
    <row r="1124" spans="2:14" s="160" customFormat="1" ht="12.75" hidden="1" customHeight="1" outlineLevel="1">
      <c r="B1124" s="458" t="str">
        <f>'ARL FGD'!$B$2</f>
        <v>The University of Texas at Arlington</v>
      </c>
      <c r="C1124" s="566"/>
      <c r="D1124" s="458">
        <f>'ARL FGD'!$D$44</f>
        <v>61207708</v>
      </c>
      <c r="E1124" s="458">
        <f>'ARL FGD'!$E$44</f>
        <v>272286629</v>
      </c>
      <c r="F1124" s="458">
        <f>'ARL FGD'!$F$44</f>
        <v>14985597</v>
      </c>
      <c r="G1124" s="458">
        <f>'ARL FGD'!$G$44</f>
        <v>0</v>
      </c>
      <c r="H1124" s="458">
        <f>'ARL FGD'!$H$44</f>
        <v>0</v>
      </c>
      <c r="I1124" s="458">
        <f>'ARL FGD'!$I$44</f>
        <v>0</v>
      </c>
      <c r="J1124" s="458">
        <f>'ARL FGD'!$J$44</f>
        <v>0</v>
      </c>
      <c r="K1124" s="458">
        <f>'ARL FGD'!$K$44</f>
        <v>0</v>
      </c>
      <c r="L1124" s="458">
        <f>'ARL FGD'!$L$44</f>
        <v>0</v>
      </c>
      <c r="M1124" s="567">
        <f>'ARL FGD'!$M$44</f>
        <v>348479934</v>
      </c>
      <c r="N1124" s="401"/>
    </row>
    <row r="1125" spans="2:14" s="160" customFormat="1" ht="12.75" hidden="1" customHeight="1" outlineLevel="1">
      <c r="B1125" s="458" t="str">
        <f>'ASU FGD'!$B$2</f>
        <v>Angelo State University</v>
      </c>
      <c r="C1125" s="566"/>
      <c r="D1125" s="458">
        <f>'ASU FGD'!$D$44</f>
        <v>8967008</v>
      </c>
      <c r="E1125" s="458">
        <f>'ASU FGD'!$E$44</f>
        <v>29124972</v>
      </c>
      <c r="F1125" s="458">
        <f>'ASU FGD'!$F$44</f>
        <v>6651520</v>
      </c>
      <c r="G1125" s="458">
        <f>'ASU FGD'!$G$44</f>
        <v>0</v>
      </c>
      <c r="H1125" s="458">
        <f>'ASU FGD'!$H$44</f>
        <v>0</v>
      </c>
      <c r="I1125" s="458">
        <f>'ASU FGD'!$I$44</f>
        <v>0</v>
      </c>
      <c r="J1125" s="458">
        <f>'ASU FGD'!$J$44</f>
        <v>0</v>
      </c>
      <c r="K1125" s="458">
        <f>'ASU FGD'!$K$44</f>
        <v>0</v>
      </c>
      <c r="L1125" s="458">
        <f>'ASU FGD'!$L$44</f>
        <v>0</v>
      </c>
      <c r="M1125" s="567">
        <f>'ASU FGD'!$M$44</f>
        <v>44743500</v>
      </c>
      <c r="N1125" s="401"/>
    </row>
    <row r="1126" spans="2:14" s="160" customFormat="1" ht="12.75" hidden="1" customHeight="1" outlineLevel="1">
      <c r="B1126" s="458" t="str">
        <f>'AUS1 FGD'!$B$2</f>
        <v>The University of Texas at Austin - Academic &amp; Health (A+H)</v>
      </c>
      <c r="C1126" s="566"/>
      <c r="D1126" s="458">
        <f>'AUS1 FGD'!$D$44</f>
        <v>81741913</v>
      </c>
      <c r="E1126" s="458">
        <f>'AUS1 FGD'!$E$44</f>
        <v>405262465</v>
      </c>
      <c r="F1126" s="458">
        <f>'AUS1 FGD'!$F$44</f>
        <v>34360358</v>
      </c>
      <c r="G1126" s="458">
        <f>'AUS1 FGD'!$G$44</f>
        <v>0</v>
      </c>
      <c r="H1126" s="458">
        <f>'AUS1 FGD'!$H$44</f>
        <v>0</v>
      </c>
      <c r="I1126" s="458">
        <f>'AUS1 FGD'!$I$44</f>
        <v>0</v>
      </c>
      <c r="J1126" s="458">
        <f>'AUS1 FGD'!$J$44</f>
        <v>0</v>
      </c>
      <c r="K1126" s="458">
        <f>'AUS1 FGD'!$K$44</f>
        <v>0</v>
      </c>
      <c r="L1126" s="458">
        <f>'AUS1 FGD'!$L$44</f>
        <v>0</v>
      </c>
      <c r="M1126" s="567">
        <f>'AUS1 FGD'!$M$44</f>
        <v>521364736</v>
      </c>
      <c r="N1126" s="401"/>
    </row>
    <row r="1127" spans="2:14" s="160" customFormat="1" ht="12.75" hidden="1" customHeight="1" outlineLevel="1">
      <c r="B1127" s="458" t="str">
        <f>'RGV1 FGD'!$B$2</f>
        <v>The University of Texas RGV - Academic &amp; Health (A+H)</v>
      </c>
      <c r="C1127" s="566"/>
      <c r="D1127" s="458">
        <f>'RGV1 FGD'!$D$44</f>
        <v>27577993</v>
      </c>
      <c r="E1127" s="458">
        <f>'RGV1 FGD'!$E$44</f>
        <v>100416347</v>
      </c>
      <c r="F1127" s="458">
        <f>'RGV1 FGD'!$F$44</f>
        <v>11924597</v>
      </c>
      <c r="G1127" s="458">
        <f>'RGV1 FGD'!$G$44</f>
        <v>0</v>
      </c>
      <c r="H1127" s="458">
        <f>'RGV1 FGD'!$H$44</f>
        <v>0</v>
      </c>
      <c r="I1127" s="458">
        <f>'RGV1 FGD'!$I$44</f>
        <v>0</v>
      </c>
      <c r="J1127" s="458">
        <f>'RGV1 FGD'!$J$44</f>
        <v>0</v>
      </c>
      <c r="K1127" s="458">
        <f>'RGV1 FGD'!$K$44</f>
        <v>0</v>
      </c>
      <c r="L1127" s="458">
        <f>'RGV1 FGD'!$L$44</f>
        <v>0</v>
      </c>
      <c r="M1127" s="567">
        <f>'RGV1 FGD'!$M$44</f>
        <v>139918937</v>
      </c>
      <c r="N1127" s="401"/>
    </row>
    <row r="1128" spans="2:14" s="160" customFormat="1" ht="12.75" hidden="1" customHeight="1" outlineLevel="1">
      <c r="B1128" s="458" t="str">
        <f>'DAL FGD'!$B$2</f>
        <v>The University of Texas at Dallas</v>
      </c>
      <c r="C1128" s="566"/>
      <c r="D1128" s="458">
        <f>'DAL FGD'!$D$44</f>
        <v>39925215</v>
      </c>
      <c r="E1128" s="458">
        <f>'DAL FGD'!$E$44</f>
        <v>239146695</v>
      </c>
      <c r="F1128" s="458">
        <f>'DAL FGD'!$F$44</f>
        <v>20852348</v>
      </c>
      <c r="G1128" s="458">
        <f>'DAL FGD'!$G$44</f>
        <v>0</v>
      </c>
      <c r="H1128" s="458">
        <f>'DAL FGD'!$H$44</f>
        <v>0</v>
      </c>
      <c r="I1128" s="458">
        <f>'DAL FGD'!$I$44</f>
        <v>0</v>
      </c>
      <c r="J1128" s="458">
        <f>'DAL FGD'!$J$44</f>
        <v>0</v>
      </c>
      <c r="K1128" s="458">
        <f>'DAL FGD'!$K$44</f>
        <v>0</v>
      </c>
      <c r="L1128" s="458">
        <f>'DAL FGD'!$L$44</f>
        <v>0</v>
      </c>
      <c r="M1128" s="567">
        <f>'DAL FGD'!$M$44</f>
        <v>299924258</v>
      </c>
      <c r="N1128" s="401"/>
    </row>
    <row r="1129" spans="2:14" s="160" customFormat="1" ht="12.75" hidden="1" customHeight="1" outlineLevel="1">
      <c r="B1129" s="458" t="str">
        <f>'E-P FGD'!$B$2</f>
        <v>The University of Texas at El Paso</v>
      </c>
      <c r="C1129" s="566"/>
      <c r="D1129" s="458">
        <f>'E-P FGD'!$D$44</f>
        <v>26168129</v>
      </c>
      <c r="E1129" s="458">
        <f>'E-P FGD'!$E$44</f>
        <v>114101554</v>
      </c>
      <c r="F1129" s="458">
        <f>'E-P FGD'!$F$44</f>
        <v>8719211</v>
      </c>
      <c r="G1129" s="458">
        <f>'E-P FGD'!$G$44</f>
        <v>0</v>
      </c>
      <c r="H1129" s="458">
        <f>'E-P FGD'!$H$44</f>
        <v>0</v>
      </c>
      <c r="I1129" s="458">
        <f>'E-P FGD'!$I$44</f>
        <v>0</v>
      </c>
      <c r="J1129" s="458">
        <f>'E-P FGD'!$J$44</f>
        <v>0</v>
      </c>
      <c r="K1129" s="458">
        <f>'E-P FGD'!$K$44</f>
        <v>0</v>
      </c>
      <c r="L1129" s="458">
        <f>'E-P FGD'!$L$44</f>
        <v>0</v>
      </c>
      <c r="M1129" s="567">
        <f>'E-P FGD'!$M$44</f>
        <v>148988894</v>
      </c>
      <c r="N1129" s="401"/>
    </row>
    <row r="1130" spans="2:14" s="160" customFormat="1" ht="12.75" hidden="1" customHeight="1" outlineLevel="1">
      <c r="B1130" s="458" t="str">
        <f>'LU FGD'!$B$2</f>
        <v xml:space="preserve">Lamar University </v>
      </c>
      <c r="C1130" s="566"/>
      <c r="D1130" s="458">
        <f>'LU FGD'!$D$44</f>
        <v>16068214</v>
      </c>
      <c r="E1130" s="458">
        <f>'LU FGD'!$E$44</f>
        <v>89576180</v>
      </c>
      <c r="F1130" s="458">
        <f>'LU FGD'!$F$44</f>
        <v>6546121</v>
      </c>
      <c r="G1130" s="458">
        <f>'LU FGD'!$G$44</f>
        <v>0</v>
      </c>
      <c r="H1130" s="458">
        <f>'LU FGD'!$H$44</f>
        <v>0</v>
      </c>
      <c r="I1130" s="458">
        <f>'LU FGD'!$I$44</f>
        <v>0</v>
      </c>
      <c r="J1130" s="458">
        <f>'LU FGD'!$J$44</f>
        <v>0</v>
      </c>
      <c r="K1130" s="458">
        <f>'LU FGD'!$K$44</f>
        <v>0</v>
      </c>
      <c r="L1130" s="458">
        <f>'LU FGD'!$L$44</f>
        <v>0</v>
      </c>
      <c r="M1130" s="567">
        <f>'LU FGD'!$M$44</f>
        <v>112190515</v>
      </c>
      <c r="N1130" s="401"/>
    </row>
    <row r="1131" spans="2:14" s="160" customFormat="1" ht="12.75" hidden="1" customHeight="1" outlineLevel="1">
      <c r="B1131" s="458" t="str">
        <f>'MidWST FGD'!$B$2</f>
        <v>Midwestern State University</v>
      </c>
      <c r="C1131" s="566"/>
      <c r="D1131" s="458">
        <f>'MidWST FGD'!$D$44</f>
        <v>4649675</v>
      </c>
      <c r="E1131" s="458">
        <f>'MidWST FGD'!$E$44</f>
        <v>28886100</v>
      </c>
      <c r="F1131" s="458">
        <f>'MidWST FGD'!$F$44</f>
        <v>297005</v>
      </c>
      <c r="G1131" s="458">
        <f>'MidWST FGD'!$G$44</f>
        <v>0</v>
      </c>
      <c r="H1131" s="458">
        <f>'MidWST FGD'!$H$44</f>
        <v>0</v>
      </c>
      <c r="I1131" s="458">
        <f>'MidWST FGD'!$I$44</f>
        <v>0</v>
      </c>
      <c r="J1131" s="458">
        <f>'MidWST FGD'!$J$44</f>
        <v>0</v>
      </c>
      <c r="K1131" s="458">
        <f>'MidWST FGD'!$K$44</f>
        <v>0</v>
      </c>
      <c r="L1131" s="458">
        <f>'MidWST FGD'!$L$44</f>
        <v>0</v>
      </c>
      <c r="M1131" s="567">
        <f>'MidWST FGD'!$M$44</f>
        <v>33832780</v>
      </c>
      <c r="N1131" s="401"/>
    </row>
    <row r="1132" spans="2:14" s="160" customFormat="1" ht="12.75" hidden="1" customHeight="1" outlineLevel="1">
      <c r="B1132" s="458" t="str">
        <f>'P-B FGD'!$B$2</f>
        <v>The University of Texas of the Permian Basin</v>
      </c>
      <c r="C1132" s="566"/>
      <c r="D1132" s="458">
        <f>'P-B FGD'!$D$44</f>
        <v>4904294</v>
      </c>
      <c r="E1132" s="458">
        <f>'P-B FGD'!$E$44</f>
        <v>24660041</v>
      </c>
      <c r="F1132" s="458">
        <f>'P-B FGD'!$F$44</f>
        <v>2948771</v>
      </c>
      <c r="G1132" s="458">
        <f>'P-B FGD'!$G$44</f>
        <v>0</v>
      </c>
      <c r="H1132" s="458">
        <f>'P-B FGD'!$H$44</f>
        <v>0</v>
      </c>
      <c r="I1132" s="458">
        <f>'P-B FGD'!$I$44</f>
        <v>0</v>
      </c>
      <c r="J1132" s="458">
        <f>'P-B FGD'!$J$44</f>
        <v>0</v>
      </c>
      <c r="K1132" s="458">
        <f>'P-B FGD'!$K$44</f>
        <v>0</v>
      </c>
      <c r="L1132" s="458">
        <f>'P-B FGD'!$L$44</f>
        <v>0</v>
      </c>
      <c r="M1132" s="567">
        <f>'P-B FGD'!$M$44</f>
        <v>32513106</v>
      </c>
      <c r="N1132" s="401"/>
    </row>
    <row r="1133" spans="2:14" s="160" customFormat="1" ht="12.75" hidden="1" customHeight="1" outlineLevel="1">
      <c r="B1133" s="458" t="str">
        <f>'PVAMU FGD'!$B$2</f>
        <v>Prairie View A&amp;M University</v>
      </c>
      <c r="C1133" s="566"/>
      <c r="D1133" s="458">
        <f>'PVAMU FGD'!$D$44</f>
        <v>11444389</v>
      </c>
      <c r="E1133" s="458">
        <f>'PVAMU FGD'!$E$44</f>
        <v>44931167</v>
      </c>
      <c r="F1133" s="458">
        <f>'PVAMU FGD'!$F$44</f>
        <v>5314996</v>
      </c>
      <c r="G1133" s="458">
        <f>'PVAMU FGD'!$G$44</f>
        <v>-3084040</v>
      </c>
      <c r="H1133" s="458">
        <f>'PVAMU FGD'!$H$44</f>
        <v>0</v>
      </c>
      <c r="I1133" s="458">
        <f>'PVAMU FGD'!$I$44</f>
        <v>0</v>
      </c>
      <c r="J1133" s="458">
        <f>'PVAMU FGD'!$J$44</f>
        <v>0</v>
      </c>
      <c r="K1133" s="458">
        <f>'PVAMU FGD'!$K$44</f>
        <v>0</v>
      </c>
      <c r="L1133" s="458">
        <f>'PVAMU FGD'!$L$44</f>
        <v>0</v>
      </c>
      <c r="M1133" s="567">
        <f>'PVAMU FGD'!$M$44</f>
        <v>58606512</v>
      </c>
      <c r="N1133" s="401"/>
    </row>
    <row r="1134" spans="2:14" s="160" customFormat="1" ht="12.75" hidden="1" customHeight="1" outlineLevel="1">
      <c r="B1134" s="458" t="str">
        <f>'S-A FGD'!$B$2</f>
        <v>The University of Texas at San Antonio</v>
      </c>
      <c r="C1134" s="566"/>
      <c r="D1134" s="458">
        <f>'S-A FGD'!$D$44</f>
        <v>39535287</v>
      </c>
      <c r="E1134" s="458">
        <f>'S-A FGD'!$E$44</f>
        <v>188656867</v>
      </c>
      <c r="F1134" s="458">
        <f>'S-A FGD'!$F$44</f>
        <v>23507282</v>
      </c>
      <c r="G1134" s="458">
        <f>'S-A FGD'!$G$44</f>
        <v>0</v>
      </c>
      <c r="H1134" s="458">
        <f>'S-A FGD'!$H$44</f>
        <v>0</v>
      </c>
      <c r="I1134" s="458">
        <f>'S-A FGD'!$I$44</f>
        <v>0</v>
      </c>
      <c r="J1134" s="458">
        <f>'S-A FGD'!$J$44</f>
        <v>0</v>
      </c>
      <c r="K1134" s="458">
        <f>'S-A FGD'!$K$44</f>
        <v>0</v>
      </c>
      <c r="L1134" s="458">
        <f>'S-A FGD'!$L$44</f>
        <v>0</v>
      </c>
      <c r="M1134" s="567">
        <f>'S-A FGD'!$M$44</f>
        <v>251699436</v>
      </c>
      <c r="N1134" s="401"/>
    </row>
    <row r="1135" spans="2:14" s="160" customFormat="1" ht="12.75" hidden="1" customHeight="1" outlineLevel="1">
      <c r="B1135" s="458" t="str">
        <f>'SFA FGD'!$B$2</f>
        <v>Stephen F. Austin State University</v>
      </c>
      <c r="C1135" s="566"/>
      <c r="D1135" s="458">
        <f>'SFA FGD'!$D$44</f>
        <v>11636216</v>
      </c>
      <c r="E1135" s="458">
        <f>'SFA FGD'!$E$44</f>
        <v>64637814</v>
      </c>
      <c r="F1135" s="458">
        <f>'SFA FGD'!$F$44</f>
        <v>4254012</v>
      </c>
      <c r="G1135" s="458">
        <f>'SFA FGD'!$G$44</f>
        <v>0</v>
      </c>
      <c r="H1135" s="458">
        <f>'SFA FGD'!$H$44</f>
        <v>0</v>
      </c>
      <c r="I1135" s="458">
        <f>'SFA FGD'!$I$44</f>
        <v>0</v>
      </c>
      <c r="J1135" s="458">
        <f>'SFA FGD'!$J$44</f>
        <v>0</v>
      </c>
      <c r="K1135" s="458">
        <f>'SFA FGD'!$K$44</f>
        <v>0</v>
      </c>
      <c r="L1135" s="458">
        <f>'SFA FGD'!$L$44</f>
        <v>0</v>
      </c>
      <c r="M1135" s="567">
        <f>'SFA FGD'!$M$44</f>
        <v>80528042</v>
      </c>
      <c r="N1135" s="401"/>
    </row>
    <row r="1136" spans="2:14" s="160" customFormat="1" ht="12.75" hidden="1" customHeight="1" outlineLevel="1">
      <c r="B1136" s="458" t="str">
        <f>'shsu1 FGD'!$B$2</f>
        <v>Sam Houston State University - Academic &amp; Health (A+H)</v>
      </c>
      <c r="C1136" s="566"/>
      <c r="D1136" s="458">
        <f>'shsu1 FGD'!$D$44</f>
        <v>30669447</v>
      </c>
      <c r="E1136" s="458">
        <f>'shsu1 FGD'!$E$44</f>
        <v>135576825</v>
      </c>
      <c r="F1136" s="458">
        <f>'shsu1 FGD'!$F$44</f>
        <v>10620475</v>
      </c>
      <c r="G1136" s="458">
        <f>'shsu1 FGD'!$G$44</f>
        <v>0</v>
      </c>
      <c r="H1136" s="458">
        <f>'shsu1 FGD'!$H$44</f>
        <v>0</v>
      </c>
      <c r="I1136" s="458">
        <f>'shsu1 FGD'!$I$44</f>
        <v>0</v>
      </c>
      <c r="J1136" s="458">
        <f>'shsu1 FGD'!$J$44</f>
        <v>0</v>
      </c>
      <c r="K1136" s="458">
        <f>'shsu1 FGD'!$K$44</f>
        <v>0</v>
      </c>
      <c r="L1136" s="458">
        <f>'shsu1 FGD'!$L$44</f>
        <v>0</v>
      </c>
      <c r="M1136" s="567">
        <f>'shsu1 FGD'!$M$44</f>
        <v>176866747</v>
      </c>
      <c r="N1136" s="401"/>
    </row>
    <row r="1137" spans="2:14" s="160" customFormat="1" ht="12.75" hidden="1" customHeight="1" outlineLevel="1">
      <c r="B1137" s="458" t="str">
        <f>'SRSU FGD'!$B$2</f>
        <v>Sul Ross State University</v>
      </c>
      <c r="C1137" s="566"/>
      <c r="D1137" s="458">
        <f>'SRSU FGD'!$D$44</f>
        <v>2882079</v>
      </c>
      <c r="E1137" s="458">
        <f>'SRSU FGD'!$E$44</f>
        <v>6796508</v>
      </c>
      <c r="F1137" s="458">
        <f>'SRSU FGD'!$F$44</f>
        <v>0</v>
      </c>
      <c r="G1137" s="458">
        <f>'SRSU FGD'!$G$44</f>
        <v>0</v>
      </c>
      <c r="H1137" s="458">
        <f>'SRSU FGD'!$H$44</f>
        <v>0</v>
      </c>
      <c r="I1137" s="458">
        <f>'SRSU FGD'!$I$44</f>
        <v>0</v>
      </c>
      <c r="J1137" s="458">
        <f>'SRSU FGD'!$J$44</f>
        <v>0</v>
      </c>
      <c r="K1137" s="458">
        <f>'SRSU FGD'!$K$44</f>
        <v>0</v>
      </c>
      <c r="L1137" s="458">
        <f>'SRSU FGD'!$L$44</f>
        <v>0</v>
      </c>
      <c r="M1137" s="567">
        <f>'SRSU FGD'!$M$44</f>
        <v>9678587</v>
      </c>
      <c r="N1137" s="401"/>
    </row>
    <row r="1138" spans="2:14" s="160" customFormat="1" ht="12.75" hidden="1" customHeight="1" outlineLevel="1">
      <c r="B1138" s="458" t="str">
        <f>'TAMIU FGD'!$B$2</f>
        <v>Texas A&amp;M International University</v>
      </c>
      <c r="C1138" s="566"/>
      <c r="D1138" s="458">
        <f>'TAMIU FGD'!$D$44</f>
        <v>6341003</v>
      </c>
      <c r="E1138" s="458">
        <f>'TAMIU FGD'!$E$44</f>
        <v>25046505</v>
      </c>
      <c r="F1138" s="458">
        <f>'TAMIU FGD'!$F$44</f>
        <v>4380414</v>
      </c>
      <c r="G1138" s="458">
        <f>'TAMIU FGD'!$G$44</f>
        <v>88</v>
      </c>
      <c r="H1138" s="458">
        <f>'TAMIU FGD'!$H$44</f>
        <v>0</v>
      </c>
      <c r="I1138" s="458">
        <f>'TAMIU FGD'!$I$44</f>
        <v>0</v>
      </c>
      <c r="J1138" s="458">
        <f>'TAMIU FGD'!$J$44</f>
        <v>0</v>
      </c>
      <c r="K1138" s="458">
        <f>'TAMIU FGD'!$K$44</f>
        <v>0</v>
      </c>
      <c r="L1138" s="458">
        <f>'TAMIU FGD'!$L$44</f>
        <v>0</v>
      </c>
      <c r="M1138" s="567">
        <f>'TAMIU FGD'!$M$44</f>
        <v>35768010</v>
      </c>
      <c r="N1138" s="401"/>
    </row>
    <row r="1139" spans="2:14" s="160" customFormat="1" ht="12.75" hidden="1" customHeight="1" outlineLevel="1">
      <c r="B1139" s="458" t="str">
        <f>'TAMU FGD'!$B$2</f>
        <v>Texas A&amp;M University</v>
      </c>
      <c r="C1139" s="566"/>
      <c r="D1139" s="458">
        <f>'TAMU FGD'!$D$44</f>
        <v>96282619</v>
      </c>
      <c r="E1139" s="458">
        <f>'TAMU FGD'!$E$44</f>
        <v>551434698</v>
      </c>
      <c r="F1139" s="458">
        <f>'TAMU FGD'!$F$44</f>
        <v>31913551</v>
      </c>
      <c r="G1139" s="458">
        <f>'TAMU FGD'!$G$44</f>
        <v>0</v>
      </c>
      <c r="H1139" s="458">
        <f>'TAMU FGD'!$H$44</f>
        <v>0</v>
      </c>
      <c r="I1139" s="458">
        <f>'TAMU FGD'!$I$44</f>
        <v>0</v>
      </c>
      <c r="J1139" s="458">
        <f>'TAMU FGD'!$J$44</f>
        <v>0</v>
      </c>
      <c r="K1139" s="458">
        <f>'TAMU FGD'!$K$44</f>
        <v>0</v>
      </c>
      <c r="L1139" s="458">
        <f>'TAMU FGD'!$L$44</f>
        <v>0</v>
      </c>
      <c r="M1139" s="567">
        <f>'TAMU FGD'!$M$44</f>
        <v>679630868</v>
      </c>
      <c r="N1139" s="401"/>
    </row>
    <row r="1140" spans="2:14" s="160" customFormat="1" ht="12.75" hidden="1" customHeight="1" outlineLevel="1">
      <c r="B1140" s="458" t="str">
        <f>'TAMUC FGD'!$B$2</f>
        <v>Texas A&amp;M University - Commerce</v>
      </c>
      <c r="C1140" s="566"/>
      <c r="D1140" s="458">
        <f>'TAMUC FGD'!$D$44</f>
        <v>13017652</v>
      </c>
      <c r="E1140" s="458">
        <f>'TAMUC FGD'!$E$44</f>
        <v>56106130</v>
      </c>
      <c r="F1140" s="458">
        <f>'TAMUC FGD'!$F$44</f>
        <v>13799746</v>
      </c>
      <c r="G1140" s="458">
        <f>'TAMUC FGD'!$G$44</f>
        <v>-2822835</v>
      </c>
      <c r="H1140" s="458">
        <f>'TAMUC FGD'!$H$44</f>
        <v>0</v>
      </c>
      <c r="I1140" s="458">
        <f>'TAMUC FGD'!$I$44</f>
        <v>0</v>
      </c>
      <c r="J1140" s="458">
        <f>'TAMUC FGD'!$J$44</f>
        <v>0</v>
      </c>
      <c r="K1140" s="458">
        <f>'TAMUC FGD'!$K$44</f>
        <v>0</v>
      </c>
      <c r="L1140" s="458">
        <f>'TAMUC FGD'!$L$44</f>
        <v>0</v>
      </c>
      <c r="M1140" s="567">
        <f>'TAMUC FGD'!$M$44</f>
        <v>80100693</v>
      </c>
      <c r="N1140" s="401"/>
    </row>
    <row r="1141" spans="2:14" s="160" customFormat="1" ht="12.75" hidden="1" customHeight="1" outlineLevel="1">
      <c r="B1141" s="458" t="str">
        <f>'TAMUCC FGD'!$B$2</f>
        <v>Texas A&amp;M University - Corpus Christi</v>
      </c>
      <c r="C1141" s="566"/>
      <c r="D1141" s="458">
        <f>'TAMUCC FGD'!$D$44</f>
        <v>13023828</v>
      </c>
      <c r="E1141" s="458">
        <f>'TAMUCC FGD'!$E$44</f>
        <v>54598889</v>
      </c>
      <c r="F1141" s="458">
        <f>'TAMUCC FGD'!$F$44</f>
        <v>14519728</v>
      </c>
      <c r="G1141" s="458">
        <f>'TAMUCC FGD'!$G$44</f>
        <v>0</v>
      </c>
      <c r="H1141" s="458">
        <f>'TAMUCC FGD'!$H$44</f>
        <v>0</v>
      </c>
      <c r="I1141" s="458">
        <f>'TAMUCC FGD'!$I$44</f>
        <v>0</v>
      </c>
      <c r="J1141" s="458">
        <f>'TAMUCC FGD'!$J$44</f>
        <v>0</v>
      </c>
      <c r="K1141" s="458">
        <f>'TAMUCC FGD'!$K$44</f>
        <v>0</v>
      </c>
      <c r="L1141" s="458">
        <f>'TAMUCC FGD'!$L$44</f>
        <v>0</v>
      </c>
      <c r="M1141" s="567">
        <f>'TAMUCC FGD'!$M$44</f>
        <v>82142445</v>
      </c>
      <c r="N1141" s="401"/>
    </row>
    <row r="1142" spans="2:14" s="160" customFormat="1" ht="12.75" hidden="1" customHeight="1" outlineLevel="1">
      <c r="B1142" s="458" t="str">
        <f>'TAMUCT FGD'!$B$2</f>
        <v>Texas A&amp;M University - Central Texas</v>
      </c>
      <c r="C1142" s="566"/>
      <c r="D1142" s="458">
        <f>'TAMUCT FGD'!$D$44</f>
        <v>2073894</v>
      </c>
      <c r="E1142" s="458">
        <f>'TAMUCT FGD'!$E$44</f>
        <v>10585630</v>
      </c>
      <c r="F1142" s="458">
        <f>'TAMUCT FGD'!$F$44</f>
        <v>0</v>
      </c>
      <c r="G1142" s="458">
        <f>'TAMUCT FGD'!$G$44</f>
        <v>875</v>
      </c>
      <c r="H1142" s="458">
        <f>'TAMUCT FGD'!$H$44</f>
        <v>0</v>
      </c>
      <c r="I1142" s="458">
        <f>'TAMUCT FGD'!$I$44</f>
        <v>0</v>
      </c>
      <c r="J1142" s="458">
        <f>'TAMUCT FGD'!$J$44</f>
        <v>0</v>
      </c>
      <c r="K1142" s="458">
        <f>'TAMUCT FGD'!$K$44</f>
        <v>0</v>
      </c>
      <c r="L1142" s="458">
        <f>'TAMUCT FGD'!$L$44</f>
        <v>0</v>
      </c>
      <c r="M1142" s="567">
        <f>'TAMUCT FGD'!$M$44</f>
        <v>12660399</v>
      </c>
      <c r="N1142" s="401"/>
    </row>
    <row r="1143" spans="2:14" s="160" customFormat="1" ht="12.75" hidden="1" customHeight="1" outlineLevel="1">
      <c r="B1143" s="458" t="str">
        <f>'TAMUG FGD'!$B$2</f>
        <v>Texas A&amp;M University at Galveston</v>
      </c>
      <c r="C1143" s="566"/>
      <c r="D1143" s="458">
        <f>'TAMUG FGD'!$D$44</f>
        <v>2645747</v>
      </c>
      <c r="E1143" s="458">
        <f>'TAMUG FGD'!$E$44</f>
        <v>18646385</v>
      </c>
      <c r="F1143" s="458">
        <f>'TAMUG FGD'!$F$44</f>
        <v>60588</v>
      </c>
      <c r="G1143" s="458">
        <f>'TAMUG FGD'!$G$44</f>
        <v>0</v>
      </c>
      <c r="H1143" s="458">
        <f>'TAMUG FGD'!$H$44</f>
        <v>0</v>
      </c>
      <c r="I1143" s="458">
        <f>'TAMUG FGD'!$I$44</f>
        <v>0</v>
      </c>
      <c r="J1143" s="458">
        <f>'TAMUG FGD'!$J$44</f>
        <v>0</v>
      </c>
      <c r="K1143" s="458">
        <f>'TAMUG FGD'!$K$44</f>
        <v>0</v>
      </c>
      <c r="L1143" s="458">
        <f>'TAMUG FGD'!$L$44</f>
        <v>0</v>
      </c>
      <c r="M1143" s="567">
        <f>'TAMUG FGD'!$M$44</f>
        <v>21352720</v>
      </c>
      <c r="N1143" s="401"/>
    </row>
    <row r="1144" spans="2:14" s="160" customFormat="1" ht="12.75" hidden="1" customHeight="1" outlineLevel="1">
      <c r="B1144" s="458" t="str">
        <f>'TAMUK FGD'!$B$2</f>
        <v>Texas A&amp;M University - Kingsville</v>
      </c>
      <c r="C1144" s="566"/>
      <c r="D1144" s="458">
        <f>'TAMUK FGD'!$D$44</f>
        <v>10430939</v>
      </c>
      <c r="E1144" s="458">
        <f>'TAMUK FGD'!$E$44</f>
        <v>26134584</v>
      </c>
      <c r="F1144" s="458">
        <f>'TAMUK FGD'!$F$44</f>
        <v>5421325</v>
      </c>
      <c r="G1144" s="458">
        <f>'TAMUK FGD'!$G$44</f>
        <v>-2399716</v>
      </c>
      <c r="H1144" s="458">
        <f>'TAMUK FGD'!$H$44</f>
        <v>0</v>
      </c>
      <c r="I1144" s="458">
        <f>'TAMUK FGD'!$I$44</f>
        <v>0</v>
      </c>
      <c r="J1144" s="458">
        <f>'TAMUK FGD'!$J$44</f>
        <v>0</v>
      </c>
      <c r="K1144" s="458">
        <f>'TAMUK FGD'!$K$44</f>
        <v>0</v>
      </c>
      <c r="L1144" s="458">
        <f>'TAMUK FGD'!$L$44</f>
        <v>0</v>
      </c>
      <c r="M1144" s="567">
        <f>'TAMUK FGD'!$M$44</f>
        <v>39587132</v>
      </c>
      <c r="N1144" s="401"/>
    </row>
    <row r="1145" spans="2:14" s="160" customFormat="1" ht="12.75" hidden="1" customHeight="1" outlineLevel="1">
      <c r="B1145" s="458" t="str">
        <f>'TAMUSA FGD'!$B$2</f>
        <v>Texas A&amp;M University - San Antonio</v>
      </c>
      <c r="C1145" s="566"/>
      <c r="D1145" s="458">
        <f>'TAMUSA FGD'!$D$44</f>
        <v>5514778</v>
      </c>
      <c r="E1145" s="458">
        <f>'TAMUSA FGD'!$E$44</f>
        <v>24350848</v>
      </c>
      <c r="F1145" s="458">
        <f>'TAMUSA FGD'!$F$44</f>
        <v>425512</v>
      </c>
      <c r="G1145" s="458">
        <f>'TAMUSA FGD'!$G$44</f>
        <v>-794764</v>
      </c>
      <c r="H1145" s="458">
        <f>'TAMUSA FGD'!$H$44</f>
        <v>0</v>
      </c>
      <c r="I1145" s="458">
        <f>'TAMUSA FGD'!$I$44</f>
        <v>0</v>
      </c>
      <c r="J1145" s="458">
        <f>'TAMUSA FGD'!$J$44</f>
        <v>0</v>
      </c>
      <c r="K1145" s="458">
        <f>'TAMUSA FGD'!$K$44</f>
        <v>0</v>
      </c>
      <c r="L1145" s="458">
        <f>'TAMUSA FGD'!$L$44</f>
        <v>0</v>
      </c>
      <c r="M1145" s="567">
        <f>'TAMUSA FGD'!$M$44</f>
        <v>29496374</v>
      </c>
      <c r="N1145" s="401"/>
    </row>
    <row r="1146" spans="2:14" s="160" customFormat="1" ht="12.75" hidden="1" customHeight="1" outlineLevel="1">
      <c r="B1146" s="458" t="str">
        <f>'TAMUT FGD'!$B$2</f>
        <v>Texas A&amp;M University - Texarkana</v>
      </c>
      <c r="C1146" s="566"/>
      <c r="D1146" s="458">
        <f>'TAMUT FGD'!$D$44</f>
        <v>1905223</v>
      </c>
      <c r="E1146" s="458">
        <f>'TAMUT FGD'!$E$44</f>
        <v>8720896</v>
      </c>
      <c r="F1146" s="458">
        <f>'TAMUT FGD'!$F$44</f>
        <v>735402</v>
      </c>
      <c r="G1146" s="458">
        <f>'TAMUT FGD'!$G$44</f>
        <v>0</v>
      </c>
      <c r="H1146" s="458">
        <f>'TAMUT FGD'!$H$44</f>
        <v>0</v>
      </c>
      <c r="I1146" s="458">
        <f>'TAMUT FGD'!$I$44</f>
        <v>0</v>
      </c>
      <c r="J1146" s="458">
        <f>'TAMUT FGD'!$J$44</f>
        <v>0</v>
      </c>
      <c r="K1146" s="458">
        <f>'TAMUT FGD'!$K$44</f>
        <v>0</v>
      </c>
      <c r="L1146" s="458">
        <f>'TAMUT FGD'!$L$44</f>
        <v>0</v>
      </c>
      <c r="M1146" s="567">
        <f>'TAMUT FGD'!$M$44</f>
        <v>11361521</v>
      </c>
      <c r="N1146" s="401"/>
    </row>
    <row r="1147" spans="2:14" s="160" customFormat="1" ht="12.75" hidden="1" customHeight="1" outlineLevel="1">
      <c r="B1147" s="458" t="str">
        <f>'TARLST FGD'!$B$2</f>
        <v>Tarleton State University</v>
      </c>
      <c r="C1147" s="566"/>
      <c r="D1147" s="458">
        <f>'TARLST FGD'!$D$44</f>
        <v>16584285</v>
      </c>
      <c r="E1147" s="458">
        <f>'TARLST FGD'!$E$44</f>
        <v>66938220</v>
      </c>
      <c r="F1147" s="458">
        <f>'TARLST FGD'!$F$44</f>
        <v>11815873</v>
      </c>
      <c r="G1147" s="458">
        <f>'TARLST FGD'!$G$44</f>
        <v>-248750</v>
      </c>
      <c r="H1147" s="458">
        <f>'TARLST FGD'!$H$44</f>
        <v>0</v>
      </c>
      <c r="I1147" s="458">
        <f>'TARLST FGD'!$I$44</f>
        <v>0</v>
      </c>
      <c r="J1147" s="458">
        <f>'TARLST FGD'!$J$44</f>
        <v>0</v>
      </c>
      <c r="K1147" s="458">
        <f>'TARLST FGD'!$K$44</f>
        <v>0</v>
      </c>
      <c r="L1147" s="458">
        <f>'TARLST FGD'!$L$44</f>
        <v>0</v>
      </c>
      <c r="M1147" s="567">
        <f>'TARLST FGD'!$M$44</f>
        <v>95089628</v>
      </c>
      <c r="N1147" s="401"/>
    </row>
    <row r="1148" spans="2:14" s="160" customFormat="1" ht="12.75" hidden="1" customHeight="1" outlineLevel="1">
      <c r="B1148" s="458" t="str">
        <f>'TSU FGD'!$B$2</f>
        <v>Texas Southern University</v>
      </c>
      <c r="C1148" s="566"/>
      <c r="D1148" s="458">
        <f>'TSU FGD'!$D$44</f>
        <v>15266508</v>
      </c>
      <c r="E1148" s="458">
        <f>'TSU FGD'!$E$44</f>
        <v>33253874</v>
      </c>
      <c r="F1148" s="458">
        <f>'TSU FGD'!$F$44</f>
        <v>5129512</v>
      </c>
      <c r="G1148" s="458">
        <f>'TSU FGD'!$G$44</f>
        <v>0</v>
      </c>
      <c r="H1148" s="458">
        <f>'TSU FGD'!$H$44</f>
        <v>0</v>
      </c>
      <c r="I1148" s="458">
        <f>'TSU FGD'!$I$44</f>
        <v>0</v>
      </c>
      <c r="J1148" s="458">
        <f>'TSU FGD'!$J$44</f>
        <v>0</v>
      </c>
      <c r="K1148" s="458">
        <f>'TSU FGD'!$K$44</f>
        <v>0</v>
      </c>
      <c r="L1148" s="458">
        <f>'TSU FGD'!$L$44</f>
        <v>0</v>
      </c>
      <c r="M1148" s="567">
        <f>'TSU FGD'!$M$44</f>
        <v>53649894</v>
      </c>
      <c r="N1148" s="401"/>
    </row>
    <row r="1149" spans="2:14" s="160" customFormat="1" ht="12.75" hidden="1" customHeight="1" outlineLevel="1">
      <c r="B1149" s="458" t="str">
        <f>'TTU FGD'!$B$2</f>
        <v>Texas Tech University</v>
      </c>
      <c r="C1149" s="566"/>
      <c r="D1149" s="458">
        <f>'TTU FGD'!$D$44</f>
        <v>51090042</v>
      </c>
      <c r="E1149" s="458">
        <f>'TTU FGD'!$E$44</f>
        <v>301768243</v>
      </c>
      <c r="F1149" s="458">
        <f>'TTU FGD'!$F$44</f>
        <v>4436553</v>
      </c>
      <c r="G1149" s="458">
        <f>'TTU FGD'!$G$44</f>
        <v>0</v>
      </c>
      <c r="H1149" s="458">
        <f>'TTU FGD'!$H$44</f>
        <v>0</v>
      </c>
      <c r="I1149" s="458">
        <f>'TTU FGD'!$I$44</f>
        <v>0</v>
      </c>
      <c r="J1149" s="458">
        <f>'TTU FGD'!$J$44</f>
        <v>0</v>
      </c>
      <c r="K1149" s="458">
        <f>'TTU FGD'!$K$44</f>
        <v>0</v>
      </c>
      <c r="L1149" s="458">
        <f>'TTU FGD'!$L$44</f>
        <v>0</v>
      </c>
      <c r="M1149" s="567">
        <f>'TTU FGD'!$M$44</f>
        <v>357294838</v>
      </c>
      <c r="N1149" s="401"/>
    </row>
    <row r="1150" spans="2:14" s="160" customFormat="1" ht="12.75" hidden="1" customHeight="1" outlineLevel="1">
      <c r="B1150" s="458" t="str">
        <f>'TWU FGD'!$B$2</f>
        <v>Texas Woman's University</v>
      </c>
      <c r="C1150" s="566"/>
      <c r="D1150" s="458">
        <f>'TWU FGD'!$D$44</f>
        <v>16829595</v>
      </c>
      <c r="E1150" s="458">
        <f>'TWU FGD'!$E$44</f>
        <v>72331739</v>
      </c>
      <c r="F1150" s="458">
        <f>'TWU FGD'!$F$44</f>
        <v>0</v>
      </c>
      <c r="G1150" s="458">
        <f>'TWU FGD'!$G$44</f>
        <v>0</v>
      </c>
      <c r="H1150" s="458">
        <f>'TWU FGD'!$H$44</f>
        <v>0</v>
      </c>
      <c r="I1150" s="458">
        <f>'TWU FGD'!$I$44</f>
        <v>0</v>
      </c>
      <c r="J1150" s="458">
        <f>'TWU FGD'!$J$44</f>
        <v>0</v>
      </c>
      <c r="K1150" s="458">
        <f>'TWU FGD'!$K$44</f>
        <v>0</v>
      </c>
      <c r="L1150" s="458">
        <f>'TWU FGD'!$L$44</f>
        <v>0</v>
      </c>
      <c r="M1150" s="567">
        <f>'TWU FGD'!$M$44</f>
        <v>89161334</v>
      </c>
      <c r="N1150" s="401"/>
    </row>
    <row r="1151" spans="2:14" s="160" customFormat="1" ht="12.75" hidden="1" customHeight="1" outlineLevel="1">
      <c r="B1151" s="458" t="str">
        <f>'TXST FGD'!$B$2</f>
        <v>Texas State University</v>
      </c>
      <c r="C1151" s="566"/>
      <c r="D1151" s="458">
        <f>'TXST FGD'!$D$44</f>
        <v>40005455</v>
      </c>
      <c r="E1151" s="458">
        <f>'TXST FGD'!$E$44</f>
        <v>202530521</v>
      </c>
      <c r="F1151" s="458">
        <f>'TXST FGD'!$F$44</f>
        <v>43146031</v>
      </c>
      <c r="G1151" s="458">
        <f>'TXST FGD'!$G$44</f>
        <v>0</v>
      </c>
      <c r="H1151" s="458">
        <f>'TXST FGD'!$H$44</f>
        <v>0</v>
      </c>
      <c r="I1151" s="458">
        <f>'TXST FGD'!$I$44</f>
        <v>0</v>
      </c>
      <c r="J1151" s="458">
        <f>'TXST FGD'!$J$44</f>
        <v>0</v>
      </c>
      <c r="K1151" s="458">
        <f>'TXST FGD'!$K$44</f>
        <v>0</v>
      </c>
      <c r="L1151" s="458">
        <f>'TXST FGD'!$L$44</f>
        <v>0</v>
      </c>
      <c r="M1151" s="567">
        <f>'TXST FGD'!$M$44</f>
        <v>285682007</v>
      </c>
      <c r="N1151" s="401"/>
    </row>
    <row r="1152" spans="2:14" s="160" customFormat="1" ht="12.75" hidden="1" customHeight="1" outlineLevel="1">
      <c r="B1152" s="458" t="str">
        <f>'TYL FGD'!$B$2</f>
        <v>The University of Texas at Tyler</v>
      </c>
      <c r="C1152" s="566"/>
      <c r="D1152" s="458">
        <f>'TYL FGD'!$D$44</f>
        <v>8316416</v>
      </c>
      <c r="E1152" s="458">
        <f>'TYL FGD'!$E$44</f>
        <v>43957053</v>
      </c>
      <c r="F1152" s="458">
        <f>'TYL FGD'!$F$44</f>
        <v>5068446</v>
      </c>
      <c r="G1152" s="458">
        <f>'TYL FGD'!$G$44</f>
        <v>0</v>
      </c>
      <c r="H1152" s="458">
        <f>'TYL FGD'!$H$44</f>
        <v>0</v>
      </c>
      <c r="I1152" s="458">
        <f>'TYL FGD'!$I$44</f>
        <v>0</v>
      </c>
      <c r="J1152" s="458">
        <f>'TYL FGD'!$J$44</f>
        <v>0</v>
      </c>
      <c r="K1152" s="458">
        <f>'TYL FGD'!$K$44</f>
        <v>0</v>
      </c>
      <c r="L1152" s="458">
        <f>'TYL FGD'!$L$44</f>
        <v>0</v>
      </c>
      <c r="M1152" s="567">
        <f>'TYL FGD'!$M$44</f>
        <v>57341915</v>
      </c>
      <c r="N1152" s="401"/>
    </row>
    <row r="1153" spans="2:14" s="160" customFormat="1" ht="12.75" hidden="1" customHeight="1" outlineLevel="1">
      <c r="B1153" s="458" t="str">
        <f>'UH1 FGD'!$B$2</f>
        <v>University of Houston - Academic &amp; Health (A+H)</v>
      </c>
      <c r="C1153" s="566"/>
      <c r="D1153" s="458">
        <f>'UH1 FGD'!$D$44</f>
        <v>61779007</v>
      </c>
      <c r="E1153" s="458">
        <f>'UH1 FGD'!$E$44</f>
        <v>317443882</v>
      </c>
      <c r="F1153" s="458">
        <f>'UH1 FGD'!$F$44</f>
        <v>21349204</v>
      </c>
      <c r="G1153" s="458">
        <f>'UH1 FGD'!$G$44</f>
        <v>0</v>
      </c>
      <c r="H1153" s="458">
        <f>'UH1 FGD'!$H$44</f>
        <v>0</v>
      </c>
      <c r="I1153" s="458">
        <f>'UH1 FGD'!$I$44</f>
        <v>0</v>
      </c>
      <c r="J1153" s="458">
        <f>'UH1 FGD'!$J$44</f>
        <v>0</v>
      </c>
      <c r="K1153" s="458">
        <f>'UH1 FGD'!$K$44</f>
        <v>0</v>
      </c>
      <c r="L1153" s="458">
        <f>'UH1 FGD'!$L$44</f>
        <v>0</v>
      </c>
      <c r="M1153" s="567">
        <f>'UH1 FGD'!$M$44</f>
        <v>400572093</v>
      </c>
      <c r="N1153" s="401"/>
    </row>
    <row r="1154" spans="2:14" s="160" customFormat="1" ht="12.75" hidden="1" customHeight="1" outlineLevel="1">
      <c r="B1154" s="458" t="str">
        <f>'UHCL FGD'!$B$2</f>
        <v>University of Houston - Clear Lake</v>
      </c>
      <c r="C1154" s="566"/>
      <c r="D1154" s="458">
        <f>'UHCL FGD'!$D$44</f>
        <v>9915824</v>
      </c>
      <c r="E1154" s="458">
        <f>'UHCL FGD'!$E$44</f>
        <v>41440644</v>
      </c>
      <c r="F1154" s="458">
        <f>'UHCL FGD'!$F$44</f>
        <v>5980380</v>
      </c>
      <c r="G1154" s="458">
        <f>'UHCL FGD'!$G$44</f>
        <v>0</v>
      </c>
      <c r="H1154" s="458">
        <f>'UHCL FGD'!$H$44</f>
        <v>0</v>
      </c>
      <c r="I1154" s="458">
        <f>'UHCL FGD'!$I$44</f>
        <v>0</v>
      </c>
      <c r="J1154" s="458">
        <f>'UHCL FGD'!$J$44</f>
        <v>0</v>
      </c>
      <c r="K1154" s="458">
        <f>'UHCL FGD'!$K$44</f>
        <v>0</v>
      </c>
      <c r="L1154" s="458">
        <f>'UHCL FGD'!$L$44</f>
        <v>0</v>
      </c>
      <c r="M1154" s="567">
        <f>'UHCL FGD'!$M$44</f>
        <v>57336848</v>
      </c>
      <c r="N1154" s="401"/>
    </row>
    <row r="1155" spans="2:14" s="160" customFormat="1" ht="12.75" hidden="1" customHeight="1" outlineLevel="1">
      <c r="B1155" s="458" t="str">
        <f>'UHD FGD'!$B$2</f>
        <v>University of Houston - Downtown</v>
      </c>
      <c r="C1155" s="566"/>
      <c r="D1155" s="458">
        <f>'UHD FGD'!$D$44</f>
        <v>13674663</v>
      </c>
      <c r="E1155" s="458">
        <f>'UHD FGD'!$E$44</f>
        <v>52101904</v>
      </c>
      <c r="F1155" s="458">
        <f>'UHD FGD'!$F$44</f>
        <v>6312443</v>
      </c>
      <c r="G1155" s="458">
        <f>'UHD FGD'!$G$44</f>
        <v>0</v>
      </c>
      <c r="H1155" s="458">
        <f>'UHD FGD'!$H$44</f>
        <v>0</v>
      </c>
      <c r="I1155" s="458">
        <f>'UHD FGD'!$I$44</f>
        <v>0</v>
      </c>
      <c r="J1155" s="458">
        <f>'UHD FGD'!$J$44</f>
        <v>0</v>
      </c>
      <c r="K1155" s="458">
        <f>'UHD FGD'!$K$44</f>
        <v>0</v>
      </c>
      <c r="L1155" s="458">
        <f>'UHD FGD'!$L$44</f>
        <v>0</v>
      </c>
      <c r="M1155" s="567">
        <f>'UHD FGD'!$M$44</f>
        <v>72089010</v>
      </c>
      <c r="N1155" s="401"/>
    </row>
    <row r="1156" spans="2:14" s="160" customFormat="1" ht="12.75" hidden="1" customHeight="1" outlineLevel="1">
      <c r="B1156" s="458" t="str">
        <f>'UHV FGD'!$B$2</f>
        <v>University of Houston - Victoria</v>
      </c>
      <c r="C1156" s="566"/>
      <c r="D1156" s="458">
        <f>'UHV FGD'!$D$44</f>
        <v>5046343</v>
      </c>
      <c r="E1156" s="458">
        <f>'UHV FGD'!$E$44</f>
        <v>18318899</v>
      </c>
      <c r="F1156" s="458">
        <f>'UHV FGD'!$F$44</f>
        <v>3439096</v>
      </c>
      <c r="G1156" s="458">
        <f>'UHV FGD'!$G$44</f>
        <v>0</v>
      </c>
      <c r="H1156" s="458">
        <f>'UHV FGD'!$H$44</f>
        <v>0</v>
      </c>
      <c r="I1156" s="458">
        <f>'UHV FGD'!$I$44</f>
        <v>0</v>
      </c>
      <c r="J1156" s="458">
        <f>'UHV FGD'!$J$44</f>
        <v>0</v>
      </c>
      <c r="K1156" s="458">
        <f>'UHV FGD'!$K$44</f>
        <v>0</v>
      </c>
      <c r="L1156" s="458">
        <f>'UHV FGD'!$L$44</f>
        <v>0</v>
      </c>
      <c r="M1156" s="567">
        <f>'UHV FGD'!$M$44</f>
        <v>26804338</v>
      </c>
      <c r="N1156" s="401"/>
    </row>
    <row r="1157" spans="2:14" s="160" customFormat="1" ht="12.75" hidden="1" customHeight="1" outlineLevel="1">
      <c r="B1157" s="458" t="str">
        <f>'UNT FGD'!$B$2</f>
        <v>University of North Texas</v>
      </c>
      <c r="C1157" s="566"/>
      <c r="D1157" s="458">
        <f>'UNT FGD'!$D$44</f>
        <v>61178752</v>
      </c>
      <c r="E1157" s="458">
        <f>'UNT FGD'!$E$44</f>
        <v>285171863</v>
      </c>
      <c r="F1157" s="458">
        <f>'UNT FGD'!$F$44</f>
        <v>17174036</v>
      </c>
      <c r="G1157" s="458">
        <f>'UNT FGD'!$G$44</f>
        <v>0</v>
      </c>
      <c r="H1157" s="458">
        <f>'UNT FGD'!$H$44</f>
        <v>0</v>
      </c>
      <c r="I1157" s="458">
        <f>'UNT FGD'!$I$44</f>
        <v>0</v>
      </c>
      <c r="J1157" s="458">
        <f>'UNT FGD'!$J$44</f>
        <v>0</v>
      </c>
      <c r="K1157" s="458">
        <f>'UNT FGD'!$K$44</f>
        <v>0</v>
      </c>
      <c r="L1157" s="458">
        <f>'UNT FGD'!$L$44</f>
        <v>0</v>
      </c>
      <c r="M1157" s="567">
        <f>'UNT FGD'!$M$44</f>
        <v>363524651</v>
      </c>
      <c r="N1157" s="401"/>
    </row>
    <row r="1158" spans="2:14" s="160" customFormat="1" ht="12.75" hidden="1" customHeight="1" outlineLevel="1">
      <c r="B1158" s="458" t="str">
        <f>'UNTD FGD'!$B$2</f>
        <v>University of North Texas at Dallas</v>
      </c>
      <c r="C1158" s="566"/>
      <c r="D1158" s="458">
        <f>'UNTD FGD'!$D$44</f>
        <v>7721655</v>
      </c>
      <c r="E1158" s="458">
        <f>'UNTD FGD'!$E$44</f>
        <v>22639857</v>
      </c>
      <c r="F1158" s="458">
        <f>'UNTD FGD'!$F$44</f>
        <v>0</v>
      </c>
      <c r="G1158" s="458">
        <f>'UNTD FGD'!$G$44</f>
        <v>0</v>
      </c>
      <c r="H1158" s="458">
        <f>'UNTD FGD'!$H$44</f>
        <v>0</v>
      </c>
      <c r="I1158" s="458">
        <f>'UNTD FGD'!$I$44</f>
        <v>0</v>
      </c>
      <c r="J1158" s="458">
        <f>'UNTD FGD'!$J$44</f>
        <v>0</v>
      </c>
      <c r="K1158" s="458">
        <f>'UNTD FGD'!$K$44</f>
        <v>0</v>
      </c>
      <c r="L1158" s="458">
        <f>'UNTD FGD'!$L$44</f>
        <v>0</v>
      </c>
      <c r="M1158" s="567">
        <f>'UNTD FGD'!$M$44</f>
        <v>30361512</v>
      </c>
      <c r="N1158" s="401"/>
    </row>
    <row r="1159" spans="2:14" s="160" customFormat="1" ht="12.75" hidden="1" customHeight="1" outlineLevel="1">
      <c r="B1159" s="458" t="str">
        <f>'WTAMU FGD'!$B$2</f>
        <v>West Texas A&amp;M University</v>
      </c>
      <c r="C1159" s="566"/>
      <c r="D1159" s="458">
        <f>'WTAMU FGD'!$D$44</f>
        <v>10521655</v>
      </c>
      <c r="E1159" s="458">
        <f>'WTAMU FGD'!$E$44</f>
        <v>41095868</v>
      </c>
      <c r="F1159" s="458">
        <f>'WTAMU FGD'!$F$44</f>
        <v>9564506</v>
      </c>
      <c r="G1159" s="458">
        <f>'WTAMU FGD'!$G$44</f>
        <v>0</v>
      </c>
      <c r="H1159" s="458">
        <f>'WTAMU FGD'!$H$44</f>
        <v>0</v>
      </c>
      <c r="I1159" s="458">
        <f>'WTAMU FGD'!$I$44</f>
        <v>0</v>
      </c>
      <c r="J1159" s="458">
        <f>'WTAMU FGD'!$J$44</f>
        <v>0</v>
      </c>
      <c r="K1159" s="458">
        <f>'WTAMU FGD'!$K$44</f>
        <v>0</v>
      </c>
      <c r="L1159" s="458">
        <f>'WTAMU FGD'!$L$44</f>
        <v>0</v>
      </c>
      <c r="M1159" s="567">
        <f>'WTAMU FGD'!$M$44</f>
        <v>61182029</v>
      </c>
      <c r="N1159" s="401"/>
    </row>
    <row r="1160" spans="2:14" s="160" customFormat="1" collapsed="1">
      <c r="B1160" s="575" t="s">
        <v>1055</v>
      </c>
      <c r="C1160" s="563"/>
      <c r="D1160" s="581">
        <f t="shared" ref="D1160:M1160" si="30">SUM(D1124:D1159)</f>
        <v>836543450</v>
      </c>
      <c r="E1160" s="581">
        <f t="shared" si="30"/>
        <v>4018677296</v>
      </c>
      <c r="F1160" s="581">
        <f t="shared" si="30"/>
        <v>355654639</v>
      </c>
      <c r="G1160" s="581">
        <f t="shared" si="30"/>
        <v>-9349142</v>
      </c>
      <c r="H1160" s="581">
        <f t="shared" si="30"/>
        <v>0</v>
      </c>
      <c r="I1160" s="581">
        <f t="shared" si="30"/>
        <v>0</v>
      </c>
      <c r="J1160" s="581">
        <f t="shared" si="30"/>
        <v>0</v>
      </c>
      <c r="K1160" s="581">
        <f t="shared" si="30"/>
        <v>0</v>
      </c>
      <c r="L1160" s="581">
        <f t="shared" si="30"/>
        <v>0</v>
      </c>
      <c r="M1160" s="581">
        <f t="shared" si="30"/>
        <v>5201526243</v>
      </c>
      <c r="N1160" s="401"/>
    </row>
    <row r="1161" spans="2:14" s="160" customFormat="1">
      <c r="D1161" s="390"/>
      <c r="E1161" s="390"/>
      <c r="F1161" s="390"/>
      <c r="G1161" s="390"/>
      <c r="H1161" s="390"/>
      <c r="I1161" s="390"/>
      <c r="J1161" s="390"/>
      <c r="K1161" s="390"/>
      <c r="L1161" s="390"/>
      <c r="M1161" s="390"/>
      <c r="N1161" s="401"/>
    </row>
    <row r="1162" spans="2:14" s="160" customFormat="1">
      <c r="B1162" s="172" t="s">
        <v>6</v>
      </c>
      <c r="C1162" s="172"/>
      <c r="D1162" s="390"/>
      <c r="E1162" s="390"/>
      <c r="F1162" s="390"/>
      <c r="G1162" s="390"/>
      <c r="H1162" s="390"/>
      <c r="I1162" s="390"/>
      <c r="J1162" s="390"/>
      <c r="K1162" s="390"/>
      <c r="L1162" s="390"/>
      <c r="M1162" s="390"/>
      <c r="N1162" s="401"/>
    </row>
    <row r="1163" spans="2:14" s="160" customFormat="1" ht="12.75" hidden="1" customHeight="1" outlineLevel="1">
      <c r="B1163" s="390" t="str">
        <f>'ARL FGD'!$B$2</f>
        <v>The University of Texas at Arlington</v>
      </c>
      <c r="C1163" s="172"/>
      <c r="D1163" s="390">
        <f>'ARL FGD'!$D$47</f>
        <v>3106162</v>
      </c>
      <c r="E1163" s="390">
        <f>'ARL FGD'!$E$47</f>
        <v>13521496</v>
      </c>
      <c r="F1163" s="390">
        <f>'ARL FGD'!$F$47</f>
        <v>0</v>
      </c>
      <c r="G1163" s="390">
        <f>'ARL FGD'!$G$47</f>
        <v>159736902</v>
      </c>
      <c r="H1163" s="390">
        <f>'ARL FGD'!$H$47</f>
        <v>0</v>
      </c>
      <c r="I1163" s="390">
        <f>'ARL FGD'!$I$47</f>
        <v>0</v>
      </c>
      <c r="J1163" s="390">
        <f>'ARL FGD'!$J$47</f>
        <v>0</v>
      </c>
      <c r="K1163" s="390">
        <f>'ARL FGD'!$K$47</f>
        <v>0</v>
      </c>
      <c r="L1163" s="390">
        <f>'ARL FGD'!$L$47</f>
        <v>0</v>
      </c>
      <c r="M1163" s="390">
        <f>'ARL FGD'!$M$47</f>
        <v>176364560</v>
      </c>
      <c r="N1163" s="401"/>
    </row>
    <row r="1164" spans="2:14" s="160" customFormat="1" ht="12.75" hidden="1" customHeight="1" outlineLevel="1">
      <c r="B1164" s="390" t="str">
        <f>'ASU FGD'!$B$2</f>
        <v>Angelo State University</v>
      </c>
      <c r="C1164" s="172"/>
      <c r="D1164" s="390">
        <f>'ASU FGD'!$D$47</f>
        <v>0</v>
      </c>
      <c r="E1164" s="390">
        <f>'ASU FGD'!$E$47</f>
        <v>0</v>
      </c>
      <c r="F1164" s="390">
        <f>'ASU FGD'!$F$47</f>
        <v>0</v>
      </c>
      <c r="G1164" s="390">
        <f>'ASU FGD'!$G$47</f>
        <v>32115992</v>
      </c>
      <c r="H1164" s="390">
        <f>'ASU FGD'!$H$47</f>
        <v>0</v>
      </c>
      <c r="I1164" s="390">
        <f>'ASU FGD'!$I$47</f>
        <v>0</v>
      </c>
      <c r="J1164" s="390">
        <f>'ASU FGD'!$J$47</f>
        <v>0</v>
      </c>
      <c r="K1164" s="390">
        <f>'ASU FGD'!$K$47</f>
        <v>0</v>
      </c>
      <c r="L1164" s="390">
        <f>'ASU FGD'!$L$47</f>
        <v>0</v>
      </c>
      <c r="M1164" s="390">
        <f>'ASU FGD'!$M$47</f>
        <v>32115992</v>
      </c>
      <c r="N1164" s="401"/>
    </row>
    <row r="1165" spans="2:14" s="160" customFormat="1" ht="12.75" hidden="1" customHeight="1" outlineLevel="1">
      <c r="B1165" s="390" t="str">
        <f>'AUS1 FGD'!$B$2</f>
        <v>The University of Texas at Austin - Academic &amp; Health (A+H)</v>
      </c>
      <c r="C1165" s="172"/>
      <c r="D1165" s="390">
        <f>'AUS1 FGD'!$D$47</f>
        <v>3582075</v>
      </c>
      <c r="E1165" s="390">
        <f>'AUS1 FGD'!$E$47</f>
        <v>116427262</v>
      </c>
      <c r="F1165" s="390">
        <f>'AUS1 FGD'!$F$47</f>
        <v>0</v>
      </c>
      <c r="G1165" s="390">
        <f>'AUS1 FGD'!$G$47</f>
        <v>479343544</v>
      </c>
      <c r="H1165" s="390">
        <f>'AUS1 FGD'!$H$47</f>
        <v>0</v>
      </c>
      <c r="I1165" s="390">
        <f>'AUS1 FGD'!$I$47</f>
        <v>0</v>
      </c>
      <c r="J1165" s="390">
        <f>'AUS1 FGD'!$J$47</f>
        <v>0</v>
      </c>
      <c r="K1165" s="390">
        <f>'AUS1 FGD'!$K$47</f>
        <v>0</v>
      </c>
      <c r="L1165" s="390">
        <f>'AUS1 FGD'!$L$47</f>
        <v>0</v>
      </c>
      <c r="M1165" s="390">
        <f>'AUS1 FGD'!$M$47</f>
        <v>599352881</v>
      </c>
      <c r="N1165" s="401"/>
    </row>
    <row r="1166" spans="2:14" s="160" customFormat="1" ht="12.75" hidden="1" customHeight="1" outlineLevel="1">
      <c r="B1166" s="390" t="str">
        <f>'RGV1 FGD'!$B$2</f>
        <v>The University of Texas RGV - Academic &amp; Health (A+H)</v>
      </c>
      <c r="C1166" s="172"/>
      <c r="D1166" s="390">
        <f>'RGV1 FGD'!$D$47</f>
        <v>7698367</v>
      </c>
      <c r="E1166" s="390">
        <f>'RGV1 FGD'!$E$47</f>
        <v>5768186</v>
      </c>
      <c r="F1166" s="390">
        <f>'RGV1 FGD'!$F$47</f>
        <v>0</v>
      </c>
      <c r="G1166" s="390">
        <f>'RGV1 FGD'!$G$47</f>
        <v>233332633</v>
      </c>
      <c r="H1166" s="390">
        <f>'RGV1 FGD'!$H$47</f>
        <v>0</v>
      </c>
      <c r="I1166" s="390">
        <f>'RGV1 FGD'!$I$47</f>
        <v>0</v>
      </c>
      <c r="J1166" s="390">
        <f>'RGV1 FGD'!$J$47</f>
        <v>0</v>
      </c>
      <c r="K1166" s="390">
        <f>'RGV1 FGD'!$K$47</f>
        <v>0</v>
      </c>
      <c r="L1166" s="390">
        <f>'RGV1 FGD'!$L$47</f>
        <v>0</v>
      </c>
      <c r="M1166" s="390">
        <f>'RGV1 FGD'!$M$47</f>
        <v>246799186</v>
      </c>
      <c r="N1166" s="401"/>
    </row>
    <row r="1167" spans="2:14" s="160" customFormat="1" ht="12.75" hidden="1" customHeight="1" outlineLevel="1">
      <c r="B1167" s="390" t="str">
        <f>'DAL FGD'!$B$2</f>
        <v>The University of Texas at Dallas</v>
      </c>
      <c r="C1167" s="172"/>
      <c r="D1167" s="390">
        <f>'DAL FGD'!$D$47</f>
        <v>2739410</v>
      </c>
      <c r="E1167" s="390">
        <f>'DAL FGD'!$E$47</f>
        <v>17242239</v>
      </c>
      <c r="F1167" s="390">
        <f>'DAL FGD'!$F$47</f>
        <v>0</v>
      </c>
      <c r="G1167" s="390">
        <f>'DAL FGD'!$G$47</f>
        <v>123194007</v>
      </c>
      <c r="H1167" s="390">
        <f>'DAL FGD'!$H$47</f>
        <v>0</v>
      </c>
      <c r="I1167" s="390">
        <f>'DAL FGD'!$I$47</f>
        <v>0</v>
      </c>
      <c r="J1167" s="390">
        <f>'DAL FGD'!$J$47</f>
        <v>0</v>
      </c>
      <c r="K1167" s="390">
        <f>'DAL FGD'!$K$47</f>
        <v>0</v>
      </c>
      <c r="L1167" s="390">
        <f>'DAL FGD'!$L$47</f>
        <v>0</v>
      </c>
      <c r="M1167" s="390">
        <f>'DAL FGD'!$M$47</f>
        <v>143175656</v>
      </c>
      <c r="N1167" s="401"/>
    </row>
    <row r="1168" spans="2:14" s="160" customFormat="1" ht="12.75" hidden="1" customHeight="1" outlineLevel="1">
      <c r="B1168" s="390" t="str">
        <f>'E-P FGD'!$B$2</f>
        <v>The University of Texas at El Paso</v>
      </c>
      <c r="C1168" s="172"/>
      <c r="D1168" s="390">
        <f>'E-P FGD'!$D$47</f>
        <v>4449828</v>
      </c>
      <c r="E1168" s="390">
        <f>'E-P FGD'!$E$47</f>
        <v>12551152</v>
      </c>
      <c r="F1168" s="390">
        <f>'E-P FGD'!$F$47</f>
        <v>0</v>
      </c>
      <c r="G1168" s="390">
        <f>'E-P FGD'!$G$47</f>
        <v>189523185</v>
      </c>
      <c r="H1168" s="390">
        <f>'E-P FGD'!$H$47</f>
        <v>0</v>
      </c>
      <c r="I1168" s="390">
        <f>'E-P FGD'!$I$47</f>
        <v>0</v>
      </c>
      <c r="J1168" s="390">
        <f>'E-P FGD'!$J$47</f>
        <v>0</v>
      </c>
      <c r="K1168" s="390">
        <f>'E-P FGD'!$K$47</f>
        <v>0</v>
      </c>
      <c r="L1168" s="390">
        <f>'E-P FGD'!$L$47</f>
        <v>0</v>
      </c>
      <c r="M1168" s="390">
        <f>'E-P FGD'!$M$47</f>
        <v>206524165</v>
      </c>
      <c r="N1168" s="401"/>
    </row>
    <row r="1169" spans="2:14" s="160" customFormat="1" ht="12.75" hidden="1" customHeight="1" outlineLevel="1">
      <c r="B1169" s="390" t="str">
        <f>'LU FGD'!$B$2</f>
        <v xml:space="preserve">Lamar University </v>
      </c>
      <c r="C1169" s="172"/>
      <c r="D1169" s="390">
        <f>'LU FGD'!$D$47</f>
        <v>0</v>
      </c>
      <c r="E1169" s="390">
        <f>'LU FGD'!$E$47</f>
        <v>0</v>
      </c>
      <c r="F1169" s="390">
        <f>'LU FGD'!$F$47</f>
        <v>0</v>
      </c>
      <c r="G1169" s="390">
        <f>'LU FGD'!$G$47</f>
        <v>52209570</v>
      </c>
      <c r="H1169" s="390">
        <f>'LU FGD'!$H$47</f>
        <v>0</v>
      </c>
      <c r="I1169" s="390">
        <f>'LU FGD'!$I$47</f>
        <v>0</v>
      </c>
      <c r="J1169" s="390">
        <f>'LU FGD'!$J$47</f>
        <v>0</v>
      </c>
      <c r="K1169" s="390">
        <f>'LU FGD'!$K$47</f>
        <v>0</v>
      </c>
      <c r="L1169" s="390">
        <f>'LU FGD'!$L$47</f>
        <v>0</v>
      </c>
      <c r="M1169" s="390">
        <f>'LU FGD'!$M$47</f>
        <v>52209570</v>
      </c>
      <c r="N1169" s="401"/>
    </row>
    <row r="1170" spans="2:14" s="160" customFormat="1" ht="12.75" hidden="1" customHeight="1" outlineLevel="1">
      <c r="B1170" s="390" t="str">
        <f>'MidWST FGD'!$B$2</f>
        <v>Midwestern State University</v>
      </c>
      <c r="C1170" s="172"/>
      <c r="D1170" s="390">
        <f>'MidWST FGD'!$D$47</f>
        <v>1040585</v>
      </c>
      <c r="E1170" s="390">
        <f>'MidWST FGD'!$E$47</f>
        <v>14208</v>
      </c>
      <c r="F1170" s="390">
        <f>'MidWST FGD'!$F$47</f>
        <v>0</v>
      </c>
      <c r="G1170" s="390">
        <f>'MidWST FGD'!$G$47</f>
        <v>22302052</v>
      </c>
      <c r="H1170" s="390">
        <f>'MidWST FGD'!$H$47</f>
        <v>0</v>
      </c>
      <c r="I1170" s="390">
        <f>'MidWST FGD'!$I$47</f>
        <v>0</v>
      </c>
      <c r="J1170" s="390">
        <f>'MidWST FGD'!$J$47</f>
        <v>0</v>
      </c>
      <c r="K1170" s="390">
        <f>'MidWST FGD'!$K$47</f>
        <v>0</v>
      </c>
      <c r="L1170" s="390">
        <f>'MidWST FGD'!$L$47</f>
        <v>0</v>
      </c>
      <c r="M1170" s="390">
        <f>'MidWST FGD'!$M$47</f>
        <v>23356845</v>
      </c>
      <c r="N1170" s="401"/>
    </row>
    <row r="1171" spans="2:14" s="160" customFormat="1" ht="12.75" hidden="1" customHeight="1" outlineLevel="1">
      <c r="B1171" s="390" t="str">
        <f>'P-B FGD'!$B$2</f>
        <v>The University of Texas of the Permian Basin</v>
      </c>
      <c r="C1171" s="172"/>
      <c r="D1171" s="390">
        <f>'P-B FGD'!$D$47</f>
        <v>548025</v>
      </c>
      <c r="E1171" s="390">
        <f>'P-B FGD'!$E$47</f>
        <v>582176</v>
      </c>
      <c r="F1171" s="390">
        <f>'P-B FGD'!$F$47</f>
        <v>0</v>
      </c>
      <c r="G1171" s="390">
        <f>'P-B FGD'!$G$47</f>
        <v>20954759</v>
      </c>
      <c r="H1171" s="390">
        <f>'P-B FGD'!$H$47</f>
        <v>0</v>
      </c>
      <c r="I1171" s="390">
        <f>'P-B FGD'!$I$47</f>
        <v>0</v>
      </c>
      <c r="J1171" s="390">
        <f>'P-B FGD'!$J$47</f>
        <v>0</v>
      </c>
      <c r="K1171" s="390">
        <f>'P-B FGD'!$K$47</f>
        <v>0</v>
      </c>
      <c r="L1171" s="390">
        <f>'P-B FGD'!$L$47</f>
        <v>0</v>
      </c>
      <c r="M1171" s="390">
        <f>'P-B FGD'!$M$47</f>
        <v>22084960</v>
      </c>
      <c r="N1171" s="401"/>
    </row>
    <row r="1172" spans="2:14" s="160" customFormat="1" ht="12.75" hidden="1" customHeight="1" outlineLevel="1">
      <c r="B1172" s="390" t="str">
        <f>'PVAMU FGD'!$B$2</f>
        <v>Prairie View A&amp;M University</v>
      </c>
      <c r="C1172" s="172"/>
      <c r="D1172" s="390">
        <f>'PVAMU FGD'!$D$47</f>
        <v>0</v>
      </c>
      <c r="E1172" s="390">
        <f>'PVAMU FGD'!$E$47</f>
        <v>1825268</v>
      </c>
      <c r="F1172" s="390">
        <f>'PVAMU FGD'!$F$47</f>
        <v>0</v>
      </c>
      <c r="G1172" s="390">
        <f>'PVAMU FGD'!$G$47</f>
        <v>102533762</v>
      </c>
      <c r="H1172" s="390">
        <f>'PVAMU FGD'!$H$47</f>
        <v>0</v>
      </c>
      <c r="I1172" s="390">
        <f>'PVAMU FGD'!$I$47</f>
        <v>0</v>
      </c>
      <c r="J1172" s="390">
        <f>'PVAMU FGD'!$J$47</f>
        <v>469634</v>
      </c>
      <c r="K1172" s="390">
        <f>'PVAMU FGD'!$K$47</f>
        <v>0</v>
      </c>
      <c r="L1172" s="390">
        <f>'PVAMU FGD'!$L$47</f>
        <v>0</v>
      </c>
      <c r="M1172" s="390">
        <f>'PVAMU FGD'!$M$47</f>
        <v>104828664</v>
      </c>
      <c r="N1172" s="401"/>
    </row>
    <row r="1173" spans="2:14" s="160" customFormat="1" ht="12.75" hidden="1" customHeight="1" outlineLevel="1">
      <c r="B1173" s="390" t="str">
        <f>'S-A FGD'!$B$2</f>
        <v>The University of Texas at San Antonio</v>
      </c>
      <c r="C1173" s="172"/>
      <c r="D1173" s="390">
        <f>'S-A FGD'!$D$47</f>
        <v>4955289</v>
      </c>
      <c r="E1173" s="390">
        <f>'S-A FGD'!$E$47</f>
        <v>11531181</v>
      </c>
      <c r="F1173" s="390">
        <f>'S-A FGD'!$F$47</f>
        <v>0</v>
      </c>
      <c r="G1173" s="390">
        <f>'S-A FGD'!$G$47</f>
        <v>184428360</v>
      </c>
      <c r="H1173" s="390">
        <f>'S-A FGD'!$H$47</f>
        <v>0</v>
      </c>
      <c r="I1173" s="390">
        <f>'S-A FGD'!$I$47</f>
        <v>0</v>
      </c>
      <c r="J1173" s="390">
        <f>'S-A FGD'!$J$47</f>
        <v>0</v>
      </c>
      <c r="K1173" s="390">
        <f>'S-A FGD'!$K$47</f>
        <v>0</v>
      </c>
      <c r="L1173" s="390">
        <f>'S-A FGD'!$L$47</f>
        <v>0</v>
      </c>
      <c r="M1173" s="390">
        <f>'S-A FGD'!$M$47</f>
        <v>200914830</v>
      </c>
      <c r="N1173" s="401"/>
    </row>
    <row r="1174" spans="2:14" s="160" customFormat="1" ht="12.75" hidden="1" customHeight="1" outlineLevel="1">
      <c r="B1174" s="390" t="str">
        <f>'SFA FGD'!$B$2</f>
        <v>Stephen F. Austin State University</v>
      </c>
      <c r="C1174" s="172"/>
      <c r="D1174" s="390">
        <f>'SFA FGD'!$D$47</f>
        <v>1926071</v>
      </c>
      <c r="E1174" s="390">
        <f>'SFA FGD'!$E$47</f>
        <v>0</v>
      </c>
      <c r="F1174" s="390">
        <f>'SFA FGD'!$F$47</f>
        <v>0</v>
      </c>
      <c r="G1174" s="390">
        <f>'SFA FGD'!$G$47</f>
        <v>72564573</v>
      </c>
      <c r="H1174" s="390">
        <f>'SFA FGD'!$H$47</f>
        <v>0</v>
      </c>
      <c r="I1174" s="390">
        <f>'SFA FGD'!$I$47</f>
        <v>0</v>
      </c>
      <c r="J1174" s="390">
        <f>'SFA FGD'!$J$47</f>
        <v>0</v>
      </c>
      <c r="K1174" s="390">
        <f>'SFA FGD'!$K$47</f>
        <v>0</v>
      </c>
      <c r="L1174" s="390">
        <f>'SFA FGD'!$L$47</f>
        <v>0</v>
      </c>
      <c r="M1174" s="390">
        <f>'SFA FGD'!$M$47</f>
        <v>74490644</v>
      </c>
      <c r="N1174" s="401"/>
    </row>
    <row r="1175" spans="2:14" s="160" customFormat="1" ht="12.75" hidden="1" customHeight="1" outlineLevel="1">
      <c r="B1175" s="390" t="str">
        <f>'shsu1 FGD'!$B$2</f>
        <v>Sam Houston State University - Academic &amp; Health (A+H)</v>
      </c>
      <c r="C1175" s="172"/>
      <c r="D1175" s="390">
        <f>'shsu1 FGD'!$D$47</f>
        <v>0</v>
      </c>
      <c r="E1175" s="390">
        <f>'shsu1 FGD'!$E$47</f>
        <v>0</v>
      </c>
      <c r="F1175" s="390">
        <f>'shsu1 FGD'!$F$47</f>
        <v>0</v>
      </c>
      <c r="G1175" s="390">
        <f>'shsu1 FGD'!$G$47</f>
        <v>75908436</v>
      </c>
      <c r="H1175" s="390">
        <f>'shsu1 FGD'!$H$47</f>
        <v>0</v>
      </c>
      <c r="I1175" s="390">
        <f>'shsu1 FGD'!$I$47</f>
        <v>0</v>
      </c>
      <c r="J1175" s="390">
        <f>'shsu1 FGD'!$J$47</f>
        <v>0</v>
      </c>
      <c r="K1175" s="390">
        <f>'shsu1 FGD'!$K$47</f>
        <v>0</v>
      </c>
      <c r="L1175" s="390">
        <f>'shsu1 FGD'!$L$47</f>
        <v>0</v>
      </c>
      <c r="M1175" s="390">
        <f>'shsu1 FGD'!$M$47</f>
        <v>75908436</v>
      </c>
      <c r="N1175" s="401"/>
    </row>
    <row r="1176" spans="2:14" s="160" customFormat="1" ht="12.75" hidden="1" customHeight="1" outlineLevel="1">
      <c r="B1176" s="390" t="str">
        <f>'SRSU FGD'!$B$2</f>
        <v>Sul Ross State University</v>
      </c>
      <c r="C1176" s="172"/>
      <c r="D1176" s="390">
        <f>'SRSU FGD'!$D$47</f>
        <v>0</v>
      </c>
      <c r="E1176" s="390">
        <f>'SRSU FGD'!$E$47</f>
        <v>0</v>
      </c>
      <c r="F1176" s="390">
        <f>'SRSU FGD'!$F$47</f>
        <v>0</v>
      </c>
      <c r="G1176" s="390">
        <f>'SRSU FGD'!$G$47</f>
        <v>13524396</v>
      </c>
      <c r="H1176" s="390">
        <f>'SRSU FGD'!$H$47</f>
        <v>0</v>
      </c>
      <c r="I1176" s="390">
        <f>'SRSU FGD'!$I$47</f>
        <v>0</v>
      </c>
      <c r="J1176" s="390">
        <f>'SRSU FGD'!$J$47</f>
        <v>0</v>
      </c>
      <c r="K1176" s="390">
        <f>'SRSU FGD'!$K$47</f>
        <v>0</v>
      </c>
      <c r="L1176" s="390">
        <f>'SRSU FGD'!$L$47</f>
        <v>0</v>
      </c>
      <c r="M1176" s="390">
        <f>'SRSU FGD'!$M$47</f>
        <v>13524396</v>
      </c>
      <c r="N1176" s="401"/>
    </row>
    <row r="1177" spans="2:14" s="160" customFormat="1" ht="12.75" hidden="1" customHeight="1" outlineLevel="1">
      <c r="B1177" s="390" t="str">
        <f>'TAMIU FGD'!$B$2</f>
        <v>Texas A&amp;M International University</v>
      </c>
      <c r="C1177" s="172"/>
      <c r="D1177" s="390">
        <f>'TAMIU FGD'!$D$47</f>
        <v>2292122</v>
      </c>
      <c r="E1177" s="390">
        <f>'TAMIU FGD'!$E$47</f>
        <v>2876744</v>
      </c>
      <c r="F1177" s="390">
        <f>'TAMIU FGD'!$F$47</f>
        <v>0</v>
      </c>
      <c r="G1177" s="390">
        <f>'TAMIU FGD'!$G$47</f>
        <v>46589603</v>
      </c>
      <c r="H1177" s="390">
        <f>'TAMIU FGD'!$H$47</f>
        <v>0</v>
      </c>
      <c r="I1177" s="390">
        <f>'TAMIU FGD'!$I$47</f>
        <v>0</v>
      </c>
      <c r="J1177" s="390">
        <f>'TAMIU FGD'!$J$47</f>
        <v>0</v>
      </c>
      <c r="K1177" s="390">
        <f>'TAMIU FGD'!$K$47</f>
        <v>0</v>
      </c>
      <c r="L1177" s="390">
        <f>'TAMIU FGD'!$L$47</f>
        <v>0</v>
      </c>
      <c r="M1177" s="390">
        <f>'TAMIU FGD'!$M$47</f>
        <v>51758469</v>
      </c>
      <c r="N1177" s="401"/>
    </row>
    <row r="1178" spans="2:14" s="160" customFormat="1" ht="12.75" hidden="1" customHeight="1" outlineLevel="1">
      <c r="B1178" s="390" t="str">
        <f>'TAMU FGD'!$B$2</f>
        <v>Texas A&amp;M University</v>
      </c>
      <c r="C1178" s="172"/>
      <c r="D1178" s="390">
        <f>'TAMU FGD'!$D$47</f>
        <v>0</v>
      </c>
      <c r="E1178" s="390">
        <f>'TAMU FGD'!$E$47</f>
        <v>28443773</v>
      </c>
      <c r="F1178" s="390">
        <f>'TAMU FGD'!$F$47</f>
        <v>0</v>
      </c>
      <c r="G1178" s="390">
        <f>'TAMU FGD'!$G$47</f>
        <v>244199018</v>
      </c>
      <c r="H1178" s="390">
        <f>'TAMU FGD'!$H$47</f>
        <v>0</v>
      </c>
      <c r="I1178" s="390">
        <f>'TAMU FGD'!$I$47</f>
        <v>0</v>
      </c>
      <c r="J1178" s="390">
        <f>'TAMU FGD'!$J$47</f>
        <v>0</v>
      </c>
      <c r="K1178" s="390">
        <f>'TAMU FGD'!$K$47</f>
        <v>0</v>
      </c>
      <c r="L1178" s="390">
        <f>'TAMU FGD'!$L$47</f>
        <v>0</v>
      </c>
      <c r="M1178" s="390">
        <f>'TAMU FGD'!$M$47</f>
        <v>272642791</v>
      </c>
      <c r="N1178" s="401"/>
    </row>
    <row r="1179" spans="2:14" s="160" customFormat="1" ht="12.75" hidden="1" customHeight="1" outlineLevel="1">
      <c r="B1179" s="390" t="str">
        <f>'TAMUC FGD'!$B$2</f>
        <v>Texas A&amp;M University - Commerce</v>
      </c>
      <c r="C1179" s="172"/>
      <c r="D1179" s="390">
        <f>'TAMUC FGD'!$D$47</f>
        <v>1631662</v>
      </c>
      <c r="E1179" s="390">
        <f>'TAMUC FGD'!$E$47</f>
        <v>763670</v>
      </c>
      <c r="F1179" s="390">
        <f>'TAMUC FGD'!$F$47</f>
        <v>0</v>
      </c>
      <c r="G1179" s="390">
        <f>'TAMUC FGD'!$G$47</f>
        <v>42045282</v>
      </c>
      <c r="H1179" s="390">
        <f>'TAMUC FGD'!$H$47</f>
        <v>0</v>
      </c>
      <c r="I1179" s="390">
        <f>'TAMUC FGD'!$I$47</f>
        <v>0</v>
      </c>
      <c r="J1179" s="390">
        <f>'TAMUC FGD'!$J$47</f>
        <v>0</v>
      </c>
      <c r="K1179" s="390">
        <f>'TAMUC FGD'!$K$47</f>
        <v>0</v>
      </c>
      <c r="L1179" s="390">
        <f>'TAMUC FGD'!$L$47</f>
        <v>0</v>
      </c>
      <c r="M1179" s="390">
        <f>'TAMUC FGD'!$M$47</f>
        <v>44440614</v>
      </c>
      <c r="N1179" s="401"/>
    </row>
    <row r="1180" spans="2:14" s="160" customFormat="1" ht="12.75" hidden="1" customHeight="1" outlineLevel="1">
      <c r="B1180" s="390" t="str">
        <f>'TAMUCC FGD'!$B$2</f>
        <v>Texas A&amp;M University - Corpus Christi</v>
      </c>
      <c r="C1180" s="172"/>
      <c r="D1180" s="390">
        <f>'TAMUCC FGD'!$D$47</f>
        <v>2065922</v>
      </c>
      <c r="E1180" s="390">
        <f>'TAMUCC FGD'!$E$47</f>
        <v>3333462</v>
      </c>
      <c r="F1180" s="390">
        <f>'TAMUCC FGD'!$F$47</f>
        <v>0</v>
      </c>
      <c r="G1180" s="390">
        <f>'TAMUCC FGD'!$G$47</f>
        <v>59269383</v>
      </c>
      <c r="H1180" s="390">
        <f>'TAMUCC FGD'!$H$47</f>
        <v>0</v>
      </c>
      <c r="I1180" s="390">
        <f>'TAMUCC FGD'!$I$47</f>
        <v>0</v>
      </c>
      <c r="J1180" s="390">
        <f>'TAMUCC FGD'!$J$47</f>
        <v>0</v>
      </c>
      <c r="K1180" s="390">
        <f>'TAMUCC FGD'!$K$47</f>
        <v>0</v>
      </c>
      <c r="L1180" s="390">
        <f>'TAMUCC FGD'!$L$47</f>
        <v>0</v>
      </c>
      <c r="M1180" s="390">
        <f>'TAMUCC FGD'!$M$47</f>
        <v>64668767</v>
      </c>
      <c r="N1180" s="401"/>
    </row>
    <row r="1181" spans="2:14" s="160" customFormat="1" ht="12.75" hidden="1" customHeight="1" outlineLevel="1">
      <c r="B1181" s="390" t="str">
        <f>'TAMUCT FGD'!$B$2</f>
        <v>Texas A&amp;M University - Central Texas</v>
      </c>
      <c r="C1181" s="172"/>
      <c r="D1181" s="390">
        <f>'TAMUCT FGD'!$D$47</f>
        <v>0</v>
      </c>
      <c r="E1181" s="390">
        <f>'TAMUCT FGD'!$E$47</f>
        <v>38118</v>
      </c>
      <c r="F1181" s="390">
        <f>'TAMUCT FGD'!$F$47</f>
        <v>0</v>
      </c>
      <c r="G1181" s="390">
        <f>'TAMUCT FGD'!$G$47</f>
        <v>8092176</v>
      </c>
      <c r="H1181" s="390">
        <f>'TAMUCT FGD'!$H$47</f>
        <v>0</v>
      </c>
      <c r="I1181" s="390">
        <f>'TAMUCT FGD'!$I$47</f>
        <v>0</v>
      </c>
      <c r="J1181" s="390">
        <f>'TAMUCT FGD'!$J$47</f>
        <v>0</v>
      </c>
      <c r="K1181" s="390">
        <f>'TAMUCT FGD'!$K$47</f>
        <v>0</v>
      </c>
      <c r="L1181" s="390">
        <f>'TAMUCT FGD'!$L$47</f>
        <v>0</v>
      </c>
      <c r="M1181" s="390">
        <f>'TAMUCT FGD'!$M$47</f>
        <v>8130294</v>
      </c>
      <c r="N1181" s="401"/>
    </row>
    <row r="1182" spans="2:14" s="160" customFormat="1" ht="12.75" hidden="1" customHeight="1" outlineLevel="1">
      <c r="B1182" s="390" t="str">
        <f>'TAMUG FGD'!$B$2</f>
        <v>Texas A&amp;M University at Galveston</v>
      </c>
      <c r="C1182" s="172"/>
      <c r="D1182" s="390">
        <f>'TAMUG FGD'!$D$47</f>
        <v>0</v>
      </c>
      <c r="E1182" s="390">
        <f>'TAMUG FGD'!$E$47</f>
        <v>594615</v>
      </c>
      <c r="F1182" s="390">
        <f>'TAMUG FGD'!$F$47</f>
        <v>0</v>
      </c>
      <c r="G1182" s="390">
        <f>'TAMUG FGD'!$G$47</f>
        <v>9651252</v>
      </c>
      <c r="H1182" s="390">
        <f>'TAMUG FGD'!$H$47</f>
        <v>0</v>
      </c>
      <c r="I1182" s="390">
        <f>'TAMUG FGD'!$I$47</f>
        <v>0</v>
      </c>
      <c r="J1182" s="390">
        <f>'TAMUG FGD'!$J$47</f>
        <v>0</v>
      </c>
      <c r="K1182" s="390">
        <f>'TAMUG FGD'!$K$47</f>
        <v>0</v>
      </c>
      <c r="L1182" s="390">
        <f>'TAMUG FGD'!$L$47</f>
        <v>0</v>
      </c>
      <c r="M1182" s="390">
        <f>'TAMUG FGD'!$M$47</f>
        <v>10245867</v>
      </c>
      <c r="N1182" s="401"/>
    </row>
    <row r="1183" spans="2:14" s="160" customFormat="1" ht="12.75" hidden="1" customHeight="1" outlineLevel="1">
      <c r="B1183" s="390" t="str">
        <f>'TAMUK FGD'!$B$2</f>
        <v>Texas A&amp;M University - Kingsville</v>
      </c>
      <c r="C1183" s="172"/>
      <c r="D1183" s="390">
        <f>'TAMUK FGD'!$D$47</f>
        <v>1635710</v>
      </c>
      <c r="E1183" s="390">
        <f>'TAMUK FGD'!$E$47</f>
        <v>2191480</v>
      </c>
      <c r="F1183" s="390">
        <f>'TAMUK FGD'!$F$47</f>
        <v>0</v>
      </c>
      <c r="G1183" s="390">
        <f>'TAMUK FGD'!$G$47</f>
        <v>43445914</v>
      </c>
      <c r="H1183" s="390">
        <f>'TAMUK FGD'!$H$47</f>
        <v>0</v>
      </c>
      <c r="I1183" s="390">
        <f>'TAMUK FGD'!$I$47</f>
        <v>0</v>
      </c>
      <c r="J1183" s="390">
        <f>'TAMUK FGD'!$J$47</f>
        <v>0</v>
      </c>
      <c r="K1183" s="390">
        <f>'TAMUK FGD'!$K$47</f>
        <v>0</v>
      </c>
      <c r="L1183" s="390">
        <f>'TAMUK FGD'!$L$47</f>
        <v>0</v>
      </c>
      <c r="M1183" s="390">
        <f>'TAMUK FGD'!$M$47</f>
        <v>47273104</v>
      </c>
      <c r="N1183" s="401"/>
    </row>
    <row r="1184" spans="2:14" s="160" customFormat="1" ht="12.75" hidden="1" customHeight="1" outlineLevel="1">
      <c r="B1184" s="390" t="str">
        <f>'TAMUSA FGD'!$B$2</f>
        <v>Texas A&amp;M University - San Antonio</v>
      </c>
      <c r="C1184" s="172"/>
      <c r="D1184" s="390">
        <f>'TAMUSA FGD'!$D$47</f>
        <v>1310650</v>
      </c>
      <c r="E1184" s="390">
        <f>'TAMUSA FGD'!$E$47</f>
        <v>1323047</v>
      </c>
      <c r="F1184" s="390">
        <f>'TAMUSA FGD'!$F$47</f>
        <v>0</v>
      </c>
      <c r="G1184" s="390">
        <f>'TAMUSA FGD'!$G$47</f>
        <v>32727145</v>
      </c>
      <c r="H1184" s="390">
        <f>'TAMUSA FGD'!$H$47</f>
        <v>0</v>
      </c>
      <c r="I1184" s="390">
        <f>'TAMUSA FGD'!$I$47</f>
        <v>0</v>
      </c>
      <c r="J1184" s="390">
        <f>'TAMUSA FGD'!$J$47</f>
        <v>0</v>
      </c>
      <c r="K1184" s="390">
        <f>'TAMUSA FGD'!$K$47</f>
        <v>0</v>
      </c>
      <c r="L1184" s="390">
        <f>'TAMUSA FGD'!$L$47</f>
        <v>0</v>
      </c>
      <c r="M1184" s="390">
        <f>'TAMUSA FGD'!$M$47</f>
        <v>35360842</v>
      </c>
      <c r="N1184" s="401"/>
    </row>
    <row r="1185" spans="2:14" s="160" customFormat="1" ht="12.75" hidden="1" customHeight="1" outlineLevel="1">
      <c r="B1185" s="390" t="str">
        <f>'TAMUT FGD'!$B$2</f>
        <v>Texas A&amp;M University - Texarkana</v>
      </c>
      <c r="C1185" s="172"/>
      <c r="D1185" s="390">
        <f>'TAMUT FGD'!$D$47</f>
        <v>335153</v>
      </c>
      <c r="E1185" s="390">
        <f>'TAMUT FGD'!$E$47</f>
        <v>265724</v>
      </c>
      <c r="F1185" s="390">
        <f>'TAMUT FGD'!$F$47</f>
        <v>0</v>
      </c>
      <c r="G1185" s="390">
        <f>'TAMUT FGD'!$G$47</f>
        <v>9144253</v>
      </c>
      <c r="H1185" s="390">
        <f>'TAMUT FGD'!$H$47</f>
        <v>0</v>
      </c>
      <c r="I1185" s="390">
        <f>'TAMUT FGD'!$I$47</f>
        <v>0</v>
      </c>
      <c r="J1185" s="390">
        <f>'TAMUT FGD'!$J$47</f>
        <v>0</v>
      </c>
      <c r="K1185" s="390">
        <f>'TAMUT FGD'!$K$47</f>
        <v>0</v>
      </c>
      <c r="L1185" s="390">
        <f>'TAMUT FGD'!$L$47</f>
        <v>0</v>
      </c>
      <c r="M1185" s="390">
        <f>'TAMUT FGD'!$M$47</f>
        <v>9745130</v>
      </c>
      <c r="N1185" s="401"/>
    </row>
    <row r="1186" spans="2:14" s="160" customFormat="1" ht="12.75" hidden="1" customHeight="1" outlineLevel="1">
      <c r="B1186" s="390" t="str">
        <f>'TARLST FGD'!$B$2</f>
        <v>Tarleton State University</v>
      </c>
      <c r="C1186" s="172"/>
      <c r="D1186" s="390">
        <f>'TARLST FGD'!$D$47</f>
        <v>2908406</v>
      </c>
      <c r="E1186" s="390">
        <f>'TARLST FGD'!$E$47</f>
        <v>1773500</v>
      </c>
      <c r="F1186" s="390">
        <f>'TARLST FGD'!$F$47</f>
        <v>0</v>
      </c>
      <c r="G1186" s="390">
        <f>'TARLST FGD'!$G$47</f>
        <v>52531969</v>
      </c>
      <c r="H1186" s="390">
        <f>'TARLST FGD'!$H$47</f>
        <v>0</v>
      </c>
      <c r="I1186" s="390">
        <f>'TARLST FGD'!$I$47</f>
        <v>0</v>
      </c>
      <c r="J1186" s="390">
        <f>'TARLST FGD'!$J$47</f>
        <v>46134</v>
      </c>
      <c r="K1186" s="390">
        <f>'TARLST FGD'!$K$47</f>
        <v>0</v>
      </c>
      <c r="L1186" s="390">
        <f>'TARLST FGD'!$L$47</f>
        <v>0</v>
      </c>
      <c r="M1186" s="390">
        <f>'TARLST FGD'!$M$47</f>
        <v>57260009</v>
      </c>
      <c r="N1186" s="401"/>
    </row>
    <row r="1187" spans="2:14" s="160" customFormat="1" ht="12.75" hidden="1" customHeight="1" outlineLevel="1">
      <c r="B1187" s="390" t="str">
        <f>'TSU FGD'!$B$2</f>
        <v>Texas Southern University</v>
      </c>
      <c r="C1187" s="172"/>
      <c r="D1187" s="390">
        <f>'TSU FGD'!$D$47</f>
        <v>0</v>
      </c>
      <c r="E1187" s="390">
        <f>'TSU FGD'!$E$47</f>
        <v>0</v>
      </c>
      <c r="F1187" s="390">
        <f>'TSU FGD'!$F$47</f>
        <v>0</v>
      </c>
      <c r="G1187" s="390">
        <f>'TSU FGD'!$G$47</f>
        <v>89345091</v>
      </c>
      <c r="H1187" s="390">
        <f>'TSU FGD'!$H$47</f>
        <v>0</v>
      </c>
      <c r="I1187" s="390">
        <f>'TSU FGD'!$I$47</f>
        <v>0</v>
      </c>
      <c r="J1187" s="390">
        <f>'TSU FGD'!$J$47</f>
        <v>0</v>
      </c>
      <c r="K1187" s="390">
        <f>'TSU FGD'!$K$47</f>
        <v>0</v>
      </c>
      <c r="L1187" s="390">
        <f>'TSU FGD'!$L$47</f>
        <v>0</v>
      </c>
      <c r="M1187" s="390">
        <f>'TSU FGD'!$M$47</f>
        <v>89345091</v>
      </c>
      <c r="N1187" s="401"/>
    </row>
    <row r="1188" spans="2:14" s="160" customFormat="1" ht="12.75" hidden="1" customHeight="1" outlineLevel="1">
      <c r="B1188" s="390" t="str">
        <f>'TTU FGD'!$B$2</f>
        <v>Texas Tech University</v>
      </c>
      <c r="C1188" s="172"/>
      <c r="D1188" s="390">
        <f>'TTU FGD'!$D$47</f>
        <v>3032192</v>
      </c>
      <c r="E1188" s="390">
        <f>'TTU FGD'!$E$47</f>
        <v>0</v>
      </c>
      <c r="F1188" s="390">
        <f>'TTU FGD'!$F$47</f>
        <v>0</v>
      </c>
      <c r="G1188" s="390">
        <f>'TTU FGD'!$G$47</f>
        <v>123815066</v>
      </c>
      <c r="H1188" s="390">
        <f>'TTU FGD'!$H$47</f>
        <v>0</v>
      </c>
      <c r="I1188" s="390">
        <f>'TTU FGD'!$I$47</f>
        <v>0</v>
      </c>
      <c r="J1188" s="390">
        <f>'TTU FGD'!$J$47</f>
        <v>0</v>
      </c>
      <c r="K1188" s="390">
        <f>'TTU FGD'!$K$47</f>
        <v>0</v>
      </c>
      <c r="L1188" s="390">
        <f>'TTU FGD'!$L$47</f>
        <v>0</v>
      </c>
      <c r="M1188" s="390">
        <f>'TTU FGD'!$M$47</f>
        <v>126847258</v>
      </c>
      <c r="N1188" s="401"/>
    </row>
    <row r="1189" spans="2:14" s="160" customFormat="1" ht="12.75" hidden="1" customHeight="1" outlineLevel="1">
      <c r="B1189" s="390" t="str">
        <f>'TWU FGD'!$B$2</f>
        <v>Texas Woman's University</v>
      </c>
      <c r="C1189" s="172"/>
      <c r="D1189" s="390">
        <f>'TWU FGD'!$D$47</f>
        <v>0</v>
      </c>
      <c r="E1189" s="390">
        <f>'TWU FGD'!$E$47</f>
        <v>0</v>
      </c>
      <c r="F1189" s="390">
        <f>'TWU FGD'!$F$47</f>
        <v>0</v>
      </c>
      <c r="G1189" s="390">
        <f>'TWU FGD'!$G$47</f>
        <v>42101935</v>
      </c>
      <c r="H1189" s="390">
        <f>'TWU FGD'!$H$47</f>
        <v>0</v>
      </c>
      <c r="I1189" s="390">
        <f>'TWU FGD'!$I$47</f>
        <v>0</v>
      </c>
      <c r="J1189" s="390">
        <f>'TWU FGD'!$J$47</f>
        <v>0</v>
      </c>
      <c r="K1189" s="390">
        <f>'TWU FGD'!$K$47</f>
        <v>0</v>
      </c>
      <c r="L1189" s="390">
        <f>'TWU FGD'!$L$47</f>
        <v>0</v>
      </c>
      <c r="M1189" s="390">
        <f>'TWU FGD'!$M$47</f>
        <v>42101935</v>
      </c>
      <c r="N1189" s="401"/>
    </row>
    <row r="1190" spans="2:14" s="160" customFormat="1" ht="12.75" hidden="1" customHeight="1" outlineLevel="1">
      <c r="B1190" s="390" t="str">
        <f>'TXST FGD'!$B$2</f>
        <v>Texas State University</v>
      </c>
      <c r="C1190" s="172"/>
      <c r="D1190" s="390">
        <f>'TXST FGD'!$D$47</f>
        <v>0</v>
      </c>
      <c r="E1190" s="390">
        <f>'TXST FGD'!$E$47</f>
        <v>0</v>
      </c>
      <c r="F1190" s="390">
        <f>'TXST FGD'!$F$47</f>
        <v>0</v>
      </c>
      <c r="G1190" s="390">
        <f>'TXST FGD'!$G$47</f>
        <v>142660412</v>
      </c>
      <c r="H1190" s="390">
        <f>'TXST FGD'!$H$47</f>
        <v>0</v>
      </c>
      <c r="I1190" s="390">
        <f>'TXST FGD'!$I$47</f>
        <v>0</v>
      </c>
      <c r="J1190" s="390">
        <f>'TXST FGD'!$J$47</f>
        <v>0</v>
      </c>
      <c r="K1190" s="390">
        <f>'TXST FGD'!$K$47</f>
        <v>0</v>
      </c>
      <c r="L1190" s="390">
        <f>'TXST FGD'!$L$47</f>
        <v>0</v>
      </c>
      <c r="M1190" s="390">
        <f>'TXST FGD'!$M$47</f>
        <v>142660412</v>
      </c>
      <c r="N1190" s="401"/>
    </row>
    <row r="1191" spans="2:14" s="160" customFormat="1" ht="12.75" hidden="1" customHeight="1" outlineLevel="1">
      <c r="B1191" s="390" t="str">
        <f>'TYL FGD'!$B$2</f>
        <v>The University of Texas at Tyler</v>
      </c>
      <c r="C1191" s="172"/>
      <c r="D1191" s="390">
        <f>'TYL FGD'!$D$47</f>
        <v>1109520</v>
      </c>
      <c r="E1191" s="390">
        <f>'TYL FGD'!$E$47</f>
        <v>196786</v>
      </c>
      <c r="F1191" s="390">
        <f>'TYL FGD'!$F$47</f>
        <v>0</v>
      </c>
      <c r="G1191" s="390">
        <f>'TYL FGD'!$G$47</f>
        <v>21902264</v>
      </c>
      <c r="H1191" s="390">
        <f>'TYL FGD'!$H$47</f>
        <v>0</v>
      </c>
      <c r="I1191" s="390">
        <f>'TYL FGD'!$I$47</f>
        <v>0</v>
      </c>
      <c r="J1191" s="390">
        <f>'TYL FGD'!$J$47</f>
        <v>0</v>
      </c>
      <c r="K1191" s="390">
        <f>'TYL FGD'!$K$47</f>
        <v>0</v>
      </c>
      <c r="L1191" s="390">
        <f>'TYL FGD'!$L$47</f>
        <v>0</v>
      </c>
      <c r="M1191" s="390">
        <f>'TYL FGD'!$M$47</f>
        <v>23208570</v>
      </c>
      <c r="N1191" s="401"/>
    </row>
    <row r="1192" spans="2:14" s="160" customFormat="1" ht="12.75" hidden="1" customHeight="1" outlineLevel="1">
      <c r="B1192" s="390" t="str">
        <f>'UH1 FGD'!$B$2</f>
        <v>University of Houston - Academic &amp; Health (A+H)</v>
      </c>
      <c r="C1192" s="172"/>
      <c r="D1192" s="390">
        <f>'UH1 FGD'!$D$47</f>
        <v>6273088</v>
      </c>
      <c r="E1192" s="390">
        <f>'UH1 FGD'!$E$47</f>
        <v>22112</v>
      </c>
      <c r="F1192" s="390">
        <f>'UH1 FGD'!$F$47</f>
        <v>0</v>
      </c>
      <c r="G1192" s="390">
        <f>'UH1 FGD'!$G$47</f>
        <v>257002093</v>
      </c>
      <c r="H1192" s="390">
        <f>'UH1 FGD'!$H$47</f>
        <v>71458</v>
      </c>
      <c r="I1192" s="390">
        <f>'UH1 FGD'!$I$47</f>
        <v>0</v>
      </c>
      <c r="J1192" s="390">
        <f>'UH1 FGD'!$J$47</f>
        <v>0</v>
      </c>
      <c r="K1192" s="390">
        <f>'UH1 FGD'!$K$47</f>
        <v>0</v>
      </c>
      <c r="L1192" s="390">
        <f>'UH1 FGD'!$L$47</f>
        <v>0</v>
      </c>
      <c r="M1192" s="390">
        <f>'UH1 FGD'!$M$47</f>
        <v>263368751</v>
      </c>
      <c r="N1192" s="401"/>
    </row>
    <row r="1193" spans="2:14" s="160" customFormat="1" ht="12.75" hidden="1" customHeight="1" outlineLevel="1">
      <c r="B1193" s="390" t="str">
        <f>'UHCL FGD'!$B$2</f>
        <v>University of Houston - Clear Lake</v>
      </c>
      <c r="C1193" s="172"/>
      <c r="D1193" s="390">
        <f>'UHCL FGD'!$D$47</f>
        <v>0</v>
      </c>
      <c r="E1193" s="390">
        <f>'UHCL FGD'!$E$47</f>
        <v>0</v>
      </c>
      <c r="F1193" s="390">
        <f>'UHCL FGD'!$F$47</f>
        <v>0</v>
      </c>
      <c r="G1193" s="390">
        <f>'UHCL FGD'!$G$47</f>
        <v>37552981</v>
      </c>
      <c r="H1193" s="390">
        <f>'UHCL FGD'!$H$47</f>
        <v>0</v>
      </c>
      <c r="I1193" s="390">
        <f>'UHCL FGD'!$I$47</f>
        <v>0</v>
      </c>
      <c r="J1193" s="390">
        <f>'UHCL FGD'!$J$47</f>
        <v>0</v>
      </c>
      <c r="K1193" s="390">
        <f>'UHCL FGD'!$K$47</f>
        <v>0</v>
      </c>
      <c r="L1193" s="390">
        <f>'UHCL FGD'!$L$47</f>
        <v>0</v>
      </c>
      <c r="M1193" s="390">
        <f>'UHCL FGD'!$M$47</f>
        <v>37552981</v>
      </c>
      <c r="N1193" s="401"/>
    </row>
    <row r="1194" spans="2:14" s="160" customFormat="1" ht="12.75" hidden="1" customHeight="1" outlineLevel="1">
      <c r="B1194" s="390" t="str">
        <f>'UHD FGD'!$B$2</f>
        <v>University of Houston - Downtown</v>
      </c>
      <c r="C1194" s="172"/>
      <c r="D1194" s="390">
        <f>'UHD FGD'!$D$47</f>
        <v>0</v>
      </c>
      <c r="E1194" s="390">
        <f>'UHD FGD'!$E$47</f>
        <v>161556</v>
      </c>
      <c r="F1194" s="390">
        <f>'UHD FGD'!$F$47</f>
        <v>0</v>
      </c>
      <c r="G1194" s="390">
        <f>'UHD FGD'!$G$47</f>
        <v>63764007</v>
      </c>
      <c r="H1194" s="390">
        <f>'UHD FGD'!$H$47</f>
        <v>0</v>
      </c>
      <c r="I1194" s="390">
        <f>'UHD FGD'!$I$47</f>
        <v>0</v>
      </c>
      <c r="J1194" s="390">
        <f>'UHD FGD'!$J$47</f>
        <v>0</v>
      </c>
      <c r="K1194" s="390">
        <f>'UHD FGD'!$K$47</f>
        <v>0</v>
      </c>
      <c r="L1194" s="390">
        <f>'UHD FGD'!$L$47</f>
        <v>0</v>
      </c>
      <c r="M1194" s="390">
        <f>'UHD FGD'!$M$47</f>
        <v>63925563</v>
      </c>
      <c r="N1194" s="401"/>
    </row>
    <row r="1195" spans="2:14" s="160" customFormat="1" ht="12.75" hidden="1" customHeight="1" outlineLevel="1">
      <c r="B1195" s="390" t="str">
        <f>'UHV FGD'!$B$2</f>
        <v>University of Houston - Victoria</v>
      </c>
      <c r="C1195" s="172"/>
      <c r="D1195" s="390">
        <f>'UHV FGD'!$D$47</f>
        <v>590591</v>
      </c>
      <c r="E1195" s="390">
        <f>'UHV FGD'!$E$47</f>
        <v>0</v>
      </c>
      <c r="F1195" s="390">
        <f>'UHV FGD'!$F$47</f>
        <v>0</v>
      </c>
      <c r="G1195" s="390">
        <f>'UHV FGD'!$G$47</f>
        <v>15060140</v>
      </c>
      <c r="H1195" s="390">
        <f>'UHV FGD'!$H$47</f>
        <v>0</v>
      </c>
      <c r="I1195" s="390">
        <f>'UHV FGD'!$I$47</f>
        <v>0</v>
      </c>
      <c r="J1195" s="390">
        <f>'UHV FGD'!$J$47</f>
        <v>0</v>
      </c>
      <c r="K1195" s="390">
        <f>'UHV FGD'!$K$47</f>
        <v>0</v>
      </c>
      <c r="L1195" s="390">
        <f>'UHV FGD'!$L$47</f>
        <v>0</v>
      </c>
      <c r="M1195" s="390">
        <f>'UHV FGD'!$M$47</f>
        <v>15650731</v>
      </c>
      <c r="N1195" s="401"/>
    </row>
    <row r="1196" spans="2:14" s="160" customFormat="1" ht="12.75" hidden="1" customHeight="1" outlineLevel="1">
      <c r="B1196" s="390" t="str">
        <f>'UNT FGD'!$B$2</f>
        <v>University of North Texas</v>
      </c>
      <c r="C1196" s="172"/>
      <c r="D1196" s="390">
        <f>'UNT FGD'!$D$47</f>
        <v>4751188</v>
      </c>
      <c r="E1196" s="390">
        <f>'UNT FGD'!$E$47</f>
        <v>62620</v>
      </c>
      <c r="F1196" s="390">
        <f>'UNT FGD'!$F$47</f>
        <v>0</v>
      </c>
      <c r="G1196" s="390">
        <f>'UNT FGD'!$G$47</f>
        <v>160693009</v>
      </c>
      <c r="H1196" s="390">
        <f>'UNT FGD'!$H$47</f>
        <v>0</v>
      </c>
      <c r="I1196" s="390">
        <f>'UNT FGD'!$I$47</f>
        <v>0</v>
      </c>
      <c r="J1196" s="390">
        <f>'UNT FGD'!$J$47</f>
        <v>0</v>
      </c>
      <c r="K1196" s="390">
        <f>'UNT FGD'!$K$47</f>
        <v>0</v>
      </c>
      <c r="L1196" s="390">
        <f>'UNT FGD'!$L$47</f>
        <v>0</v>
      </c>
      <c r="M1196" s="390">
        <f>'UNT FGD'!$M$47</f>
        <v>165506817</v>
      </c>
      <c r="N1196" s="401"/>
    </row>
    <row r="1197" spans="2:14" s="160" customFormat="1" ht="12.75" hidden="1" customHeight="1" outlineLevel="1">
      <c r="B1197" s="390" t="str">
        <f>'UNTD FGD'!$B$2</f>
        <v>University of North Texas at Dallas</v>
      </c>
      <c r="C1197" s="172"/>
      <c r="D1197" s="390">
        <f>'UNTD FGD'!$D$47</f>
        <v>886773</v>
      </c>
      <c r="E1197" s="390">
        <f>'UNTD FGD'!$E$47</f>
        <v>25959</v>
      </c>
      <c r="F1197" s="390">
        <f>'UNTD FGD'!$F$47</f>
        <v>0</v>
      </c>
      <c r="G1197" s="390">
        <f>'UNTD FGD'!$G$47</f>
        <v>21560648</v>
      </c>
      <c r="H1197" s="390">
        <f>'UNTD FGD'!$H$47</f>
        <v>0</v>
      </c>
      <c r="I1197" s="390">
        <f>'UNTD FGD'!$I$47</f>
        <v>0</v>
      </c>
      <c r="J1197" s="390">
        <f>'UNTD FGD'!$J$47</f>
        <v>0</v>
      </c>
      <c r="K1197" s="390">
        <f>'UNTD FGD'!$K$47</f>
        <v>0</v>
      </c>
      <c r="L1197" s="390">
        <f>'UNTD FGD'!$L$47</f>
        <v>0</v>
      </c>
      <c r="M1197" s="390">
        <f>'UNTD FGD'!$M$47</f>
        <v>22473380</v>
      </c>
      <c r="N1197" s="401"/>
    </row>
    <row r="1198" spans="2:14" s="160" customFormat="1" ht="12.75" hidden="1" customHeight="1" outlineLevel="1">
      <c r="B1198" s="390" t="str">
        <f>'WTAMU FGD'!$B$2</f>
        <v>West Texas A&amp;M University</v>
      </c>
      <c r="C1198" s="172"/>
      <c r="D1198" s="390">
        <f>'WTAMU FGD'!$D$47</f>
        <v>1131406</v>
      </c>
      <c r="E1198" s="390">
        <f>'WTAMU FGD'!$E$47</f>
        <v>937887</v>
      </c>
      <c r="F1198" s="390">
        <f>'WTAMU FGD'!$F$47</f>
        <v>0</v>
      </c>
      <c r="G1198" s="390">
        <f>'WTAMU FGD'!$G$47</f>
        <v>32103883</v>
      </c>
      <c r="H1198" s="390">
        <f>'WTAMU FGD'!$H$47</f>
        <v>0</v>
      </c>
      <c r="I1198" s="390">
        <f>'WTAMU FGD'!$I$47</f>
        <v>0</v>
      </c>
      <c r="J1198" s="390">
        <f>'WTAMU FGD'!$J$47</f>
        <v>0</v>
      </c>
      <c r="K1198" s="390">
        <f>'WTAMU FGD'!$K$47</f>
        <v>0</v>
      </c>
      <c r="L1198" s="390">
        <f>'WTAMU FGD'!$L$47</f>
        <v>0</v>
      </c>
      <c r="M1198" s="390">
        <f>'WTAMU FGD'!$M$47</f>
        <v>34173176</v>
      </c>
      <c r="N1198" s="401"/>
    </row>
    <row r="1199" spans="2:14" s="160" customFormat="1" collapsed="1">
      <c r="B1199" s="176" t="s">
        <v>7</v>
      </c>
      <c r="C1199" s="176"/>
      <c r="D1199" s="581">
        <f t="shared" ref="D1199:M1199" si="31">SUM(D1163:D1198)</f>
        <v>60000195</v>
      </c>
      <c r="E1199" s="581">
        <f t="shared" si="31"/>
        <v>222474221</v>
      </c>
      <c r="F1199" s="581">
        <f t="shared" si="31"/>
        <v>0</v>
      </c>
      <c r="G1199" s="581">
        <f t="shared" si="31"/>
        <v>3316929695</v>
      </c>
      <c r="H1199" s="581">
        <f t="shared" si="31"/>
        <v>71458</v>
      </c>
      <c r="I1199" s="581">
        <f t="shared" si="31"/>
        <v>0</v>
      </c>
      <c r="J1199" s="581">
        <f t="shared" si="31"/>
        <v>515768</v>
      </c>
      <c r="K1199" s="581">
        <f t="shared" si="31"/>
        <v>0</v>
      </c>
      <c r="L1199" s="581">
        <f t="shared" si="31"/>
        <v>0</v>
      </c>
      <c r="M1199" s="581">
        <f t="shared" si="31"/>
        <v>3599991337</v>
      </c>
      <c r="N1199" s="401"/>
    </row>
    <row r="1200" spans="2:14" s="160" customFormat="1">
      <c r="D1200" s="390"/>
      <c r="E1200" s="390"/>
      <c r="F1200" s="390"/>
      <c r="G1200" s="390"/>
      <c r="H1200" s="390"/>
      <c r="I1200" s="390"/>
      <c r="J1200" s="390"/>
      <c r="K1200" s="390"/>
      <c r="L1200" s="390"/>
      <c r="M1200" s="390"/>
      <c r="N1200" s="401"/>
    </row>
    <row r="1201" spans="2:14" s="160" customFormat="1">
      <c r="B1201" s="172" t="s">
        <v>8</v>
      </c>
      <c r="C1201" s="172"/>
      <c r="D1201" s="390"/>
      <c r="E1201" s="390"/>
      <c r="F1201" s="390"/>
      <c r="G1201" s="390"/>
      <c r="H1201" s="390"/>
      <c r="I1201" s="390"/>
      <c r="J1201" s="390"/>
      <c r="K1201" s="390"/>
      <c r="L1201" s="390"/>
      <c r="M1201" s="390"/>
      <c r="N1201" s="401"/>
    </row>
    <row r="1202" spans="2:14" s="160" customFormat="1" ht="12.75" hidden="1" customHeight="1" outlineLevel="1">
      <c r="B1202" s="674" t="str">
        <f>'ARL FGD'!$B$2</f>
        <v>The University of Texas at Arlington</v>
      </c>
      <c r="C1202" s="172"/>
      <c r="D1202" s="390">
        <f>'ARL FGD'!$D$50</f>
        <v>2936978</v>
      </c>
      <c r="E1202" s="390">
        <f>'ARL FGD'!$E$50</f>
        <v>19904010</v>
      </c>
      <c r="F1202" s="390">
        <f>'ARL FGD'!$F$50</f>
        <v>901051</v>
      </c>
      <c r="G1202" s="390">
        <f>'ARL FGD'!$G$50</f>
        <v>8298728</v>
      </c>
      <c r="H1202" s="390">
        <f>'ARL FGD'!$H$50</f>
        <v>6407</v>
      </c>
      <c r="I1202" s="390">
        <f>'ARL FGD'!$I$50</f>
        <v>8586</v>
      </c>
      <c r="J1202" s="390">
        <f>'ARL FGD'!$J$50</f>
        <v>1620131</v>
      </c>
      <c r="K1202" s="390">
        <f>'ARL FGD'!$K$50</f>
        <v>0</v>
      </c>
      <c r="L1202" s="390">
        <f>'ARL FGD'!$L$50</f>
        <v>0</v>
      </c>
      <c r="M1202" s="390">
        <f>'ARL FGD'!$M$50</f>
        <v>33675891</v>
      </c>
      <c r="N1202" s="401"/>
    </row>
    <row r="1203" spans="2:14" s="160" customFormat="1" ht="12.75" hidden="1" customHeight="1" outlineLevel="1">
      <c r="B1203" s="674" t="str">
        <f>'ASU FGD'!$B$2</f>
        <v>Angelo State University</v>
      </c>
      <c r="C1203" s="172"/>
      <c r="D1203" s="390">
        <f>'ASU FGD'!$D$50</f>
        <v>28296</v>
      </c>
      <c r="E1203" s="390">
        <f>'ASU FGD'!$E$50</f>
        <v>724236</v>
      </c>
      <c r="F1203" s="390">
        <f>'ASU FGD'!$F$50</f>
        <v>0</v>
      </c>
      <c r="G1203" s="390">
        <f>'ASU FGD'!$G$50</f>
        <v>10921136</v>
      </c>
      <c r="H1203" s="390">
        <f>'ASU FGD'!$H$50</f>
        <v>12121</v>
      </c>
      <c r="I1203" s="390">
        <f>'ASU FGD'!$I$50</f>
        <v>16494</v>
      </c>
      <c r="J1203" s="390">
        <f>'ASU FGD'!$J$50</f>
        <v>0</v>
      </c>
      <c r="K1203" s="390">
        <f>'ASU FGD'!$K$50</f>
        <v>0</v>
      </c>
      <c r="L1203" s="390">
        <f>'ASU FGD'!$L$50</f>
        <v>0</v>
      </c>
      <c r="M1203" s="390">
        <f>'ASU FGD'!$M$50</f>
        <v>11702283</v>
      </c>
      <c r="N1203" s="401"/>
    </row>
    <row r="1204" spans="2:14" s="160" customFormat="1" ht="12.75" hidden="1" customHeight="1" outlineLevel="1">
      <c r="B1204" s="674" t="str">
        <f>'AUS1 FGD'!$B$2</f>
        <v>The University of Texas at Austin - Academic &amp; Health (A+H)</v>
      </c>
      <c r="C1204" s="172"/>
      <c r="D1204" s="390">
        <f>'AUS1 FGD'!$D$50</f>
        <v>13498767</v>
      </c>
      <c r="E1204" s="390">
        <f>'AUS1 FGD'!$E$50</f>
        <v>193889082</v>
      </c>
      <c r="F1204" s="390">
        <f>'AUS1 FGD'!$F$50</f>
        <v>29517692</v>
      </c>
      <c r="G1204" s="390">
        <f>'AUS1 FGD'!$G$50</f>
        <v>259908637</v>
      </c>
      <c r="H1204" s="390">
        <f>'AUS1 FGD'!$H$50</f>
        <v>4304168</v>
      </c>
      <c r="I1204" s="390">
        <f>'AUS1 FGD'!$I$50</f>
        <v>361099</v>
      </c>
      <c r="J1204" s="390">
        <f>'AUS1 FGD'!$J$50</f>
        <v>52781461</v>
      </c>
      <c r="K1204" s="390">
        <f>'AUS1 FGD'!$K$50</f>
        <v>0</v>
      </c>
      <c r="L1204" s="390">
        <f>'AUS1 FGD'!$L$50</f>
        <v>0</v>
      </c>
      <c r="M1204" s="390">
        <f>'AUS1 FGD'!$M$50</f>
        <v>554260906</v>
      </c>
      <c r="N1204" s="401"/>
    </row>
    <row r="1205" spans="2:14" s="160" customFormat="1" ht="12.75" hidden="1" customHeight="1" outlineLevel="1">
      <c r="B1205" s="674" t="str">
        <f>'RGV1 FGD'!$B$2</f>
        <v>The University of Texas RGV - Academic &amp; Health (A+H)</v>
      </c>
      <c r="C1205" s="172"/>
      <c r="D1205" s="390">
        <f>'RGV1 FGD'!$D$50</f>
        <v>199759</v>
      </c>
      <c r="E1205" s="390">
        <f>'RGV1 FGD'!$E$50</f>
        <v>5112539</v>
      </c>
      <c r="F1205" s="390">
        <f>'RGV1 FGD'!$F$50</f>
        <v>551986</v>
      </c>
      <c r="G1205" s="390">
        <f>'RGV1 FGD'!$G$50</f>
        <v>2107940</v>
      </c>
      <c r="H1205" s="390">
        <f>'RGV1 FGD'!$H$50</f>
        <v>28490</v>
      </c>
      <c r="I1205" s="390">
        <f>'RGV1 FGD'!$I$50</f>
        <v>38535</v>
      </c>
      <c r="J1205" s="390">
        <f>'RGV1 FGD'!$J$50</f>
        <v>211764</v>
      </c>
      <c r="K1205" s="390">
        <f>'RGV1 FGD'!$K$50</f>
        <v>0</v>
      </c>
      <c r="L1205" s="390">
        <f>'RGV1 FGD'!$L$50</f>
        <v>0</v>
      </c>
      <c r="M1205" s="390">
        <f>'RGV1 FGD'!$M$50</f>
        <v>8251013</v>
      </c>
      <c r="N1205" s="401"/>
    </row>
    <row r="1206" spans="2:14" s="160" customFormat="1" ht="12.75" hidden="1" customHeight="1" outlineLevel="1">
      <c r="B1206" s="674" t="str">
        <f>'DAL FGD'!$B$2</f>
        <v>The University of Texas at Dallas</v>
      </c>
      <c r="C1206" s="172"/>
      <c r="D1206" s="390">
        <f>'DAL FGD'!$D$50</f>
        <v>166754</v>
      </c>
      <c r="E1206" s="390">
        <f>'DAL FGD'!$E$50</f>
        <v>16354688</v>
      </c>
      <c r="F1206" s="390">
        <f>'DAL FGD'!$F$50</f>
        <v>0</v>
      </c>
      <c r="G1206" s="390">
        <f>'DAL FGD'!$G$50</f>
        <v>21007348</v>
      </c>
      <c r="H1206" s="390">
        <f>'DAL FGD'!$H$50</f>
        <v>3967</v>
      </c>
      <c r="I1206" s="390">
        <f>'DAL FGD'!$I$50</f>
        <v>2044172</v>
      </c>
      <c r="J1206" s="390">
        <f>'DAL FGD'!$J$50</f>
        <v>-834</v>
      </c>
      <c r="K1206" s="390">
        <f>'DAL FGD'!$K$50</f>
        <v>0</v>
      </c>
      <c r="L1206" s="390">
        <f>'DAL FGD'!$L$50</f>
        <v>0</v>
      </c>
      <c r="M1206" s="390">
        <f>'DAL FGD'!$M$50</f>
        <v>39576095</v>
      </c>
      <c r="N1206" s="401"/>
    </row>
    <row r="1207" spans="2:14" s="160" customFormat="1" ht="12.75" hidden="1" customHeight="1" outlineLevel="1">
      <c r="B1207" s="674" t="str">
        <f>'E-P FGD'!$B$2</f>
        <v>The University of Texas at El Paso</v>
      </c>
      <c r="C1207" s="172"/>
      <c r="D1207" s="390">
        <f>'E-P FGD'!$D$50</f>
        <v>52491</v>
      </c>
      <c r="E1207" s="390">
        <f>'E-P FGD'!$E$50</f>
        <v>6530613</v>
      </c>
      <c r="F1207" s="390">
        <f>'E-P FGD'!$F$50</f>
        <v>4423</v>
      </c>
      <c r="G1207" s="390">
        <f>'E-P FGD'!$G$50</f>
        <v>10418709</v>
      </c>
      <c r="H1207" s="390">
        <f>'E-P FGD'!$H$50</f>
        <v>244</v>
      </c>
      <c r="I1207" s="390">
        <f>'E-P FGD'!$I$50</f>
        <v>192269</v>
      </c>
      <c r="J1207" s="390">
        <f>'E-P FGD'!$J$50</f>
        <v>2602</v>
      </c>
      <c r="K1207" s="390">
        <f>'E-P FGD'!$K$50</f>
        <v>0</v>
      </c>
      <c r="L1207" s="390">
        <f>'E-P FGD'!$L$50</f>
        <v>0</v>
      </c>
      <c r="M1207" s="390">
        <f>'E-P FGD'!$M$50</f>
        <v>17201351</v>
      </c>
      <c r="N1207" s="401"/>
    </row>
    <row r="1208" spans="2:14" s="160" customFormat="1" ht="12.75" hidden="1" customHeight="1" outlineLevel="1">
      <c r="B1208" s="674" t="str">
        <f>'LU FGD'!$B$2</f>
        <v xml:space="preserve">Lamar University </v>
      </c>
      <c r="C1208" s="172"/>
      <c r="D1208" s="390">
        <f>'LU FGD'!$D$50</f>
        <v>0</v>
      </c>
      <c r="E1208" s="390">
        <f>'LU FGD'!$E$50</f>
        <v>0</v>
      </c>
      <c r="F1208" s="390">
        <f>'LU FGD'!$F$50</f>
        <v>0</v>
      </c>
      <c r="G1208" s="390">
        <f>'LU FGD'!$G$50</f>
        <v>1062367</v>
      </c>
      <c r="H1208" s="390">
        <f>'LU FGD'!$H$50</f>
        <v>0</v>
      </c>
      <c r="I1208" s="390">
        <f>'LU FGD'!$I$50</f>
        <v>5235</v>
      </c>
      <c r="J1208" s="390">
        <f>'LU FGD'!$J$50</f>
        <v>6655</v>
      </c>
      <c r="K1208" s="390">
        <f>'LU FGD'!$K$50</f>
        <v>0</v>
      </c>
      <c r="L1208" s="390">
        <f>'LU FGD'!$L$50</f>
        <v>0</v>
      </c>
      <c r="M1208" s="390">
        <f>'LU FGD'!$M$50</f>
        <v>1074257</v>
      </c>
      <c r="N1208" s="401"/>
    </row>
    <row r="1209" spans="2:14" s="160" customFormat="1" ht="12.75" hidden="1" customHeight="1" outlineLevel="1">
      <c r="B1209" s="674" t="str">
        <f>'MidWST FGD'!$B$2</f>
        <v>Midwestern State University</v>
      </c>
      <c r="C1209" s="172"/>
      <c r="D1209" s="390">
        <f>'MidWST FGD'!$D$50</f>
        <v>17461</v>
      </c>
      <c r="E1209" s="390">
        <f>'MidWST FGD'!$E$50</f>
        <v>1191103</v>
      </c>
      <c r="F1209" s="390">
        <f>'MidWST FGD'!$F$50</f>
        <v>0</v>
      </c>
      <c r="G1209" s="390">
        <f>'MidWST FGD'!$G$50</f>
        <v>1115726</v>
      </c>
      <c r="H1209" s="390">
        <f>'MidWST FGD'!$H$50</f>
        <v>3499</v>
      </c>
      <c r="I1209" s="390">
        <f>'MidWST FGD'!$I$50</f>
        <v>-32922</v>
      </c>
      <c r="J1209" s="390">
        <f>'MidWST FGD'!$J$50</f>
        <v>133875</v>
      </c>
      <c r="K1209" s="390">
        <f>'MidWST FGD'!$K$50</f>
        <v>0</v>
      </c>
      <c r="L1209" s="390">
        <f>'MidWST FGD'!$L$50</f>
        <v>0</v>
      </c>
      <c r="M1209" s="390">
        <f>'MidWST FGD'!$M$50</f>
        <v>2428742</v>
      </c>
      <c r="N1209" s="401"/>
    </row>
    <row r="1210" spans="2:14" s="160" customFormat="1" ht="12.75" hidden="1" customHeight="1" outlineLevel="1">
      <c r="B1210" s="674" t="str">
        <f>'P-B FGD'!$B$2</f>
        <v>The University of Texas of the Permian Basin</v>
      </c>
      <c r="C1210" s="172"/>
      <c r="D1210" s="390">
        <f>'P-B FGD'!$D$50</f>
        <v>68120</v>
      </c>
      <c r="E1210" s="390">
        <f>'P-B FGD'!$E$50</f>
        <v>386084</v>
      </c>
      <c r="F1210" s="390">
        <f>'P-B FGD'!$F$50</f>
        <v>0</v>
      </c>
      <c r="G1210" s="390">
        <f>'P-B FGD'!$G$50</f>
        <v>3827764</v>
      </c>
      <c r="H1210" s="390">
        <f>'P-B FGD'!$H$50</f>
        <v>0</v>
      </c>
      <c r="I1210" s="390">
        <f>'P-B FGD'!$I$50</f>
        <v>33964</v>
      </c>
      <c r="J1210" s="390">
        <f>'P-B FGD'!$J$50</f>
        <v>0</v>
      </c>
      <c r="K1210" s="390">
        <f>'P-B FGD'!$K$50</f>
        <v>0</v>
      </c>
      <c r="L1210" s="390">
        <f>'P-B FGD'!$L$50</f>
        <v>0</v>
      </c>
      <c r="M1210" s="390">
        <f>'P-B FGD'!$M$50</f>
        <v>4315932</v>
      </c>
      <c r="N1210" s="401"/>
    </row>
    <row r="1211" spans="2:14" s="160" customFormat="1" ht="12.75" hidden="1" customHeight="1" outlineLevel="1">
      <c r="B1211" s="674" t="str">
        <f>'PVAMU FGD'!$B$2</f>
        <v>Prairie View A&amp;M University</v>
      </c>
      <c r="C1211" s="172"/>
      <c r="D1211" s="390">
        <f>'PVAMU FGD'!$D$50</f>
        <v>105670</v>
      </c>
      <c r="E1211" s="390">
        <f>'PVAMU FGD'!$E$50</f>
        <v>7709954</v>
      </c>
      <c r="F1211" s="390">
        <f>'PVAMU FGD'!$F$50</f>
        <v>0</v>
      </c>
      <c r="G1211" s="390">
        <f>'PVAMU FGD'!$G$50</f>
        <v>319179</v>
      </c>
      <c r="H1211" s="390">
        <f>'PVAMU FGD'!$H$50</f>
        <v>0</v>
      </c>
      <c r="I1211" s="390">
        <f>'PVAMU FGD'!$I$50</f>
        <v>45457</v>
      </c>
      <c r="J1211" s="390">
        <f>'PVAMU FGD'!$J$50</f>
        <v>0</v>
      </c>
      <c r="K1211" s="390">
        <f>'PVAMU FGD'!$K$50</f>
        <v>0</v>
      </c>
      <c r="L1211" s="390">
        <f>'PVAMU FGD'!$L$50</f>
        <v>0</v>
      </c>
      <c r="M1211" s="390">
        <f>'PVAMU FGD'!$M$50</f>
        <v>8180260</v>
      </c>
      <c r="N1211" s="401"/>
    </row>
    <row r="1212" spans="2:14" s="160" customFormat="1" ht="12.75" hidden="1" customHeight="1" outlineLevel="1">
      <c r="B1212" s="674" t="str">
        <f>'S-A FGD'!$B$2</f>
        <v>The University of Texas at San Antonio</v>
      </c>
      <c r="C1212" s="172"/>
      <c r="D1212" s="390">
        <f>'S-A FGD'!$D$50</f>
        <v>113422</v>
      </c>
      <c r="E1212" s="390">
        <f>'S-A FGD'!$E$50</f>
        <v>9265294</v>
      </c>
      <c r="F1212" s="390">
        <f>'S-A FGD'!$F$50</f>
        <v>2860031</v>
      </c>
      <c r="G1212" s="390">
        <f>'S-A FGD'!$G$50</f>
        <v>9423139</v>
      </c>
      <c r="H1212" s="390">
        <f>'S-A FGD'!$H$50</f>
        <v>26939</v>
      </c>
      <c r="I1212" s="390">
        <f>'S-A FGD'!$I$50</f>
        <v>247158</v>
      </c>
      <c r="J1212" s="390">
        <f>'S-A FGD'!$J$50</f>
        <v>990711</v>
      </c>
      <c r="K1212" s="390">
        <f>'S-A FGD'!$K$50</f>
        <v>0</v>
      </c>
      <c r="L1212" s="390">
        <f>'S-A FGD'!$L$50</f>
        <v>0</v>
      </c>
      <c r="M1212" s="390">
        <f>'S-A FGD'!$M$50</f>
        <v>22926694</v>
      </c>
      <c r="N1212" s="401"/>
    </row>
    <row r="1213" spans="2:14" s="160" customFormat="1" ht="12.75" hidden="1" customHeight="1" outlineLevel="1">
      <c r="B1213" s="674" t="str">
        <f>'SFA FGD'!$B$2</f>
        <v>Stephen F. Austin State University</v>
      </c>
      <c r="C1213" s="172"/>
      <c r="D1213" s="390">
        <f>'SFA FGD'!$D$50</f>
        <v>23589</v>
      </c>
      <c r="E1213" s="390">
        <f>'SFA FGD'!$E$50</f>
        <v>2645269</v>
      </c>
      <c r="F1213" s="390">
        <f>'SFA FGD'!$F$50</f>
        <v>478819</v>
      </c>
      <c r="G1213" s="390">
        <f>'SFA FGD'!$G$50</f>
        <v>533459</v>
      </c>
      <c r="H1213" s="390">
        <f>'SFA FGD'!$H$50</f>
        <v>0</v>
      </c>
      <c r="I1213" s="390">
        <f>'SFA FGD'!$I$50</f>
        <v>1389429</v>
      </c>
      <c r="J1213" s="390">
        <f>'SFA FGD'!$J$50</f>
        <v>240323</v>
      </c>
      <c r="K1213" s="390">
        <f>'SFA FGD'!$K$50</f>
        <v>0</v>
      </c>
      <c r="L1213" s="390">
        <f>'SFA FGD'!$L$50</f>
        <v>0</v>
      </c>
      <c r="M1213" s="390">
        <f>'SFA FGD'!$M$50</f>
        <v>5310888</v>
      </c>
      <c r="N1213" s="401"/>
    </row>
    <row r="1214" spans="2:14" s="160" customFormat="1" ht="12.75" hidden="1" customHeight="1" outlineLevel="1">
      <c r="B1214" s="674" t="str">
        <f>'shsu1 FGD'!$B$2</f>
        <v>Sam Houston State University - Academic &amp; Health (A+H)</v>
      </c>
      <c r="C1214" s="172"/>
      <c r="D1214" s="390">
        <f>'shsu1 FGD'!$D$50</f>
        <v>0</v>
      </c>
      <c r="E1214" s="390">
        <f>'shsu1 FGD'!$E$50</f>
        <v>7090794</v>
      </c>
      <c r="F1214" s="390">
        <f>'shsu1 FGD'!$F$50</f>
        <v>0</v>
      </c>
      <c r="G1214" s="390">
        <f>'shsu1 FGD'!$G$50</f>
        <v>0</v>
      </c>
      <c r="H1214" s="390">
        <f>'shsu1 FGD'!$H$50</f>
        <v>0</v>
      </c>
      <c r="I1214" s="390">
        <f>'shsu1 FGD'!$I$50</f>
        <v>14757084</v>
      </c>
      <c r="J1214" s="390">
        <f>'shsu1 FGD'!$J$50</f>
        <v>841</v>
      </c>
      <c r="K1214" s="390">
        <f>'shsu1 FGD'!$K$50</f>
        <v>0</v>
      </c>
      <c r="L1214" s="390">
        <f>'shsu1 FGD'!$L$50</f>
        <v>0</v>
      </c>
      <c r="M1214" s="390">
        <f>'shsu1 FGD'!$M$50</f>
        <v>21848719</v>
      </c>
      <c r="N1214" s="401"/>
    </row>
    <row r="1215" spans="2:14" s="160" customFormat="1" ht="12.75" hidden="1" customHeight="1" outlineLevel="1">
      <c r="B1215" s="674" t="str">
        <f>'SRSU FGD'!$B$2</f>
        <v>Sul Ross State University</v>
      </c>
      <c r="C1215" s="172"/>
      <c r="D1215" s="390">
        <f>'SRSU FGD'!$D$50</f>
        <v>9269</v>
      </c>
      <c r="E1215" s="390">
        <f>'SRSU FGD'!$E$50</f>
        <v>4862</v>
      </c>
      <c r="F1215" s="390">
        <f>'SRSU FGD'!$F$50</f>
        <v>1169</v>
      </c>
      <c r="G1215" s="390">
        <f>'SRSU FGD'!$G$50</f>
        <v>704</v>
      </c>
      <c r="H1215" s="390">
        <f>'SRSU FGD'!$H$50</f>
        <v>0</v>
      </c>
      <c r="I1215" s="390">
        <f>'SRSU FGD'!$I$50</f>
        <v>2596430</v>
      </c>
      <c r="J1215" s="390">
        <f>'SRSU FGD'!$J$50</f>
        <v>3765</v>
      </c>
      <c r="K1215" s="390">
        <f>'SRSU FGD'!$K$50</f>
        <v>0</v>
      </c>
      <c r="L1215" s="390">
        <f>'SRSU FGD'!$L$50</f>
        <v>0</v>
      </c>
      <c r="M1215" s="390">
        <f>'SRSU FGD'!$M$50</f>
        <v>2616199</v>
      </c>
      <c r="N1215" s="401"/>
    </row>
    <row r="1216" spans="2:14" s="160" customFormat="1" ht="12.75" hidden="1" customHeight="1" outlineLevel="1">
      <c r="B1216" s="674" t="str">
        <f>'TAMIU FGD'!$B$2</f>
        <v>Texas A&amp;M International University</v>
      </c>
      <c r="C1216" s="172"/>
      <c r="D1216" s="390">
        <f>'TAMIU FGD'!$D$50</f>
        <v>73677</v>
      </c>
      <c r="E1216" s="390">
        <f>'TAMIU FGD'!$E$50</f>
        <v>4384883</v>
      </c>
      <c r="F1216" s="390">
        <f>'TAMIU FGD'!$F$50</f>
        <v>548231</v>
      </c>
      <c r="G1216" s="390">
        <f>'TAMIU FGD'!$G$50</f>
        <v>276884</v>
      </c>
      <c r="H1216" s="390">
        <f>'TAMIU FGD'!$H$50</f>
        <v>114435</v>
      </c>
      <c r="I1216" s="390">
        <f>'TAMIU FGD'!$I$50</f>
        <v>540</v>
      </c>
      <c r="J1216" s="390">
        <f>'TAMIU FGD'!$J$50</f>
        <v>29235</v>
      </c>
      <c r="K1216" s="390">
        <f>'TAMIU FGD'!$K$50</f>
        <v>0</v>
      </c>
      <c r="L1216" s="390">
        <f>'TAMIU FGD'!$L$50</f>
        <v>0</v>
      </c>
      <c r="M1216" s="390">
        <f>'TAMIU FGD'!$M$50</f>
        <v>5427885</v>
      </c>
      <c r="N1216" s="401"/>
    </row>
    <row r="1217" spans="2:14" s="160" customFormat="1" ht="12.75" hidden="1" customHeight="1" outlineLevel="1">
      <c r="B1217" s="674" t="str">
        <f>'TAMU FGD'!$B$2</f>
        <v>Texas A&amp;M University</v>
      </c>
      <c r="C1217" s="172"/>
      <c r="D1217" s="390">
        <f>'TAMU FGD'!$D$50</f>
        <v>2785229</v>
      </c>
      <c r="E1217" s="390">
        <f>'TAMU FGD'!$E$50</f>
        <v>99635818</v>
      </c>
      <c r="F1217" s="390">
        <f>'TAMU FGD'!$F$50</f>
        <v>9405062</v>
      </c>
      <c r="G1217" s="390">
        <f>'TAMU FGD'!$G$50</f>
        <v>2142532</v>
      </c>
      <c r="H1217" s="390">
        <f>'TAMU FGD'!$H$50</f>
        <v>71493</v>
      </c>
      <c r="I1217" s="390">
        <f>'TAMU FGD'!$I$50</f>
        <v>48802</v>
      </c>
      <c r="J1217" s="390">
        <f>'TAMU FGD'!$J$50</f>
        <v>1011595</v>
      </c>
      <c r="K1217" s="390">
        <f>'TAMU FGD'!$K$50</f>
        <v>0</v>
      </c>
      <c r="L1217" s="390">
        <f>'TAMU FGD'!$L$50</f>
        <v>0</v>
      </c>
      <c r="M1217" s="390">
        <f>'TAMU FGD'!$M$50</f>
        <v>115100531</v>
      </c>
      <c r="N1217" s="401"/>
    </row>
    <row r="1218" spans="2:14" s="160" customFormat="1" ht="12.75" hidden="1" customHeight="1" outlineLevel="1">
      <c r="B1218" s="674" t="str">
        <f>'TAMUC FGD'!$B$2</f>
        <v>Texas A&amp;M University - Commerce</v>
      </c>
      <c r="C1218" s="172"/>
      <c r="D1218" s="390">
        <f>'TAMUC FGD'!$D$50</f>
        <v>20490</v>
      </c>
      <c r="E1218" s="390">
        <f>'TAMUC FGD'!$E$50</f>
        <v>9842946</v>
      </c>
      <c r="F1218" s="390">
        <f>'TAMUC FGD'!$F$50</f>
        <v>355938</v>
      </c>
      <c r="G1218" s="390">
        <f>'TAMUC FGD'!$G$50</f>
        <v>89672</v>
      </c>
      <c r="H1218" s="390">
        <f>'TAMUC FGD'!$H$50</f>
        <v>12827</v>
      </c>
      <c r="I1218" s="390">
        <f>'TAMUC FGD'!$I$50</f>
        <v>0</v>
      </c>
      <c r="J1218" s="390">
        <f>'TAMUC FGD'!$J$50</f>
        <v>0</v>
      </c>
      <c r="K1218" s="390">
        <f>'TAMUC FGD'!$K$50</f>
        <v>0</v>
      </c>
      <c r="L1218" s="390">
        <f>'TAMUC FGD'!$L$50</f>
        <v>0</v>
      </c>
      <c r="M1218" s="390">
        <f>'TAMUC FGD'!$M$50</f>
        <v>10321873</v>
      </c>
      <c r="N1218" s="401"/>
    </row>
    <row r="1219" spans="2:14" s="160" customFormat="1" ht="12.75" hidden="1" customHeight="1" outlineLevel="1">
      <c r="B1219" s="674" t="str">
        <f>'TAMUCC FGD'!$B$2</f>
        <v>Texas A&amp;M University - Corpus Christi</v>
      </c>
      <c r="C1219" s="172"/>
      <c r="D1219" s="390">
        <f>'TAMUCC FGD'!$D$50</f>
        <v>27864</v>
      </c>
      <c r="E1219" s="390">
        <f>'TAMUCC FGD'!$E$50</f>
        <v>6058088</v>
      </c>
      <c r="F1219" s="390">
        <f>'TAMUCC FGD'!$F$50</f>
        <v>1435973</v>
      </c>
      <c r="G1219" s="390">
        <f>'TAMUCC FGD'!$G$50</f>
        <v>410551</v>
      </c>
      <c r="H1219" s="390">
        <f>'TAMUCC FGD'!$H$50</f>
        <v>57863</v>
      </c>
      <c r="I1219" s="390">
        <f>'TAMUCC FGD'!$I$50</f>
        <v>8448</v>
      </c>
      <c r="J1219" s="390">
        <f>'TAMUCC FGD'!$J$50</f>
        <v>0</v>
      </c>
      <c r="K1219" s="390">
        <f>'TAMUCC FGD'!$K$50</f>
        <v>0</v>
      </c>
      <c r="L1219" s="390">
        <f>'TAMUCC FGD'!$L$50</f>
        <v>0</v>
      </c>
      <c r="M1219" s="390">
        <f>'TAMUCC FGD'!$M$50</f>
        <v>7998787</v>
      </c>
      <c r="N1219" s="401"/>
    </row>
    <row r="1220" spans="2:14" s="160" customFormat="1" ht="12.75" hidden="1" customHeight="1" outlineLevel="1">
      <c r="B1220" s="674" t="str">
        <f>'TAMUCT FGD'!$B$2</f>
        <v>Texas A&amp;M University - Central Texas</v>
      </c>
      <c r="C1220" s="172"/>
      <c r="D1220" s="390">
        <f>'TAMUCT FGD'!$D$50</f>
        <v>9927</v>
      </c>
      <c r="E1220" s="390">
        <f>'TAMUCT FGD'!$E$50</f>
        <v>1000824</v>
      </c>
      <c r="F1220" s="390">
        <f>'TAMUCT FGD'!$F$50</f>
        <v>0</v>
      </c>
      <c r="G1220" s="390">
        <f>'TAMUCT FGD'!$G$50</f>
        <v>3557</v>
      </c>
      <c r="H1220" s="390">
        <f>'TAMUCT FGD'!$H$50</f>
        <v>0</v>
      </c>
      <c r="I1220" s="390">
        <f>'TAMUCT FGD'!$I$50</f>
        <v>0</v>
      </c>
      <c r="J1220" s="390">
        <f>'TAMUCT FGD'!$J$50</f>
        <v>0</v>
      </c>
      <c r="K1220" s="390">
        <f>'TAMUCT FGD'!$K$50</f>
        <v>0</v>
      </c>
      <c r="L1220" s="390">
        <f>'TAMUCT FGD'!$L$50</f>
        <v>0</v>
      </c>
      <c r="M1220" s="390">
        <f>'TAMUCT FGD'!$M$50</f>
        <v>1014308</v>
      </c>
      <c r="N1220" s="401"/>
    </row>
    <row r="1221" spans="2:14" s="160" customFormat="1" ht="12.75" hidden="1" customHeight="1" outlineLevel="1">
      <c r="B1221" s="674" t="str">
        <f>'TAMUG FGD'!$B$2</f>
        <v>Texas A&amp;M University at Galveston</v>
      </c>
      <c r="C1221" s="172"/>
      <c r="D1221" s="390">
        <f>'TAMUG FGD'!$D$50</f>
        <v>132301</v>
      </c>
      <c r="E1221" s="390">
        <f>'TAMUG FGD'!$E$50</f>
        <v>3736482</v>
      </c>
      <c r="F1221" s="390">
        <f>'TAMUG FGD'!$F$50</f>
        <v>0</v>
      </c>
      <c r="G1221" s="390">
        <f>'TAMUG FGD'!$G$50</f>
        <v>345684</v>
      </c>
      <c r="H1221" s="390">
        <f>'TAMUG FGD'!$H$50</f>
        <v>532</v>
      </c>
      <c r="I1221" s="390">
        <f>'TAMUG FGD'!$I$50</f>
        <v>968</v>
      </c>
      <c r="J1221" s="390">
        <f>'TAMUG FGD'!$J$50</f>
        <v>0</v>
      </c>
      <c r="K1221" s="390">
        <f>'TAMUG FGD'!$K$50</f>
        <v>0</v>
      </c>
      <c r="L1221" s="390">
        <f>'TAMUG FGD'!$L$50</f>
        <v>0</v>
      </c>
      <c r="M1221" s="390">
        <f>'TAMUG FGD'!$M$50</f>
        <v>4215967</v>
      </c>
      <c r="N1221" s="401"/>
    </row>
    <row r="1222" spans="2:14" s="160" customFormat="1" ht="12.75" hidden="1" customHeight="1" outlineLevel="1">
      <c r="B1222" s="674" t="str">
        <f>'TAMUK FGD'!$B$2</f>
        <v>Texas A&amp;M University - Kingsville</v>
      </c>
      <c r="C1222" s="172"/>
      <c r="D1222" s="390">
        <f>'TAMUK FGD'!$D$50</f>
        <v>27927</v>
      </c>
      <c r="E1222" s="390">
        <f>'TAMUK FGD'!$E$50</f>
        <v>4080751</v>
      </c>
      <c r="F1222" s="390">
        <f>'TAMUK FGD'!$F$50</f>
        <v>17</v>
      </c>
      <c r="G1222" s="390">
        <f>'TAMUK FGD'!$G$50</f>
        <v>2158930</v>
      </c>
      <c r="H1222" s="390">
        <f>'TAMUK FGD'!$H$50</f>
        <v>77907</v>
      </c>
      <c r="I1222" s="390">
        <f>'TAMUK FGD'!$I$50</f>
        <v>812</v>
      </c>
      <c r="J1222" s="390">
        <f>'TAMUK FGD'!$J$50</f>
        <v>0</v>
      </c>
      <c r="K1222" s="390">
        <f>'TAMUK FGD'!$K$50</f>
        <v>0</v>
      </c>
      <c r="L1222" s="390">
        <f>'TAMUK FGD'!$L$50</f>
        <v>0</v>
      </c>
      <c r="M1222" s="390">
        <f>'TAMUK FGD'!$M$50</f>
        <v>6346344</v>
      </c>
      <c r="N1222" s="401"/>
    </row>
    <row r="1223" spans="2:14" s="160" customFormat="1" ht="12.75" hidden="1" customHeight="1" outlineLevel="1">
      <c r="B1223" s="674" t="str">
        <f>'TAMUSA FGD'!$B$2</f>
        <v>Texas A&amp;M University - San Antonio</v>
      </c>
      <c r="C1223" s="172"/>
      <c r="D1223" s="390">
        <f>'TAMUSA FGD'!$D$50</f>
        <v>54198</v>
      </c>
      <c r="E1223" s="390">
        <f>'TAMUSA FGD'!$E$50</f>
        <v>2401387</v>
      </c>
      <c r="F1223" s="390">
        <f>'TAMUSA FGD'!$F$50</f>
        <v>0</v>
      </c>
      <c r="G1223" s="390">
        <f>'TAMUSA FGD'!$G$50</f>
        <v>1102</v>
      </c>
      <c r="H1223" s="390">
        <f>'TAMUSA FGD'!$H$50</f>
        <v>0</v>
      </c>
      <c r="I1223" s="390">
        <f>'TAMUSA FGD'!$I$50</f>
        <v>0</v>
      </c>
      <c r="J1223" s="390">
        <f>'TAMUSA FGD'!$J$50</f>
        <v>0</v>
      </c>
      <c r="K1223" s="390">
        <f>'TAMUSA FGD'!$K$50</f>
        <v>0</v>
      </c>
      <c r="L1223" s="390">
        <f>'TAMUSA FGD'!$L$50</f>
        <v>0</v>
      </c>
      <c r="M1223" s="390">
        <f>'TAMUSA FGD'!$M$50</f>
        <v>2456687</v>
      </c>
      <c r="N1223" s="401"/>
    </row>
    <row r="1224" spans="2:14" s="160" customFormat="1" ht="12.75" hidden="1" customHeight="1" outlineLevel="1">
      <c r="B1224" s="674" t="str">
        <f>'TAMUT FGD'!$B$2</f>
        <v>Texas A&amp;M University - Texarkana</v>
      </c>
      <c r="C1224" s="172"/>
      <c r="D1224" s="390">
        <f>'TAMUT FGD'!$D$50</f>
        <v>11999</v>
      </c>
      <c r="E1224" s="390">
        <f>'TAMUT FGD'!$E$50</f>
        <v>1082492</v>
      </c>
      <c r="F1224" s="390">
        <f>'TAMUT FGD'!$F$50</f>
        <v>100062</v>
      </c>
      <c r="G1224" s="390">
        <f>'TAMUT FGD'!$G$50</f>
        <v>100700</v>
      </c>
      <c r="H1224" s="390">
        <f>'TAMUT FGD'!$H$50</f>
        <v>0</v>
      </c>
      <c r="I1224" s="390">
        <f>'TAMUT FGD'!$I$50</f>
        <v>1051</v>
      </c>
      <c r="J1224" s="390">
        <f>'TAMUT FGD'!$J$50</f>
        <v>0</v>
      </c>
      <c r="K1224" s="390">
        <f>'TAMUT FGD'!$K$50</f>
        <v>0</v>
      </c>
      <c r="L1224" s="390">
        <f>'TAMUT FGD'!$L$50</f>
        <v>0</v>
      </c>
      <c r="M1224" s="390">
        <f>'TAMUT FGD'!$M$50</f>
        <v>1296304</v>
      </c>
      <c r="N1224" s="401"/>
    </row>
    <row r="1225" spans="2:14" s="160" customFormat="1" ht="12.75" hidden="1" customHeight="1" outlineLevel="1">
      <c r="B1225" s="674" t="str">
        <f>'TARLST FGD'!$B$2</f>
        <v>Tarleton State University</v>
      </c>
      <c r="C1225" s="172"/>
      <c r="D1225" s="390">
        <f>'TARLST FGD'!$D$50</f>
        <v>30064</v>
      </c>
      <c r="E1225" s="390">
        <f>'TARLST FGD'!$E$50</f>
        <v>7211217</v>
      </c>
      <c r="F1225" s="390">
        <f>'TARLST FGD'!$F$50</f>
        <v>1280949</v>
      </c>
      <c r="G1225" s="390">
        <f>'TARLST FGD'!$G$50</f>
        <v>656962</v>
      </c>
      <c r="H1225" s="390">
        <f>'TARLST FGD'!$H$50</f>
        <v>53870</v>
      </c>
      <c r="I1225" s="390">
        <f>'TARLST FGD'!$I$50</f>
        <v>283</v>
      </c>
      <c r="J1225" s="390">
        <f>'TARLST FGD'!$J$50</f>
        <v>93191</v>
      </c>
      <c r="K1225" s="390">
        <f>'TARLST FGD'!$K$50</f>
        <v>0</v>
      </c>
      <c r="L1225" s="390">
        <f>'TARLST FGD'!$L$50</f>
        <v>0</v>
      </c>
      <c r="M1225" s="390">
        <f>'TARLST FGD'!$M$50</f>
        <v>9326536</v>
      </c>
      <c r="N1225" s="401"/>
    </row>
    <row r="1226" spans="2:14" s="160" customFormat="1" ht="12.75" hidden="1" customHeight="1" outlineLevel="1">
      <c r="B1226" s="674" t="str">
        <f>'TSU FGD'!$B$2</f>
        <v>Texas Southern University</v>
      </c>
      <c r="C1226" s="172"/>
      <c r="D1226" s="390">
        <f>'TSU FGD'!$D$50</f>
        <v>58758</v>
      </c>
      <c r="E1226" s="390">
        <f>'TSU FGD'!$E$50</f>
        <v>965</v>
      </c>
      <c r="F1226" s="390">
        <f>'TSU FGD'!$F$50</f>
        <v>9298</v>
      </c>
      <c r="G1226" s="390">
        <f>'TSU FGD'!$G$50</f>
        <v>0</v>
      </c>
      <c r="H1226" s="390">
        <f>'TSU FGD'!$H$50</f>
        <v>0</v>
      </c>
      <c r="I1226" s="390">
        <f>'TSU FGD'!$I$50</f>
        <v>1193536</v>
      </c>
      <c r="J1226" s="390">
        <f>'TSU FGD'!$J$50</f>
        <v>3381</v>
      </c>
      <c r="K1226" s="390">
        <f>'TSU FGD'!$K$50</f>
        <v>57348</v>
      </c>
      <c r="L1226" s="390">
        <f>'TSU FGD'!$L$50</f>
        <v>846313</v>
      </c>
      <c r="M1226" s="390">
        <f>'TSU FGD'!$M$50</f>
        <v>2169599</v>
      </c>
      <c r="N1226" s="401"/>
    </row>
    <row r="1227" spans="2:14" s="160" customFormat="1" ht="12.75" hidden="1" customHeight="1" outlineLevel="1">
      <c r="B1227" s="674" t="str">
        <f>'TTU FGD'!$B$2</f>
        <v>Texas Tech University</v>
      </c>
      <c r="C1227" s="172"/>
      <c r="D1227" s="390">
        <f>'TTU FGD'!$D$50</f>
        <v>240980</v>
      </c>
      <c r="E1227" s="390">
        <f>'TTU FGD'!$E$50</f>
        <v>16381526</v>
      </c>
      <c r="F1227" s="390">
        <f>'TTU FGD'!$F$50</f>
        <v>2077236</v>
      </c>
      <c r="G1227" s="390">
        <f>'TTU FGD'!$G$50</f>
        <v>9505119</v>
      </c>
      <c r="H1227" s="390">
        <f>'TTU FGD'!$H$50</f>
        <v>98971</v>
      </c>
      <c r="I1227" s="390">
        <f>'TTU FGD'!$I$50</f>
        <v>-16963083</v>
      </c>
      <c r="J1227" s="390">
        <f>'TTU FGD'!$J$50</f>
        <v>346</v>
      </c>
      <c r="K1227" s="390">
        <f>'TTU FGD'!$K$50</f>
        <v>1009429</v>
      </c>
      <c r="L1227" s="390">
        <f>'TTU FGD'!$L$50</f>
        <v>0</v>
      </c>
      <c r="M1227" s="390">
        <f>'TTU FGD'!$M$50</f>
        <v>12350524</v>
      </c>
      <c r="N1227" s="401"/>
    </row>
    <row r="1228" spans="2:14" s="160" customFormat="1" ht="12.75" hidden="1" customHeight="1" outlineLevel="1">
      <c r="B1228" s="674" t="str">
        <f>'TWU FGD'!$B$2</f>
        <v>Texas Woman's University</v>
      </c>
      <c r="C1228" s="172"/>
      <c r="D1228" s="390">
        <f>'TWU FGD'!$D$50</f>
        <v>41894</v>
      </c>
      <c r="E1228" s="390">
        <f>'TWU FGD'!$E$50</f>
        <v>9189109</v>
      </c>
      <c r="F1228" s="390">
        <f>'TWU FGD'!$F$50</f>
        <v>95078</v>
      </c>
      <c r="G1228" s="390">
        <f>'TWU FGD'!$G$50</f>
        <v>88877</v>
      </c>
      <c r="H1228" s="390">
        <f>'TWU FGD'!$H$50</f>
        <v>16368</v>
      </c>
      <c r="I1228" s="390">
        <f>'TWU FGD'!$I$50</f>
        <v>876728</v>
      </c>
      <c r="J1228" s="390">
        <f>'TWU FGD'!$J$50</f>
        <v>73091</v>
      </c>
      <c r="K1228" s="390">
        <f>'TWU FGD'!$K$50</f>
        <v>0</v>
      </c>
      <c r="L1228" s="390">
        <f>'TWU FGD'!$L$50</f>
        <v>0</v>
      </c>
      <c r="M1228" s="390">
        <f>'TWU FGD'!$M$50</f>
        <v>10381145</v>
      </c>
      <c r="N1228" s="401"/>
    </row>
    <row r="1229" spans="2:14" s="160" customFormat="1" ht="12.75" hidden="1" customHeight="1" outlineLevel="1">
      <c r="B1229" s="674" t="str">
        <f>'TXST FGD'!$B$2</f>
        <v>Texas State University</v>
      </c>
      <c r="C1229" s="172"/>
      <c r="D1229" s="390">
        <f>'TXST FGD'!$D$50</f>
        <v>128489</v>
      </c>
      <c r="E1229" s="390">
        <f>'TXST FGD'!$E$50</f>
        <v>9887725</v>
      </c>
      <c r="F1229" s="390">
        <f>'TXST FGD'!$F$50</f>
        <v>2978435</v>
      </c>
      <c r="G1229" s="390">
        <f>'TXST FGD'!$G$50</f>
        <v>844554</v>
      </c>
      <c r="H1229" s="390">
        <f>'TXST FGD'!$H$50</f>
        <v>85793</v>
      </c>
      <c r="I1229" s="390">
        <f>'TXST FGD'!$I$50</f>
        <v>6520450</v>
      </c>
      <c r="J1229" s="390">
        <f>'TXST FGD'!$J$50</f>
        <v>2000507</v>
      </c>
      <c r="K1229" s="390">
        <f>'TXST FGD'!$K$50</f>
        <v>0</v>
      </c>
      <c r="L1229" s="390">
        <f>'TXST FGD'!$L$50</f>
        <v>0</v>
      </c>
      <c r="M1229" s="390">
        <f>'TXST FGD'!$M$50</f>
        <v>22445953</v>
      </c>
      <c r="N1229" s="401"/>
    </row>
    <row r="1230" spans="2:14" s="160" customFormat="1" ht="12.75" hidden="1" customHeight="1" outlineLevel="1">
      <c r="B1230" s="674" t="str">
        <f>'TYL FGD'!$B$2</f>
        <v>The University of Texas at Tyler</v>
      </c>
      <c r="C1230" s="172"/>
      <c r="D1230" s="390">
        <f>'TYL FGD'!$D$50</f>
        <v>61275</v>
      </c>
      <c r="E1230" s="390">
        <f>'TYL FGD'!$E$50</f>
        <v>4699254</v>
      </c>
      <c r="F1230" s="390">
        <f>'TYL FGD'!$F$50</f>
        <v>0</v>
      </c>
      <c r="G1230" s="390">
        <f>'TYL FGD'!$G$50</f>
        <v>4511345</v>
      </c>
      <c r="H1230" s="390">
        <f>'TYL FGD'!$H$50</f>
        <v>0</v>
      </c>
      <c r="I1230" s="390">
        <f>'TYL FGD'!$I$50</f>
        <v>48135</v>
      </c>
      <c r="J1230" s="390">
        <f>'TYL FGD'!$J$50</f>
        <v>0</v>
      </c>
      <c r="K1230" s="390">
        <f>'TYL FGD'!$K$50</f>
        <v>0</v>
      </c>
      <c r="L1230" s="390">
        <f>'TYL FGD'!$L$50</f>
        <v>0</v>
      </c>
      <c r="M1230" s="390">
        <f>'TYL FGD'!$M$50</f>
        <v>9320009</v>
      </c>
      <c r="N1230" s="401"/>
    </row>
    <row r="1231" spans="2:14" s="160" customFormat="1" ht="12.75" hidden="1" customHeight="1" outlineLevel="1">
      <c r="B1231" s="674" t="str">
        <f>'UH1 FGD'!$B$2</f>
        <v>University of Houston - Academic &amp; Health (A+H)</v>
      </c>
      <c r="C1231" s="172"/>
      <c r="D1231" s="390">
        <f>'UH1 FGD'!$D$50</f>
        <v>1687756</v>
      </c>
      <c r="E1231" s="390">
        <f>'UH1 FGD'!$E$50</f>
        <v>7508407</v>
      </c>
      <c r="F1231" s="390">
        <f>'UH1 FGD'!$F$50</f>
        <v>0</v>
      </c>
      <c r="G1231" s="390">
        <f>'UH1 FGD'!$G$50</f>
        <v>26201</v>
      </c>
      <c r="H1231" s="390">
        <f>'UH1 FGD'!$H$50</f>
        <v>42997</v>
      </c>
      <c r="I1231" s="390">
        <f>'UH1 FGD'!$I$50</f>
        <v>80786262</v>
      </c>
      <c r="J1231" s="390">
        <f>'UH1 FGD'!$J$50</f>
        <v>276921</v>
      </c>
      <c r="K1231" s="390">
        <f>'UH1 FGD'!$K$50</f>
        <v>158</v>
      </c>
      <c r="L1231" s="390">
        <f>'UH1 FGD'!$L$50</f>
        <v>0</v>
      </c>
      <c r="M1231" s="390">
        <f>'UH1 FGD'!$M$50</f>
        <v>90328702</v>
      </c>
      <c r="N1231" s="401"/>
    </row>
    <row r="1232" spans="2:14" s="160" customFormat="1" ht="12.75" hidden="1" customHeight="1" outlineLevel="1">
      <c r="B1232" s="674" t="str">
        <f>'UHCL FGD'!$B$2</f>
        <v>University of Houston - Clear Lake</v>
      </c>
      <c r="C1232" s="172"/>
      <c r="D1232" s="390">
        <f>'UHCL FGD'!$D$50</f>
        <v>32895</v>
      </c>
      <c r="E1232" s="390">
        <f>'UHCL FGD'!$E$50</f>
        <v>542851</v>
      </c>
      <c r="F1232" s="390">
        <f>'UHCL FGD'!$F$50</f>
        <v>0</v>
      </c>
      <c r="G1232" s="390">
        <f>'UHCL FGD'!$G$50</f>
        <v>0</v>
      </c>
      <c r="H1232" s="390">
        <f>'UHCL FGD'!$H$50</f>
        <v>10109</v>
      </c>
      <c r="I1232" s="390">
        <f>'UHCL FGD'!$I$50</f>
        <v>3498451</v>
      </c>
      <c r="J1232" s="390">
        <f>'UHCL FGD'!$J$50</f>
        <v>17930</v>
      </c>
      <c r="K1232" s="390">
        <f>'UHCL FGD'!$K$50</f>
        <v>0</v>
      </c>
      <c r="L1232" s="390">
        <f>'UHCL FGD'!$L$50</f>
        <v>0</v>
      </c>
      <c r="M1232" s="390">
        <f>'UHCL FGD'!$M$50</f>
        <v>4102236</v>
      </c>
      <c r="N1232" s="401"/>
    </row>
    <row r="1233" spans="2:14" s="160" customFormat="1" ht="12.75" hidden="1" customHeight="1" outlineLevel="1">
      <c r="B1233" s="674" t="str">
        <f>'UHD FGD'!$B$2</f>
        <v>University of Houston - Downtown</v>
      </c>
      <c r="C1233" s="172"/>
      <c r="D1233" s="390">
        <f>'UHD FGD'!$D$50</f>
        <v>24939</v>
      </c>
      <c r="E1233" s="390">
        <f>'UHD FGD'!$E$50</f>
        <v>689942</v>
      </c>
      <c r="F1233" s="390">
        <f>'UHD FGD'!$F$50</f>
        <v>0</v>
      </c>
      <c r="G1233" s="390">
        <f>'UHD FGD'!$G$50</f>
        <v>0</v>
      </c>
      <c r="H1233" s="390">
        <f>'UHD FGD'!$H$50</f>
        <v>150729</v>
      </c>
      <c r="I1233" s="390">
        <f>'UHD FGD'!$I$50</f>
        <v>4746822</v>
      </c>
      <c r="J1233" s="390">
        <f>'UHD FGD'!$J$50</f>
        <v>0</v>
      </c>
      <c r="K1233" s="390">
        <f>'UHD FGD'!$K$50</f>
        <v>0</v>
      </c>
      <c r="L1233" s="390">
        <f>'UHD FGD'!$L$50</f>
        <v>0</v>
      </c>
      <c r="M1233" s="390">
        <f>'UHD FGD'!$M$50</f>
        <v>5612432</v>
      </c>
      <c r="N1233" s="401"/>
    </row>
    <row r="1234" spans="2:14" s="160" customFormat="1" ht="12.75" hidden="1" customHeight="1" outlineLevel="1">
      <c r="B1234" s="674" t="str">
        <f>'UHV FGD'!$B$2</f>
        <v>University of Houston - Victoria</v>
      </c>
      <c r="C1234" s="172"/>
      <c r="D1234" s="390">
        <f>'UHV FGD'!$D$50</f>
        <v>9963</v>
      </c>
      <c r="E1234" s="390">
        <f>'UHV FGD'!$E$50</f>
        <v>19287</v>
      </c>
      <c r="F1234" s="390">
        <f>'UHV FGD'!$F$50</f>
        <v>0</v>
      </c>
      <c r="G1234" s="390">
        <f>'UHV FGD'!$G$50</f>
        <v>0</v>
      </c>
      <c r="H1234" s="390">
        <f>'UHV FGD'!$H$50</f>
        <v>0</v>
      </c>
      <c r="I1234" s="390">
        <f>'UHV FGD'!$I$50</f>
        <v>1715824</v>
      </c>
      <c r="J1234" s="390">
        <f>'UHV FGD'!$J$50</f>
        <v>0</v>
      </c>
      <c r="K1234" s="390">
        <f>'UHV FGD'!$K$50</f>
        <v>0</v>
      </c>
      <c r="L1234" s="390">
        <f>'UHV FGD'!$L$50</f>
        <v>0</v>
      </c>
      <c r="M1234" s="390">
        <f>'UHV FGD'!$M$50</f>
        <v>1745074</v>
      </c>
      <c r="N1234" s="401"/>
    </row>
    <row r="1235" spans="2:14" s="160" customFormat="1" ht="12.75" hidden="1" customHeight="1" outlineLevel="1">
      <c r="B1235" s="674" t="str">
        <f>'UNT FGD'!$B$2</f>
        <v>University of North Texas</v>
      </c>
      <c r="C1235" s="172"/>
      <c r="D1235" s="390">
        <f>'UNT FGD'!$D$50</f>
        <v>132081</v>
      </c>
      <c r="E1235" s="390">
        <f>'UNT FGD'!$E$50</f>
        <v>9414541</v>
      </c>
      <c r="F1235" s="390">
        <f>'UNT FGD'!$F$50</f>
        <v>5435</v>
      </c>
      <c r="G1235" s="390">
        <f>'UNT FGD'!$G$50</f>
        <v>15912288</v>
      </c>
      <c r="H1235" s="390">
        <f>'UNT FGD'!$H$50</f>
        <v>1323897</v>
      </c>
      <c r="I1235" s="390">
        <f>'UNT FGD'!$I$50</f>
        <v>3340270</v>
      </c>
      <c r="J1235" s="390">
        <f>'UNT FGD'!$J$50</f>
        <v>0</v>
      </c>
      <c r="K1235" s="390">
        <f>'UNT FGD'!$K$50</f>
        <v>0</v>
      </c>
      <c r="L1235" s="390">
        <f>'UNT FGD'!$L$50</f>
        <v>0</v>
      </c>
      <c r="M1235" s="390">
        <f>'UNT FGD'!$M$50</f>
        <v>30128512</v>
      </c>
      <c r="N1235" s="401"/>
    </row>
    <row r="1236" spans="2:14" s="160" customFormat="1" ht="12.75" hidden="1" customHeight="1" outlineLevel="1">
      <c r="B1236" s="674" t="str">
        <f>'UNTD FGD'!$B$2</f>
        <v>University of North Texas at Dallas</v>
      </c>
      <c r="C1236" s="172"/>
      <c r="D1236" s="390">
        <f>'UNTD FGD'!$D$50</f>
        <v>11144</v>
      </c>
      <c r="E1236" s="390">
        <f>'UNTD FGD'!$E$50</f>
        <v>722718</v>
      </c>
      <c r="F1236" s="390">
        <f>'UNTD FGD'!$F$50</f>
        <v>0</v>
      </c>
      <c r="G1236" s="390">
        <f>'UNTD FGD'!$G$50</f>
        <v>1276974</v>
      </c>
      <c r="H1236" s="390">
        <f>'UNTD FGD'!$H$50</f>
        <v>0</v>
      </c>
      <c r="I1236" s="390">
        <f>'UNTD FGD'!$I$50</f>
        <v>62231</v>
      </c>
      <c r="J1236" s="390">
        <f>'UNTD FGD'!$J$50</f>
        <v>0</v>
      </c>
      <c r="K1236" s="390">
        <f>'UNTD FGD'!$K$50</f>
        <v>103</v>
      </c>
      <c r="L1236" s="390">
        <f>'UNTD FGD'!$L$50</f>
        <v>1433</v>
      </c>
      <c r="M1236" s="390">
        <f>'UNTD FGD'!$M$50</f>
        <v>2074603</v>
      </c>
      <c r="N1236" s="401"/>
    </row>
    <row r="1237" spans="2:14" s="160" customFormat="1" ht="12.75" hidden="1" customHeight="1" outlineLevel="1">
      <c r="B1237" s="674" t="str">
        <f>'WTAMU FGD'!$B$2</f>
        <v>West Texas A&amp;M University</v>
      </c>
      <c r="C1237" s="172"/>
      <c r="D1237" s="390">
        <f>'WTAMU FGD'!$D$50</f>
        <v>20761</v>
      </c>
      <c r="E1237" s="390">
        <f>'WTAMU FGD'!$E$50</f>
        <v>6166393</v>
      </c>
      <c r="F1237" s="390">
        <f>'WTAMU FGD'!$F$50</f>
        <v>0</v>
      </c>
      <c r="G1237" s="390">
        <f>'WTAMU FGD'!$G$50</f>
        <v>824667</v>
      </c>
      <c r="H1237" s="390">
        <f>'WTAMU FGD'!$H$50</f>
        <v>188512</v>
      </c>
      <c r="I1237" s="390">
        <f>'WTAMU FGD'!$I$50</f>
        <v>4816</v>
      </c>
      <c r="J1237" s="390">
        <f>'WTAMU FGD'!$J$50</f>
        <v>550456</v>
      </c>
      <c r="K1237" s="390">
        <f>'WTAMU FGD'!$K$50</f>
        <v>0</v>
      </c>
      <c r="L1237" s="390">
        <f>'WTAMU FGD'!$L$50</f>
        <v>0</v>
      </c>
      <c r="M1237" s="390">
        <f>'WTAMU FGD'!$M$50</f>
        <v>7755605</v>
      </c>
      <c r="N1237" s="401"/>
    </row>
    <row r="1238" spans="2:14" s="160" customFormat="1" collapsed="1">
      <c r="B1238" s="160" t="s">
        <v>42</v>
      </c>
      <c r="D1238" s="390">
        <f t="shared" ref="D1238:M1238" si="32">SUM(D1202:D1237)</f>
        <v>22845187</v>
      </c>
      <c r="E1238" s="390">
        <f t="shared" si="32"/>
        <v>475466134</v>
      </c>
      <c r="F1238" s="390">
        <f t="shared" si="32"/>
        <v>52606885</v>
      </c>
      <c r="G1238" s="390">
        <f t="shared" si="32"/>
        <v>368121435</v>
      </c>
      <c r="H1238" s="390">
        <f t="shared" si="32"/>
        <v>6692138</v>
      </c>
      <c r="I1238" s="390">
        <f t="shared" si="32"/>
        <v>107594336</v>
      </c>
      <c r="J1238" s="390">
        <f t="shared" si="32"/>
        <v>60047947</v>
      </c>
      <c r="K1238" s="390">
        <f t="shared" si="32"/>
        <v>1067038</v>
      </c>
      <c r="L1238" s="390">
        <f t="shared" si="32"/>
        <v>847746</v>
      </c>
      <c r="M1238" s="390">
        <f t="shared" si="32"/>
        <v>1095288846</v>
      </c>
      <c r="N1238" s="401"/>
    </row>
    <row r="1239" spans="2:14" s="160" customFormat="1" ht="12.75" hidden="1" customHeight="1" outlineLevel="1">
      <c r="B1239" s="674" t="str">
        <f>'ARL FGD'!$B$2</f>
        <v>The University of Texas at Arlington</v>
      </c>
      <c r="D1239" s="390">
        <f>'ARL FGD'!$D$51</f>
        <v>0</v>
      </c>
      <c r="E1239" s="390">
        <f>'ARL FGD'!$E$51</f>
        <v>127339</v>
      </c>
      <c r="F1239" s="390">
        <f>'ARL FGD'!$F$51</f>
        <v>0</v>
      </c>
      <c r="G1239" s="390">
        <f>'ARL FGD'!$G$51</f>
        <v>962842</v>
      </c>
      <c r="H1239" s="390">
        <f>'ARL FGD'!$H$51</f>
        <v>0</v>
      </c>
      <c r="I1239" s="390">
        <f>'ARL FGD'!$I$51</f>
        <v>0</v>
      </c>
      <c r="J1239" s="390">
        <f>'ARL FGD'!$J$51</f>
        <v>0</v>
      </c>
      <c r="K1239" s="390">
        <f>'ARL FGD'!$K$51</f>
        <v>0</v>
      </c>
      <c r="L1239" s="390">
        <f>'ARL FGD'!$L$51</f>
        <v>0</v>
      </c>
      <c r="M1239" s="390">
        <f>'ARL FGD'!$M$51</f>
        <v>1090181</v>
      </c>
      <c r="N1239" s="401"/>
    </row>
    <row r="1240" spans="2:14" s="160" customFormat="1" ht="12.75" hidden="1" customHeight="1" outlineLevel="1">
      <c r="B1240" s="674" t="str">
        <f>'ASU FGD'!$B$2</f>
        <v>Angelo State University</v>
      </c>
      <c r="D1240" s="390">
        <f>'ASU FGD'!$D$51</f>
        <v>0</v>
      </c>
      <c r="E1240" s="390">
        <f>'ASU FGD'!$E$51</f>
        <v>0</v>
      </c>
      <c r="F1240" s="390">
        <f>'ASU FGD'!$F$51</f>
        <v>0</v>
      </c>
      <c r="G1240" s="390">
        <f>'ASU FGD'!$G$51</f>
        <v>0</v>
      </c>
      <c r="H1240" s="390">
        <f>'ASU FGD'!$H$51</f>
        <v>0</v>
      </c>
      <c r="I1240" s="390">
        <f>'ASU FGD'!$I$51</f>
        <v>0</v>
      </c>
      <c r="J1240" s="390">
        <f>'ASU FGD'!$J$51</f>
        <v>0</v>
      </c>
      <c r="K1240" s="390">
        <f>'ASU FGD'!$K$51</f>
        <v>0</v>
      </c>
      <c r="L1240" s="390">
        <f>'ASU FGD'!$L$51</f>
        <v>0</v>
      </c>
      <c r="M1240" s="390">
        <f>'ASU FGD'!$M$51</f>
        <v>0</v>
      </c>
      <c r="N1240" s="401"/>
    </row>
    <row r="1241" spans="2:14" s="160" customFormat="1" ht="12.75" hidden="1" customHeight="1" outlineLevel="1">
      <c r="B1241" s="674" t="str">
        <f>'AUS1 FGD'!$B$2</f>
        <v>The University of Texas at Austin - Academic &amp; Health (A+H)</v>
      </c>
      <c r="D1241" s="390">
        <f>'AUS1 FGD'!$D$51</f>
        <v>0</v>
      </c>
      <c r="E1241" s="390">
        <f>'AUS1 FGD'!$E$51</f>
        <v>296418</v>
      </c>
      <c r="F1241" s="390">
        <f>'AUS1 FGD'!$F$51</f>
        <v>0</v>
      </c>
      <c r="G1241" s="390">
        <f>'AUS1 FGD'!$G$51</f>
        <v>3059911</v>
      </c>
      <c r="H1241" s="390">
        <f>'AUS1 FGD'!$H$51</f>
        <v>0</v>
      </c>
      <c r="I1241" s="390">
        <f>'AUS1 FGD'!$I$51</f>
        <v>0</v>
      </c>
      <c r="J1241" s="390">
        <f>'AUS1 FGD'!$J$51</f>
        <v>0</v>
      </c>
      <c r="K1241" s="390">
        <f>'AUS1 FGD'!$K$51</f>
        <v>0</v>
      </c>
      <c r="L1241" s="390">
        <f>'AUS1 FGD'!$L$51</f>
        <v>0</v>
      </c>
      <c r="M1241" s="390">
        <f>'AUS1 FGD'!$M$51</f>
        <v>3356329</v>
      </c>
      <c r="N1241" s="401"/>
    </row>
    <row r="1242" spans="2:14" s="160" customFormat="1" ht="12.75" hidden="1" customHeight="1" outlineLevel="1">
      <c r="B1242" s="674" t="str">
        <f>'RGV1 FGD'!$B$2</f>
        <v>The University of Texas RGV - Academic &amp; Health (A+H)</v>
      </c>
      <c r="D1242" s="390">
        <f>'RGV1 FGD'!$D$51</f>
        <v>0</v>
      </c>
      <c r="E1242" s="390">
        <f>'RGV1 FGD'!$E$51</f>
        <v>7785</v>
      </c>
      <c r="F1242" s="390">
        <f>'RGV1 FGD'!$F$51</f>
        <v>0</v>
      </c>
      <c r="G1242" s="390">
        <f>'RGV1 FGD'!$G$51</f>
        <v>242919</v>
      </c>
      <c r="H1242" s="390">
        <f>'RGV1 FGD'!$H$51</f>
        <v>0</v>
      </c>
      <c r="I1242" s="390">
        <f>'RGV1 FGD'!$I$51</f>
        <v>0</v>
      </c>
      <c r="J1242" s="390">
        <f>'RGV1 FGD'!$J$51</f>
        <v>0</v>
      </c>
      <c r="K1242" s="390">
        <f>'RGV1 FGD'!$K$51</f>
        <v>0</v>
      </c>
      <c r="L1242" s="390">
        <f>'RGV1 FGD'!$L$51</f>
        <v>0</v>
      </c>
      <c r="M1242" s="390">
        <f>'RGV1 FGD'!$M$51</f>
        <v>250704</v>
      </c>
      <c r="N1242" s="401"/>
    </row>
    <row r="1243" spans="2:14" s="160" customFormat="1" ht="12.75" hidden="1" customHeight="1" outlineLevel="1">
      <c r="B1243" s="674" t="str">
        <f>'DAL FGD'!$B$2</f>
        <v>The University of Texas at Dallas</v>
      </c>
      <c r="D1243" s="390">
        <f>'DAL FGD'!$D$51</f>
        <v>0</v>
      </c>
      <c r="E1243" s="390">
        <f>'DAL FGD'!$E$51</f>
        <v>20014</v>
      </c>
      <c r="F1243" s="390">
        <f>'DAL FGD'!$F$51</f>
        <v>0</v>
      </c>
      <c r="G1243" s="390">
        <f>'DAL FGD'!$G$51</f>
        <v>228988</v>
      </c>
      <c r="H1243" s="390">
        <f>'DAL FGD'!$H$51</f>
        <v>0</v>
      </c>
      <c r="I1243" s="390">
        <f>'DAL FGD'!$I$51</f>
        <v>0</v>
      </c>
      <c r="J1243" s="390">
        <f>'DAL FGD'!$J$51</f>
        <v>0</v>
      </c>
      <c r="K1243" s="390">
        <f>'DAL FGD'!$K$51</f>
        <v>0</v>
      </c>
      <c r="L1243" s="390">
        <f>'DAL FGD'!$L$51</f>
        <v>0</v>
      </c>
      <c r="M1243" s="390">
        <f>'DAL FGD'!$M$51</f>
        <v>249002</v>
      </c>
      <c r="N1243" s="401"/>
    </row>
    <row r="1244" spans="2:14" s="160" customFormat="1" ht="12.75" hidden="1" customHeight="1" outlineLevel="1">
      <c r="B1244" s="674" t="str">
        <f>'E-P FGD'!$B$2</f>
        <v>The University of Texas at El Paso</v>
      </c>
      <c r="D1244" s="390">
        <f>'E-P FGD'!$D$51</f>
        <v>0</v>
      </c>
      <c r="E1244" s="390">
        <f>'E-P FGD'!$E$51</f>
        <v>89526</v>
      </c>
      <c r="F1244" s="390">
        <f>'E-P FGD'!$F$51</f>
        <v>0</v>
      </c>
      <c r="G1244" s="390">
        <f>'E-P FGD'!$G$51</f>
        <v>681288</v>
      </c>
      <c r="H1244" s="390">
        <f>'E-P FGD'!$H$51</f>
        <v>0</v>
      </c>
      <c r="I1244" s="390">
        <f>'E-P FGD'!$I$51</f>
        <v>0</v>
      </c>
      <c r="J1244" s="390">
        <f>'E-P FGD'!$J$51</f>
        <v>0</v>
      </c>
      <c r="K1244" s="390">
        <f>'E-P FGD'!$K$51</f>
        <v>0</v>
      </c>
      <c r="L1244" s="390">
        <f>'E-P FGD'!$L$51</f>
        <v>0</v>
      </c>
      <c r="M1244" s="390">
        <f>'E-P FGD'!$M$51</f>
        <v>770814</v>
      </c>
      <c r="N1244" s="401"/>
    </row>
    <row r="1245" spans="2:14" s="160" customFormat="1" ht="12.75" hidden="1" customHeight="1" outlineLevel="1">
      <c r="B1245" s="674" t="str">
        <f>'LU FGD'!$B$2</f>
        <v xml:space="preserve">Lamar University </v>
      </c>
      <c r="D1245" s="390">
        <f>'LU FGD'!$D$51</f>
        <v>0</v>
      </c>
      <c r="E1245" s="390">
        <f>'LU FGD'!$E$51</f>
        <v>195521</v>
      </c>
      <c r="F1245" s="390">
        <f>'LU FGD'!$F$51</f>
        <v>0</v>
      </c>
      <c r="G1245" s="390">
        <f>'LU FGD'!$G$51</f>
        <v>1920905</v>
      </c>
      <c r="H1245" s="390">
        <f>'LU FGD'!$H$51</f>
        <v>0</v>
      </c>
      <c r="I1245" s="390">
        <f>'LU FGD'!$I$51</f>
        <v>0</v>
      </c>
      <c r="J1245" s="390">
        <f>'LU FGD'!$J$51</f>
        <v>0</v>
      </c>
      <c r="K1245" s="390">
        <f>'LU FGD'!$K$51</f>
        <v>0</v>
      </c>
      <c r="L1245" s="390">
        <f>'LU FGD'!$L$51</f>
        <v>0</v>
      </c>
      <c r="M1245" s="390">
        <f>'LU FGD'!$M$51</f>
        <v>2116426</v>
      </c>
      <c r="N1245" s="401"/>
    </row>
    <row r="1246" spans="2:14" s="160" customFormat="1" ht="12.75" hidden="1" customHeight="1" outlineLevel="1">
      <c r="B1246" s="674" t="str">
        <f>'MidWST FGD'!$B$2</f>
        <v>Midwestern State University</v>
      </c>
      <c r="D1246" s="390">
        <f>'MidWST FGD'!$D$51</f>
        <v>0</v>
      </c>
      <c r="E1246" s="390">
        <f>'MidWST FGD'!$E$51</f>
        <v>0</v>
      </c>
      <c r="F1246" s="390">
        <f>'MidWST FGD'!$F$51</f>
        <v>0</v>
      </c>
      <c r="G1246" s="390">
        <f>'MidWST FGD'!$G$51</f>
        <v>0</v>
      </c>
      <c r="H1246" s="390">
        <f>'MidWST FGD'!$H$51</f>
        <v>0</v>
      </c>
      <c r="I1246" s="390">
        <f>'MidWST FGD'!$I$51</f>
        <v>0</v>
      </c>
      <c r="J1246" s="390">
        <f>'MidWST FGD'!$J$51</f>
        <v>0</v>
      </c>
      <c r="K1246" s="390">
        <f>'MidWST FGD'!$K$51</f>
        <v>0</v>
      </c>
      <c r="L1246" s="390">
        <f>'MidWST FGD'!$L$51</f>
        <v>0</v>
      </c>
      <c r="M1246" s="390">
        <f>'MidWST FGD'!$M$51</f>
        <v>0</v>
      </c>
      <c r="N1246" s="401"/>
    </row>
    <row r="1247" spans="2:14" s="160" customFormat="1" ht="12.75" hidden="1" customHeight="1" outlineLevel="1">
      <c r="B1247" s="674" t="str">
        <f>'P-B FGD'!$B$2</f>
        <v>The University of Texas of the Permian Basin</v>
      </c>
      <c r="D1247" s="390">
        <f>'P-B FGD'!$D$51</f>
        <v>0</v>
      </c>
      <c r="E1247" s="390">
        <f>'P-B FGD'!$E$51</f>
        <v>0</v>
      </c>
      <c r="F1247" s="390">
        <f>'P-B FGD'!$F$51</f>
        <v>0</v>
      </c>
      <c r="G1247" s="390">
        <f>'P-B FGD'!$G$51</f>
        <v>2099047</v>
      </c>
      <c r="H1247" s="390">
        <f>'P-B FGD'!$H$51</f>
        <v>0</v>
      </c>
      <c r="I1247" s="390">
        <f>'P-B FGD'!$I$51</f>
        <v>0</v>
      </c>
      <c r="J1247" s="390">
        <f>'P-B FGD'!$J$51</f>
        <v>0</v>
      </c>
      <c r="K1247" s="390">
        <f>'P-B FGD'!$K$51</f>
        <v>0</v>
      </c>
      <c r="L1247" s="390">
        <f>'P-B FGD'!$L$51</f>
        <v>0</v>
      </c>
      <c r="M1247" s="390">
        <f>'P-B FGD'!$M$51</f>
        <v>2099047</v>
      </c>
      <c r="N1247" s="401"/>
    </row>
    <row r="1248" spans="2:14" s="160" customFormat="1" ht="12.75" hidden="1" customHeight="1" outlineLevel="1">
      <c r="B1248" s="674" t="str">
        <f>'PVAMU FGD'!$B$2</f>
        <v>Prairie View A&amp;M University</v>
      </c>
      <c r="D1248" s="390">
        <f>'PVAMU FGD'!$D$51</f>
        <v>0</v>
      </c>
      <c r="E1248" s="390">
        <f>'PVAMU FGD'!$E$51</f>
        <v>0</v>
      </c>
      <c r="F1248" s="390">
        <f>'PVAMU FGD'!$F$51</f>
        <v>0</v>
      </c>
      <c r="G1248" s="390">
        <f>'PVAMU FGD'!$G$51</f>
        <v>0</v>
      </c>
      <c r="H1248" s="390">
        <f>'PVAMU FGD'!$H$51</f>
        <v>0</v>
      </c>
      <c r="I1248" s="390">
        <f>'PVAMU FGD'!$I$51</f>
        <v>0</v>
      </c>
      <c r="J1248" s="390">
        <f>'PVAMU FGD'!$J$51</f>
        <v>0</v>
      </c>
      <c r="K1248" s="390">
        <f>'PVAMU FGD'!$K$51</f>
        <v>0</v>
      </c>
      <c r="L1248" s="390">
        <f>'PVAMU FGD'!$L$51</f>
        <v>0</v>
      </c>
      <c r="M1248" s="390">
        <f>'PVAMU FGD'!$M$51</f>
        <v>0</v>
      </c>
      <c r="N1248" s="401"/>
    </row>
    <row r="1249" spans="2:14" s="160" customFormat="1" ht="12.75" hidden="1" customHeight="1" outlineLevel="1">
      <c r="B1249" s="674" t="str">
        <f>'S-A FGD'!$B$2</f>
        <v>The University of Texas at San Antonio</v>
      </c>
      <c r="D1249" s="390">
        <f>'S-A FGD'!$D$51</f>
        <v>0</v>
      </c>
      <c r="E1249" s="390">
        <f>'S-A FGD'!$E$51</f>
        <v>469629</v>
      </c>
      <c r="F1249" s="390">
        <f>'S-A FGD'!$F$51</f>
        <v>0</v>
      </c>
      <c r="G1249" s="390">
        <f>'S-A FGD'!$G$51</f>
        <v>2695777</v>
      </c>
      <c r="H1249" s="390">
        <f>'S-A FGD'!$H$51</f>
        <v>0</v>
      </c>
      <c r="I1249" s="390">
        <f>'S-A FGD'!$I$51</f>
        <v>0</v>
      </c>
      <c r="J1249" s="390">
        <f>'S-A FGD'!$J$51</f>
        <v>0</v>
      </c>
      <c r="K1249" s="390">
        <f>'S-A FGD'!$K$51</f>
        <v>0</v>
      </c>
      <c r="L1249" s="390">
        <f>'S-A FGD'!$L$51</f>
        <v>0</v>
      </c>
      <c r="M1249" s="390">
        <f>'S-A FGD'!$M$51</f>
        <v>3165406</v>
      </c>
      <c r="N1249" s="401"/>
    </row>
    <row r="1250" spans="2:14" s="160" customFormat="1" ht="12.75" hidden="1" customHeight="1" outlineLevel="1">
      <c r="B1250" s="674" t="str">
        <f>'SFA FGD'!$B$2</f>
        <v>Stephen F. Austin State University</v>
      </c>
      <c r="D1250" s="390">
        <f>'SFA FGD'!$D$51</f>
        <v>0</v>
      </c>
      <c r="E1250" s="390">
        <f>'SFA FGD'!$E$51</f>
        <v>0</v>
      </c>
      <c r="F1250" s="390">
        <f>'SFA FGD'!$F$51</f>
        <v>0</v>
      </c>
      <c r="G1250" s="390">
        <f>'SFA FGD'!$G$51</f>
        <v>1129224</v>
      </c>
      <c r="H1250" s="390">
        <f>'SFA FGD'!$H$51</f>
        <v>0</v>
      </c>
      <c r="I1250" s="390">
        <f>'SFA FGD'!$I$51</f>
        <v>0</v>
      </c>
      <c r="J1250" s="390">
        <f>'SFA FGD'!$J$51</f>
        <v>0</v>
      </c>
      <c r="K1250" s="390">
        <f>'SFA FGD'!$K$51</f>
        <v>0</v>
      </c>
      <c r="L1250" s="390">
        <f>'SFA FGD'!$L$51</f>
        <v>0</v>
      </c>
      <c r="M1250" s="390">
        <f>'SFA FGD'!$M$51</f>
        <v>1129224</v>
      </c>
      <c r="N1250" s="401"/>
    </row>
    <row r="1251" spans="2:14" s="160" customFormat="1" ht="12.75" hidden="1" customHeight="1" outlineLevel="1">
      <c r="B1251" s="674" t="str">
        <f>'shsu1 FGD'!$B$2</f>
        <v>Sam Houston State University - Academic &amp; Health (A+H)</v>
      </c>
      <c r="D1251" s="390">
        <f>'shsu1 FGD'!$D$51</f>
        <v>0</v>
      </c>
      <c r="E1251" s="390">
        <f>'shsu1 FGD'!$E$51</f>
        <v>0</v>
      </c>
      <c r="F1251" s="390">
        <f>'shsu1 FGD'!$F$51</f>
        <v>0</v>
      </c>
      <c r="G1251" s="390">
        <f>'shsu1 FGD'!$G$51</f>
        <v>4694576</v>
      </c>
      <c r="H1251" s="390">
        <f>'shsu1 FGD'!$H$51</f>
        <v>0</v>
      </c>
      <c r="I1251" s="390">
        <f>'shsu1 FGD'!$I$51</f>
        <v>0</v>
      </c>
      <c r="J1251" s="390">
        <f>'shsu1 FGD'!$J$51</f>
        <v>0</v>
      </c>
      <c r="K1251" s="390">
        <f>'shsu1 FGD'!$K$51</f>
        <v>0</v>
      </c>
      <c r="L1251" s="390">
        <f>'shsu1 FGD'!$L$51</f>
        <v>0</v>
      </c>
      <c r="M1251" s="390">
        <f>'shsu1 FGD'!$M$51</f>
        <v>4694576</v>
      </c>
      <c r="N1251" s="401"/>
    </row>
    <row r="1252" spans="2:14" s="160" customFormat="1" ht="12.75" hidden="1" customHeight="1" outlineLevel="1">
      <c r="B1252" s="674" t="str">
        <f>'SRSU FGD'!$B$2</f>
        <v>Sul Ross State University</v>
      </c>
      <c r="D1252" s="390">
        <f>'SRSU FGD'!$D$51</f>
        <v>0</v>
      </c>
      <c r="E1252" s="390">
        <f>'SRSU FGD'!$E$51</f>
        <v>0</v>
      </c>
      <c r="F1252" s="390">
        <f>'SRSU FGD'!$F$51</f>
        <v>0</v>
      </c>
      <c r="G1252" s="390">
        <f>'SRSU FGD'!$G$51</f>
        <v>0</v>
      </c>
      <c r="H1252" s="390">
        <f>'SRSU FGD'!$H$51</f>
        <v>0</v>
      </c>
      <c r="I1252" s="390">
        <f>'SRSU FGD'!$I$51</f>
        <v>0</v>
      </c>
      <c r="J1252" s="390">
        <f>'SRSU FGD'!$J$51</f>
        <v>0</v>
      </c>
      <c r="K1252" s="390">
        <f>'SRSU FGD'!$K$51</f>
        <v>0</v>
      </c>
      <c r="L1252" s="390">
        <f>'SRSU FGD'!$L$51</f>
        <v>0</v>
      </c>
      <c r="M1252" s="390">
        <f>'SRSU FGD'!$M$51</f>
        <v>0</v>
      </c>
      <c r="N1252" s="401"/>
    </row>
    <row r="1253" spans="2:14" s="160" customFormat="1" ht="12.75" hidden="1" customHeight="1" outlineLevel="1">
      <c r="B1253" s="674" t="str">
        <f>'TAMIU FGD'!$B$2</f>
        <v>Texas A&amp;M International University</v>
      </c>
      <c r="D1253" s="390">
        <f>'TAMIU FGD'!$D$51</f>
        <v>0</v>
      </c>
      <c r="E1253" s="390">
        <f>'TAMIU FGD'!$E$51</f>
        <v>0</v>
      </c>
      <c r="F1253" s="390">
        <f>'TAMIU FGD'!$F$51</f>
        <v>0</v>
      </c>
      <c r="G1253" s="390">
        <f>'TAMIU FGD'!$G$51</f>
        <v>0</v>
      </c>
      <c r="H1253" s="390">
        <f>'TAMIU FGD'!$H$51</f>
        <v>0</v>
      </c>
      <c r="I1253" s="390">
        <f>'TAMIU FGD'!$I$51</f>
        <v>0</v>
      </c>
      <c r="J1253" s="390">
        <f>'TAMIU FGD'!$J$51</f>
        <v>0</v>
      </c>
      <c r="K1253" s="390">
        <f>'TAMIU FGD'!$K$51</f>
        <v>0</v>
      </c>
      <c r="L1253" s="390">
        <f>'TAMIU FGD'!$L$51</f>
        <v>0</v>
      </c>
      <c r="M1253" s="390">
        <f>'TAMIU FGD'!$M$51</f>
        <v>0</v>
      </c>
      <c r="N1253" s="401"/>
    </row>
    <row r="1254" spans="2:14" s="160" customFormat="1" ht="12.75" hidden="1" customHeight="1" outlineLevel="1">
      <c r="B1254" s="674" t="str">
        <f>'TAMU FGD'!$B$2</f>
        <v>Texas A&amp;M University</v>
      </c>
      <c r="D1254" s="390">
        <f>'TAMU FGD'!$D$51</f>
        <v>0</v>
      </c>
      <c r="E1254" s="390">
        <f>'TAMU FGD'!$E$51</f>
        <v>0</v>
      </c>
      <c r="F1254" s="390">
        <f>'TAMU FGD'!$F$51</f>
        <v>0</v>
      </c>
      <c r="G1254" s="390">
        <f>'TAMU FGD'!$G$51</f>
        <v>0</v>
      </c>
      <c r="H1254" s="390">
        <f>'TAMU FGD'!$H$51</f>
        <v>0</v>
      </c>
      <c r="I1254" s="390">
        <f>'TAMU FGD'!$I$51</f>
        <v>0</v>
      </c>
      <c r="J1254" s="390">
        <f>'TAMU FGD'!$J$51</f>
        <v>0</v>
      </c>
      <c r="K1254" s="390">
        <f>'TAMU FGD'!$K$51</f>
        <v>0</v>
      </c>
      <c r="L1254" s="390">
        <f>'TAMU FGD'!$L$51</f>
        <v>0</v>
      </c>
      <c r="M1254" s="390">
        <f>'TAMU FGD'!$M$51</f>
        <v>0</v>
      </c>
      <c r="N1254" s="401"/>
    </row>
    <row r="1255" spans="2:14" s="160" customFormat="1" ht="12.75" hidden="1" customHeight="1" outlineLevel="1">
      <c r="B1255" s="674" t="str">
        <f>'TAMUC FGD'!$B$2</f>
        <v>Texas A&amp;M University - Commerce</v>
      </c>
      <c r="D1255" s="390">
        <f>'TAMUC FGD'!$D$51</f>
        <v>0</v>
      </c>
      <c r="E1255" s="390">
        <f>'TAMUC FGD'!$E$51</f>
        <v>0</v>
      </c>
      <c r="F1255" s="390">
        <f>'TAMUC FGD'!$F$51</f>
        <v>0</v>
      </c>
      <c r="G1255" s="390">
        <f>'TAMUC FGD'!$G$51</f>
        <v>0</v>
      </c>
      <c r="H1255" s="390">
        <f>'TAMUC FGD'!$H$51</f>
        <v>0</v>
      </c>
      <c r="I1255" s="390">
        <f>'TAMUC FGD'!$I$51</f>
        <v>0</v>
      </c>
      <c r="J1255" s="390">
        <f>'TAMUC FGD'!$J$51</f>
        <v>0</v>
      </c>
      <c r="K1255" s="390">
        <f>'TAMUC FGD'!$K$51</f>
        <v>0</v>
      </c>
      <c r="L1255" s="390">
        <f>'TAMUC FGD'!$L$51</f>
        <v>0</v>
      </c>
      <c r="M1255" s="390">
        <f>'TAMUC FGD'!$M$51</f>
        <v>0</v>
      </c>
      <c r="N1255" s="401"/>
    </row>
    <row r="1256" spans="2:14" s="160" customFormat="1" ht="12.75" hidden="1" customHeight="1" outlineLevel="1">
      <c r="B1256" s="674" t="str">
        <f>'TAMUCC FGD'!$B$2</f>
        <v>Texas A&amp;M University - Corpus Christi</v>
      </c>
      <c r="D1256" s="390">
        <f>'TAMUCC FGD'!$D$51</f>
        <v>0</v>
      </c>
      <c r="E1256" s="390">
        <f>'TAMUCC FGD'!$E$51</f>
        <v>0</v>
      </c>
      <c r="F1256" s="390">
        <f>'TAMUCC FGD'!$F$51</f>
        <v>0</v>
      </c>
      <c r="G1256" s="390">
        <f>'TAMUCC FGD'!$G$51</f>
        <v>0</v>
      </c>
      <c r="H1256" s="390">
        <f>'TAMUCC FGD'!$H$51</f>
        <v>0</v>
      </c>
      <c r="I1256" s="390">
        <f>'TAMUCC FGD'!$I$51</f>
        <v>0</v>
      </c>
      <c r="J1256" s="390">
        <f>'TAMUCC FGD'!$J$51</f>
        <v>0</v>
      </c>
      <c r="K1256" s="390">
        <f>'TAMUCC FGD'!$K$51</f>
        <v>0</v>
      </c>
      <c r="L1256" s="390">
        <f>'TAMUCC FGD'!$L$51</f>
        <v>0</v>
      </c>
      <c r="M1256" s="390">
        <f>'TAMUCC FGD'!$M$51</f>
        <v>0</v>
      </c>
      <c r="N1256" s="401"/>
    </row>
    <row r="1257" spans="2:14" s="160" customFormat="1" ht="12.75" hidden="1" customHeight="1" outlineLevel="1">
      <c r="B1257" s="674" t="str">
        <f>'TAMUCT FGD'!$B$2</f>
        <v>Texas A&amp;M University - Central Texas</v>
      </c>
      <c r="D1257" s="390">
        <f>'TAMUCT FGD'!$D$51</f>
        <v>0</v>
      </c>
      <c r="E1257" s="390">
        <f>'TAMUCT FGD'!$E$51</f>
        <v>0</v>
      </c>
      <c r="F1257" s="390">
        <f>'TAMUCT FGD'!$F$51</f>
        <v>0</v>
      </c>
      <c r="G1257" s="390">
        <f>'TAMUCT FGD'!$G$51</f>
        <v>0</v>
      </c>
      <c r="H1257" s="390">
        <f>'TAMUCT FGD'!$H$51</f>
        <v>0</v>
      </c>
      <c r="I1257" s="390">
        <f>'TAMUCT FGD'!$I$51</f>
        <v>0</v>
      </c>
      <c r="J1257" s="390">
        <f>'TAMUCT FGD'!$J$51</f>
        <v>0</v>
      </c>
      <c r="K1257" s="390">
        <f>'TAMUCT FGD'!$K$51</f>
        <v>0</v>
      </c>
      <c r="L1257" s="390">
        <f>'TAMUCT FGD'!$L$51</f>
        <v>0</v>
      </c>
      <c r="M1257" s="390">
        <f>'TAMUCT FGD'!$M$51</f>
        <v>0</v>
      </c>
      <c r="N1257" s="401"/>
    </row>
    <row r="1258" spans="2:14" s="160" customFormat="1" ht="12.75" hidden="1" customHeight="1" outlineLevel="1">
      <c r="B1258" s="674" t="str">
        <f>'TAMUG FGD'!$B$2</f>
        <v>Texas A&amp;M University at Galveston</v>
      </c>
      <c r="D1258" s="390">
        <f>'TAMUG FGD'!$D$51</f>
        <v>0</v>
      </c>
      <c r="E1258" s="390">
        <f>'TAMUG FGD'!$E$51</f>
        <v>0</v>
      </c>
      <c r="F1258" s="390">
        <f>'TAMUG FGD'!$F$51</f>
        <v>0</v>
      </c>
      <c r="G1258" s="390">
        <f>'TAMUG FGD'!$G$51</f>
        <v>0</v>
      </c>
      <c r="H1258" s="390">
        <f>'TAMUG FGD'!$H$51</f>
        <v>0</v>
      </c>
      <c r="I1258" s="390">
        <f>'TAMUG FGD'!$I$51</f>
        <v>0</v>
      </c>
      <c r="J1258" s="390">
        <f>'TAMUG FGD'!$J$51</f>
        <v>0</v>
      </c>
      <c r="K1258" s="390">
        <f>'TAMUG FGD'!$K$51</f>
        <v>0</v>
      </c>
      <c r="L1258" s="390">
        <f>'TAMUG FGD'!$L$51</f>
        <v>0</v>
      </c>
      <c r="M1258" s="390">
        <f>'TAMUG FGD'!$M$51</f>
        <v>0</v>
      </c>
      <c r="N1258" s="401"/>
    </row>
    <row r="1259" spans="2:14" s="160" customFormat="1" ht="12.75" hidden="1" customHeight="1" outlineLevel="1">
      <c r="B1259" s="674" t="str">
        <f>'TAMUK FGD'!$B$2</f>
        <v>Texas A&amp;M University - Kingsville</v>
      </c>
      <c r="D1259" s="390">
        <f>'TAMUK FGD'!$D$51</f>
        <v>0</v>
      </c>
      <c r="E1259" s="390">
        <f>'TAMUK FGD'!$E$51</f>
        <v>0</v>
      </c>
      <c r="F1259" s="390">
        <f>'TAMUK FGD'!$F$51</f>
        <v>0</v>
      </c>
      <c r="G1259" s="390">
        <f>'TAMUK FGD'!$G$51</f>
        <v>0</v>
      </c>
      <c r="H1259" s="390">
        <f>'TAMUK FGD'!$H$51</f>
        <v>0</v>
      </c>
      <c r="I1259" s="390">
        <f>'TAMUK FGD'!$I$51</f>
        <v>0</v>
      </c>
      <c r="J1259" s="390">
        <f>'TAMUK FGD'!$J$51</f>
        <v>0</v>
      </c>
      <c r="K1259" s="390">
        <f>'TAMUK FGD'!$K$51</f>
        <v>0</v>
      </c>
      <c r="L1259" s="390">
        <f>'TAMUK FGD'!$L$51</f>
        <v>0</v>
      </c>
      <c r="M1259" s="390">
        <f>'TAMUK FGD'!$M$51</f>
        <v>0</v>
      </c>
      <c r="N1259" s="401"/>
    </row>
    <row r="1260" spans="2:14" s="160" customFormat="1" ht="12.75" hidden="1" customHeight="1" outlineLevel="1">
      <c r="B1260" s="674" t="str">
        <f>'TAMUSA FGD'!$B$2</f>
        <v>Texas A&amp;M University - San Antonio</v>
      </c>
      <c r="D1260" s="390">
        <f>'TAMUSA FGD'!$D$51</f>
        <v>0</v>
      </c>
      <c r="E1260" s="390">
        <f>'TAMUSA FGD'!$E$51</f>
        <v>0</v>
      </c>
      <c r="F1260" s="390">
        <f>'TAMUSA FGD'!$F$51</f>
        <v>0</v>
      </c>
      <c r="G1260" s="390">
        <f>'TAMUSA FGD'!$G$51</f>
        <v>0</v>
      </c>
      <c r="H1260" s="390">
        <f>'TAMUSA FGD'!$H$51</f>
        <v>0</v>
      </c>
      <c r="I1260" s="390">
        <f>'TAMUSA FGD'!$I$51</f>
        <v>0</v>
      </c>
      <c r="J1260" s="390">
        <f>'TAMUSA FGD'!$J$51</f>
        <v>0</v>
      </c>
      <c r="K1260" s="390">
        <f>'TAMUSA FGD'!$K$51</f>
        <v>0</v>
      </c>
      <c r="L1260" s="390">
        <f>'TAMUSA FGD'!$L$51</f>
        <v>0</v>
      </c>
      <c r="M1260" s="390">
        <f>'TAMUSA FGD'!$M$51</f>
        <v>0</v>
      </c>
      <c r="N1260" s="401"/>
    </row>
    <row r="1261" spans="2:14" s="160" customFormat="1" ht="12.75" hidden="1" customHeight="1" outlineLevel="1">
      <c r="B1261" s="674" t="str">
        <f>'TAMUT FGD'!$B$2</f>
        <v>Texas A&amp;M University - Texarkana</v>
      </c>
      <c r="D1261" s="390">
        <f>'TAMUT FGD'!$D$51</f>
        <v>0</v>
      </c>
      <c r="E1261" s="390">
        <f>'TAMUT FGD'!$E$51</f>
        <v>0</v>
      </c>
      <c r="F1261" s="390">
        <f>'TAMUT FGD'!$F$51</f>
        <v>0</v>
      </c>
      <c r="G1261" s="390">
        <f>'TAMUT FGD'!$G$51</f>
        <v>0</v>
      </c>
      <c r="H1261" s="390">
        <f>'TAMUT FGD'!$H$51</f>
        <v>0</v>
      </c>
      <c r="I1261" s="390">
        <f>'TAMUT FGD'!$I$51</f>
        <v>0</v>
      </c>
      <c r="J1261" s="390">
        <f>'TAMUT FGD'!$J$51</f>
        <v>0</v>
      </c>
      <c r="K1261" s="390">
        <f>'TAMUT FGD'!$K$51</f>
        <v>0</v>
      </c>
      <c r="L1261" s="390">
        <f>'TAMUT FGD'!$L$51</f>
        <v>0</v>
      </c>
      <c r="M1261" s="390">
        <f>'TAMUT FGD'!$M$51</f>
        <v>0</v>
      </c>
      <c r="N1261" s="401"/>
    </row>
    <row r="1262" spans="2:14" s="160" customFormat="1" ht="12.75" hidden="1" customHeight="1" outlineLevel="1">
      <c r="B1262" s="674" t="str">
        <f>'TARLST FGD'!$B$2</f>
        <v>Tarleton State University</v>
      </c>
      <c r="D1262" s="390">
        <f>'TARLST FGD'!$D$51</f>
        <v>0</v>
      </c>
      <c r="E1262" s="390">
        <f>'TARLST FGD'!$E$51</f>
        <v>0</v>
      </c>
      <c r="F1262" s="390">
        <f>'TARLST FGD'!$F$51</f>
        <v>0</v>
      </c>
      <c r="G1262" s="390">
        <f>'TARLST FGD'!$G$51</f>
        <v>0</v>
      </c>
      <c r="H1262" s="390">
        <f>'TARLST FGD'!$H$51</f>
        <v>0</v>
      </c>
      <c r="I1262" s="390">
        <f>'TARLST FGD'!$I$51</f>
        <v>0</v>
      </c>
      <c r="J1262" s="390">
        <f>'TARLST FGD'!$J$51</f>
        <v>0</v>
      </c>
      <c r="K1262" s="390">
        <f>'TARLST FGD'!$K$51</f>
        <v>0</v>
      </c>
      <c r="L1262" s="390">
        <f>'TARLST FGD'!$L$51</f>
        <v>0</v>
      </c>
      <c r="M1262" s="390">
        <f>'TARLST FGD'!$M$51</f>
        <v>0</v>
      </c>
      <c r="N1262" s="401"/>
    </row>
    <row r="1263" spans="2:14" s="160" customFormat="1" ht="12.75" hidden="1" customHeight="1" outlineLevel="1">
      <c r="B1263" s="674" t="str">
        <f>'TSU FGD'!$B$2</f>
        <v>Texas Southern University</v>
      </c>
      <c r="D1263" s="390">
        <f>'TSU FGD'!$D$51</f>
        <v>0</v>
      </c>
      <c r="E1263" s="390">
        <f>'TSU FGD'!$E$51</f>
        <v>0</v>
      </c>
      <c r="F1263" s="390">
        <f>'TSU FGD'!$F$51</f>
        <v>0</v>
      </c>
      <c r="G1263" s="390">
        <f>'TSU FGD'!$G$51</f>
        <v>245226</v>
      </c>
      <c r="H1263" s="390">
        <f>'TSU FGD'!$H$51</f>
        <v>0</v>
      </c>
      <c r="I1263" s="390">
        <f>'TSU FGD'!$I$51</f>
        <v>0</v>
      </c>
      <c r="J1263" s="390">
        <f>'TSU FGD'!$J$51</f>
        <v>0</v>
      </c>
      <c r="K1263" s="390">
        <f>'TSU FGD'!$K$51</f>
        <v>0</v>
      </c>
      <c r="L1263" s="390">
        <f>'TSU FGD'!$L$51</f>
        <v>0</v>
      </c>
      <c r="M1263" s="390">
        <f>'TSU FGD'!$M$51</f>
        <v>245226</v>
      </c>
      <c r="N1263" s="401"/>
    </row>
    <row r="1264" spans="2:14" s="160" customFormat="1" ht="12.75" hidden="1" customHeight="1" outlineLevel="1">
      <c r="B1264" s="674" t="str">
        <f>'TTU FGD'!$B$2</f>
        <v>Texas Tech University</v>
      </c>
      <c r="D1264" s="390">
        <f>'TTU FGD'!$D$51</f>
        <v>0</v>
      </c>
      <c r="E1264" s="390">
        <f>'TTU FGD'!$E$51</f>
        <v>0</v>
      </c>
      <c r="F1264" s="390">
        <f>'TTU FGD'!$F$51</f>
        <v>0</v>
      </c>
      <c r="G1264" s="390">
        <f>'TTU FGD'!$G$51</f>
        <v>897267</v>
      </c>
      <c r="H1264" s="390">
        <f>'TTU FGD'!$H$51</f>
        <v>0</v>
      </c>
      <c r="I1264" s="390">
        <f>'TTU FGD'!$I$51</f>
        <v>0</v>
      </c>
      <c r="J1264" s="390">
        <f>'TTU FGD'!$J$51</f>
        <v>0</v>
      </c>
      <c r="K1264" s="390">
        <f>'TTU FGD'!$K$51</f>
        <v>0</v>
      </c>
      <c r="L1264" s="390">
        <f>'TTU FGD'!$L$51</f>
        <v>0</v>
      </c>
      <c r="M1264" s="390">
        <f>'TTU FGD'!$M$51</f>
        <v>897267</v>
      </c>
      <c r="N1264" s="401"/>
    </row>
    <row r="1265" spans="2:14" s="160" customFormat="1" ht="12.75" hidden="1" customHeight="1" outlineLevel="1">
      <c r="B1265" s="674" t="str">
        <f>'TWU FGD'!$B$2</f>
        <v>Texas Woman's University</v>
      </c>
      <c r="D1265" s="390">
        <f>'TWU FGD'!$D$51</f>
        <v>0</v>
      </c>
      <c r="E1265" s="390">
        <f>'TWU FGD'!$E$51</f>
        <v>0</v>
      </c>
      <c r="F1265" s="390">
        <f>'TWU FGD'!$F$51</f>
        <v>0</v>
      </c>
      <c r="G1265" s="390">
        <f>'TWU FGD'!$G$51</f>
        <v>1195291</v>
      </c>
      <c r="H1265" s="390">
        <f>'TWU FGD'!$H$51</f>
        <v>0</v>
      </c>
      <c r="I1265" s="390">
        <f>'TWU FGD'!$I$51</f>
        <v>0</v>
      </c>
      <c r="J1265" s="390">
        <f>'TWU FGD'!$J$51</f>
        <v>0</v>
      </c>
      <c r="K1265" s="390">
        <f>'TWU FGD'!$K$51</f>
        <v>0</v>
      </c>
      <c r="L1265" s="390">
        <f>'TWU FGD'!$L$51</f>
        <v>0</v>
      </c>
      <c r="M1265" s="390">
        <f>'TWU FGD'!$M$51</f>
        <v>1195291</v>
      </c>
      <c r="N1265" s="401"/>
    </row>
    <row r="1266" spans="2:14" s="160" customFormat="1" ht="12.75" hidden="1" customHeight="1" outlineLevel="1">
      <c r="B1266" s="674" t="str">
        <f>'TXST FGD'!$B$2</f>
        <v>Texas State University</v>
      </c>
      <c r="D1266" s="390">
        <f>'TXST FGD'!$D$51</f>
        <v>0</v>
      </c>
      <c r="E1266" s="390">
        <f>'TXST FGD'!$E$51</f>
        <v>0</v>
      </c>
      <c r="F1266" s="390">
        <f>'TXST FGD'!$F$51</f>
        <v>0</v>
      </c>
      <c r="G1266" s="390">
        <f>'TXST FGD'!$G$51</f>
        <v>740389</v>
      </c>
      <c r="H1266" s="390">
        <f>'TXST FGD'!$H$51</f>
        <v>0</v>
      </c>
      <c r="I1266" s="390">
        <f>'TXST FGD'!$I$51</f>
        <v>0</v>
      </c>
      <c r="J1266" s="390">
        <f>'TXST FGD'!$J$51</f>
        <v>0</v>
      </c>
      <c r="K1266" s="390">
        <f>'TXST FGD'!$K$51</f>
        <v>0</v>
      </c>
      <c r="L1266" s="390">
        <f>'TXST FGD'!$L$51</f>
        <v>0</v>
      </c>
      <c r="M1266" s="390">
        <f>'TXST FGD'!$M$51</f>
        <v>740389</v>
      </c>
      <c r="N1266" s="401"/>
    </row>
    <row r="1267" spans="2:14" s="160" customFormat="1" ht="12.75" hidden="1" customHeight="1" outlineLevel="1">
      <c r="B1267" s="674" t="str">
        <f>'TYL FGD'!$B$2</f>
        <v>The University of Texas at Tyler</v>
      </c>
      <c r="D1267" s="390">
        <f>'TYL FGD'!$D$51</f>
        <v>0</v>
      </c>
      <c r="E1267" s="390">
        <f>'TYL FGD'!$E$51</f>
        <v>0</v>
      </c>
      <c r="F1267" s="390">
        <f>'TYL FGD'!$F$51</f>
        <v>0</v>
      </c>
      <c r="G1267" s="390">
        <f>'TYL FGD'!$G$51</f>
        <v>0</v>
      </c>
      <c r="H1267" s="390">
        <f>'TYL FGD'!$H$51</f>
        <v>0</v>
      </c>
      <c r="I1267" s="390">
        <f>'TYL FGD'!$I$51</f>
        <v>0</v>
      </c>
      <c r="J1267" s="390">
        <f>'TYL FGD'!$J$51</f>
        <v>0</v>
      </c>
      <c r="K1267" s="390">
        <f>'TYL FGD'!$K$51</f>
        <v>0</v>
      </c>
      <c r="L1267" s="390">
        <f>'TYL FGD'!$L$51</f>
        <v>0</v>
      </c>
      <c r="M1267" s="390">
        <f>'TYL FGD'!$M$51</f>
        <v>0</v>
      </c>
      <c r="N1267" s="401"/>
    </row>
    <row r="1268" spans="2:14" s="160" customFormat="1" ht="12.75" hidden="1" customHeight="1" outlineLevel="1">
      <c r="B1268" s="674" t="str">
        <f>'UH1 FGD'!$B$2</f>
        <v>University of Houston - Academic &amp; Health (A+H)</v>
      </c>
      <c r="D1268" s="390">
        <f>'UH1 FGD'!$D$51</f>
        <v>0</v>
      </c>
      <c r="E1268" s="390">
        <f>'UH1 FGD'!$E$51</f>
        <v>11544843</v>
      </c>
      <c r="F1268" s="390">
        <f>'UH1 FGD'!$F$51</f>
        <v>0</v>
      </c>
      <c r="G1268" s="390">
        <f>'UH1 FGD'!$G$51</f>
        <v>89835</v>
      </c>
      <c r="H1268" s="390">
        <f>'UH1 FGD'!$H$51</f>
        <v>0</v>
      </c>
      <c r="I1268" s="390">
        <f>'UH1 FGD'!$I$51</f>
        <v>0</v>
      </c>
      <c r="J1268" s="390">
        <f>'UH1 FGD'!$J$51</f>
        <v>0</v>
      </c>
      <c r="K1268" s="390">
        <f>'UH1 FGD'!$K$51</f>
        <v>0</v>
      </c>
      <c r="L1268" s="390">
        <f>'UH1 FGD'!$L$51</f>
        <v>0</v>
      </c>
      <c r="M1268" s="390">
        <f>'UH1 FGD'!$M$51</f>
        <v>11634678</v>
      </c>
      <c r="N1268" s="401"/>
    </row>
    <row r="1269" spans="2:14" s="160" customFormat="1" ht="12.75" hidden="1" customHeight="1" outlineLevel="1">
      <c r="B1269" s="674" t="str">
        <f>'UHCL FGD'!$B$2</f>
        <v>University of Houston - Clear Lake</v>
      </c>
      <c r="D1269" s="390">
        <f>'UHCL FGD'!$D$51</f>
        <v>0</v>
      </c>
      <c r="E1269" s="390">
        <f>'UHCL FGD'!$E$51</f>
        <v>0</v>
      </c>
      <c r="F1269" s="390">
        <f>'UHCL FGD'!$F$51</f>
        <v>0</v>
      </c>
      <c r="G1269" s="390">
        <f>'UHCL FGD'!$G$51</f>
        <v>94576</v>
      </c>
      <c r="H1269" s="390">
        <f>'UHCL FGD'!$H$51</f>
        <v>0</v>
      </c>
      <c r="I1269" s="390">
        <f>'UHCL FGD'!$I$51</f>
        <v>0</v>
      </c>
      <c r="J1269" s="390">
        <f>'UHCL FGD'!$J$51</f>
        <v>0</v>
      </c>
      <c r="K1269" s="390">
        <f>'UHCL FGD'!$K$51</f>
        <v>0</v>
      </c>
      <c r="L1269" s="390">
        <f>'UHCL FGD'!$L$51</f>
        <v>0</v>
      </c>
      <c r="M1269" s="390">
        <f>'UHCL FGD'!$M$51</f>
        <v>94576</v>
      </c>
      <c r="N1269" s="401"/>
    </row>
    <row r="1270" spans="2:14" s="160" customFormat="1" ht="12.75" hidden="1" customHeight="1" outlineLevel="1">
      <c r="B1270" s="674" t="str">
        <f>'UHD FGD'!$B$2</f>
        <v>University of Houston - Downtown</v>
      </c>
      <c r="D1270" s="390">
        <f>'UHD FGD'!$D$51</f>
        <v>0</v>
      </c>
      <c r="E1270" s="390">
        <f>'UHD FGD'!$E$51</f>
        <v>0</v>
      </c>
      <c r="F1270" s="390">
        <f>'UHD FGD'!$F$51</f>
        <v>0</v>
      </c>
      <c r="G1270" s="390">
        <f>'UHD FGD'!$G$51</f>
        <v>0</v>
      </c>
      <c r="H1270" s="390">
        <f>'UHD FGD'!$H$51</f>
        <v>0</v>
      </c>
      <c r="I1270" s="390">
        <f>'UHD FGD'!$I$51</f>
        <v>0</v>
      </c>
      <c r="J1270" s="390">
        <f>'UHD FGD'!$J$51</f>
        <v>0</v>
      </c>
      <c r="K1270" s="390">
        <f>'UHD FGD'!$K$51</f>
        <v>0</v>
      </c>
      <c r="L1270" s="390">
        <f>'UHD FGD'!$L$51</f>
        <v>0</v>
      </c>
      <c r="M1270" s="390">
        <f>'UHD FGD'!$M$51</f>
        <v>0</v>
      </c>
      <c r="N1270" s="401"/>
    </row>
    <row r="1271" spans="2:14" s="160" customFormat="1" ht="12.75" hidden="1" customHeight="1" outlineLevel="1">
      <c r="B1271" s="674" t="str">
        <f>'UHV FGD'!$B$2</f>
        <v>University of Houston - Victoria</v>
      </c>
      <c r="D1271" s="390">
        <f>'UHV FGD'!$D$51</f>
        <v>0</v>
      </c>
      <c r="E1271" s="390">
        <f>'UHV FGD'!$E$51</f>
        <v>0</v>
      </c>
      <c r="F1271" s="390">
        <f>'UHV FGD'!$F$51</f>
        <v>0</v>
      </c>
      <c r="G1271" s="390">
        <f>'UHV FGD'!$G$51</f>
        <v>0</v>
      </c>
      <c r="H1271" s="390">
        <f>'UHV FGD'!$H$51</f>
        <v>0</v>
      </c>
      <c r="I1271" s="390">
        <f>'UHV FGD'!$I$51</f>
        <v>0</v>
      </c>
      <c r="J1271" s="390">
        <f>'UHV FGD'!$J$51</f>
        <v>0</v>
      </c>
      <c r="K1271" s="390">
        <f>'UHV FGD'!$K$51</f>
        <v>0</v>
      </c>
      <c r="L1271" s="390">
        <f>'UHV FGD'!$L$51</f>
        <v>0</v>
      </c>
      <c r="M1271" s="390">
        <f>'UHV FGD'!$M$51</f>
        <v>0</v>
      </c>
      <c r="N1271" s="401"/>
    </row>
    <row r="1272" spans="2:14" s="160" customFormat="1" ht="12.75" hidden="1" customHeight="1" outlineLevel="1">
      <c r="B1272" s="674" t="str">
        <f>'UNT FGD'!$B$2</f>
        <v>University of North Texas</v>
      </c>
      <c r="D1272" s="390">
        <f>'UNT FGD'!$D$51</f>
        <v>0</v>
      </c>
      <c r="E1272" s="390">
        <f>'UNT FGD'!$E$51</f>
        <v>20000</v>
      </c>
      <c r="F1272" s="390">
        <f>'UNT FGD'!$F$51</f>
        <v>0</v>
      </c>
      <c r="G1272" s="390">
        <f>'UNT FGD'!$G$51</f>
        <v>567381</v>
      </c>
      <c r="H1272" s="390">
        <f>'UNT FGD'!$H$51</f>
        <v>0</v>
      </c>
      <c r="I1272" s="390">
        <f>'UNT FGD'!$I$51</f>
        <v>0</v>
      </c>
      <c r="J1272" s="390">
        <f>'UNT FGD'!$J$51</f>
        <v>0</v>
      </c>
      <c r="K1272" s="390">
        <f>'UNT FGD'!$K$51</f>
        <v>0</v>
      </c>
      <c r="L1272" s="390">
        <f>'UNT FGD'!$L$51</f>
        <v>0</v>
      </c>
      <c r="M1272" s="390">
        <f>'UNT FGD'!$M$51</f>
        <v>587381</v>
      </c>
      <c r="N1272" s="401"/>
    </row>
    <row r="1273" spans="2:14" s="160" customFormat="1" ht="12.75" hidden="1" customHeight="1" outlineLevel="1">
      <c r="B1273" s="674" t="str">
        <f>'UNTD FGD'!$B$2</f>
        <v>University of North Texas at Dallas</v>
      </c>
      <c r="D1273" s="390">
        <f>'UNTD FGD'!$D$51</f>
        <v>0</v>
      </c>
      <c r="E1273" s="390">
        <f>'UNTD FGD'!$E$51</f>
        <v>0</v>
      </c>
      <c r="F1273" s="390">
        <f>'UNTD FGD'!$F$51</f>
        <v>0</v>
      </c>
      <c r="G1273" s="390">
        <f>'UNTD FGD'!$G$51</f>
        <v>2368</v>
      </c>
      <c r="H1273" s="390">
        <f>'UNTD FGD'!$H$51</f>
        <v>0</v>
      </c>
      <c r="I1273" s="390">
        <f>'UNTD FGD'!$I$51</f>
        <v>0</v>
      </c>
      <c r="J1273" s="390">
        <f>'UNTD FGD'!$J$51</f>
        <v>0</v>
      </c>
      <c r="K1273" s="390">
        <f>'UNTD FGD'!$K$51</f>
        <v>0</v>
      </c>
      <c r="L1273" s="390">
        <f>'UNTD FGD'!$L$51</f>
        <v>0</v>
      </c>
      <c r="M1273" s="390">
        <f>'UNTD FGD'!$M$51</f>
        <v>2368</v>
      </c>
      <c r="N1273" s="401"/>
    </row>
    <row r="1274" spans="2:14" s="160" customFormat="1" ht="12.75" hidden="1" customHeight="1" outlineLevel="1">
      <c r="B1274" s="674" t="str">
        <f>'WTAMU FGD'!$B$2</f>
        <v>West Texas A&amp;M University</v>
      </c>
      <c r="D1274" s="390">
        <f>'WTAMU FGD'!$D$51</f>
        <v>0</v>
      </c>
      <c r="E1274" s="390">
        <f>'WTAMU FGD'!$E$51</f>
        <v>0</v>
      </c>
      <c r="F1274" s="390">
        <f>'WTAMU FGD'!$F$51</f>
        <v>0</v>
      </c>
      <c r="G1274" s="390">
        <f>'WTAMU FGD'!$G$51</f>
        <v>0</v>
      </c>
      <c r="H1274" s="390">
        <f>'WTAMU FGD'!$H$51</f>
        <v>0</v>
      </c>
      <c r="I1274" s="390">
        <f>'WTAMU FGD'!$I$51</f>
        <v>0</v>
      </c>
      <c r="J1274" s="390">
        <f>'WTAMU FGD'!$J$51</f>
        <v>0</v>
      </c>
      <c r="K1274" s="390">
        <f>'WTAMU FGD'!$K$51</f>
        <v>0</v>
      </c>
      <c r="L1274" s="390">
        <f>'WTAMU FGD'!$L$51</f>
        <v>0</v>
      </c>
      <c r="M1274" s="390">
        <f>'WTAMU FGD'!$M$51</f>
        <v>0</v>
      </c>
      <c r="N1274" s="401"/>
    </row>
    <row r="1275" spans="2:14" s="160" customFormat="1" collapsed="1">
      <c r="B1275" s="160" t="s">
        <v>9</v>
      </c>
      <c r="D1275" s="390">
        <f t="shared" ref="D1275:M1275" si="33">SUM(D1239:D1274)</f>
        <v>0</v>
      </c>
      <c r="E1275" s="390">
        <f t="shared" si="33"/>
        <v>12771075</v>
      </c>
      <c r="F1275" s="390">
        <f t="shared" si="33"/>
        <v>0</v>
      </c>
      <c r="G1275" s="390">
        <f t="shared" si="33"/>
        <v>21547810</v>
      </c>
      <c r="H1275" s="390">
        <f t="shared" si="33"/>
        <v>0</v>
      </c>
      <c r="I1275" s="390">
        <f t="shared" si="33"/>
        <v>0</v>
      </c>
      <c r="J1275" s="390">
        <f t="shared" si="33"/>
        <v>0</v>
      </c>
      <c r="K1275" s="390">
        <f t="shared" si="33"/>
        <v>0</v>
      </c>
      <c r="L1275" s="390">
        <f t="shared" si="33"/>
        <v>0</v>
      </c>
      <c r="M1275" s="390">
        <f t="shared" si="33"/>
        <v>34318885</v>
      </c>
      <c r="N1275" s="401"/>
    </row>
    <row r="1276" spans="2:14" s="160" customFormat="1" ht="12.75" hidden="1" customHeight="1" outlineLevel="1">
      <c r="B1276" s="674" t="str">
        <f>'ARL FGD'!$B$2</f>
        <v>The University of Texas at Arlington</v>
      </c>
      <c r="D1276" s="390">
        <f>'ARL FGD'!$D$52</f>
        <v>0</v>
      </c>
      <c r="E1276" s="390">
        <f>'ARL FGD'!$E$52</f>
        <v>4386488</v>
      </c>
      <c r="F1276" s="390">
        <f>'ARL FGD'!$F$52</f>
        <v>0</v>
      </c>
      <c r="G1276" s="390">
        <f>'ARL FGD'!$G$52</f>
        <v>13094214</v>
      </c>
      <c r="H1276" s="390">
        <f>'ARL FGD'!$H$52</f>
        <v>0</v>
      </c>
      <c r="I1276" s="390">
        <f>'ARL FGD'!$I$52</f>
        <v>0</v>
      </c>
      <c r="J1276" s="390">
        <f>'ARL FGD'!$J$52</f>
        <v>627883</v>
      </c>
      <c r="K1276" s="390">
        <f>'ARL FGD'!$K$52</f>
        <v>0</v>
      </c>
      <c r="L1276" s="390">
        <f>'ARL FGD'!$L$52</f>
        <v>0</v>
      </c>
      <c r="M1276" s="390">
        <f>'ARL FGD'!$M$52</f>
        <v>18108585</v>
      </c>
      <c r="N1276" s="401"/>
    </row>
    <row r="1277" spans="2:14" s="160" customFormat="1" ht="12.75" hidden="1" customHeight="1" outlineLevel="1">
      <c r="B1277" s="674" t="str">
        <f>'ASU FGD'!$B$2</f>
        <v>Angelo State University</v>
      </c>
      <c r="D1277" s="390">
        <f>'ASU FGD'!$D$52</f>
        <v>0</v>
      </c>
      <c r="E1277" s="390">
        <f>'ASU FGD'!$E$52</f>
        <v>21564.999999999996</v>
      </c>
      <c r="F1277" s="390">
        <f>'ASU FGD'!$F$52</f>
        <v>0</v>
      </c>
      <c r="G1277" s="390">
        <f>'ASU FGD'!$G$52</f>
        <v>5033965</v>
      </c>
      <c r="H1277" s="390">
        <f>'ASU FGD'!$H$52</f>
        <v>0</v>
      </c>
      <c r="I1277" s="390">
        <f>'ASU FGD'!$I$52</f>
        <v>7156702</v>
      </c>
      <c r="J1277" s="390">
        <f>'ASU FGD'!$J$52</f>
        <v>0</v>
      </c>
      <c r="K1277" s="390">
        <f>'ASU FGD'!$K$52</f>
        <v>0</v>
      </c>
      <c r="L1277" s="390">
        <f>'ASU FGD'!$L$52</f>
        <v>0</v>
      </c>
      <c r="M1277" s="390">
        <f>'ASU FGD'!$M$52</f>
        <v>12212232</v>
      </c>
      <c r="N1277" s="401"/>
    </row>
    <row r="1278" spans="2:14" s="160" customFormat="1" ht="12.75" hidden="1" customHeight="1" outlineLevel="1">
      <c r="B1278" s="674" t="str">
        <f>'AUS1 FGD'!$B$2</f>
        <v>The University of Texas at Austin - Academic &amp; Health (A+H)</v>
      </c>
      <c r="D1278" s="390">
        <f>'AUS1 FGD'!$D$52</f>
        <v>0</v>
      </c>
      <c r="E1278" s="390">
        <f>'AUS1 FGD'!$E$52</f>
        <v>13348449</v>
      </c>
      <c r="F1278" s="390">
        <f>'AUS1 FGD'!$F$52</f>
        <v>0</v>
      </c>
      <c r="G1278" s="390">
        <f>'AUS1 FGD'!$G$52</f>
        <v>318428797</v>
      </c>
      <c r="H1278" s="390">
        <f>'AUS1 FGD'!$H$52</f>
        <v>0</v>
      </c>
      <c r="I1278" s="390">
        <f>'AUS1 FGD'!$I$52</f>
        <v>0</v>
      </c>
      <c r="J1278" s="390">
        <f>'AUS1 FGD'!$J$52</f>
        <v>0</v>
      </c>
      <c r="K1278" s="390">
        <f>'AUS1 FGD'!$K$52</f>
        <v>0</v>
      </c>
      <c r="L1278" s="390">
        <f>'AUS1 FGD'!$L$52</f>
        <v>0</v>
      </c>
      <c r="M1278" s="390">
        <f>'AUS1 FGD'!$M$52</f>
        <v>331777246</v>
      </c>
      <c r="N1278" s="401"/>
    </row>
    <row r="1279" spans="2:14" s="160" customFormat="1" ht="12.75" hidden="1" customHeight="1" outlineLevel="1">
      <c r="B1279" s="674" t="str">
        <f>'RGV1 FGD'!$B$2</f>
        <v>The University of Texas RGV - Academic &amp; Health (A+H)</v>
      </c>
      <c r="D1279" s="390">
        <f>'RGV1 FGD'!$D$52</f>
        <v>0</v>
      </c>
      <c r="E1279" s="390">
        <f>'RGV1 FGD'!$E$52</f>
        <v>42365710</v>
      </c>
      <c r="F1279" s="390">
        <f>'RGV1 FGD'!$F$52</f>
        <v>100000</v>
      </c>
      <c r="G1279" s="390">
        <f>'RGV1 FGD'!$G$52</f>
        <v>5971786</v>
      </c>
      <c r="H1279" s="390">
        <f>'RGV1 FGD'!$H$52</f>
        <v>0</v>
      </c>
      <c r="I1279" s="390">
        <f>'RGV1 FGD'!$I$52</f>
        <v>0</v>
      </c>
      <c r="J1279" s="390">
        <f>'RGV1 FGD'!$J$52</f>
        <v>0</v>
      </c>
      <c r="K1279" s="390">
        <f>'RGV1 FGD'!$K$52</f>
        <v>0</v>
      </c>
      <c r="L1279" s="390">
        <f>'RGV1 FGD'!$L$52</f>
        <v>0</v>
      </c>
      <c r="M1279" s="390">
        <f>'RGV1 FGD'!$M$52</f>
        <v>48437496</v>
      </c>
      <c r="N1279" s="401"/>
    </row>
    <row r="1280" spans="2:14" s="160" customFormat="1" ht="12.75" hidden="1" customHeight="1" outlineLevel="1">
      <c r="B1280" s="674" t="str">
        <f>'DAL FGD'!$B$2</f>
        <v>The University of Texas at Dallas</v>
      </c>
      <c r="D1280" s="390">
        <f>'DAL FGD'!$D$52</f>
        <v>0</v>
      </c>
      <c r="E1280" s="390">
        <f>'DAL FGD'!$E$52</f>
        <v>1892789</v>
      </c>
      <c r="F1280" s="390">
        <f>'DAL FGD'!$F$52</f>
        <v>0</v>
      </c>
      <c r="G1280" s="390">
        <f>'DAL FGD'!$G$52</f>
        <v>21898666</v>
      </c>
      <c r="H1280" s="390">
        <f>'DAL FGD'!$H$52</f>
        <v>0</v>
      </c>
      <c r="I1280" s="390">
        <f>'DAL FGD'!$I$52</f>
        <v>0</v>
      </c>
      <c r="J1280" s="390">
        <f>'DAL FGD'!$J$52</f>
        <v>1122989</v>
      </c>
      <c r="K1280" s="390">
        <f>'DAL FGD'!$K$52</f>
        <v>0</v>
      </c>
      <c r="L1280" s="390">
        <f>'DAL FGD'!$L$52</f>
        <v>0</v>
      </c>
      <c r="M1280" s="390">
        <f>'DAL FGD'!$M$52</f>
        <v>24914444</v>
      </c>
      <c r="N1280" s="401"/>
    </row>
    <row r="1281" spans="2:14" s="160" customFormat="1" ht="12.75" hidden="1" customHeight="1" outlineLevel="1">
      <c r="B1281" s="674" t="str">
        <f>'E-P FGD'!$B$2</f>
        <v>The University of Texas at El Paso</v>
      </c>
      <c r="D1281" s="390">
        <f>'E-P FGD'!$D$52</f>
        <v>0</v>
      </c>
      <c r="E1281" s="390">
        <f>'E-P FGD'!$E$52</f>
        <v>205156</v>
      </c>
      <c r="F1281" s="390">
        <f>'E-P FGD'!$F$52</f>
        <v>0</v>
      </c>
      <c r="G1281" s="390">
        <f>'E-P FGD'!$G$52</f>
        <v>13567797</v>
      </c>
      <c r="H1281" s="390">
        <f>'E-P FGD'!$H$52</f>
        <v>0</v>
      </c>
      <c r="I1281" s="390">
        <f>'E-P FGD'!$I$52</f>
        <v>0</v>
      </c>
      <c r="J1281" s="390">
        <f>'E-P FGD'!$J$52</f>
        <v>0</v>
      </c>
      <c r="K1281" s="390">
        <f>'E-P FGD'!$K$52</f>
        <v>0</v>
      </c>
      <c r="L1281" s="390">
        <f>'E-P FGD'!$L$52</f>
        <v>0</v>
      </c>
      <c r="M1281" s="390">
        <f>'E-P FGD'!$M$52</f>
        <v>13772953</v>
      </c>
      <c r="N1281" s="401"/>
    </row>
    <row r="1282" spans="2:14" s="160" customFormat="1" ht="12.75" hidden="1" customHeight="1" outlineLevel="1">
      <c r="B1282" s="674" t="str">
        <f>'LU FGD'!$B$2</f>
        <v xml:space="preserve">Lamar University </v>
      </c>
      <c r="D1282" s="390">
        <f>'LU FGD'!$D$52</f>
        <v>0</v>
      </c>
      <c r="E1282" s="390">
        <f>'LU FGD'!$E$52</f>
        <v>5985</v>
      </c>
      <c r="F1282" s="390">
        <f>'LU FGD'!$F$52</f>
        <v>149224</v>
      </c>
      <c r="G1282" s="390">
        <f>'LU FGD'!$G$52</f>
        <v>6090787</v>
      </c>
      <c r="H1282" s="390">
        <f>'LU FGD'!$H$52</f>
        <v>0</v>
      </c>
      <c r="I1282" s="390">
        <f>'LU FGD'!$I$52</f>
        <v>390456</v>
      </c>
      <c r="J1282" s="390">
        <f>'LU FGD'!$J$52</f>
        <v>6400</v>
      </c>
      <c r="K1282" s="390">
        <f>'LU FGD'!$K$52</f>
        <v>0</v>
      </c>
      <c r="L1282" s="390">
        <f>'LU FGD'!$L$52</f>
        <v>0</v>
      </c>
      <c r="M1282" s="390">
        <f>'LU FGD'!$M$52</f>
        <v>6642852</v>
      </c>
      <c r="N1282" s="401"/>
    </row>
    <row r="1283" spans="2:14" s="160" customFormat="1" ht="12.75" hidden="1" customHeight="1" outlineLevel="1">
      <c r="B1283" s="674" t="str">
        <f>'MidWST FGD'!$B$2</f>
        <v>Midwestern State University</v>
      </c>
      <c r="D1283" s="390">
        <f>'MidWST FGD'!$D$52</f>
        <v>0</v>
      </c>
      <c r="E1283" s="390">
        <f>'MidWST FGD'!$E$52</f>
        <v>267655</v>
      </c>
      <c r="F1283" s="390">
        <f>'MidWST FGD'!$F$52</f>
        <v>1865</v>
      </c>
      <c r="G1283" s="390">
        <f>'MidWST FGD'!$G$52</f>
        <v>6446240</v>
      </c>
      <c r="H1283" s="390">
        <f>'MidWST FGD'!$H$52</f>
        <v>0</v>
      </c>
      <c r="I1283" s="390">
        <f>'MidWST FGD'!$I$52</f>
        <v>0</v>
      </c>
      <c r="J1283" s="390">
        <f>'MidWST FGD'!$J$52</f>
        <v>250000</v>
      </c>
      <c r="K1283" s="390">
        <f>'MidWST FGD'!$K$52</f>
        <v>0</v>
      </c>
      <c r="L1283" s="390">
        <f>'MidWST FGD'!$L$52</f>
        <v>0</v>
      </c>
      <c r="M1283" s="390">
        <f>'MidWST FGD'!$M$52</f>
        <v>6965760</v>
      </c>
      <c r="N1283" s="401"/>
    </row>
    <row r="1284" spans="2:14" s="160" customFormat="1" ht="12.75" hidden="1" customHeight="1" outlineLevel="1">
      <c r="B1284" s="674" t="str">
        <f>'P-B FGD'!$B$2</f>
        <v>The University of Texas of the Permian Basin</v>
      </c>
      <c r="D1284" s="390">
        <f>'P-B FGD'!$D$52</f>
        <v>0</v>
      </c>
      <c r="E1284" s="390">
        <f>'P-B FGD'!$E$52</f>
        <v>28639</v>
      </c>
      <c r="F1284" s="390">
        <f>'P-B FGD'!$F$52</f>
        <v>0</v>
      </c>
      <c r="G1284" s="390">
        <f>'P-B FGD'!$G$52</f>
        <v>3247569</v>
      </c>
      <c r="H1284" s="390">
        <f>'P-B FGD'!$H$52</f>
        <v>0</v>
      </c>
      <c r="I1284" s="390">
        <f>'P-B FGD'!$I$52</f>
        <v>0</v>
      </c>
      <c r="J1284" s="390">
        <f>'P-B FGD'!$J$52</f>
        <v>0</v>
      </c>
      <c r="K1284" s="390">
        <f>'P-B FGD'!$K$52</f>
        <v>0</v>
      </c>
      <c r="L1284" s="390">
        <f>'P-B FGD'!$L$52</f>
        <v>0</v>
      </c>
      <c r="M1284" s="390">
        <f>'P-B FGD'!$M$52</f>
        <v>3276208</v>
      </c>
      <c r="N1284" s="401"/>
    </row>
    <row r="1285" spans="2:14" s="160" customFormat="1" ht="12.75" hidden="1" customHeight="1" outlineLevel="1">
      <c r="B1285" s="674" t="str">
        <f>'PVAMU FGD'!$B$2</f>
        <v>Prairie View A&amp;M University</v>
      </c>
      <c r="D1285" s="390">
        <f>'PVAMU FGD'!$D$52</f>
        <v>0</v>
      </c>
      <c r="E1285" s="390">
        <f>'PVAMU FGD'!$E$52</f>
        <v>225955</v>
      </c>
      <c r="F1285" s="390">
        <f>'PVAMU FGD'!$F$52</f>
        <v>11680</v>
      </c>
      <c r="G1285" s="390">
        <f>'PVAMU FGD'!$G$52</f>
        <v>34405606</v>
      </c>
      <c r="H1285" s="390">
        <f>'PVAMU FGD'!$H$52</f>
        <v>0</v>
      </c>
      <c r="I1285" s="390">
        <f>'PVAMU FGD'!$I$52</f>
        <v>0</v>
      </c>
      <c r="J1285" s="390">
        <f>'PVAMU FGD'!$J$52</f>
        <v>0</v>
      </c>
      <c r="K1285" s="390">
        <f>'PVAMU FGD'!$K$52</f>
        <v>0</v>
      </c>
      <c r="L1285" s="390">
        <f>'PVAMU FGD'!$L$52</f>
        <v>0</v>
      </c>
      <c r="M1285" s="390">
        <f>'PVAMU FGD'!$M$52</f>
        <v>34643241</v>
      </c>
      <c r="N1285" s="401"/>
    </row>
    <row r="1286" spans="2:14" s="160" customFormat="1" ht="12.75" hidden="1" customHeight="1" outlineLevel="1">
      <c r="B1286" s="674" t="str">
        <f>'S-A FGD'!$B$2</f>
        <v>The University of Texas at San Antonio</v>
      </c>
      <c r="D1286" s="390">
        <f>'S-A FGD'!$D$52</f>
        <v>0</v>
      </c>
      <c r="E1286" s="390">
        <f>'S-A FGD'!$E$52</f>
        <v>534772</v>
      </c>
      <c r="F1286" s="390">
        <f>'S-A FGD'!$F$52</f>
        <v>0</v>
      </c>
      <c r="G1286" s="390">
        <f>'S-A FGD'!$G$52</f>
        <v>100194639</v>
      </c>
      <c r="H1286" s="390">
        <f>'S-A FGD'!$H$52</f>
        <v>0</v>
      </c>
      <c r="I1286" s="390">
        <f>'S-A FGD'!$I$52</f>
        <v>0</v>
      </c>
      <c r="J1286" s="390">
        <f>'S-A FGD'!$J$52</f>
        <v>0</v>
      </c>
      <c r="K1286" s="390">
        <f>'S-A FGD'!$K$52</f>
        <v>0</v>
      </c>
      <c r="L1286" s="390">
        <f>'S-A FGD'!$L$52</f>
        <v>0</v>
      </c>
      <c r="M1286" s="390">
        <f>'S-A FGD'!$M$52</f>
        <v>100729411</v>
      </c>
      <c r="N1286" s="401"/>
    </row>
    <row r="1287" spans="2:14" s="160" customFormat="1" ht="12.75" hidden="1" customHeight="1" outlineLevel="1">
      <c r="B1287" s="674" t="str">
        <f>'SFA FGD'!$B$2</f>
        <v>Stephen F. Austin State University</v>
      </c>
      <c r="D1287" s="390">
        <f>'SFA FGD'!$D$52</f>
        <v>0</v>
      </c>
      <c r="E1287" s="390">
        <f>'SFA FGD'!$E$52</f>
        <v>12189</v>
      </c>
      <c r="F1287" s="390">
        <f>'SFA FGD'!$F$52</f>
        <v>1000000</v>
      </c>
      <c r="G1287" s="390">
        <f>'SFA FGD'!$G$52</f>
        <v>7254236</v>
      </c>
      <c r="H1287" s="390">
        <f>'SFA FGD'!$H$52</f>
        <v>0</v>
      </c>
      <c r="I1287" s="390">
        <f>'SFA FGD'!$I$52</f>
        <v>0</v>
      </c>
      <c r="J1287" s="390">
        <f>'SFA FGD'!$J$52</f>
        <v>3971300</v>
      </c>
      <c r="K1287" s="390">
        <f>'SFA FGD'!$K$52</f>
        <v>0</v>
      </c>
      <c r="L1287" s="390">
        <f>'SFA FGD'!$L$52</f>
        <v>0</v>
      </c>
      <c r="M1287" s="390">
        <f>'SFA FGD'!$M$52</f>
        <v>12237725</v>
      </c>
      <c r="N1287" s="401"/>
    </row>
    <row r="1288" spans="2:14" s="160" customFormat="1" ht="12.75" hidden="1" customHeight="1" outlineLevel="1">
      <c r="B1288" s="674" t="str">
        <f>'shsu1 FGD'!$B$2</f>
        <v>Sam Houston State University - Academic &amp; Health (A+H)</v>
      </c>
      <c r="D1288" s="390">
        <f>'shsu1 FGD'!$D$52</f>
        <v>0</v>
      </c>
      <c r="E1288" s="390">
        <f>'shsu1 FGD'!$E$52</f>
        <v>85228</v>
      </c>
      <c r="F1288" s="390">
        <f>'shsu1 FGD'!$F$52</f>
        <v>5382</v>
      </c>
      <c r="G1288" s="390">
        <f>'shsu1 FGD'!$G$52</f>
        <v>3659724</v>
      </c>
      <c r="H1288" s="390">
        <f>'shsu1 FGD'!$H$52</f>
        <v>0</v>
      </c>
      <c r="I1288" s="390">
        <f>'shsu1 FGD'!$I$52</f>
        <v>0</v>
      </c>
      <c r="J1288" s="390">
        <f>'shsu1 FGD'!$J$52</f>
        <v>0</v>
      </c>
      <c r="K1288" s="390">
        <f>'shsu1 FGD'!$K$52</f>
        <v>0</v>
      </c>
      <c r="L1288" s="390">
        <f>'shsu1 FGD'!$L$52</f>
        <v>0</v>
      </c>
      <c r="M1288" s="390">
        <f>'shsu1 FGD'!$M$52</f>
        <v>3750334</v>
      </c>
      <c r="N1288" s="401"/>
    </row>
    <row r="1289" spans="2:14" s="160" customFormat="1" ht="12.75" hidden="1" customHeight="1" outlineLevel="1">
      <c r="B1289" s="674" t="str">
        <f>'SRSU FGD'!$B$2</f>
        <v>Sul Ross State University</v>
      </c>
      <c r="D1289" s="390">
        <f>'SRSU FGD'!$D$52</f>
        <v>0</v>
      </c>
      <c r="E1289" s="390">
        <f>'SRSU FGD'!$E$52</f>
        <v>2050</v>
      </c>
      <c r="F1289" s="390">
        <f>'SRSU FGD'!$F$52</f>
        <v>0</v>
      </c>
      <c r="G1289" s="390">
        <f>'SRSU FGD'!$G$52</f>
        <v>6388929</v>
      </c>
      <c r="H1289" s="390">
        <f>'SRSU FGD'!$H$52</f>
        <v>0</v>
      </c>
      <c r="I1289" s="390">
        <f>'SRSU FGD'!$I$52</f>
        <v>9247</v>
      </c>
      <c r="J1289" s="390">
        <f>'SRSU FGD'!$J$52</f>
        <v>574962</v>
      </c>
      <c r="K1289" s="390">
        <f>'SRSU FGD'!$K$52</f>
        <v>0</v>
      </c>
      <c r="L1289" s="390">
        <f>'SRSU FGD'!$L$52</f>
        <v>0</v>
      </c>
      <c r="M1289" s="390">
        <f>'SRSU FGD'!$M$52</f>
        <v>6975188</v>
      </c>
      <c r="N1289" s="401"/>
    </row>
    <row r="1290" spans="2:14" s="160" customFormat="1" ht="12.75" hidden="1" customHeight="1" outlineLevel="1">
      <c r="B1290" s="674" t="str">
        <f>'TAMIU FGD'!$B$2</f>
        <v>Texas A&amp;M International University</v>
      </c>
      <c r="D1290" s="390">
        <f>'TAMIU FGD'!$D$52</f>
        <v>0</v>
      </c>
      <c r="E1290" s="390">
        <f>'TAMIU FGD'!$E$52</f>
        <v>268233</v>
      </c>
      <c r="F1290" s="390">
        <f>'TAMIU FGD'!$F$52</f>
        <v>95000</v>
      </c>
      <c r="G1290" s="390">
        <f>'TAMIU FGD'!$G$52</f>
        <v>3885447</v>
      </c>
      <c r="H1290" s="390">
        <f>'TAMIU FGD'!$H$52</f>
        <v>0</v>
      </c>
      <c r="I1290" s="390">
        <f>'TAMIU FGD'!$I$52</f>
        <v>0</v>
      </c>
      <c r="J1290" s="390">
        <f>'TAMIU FGD'!$J$52</f>
        <v>0</v>
      </c>
      <c r="K1290" s="390">
        <f>'TAMIU FGD'!$K$52</f>
        <v>0</v>
      </c>
      <c r="L1290" s="390">
        <f>'TAMIU FGD'!$L$52</f>
        <v>0</v>
      </c>
      <c r="M1290" s="390">
        <f>'TAMIU FGD'!$M$52</f>
        <v>4248680</v>
      </c>
      <c r="N1290" s="401"/>
    </row>
    <row r="1291" spans="2:14" s="160" customFormat="1" ht="12.75" hidden="1" customHeight="1" outlineLevel="1">
      <c r="B1291" s="674" t="str">
        <f>'TAMU FGD'!$B$2</f>
        <v>Texas A&amp;M University</v>
      </c>
      <c r="D1291" s="390">
        <f>'TAMU FGD'!$D$52</f>
        <v>0</v>
      </c>
      <c r="E1291" s="390">
        <f>'TAMU FGD'!$E$52</f>
        <v>7060211</v>
      </c>
      <c r="F1291" s="390">
        <f>'TAMU FGD'!$F$52</f>
        <v>22286200</v>
      </c>
      <c r="G1291" s="390">
        <f>'TAMU FGD'!$G$52</f>
        <v>184282975</v>
      </c>
      <c r="H1291" s="390">
        <f>'TAMU FGD'!$H$52</f>
        <v>566273</v>
      </c>
      <c r="I1291" s="390">
        <f>'TAMU FGD'!$I$52</f>
        <v>0</v>
      </c>
      <c r="J1291" s="390">
        <f>'TAMU FGD'!$J$52</f>
        <v>0</v>
      </c>
      <c r="K1291" s="390">
        <f>'TAMU FGD'!$K$52</f>
        <v>0</v>
      </c>
      <c r="L1291" s="390">
        <f>'TAMU FGD'!$L$52</f>
        <v>0</v>
      </c>
      <c r="M1291" s="390">
        <f>'TAMU FGD'!$M$52</f>
        <v>214195659</v>
      </c>
      <c r="N1291" s="401"/>
    </row>
    <row r="1292" spans="2:14" s="160" customFormat="1" ht="12.75" hidden="1" customHeight="1" outlineLevel="1">
      <c r="B1292" s="674" t="str">
        <f>'TAMUC FGD'!$B$2</f>
        <v>Texas A&amp;M University - Commerce</v>
      </c>
      <c r="D1292" s="390">
        <f>'TAMUC FGD'!$D$52</f>
        <v>0</v>
      </c>
      <c r="E1292" s="390">
        <f>'TAMUC FGD'!$E$52</f>
        <v>83926</v>
      </c>
      <c r="F1292" s="390">
        <f>'TAMUC FGD'!$F$52</f>
        <v>0</v>
      </c>
      <c r="G1292" s="390">
        <f>'TAMUC FGD'!$G$52</f>
        <v>9729653</v>
      </c>
      <c r="H1292" s="390">
        <f>'TAMUC FGD'!$H$52</f>
        <v>0</v>
      </c>
      <c r="I1292" s="390">
        <f>'TAMUC FGD'!$I$52</f>
        <v>0</v>
      </c>
      <c r="J1292" s="390">
        <f>'TAMUC FGD'!$J$52</f>
        <v>5000</v>
      </c>
      <c r="K1292" s="390">
        <f>'TAMUC FGD'!$K$52</f>
        <v>0</v>
      </c>
      <c r="L1292" s="390">
        <f>'TAMUC FGD'!$L$52</f>
        <v>0</v>
      </c>
      <c r="M1292" s="390">
        <f>'TAMUC FGD'!$M$52</f>
        <v>9818579</v>
      </c>
      <c r="N1292" s="401"/>
    </row>
    <row r="1293" spans="2:14" s="160" customFormat="1" ht="12.75" hidden="1" customHeight="1" outlineLevel="1">
      <c r="B1293" s="674" t="str">
        <f>'TAMUCC FGD'!$B$2</f>
        <v>Texas A&amp;M University - Corpus Christi</v>
      </c>
      <c r="D1293" s="390">
        <f>'TAMUCC FGD'!$D$52</f>
        <v>0</v>
      </c>
      <c r="E1293" s="390">
        <f>'TAMUCC FGD'!$E$52</f>
        <v>1930509</v>
      </c>
      <c r="F1293" s="390">
        <f>'TAMUCC FGD'!$F$52</f>
        <v>1062127</v>
      </c>
      <c r="G1293" s="390">
        <f>'TAMUCC FGD'!$G$52</f>
        <v>13024484</v>
      </c>
      <c r="H1293" s="390">
        <f>'TAMUCC FGD'!$H$52</f>
        <v>0</v>
      </c>
      <c r="I1293" s="390">
        <f>'TAMUCC FGD'!$I$52</f>
        <v>0</v>
      </c>
      <c r="J1293" s="390">
        <f>'TAMUCC FGD'!$J$52</f>
        <v>221</v>
      </c>
      <c r="K1293" s="390">
        <f>'TAMUCC FGD'!$K$52</f>
        <v>0</v>
      </c>
      <c r="L1293" s="390">
        <f>'TAMUCC FGD'!$L$52</f>
        <v>0</v>
      </c>
      <c r="M1293" s="390">
        <f>'TAMUCC FGD'!$M$52</f>
        <v>16017341</v>
      </c>
      <c r="N1293" s="401"/>
    </row>
    <row r="1294" spans="2:14" s="160" customFormat="1" ht="12.75" hidden="1" customHeight="1" outlineLevel="1">
      <c r="B1294" s="674" t="str">
        <f>'TAMUCT FGD'!$B$2</f>
        <v>Texas A&amp;M University - Central Texas</v>
      </c>
      <c r="D1294" s="390">
        <f>'TAMUCT FGD'!$D$52</f>
        <v>0</v>
      </c>
      <c r="E1294" s="390">
        <f>'TAMUCT FGD'!$E$52</f>
        <v>470652</v>
      </c>
      <c r="F1294" s="390">
        <f>'TAMUCT FGD'!$F$52</f>
        <v>0</v>
      </c>
      <c r="G1294" s="390">
        <f>'TAMUCT FGD'!$G$52</f>
        <v>159863</v>
      </c>
      <c r="H1294" s="390">
        <f>'TAMUCT FGD'!$H$52</f>
        <v>0</v>
      </c>
      <c r="I1294" s="390">
        <f>'TAMUCT FGD'!$I$52</f>
        <v>0</v>
      </c>
      <c r="J1294" s="390">
        <f>'TAMUCT FGD'!$J$52</f>
        <v>0</v>
      </c>
      <c r="K1294" s="390">
        <f>'TAMUCT FGD'!$K$52</f>
        <v>0</v>
      </c>
      <c r="L1294" s="390">
        <f>'TAMUCT FGD'!$L$52</f>
        <v>0</v>
      </c>
      <c r="M1294" s="390">
        <f>'TAMUCT FGD'!$M$52</f>
        <v>630515</v>
      </c>
      <c r="N1294" s="401"/>
    </row>
    <row r="1295" spans="2:14" s="160" customFormat="1" ht="12.75" hidden="1" customHeight="1" outlineLevel="1">
      <c r="B1295" s="674" t="str">
        <f>'TAMUG FGD'!$B$2</f>
        <v>Texas A&amp;M University at Galveston</v>
      </c>
      <c r="D1295" s="390">
        <f>'TAMUG FGD'!$D$52</f>
        <v>0</v>
      </c>
      <c r="E1295" s="390">
        <f>'TAMUG FGD'!$E$52</f>
        <v>578824</v>
      </c>
      <c r="F1295" s="390">
        <f>'TAMUG FGD'!$F$52</f>
        <v>0</v>
      </c>
      <c r="G1295" s="390">
        <f>'TAMUG FGD'!$G$52</f>
        <v>2770573</v>
      </c>
      <c r="H1295" s="390">
        <f>'TAMUG FGD'!$H$52</f>
        <v>0</v>
      </c>
      <c r="I1295" s="390">
        <f>'TAMUG FGD'!$I$52</f>
        <v>0</v>
      </c>
      <c r="J1295" s="390">
        <f>'TAMUG FGD'!$J$52</f>
        <v>0</v>
      </c>
      <c r="K1295" s="390">
        <f>'TAMUG FGD'!$K$52</f>
        <v>0</v>
      </c>
      <c r="L1295" s="390">
        <f>'TAMUG FGD'!$L$52</f>
        <v>0</v>
      </c>
      <c r="M1295" s="390">
        <f>'TAMUG FGD'!$M$52</f>
        <v>3349397</v>
      </c>
      <c r="N1295" s="401"/>
    </row>
    <row r="1296" spans="2:14" s="160" customFormat="1" ht="12.75" hidden="1" customHeight="1" outlineLevel="1">
      <c r="B1296" s="674" t="str">
        <f>'TAMUK FGD'!$B$2</f>
        <v>Texas A&amp;M University - Kingsville</v>
      </c>
      <c r="D1296" s="390">
        <f>'TAMUK FGD'!$D$52</f>
        <v>0</v>
      </c>
      <c r="E1296" s="390">
        <f>'TAMUK FGD'!$E$52</f>
        <v>242115</v>
      </c>
      <c r="F1296" s="390">
        <f>'TAMUK FGD'!$F$52</f>
        <v>35689</v>
      </c>
      <c r="G1296" s="390">
        <f>'TAMUK FGD'!$G$52</f>
        <v>9876681</v>
      </c>
      <c r="H1296" s="390">
        <f>'TAMUK FGD'!$H$52</f>
        <v>0</v>
      </c>
      <c r="I1296" s="390">
        <f>'TAMUK FGD'!$I$52</f>
        <v>0</v>
      </c>
      <c r="J1296" s="390">
        <f>'TAMUK FGD'!$J$52</f>
        <v>0</v>
      </c>
      <c r="K1296" s="390">
        <f>'TAMUK FGD'!$K$52</f>
        <v>0</v>
      </c>
      <c r="L1296" s="390">
        <f>'TAMUK FGD'!$L$52</f>
        <v>0</v>
      </c>
      <c r="M1296" s="390">
        <f>'TAMUK FGD'!$M$52</f>
        <v>10154485</v>
      </c>
      <c r="N1296" s="401"/>
    </row>
    <row r="1297" spans="2:14" s="160" customFormat="1" ht="12.75" hidden="1" customHeight="1" outlineLevel="1">
      <c r="B1297" s="674" t="str">
        <f>'TAMUSA FGD'!$B$2</f>
        <v>Texas A&amp;M University - San Antonio</v>
      </c>
      <c r="D1297" s="390">
        <f>'TAMUSA FGD'!$D$52</f>
        <v>0</v>
      </c>
      <c r="E1297" s="390">
        <f>'TAMUSA FGD'!$E$52</f>
        <v>319692</v>
      </c>
      <c r="F1297" s="390">
        <f>'TAMUSA FGD'!$F$52</f>
        <v>0</v>
      </c>
      <c r="G1297" s="390">
        <f>'TAMUSA FGD'!$G$52</f>
        <v>4092762</v>
      </c>
      <c r="H1297" s="390">
        <f>'TAMUSA FGD'!$H$52</f>
        <v>0</v>
      </c>
      <c r="I1297" s="390">
        <f>'TAMUSA FGD'!$I$52</f>
        <v>0</v>
      </c>
      <c r="J1297" s="390">
        <f>'TAMUSA FGD'!$J$52</f>
        <v>0</v>
      </c>
      <c r="K1297" s="390">
        <f>'TAMUSA FGD'!$K$52</f>
        <v>0</v>
      </c>
      <c r="L1297" s="390">
        <f>'TAMUSA FGD'!$L$52</f>
        <v>0</v>
      </c>
      <c r="M1297" s="390">
        <f>'TAMUSA FGD'!$M$52</f>
        <v>4412454</v>
      </c>
      <c r="N1297" s="401"/>
    </row>
    <row r="1298" spans="2:14" s="160" customFormat="1" ht="12.75" hidden="1" customHeight="1" outlineLevel="1">
      <c r="B1298" s="674" t="str">
        <f>'TAMUT FGD'!$B$2</f>
        <v>Texas A&amp;M University - Texarkana</v>
      </c>
      <c r="D1298" s="390">
        <f>'TAMUT FGD'!$D$52</f>
        <v>0</v>
      </c>
      <c r="E1298" s="390">
        <f>'TAMUT FGD'!$E$52</f>
        <v>50</v>
      </c>
      <c r="F1298" s="390">
        <f>'TAMUT FGD'!$F$52</f>
        <v>372</v>
      </c>
      <c r="G1298" s="390">
        <f>'TAMUT FGD'!$G$52</f>
        <v>180717</v>
      </c>
      <c r="H1298" s="390">
        <f>'TAMUT FGD'!$H$52</f>
        <v>0</v>
      </c>
      <c r="I1298" s="390">
        <f>'TAMUT FGD'!$I$52</f>
        <v>0</v>
      </c>
      <c r="J1298" s="390">
        <f>'TAMUT FGD'!$J$52</f>
        <v>0</v>
      </c>
      <c r="K1298" s="390">
        <f>'TAMUT FGD'!$K$52</f>
        <v>0</v>
      </c>
      <c r="L1298" s="390">
        <f>'TAMUT FGD'!$L$52</f>
        <v>0</v>
      </c>
      <c r="M1298" s="390">
        <f>'TAMUT FGD'!$M$52</f>
        <v>181139</v>
      </c>
      <c r="N1298" s="401"/>
    </row>
    <row r="1299" spans="2:14" s="160" customFormat="1" ht="12.75" hidden="1" customHeight="1" outlineLevel="1">
      <c r="B1299" s="674" t="str">
        <f>'TARLST FGD'!$B$2</f>
        <v>Tarleton State University</v>
      </c>
      <c r="D1299" s="390">
        <f>'TARLST FGD'!$D$52</f>
        <v>0</v>
      </c>
      <c r="E1299" s="390">
        <f>'TARLST FGD'!$E$52</f>
        <v>938250</v>
      </c>
      <c r="F1299" s="390">
        <f>'TARLST FGD'!$F$52</f>
        <v>346280</v>
      </c>
      <c r="G1299" s="390">
        <f>'TARLST FGD'!$G$52</f>
        <v>12022908</v>
      </c>
      <c r="H1299" s="390">
        <f>'TARLST FGD'!$H$52</f>
        <v>0</v>
      </c>
      <c r="I1299" s="390">
        <f>'TARLST FGD'!$I$52</f>
        <v>0</v>
      </c>
      <c r="J1299" s="390">
        <f>'TARLST FGD'!$J$52</f>
        <v>0</v>
      </c>
      <c r="K1299" s="390">
        <f>'TARLST FGD'!$K$52</f>
        <v>0</v>
      </c>
      <c r="L1299" s="390">
        <f>'TARLST FGD'!$L$52</f>
        <v>0</v>
      </c>
      <c r="M1299" s="390">
        <f>'TARLST FGD'!$M$52</f>
        <v>13307438</v>
      </c>
      <c r="N1299" s="401"/>
    </row>
    <row r="1300" spans="2:14" s="160" customFormat="1" ht="12.75" hidden="1" customHeight="1" outlineLevel="1">
      <c r="B1300" s="674" t="str">
        <f>'TSU FGD'!$B$2</f>
        <v>Texas Southern University</v>
      </c>
      <c r="D1300" s="390">
        <f>'TSU FGD'!$D$52</f>
        <v>-30280</v>
      </c>
      <c r="E1300" s="390">
        <f>'TSU FGD'!$E$52</f>
        <v>615759</v>
      </c>
      <c r="F1300" s="390">
        <f>'TSU FGD'!$F$52</f>
        <v>5</v>
      </c>
      <c r="G1300" s="390">
        <f>'TSU FGD'!$G$52</f>
        <v>2717236</v>
      </c>
      <c r="H1300" s="390">
        <f>'TSU FGD'!$H$52</f>
        <v>0</v>
      </c>
      <c r="I1300" s="390">
        <f>'TSU FGD'!$I$52</f>
        <v>179050</v>
      </c>
      <c r="J1300" s="390">
        <f>'TSU FGD'!$J$52</f>
        <v>227586</v>
      </c>
      <c r="K1300" s="390">
        <f>'TSU FGD'!$K$52</f>
        <v>0</v>
      </c>
      <c r="L1300" s="390">
        <f>'TSU FGD'!$L$52</f>
        <v>0</v>
      </c>
      <c r="M1300" s="390">
        <f>'TSU FGD'!$M$52</f>
        <v>3709356</v>
      </c>
      <c r="N1300" s="401"/>
    </row>
    <row r="1301" spans="2:14" s="160" customFormat="1" ht="12.75" hidden="1" customHeight="1" outlineLevel="1">
      <c r="B1301" s="674" t="str">
        <f>'TTU FGD'!$B$2</f>
        <v>Texas Tech University</v>
      </c>
      <c r="D1301" s="390">
        <f>'TTU FGD'!$D$52</f>
        <v>0</v>
      </c>
      <c r="E1301" s="390">
        <f>'TTU FGD'!$E$52</f>
        <v>660261</v>
      </c>
      <c r="F1301" s="390">
        <f>'TTU FGD'!$F$52</f>
        <v>1561684</v>
      </c>
      <c r="G1301" s="390">
        <f>'TTU FGD'!$G$52</f>
        <v>113067639</v>
      </c>
      <c r="H1301" s="390">
        <f>'TTU FGD'!$H$52</f>
        <v>0</v>
      </c>
      <c r="I1301" s="390">
        <f>'TTU FGD'!$I$52</f>
        <v>2100</v>
      </c>
      <c r="J1301" s="390">
        <f>'TTU FGD'!$J$52</f>
        <v>83952</v>
      </c>
      <c r="K1301" s="390">
        <f>'TTU FGD'!$K$52</f>
        <v>0</v>
      </c>
      <c r="L1301" s="390">
        <f>'TTU FGD'!$L$52</f>
        <v>0</v>
      </c>
      <c r="M1301" s="390">
        <f>'TTU FGD'!$M$52</f>
        <v>115375636</v>
      </c>
      <c r="N1301" s="401"/>
    </row>
    <row r="1302" spans="2:14" s="160" customFormat="1" ht="12.75" hidden="1" customHeight="1" outlineLevel="1">
      <c r="B1302" s="674" t="str">
        <f>'TWU FGD'!$B$2</f>
        <v>Texas Woman's University</v>
      </c>
      <c r="D1302" s="390">
        <f>'TWU FGD'!$D$52</f>
        <v>0</v>
      </c>
      <c r="E1302" s="390">
        <f>'TWU FGD'!$E$52</f>
        <v>22961</v>
      </c>
      <c r="F1302" s="390">
        <f>'TWU FGD'!$F$52</f>
        <v>1000</v>
      </c>
      <c r="G1302" s="390">
        <f>'TWU FGD'!$G$52</f>
        <v>3264416</v>
      </c>
      <c r="H1302" s="390">
        <f>'TWU FGD'!$H$52</f>
        <v>0</v>
      </c>
      <c r="I1302" s="390">
        <f>'TWU FGD'!$I$52</f>
        <v>0</v>
      </c>
      <c r="J1302" s="390">
        <f>'TWU FGD'!$J$52</f>
        <v>50000</v>
      </c>
      <c r="K1302" s="390">
        <f>'TWU FGD'!$K$52</f>
        <v>0</v>
      </c>
      <c r="L1302" s="390">
        <f>'TWU FGD'!$L$52</f>
        <v>0</v>
      </c>
      <c r="M1302" s="390">
        <f>'TWU FGD'!$M$52</f>
        <v>3338377</v>
      </c>
      <c r="N1302" s="401"/>
    </row>
    <row r="1303" spans="2:14" s="160" customFormat="1" ht="12.75" hidden="1" customHeight="1" outlineLevel="1">
      <c r="B1303" s="674" t="str">
        <f>'TXST FGD'!$B$2</f>
        <v>Texas State University</v>
      </c>
      <c r="D1303" s="390">
        <f>'TXST FGD'!$D$52</f>
        <v>0</v>
      </c>
      <c r="E1303" s="390">
        <f>'TXST FGD'!$E$52</f>
        <v>30802</v>
      </c>
      <c r="F1303" s="390">
        <f>'TXST FGD'!$F$52</f>
        <v>0</v>
      </c>
      <c r="G1303" s="390">
        <f>'TXST FGD'!$G$52</f>
        <v>12797376</v>
      </c>
      <c r="H1303" s="390">
        <f>'TXST FGD'!$H$52</f>
        <v>0</v>
      </c>
      <c r="I1303" s="390">
        <f>'TXST FGD'!$I$52</f>
        <v>0</v>
      </c>
      <c r="J1303" s="390">
        <f>'TXST FGD'!$J$52</f>
        <v>0</v>
      </c>
      <c r="K1303" s="390">
        <f>'TXST FGD'!$K$52</f>
        <v>0</v>
      </c>
      <c r="L1303" s="390">
        <f>'TXST FGD'!$L$52</f>
        <v>0</v>
      </c>
      <c r="M1303" s="390">
        <f>'TXST FGD'!$M$52</f>
        <v>12828178</v>
      </c>
      <c r="N1303" s="401"/>
    </row>
    <row r="1304" spans="2:14" s="160" customFormat="1" ht="12.75" hidden="1" customHeight="1" outlineLevel="1">
      <c r="B1304" s="674" t="str">
        <f>'TYL FGD'!$B$2</f>
        <v>The University of Texas at Tyler</v>
      </c>
      <c r="D1304" s="390">
        <f>'TYL FGD'!$D$52</f>
        <v>0</v>
      </c>
      <c r="E1304" s="390">
        <f>'TYL FGD'!$E$52</f>
        <v>297689</v>
      </c>
      <c r="F1304" s="390">
        <f>'TYL FGD'!$F$52</f>
        <v>235375</v>
      </c>
      <c r="G1304" s="390">
        <f>'TYL FGD'!$G$52</f>
        <v>1177359</v>
      </c>
      <c r="H1304" s="390">
        <f>'TYL FGD'!$H$52</f>
        <v>0</v>
      </c>
      <c r="I1304" s="390">
        <f>'TYL FGD'!$I$52</f>
        <v>0</v>
      </c>
      <c r="J1304" s="390">
        <f>'TYL FGD'!$J$52</f>
        <v>100000</v>
      </c>
      <c r="K1304" s="390">
        <f>'TYL FGD'!$K$52</f>
        <v>0</v>
      </c>
      <c r="L1304" s="390">
        <f>'TYL FGD'!$L$52</f>
        <v>0</v>
      </c>
      <c r="M1304" s="390">
        <f>'TYL FGD'!$M$52</f>
        <v>1810423</v>
      </c>
      <c r="N1304" s="401"/>
    </row>
    <row r="1305" spans="2:14" s="160" customFormat="1" ht="12.75" hidden="1" customHeight="1" outlineLevel="1">
      <c r="B1305" s="674" t="str">
        <f>'UH1 FGD'!$B$2</f>
        <v>University of Houston - Academic &amp; Health (A+H)</v>
      </c>
      <c r="D1305" s="390">
        <f>'UH1 FGD'!$D$52</f>
        <v>-6274088</v>
      </c>
      <c r="E1305" s="390">
        <f>'UH1 FGD'!$E$52</f>
        <v>1235995</v>
      </c>
      <c r="F1305" s="390">
        <f>'UH1 FGD'!$F$52</f>
        <v>0</v>
      </c>
      <c r="G1305" s="390">
        <f>'UH1 FGD'!$G$52</f>
        <v>78387557</v>
      </c>
      <c r="H1305" s="390">
        <f>'UH1 FGD'!$H$52</f>
        <v>0</v>
      </c>
      <c r="I1305" s="390">
        <f>'UH1 FGD'!$I$52</f>
        <v>24349</v>
      </c>
      <c r="J1305" s="390">
        <f>'UH1 FGD'!$J$52</f>
        <v>0</v>
      </c>
      <c r="K1305" s="390">
        <f>'UH1 FGD'!$K$52</f>
        <v>0</v>
      </c>
      <c r="L1305" s="390">
        <f>'UH1 FGD'!$L$52</f>
        <v>0</v>
      </c>
      <c r="M1305" s="390">
        <f>'UH1 FGD'!$M$52</f>
        <v>73373813</v>
      </c>
      <c r="N1305" s="401"/>
    </row>
    <row r="1306" spans="2:14" s="160" customFormat="1" ht="12.75" hidden="1" customHeight="1" outlineLevel="1">
      <c r="B1306" s="674" t="str">
        <f>'UHCL FGD'!$B$2</f>
        <v>University of Houston - Clear Lake</v>
      </c>
      <c r="D1306" s="390">
        <f>'UHCL FGD'!$D$52</f>
        <v>0</v>
      </c>
      <c r="E1306" s="390">
        <f>'UHCL FGD'!$E$52</f>
        <v>343203</v>
      </c>
      <c r="F1306" s="390">
        <f>'UHCL FGD'!$F$52</f>
        <v>0</v>
      </c>
      <c r="G1306" s="390">
        <f>'UHCL FGD'!$G$52</f>
        <v>1014891</v>
      </c>
      <c r="H1306" s="390">
        <f>'UHCL FGD'!$H$52</f>
        <v>0</v>
      </c>
      <c r="I1306" s="390">
        <f>'UHCL FGD'!$I$52</f>
        <v>0</v>
      </c>
      <c r="J1306" s="390">
        <f>'UHCL FGD'!$J$52</f>
        <v>0</v>
      </c>
      <c r="K1306" s="390">
        <f>'UHCL FGD'!$K$52</f>
        <v>0</v>
      </c>
      <c r="L1306" s="390">
        <f>'UHCL FGD'!$L$52</f>
        <v>0</v>
      </c>
      <c r="M1306" s="390">
        <f>'UHCL FGD'!$M$52</f>
        <v>1358094</v>
      </c>
      <c r="N1306" s="401"/>
    </row>
    <row r="1307" spans="2:14" s="160" customFormat="1" ht="12.75" hidden="1" customHeight="1" outlineLevel="1">
      <c r="B1307" s="674" t="str">
        <f>'UHD FGD'!$B$2</f>
        <v>University of Houston - Downtown</v>
      </c>
      <c r="D1307" s="390">
        <f>'UHD FGD'!$D$52</f>
        <v>0</v>
      </c>
      <c r="E1307" s="390">
        <f>'UHD FGD'!$E$52</f>
        <v>0</v>
      </c>
      <c r="F1307" s="390">
        <f>'UHD FGD'!$F$52</f>
        <v>0</v>
      </c>
      <c r="G1307" s="390">
        <f>'UHD FGD'!$G$52</f>
        <v>3222832</v>
      </c>
      <c r="H1307" s="390">
        <f>'UHD FGD'!$H$52</f>
        <v>0</v>
      </c>
      <c r="I1307" s="390">
        <f>'UHD FGD'!$I$52</f>
        <v>5807</v>
      </c>
      <c r="J1307" s="390">
        <f>'UHD FGD'!$J$52</f>
        <v>0</v>
      </c>
      <c r="K1307" s="390">
        <f>'UHD FGD'!$K$52</f>
        <v>0</v>
      </c>
      <c r="L1307" s="390">
        <f>'UHD FGD'!$L$52</f>
        <v>0</v>
      </c>
      <c r="M1307" s="390">
        <f>'UHD FGD'!$M$52</f>
        <v>3228639</v>
      </c>
      <c r="N1307" s="401"/>
    </row>
    <row r="1308" spans="2:14" s="160" customFormat="1" ht="12.75" hidden="1" customHeight="1" outlineLevel="1">
      <c r="B1308" s="674" t="str">
        <f>'UHV FGD'!$B$2</f>
        <v>University of Houston - Victoria</v>
      </c>
      <c r="D1308" s="390">
        <f>'UHV FGD'!$D$52</f>
        <v>0</v>
      </c>
      <c r="E1308" s="390">
        <f>'UHV FGD'!$E$52</f>
        <v>0</v>
      </c>
      <c r="F1308" s="390">
        <f>'UHV FGD'!$F$52</f>
        <v>0</v>
      </c>
      <c r="G1308" s="390">
        <f>'UHV FGD'!$G$52</f>
        <v>1857016</v>
      </c>
      <c r="H1308" s="390">
        <f>'UHV FGD'!$H$52</f>
        <v>0</v>
      </c>
      <c r="I1308" s="390">
        <f>'UHV FGD'!$I$52</f>
        <v>1150</v>
      </c>
      <c r="J1308" s="390">
        <f>'UHV FGD'!$J$52</f>
        <v>0</v>
      </c>
      <c r="K1308" s="390">
        <f>'UHV FGD'!$K$52</f>
        <v>0</v>
      </c>
      <c r="L1308" s="390">
        <f>'UHV FGD'!$L$52</f>
        <v>0</v>
      </c>
      <c r="M1308" s="390">
        <f>'UHV FGD'!$M$52</f>
        <v>1858166</v>
      </c>
      <c r="N1308" s="401"/>
    </row>
    <row r="1309" spans="2:14" s="160" customFormat="1" ht="12.75" hidden="1" customHeight="1" outlineLevel="1">
      <c r="B1309" s="674" t="str">
        <f>'UNT FGD'!$B$2</f>
        <v>University of North Texas</v>
      </c>
      <c r="D1309" s="390">
        <f>'UNT FGD'!$D$52</f>
        <v>0</v>
      </c>
      <c r="E1309" s="390">
        <f>'UNT FGD'!$E$52</f>
        <v>0</v>
      </c>
      <c r="F1309" s="390">
        <f>'UNT FGD'!$F$52</f>
        <v>0</v>
      </c>
      <c r="G1309" s="390">
        <f>'UNT FGD'!$G$52</f>
        <v>3948553</v>
      </c>
      <c r="H1309" s="390">
        <f>'UNT FGD'!$H$52</f>
        <v>0</v>
      </c>
      <c r="I1309" s="390">
        <f>'UNT FGD'!$I$52</f>
        <v>0</v>
      </c>
      <c r="J1309" s="390">
        <f>'UNT FGD'!$J$52</f>
        <v>0</v>
      </c>
      <c r="K1309" s="390">
        <f>'UNT FGD'!$K$52</f>
        <v>0</v>
      </c>
      <c r="L1309" s="390">
        <f>'UNT FGD'!$L$52</f>
        <v>0</v>
      </c>
      <c r="M1309" s="390">
        <f>'UNT FGD'!$M$52</f>
        <v>3948553</v>
      </c>
      <c r="N1309" s="401"/>
    </row>
    <row r="1310" spans="2:14" s="160" customFormat="1" ht="12.75" hidden="1" customHeight="1" outlineLevel="1">
      <c r="B1310" s="674" t="str">
        <f>'UNTD FGD'!$B$2</f>
        <v>University of North Texas at Dallas</v>
      </c>
      <c r="D1310" s="390">
        <f>'UNTD FGD'!$D$52</f>
        <v>0</v>
      </c>
      <c r="E1310" s="390">
        <f>'UNTD FGD'!$E$52</f>
        <v>0</v>
      </c>
      <c r="F1310" s="390">
        <f>'UNTD FGD'!$F$52</f>
        <v>0</v>
      </c>
      <c r="G1310" s="390">
        <f>'UNTD FGD'!$G$52</f>
        <v>496242</v>
      </c>
      <c r="H1310" s="390">
        <f>'UNTD FGD'!$H$52</f>
        <v>0</v>
      </c>
      <c r="I1310" s="390">
        <f>'UNTD FGD'!$I$52</f>
        <v>0</v>
      </c>
      <c r="J1310" s="390">
        <f>'UNTD FGD'!$J$52</f>
        <v>0</v>
      </c>
      <c r="K1310" s="390">
        <f>'UNTD FGD'!$K$52</f>
        <v>0</v>
      </c>
      <c r="L1310" s="390">
        <f>'UNTD FGD'!$L$52</f>
        <v>0</v>
      </c>
      <c r="M1310" s="390">
        <f>'UNTD FGD'!$M$52</f>
        <v>496242</v>
      </c>
      <c r="N1310" s="401"/>
    </row>
    <row r="1311" spans="2:14" s="160" customFormat="1" ht="12.75" hidden="1" customHeight="1" outlineLevel="1">
      <c r="B1311" s="674" t="str">
        <f>'WTAMU FGD'!$B$2</f>
        <v>West Texas A&amp;M University</v>
      </c>
      <c r="D1311" s="390">
        <f>'WTAMU FGD'!$D$52</f>
        <v>0</v>
      </c>
      <c r="E1311" s="390">
        <f>'WTAMU FGD'!$E$52</f>
        <v>733994</v>
      </c>
      <c r="F1311" s="390">
        <f>'WTAMU FGD'!$F$52</f>
        <v>708255</v>
      </c>
      <c r="G1311" s="390">
        <f>'WTAMU FGD'!$G$52</f>
        <v>6838814</v>
      </c>
      <c r="H1311" s="390">
        <f>'WTAMU FGD'!$H$52</f>
        <v>0</v>
      </c>
      <c r="I1311" s="390">
        <f>'WTAMU FGD'!$I$52</f>
        <v>0</v>
      </c>
      <c r="J1311" s="390">
        <f>'WTAMU FGD'!$J$52</f>
        <v>84050</v>
      </c>
      <c r="K1311" s="390">
        <f>'WTAMU FGD'!$K$52</f>
        <v>0</v>
      </c>
      <c r="L1311" s="390">
        <f>'WTAMU FGD'!$L$52</f>
        <v>0</v>
      </c>
      <c r="M1311" s="390">
        <f>'WTAMU FGD'!$M$52</f>
        <v>8365113</v>
      </c>
      <c r="N1311" s="401"/>
    </row>
    <row r="1312" spans="2:14" s="160" customFormat="1" collapsed="1">
      <c r="B1312" s="160" t="s">
        <v>10</v>
      </c>
      <c r="D1312" s="390">
        <f t="shared" ref="D1312:M1312" si="34">SUM(D1276:D1311)</f>
        <v>-6304368</v>
      </c>
      <c r="E1312" s="390">
        <f t="shared" si="34"/>
        <v>79215756</v>
      </c>
      <c r="F1312" s="390">
        <f t="shared" si="34"/>
        <v>27600138</v>
      </c>
      <c r="G1312" s="390">
        <f t="shared" si="34"/>
        <v>1014498949</v>
      </c>
      <c r="H1312" s="390">
        <f t="shared" si="34"/>
        <v>566273</v>
      </c>
      <c r="I1312" s="390">
        <f t="shared" si="34"/>
        <v>7768861</v>
      </c>
      <c r="J1312" s="390">
        <f t="shared" si="34"/>
        <v>7104343</v>
      </c>
      <c r="K1312" s="390">
        <f t="shared" si="34"/>
        <v>0</v>
      </c>
      <c r="L1312" s="390">
        <f t="shared" si="34"/>
        <v>0</v>
      </c>
      <c r="M1312" s="390">
        <f t="shared" si="34"/>
        <v>1130449952</v>
      </c>
      <c r="N1312" s="401"/>
    </row>
    <row r="1313" spans="2:14" s="160" customFormat="1" ht="12.75" hidden="1" customHeight="1" outlineLevel="1">
      <c r="B1313" s="674" t="str">
        <f>'ARL FGD'!$B$2</f>
        <v>The University of Texas at Arlington</v>
      </c>
      <c r="D1313" s="390">
        <f>'ARL FGD'!$D$53</f>
        <v>12978</v>
      </c>
      <c r="E1313" s="390">
        <f>'ARL FGD'!$E$53</f>
        <v>26001039</v>
      </c>
      <c r="F1313" s="390">
        <f>'ARL FGD'!$F$53</f>
        <v>0</v>
      </c>
      <c r="G1313" s="390">
        <f>'ARL FGD'!$G$53</f>
        <v>2238055</v>
      </c>
      <c r="H1313" s="390">
        <f>'ARL FGD'!$H$53</f>
        <v>0</v>
      </c>
      <c r="I1313" s="390">
        <f>'ARL FGD'!$I$53</f>
        <v>0</v>
      </c>
      <c r="J1313" s="390">
        <f>'ARL FGD'!$J$53</f>
        <v>0</v>
      </c>
      <c r="K1313" s="390">
        <f>'ARL FGD'!$K$53</f>
        <v>0</v>
      </c>
      <c r="L1313" s="390">
        <f>'ARL FGD'!$L$53</f>
        <v>0</v>
      </c>
      <c r="M1313" s="390">
        <f>'ARL FGD'!$M$53</f>
        <v>28252072</v>
      </c>
      <c r="N1313" s="401"/>
    </row>
    <row r="1314" spans="2:14" s="160" customFormat="1" ht="12.75" hidden="1" customHeight="1" outlineLevel="1">
      <c r="B1314" s="674" t="str">
        <f>'ASU FGD'!$B$2</f>
        <v>Angelo State University</v>
      </c>
      <c r="D1314" s="390">
        <f>'ASU FGD'!$D$53</f>
        <v>170681</v>
      </c>
      <c r="E1314" s="390">
        <f>'ASU FGD'!$E$53</f>
        <v>711472</v>
      </c>
      <c r="F1314" s="390">
        <f>'ASU FGD'!$F$53</f>
        <v>0</v>
      </c>
      <c r="G1314" s="390">
        <f>'ASU FGD'!$G$53</f>
        <v>0</v>
      </c>
      <c r="H1314" s="390">
        <f>'ASU FGD'!$H$53</f>
        <v>0</v>
      </c>
      <c r="I1314" s="390">
        <f>'ASU FGD'!$I$53</f>
        <v>0</v>
      </c>
      <c r="J1314" s="390">
        <f>'ASU FGD'!$J$53</f>
        <v>0</v>
      </c>
      <c r="K1314" s="390">
        <f>'ASU FGD'!$K$53</f>
        <v>0</v>
      </c>
      <c r="L1314" s="390">
        <f>'ASU FGD'!$L$53</f>
        <v>0</v>
      </c>
      <c r="M1314" s="390">
        <f>'ASU FGD'!$M$53</f>
        <v>882153</v>
      </c>
      <c r="N1314" s="401"/>
    </row>
    <row r="1315" spans="2:14" s="160" customFormat="1" ht="12.75" hidden="1" customHeight="1" outlineLevel="1">
      <c r="B1315" s="674" t="str">
        <f>'AUS1 FGD'!$B$2</f>
        <v>The University of Texas at Austin - Academic &amp; Health (A+H)</v>
      </c>
      <c r="D1315" s="390">
        <f>'AUS1 FGD'!$D$53</f>
        <v>1600</v>
      </c>
      <c r="E1315" s="390">
        <f>'AUS1 FGD'!$E$53</f>
        <v>243918147</v>
      </c>
      <c r="F1315" s="390">
        <f>'AUS1 FGD'!$F$53</f>
        <v>0</v>
      </c>
      <c r="G1315" s="390">
        <f>'AUS1 FGD'!$G$53</f>
        <v>26654703</v>
      </c>
      <c r="H1315" s="390">
        <f>'AUS1 FGD'!$H$53</f>
        <v>0</v>
      </c>
      <c r="I1315" s="390">
        <f>'AUS1 FGD'!$I$53</f>
        <v>0</v>
      </c>
      <c r="J1315" s="390">
        <f>'AUS1 FGD'!$J$53</f>
        <v>0</v>
      </c>
      <c r="K1315" s="390">
        <f>'AUS1 FGD'!$K$53</f>
        <v>0</v>
      </c>
      <c r="L1315" s="390">
        <f>'AUS1 FGD'!$L$53</f>
        <v>0</v>
      </c>
      <c r="M1315" s="390">
        <f>'AUS1 FGD'!$M$53</f>
        <v>270574450</v>
      </c>
      <c r="N1315" s="401"/>
    </row>
    <row r="1316" spans="2:14" s="160" customFormat="1" ht="12.75" hidden="1" customHeight="1" outlineLevel="1">
      <c r="B1316" s="674" t="str">
        <f>'RGV1 FGD'!$B$2</f>
        <v>The University of Texas RGV - Academic &amp; Health (A+H)</v>
      </c>
      <c r="D1316" s="390">
        <f>'RGV1 FGD'!$D$53</f>
        <v>0</v>
      </c>
      <c r="E1316" s="390">
        <f>'RGV1 FGD'!$E$53</f>
        <v>4929752</v>
      </c>
      <c r="F1316" s="390">
        <f>'RGV1 FGD'!$F$53</f>
        <v>0</v>
      </c>
      <c r="G1316" s="390">
        <f>'RGV1 FGD'!$G$53</f>
        <v>1140544</v>
      </c>
      <c r="H1316" s="390">
        <f>'RGV1 FGD'!$H$53</f>
        <v>0</v>
      </c>
      <c r="I1316" s="390">
        <f>'RGV1 FGD'!$I$53</f>
        <v>0</v>
      </c>
      <c r="J1316" s="390">
        <f>'RGV1 FGD'!$J$53</f>
        <v>0</v>
      </c>
      <c r="K1316" s="390">
        <f>'RGV1 FGD'!$K$53</f>
        <v>0</v>
      </c>
      <c r="L1316" s="390">
        <f>'RGV1 FGD'!$L$53</f>
        <v>0</v>
      </c>
      <c r="M1316" s="390">
        <f>'RGV1 FGD'!$M$53</f>
        <v>6070296</v>
      </c>
      <c r="N1316" s="401"/>
    </row>
    <row r="1317" spans="2:14" s="160" customFormat="1" ht="12.75" hidden="1" customHeight="1" outlineLevel="1">
      <c r="B1317" s="674" t="str">
        <f>'DAL FGD'!$B$2</f>
        <v>The University of Texas at Dallas</v>
      </c>
      <c r="D1317" s="390">
        <f>'DAL FGD'!$D$53</f>
        <v>6718514</v>
      </c>
      <c r="E1317" s="390">
        <f>'DAL FGD'!$E$53</f>
        <v>24720140</v>
      </c>
      <c r="F1317" s="390">
        <f>'DAL FGD'!$F$53</f>
        <v>0</v>
      </c>
      <c r="G1317" s="390">
        <f>'DAL FGD'!$G$53</f>
        <v>337963</v>
      </c>
      <c r="H1317" s="390">
        <f>'DAL FGD'!$H$53</f>
        <v>0</v>
      </c>
      <c r="I1317" s="390">
        <f>'DAL FGD'!$I$53</f>
        <v>0</v>
      </c>
      <c r="J1317" s="390">
        <f>'DAL FGD'!$J$53</f>
        <v>0</v>
      </c>
      <c r="K1317" s="390">
        <f>'DAL FGD'!$K$53</f>
        <v>0</v>
      </c>
      <c r="L1317" s="390">
        <f>'DAL FGD'!$L$53</f>
        <v>0</v>
      </c>
      <c r="M1317" s="390">
        <f>'DAL FGD'!$M$53</f>
        <v>31776617</v>
      </c>
      <c r="N1317" s="401"/>
    </row>
    <row r="1318" spans="2:14" s="160" customFormat="1" ht="12.75" hidden="1" customHeight="1" outlineLevel="1">
      <c r="B1318" s="674" t="str">
        <f>'E-P FGD'!$B$2</f>
        <v>The University of Texas at El Paso</v>
      </c>
      <c r="D1318" s="390">
        <f>'E-P FGD'!$D$53</f>
        <v>0</v>
      </c>
      <c r="E1318" s="390">
        <f>'E-P FGD'!$E$53</f>
        <v>6467590</v>
      </c>
      <c r="F1318" s="390">
        <f>'E-P FGD'!$F$53</f>
        <v>0</v>
      </c>
      <c r="G1318" s="390">
        <f>'E-P FGD'!$G$53</f>
        <v>1006691</v>
      </c>
      <c r="H1318" s="390">
        <f>'E-P FGD'!$H$53</f>
        <v>0</v>
      </c>
      <c r="I1318" s="390">
        <f>'E-P FGD'!$I$53</f>
        <v>0</v>
      </c>
      <c r="J1318" s="390">
        <f>'E-P FGD'!$J$53</f>
        <v>0</v>
      </c>
      <c r="K1318" s="390">
        <f>'E-P FGD'!$K$53</f>
        <v>0</v>
      </c>
      <c r="L1318" s="390">
        <f>'E-P FGD'!$L$53</f>
        <v>0</v>
      </c>
      <c r="M1318" s="390">
        <f>'E-P FGD'!$M$53</f>
        <v>7474281</v>
      </c>
      <c r="N1318" s="401"/>
    </row>
    <row r="1319" spans="2:14" s="160" customFormat="1" ht="12.75" hidden="1" customHeight="1" outlineLevel="1">
      <c r="B1319" s="674" t="str">
        <f>'LU FGD'!$B$2</f>
        <v xml:space="preserve">Lamar University </v>
      </c>
      <c r="D1319" s="390">
        <f>'LU FGD'!$D$53</f>
        <v>0</v>
      </c>
      <c r="E1319" s="390">
        <f>'LU FGD'!$E$53</f>
        <v>0</v>
      </c>
      <c r="F1319" s="390">
        <f>'LU FGD'!$F$53</f>
        <v>0</v>
      </c>
      <c r="G1319" s="390">
        <f>'LU FGD'!$G$53</f>
        <v>209198</v>
      </c>
      <c r="H1319" s="390">
        <f>'LU FGD'!$H$53</f>
        <v>0</v>
      </c>
      <c r="I1319" s="390">
        <f>'LU FGD'!$I$53</f>
        <v>0</v>
      </c>
      <c r="J1319" s="390">
        <f>'LU FGD'!$J$53</f>
        <v>0</v>
      </c>
      <c r="K1319" s="390">
        <f>'LU FGD'!$K$53</f>
        <v>0</v>
      </c>
      <c r="L1319" s="390">
        <f>'LU FGD'!$L$53</f>
        <v>0</v>
      </c>
      <c r="M1319" s="390">
        <f>'LU FGD'!$M$53</f>
        <v>209198</v>
      </c>
      <c r="N1319" s="401"/>
    </row>
    <row r="1320" spans="2:14" s="160" customFormat="1" ht="12.75" hidden="1" customHeight="1" outlineLevel="1">
      <c r="B1320" s="674" t="str">
        <f>'MidWST FGD'!$B$2</f>
        <v>Midwestern State University</v>
      </c>
      <c r="D1320" s="390">
        <f>'MidWST FGD'!$D$53</f>
        <v>75</v>
      </c>
      <c r="E1320" s="390">
        <f>'MidWST FGD'!$E$53</f>
        <v>798876</v>
      </c>
      <c r="F1320" s="390">
        <f>'MidWST FGD'!$F$53</f>
        <v>0</v>
      </c>
      <c r="G1320" s="390">
        <f>'MidWST FGD'!$G$53</f>
        <v>6643</v>
      </c>
      <c r="H1320" s="390">
        <f>'MidWST FGD'!$H$53</f>
        <v>0</v>
      </c>
      <c r="I1320" s="390">
        <f>'MidWST FGD'!$I$53</f>
        <v>0</v>
      </c>
      <c r="J1320" s="390">
        <f>'MidWST FGD'!$J$53</f>
        <v>0</v>
      </c>
      <c r="K1320" s="390">
        <f>'MidWST FGD'!$K$53</f>
        <v>0</v>
      </c>
      <c r="L1320" s="390">
        <f>'MidWST FGD'!$L$53</f>
        <v>0</v>
      </c>
      <c r="M1320" s="390">
        <f>'MidWST FGD'!$M$53</f>
        <v>805594</v>
      </c>
      <c r="N1320" s="401"/>
    </row>
    <row r="1321" spans="2:14" s="160" customFormat="1" ht="12.75" hidden="1" customHeight="1" outlineLevel="1">
      <c r="B1321" s="674" t="str">
        <f>'P-B FGD'!$B$2</f>
        <v>The University of Texas of the Permian Basin</v>
      </c>
      <c r="D1321" s="390">
        <f>'P-B FGD'!$D$53</f>
        <v>0</v>
      </c>
      <c r="E1321" s="390">
        <f>'P-B FGD'!$E$53</f>
        <v>969727</v>
      </c>
      <c r="F1321" s="390">
        <f>'P-B FGD'!$F$53</f>
        <v>0</v>
      </c>
      <c r="G1321" s="390">
        <f>'P-B FGD'!$G$53</f>
        <v>202951</v>
      </c>
      <c r="H1321" s="390">
        <f>'P-B FGD'!$H$53</f>
        <v>0</v>
      </c>
      <c r="I1321" s="390">
        <f>'P-B FGD'!$I$53</f>
        <v>0</v>
      </c>
      <c r="J1321" s="390">
        <f>'P-B FGD'!$J$53</f>
        <v>0</v>
      </c>
      <c r="K1321" s="390">
        <f>'P-B FGD'!$K$53</f>
        <v>0</v>
      </c>
      <c r="L1321" s="390">
        <f>'P-B FGD'!$L$53</f>
        <v>0</v>
      </c>
      <c r="M1321" s="390">
        <f>'P-B FGD'!$M$53</f>
        <v>1172678</v>
      </c>
      <c r="N1321" s="401"/>
    </row>
    <row r="1322" spans="2:14" s="160" customFormat="1" ht="12.75" hidden="1" customHeight="1" outlineLevel="1">
      <c r="B1322" s="674" t="str">
        <f>'PVAMU FGD'!$B$2</f>
        <v>Prairie View A&amp;M University</v>
      </c>
      <c r="D1322" s="390">
        <f>'PVAMU FGD'!$D$53</f>
        <v>0</v>
      </c>
      <c r="E1322" s="390">
        <f>'PVAMU FGD'!$E$53</f>
        <v>762535</v>
      </c>
      <c r="F1322" s="390">
        <f>'PVAMU FGD'!$F$53</f>
        <v>15983</v>
      </c>
      <c r="G1322" s="390">
        <f>'PVAMU FGD'!$G$53</f>
        <v>-78065</v>
      </c>
      <c r="H1322" s="390">
        <f>'PVAMU FGD'!$H$53</f>
        <v>0</v>
      </c>
      <c r="I1322" s="390">
        <f>'PVAMU FGD'!$I$53</f>
        <v>0</v>
      </c>
      <c r="J1322" s="390">
        <f>'PVAMU FGD'!$J$53</f>
        <v>0</v>
      </c>
      <c r="K1322" s="390">
        <f>'PVAMU FGD'!$K$53</f>
        <v>0</v>
      </c>
      <c r="L1322" s="390">
        <f>'PVAMU FGD'!$L$53</f>
        <v>0</v>
      </c>
      <c r="M1322" s="390">
        <f>'PVAMU FGD'!$M$53</f>
        <v>700453</v>
      </c>
      <c r="N1322" s="401"/>
    </row>
    <row r="1323" spans="2:14" s="160" customFormat="1" ht="12.75" hidden="1" customHeight="1" outlineLevel="1">
      <c r="B1323" s="674" t="str">
        <f>'S-A FGD'!$B$2</f>
        <v>The University of Texas at San Antonio</v>
      </c>
      <c r="D1323" s="390">
        <f>'S-A FGD'!$D$53</f>
        <v>0</v>
      </c>
      <c r="E1323" s="390">
        <f>'S-A FGD'!$E$53</f>
        <v>7536591</v>
      </c>
      <c r="F1323" s="390">
        <f>'S-A FGD'!$F$53</f>
        <v>0</v>
      </c>
      <c r="G1323" s="390">
        <f>'S-A FGD'!$G$53</f>
        <v>171787</v>
      </c>
      <c r="H1323" s="390">
        <f>'S-A FGD'!$H$53</f>
        <v>0</v>
      </c>
      <c r="I1323" s="390">
        <f>'S-A FGD'!$I$53</f>
        <v>0</v>
      </c>
      <c r="J1323" s="390">
        <f>'S-A FGD'!$J$53</f>
        <v>0</v>
      </c>
      <c r="K1323" s="390">
        <f>'S-A FGD'!$K$53</f>
        <v>0</v>
      </c>
      <c r="L1323" s="390">
        <f>'S-A FGD'!$L$53</f>
        <v>0</v>
      </c>
      <c r="M1323" s="390">
        <f>'S-A FGD'!$M$53</f>
        <v>7708378</v>
      </c>
      <c r="N1323" s="401"/>
    </row>
    <row r="1324" spans="2:14" s="160" customFormat="1" ht="12.75" hidden="1" customHeight="1" outlineLevel="1">
      <c r="B1324" s="674" t="str">
        <f>'SFA FGD'!$B$2</f>
        <v>Stephen F. Austin State University</v>
      </c>
      <c r="D1324" s="390">
        <f>'SFA FGD'!$D$53</f>
        <v>683467</v>
      </c>
      <c r="E1324" s="390">
        <f>'SFA FGD'!$E$53</f>
        <v>3534732</v>
      </c>
      <c r="F1324" s="390">
        <f>'SFA FGD'!$F$53</f>
        <v>0</v>
      </c>
      <c r="G1324" s="390">
        <f>'SFA FGD'!$G$53</f>
        <v>571352</v>
      </c>
      <c r="H1324" s="390">
        <f>'SFA FGD'!$H$53</f>
        <v>0</v>
      </c>
      <c r="I1324" s="390">
        <f>'SFA FGD'!$I$53</f>
        <v>0</v>
      </c>
      <c r="J1324" s="390">
        <f>'SFA FGD'!$J$53</f>
        <v>0</v>
      </c>
      <c r="K1324" s="390">
        <f>'SFA FGD'!$K$53</f>
        <v>0</v>
      </c>
      <c r="L1324" s="390">
        <f>'SFA FGD'!$L$53</f>
        <v>0</v>
      </c>
      <c r="M1324" s="390">
        <f>'SFA FGD'!$M$53</f>
        <v>4789551</v>
      </c>
      <c r="N1324" s="401"/>
    </row>
    <row r="1325" spans="2:14" s="160" customFormat="1" ht="12.75" hidden="1" customHeight="1" outlineLevel="1">
      <c r="B1325" s="674" t="str">
        <f>'shsu1 FGD'!$B$2</f>
        <v>Sam Houston State University - Academic &amp; Health (A+H)</v>
      </c>
      <c r="D1325" s="390">
        <f>'shsu1 FGD'!$D$53</f>
        <v>166799</v>
      </c>
      <c r="E1325" s="390">
        <f>'shsu1 FGD'!$E$53</f>
        <v>1935023</v>
      </c>
      <c r="F1325" s="390">
        <f>'shsu1 FGD'!$F$53</f>
        <v>167824</v>
      </c>
      <c r="G1325" s="390">
        <f>'shsu1 FGD'!$G$53</f>
        <v>1362275</v>
      </c>
      <c r="H1325" s="390">
        <f>'shsu1 FGD'!$H$53</f>
        <v>0</v>
      </c>
      <c r="I1325" s="390">
        <f>'shsu1 FGD'!$I$53</f>
        <v>0</v>
      </c>
      <c r="J1325" s="390">
        <f>'shsu1 FGD'!$J$53</f>
        <v>0</v>
      </c>
      <c r="K1325" s="390">
        <f>'shsu1 FGD'!$K$53</f>
        <v>0</v>
      </c>
      <c r="L1325" s="390">
        <f>'shsu1 FGD'!$L$53</f>
        <v>0</v>
      </c>
      <c r="M1325" s="390">
        <f>'shsu1 FGD'!$M$53</f>
        <v>3631921</v>
      </c>
      <c r="N1325" s="401"/>
    </row>
    <row r="1326" spans="2:14" s="160" customFormat="1" ht="12.75" hidden="1" customHeight="1" outlineLevel="1">
      <c r="B1326" s="674" t="str">
        <f>'SRSU FGD'!$B$2</f>
        <v>Sul Ross State University</v>
      </c>
      <c r="D1326" s="390">
        <f>'SRSU FGD'!$D$53</f>
        <v>0</v>
      </c>
      <c r="E1326" s="390">
        <f>'SRSU FGD'!$E$53</f>
        <v>205737</v>
      </c>
      <c r="F1326" s="390">
        <f>'SRSU FGD'!$F$53</f>
        <v>0</v>
      </c>
      <c r="G1326" s="390">
        <f>'SRSU FGD'!$G$53</f>
        <v>86760</v>
      </c>
      <c r="H1326" s="390">
        <f>'SRSU FGD'!$H$53</f>
        <v>0</v>
      </c>
      <c r="I1326" s="390">
        <f>'SRSU FGD'!$I$53</f>
        <v>18694</v>
      </c>
      <c r="J1326" s="390">
        <f>'SRSU FGD'!$J$53</f>
        <v>0</v>
      </c>
      <c r="K1326" s="390">
        <f>'SRSU FGD'!$K$53</f>
        <v>0</v>
      </c>
      <c r="L1326" s="390">
        <f>'SRSU FGD'!$L$53</f>
        <v>0</v>
      </c>
      <c r="M1326" s="390">
        <f>'SRSU FGD'!$M$53</f>
        <v>311191</v>
      </c>
      <c r="N1326" s="401"/>
    </row>
    <row r="1327" spans="2:14" s="160" customFormat="1" ht="12.75" hidden="1" customHeight="1" outlineLevel="1">
      <c r="B1327" s="674" t="str">
        <f>'TAMIU FGD'!$B$2</f>
        <v>Texas A&amp;M International University</v>
      </c>
      <c r="D1327" s="390">
        <f>'TAMIU FGD'!$D$53</f>
        <v>42346</v>
      </c>
      <c r="E1327" s="390">
        <f>'TAMIU FGD'!$E$53</f>
        <v>388454</v>
      </c>
      <c r="F1327" s="390">
        <f>'TAMIU FGD'!$F$53</f>
        <v>0</v>
      </c>
      <c r="G1327" s="390">
        <f>'TAMIU FGD'!$G$53</f>
        <v>410377</v>
      </c>
      <c r="H1327" s="390">
        <f>'TAMIU FGD'!$H$53</f>
        <v>0</v>
      </c>
      <c r="I1327" s="390">
        <f>'TAMIU FGD'!$I$53</f>
        <v>0</v>
      </c>
      <c r="J1327" s="390">
        <f>'TAMIU FGD'!$J$53</f>
        <v>0</v>
      </c>
      <c r="K1327" s="390">
        <f>'TAMIU FGD'!$K$53</f>
        <v>0</v>
      </c>
      <c r="L1327" s="390">
        <f>'TAMIU FGD'!$L$53</f>
        <v>0</v>
      </c>
      <c r="M1327" s="390">
        <f>'TAMIU FGD'!$M$53</f>
        <v>841177</v>
      </c>
      <c r="N1327" s="401"/>
    </row>
    <row r="1328" spans="2:14" s="160" customFormat="1" ht="12.75" hidden="1" customHeight="1" outlineLevel="1">
      <c r="B1328" s="674" t="str">
        <f>'TAMU FGD'!$B$2</f>
        <v>Texas A&amp;M University</v>
      </c>
      <c r="D1328" s="390">
        <f>'TAMU FGD'!$D$53</f>
        <v>40226232</v>
      </c>
      <c r="E1328" s="390">
        <f>'TAMU FGD'!$E$53</f>
        <v>109584797</v>
      </c>
      <c r="F1328" s="390">
        <f>'TAMU FGD'!$F$53</f>
        <v>0</v>
      </c>
      <c r="G1328" s="390">
        <f>'TAMU FGD'!$G$53</f>
        <v>1553357</v>
      </c>
      <c r="H1328" s="390">
        <f>'TAMU FGD'!$H$53</f>
        <v>0</v>
      </c>
      <c r="I1328" s="390">
        <f>'TAMU FGD'!$I$53</f>
        <v>0</v>
      </c>
      <c r="J1328" s="390">
        <f>'TAMU FGD'!$J$53</f>
        <v>0</v>
      </c>
      <c r="K1328" s="390">
        <f>'TAMU FGD'!$K$53</f>
        <v>0</v>
      </c>
      <c r="L1328" s="390">
        <f>'TAMU FGD'!$L$53</f>
        <v>0</v>
      </c>
      <c r="M1328" s="390">
        <f>'TAMU FGD'!$M$53</f>
        <v>151364386</v>
      </c>
      <c r="N1328" s="401"/>
    </row>
    <row r="1329" spans="2:14" s="160" customFormat="1" ht="12.75" hidden="1" customHeight="1" outlineLevel="1">
      <c r="B1329" s="674" t="str">
        <f>'TAMUC FGD'!$B$2</f>
        <v>Texas A&amp;M University - Commerce</v>
      </c>
      <c r="D1329" s="390">
        <f>'TAMUC FGD'!$D$53</f>
        <v>70397</v>
      </c>
      <c r="E1329" s="390">
        <f>'TAMUC FGD'!$E$53</f>
        <v>3880943</v>
      </c>
      <c r="F1329" s="390">
        <f>'TAMUC FGD'!$F$53</f>
        <v>0</v>
      </c>
      <c r="G1329" s="390">
        <f>'TAMUC FGD'!$G$53</f>
        <v>-5921644</v>
      </c>
      <c r="H1329" s="390">
        <f>'TAMUC FGD'!$H$53</f>
        <v>0</v>
      </c>
      <c r="I1329" s="390">
        <f>'TAMUC FGD'!$I$53</f>
        <v>0</v>
      </c>
      <c r="J1329" s="390">
        <f>'TAMUC FGD'!$J$53</f>
        <v>0</v>
      </c>
      <c r="K1329" s="390">
        <f>'TAMUC FGD'!$K$53</f>
        <v>0</v>
      </c>
      <c r="L1329" s="390">
        <f>'TAMUC FGD'!$L$53</f>
        <v>0</v>
      </c>
      <c r="M1329" s="390">
        <f>'TAMUC FGD'!$M$53</f>
        <v>-1970304</v>
      </c>
      <c r="N1329" s="401"/>
    </row>
    <row r="1330" spans="2:14" s="160" customFormat="1" ht="12.75" hidden="1" customHeight="1" outlineLevel="1">
      <c r="B1330" s="674" t="str">
        <f>'TAMUCC FGD'!$B$2</f>
        <v>Texas A&amp;M University - Corpus Christi</v>
      </c>
      <c r="D1330" s="390">
        <f>'TAMUCC FGD'!$D$53</f>
        <v>0</v>
      </c>
      <c r="E1330" s="390">
        <f>'TAMUCC FGD'!$E$53</f>
        <v>2086293</v>
      </c>
      <c r="F1330" s="390">
        <f>'TAMUCC FGD'!$F$53</f>
        <v>0</v>
      </c>
      <c r="G1330" s="390">
        <f>'TAMUCC FGD'!$G$53</f>
        <v>-2166451</v>
      </c>
      <c r="H1330" s="390">
        <f>'TAMUCC FGD'!$H$53</f>
        <v>0</v>
      </c>
      <c r="I1330" s="390">
        <f>'TAMUCC FGD'!$I$53</f>
        <v>0</v>
      </c>
      <c r="J1330" s="390">
        <f>'TAMUCC FGD'!$J$53</f>
        <v>0</v>
      </c>
      <c r="K1330" s="390">
        <f>'TAMUCC FGD'!$K$53</f>
        <v>0</v>
      </c>
      <c r="L1330" s="390">
        <f>'TAMUCC FGD'!$L$53</f>
        <v>0</v>
      </c>
      <c r="M1330" s="390">
        <f>'TAMUCC FGD'!$M$53</f>
        <v>-80158</v>
      </c>
      <c r="N1330" s="401"/>
    </row>
    <row r="1331" spans="2:14" s="160" customFormat="1" ht="12.75" hidden="1" customHeight="1" outlineLevel="1">
      <c r="B1331" s="674" t="str">
        <f>'TAMUCT FGD'!$B$2</f>
        <v>Texas A&amp;M University - Central Texas</v>
      </c>
      <c r="D1331" s="390">
        <f>'TAMUCT FGD'!$D$53</f>
        <v>0</v>
      </c>
      <c r="E1331" s="390">
        <f>'TAMUCT FGD'!$E$53</f>
        <v>158298</v>
      </c>
      <c r="F1331" s="390">
        <f>'TAMUCT FGD'!$F$53</f>
        <v>0</v>
      </c>
      <c r="G1331" s="390">
        <f>'TAMUCT FGD'!$G$53</f>
        <v>102584</v>
      </c>
      <c r="H1331" s="390">
        <f>'TAMUCT FGD'!$H$53</f>
        <v>0</v>
      </c>
      <c r="I1331" s="390">
        <f>'TAMUCT FGD'!$I$53</f>
        <v>0</v>
      </c>
      <c r="J1331" s="390">
        <f>'TAMUCT FGD'!$J$53</f>
        <v>0</v>
      </c>
      <c r="K1331" s="390">
        <f>'TAMUCT FGD'!$K$53</f>
        <v>0</v>
      </c>
      <c r="L1331" s="390">
        <f>'TAMUCT FGD'!$L$53</f>
        <v>0</v>
      </c>
      <c r="M1331" s="390">
        <f>'TAMUCT FGD'!$M$53</f>
        <v>260882</v>
      </c>
      <c r="N1331" s="401"/>
    </row>
    <row r="1332" spans="2:14" s="160" customFormat="1" ht="12.75" hidden="1" customHeight="1" outlineLevel="1">
      <c r="B1332" s="674" t="str">
        <f>'TAMUG FGD'!$B$2</f>
        <v>Texas A&amp;M University at Galveston</v>
      </c>
      <c r="D1332" s="390">
        <f>'TAMUG FGD'!$D$53</f>
        <v>8</v>
      </c>
      <c r="E1332" s="390">
        <f>'TAMUG FGD'!$E$53</f>
        <v>2884987</v>
      </c>
      <c r="F1332" s="390">
        <f>'TAMUG FGD'!$F$53</f>
        <v>0</v>
      </c>
      <c r="G1332" s="390">
        <f>'TAMUG FGD'!$G$53</f>
        <v>-361674</v>
      </c>
      <c r="H1332" s="390">
        <f>'TAMUG FGD'!$H$53</f>
        <v>0</v>
      </c>
      <c r="I1332" s="390">
        <f>'TAMUG FGD'!$I$53</f>
        <v>0</v>
      </c>
      <c r="J1332" s="390">
        <f>'TAMUG FGD'!$J$53</f>
        <v>0</v>
      </c>
      <c r="K1332" s="390">
        <f>'TAMUG FGD'!$K$53</f>
        <v>0</v>
      </c>
      <c r="L1332" s="390">
        <f>'TAMUG FGD'!$L$53</f>
        <v>0</v>
      </c>
      <c r="M1332" s="390">
        <f>'TAMUG FGD'!$M$53</f>
        <v>2523321</v>
      </c>
      <c r="N1332" s="401"/>
    </row>
    <row r="1333" spans="2:14" s="160" customFormat="1" ht="12.75" hidden="1" customHeight="1" outlineLevel="1">
      <c r="B1333" s="674" t="str">
        <f>'TAMUK FGD'!$B$2</f>
        <v>Texas A&amp;M University - Kingsville</v>
      </c>
      <c r="D1333" s="390">
        <f>'TAMUK FGD'!$D$53</f>
        <v>123300</v>
      </c>
      <c r="E1333" s="390">
        <f>'TAMUK FGD'!$E$53</f>
        <v>2926258</v>
      </c>
      <c r="F1333" s="390">
        <f>'TAMUK FGD'!$F$53</f>
        <v>0</v>
      </c>
      <c r="G1333" s="390">
        <f>'TAMUK FGD'!$G$53</f>
        <v>-1491826</v>
      </c>
      <c r="H1333" s="390">
        <f>'TAMUK FGD'!$H$53</f>
        <v>0</v>
      </c>
      <c r="I1333" s="390">
        <f>'TAMUK FGD'!$I$53</f>
        <v>0</v>
      </c>
      <c r="J1333" s="390">
        <f>'TAMUK FGD'!$J$53</f>
        <v>0</v>
      </c>
      <c r="K1333" s="390">
        <f>'TAMUK FGD'!$K$53</f>
        <v>0</v>
      </c>
      <c r="L1333" s="390">
        <f>'TAMUK FGD'!$L$53</f>
        <v>0</v>
      </c>
      <c r="M1333" s="390">
        <f>'TAMUK FGD'!$M$53</f>
        <v>1557732</v>
      </c>
      <c r="N1333" s="401"/>
    </row>
    <row r="1334" spans="2:14" s="160" customFormat="1" ht="12.75" hidden="1" customHeight="1" outlineLevel="1">
      <c r="B1334" s="674" t="str">
        <f>'TAMUSA FGD'!$B$2</f>
        <v>Texas A&amp;M University - San Antonio</v>
      </c>
      <c r="D1334" s="390">
        <f>'TAMUSA FGD'!$D$53</f>
        <v>0</v>
      </c>
      <c r="E1334" s="390">
        <f>'TAMUSA FGD'!$E$53</f>
        <v>634803</v>
      </c>
      <c r="F1334" s="390">
        <f>'TAMUSA FGD'!$F$53</f>
        <v>0</v>
      </c>
      <c r="G1334" s="390">
        <f>'TAMUSA FGD'!$G$53</f>
        <v>-347796</v>
      </c>
      <c r="H1334" s="390">
        <f>'TAMUSA FGD'!$H$53</f>
        <v>0</v>
      </c>
      <c r="I1334" s="390">
        <f>'TAMUSA FGD'!$I$53</f>
        <v>0</v>
      </c>
      <c r="J1334" s="390">
        <f>'TAMUSA FGD'!$J$53</f>
        <v>0</v>
      </c>
      <c r="K1334" s="390">
        <f>'TAMUSA FGD'!$K$53</f>
        <v>0</v>
      </c>
      <c r="L1334" s="390">
        <f>'TAMUSA FGD'!$L$53</f>
        <v>0</v>
      </c>
      <c r="M1334" s="390">
        <f>'TAMUSA FGD'!$M$53</f>
        <v>287007</v>
      </c>
      <c r="N1334" s="401"/>
    </row>
    <row r="1335" spans="2:14" s="160" customFormat="1" ht="12.75" hidden="1" customHeight="1" outlineLevel="1">
      <c r="B1335" s="674" t="str">
        <f>'TAMUT FGD'!$B$2</f>
        <v>Texas A&amp;M University - Texarkana</v>
      </c>
      <c r="D1335" s="390">
        <f>'TAMUT FGD'!$D$53</f>
        <v>0</v>
      </c>
      <c r="E1335" s="390">
        <f>'TAMUT FGD'!$E$53</f>
        <v>2082268</v>
      </c>
      <c r="F1335" s="390">
        <f>'TAMUT FGD'!$F$53</f>
        <v>0</v>
      </c>
      <c r="G1335" s="390">
        <f>'TAMUT FGD'!$G$53</f>
        <v>6700</v>
      </c>
      <c r="H1335" s="390">
        <f>'TAMUT FGD'!$H$53</f>
        <v>0</v>
      </c>
      <c r="I1335" s="390">
        <f>'TAMUT FGD'!$I$53</f>
        <v>0</v>
      </c>
      <c r="J1335" s="390">
        <f>'TAMUT FGD'!$J$53</f>
        <v>0</v>
      </c>
      <c r="K1335" s="390">
        <f>'TAMUT FGD'!$K$53</f>
        <v>0</v>
      </c>
      <c r="L1335" s="390">
        <f>'TAMUT FGD'!$L$53</f>
        <v>0</v>
      </c>
      <c r="M1335" s="390">
        <f>'TAMUT FGD'!$M$53</f>
        <v>2088968</v>
      </c>
      <c r="N1335" s="401"/>
    </row>
    <row r="1336" spans="2:14" s="160" customFormat="1" ht="12.75" hidden="1" customHeight="1" outlineLevel="1">
      <c r="B1336" s="674" t="str">
        <f>'TARLST FGD'!$B$2</f>
        <v>Tarleton State University</v>
      </c>
      <c r="D1336" s="390">
        <f>'TARLST FGD'!$D$53</f>
        <v>187325</v>
      </c>
      <c r="E1336" s="390">
        <f>'TARLST FGD'!$E$53</f>
        <v>1599989</v>
      </c>
      <c r="F1336" s="390">
        <f>'TARLST FGD'!$F$53</f>
        <v>0</v>
      </c>
      <c r="G1336" s="390">
        <f>'TARLST FGD'!$G$53</f>
        <v>44944</v>
      </c>
      <c r="H1336" s="390">
        <f>'TARLST FGD'!$H$53</f>
        <v>0</v>
      </c>
      <c r="I1336" s="390">
        <f>'TARLST FGD'!$I$53</f>
        <v>0</v>
      </c>
      <c r="J1336" s="390">
        <f>'TARLST FGD'!$J$53</f>
        <v>0</v>
      </c>
      <c r="K1336" s="390">
        <f>'TARLST FGD'!$K$53</f>
        <v>0</v>
      </c>
      <c r="L1336" s="390">
        <f>'TARLST FGD'!$L$53</f>
        <v>0</v>
      </c>
      <c r="M1336" s="390">
        <f>'TARLST FGD'!$M$53</f>
        <v>1832258</v>
      </c>
      <c r="N1336" s="401"/>
    </row>
    <row r="1337" spans="2:14" s="160" customFormat="1" ht="12.75" hidden="1" customHeight="1" outlineLevel="1">
      <c r="B1337" s="674" t="str">
        <f>'TSU FGD'!$B$2</f>
        <v>Texas Southern University</v>
      </c>
      <c r="D1337" s="390">
        <f>'TSU FGD'!$D$53</f>
        <v>13679</v>
      </c>
      <c r="E1337" s="390">
        <f>'TSU FGD'!$E$53</f>
        <v>45703</v>
      </c>
      <c r="F1337" s="390">
        <f>'TSU FGD'!$F$53</f>
        <v>0</v>
      </c>
      <c r="G1337" s="390">
        <f>'TSU FGD'!$G$53</f>
        <v>0</v>
      </c>
      <c r="H1337" s="390">
        <f>'TSU FGD'!$H$53</f>
        <v>0</v>
      </c>
      <c r="I1337" s="390">
        <f>'TSU FGD'!$I$53</f>
        <v>0</v>
      </c>
      <c r="J1337" s="390">
        <f>'TSU FGD'!$J$53</f>
        <v>0</v>
      </c>
      <c r="K1337" s="390">
        <f>'TSU FGD'!$K$53</f>
        <v>0</v>
      </c>
      <c r="L1337" s="390">
        <f>'TSU FGD'!$L$53</f>
        <v>0</v>
      </c>
      <c r="M1337" s="390">
        <f>'TSU FGD'!$M$53</f>
        <v>59382</v>
      </c>
      <c r="N1337" s="401"/>
    </row>
    <row r="1338" spans="2:14" s="160" customFormat="1" ht="12.75" hidden="1" customHeight="1" outlineLevel="1">
      <c r="B1338" s="674" t="str">
        <f>'TTU FGD'!$B$2</f>
        <v>Texas Tech University</v>
      </c>
      <c r="D1338" s="390">
        <f>'TTU FGD'!$D$53</f>
        <v>0</v>
      </c>
      <c r="E1338" s="390">
        <f>'TTU FGD'!$E$53</f>
        <v>9996147</v>
      </c>
      <c r="F1338" s="390">
        <f>'TTU FGD'!$F$53</f>
        <v>0</v>
      </c>
      <c r="G1338" s="390">
        <f>'TTU FGD'!$G$53</f>
        <v>5937883</v>
      </c>
      <c r="H1338" s="390">
        <f>'TTU FGD'!$H$53</f>
        <v>0</v>
      </c>
      <c r="I1338" s="390">
        <f>'TTU FGD'!$I$53</f>
        <v>0</v>
      </c>
      <c r="J1338" s="390">
        <f>'TTU FGD'!$J$53</f>
        <v>0</v>
      </c>
      <c r="K1338" s="390">
        <f>'TTU FGD'!$K$53</f>
        <v>0</v>
      </c>
      <c r="L1338" s="390">
        <f>'TTU FGD'!$L$53</f>
        <v>0</v>
      </c>
      <c r="M1338" s="390">
        <f>'TTU FGD'!$M$53</f>
        <v>15934030</v>
      </c>
      <c r="N1338" s="401"/>
    </row>
    <row r="1339" spans="2:14" s="160" customFormat="1" ht="12.75" hidden="1" customHeight="1" outlineLevel="1">
      <c r="B1339" s="674" t="str">
        <f>'TWU FGD'!$B$2</f>
        <v>Texas Woman's University</v>
      </c>
      <c r="D1339" s="390">
        <f>'TWU FGD'!$D$53</f>
        <v>0</v>
      </c>
      <c r="E1339" s="390">
        <f>'TWU FGD'!$E$53</f>
        <v>-40009</v>
      </c>
      <c r="F1339" s="390">
        <f>'TWU FGD'!$F$53</f>
        <v>-1086</v>
      </c>
      <c r="G1339" s="390">
        <f>'TWU FGD'!$G$53</f>
        <v>0</v>
      </c>
      <c r="H1339" s="390">
        <f>'TWU FGD'!$H$53</f>
        <v>0</v>
      </c>
      <c r="I1339" s="390">
        <f>'TWU FGD'!$I$53</f>
        <v>0</v>
      </c>
      <c r="J1339" s="390">
        <f>'TWU FGD'!$J$53</f>
        <v>0</v>
      </c>
      <c r="K1339" s="390">
        <f>'TWU FGD'!$K$53</f>
        <v>0</v>
      </c>
      <c r="L1339" s="390">
        <f>'TWU FGD'!$L$53</f>
        <v>0</v>
      </c>
      <c r="M1339" s="390">
        <f>'TWU FGD'!$M$53</f>
        <v>-41095</v>
      </c>
      <c r="N1339" s="401"/>
    </row>
    <row r="1340" spans="2:14" s="160" customFormat="1" ht="12.75" hidden="1" customHeight="1" outlineLevel="1">
      <c r="B1340" s="674" t="str">
        <f>'TXST FGD'!$B$2</f>
        <v>Texas State University</v>
      </c>
      <c r="D1340" s="390">
        <f>'TXST FGD'!$D$53</f>
        <v>1044132</v>
      </c>
      <c r="E1340" s="390">
        <f>'TXST FGD'!$E$53</f>
        <v>10858893</v>
      </c>
      <c r="F1340" s="390">
        <f>'TXST FGD'!$F$53</f>
        <v>0</v>
      </c>
      <c r="G1340" s="390">
        <f>'TXST FGD'!$G$53</f>
        <v>55830</v>
      </c>
      <c r="H1340" s="390">
        <f>'TXST FGD'!$H$53</f>
        <v>0</v>
      </c>
      <c r="I1340" s="390">
        <f>'TXST FGD'!$I$53</f>
        <v>691</v>
      </c>
      <c r="J1340" s="390">
        <f>'TXST FGD'!$J$53</f>
        <v>0</v>
      </c>
      <c r="K1340" s="390">
        <f>'TXST FGD'!$K$53</f>
        <v>-100</v>
      </c>
      <c r="L1340" s="390">
        <f>'TXST FGD'!$L$53</f>
        <v>0</v>
      </c>
      <c r="M1340" s="390">
        <f>'TXST FGD'!$M$53</f>
        <v>11959446</v>
      </c>
      <c r="N1340" s="401"/>
    </row>
    <row r="1341" spans="2:14" s="160" customFormat="1" ht="12.75" hidden="1" customHeight="1" outlineLevel="1">
      <c r="B1341" s="674" t="str">
        <f>'TYL FGD'!$B$2</f>
        <v>The University of Texas at Tyler</v>
      </c>
      <c r="D1341" s="390">
        <f>'TYL FGD'!$D$53</f>
        <v>0</v>
      </c>
      <c r="E1341" s="390">
        <f>'TYL FGD'!$E$53</f>
        <v>10753589</v>
      </c>
      <c r="F1341" s="390">
        <f>'TYL FGD'!$F$53</f>
        <v>0</v>
      </c>
      <c r="G1341" s="390">
        <f>'TYL FGD'!$G$53</f>
        <v>463705</v>
      </c>
      <c r="H1341" s="390">
        <f>'TYL FGD'!$H$53</f>
        <v>0</v>
      </c>
      <c r="I1341" s="390">
        <f>'TYL FGD'!$I$53</f>
        <v>0</v>
      </c>
      <c r="J1341" s="390">
        <f>'TYL FGD'!$J$53</f>
        <v>0</v>
      </c>
      <c r="K1341" s="390">
        <f>'TYL FGD'!$K$53</f>
        <v>0</v>
      </c>
      <c r="L1341" s="390">
        <f>'TYL FGD'!$L$53</f>
        <v>0</v>
      </c>
      <c r="M1341" s="390">
        <f>'TYL FGD'!$M$53</f>
        <v>11217294</v>
      </c>
      <c r="N1341" s="401"/>
    </row>
    <row r="1342" spans="2:14" s="160" customFormat="1" ht="12.75" hidden="1" customHeight="1" outlineLevel="1">
      <c r="B1342" s="674" t="str">
        <f>'UH1 FGD'!$B$2</f>
        <v>University of Houston - Academic &amp; Health (A+H)</v>
      </c>
      <c r="D1342" s="390">
        <f>'UH1 FGD'!$D$53</f>
        <v>1680</v>
      </c>
      <c r="E1342" s="390">
        <f>'UH1 FGD'!$E$53</f>
        <v>90969900</v>
      </c>
      <c r="F1342" s="390">
        <f>'UH1 FGD'!$F$53</f>
        <v>0</v>
      </c>
      <c r="G1342" s="390">
        <f>'UH1 FGD'!$G$53</f>
        <v>257581</v>
      </c>
      <c r="H1342" s="390">
        <f>'UH1 FGD'!$H$53</f>
        <v>0</v>
      </c>
      <c r="I1342" s="390">
        <f>'UH1 FGD'!$I$53</f>
        <v>0</v>
      </c>
      <c r="J1342" s="390">
        <f>'UH1 FGD'!$J$53</f>
        <v>0</v>
      </c>
      <c r="K1342" s="390">
        <f>'UH1 FGD'!$K$53</f>
        <v>0</v>
      </c>
      <c r="L1342" s="390">
        <f>'UH1 FGD'!$L$53</f>
        <v>0</v>
      </c>
      <c r="M1342" s="390">
        <f>'UH1 FGD'!$M$53</f>
        <v>91229161</v>
      </c>
      <c r="N1342" s="401"/>
    </row>
    <row r="1343" spans="2:14" s="160" customFormat="1" ht="12.75" hidden="1" customHeight="1" outlineLevel="1">
      <c r="B1343" s="674" t="str">
        <f>'UHCL FGD'!$B$2</f>
        <v>University of Houston - Clear Lake</v>
      </c>
      <c r="D1343" s="390">
        <f>'UHCL FGD'!$D$53</f>
        <v>20952</v>
      </c>
      <c r="E1343" s="390">
        <f>'UHCL FGD'!$E$53</f>
        <v>1141585</v>
      </c>
      <c r="F1343" s="390">
        <f>'UHCL FGD'!$F$53</f>
        <v>0</v>
      </c>
      <c r="G1343" s="390">
        <f>'UHCL FGD'!$G$53</f>
        <v>0</v>
      </c>
      <c r="H1343" s="390">
        <f>'UHCL FGD'!$H$53</f>
        <v>0</v>
      </c>
      <c r="I1343" s="390">
        <f>'UHCL FGD'!$I$53</f>
        <v>0</v>
      </c>
      <c r="J1343" s="390">
        <f>'UHCL FGD'!$J$53</f>
        <v>0</v>
      </c>
      <c r="K1343" s="390">
        <f>'UHCL FGD'!$K$53</f>
        <v>0</v>
      </c>
      <c r="L1343" s="390">
        <f>'UHCL FGD'!$L$53</f>
        <v>0</v>
      </c>
      <c r="M1343" s="390">
        <f>'UHCL FGD'!$M$53</f>
        <v>1162537</v>
      </c>
      <c r="N1343" s="401"/>
    </row>
    <row r="1344" spans="2:14" s="160" customFormat="1" ht="12.75" hidden="1" customHeight="1" outlineLevel="1">
      <c r="B1344" s="674" t="str">
        <f>'UHD FGD'!$B$2</f>
        <v>University of Houston - Downtown</v>
      </c>
      <c r="D1344" s="390">
        <f>'UHD FGD'!$D$53</f>
        <v>0</v>
      </c>
      <c r="E1344" s="390">
        <f>'UHD FGD'!$E$53</f>
        <v>2089098</v>
      </c>
      <c r="F1344" s="390">
        <f>'UHD FGD'!$F$53</f>
        <v>0</v>
      </c>
      <c r="G1344" s="390">
        <f>'UHD FGD'!$G$53</f>
        <v>0</v>
      </c>
      <c r="H1344" s="390">
        <f>'UHD FGD'!$H$53</f>
        <v>0</v>
      </c>
      <c r="I1344" s="390">
        <f>'UHD FGD'!$I$53</f>
        <v>0</v>
      </c>
      <c r="J1344" s="390">
        <f>'UHD FGD'!$J$53</f>
        <v>0</v>
      </c>
      <c r="K1344" s="390">
        <f>'UHD FGD'!$K$53</f>
        <v>0</v>
      </c>
      <c r="L1344" s="390">
        <f>'UHD FGD'!$L$53</f>
        <v>0</v>
      </c>
      <c r="M1344" s="390">
        <f>'UHD FGD'!$M$53</f>
        <v>2089098</v>
      </c>
      <c r="N1344" s="401"/>
    </row>
    <row r="1345" spans="2:14" s="160" customFormat="1" ht="12.75" hidden="1" customHeight="1" outlineLevel="1">
      <c r="B1345" s="674" t="str">
        <f>'UHV FGD'!$B$2</f>
        <v>University of Houston - Victoria</v>
      </c>
      <c r="D1345" s="390">
        <f>'UHV FGD'!$D$53</f>
        <v>0</v>
      </c>
      <c r="E1345" s="390">
        <f>'UHV FGD'!$E$53</f>
        <v>322197</v>
      </c>
      <c r="F1345" s="390">
        <f>'UHV FGD'!$F$53</f>
        <v>0</v>
      </c>
      <c r="G1345" s="390">
        <f>'UHV FGD'!$G$53</f>
        <v>0</v>
      </c>
      <c r="H1345" s="390">
        <f>'UHV FGD'!$H$53</f>
        <v>0</v>
      </c>
      <c r="I1345" s="390">
        <f>'UHV FGD'!$I$53</f>
        <v>0</v>
      </c>
      <c r="J1345" s="390">
        <f>'UHV FGD'!$J$53</f>
        <v>0</v>
      </c>
      <c r="K1345" s="390">
        <f>'UHV FGD'!$K$53</f>
        <v>0</v>
      </c>
      <c r="L1345" s="390">
        <f>'UHV FGD'!$L$53</f>
        <v>0</v>
      </c>
      <c r="M1345" s="390">
        <f>'UHV FGD'!$M$53</f>
        <v>322197</v>
      </c>
      <c r="N1345" s="401"/>
    </row>
    <row r="1346" spans="2:14" s="160" customFormat="1" ht="12.75" hidden="1" customHeight="1" outlineLevel="1">
      <c r="B1346" s="674" t="str">
        <f>'UNT FGD'!$B$2</f>
        <v>University of North Texas</v>
      </c>
      <c r="D1346" s="390">
        <f>'UNT FGD'!$D$53</f>
        <v>101181</v>
      </c>
      <c r="E1346" s="390">
        <f>'UNT FGD'!$E$53</f>
        <v>14870538</v>
      </c>
      <c r="F1346" s="390">
        <f>'UNT FGD'!$F$53</f>
        <v>0</v>
      </c>
      <c r="G1346" s="390">
        <f>'UNT FGD'!$G$53</f>
        <v>1815931</v>
      </c>
      <c r="H1346" s="390">
        <f>'UNT FGD'!$H$53</f>
        <v>-147279</v>
      </c>
      <c r="I1346" s="390">
        <f>'UNT FGD'!$I$53</f>
        <v>0</v>
      </c>
      <c r="J1346" s="390">
        <f>'UNT FGD'!$J$53</f>
        <v>0</v>
      </c>
      <c r="K1346" s="390">
        <f>'UNT FGD'!$K$53</f>
        <v>0</v>
      </c>
      <c r="L1346" s="390">
        <f>'UNT FGD'!$L$53</f>
        <v>0</v>
      </c>
      <c r="M1346" s="390">
        <f>'UNT FGD'!$M$53</f>
        <v>16640371</v>
      </c>
      <c r="N1346" s="401"/>
    </row>
    <row r="1347" spans="2:14" s="160" customFormat="1" ht="12.75" hidden="1" customHeight="1" outlineLevel="1">
      <c r="B1347" s="674" t="str">
        <f>'UNTD FGD'!$B$2</f>
        <v>University of North Texas at Dallas</v>
      </c>
      <c r="D1347" s="390">
        <f>'UNTD FGD'!$D$53</f>
        <v>0</v>
      </c>
      <c r="E1347" s="390">
        <f>'UNTD FGD'!$E$53</f>
        <v>402312</v>
      </c>
      <c r="F1347" s="390">
        <f>'UNTD FGD'!$F$53</f>
        <v>0</v>
      </c>
      <c r="G1347" s="390">
        <f>'UNTD FGD'!$G$53</f>
        <v>267165</v>
      </c>
      <c r="H1347" s="390">
        <f>'UNTD FGD'!$H$53</f>
        <v>0</v>
      </c>
      <c r="I1347" s="390">
        <f>'UNTD FGD'!$I$53</f>
        <v>0</v>
      </c>
      <c r="J1347" s="390">
        <f>'UNTD FGD'!$J$53</f>
        <v>0</v>
      </c>
      <c r="K1347" s="390">
        <f>'UNTD FGD'!$K$53</f>
        <v>0</v>
      </c>
      <c r="L1347" s="390">
        <f>'UNTD FGD'!$L$53</f>
        <v>0</v>
      </c>
      <c r="M1347" s="390">
        <f>'UNTD FGD'!$M$53</f>
        <v>669477</v>
      </c>
      <c r="N1347" s="401"/>
    </row>
    <row r="1348" spans="2:14" s="160" customFormat="1" ht="12.75" hidden="1" customHeight="1" outlineLevel="1">
      <c r="B1348" s="674" t="str">
        <f>'WTAMU FGD'!$B$2</f>
        <v>West Texas A&amp;M University</v>
      </c>
      <c r="D1348" s="390">
        <f>'WTAMU FGD'!$D$53</f>
        <v>44150</v>
      </c>
      <c r="E1348" s="390">
        <f>'WTAMU FGD'!$E$53</f>
        <v>9095396</v>
      </c>
      <c r="F1348" s="390">
        <f>'WTAMU FGD'!$F$53</f>
        <v>0</v>
      </c>
      <c r="G1348" s="390">
        <f>'WTAMU FGD'!$G$53</f>
        <v>2592804</v>
      </c>
      <c r="H1348" s="390">
        <f>'WTAMU FGD'!$H$53</f>
        <v>0</v>
      </c>
      <c r="I1348" s="390">
        <f>'WTAMU FGD'!$I$53</f>
        <v>0</v>
      </c>
      <c r="J1348" s="390">
        <f>'WTAMU FGD'!$J$53</f>
        <v>0</v>
      </c>
      <c r="K1348" s="390">
        <f>'WTAMU FGD'!$K$53</f>
        <v>0</v>
      </c>
      <c r="L1348" s="390">
        <f>'WTAMU FGD'!$L$53</f>
        <v>0</v>
      </c>
      <c r="M1348" s="390">
        <f>'WTAMU FGD'!$M$53</f>
        <v>11732350</v>
      </c>
      <c r="N1348" s="401"/>
    </row>
    <row r="1349" spans="2:14" s="160" customFormat="1" collapsed="1">
      <c r="B1349" s="160" t="s">
        <v>11</v>
      </c>
      <c r="D1349" s="390">
        <f t="shared" ref="D1349:M1349" si="35">SUM(D1313:D1348)</f>
        <v>49629496</v>
      </c>
      <c r="E1349" s="390">
        <f t="shared" si="35"/>
        <v>599223800</v>
      </c>
      <c r="F1349" s="390">
        <f t="shared" si="35"/>
        <v>182721</v>
      </c>
      <c r="G1349" s="390">
        <f t="shared" si="35"/>
        <v>37130327</v>
      </c>
      <c r="H1349" s="390">
        <f t="shared" si="35"/>
        <v>-147279</v>
      </c>
      <c r="I1349" s="390">
        <f t="shared" si="35"/>
        <v>19385</v>
      </c>
      <c r="J1349" s="390">
        <f t="shared" si="35"/>
        <v>0</v>
      </c>
      <c r="K1349" s="390">
        <f t="shared" si="35"/>
        <v>-100</v>
      </c>
      <c r="L1349" s="390">
        <f t="shared" si="35"/>
        <v>0</v>
      </c>
      <c r="M1349" s="390">
        <f t="shared" si="35"/>
        <v>686038350</v>
      </c>
      <c r="N1349" s="401"/>
    </row>
    <row r="1350" spans="2:14" s="160" customFormat="1" ht="12.75" hidden="1" customHeight="1" outlineLevel="1">
      <c r="B1350" s="674" t="str">
        <f>'ARL FGD'!$B$2</f>
        <v>The University of Texas at Arlington</v>
      </c>
      <c r="D1350" s="390">
        <f>'ARL FGD'!$D$54</f>
        <v>0</v>
      </c>
      <c r="E1350" s="390">
        <f>'ARL FGD'!$E$54</f>
        <v>0</v>
      </c>
      <c r="F1350" s="390">
        <f>'ARL FGD'!$F$54</f>
        <v>31718698</v>
      </c>
      <c r="G1350" s="390">
        <f>'ARL FGD'!$G$54</f>
        <v>0</v>
      </c>
      <c r="H1350" s="390">
        <f>'ARL FGD'!$H$54</f>
        <v>0</v>
      </c>
      <c r="I1350" s="390">
        <f>'ARL FGD'!$I$54</f>
        <v>0</v>
      </c>
      <c r="J1350" s="390">
        <f>'ARL FGD'!$J$54</f>
        <v>0</v>
      </c>
      <c r="K1350" s="390">
        <f>'ARL FGD'!$K$54</f>
        <v>0</v>
      </c>
      <c r="L1350" s="390">
        <f>'ARL FGD'!$L$54</f>
        <v>0</v>
      </c>
      <c r="M1350" s="390">
        <f>'ARL FGD'!$M$54</f>
        <v>31718698</v>
      </c>
      <c r="N1350" s="401"/>
    </row>
    <row r="1351" spans="2:14" s="160" customFormat="1" ht="12.75" hidden="1" customHeight="1" outlineLevel="1">
      <c r="B1351" s="674" t="str">
        <f>'ASU FGD'!$B$2</f>
        <v>Angelo State University</v>
      </c>
      <c r="D1351" s="390">
        <f>'ASU FGD'!$D$54</f>
        <v>0</v>
      </c>
      <c r="E1351" s="390">
        <f>'ASU FGD'!$E$54</f>
        <v>0</v>
      </c>
      <c r="F1351" s="390">
        <f>'ASU FGD'!$F$54</f>
        <v>10470932</v>
      </c>
      <c r="G1351" s="390">
        <f>'ASU FGD'!$G$54</f>
        <v>0</v>
      </c>
      <c r="H1351" s="390">
        <f>'ASU FGD'!$H$54</f>
        <v>0</v>
      </c>
      <c r="I1351" s="390">
        <f>'ASU FGD'!$I$54</f>
        <v>0</v>
      </c>
      <c r="J1351" s="390">
        <f>'ASU FGD'!$J$54</f>
        <v>0</v>
      </c>
      <c r="K1351" s="390">
        <f>'ASU FGD'!$K$54</f>
        <v>0</v>
      </c>
      <c r="L1351" s="390">
        <f>'ASU FGD'!$L$54</f>
        <v>0</v>
      </c>
      <c r="M1351" s="390">
        <f>'ASU FGD'!$M$54</f>
        <v>10470932</v>
      </c>
      <c r="N1351" s="401"/>
    </row>
    <row r="1352" spans="2:14" s="160" customFormat="1" ht="12.75" hidden="1" customHeight="1" outlineLevel="1">
      <c r="B1352" s="674" t="str">
        <f>'AUS1 FGD'!$B$2</f>
        <v>The University of Texas at Austin - Academic &amp; Health (A+H)</v>
      </c>
      <c r="D1352" s="390">
        <f>'AUS1 FGD'!$D$54</f>
        <v>0</v>
      </c>
      <c r="E1352" s="390">
        <f>'AUS1 FGD'!$E$54</f>
        <v>0</v>
      </c>
      <c r="F1352" s="390">
        <f>'AUS1 FGD'!$F$54</f>
        <v>164236378</v>
      </c>
      <c r="G1352" s="390">
        <f>'AUS1 FGD'!$G$54</f>
        <v>0</v>
      </c>
      <c r="H1352" s="390">
        <f>'AUS1 FGD'!$H$54</f>
        <v>0</v>
      </c>
      <c r="I1352" s="390">
        <f>'AUS1 FGD'!$I$54</f>
        <v>0</v>
      </c>
      <c r="J1352" s="390">
        <f>'AUS1 FGD'!$J$54</f>
        <v>0</v>
      </c>
      <c r="K1352" s="390">
        <f>'AUS1 FGD'!$K$54</f>
        <v>0</v>
      </c>
      <c r="L1352" s="390">
        <f>'AUS1 FGD'!$L$54</f>
        <v>0</v>
      </c>
      <c r="M1352" s="390">
        <f>'AUS1 FGD'!$M$54</f>
        <v>164236378</v>
      </c>
      <c r="N1352" s="401"/>
    </row>
    <row r="1353" spans="2:14" s="160" customFormat="1" ht="12.75" hidden="1" customHeight="1" outlineLevel="1">
      <c r="B1353" s="674" t="str">
        <f>'RGV1 FGD'!$B$2</f>
        <v>The University of Texas RGV - Academic &amp; Health (A+H)</v>
      </c>
      <c r="D1353" s="390">
        <f>'RGV1 FGD'!$D$54</f>
        <v>0</v>
      </c>
      <c r="E1353" s="390">
        <f>'RGV1 FGD'!$E$54</f>
        <v>0</v>
      </c>
      <c r="F1353" s="390">
        <f>'RGV1 FGD'!$F$54</f>
        <v>3925402</v>
      </c>
      <c r="G1353" s="390">
        <f>'RGV1 FGD'!$G$54</f>
        <v>0</v>
      </c>
      <c r="H1353" s="390">
        <f>'RGV1 FGD'!$H$54</f>
        <v>0</v>
      </c>
      <c r="I1353" s="390">
        <f>'RGV1 FGD'!$I$54</f>
        <v>0</v>
      </c>
      <c r="J1353" s="390">
        <f>'RGV1 FGD'!$J$54</f>
        <v>0</v>
      </c>
      <c r="K1353" s="390">
        <f>'RGV1 FGD'!$K$54</f>
        <v>0</v>
      </c>
      <c r="L1353" s="390">
        <f>'RGV1 FGD'!$L$54</f>
        <v>0</v>
      </c>
      <c r="M1353" s="390">
        <f>'RGV1 FGD'!$M$54</f>
        <v>3925402</v>
      </c>
      <c r="N1353" s="401"/>
    </row>
    <row r="1354" spans="2:14" s="160" customFormat="1" ht="12.75" hidden="1" customHeight="1" outlineLevel="1">
      <c r="B1354" s="674" t="str">
        <f>'DAL FGD'!$B$2</f>
        <v>The University of Texas at Dallas</v>
      </c>
      <c r="D1354" s="390">
        <f>'DAL FGD'!$D$54</f>
        <v>0</v>
      </c>
      <c r="E1354" s="390">
        <f>'DAL FGD'!$E$54</f>
        <v>0</v>
      </c>
      <c r="F1354" s="390">
        <f>'DAL FGD'!$F$54</f>
        <v>28944491</v>
      </c>
      <c r="G1354" s="390">
        <f>'DAL FGD'!$G$54</f>
        <v>0</v>
      </c>
      <c r="H1354" s="390">
        <f>'DAL FGD'!$H$54</f>
        <v>0</v>
      </c>
      <c r="I1354" s="390">
        <f>'DAL FGD'!$I$54</f>
        <v>0</v>
      </c>
      <c r="J1354" s="390">
        <f>'DAL FGD'!$J$54</f>
        <v>0</v>
      </c>
      <c r="K1354" s="390">
        <f>'DAL FGD'!$K$54</f>
        <v>0</v>
      </c>
      <c r="L1354" s="390">
        <f>'DAL FGD'!$L$54</f>
        <v>0</v>
      </c>
      <c r="M1354" s="390">
        <f>'DAL FGD'!$M$54</f>
        <v>28944491</v>
      </c>
      <c r="N1354" s="401"/>
    </row>
    <row r="1355" spans="2:14" s="160" customFormat="1" ht="12.75" hidden="1" customHeight="1" outlineLevel="1">
      <c r="B1355" s="674" t="str">
        <f>'E-P FGD'!$B$2</f>
        <v>The University of Texas at El Paso</v>
      </c>
      <c r="D1355" s="390">
        <f>'E-P FGD'!$D$54</f>
        <v>0</v>
      </c>
      <c r="E1355" s="390">
        <f>'E-P FGD'!$E$54</f>
        <v>0</v>
      </c>
      <c r="F1355" s="390">
        <f>'E-P FGD'!$F$54</f>
        <v>16537887</v>
      </c>
      <c r="G1355" s="390">
        <f>'E-P FGD'!$G$54</f>
        <v>0</v>
      </c>
      <c r="H1355" s="390">
        <f>'E-P FGD'!$H$54</f>
        <v>0</v>
      </c>
      <c r="I1355" s="390">
        <f>'E-P FGD'!$I$54</f>
        <v>0</v>
      </c>
      <c r="J1355" s="390">
        <f>'E-P FGD'!$J$54</f>
        <v>0</v>
      </c>
      <c r="K1355" s="390">
        <f>'E-P FGD'!$K$54</f>
        <v>0</v>
      </c>
      <c r="L1355" s="390">
        <f>'E-P FGD'!$L$54</f>
        <v>0</v>
      </c>
      <c r="M1355" s="390">
        <f>'E-P FGD'!$M$54</f>
        <v>16537887</v>
      </c>
      <c r="N1355" s="401"/>
    </row>
    <row r="1356" spans="2:14" s="160" customFormat="1" ht="12.75" hidden="1" customHeight="1" outlineLevel="1">
      <c r="B1356" s="674" t="str">
        <f>'LU FGD'!$B$2</f>
        <v xml:space="preserve">Lamar University </v>
      </c>
      <c r="D1356" s="390">
        <f>'LU FGD'!$D$54</f>
        <v>6214657</v>
      </c>
      <c r="E1356" s="390">
        <f>'LU FGD'!$E$54</f>
        <v>1496169</v>
      </c>
      <c r="F1356" s="390">
        <f>'LU FGD'!$F$54</f>
        <v>25309408</v>
      </c>
      <c r="G1356" s="390">
        <f>'LU FGD'!$G$54</f>
        <v>0</v>
      </c>
      <c r="H1356" s="390">
        <f>'LU FGD'!$H$54</f>
        <v>0</v>
      </c>
      <c r="I1356" s="390">
        <f>'LU FGD'!$I$54</f>
        <v>0</v>
      </c>
      <c r="J1356" s="390">
        <f>'LU FGD'!$J$54</f>
        <v>0</v>
      </c>
      <c r="K1356" s="390">
        <f>'LU FGD'!$K$54</f>
        <v>0</v>
      </c>
      <c r="L1356" s="390">
        <f>'LU FGD'!$L$54</f>
        <v>0</v>
      </c>
      <c r="M1356" s="390">
        <f>'LU FGD'!$M$54</f>
        <v>33020234</v>
      </c>
      <c r="N1356" s="401"/>
    </row>
    <row r="1357" spans="2:14" s="160" customFormat="1" ht="12.75" hidden="1" customHeight="1" outlineLevel="1">
      <c r="B1357" s="674" t="str">
        <f>'MidWST FGD'!$B$2</f>
        <v>Midwestern State University</v>
      </c>
      <c r="D1357" s="390">
        <f>'MidWST FGD'!$D$54</f>
        <v>0</v>
      </c>
      <c r="E1357" s="390">
        <f>'MidWST FGD'!$E$54</f>
        <v>0</v>
      </c>
      <c r="F1357" s="390">
        <f>'MidWST FGD'!$F$54</f>
        <v>13143360</v>
      </c>
      <c r="G1357" s="390">
        <f>'MidWST FGD'!$G$54</f>
        <v>0</v>
      </c>
      <c r="H1357" s="390">
        <f>'MidWST FGD'!$H$54</f>
        <v>0</v>
      </c>
      <c r="I1357" s="390">
        <f>'MidWST FGD'!$I$54</f>
        <v>0</v>
      </c>
      <c r="J1357" s="390">
        <f>'MidWST FGD'!$J$54</f>
        <v>0</v>
      </c>
      <c r="K1357" s="390">
        <f>'MidWST FGD'!$K$54</f>
        <v>0</v>
      </c>
      <c r="L1357" s="390">
        <f>'MidWST FGD'!$L$54</f>
        <v>0</v>
      </c>
      <c r="M1357" s="390">
        <f>'MidWST FGD'!$M$54</f>
        <v>13143360</v>
      </c>
      <c r="N1357" s="401"/>
    </row>
    <row r="1358" spans="2:14" s="160" customFormat="1" ht="12.75" hidden="1" customHeight="1" outlineLevel="1">
      <c r="B1358" s="674" t="str">
        <f>'P-B FGD'!$B$2</f>
        <v>The University of Texas of the Permian Basin</v>
      </c>
      <c r="D1358" s="390">
        <f>'P-B FGD'!$D$54</f>
        <v>0</v>
      </c>
      <c r="E1358" s="390">
        <f>'P-B FGD'!$E$54</f>
        <v>0</v>
      </c>
      <c r="F1358" s="390">
        <f>'P-B FGD'!$F$54</f>
        <v>6063878</v>
      </c>
      <c r="G1358" s="390">
        <f>'P-B FGD'!$G$54</f>
        <v>0</v>
      </c>
      <c r="H1358" s="390">
        <f>'P-B FGD'!$H$54</f>
        <v>0</v>
      </c>
      <c r="I1358" s="390">
        <f>'P-B FGD'!$I$54</f>
        <v>0</v>
      </c>
      <c r="J1358" s="390">
        <f>'P-B FGD'!$J$54</f>
        <v>0</v>
      </c>
      <c r="K1358" s="390">
        <f>'P-B FGD'!$K$54</f>
        <v>0</v>
      </c>
      <c r="L1358" s="390">
        <f>'P-B FGD'!$L$54</f>
        <v>0</v>
      </c>
      <c r="M1358" s="390">
        <f>'P-B FGD'!$M$54</f>
        <v>6063878</v>
      </c>
      <c r="N1358" s="401"/>
    </row>
    <row r="1359" spans="2:14" s="160" customFormat="1" ht="12.75" hidden="1" customHeight="1" outlineLevel="1">
      <c r="B1359" s="674" t="str">
        <f>'PVAMU FGD'!$B$2</f>
        <v>Prairie View A&amp;M University</v>
      </c>
      <c r="D1359" s="390">
        <f>'PVAMU FGD'!$D$54</f>
        <v>0</v>
      </c>
      <c r="E1359" s="390">
        <f>'PVAMU FGD'!$E$54</f>
        <v>0</v>
      </c>
      <c r="F1359" s="390">
        <f>'PVAMU FGD'!$F$54</f>
        <v>12774915</v>
      </c>
      <c r="G1359" s="390">
        <f>'PVAMU FGD'!$G$54</f>
        <v>0</v>
      </c>
      <c r="H1359" s="390">
        <f>'PVAMU FGD'!$H$54</f>
        <v>0</v>
      </c>
      <c r="I1359" s="390">
        <f>'PVAMU FGD'!$I$54</f>
        <v>0</v>
      </c>
      <c r="J1359" s="390">
        <f>'PVAMU FGD'!$J$54</f>
        <v>0</v>
      </c>
      <c r="K1359" s="390">
        <f>'PVAMU FGD'!$K$54</f>
        <v>0</v>
      </c>
      <c r="L1359" s="390">
        <f>'PVAMU FGD'!$L$54</f>
        <v>0</v>
      </c>
      <c r="M1359" s="390">
        <f>'PVAMU FGD'!$M$54</f>
        <v>12774915</v>
      </c>
      <c r="N1359" s="401"/>
    </row>
    <row r="1360" spans="2:14" s="160" customFormat="1" ht="12.75" hidden="1" customHeight="1" outlineLevel="1">
      <c r="B1360" s="674" t="str">
        <f>'S-A FGD'!$B$2</f>
        <v>The University of Texas at San Antonio</v>
      </c>
      <c r="D1360" s="390">
        <f>'S-A FGD'!$D$54</f>
        <v>0</v>
      </c>
      <c r="E1360" s="390">
        <f>'S-A FGD'!$E$54</f>
        <v>0</v>
      </c>
      <c r="F1360" s="390">
        <f>'S-A FGD'!$F$54</f>
        <v>24712849</v>
      </c>
      <c r="G1360" s="390">
        <f>'S-A FGD'!$G$54</f>
        <v>0</v>
      </c>
      <c r="H1360" s="390">
        <f>'S-A FGD'!$H$54</f>
        <v>0</v>
      </c>
      <c r="I1360" s="390">
        <f>'S-A FGD'!$I$54</f>
        <v>0</v>
      </c>
      <c r="J1360" s="390">
        <f>'S-A FGD'!$J$54</f>
        <v>0</v>
      </c>
      <c r="K1360" s="390">
        <f>'S-A FGD'!$K$54</f>
        <v>0</v>
      </c>
      <c r="L1360" s="390">
        <f>'S-A FGD'!$L$54</f>
        <v>0</v>
      </c>
      <c r="M1360" s="390">
        <f>'S-A FGD'!$M$54</f>
        <v>24712849</v>
      </c>
      <c r="N1360" s="401"/>
    </row>
    <row r="1361" spans="2:14" s="160" customFormat="1" ht="12.75" hidden="1" customHeight="1" outlineLevel="1">
      <c r="B1361" s="674" t="str">
        <f>'SFA FGD'!$B$2</f>
        <v>Stephen F. Austin State University</v>
      </c>
      <c r="D1361" s="390">
        <f>'SFA FGD'!$D$54</f>
        <v>0</v>
      </c>
      <c r="E1361" s="390">
        <f>'SFA FGD'!$E$54</f>
        <v>0</v>
      </c>
      <c r="F1361" s="390">
        <f>'SFA FGD'!$F$54</f>
        <v>17374062</v>
      </c>
      <c r="G1361" s="390">
        <f>'SFA FGD'!$G$54</f>
        <v>0</v>
      </c>
      <c r="H1361" s="390">
        <f>'SFA FGD'!$H$54</f>
        <v>0</v>
      </c>
      <c r="I1361" s="390">
        <f>'SFA FGD'!$I$54</f>
        <v>0</v>
      </c>
      <c r="J1361" s="390">
        <f>'SFA FGD'!$J$54</f>
        <v>0</v>
      </c>
      <c r="K1361" s="390">
        <f>'SFA FGD'!$K$54</f>
        <v>0</v>
      </c>
      <c r="L1361" s="390">
        <f>'SFA FGD'!$L$54</f>
        <v>0</v>
      </c>
      <c r="M1361" s="390">
        <f>'SFA FGD'!$M$54</f>
        <v>17374062</v>
      </c>
      <c r="N1361" s="401"/>
    </row>
    <row r="1362" spans="2:14" s="160" customFormat="1" ht="12.75" hidden="1" customHeight="1" outlineLevel="1">
      <c r="B1362" s="674" t="str">
        <f>'shsu1 FGD'!$B$2</f>
        <v>Sam Houston State University - Academic &amp; Health (A+H)</v>
      </c>
      <c r="D1362" s="390">
        <f>'shsu1 FGD'!$D$54</f>
        <v>0</v>
      </c>
      <c r="E1362" s="390">
        <f>'shsu1 FGD'!$E$54</f>
        <v>20353</v>
      </c>
      <c r="F1362" s="390">
        <f>'shsu1 FGD'!$F$54</f>
        <v>31420334</v>
      </c>
      <c r="G1362" s="390">
        <f>'shsu1 FGD'!$G$54</f>
        <v>596930</v>
      </c>
      <c r="H1362" s="390">
        <f>'shsu1 FGD'!$H$54</f>
        <v>0</v>
      </c>
      <c r="I1362" s="390">
        <f>'shsu1 FGD'!$I$54</f>
        <v>0</v>
      </c>
      <c r="J1362" s="390">
        <f>'shsu1 FGD'!$J$54</f>
        <v>0</v>
      </c>
      <c r="K1362" s="390">
        <f>'shsu1 FGD'!$K$54</f>
        <v>0</v>
      </c>
      <c r="L1362" s="390">
        <f>'shsu1 FGD'!$L$54</f>
        <v>0</v>
      </c>
      <c r="M1362" s="390">
        <f>'shsu1 FGD'!$M$54</f>
        <v>32037617</v>
      </c>
      <c r="N1362" s="401"/>
    </row>
    <row r="1363" spans="2:14" s="160" customFormat="1" ht="12.75" hidden="1" customHeight="1" outlineLevel="1">
      <c r="B1363" s="674" t="str">
        <f>'SRSU FGD'!$B$2</f>
        <v>Sul Ross State University</v>
      </c>
      <c r="D1363" s="390">
        <f>'SRSU FGD'!$D$54</f>
        <v>0</v>
      </c>
      <c r="E1363" s="390">
        <f>'SRSU FGD'!$E$54</f>
        <v>0</v>
      </c>
      <c r="F1363" s="390">
        <f>'SRSU FGD'!$F$54</f>
        <v>2457439</v>
      </c>
      <c r="G1363" s="390">
        <f>'SRSU FGD'!$G$54</f>
        <v>0</v>
      </c>
      <c r="H1363" s="390">
        <f>'SRSU FGD'!$H$54</f>
        <v>0</v>
      </c>
      <c r="I1363" s="390">
        <f>'SRSU FGD'!$I$54</f>
        <v>0</v>
      </c>
      <c r="J1363" s="390">
        <f>'SRSU FGD'!$J$54</f>
        <v>0</v>
      </c>
      <c r="K1363" s="390">
        <f>'SRSU FGD'!$K$54</f>
        <v>0</v>
      </c>
      <c r="L1363" s="390">
        <f>'SRSU FGD'!$L$54</f>
        <v>0</v>
      </c>
      <c r="M1363" s="390">
        <f>'SRSU FGD'!$M$54</f>
        <v>2457439</v>
      </c>
      <c r="N1363" s="401"/>
    </row>
    <row r="1364" spans="2:14" s="160" customFormat="1" ht="12.75" hidden="1" customHeight="1" outlineLevel="1">
      <c r="B1364" s="674" t="str">
        <f>'TAMIU FGD'!$B$2</f>
        <v>Texas A&amp;M International University</v>
      </c>
      <c r="D1364" s="390">
        <f>'TAMIU FGD'!$D$54</f>
        <v>0</v>
      </c>
      <c r="E1364" s="390">
        <f>'TAMIU FGD'!$E$54</f>
        <v>0</v>
      </c>
      <c r="F1364" s="390">
        <f>'TAMIU FGD'!$F$54</f>
        <v>2014515</v>
      </c>
      <c r="G1364" s="390">
        <f>'TAMIU FGD'!$G$54</f>
        <v>0</v>
      </c>
      <c r="H1364" s="390">
        <f>'TAMIU FGD'!$H$54</f>
        <v>0</v>
      </c>
      <c r="I1364" s="390">
        <f>'TAMIU FGD'!$I$54</f>
        <v>0</v>
      </c>
      <c r="J1364" s="390">
        <f>'TAMIU FGD'!$J$54</f>
        <v>0</v>
      </c>
      <c r="K1364" s="390">
        <f>'TAMIU FGD'!$K$54</f>
        <v>0</v>
      </c>
      <c r="L1364" s="390">
        <f>'TAMIU FGD'!$L$54</f>
        <v>0</v>
      </c>
      <c r="M1364" s="390">
        <f>'TAMIU FGD'!$M$54</f>
        <v>2014515</v>
      </c>
      <c r="N1364" s="401"/>
    </row>
    <row r="1365" spans="2:14" s="160" customFormat="1" ht="12.75" hidden="1" customHeight="1" outlineLevel="1">
      <c r="B1365" s="674" t="str">
        <f>'TAMU FGD'!$B$2</f>
        <v>Texas A&amp;M University</v>
      </c>
      <c r="D1365" s="390">
        <f>'TAMU FGD'!$D$54</f>
        <v>0</v>
      </c>
      <c r="E1365" s="390">
        <f>'TAMU FGD'!$E$54</f>
        <v>0</v>
      </c>
      <c r="F1365" s="390">
        <f>'TAMU FGD'!$F$54</f>
        <v>189379128</v>
      </c>
      <c r="G1365" s="390">
        <f>'TAMU FGD'!$G$54</f>
        <v>0</v>
      </c>
      <c r="H1365" s="390">
        <f>'TAMU FGD'!$H$54</f>
        <v>0</v>
      </c>
      <c r="I1365" s="390">
        <f>'TAMU FGD'!$I$54</f>
        <v>0</v>
      </c>
      <c r="J1365" s="390">
        <f>'TAMU FGD'!$J$54</f>
        <v>0</v>
      </c>
      <c r="K1365" s="390">
        <f>'TAMU FGD'!$K$54</f>
        <v>0</v>
      </c>
      <c r="L1365" s="390">
        <f>'TAMU FGD'!$L$54</f>
        <v>0</v>
      </c>
      <c r="M1365" s="390">
        <f>'TAMU FGD'!$M$54</f>
        <v>189379128</v>
      </c>
      <c r="N1365" s="401"/>
    </row>
    <row r="1366" spans="2:14" s="160" customFormat="1" ht="12.75" hidden="1" customHeight="1" outlineLevel="1">
      <c r="B1366" s="674" t="str">
        <f>'TAMUC FGD'!$B$2</f>
        <v>Texas A&amp;M University - Commerce</v>
      </c>
      <c r="D1366" s="390">
        <f>'TAMUC FGD'!$D$54</f>
        <v>0</v>
      </c>
      <c r="E1366" s="390">
        <f>'TAMUC FGD'!$E$54</f>
        <v>0</v>
      </c>
      <c r="F1366" s="390">
        <f>'TAMUC FGD'!$F$54</f>
        <v>19244309</v>
      </c>
      <c r="G1366" s="390">
        <f>'TAMUC FGD'!$G$54</f>
        <v>0</v>
      </c>
      <c r="H1366" s="390">
        <f>'TAMUC FGD'!$H$54</f>
        <v>0</v>
      </c>
      <c r="I1366" s="390">
        <f>'TAMUC FGD'!$I$54</f>
        <v>0</v>
      </c>
      <c r="J1366" s="390">
        <f>'TAMUC FGD'!$J$54</f>
        <v>0</v>
      </c>
      <c r="K1366" s="390">
        <f>'TAMUC FGD'!$K$54</f>
        <v>0</v>
      </c>
      <c r="L1366" s="390">
        <f>'TAMUC FGD'!$L$54</f>
        <v>0</v>
      </c>
      <c r="M1366" s="390">
        <f>'TAMUC FGD'!$M$54</f>
        <v>19244309</v>
      </c>
      <c r="N1366" s="401"/>
    </row>
    <row r="1367" spans="2:14" s="160" customFormat="1" ht="12.75" hidden="1" customHeight="1" outlineLevel="1">
      <c r="B1367" s="674" t="str">
        <f>'TAMUCC FGD'!$B$2</f>
        <v>Texas A&amp;M University - Corpus Christi</v>
      </c>
      <c r="D1367" s="390">
        <f>'TAMUCC FGD'!$D$54</f>
        <v>0</v>
      </c>
      <c r="E1367" s="390">
        <f>'TAMUCC FGD'!$E$54</f>
        <v>0</v>
      </c>
      <c r="F1367" s="390">
        <f>'TAMUCC FGD'!$F$54</f>
        <v>6626824</v>
      </c>
      <c r="G1367" s="390">
        <f>'TAMUCC FGD'!$G$54</f>
        <v>0</v>
      </c>
      <c r="H1367" s="390">
        <f>'TAMUCC FGD'!$H$54</f>
        <v>0</v>
      </c>
      <c r="I1367" s="390">
        <f>'TAMUCC FGD'!$I$54</f>
        <v>0</v>
      </c>
      <c r="J1367" s="390">
        <f>'TAMUCC FGD'!$J$54</f>
        <v>0</v>
      </c>
      <c r="K1367" s="390">
        <f>'TAMUCC FGD'!$K$54</f>
        <v>0</v>
      </c>
      <c r="L1367" s="390">
        <f>'TAMUCC FGD'!$L$54</f>
        <v>0</v>
      </c>
      <c r="M1367" s="390">
        <f>'TAMUCC FGD'!$M$54</f>
        <v>6626824</v>
      </c>
      <c r="N1367" s="401"/>
    </row>
    <row r="1368" spans="2:14" s="160" customFormat="1" ht="12.75" hidden="1" customHeight="1" outlineLevel="1">
      <c r="B1368" s="674" t="str">
        <f>'TAMUCT FGD'!$B$2</f>
        <v>Texas A&amp;M University - Central Texas</v>
      </c>
      <c r="D1368" s="390">
        <f>'TAMUCT FGD'!$D$54</f>
        <v>0</v>
      </c>
      <c r="E1368" s="390">
        <f>'TAMUCT FGD'!$E$54</f>
        <v>0</v>
      </c>
      <c r="F1368" s="390">
        <f>'TAMUCT FGD'!$F$54</f>
        <v>50756</v>
      </c>
      <c r="G1368" s="390">
        <f>'TAMUCT FGD'!$G$54</f>
        <v>0</v>
      </c>
      <c r="H1368" s="390">
        <f>'TAMUCT FGD'!$H$54</f>
        <v>0</v>
      </c>
      <c r="I1368" s="390">
        <f>'TAMUCT FGD'!$I$54</f>
        <v>0</v>
      </c>
      <c r="J1368" s="390">
        <f>'TAMUCT FGD'!$J$54</f>
        <v>0</v>
      </c>
      <c r="K1368" s="390">
        <f>'TAMUCT FGD'!$K$54</f>
        <v>0</v>
      </c>
      <c r="L1368" s="390">
        <f>'TAMUCT FGD'!$L$54</f>
        <v>0</v>
      </c>
      <c r="M1368" s="390">
        <f>'TAMUCT FGD'!$M$54</f>
        <v>50756</v>
      </c>
      <c r="N1368" s="401"/>
    </row>
    <row r="1369" spans="2:14" s="160" customFormat="1" ht="12.75" hidden="1" customHeight="1" outlineLevel="1">
      <c r="B1369" s="674" t="str">
        <f>'TAMUG FGD'!$B$2</f>
        <v>Texas A&amp;M University at Galveston</v>
      </c>
      <c r="D1369" s="390">
        <f>'TAMUG FGD'!$D$54</f>
        <v>0</v>
      </c>
      <c r="E1369" s="390">
        <f>'TAMUG FGD'!$E$54</f>
        <v>0</v>
      </c>
      <c r="F1369" s="390">
        <f>'TAMUG FGD'!$F$54</f>
        <v>4734974</v>
      </c>
      <c r="G1369" s="390">
        <f>'TAMUG FGD'!$G$54</f>
        <v>0</v>
      </c>
      <c r="H1369" s="390">
        <f>'TAMUG FGD'!$H$54</f>
        <v>0</v>
      </c>
      <c r="I1369" s="390">
        <f>'TAMUG FGD'!$I$54</f>
        <v>0</v>
      </c>
      <c r="J1369" s="390">
        <f>'TAMUG FGD'!$J$54</f>
        <v>0</v>
      </c>
      <c r="K1369" s="390">
        <f>'TAMUG FGD'!$K$54</f>
        <v>0</v>
      </c>
      <c r="L1369" s="390">
        <f>'TAMUG FGD'!$L$54</f>
        <v>0</v>
      </c>
      <c r="M1369" s="390">
        <f>'TAMUG FGD'!$M$54</f>
        <v>4734974</v>
      </c>
      <c r="N1369" s="401"/>
    </row>
    <row r="1370" spans="2:14" s="160" customFormat="1" ht="12.75" hidden="1" customHeight="1" outlineLevel="1">
      <c r="B1370" s="674" t="str">
        <f>'TAMUK FGD'!$B$2</f>
        <v>Texas A&amp;M University - Kingsville</v>
      </c>
      <c r="D1370" s="390">
        <f>'TAMUK FGD'!$D$54</f>
        <v>0</v>
      </c>
      <c r="E1370" s="390">
        <f>'TAMUK FGD'!$E$54</f>
        <v>0</v>
      </c>
      <c r="F1370" s="390">
        <f>'TAMUK FGD'!$F$54</f>
        <v>10375585</v>
      </c>
      <c r="G1370" s="390">
        <f>'TAMUK FGD'!$G$54</f>
        <v>0</v>
      </c>
      <c r="H1370" s="390">
        <f>'TAMUK FGD'!$H$54</f>
        <v>0</v>
      </c>
      <c r="I1370" s="390">
        <f>'TAMUK FGD'!$I$54</f>
        <v>0</v>
      </c>
      <c r="J1370" s="390">
        <f>'TAMUK FGD'!$J$54</f>
        <v>0</v>
      </c>
      <c r="K1370" s="390">
        <f>'TAMUK FGD'!$K$54</f>
        <v>0</v>
      </c>
      <c r="L1370" s="390">
        <f>'TAMUK FGD'!$L$54</f>
        <v>0</v>
      </c>
      <c r="M1370" s="390">
        <f>'TAMUK FGD'!$M$54</f>
        <v>10375585</v>
      </c>
      <c r="N1370" s="401"/>
    </row>
    <row r="1371" spans="2:14" s="160" customFormat="1" ht="12.75" hidden="1" customHeight="1" outlineLevel="1">
      <c r="B1371" s="674" t="str">
        <f>'TAMUSA FGD'!$B$2</f>
        <v>Texas A&amp;M University - San Antonio</v>
      </c>
      <c r="D1371" s="390">
        <f>'TAMUSA FGD'!$D$54</f>
        <v>0</v>
      </c>
      <c r="E1371" s="390">
        <f>'TAMUSA FGD'!$E$54</f>
        <v>0</v>
      </c>
      <c r="F1371" s="390">
        <f>'TAMUSA FGD'!$F$54</f>
        <v>1761631</v>
      </c>
      <c r="G1371" s="390">
        <f>'TAMUSA FGD'!$G$54</f>
        <v>0</v>
      </c>
      <c r="H1371" s="390">
        <f>'TAMUSA FGD'!$H$54</f>
        <v>0</v>
      </c>
      <c r="I1371" s="390">
        <f>'TAMUSA FGD'!$I$54</f>
        <v>0</v>
      </c>
      <c r="J1371" s="390">
        <f>'TAMUSA FGD'!$J$54</f>
        <v>0</v>
      </c>
      <c r="K1371" s="390">
        <f>'TAMUSA FGD'!$K$54</f>
        <v>0</v>
      </c>
      <c r="L1371" s="390">
        <f>'TAMUSA FGD'!$L$54</f>
        <v>0</v>
      </c>
      <c r="M1371" s="390">
        <f>'TAMUSA FGD'!$M$54</f>
        <v>1761631</v>
      </c>
      <c r="N1371" s="401"/>
    </row>
    <row r="1372" spans="2:14" s="160" customFormat="1" ht="12.75" hidden="1" customHeight="1" outlineLevel="1">
      <c r="B1372" s="674" t="str">
        <f>'TAMUT FGD'!$B$2</f>
        <v>Texas A&amp;M University - Texarkana</v>
      </c>
      <c r="D1372" s="390">
        <f>'TAMUT FGD'!$D$54</f>
        <v>0</v>
      </c>
      <c r="E1372" s="390">
        <f>'TAMUT FGD'!$E$54</f>
        <v>0</v>
      </c>
      <c r="F1372" s="390">
        <f>'TAMUT FGD'!$F$54</f>
        <v>1485345</v>
      </c>
      <c r="G1372" s="390">
        <f>'TAMUT FGD'!$G$54</f>
        <v>0</v>
      </c>
      <c r="H1372" s="390">
        <f>'TAMUT FGD'!$H$54</f>
        <v>0</v>
      </c>
      <c r="I1372" s="390">
        <f>'TAMUT FGD'!$I$54</f>
        <v>0</v>
      </c>
      <c r="J1372" s="390">
        <f>'TAMUT FGD'!$J$54</f>
        <v>0</v>
      </c>
      <c r="K1372" s="390">
        <f>'TAMUT FGD'!$K$54</f>
        <v>0</v>
      </c>
      <c r="L1372" s="390">
        <f>'TAMUT FGD'!$L$54</f>
        <v>0</v>
      </c>
      <c r="M1372" s="390">
        <f>'TAMUT FGD'!$M$54</f>
        <v>1485345</v>
      </c>
      <c r="N1372" s="401"/>
    </row>
    <row r="1373" spans="2:14" s="160" customFormat="1" ht="12.75" hidden="1" customHeight="1" outlineLevel="1">
      <c r="B1373" s="674" t="str">
        <f>'TARLST FGD'!$B$2</f>
        <v>Tarleton State University</v>
      </c>
      <c r="D1373" s="390">
        <f>'TARLST FGD'!$D$54</f>
        <v>0</v>
      </c>
      <c r="E1373" s="390">
        <f>'TARLST FGD'!$E$54</f>
        <v>0</v>
      </c>
      <c r="F1373" s="390">
        <f>'TARLST FGD'!$F$54</f>
        <v>31363530</v>
      </c>
      <c r="G1373" s="390">
        <f>'TARLST FGD'!$G$54</f>
        <v>0</v>
      </c>
      <c r="H1373" s="390">
        <f>'TARLST FGD'!$H$54</f>
        <v>0</v>
      </c>
      <c r="I1373" s="390">
        <f>'TARLST FGD'!$I$54</f>
        <v>0</v>
      </c>
      <c r="J1373" s="390">
        <f>'TARLST FGD'!$J$54</f>
        <v>0</v>
      </c>
      <c r="K1373" s="390">
        <f>'TARLST FGD'!$K$54</f>
        <v>0</v>
      </c>
      <c r="L1373" s="390">
        <f>'TARLST FGD'!$L$54</f>
        <v>0</v>
      </c>
      <c r="M1373" s="390">
        <f>'TARLST FGD'!$M$54</f>
        <v>31363530</v>
      </c>
      <c r="N1373" s="401"/>
    </row>
    <row r="1374" spans="2:14" s="160" customFormat="1" ht="12.75" hidden="1" customHeight="1" outlineLevel="1">
      <c r="B1374" s="674" t="str">
        <f>'TSU FGD'!$B$2</f>
        <v>Texas Southern University</v>
      </c>
      <c r="D1374" s="390">
        <f>'TSU FGD'!$D$54</f>
        <v>0</v>
      </c>
      <c r="E1374" s="390">
        <f>'TSU FGD'!$E$54</f>
        <v>0</v>
      </c>
      <c r="F1374" s="390">
        <f>'TSU FGD'!$F$54</f>
        <v>7508284</v>
      </c>
      <c r="G1374" s="390">
        <f>'TSU FGD'!$G$54</f>
        <v>0</v>
      </c>
      <c r="H1374" s="390">
        <f>'TSU FGD'!$H$54</f>
        <v>0</v>
      </c>
      <c r="I1374" s="390">
        <f>'TSU FGD'!$I$54</f>
        <v>0</v>
      </c>
      <c r="J1374" s="390">
        <f>'TSU FGD'!$J$54</f>
        <v>0</v>
      </c>
      <c r="K1374" s="390">
        <f>'TSU FGD'!$K$54</f>
        <v>0</v>
      </c>
      <c r="L1374" s="390">
        <f>'TSU FGD'!$L$54</f>
        <v>0</v>
      </c>
      <c r="M1374" s="390">
        <f>'TSU FGD'!$M$54</f>
        <v>7508284</v>
      </c>
      <c r="N1374" s="401"/>
    </row>
    <row r="1375" spans="2:14" s="160" customFormat="1" ht="12.75" hidden="1" customHeight="1" outlineLevel="1">
      <c r="B1375" s="674" t="str">
        <f>'TTU FGD'!$B$2</f>
        <v>Texas Tech University</v>
      </c>
      <c r="D1375" s="390">
        <f>'TTU FGD'!$D$54</f>
        <v>0</v>
      </c>
      <c r="E1375" s="390">
        <f>'TTU FGD'!$E$54</f>
        <v>0</v>
      </c>
      <c r="F1375" s="390">
        <f>'TTU FGD'!$F$54</f>
        <v>134410311</v>
      </c>
      <c r="G1375" s="390">
        <f>'TTU FGD'!$G$54</f>
        <v>0</v>
      </c>
      <c r="H1375" s="390">
        <f>'TTU FGD'!$H$54</f>
        <v>0</v>
      </c>
      <c r="I1375" s="390">
        <f>'TTU FGD'!$I$54</f>
        <v>0</v>
      </c>
      <c r="J1375" s="390">
        <f>'TTU FGD'!$J$54</f>
        <v>0</v>
      </c>
      <c r="K1375" s="390">
        <f>'TTU FGD'!$K$54</f>
        <v>0</v>
      </c>
      <c r="L1375" s="390">
        <f>'TTU FGD'!$L$54</f>
        <v>0</v>
      </c>
      <c r="M1375" s="390">
        <f>'TTU FGD'!$M$54</f>
        <v>134410311</v>
      </c>
      <c r="N1375" s="401"/>
    </row>
    <row r="1376" spans="2:14" s="160" customFormat="1" ht="12.75" hidden="1" customHeight="1" outlineLevel="1">
      <c r="B1376" s="674" t="str">
        <f>'TWU FGD'!$B$2</f>
        <v>Texas Woman's University</v>
      </c>
      <c r="D1376" s="390">
        <f>'TWU FGD'!$D$54</f>
        <v>0</v>
      </c>
      <c r="E1376" s="390">
        <f>'TWU FGD'!$E$54</f>
        <v>0</v>
      </c>
      <c r="F1376" s="390">
        <f>'TWU FGD'!$F$54</f>
        <v>17712952</v>
      </c>
      <c r="G1376" s="390">
        <f>'TWU FGD'!$G$54</f>
        <v>0</v>
      </c>
      <c r="H1376" s="390">
        <f>'TWU FGD'!$H$54</f>
        <v>0</v>
      </c>
      <c r="I1376" s="390">
        <f>'TWU FGD'!$I$54</f>
        <v>0</v>
      </c>
      <c r="J1376" s="390">
        <f>'TWU FGD'!$J$54</f>
        <v>0</v>
      </c>
      <c r="K1376" s="390">
        <f>'TWU FGD'!$K$54</f>
        <v>0</v>
      </c>
      <c r="L1376" s="390">
        <f>'TWU FGD'!$L$54</f>
        <v>0</v>
      </c>
      <c r="M1376" s="390">
        <f>'TWU FGD'!$M$54</f>
        <v>17712952</v>
      </c>
      <c r="N1376" s="401"/>
    </row>
    <row r="1377" spans="2:14" s="160" customFormat="1" ht="12.75" hidden="1" customHeight="1" outlineLevel="1">
      <c r="B1377" s="674" t="str">
        <f>'TXST FGD'!$B$2</f>
        <v>Texas State University</v>
      </c>
      <c r="D1377" s="390">
        <f>'TXST FGD'!$D$54</f>
        <v>0</v>
      </c>
      <c r="E1377" s="390">
        <f>'TXST FGD'!$E$54</f>
        <v>0</v>
      </c>
      <c r="F1377" s="390">
        <f>'TXST FGD'!$F$54</f>
        <v>69893224</v>
      </c>
      <c r="G1377" s="390">
        <f>'TXST FGD'!$G$54</f>
        <v>0</v>
      </c>
      <c r="H1377" s="390">
        <f>'TXST FGD'!$H$54</f>
        <v>0</v>
      </c>
      <c r="I1377" s="390">
        <f>'TXST FGD'!$I$54</f>
        <v>0</v>
      </c>
      <c r="J1377" s="390">
        <f>'TXST FGD'!$J$54</f>
        <v>0</v>
      </c>
      <c r="K1377" s="390">
        <f>'TXST FGD'!$K$54</f>
        <v>0</v>
      </c>
      <c r="L1377" s="390">
        <f>'TXST FGD'!$L$54</f>
        <v>0</v>
      </c>
      <c r="M1377" s="390">
        <f>'TXST FGD'!$M$54</f>
        <v>69893224</v>
      </c>
      <c r="N1377" s="401"/>
    </row>
    <row r="1378" spans="2:14" s="160" customFormat="1" ht="12.75" hidden="1" customHeight="1" outlineLevel="1">
      <c r="B1378" s="674" t="str">
        <f>'TYL FGD'!$B$2</f>
        <v>The University of Texas at Tyler</v>
      </c>
      <c r="D1378" s="390">
        <f>'TYL FGD'!$D$54</f>
        <v>0</v>
      </c>
      <c r="E1378" s="390">
        <f>'TYL FGD'!$E$54</f>
        <v>0</v>
      </c>
      <c r="F1378" s="390">
        <f>'TYL FGD'!$F$54</f>
        <v>10251224</v>
      </c>
      <c r="G1378" s="390">
        <f>'TYL FGD'!$G$54</f>
        <v>0</v>
      </c>
      <c r="H1378" s="390">
        <f>'TYL FGD'!$H$54</f>
        <v>0</v>
      </c>
      <c r="I1378" s="390">
        <f>'TYL FGD'!$I$54</f>
        <v>0</v>
      </c>
      <c r="J1378" s="390">
        <f>'TYL FGD'!$J$54</f>
        <v>0</v>
      </c>
      <c r="K1378" s="390">
        <f>'TYL FGD'!$K$54</f>
        <v>0</v>
      </c>
      <c r="L1378" s="390">
        <f>'TYL FGD'!$L$54</f>
        <v>0</v>
      </c>
      <c r="M1378" s="390">
        <f>'TYL FGD'!$M$54</f>
        <v>10251224</v>
      </c>
      <c r="N1378" s="401"/>
    </row>
    <row r="1379" spans="2:14" s="160" customFormat="1" ht="12.75" hidden="1" customHeight="1" outlineLevel="1">
      <c r="B1379" s="674" t="str">
        <f>'UH1 FGD'!$B$2</f>
        <v>University of Houston - Academic &amp; Health (A+H)</v>
      </c>
      <c r="D1379" s="390">
        <f>'UH1 FGD'!$D$54</f>
        <v>0</v>
      </c>
      <c r="E1379" s="390">
        <f>'UH1 FGD'!$E$54</f>
        <v>0</v>
      </c>
      <c r="F1379" s="390">
        <f>'UH1 FGD'!$F$54</f>
        <v>47444235</v>
      </c>
      <c r="G1379" s="390">
        <f>'UH1 FGD'!$G$54</f>
        <v>0</v>
      </c>
      <c r="H1379" s="390">
        <f>'UH1 FGD'!$H$54</f>
        <v>0</v>
      </c>
      <c r="I1379" s="390">
        <f>'UH1 FGD'!$I$54</f>
        <v>0</v>
      </c>
      <c r="J1379" s="390">
        <f>'UH1 FGD'!$J$54</f>
        <v>0</v>
      </c>
      <c r="K1379" s="390">
        <f>'UH1 FGD'!$K$54</f>
        <v>0</v>
      </c>
      <c r="L1379" s="390">
        <f>'UH1 FGD'!$L$54</f>
        <v>0</v>
      </c>
      <c r="M1379" s="390">
        <f>'UH1 FGD'!$M$54</f>
        <v>47444235</v>
      </c>
      <c r="N1379" s="401"/>
    </row>
    <row r="1380" spans="2:14" s="160" customFormat="1" ht="12.75" hidden="1" customHeight="1" outlineLevel="1">
      <c r="B1380" s="674" t="str">
        <f>'UHCL FGD'!$B$2</f>
        <v>University of Houston - Clear Lake</v>
      </c>
      <c r="D1380" s="390">
        <f>'UHCL FGD'!$D$54</f>
        <v>0</v>
      </c>
      <c r="E1380" s="390">
        <f>'UHCL FGD'!$E$54</f>
        <v>0</v>
      </c>
      <c r="F1380" s="390">
        <f>'UHCL FGD'!$F$54</f>
        <v>1535903</v>
      </c>
      <c r="G1380" s="390">
        <f>'UHCL FGD'!$G$54</f>
        <v>0</v>
      </c>
      <c r="H1380" s="390">
        <f>'UHCL FGD'!$H$54</f>
        <v>0</v>
      </c>
      <c r="I1380" s="390">
        <f>'UHCL FGD'!$I$54</f>
        <v>0</v>
      </c>
      <c r="J1380" s="390">
        <f>'UHCL FGD'!$J$54</f>
        <v>0</v>
      </c>
      <c r="K1380" s="390">
        <f>'UHCL FGD'!$K$54</f>
        <v>0</v>
      </c>
      <c r="L1380" s="390">
        <f>'UHCL FGD'!$L$54</f>
        <v>0</v>
      </c>
      <c r="M1380" s="390">
        <f>'UHCL FGD'!$M$54</f>
        <v>1535903</v>
      </c>
      <c r="N1380" s="401"/>
    </row>
    <row r="1381" spans="2:14" s="160" customFormat="1" ht="12.75" hidden="1" customHeight="1" outlineLevel="1">
      <c r="B1381" s="674" t="str">
        <f>'UHD FGD'!$B$2</f>
        <v>University of Houston - Downtown</v>
      </c>
      <c r="D1381" s="390">
        <f>'UHD FGD'!$D$54</f>
        <v>0</v>
      </c>
      <c r="E1381" s="390">
        <f>'UHD FGD'!$E$54</f>
        <v>0</v>
      </c>
      <c r="F1381" s="390">
        <f>'UHD FGD'!$F$54</f>
        <v>895121</v>
      </c>
      <c r="G1381" s="390">
        <f>'UHD FGD'!$G$54</f>
        <v>0</v>
      </c>
      <c r="H1381" s="390">
        <f>'UHD FGD'!$H$54</f>
        <v>0</v>
      </c>
      <c r="I1381" s="390">
        <f>'UHD FGD'!$I$54</f>
        <v>0</v>
      </c>
      <c r="J1381" s="390">
        <f>'UHD FGD'!$J$54</f>
        <v>0</v>
      </c>
      <c r="K1381" s="390">
        <f>'UHD FGD'!$K$54</f>
        <v>0</v>
      </c>
      <c r="L1381" s="390">
        <f>'UHD FGD'!$L$54</f>
        <v>0</v>
      </c>
      <c r="M1381" s="390">
        <f>'UHD FGD'!$M$54</f>
        <v>895121</v>
      </c>
      <c r="N1381" s="401"/>
    </row>
    <row r="1382" spans="2:14" s="160" customFormat="1" ht="12.75" hidden="1" customHeight="1" outlineLevel="1">
      <c r="B1382" s="674" t="str">
        <f>'UHV FGD'!$B$2</f>
        <v>University of Houston - Victoria</v>
      </c>
      <c r="D1382" s="390">
        <f>'UHV FGD'!$D$54</f>
        <v>0</v>
      </c>
      <c r="E1382" s="390">
        <f>'UHV FGD'!$E$54</f>
        <v>0</v>
      </c>
      <c r="F1382" s="390">
        <f>'UHV FGD'!$F$54</f>
        <v>2065046</v>
      </c>
      <c r="G1382" s="390">
        <f>'UHV FGD'!$G$54</f>
        <v>0</v>
      </c>
      <c r="H1382" s="390">
        <f>'UHV FGD'!$H$54</f>
        <v>0</v>
      </c>
      <c r="I1382" s="390">
        <f>'UHV FGD'!$I$54</f>
        <v>0</v>
      </c>
      <c r="J1382" s="390">
        <f>'UHV FGD'!$J$54</f>
        <v>0</v>
      </c>
      <c r="K1382" s="390">
        <f>'UHV FGD'!$K$54</f>
        <v>0</v>
      </c>
      <c r="L1382" s="390">
        <f>'UHV FGD'!$L$54</f>
        <v>0</v>
      </c>
      <c r="M1382" s="390">
        <f>'UHV FGD'!$M$54</f>
        <v>2065046</v>
      </c>
      <c r="N1382" s="401"/>
    </row>
    <row r="1383" spans="2:14" s="160" customFormat="1" ht="12.75" hidden="1" customHeight="1" outlineLevel="1">
      <c r="B1383" s="674" t="str">
        <f>'UNT FGD'!$B$2</f>
        <v>University of North Texas</v>
      </c>
      <c r="D1383" s="390">
        <f>'UNT FGD'!$D$54</f>
        <v>0</v>
      </c>
      <c r="E1383" s="390">
        <f>'UNT FGD'!$E$54</f>
        <v>0</v>
      </c>
      <c r="F1383" s="390">
        <f>'UNT FGD'!$F$54</f>
        <v>58331292</v>
      </c>
      <c r="G1383" s="390">
        <f>'UNT FGD'!$G$54</f>
        <v>0</v>
      </c>
      <c r="H1383" s="390">
        <f>'UNT FGD'!$H$54</f>
        <v>0</v>
      </c>
      <c r="I1383" s="390">
        <f>'UNT FGD'!$I$54</f>
        <v>0</v>
      </c>
      <c r="J1383" s="390">
        <f>'UNT FGD'!$J$54</f>
        <v>0</v>
      </c>
      <c r="K1383" s="390">
        <f>'UNT FGD'!$K$54</f>
        <v>0</v>
      </c>
      <c r="L1383" s="390">
        <f>'UNT FGD'!$L$54</f>
        <v>0</v>
      </c>
      <c r="M1383" s="390">
        <f>'UNT FGD'!$M$54</f>
        <v>58331292</v>
      </c>
      <c r="N1383" s="401"/>
    </row>
    <row r="1384" spans="2:14" s="160" customFormat="1" ht="12.75" hidden="1" customHeight="1" outlineLevel="1">
      <c r="B1384" s="674" t="str">
        <f>'UNTD FGD'!$B$2</f>
        <v>University of North Texas at Dallas</v>
      </c>
      <c r="D1384" s="390">
        <f>'UNTD FGD'!$D$54</f>
        <v>0</v>
      </c>
      <c r="E1384" s="390">
        <f>'UNTD FGD'!$E$54</f>
        <v>0</v>
      </c>
      <c r="F1384" s="390">
        <f>'UNTD FGD'!$F$54</f>
        <v>467591</v>
      </c>
      <c r="G1384" s="390">
        <f>'UNTD FGD'!$G$54</f>
        <v>0</v>
      </c>
      <c r="H1384" s="390">
        <f>'UNTD FGD'!$H$54</f>
        <v>0</v>
      </c>
      <c r="I1384" s="390">
        <f>'UNTD FGD'!$I$54</f>
        <v>0</v>
      </c>
      <c r="J1384" s="390">
        <f>'UNTD FGD'!$J$54</f>
        <v>0</v>
      </c>
      <c r="K1384" s="390">
        <f>'UNTD FGD'!$K$54</f>
        <v>0</v>
      </c>
      <c r="L1384" s="390">
        <f>'UNTD FGD'!$L$54</f>
        <v>0</v>
      </c>
      <c r="M1384" s="390">
        <f>'UNTD FGD'!$M$54</f>
        <v>467591</v>
      </c>
      <c r="N1384" s="401"/>
    </row>
    <row r="1385" spans="2:14" s="160" customFormat="1" ht="12.75" hidden="1" customHeight="1" outlineLevel="1">
      <c r="B1385" s="674" t="str">
        <f>'WTAMU FGD'!$B$2</f>
        <v>West Texas A&amp;M University</v>
      </c>
      <c r="D1385" s="390">
        <f>'WTAMU FGD'!$D$54</f>
        <v>0</v>
      </c>
      <c r="E1385" s="390">
        <f>'WTAMU FGD'!$E$54</f>
        <v>0</v>
      </c>
      <c r="F1385" s="390">
        <f>'WTAMU FGD'!$F$54</f>
        <v>12079249</v>
      </c>
      <c r="G1385" s="390">
        <f>'WTAMU FGD'!$G$54</f>
        <v>0</v>
      </c>
      <c r="H1385" s="390">
        <f>'WTAMU FGD'!$H$54</f>
        <v>0</v>
      </c>
      <c r="I1385" s="390">
        <f>'WTAMU FGD'!$I$54</f>
        <v>0</v>
      </c>
      <c r="J1385" s="390">
        <f>'WTAMU FGD'!$J$54</f>
        <v>0</v>
      </c>
      <c r="K1385" s="390">
        <f>'WTAMU FGD'!$K$54</f>
        <v>0</v>
      </c>
      <c r="L1385" s="390">
        <f>'WTAMU FGD'!$L$54</f>
        <v>0</v>
      </c>
      <c r="M1385" s="390">
        <f>'WTAMU FGD'!$M$54</f>
        <v>12079249</v>
      </c>
      <c r="N1385" s="401"/>
    </row>
    <row r="1386" spans="2:14" s="160" customFormat="1" collapsed="1">
      <c r="B1386" s="401" t="s">
        <v>2134</v>
      </c>
      <c r="C1386" s="177"/>
      <c r="D1386" s="390">
        <f t="shared" ref="D1386:M1386" si="36">SUM(D1350:D1385)</f>
        <v>6214657</v>
      </c>
      <c r="E1386" s="390">
        <f t="shared" si="36"/>
        <v>1516522</v>
      </c>
      <c r="F1386" s="390">
        <f t="shared" si="36"/>
        <v>1018721062</v>
      </c>
      <c r="G1386" s="390">
        <f t="shared" si="36"/>
        <v>596930</v>
      </c>
      <c r="H1386" s="390">
        <f t="shared" si="36"/>
        <v>0</v>
      </c>
      <c r="I1386" s="390">
        <f t="shared" si="36"/>
        <v>0</v>
      </c>
      <c r="J1386" s="390">
        <f t="shared" si="36"/>
        <v>0</v>
      </c>
      <c r="K1386" s="390">
        <f t="shared" si="36"/>
        <v>0</v>
      </c>
      <c r="L1386" s="390">
        <f t="shared" si="36"/>
        <v>0</v>
      </c>
      <c r="M1386" s="390">
        <f t="shared" si="36"/>
        <v>1027049171</v>
      </c>
      <c r="N1386" s="401"/>
    </row>
    <row r="1387" spans="2:14" s="160" customFormat="1" ht="12.75" hidden="1" customHeight="1" outlineLevel="1">
      <c r="B1387" s="674" t="str">
        <f>'ARL FGD'!$B$2</f>
        <v>The University of Texas at Arlington</v>
      </c>
      <c r="C1387" s="177"/>
      <c r="D1387" s="390">
        <f>'ARL FGD'!$D$55</f>
        <v>33926</v>
      </c>
      <c r="E1387" s="390">
        <f>'ARL FGD'!$E$55</f>
        <v>4270066</v>
      </c>
      <c r="F1387" s="390">
        <f>'ARL FGD'!$F$55</f>
        <v>0</v>
      </c>
      <c r="G1387" s="390">
        <f>'ARL FGD'!$G$55</f>
        <v>1678426</v>
      </c>
      <c r="H1387" s="390">
        <f>'ARL FGD'!$H$55</f>
        <v>230125</v>
      </c>
      <c r="I1387" s="390">
        <f>'ARL FGD'!$I$55</f>
        <v>0</v>
      </c>
      <c r="J1387" s="390">
        <f>'ARL FGD'!$J$55</f>
        <v>700000</v>
      </c>
      <c r="K1387" s="390">
        <f>'ARL FGD'!$K$55</f>
        <v>0</v>
      </c>
      <c r="L1387" s="390">
        <f>'ARL FGD'!$L$55</f>
        <v>624351</v>
      </c>
      <c r="M1387" s="390">
        <f>'ARL FGD'!$M$55</f>
        <v>7536894</v>
      </c>
      <c r="N1387" s="401"/>
    </row>
    <row r="1388" spans="2:14" s="160" customFormat="1" ht="12.75" hidden="1" customHeight="1" outlineLevel="1">
      <c r="B1388" s="674" t="str">
        <f>'ASU FGD'!$B$2</f>
        <v>Angelo State University</v>
      </c>
      <c r="C1388" s="177"/>
      <c r="D1388" s="390">
        <f>'ASU FGD'!$D$55</f>
        <v>39005</v>
      </c>
      <c r="E1388" s="390">
        <f>'ASU FGD'!$E$55</f>
        <v>1044110</v>
      </c>
      <c r="F1388" s="390">
        <f>'ASU FGD'!$F$55</f>
        <v>401844</v>
      </c>
      <c r="G1388" s="390">
        <f>'ASU FGD'!$G$55</f>
        <v>1079117</v>
      </c>
      <c r="H1388" s="390">
        <f>'ASU FGD'!$H$55</f>
        <v>1521</v>
      </c>
      <c r="I1388" s="390">
        <f>'ASU FGD'!$I$55</f>
        <v>1000000</v>
      </c>
      <c r="J1388" s="390">
        <f>'ASU FGD'!$J$55</f>
        <v>1294932</v>
      </c>
      <c r="K1388" s="390">
        <f>'ASU FGD'!$K$55</f>
        <v>0</v>
      </c>
      <c r="L1388" s="390">
        <f>'ASU FGD'!$L$55</f>
        <v>45693</v>
      </c>
      <c r="M1388" s="390">
        <f>'ASU FGD'!$M$55</f>
        <v>4906222</v>
      </c>
      <c r="N1388" s="401"/>
    </row>
    <row r="1389" spans="2:14" s="160" customFormat="1" ht="12.75" hidden="1" customHeight="1" outlineLevel="1">
      <c r="B1389" s="674" t="str">
        <f>'AUS1 FGD'!$B$2</f>
        <v>The University of Texas at Austin - Academic &amp; Health (A+H)</v>
      </c>
      <c r="C1389" s="177"/>
      <c r="D1389" s="390">
        <f>'AUS1 FGD'!$D$55</f>
        <v>185748</v>
      </c>
      <c r="E1389" s="390">
        <f>'AUS1 FGD'!$E$55</f>
        <v>16231137</v>
      </c>
      <c r="F1389" s="390">
        <f>'AUS1 FGD'!$F$55</f>
        <v>0</v>
      </c>
      <c r="G1389" s="390">
        <f>'AUS1 FGD'!$G$55</f>
        <v>0</v>
      </c>
      <c r="H1389" s="390">
        <f>'AUS1 FGD'!$H$55</f>
        <v>1244118</v>
      </c>
      <c r="I1389" s="390">
        <f>'AUS1 FGD'!$I$55</f>
        <v>0</v>
      </c>
      <c r="J1389" s="390">
        <f>'AUS1 FGD'!$J$55</f>
        <v>0</v>
      </c>
      <c r="K1389" s="390">
        <f>'AUS1 FGD'!$K$55</f>
        <v>0</v>
      </c>
      <c r="L1389" s="390">
        <f>'AUS1 FGD'!$L$55</f>
        <v>-5726015</v>
      </c>
      <c r="M1389" s="390">
        <f>'AUS1 FGD'!$M$55</f>
        <v>11934988</v>
      </c>
      <c r="N1389" s="401"/>
    </row>
    <row r="1390" spans="2:14" s="160" customFormat="1" ht="12.75" hidden="1" customHeight="1" outlineLevel="1">
      <c r="B1390" s="674" t="str">
        <f>'RGV1 FGD'!$B$2</f>
        <v>The University of Texas RGV - Academic &amp; Health (A+H)</v>
      </c>
      <c r="C1390" s="177"/>
      <c r="D1390" s="390">
        <f>'RGV1 FGD'!$D$55</f>
        <v>332331</v>
      </c>
      <c r="E1390" s="390">
        <f>'RGV1 FGD'!$E$55</f>
        <v>9183360</v>
      </c>
      <c r="F1390" s="390">
        <f>'RGV1 FGD'!$F$55</f>
        <v>0</v>
      </c>
      <c r="G1390" s="390">
        <f>'RGV1 FGD'!$G$55</f>
        <v>641124</v>
      </c>
      <c r="H1390" s="390">
        <f>'RGV1 FGD'!$H$55</f>
        <v>581801</v>
      </c>
      <c r="I1390" s="390">
        <f>'RGV1 FGD'!$I$55</f>
        <v>0</v>
      </c>
      <c r="J1390" s="390">
        <f>'RGV1 FGD'!$J$55</f>
        <v>0</v>
      </c>
      <c r="K1390" s="390">
        <f>'RGV1 FGD'!$K$55</f>
        <v>0</v>
      </c>
      <c r="L1390" s="390">
        <f>'RGV1 FGD'!$L$55</f>
        <v>-123671</v>
      </c>
      <c r="M1390" s="390">
        <f>'RGV1 FGD'!$M$55</f>
        <v>10614945</v>
      </c>
      <c r="N1390" s="401"/>
    </row>
    <row r="1391" spans="2:14" s="160" customFormat="1" ht="12.75" hidden="1" customHeight="1" outlineLevel="1">
      <c r="B1391" s="674" t="str">
        <f>'DAL FGD'!$B$2</f>
        <v>The University of Texas at Dallas</v>
      </c>
      <c r="C1391" s="177"/>
      <c r="D1391" s="390">
        <f>'DAL FGD'!$D$55</f>
        <v>1761</v>
      </c>
      <c r="E1391" s="390">
        <f>'DAL FGD'!$E$55</f>
        <v>8319631</v>
      </c>
      <c r="F1391" s="390">
        <f>'DAL FGD'!$F$55</f>
        <v>5800</v>
      </c>
      <c r="G1391" s="390">
        <f>'DAL FGD'!$G$55</f>
        <v>1033239</v>
      </c>
      <c r="H1391" s="390">
        <f>'DAL FGD'!$H$55</f>
        <v>17748</v>
      </c>
      <c r="I1391" s="390">
        <f>'DAL FGD'!$I$55</f>
        <v>0</v>
      </c>
      <c r="J1391" s="390">
        <f>'DAL FGD'!$J$55</f>
        <v>810969</v>
      </c>
      <c r="K1391" s="390">
        <f>'DAL FGD'!$K$55</f>
        <v>0</v>
      </c>
      <c r="L1391" s="390">
        <f>'DAL FGD'!$L$55</f>
        <v>-1416903</v>
      </c>
      <c r="M1391" s="390">
        <f>'DAL FGD'!$M$55</f>
        <v>8772245</v>
      </c>
      <c r="N1391" s="401"/>
    </row>
    <row r="1392" spans="2:14" s="160" customFormat="1" ht="12.75" hidden="1" customHeight="1" outlineLevel="1">
      <c r="B1392" s="674" t="str">
        <f>'E-P FGD'!$B$2</f>
        <v>The University of Texas at El Paso</v>
      </c>
      <c r="C1392" s="177"/>
      <c r="D1392" s="390">
        <f>'E-P FGD'!$D$55</f>
        <v>22428</v>
      </c>
      <c r="E1392" s="390">
        <f>'E-P FGD'!$E$55</f>
        <v>42008</v>
      </c>
      <c r="F1392" s="390">
        <f>'E-P FGD'!$F$55</f>
        <v>0</v>
      </c>
      <c r="G1392" s="390">
        <f>'E-P FGD'!$G$55</f>
        <v>0</v>
      </c>
      <c r="H1392" s="390">
        <f>'E-P FGD'!$H$55</f>
        <v>20705</v>
      </c>
      <c r="I1392" s="390">
        <f>'E-P FGD'!$I$55</f>
        <v>0</v>
      </c>
      <c r="J1392" s="390">
        <f>'E-P FGD'!$J$55</f>
        <v>0</v>
      </c>
      <c r="K1392" s="390">
        <f>'E-P FGD'!$K$55</f>
        <v>0</v>
      </c>
      <c r="L1392" s="390">
        <f>'E-P FGD'!$L$55</f>
        <v>335566</v>
      </c>
      <c r="M1392" s="390">
        <f>'E-P FGD'!$M$55</f>
        <v>420707</v>
      </c>
      <c r="N1392" s="401"/>
    </row>
    <row r="1393" spans="2:14" s="160" customFormat="1" ht="12.75" hidden="1" customHeight="1" outlineLevel="1">
      <c r="B1393" s="674" t="str">
        <f>'LU FGD'!$B$2</f>
        <v xml:space="preserve">Lamar University </v>
      </c>
      <c r="C1393" s="177"/>
      <c r="D1393" s="390">
        <f>'LU FGD'!$D$55</f>
        <v>34103</v>
      </c>
      <c r="E1393" s="390">
        <f>'LU FGD'!$E$55</f>
        <v>404685</v>
      </c>
      <c r="F1393" s="390">
        <f>'LU FGD'!$F$55</f>
        <v>362267</v>
      </c>
      <c r="G1393" s="390">
        <f>'LU FGD'!$G$55</f>
        <v>192543</v>
      </c>
      <c r="H1393" s="390">
        <f>'LU FGD'!$H$55</f>
        <v>0</v>
      </c>
      <c r="I1393" s="390">
        <f>'LU FGD'!$I$55</f>
        <v>0</v>
      </c>
      <c r="J1393" s="390">
        <f>'LU FGD'!$J$55</f>
        <v>0</v>
      </c>
      <c r="K1393" s="390">
        <f>'LU FGD'!$K$55</f>
        <v>0</v>
      </c>
      <c r="L1393" s="390">
        <f>'LU FGD'!$L$55</f>
        <v>0</v>
      </c>
      <c r="M1393" s="390">
        <f>'LU FGD'!$M$55</f>
        <v>993598</v>
      </c>
      <c r="N1393" s="401"/>
    </row>
    <row r="1394" spans="2:14" s="160" customFormat="1" ht="12.75" hidden="1" customHeight="1" outlineLevel="1">
      <c r="B1394" s="674" t="str">
        <f>'MidWST FGD'!$B$2</f>
        <v>Midwestern State University</v>
      </c>
      <c r="C1394" s="177"/>
      <c r="D1394" s="390">
        <f>'MidWST FGD'!$D$55</f>
        <v>1890</v>
      </c>
      <c r="E1394" s="390">
        <f>'MidWST FGD'!$E$55</f>
        <v>895165</v>
      </c>
      <c r="F1394" s="390">
        <f>'MidWST FGD'!$F$55</f>
        <v>10695</v>
      </c>
      <c r="G1394" s="390">
        <f>'MidWST FGD'!$G$55</f>
        <v>244592</v>
      </c>
      <c r="H1394" s="390">
        <f>'MidWST FGD'!$H$55</f>
        <v>46907</v>
      </c>
      <c r="I1394" s="390">
        <f>'MidWST FGD'!$I$55</f>
        <v>0</v>
      </c>
      <c r="J1394" s="390">
        <f>'MidWST FGD'!$J$55</f>
        <v>625845</v>
      </c>
      <c r="K1394" s="390">
        <f>'MidWST FGD'!$K$55</f>
        <v>0</v>
      </c>
      <c r="L1394" s="390">
        <f>'MidWST FGD'!$L$55</f>
        <v>0</v>
      </c>
      <c r="M1394" s="390">
        <f>'MidWST FGD'!$M$55</f>
        <v>1825094</v>
      </c>
      <c r="N1394" s="401"/>
    </row>
    <row r="1395" spans="2:14" s="160" customFormat="1" ht="12.75" hidden="1" customHeight="1" outlineLevel="1">
      <c r="B1395" s="674" t="str">
        <f>'P-B FGD'!$B$2</f>
        <v>The University of Texas of the Permian Basin</v>
      </c>
      <c r="C1395" s="177"/>
      <c r="D1395" s="390">
        <f>'P-B FGD'!$D$55</f>
        <v>10</v>
      </c>
      <c r="E1395" s="390">
        <f>'P-B FGD'!$E$55</f>
        <v>275207</v>
      </c>
      <c r="F1395" s="390">
        <f>'P-B FGD'!$F$55</f>
        <v>100</v>
      </c>
      <c r="G1395" s="390">
        <f>'P-B FGD'!$G$55</f>
        <v>15816</v>
      </c>
      <c r="H1395" s="390">
        <f>'P-B FGD'!$H$55</f>
        <v>0</v>
      </c>
      <c r="I1395" s="390">
        <f>'P-B FGD'!$I$55</f>
        <v>0</v>
      </c>
      <c r="J1395" s="390">
        <f>'P-B FGD'!$J$55</f>
        <v>0</v>
      </c>
      <c r="K1395" s="390">
        <f>'P-B FGD'!$K$55</f>
        <v>0</v>
      </c>
      <c r="L1395" s="390">
        <f>'P-B FGD'!$L$55</f>
        <v>0</v>
      </c>
      <c r="M1395" s="390">
        <f>'P-B FGD'!$M$55</f>
        <v>291133</v>
      </c>
      <c r="N1395" s="401"/>
    </row>
    <row r="1396" spans="2:14" s="160" customFormat="1" ht="12.75" hidden="1" customHeight="1" outlineLevel="1">
      <c r="B1396" s="674" t="str">
        <f>'PVAMU FGD'!$B$2</f>
        <v>Prairie View A&amp;M University</v>
      </c>
      <c r="C1396" s="177"/>
      <c r="D1396" s="390">
        <f>'PVAMU FGD'!$D$55</f>
        <v>1417271</v>
      </c>
      <c r="E1396" s="390">
        <f>'PVAMU FGD'!$E$55</f>
        <v>515264</v>
      </c>
      <c r="F1396" s="390">
        <f>'PVAMU FGD'!$F$55</f>
        <v>1197427</v>
      </c>
      <c r="G1396" s="390">
        <f>'PVAMU FGD'!$G$55</f>
        <v>447333</v>
      </c>
      <c r="H1396" s="390">
        <f>'PVAMU FGD'!$H$55</f>
        <v>0</v>
      </c>
      <c r="I1396" s="390">
        <f>'PVAMU FGD'!$I$55</f>
        <v>0</v>
      </c>
      <c r="J1396" s="390">
        <f>'PVAMU FGD'!$J$55</f>
        <v>0</v>
      </c>
      <c r="K1396" s="390">
        <f>'PVAMU FGD'!$K$55</f>
        <v>0</v>
      </c>
      <c r="L1396" s="390">
        <f>'PVAMU FGD'!$L$55</f>
        <v>0</v>
      </c>
      <c r="M1396" s="390">
        <f>'PVAMU FGD'!$M$55</f>
        <v>3577295</v>
      </c>
      <c r="N1396" s="401"/>
    </row>
    <row r="1397" spans="2:14" s="160" customFormat="1" ht="12.75" hidden="1" customHeight="1" outlineLevel="1">
      <c r="B1397" s="674" t="str">
        <f>'S-A FGD'!$B$2</f>
        <v>The University of Texas at San Antonio</v>
      </c>
      <c r="C1397" s="177"/>
      <c r="D1397" s="390">
        <f>'S-A FGD'!$D$55</f>
        <v>0</v>
      </c>
      <c r="E1397" s="390">
        <f>'S-A FGD'!$E$55</f>
        <v>1609514</v>
      </c>
      <c r="F1397" s="390">
        <f>'S-A FGD'!$F$55</f>
        <v>28377</v>
      </c>
      <c r="G1397" s="390">
        <f>'S-A FGD'!$G$55</f>
        <v>1180055</v>
      </c>
      <c r="H1397" s="390">
        <f>'S-A FGD'!$H$55</f>
        <v>40857</v>
      </c>
      <c r="I1397" s="390">
        <f>'S-A FGD'!$I$55</f>
        <v>0</v>
      </c>
      <c r="J1397" s="390">
        <f>'S-A FGD'!$J$55</f>
        <v>0</v>
      </c>
      <c r="K1397" s="390">
        <f>'S-A FGD'!$K$55</f>
        <v>0</v>
      </c>
      <c r="L1397" s="390">
        <f>'S-A FGD'!$L$55</f>
        <v>-12251</v>
      </c>
      <c r="M1397" s="390">
        <f>'S-A FGD'!$M$55</f>
        <v>2846552</v>
      </c>
      <c r="N1397" s="401"/>
    </row>
    <row r="1398" spans="2:14" s="160" customFormat="1" ht="12.75" hidden="1" customHeight="1" outlineLevel="1">
      <c r="B1398" s="674" t="str">
        <f>'SFA FGD'!$B$2</f>
        <v>Stephen F. Austin State University</v>
      </c>
      <c r="C1398" s="177"/>
      <c r="D1398" s="390">
        <f>'SFA FGD'!$D$55</f>
        <v>13610</v>
      </c>
      <c r="E1398" s="390">
        <f>'SFA FGD'!$E$55</f>
        <v>1522833</v>
      </c>
      <c r="F1398" s="390">
        <f>'SFA FGD'!$F$55</f>
        <v>162783</v>
      </c>
      <c r="G1398" s="390">
        <f>'SFA FGD'!$G$55</f>
        <v>10735</v>
      </c>
      <c r="H1398" s="390">
        <f>'SFA FGD'!$H$55</f>
        <v>-168136</v>
      </c>
      <c r="I1398" s="390">
        <f>'SFA FGD'!$I$55</f>
        <v>0</v>
      </c>
      <c r="J1398" s="390">
        <f>'SFA FGD'!$J$55</f>
        <v>0</v>
      </c>
      <c r="K1398" s="390">
        <f>'SFA FGD'!$K$55</f>
        <v>0</v>
      </c>
      <c r="L1398" s="390">
        <f>'SFA FGD'!$L$55</f>
        <v>0</v>
      </c>
      <c r="M1398" s="390">
        <f>'SFA FGD'!$M$55</f>
        <v>1541825</v>
      </c>
      <c r="N1398" s="401"/>
    </row>
    <row r="1399" spans="2:14" s="160" customFormat="1" ht="12.75" hidden="1" customHeight="1" outlineLevel="1">
      <c r="B1399" s="674" t="str">
        <f>'shsu1 FGD'!$B$2</f>
        <v>Sam Houston State University - Academic &amp; Health (A+H)</v>
      </c>
      <c r="C1399" s="177"/>
      <c r="D1399" s="390">
        <f>'shsu1 FGD'!$D$55</f>
        <v>4023600</v>
      </c>
      <c r="E1399" s="390">
        <f>'shsu1 FGD'!$E$55</f>
        <v>512540</v>
      </c>
      <c r="F1399" s="390">
        <f>'shsu1 FGD'!$F$55</f>
        <v>1348389</v>
      </c>
      <c r="G1399" s="390">
        <f>'shsu1 FGD'!$G$55</f>
        <v>2616243</v>
      </c>
      <c r="H1399" s="390">
        <f>'shsu1 FGD'!$H$55</f>
        <v>-65</v>
      </c>
      <c r="I1399" s="390">
        <f>'shsu1 FGD'!$I$55</f>
        <v>100</v>
      </c>
      <c r="J1399" s="390">
        <f>'shsu1 FGD'!$J$55</f>
        <v>-2665486</v>
      </c>
      <c r="K1399" s="390">
        <f>'shsu1 FGD'!$K$55</f>
        <v>0</v>
      </c>
      <c r="L1399" s="390">
        <f>'shsu1 FGD'!$L$55</f>
        <v>0</v>
      </c>
      <c r="M1399" s="390">
        <f>'shsu1 FGD'!$M$55</f>
        <v>5835321</v>
      </c>
      <c r="N1399" s="401"/>
    </row>
    <row r="1400" spans="2:14" s="160" customFormat="1" ht="12.75" hidden="1" customHeight="1" outlineLevel="1">
      <c r="B1400" s="674" t="str">
        <f>'SRSU FGD'!$B$2</f>
        <v>Sul Ross State University</v>
      </c>
      <c r="C1400" s="177"/>
      <c r="D1400" s="390">
        <f>'SRSU FGD'!$D$55</f>
        <v>0</v>
      </c>
      <c r="E1400" s="390">
        <f>'SRSU FGD'!$E$55</f>
        <v>204850</v>
      </c>
      <c r="F1400" s="390">
        <f>'SRSU FGD'!$F$55</f>
        <v>0</v>
      </c>
      <c r="G1400" s="390">
        <f>'SRSU FGD'!$G$55</f>
        <v>0</v>
      </c>
      <c r="H1400" s="390">
        <f>'SRSU FGD'!$H$55</f>
        <v>0</v>
      </c>
      <c r="I1400" s="390">
        <f>'SRSU FGD'!$I$55</f>
        <v>0</v>
      </c>
      <c r="J1400" s="390">
        <f>'SRSU FGD'!$J$55</f>
        <v>452944</v>
      </c>
      <c r="K1400" s="390">
        <f>'SRSU FGD'!$K$55</f>
        <v>0</v>
      </c>
      <c r="L1400" s="390">
        <f>'SRSU FGD'!$L$55</f>
        <v>0</v>
      </c>
      <c r="M1400" s="390">
        <f>'SRSU FGD'!$M$55</f>
        <v>657794</v>
      </c>
      <c r="N1400" s="401"/>
    </row>
    <row r="1401" spans="2:14" s="160" customFormat="1" ht="12.75" hidden="1" customHeight="1" outlineLevel="1">
      <c r="B1401" s="674" t="str">
        <f>'TAMIU FGD'!$B$2</f>
        <v>Texas A&amp;M International University</v>
      </c>
      <c r="C1401" s="177"/>
      <c r="D1401" s="390">
        <f>'TAMIU FGD'!$D$55</f>
        <v>1712</v>
      </c>
      <c r="E1401" s="390">
        <f>'TAMIU FGD'!$E$55</f>
        <v>3161712</v>
      </c>
      <c r="F1401" s="390">
        <f>'TAMIU FGD'!$F$55</f>
        <v>22469</v>
      </c>
      <c r="G1401" s="390">
        <f>'TAMIU FGD'!$G$55</f>
        <v>-1311242</v>
      </c>
      <c r="H1401" s="390">
        <f>'TAMIU FGD'!$H$55</f>
        <v>36888</v>
      </c>
      <c r="I1401" s="390">
        <f>'TAMIU FGD'!$I$55</f>
        <v>1481330</v>
      </c>
      <c r="J1401" s="390">
        <f>'TAMIU FGD'!$J$55</f>
        <v>0</v>
      </c>
      <c r="K1401" s="390">
        <f>'TAMIU FGD'!$K$55</f>
        <v>0</v>
      </c>
      <c r="L1401" s="390">
        <f>'TAMIU FGD'!$L$55</f>
        <v>0</v>
      </c>
      <c r="M1401" s="390">
        <f>'TAMIU FGD'!$M$55</f>
        <v>3392869</v>
      </c>
      <c r="N1401" s="401"/>
    </row>
    <row r="1402" spans="2:14" s="160" customFormat="1" ht="12.75" hidden="1" customHeight="1" outlineLevel="1">
      <c r="B1402" s="674" t="str">
        <f>'TAMU FGD'!$B$2</f>
        <v>Texas A&amp;M University</v>
      </c>
      <c r="C1402" s="177"/>
      <c r="D1402" s="390">
        <f>'TAMU FGD'!$D$55</f>
        <v>306451</v>
      </c>
      <c r="E1402" s="390">
        <f>'TAMU FGD'!$E$55</f>
        <v>70874850</v>
      </c>
      <c r="F1402" s="390">
        <f>'TAMU FGD'!$F$55</f>
        <v>4172198</v>
      </c>
      <c r="G1402" s="390">
        <f>'TAMU FGD'!$G$55</f>
        <v>-32898089</v>
      </c>
      <c r="H1402" s="390">
        <f>'TAMU FGD'!$H$55</f>
        <v>899464</v>
      </c>
      <c r="I1402" s="390">
        <f>'TAMU FGD'!$I$55</f>
        <v>0</v>
      </c>
      <c r="J1402" s="390">
        <f>'TAMU FGD'!$J$55</f>
        <v>125441</v>
      </c>
      <c r="K1402" s="390">
        <f>'TAMU FGD'!$K$55</f>
        <v>0</v>
      </c>
      <c r="L1402" s="390">
        <f>'TAMU FGD'!$L$55</f>
        <v>14625413</v>
      </c>
      <c r="M1402" s="390">
        <f>'TAMU FGD'!$M$55</f>
        <v>58105728</v>
      </c>
      <c r="N1402" s="401"/>
    </row>
    <row r="1403" spans="2:14" s="160" customFormat="1" ht="12.75" hidden="1" customHeight="1" outlineLevel="1">
      <c r="B1403" s="674" t="str">
        <f>'TAMUC FGD'!$B$2</f>
        <v>Texas A&amp;M University - Commerce</v>
      </c>
      <c r="C1403" s="177"/>
      <c r="D1403" s="390">
        <f>'TAMUC FGD'!$D$55</f>
        <v>1173</v>
      </c>
      <c r="E1403" s="390">
        <f>'TAMUC FGD'!$E$55</f>
        <v>7690469</v>
      </c>
      <c r="F1403" s="390">
        <f>'TAMUC FGD'!$F$55</f>
        <v>-558114</v>
      </c>
      <c r="G1403" s="390">
        <f>'TAMUC FGD'!$G$55</f>
        <v>-3632120</v>
      </c>
      <c r="H1403" s="390">
        <f>'TAMUC FGD'!$H$55</f>
        <v>26564</v>
      </c>
      <c r="I1403" s="390">
        <f>'TAMUC FGD'!$I$55</f>
        <v>0</v>
      </c>
      <c r="J1403" s="390">
        <f>'TAMUC FGD'!$J$55</f>
        <v>0</v>
      </c>
      <c r="K1403" s="390">
        <f>'TAMUC FGD'!$K$55</f>
        <v>0</v>
      </c>
      <c r="L1403" s="390">
        <f>'TAMUC FGD'!$L$55</f>
        <v>68297</v>
      </c>
      <c r="M1403" s="390">
        <f>'TAMUC FGD'!$M$55</f>
        <v>3596269</v>
      </c>
      <c r="N1403" s="401"/>
    </row>
    <row r="1404" spans="2:14" s="160" customFormat="1" ht="12.75" hidden="1" customHeight="1" outlineLevel="1">
      <c r="B1404" s="674" t="str">
        <f>'TAMUCC FGD'!$B$2</f>
        <v>Texas A&amp;M University - Corpus Christi</v>
      </c>
      <c r="C1404" s="177"/>
      <c r="D1404" s="390">
        <f>'TAMUCC FGD'!$D$55</f>
        <v>184421</v>
      </c>
      <c r="E1404" s="390">
        <f>'TAMUCC FGD'!$E$55</f>
        <v>6480689</v>
      </c>
      <c r="F1404" s="390">
        <f>'TAMUCC FGD'!$F$55</f>
        <v>1159482</v>
      </c>
      <c r="G1404" s="390">
        <f>'TAMUCC FGD'!$G$55</f>
        <v>-4030565</v>
      </c>
      <c r="H1404" s="390">
        <f>'TAMUCC FGD'!$H$55</f>
        <v>0</v>
      </c>
      <c r="I1404" s="390">
        <f>'TAMUCC FGD'!$I$55</f>
        <v>0</v>
      </c>
      <c r="J1404" s="390">
        <f>'TAMUCC FGD'!$J$55</f>
        <v>372532</v>
      </c>
      <c r="K1404" s="390">
        <f>'TAMUCC FGD'!$K$55</f>
        <v>0</v>
      </c>
      <c r="L1404" s="390">
        <f>'TAMUCC FGD'!$L$55</f>
        <v>33013</v>
      </c>
      <c r="M1404" s="390">
        <f>'TAMUCC FGD'!$M$55</f>
        <v>4199572</v>
      </c>
      <c r="N1404" s="401"/>
    </row>
    <row r="1405" spans="2:14" s="160" customFormat="1" ht="12.75" hidden="1" customHeight="1" outlineLevel="1">
      <c r="B1405" s="674" t="str">
        <f>'TAMUCT FGD'!$B$2</f>
        <v>Texas A&amp;M University - Central Texas</v>
      </c>
      <c r="C1405" s="177"/>
      <c r="D1405" s="390">
        <f>'TAMUCT FGD'!$D$55</f>
        <v>691</v>
      </c>
      <c r="E1405" s="390">
        <f>'TAMUCT FGD'!$E$55</f>
        <v>1378362</v>
      </c>
      <c r="F1405" s="390">
        <f>'TAMUCT FGD'!$F$55</f>
        <v>1390</v>
      </c>
      <c r="G1405" s="390">
        <f>'TAMUCT FGD'!$G$55</f>
        <v>-1218435</v>
      </c>
      <c r="H1405" s="390">
        <f>'TAMUCT FGD'!$H$55</f>
        <v>1676</v>
      </c>
      <c r="I1405" s="390">
        <f>'TAMUCT FGD'!$I$55</f>
        <v>0</v>
      </c>
      <c r="J1405" s="390">
        <f>'TAMUCT FGD'!$J$55</f>
        <v>0</v>
      </c>
      <c r="K1405" s="390">
        <f>'TAMUCT FGD'!$K$55</f>
        <v>0</v>
      </c>
      <c r="L1405" s="390">
        <f>'TAMUCT FGD'!$L$55</f>
        <v>0</v>
      </c>
      <c r="M1405" s="390">
        <f>'TAMUCT FGD'!$M$55</f>
        <v>163684</v>
      </c>
      <c r="N1405" s="401"/>
    </row>
    <row r="1406" spans="2:14" s="160" customFormat="1" ht="12.75" hidden="1" customHeight="1" outlineLevel="1">
      <c r="B1406" s="674" t="str">
        <f>'TAMUG FGD'!$B$2</f>
        <v>Texas A&amp;M University at Galveston</v>
      </c>
      <c r="C1406" s="177"/>
      <c r="D1406" s="390">
        <f>'TAMUG FGD'!$D$55</f>
        <v>50778</v>
      </c>
      <c r="E1406" s="390">
        <f>'TAMUG FGD'!$E$55</f>
        <v>2160643</v>
      </c>
      <c r="F1406" s="390">
        <f>'TAMUG FGD'!$F$55</f>
        <v>2276867</v>
      </c>
      <c r="G1406" s="390">
        <f>'TAMUG FGD'!$G$55</f>
        <v>-1370900</v>
      </c>
      <c r="H1406" s="390">
        <f>'TAMUG FGD'!$H$55</f>
        <v>6397</v>
      </c>
      <c r="I1406" s="390">
        <f>'TAMUG FGD'!$I$55</f>
        <v>0</v>
      </c>
      <c r="J1406" s="390">
        <f>'TAMUG FGD'!$J$55</f>
        <v>0</v>
      </c>
      <c r="K1406" s="390">
        <f>'TAMUG FGD'!$K$55</f>
        <v>0</v>
      </c>
      <c r="L1406" s="390">
        <f>'TAMUG FGD'!$L$55</f>
        <v>-1567</v>
      </c>
      <c r="M1406" s="390">
        <f>'TAMUG FGD'!$M$55</f>
        <v>3122218</v>
      </c>
      <c r="N1406" s="401"/>
    </row>
    <row r="1407" spans="2:14" s="160" customFormat="1" ht="12.75" hidden="1" customHeight="1" outlineLevel="1">
      <c r="B1407" s="674" t="str">
        <f>'TAMUK FGD'!$B$2</f>
        <v>Texas A&amp;M University - Kingsville</v>
      </c>
      <c r="C1407" s="177"/>
      <c r="D1407" s="390">
        <f>'TAMUK FGD'!$D$55</f>
        <v>2183</v>
      </c>
      <c r="E1407" s="390">
        <f>'TAMUK FGD'!$E$55</f>
        <v>7332820</v>
      </c>
      <c r="F1407" s="390">
        <f>'TAMUK FGD'!$F$55</f>
        <v>454839</v>
      </c>
      <c r="G1407" s="390">
        <f>'TAMUK FGD'!$G$55</f>
        <v>-3469999</v>
      </c>
      <c r="H1407" s="390">
        <f>'TAMUK FGD'!$H$55</f>
        <v>-3063</v>
      </c>
      <c r="I1407" s="390">
        <f>'TAMUK FGD'!$I$55</f>
        <v>0</v>
      </c>
      <c r="J1407" s="390">
        <f>'TAMUK FGD'!$J$55</f>
        <v>0</v>
      </c>
      <c r="K1407" s="390">
        <f>'TAMUK FGD'!$K$55</f>
        <v>0</v>
      </c>
      <c r="L1407" s="390">
        <f>'TAMUK FGD'!$L$55</f>
        <v>-348850</v>
      </c>
      <c r="M1407" s="390">
        <f>'TAMUK FGD'!$M$55</f>
        <v>3967930</v>
      </c>
      <c r="N1407" s="401"/>
    </row>
    <row r="1408" spans="2:14" s="160" customFormat="1" ht="12.75" hidden="1" customHeight="1" outlineLevel="1">
      <c r="B1408" s="674" t="str">
        <f>'TAMUSA FGD'!$B$2</f>
        <v>Texas A&amp;M University - San Antonio</v>
      </c>
      <c r="C1408" s="177"/>
      <c r="D1408" s="390">
        <f>'TAMUSA FGD'!$D$55</f>
        <v>0</v>
      </c>
      <c r="E1408" s="390">
        <f>'TAMUSA FGD'!$E$55</f>
        <v>2533311</v>
      </c>
      <c r="F1408" s="390">
        <f>'TAMUSA FGD'!$F$55</f>
        <v>705358</v>
      </c>
      <c r="G1408" s="390">
        <f>'TAMUSA FGD'!$G$55</f>
        <v>-2387677</v>
      </c>
      <c r="H1408" s="390">
        <f>'TAMUSA FGD'!$H$55</f>
        <v>-62</v>
      </c>
      <c r="I1408" s="390">
        <f>'TAMUSA FGD'!$I$55</f>
        <v>0</v>
      </c>
      <c r="J1408" s="390">
        <f>'TAMUSA FGD'!$J$55</f>
        <v>0</v>
      </c>
      <c r="K1408" s="390">
        <f>'TAMUSA FGD'!$K$55</f>
        <v>0</v>
      </c>
      <c r="L1408" s="390">
        <f>'TAMUSA FGD'!$L$55</f>
        <v>14894</v>
      </c>
      <c r="M1408" s="390">
        <f>'TAMUSA FGD'!$M$55</f>
        <v>865824</v>
      </c>
      <c r="N1408" s="401"/>
    </row>
    <row r="1409" spans="2:14" s="160" customFormat="1" ht="12.75" hidden="1" customHeight="1" outlineLevel="1">
      <c r="B1409" s="674" t="str">
        <f>'TAMUT FGD'!$B$2</f>
        <v>Texas A&amp;M University - Texarkana</v>
      </c>
      <c r="C1409" s="177"/>
      <c r="D1409" s="390">
        <f>'TAMUT FGD'!$D$55</f>
        <v>0</v>
      </c>
      <c r="E1409" s="390">
        <f>'TAMUT FGD'!$E$55</f>
        <v>2969389</v>
      </c>
      <c r="F1409" s="390">
        <f>'TAMUT FGD'!$F$55</f>
        <v>62411</v>
      </c>
      <c r="G1409" s="390">
        <f>'TAMUT FGD'!$G$55</f>
        <v>-1499368</v>
      </c>
      <c r="H1409" s="390">
        <f>'TAMUT FGD'!$H$55</f>
        <v>1040</v>
      </c>
      <c r="I1409" s="390">
        <f>'TAMUT FGD'!$I$55</f>
        <v>176673</v>
      </c>
      <c r="J1409" s="390">
        <f>'TAMUT FGD'!$J$55</f>
        <v>0</v>
      </c>
      <c r="K1409" s="390">
        <f>'TAMUT FGD'!$K$55</f>
        <v>0</v>
      </c>
      <c r="L1409" s="390">
        <f>'TAMUT FGD'!$L$55</f>
        <v>-747093</v>
      </c>
      <c r="M1409" s="390">
        <f>'TAMUT FGD'!$M$55</f>
        <v>963052</v>
      </c>
      <c r="N1409" s="401"/>
    </row>
    <row r="1410" spans="2:14" s="160" customFormat="1" ht="12.75" hidden="1" customHeight="1" outlineLevel="1">
      <c r="B1410" s="674" t="str">
        <f>'TARLST FGD'!$B$2</f>
        <v>Tarleton State University</v>
      </c>
      <c r="C1410" s="177"/>
      <c r="D1410" s="390">
        <f>'TARLST FGD'!$D$55</f>
        <v>0</v>
      </c>
      <c r="E1410" s="390">
        <f>'TARLST FGD'!$E$55</f>
        <v>3725947</v>
      </c>
      <c r="F1410" s="390">
        <f>'TARLST FGD'!$F$55</f>
        <v>539497</v>
      </c>
      <c r="G1410" s="390">
        <f>'TARLST FGD'!$G$55</f>
        <v>-3461601</v>
      </c>
      <c r="H1410" s="390">
        <f>'TARLST FGD'!$H$55</f>
        <v>48363</v>
      </c>
      <c r="I1410" s="390">
        <f>'TARLST FGD'!$I$55</f>
        <v>0</v>
      </c>
      <c r="J1410" s="390">
        <f>'TARLST FGD'!$J$55</f>
        <v>1567943</v>
      </c>
      <c r="K1410" s="390">
        <f>'TARLST FGD'!$K$55</f>
        <v>0</v>
      </c>
      <c r="L1410" s="390">
        <f>'TARLST FGD'!$L$55</f>
        <v>-174114</v>
      </c>
      <c r="M1410" s="390">
        <f>'TARLST FGD'!$M$55</f>
        <v>2246035</v>
      </c>
      <c r="N1410" s="401"/>
    </row>
    <row r="1411" spans="2:14" s="160" customFormat="1" ht="12.75" hidden="1" customHeight="1" outlineLevel="1">
      <c r="B1411" s="674" t="str">
        <f>'TSU FGD'!$B$2</f>
        <v>Texas Southern University</v>
      </c>
      <c r="C1411" s="177"/>
      <c r="D1411" s="390">
        <f>'TSU FGD'!$D$55</f>
        <v>16726071</v>
      </c>
      <c r="E1411" s="390">
        <f>'TSU FGD'!$E$55</f>
        <v>2834946</v>
      </c>
      <c r="F1411" s="390">
        <f>'TSU FGD'!$F$55</f>
        <v>414425</v>
      </c>
      <c r="G1411" s="390">
        <f>'TSU FGD'!$G$55</f>
        <v>-3857101</v>
      </c>
      <c r="H1411" s="390">
        <f>'TSU FGD'!$H$55</f>
        <v>0</v>
      </c>
      <c r="I1411" s="390">
        <f>'TSU FGD'!$I$55</f>
        <v>-7250</v>
      </c>
      <c r="J1411" s="390">
        <f>'TSU FGD'!$J$55</f>
        <v>3002150</v>
      </c>
      <c r="K1411" s="390">
        <f>'TSU FGD'!$K$55</f>
        <v>0</v>
      </c>
      <c r="L1411" s="390">
        <f>'TSU FGD'!$L$55</f>
        <v>-161095</v>
      </c>
      <c r="M1411" s="390">
        <f>'TSU FGD'!$M$55</f>
        <v>18952146</v>
      </c>
      <c r="N1411" s="401"/>
    </row>
    <row r="1412" spans="2:14" s="160" customFormat="1" ht="12.75" hidden="1" customHeight="1" outlineLevel="1">
      <c r="B1412" s="674" t="str">
        <f>'TTU FGD'!$B$2</f>
        <v>Texas Tech University</v>
      </c>
      <c r="C1412" s="177"/>
      <c r="D1412" s="390">
        <f>'TTU FGD'!$D$55</f>
        <v>41935</v>
      </c>
      <c r="E1412" s="390">
        <f>'TTU FGD'!$E$55</f>
        <v>1894161</v>
      </c>
      <c r="F1412" s="390">
        <f>'TTU FGD'!$F$55</f>
        <v>4754782</v>
      </c>
      <c r="G1412" s="390">
        <f>'TTU FGD'!$G$55</f>
        <v>539449</v>
      </c>
      <c r="H1412" s="390">
        <f>'TTU FGD'!$H$55</f>
        <v>2221</v>
      </c>
      <c r="I1412" s="390">
        <f>'TTU FGD'!$I$55</f>
        <v>0</v>
      </c>
      <c r="J1412" s="390">
        <f>'TTU FGD'!$J$55</f>
        <v>0</v>
      </c>
      <c r="K1412" s="390">
        <f>'TTU FGD'!$K$55</f>
        <v>0</v>
      </c>
      <c r="L1412" s="390">
        <f>'TTU FGD'!$L$55</f>
        <v>1141643</v>
      </c>
      <c r="M1412" s="390">
        <f>'TTU FGD'!$M$55</f>
        <v>8374191</v>
      </c>
      <c r="N1412" s="401"/>
    </row>
    <row r="1413" spans="2:14" s="160" customFormat="1" ht="12.75" hidden="1" customHeight="1" outlineLevel="1">
      <c r="B1413" s="674" t="str">
        <f>'TWU FGD'!$B$2</f>
        <v>Texas Woman's University</v>
      </c>
      <c r="C1413" s="177"/>
      <c r="D1413" s="390">
        <f>'TWU FGD'!$D$55</f>
        <v>82550</v>
      </c>
      <c r="E1413" s="390">
        <f>'TWU FGD'!$E$55</f>
        <v>2432097</v>
      </c>
      <c r="F1413" s="390">
        <f>'TWU FGD'!$F$55</f>
        <v>1116351</v>
      </c>
      <c r="G1413" s="390">
        <f>'TWU FGD'!$G$55</f>
        <v>452177</v>
      </c>
      <c r="H1413" s="390">
        <f>'TWU FGD'!$H$55</f>
        <v>0</v>
      </c>
      <c r="I1413" s="390">
        <f>'TWU FGD'!$I$55</f>
        <v>0</v>
      </c>
      <c r="J1413" s="390">
        <f>'TWU FGD'!$J$55</f>
        <v>0</v>
      </c>
      <c r="K1413" s="390">
        <f>'TWU FGD'!$K$55</f>
        <v>0</v>
      </c>
      <c r="L1413" s="390">
        <f>'TWU FGD'!$L$55</f>
        <v>0</v>
      </c>
      <c r="M1413" s="390">
        <f>'TWU FGD'!$M$55</f>
        <v>4083175</v>
      </c>
      <c r="N1413" s="401"/>
    </row>
    <row r="1414" spans="2:14" s="160" customFormat="1" ht="12.75" hidden="1" customHeight="1" outlineLevel="1">
      <c r="B1414" s="674" t="str">
        <f>'TXST FGD'!$B$2</f>
        <v>Texas State University</v>
      </c>
      <c r="C1414" s="177"/>
      <c r="D1414" s="390">
        <f>'TXST FGD'!$D$55</f>
        <v>20121</v>
      </c>
      <c r="E1414" s="390">
        <f>'TXST FGD'!$E$55</f>
        <v>2674164</v>
      </c>
      <c r="F1414" s="390">
        <f>'TXST FGD'!$F$55</f>
        <v>119556</v>
      </c>
      <c r="G1414" s="390">
        <f>'TXST FGD'!$G$55</f>
        <v>1500</v>
      </c>
      <c r="H1414" s="390">
        <f>'TXST FGD'!$H$55</f>
        <v>61328</v>
      </c>
      <c r="I1414" s="390">
        <f>'TXST FGD'!$I$55</f>
        <v>37374</v>
      </c>
      <c r="J1414" s="390">
        <f>'TXST FGD'!$J$55</f>
        <v>0</v>
      </c>
      <c r="K1414" s="390">
        <f>'TXST FGD'!$K$55</f>
        <v>0</v>
      </c>
      <c r="L1414" s="390">
        <f>'TXST FGD'!$L$55</f>
        <v>0</v>
      </c>
      <c r="M1414" s="390">
        <f>'TXST FGD'!$M$55</f>
        <v>2914043</v>
      </c>
      <c r="N1414" s="401"/>
    </row>
    <row r="1415" spans="2:14" s="160" customFormat="1" ht="12.75" hidden="1" customHeight="1" outlineLevel="1">
      <c r="B1415" s="674" t="str">
        <f>'TYL FGD'!$B$2</f>
        <v>The University of Texas at Tyler</v>
      </c>
      <c r="C1415" s="177"/>
      <c r="D1415" s="390">
        <f>'TYL FGD'!$D$55</f>
        <v>0</v>
      </c>
      <c r="E1415" s="390">
        <f>'TYL FGD'!$E$55</f>
        <v>626496</v>
      </c>
      <c r="F1415" s="390">
        <f>'TYL FGD'!$F$55</f>
        <v>0</v>
      </c>
      <c r="G1415" s="390">
        <f>'TYL FGD'!$G$55</f>
        <v>50</v>
      </c>
      <c r="H1415" s="390">
        <f>'TYL FGD'!$H$55</f>
        <v>0</v>
      </c>
      <c r="I1415" s="390">
        <f>'TYL FGD'!$I$55</f>
        <v>0</v>
      </c>
      <c r="J1415" s="390">
        <f>'TYL FGD'!$J$55</f>
        <v>0</v>
      </c>
      <c r="K1415" s="390">
        <f>'TYL FGD'!$K$55</f>
        <v>0</v>
      </c>
      <c r="L1415" s="390">
        <f>'TYL FGD'!$L$55</f>
        <v>-46441</v>
      </c>
      <c r="M1415" s="390">
        <f>'TYL FGD'!$M$55</f>
        <v>580105</v>
      </c>
      <c r="N1415" s="401"/>
    </row>
    <row r="1416" spans="2:14" s="160" customFormat="1" ht="12.75" hidden="1" customHeight="1" outlineLevel="1">
      <c r="B1416" s="674" t="str">
        <f>'UH1 FGD'!$B$2</f>
        <v>University of Houston - Academic &amp; Health (A+H)</v>
      </c>
      <c r="C1416" s="177"/>
      <c r="D1416" s="390">
        <f>'UH1 FGD'!$D$55</f>
        <v>0</v>
      </c>
      <c r="E1416" s="390">
        <f>'UH1 FGD'!$E$55</f>
        <v>56515780</v>
      </c>
      <c r="F1416" s="390">
        <f>'UH1 FGD'!$F$55</f>
        <v>34212062</v>
      </c>
      <c r="G1416" s="390">
        <f>'UH1 FGD'!$G$55</f>
        <v>19441125</v>
      </c>
      <c r="H1416" s="390">
        <f>'UH1 FGD'!$H$55</f>
        <v>0</v>
      </c>
      <c r="I1416" s="390">
        <f>'UH1 FGD'!$I$55</f>
        <v>0</v>
      </c>
      <c r="J1416" s="390">
        <f>'UH1 FGD'!$J$55</f>
        <v>0</v>
      </c>
      <c r="K1416" s="390">
        <f>'UH1 FGD'!$K$55</f>
        <v>0</v>
      </c>
      <c r="L1416" s="390">
        <f>'UH1 FGD'!$L$55</f>
        <v>0</v>
      </c>
      <c r="M1416" s="390">
        <f>'UH1 FGD'!$M$55</f>
        <v>110168967</v>
      </c>
      <c r="N1416" s="401"/>
    </row>
    <row r="1417" spans="2:14" s="160" customFormat="1" ht="12.75" hidden="1" customHeight="1" outlineLevel="1">
      <c r="B1417" s="674" t="str">
        <f>'UHCL FGD'!$B$2</f>
        <v>University of Houston - Clear Lake</v>
      </c>
      <c r="C1417" s="177"/>
      <c r="D1417" s="390">
        <f>'UHCL FGD'!$D$55</f>
        <v>0</v>
      </c>
      <c r="E1417" s="390">
        <f>'UHCL FGD'!$E$55</f>
        <v>3233258</v>
      </c>
      <c r="F1417" s="390">
        <f>'UHCL FGD'!$F$55</f>
        <v>3442799</v>
      </c>
      <c r="G1417" s="390">
        <f>'UHCL FGD'!$G$55</f>
        <v>516373</v>
      </c>
      <c r="H1417" s="390">
        <f>'UHCL FGD'!$H$55</f>
        <v>0</v>
      </c>
      <c r="I1417" s="390">
        <f>'UHCL FGD'!$I$55</f>
        <v>0</v>
      </c>
      <c r="J1417" s="390">
        <f>'UHCL FGD'!$J$55</f>
        <v>0</v>
      </c>
      <c r="K1417" s="390">
        <f>'UHCL FGD'!$K$55</f>
        <v>0</v>
      </c>
      <c r="L1417" s="390">
        <f>'UHCL FGD'!$L$55</f>
        <v>0</v>
      </c>
      <c r="M1417" s="390">
        <f>'UHCL FGD'!$M$55</f>
        <v>7192430</v>
      </c>
      <c r="N1417" s="401"/>
    </row>
    <row r="1418" spans="2:14" s="160" customFormat="1" ht="12.75" hidden="1" customHeight="1" outlineLevel="1">
      <c r="B1418" s="674" t="str">
        <f>'UHD FGD'!$B$2</f>
        <v>University of Houston - Downtown</v>
      </c>
      <c r="C1418" s="177"/>
      <c r="D1418" s="390">
        <f>'UHD FGD'!$D$55</f>
        <v>0</v>
      </c>
      <c r="E1418" s="390">
        <f>'UHD FGD'!$E$55</f>
        <v>3323000</v>
      </c>
      <c r="F1418" s="390">
        <f>'UHD FGD'!$F$55</f>
        <v>2816194</v>
      </c>
      <c r="G1418" s="390">
        <f>'UHD FGD'!$G$55</f>
        <v>926764</v>
      </c>
      <c r="H1418" s="390">
        <f>'UHD FGD'!$H$55</f>
        <v>0</v>
      </c>
      <c r="I1418" s="390">
        <f>'UHD FGD'!$I$55</f>
        <v>0</v>
      </c>
      <c r="J1418" s="390">
        <f>'UHD FGD'!$J$55</f>
        <v>0</v>
      </c>
      <c r="K1418" s="390">
        <f>'UHD FGD'!$K$55</f>
        <v>0</v>
      </c>
      <c r="L1418" s="390">
        <f>'UHD FGD'!$L$55</f>
        <v>0</v>
      </c>
      <c r="M1418" s="390">
        <f>'UHD FGD'!$M$55</f>
        <v>7065958</v>
      </c>
      <c r="N1418" s="401"/>
    </row>
    <row r="1419" spans="2:14" s="160" customFormat="1" ht="12.75" hidden="1" customHeight="1" outlineLevel="1">
      <c r="B1419" s="674" t="str">
        <f>'UHV FGD'!$B$2</f>
        <v>University of Houston - Victoria</v>
      </c>
      <c r="C1419" s="177"/>
      <c r="D1419" s="390">
        <f>'UHV FGD'!$D$55</f>
        <v>0</v>
      </c>
      <c r="E1419" s="390">
        <f>'UHV FGD'!$E$55</f>
        <v>919114</v>
      </c>
      <c r="F1419" s="390">
        <f>'UHV FGD'!$F$55</f>
        <v>3218380</v>
      </c>
      <c r="G1419" s="390">
        <f>'UHV FGD'!$G$55</f>
        <v>0</v>
      </c>
      <c r="H1419" s="390">
        <f>'UHV FGD'!$H$55</f>
        <v>0</v>
      </c>
      <c r="I1419" s="390">
        <f>'UHV FGD'!$I$55</f>
        <v>0</v>
      </c>
      <c r="J1419" s="390">
        <f>'UHV FGD'!$J$55</f>
        <v>0</v>
      </c>
      <c r="K1419" s="390">
        <f>'UHV FGD'!$K$55</f>
        <v>0</v>
      </c>
      <c r="L1419" s="390">
        <f>'UHV FGD'!$L$55</f>
        <v>0</v>
      </c>
      <c r="M1419" s="390">
        <f>'UHV FGD'!$M$55</f>
        <v>4137494</v>
      </c>
      <c r="N1419" s="401"/>
    </row>
    <row r="1420" spans="2:14" s="160" customFormat="1" ht="12.75" hidden="1" customHeight="1" outlineLevel="1">
      <c r="B1420" s="674" t="str">
        <f>'UNT FGD'!$B$2</f>
        <v>University of North Texas</v>
      </c>
      <c r="C1420" s="177"/>
      <c r="D1420" s="390">
        <f>'UNT FGD'!$D$55</f>
        <v>67663</v>
      </c>
      <c r="E1420" s="390">
        <f>'UNT FGD'!$E$55</f>
        <v>1647131</v>
      </c>
      <c r="F1420" s="390">
        <f>'UNT FGD'!$F$55</f>
        <v>4781</v>
      </c>
      <c r="G1420" s="390">
        <f>'UNT FGD'!$G$55</f>
        <v>60934</v>
      </c>
      <c r="H1420" s="390">
        <f>'UNT FGD'!$H$55</f>
        <v>46484</v>
      </c>
      <c r="I1420" s="390">
        <f>'UNT FGD'!$I$55</f>
        <v>0</v>
      </c>
      <c r="J1420" s="390">
        <f>'UNT FGD'!$J$55</f>
        <v>0</v>
      </c>
      <c r="K1420" s="390">
        <f>'UNT FGD'!$K$55</f>
        <v>0</v>
      </c>
      <c r="L1420" s="390">
        <f>'UNT FGD'!$L$55</f>
        <v>-180872</v>
      </c>
      <c r="M1420" s="390">
        <f>'UNT FGD'!$M$55</f>
        <v>1646121</v>
      </c>
      <c r="N1420" s="401"/>
    </row>
    <row r="1421" spans="2:14" s="160" customFormat="1" ht="12.75" hidden="1" customHeight="1" outlineLevel="1">
      <c r="B1421" s="674" t="str">
        <f>'UNTD FGD'!$B$2</f>
        <v>University of North Texas at Dallas</v>
      </c>
      <c r="C1421" s="177"/>
      <c r="D1421" s="390">
        <f>'UNTD FGD'!$D$55</f>
        <v>0</v>
      </c>
      <c r="E1421" s="390">
        <f>'UNTD FGD'!$E$55</f>
        <v>924253</v>
      </c>
      <c r="F1421" s="390">
        <f>'UNTD FGD'!$F$55</f>
        <v>0</v>
      </c>
      <c r="G1421" s="390">
        <f>'UNTD FGD'!$G$55</f>
        <v>-826468</v>
      </c>
      <c r="H1421" s="390">
        <f>'UNTD FGD'!$H$55</f>
        <v>0</v>
      </c>
      <c r="I1421" s="390">
        <f>'UNTD FGD'!$I$55</f>
        <v>0</v>
      </c>
      <c r="J1421" s="390">
        <f>'UNTD FGD'!$J$55</f>
        <v>0</v>
      </c>
      <c r="K1421" s="390">
        <f>'UNTD FGD'!$K$55</f>
        <v>0</v>
      </c>
      <c r="L1421" s="390">
        <f>'UNTD FGD'!$L$55</f>
        <v>294234</v>
      </c>
      <c r="M1421" s="390">
        <f>'UNTD FGD'!$M$55</f>
        <v>392019</v>
      </c>
      <c r="N1421" s="401"/>
    </row>
    <row r="1422" spans="2:14" s="160" customFormat="1" ht="12.75" hidden="1" customHeight="1" outlineLevel="1">
      <c r="B1422" s="674" t="str">
        <f>'WTAMU FGD'!$B$2</f>
        <v>West Texas A&amp;M University</v>
      </c>
      <c r="C1422" s="177"/>
      <c r="D1422" s="390">
        <f>'WTAMU FGD'!$D$55</f>
        <v>11539</v>
      </c>
      <c r="E1422" s="390">
        <f>'WTAMU FGD'!$E$55</f>
        <v>717489</v>
      </c>
      <c r="F1422" s="390">
        <f>'WTAMU FGD'!$F$55</f>
        <v>222430</v>
      </c>
      <c r="G1422" s="390">
        <f>'WTAMU FGD'!$G$55</f>
        <v>0</v>
      </c>
      <c r="H1422" s="390">
        <f>'WTAMU FGD'!$H$55</f>
        <v>54715</v>
      </c>
      <c r="I1422" s="390">
        <f>'WTAMU FGD'!$I$55</f>
        <v>33443</v>
      </c>
      <c r="J1422" s="390">
        <f>'WTAMU FGD'!$J$55</f>
        <v>0</v>
      </c>
      <c r="K1422" s="390">
        <f>'WTAMU FGD'!$K$55</f>
        <v>0</v>
      </c>
      <c r="L1422" s="390">
        <f>'WTAMU FGD'!$L$55</f>
        <v>0</v>
      </c>
      <c r="M1422" s="390">
        <f>'WTAMU FGD'!$M$55</f>
        <v>1039616</v>
      </c>
      <c r="N1422" s="401"/>
    </row>
    <row r="1423" spans="2:14" s="160" customFormat="1" collapsed="1">
      <c r="B1423" s="160" t="s">
        <v>43</v>
      </c>
      <c r="D1423" s="390">
        <f t="shared" ref="D1423:M1423" si="37">SUM(D1387:D1422)</f>
        <v>23602971</v>
      </c>
      <c r="E1423" s="390">
        <f t="shared" si="37"/>
        <v>231080451</v>
      </c>
      <c r="F1423" s="390">
        <f t="shared" si="37"/>
        <v>62675839</v>
      </c>
      <c r="G1423" s="390">
        <f t="shared" si="37"/>
        <v>-28885970</v>
      </c>
      <c r="H1423" s="390">
        <f t="shared" si="37"/>
        <v>3197596</v>
      </c>
      <c r="I1423" s="390">
        <f t="shared" si="37"/>
        <v>2721670</v>
      </c>
      <c r="J1423" s="390">
        <f t="shared" si="37"/>
        <v>6287270</v>
      </c>
      <c r="K1423" s="390">
        <f t="shared" si="37"/>
        <v>0</v>
      </c>
      <c r="L1423" s="390">
        <f t="shared" si="37"/>
        <v>8244232</v>
      </c>
      <c r="M1423" s="390">
        <f t="shared" si="37"/>
        <v>308924059</v>
      </c>
      <c r="N1423" s="401"/>
    </row>
    <row r="1424" spans="2:14" s="160" customFormat="1" ht="12.75" hidden="1" customHeight="1" outlineLevel="1">
      <c r="B1424" s="674" t="str">
        <f>'ARL FGD'!$B$2</f>
        <v>The University of Texas at Arlington</v>
      </c>
      <c r="D1424" s="390">
        <f>'ARL FGD'!$D$56</f>
        <v>2983882</v>
      </c>
      <c r="E1424" s="390">
        <f>'ARL FGD'!$E$56</f>
        <v>54688942</v>
      </c>
      <c r="F1424" s="390">
        <f>'ARL FGD'!$F$56</f>
        <v>32619749</v>
      </c>
      <c r="G1424" s="390">
        <f>'ARL FGD'!$G$56</f>
        <v>26272265</v>
      </c>
      <c r="H1424" s="390">
        <f>'ARL FGD'!$H$56</f>
        <v>236532</v>
      </c>
      <c r="I1424" s="390">
        <f>'ARL FGD'!$I$56</f>
        <v>8586</v>
      </c>
      <c r="J1424" s="390">
        <f>'ARL FGD'!$J$56</f>
        <v>2948014</v>
      </c>
      <c r="K1424" s="390">
        <f>'ARL FGD'!$K$56</f>
        <v>0</v>
      </c>
      <c r="L1424" s="390">
        <f>'ARL FGD'!$L$56</f>
        <v>624351</v>
      </c>
      <c r="M1424" s="390">
        <f>'ARL FGD'!$M$56</f>
        <v>120382321</v>
      </c>
      <c r="N1424" s="401"/>
    </row>
    <row r="1425" spans="2:14" s="160" customFormat="1" ht="12.75" hidden="1" customHeight="1" outlineLevel="1">
      <c r="B1425" s="674" t="str">
        <f>'ASU FGD'!$B$2</f>
        <v>Angelo State University</v>
      </c>
      <c r="D1425" s="390">
        <f>'ASU FGD'!$D$56</f>
        <v>237982</v>
      </c>
      <c r="E1425" s="390">
        <f>'ASU FGD'!$E$56</f>
        <v>2501383</v>
      </c>
      <c r="F1425" s="390">
        <f>'ASU FGD'!$F$56</f>
        <v>10872776</v>
      </c>
      <c r="G1425" s="390">
        <f>'ASU FGD'!$G$56</f>
        <v>17034218</v>
      </c>
      <c r="H1425" s="390">
        <f>'ASU FGD'!$H$56</f>
        <v>13642</v>
      </c>
      <c r="I1425" s="390">
        <f>'ASU FGD'!$I$56</f>
        <v>8173196</v>
      </c>
      <c r="J1425" s="390">
        <f>'ASU FGD'!$J$56</f>
        <v>1294932</v>
      </c>
      <c r="K1425" s="390">
        <f>'ASU FGD'!$K$56</f>
        <v>0</v>
      </c>
      <c r="L1425" s="390">
        <f>'ASU FGD'!$L$56</f>
        <v>45693</v>
      </c>
      <c r="M1425" s="390">
        <f>'ASU FGD'!$M$56</f>
        <v>40173822</v>
      </c>
      <c r="N1425" s="401"/>
    </row>
    <row r="1426" spans="2:14" s="160" customFormat="1" ht="12.75" hidden="1" customHeight="1" outlineLevel="1">
      <c r="B1426" s="674" t="str">
        <f>'AUS1 FGD'!$B$2</f>
        <v>The University of Texas at Austin - Academic &amp; Health (A+H)</v>
      </c>
      <c r="D1426" s="390">
        <f>'AUS1 FGD'!$D$56</f>
        <v>13686115</v>
      </c>
      <c r="E1426" s="390">
        <f>'AUS1 FGD'!$E$56</f>
        <v>467683233</v>
      </c>
      <c r="F1426" s="390">
        <f>'AUS1 FGD'!$F$56</f>
        <v>193754070</v>
      </c>
      <c r="G1426" s="390">
        <f>'AUS1 FGD'!$G$56</f>
        <v>608052048</v>
      </c>
      <c r="H1426" s="390">
        <f>'AUS1 FGD'!$H$56</f>
        <v>5548286</v>
      </c>
      <c r="I1426" s="390">
        <f>'AUS1 FGD'!$I$56</f>
        <v>361099</v>
      </c>
      <c r="J1426" s="390">
        <f>'AUS1 FGD'!$J$56</f>
        <v>52781461</v>
      </c>
      <c r="K1426" s="390">
        <f>'AUS1 FGD'!$K$56</f>
        <v>0</v>
      </c>
      <c r="L1426" s="390">
        <f>'AUS1 FGD'!$L$56</f>
        <v>-5726015</v>
      </c>
      <c r="M1426" s="390">
        <f>'AUS1 FGD'!$M$56</f>
        <v>1336140297</v>
      </c>
      <c r="N1426" s="401"/>
    </row>
    <row r="1427" spans="2:14" s="160" customFormat="1" ht="12.75" hidden="1" customHeight="1" outlineLevel="1">
      <c r="B1427" s="674" t="str">
        <f>'RGV1 FGD'!$B$2</f>
        <v>The University of Texas RGV - Academic &amp; Health (A+H)</v>
      </c>
      <c r="D1427" s="390">
        <f>'RGV1 FGD'!$D$56</f>
        <v>532090</v>
      </c>
      <c r="E1427" s="390">
        <f>'RGV1 FGD'!$E$56</f>
        <v>61599146</v>
      </c>
      <c r="F1427" s="390">
        <f>'RGV1 FGD'!$F$56</f>
        <v>4577388</v>
      </c>
      <c r="G1427" s="390">
        <f>'RGV1 FGD'!$G$56</f>
        <v>10104313</v>
      </c>
      <c r="H1427" s="390">
        <f>'RGV1 FGD'!$H$56</f>
        <v>610291</v>
      </c>
      <c r="I1427" s="390">
        <f>'RGV1 FGD'!$I$56</f>
        <v>38535</v>
      </c>
      <c r="J1427" s="390">
        <f>'RGV1 FGD'!$J$56</f>
        <v>211764</v>
      </c>
      <c r="K1427" s="390">
        <f>'RGV1 FGD'!$K$56</f>
        <v>0</v>
      </c>
      <c r="L1427" s="390">
        <f>'RGV1 FGD'!$L$56</f>
        <v>-123671</v>
      </c>
      <c r="M1427" s="390">
        <f>'RGV1 FGD'!$M$56</f>
        <v>77549856</v>
      </c>
      <c r="N1427" s="401"/>
    </row>
    <row r="1428" spans="2:14" s="160" customFormat="1" ht="12.75" hidden="1" customHeight="1" outlineLevel="1">
      <c r="B1428" s="674" t="str">
        <f>'DAL FGD'!$B$2</f>
        <v>The University of Texas at Dallas</v>
      </c>
      <c r="D1428" s="390">
        <f>'DAL FGD'!$D$56</f>
        <v>6887029</v>
      </c>
      <c r="E1428" s="390">
        <f>'DAL FGD'!$E$56</f>
        <v>51307262</v>
      </c>
      <c r="F1428" s="390">
        <f>'DAL FGD'!$F$56</f>
        <v>28950291</v>
      </c>
      <c r="G1428" s="390">
        <f>'DAL FGD'!$G$56</f>
        <v>44506204</v>
      </c>
      <c r="H1428" s="390">
        <f>'DAL FGD'!$H$56</f>
        <v>21715</v>
      </c>
      <c r="I1428" s="390">
        <f>'DAL FGD'!$I$56</f>
        <v>2044172</v>
      </c>
      <c r="J1428" s="390">
        <f>'DAL FGD'!$J$56</f>
        <v>1933124</v>
      </c>
      <c r="K1428" s="390">
        <f>'DAL FGD'!$K$56</f>
        <v>0</v>
      </c>
      <c r="L1428" s="390">
        <f>'DAL FGD'!$L$56</f>
        <v>-1416903</v>
      </c>
      <c r="M1428" s="390">
        <f>'DAL FGD'!$M$56</f>
        <v>134232894</v>
      </c>
      <c r="N1428" s="401"/>
    </row>
    <row r="1429" spans="2:14" s="160" customFormat="1" ht="12.75" hidden="1" customHeight="1" outlineLevel="1">
      <c r="B1429" s="674" t="str">
        <f>'E-P FGD'!$B$2</f>
        <v>The University of Texas at El Paso</v>
      </c>
      <c r="D1429" s="390">
        <f>'E-P FGD'!$D$56</f>
        <v>74919</v>
      </c>
      <c r="E1429" s="390">
        <f>'E-P FGD'!$E$56</f>
        <v>13334893</v>
      </c>
      <c r="F1429" s="390">
        <f>'E-P FGD'!$F$56</f>
        <v>16542310</v>
      </c>
      <c r="G1429" s="390">
        <f>'E-P FGD'!$G$56</f>
        <v>25674485</v>
      </c>
      <c r="H1429" s="390">
        <f>'E-P FGD'!$H$56</f>
        <v>20949</v>
      </c>
      <c r="I1429" s="390">
        <f>'E-P FGD'!$I$56</f>
        <v>192269</v>
      </c>
      <c r="J1429" s="390">
        <f>'E-P FGD'!$J$56</f>
        <v>2602</v>
      </c>
      <c r="K1429" s="390">
        <f>'E-P FGD'!$K$56</f>
        <v>0</v>
      </c>
      <c r="L1429" s="390">
        <f>'E-P FGD'!$L$56</f>
        <v>335566</v>
      </c>
      <c r="M1429" s="390">
        <f>'E-P FGD'!$M$56</f>
        <v>56177993</v>
      </c>
      <c r="N1429" s="401"/>
    </row>
    <row r="1430" spans="2:14" s="160" customFormat="1" ht="12.75" hidden="1" customHeight="1" outlineLevel="1">
      <c r="B1430" s="674" t="str">
        <f>'LU FGD'!$B$2</f>
        <v xml:space="preserve">Lamar University </v>
      </c>
      <c r="D1430" s="390">
        <f>'LU FGD'!$D$56</f>
        <v>6248760</v>
      </c>
      <c r="E1430" s="390">
        <f>'LU FGD'!$E$56</f>
        <v>2102360</v>
      </c>
      <c r="F1430" s="390">
        <f>'LU FGD'!$F$56</f>
        <v>25820899</v>
      </c>
      <c r="G1430" s="390">
        <f>'LU FGD'!$G$56</f>
        <v>9475800</v>
      </c>
      <c r="H1430" s="390">
        <f>'LU FGD'!$H$56</f>
        <v>0</v>
      </c>
      <c r="I1430" s="390">
        <f>'LU FGD'!$I$56</f>
        <v>395691</v>
      </c>
      <c r="J1430" s="390">
        <f>'LU FGD'!$J$56</f>
        <v>13055</v>
      </c>
      <c r="K1430" s="390">
        <f>'LU FGD'!$K$56</f>
        <v>0</v>
      </c>
      <c r="L1430" s="390">
        <f>'LU FGD'!$L$56</f>
        <v>0</v>
      </c>
      <c r="M1430" s="390">
        <f>'LU FGD'!$M$56</f>
        <v>44056565</v>
      </c>
      <c r="N1430" s="401"/>
    </row>
    <row r="1431" spans="2:14" s="160" customFormat="1" ht="12.75" hidden="1" customHeight="1" outlineLevel="1">
      <c r="B1431" s="674" t="str">
        <f>'MidWST FGD'!$B$2</f>
        <v>Midwestern State University</v>
      </c>
      <c r="D1431" s="390">
        <f>'MidWST FGD'!$D$56</f>
        <v>19426</v>
      </c>
      <c r="E1431" s="390">
        <f>'MidWST FGD'!$E$56</f>
        <v>3152799</v>
      </c>
      <c r="F1431" s="390">
        <f>'MidWST FGD'!$F$56</f>
        <v>13155920</v>
      </c>
      <c r="G1431" s="390">
        <f>'MidWST FGD'!$G$56</f>
        <v>7813201</v>
      </c>
      <c r="H1431" s="390">
        <f>'MidWST FGD'!$H$56</f>
        <v>50406</v>
      </c>
      <c r="I1431" s="390">
        <f>'MidWST FGD'!$I$56</f>
        <v>-32922</v>
      </c>
      <c r="J1431" s="390">
        <f>'MidWST FGD'!$J$56</f>
        <v>1009720</v>
      </c>
      <c r="K1431" s="390">
        <f>'MidWST FGD'!$K$56</f>
        <v>0</v>
      </c>
      <c r="L1431" s="390">
        <f>'MidWST FGD'!$L$56</f>
        <v>0</v>
      </c>
      <c r="M1431" s="390">
        <f>'MidWST FGD'!$M$56</f>
        <v>25168550</v>
      </c>
      <c r="N1431" s="401"/>
    </row>
    <row r="1432" spans="2:14" s="160" customFormat="1" ht="12.75" hidden="1" customHeight="1" outlineLevel="1">
      <c r="B1432" s="674" t="str">
        <f>'P-B FGD'!$B$2</f>
        <v>The University of Texas of the Permian Basin</v>
      </c>
      <c r="D1432" s="390">
        <f>'P-B FGD'!$D$56</f>
        <v>68130</v>
      </c>
      <c r="E1432" s="390">
        <f>'P-B FGD'!$E$56</f>
        <v>1659657</v>
      </c>
      <c r="F1432" s="390">
        <f>'P-B FGD'!$F$56</f>
        <v>6063978</v>
      </c>
      <c r="G1432" s="390">
        <f>'P-B FGD'!$G$56</f>
        <v>9393147</v>
      </c>
      <c r="H1432" s="390">
        <f>'P-B FGD'!$H$56</f>
        <v>0</v>
      </c>
      <c r="I1432" s="390">
        <f>'P-B FGD'!$I$56</f>
        <v>33964</v>
      </c>
      <c r="J1432" s="390">
        <f>'P-B FGD'!$J$56</f>
        <v>0</v>
      </c>
      <c r="K1432" s="390">
        <f>'P-B FGD'!$K$56</f>
        <v>0</v>
      </c>
      <c r="L1432" s="390">
        <f>'P-B FGD'!$L$56</f>
        <v>0</v>
      </c>
      <c r="M1432" s="390">
        <f>'P-B FGD'!$M$56</f>
        <v>17218876</v>
      </c>
      <c r="N1432" s="401"/>
    </row>
    <row r="1433" spans="2:14" s="160" customFormat="1" ht="12.75" hidden="1" customHeight="1" outlineLevel="1">
      <c r="B1433" s="674" t="str">
        <f>'PVAMU FGD'!$B$2</f>
        <v>Prairie View A&amp;M University</v>
      </c>
      <c r="D1433" s="390">
        <f>'PVAMU FGD'!$D$56</f>
        <v>1522941</v>
      </c>
      <c r="E1433" s="390">
        <f>'PVAMU FGD'!$E$56</f>
        <v>9213708</v>
      </c>
      <c r="F1433" s="390">
        <f>'PVAMU FGD'!$F$56</f>
        <v>14000005</v>
      </c>
      <c r="G1433" s="390">
        <f>'PVAMU FGD'!$G$56</f>
        <v>35094053</v>
      </c>
      <c r="H1433" s="390">
        <f>'PVAMU FGD'!$H$56</f>
        <v>0</v>
      </c>
      <c r="I1433" s="390">
        <f>'PVAMU FGD'!$I$56</f>
        <v>45457</v>
      </c>
      <c r="J1433" s="390">
        <f>'PVAMU FGD'!$J$56</f>
        <v>0</v>
      </c>
      <c r="K1433" s="390">
        <f>'PVAMU FGD'!$K$56</f>
        <v>0</v>
      </c>
      <c r="L1433" s="390">
        <f>'PVAMU FGD'!$L$56</f>
        <v>0</v>
      </c>
      <c r="M1433" s="390">
        <f>'PVAMU FGD'!$M$56</f>
        <v>59876164</v>
      </c>
      <c r="N1433" s="401"/>
    </row>
    <row r="1434" spans="2:14" s="160" customFormat="1" ht="12.75" hidden="1" customHeight="1" outlineLevel="1">
      <c r="B1434" s="674" t="str">
        <f>'S-A FGD'!$B$2</f>
        <v>The University of Texas at San Antonio</v>
      </c>
      <c r="D1434" s="390">
        <f>'S-A FGD'!$D$56</f>
        <v>113422</v>
      </c>
      <c r="E1434" s="390">
        <f>'S-A FGD'!$E$56</f>
        <v>19415800</v>
      </c>
      <c r="F1434" s="390">
        <f>'S-A FGD'!$F$56</f>
        <v>27601257</v>
      </c>
      <c r="G1434" s="390">
        <f>'S-A FGD'!$G$56</f>
        <v>113665397</v>
      </c>
      <c r="H1434" s="390">
        <f>'S-A FGD'!$H$56</f>
        <v>67796</v>
      </c>
      <c r="I1434" s="390">
        <f>'S-A FGD'!$I$56</f>
        <v>247158</v>
      </c>
      <c r="J1434" s="390">
        <f>'S-A FGD'!$J$56</f>
        <v>990711</v>
      </c>
      <c r="K1434" s="390">
        <f>'S-A FGD'!$K$56</f>
        <v>0</v>
      </c>
      <c r="L1434" s="390">
        <f>'S-A FGD'!$L$56</f>
        <v>-12251</v>
      </c>
      <c r="M1434" s="390">
        <f>'S-A FGD'!$M$56</f>
        <v>162089290</v>
      </c>
      <c r="N1434" s="401"/>
    </row>
    <row r="1435" spans="2:14" s="160" customFormat="1" ht="12.75" hidden="1" customHeight="1" outlineLevel="1">
      <c r="B1435" s="674" t="str">
        <f>'SFA FGD'!$B$2</f>
        <v>Stephen F. Austin State University</v>
      </c>
      <c r="D1435" s="390">
        <f>'SFA FGD'!$D$56</f>
        <v>720666</v>
      </c>
      <c r="E1435" s="390">
        <f>'SFA FGD'!$E$56</f>
        <v>7715023</v>
      </c>
      <c r="F1435" s="390">
        <f>'SFA FGD'!$F$56</f>
        <v>19015664</v>
      </c>
      <c r="G1435" s="390">
        <f>'SFA FGD'!$G$56</f>
        <v>9499006</v>
      </c>
      <c r="H1435" s="390">
        <f>'SFA FGD'!$H$56</f>
        <v>-168136</v>
      </c>
      <c r="I1435" s="390">
        <f>'SFA FGD'!$I$56</f>
        <v>1389429</v>
      </c>
      <c r="J1435" s="390">
        <f>'SFA FGD'!$J$56</f>
        <v>4211623</v>
      </c>
      <c r="K1435" s="390">
        <f>'SFA FGD'!$K$56</f>
        <v>0</v>
      </c>
      <c r="L1435" s="390">
        <f>'SFA FGD'!$L$56</f>
        <v>0</v>
      </c>
      <c r="M1435" s="390">
        <f>'SFA FGD'!$M$56</f>
        <v>42383275</v>
      </c>
      <c r="N1435" s="401"/>
    </row>
    <row r="1436" spans="2:14" s="160" customFormat="1" ht="12.75" hidden="1" customHeight="1" outlineLevel="1">
      <c r="B1436" s="674" t="str">
        <f>'shsu1 FGD'!$B$2</f>
        <v>Sam Houston State University - Academic &amp; Health (A+H)</v>
      </c>
      <c r="D1436" s="390">
        <f>'shsu1 FGD'!$D$56</f>
        <v>4190399</v>
      </c>
      <c r="E1436" s="390">
        <f>'shsu1 FGD'!$E$56</f>
        <v>9643938</v>
      </c>
      <c r="F1436" s="390">
        <f>'shsu1 FGD'!$F$56</f>
        <v>32941929</v>
      </c>
      <c r="G1436" s="390">
        <f>'shsu1 FGD'!$G$56</f>
        <v>12929748</v>
      </c>
      <c r="H1436" s="390">
        <f>'shsu1 FGD'!$H$56</f>
        <v>-65</v>
      </c>
      <c r="I1436" s="390">
        <f>'shsu1 FGD'!$I$56</f>
        <v>14757184</v>
      </c>
      <c r="J1436" s="390">
        <f>'shsu1 FGD'!$J$56</f>
        <v>-2664645</v>
      </c>
      <c r="K1436" s="390">
        <f>'shsu1 FGD'!$K$56</f>
        <v>0</v>
      </c>
      <c r="L1436" s="390">
        <f>'shsu1 FGD'!$L$56</f>
        <v>0</v>
      </c>
      <c r="M1436" s="390">
        <f>'shsu1 FGD'!$M$56</f>
        <v>71798488</v>
      </c>
      <c r="N1436" s="401"/>
    </row>
    <row r="1437" spans="2:14" s="160" customFormat="1" ht="12.75" hidden="1" customHeight="1" outlineLevel="1">
      <c r="B1437" s="674" t="str">
        <f>'SRSU FGD'!$B$2</f>
        <v>Sul Ross State University</v>
      </c>
      <c r="D1437" s="390">
        <f>'SRSU FGD'!$D$56</f>
        <v>9269</v>
      </c>
      <c r="E1437" s="390">
        <f>'SRSU FGD'!$E$56</f>
        <v>417499</v>
      </c>
      <c r="F1437" s="390">
        <f>'SRSU FGD'!$F$56</f>
        <v>2458608</v>
      </c>
      <c r="G1437" s="390">
        <f>'SRSU FGD'!$G$56</f>
        <v>6476393</v>
      </c>
      <c r="H1437" s="390">
        <f>'SRSU FGD'!$H$56</f>
        <v>0</v>
      </c>
      <c r="I1437" s="390">
        <f>'SRSU FGD'!$I$56</f>
        <v>2624371</v>
      </c>
      <c r="J1437" s="390">
        <f>'SRSU FGD'!$J$56</f>
        <v>1031671</v>
      </c>
      <c r="K1437" s="390">
        <f>'SRSU FGD'!$K$56</f>
        <v>0</v>
      </c>
      <c r="L1437" s="390">
        <f>'SRSU FGD'!$L$56</f>
        <v>0</v>
      </c>
      <c r="M1437" s="390">
        <f>'SRSU FGD'!$M$56</f>
        <v>13017811</v>
      </c>
      <c r="N1437" s="401"/>
    </row>
    <row r="1438" spans="2:14" s="160" customFormat="1" ht="12.75" hidden="1" customHeight="1" outlineLevel="1">
      <c r="B1438" s="674" t="str">
        <f>'TAMIU FGD'!$B$2</f>
        <v>Texas A&amp;M International University</v>
      </c>
      <c r="D1438" s="390">
        <f>'TAMIU FGD'!$D$56</f>
        <v>117735</v>
      </c>
      <c r="E1438" s="390">
        <f>'TAMIU FGD'!$E$56</f>
        <v>8203282</v>
      </c>
      <c r="F1438" s="390">
        <f>'TAMIU FGD'!$F$56</f>
        <v>2680215</v>
      </c>
      <c r="G1438" s="390">
        <f>'TAMIU FGD'!$G$56</f>
        <v>3261466</v>
      </c>
      <c r="H1438" s="390">
        <f>'TAMIU FGD'!$H$56</f>
        <v>151323</v>
      </c>
      <c r="I1438" s="390">
        <f>'TAMIU FGD'!$I$56</f>
        <v>1481870</v>
      </c>
      <c r="J1438" s="390">
        <f>'TAMIU FGD'!$J$56</f>
        <v>29235</v>
      </c>
      <c r="K1438" s="390">
        <f>'TAMIU FGD'!$K$56</f>
        <v>0</v>
      </c>
      <c r="L1438" s="390">
        <f>'TAMIU FGD'!$L$56</f>
        <v>0</v>
      </c>
      <c r="M1438" s="390">
        <f>'TAMIU FGD'!$M$56</f>
        <v>15925126</v>
      </c>
      <c r="N1438" s="401"/>
    </row>
    <row r="1439" spans="2:14" s="160" customFormat="1" ht="12.75" hidden="1" customHeight="1" outlineLevel="1">
      <c r="B1439" s="674" t="str">
        <f>'TAMU FGD'!$B$2</f>
        <v>Texas A&amp;M University</v>
      </c>
      <c r="D1439" s="390">
        <f>'TAMU FGD'!$D$56</f>
        <v>43317912</v>
      </c>
      <c r="E1439" s="390">
        <f>'TAMU FGD'!$E$56</f>
        <v>287155676</v>
      </c>
      <c r="F1439" s="390">
        <f>'TAMU FGD'!$F$56</f>
        <v>225242588</v>
      </c>
      <c r="G1439" s="390">
        <f>'TAMU FGD'!$G$56</f>
        <v>155080775</v>
      </c>
      <c r="H1439" s="390">
        <f>'TAMU FGD'!$H$56</f>
        <v>1537230</v>
      </c>
      <c r="I1439" s="390">
        <f>'TAMU FGD'!$I$56</f>
        <v>48802</v>
      </c>
      <c r="J1439" s="390">
        <f>'TAMU FGD'!$J$56</f>
        <v>1137036</v>
      </c>
      <c r="K1439" s="390">
        <f>'TAMU FGD'!$K$56</f>
        <v>0</v>
      </c>
      <c r="L1439" s="390">
        <f>'TAMU FGD'!$L$56</f>
        <v>14625413</v>
      </c>
      <c r="M1439" s="390">
        <f>'TAMU FGD'!$M$56</f>
        <v>728145432</v>
      </c>
      <c r="N1439" s="401"/>
    </row>
    <row r="1440" spans="2:14" s="160" customFormat="1" ht="12.75" hidden="1" customHeight="1" outlineLevel="1">
      <c r="B1440" s="674" t="str">
        <f>'TAMUC FGD'!$B$2</f>
        <v>Texas A&amp;M University - Commerce</v>
      </c>
      <c r="D1440" s="390">
        <f>'TAMUC FGD'!$D$56</f>
        <v>92060</v>
      </c>
      <c r="E1440" s="390">
        <f>'TAMUC FGD'!$E$56</f>
        <v>21498284</v>
      </c>
      <c r="F1440" s="390">
        <f>'TAMUC FGD'!$F$56</f>
        <v>19042133</v>
      </c>
      <c r="G1440" s="390">
        <f>'TAMUC FGD'!$G$56</f>
        <v>265561</v>
      </c>
      <c r="H1440" s="390">
        <f>'TAMUC FGD'!$H$56</f>
        <v>39391</v>
      </c>
      <c r="I1440" s="390">
        <f>'TAMUC FGD'!$I$56</f>
        <v>0</v>
      </c>
      <c r="J1440" s="390">
        <f>'TAMUC FGD'!$J$56</f>
        <v>5000</v>
      </c>
      <c r="K1440" s="390">
        <f>'TAMUC FGD'!$K$56</f>
        <v>0</v>
      </c>
      <c r="L1440" s="390">
        <f>'TAMUC FGD'!$L$56</f>
        <v>68297</v>
      </c>
      <c r="M1440" s="390">
        <f>'TAMUC FGD'!$M$56</f>
        <v>41010726</v>
      </c>
      <c r="N1440" s="401"/>
    </row>
    <row r="1441" spans="2:14" s="160" customFormat="1" ht="12.75" hidden="1" customHeight="1" outlineLevel="1">
      <c r="B1441" s="674" t="str">
        <f>'TAMUCC FGD'!$B$2</f>
        <v>Texas A&amp;M University - Corpus Christi</v>
      </c>
      <c r="D1441" s="390">
        <f>'TAMUCC FGD'!$D$56</f>
        <v>212285</v>
      </c>
      <c r="E1441" s="390">
        <f>'TAMUCC FGD'!$E$56</f>
        <v>16555579</v>
      </c>
      <c r="F1441" s="390">
        <f>'TAMUCC FGD'!$F$56</f>
        <v>10284406</v>
      </c>
      <c r="G1441" s="390">
        <f>'TAMUCC FGD'!$G$56</f>
        <v>7238019</v>
      </c>
      <c r="H1441" s="390">
        <f>'TAMUCC FGD'!$H$56</f>
        <v>57863</v>
      </c>
      <c r="I1441" s="390">
        <f>'TAMUCC FGD'!$I$56</f>
        <v>8448</v>
      </c>
      <c r="J1441" s="390">
        <f>'TAMUCC FGD'!$J$56</f>
        <v>372753</v>
      </c>
      <c r="K1441" s="390">
        <f>'TAMUCC FGD'!$K$56</f>
        <v>0</v>
      </c>
      <c r="L1441" s="390">
        <f>'TAMUCC FGD'!$L$56</f>
        <v>33013</v>
      </c>
      <c r="M1441" s="390">
        <f>'TAMUCC FGD'!$M$56</f>
        <v>34762366</v>
      </c>
      <c r="N1441" s="401"/>
    </row>
    <row r="1442" spans="2:14" s="160" customFormat="1" ht="12.75" hidden="1" customHeight="1" outlineLevel="1">
      <c r="B1442" s="674" t="str">
        <f>'TAMUCT FGD'!$B$2</f>
        <v>Texas A&amp;M University - Central Texas</v>
      </c>
      <c r="D1442" s="390">
        <f>'TAMUCT FGD'!$D$56</f>
        <v>10618</v>
      </c>
      <c r="E1442" s="390">
        <f>'TAMUCT FGD'!$E$56</f>
        <v>3008136</v>
      </c>
      <c r="F1442" s="390">
        <f>'TAMUCT FGD'!$F$56</f>
        <v>52146</v>
      </c>
      <c r="G1442" s="390">
        <f>'TAMUCT FGD'!$G$56</f>
        <v>-952431</v>
      </c>
      <c r="H1442" s="390">
        <f>'TAMUCT FGD'!$H$56</f>
        <v>1676</v>
      </c>
      <c r="I1442" s="390">
        <f>'TAMUCT FGD'!$I$56</f>
        <v>0</v>
      </c>
      <c r="J1442" s="390">
        <f>'TAMUCT FGD'!$J$56</f>
        <v>0</v>
      </c>
      <c r="K1442" s="390">
        <f>'TAMUCT FGD'!$K$56</f>
        <v>0</v>
      </c>
      <c r="L1442" s="390">
        <f>'TAMUCT FGD'!$L$56</f>
        <v>0</v>
      </c>
      <c r="M1442" s="390">
        <f>'TAMUCT FGD'!$M$56</f>
        <v>2120145</v>
      </c>
      <c r="N1442" s="401"/>
    </row>
    <row r="1443" spans="2:14" s="160" customFormat="1" ht="12.75" hidden="1" customHeight="1" outlineLevel="1">
      <c r="B1443" s="674" t="str">
        <f>'TAMUG FGD'!$B$2</f>
        <v>Texas A&amp;M University at Galveston</v>
      </c>
      <c r="D1443" s="390">
        <f>'TAMUG FGD'!$D$56</f>
        <v>183087</v>
      </c>
      <c r="E1443" s="390">
        <f>'TAMUG FGD'!$E$56</f>
        <v>9360936</v>
      </c>
      <c r="F1443" s="390">
        <f>'TAMUG FGD'!$F$56</f>
        <v>7011841</v>
      </c>
      <c r="G1443" s="390">
        <f>'TAMUG FGD'!$G$56</f>
        <v>1383683</v>
      </c>
      <c r="H1443" s="390">
        <f>'TAMUG FGD'!$H$56</f>
        <v>6929</v>
      </c>
      <c r="I1443" s="390">
        <f>'TAMUG FGD'!$I$56</f>
        <v>968</v>
      </c>
      <c r="J1443" s="390">
        <f>'TAMUG FGD'!$J$56</f>
        <v>0</v>
      </c>
      <c r="K1443" s="390">
        <f>'TAMUG FGD'!$K$56</f>
        <v>0</v>
      </c>
      <c r="L1443" s="390">
        <f>'TAMUG FGD'!$L$56</f>
        <v>-1567</v>
      </c>
      <c r="M1443" s="390">
        <f>'TAMUG FGD'!$M$56</f>
        <v>17945877</v>
      </c>
      <c r="N1443" s="401"/>
    </row>
    <row r="1444" spans="2:14" s="160" customFormat="1" ht="12.75" hidden="1" customHeight="1" outlineLevel="1">
      <c r="B1444" s="674" t="str">
        <f>'TAMUK FGD'!$B$2</f>
        <v>Texas A&amp;M University - Kingsville</v>
      </c>
      <c r="D1444" s="390">
        <f>'TAMUK FGD'!$D$56</f>
        <v>153410</v>
      </c>
      <c r="E1444" s="390">
        <f>'TAMUK FGD'!$E$56</f>
        <v>14581944</v>
      </c>
      <c r="F1444" s="390">
        <f>'TAMUK FGD'!$F$56</f>
        <v>10866130</v>
      </c>
      <c r="G1444" s="390">
        <f>'TAMUK FGD'!$G$56</f>
        <v>7073786</v>
      </c>
      <c r="H1444" s="390">
        <f>'TAMUK FGD'!$H$56</f>
        <v>74844</v>
      </c>
      <c r="I1444" s="390">
        <f>'TAMUK FGD'!$I$56</f>
        <v>812</v>
      </c>
      <c r="J1444" s="390">
        <f>'TAMUK FGD'!$J$56</f>
        <v>0</v>
      </c>
      <c r="K1444" s="390">
        <f>'TAMUK FGD'!$K$56</f>
        <v>0</v>
      </c>
      <c r="L1444" s="390">
        <f>'TAMUK FGD'!$L$56</f>
        <v>-348850</v>
      </c>
      <c r="M1444" s="390">
        <f>'TAMUK FGD'!$M$56</f>
        <v>32402076</v>
      </c>
      <c r="N1444" s="401"/>
    </row>
    <row r="1445" spans="2:14" s="160" customFormat="1" ht="12.75" hidden="1" customHeight="1" outlineLevel="1">
      <c r="B1445" s="674" t="str">
        <f>'TAMUSA FGD'!$B$2</f>
        <v>Texas A&amp;M University - San Antonio</v>
      </c>
      <c r="D1445" s="390">
        <f>'TAMUSA FGD'!$D$56</f>
        <v>54198</v>
      </c>
      <c r="E1445" s="390">
        <f>'TAMUSA FGD'!$E$56</f>
        <v>5889193</v>
      </c>
      <c r="F1445" s="390">
        <f>'TAMUSA FGD'!$F$56</f>
        <v>2466989</v>
      </c>
      <c r="G1445" s="390">
        <f>'TAMUSA FGD'!$G$56</f>
        <v>1358391</v>
      </c>
      <c r="H1445" s="390">
        <f>'TAMUSA FGD'!$H$56</f>
        <v>-62</v>
      </c>
      <c r="I1445" s="390">
        <f>'TAMUSA FGD'!$I$56</f>
        <v>0</v>
      </c>
      <c r="J1445" s="390">
        <f>'TAMUSA FGD'!$J$56</f>
        <v>0</v>
      </c>
      <c r="K1445" s="390">
        <f>'TAMUSA FGD'!$K$56</f>
        <v>0</v>
      </c>
      <c r="L1445" s="390">
        <f>'TAMUSA FGD'!$L$56</f>
        <v>14894</v>
      </c>
      <c r="M1445" s="390">
        <f>'TAMUSA FGD'!$M$56</f>
        <v>9783603</v>
      </c>
      <c r="N1445" s="401"/>
    </row>
    <row r="1446" spans="2:14" s="160" customFormat="1" ht="12.75" hidden="1" customHeight="1" outlineLevel="1">
      <c r="B1446" s="674" t="str">
        <f>'TAMUT FGD'!$B$2</f>
        <v>Texas A&amp;M University - Texarkana</v>
      </c>
      <c r="D1446" s="390">
        <f>'TAMUT FGD'!$D$56</f>
        <v>11999</v>
      </c>
      <c r="E1446" s="390">
        <f>'TAMUT FGD'!$E$56</f>
        <v>6134199</v>
      </c>
      <c r="F1446" s="390">
        <f>'TAMUT FGD'!$F$56</f>
        <v>1648190</v>
      </c>
      <c r="G1446" s="390">
        <f>'TAMUT FGD'!$G$56</f>
        <v>-1211251</v>
      </c>
      <c r="H1446" s="390">
        <f>'TAMUT FGD'!$H$56</f>
        <v>1040</v>
      </c>
      <c r="I1446" s="390">
        <f>'TAMUT FGD'!$I$56</f>
        <v>177724</v>
      </c>
      <c r="J1446" s="390">
        <f>'TAMUT FGD'!$J$56</f>
        <v>0</v>
      </c>
      <c r="K1446" s="390">
        <f>'TAMUT FGD'!$K$56</f>
        <v>0</v>
      </c>
      <c r="L1446" s="390">
        <f>'TAMUT FGD'!$L$56</f>
        <v>-747093</v>
      </c>
      <c r="M1446" s="390">
        <f>'TAMUT FGD'!$M$56</f>
        <v>6014808</v>
      </c>
      <c r="N1446" s="401"/>
    </row>
    <row r="1447" spans="2:14" s="160" customFormat="1" ht="12.75" hidden="1" customHeight="1" outlineLevel="1">
      <c r="B1447" s="674" t="str">
        <f>'TARLST FGD'!$B$2</f>
        <v>Tarleton State University</v>
      </c>
      <c r="D1447" s="390">
        <f>'TARLST FGD'!$D$56</f>
        <v>217389</v>
      </c>
      <c r="E1447" s="390">
        <f>'TARLST FGD'!$E$56</f>
        <v>13475403</v>
      </c>
      <c r="F1447" s="390">
        <f>'TARLST FGD'!$F$56</f>
        <v>33530256</v>
      </c>
      <c r="G1447" s="390">
        <f>'TARLST FGD'!$G$56</f>
        <v>9263213</v>
      </c>
      <c r="H1447" s="390">
        <f>'TARLST FGD'!$H$56</f>
        <v>102233</v>
      </c>
      <c r="I1447" s="390">
        <f>'TARLST FGD'!$I$56</f>
        <v>283</v>
      </c>
      <c r="J1447" s="390">
        <f>'TARLST FGD'!$J$56</f>
        <v>1661134</v>
      </c>
      <c r="K1447" s="390">
        <f>'TARLST FGD'!$K$56</f>
        <v>0</v>
      </c>
      <c r="L1447" s="390">
        <f>'TARLST FGD'!$L$56</f>
        <v>-174114</v>
      </c>
      <c r="M1447" s="390">
        <f>'TARLST FGD'!$M$56</f>
        <v>58075797</v>
      </c>
      <c r="N1447" s="401"/>
    </row>
    <row r="1448" spans="2:14" s="160" customFormat="1" ht="12.75" hidden="1" customHeight="1" outlineLevel="1">
      <c r="B1448" s="674" t="str">
        <f>'TSU FGD'!$B$2</f>
        <v>Texas Southern University</v>
      </c>
      <c r="D1448" s="390">
        <f>'TSU FGD'!$D$56</f>
        <v>16768228</v>
      </c>
      <c r="E1448" s="390">
        <f>'TSU FGD'!$E$56</f>
        <v>3497373</v>
      </c>
      <c r="F1448" s="390">
        <f>'TSU FGD'!$F$56</f>
        <v>7932012</v>
      </c>
      <c r="G1448" s="390">
        <f>'TSU FGD'!$G$56</f>
        <v>-894639</v>
      </c>
      <c r="H1448" s="390">
        <f>'TSU FGD'!$H$56</f>
        <v>0</v>
      </c>
      <c r="I1448" s="390">
        <f>'TSU FGD'!$I$56</f>
        <v>1365336</v>
      </c>
      <c r="J1448" s="390">
        <f>'TSU FGD'!$J$56</f>
        <v>3233117</v>
      </c>
      <c r="K1448" s="390">
        <f>'TSU FGD'!$K$56</f>
        <v>57348</v>
      </c>
      <c r="L1448" s="390">
        <f>'TSU FGD'!$L$56</f>
        <v>685218</v>
      </c>
      <c r="M1448" s="390">
        <f>'TSU FGD'!$M$56</f>
        <v>32643993</v>
      </c>
      <c r="N1448" s="401"/>
    </row>
    <row r="1449" spans="2:14" s="160" customFormat="1" ht="12.75" hidden="1" customHeight="1" outlineLevel="1">
      <c r="B1449" s="674" t="str">
        <f>'TTU FGD'!$B$2</f>
        <v>Texas Tech University</v>
      </c>
      <c r="D1449" s="390">
        <f>'TTU FGD'!$D$56</f>
        <v>282915</v>
      </c>
      <c r="E1449" s="390">
        <f>'TTU FGD'!$E$56</f>
        <v>28932095</v>
      </c>
      <c r="F1449" s="390">
        <f>'TTU FGD'!$F$56</f>
        <v>142804013</v>
      </c>
      <c r="G1449" s="390">
        <f>'TTU FGD'!$G$56</f>
        <v>129947357</v>
      </c>
      <c r="H1449" s="390">
        <f>'TTU FGD'!$H$56</f>
        <v>101192</v>
      </c>
      <c r="I1449" s="390">
        <f>'TTU FGD'!$I$56</f>
        <v>-16960983</v>
      </c>
      <c r="J1449" s="390">
        <f>'TTU FGD'!$J$56</f>
        <v>84298</v>
      </c>
      <c r="K1449" s="390">
        <f>'TTU FGD'!$K$56</f>
        <v>1009429</v>
      </c>
      <c r="L1449" s="390">
        <f>'TTU FGD'!$L$56</f>
        <v>1141643</v>
      </c>
      <c r="M1449" s="390">
        <f>'TTU FGD'!$M$56</f>
        <v>287341959</v>
      </c>
      <c r="N1449" s="401"/>
    </row>
    <row r="1450" spans="2:14" s="160" customFormat="1" ht="12.75" hidden="1" customHeight="1" outlineLevel="1">
      <c r="B1450" s="674" t="str">
        <f>'TWU FGD'!$B$2</f>
        <v>Texas Woman's University</v>
      </c>
      <c r="D1450" s="390">
        <f>'TWU FGD'!$D$56</f>
        <v>124444</v>
      </c>
      <c r="E1450" s="390">
        <f>'TWU FGD'!$E$56</f>
        <v>11604158</v>
      </c>
      <c r="F1450" s="390">
        <f>'TWU FGD'!$F$56</f>
        <v>18924295</v>
      </c>
      <c r="G1450" s="390">
        <f>'TWU FGD'!$G$56</f>
        <v>5000761</v>
      </c>
      <c r="H1450" s="390">
        <f>'TWU FGD'!$H$56</f>
        <v>16368</v>
      </c>
      <c r="I1450" s="390">
        <f>'TWU FGD'!$I$56</f>
        <v>876728</v>
      </c>
      <c r="J1450" s="390">
        <f>'TWU FGD'!$J$56</f>
        <v>123091</v>
      </c>
      <c r="K1450" s="390">
        <f>'TWU FGD'!$K$56</f>
        <v>0</v>
      </c>
      <c r="L1450" s="390">
        <f>'TWU FGD'!$L$56</f>
        <v>0</v>
      </c>
      <c r="M1450" s="390">
        <f>'TWU FGD'!$M$56</f>
        <v>36669845</v>
      </c>
      <c r="N1450" s="401"/>
    </row>
    <row r="1451" spans="2:14" s="160" customFormat="1" ht="12.75" hidden="1" customHeight="1" outlineLevel="1">
      <c r="B1451" s="674" t="str">
        <f>'TXST FGD'!$B$2</f>
        <v>Texas State University</v>
      </c>
      <c r="D1451" s="390">
        <f>'TXST FGD'!$D$56</f>
        <v>1192742</v>
      </c>
      <c r="E1451" s="390">
        <f>'TXST FGD'!$E$56</f>
        <v>23451584</v>
      </c>
      <c r="F1451" s="390">
        <f>'TXST FGD'!$F$56</f>
        <v>72991215</v>
      </c>
      <c r="G1451" s="390">
        <f>'TXST FGD'!$G$56</f>
        <v>14439649</v>
      </c>
      <c r="H1451" s="390">
        <f>'TXST FGD'!$H$56</f>
        <v>147121</v>
      </c>
      <c r="I1451" s="390">
        <f>'TXST FGD'!$I$56</f>
        <v>6558515</v>
      </c>
      <c r="J1451" s="390">
        <f>'TXST FGD'!$J$56</f>
        <v>2000507</v>
      </c>
      <c r="K1451" s="390">
        <f>'TXST FGD'!$K$56</f>
        <v>-100</v>
      </c>
      <c r="L1451" s="390">
        <f>'TXST FGD'!$L$56</f>
        <v>0</v>
      </c>
      <c r="M1451" s="390">
        <f>'TXST FGD'!$M$56</f>
        <v>120781233</v>
      </c>
      <c r="N1451" s="401"/>
    </row>
    <row r="1452" spans="2:14" s="160" customFormat="1" ht="12.75" hidden="1" customHeight="1" outlineLevel="1">
      <c r="B1452" s="674" t="str">
        <f>'TYL FGD'!$B$2</f>
        <v>The University of Texas at Tyler</v>
      </c>
      <c r="D1452" s="390">
        <f>'TYL FGD'!$D$56</f>
        <v>61275</v>
      </c>
      <c r="E1452" s="390">
        <f>'TYL FGD'!$E$56</f>
        <v>16377028</v>
      </c>
      <c r="F1452" s="390">
        <f>'TYL FGD'!$F$56</f>
        <v>10486599</v>
      </c>
      <c r="G1452" s="390">
        <f>'TYL FGD'!$G$56</f>
        <v>6152459</v>
      </c>
      <c r="H1452" s="390">
        <f>'TYL FGD'!$H$56</f>
        <v>0</v>
      </c>
      <c r="I1452" s="390">
        <f>'TYL FGD'!$I$56</f>
        <v>48135</v>
      </c>
      <c r="J1452" s="390">
        <f>'TYL FGD'!$J$56</f>
        <v>100000</v>
      </c>
      <c r="K1452" s="390">
        <f>'TYL FGD'!$K$56</f>
        <v>0</v>
      </c>
      <c r="L1452" s="390">
        <f>'TYL FGD'!$L$56</f>
        <v>-46441</v>
      </c>
      <c r="M1452" s="390">
        <f>'TYL FGD'!$M$56</f>
        <v>33179055</v>
      </c>
      <c r="N1452" s="401"/>
    </row>
    <row r="1453" spans="2:14" s="160" customFormat="1" ht="12.75" hidden="1" customHeight="1" outlineLevel="1">
      <c r="B1453" s="674" t="str">
        <f>'UH1 FGD'!$B$2</f>
        <v>University of Houston - Academic &amp; Health (A+H)</v>
      </c>
      <c r="D1453" s="390">
        <f>'UH1 FGD'!$D$56</f>
        <v>-4584652</v>
      </c>
      <c r="E1453" s="390">
        <f>'UH1 FGD'!$E$56</f>
        <v>167774925</v>
      </c>
      <c r="F1453" s="390">
        <f>'UH1 FGD'!$F$56</f>
        <v>81656297</v>
      </c>
      <c r="G1453" s="390">
        <f>'UH1 FGD'!$G$56</f>
        <v>98202299</v>
      </c>
      <c r="H1453" s="390">
        <f>'UH1 FGD'!$H$56</f>
        <v>42997</v>
      </c>
      <c r="I1453" s="390">
        <f>'UH1 FGD'!$I$56</f>
        <v>80810611</v>
      </c>
      <c r="J1453" s="390">
        <f>'UH1 FGD'!$J$56</f>
        <v>276921</v>
      </c>
      <c r="K1453" s="390">
        <f>'UH1 FGD'!$K$56</f>
        <v>158</v>
      </c>
      <c r="L1453" s="390">
        <f>'UH1 FGD'!$L$56</f>
        <v>0</v>
      </c>
      <c r="M1453" s="390">
        <f>'UH1 FGD'!$M$56</f>
        <v>424179556</v>
      </c>
      <c r="N1453" s="401"/>
    </row>
    <row r="1454" spans="2:14" s="160" customFormat="1" ht="12.75" hidden="1" customHeight="1" outlineLevel="1">
      <c r="B1454" s="674" t="str">
        <f>'UHCL FGD'!$B$2</f>
        <v>University of Houston - Clear Lake</v>
      </c>
      <c r="D1454" s="390">
        <f>'UHCL FGD'!$D$56</f>
        <v>53847</v>
      </c>
      <c r="E1454" s="390">
        <f>'UHCL FGD'!$E$56</f>
        <v>5260897</v>
      </c>
      <c r="F1454" s="390">
        <f>'UHCL FGD'!$F$56</f>
        <v>4978702</v>
      </c>
      <c r="G1454" s="390">
        <f>'UHCL FGD'!$G$56</f>
        <v>1625840</v>
      </c>
      <c r="H1454" s="390">
        <f>'UHCL FGD'!$H$56</f>
        <v>10109</v>
      </c>
      <c r="I1454" s="390">
        <f>'UHCL FGD'!$I$56</f>
        <v>3498451</v>
      </c>
      <c r="J1454" s="390">
        <f>'UHCL FGD'!$J$56</f>
        <v>17930</v>
      </c>
      <c r="K1454" s="390">
        <f>'UHCL FGD'!$K$56</f>
        <v>0</v>
      </c>
      <c r="L1454" s="390">
        <f>'UHCL FGD'!$L$56</f>
        <v>0</v>
      </c>
      <c r="M1454" s="390">
        <f>'UHCL FGD'!$M$56</f>
        <v>15445776</v>
      </c>
      <c r="N1454" s="401"/>
    </row>
    <row r="1455" spans="2:14" s="160" customFormat="1" ht="12.75" hidden="1" customHeight="1" outlineLevel="1">
      <c r="B1455" s="674" t="str">
        <f>'UHD FGD'!$B$2</f>
        <v>University of Houston - Downtown</v>
      </c>
      <c r="D1455" s="390">
        <f>'UHD FGD'!$D$56</f>
        <v>24939</v>
      </c>
      <c r="E1455" s="390">
        <f>'UHD FGD'!$E$56</f>
        <v>6102040</v>
      </c>
      <c r="F1455" s="390">
        <f>'UHD FGD'!$F$56</f>
        <v>3711315</v>
      </c>
      <c r="G1455" s="390">
        <f>'UHD FGD'!$G$56</f>
        <v>4149596</v>
      </c>
      <c r="H1455" s="390">
        <f>'UHD FGD'!$H$56</f>
        <v>150729</v>
      </c>
      <c r="I1455" s="390">
        <f>'UHD FGD'!$I$56</f>
        <v>4752629</v>
      </c>
      <c r="J1455" s="390">
        <f>'UHD FGD'!$J$56</f>
        <v>0</v>
      </c>
      <c r="K1455" s="390">
        <f>'UHD FGD'!$K$56</f>
        <v>0</v>
      </c>
      <c r="L1455" s="390">
        <f>'UHD FGD'!$L$56</f>
        <v>0</v>
      </c>
      <c r="M1455" s="390">
        <f>'UHD FGD'!$M$56</f>
        <v>18891248</v>
      </c>
      <c r="N1455" s="401"/>
    </row>
    <row r="1456" spans="2:14" s="160" customFormat="1" ht="12.75" hidden="1" customHeight="1" outlineLevel="1">
      <c r="B1456" s="674" t="str">
        <f>'UHV FGD'!$B$2</f>
        <v>University of Houston - Victoria</v>
      </c>
      <c r="D1456" s="390">
        <f>'UHV FGD'!$D$56</f>
        <v>9963</v>
      </c>
      <c r="E1456" s="390">
        <f>'UHV FGD'!$E$56</f>
        <v>1260598</v>
      </c>
      <c r="F1456" s="390">
        <f>'UHV FGD'!$F$56</f>
        <v>5283426</v>
      </c>
      <c r="G1456" s="390">
        <f>'UHV FGD'!$G$56</f>
        <v>1857016</v>
      </c>
      <c r="H1456" s="390">
        <f>'UHV FGD'!$H$56</f>
        <v>0</v>
      </c>
      <c r="I1456" s="390">
        <f>'UHV FGD'!$I$56</f>
        <v>1716974</v>
      </c>
      <c r="J1456" s="390">
        <f>'UHV FGD'!$J$56</f>
        <v>0</v>
      </c>
      <c r="K1456" s="390">
        <f>'UHV FGD'!$K$56</f>
        <v>0</v>
      </c>
      <c r="L1456" s="390">
        <f>'UHV FGD'!$L$56</f>
        <v>0</v>
      </c>
      <c r="M1456" s="390">
        <f>'UHV FGD'!$M$56</f>
        <v>10127977</v>
      </c>
      <c r="N1456" s="401"/>
    </row>
    <row r="1457" spans="2:14" s="160" customFormat="1" ht="12.75" hidden="1" customHeight="1" outlineLevel="1">
      <c r="B1457" s="674" t="str">
        <f>'UNT FGD'!$B$2</f>
        <v>University of North Texas</v>
      </c>
      <c r="D1457" s="390">
        <f>'UNT FGD'!$D$56</f>
        <v>300925</v>
      </c>
      <c r="E1457" s="390">
        <f>'UNT FGD'!$E$56</f>
        <v>25952210</v>
      </c>
      <c r="F1457" s="390">
        <f>'UNT FGD'!$F$56</f>
        <v>58341508</v>
      </c>
      <c r="G1457" s="390">
        <f>'UNT FGD'!$G$56</f>
        <v>22305087</v>
      </c>
      <c r="H1457" s="390">
        <f>'UNT FGD'!$H$56</f>
        <v>1223102</v>
      </c>
      <c r="I1457" s="390">
        <f>'UNT FGD'!$I$56</f>
        <v>3340270</v>
      </c>
      <c r="J1457" s="390">
        <f>'UNT FGD'!$J$56</f>
        <v>0</v>
      </c>
      <c r="K1457" s="390">
        <f>'UNT FGD'!$K$56</f>
        <v>0</v>
      </c>
      <c r="L1457" s="390">
        <f>'UNT FGD'!$L$56</f>
        <v>-180872</v>
      </c>
      <c r="M1457" s="390">
        <f>'UNT FGD'!$M$56</f>
        <v>111282230</v>
      </c>
      <c r="N1457" s="401"/>
    </row>
    <row r="1458" spans="2:14" s="160" customFormat="1" ht="12.75" hidden="1" customHeight="1" outlineLevel="1">
      <c r="B1458" s="674" t="str">
        <f>'UNTD FGD'!$B$2</f>
        <v>University of North Texas at Dallas</v>
      </c>
      <c r="D1458" s="390">
        <f>'UNTD FGD'!$D$56</f>
        <v>11144</v>
      </c>
      <c r="E1458" s="390">
        <f>'UNTD FGD'!$E$56</f>
        <v>2049283</v>
      </c>
      <c r="F1458" s="390">
        <f>'UNTD FGD'!$F$56</f>
        <v>467591</v>
      </c>
      <c r="G1458" s="390">
        <f>'UNTD FGD'!$G$56</f>
        <v>1216281</v>
      </c>
      <c r="H1458" s="390">
        <f>'UNTD FGD'!$H$56</f>
        <v>0</v>
      </c>
      <c r="I1458" s="390">
        <f>'UNTD FGD'!$I$56</f>
        <v>62231</v>
      </c>
      <c r="J1458" s="390">
        <f>'UNTD FGD'!$J$56</f>
        <v>0</v>
      </c>
      <c r="K1458" s="390">
        <f>'UNTD FGD'!$K$56</f>
        <v>103</v>
      </c>
      <c r="L1458" s="390">
        <f>'UNTD FGD'!$L$56</f>
        <v>295667</v>
      </c>
      <c r="M1458" s="390">
        <f>'UNTD FGD'!$M$56</f>
        <v>4102300</v>
      </c>
      <c r="N1458" s="401"/>
    </row>
    <row r="1459" spans="2:14" s="160" customFormat="1" ht="12.75" hidden="1" customHeight="1" outlineLevel="1">
      <c r="B1459" s="674" t="str">
        <f>'WTAMU FGD'!$B$2</f>
        <v>West Texas A&amp;M University</v>
      </c>
      <c r="D1459" s="390">
        <f>'WTAMU FGD'!$D$56</f>
        <v>76450</v>
      </c>
      <c r="E1459" s="390">
        <f>'WTAMU FGD'!$E$56</f>
        <v>16713272</v>
      </c>
      <c r="F1459" s="390">
        <f>'WTAMU FGD'!$F$56</f>
        <v>13009934</v>
      </c>
      <c r="G1459" s="390">
        <f>'WTAMU FGD'!$G$56</f>
        <v>10256285</v>
      </c>
      <c r="H1459" s="390">
        <f>'WTAMU FGD'!$H$56</f>
        <v>243227</v>
      </c>
      <c r="I1459" s="390">
        <f>'WTAMU FGD'!$I$56</f>
        <v>38259</v>
      </c>
      <c r="J1459" s="390">
        <f>'WTAMU FGD'!$J$56</f>
        <v>634506</v>
      </c>
      <c r="K1459" s="390">
        <f>'WTAMU FGD'!$K$56</f>
        <v>0</v>
      </c>
      <c r="L1459" s="390">
        <f>'WTAMU FGD'!$L$56</f>
        <v>0</v>
      </c>
      <c r="M1459" s="390">
        <f>'WTAMU FGD'!$M$56</f>
        <v>40971933</v>
      </c>
      <c r="N1459" s="401"/>
    </row>
    <row r="1460" spans="2:14" s="160" customFormat="1" collapsed="1">
      <c r="B1460" s="176" t="s">
        <v>3</v>
      </c>
      <c r="C1460" s="176"/>
      <c r="D1460" s="581">
        <f t="shared" ref="D1460:M1460" si="38">SUM(D1424:D1459)</f>
        <v>95987943</v>
      </c>
      <c r="E1460" s="581">
        <f t="shared" si="38"/>
        <v>1399273738</v>
      </c>
      <c r="F1460" s="581">
        <f t="shared" si="38"/>
        <v>1161786645</v>
      </c>
      <c r="G1460" s="581">
        <f t="shared" si="38"/>
        <v>1413009481</v>
      </c>
      <c r="H1460" s="581">
        <f t="shared" si="38"/>
        <v>10308728</v>
      </c>
      <c r="I1460" s="581">
        <f t="shared" si="38"/>
        <v>118104252</v>
      </c>
      <c r="J1460" s="581">
        <f t="shared" si="38"/>
        <v>73439560</v>
      </c>
      <c r="K1460" s="581">
        <f t="shared" si="38"/>
        <v>1066938</v>
      </c>
      <c r="L1460" s="581">
        <f t="shared" si="38"/>
        <v>9091978</v>
      </c>
      <c r="M1460" s="581">
        <f t="shared" si="38"/>
        <v>4282069263</v>
      </c>
      <c r="N1460" s="401"/>
    </row>
    <row r="1461" spans="2:14" s="160" customFormat="1" ht="12.75" hidden="1" customHeight="1" outlineLevel="1">
      <c r="B1461" s="677" t="str">
        <f>'ARL FGD'!$B$2</f>
        <v>The University of Texas at Arlington</v>
      </c>
      <c r="C1461" s="176"/>
      <c r="D1461" s="581">
        <f>'ARL FGD'!$D$57</f>
        <v>223676665</v>
      </c>
      <c r="E1461" s="581">
        <f>'ARL FGD'!$E$57</f>
        <v>340772067</v>
      </c>
      <c r="F1461" s="581">
        <f>'ARL FGD'!$F$57</f>
        <v>47605346</v>
      </c>
      <c r="G1461" s="581">
        <f>'ARL FGD'!$G$57</f>
        <v>190126438</v>
      </c>
      <c r="H1461" s="581">
        <f>'ARL FGD'!$H$57</f>
        <v>236532</v>
      </c>
      <c r="I1461" s="581">
        <f>'ARL FGD'!$I$57</f>
        <v>8586</v>
      </c>
      <c r="J1461" s="581">
        <f>'ARL FGD'!$J$57</f>
        <v>2948014</v>
      </c>
      <c r="K1461" s="581">
        <f>'ARL FGD'!$K$57</f>
        <v>0</v>
      </c>
      <c r="L1461" s="581">
        <f>'ARL FGD'!$L$57</f>
        <v>624351</v>
      </c>
      <c r="M1461" s="581">
        <f>'ARL FGD'!$M$57</f>
        <v>805997999</v>
      </c>
      <c r="N1461" s="401"/>
    </row>
    <row r="1462" spans="2:14" s="160" customFormat="1" ht="12.75" hidden="1" customHeight="1" outlineLevel="1">
      <c r="B1462" s="677" t="str">
        <f>'ASU FGD'!$B$2</f>
        <v>Angelo State University</v>
      </c>
      <c r="C1462" s="176"/>
      <c r="D1462" s="581">
        <f>'ASU FGD'!$D$57</f>
        <v>58507245</v>
      </c>
      <c r="E1462" s="581">
        <f>'ASU FGD'!$E$57</f>
        <v>31626355</v>
      </c>
      <c r="F1462" s="581">
        <f>'ASU FGD'!$F$57</f>
        <v>17524296</v>
      </c>
      <c r="G1462" s="581">
        <f>'ASU FGD'!$G$57</f>
        <v>49162281</v>
      </c>
      <c r="H1462" s="581">
        <f>'ASU FGD'!$H$57</f>
        <v>13642</v>
      </c>
      <c r="I1462" s="581">
        <f>'ASU FGD'!$I$57</f>
        <v>8173196</v>
      </c>
      <c r="J1462" s="581">
        <f>'ASU FGD'!$J$57</f>
        <v>1294932</v>
      </c>
      <c r="K1462" s="581">
        <f>'ASU FGD'!$K$57</f>
        <v>0</v>
      </c>
      <c r="L1462" s="581">
        <f>'ASU FGD'!$L$57</f>
        <v>45693</v>
      </c>
      <c r="M1462" s="581">
        <f>'ASU FGD'!$M$57</f>
        <v>166347640</v>
      </c>
      <c r="N1462" s="401"/>
    </row>
    <row r="1463" spans="2:14" s="160" customFormat="1" ht="12.75" hidden="1" customHeight="1" outlineLevel="1">
      <c r="B1463" s="677" t="str">
        <f>'AUS1 FGD'!$B$2</f>
        <v>The University of Texas at Austin - Academic &amp; Health (A+H)</v>
      </c>
      <c r="C1463" s="176"/>
      <c r="D1463" s="581">
        <f>'AUS1 FGD'!$D$57</f>
        <v>852795623</v>
      </c>
      <c r="E1463" s="581">
        <f>'AUS1 FGD'!$E$57</f>
        <v>1005609491</v>
      </c>
      <c r="F1463" s="581">
        <f>'AUS1 FGD'!$F$57</f>
        <v>228114428</v>
      </c>
      <c r="G1463" s="581">
        <f>'AUS1 FGD'!$G$57</f>
        <v>1097132987</v>
      </c>
      <c r="H1463" s="581">
        <f>'AUS1 FGD'!$H$57</f>
        <v>5548286</v>
      </c>
      <c r="I1463" s="581">
        <f>'AUS1 FGD'!$I$57</f>
        <v>361099</v>
      </c>
      <c r="J1463" s="581">
        <f>'AUS1 FGD'!$J$57</f>
        <v>52781461</v>
      </c>
      <c r="K1463" s="581">
        <f>'AUS1 FGD'!$K$57</f>
        <v>0</v>
      </c>
      <c r="L1463" s="581">
        <f>'AUS1 FGD'!$L$57</f>
        <v>-5726015</v>
      </c>
      <c r="M1463" s="581">
        <f>'AUS1 FGD'!$M$57</f>
        <v>3236617360</v>
      </c>
      <c r="N1463" s="401"/>
    </row>
    <row r="1464" spans="2:14" s="160" customFormat="1" ht="12.75" hidden="1" customHeight="1" outlineLevel="1">
      <c r="B1464" s="677" t="str">
        <f>'RGV1 FGD'!$B$2</f>
        <v>The University of Texas RGV - Academic &amp; Health (A+H)</v>
      </c>
      <c r="C1464" s="176"/>
      <c r="D1464" s="581">
        <f>'RGV1 FGD'!$D$57</f>
        <v>184926635</v>
      </c>
      <c r="E1464" s="581">
        <f>'RGV1 FGD'!$E$57</f>
        <v>169955579</v>
      </c>
      <c r="F1464" s="581">
        <f>'RGV1 FGD'!$F$57</f>
        <v>16501985</v>
      </c>
      <c r="G1464" s="581">
        <f>'RGV1 FGD'!$G$57</f>
        <v>244979805</v>
      </c>
      <c r="H1464" s="581">
        <f>'RGV1 FGD'!$H$57</f>
        <v>610291</v>
      </c>
      <c r="I1464" s="581">
        <f>'RGV1 FGD'!$I$57</f>
        <v>38535</v>
      </c>
      <c r="J1464" s="581">
        <f>'RGV1 FGD'!$J$57</f>
        <v>211764</v>
      </c>
      <c r="K1464" s="581">
        <f>'RGV1 FGD'!$K$57</f>
        <v>0</v>
      </c>
      <c r="L1464" s="581">
        <f>'RGV1 FGD'!$L$57</f>
        <v>-123671</v>
      </c>
      <c r="M1464" s="581">
        <f>'RGV1 FGD'!$M$57</f>
        <v>617100923</v>
      </c>
      <c r="N1464" s="401"/>
    </row>
    <row r="1465" spans="2:14" s="160" customFormat="1" ht="12.75" hidden="1" customHeight="1" outlineLevel="1">
      <c r="B1465" s="677" t="str">
        <f>'DAL FGD'!$B$2</f>
        <v>The University of Texas at Dallas</v>
      </c>
      <c r="C1465" s="176"/>
      <c r="D1465" s="581">
        <f>'DAL FGD'!$D$57</f>
        <v>172990221</v>
      </c>
      <c r="E1465" s="581">
        <f>'DAL FGD'!$E$57</f>
        <v>311582015</v>
      </c>
      <c r="F1465" s="581">
        <f>'DAL FGD'!$F$57</f>
        <v>49802639</v>
      </c>
      <c r="G1465" s="581">
        <f>'DAL FGD'!$G$57</f>
        <v>169808872</v>
      </c>
      <c r="H1465" s="581">
        <f>'DAL FGD'!$H$57</f>
        <v>21715</v>
      </c>
      <c r="I1465" s="581">
        <f>'DAL FGD'!$I$57</f>
        <v>2044172</v>
      </c>
      <c r="J1465" s="581">
        <f>'DAL FGD'!$J$57</f>
        <v>1933124</v>
      </c>
      <c r="K1465" s="581">
        <f>'DAL FGD'!$K$57</f>
        <v>0</v>
      </c>
      <c r="L1465" s="581">
        <f>'DAL FGD'!$L$57</f>
        <v>-1416903</v>
      </c>
      <c r="M1465" s="581">
        <f>'DAL FGD'!$M$57</f>
        <v>706765855</v>
      </c>
      <c r="N1465" s="401"/>
    </row>
    <row r="1466" spans="2:14" s="160" customFormat="1" ht="12.75" hidden="1" customHeight="1" outlineLevel="1">
      <c r="B1466" s="677" t="str">
        <f>'E-P FGD'!$B$2</f>
        <v>The University of Texas at El Paso</v>
      </c>
      <c r="C1466" s="176"/>
      <c r="D1466" s="581">
        <f>'E-P FGD'!$D$57</f>
        <v>163244329</v>
      </c>
      <c r="E1466" s="581">
        <f>'E-P FGD'!$E$57</f>
        <v>140431800</v>
      </c>
      <c r="F1466" s="581">
        <f>'E-P FGD'!$F$57</f>
        <v>25261521</v>
      </c>
      <c r="G1466" s="581">
        <f>'E-P FGD'!$G$57</f>
        <v>215537609</v>
      </c>
      <c r="H1466" s="581">
        <f>'E-P FGD'!$H$57</f>
        <v>20949</v>
      </c>
      <c r="I1466" s="581">
        <f>'E-P FGD'!$I$57</f>
        <v>192269</v>
      </c>
      <c r="J1466" s="581">
        <f>'E-P FGD'!$J$57</f>
        <v>2602</v>
      </c>
      <c r="K1466" s="581">
        <f>'E-P FGD'!$K$57</f>
        <v>0</v>
      </c>
      <c r="L1466" s="581">
        <f>'E-P FGD'!$L$57</f>
        <v>335566</v>
      </c>
      <c r="M1466" s="581">
        <f>'E-P FGD'!$M$57</f>
        <v>545026645</v>
      </c>
      <c r="N1466" s="401"/>
    </row>
    <row r="1467" spans="2:14" s="160" customFormat="1" ht="12.75" hidden="1" customHeight="1" outlineLevel="1">
      <c r="B1467" s="677" t="str">
        <f>'LU FGD'!$B$2</f>
        <v xml:space="preserve">Lamar University </v>
      </c>
      <c r="C1467" s="176"/>
      <c r="D1467" s="581">
        <f>'LU FGD'!$D$57</f>
        <v>94740014</v>
      </c>
      <c r="E1467" s="581">
        <f>'LU FGD'!$E$57</f>
        <v>91678540</v>
      </c>
      <c r="F1467" s="581">
        <f>'LU FGD'!$F$57</f>
        <v>32367020</v>
      </c>
      <c r="G1467" s="581">
        <f>'LU FGD'!$G$57</f>
        <v>68331937</v>
      </c>
      <c r="H1467" s="581">
        <f>'LU FGD'!$H$57</f>
        <v>0</v>
      </c>
      <c r="I1467" s="581">
        <f>'LU FGD'!$I$57</f>
        <v>395691</v>
      </c>
      <c r="J1467" s="581">
        <f>'LU FGD'!$J$57</f>
        <v>13055</v>
      </c>
      <c r="K1467" s="581">
        <f>'LU FGD'!$K$57</f>
        <v>0</v>
      </c>
      <c r="L1467" s="581">
        <f>'LU FGD'!$L$57</f>
        <v>0</v>
      </c>
      <c r="M1467" s="581">
        <f>'LU FGD'!$M$57</f>
        <v>287526257</v>
      </c>
      <c r="N1467" s="401"/>
    </row>
    <row r="1468" spans="2:14" s="160" customFormat="1" ht="12.75" hidden="1" customHeight="1" outlineLevel="1">
      <c r="B1468" s="677" t="str">
        <f>'MidWST FGD'!$B$2</f>
        <v>Midwestern State University</v>
      </c>
      <c r="C1468" s="176"/>
      <c r="D1468" s="581">
        <f>'MidWST FGD'!$D$57</f>
        <v>37070496</v>
      </c>
      <c r="E1468" s="581">
        <f>'MidWST FGD'!$E$57</f>
        <v>32053107</v>
      </c>
      <c r="F1468" s="581">
        <f>'MidWST FGD'!$F$57</f>
        <v>13452925</v>
      </c>
      <c r="G1468" s="581">
        <f>'MidWST FGD'!$G$57</f>
        <v>34403040</v>
      </c>
      <c r="H1468" s="581">
        <f>'MidWST FGD'!$H$57</f>
        <v>50406</v>
      </c>
      <c r="I1468" s="581">
        <f>'MidWST FGD'!$I$57</f>
        <v>-32922</v>
      </c>
      <c r="J1468" s="581">
        <f>'MidWST FGD'!$J$57</f>
        <v>1009720</v>
      </c>
      <c r="K1468" s="581">
        <f>'MidWST FGD'!$K$57</f>
        <v>0</v>
      </c>
      <c r="L1468" s="581">
        <f>'MidWST FGD'!$L$57</f>
        <v>0</v>
      </c>
      <c r="M1468" s="581">
        <f>'MidWST FGD'!$M$57</f>
        <v>118006772</v>
      </c>
      <c r="N1468" s="401"/>
    </row>
    <row r="1469" spans="2:14" s="160" customFormat="1" ht="12.75" hidden="1" customHeight="1" outlineLevel="1">
      <c r="B1469" s="677" t="str">
        <f>'P-B FGD'!$B$2</f>
        <v>The University of Texas of the Permian Basin</v>
      </c>
      <c r="C1469" s="176"/>
      <c r="D1469" s="581">
        <f>'P-B FGD'!$D$57</f>
        <v>38979326</v>
      </c>
      <c r="E1469" s="581">
        <f>'P-B FGD'!$E$57</f>
        <v>33872313</v>
      </c>
      <c r="F1469" s="581">
        <f>'P-B FGD'!$F$57</f>
        <v>9012749</v>
      </c>
      <c r="G1469" s="581">
        <f>'P-B FGD'!$G$57</f>
        <v>32935068</v>
      </c>
      <c r="H1469" s="581">
        <f>'P-B FGD'!$H$57</f>
        <v>0</v>
      </c>
      <c r="I1469" s="581">
        <f>'P-B FGD'!$I$57</f>
        <v>33964</v>
      </c>
      <c r="J1469" s="581">
        <f>'P-B FGD'!$J$57</f>
        <v>0</v>
      </c>
      <c r="K1469" s="581">
        <f>'P-B FGD'!$K$57</f>
        <v>0</v>
      </c>
      <c r="L1469" s="581">
        <f>'P-B FGD'!$L$57</f>
        <v>0</v>
      </c>
      <c r="M1469" s="581">
        <f>'P-B FGD'!$M$57</f>
        <v>114833420</v>
      </c>
      <c r="N1469" s="401"/>
    </row>
    <row r="1470" spans="2:14" s="160" customFormat="1" ht="12.75" hidden="1" customHeight="1" outlineLevel="1">
      <c r="B1470" s="677" t="str">
        <f>'PVAMU FGD'!$B$2</f>
        <v>Prairie View A&amp;M University</v>
      </c>
      <c r="C1470" s="176"/>
      <c r="D1470" s="581">
        <f>'PVAMU FGD'!$D$57</f>
        <v>95345270</v>
      </c>
      <c r="E1470" s="581">
        <f>'PVAMU FGD'!$E$57</f>
        <v>56053143</v>
      </c>
      <c r="F1470" s="581">
        <f>'PVAMU FGD'!$F$57</f>
        <v>19315001</v>
      </c>
      <c r="G1470" s="581">
        <f>'PVAMU FGD'!$G$57</f>
        <v>147456579</v>
      </c>
      <c r="H1470" s="581">
        <f>'PVAMU FGD'!$H$57</f>
        <v>0</v>
      </c>
      <c r="I1470" s="581">
        <f>'PVAMU FGD'!$I$57</f>
        <v>45457</v>
      </c>
      <c r="J1470" s="581">
        <f>'PVAMU FGD'!$J$57</f>
        <v>469634</v>
      </c>
      <c r="K1470" s="581">
        <f>'PVAMU FGD'!$K$57</f>
        <v>0</v>
      </c>
      <c r="L1470" s="581">
        <f>'PVAMU FGD'!$L$57</f>
        <v>0</v>
      </c>
      <c r="M1470" s="581">
        <f>'PVAMU FGD'!$M$57</f>
        <v>318685084</v>
      </c>
      <c r="N1470" s="401"/>
    </row>
    <row r="1471" spans="2:14" s="160" customFormat="1" ht="12.75" hidden="1" customHeight="1" outlineLevel="1">
      <c r="B1471" s="677" t="str">
        <f>'S-A FGD'!$B$2</f>
        <v>The University of Texas at San Antonio</v>
      </c>
      <c r="C1471" s="176"/>
      <c r="D1471" s="581">
        <f>'S-A FGD'!$D$57</f>
        <v>204280565</v>
      </c>
      <c r="E1471" s="581">
        <f>'S-A FGD'!$E$57</f>
        <v>220384035</v>
      </c>
      <c r="F1471" s="581">
        <f>'S-A FGD'!$F$57</f>
        <v>51108539</v>
      </c>
      <c r="G1471" s="581">
        <f>'S-A FGD'!$G$57</f>
        <v>299813416</v>
      </c>
      <c r="H1471" s="581">
        <f>'S-A FGD'!$H$57</f>
        <v>67796</v>
      </c>
      <c r="I1471" s="581">
        <f>'S-A FGD'!$I$57</f>
        <v>247158</v>
      </c>
      <c r="J1471" s="581">
        <f>'S-A FGD'!$J$57</f>
        <v>990711</v>
      </c>
      <c r="K1471" s="581">
        <f>'S-A FGD'!$K$57</f>
        <v>0</v>
      </c>
      <c r="L1471" s="581">
        <f>'S-A FGD'!$L$57</f>
        <v>-12251</v>
      </c>
      <c r="M1471" s="581">
        <f>'S-A FGD'!$M$57</f>
        <v>776879969</v>
      </c>
      <c r="N1471" s="401"/>
    </row>
    <row r="1472" spans="2:14" s="160" customFormat="1" ht="12.75" hidden="1" customHeight="1" outlineLevel="1">
      <c r="B1472" s="677" t="str">
        <f>'SFA FGD'!$B$2</f>
        <v>Stephen F. Austin State University</v>
      </c>
      <c r="C1472" s="176"/>
      <c r="D1472" s="581">
        <f>'SFA FGD'!$D$57</f>
        <v>82027467</v>
      </c>
      <c r="E1472" s="581">
        <f>'SFA FGD'!$E$57</f>
        <v>72352837</v>
      </c>
      <c r="F1472" s="581">
        <f>'SFA FGD'!$F$57</f>
        <v>23269676</v>
      </c>
      <c r="G1472" s="581">
        <f>'SFA FGD'!$G$57</f>
        <v>84492931</v>
      </c>
      <c r="H1472" s="581">
        <f>'SFA FGD'!$H$57</f>
        <v>-168136</v>
      </c>
      <c r="I1472" s="581">
        <f>'SFA FGD'!$I$57</f>
        <v>1389429</v>
      </c>
      <c r="J1472" s="581">
        <f>'SFA FGD'!$J$57</f>
        <v>4211623</v>
      </c>
      <c r="K1472" s="581">
        <f>'SFA FGD'!$K$57</f>
        <v>0</v>
      </c>
      <c r="L1472" s="581">
        <f>'SFA FGD'!$L$57</f>
        <v>0</v>
      </c>
      <c r="M1472" s="581">
        <f>'SFA FGD'!$M$57</f>
        <v>267575827</v>
      </c>
      <c r="N1472" s="401"/>
    </row>
    <row r="1473" spans="2:14" s="160" customFormat="1" ht="12.75" hidden="1" customHeight="1" outlineLevel="1">
      <c r="B1473" s="677" t="str">
        <f>'shsu1 FGD'!$B$2</f>
        <v>Sam Houston State University - Academic &amp; Health (A+H)</v>
      </c>
      <c r="C1473" s="176"/>
      <c r="D1473" s="581">
        <f>'shsu1 FGD'!$D$57</f>
        <v>122948976</v>
      </c>
      <c r="E1473" s="581">
        <f>'shsu1 FGD'!$E$57</f>
        <v>145220763</v>
      </c>
      <c r="F1473" s="581">
        <f>'shsu1 FGD'!$F$57</f>
        <v>43562404</v>
      </c>
      <c r="G1473" s="581">
        <f>'shsu1 FGD'!$G$57</f>
        <v>108090390</v>
      </c>
      <c r="H1473" s="581">
        <f>'shsu1 FGD'!$H$57</f>
        <v>-65</v>
      </c>
      <c r="I1473" s="581">
        <f>'shsu1 FGD'!$I$57</f>
        <v>14757184</v>
      </c>
      <c r="J1473" s="581">
        <f>'shsu1 FGD'!$J$57</f>
        <v>-2664645</v>
      </c>
      <c r="K1473" s="581">
        <f>'shsu1 FGD'!$K$57</f>
        <v>0</v>
      </c>
      <c r="L1473" s="581">
        <f>'shsu1 FGD'!$L$57</f>
        <v>0</v>
      </c>
      <c r="M1473" s="581">
        <f>'shsu1 FGD'!$M$57</f>
        <v>431915007</v>
      </c>
      <c r="N1473" s="401"/>
    </row>
    <row r="1474" spans="2:14" s="160" customFormat="1" ht="12.75" hidden="1" customHeight="1" outlineLevel="1">
      <c r="B1474" s="677" t="str">
        <f>'SRSU FGD'!$B$2</f>
        <v>Sul Ross State University</v>
      </c>
      <c r="C1474" s="176"/>
      <c r="D1474" s="581">
        <f>'SRSU FGD'!$D$57</f>
        <v>24757564</v>
      </c>
      <c r="E1474" s="581">
        <f>'SRSU FGD'!$E$57</f>
        <v>7214007</v>
      </c>
      <c r="F1474" s="581">
        <f>'SRSU FGD'!$F$57</f>
        <v>2458608</v>
      </c>
      <c r="G1474" s="581">
        <f>'SRSU FGD'!$G$57</f>
        <v>21820682</v>
      </c>
      <c r="H1474" s="581">
        <f>'SRSU FGD'!$H$57</f>
        <v>0</v>
      </c>
      <c r="I1474" s="581">
        <f>'SRSU FGD'!$I$57</f>
        <v>2624371</v>
      </c>
      <c r="J1474" s="581">
        <f>'SRSU FGD'!$J$57</f>
        <v>1031671</v>
      </c>
      <c r="K1474" s="581">
        <f>'SRSU FGD'!$K$57</f>
        <v>0</v>
      </c>
      <c r="L1474" s="581">
        <f>'SRSU FGD'!$L$57</f>
        <v>0</v>
      </c>
      <c r="M1474" s="581">
        <f>'SRSU FGD'!$M$57</f>
        <v>59906903</v>
      </c>
      <c r="N1474" s="401"/>
    </row>
    <row r="1475" spans="2:14" s="160" customFormat="1" ht="12.75" hidden="1" customHeight="1" outlineLevel="1">
      <c r="B1475" s="677" t="str">
        <f>'TAMIU FGD'!$B$2</f>
        <v>Texas A&amp;M International University</v>
      </c>
      <c r="C1475" s="176"/>
      <c r="D1475" s="581">
        <f>'TAMIU FGD'!$D$57</f>
        <v>53125693</v>
      </c>
      <c r="E1475" s="581">
        <f>'TAMIU FGD'!$E$57</f>
        <v>36222192</v>
      </c>
      <c r="F1475" s="581">
        <f>'TAMIU FGD'!$F$57</f>
        <v>7060629</v>
      </c>
      <c r="G1475" s="581">
        <f>'TAMIU FGD'!$G$57</f>
        <v>61975749</v>
      </c>
      <c r="H1475" s="581">
        <f>'TAMIU FGD'!$H$57</f>
        <v>151323</v>
      </c>
      <c r="I1475" s="581">
        <f>'TAMIU FGD'!$I$57</f>
        <v>1481870</v>
      </c>
      <c r="J1475" s="581">
        <f>'TAMIU FGD'!$J$57</f>
        <v>29235</v>
      </c>
      <c r="K1475" s="581">
        <f>'TAMIU FGD'!$K$57</f>
        <v>0</v>
      </c>
      <c r="L1475" s="581">
        <f>'TAMIU FGD'!$L$57</f>
        <v>0</v>
      </c>
      <c r="M1475" s="581">
        <f>'TAMIU FGD'!$M$57</f>
        <v>160046691</v>
      </c>
      <c r="N1475" s="401"/>
    </row>
    <row r="1476" spans="2:14" s="160" customFormat="1" ht="12.75" hidden="1" customHeight="1" outlineLevel="1">
      <c r="B1476" s="677" t="str">
        <f>'TAMU FGD'!$B$2</f>
        <v>Texas A&amp;M University</v>
      </c>
      <c r="C1476" s="176"/>
      <c r="D1476" s="581">
        <f>'TAMU FGD'!$D$57</f>
        <v>644670541</v>
      </c>
      <c r="E1476" s="581">
        <f>'TAMU FGD'!$E$57</f>
        <v>1004327323</v>
      </c>
      <c r="F1476" s="581">
        <f>'TAMU FGD'!$F$57</f>
        <v>257156139</v>
      </c>
      <c r="G1476" s="581">
        <f>'TAMU FGD'!$G$57</f>
        <v>407652407</v>
      </c>
      <c r="H1476" s="581">
        <f>'TAMU FGD'!$H$57</f>
        <v>1537230</v>
      </c>
      <c r="I1476" s="581">
        <f>'TAMU FGD'!$I$57</f>
        <v>48802</v>
      </c>
      <c r="J1476" s="581">
        <f>'TAMU FGD'!$J$57</f>
        <v>1137036</v>
      </c>
      <c r="K1476" s="581">
        <f>'TAMU FGD'!$K$57</f>
        <v>0</v>
      </c>
      <c r="L1476" s="581">
        <f>'TAMU FGD'!$L$57</f>
        <v>14625413</v>
      </c>
      <c r="M1476" s="581">
        <f>'TAMU FGD'!$M$57</f>
        <v>2331154891</v>
      </c>
      <c r="N1476" s="401"/>
    </row>
    <row r="1477" spans="2:14" s="160" customFormat="1" ht="12.75" hidden="1" customHeight="1" outlineLevel="1">
      <c r="B1477" s="677" t="str">
        <f>'TAMUC FGD'!$B$2</f>
        <v>Texas A&amp;M University - Commerce</v>
      </c>
      <c r="C1477" s="176"/>
      <c r="D1477" s="581">
        <f>'TAMUC FGD'!$D$57</f>
        <v>77902844</v>
      </c>
      <c r="E1477" s="581">
        <f>'TAMUC FGD'!$E$57</f>
        <v>78441312</v>
      </c>
      <c r="F1477" s="581">
        <f>'TAMUC FGD'!$F$57</f>
        <v>32841879</v>
      </c>
      <c r="G1477" s="581">
        <f>'TAMUC FGD'!$G$57</f>
        <v>46465296</v>
      </c>
      <c r="H1477" s="581">
        <f>'TAMUC FGD'!$H$57</f>
        <v>39391</v>
      </c>
      <c r="I1477" s="581">
        <f>'TAMUC FGD'!$I$57</f>
        <v>0</v>
      </c>
      <c r="J1477" s="581">
        <f>'TAMUC FGD'!$J$57</f>
        <v>5000</v>
      </c>
      <c r="K1477" s="581">
        <f>'TAMUC FGD'!$K$57</f>
        <v>0</v>
      </c>
      <c r="L1477" s="581">
        <f>'TAMUC FGD'!$L$57</f>
        <v>68297</v>
      </c>
      <c r="M1477" s="581">
        <f>'TAMUC FGD'!$M$57</f>
        <v>235764019</v>
      </c>
      <c r="N1477" s="401"/>
    </row>
    <row r="1478" spans="2:14" s="160" customFormat="1" ht="12.75" hidden="1" customHeight="1" outlineLevel="1">
      <c r="B1478" s="677" t="str">
        <f>'TAMUCC FGD'!$B$2</f>
        <v>Texas A&amp;M University - Corpus Christi</v>
      </c>
      <c r="C1478" s="176"/>
      <c r="D1478" s="581">
        <f>'TAMUCC FGD'!$D$57</f>
        <v>86845319</v>
      </c>
      <c r="E1478" s="581">
        <f>'TAMUCC FGD'!$E$57</f>
        <v>74573693</v>
      </c>
      <c r="F1478" s="581">
        <f>'TAMUCC FGD'!$F$57</f>
        <v>24804134</v>
      </c>
      <c r="G1478" s="581">
        <f>'TAMUCC FGD'!$G$57</f>
        <v>75604086</v>
      </c>
      <c r="H1478" s="581">
        <f>'TAMUCC FGD'!$H$57</f>
        <v>57863</v>
      </c>
      <c r="I1478" s="581">
        <f>'TAMUCC FGD'!$I$57</f>
        <v>8448</v>
      </c>
      <c r="J1478" s="581">
        <f>'TAMUCC FGD'!$J$57</f>
        <v>372753</v>
      </c>
      <c r="K1478" s="581">
        <f>'TAMUCC FGD'!$K$57</f>
        <v>0</v>
      </c>
      <c r="L1478" s="581">
        <f>'TAMUCC FGD'!$L$57</f>
        <v>33013</v>
      </c>
      <c r="M1478" s="581">
        <f>'TAMUCC FGD'!$M$57</f>
        <v>262299309</v>
      </c>
      <c r="N1478" s="401"/>
    </row>
    <row r="1479" spans="2:14" s="160" customFormat="1" ht="12.75" hidden="1" customHeight="1" outlineLevel="1">
      <c r="B1479" s="677" t="str">
        <f>'TAMUCT FGD'!$B$2</f>
        <v>Texas A&amp;M University - Central Texas</v>
      </c>
      <c r="C1479" s="176"/>
      <c r="D1479" s="581">
        <f>'TAMUCT FGD'!$D$57</f>
        <v>20862976</v>
      </c>
      <c r="E1479" s="581">
        <f>'TAMUCT FGD'!$E$57</f>
        <v>13647884</v>
      </c>
      <c r="F1479" s="581">
        <f>'TAMUCT FGD'!$F$57</f>
        <v>52146</v>
      </c>
      <c r="G1479" s="581">
        <f>'TAMUCT FGD'!$G$57</f>
        <v>7140620</v>
      </c>
      <c r="H1479" s="581">
        <f>'TAMUCT FGD'!$H$57</f>
        <v>1676</v>
      </c>
      <c r="I1479" s="581">
        <f>'TAMUCT FGD'!$I$57</f>
        <v>0</v>
      </c>
      <c r="J1479" s="581">
        <f>'TAMUCT FGD'!$J$57</f>
        <v>0</v>
      </c>
      <c r="K1479" s="581">
        <f>'TAMUCT FGD'!$K$57</f>
        <v>0</v>
      </c>
      <c r="L1479" s="581">
        <f>'TAMUCT FGD'!$L$57</f>
        <v>0</v>
      </c>
      <c r="M1479" s="581">
        <f>'TAMUCT FGD'!$M$57</f>
        <v>41705302</v>
      </c>
      <c r="N1479" s="401"/>
    </row>
    <row r="1480" spans="2:14" s="160" customFormat="1" ht="12.75" hidden="1" customHeight="1" outlineLevel="1">
      <c r="B1480" s="677" t="str">
        <f>'TAMUG FGD'!$B$2</f>
        <v>Texas A&amp;M University at Galveston</v>
      </c>
      <c r="C1480" s="176"/>
      <c r="D1480" s="581">
        <f>'TAMUG FGD'!$D$57</f>
        <v>73810170</v>
      </c>
      <c r="E1480" s="581">
        <f>'TAMUG FGD'!$E$57</f>
        <v>28611936</v>
      </c>
      <c r="F1480" s="581">
        <f>'TAMUG FGD'!$F$57</f>
        <v>7072429</v>
      </c>
      <c r="G1480" s="581">
        <f>'TAMUG FGD'!$G$57</f>
        <v>11050014</v>
      </c>
      <c r="H1480" s="581">
        <f>'TAMUG FGD'!$H$57</f>
        <v>6929</v>
      </c>
      <c r="I1480" s="581">
        <f>'TAMUG FGD'!$I$57</f>
        <v>968</v>
      </c>
      <c r="J1480" s="581">
        <f>'TAMUG FGD'!$J$57</f>
        <v>0</v>
      </c>
      <c r="K1480" s="581">
        <f>'TAMUG FGD'!$K$57</f>
        <v>0</v>
      </c>
      <c r="L1480" s="581">
        <f>'TAMUG FGD'!$L$57</f>
        <v>-1567</v>
      </c>
      <c r="M1480" s="581">
        <f>'TAMUG FGD'!$M$57</f>
        <v>120550879</v>
      </c>
      <c r="N1480" s="401"/>
    </row>
    <row r="1481" spans="2:14" s="160" customFormat="1" ht="12.75" hidden="1" customHeight="1" outlineLevel="1">
      <c r="B1481" s="677" t="str">
        <f>'TAMUK FGD'!$B$2</f>
        <v>Texas A&amp;M University - Kingsville</v>
      </c>
      <c r="C1481" s="176"/>
      <c r="D1481" s="581">
        <f>'TAMUK FGD'!$D$57</f>
        <v>66828173</v>
      </c>
      <c r="E1481" s="581">
        <f>'TAMUK FGD'!$E$57</f>
        <v>42980865</v>
      </c>
      <c r="F1481" s="581">
        <f>'TAMUK FGD'!$F$57</f>
        <v>16287455</v>
      </c>
      <c r="G1481" s="581">
        <f>'TAMUK FGD'!$G$57</f>
        <v>55921330</v>
      </c>
      <c r="H1481" s="581">
        <f>'TAMUK FGD'!$H$57</f>
        <v>74844</v>
      </c>
      <c r="I1481" s="581">
        <f>'TAMUK FGD'!$I$57</f>
        <v>812</v>
      </c>
      <c r="J1481" s="581">
        <f>'TAMUK FGD'!$J$57</f>
        <v>0</v>
      </c>
      <c r="K1481" s="581">
        <f>'TAMUK FGD'!$K$57</f>
        <v>0</v>
      </c>
      <c r="L1481" s="581">
        <f>'TAMUK FGD'!$L$57</f>
        <v>-348850</v>
      </c>
      <c r="M1481" s="581">
        <f>'TAMUK FGD'!$M$57</f>
        <v>181744629</v>
      </c>
      <c r="N1481" s="401"/>
    </row>
    <row r="1482" spans="2:14" s="160" customFormat="1" ht="12.75" hidden="1" customHeight="1" outlineLevel="1">
      <c r="B1482" s="677" t="str">
        <f>'TAMUSA FGD'!$B$2</f>
        <v>Texas A&amp;M University - San Antonio</v>
      </c>
      <c r="C1482" s="176"/>
      <c r="D1482" s="581">
        <f>'TAMUSA FGD'!$D$57</f>
        <v>42141588</v>
      </c>
      <c r="E1482" s="581">
        <f>'TAMUSA FGD'!$E$57</f>
        <v>31606088</v>
      </c>
      <c r="F1482" s="581">
        <f>'TAMUSA FGD'!$F$57</f>
        <v>2892501</v>
      </c>
      <c r="G1482" s="581">
        <f>'TAMUSA FGD'!$G$57</f>
        <v>36072499</v>
      </c>
      <c r="H1482" s="581">
        <f>'TAMUSA FGD'!$H$57</f>
        <v>-62</v>
      </c>
      <c r="I1482" s="581">
        <f>'TAMUSA FGD'!$I$57</f>
        <v>0</v>
      </c>
      <c r="J1482" s="581">
        <f>'TAMUSA FGD'!$J$57</f>
        <v>0</v>
      </c>
      <c r="K1482" s="581">
        <f>'TAMUSA FGD'!$K$57</f>
        <v>0</v>
      </c>
      <c r="L1482" s="581">
        <f>'TAMUSA FGD'!$L$57</f>
        <v>14894</v>
      </c>
      <c r="M1482" s="581">
        <f>'TAMUSA FGD'!$M$57</f>
        <v>112727508</v>
      </c>
      <c r="N1482" s="401"/>
    </row>
    <row r="1483" spans="2:14" s="160" customFormat="1" ht="12.75" hidden="1" customHeight="1" outlineLevel="1">
      <c r="B1483" s="677" t="str">
        <f>'TAMUT FGD'!$B$2</f>
        <v>Texas A&amp;M University - Texarkana</v>
      </c>
      <c r="C1483" s="176"/>
      <c r="D1483" s="581">
        <f>'TAMUT FGD'!$D$57</f>
        <v>30803406</v>
      </c>
      <c r="E1483" s="581">
        <f>'TAMUT FGD'!$E$57</f>
        <v>15134843</v>
      </c>
      <c r="F1483" s="581">
        <f>'TAMUT FGD'!$F$57</f>
        <v>2383592</v>
      </c>
      <c r="G1483" s="581">
        <f>'TAMUT FGD'!$G$57</f>
        <v>7944980</v>
      </c>
      <c r="H1483" s="581">
        <f>'TAMUT FGD'!$H$57</f>
        <v>1040</v>
      </c>
      <c r="I1483" s="581">
        <f>'TAMUT FGD'!$I$57</f>
        <v>177724</v>
      </c>
      <c r="J1483" s="581">
        <f>'TAMUT FGD'!$J$57</f>
        <v>0</v>
      </c>
      <c r="K1483" s="581">
        <f>'TAMUT FGD'!$K$57</f>
        <v>0</v>
      </c>
      <c r="L1483" s="581">
        <f>'TAMUT FGD'!$L$57</f>
        <v>-747093</v>
      </c>
      <c r="M1483" s="581">
        <f>'TAMUT FGD'!$M$57</f>
        <v>55698492</v>
      </c>
      <c r="N1483" s="401"/>
    </row>
    <row r="1484" spans="2:14" s="160" customFormat="1" ht="12.75" hidden="1" customHeight="1" outlineLevel="1">
      <c r="B1484" s="677" t="str">
        <f>'TARLST FGD'!$B$2</f>
        <v>Tarleton State University</v>
      </c>
      <c r="C1484" s="176"/>
      <c r="D1484" s="581">
        <f>'TARLST FGD'!$D$57</f>
        <v>73504656</v>
      </c>
      <c r="E1484" s="581">
        <f>'TARLST FGD'!$E$57</f>
        <v>82358264</v>
      </c>
      <c r="F1484" s="581">
        <f>'TARLST FGD'!$F$57</f>
        <v>45346129</v>
      </c>
      <c r="G1484" s="581">
        <f>'TARLST FGD'!$G$57</f>
        <v>70524507</v>
      </c>
      <c r="H1484" s="581">
        <f>'TARLST FGD'!$H$57</f>
        <v>102233</v>
      </c>
      <c r="I1484" s="581">
        <f>'TARLST FGD'!$I$57</f>
        <v>283</v>
      </c>
      <c r="J1484" s="581">
        <f>'TARLST FGD'!$J$57</f>
        <v>1707268</v>
      </c>
      <c r="K1484" s="581">
        <f>'TARLST FGD'!$K$57</f>
        <v>0</v>
      </c>
      <c r="L1484" s="581">
        <f>'TARLST FGD'!$L$57</f>
        <v>-174114</v>
      </c>
      <c r="M1484" s="581">
        <f>'TARLST FGD'!$M$57</f>
        <v>273369226</v>
      </c>
      <c r="N1484" s="401"/>
    </row>
    <row r="1485" spans="2:14" s="160" customFormat="1" ht="12.75" hidden="1" customHeight="1" outlineLevel="1">
      <c r="B1485" s="677" t="str">
        <f>'TSU FGD'!$B$2</f>
        <v>Texas Southern University</v>
      </c>
      <c r="C1485" s="176"/>
      <c r="D1485" s="581">
        <f>'TSU FGD'!$D$57</f>
        <v>111311676</v>
      </c>
      <c r="E1485" s="581">
        <f>'TSU FGD'!$E$57</f>
        <v>36751247</v>
      </c>
      <c r="F1485" s="581">
        <f>'TSU FGD'!$F$57</f>
        <v>13061524</v>
      </c>
      <c r="G1485" s="581">
        <f>'TSU FGD'!$G$57</f>
        <v>88741195</v>
      </c>
      <c r="H1485" s="581">
        <f>'TSU FGD'!$H$57</f>
        <v>0</v>
      </c>
      <c r="I1485" s="581">
        <f>'TSU FGD'!$I$57</f>
        <v>1365336</v>
      </c>
      <c r="J1485" s="581">
        <f>'TSU FGD'!$J$57</f>
        <v>3233117</v>
      </c>
      <c r="K1485" s="581">
        <f>'TSU FGD'!$K$57</f>
        <v>57348</v>
      </c>
      <c r="L1485" s="581">
        <f>'TSU FGD'!$L$57</f>
        <v>685218</v>
      </c>
      <c r="M1485" s="581">
        <f>'TSU FGD'!$M$57</f>
        <v>255206661</v>
      </c>
      <c r="N1485" s="401"/>
    </row>
    <row r="1486" spans="2:14" s="160" customFormat="1" ht="12.75" hidden="1" customHeight="1" outlineLevel="1">
      <c r="B1486" s="677" t="str">
        <f>'TTU FGD'!$B$2</f>
        <v>Texas Tech University</v>
      </c>
      <c r="C1486" s="176"/>
      <c r="D1486" s="581">
        <f>'TTU FGD'!$D$57</f>
        <v>299428693</v>
      </c>
      <c r="E1486" s="581">
        <f>'TTU FGD'!$E$57</f>
        <v>335346956</v>
      </c>
      <c r="F1486" s="581">
        <f>'TTU FGD'!$F$57</f>
        <v>147240566</v>
      </c>
      <c r="G1486" s="581">
        <f>'TTU FGD'!$G$57</f>
        <v>267714647</v>
      </c>
      <c r="H1486" s="581">
        <f>'TTU FGD'!$H$57</f>
        <v>101192</v>
      </c>
      <c r="I1486" s="581">
        <f>'TTU FGD'!$I$57</f>
        <v>-16960983</v>
      </c>
      <c r="J1486" s="581">
        <f>'TTU FGD'!$J$57</f>
        <v>84298</v>
      </c>
      <c r="K1486" s="581">
        <f>'TTU FGD'!$K$57</f>
        <v>1009429</v>
      </c>
      <c r="L1486" s="581">
        <f>'TTU FGD'!$L$57</f>
        <v>1141643</v>
      </c>
      <c r="M1486" s="581">
        <f>'TTU FGD'!$M$57</f>
        <v>1035106441</v>
      </c>
      <c r="N1486" s="401"/>
    </row>
    <row r="1487" spans="2:14" s="160" customFormat="1" ht="12.75" hidden="1" customHeight="1" outlineLevel="1">
      <c r="B1487" s="677" t="str">
        <f>'TWU FGD'!$B$2</f>
        <v>Texas Woman's University</v>
      </c>
      <c r="C1487" s="176"/>
      <c r="D1487" s="581">
        <f>'TWU FGD'!$D$57</f>
        <v>106605330</v>
      </c>
      <c r="E1487" s="581">
        <f>'TWU FGD'!$E$57</f>
        <v>83935897</v>
      </c>
      <c r="F1487" s="581">
        <f>'TWU FGD'!$F$57</f>
        <v>18924295</v>
      </c>
      <c r="G1487" s="581">
        <f>'TWU FGD'!$G$57</f>
        <v>53295699</v>
      </c>
      <c r="H1487" s="581">
        <f>'TWU FGD'!$H$57</f>
        <v>16368</v>
      </c>
      <c r="I1487" s="581">
        <f>'TWU FGD'!$I$57</f>
        <v>876728</v>
      </c>
      <c r="J1487" s="581">
        <f>'TWU FGD'!$J$57</f>
        <v>123091</v>
      </c>
      <c r="K1487" s="581">
        <f>'TWU FGD'!$K$57</f>
        <v>0</v>
      </c>
      <c r="L1487" s="581">
        <f>'TWU FGD'!$L$57</f>
        <v>0</v>
      </c>
      <c r="M1487" s="581">
        <f>'TWU FGD'!$M$57</f>
        <v>263777408</v>
      </c>
      <c r="N1487" s="401"/>
    </row>
    <row r="1488" spans="2:14" s="160" customFormat="1" ht="12.75" hidden="1" customHeight="1" outlineLevel="1">
      <c r="B1488" s="677" t="str">
        <f>'TXST FGD'!$B$2</f>
        <v>Texas State University</v>
      </c>
      <c r="C1488" s="176"/>
      <c r="D1488" s="581">
        <f>'TXST FGD'!$D$57</f>
        <v>216964465</v>
      </c>
      <c r="E1488" s="581">
        <f>'TXST FGD'!$E$57</f>
        <v>226182105</v>
      </c>
      <c r="F1488" s="581">
        <f>'TXST FGD'!$F$57</f>
        <v>116137246</v>
      </c>
      <c r="G1488" s="581">
        <f>'TXST FGD'!$G$57</f>
        <v>187976603</v>
      </c>
      <c r="H1488" s="581">
        <f>'TXST FGD'!$H$57</f>
        <v>147121</v>
      </c>
      <c r="I1488" s="581">
        <f>'TXST FGD'!$I$57</f>
        <v>6558515</v>
      </c>
      <c r="J1488" s="581">
        <f>'TXST FGD'!$J$57</f>
        <v>2000507</v>
      </c>
      <c r="K1488" s="581">
        <f>'TXST FGD'!$K$57</f>
        <v>-100</v>
      </c>
      <c r="L1488" s="581">
        <f>'TXST FGD'!$L$57</f>
        <v>0</v>
      </c>
      <c r="M1488" s="581">
        <f>'TXST FGD'!$M$57</f>
        <v>755966462</v>
      </c>
      <c r="N1488" s="401"/>
    </row>
    <row r="1489" spans="2:14" s="160" customFormat="1" ht="12.75" hidden="1" customHeight="1" outlineLevel="1">
      <c r="B1489" s="677" t="str">
        <f>'TYL FGD'!$B$2</f>
        <v>The University of Texas at Tyler</v>
      </c>
      <c r="C1489" s="176"/>
      <c r="D1489" s="581">
        <f>'TYL FGD'!$D$57</f>
        <v>54333296</v>
      </c>
      <c r="E1489" s="581">
        <f>'TYL FGD'!$E$57</f>
        <v>68321827</v>
      </c>
      <c r="F1489" s="581">
        <f>'TYL FGD'!$F$57</f>
        <v>15555045</v>
      </c>
      <c r="G1489" s="581">
        <f>'TYL FGD'!$G$57</f>
        <v>28273193</v>
      </c>
      <c r="H1489" s="581">
        <f>'TYL FGD'!$H$57</f>
        <v>0</v>
      </c>
      <c r="I1489" s="581">
        <f>'TYL FGD'!$I$57</f>
        <v>48135</v>
      </c>
      <c r="J1489" s="581">
        <f>'TYL FGD'!$J$57</f>
        <v>100000</v>
      </c>
      <c r="K1489" s="581">
        <f>'TYL FGD'!$K$57</f>
        <v>0</v>
      </c>
      <c r="L1489" s="581">
        <f>'TYL FGD'!$L$57</f>
        <v>-46441</v>
      </c>
      <c r="M1489" s="581">
        <f>'TYL FGD'!$M$57</f>
        <v>166585055</v>
      </c>
      <c r="N1489" s="401"/>
    </row>
    <row r="1490" spans="2:14" s="160" customFormat="1" ht="12.75" hidden="1" customHeight="1" outlineLevel="1">
      <c r="B1490" s="677" t="str">
        <f>'UH1 FGD'!$B$2</f>
        <v>University of Houston - Academic &amp; Health (A+H)</v>
      </c>
      <c r="C1490" s="176"/>
      <c r="D1490" s="581">
        <f>'UH1 FGD'!$D$57</f>
        <v>322611401</v>
      </c>
      <c r="E1490" s="581">
        <f>'UH1 FGD'!$E$57</f>
        <v>485240919</v>
      </c>
      <c r="F1490" s="581">
        <f>'UH1 FGD'!$F$57</f>
        <v>103005501</v>
      </c>
      <c r="G1490" s="581">
        <f>'UH1 FGD'!$G$57</f>
        <v>399637960</v>
      </c>
      <c r="H1490" s="581">
        <f>'UH1 FGD'!$H$57</f>
        <v>114455</v>
      </c>
      <c r="I1490" s="581">
        <f>'UH1 FGD'!$I$57</f>
        <v>80810611</v>
      </c>
      <c r="J1490" s="581">
        <f>'UH1 FGD'!$J$57</f>
        <v>276921</v>
      </c>
      <c r="K1490" s="581">
        <f>'UH1 FGD'!$K$57</f>
        <v>158</v>
      </c>
      <c r="L1490" s="581">
        <f>'UH1 FGD'!$L$57</f>
        <v>0</v>
      </c>
      <c r="M1490" s="581">
        <f>'UH1 FGD'!$M$57</f>
        <v>1391697926</v>
      </c>
      <c r="N1490" s="401"/>
    </row>
    <row r="1491" spans="2:14" s="160" customFormat="1" ht="12.75" hidden="1" customHeight="1" outlineLevel="1">
      <c r="B1491" s="677" t="str">
        <f>'UHCL FGD'!$B$2</f>
        <v>University of Houston - Clear Lake</v>
      </c>
      <c r="C1491" s="176"/>
      <c r="D1491" s="581">
        <f>'UHCL FGD'!$D$57</f>
        <v>53178519</v>
      </c>
      <c r="E1491" s="581">
        <f>'UHCL FGD'!$E$57</f>
        <v>46701541</v>
      </c>
      <c r="F1491" s="581">
        <f>'UHCL FGD'!$F$57</f>
        <v>10959082</v>
      </c>
      <c r="G1491" s="581">
        <f>'UHCL FGD'!$G$57</f>
        <v>43021171</v>
      </c>
      <c r="H1491" s="581">
        <f>'UHCL FGD'!$H$57</f>
        <v>10109</v>
      </c>
      <c r="I1491" s="581">
        <f>'UHCL FGD'!$I$57</f>
        <v>3498451</v>
      </c>
      <c r="J1491" s="581">
        <f>'UHCL FGD'!$J$57</f>
        <v>17930</v>
      </c>
      <c r="K1491" s="581">
        <f>'UHCL FGD'!$K$57</f>
        <v>0</v>
      </c>
      <c r="L1491" s="581">
        <f>'UHCL FGD'!$L$57</f>
        <v>0</v>
      </c>
      <c r="M1491" s="581">
        <f>'UHCL FGD'!$M$57</f>
        <v>157386803</v>
      </c>
      <c r="N1491" s="401"/>
    </row>
    <row r="1492" spans="2:14" s="160" customFormat="1" ht="12.75" hidden="1" customHeight="1" outlineLevel="1">
      <c r="B1492" s="677" t="str">
        <f>'UHD FGD'!$B$2</f>
        <v>University of Houston - Downtown</v>
      </c>
      <c r="C1492" s="176"/>
      <c r="D1492" s="581">
        <f>'UHD FGD'!$D$57</f>
        <v>57681237</v>
      </c>
      <c r="E1492" s="581">
        <f>'UHD FGD'!$E$57</f>
        <v>58365500</v>
      </c>
      <c r="F1492" s="581">
        <f>'UHD FGD'!$F$57</f>
        <v>10023758</v>
      </c>
      <c r="G1492" s="581">
        <f>'UHD FGD'!$G$57</f>
        <v>73650239</v>
      </c>
      <c r="H1492" s="581">
        <f>'UHD FGD'!$H$57</f>
        <v>150729</v>
      </c>
      <c r="I1492" s="581">
        <f>'UHD FGD'!$I$57</f>
        <v>4752629</v>
      </c>
      <c r="J1492" s="581">
        <f>'UHD FGD'!$J$57</f>
        <v>0</v>
      </c>
      <c r="K1492" s="581">
        <f>'UHD FGD'!$K$57</f>
        <v>0</v>
      </c>
      <c r="L1492" s="581">
        <f>'UHD FGD'!$L$57</f>
        <v>0</v>
      </c>
      <c r="M1492" s="581">
        <f>'UHD FGD'!$M$57</f>
        <v>204624092</v>
      </c>
      <c r="N1492" s="401"/>
    </row>
    <row r="1493" spans="2:14" s="160" customFormat="1" ht="12.75" hidden="1" customHeight="1" outlineLevel="1">
      <c r="B1493" s="677" t="str">
        <f>'UHV FGD'!$B$2</f>
        <v>University of Houston - Victoria</v>
      </c>
      <c r="C1493" s="176"/>
      <c r="D1493" s="581">
        <f>'UHV FGD'!$D$57</f>
        <v>26845209</v>
      </c>
      <c r="E1493" s="581">
        <f>'UHV FGD'!$E$57</f>
        <v>19579497</v>
      </c>
      <c r="F1493" s="581">
        <f>'UHV FGD'!$F$57</f>
        <v>8722522</v>
      </c>
      <c r="G1493" s="581">
        <f>'UHV FGD'!$G$57</f>
        <v>19129602</v>
      </c>
      <c r="H1493" s="581">
        <f>'UHV FGD'!$H$57</f>
        <v>0</v>
      </c>
      <c r="I1493" s="581">
        <f>'UHV FGD'!$I$57</f>
        <v>1716974</v>
      </c>
      <c r="J1493" s="581">
        <f>'UHV FGD'!$J$57</f>
        <v>0</v>
      </c>
      <c r="K1493" s="581">
        <f>'UHV FGD'!$K$57</f>
        <v>0</v>
      </c>
      <c r="L1493" s="581">
        <f>'UHV FGD'!$L$57</f>
        <v>0</v>
      </c>
      <c r="M1493" s="581">
        <f>'UHV FGD'!$M$57</f>
        <v>75993804</v>
      </c>
      <c r="N1493" s="401"/>
    </row>
    <row r="1494" spans="2:14" s="160" customFormat="1" ht="12.75" hidden="1" customHeight="1" outlineLevel="1">
      <c r="B1494" s="677" t="str">
        <f>'UNT FGD'!$B$2</f>
        <v>University of North Texas</v>
      </c>
      <c r="C1494" s="176"/>
      <c r="D1494" s="581">
        <f>'UNT FGD'!$D$57</f>
        <v>263173575</v>
      </c>
      <c r="E1494" s="581">
        <f>'UNT FGD'!$E$57</f>
        <v>314533503</v>
      </c>
      <c r="F1494" s="581">
        <f>'UNT FGD'!$F$57</f>
        <v>75515544</v>
      </c>
      <c r="G1494" s="581">
        <f>'UNT FGD'!$G$57</f>
        <v>186701652</v>
      </c>
      <c r="H1494" s="581">
        <f>'UNT FGD'!$H$57</f>
        <v>1223102</v>
      </c>
      <c r="I1494" s="581">
        <f>'UNT FGD'!$I$57</f>
        <v>3340270</v>
      </c>
      <c r="J1494" s="581">
        <f>'UNT FGD'!$J$57</f>
        <v>0</v>
      </c>
      <c r="K1494" s="581">
        <f>'UNT FGD'!$K$57</f>
        <v>0</v>
      </c>
      <c r="L1494" s="581">
        <f>'UNT FGD'!$L$57</f>
        <v>-180872</v>
      </c>
      <c r="M1494" s="581">
        <f>'UNT FGD'!$M$57</f>
        <v>844306774</v>
      </c>
      <c r="N1494" s="401"/>
    </row>
    <row r="1495" spans="2:14" s="160" customFormat="1" ht="12.75" hidden="1" customHeight="1" outlineLevel="1">
      <c r="B1495" s="677" t="str">
        <f>'UNTD FGD'!$B$2</f>
        <v>University of North Texas at Dallas</v>
      </c>
      <c r="C1495" s="176"/>
      <c r="D1495" s="581">
        <f>'UNTD FGD'!$D$57</f>
        <v>41670944</v>
      </c>
      <c r="E1495" s="581">
        <f>'UNTD FGD'!$E$57</f>
        <v>24715099</v>
      </c>
      <c r="F1495" s="581">
        <f>'UNTD FGD'!$F$57</f>
        <v>467591</v>
      </c>
      <c r="G1495" s="581">
        <f>'UNTD FGD'!$G$57</f>
        <v>23153542</v>
      </c>
      <c r="H1495" s="581">
        <f>'UNTD FGD'!$H$57</f>
        <v>0</v>
      </c>
      <c r="I1495" s="581">
        <f>'UNTD FGD'!$I$57</f>
        <v>62231</v>
      </c>
      <c r="J1495" s="581">
        <f>'UNTD FGD'!$J$57</f>
        <v>0</v>
      </c>
      <c r="K1495" s="581">
        <f>'UNTD FGD'!$K$57</f>
        <v>103</v>
      </c>
      <c r="L1495" s="581">
        <f>'UNTD FGD'!$L$57</f>
        <v>295667</v>
      </c>
      <c r="M1495" s="581">
        <f>'UNTD FGD'!$M$57</f>
        <v>90365177</v>
      </c>
      <c r="N1495" s="401"/>
    </row>
    <row r="1496" spans="2:14" s="160" customFormat="1" ht="12.75" hidden="1" customHeight="1" outlineLevel="1">
      <c r="B1496" s="677" t="str">
        <f>'WTAMU FGD'!$B$2</f>
        <v>West Texas A&amp;M University</v>
      </c>
      <c r="C1496" s="176"/>
      <c r="D1496" s="581">
        <f>'WTAMU FGD'!$D$57</f>
        <v>60502368</v>
      </c>
      <c r="E1496" s="581">
        <f>'WTAMU FGD'!$E$57</f>
        <v>58786027</v>
      </c>
      <c r="F1496" s="581">
        <f>'WTAMU FGD'!$F$57</f>
        <v>22574440</v>
      </c>
      <c r="G1496" s="581">
        <f>'WTAMU FGD'!$G$57</f>
        <v>48045301</v>
      </c>
      <c r="H1496" s="581">
        <f>'WTAMU FGD'!$H$57</f>
        <v>243227</v>
      </c>
      <c r="I1496" s="581">
        <f>'WTAMU FGD'!$I$57</f>
        <v>38259</v>
      </c>
      <c r="J1496" s="581">
        <f>'WTAMU FGD'!$J$57</f>
        <v>634506</v>
      </c>
      <c r="K1496" s="581">
        <f>'WTAMU FGD'!$K$57</f>
        <v>0</v>
      </c>
      <c r="L1496" s="581">
        <f>'WTAMU FGD'!$L$57</f>
        <v>0</v>
      </c>
      <c r="M1496" s="581">
        <f>'WTAMU FGD'!$M$57</f>
        <v>190824128</v>
      </c>
      <c r="N1496" s="401"/>
    </row>
    <row r="1497" spans="2:14" s="160" customFormat="1" collapsed="1">
      <c r="B1497" s="162" t="s">
        <v>68</v>
      </c>
      <c r="C1497" s="162"/>
      <c r="D1497" s="581">
        <f t="shared" ref="D1497:M1497" si="39">SUM(D1461:D1496)</f>
        <v>5141092475</v>
      </c>
      <c r="E1497" s="581">
        <f t="shared" si="39"/>
        <v>5825170570</v>
      </c>
      <c r="F1497" s="581">
        <f t="shared" si="39"/>
        <v>1517441284</v>
      </c>
      <c r="G1497" s="581">
        <f t="shared" si="39"/>
        <v>4963784327</v>
      </c>
      <c r="H1497" s="581">
        <f t="shared" si="39"/>
        <v>10380186</v>
      </c>
      <c r="I1497" s="581">
        <f t="shared" si="39"/>
        <v>118104252</v>
      </c>
      <c r="J1497" s="581">
        <f t="shared" si="39"/>
        <v>73955328</v>
      </c>
      <c r="K1497" s="581">
        <f t="shared" si="39"/>
        <v>1066938</v>
      </c>
      <c r="L1497" s="581">
        <f t="shared" si="39"/>
        <v>9091978</v>
      </c>
      <c r="M1497" s="581">
        <f t="shared" si="39"/>
        <v>17660087338</v>
      </c>
      <c r="N1497" s="401"/>
    </row>
    <row r="1498" spans="2:14" s="160" customFormat="1">
      <c r="D1498" s="390"/>
      <c r="E1498" s="390"/>
      <c r="F1498" s="390"/>
      <c r="G1498" s="390"/>
      <c r="H1498" s="390"/>
      <c r="I1498" s="390"/>
      <c r="J1498" s="390"/>
      <c r="K1498" s="390"/>
      <c r="L1498" s="390"/>
      <c r="M1498" s="390"/>
      <c r="N1498" s="401"/>
    </row>
    <row r="1499" spans="2:14" s="160" customFormat="1" ht="15">
      <c r="B1499" s="174" t="s">
        <v>72</v>
      </c>
      <c r="C1499" s="174"/>
      <c r="D1499" s="582"/>
      <c r="E1499" s="582"/>
      <c r="F1499" s="582"/>
      <c r="G1499" s="1714"/>
      <c r="H1499" s="1714"/>
      <c r="I1499" s="1714"/>
      <c r="J1499" s="1714"/>
      <c r="K1499" s="1714"/>
      <c r="L1499" s="582"/>
      <c r="M1499" s="582"/>
      <c r="N1499" s="401"/>
    </row>
    <row r="1500" spans="2:14" s="160" customFormat="1" ht="15" hidden="1" customHeight="1" outlineLevel="1">
      <c r="B1500" s="397" t="str">
        <f>'ARL FGD'!$B$2</f>
        <v>The University of Texas at Arlington</v>
      </c>
      <c r="C1500" s="163"/>
      <c r="D1500" s="397">
        <f>'ARL FGD'!$D$60</f>
        <v>123807581</v>
      </c>
      <c r="E1500" s="397">
        <f>'ARL FGD'!$E$60</f>
        <v>70964119</v>
      </c>
      <c r="F1500" s="397">
        <f>'ARL FGD'!$F$60</f>
        <v>0</v>
      </c>
      <c r="G1500" s="585">
        <f>'ARL FGD'!$G$60</f>
        <v>3313411</v>
      </c>
      <c r="H1500" s="585">
        <f>'ARL FGD'!$H$60</f>
        <v>0</v>
      </c>
      <c r="I1500" s="585">
        <f>'ARL FGD'!$I$60</f>
        <v>0</v>
      </c>
      <c r="J1500" s="585">
        <f>'ARL FGD'!$J$60</f>
        <v>0</v>
      </c>
      <c r="K1500" s="585">
        <f>'ARL FGD'!$K$60</f>
        <v>0</v>
      </c>
      <c r="L1500" s="397">
        <f>'ARL FGD'!$L$60</f>
        <v>0</v>
      </c>
      <c r="M1500" s="397">
        <f>'ARL FGD'!$M$60</f>
        <v>198085111</v>
      </c>
      <c r="N1500" s="401"/>
    </row>
    <row r="1501" spans="2:14" s="160" customFormat="1" ht="15" hidden="1" customHeight="1" outlineLevel="1">
      <c r="B1501" s="397" t="str">
        <f>'ASU FGD'!$B$2</f>
        <v>Angelo State University</v>
      </c>
      <c r="C1501" s="163"/>
      <c r="D1501" s="397">
        <f>'ASU FGD'!$D$60</f>
        <v>31807288</v>
      </c>
      <c r="E1501" s="397">
        <f>'ASU FGD'!$E$60</f>
        <v>10730336</v>
      </c>
      <c r="F1501" s="397">
        <f>'ASU FGD'!$F$60</f>
        <v>0</v>
      </c>
      <c r="G1501" s="585">
        <f>'ASU FGD'!$G$60</f>
        <v>1878729</v>
      </c>
      <c r="H1501" s="585">
        <f>'ASU FGD'!$H$60</f>
        <v>0</v>
      </c>
      <c r="I1501" s="585">
        <f>'ASU FGD'!$I$60</f>
        <v>0</v>
      </c>
      <c r="J1501" s="585">
        <f>'ASU FGD'!$J$60</f>
        <v>0</v>
      </c>
      <c r="K1501" s="585">
        <f>'ASU FGD'!$K$60</f>
        <v>0</v>
      </c>
      <c r="L1501" s="397">
        <f>'ASU FGD'!$L$60</f>
        <v>0</v>
      </c>
      <c r="M1501" s="397">
        <f>'ASU FGD'!$M$60</f>
        <v>44416353</v>
      </c>
      <c r="N1501" s="401"/>
    </row>
    <row r="1502" spans="2:14" s="160" customFormat="1" ht="15" hidden="1" customHeight="1" outlineLevel="1">
      <c r="B1502" s="397" t="str">
        <f>'AUS1 FGD'!$B$2</f>
        <v>The University of Texas at Austin - Academic &amp; Health (A+H)</v>
      </c>
      <c r="C1502" s="163"/>
      <c r="D1502" s="397">
        <f>'AUS1 FGD'!$D$60</f>
        <v>487388032</v>
      </c>
      <c r="E1502" s="397">
        <f>'AUS1 FGD'!$E$60</f>
        <v>128503397</v>
      </c>
      <c r="F1502" s="397">
        <f>'AUS1 FGD'!$F$60</f>
        <v>0</v>
      </c>
      <c r="G1502" s="585">
        <f>'AUS1 FGD'!$G$60</f>
        <v>60389396</v>
      </c>
      <c r="H1502" s="585">
        <f>'AUS1 FGD'!$H$60</f>
        <v>0</v>
      </c>
      <c r="I1502" s="585">
        <f>'AUS1 FGD'!$I$60</f>
        <v>0</v>
      </c>
      <c r="J1502" s="585">
        <f>'AUS1 FGD'!$J$60</f>
        <v>0</v>
      </c>
      <c r="K1502" s="585">
        <f>'AUS1 FGD'!$K$60</f>
        <v>0</v>
      </c>
      <c r="L1502" s="397">
        <f>'AUS1 FGD'!$L$60</f>
        <v>0</v>
      </c>
      <c r="M1502" s="397">
        <f>'AUS1 FGD'!$M$60</f>
        <v>676280825</v>
      </c>
      <c r="N1502" s="401"/>
    </row>
    <row r="1503" spans="2:14" s="160" customFormat="1" ht="15" hidden="1" customHeight="1" outlineLevel="1">
      <c r="B1503" s="397" t="str">
        <f>'RGV1 FGD'!$B$2</f>
        <v>The University of Texas RGV - Academic &amp; Health (A+H)</v>
      </c>
      <c r="C1503" s="163"/>
      <c r="D1503" s="397">
        <f>'RGV1 FGD'!$D$60</f>
        <v>110212763</v>
      </c>
      <c r="E1503" s="397">
        <f>'RGV1 FGD'!$E$60</f>
        <v>20168249</v>
      </c>
      <c r="F1503" s="397">
        <f>'RGV1 FGD'!$F$60</f>
        <v>0</v>
      </c>
      <c r="G1503" s="585">
        <f>'RGV1 FGD'!$G$60</f>
        <v>12003657</v>
      </c>
      <c r="H1503" s="585">
        <f>'RGV1 FGD'!$H$60</f>
        <v>0</v>
      </c>
      <c r="I1503" s="585">
        <f>'RGV1 FGD'!$I$60</f>
        <v>0</v>
      </c>
      <c r="J1503" s="585">
        <f>'RGV1 FGD'!$J$60</f>
        <v>0</v>
      </c>
      <c r="K1503" s="585">
        <f>'RGV1 FGD'!$K$60</f>
        <v>0</v>
      </c>
      <c r="L1503" s="397">
        <f>'RGV1 FGD'!$L$60</f>
        <v>0</v>
      </c>
      <c r="M1503" s="397">
        <f>'RGV1 FGD'!$M$60</f>
        <v>142384669</v>
      </c>
      <c r="N1503" s="401"/>
    </row>
    <row r="1504" spans="2:14" s="160" customFormat="1" ht="15" hidden="1" customHeight="1" outlineLevel="1">
      <c r="B1504" s="397" t="str">
        <f>'DAL FGD'!$B$2</f>
        <v>The University of Texas at Dallas</v>
      </c>
      <c r="C1504" s="163"/>
      <c r="D1504" s="397">
        <f>'DAL FGD'!$D$60</f>
        <v>111160566</v>
      </c>
      <c r="E1504" s="397">
        <f>'DAL FGD'!$E$60</f>
        <v>85277937</v>
      </c>
      <c r="F1504" s="397">
        <f>'DAL FGD'!$F$60</f>
        <v>0</v>
      </c>
      <c r="G1504" s="585">
        <f>'DAL FGD'!$G$60</f>
        <v>1238592</v>
      </c>
      <c r="H1504" s="585">
        <f>'DAL FGD'!$H$60</f>
        <v>0</v>
      </c>
      <c r="I1504" s="585">
        <f>'DAL FGD'!$I$60</f>
        <v>0</v>
      </c>
      <c r="J1504" s="585">
        <f>'DAL FGD'!$J$60</f>
        <v>0</v>
      </c>
      <c r="K1504" s="585">
        <f>'DAL FGD'!$K$60</f>
        <v>0</v>
      </c>
      <c r="L1504" s="397">
        <f>'DAL FGD'!$L$60</f>
        <v>0</v>
      </c>
      <c r="M1504" s="397">
        <f>'DAL FGD'!$M$60</f>
        <v>197677095</v>
      </c>
      <c r="N1504" s="401"/>
    </row>
    <row r="1505" spans="2:14" s="160" customFormat="1" ht="15" hidden="1" customHeight="1" outlineLevel="1">
      <c r="B1505" s="397" t="str">
        <f>'E-P FGD'!$B$2</f>
        <v>The University of Texas at El Paso</v>
      </c>
      <c r="C1505" s="163"/>
      <c r="D1505" s="397">
        <f>'E-P FGD'!$D$60</f>
        <v>90599232</v>
      </c>
      <c r="E1505" s="397">
        <f>'E-P FGD'!$E$60</f>
        <v>17794081</v>
      </c>
      <c r="F1505" s="397">
        <f>'E-P FGD'!$F$60</f>
        <v>0</v>
      </c>
      <c r="G1505" s="585">
        <f>'E-P FGD'!$G$60</f>
        <v>2953943</v>
      </c>
      <c r="H1505" s="585">
        <f>'E-P FGD'!$H$60</f>
        <v>0</v>
      </c>
      <c r="I1505" s="585">
        <f>'E-P FGD'!$I$60</f>
        <v>0</v>
      </c>
      <c r="J1505" s="585">
        <f>'E-P FGD'!$J$60</f>
        <v>0</v>
      </c>
      <c r="K1505" s="585">
        <f>'E-P FGD'!$K$60</f>
        <v>0</v>
      </c>
      <c r="L1505" s="397">
        <f>'E-P FGD'!$L$60</f>
        <v>0</v>
      </c>
      <c r="M1505" s="397">
        <f>'E-P FGD'!$M$60</f>
        <v>111347256</v>
      </c>
      <c r="N1505" s="401"/>
    </row>
    <row r="1506" spans="2:14" s="160" customFormat="1" ht="15" hidden="1" customHeight="1" outlineLevel="1">
      <c r="B1506" s="397" t="str">
        <f>'LU FGD'!$B$2</f>
        <v xml:space="preserve">Lamar University </v>
      </c>
      <c r="C1506" s="163"/>
      <c r="D1506" s="397">
        <f>'LU FGD'!$D$60</f>
        <v>56466753</v>
      </c>
      <c r="E1506" s="397">
        <f>'LU FGD'!$E$60</f>
        <v>6733840</v>
      </c>
      <c r="F1506" s="397">
        <f>'LU FGD'!$F$60</f>
        <v>0</v>
      </c>
      <c r="G1506" s="585">
        <f>'LU FGD'!$G$60</f>
        <v>421526</v>
      </c>
      <c r="H1506" s="585">
        <f>'LU FGD'!$H$60</f>
        <v>0</v>
      </c>
      <c r="I1506" s="585">
        <f>'LU FGD'!$I$60</f>
        <v>0</v>
      </c>
      <c r="J1506" s="585">
        <f>'LU FGD'!$J$60</f>
        <v>0</v>
      </c>
      <c r="K1506" s="585">
        <f>'LU FGD'!$K$60</f>
        <v>0</v>
      </c>
      <c r="L1506" s="397">
        <f>'LU FGD'!$L$60</f>
        <v>0</v>
      </c>
      <c r="M1506" s="397">
        <f>'LU FGD'!$M$60</f>
        <v>63622119</v>
      </c>
      <c r="N1506" s="401"/>
    </row>
    <row r="1507" spans="2:14" s="160" customFormat="1" ht="15" hidden="1" customHeight="1" outlineLevel="1">
      <c r="B1507" s="397" t="str">
        <f>'MidWST FGD'!$B$2</f>
        <v>Midwestern State University</v>
      </c>
      <c r="C1507" s="163"/>
      <c r="D1507" s="397">
        <f>'MidWST FGD'!$D$60</f>
        <v>23453277</v>
      </c>
      <c r="E1507" s="397">
        <f>'MidWST FGD'!$E$60</f>
        <v>13823890</v>
      </c>
      <c r="F1507" s="397">
        <f>'MidWST FGD'!$F$60</f>
        <v>0</v>
      </c>
      <c r="G1507" s="585">
        <f>'MidWST FGD'!$G$60</f>
        <v>657143</v>
      </c>
      <c r="H1507" s="585">
        <f>'MidWST FGD'!$H$60</f>
        <v>0</v>
      </c>
      <c r="I1507" s="585">
        <f>'MidWST FGD'!$I$60</f>
        <v>0</v>
      </c>
      <c r="J1507" s="585">
        <f>'MidWST FGD'!$J$60</f>
        <v>0</v>
      </c>
      <c r="K1507" s="585">
        <f>'MidWST FGD'!$K$60</f>
        <v>0</v>
      </c>
      <c r="L1507" s="397">
        <f>'MidWST FGD'!$L$60</f>
        <v>0</v>
      </c>
      <c r="M1507" s="397">
        <f>'MidWST FGD'!$M$60</f>
        <v>37934310</v>
      </c>
      <c r="N1507" s="401"/>
    </row>
    <row r="1508" spans="2:14" s="160" customFormat="1" ht="15" hidden="1" customHeight="1" outlineLevel="1">
      <c r="B1508" s="397" t="str">
        <f>'P-B FGD'!$B$2</f>
        <v>The University of Texas of the Permian Basin</v>
      </c>
      <c r="C1508" s="163"/>
      <c r="D1508" s="397">
        <f>'P-B FGD'!$D$60</f>
        <v>14679890</v>
      </c>
      <c r="E1508" s="397">
        <f>'P-B FGD'!$E$60</f>
        <v>17414827</v>
      </c>
      <c r="F1508" s="397">
        <f>'P-B FGD'!$F$60</f>
        <v>0</v>
      </c>
      <c r="G1508" s="585">
        <f>'P-B FGD'!$G$60</f>
        <v>3268382</v>
      </c>
      <c r="H1508" s="585">
        <f>'P-B FGD'!$H$60</f>
        <v>0</v>
      </c>
      <c r="I1508" s="585">
        <f>'P-B FGD'!$I$60</f>
        <v>0</v>
      </c>
      <c r="J1508" s="585">
        <f>'P-B FGD'!$J$60</f>
        <v>0</v>
      </c>
      <c r="K1508" s="585">
        <f>'P-B FGD'!$K$60</f>
        <v>0</v>
      </c>
      <c r="L1508" s="397">
        <f>'P-B FGD'!$L$60</f>
        <v>0</v>
      </c>
      <c r="M1508" s="397">
        <f>'P-B FGD'!$M$60</f>
        <v>35363099</v>
      </c>
      <c r="N1508" s="401"/>
    </row>
    <row r="1509" spans="2:14" s="160" customFormat="1" ht="15" hidden="1" customHeight="1" outlineLevel="1">
      <c r="B1509" s="397" t="str">
        <f>'PVAMU FGD'!$B$2</f>
        <v>Prairie View A&amp;M University</v>
      </c>
      <c r="C1509" s="163"/>
      <c r="D1509" s="397">
        <f>'PVAMU FGD'!$D$60</f>
        <v>45019256</v>
      </c>
      <c r="E1509" s="397">
        <f>'PVAMU FGD'!$E$60</f>
        <v>4223354</v>
      </c>
      <c r="F1509" s="397">
        <f>'PVAMU FGD'!$F$60</f>
        <v>0</v>
      </c>
      <c r="G1509" s="585">
        <f>'PVAMU FGD'!$G$60</f>
        <v>3062984</v>
      </c>
      <c r="H1509" s="585">
        <f>'PVAMU FGD'!$H$60</f>
        <v>0</v>
      </c>
      <c r="I1509" s="585">
        <f>'PVAMU FGD'!$I$60</f>
        <v>0</v>
      </c>
      <c r="J1509" s="585">
        <f>'PVAMU FGD'!$J$60</f>
        <v>0</v>
      </c>
      <c r="K1509" s="585">
        <f>'PVAMU FGD'!$K$60</f>
        <v>0</v>
      </c>
      <c r="L1509" s="397">
        <f>'PVAMU FGD'!$L$60</f>
        <v>0</v>
      </c>
      <c r="M1509" s="397">
        <f>'PVAMU FGD'!$M$60</f>
        <v>52305594</v>
      </c>
      <c r="N1509" s="401"/>
    </row>
    <row r="1510" spans="2:14" s="160" customFormat="1" ht="15" hidden="1" customHeight="1" outlineLevel="1">
      <c r="B1510" s="397" t="str">
        <f>'S-A FGD'!$B$2</f>
        <v>The University of Texas at San Antonio</v>
      </c>
      <c r="C1510" s="163"/>
      <c r="D1510" s="397">
        <f>'S-A FGD'!$D$60</f>
        <v>89832393</v>
      </c>
      <c r="E1510" s="397">
        <f>'S-A FGD'!$E$60</f>
        <v>21657878</v>
      </c>
      <c r="F1510" s="397">
        <f>'S-A FGD'!$F$60</f>
        <v>0</v>
      </c>
      <c r="G1510" s="585">
        <f>'S-A FGD'!$G$60</f>
        <v>4412083</v>
      </c>
      <c r="H1510" s="585">
        <f>'S-A FGD'!$H$60</f>
        <v>0</v>
      </c>
      <c r="I1510" s="585">
        <f>'S-A FGD'!$I$60</f>
        <v>0</v>
      </c>
      <c r="J1510" s="585">
        <f>'S-A FGD'!$J$60</f>
        <v>0</v>
      </c>
      <c r="K1510" s="585">
        <f>'S-A FGD'!$K$60</f>
        <v>0</v>
      </c>
      <c r="L1510" s="397">
        <f>'S-A FGD'!$L$60</f>
        <v>0</v>
      </c>
      <c r="M1510" s="397">
        <f>'S-A FGD'!$M$60</f>
        <v>115902354</v>
      </c>
      <c r="N1510" s="401"/>
    </row>
    <row r="1511" spans="2:14" s="160" customFormat="1" ht="15" hidden="1" customHeight="1" outlineLevel="1">
      <c r="B1511" s="397" t="str">
        <f>'SFA FGD'!$B$2</f>
        <v>Stephen F. Austin State University</v>
      </c>
      <c r="C1511" s="163"/>
      <c r="D1511" s="397">
        <f>'SFA FGD'!$D$60</f>
        <v>42013236</v>
      </c>
      <c r="E1511" s="397">
        <f>'SFA FGD'!$E$60</f>
        <v>31394004</v>
      </c>
      <c r="F1511" s="397">
        <f>'SFA FGD'!$F$60</f>
        <v>0</v>
      </c>
      <c r="G1511" s="585">
        <f>'SFA FGD'!$G$60</f>
        <v>2877495</v>
      </c>
      <c r="H1511" s="585">
        <f>'SFA FGD'!$H$60</f>
        <v>0</v>
      </c>
      <c r="I1511" s="585">
        <f>'SFA FGD'!$I$60</f>
        <v>0</v>
      </c>
      <c r="J1511" s="585">
        <f>'SFA FGD'!$J$60</f>
        <v>0</v>
      </c>
      <c r="K1511" s="585">
        <f>'SFA FGD'!$K$60</f>
        <v>0</v>
      </c>
      <c r="L1511" s="397">
        <f>'SFA FGD'!$L$60</f>
        <v>0</v>
      </c>
      <c r="M1511" s="397">
        <f>'SFA FGD'!$M$60</f>
        <v>76284735</v>
      </c>
      <c r="N1511" s="401"/>
    </row>
    <row r="1512" spans="2:14" s="160" customFormat="1" ht="15" hidden="1" customHeight="1" outlineLevel="1">
      <c r="B1512" s="397" t="str">
        <f>'shsu1 FGD'!$B$2</f>
        <v>Sam Houston State University - Academic &amp; Health (A+H)</v>
      </c>
      <c r="C1512" s="163"/>
      <c r="D1512" s="397">
        <f>'shsu1 FGD'!$D$60</f>
        <v>62045770</v>
      </c>
      <c r="E1512" s="397">
        <f>'shsu1 FGD'!$E$60</f>
        <v>38774575</v>
      </c>
      <c r="F1512" s="397">
        <f>'shsu1 FGD'!$F$60</f>
        <v>0</v>
      </c>
      <c r="G1512" s="585">
        <f>'shsu1 FGD'!$G$60</f>
        <v>1200908</v>
      </c>
      <c r="H1512" s="585">
        <f>'shsu1 FGD'!$H$60</f>
        <v>0</v>
      </c>
      <c r="I1512" s="585">
        <f>'shsu1 FGD'!$I$60</f>
        <v>0</v>
      </c>
      <c r="J1512" s="585">
        <f>'shsu1 FGD'!$J$60</f>
        <v>0</v>
      </c>
      <c r="K1512" s="585">
        <f>'shsu1 FGD'!$K$60</f>
        <v>0</v>
      </c>
      <c r="L1512" s="397">
        <f>'shsu1 FGD'!$L$60</f>
        <v>0</v>
      </c>
      <c r="M1512" s="397">
        <f>'shsu1 FGD'!$M$60</f>
        <v>102021253</v>
      </c>
      <c r="N1512" s="401"/>
    </row>
    <row r="1513" spans="2:14" s="160" customFormat="1" ht="15" hidden="1" customHeight="1" outlineLevel="1">
      <c r="B1513" s="397" t="str">
        <f>'SRSU FGD'!$B$2</f>
        <v>Sul Ross State University</v>
      </c>
      <c r="C1513" s="163"/>
      <c r="D1513" s="397">
        <f>'SRSU FGD'!$D$60</f>
        <v>9901816</v>
      </c>
      <c r="E1513" s="397">
        <f>'SRSU FGD'!$E$60</f>
        <v>1190971</v>
      </c>
      <c r="F1513" s="397">
        <f>'SRSU FGD'!$F$60</f>
        <v>0</v>
      </c>
      <c r="G1513" s="585">
        <f>'SRSU FGD'!$G$60</f>
        <v>-1173229</v>
      </c>
      <c r="H1513" s="585">
        <f>'SRSU FGD'!$H$60</f>
        <v>0</v>
      </c>
      <c r="I1513" s="585">
        <f>'SRSU FGD'!$I$60</f>
        <v>0</v>
      </c>
      <c r="J1513" s="585">
        <f>'SRSU FGD'!$J$60</f>
        <v>0</v>
      </c>
      <c r="K1513" s="585">
        <f>'SRSU FGD'!$K$60</f>
        <v>0</v>
      </c>
      <c r="L1513" s="397">
        <f>'SRSU FGD'!$L$60</f>
        <v>0</v>
      </c>
      <c r="M1513" s="397">
        <f>'SRSU FGD'!$M$60</f>
        <v>9919558</v>
      </c>
      <c r="N1513" s="401"/>
    </row>
    <row r="1514" spans="2:14" s="160" customFormat="1" ht="15" hidden="1" customHeight="1" outlineLevel="1">
      <c r="B1514" s="397" t="str">
        <f>'TAMIU FGD'!$B$2</f>
        <v>Texas A&amp;M International University</v>
      </c>
      <c r="C1514" s="163"/>
      <c r="D1514" s="397">
        <f>'TAMIU FGD'!$D$60</f>
        <v>27458880</v>
      </c>
      <c r="E1514" s="397">
        <f>'TAMIU FGD'!$E$60</f>
        <v>3910500</v>
      </c>
      <c r="F1514" s="397">
        <f>'TAMIU FGD'!$F$60</f>
        <v>0</v>
      </c>
      <c r="G1514" s="585">
        <f>'TAMIU FGD'!$G$60</f>
        <v>2411028</v>
      </c>
      <c r="H1514" s="585">
        <f>'TAMIU FGD'!$H$60</f>
        <v>0</v>
      </c>
      <c r="I1514" s="585">
        <f>'TAMIU FGD'!$I$60</f>
        <v>0</v>
      </c>
      <c r="J1514" s="585">
        <f>'TAMIU FGD'!$J$60</f>
        <v>0</v>
      </c>
      <c r="K1514" s="585">
        <f>'TAMIU FGD'!$K$60</f>
        <v>0</v>
      </c>
      <c r="L1514" s="397">
        <f>'TAMIU FGD'!$L$60</f>
        <v>0</v>
      </c>
      <c r="M1514" s="397">
        <f>'TAMIU FGD'!$M$60</f>
        <v>33780408</v>
      </c>
      <c r="N1514" s="401"/>
    </row>
    <row r="1515" spans="2:14" s="160" customFormat="1" ht="15" hidden="1" customHeight="1" outlineLevel="1">
      <c r="B1515" s="397" t="str">
        <f>'TAMU FGD'!$B$2</f>
        <v>Texas A&amp;M University</v>
      </c>
      <c r="C1515" s="163"/>
      <c r="D1515" s="397">
        <f>'TAMU FGD'!$D$60</f>
        <v>416809360</v>
      </c>
      <c r="E1515" s="397">
        <f>'TAMU FGD'!$E$60</f>
        <v>124268356</v>
      </c>
      <c r="F1515" s="397">
        <f>'TAMU FGD'!$F$60</f>
        <v>0</v>
      </c>
      <c r="G1515" s="585">
        <f>'TAMU FGD'!$G$60</f>
        <v>66674359</v>
      </c>
      <c r="H1515" s="585">
        <f>'TAMU FGD'!$H$60</f>
        <v>0</v>
      </c>
      <c r="I1515" s="585">
        <f>'TAMU FGD'!$I$60</f>
        <v>0</v>
      </c>
      <c r="J1515" s="585">
        <f>'TAMU FGD'!$J$60</f>
        <v>0</v>
      </c>
      <c r="K1515" s="585">
        <f>'TAMU FGD'!$K$60</f>
        <v>0</v>
      </c>
      <c r="L1515" s="397">
        <f>'TAMU FGD'!$L$60</f>
        <v>0</v>
      </c>
      <c r="M1515" s="397">
        <f>'TAMU FGD'!$M$60</f>
        <v>607752075</v>
      </c>
      <c r="N1515" s="401"/>
    </row>
    <row r="1516" spans="2:14" s="160" customFormat="1" ht="15" hidden="1" customHeight="1" outlineLevel="1">
      <c r="B1516" s="397" t="str">
        <f>'TAMUC FGD'!$B$2</f>
        <v>Texas A&amp;M University - Commerce</v>
      </c>
      <c r="C1516" s="163"/>
      <c r="D1516" s="397">
        <f>'TAMUC FGD'!$D$60</f>
        <v>48730274</v>
      </c>
      <c r="E1516" s="397">
        <f>'TAMUC FGD'!$E$60</f>
        <v>8075536</v>
      </c>
      <c r="F1516" s="397">
        <f>'TAMUC FGD'!$F$60</f>
        <v>0</v>
      </c>
      <c r="G1516" s="585">
        <f>'TAMUC FGD'!$G$60</f>
        <v>364552</v>
      </c>
      <c r="H1516" s="585">
        <f>'TAMUC FGD'!$H$60</f>
        <v>0</v>
      </c>
      <c r="I1516" s="585">
        <f>'TAMUC FGD'!$I$60</f>
        <v>0</v>
      </c>
      <c r="J1516" s="585">
        <f>'TAMUC FGD'!$J$60</f>
        <v>0</v>
      </c>
      <c r="K1516" s="585">
        <f>'TAMUC FGD'!$K$60</f>
        <v>0</v>
      </c>
      <c r="L1516" s="397">
        <f>'TAMUC FGD'!$L$60</f>
        <v>0</v>
      </c>
      <c r="M1516" s="397">
        <f>'TAMUC FGD'!$M$60</f>
        <v>57170362</v>
      </c>
      <c r="N1516" s="401"/>
    </row>
    <row r="1517" spans="2:14" s="160" customFormat="1" ht="15" hidden="1" customHeight="1" outlineLevel="1">
      <c r="B1517" s="397" t="str">
        <f>'TAMUCC FGD'!$B$2</f>
        <v>Texas A&amp;M University - Corpus Christi</v>
      </c>
      <c r="C1517" s="163"/>
      <c r="D1517" s="397">
        <f>'TAMUCC FGD'!$D$60</f>
        <v>36173030</v>
      </c>
      <c r="E1517" s="397">
        <f>'TAMUCC FGD'!$E$60</f>
        <v>23960562</v>
      </c>
      <c r="F1517" s="397">
        <f>'TAMUCC FGD'!$F$60</f>
        <v>0</v>
      </c>
      <c r="G1517" s="585">
        <f>'TAMUCC FGD'!$G$60</f>
        <v>4168069</v>
      </c>
      <c r="H1517" s="585">
        <f>'TAMUCC FGD'!$H$60</f>
        <v>0</v>
      </c>
      <c r="I1517" s="585">
        <f>'TAMUCC FGD'!$I$60</f>
        <v>0</v>
      </c>
      <c r="J1517" s="585">
        <f>'TAMUCC FGD'!$J$60</f>
        <v>0</v>
      </c>
      <c r="K1517" s="585">
        <f>'TAMUCC FGD'!$K$60</f>
        <v>0</v>
      </c>
      <c r="L1517" s="397">
        <f>'TAMUCC FGD'!$L$60</f>
        <v>0</v>
      </c>
      <c r="M1517" s="397">
        <f>'TAMUCC FGD'!$M$60</f>
        <v>64301661</v>
      </c>
      <c r="N1517" s="401"/>
    </row>
    <row r="1518" spans="2:14" s="160" customFormat="1" ht="15" hidden="1" customHeight="1" outlineLevel="1">
      <c r="B1518" s="397" t="str">
        <f>'TAMUCT FGD'!$B$2</f>
        <v>Texas A&amp;M University - Central Texas</v>
      </c>
      <c r="C1518" s="163"/>
      <c r="D1518" s="397">
        <f>'TAMUCT FGD'!$D$60</f>
        <v>7546776</v>
      </c>
      <c r="E1518" s="397">
        <f>'TAMUCT FGD'!$E$60</f>
        <v>3271834</v>
      </c>
      <c r="F1518" s="397">
        <f>'TAMUCT FGD'!$F$60</f>
        <v>0</v>
      </c>
      <c r="G1518" s="585">
        <f>'TAMUCT FGD'!$G$60</f>
        <v>30911</v>
      </c>
      <c r="H1518" s="585">
        <f>'TAMUCT FGD'!$H$60</f>
        <v>0</v>
      </c>
      <c r="I1518" s="585">
        <f>'TAMUCT FGD'!$I$60</f>
        <v>0</v>
      </c>
      <c r="J1518" s="585">
        <f>'TAMUCT FGD'!$J$60</f>
        <v>0</v>
      </c>
      <c r="K1518" s="585">
        <f>'TAMUCT FGD'!$K$60</f>
        <v>0</v>
      </c>
      <c r="L1518" s="397">
        <f>'TAMUCT FGD'!$L$60</f>
        <v>0</v>
      </c>
      <c r="M1518" s="397">
        <f>'TAMUCT FGD'!$M$60</f>
        <v>10849521</v>
      </c>
      <c r="N1518" s="401"/>
    </row>
    <row r="1519" spans="2:14" s="160" customFormat="1" ht="15" hidden="1" customHeight="1" outlineLevel="1">
      <c r="B1519" s="397" t="str">
        <f>'TAMUG FGD'!$B$2</f>
        <v>Texas A&amp;M University at Galveston</v>
      </c>
      <c r="C1519" s="163"/>
      <c r="D1519" s="397">
        <f>'TAMUG FGD'!$D$60</f>
        <v>12159926</v>
      </c>
      <c r="E1519" s="397">
        <f>'TAMUG FGD'!$E$60</f>
        <v>5544243</v>
      </c>
      <c r="F1519" s="397">
        <f>'TAMUG FGD'!$F$60</f>
        <v>0</v>
      </c>
      <c r="G1519" s="585">
        <f>'TAMUG FGD'!$G$60</f>
        <v>2514621</v>
      </c>
      <c r="H1519" s="585">
        <f>'TAMUG FGD'!$H$60</f>
        <v>0</v>
      </c>
      <c r="I1519" s="585">
        <f>'TAMUG FGD'!$I$60</f>
        <v>0</v>
      </c>
      <c r="J1519" s="585">
        <f>'TAMUG FGD'!$J$60</f>
        <v>0</v>
      </c>
      <c r="K1519" s="585">
        <f>'TAMUG FGD'!$K$60</f>
        <v>0</v>
      </c>
      <c r="L1519" s="397">
        <f>'TAMUG FGD'!$L$60</f>
        <v>0</v>
      </c>
      <c r="M1519" s="397">
        <f>'TAMUG FGD'!$M$60</f>
        <v>20218790</v>
      </c>
      <c r="N1519" s="401"/>
    </row>
    <row r="1520" spans="2:14" s="160" customFormat="1" ht="15" hidden="1" customHeight="1" outlineLevel="1">
      <c r="B1520" s="397" t="str">
        <f>'TAMUK FGD'!$B$2</f>
        <v>Texas A&amp;M University - Kingsville</v>
      </c>
      <c r="C1520" s="163"/>
      <c r="D1520" s="397">
        <f>'TAMUK FGD'!$D$60</f>
        <v>32134317</v>
      </c>
      <c r="E1520" s="397">
        <f>'TAMUK FGD'!$E$60</f>
        <v>7824424</v>
      </c>
      <c r="F1520" s="397">
        <f>'TAMUK FGD'!$F$60</f>
        <v>0</v>
      </c>
      <c r="G1520" s="585">
        <f>'TAMUK FGD'!$G$60</f>
        <v>2218476</v>
      </c>
      <c r="H1520" s="585">
        <f>'TAMUK FGD'!$H$60</f>
        <v>0</v>
      </c>
      <c r="I1520" s="585">
        <f>'TAMUK FGD'!$I$60</f>
        <v>0</v>
      </c>
      <c r="J1520" s="585">
        <f>'TAMUK FGD'!$J$60</f>
        <v>0</v>
      </c>
      <c r="K1520" s="585">
        <f>'TAMUK FGD'!$K$60</f>
        <v>0</v>
      </c>
      <c r="L1520" s="397">
        <f>'TAMUK FGD'!$L$60</f>
        <v>0</v>
      </c>
      <c r="M1520" s="397">
        <f>'TAMUK FGD'!$M$60</f>
        <v>42177217</v>
      </c>
      <c r="N1520" s="401"/>
    </row>
    <row r="1521" spans="2:14" s="160" customFormat="1" ht="15" hidden="1" customHeight="1" outlineLevel="1">
      <c r="B1521" s="397" t="str">
        <f>'TAMUSA FGD'!$B$2</f>
        <v>Texas A&amp;M University - San Antonio</v>
      </c>
      <c r="C1521" s="163"/>
      <c r="D1521" s="397">
        <f>'TAMUSA FGD'!$D$60</f>
        <v>25932102</v>
      </c>
      <c r="E1521" s="397">
        <f>'TAMUSA FGD'!$E$60</f>
        <v>2384281</v>
      </c>
      <c r="F1521" s="397">
        <f>'TAMUSA FGD'!$F$60</f>
        <v>0</v>
      </c>
      <c r="G1521" s="585">
        <f>'TAMUSA FGD'!$G$60</f>
        <v>1039900</v>
      </c>
      <c r="H1521" s="585">
        <f>'TAMUSA FGD'!$H$60</f>
        <v>0</v>
      </c>
      <c r="I1521" s="585">
        <f>'TAMUSA FGD'!$I$60</f>
        <v>0</v>
      </c>
      <c r="J1521" s="585">
        <f>'TAMUSA FGD'!$J$60</f>
        <v>0</v>
      </c>
      <c r="K1521" s="585">
        <f>'TAMUSA FGD'!$K$60</f>
        <v>0</v>
      </c>
      <c r="L1521" s="397">
        <f>'TAMUSA FGD'!$L$60</f>
        <v>0</v>
      </c>
      <c r="M1521" s="397">
        <f>'TAMUSA FGD'!$M$60</f>
        <v>29356283</v>
      </c>
      <c r="N1521" s="401"/>
    </row>
    <row r="1522" spans="2:14" s="160" customFormat="1" ht="15" hidden="1" customHeight="1" outlineLevel="1">
      <c r="B1522" s="397" t="str">
        <f>'TAMUT FGD'!$B$2</f>
        <v>Texas A&amp;M University - Texarkana</v>
      </c>
      <c r="C1522" s="163"/>
      <c r="D1522" s="397">
        <f>'TAMUT FGD'!$D$60</f>
        <v>11963940</v>
      </c>
      <c r="E1522" s="397">
        <f>'TAMUT FGD'!$E$60</f>
        <v>3746707</v>
      </c>
      <c r="F1522" s="397">
        <f>'TAMUT FGD'!$F$60</f>
        <v>0</v>
      </c>
      <c r="G1522" s="585">
        <f>'TAMUT FGD'!$G$60</f>
        <v>3250</v>
      </c>
      <c r="H1522" s="585">
        <f>'TAMUT FGD'!$H$60</f>
        <v>0</v>
      </c>
      <c r="I1522" s="585">
        <f>'TAMUT FGD'!$I$60</f>
        <v>0</v>
      </c>
      <c r="J1522" s="585">
        <f>'TAMUT FGD'!$J$60</f>
        <v>0</v>
      </c>
      <c r="K1522" s="585">
        <f>'TAMUT FGD'!$K$60</f>
        <v>0</v>
      </c>
      <c r="L1522" s="397">
        <f>'TAMUT FGD'!$L$60</f>
        <v>0</v>
      </c>
      <c r="M1522" s="397">
        <f>'TAMUT FGD'!$M$60</f>
        <v>15713897</v>
      </c>
      <c r="N1522" s="401"/>
    </row>
    <row r="1523" spans="2:14" s="160" customFormat="1" ht="15" hidden="1" customHeight="1" outlineLevel="1">
      <c r="B1523" s="397" t="str">
        <f>'TARLST FGD'!$B$2</f>
        <v>Tarleton State University</v>
      </c>
      <c r="C1523" s="163"/>
      <c r="D1523" s="397">
        <f>'TARLST FGD'!$D$60</f>
        <v>29888637</v>
      </c>
      <c r="E1523" s="397">
        <f>'TARLST FGD'!$E$60</f>
        <v>20382748</v>
      </c>
      <c r="F1523" s="397">
        <f>'TARLST FGD'!$F$60</f>
        <v>0</v>
      </c>
      <c r="G1523" s="585">
        <f>'TARLST FGD'!$G$60</f>
        <v>955250</v>
      </c>
      <c r="H1523" s="585">
        <f>'TARLST FGD'!$H$60</f>
        <v>0</v>
      </c>
      <c r="I1523" s="585">
        <f>'TARLST FGD'!$I$60</f>
        <v>0</v>
      </c>
      <c r="J1523" s="585">
        <f>'TARLST FGD'!$J$60</f>
        <v>0</v>
      </c>
      <c r="K1523" s="585">
        <f>'TARLST FGD'!$K$60</f>
        <v>0</v>
      </c>
      <c r="L1523" s="397">
        <f>'TARLST FGD'!$L$60</f>
        <v>0</v>
      </c>
      <c r="M1523" s="397">
        <f>'TARLST FGD'!$M$60</f>
        <v>51226635</v>
      </c>
      <c r="N1523" s="401"/>
    </row>
    <row r="1524" spans="2:14" s="160" customFormat="1" ht="15" hidden="1" customHeight="1" outlineLevel="1">
      <c r="B1524" s="397" t="str">
        <f>'TSU FGD'!$B$2</f>
        <v>Texas Southern University</v>
      </c>
      <c r="C1524" s="163"/>
      <c r="D1524" s="397">
        <f>'TSU FGD'!$D$60</f>
        <v>56432663</v>
      </c>
      <c r="E1524" s="397">
        <f>'TSU FGD'!$E$60</f>
        <v>17627133</v>
      </c>
      <c r="F1524" s="397">
        <f>'TSU FGD'!$F$60</f>
        <v>0</v>
      </c>
      <c r="G1524" s="585">
        <f>'TSU FGD'!$G$60</f>
        <v>4651598</v>
      </c>
      <c r="H1524" s="585">
        <f>'TSU FGD'!$H$60</f>
        <v>0</v>
      </c>
      <c r="I1524" s="585">
        <f>'TSU FGD'!$I$60</f>
        <v>0</v>
      </c>
      <c r="J1524" s="585">
        <f>'TSU FGD'!$J$60</f>
        <v>0</v>
      </c>
      <c r="K1524" s="585">
        <f>'TSU FGD'!$K$60</f>
        <v>0</v>
      </c>
      <c r="L1524" s="397">
        <f>'TSU FGD'!$L$60</f>
        <v>-256984</v>
      </c>
      <c r="M1524" s="397">
        <f>'TSU FGD'!$M$60</f>
        <v>78454410</v>
      </c>
      <c r="N1524" s="401"/>
    </row>
    <row r="1525" spans="2:14" s="160" customFormat="1" ht="15" hidden="1" customHeight="1" outlineLevel="1">
      <c r="B1525" s="397" t="str">
        <f>'TTU FGD'!$B$2</f>
        <v>Texas Tech University</v>
      </c>
      <c r="C1525" s="163"/>
      <c r="D1525" s="397">
        <f>'TTU FGD'!$D$60</f>
        <v>108044781</v>
      </c>
      <c r="E1525" s="397">
        <f>'TTU FGD'!$E$60</f>
        <v>92969423</v>
      </c>
      <c r="F1525" s="397">
        <f>'TTU FGD'!$F$60</f>
        <v>0</v>
      </c>
      <c r="G1525" s="585">
        <f>'TTU FGD'!$G$60</f>
        <v>4730660</v>
      </c>
      <c r="H1525" s="585">
        <f>'TTU FGD'!$H$60</f>
        <v>0</v>
      </c>
      <c r="I1525" s="585">
        <f>'TTU FGD'!$I$60</f>
        <v>0</v>
      </c>
      <c r="J1525" s="585">
        <f>'TTU FGD'!$J$60</f>
        <v>0</v>
      </c>
      <c r="K1525" s="585">
        <f>'TTU FGD'!$K$60</f>
        <v>0</v>
      </c>
      <c r="L1525" s="397">
        <f>'TTU FGD'!$L$60</f>
        <v>0</v>
      </c>
      <c r="M1525" s="397">
        <f>'TTU FGD'!$M$60</f>
        <v>205744864</v>
      </c>
      <c r="N1525" s="401"/>
    </row>
    <row r="1526" spans="2:14" s="160" customFormat="1" ht="15" hidden="1" customHeight="1" outlineLevel="1">
      <c r="B1526" s="397" t="str">
        <f>'TWU FGD'!$B$2</f>
        <v>Texas Woman's University</v>
      </c>
      <c r="C1526" s="163"/>
      <c r="D1526" s="397">
        <f>'TWU FGD'!$D$60</f>
        <v>72802640</v>
      </c>
      <c r="E1526" s="397">
        <f>'TWU FGD'!$E$60</f>
        <v>11125399</v>
      </c>
      <c r="F1526" s="397">
        <f>'TWU FGD'!$F$60</f>
        <v>0</v>
      </c>
      <c r="G1526" s="585">
        <f>'TWU FGD'!$G$60</f>
        <v>1449097</v>
      </c>
      <c r="H1526" s="585">
        <f>'TWU FGD'!$H$60</f>
        <v>0</v>
      </c>
      <c r="I1526" s="585">
        <f>'TWU FGD'!$I$60</f>
        <v>0</v>
      </c>
      <c r="J1526" s="585">
        <f>'TWU FGD'!$J$60</f>
        <v>0</v>
      </c>
      <c r="K1526" s="585">
        <f>'TWU FGD'!$K$60</f>
        <v>0</v>
      </c>
      <c r="L1526" s="397">
        <f>'TWU FGD'!$L$60</f>
        <v>0</v>
      </c>
      <c r="M1526" s="397">
        <f>'TWU FGD'!$M$60</f>
        <v>85377136</v>
      </c>
      <c r="N1526" s="401"/>
    </row>
    <row r="1527" spans="2:14" s="160" customFormat="1" ht="15" hidden="1" customHeight="1" outlineLevel="1">
      <c r="B1527" s="397" t="str">
        <f>'TXST FGD'!$B$2</f>
        <v>Texas State University</v>
      </c>
      <c r="C1527" s="163"/>
      <c r="D1527" s="397">
        <f>'TXST FGD'!$D$60</f>
        <v>162468101</v>
      </c>
      <c r="E1527" s="397">
        <f>'TXST FGD'!$E$60</f>
        <v>36430969</v>
      </c>
      <c r="F1527" s="397">
        <f>'TXST FGD'!$F$60</f>
        <v>0</v>
      </c>
      <c r="G1527" s="585">
        <f>'TXST FGD'!$G$60</f>
        <v>6099903</v>
      </c>
      <c r="H1527" s="585">
        <f>'TXST FGD'!$H$60</f>
        <v>0</v>
      </c>
      <c r="I1527" s="585">
        <f>'TXST FGD'!$I$60</f>
        <v>0</v>
      </c>
      <c r="J1527" s="585">
        <f>'TXST FGD'!$J$60</f>
        <v>0</v>
      </c>
      <c r="K1527" s="585">
        <f>'TXST FGD'!$K$60</f>
        <v>0</v>
      </c>
      <c r="L1527" s="397">
        <f>'TXST FGD'!$L$60</f>
        <v>0</v>
      </c>
      <c r="M1527" s="397">
        <f>'TXST FGD'!$M$60</f>
        <v>204998973</v>
      </c>
      <c r="N1527" s="401"/>
    </row>
    <row r="1528" spans="2:14" s="160" customFormat="1" ht="15" hidden="1" customHeight="1" outlineLevel="1">
      <c r="B1528" s="397" t="str">
        <f>'TYL FGD'!$B$2</f>
        <v>The University of Texas at Tyler</v>
      </c>
      <c r="C1528" s="163"/>
      <c r="D1528" s="397">
        <f>'TYL FGD'!$D$60</f>
        <v>28819570</v>
      </c>
      <c r="E1528" s="397">
        <f>'TYL FGD'!$E$60</f>
        <v>29782230</v>
      </c>
      <c r="F1528" s="397">
        <f>'TYL FGD'!$F$60</f>
        <v>0</v>
      </c>
      <c r="G1528" s="585">
        <f>'TYL FGD'!$G$60</f>
        <v>3020288</v>
      </c>
      <c r="H1528" s="585">
        <f>'TYL FGD'!$H$60</f>
        <v>0</v>
      </c>
      <c r="I1528" s="585">
        <f>'TYL FGD'!$I$60</f>
        <v>0</v>
      </c>
      <c r="J1528" s="585">
        <f>'TYL FGD'!$J$60</f>
        <v>0</v>
      </c>
      <c r="K1528" s="585">
        <f>'TYL FGD'!$K$60</f>
        <v>0</v>
      </c>
      <c r="L1528" s="397">
        <f>'TYL FGD'!$L$60</f>
        <v>0</v>
      </c>
      <c r="M1528" s="397">
        <f>'TYL FGD'!$M$60</f>
        <v>61622088</v>
      </c>
      <c r="N1528" s="401"/>
    </row>
    <row r="1529" spans="2:14" s="160" customFormat="1" ht="15" hidden="1" customHeight="1" outlineLevel="1">
      <c r="B1529" s="397" t="str">
        <f>'UH1 FGD'!$B$2</f>
        <v>University of Houston - Academic &amp; Health (A+H)</v>
      </c>
      <c r="C1529" s="163"/>
      <c r="D1529" s="397">
        <f>'UH1 FGD'!$D$60</f>
        <v>155539535</v>
      </c>
      <c r="E1529" s="397">
        <f>'UH1 FGD'!$E$60</f>
        <v>95215318</v>
      </c>
      <c r="F1529" s="397">
        <f>'UH1 FGD'!$F$60</f>
        <v>0</v>
      </c>
      <c r="G1529" s="585">
        <f>'UH1 FGD'!$G$60</f>
        <v>4313900</v>
      </c>
      <c r="H1529" s="585">
        <f>'UH1 FGD'!$H$60</f>
        <v>0</v>
      </c>
      <c r="I1529" s="585">
        <f>'UH1 FGD'!$I$60</f>
        <v>0</v>
      </c>
      <c r="J1529" s="585">
        <f>'UH1 FGD'!$J$60</f>
        <v>0</v>
      </c>
      <c r="K1529" s="585">
        <f>'UH1 FGD'!$K$60</f>
        <v>0</v>
      </c>
      <c r="L1529" s="397">
        <f>'UH1 FGD'!$L$60</f>
        <v>0</v>
      </c>
      <c r="M1529" s="397">
        <f>'UH1 FGD'!$M$60</f>
        <v>255068753</v>
      </c>
      <c r="N1529" s="401"/>
    </row>
    <row r="1530" spans="2:14" s="160" customFormat="1" ht="15" hidden="1" customHeight="1" outlineLevel="1">
      <c r="B1530" s="397" t="str">
        <f>'UHCL FGD'!$B$2</f>
        <v>University of Houston - Clear Lake</v>
      </c>
      <c r="C1530" s="163"/>
      <c r="D1530" s="397">
        <f>'UHCL FGD'!$D$60</f>
        <v>32803237</v>
      </c>
      <c r="E1530" s="397">
        <f>'UHCL FGD'!$E$60</f>
        <v>9532901</v>
      </c>
      <c r="F1530" s="397">
        <f>'UHCL FGD'!$F$60</f>
        <v>0</v>
      </c>
      <c r="G1530" s="585">
        <f>'UHCL FGD'!$G$60</f>
        <v>801514</v>
      </c>
      <c r="H1530" s="585">
        <f>'UHCL FGD'!$H$60</f>
        <v>0</v>
      </c>
      <c r="I1530" s="585">
        <f>'UHCL FGD'!$I$60</f>
        <v>0</v>
      </c>
      <c r="J1530" s="585">
        <f>'UHCL FGD'!$J$60</f>
        <v>0</v>
      </c>
      <c r="K1530" s="585">
        <f>'UHCL FGD'!$K$60</f>
        <v>0</v>
      </c>
      <c r="L1530" s="397">
        <f>'UHCL FGD'!$L$60</f>
        <v>0</v>
      </c>
      <c r="M1530" s="397">
        <f>'UHCL FGD'!$M$60</f>
        <v>43137652</v>
      </c>
      <c r="N1530" s="401"/>
    </row>
    <row r="1531" spans="2:14" s="160" customFormat="1" ht="15" hidden="1" customHeight="1" outlineLevel="1">
      <c r="B1531" s="397" t="str">
        <f>'UHD FGD'!$B$2</f>
        <v>University of Houston - Downtown</v>
      </c>
      <c r="C1531" s="163"/>
      <c r="D1531" s="397">
        <f>'UHD FGD'!$D$60</f>
        <v>34664000</v>
      </c>
      <c r="E1531" s="397">
        <f>'UHD FGD'!$E$60</f>
        <v>14932767</v>
      </c>
      <c r="F1531" s="397">
        <f>'UHD FGD'!$F$60</f>
        <v>0</v>
      </c>
      <c r="G1531" s="585">
        <f>'UHD FGD'!$G$60</f>
        <v>1306103</v>
      </c>
      <c r="H1531" s="585">
        <f>'UHD FGD'!$H$60</f>
        <v>0</v>
      </c>
      <c r="I1531" s="585">
        <f>'UHD FGD'!$I$60</f>
        <v>0</v>
      </c>
      <c r="J1531" s="585">
        <f>'UHD FGD'!$J$60</f>
        <v>0</v>
      </c>
      <c r="K1531" s="585">
        <f>'UHD FGD'!$K$60</f>
        <v>0</v>
      </c>
      <c r="L1531" s="397">
        <f>'UHD FGD'!$L$60</f>
        <v>0</v>
      </c>
      <c r="M1531" s="397">
        <f>'UHD FGD'!$M$60</f>
        <v>50902870</v>
      </c>
      <c r="N1531" s="401"/>
    </row>
    <row r="1532" spans="2:14" s="160" customFormat="1" ht="15" hidden="1" customHeight="1" outlineLevel="1">
      <c r="B1532" s="397" t="str">
        <f>'UHV FGD'!$B$2</f>
        <v>University of Houston - Victoria</v>
      </c>
      <c r="C1532" s="163"/>
      <c r="D1532" s="397">
        <f>'UHV FGD'!$D$60</f>
        <v>17713878</v>
      </c>
      <c r="E1532" s="397">
        <f>'UHV FGD'!$E$60</f>
        <v>2811946</v>
      </c>
      <c r="F1532" s="397">
        <f>'UHV FGD'!$F$60</f>
        <v>0</v>
      </c>
      <c r="G1532" s="585">
        <f>'UHV FGD'!$G$60</f>
        <v>73729</v>
      </c>
      <c r="H1532" s="585">
        <f>'UHV FGD'!$H$60</f>
        <v>0</v>
      </c>
      <c r="I1532" s="585">
        <f>'UHV FGD'!$I$60</f>
        <v>0</v>
      </c>
      <c r="J1532" s="585">
        <f>'UHV FGD'!$J$60</f>
        <v>0</v>
      </c>
      <c r="K1532" s="585">
        <f>'UHV FGD'!$K$60</f>
        <v>0</v>
      </c>
      <c r="L1532" s="397">
        <f>'UHV FGD'!$L$60</f>
        <v>0</v>
      </c>
      <c r="M1532" s="397">
        <f>'UHV FGD'!$M$60</f>
        <v>20599553</v>
      </c>
      <c r="N1532" s="401"/>
    </row>
    <row r="1533" spans="2:14" s="160" customFormat="1" ht="15" hidden="1" customHeight="1" outlineLevel="1">
      <c r="B1533" s="397" t="str">
        <f>'UNT FGD'!$B$2</f>
        <v>University of North Texas</v>
      </c>
      <c r="C1533" s="163"/>
      <c r="D1533" s="397">
        <f>'UNT FGD'!$D$60</f>
        <v>81117782</v>
      </c>
      <c r="E1533" s="397">
        <f>'UNT FGD'!$E$60</f>
        <v>85461000</v>
      </c>
      <c r="F1533" s="397">
        <f>'UNT FGD'!$F$60</f>
        <v>0</v>
      </c>
      <c r="G1533" s="585">
        <f>'UNT FGD'!$G$60</f>
        <v>8056571</v>
      </c>
      <c r="H1533" s="585">
        <f>'UNT FGD'!$H$60</f>
        <v>0</v>
      </c>
      <c r="I1533" s="585">
        <f>'UNT FGD'!$I$60</f>
        <v>0</v>
      </c>
      <c r="J1533" s="585">
        <f>'UNT FGD'!$J$60</f>
        <v>0</v>
      </c>
      <c r="K1533" s="585">
        <f>'UNT FGD'!$K$60</f>
        <v>0</v>
      </c>
      <c r="L1533" s="397">
        <f>'UNT FGD'!$L$60</f>
        <v>0</v>
      </c>
      <c r="M1533" s="397">
        <f>'UNT FGD'!$M$60</f>
        <v>174635353</v>
      </c>
      <c r="N1533" s="401"/>
    </row>
    <row r="1534" spans="2:14" s="160" customFormat="1" ht="15" hidden="1" customHeight="1" outlineLevel="1">
      <c r="B1534" s="397" t="str">
        <f>'UNTD FGD'!$B$2</f>
        <v>University of North Texas at Dallas</v>
      </c>
      <c r="C1534" s="163"/>
      <c r="D1534" s="397">
        <f>'UNTD FGD'!$D$60</f>
        <v>12400530</v>
      </c>
      <c r="E1534" s="397">
        <f>'UNTD FGD'!$E$60</f>
        <v>4514884</v>
      </c>
      <c r="F1534" s="397">
        <f>'UNTD FGD'!$F$60</f>
        <v>0</v>
      </c>
      <c r="G1534" s="585">
        <f>'UNTD FGD'!$G$60</f>
        <v>1153480</v>
      </c>
      <c r="H1534" s="585">
        <f>'UNTD FGD'!$H$60</f>
        <v>0</v>
      </c>
      <c r="I1534" s="585">
        <f>'UNTD FGD'!$I$60</f>
        <v>0</v>
      </c>
      <c r="J1534" s="585">
        <f>'UNTD FGD'!$J$60</f>
        <v>0</v>
      </c>
      <c r="K1534" s="585">
        <f>'UNTD FGD'!$K$60</f>
        <v>0</v>
      </c>
      <c r="L1534" s="397">
        <f>'UNTD FGD'!$L$60</f>
        <v>0</v>
      </c>
      <c r="M1534" s="397">
        <f>'UNTD FGD'!$M$60</f>
        <v>18068894</v>
      </c>
      <c r="N1534" s="401"/>
    </row>
    <row r="1535" spans="2:14" s="160" customFormat="1" ht="15" hidden="1" customHeight="1" outlineLevel="1">
      <c r="B1535" s="397" t="str">
        <f>'WTAMU FGD'!$B$2</f>
        <v>West Texas A&amp;M University</v>
      </c>
      <c r="C1535" s="163"/>
      <c r="D1535" s="397">
        <f>'WTAMU FGD'!$D$60</f>
        <v>27315248</v>
      </c>
      <c r="E1535" s="397">
        <f>'WTAMU FGD'!$E$60</f>
        <v>14664205</v>
      </c>
      <c r="F1535" s="397">
        <f>'WTAMU FGD'!$F$60</f>
        <v>0</v>
      </c>
      <c r="G1535" s="585">
        <f>'WTAMU FGD'!$G$60</f>
        <v>467479</v>
      </c>
      <c r="H1535" s="585">
        <f>'WTAMU FGD'!$H$60</f>
        <v>0</v>
      </c>
      <c r="I1535" s="585">
        <f>'WTAMU FGD'!$I$60</f>
        <v>0</v>
      </c>
      <c r="J1535" s="585">
        <f>'WTAMU FGD'!$J$60</f>
        <v>0</v>
      </c>
      <c r="K1535" s="585">
        <f>'WTAMU FGD'!$K$60</f>
        <v>0</v>
      </c>
      <c r="L1535" s="397">
        <f>'WTAMU FGD'!$L$60</f>
        <v>0</v>
      </c>
      <c r="M1535" s="397">
        <f>'WTAMU FGD'!$M$60</f>
        <v>42446932</v>
      </c>
      <c r="N1535" s="401"/>
    </row>
    <row r="1536" spans="2:14" s="160" customFormat="1" collapsed="1">
      <c r="B1536" s="160" t="s">
        <v>14</v>
      </c>
      <c r="D1536" s="390">
        <f t="shared" ref="D1536:M1536" si="40">SUM(D1500:D1535)</f>
        <v>2737307060</v>
      </c>
      <c r="E1536" s="390">
        <f t="shared" si="40"/>
        <v>1087088824</v>
      </c>
      <c r="F1536" s="390">
        <f t="shared" si="40"/>
        <v>0</v>
      </c>
      <c r="G1536" s="390">
        <f t="shared" si="40"/>
        <v>213009758</v>
      </c>
      <c r="H1536" s="390">
        <f t="shared" si="40"/>
        <v>0</v>
      </c>
      <c r="I1536" s="390">
        <f t="shared" si="40"/>
        <v>0</v>
      </c>
      <c r="J1536" s="390">
        <f t="shared" si="40"/>
        <v>0</v>
      </c>
      <c r="K1536" s="390">
        <f t="shared" si="40"/>
        <v>0</v>
      </c>
      <c r="L1536" s="390">
        <f t="shared" si="40"/>
        <v>-256984</v>
      </c>
      <c r="M1536" s="390">
        <f t="shared" si="40"/>
        <v>4037148658</v>
      </c>
      <c r="N1536" s="401"/>
    </row>
    <row r="1537" spans="2:14" s="160" customFormat="1" ht="12.75" hidden="1" customHeight="1" outlineLevel="1">
      <c r="B1537" s="674" t="str">
        <f>'ARL FGD'!$B$2</f>
        <v>The University of Texas at Arlington</v>
      </c>
      <c r="D1537" s="390">
        <f>'ARL FGD'!$D$61</f>
        <v>13784048</v>
      </c>
      <c r="E1537" s="390">
        <f>'ARL FGD'!$E$61</f>
        <v>43807801</v>
      </c>
      <c r="F1537" s="390">
        <f>'ARL FGD'!$F$61</f>
        <v>0</v>
      </c>
      <c r="G1537" s="390">
        <f>'ARL FGD'!$G$61</f>
        <v>45807116</v>
      </c>
      <c r="H1537" s="390">
        <f>'ARL FGD'!$H$61</f>
        <v>0</v>
      </c>
      <c r="I1537" s="390">
        <f>'ARL FGD'!$I$61</f>
        <v>0</v>
      </c>
      <c r="J1537" s="390">
        <f>'ARL FGD'!$J$61</f>
        <v>0</v>
      </c>
      <c r="K1537" s="390">
        <f>'ARL FGD'!$K$61</f>
        <v>0</v>
      </c>
      <c r="L1537" s="390">
        <f>'ARL FGD'!$L$61</f>
        <v>0</v>
      </c>
      <c r="M1537" s="390">
        <f>'ARL FGD'!$M$61</f>
        <v>103398965</v>
      </c>
      <c r="N1537" s="401"/>
    </row>
    <row r="1538" spans="2:14" s="160" customFormat="1" ht="12.75" hidden="1" customHeight="1" outlineLevel="1">
      <c r="B1538" s="674" t="str">
        <f>'ASU FGD'!$B$2</f>
        <v>Angelo State University</v>
      </c>
      <c r="D1538" s="390">
        <f>'ASU FGD'!$D$61</f>
        <v>437327</v>
      </c>
      <c r="E1538" s="390">
        <f>'ASU FGD'!$E$61</f>
        <v>68077</v>
      </c>
      <c r="F1538" s="390">
        <f>'ASU FGD'!$F$61</f>
        <v>0</v>
      </c>
      <c r="G1538" s="390">
        <f>'ASU FGD'!$G$61</f>
        <v>397254</v>
      </c>
      <c r="H1538" s="390">
        <f>'ASU FGD'!$H$61</f>
        <v>0</v>
      </c>
      <c r="I1538" s="390">
        <f>'ASU FGD'!$I$61</f>
        <v>0</v>
      </c>
      <c r="J1538" s="390">
        <f>'ASU FGD'!$J$61</f>
        <v>0</v>
      </c>
      <c r="K1538" s="390">
        <f>'ASU FGD'!$K$61</f>
        <v>0</v>
      </c>
      <c r="L1538" s="390">
        <f>'ASU FGD'!$L$61</f>
        <v>0</v>
      </c>
      <c r="M1538" s="390">
        <f>'ASU FGD'!$M$61</f>
        <v>902658</v>
      </c>
      <c r="N1538" s="401"/>
    </row>
    <row r="1539" spans="2:14" s="160" customFormat="1" ht="12.75" hidden="1" customHeight="1" outlineLevel="1">
      <c r="B1539" s="674" t="str">
        <f>'AUS1 FGD'!$B$2</f>
        <v>The University of Texas at Austin - Academic &amp; Health (A+H)</v>
      </c>
      <c r="D1539" s="390">
        <f>'AUS1 FGD'!$D$61</f>
        <v>46235207</v>
      </c>
      <c r="E1539" s="390">
        <f>'AUS1 FGD'!$E$61</f>
        <v>42304203</v>
      </c>
      <c r="F1539" s="390">
        <f>'AUS1 FGD'!$F$61</f>
        <v>0</v>
      </c>
      <c r="G1539" s="390">
        <f>'AUS1 FGD'!$G$61</f>
        <v>435036819</v>
      </c>
      <c r="H1539" s="390">
        <f>'AUS1 FGD'!$H$61</f>
        <v>0</v>
      </c>
      <c r="I1539" s="390">
        <f>'AUS1 FGD'!$I$61</f>
        <v>0</v>
      </c>
      <c r="J1539" s="390">
        <f>'AUS1 FGD'!$J$61</f>
        <v>0</v>
      </c>
      <c r="K1539" s="390">
        <f>'AUS1 FGD'!$K$61</f>
        <v>0</v>
      </c>
      <c r="L1539" s="390">
        <f>'AUS1 FGD'!$L$61</f>
        <v>0</v>
      </c>
      <c r="M1539" s="390">
        <f>'AUS1 FGD'!$M$61</f>
        <v>523576229</v>
      </c>
      <c r="N1539" s="401"/>
    </row>
    <row r="1540" spans="2:14" s="160" customFormat="1" ht="12.75" hidden="1" customHeight="1" outlineLevel="1">
      <c r="B1540" s="674" t="str">
        <f>'RGV1 FGD'!$B$2</f>
        <v>The University of Texas RGV - Academic &amp; Health (A+H)</v>
      </c>
      <c r="D1540" s="390">
        <f>'RGV1 FGD'!$D$61</f>
        <v>1010792</v>
      </c>
      <c r="E1540" s="390">
        <f>'RGV1 FGD'!$E$61</f>
        <v>19549694</v>
      </c>
      <c r="F1540" s="390">
        <f>'RGV1 FGD'!$F$61</f>
        <v>0</v>
      </c>
      <c r="G1540" s="390">
        <f>'RGV1 FGD'!$G$61</f>
        <v>7698724</v>
      </c>
      <c r="H1540" s="390">
        <f>'RGV1 FGD'!$H$61</f>
        <v>0</v>
      </c>
      <c r="I1540" s="390">
        <f>'RGV1 FGD'!$I$61</f>
        <v>0</v>
      </c>
      <c r="J1540" s="390">
        <f>'RGV1 FGD'!$J$61</f>
        <v>0</v>
      </c>
      <c r="K1540" s="390">
        <f>'RGV1 FGD'!$K$61</f>
        <v>0</v>
      </c>
      <c r="L1540" s="390">
        <f>'RGV1 FGD'!$L$61</f>
        <v>0</v>
      </c>
      <c r="M1540" s="390">
        <f>'RGV1 FGD'!$M$61</f>
        <v>28259210</v>
      </c>
      <c r="N1540" s="401"/>
    </row>
    <row r="1541" spans="2:14" s="160" customFormat="1" ht="12.75" hidden="1" customHeight="1" outlineLevel="1">
      <c r="B1541" s="674" t="str">
        <f>'DAL FGD'!$B$2</f>
        <v>The University of Texas at Dallas</v>
      </c>
      <c r="D1541" s="390">
        <f>'DAL FGD'!$D$61</f>
        <v>10979270</v>
      </c>
      <c r="E1541" s="390">
        <f>'DAL FGD'!$E$61</f>
        <v>23469001</v>
      </c>
      <c r="F1541" s="390">
        <f>'DAL FGD'!$F$61</f>
        <v>0</v>
      </c>
      <c r="G1541" s="390">
        <f>'DAL FGD'!$G$61</f>
        <v>64253870</v>
      </c>
      <c r="H1541" s="390">
        <f>'DAL FGD'!$H$61</f>
        <v>0</v>
      </c>
      <c r="I1541" s="390">
        <f>'DAL FGD'!$I$61</f>
        <v>0</v>
      </c>
      <c r="J1541" s="390">
        <f>'DAL FGD'!$J$61</f>
        <v>0</v>
      </c>
      <c r="K1541" s="390">
        <f>'DAL FGD'!$K$61</f>
        <v>0</v>
      </c>
      <c r="L1541" s="390">
        <f>'DAL FGD'!$L$61</f>
        <v>0</v>
      </c>
      <c r="M1541" s="390">
        <f>'DAL FGD'!$M$61</f>
        <v>98702141</v>
      </c>
      <c r="N1541" s="401"/>
    </row>
    <row r="1542" spans="2:14" s="160" customFormat="1" ht="12.75" hidden="1" customHeight="1" outlineLevel="1">
      <c r="B1542" s="674" t="str">
        <f>'E-P FGD'!$B$2</f>
        <v>The University of Texas at El Paso</v>
      </c>
      <c r="D1542" s="390">
        <f>'E-P FGD'!$D$61</f>
        <v>34255819</v>
      </c>
      <c r="E1542" s="390">
        <f>'E-P FGD'!$E$61</f>
        <v>8933823</v>
      </c>
      <c r="F1542" s="390">
        <f>'E-P FGD'!$F$61</f>
        <v>0</v>
      </c>
      <c r="G1542" s="390">
        <f>'E-P FGD'!$G$61</f>
        <v>46233967</v>
      </c>
      <c r="H1542" s="390">
        <f>'E-P FGD'!$H$61</f>
        <v>0</v>
      </c>
      <c r="I1542" s="390">
        <f>'E-P FGD'!$I$61</f>
        <v>0</v>
      </c>
      <c r="J1542" s="390">
        <f>'E-P FGD'!$J$61</f>
        <v>0</v>
      </c>
      <c r="K1542" s="390">
        <f>'E-P FGD'!$K$61</f>
        <v>0</v>
      </c>
      <c r="L1542" s="390">
        <f>'E-P FGD'!$L$61</f>
        <v>0</v>
      </c>
      <c r="M1542" s="390">
        <f>'E-P FGD'!$M$61</f>
        <v>89423609</v>
      </c>
      <c r="N1542" s="401"/>
    </row>
    <row r="1543" spans="2:14" s="160" customFormat="1" ht="12.75" hidden="1" customHeight="1" outlineLevel="1">
      <c r="B1543" s="674" t="str">
        <f>'LU FGD'!$B$2</f>
        <v xml:space="preserve">Lamar University </v>
      </c>
      <c r="D1543" s="390">
        <f>'LU FGD'!$D$61</f>
        <v>2553961</v>
      </c>
      <c r="E1543" s="390">
        <f>'LU FGD'!$E$61</f>
        <v>375374</v>
      </c>
      <c r="F1543" s="390">
        <f>'LU FGD'!$F$61</f>
        <v>0</v>
      </c>
      <c r="G1543" s="390">
        <f>'LU FGD'!$G$61</f>
        <v>1914498</v>
      </c>
      <c r="H1543" s="390">
        <f>'LU FGD'!$H$61</f>
        <v>0</v>
      </c>
      <c r="I1543" s="390">
        <f>'LU FGD'!$I$61</f>
        <v>0</v>
      </c>
      <c r="J1543" s="390">
        <f>'LU FGD'!$J$61</f>
        <v>0</v>
      </c>
      <c r="K1543" s="390">
        <f>'LU FGD'!$K$61</f>
        <v>0</v>
      </c>
      <c r="L1543" s="390">
        <f>'LU FGD'!$L$61</f>
        <v>0</v>
      </c>
      <c r="M1543" s="390">
        <f>'LU FGD'!$M$61</f>
        <v>4843833</v>
      </c>
      <c r="N1543" s="401"/>
    </row>
    <row r="1544" spans="2:14" s="160" customFormat="1" ht="12.75" hidden="1" customHeight="1" outlineLevel="1">
      <c r="B1544" s="674" t="str">
        <f>'MidWST FGD'!$B$2</f>
        <v>Midwestern State University</v>
      </c>
      <c r="D1544" s="390">
        <f>'MidWST FGD'!$D$61</f>
        <v>32586</v>
      </c>
      <c r="E1544" s="390">
        <f>'MidWST FGD'!$E$61</f>
        <v>295367</v>
      </c>
      <c r="F1544" s="390">
        <f>'MidWST FGD'!$F$61</f>
        <v>0</v>
      </c>
      <c r="G1544" s="390">
        <f>'MidWST FGD'!$G$61</f>
        <v>554210</v>
      </c>
      <c r="H1544" s="390">
        <f>'MidWST FGD'!$H$61</f>
        <v>0</v>
      </c>
      <c r="I1544" s="390">
        <f>'MidWST FGD'!$I$61</f>
        <v>0</v>
      </c>
      <c r="J1544" s="390">
        <f>'MidWST FGD'!$J$61</f>
        <v>0</v>
      </c>
      <c r="K1544" s="390">
        <f>'MidWST FGD'!$K$61</f>
        <v>0</v>
      </c>
      <c r="L1544" s="390">
        <f>'MidWST FGD'!$L$61</f>
        <v>0</v>
      </c>
      <c r="M1544" s="390">
        <f>'MidWST FGD'!$M$61</f>
        <v>882163</v>
      </c>
      <c r="N1544" s="401"/>
    </row>
    <row r="1545" spans="2:14" s="160" customFormat="1" ht="12.75" hidden="1" customHeight="1" outlineLevel="1">
      <c r="B1545" s="674" t="str">
        <f>'P-B FGD'!$B$2</f>
        <v>The University of Texas of the Permian Basin</v>
      </c>
      <c r="D1545" s="390">
        <f>'P-B FGD'!$D$61</f>
        <v>251547</v>
      </c>
      <c r="E1545" s="390">
        <f>'P-B FGD'!$E$61</f>
        <v>516329</v>
      </c>
      <c r="F1545" s="390">
        <f>'P-B FGD'!$F$61</f>
        <v>0</v>
      </c>
      <c r="G1545" s="390">
        <f>'P-B FGD'!$G$61</f>
        <v>2194709</v>
      </c>
      <c r="H1545" s="390">
        <f>'P-B FGD'!$H$61</f>
        <v>0</v>
      </c>
      <c r="I1545" s="390">
        <f>'P-B FGD'!$I$61</f>
        <v>0</v>
      </c>
      <c r="J1545" s="390">
        <f>'P-B FGD'!$J$61</f>
        <v>0</v>
      </c>
      <c r="K1545" s="390">
        <f>'P-B FGD'!$K$61</f>
        <v>0</v>
      </c>
      <c r="L1545" s="390">
        <f>'P-B FGD'!$L$61</f>
        <v>0</v>
      </c>
      <c r="M1545" s="390">
        <f>'P-B FGD'!$M$61</f>
        <v>2962585</v>
      </c>
      <c r="N1545" s="401"/>
    </row>
    <row r="1546" spans="2:14" s="160" customFormat="1" ht="12.75" hidden="1" customHeight="1" outlineLevel="1">
      <c r="B1546" s="674" t="str">
        <f>'PVAMU FGD'!$B$2</f>
        <v>Prairie View A&amp;M University</v>
      </c>
      <c r="D1546" s="390">
        <f>'PVAMU FGD'!$D$61</f>
        <v>8725942</v>
      </c>
      <c r="E1546" s="390">
        <f>'PVAMU FGD'!$E$61</f>
        <v>494737</v>
      </c>
      <c r="F1546" s="390">
        <f>'PVAMU FGD'!$F$61</f>
        <v>0</v>
      </c>
      <c r="G1546" s="390">
        <f>'PVAMU FGD'!$G$61</f>
        <v>8327703</v>
      </c>
      <c r="H1546" s="390">
        <f>'PVAMU FGD'!$H$61</f>
        <v>0</v>
      </c>
      <c r="I1546" s="390">
        <f>'PVAMU FGD'!$I$61</f>
        <v>0</v>
      </c>
      <c r="J1546" s="390">
        <f>'PVAMU FGD'!$J$61</f>
        <v>0</v>
      </c>
      <c r="K1546" s="390">
        <f>'PVAMU FGD'!$K$61</f>
        <v>0</v>
      </c>
      <c r="L1546" s="390">
        <f>'PVAMU FGD'!$L$61</f>
        <v>0</v>
      </c>
      <c r="M1546" s="390">
        <f>'PVAMU FGD'!$M$61</f>
        <v>17548382</v>
      </c>
      <c r="N1546" s="401"/>
    </row>
    <row r="1547" spans="2:14" s="160" customFormat="1" ht="12.75" hidden="1" customHeight="1" outlineLevel="1">
      <c r="B1547" s="674" t="str">
        <f>'S-A FGD'!$B$2</f>
        <v>The University of Texas at San Antonio</v>
      </c>
      <c r="D1547" s="390">
        <f>'S-A FGD'!$D$61</f>
        <v>49735463</v>
      </c>
      <c r="E1547" s="390">
        <f>'S-A FGD'!$E$61</f>
        <v>12473659</v>
      </c>
      <c r="F1547" s="390">
        <f>'S-A FGD'!$F$61</f>
        <v>0</v>
      </c>
      <c r="G1547" s="390">
        <f>'S-A FGD'!$G$61</f>
        <v>45980725</v>
      </c>
      <c r="H1547" s="390">
        <f>'S-A FGD'!$H$61</f>
        <v>0</v>
      </c>
      <c r="I1547" s="390">
        <f>'S-A FGD'!$I$61</f>
        <v>0</v>
      </c>
      <c r="J1547" s="390">
        <f>'S-A FGD'!$J$61</f>
        <v>0</v>
      </c>
      <c r="K1547" s="390">
        <f>'S-A FGD'!$K$61</f>
        <v>0</v>
      </c>
      <c r="L1547" s="390">
        <f>'S-A FGD'!$L$61</f>
        <v>0</v>
      </c>
      <c r="M1547" s="390">
        <f>'S-A FGD'!$M$61</f>
        <v>108189847</v>
      </c>
      <c r="N1547" s="401"/>
    </row>
    <row r="1548" spans="2:14" s="160" customFormat="1" ht="12.75" hidden="1" customHeight="1" outlineLevel="1">
      <c r="B1548" s="674" t="str">
        <f>'SFA FGD'!$B$2</f>
        <v>Stephen F. Austin State University</v>
      </c>
      <c r="D1548" s="390">
        <f>'SFA FGD'!$D$61</f>
        <v>917309</v>
      </c>
      <c r="E1548" s="390">
        <f>'SFA FGD'!$E$61</f>
        <v>1137843</v>
      </c>
      <c r="F1548" s="390">
        <f>'SFA FGD'!$F$61</f>
        <v>0</v>
      </c>
      <c r="G1548" s="390">
        <f>'SFA FGD'!$G$61</f>
        <v>1633249</v>
      </c>
      <c r="H1548" s="390">
        <f>'SFA FGD'!$H$61</f>
        <v>0</v>
      </c>
      <c r="I1548" s="390">
        <f>'SFA FGD'!$I$61</f>
        <v>0</v>
      </c>
      <c r="J1548" s="390">
        <f>'SFA FGD'!$J$61</f>
        <v>0</v>
      </c>
      <c r="K1548" s="390">
        <f>'SFA FGD'!$K$61</f>
        <v>0</v>
      </c>
      <c r="L1548" s="390">
        <f>'SFA FGD'!$L$61</f>
        <v>0</v>
      </c>
      <c r="M1548" s="390">
        <f>'SFA FGD'!$M$61</f>
        <v>3688401</v>
      </c>
      <c r="N1548" s="401"/>
    </row>
    <row r="1549" spans="2:14" s="160" customFormat="1" ht="12.75" hidden="1" customHeight="1" outlineLevel="1">
      <c r="B1549" s="674" t="str">
        <f>'shsu1 FGD'!$B$2</f>
        <v>Sam Houston State University - Academic &amp; Health (A+H)</v>
      </c>
      <c r="D1549" s="390">
        <f>'shsu1 FGD'!$D$61</f>
        <v>1101638</v>
      </c>
      <c r="E1549" s="390">
        <f>'shsu1 FGD'!$E$61</f>
        <v>3098813</v>
      </c>
      <c r="F1549" s="390">
        <f>'shsu1 FGD'!$F$61</f>
        <v>0</v>
      </c>
      <c r="G1549" s="390">
        <f>'shsu1 FGD'!$G$61</f>
        <v>6216462</v>
      </c>
      <c r="H1549" s="390">
        <f>'shsu1 FGD'!$H$61</f>
        <v>0</v>
      </c>
      <c r="I1549" s="390">
        <f>'shsu1 FGD'!$I$61</f>
        <v>0</v>
      </c>
      <c r="J1549" s="390">
        <f>'shsu1 FGD'!$J$61</f>
        <v>0</v>
      </c>
      <c r="K1549" s="390">
        <f>'shsu1 FGD'!$K$61</f>
        <v>0</v>
      </c>
      <c r="L1549" s="390">
        <f>'shsu1 FGD'!$L$61</f>
        <v>0</v>
      </c>
      <c r="M1549" s="390">
        <f>'shsu1 FGD'!$M$61</f>
        <v>10416913</v>
      </c>
      <c r="N1549" s="401"/>
    </row>
    <row r="1550" spans="2:14" s="160" customFormat="1" ht="12.75" hidden="1" customHeight="1" outlineLevel="1">
      <c r="B1550" s="674" t="str">
        <f>'SRSU FGD'!$B$2</f>
        <v>Sul Ross State University</v>
      </c>
      <c r="D1550" s="390">
        <f>'SRSU FGD'!$D$61</f>
        <v>479745</v>
      </c>
      <c r="E1550" s="390">
        <f>'SRSU FGD'!$E$61</f>
        <v>47086</v>
      </c>
      <c r="F1550" s="390">
        <f>'SRSU FGD'!$F$61</f>
        <v>0</v>
      </c>
      <c r="G1550" s="390">
        <f>'SRSU FGD'!$G$61</f>
        <v>1248949</v>
      </c>
      <c r="H1550" s="390">
        <f>'SRSU FGD'!$H$61</f>
        <v>0</v>
      </c>
      <c r="I1550" s="390">
        <f>'SRSU FGD'!$I$61</f>
        <v>0</v>
      </c>
      <c r="J1550" s="390">
        <f>'SRSU FGD'!$J$61</f>
        <v>0</v>
      </c>
      <c r="K1550" s="390">
        <f>'SRSU FGD'!$K$61</f>
        <v>0</v>
      </c>
      <c r="L1550" s="390">
        <f>'SRSU FGD'!$L$61</f>
        <v>0</v>
      </c>
      <c r="M1550" s="390">
        <f>'SRSU FGD'!$M$61</f>
        <v>1775780</v>
      </c>
      <c r="N1550" s="401"/>
    </row>
    <row r="1551" spans="2:14" s="160" customFormat="1" ht="12.75" hidden="1" customHeight="1" outlineLevel="1">
      <c r="B1551" s="674" t="str">
        <f>'TAMIU FGD'!$B$2</f>
        <v>Texas A&amp;M International University</v>
      </c>
      <c r="D1551" s="390">
        <f>'TAMIU FGD'!$D$61</f>
        <v>595708</v>
      </c>
      <c r="E1551" s="390">
        <f>'TAMIU FGD'!$E$61</f>
        <v>387225</v>
      </c>
      <c r="F1551" s="390">
        <f>'TAMIU FGD'!$F$61</f>
        <v>0</v>
      </c>
      <c r="G1551" s="390">
        <f>'TAMIU FGD'!$G$61</f>
        <v>1842373</v>
      </c>
      <c r="H1551" s="390">
        <f>'TAMIU FGD'!$H$61</f>
        <v>0</v>
      </c>
      <c r="I1551" s="390">
        <f>'TAMIU FGD'!$I$61</f>
        <v>0</v>
      </c>
      <c r="J1551" s="390">
        <f>'TAMIU FGD'!$J$61</f>
        <v>0</v>
      </c>
      <c r="K1551" s="390">
        <f>'TAMIU FGD'!$K$61</f>
        <v>0</v>
      </c>
      <c r="L1551" s="390">
        <f>'TAMIU FGD'!$L$61</f>
        <v>0</v>
      </c>
      <c r="M1551" s="390">
        <f>'TAMIU FGD'!$M$61</f>
        <v>2825306</v>
      </c>
      <c r="N1551" s="401"/>
    </row>
    <row r="1552" spans="2:14" s="160" customFormat="1" ht="12.75" hidden="1" customHeight="1" outlineLevel="1">
      <c r="B1552" s="674" t="str">
        <f>'TAMU FGD'!$B$2</f>
        <v>Texas A&amp;M University</v>
      </c>
      <c r="D1552" s="390">
        <f>'TAMU FGD'!$D$61</f>
        <v>19582372</v>
      </c>
      <c r="E1552" s="390">
        <f>'TAMU FGD'!$E$61</f>
        <v>62028241</v>
      </c>
      <c r="F1552" s="390">
        <f>'TAMU FGD'!$F$61</f>
        <v>0</v>
      </c>
      <c r="G1552" s="390">
        <f>'TAMU FGD'!$G$61</f>
        <v>143182899</v>
      </c>
      <c r="H1552" s="390">
        <f>'TAMU FGD'!$H$61</f>
        <v>0</v>
      </c>
      <c r="I1552" s="390">
        <f>'TAMU FGD'!$I$61</f>
        <v>0</v>
      </c>
      <c r="J1552" s="390">
        <f>'TAMU FGD'!$J$61</f>
        <v>62333</v>
      </c>
      <c r="K1552" s="390">
        <f>'TAMU FGD'!$K$61</f>
        <v>0</v>
      </c>
      <c r="L1552" s="390">
        <f>'TAMU FGD'!$L$61</f>
        <v>0</v>
      </c>
      <c r="M1552" s="390">
        <f>'TAMU FGD'!$M$61</f>
        <v>224855845</v>
      </c>
      <c r="N1552" s="401"/>
    </row>
    <row r="1553" spans="2:14" s="160" customFormat="1" ht="12.75" hidden="1" customHeight="1" outlineLevel="1">
      <c r="B1553" s="674" t="str">
        <f>'TAMUC FGD'!$B$2</f>
        <v>Texas A&amp;M University - Commerce</v>
      </c>
      <c r="D1553" s="390">
        <f>'TAMUC FGD'!$D$61</f>
        <v>931815</v>
      </c>
      <c r="E1553" s="390">
        <f>'TAMUC FGD'!$E$61</f>
        <v>830290</v>
      </c>
      <c r="F1553" s="390">
        <f>'TAMUC FGD'!$F$61</f>
        <v>0</v>
      </c>
      <c r="G1553" s="390">
        <f>'TAMUC FGD'!$G$61</f>
        <v>1288896</v>
      </c>
      <c r="H1553" s="390">
        <f>'TAMUC FGD'!$H$61</f>
        <v>0</v>
      </c>
      <c r="I1553" s="390">
        <f>'TAMUC FGD'!$I$61</f>
        <v>0</v>
      </c>
      <c r="J1553" s="390">
        <f>'TAMUC FGD'!$J$61</f>
        <v>1204</v>
      </c>
      <c r="K1553" s="390">
        <f>'TAMUC FGD'!$K$61</f>
        <v>0</v>
      </c>
      <c r="L1553" s="390">
        <f>'TAMUC FGD'!$L$61</f>
        <v>0</v>
      </c>
      <c r="M1553" s="390">
        <f>'TAMUC FGD'!$M$61</f>
        <v>3052205</v>
      </c>
      <c r="N1553" s="401"/>
    </row>
    <row r="1554" spans="2:14" s="160" customFormat="1" ht="12.75" hidden="1" customHeight="1" outlineLevel="1">
      <c r="B1554" s="674" t="str">
        <f>'TAMUCC FGD'!$B$2</f>
        <v>Texas A&amp;M University - Corpus Christi</v>
      </c>
      <c r="D1554" s="390">
        <f>'TAMUCC FGD'!$D$61</f>
        <v>5734599</v>
      </c>
      <c r="E1554" s="390">
        <f>'TAMUCC FGD'!$E$61</f>
        <v>2306414</v>
      </c>
      <c r="F1554" s="390">
        <f>'TAMUCC FGD'!$F$61</f>
        <v>0</v>
      </c>
      <c r="G1554" s="390">
        <f>'TAMUCC FGD'!$G$61</f>
        <v>17747211</v>
      </c>
      <c r="H1554" s="390">
        <f>'TAMUCC FGD'!$H$61</f>
        <v>0</v>
      </c>
      <c r="I1554" s="390">
        <f>'TAMUCC FGD'!$I$61</f>
        <v>0</v>
      </c>
      <c r="J1554" s="390">
        <f>'TAMUCC FGD'!$J$61</f>
        <v>0</v>
      </c>
      <c r="K1554" s="390">
        <f>'TAMUCC FGD'!$K$61</f>
        <v>0</v>
      </c>
      <c r="L1554" s="390">
        <f>'TAMUCC FGD'!$L$61</f>
        <v>0</v>
      </c>
      <c r="M1554" s="390">
        <f>'TAMUCC FGD'!$M$61</f>
        <v>25788224</v>
      </c>
      <c r="N1554" s="401"/>
    </row>
    <row r="1555" spans="2:14" s="160" customFormat="1" ht="12.75" hidden="1" customHeight="1" outlineLevel="1">
      <c r="B1555" s="674" t="str">
        <f>'TAMUCT FGD'!$B$2</f>
        <v>Texas A&amp;M University - Central Texas</v>
      </c>
      <c r="D1555" s="390">
        <f>'TAMUCT FGD'!$D$61</f>
        <v>292920</v>
      </c>
      <c r="E1555" s="390">
        <f>'TAMUCT FGD'!$E$61</f>
        <v>131619</v>
      </c>
      <c r="F1555" s="390">
        <f>'TAMUCT FGD'!$F$61</f>
        <v>0</v>
      </c>
      <c r="G1555" s="390">
        <f>'TAMUCT FGD'!$G$61</f>
        <v>697095</v>
      </c>
      <c r="H1555" s="390">
        <f>'TAMUCT FGD'!$H$61</f>
        <v>0</v>
      </c>
      <c r="I1555" s="390">
        <f>'TAMUCT FGD'!$I$61</f>
        <v>0</v>
      </c>
      <c r="J1555" s="390">
        <f>'TAMUCT FGD'!$J$61</f>
        <v>0</v>
      </c>
      <c r="K1555" s="390">
        <f>'TAMUCT FGD'!$K$61</f>
        <v>0</v>
      </c>
      <c r="L1555" s="390">
        <f>'TAMUCT FGD'!$L$61</f>
        <v>0</v>
      </c>
      <c r="M1555" s="390">
        <f>'TAMUCT FGD'!$M$61</f>
        <v>1121634</v>
      </c>
      <c r="N1555" s="401"/>
    </row>
    <row r="1556" spans="2:14" s="160" customFormat="1" ht="12.75" hidden="1" customHeight="1" outlineLevel="1">
      <c r="B1556" s="674" t="str">
        <f>'TAMUG FGD'!$B$2</f>
        <v>Texas A&amp;M University at Galveston</v>
      </c>
      <c r="D1556" s="390">
        <f>'TAMUG FGD'!$D$61</f>
        <v>887747</v>
      </c>
      <c r="E1556" s="390">
        <f>'TAMUG FGD'!$E$61</f>
        <v>1846647</v>
      </c>
      <c r="F1556" s="390">
        <f>'TAMUG FGD'!$F$61</f>
        <v>0</v>
      </c>
      <c r="G1556" s="390">
        <f>'TAMUG FGD'!$G$61</f>
        <v>3983504</v>
      </c>
      <c r="H1556" s="390">
        <f>'TAMUG FGD'!$H$61</f>
        <v>0</v>
      </c>
      <c r="I1556" s="390">
        <f>'TAMUG FGD'!$I$61</f>
        <v>0</v>
      </c>
      <c r="J1556" s="390">
        <f>'TAMUG FGD'!$J$61</f>
        <v>0</v>
      </c>
      <c r="K1556" s="390">
        <f>'TAMUG FGD'!$K$61</f>
        <v>0</v>
      </c>
      <c r="L1556" s="390">
        <f>'TAMUG FGD'!$L$61</f>
        <v>0</v>
      </c>
      <c r="M1556" s="390">
        <f>'TAMUG FGD'!$M$61</f>
        <v>6717898</v>
      </c>
      <c r="N1556" s="401"/>
    </row>
    <row r="1557" spans="2:14" s="160" customFormat="1" ht="12.75" hidden="1" customHeight="1" outlineLevel="1">
      <c r="B1557" s="674" t="str">
        <f>'TAMUK FGD'!$B$2</f>
        <v>Texas A&amp;M University - Kingsville</v>
      </c>
      <c r="D1557" s="390">
        <f>'TAMUK FGD'!$D$61</f>
        <v>2244412</v>
      </c>
      <c r="E1557" s="390">
        <f>'TAMUK FGD'!$E$61</f>
        <v>863068</v>
      </c>
      <c r="F1557" s="390">
        <f>'TAMUK FGD'!$F$61</f>
        <v>0</v>
      </c>
      <c r="G1557" s="390">
        <f>'TAMUK FGD'!$G$61</f>
        <v>16074460</v>
      </c>
      <c r="H1557" s="390">
        <f>'TAMUK FGD'!$H$61</f>
        <v>0</v>
      </c>
      <c r="I1557" s="390">
        <f>'TAMUK FGD'!$I$61</f>
        <v>0</v>
      </c>
      <c r="J1557" s="390">
        <f>'TAMUK FGD'!$J$61</f>
        <v>0</v>
      </c>
      <c r="K1557" s="390">
        <f>'TAMUK FGD'!$K$61</f>
        <v>0</v>
      </c>
      <c r="L1557" s="390">
        <f>'TAMUK FGD'!$L$61</f>
        <v>0</v>
      </c>
      <c r="M1557" s="390">
        <f>'TAMUK FGD'!$M$61</f>
        <v>19181940</v>
      </c>
      <c r="N1557" s="401"/>
    </row>
    <row r="1558" spans="2:14" s="160" customFormat="1" ht="12.75" hidden="1" customHeight="1" outlineLevel="1">
      <c r="B1558" s="674" t="str">
        <f>'TAMUSA FGD'!$B$2</f>
        <v>Texas A&amp;M University - San Antonio</v>
      </c>
      <c r="D1558" s="390">
        <f>'TAMUSA FGD'!$D$61</f>
        <v>0</v>
      </c>
      <c r="E1558" s="390">
        <f>'TAMUSA FGD'!$E$61</f>
        <v>828738</v>
      </c>
      <c r="F1558" s="390">
        <f>'TAMUSA FGD'!$F$61</f>
        <v>0</v>
      </c>
      <c r="G1558" s="390">
        <f>'TAMUSA FGD'!$G$61</f>
        <v>448093</v>
      </c>
      <c r="H1558" s="390">
        <f>'TAMUSA FGD'!$H$61</f>
        <v>0</v>
      </c>
      <c r="I1558" s="390">
        <f>'TAMUSA FGD'!$I$61</f>
        <v>0</v>
      </c>
      <c r="J1558" s="390">
        <f>'TAMUSA FGD'!$J$61</f>
        <v>0</v>
      </c>
      <c r="K1558" s="390">
        <f>'TAMUSA FGD'!$K$61</f>
        <v>0</v>
      </c>
      <c r="L1558" s="390">
        <f>'TAMUSA FGD'!$L$61</f>
        <v>0</v>
      </c>
      <c r="M1558" s="390">
        <f>'TAMUSA FGD'!$M$61</f>
        <v>1276831</v>
      </c>
      <c r="N1558" s="401"/>
    </row>
    <row r="1559" spans="2:14" s="160" customFormat="1" ht="12.75" hidden="1" customHeight="1" outlineLevel="1">
      <c r="B1559" s="674" t="str">
        <f>'TAMUT FGD'!$B$2</f>
        <v>Texas A&amp;M University - Texarkana</v>
      </c>
      <c r="D1559" s="390">
        <f>'TAMUT FGD'!$D$61</f>
        <v>766</v>
      </c>
      <c r="E1559" s="390">
        <f>'TAMUT FGD'!$E$61</f>
        <v>7635</v>
      </c>
      <c r="F1559" s="390">
        <f>'TAMUT FGD'!$F$61</f>
        <v>0</v>
      </c>
      <c r="G1559" s="390">
        <f>'TAMUT FGD'!$G$61</f>
        <v>28497</v>
      </c>
      <c r="H1559" s="390">
        <f>'TAMUT FGD'!$H$61</f>
        <v>0</v>
      </c>
      <c r="I1559" s="390">
        <f>'TAMUT FGD'!$I$61</f>
        <v>0</v>
      </c>
      <c r="J1559" s="390">
        <f>'TAMUT FGD'!$J$61</f>
        <v>0</v>
      </c>
      <c r="K1559" s="390">
        <f>'TAMUT FGD'!$K$61</f>
        <v>0</v>
      </c>
      <c r="L1559" s="390">
        <f>'TAMUT FGD'!$L$61</f>
        <v>0</v>
      </c>
      <c r="M1559" s="390">
        <f>'TAMUT FGD'!$M$61</f>
        <v>36898</v>
      </c>
      <c r="N1559" s="401"/>
    </row>
    <row r="1560" spans="2:14" s="160" customFormat="1" ht="12.75" hidden="1" customHeight="1" outlineLevel="1">
      <c r="B1560" s="674" t="str">
        <f>'TARLST FGD'!$B$2</f>
        <v>Tarleton State University</v>
      </c>
      <c r="D1560" s="390">
        <f>'TARLST FGD'!$D$61</f>
        <v>5974226</v>
      </c>
      <c r="E1560" s="390">
        <f>'TARLST FGD'!$E$61</f>
        <v>3156051</v>
      </c>
      <c r="F1560" s="390">
        <f>'TARLST FGD'!$F$61</f>
        <v>0</v>
      </c>
      <c r="G1560" s="390">
        <f>'TARLST FGD'!$G$61</f>
        <v>6477385</v>
      </c>
      <c r="H1560" s="390">
        <f>'TARLST FGD'!$H$61</f>
        <v>0</v>
      </c>
      <c r="I1560" s="390">
        <f>'TARLST FGD'!$I$61</f>
        <v>0</v>
      </c>
      <c r="J1560" s="390">
        <f>'TARLST FGD'!$J$61</f>
        <v>0</v>
      </c>
      <c r="K1560" s="390">
        <f>'TARLST FGD'!$K$61</f>
        <v>0</v>
      </c>
      <c r="L1560" s="390">
        <f>'TARLST FGD'!$L$61</f>
        <v>0</v>
      </c>
      <c r="M1560" s="390">
        <f>'TARLST FGD'!$M$61</f>
        <v>15607662</v>
      </c>
      <c r="N1560" s="401"/>
    </row>
    <row r="1561" spans="2:14" s="160" customFormat="1" ht="12.75" hidden="1" customHeight="1" outlineLevel="1">
      <c r="B1561" s="674" t="str">
        <f>'TSU FGD'!$B$2</f>
        <v>Texas Southern University</v>
      </c>
      <c r="D1561" s="390">
        <f>'TSU FGD'!$D$61</f>
        <v>533226</v>
      </c>
      <c r="E1561" s="390">
        <f>'TSU FGD'!$E$61</f>
        <v>0</v>
      </c>
      <c r="F1561" s="390">
        <f>'TSU FGD'!$F$61</f>
        <v>0</v>
      </c>
      <c r="G1561" s="390">
        <f>'TSU FGD'!$G$61</f>
        <v>4677662</v>
      </c>
      <c r="H1561" s="390">
        <f>'TSU FGD'!$H$61</f>
        <v>0</v>
      </c>
      <c r="I1561" s="390">
        <f>'TSU FGD'!$I$61</f>
        <v>0</v>
      </c>
      <c r="J1561" s="390">
        <f>'TSU FGD'!$J$61</f>
        <v>0</v>
      </c>
      <c r="K1561" s="390">
        <f>'TSU FGD'!$K$61</f>
        <v>0</v>
      </c>
      <c r="L1561" s="390">
        <f>'TSU FGD'!$L$61</f>
        <v>-59574</v>
      </c>
      <c r="M1561" s="390">
        <f>'TSU FGD'!$M$61</f>
        <v>5151314</v>
      </c>
      <c r="N1561" s="401"/>
    </row>
    <row r="1562" spans="2:14" s="160" customFormat="1" ht="12.75" hidden="1" customHeight="1" outlineLevel="1">
      <c r="B1562" s="674" t="str">
        <f>'TTU FGD'!$B$2</f>
        <v>Texas Tech University</v>
      </c>
      <c r="D1562" s="390">
        <f>'TTU FGD'!$D$61</f>
        <v>79893869</v>
      </c>
      <c r="E1562" s="390">
        <f>'TTU FGD'!$E$61</f>
        <v>30709971</v>
      </c>
      <c r="F1562" s="390">
        <f>'TTU FGD'!$F$61</f>
        <v>0</v>
      </c>
      <c r="G1562" s="390">
        <f>'TTU FGD'!$G$61</f>
        <v>53646654</v>
      </c>
      <c r="H1562" s="390">
        <f>'TTU FGD'!$H$61</f>
        <v>0</v>
      </c>
      <c r="I1562" s="390">
        <f>'TTU FGD'!$I$61</f>
        <v>0</v>
      </c>
      <c r="J1562" s="390">
        <f>'TTU FGD'!$J$61</f>
        <v>0</v>
      </c>
      <c r="K1562" s="390">
        <f>'TTU FGD'!$K$61</f>
        <v>0</v>
      </c>
      <c r="L1562" s="390">
        <f>'TTU FGD'!$L$61</f>
        <v>0</v>
      </c>
      <c r="M1562" s="390">
        <f>'TTU FGD'!$M$61</f>
        <v>164250494</v>
      </c>
      <c r="N1562" s="401"/>
    </row>
    <row r="1563" spans="2:14" s="160" customFormat="1" ht="12.75" hidden="1" customHeight="1" outlineLevel="1">
      <c r="B1563" s="674" t="str">
        <f>'TWU FGD'!$B$2</f>
        <v>Texas Woman's University</v>
      </c>
      <c r="D1563" s="390">
        <f>'TWU FGD'!$D$61</f>
        <v>1413119</v>
      </c>
      <c r="E1563" s="390">
        <f>'TWU FGD'!$E$61</f>
        <v>367040</v>
      </c>
      <c r="F1563" s="390">
        <f>'TWU FGD'!$F$61</f>
        <v>0</v>
      </c>
      <c r="G1563" s="390">
        <f>'TWU FGD'!$G$61</f>
        <v>2650066</v>
      </c>
      <c r="H1563" s="390">
        <f>'TWU FGD'!$H$61</f>
        <v>0</v>
      </c>
      <c r="I1563" s="390">
        <f>'TWU FGD'!$I$61</f>
        <v>0</v>
      </c>
      <c r="J1563" s="390">
        <f>'TWU FGD'!$J$61</f>
        <v>0</v>
      </c>
      <c r="K1563" s="390">
        <f>'TWU FGD'!$K$61</f>
        <v>0</v>
      </c>
      <c r="L1563" s="390">
        <f>'TWU FGD'!$L$61</f>
        <v>0</v>
      </c>
      <c r="M1563" s="390">
        <f>'TWU FGD'!$M$61</f>
        <v>4430225</v>
      </c>
      <c r="N1563" s="401"/>
    </row>
    <row r="1564" spans="2:14" s="160" customFormat="1" ht="12.75" hidden="1" customHeight="1" outlineLevel="1">
      <c r="B1564" s="674" t="str">
        <f>'TXST FGD'!$B$2</f>
        <v>Texas State University</v>
      </c>
      <c r="D1564" s="390">
        <f>'TXST FGD'!$D$61</f>
        <v>20171250</v>
      </c>
      <c r="E1564" s="390">
        <f>'TXST FGD'!$E$61</f>
        <v>9262347</v>
      </c>
      <c r="F1564" s="390">
        <f>'TXST FGD'!$F$61</f>
        <v>0</v>
      </c>
      <c r="G1564" s="390">
        <f>'TXST FGD'!$G$61</f>
        <v>33945434</v>
      </c>
      <c r="H1564" s="390">
        <f>'TXST FGD'!$H$61</f>
        <v>0</v>
      </c>
      <c r="I1564" s="390">
        <f>'TXST FGD'!$I$61</f>
        <v>0</v>
      </c>
      <c r="J1564" s="390">
        <f>'TXST FGD'!$J$61</f>
        <v>0</v>
      </c>
      <c r="K1564" s="390">
        <f>'TXST FGD'!$K$61</f>
        <v>0</v>
      </c>
      <c r="L1564" s="390">
        <f>'TXST FGD'!$L$61</f>
        <v>0</v>
      </c>
      <c r="M1564" s="390">
        <f>'TXST FGD'!$M$61</f>
        <v>63379031</v>
      </c>
      <c r="N1564" s="401"/>
    </row>
    <row r="1565" spans="2:14" s="160" customFormat="1" ht="12.75" hidden="1" customHeight="1" outlineLevel="1">
      <c r="B1565" s="674" t="str">
        <f>'TYL FGD'!$B$2</f>
        <v>The University of Texas at Tyler</v>
      </c>
      <c r="D1565" s="390">
        <f>'TYL FGD'!$D$61</f>
        <v>70757</v>
      </c>
      <c r="E1565" s="390">
        <f>'TYL FGD'!$E$61</f>
        <v>813474</v>
      </c>
      <c r="F1565" s="390">
        <f>'TYL FGD'!$F$61</f>
        <v>0</v>
      </c>
      <c r="G1565" s="390">
        <f>'TYL FGD'!$G$61</f>
        <v>1205917</v>
      </c>
      <c r="H1565" s="390">
        <f>'TYL FGD'!$H$61</f>
        <v>0</v>
      </c>
      <c r="I1565" s="390">
        <f>'TYL FGD'!$I$61</f>
        <v>0</v>
      </c>
      <c r="J1565" s="390">
        <f>'TYL FGD'!$J$61</f>
        <v>0</v>
      </c>
      <c r="K1565" s="390">
        <f>'TYL FGD'!$K$61</f>
        <v>0</v>
      </c>
      <c r="L1565" s="390">
        <f>'TYL FGD'!$L$61</f>
        <v>0</v>
      </c>
      <c r="M1565" s="390">
        <f>'TYL FGD'!$M$61</f>
        <v>2090148</v>
      </c>
      <c r="N1565" s="401"/>
    </row>
    <row r="1566" spans="2:14" s="160" customFormat="1" ht="12.75" hidden="1" customHeight="1" outlineLevel="1">
      <c r="B1566" s="674" t="str">
        <f>'UH1 FGD'!$B$2</f>
        <v>University of Houston - Academic &amp; Health (A+H)</v>
      </c>
      <c r="D1566" s="390">
        <f>'UH1 FGD'!$D$61</f>
        <v>17910376</v>
      </c>
      <c r="E1566" s="390">
        <f>'UH1 FGD'!$E$61</f>
        <v>46191424</v>
      </c>
      <c r="F1566" s="390">
        <f>'UH1 FGD'!$F$61</f>
        <v>0</v>
      </c>
      <c r="G1566" s="390">
        <f>'UH1 FGD'!$G$61</f>
        <v>104598178</v>
      </c>
      <c r="H1566" s="390">
        <f>'UH1 FGD'!$H$61</f>
        <v>0</v>
      </c>
      <c r="I1566" s="390">
        <f>'UH1 FGD'!$I$61</f>
        <v>0</v>
      </c>
      <c r="J1566" s="390">
        <f>'UH1 FGD'!$J$61</f>
        <v>0</v>
      </c>
      <c r="K1566" s="390">
        <f>'UH1 FGD'!$K$61</f>
        <v>0</v>
      </c>
      <c r="L1566" s="390">
        <f>'UH1 FGD'!$L$61</f>
        <v>0</v>
      </c>
      <c r="M1566" s="390">
        <f>'UH1 FGD'!$M$61</f>
        <v>168699978</v>
      </c>
      <c r="N1566" s="401"/>
    </row>
    <row r="1567" spans="2:14" s="160" customFormat="1" ht="12.75" hidden="1" customHeight="1" outlineLevel="1">
      <c r="B1567" s="674" t="str">
        <f>'UHCL FGD'!$B$2</f>
        <v>University of Houston - Clear Lake</v>
      </c>
      <c r="D1567" s="390">
        <f>'UHCL FGD'!$D$61</f>
        <v>436671</v>
      </c>
      <c r="E1567" s="390">
        <f>'UHCL FGD'!$E$61</f>
        <v>-43706</v>
      </c>
      <c r="F1567" s="390">
        <f>'UHCL FGD'!$F$61</f>
        <v>0</v>
      </c>
      <c r="G1567" s="390">
        <f>'UHCL FGD'!$G$61</f>
        <v>1323290</v>
      </c>
      <c r="H1567" s="390">
        <f>'UHCL FGD'!$H$61</f>
        <v>0</v>
      </c>
      <c r="I1567" s="390">
        <f>'UHCL FGD'!$I$61</f>
        <v>0</v>
      </c>
      <c r="J1567" s="390">
        <f>'UHCL FGD'!$J$61</f>
        <v>0</v>
      </c>
      <c r="K1567" s="390">
        <f>'UHCL FGD'!$K$61</f>
        <v>0</v>
      </c>
      <c r="L1567" s="390">
        <f>'UHCL FGD'!$L$61</f>
        <v>0</v>
      </c>
      <c r="M1567" s="390">
        <f>'UHCL FGD'!$M$61</f>
        <v>1716255</v>
      </c>
      <c r="N1567" s="401"/>
    </row>
    <row r="1568" spans="2:14" s="160" customFormat="1" ht="12.75" hidden="1" customHeight="1" outlineLevel="1">
      <c r="B1568" s="674" t="str">
        <f>'UHD FGD'!$B$2</f>
        <v>University of Houston - Downtown</v>
      </c>
      <c r="D1568" s="390">
        <f>'UHD FGD'!$D$61</f>
        <v>241704</v>
      </c>
      <c r="E1568" s="390">
        <f>'UHD FGD'!$E$61</f>
        <v>369226</v>
      </c>
      <c r="F1568" s="390">
        <f>'UHD FGD'!$F$61</f>
        <v>0</v>
      </c>
      <c r="G1568" s="390">
        <f>'UHD FGD'!$G$61</f>
        <v>1429385</v>
      </c>
      <c r="H1568" s="390">
        <f>'UHD FGD'!$H$61</f>
        <v>0</v>
      </c>
      <c r="I1568" s="390">
        <f>'UHD FGD'!$I$61</f>
        <v>0</v>
      </c>
      <c r="J1568" s="390">
        <f>'UHD FGD'!$J$61</f>
        <v>0</v>
      </c>
      <c r="K1568" s="390">
        <f>'UHD FGD'!$K$61</f>
        <v>0</v>
      </c>
      <c r="L1568" s="390">
        <f>'UHD FGD'!$L$61</f>
        <v>0</v>
      </c>
      <c r="M1568" s="390">
        <f>'UHD FGD'!$M$61</f>
        <v>2040315</v>
      </c>
      <c r="N1568" s="401"/>
    </row>
    <row r="1569" spans="2:14" s="160" customFormat="1" ht="12.75" hidden="1" customHeight="1" outlineLevel="1">
      <c r="B1569" s="674" t="str">
        <f>'UHV FGD'!$B$2</f>
        <v>University of Houston - Victoria</v>
      </c>
      <c r="D1569" s="390">
        <f>'UHV FGD'!$D$61</f>
        <v>274609</v>
      </c>
      <c r="E1569" s="390">
        <f>'UHV FGD'!$E$61</f>
        <v>7842</v>
      </c>
      <c r="F1569" s="390">
        <f>'UHV FGD'!$F$61</f>
        <v>0</v>
      </c>
      <c r="G1569" s="390">
        <f>'UHV FGD'!$G$61</f>
        <v>134416</v>
      </c>
      <c r="H1569" s="390">
        <f>'UHV FGD'!$H$61</f>
        <v>0</v>
      </c>
      <c r="I1569" s="390">
        <f>'UHV FGD'!$I$61</f>
        <v>0</v>
      </c>
      <c r="J1569" s="390">
        <f>'UHV FGD'!$J$61</f>
        <v>0</v>
      </c>
      <c r="K1569" s="390">
        <f>'UHV FGD'!$K$61</f>
        <v>0</v>
      </c>
      <c r="L1569" s="390">
        <f>'UHV FGD'!$L$61</f>
        <v>0</v>
      </c>
      <c r="M1569" s="390">
        <f>'UHV FGD'!$M$61</f>
        <v>416867</v>
      </c>
      <c r="N1569" s="401"/>
    </row>
    <row r="1570" spans="2:14" s="160" customFormat="1" ht="12.75" hidden="1" customHeight="1" outlineLevel="1">
      <c r="B1570" s="674" t="str">
        <f>'UNT FGD'!$B$2</f>
        <v>University of North Texas</v>
      </c>
      <c r="D1570" s="390">
        <f>'UNT FGD'!$D$61</f>
        <v>25366674</v>
      </c>
      <c r="E1570" s="390">
        <f>'UNT FGD'!$E$61</f>
        <v>25480239</v>
      </c>
      <c r="F1570" s="390">
        <f>'UNT FGD'!$F$61</f>
        <v>0</v>
      </c>
      <c r="G1570" s="390">
        <f>'UNT FGD'!$G$61</f>
        <v>19369157</v>
      </c>
      <c r="H1570" s="390">
        <f>'UNT FGD'!$H$61</f>
        <v>0</v>
      </c>
      <c r="I1570" s="390">
        <f>'UNT FGD'!$I$61</f>
        <v>0</v>
      </c>
      <c r="J1570" s="390">
        <f>'UNT FGD'!$J$61</f>
        <v>0</v>
      </c>
      <c r="K1570" s="390">
        <f>'UNT FGD'!$K$61</f>
        <v>0</v>
      </c>
      <c r="L1570" s="390">
        <f>'UNT FGD'!$L$61</f>
        <v>0</v>
      </c>
      <c r="M1570" s="390">
        <f>'UNT FGD'!$M$61</f>
        <v>70216070</v>
      </c>
      <c r="N1570" s="401"/>
    </row>
    <row r="1571" spans="2:14" s="160" customFormat="1" ht="12.75" hidden="1" customHeight="1" outlineLevel="1">
      <c r="B1571" s="674" t="str">
        <f>'UNTD FGD'!$B$2</f>
        <v>University of North Texas at Dallas</v>
      </c>
      <c r="D1571" s="390">
        <f>'UNTD FGD'!$D$61</f>
        <v>0</v>
      </c>
      <c r="E1571" s="390">
        <f>'UNTD FGD'!$E$61</f>
        <v>60604</v>
      </c>
      <c r="F1571" s="390">
        <f>'UNTD FGD'!$F$61</f>
        <v>0</v>
      </c>
      <c r="G1571" s="390">
        <f>'UNTD FGD'!$G$61</f>
        <v>52929</v>
      </c>
      <c r="H1571" s="390">
        <f>'UNTD FGD'!$H$61</f>
        <v>0</v>
      </c>
      <c r="I1571" s="390">
        <f>'UNTD FGD'!$I$61</f>
        <v>0</v>
      </c>
      <c r="J1571" s="390">
        <f>'UNTD FGD'!$J$61</f>
        <v>0</v>
      </c>
      <c r="K1571" s="390">
        <f>'UNTD FGD'!$K$61</f>
        <v>0</v>
      </c>
      <c r="L1571" s="390">
        <f>'UNTD FGD'!$L$61</f>
        <v>0</v>
      </c>
      <c r="M1571" s="390">
        <f>'UNTD FGD'!$M$61</f>
        <v>113533</v>
      </c>
      <c r="N1571" s="401"/>
    </row>
    <row r="1572" spans="2:14" s="160" customFormat="1" ht="12.75" hidden="1" customHeight="1" outlineLevel="1">
      <c r="B1572" s="674" t="str">
        <f>'WTAMU FGD'!$B$2</f>
        <v>West Texas A&amp;M University</v>
      </c>
      <c r="D1572" s="390">
        <f>'WTAMU FGD'!$D$61</f>
        <v>4328246</v>
      </c>
      <c r="E1572" s="390">
        <f>'WTAMU FGD'!$E$61</f>
        <v>981040</v>
      </c>
      <c r="F1572" s="390">
        <f>'WTAMU FGD'!$F$61</f>
        <v>0</v>
      </c>
      <c r="G1572" s="390">
        <f>'WTAMU FGD'!$G$61</f>
        <v>2384394</v>
      </c>
      <c r="H1572" s="390">
        <f>'WTAMU FGD'!$H$61</f>
        <v>0</v>
      </c>
      <c r="I1572" s="390">
        <f>'WTAMU FGD'!$I$61</f>
        <v>0</v>
      </c>
      <c r="J1572" s="390">
        <f>'WTAMU FGD'!$J$61</f>
        <v>0</v>
      </c>
      <c r="K1572" s="390">
        <f>'WTAMU FGD'!$K$61</f>
        <v>0</v>
      </c>
      <c r="L1572" s="390">
        <f>'WTAMU FGD'!$L$61</f>
        <v>0</v>
      </c>
      <c r="M1572" s="390">
        <f>'WTAMU FGD'!$M$61</f>
        <v>7693680</v>
      </c>
      <c r="N1572" s="401"/>
    </row>
    <row r="1573" spans="2:14" s="160" customFormat="1" collapsed="1">
      <c r="B1573" s="160" t="s">
        <v>15</v>
      </c>
      <c r="D1573" s="390">
        <f t="shared" ref="D1573:M1573" si="41">SUM(D1537:D1572)</f>
        <v>357385720</v>
      </c>
      <c r="E1573" s="390">
        <f t="shared" si="41"/>
        <v>343157236</v>
      </c>
      <c r="F1573" s="390">
        <f t="shared" si="41"/>
        <v>0</v>
      </c>
      <c r="G1573" s="390">
        <f t="shared" si="41"/>
        <v>1084686150</v>
      </c>
      <c r="H1573" s="390">
        <f t="shared" si="41"/>
        <v>0</v>
      </c>
      <c r="I1573" s="390">
        <f t="shared" si="41"/>
        <v>0</v>
      </c>
      <c r="J1573" s="390">
        <f t="shared" si="41"/>
        <v>63537</v>
      </c>
      <c r="K1573" s="390">
        <f t="shared" si="41"/>
        <v>0</v>
      </c>
      <c r="L1573" s="390">
        <f t="shared" si="41"/>
        <v>-59574</v>
      </c>
      <c r="M1573" s="390">
        <f t="shared" si="41"/>
        <v>1785233069</v>
      </c>
      <c r="N1573" s="401"/>
    </row>
    <row r="1574" spans="2:14" s="160" customFormat="1" ht="12.75" hidden="1" customHeight="1" outlineLevel="1">
      <c r="B1574" s="674" t="str">
        <f>'ARL FGD'!$B$2</f>
        <v>The University of Texas at Arlington</v>
      </c>
      <c r="D1574" s="390">
        <f>'ARL FGD'!$D$62</f>
        <v>305716</v>
      </c>
      <c r="E1574" s="390">
        <f>'ARL FGD'!$E$62</f>
        <v>1123621</v>
      </c>
      <c r="F1574" s="390">
        <f>'ARL FGD'!$F$62</f>
        <v>0</v>
      </c>
      <c r="G1574" s="390">
        <f>'ARL FGD'!$G$62</f>
        <v>10832469</v>
      </c>
      <c r="H1574" s="390">
        <f>'ARL FGD'!$H$62</f>
        <v>0</v>
      </c>
      <c r="I1574" s="390">
        <f>'ARL FGD'!$I$62</f>
        <v>0</v>
      </c>
      <c r="J1574" s="390">
        <f>'ARL FGD'!$J$62</f>
        <v>0</v>
      </c>
      <c r="K1574" s="390">
        <f>'ARL FGD'!$K$62</f>
        <v>0</v>
      </c>
      <c r="L1574" s="390">
        <f>'ARL FGD'!$L$62</f>
        <v>0</v>
      </c>
      <c r="M1574" s="390">
        <f>'ARL FGD'!$M$62</f>
        <v>12261806</v>
      </c>
      <c r="N1574" s="401"/>
    </row>
    <row r="1575" spans="2:14" s="160" customFormat="1" ht="12.75" hidden="1" customHeight="1" outlineLevel="1">
      <c r="B1575" s="674" t="str">
        <f>'ASU FGD'!$B$2</f>
        <v>Angelo State University</v>
      </c>
      <c r="D1575" s="390">
        <f>'ASU FGD'!$D$62</f>
        <v>168416</v>
      </c>
      <c r="E1575" s="390">
        <f>'ASU FGD'!$E$62</f>
        <v>458020</v>
      </c>
      <c r="F1575" s="390">
        <f>'ASU FGD'!$F$62</f>
        <v>0</v>
      </c>
      <c r="G1575" s="390">
        <f>'ASU FGD'!$G$62</f>
        <v>641498</v>
      </c>
      <c r="H1575" s="390">
        <f>'ASU FGD'!$H$62</f>
        <v>0</v>
      </c>
      <c r="I1575" s="390">
        <f>'ASU FGD'!$I$62</f>
        <v>0</v>
      </c>
      <c r="J1575" s="390">
        <f>'ASU FGD'!$J$62</f>
        <v>0</v>
      </c>
      <c r="K1575" s="390">
        <f>'ASU FGD'!$K$62</f>
        <v>0</v>
      </c>
      <c r="L1575" s="390">
        <f>'ASU FGD'!$L$62</f>
        <v>0</v>
      </c>
      <c r="M1575" s="390">
        <f>'ASU FGD'!$M$62</f>
        <v>1267934</v>
      </c>
      <c r="N1575" s="401"/>
    </row>
    <row r="1576" spans="2:14" s="160" customFormat="1" ht="12.75" hidden="1" customHeight="1" outlineLevel="1">
      <c r="B1576" s="674" t="str">
        <f>'AUS1 FGD'!$B$2</f>
        <v>The University of Texas at Austin - Academic &amp; Health (A+H)</v>
      </c>
      <c r="D1576" s="390">
        <f>'AUS1 FGD'!$D$62</f>
        <v>2997007</v>
      </c>
      <c r="E1576" s="390">
        <f>'AUS1 FGD'!$E$62</f>
        <v>44175101</v>
      </c>
      <c r="F1576" s="390">
        <f>'AUS1 FGD'!$F$62</f>
        <v>0</v>
      </c>
      <c r="G1576" s="390">
        <f>'AUS1 FGD'!$G$62</f>
        <v>46893945</v>
      </c>
      <c r="H1576" s="390">
        <f>'AUS1 FGD'!$H$62</f>
        <v>0</v>
      </c>
      <c r="I1576" s="390">
        <f>'AUS1 FGD'!$I$62</f>
        <v>0</v>
      </c>
      <c r="J1576" s="390">
        <f>'AUS1 FGD'!$J$62</f>
        <v>0</v>
      </c>
      <c r="K1576" s="390">
        <f>'AUS1 FGD'!$K$62</f>
        <v>0</v>
      </c>
      <c r="L1576" s="390">
        <f>'AUS1 FGD'!$L$62</f>
        <v>0</v>
      </c>
      <c r="M1576" s="390">
        <f>'AUS1 FGD'!$M$62</f>
        <v>94066053</v>
      </c>
      <c r="N1576" s="401"/>
    </row>
    <row r="1577" spans="2:14" s="160" customFormat="1" ht="12.75" hidden="1" customHeight="1" outlineLevel="1">
      <c r="B1577" s="674" t="str">
        <f>'RGV1 FGD'!$B$2</f>
        <v>The University of Texas RGV - Academic &amp; Health (A+H)</v>
      </c>
      <c r="D1577" s="390">
        <f>'RGV1 FGD'!$D$62</f>
        <v>2151444</v>
      </c>
      <c r="E1577" s="390">
        <f>'RGV1 FGD'!$E$62</f>
        <v>867935</v>
      </c>
      <c r="F1577" s="390">
        <f>'RGV1 FGD'!$F$62</f>
        <v>0</v>
      </c>
      <c r="G1577" s="390">
        <f>'RGV1 FGD'!$G$62</f>
        <v>4259052</v>
      </c>
      <c r="H1577" s="390">
        <f>'RGV1 FGD'!$H$62</f>
        <v>0</v>
      </c>
      <c r="I1577" s="390">
        <f>'RGV1 FGD'!$I$62</f>
        <v>0</v>
      </c>
      <c r="J1577" s="390">
        <f>'RGV1 FGD'!$J$62</f>
        <v>0</v>
      </c>
      <c r="K1577" s="390">
        <f>'RGV1 FGD'!$K$62</f>
        <v>0</v>
      </c>
      <c r="L1577" s="390">
        <f>'RGV1 FGD'!$L$62</f>
        <v>0</v>
      </c>
      <c r="M1577" s="390">
        <f>'RGV1 FGD'!$M$62</f>
        <v>7278431</v>
      </c>
      <c r="N1577" s="401"/>
    </row>
    <row r="1578" spans="2:14" s="160" customFormat="1" ht="12.75" hidden="1" customHeight="1" outlineLevel="1">
      <c r="B1578" s="674" t="str">
        <f>'DAL FGD'!$B$2</f>
        <v>The University of Texas at Dallas</v>
      </c>
      <c r="D1578" s="390">
        <f>'DAL FGD'!$D$62</f>
        <v>3440681</v>
      </c>
      <c r="E1578" s="390">
        <f>'DAL FGD'!$E$62</f>
        <v>3249392</v>
      </c>
      <c r="F1578" s="390">
        <f>'DAL FGD'!$F$62</f>
        <v>0</v>
      </c>
      <c r="G1578" s="390">
        <f>'DAL FGD'!$G$62</f>
        <v>2345016</v>
      </c>
      <c r="H1578" s="390">
        <f>'DAL FGD'!$H$62</f>
        <v>0</v>
      </c>
      <c r="I1578" s="390">
        <f>'DAL FGD'!$I$62</f>
        <v>0</v>
      </c>
      <c r="J1578" s="390">
        <f>'DAL FGD'!$J$62</f>
        <v>0</v>
      </c>
      <c r="K1578" s="390">
        <f>'DAL FGD'!$K$62</f>
        <v>0</v>
      </c>
      <c r="L1578" s="390">
        <f>'DAL FGD'!$L$62</f>
        <v>0</v>
      </c>
      <c r="M1578" s="390">
        <f>'DAL FGD'!$M$62</f>
        <v>9035089</v>
      </c>
      <c r="N1578" s="401"/>
    </row>
    <row r="1579" spans="2:14" s="160" customFormat="1" ht="12.75" hidden="1" customHeight="1" outlineLevel="1">
      <c r="B1579" s="674" t="str">
        <f>'E-P FGD'!$B$2</f>
        <v>The University of Texas at El Paso</v>
      </c>
      <c r="D1579" s="390">
        <f>'E-P FGD'!$D$62</f>
        <v>919555</v>
      </c>
      <c r="E1579" s="390">
        <f>'E-P FGD'!$E$62</f>
        <v>2870295</v>
      </c>
      <c r="F1579" s="390">
        <f>'E-P FGD'!$F$62</f>
        <v>0</v>
      </c>
      <c r="G1579" s="390">
        <f>'E-P FGD'!$G$62</f>
        <v>7584106</v>
      </c>
      <c r="H1579" s="390">
        <f>'E-P FGD'!$H$62</f>
        <v>0</v>
      </c>
      <c r="I1579" s="390">
        <f>'E-P FGD'!$I$62</f>
        <v>0</v>
      </c>
      <c r="J1579" s="390">
        <f>'E-P FGD'!$J$62</f>
        <v>0</v>
      </c>
      <c r="K1579" s="390">
        <f>'E-P FGD'!$K$62</f>
        <v>0</v>
      </c>
      <c r="L1579" s="390">
        <f>'E-P FGD'!$L$62</f>
        <v>0</v>
      </c>
      <c r="M1579" s="390">
        <f>'E-P FGD'!$M$62</f>
        <v>11373956</v>
      </c>
      <c r="N1579" s="401"/>
    </row>
    <row r="1580" spans="2:14" s="160" customFormat="1" ht="12.75" hidden="1" customHeight="1" outlineLevel="1">
      <c r="B1580" s="674" t="str">
        <f>'LU FGD'!$B$2</f>
        <v xml:space="preserve">Lamar University </v>
      </c>
      <c r="D1580" s="390">
        <f>'LU FGD'!$D$62</f>
        <v>183214</v>
      </c>
      <c r="E1580" s="390">
        <f>'LU FGD'!$E$62</f>
        <v>442775</v>
      </c>
      <c r="F1580" s="390">
        <f>'LU FGD'!$F$62</f>
        <v>0</v>
      </c>
      <c r="G1580" s="390">
        <f>'LU FGD'!$G$62</f>
        <v>678671</v>
      </c>
      <c r="H1580" s="390">
        <f>'LU FGD'!$H$62</f>
        <v>0</v>
      </c>
      <c r="I1580" s="390">
        <f>'LU FGD'!$I$62</f>
        <v>0</v>
      </c>
      <c r="J1580" s="390">
        <f>'LU FGD'!$J$62</f>
        <v>0</v>
      </c>
      <c r="K1580" s="390">
        <f>'LU FGD'!$K$62</f>
        <v>0</v>
      </c>
      <c r="L1580" s="390">
        <f>'LU FGD'!$L$62</f>
        <v>0</v>
      </c>
      <c r="M1580" s="390">
        <f>'LU FGD'!$M$62</f>
        <v>1304660</v>
      </c>
      <c r="N1580" s="401"/>
    </row>
    <row r="1581" spans="2:14" s="160" customFormat="1" ht="12.75" hidden="1" customHeight="1" outlineLevel="1">
      <c r="B1581" s="674" t="str">
        <f>'MidWST FGD'!$B$2</f>
        <v>Midwestern State University</v>
      </c>
      <c r="D1581" s="390">
        <f>'MidWST FGD'!$D$62</f>
        <v>126059</v>
      </c>
      <c r="E1581" s="390">
        <f>'MidWST FGD'!$E$62</f>
        <v>403166</v>
      </c>
      <c r="F1581" s="390">
        <f>'MidWST FGD'!$F$62</f>
        <v>0</v>
      </c>
      <c r="G1581" s="390">
        <f>'MidWST FGD'!$G$62</f>
        <v>552077</v>
      </c>
      <c r="H1581" s="390">
        <f>'MidWST FGD'!$H$62</f>
        <v>0</v>
      </c>
      <c r="I1581" s="390">
        <f>'MidWST FGD'!$I$62</f>
        <v>0</v>
      </c>
      <c r="J1581" s="390">
        <f>'MidWST FGD'!$J$62</f>
        <v>0</v>
      </c>
      <c r="K1581" s="390">
        <f>'MidWST FGD'!$K$62</f>
        <v>0</v>
      </c>
      <c r="L1581" s="390">
        <f>'MidWST FGD'!$L$62</f>
        <v>0</v>
      </c>
      <c r="M1581" s="390">
        <f>'MidWST FGD'!$M$62</f>
        <v>1081302</v>
      </c>
      <c r="N1581" s="401"/>
    </row>
    <row r="1582" spans="2:14" s="160" customFormat="1" ht="12.75" hidden="1" customHeight="1" outlineLevel="1">
      <c r="B1582" s="674" t="str">
        <f>'P-B FGD'!$B$2</f>
        <v>The University of Texas of the Permian Basin</v>
      </c>
      <c r="D1582" s="390">
        <f>'P-B FGD'!$D$62</f>
        <v>414363</v>
      </c>
      <c r="E1582" s="390">
        <f>'P-B FGD'!$E$62</f>
        <v>695041</v>
      </c>
      <c r="F1582" s="390">
        <f>'P-B FGD'!$F$62</f>
        <v>0</v>
      </c>
      <c r="G1582" s="390">
        <f>'P-B FGD'!$G$62</f>
        <v>2839002</v>
      </c>
      <c r="H1582" s="390">
        <f>'P-B FGD'!$H$62</f>
        <v>0</v>
      </c>
      <c r="I1582" s="390">
        <f>'P-B FGD'!$I$62</f>
        <v>0</v>
      </c>
      <c r="J1582" s="390">
        <f>'P-B FGD'!$J$62</f>
        <v>0</v>
      </c>
      <c r="K1582" s="390">
        <f>'P-B FGD'!$K$62</f>
        <v>0</v>
      </c>
      <c r="L1582" s="390">
        <f>'P-B FGD'!$L$62</f>
        <v>0</v>
      </c>
      <c r="M1582" s="390">
        <f>'P-B FGD'!$M$62</f>
        <v>3948406</v>
      </c>
      <c r="N1582" s="401"/>
    </row>
    <row r="1583" spans="2:14" s="160" customFormat="1" ht="12.75" hidden="1" customHeight="1" outlineLevel="1">
      <c r="B1583" s="674" t="str">
        <f>'PVAMU FGD'!$B$2</f>
        <v>Prairie View A&amp;M University</v>
      </c>
      <c r="D1583" s="390">
        <f>'PVAMU FGD'!$D$62</f>
        <v>2523802</v>
      </c>
      <c r="E1583" s="390">
        <f>'PVAMU FGD'!$E$62</f>
        <v>46289</v>
      </c>
      <c r="F1583" s="390">
        <f>'PVAMU FGD'!$F$62</f>
        <v>0</v>
      </c>
      <c r="G1583" s="390">
        <f>'PVAMU FGD'!$G$62</f>
        <v>5192687</v>
      </c>
      <c r="H1583" s="390">
        <f>'PVAMU FGD'!$H$62</f>
        <v>0</v>
      </c>
      <c r="I1583" s="390">
        <f>'PVAMU FGD'!$I$62</f>
        <v>0</v>
      </c>
      <c r="J1583" s="390">
        <f>'PVAMU FGD'!$J$62</f>
        <v>0</v>
      </c>
      <c r="K1583" s="390">
        <f>'PVAMU FGD'!$K$62</f>
        <v>0</v>
      </c>
      <c r="L1583" s="390">
        <f>'PVAMU FGD'!$L$62</f>
        <v>0</v>
      </c>
      <c r="M1583" s="390">
        <f>'PVAMU FGD'!$M$62</f>
        <v>7762778</v>
      </c>
      <c r="N1583" s="401"/>
    </row>
    <row r="1584" spans="2:14" s="160" customFormat="1" ht="12.75" hidden="1" customHeight="1" outlineLevel="1">
      <c r="B1584" s="674" t="str">
        <f>'S-A FGD'!$B$2</f>
        <v>The University of Texas at San Antonio</v>
      </c>
      <c r="D1584" s="390">
        <f>'S-A FGD'!$D$62</f>
        <v>5869420</v>
      </c>
      <c r="E1584" s="390">
        <f>'S-A FGD'!$E$62</f>
        <v>1176611</v>
      </c>
      <c r="F1584" s="390">
        <f>'S-A FGD'!$F$62</f>
        <v>0</v>
      </c>
      <c r="G1584" s="390">
        <f>'S-A FGD'!$G$62</f>
        <v>8616686</v>
      </c>
      <c r="H1584" s="390">
        <f>'S-A FGD'!$H$62</f>
        <v>0</v>
      </c>
      <c r="I1584" s="390">
        <f>'S-A FGD'!$I$62</f>
        <v>0</v>
      </c>
      <c r="J1584" s="390">
        <f>'S-A FGD'!$J$62</f>
        <v>0</v>
      </c>
      <c r="K1584" s="390">
        <f>'S-A FGD'!$K$62</f>
        <v>0</v>
      </c>
      <c r="L1584" s="390">
        <f>'S-A FGD'!$L$62</f>
        <v>0</v>
      </c>
      <c r="M1584" s="390">
        <f>'S-A FGD'!$M$62</f>
        <v>15662717</v>
      </c>
      <c r="N1584" s="401"/>
    </row>
    <row r="1585" spans="2:14" s="160" customFormat="1" ht="12.75" hidden="1" customHeight="1" outlineLevel="1">
      <c r="B1585" s="674" t="str">
        <f>'SFA FGD'!$B$2</f>
        <v>Stephen F. Austin State University</v>
      </c>
      <c r="D1585" s="390">
        <f>'SFA FGD'!$D$62</f>
        <v>93387</v>
      </c>
      <c r="E1585" s="390">
        <f>'SFA FGD'!$E$62</f>
        <v>581489</v>
      </c>
      <c r="F1585" s="390">
        <f>'SFA FGD'!$F$62</f>
        <v>0</v>
      </c>
      <c r="G1585" s="390">
        <f>'SFA FGD'!$G$62</f>
        <v>746951</v>
      </c>
      <c r="H1585" s="390">
        <f>'SFA FGD'!$H$62</f>
        <v>0</v>
      </c>
      <c r="I1585" s="390">
        <f>'SFA FGD'!$I$62</f>
        <v>0</v>
      </c>
      <c r="J1585" s="390">
        <f>'SFA FGD'!$J$62</f>
        <v>0</v>
      </c>
      <c r="K1585" s="390">
        <f>'SFA FGD'!$K$62</f>
        <v>0</v>
      </c>
      <c r="L1585" s="390">
        <f>'SFA FGD'!$L$62</f>
        <v>0</v>
      </c>
      <c r="M1585" s="390">
        <f>'SFA FGD'!$M$62</f>
        <v>1421827</v>
      </c>
      <c r="N1585" s="401"/>
    </row>
    <row r="1586" spans="2:14" s="160" customFormat="1" ht="12.75" hidden="1" customHeight="1" outlineLevel="1">
      <c r="B1586" s="674" t="str">
        <f>'shsu1 FGD'!$B$2</f>
        <v>Sam Houston State University - Academic &amp; Health (A+H)</v>
      </c>
      <c r="D1586" s="390">
        <f>'shsu1 FGD'!$D$62</f>
        <v>5229583</v>
      </c>
      <c r="E1586" s="390">
        <f>'shsu1 FGD'!$E$62</f>
        <v>360592</v>
      </c>
      <c r="F1586" s="390">
        <f>'shsu1 FGD'!$F$62</f>
        <v>1802</v>
      </c>
      <c r="G1586" s="390">
        <f>'shsu1 FGD'!$G$62</f>
        <v>10553906</v>
      </c>
      <c r="H1586" s="390">
        <f>'shsu1 FGD'!$H$62</f>
        <v>0</v>
      </c>
      <c r="I1586" s="390">
        <f>'shsu1 FGD'!$I$62</f>
        <v>0</v>
      </c>
      <c r="J1586" s="390">
        <f>'shsu1 FGD'!$J$62</f>
        <v>0</v>
      </c>
      <c r="K1586" s="390">
        <f>'shsu1 FGD'!$K$62</f>
        <v>0</v>
      </c>
      <c r="L1586" s="390">
        <f>'shsu1 FGD'!$L$62</f>
        <v>0</v>
      </c>
      <c r="M1586" s="390">
        <f>'shsu1 FGD'!$M$62</f>
        <v>16145883</v>
      </c>
      <c r="N1586" s="401"/>
    </row>
    <row r="1587" spans="2:14" s="160" customFormat="1" ht="12.75" hidden="1" customHeight="1" outlineLevel="1">
      <c r="B1587" s="674" t="str">
        <f>'SRSU FGD'!$B$2</f>
        <v>Sul Ross State University</v>
      </c>
      <c r="D1587" s="390">
        <f>'SRSU FGD'!$D$62</f>
        <v>483159</v>
      </c>
      <c r="E1587" s="390">
        <f>'SRSU FGD'!$E$62</f>
        <v>16241</v>
      </c>
      <c r="F1587" s="390">
        <f>'SRSU FGD'!$F$62</f>
        <v>11459</v>
      </c>
      <c r="G1587" s="390">
        <f>'SRSU FGD'!$G$62</f>
        <v>870856</v>
      </c>
      <c r="H1587" s="390">
        <f>'SRSU FGD'!$H$62</f>
        <v>0</v>
      </c>
      <c r="I1587" s="390">
        <f>'SRSU FGD'!$I$62</f>
        <v>0</v>
      </c>
      <c r="J1587" s="390">
        <f>'SRSU FGD'!$J$62</f>
        <v>0</v>
      </c>
      <c r="K1587" s="390">
        <f>'SRSU FGD'!$K$62</f>
        <v>0</v>
      </c>
      <c r="L1587" s="390">
        <f>'SRSU FGD'!$L$62</f>
        <v>0</v>
      </c>
      <c r="M1587" s="390">
        <f>'SRSU FGD'!$M$62</f>
        <v>1381715</v>
      </c>
      <c r="N1587" s="401"/>
    </row>
    <row r="1588" spans="2:14" s="160" customFormat="1" ht="12.75" hidden="1" customHeight="1" outlineLevel="1">
      <c r="B1588" s="674" t="str">
        <f>'TAMIU FGD'!$B$2</f>
        <v>Texas A&amp;M International University</v>
      </c>
      <c r="D1588" s="390">
        <f>'TAMIU FGD'!$D$62</f>
        <v>628734</v>
      </c>
      <c r="E1588" s="390">
        <f>'TAMIU FGD'!$E$62</f>
        <v>560859</v>
      </c>
      <c r="F1588" s="390">
        <f>'TAMIU FGD'!$F$62</f>
        <v>0</v>
      </c>
      <c r="G1588" s="390">
        <f>'TAMIU FGD'!$G$62</f>
        <v>1173275</v>
      </c>
      <c r="H1588" s="390">
        <f>'TAMIU FGD'!$H$62</f>
        <v>0</v>
      </c>
      <c r="I1588" s="390">
        <f>'TAMIU FGD'!$I$62</f>
        <v>0</v>
      </c>
      <c r="J1588" s="390">
        <f>'TAMIU FGD'!$J$62</f>
        <v>0</v>
      </c>
      <c r="K1588" s="390">
        <f>'TAMIU FGD'!$K$62</f>
        <v>0</v>
      </c>
      <c r="L1588" s="390">
        <f>'TAMIU FGD'!$L$62</f>
        <v>0</v>
      </c>
      <c r="M1588" s="390">
        <f>'TAMIU FGD'!$M$62</f>
        <v>2362868</v>
      </c>
      <c r="N1588" s="401"/>
    </row>
    <row r="1589" spans="2:14" s="160" customFormat="1" ht="12.75" hidden="1" customHeight="1" outlineLevel="1">
      <c r="B1589" s="674" t="str">
        <f>'TAMU FGD'!$B$2</f>
        <v>Texas A&amp;M University</v>
      </c>
      <c r="D1589" s="390">
        <f>'TAMU FGD'!$D$62</f>
        <v>2701597</v>
      </c>
      <c r="E1589" s="390">
        <f>'TAMU FGD'!$E$62</f>
        <v>11305833</v>
      </c>
      <c r="F1589" s="390">
        <f>'TAMU FGD'!$F$62</f>
        <v>0</v>
      </c>
      <c r="G1589" s="390">
        <f>'TAMU FGD'!$G$62</f>
        <v>4742560</v>
      </c>
      <c r="H1589" s="390">
        <f>'TAMU FGD'!$H$62</f>
        <v>0</v>
      </c>
      <c r="I1589" s="390">
        <f>'TAMU FGD'!$I$62</f>
        <v>0</v>
      </c>
      <c r="J1589" s="390">
        <f>'TAMU FGD'!$J$62</f>
        <v>0</v>
      </c>
      <c r="K1589" s="390">
        <f>'TAMU FGD'!$K$62</f>
        <v>0</v>
      </c>
      <c r="L1589" s="390">
        <f>'TAMU FGD'!$L$62</f>
        <v>0</v>
      </c>
      <c r="M1589" s="390">
        <f>'TAMU FGD'!$M$62</f>
        <v>18749990</v>
      </c>
      <c r="N1589" s="401"/>
    </row>
    <row r="1590" spans="2:14" s="160" customFormat="1" ht="12.75" hidden="1" customHeight="1" outlineLevel="1">
      <c r="B1590" s="674" t="str">
        <f>'TAMUC FGD'!$B$2</f>
        <v>Texas A&amp;M University - Commerce</v>
      </c>
      <c r="D1590" s="390">
        <f>'TAMUC FGD'!$D$62</f>
        <v>938449</v>
      </c>
      <c r="E1590" s="390">
        <f>'TAMUC FGD'!$E$62</f>
        <v>260898</v>
      </c>
      <c r="F1590" s="390">
        <f>'TAMUC FGD'!$F$62</f>
        <v>0</v>
      </c>
      <c r="G1590" s="390">
        <f>'TAMUC FGD'!$G$62</f>
        <v>386537</v>
      </c>
      <c r="H1590" s="390">
        <f>'TAMUC FGD'!$H$62</f>
        <v>0</v>
      </c>
      <c r="I1590" s="390">
        <f>'TAMUC FGD'!$I$62</f>
        <v>0</v>
      </c>
      <c r="J1590" s="390">
        <f>'TAMUC FGD'!$J$62</f>
        <v>0</v>
      </c>
      <c r="K1590" s="390">
        <f>'TAMUC FGD'!$K$62</f>
        <v>0</v>
      </c>
      <c r="L1590" s="390">
        <f>'TAMUC FGD'!$L$62</f>
        <v>0</v>
      </c>
      <c r="M1590" s="390">
        <f>'TAMUC FGD'!$M$62</f>
        <v>1585884</v>
      </c>
      <c r="N1590" s="401"/>
    </row>
    <row r="1591" spans="2:14" s="160" customFormat="1" ht="12.75" hidden="1" customHeight="1" outlineLevel="1">
      <c r="B1591" s="674" t="str">
        <f>'TAMUCC FGD'!$B$2</f>
        <v>Texas A&amp;M University - Corpus Christi</v>
      </c>
      <c r="D1591" s="390">
        <f>'TAMUCC FGD'!$D$62</f>
        <v>870306</v>
      </c>
      <c r="E1591" s="390">
        <f>'TAMUCC FGD'!$E$62</f>
        <v>634102</v>
      </c>
      <c r="F1591" s="390">
        <f>'TAMUCC FGD'!$F$62</f>
        <v>0</v>
      </c>
      <c r="G1591" s="390">
        <f>'TAMUCC FGD'!$G$62</f>
        <v>1028424</v>
      </c>
      <c r="H1591" s="390">
        <f>'TAMUCC FGD'!$H$62</f>
        <v>0</v>
      </c>
      <c r="I1591" s="390">
        <f>'TAMUCC FGD'!$I$62</f>
        <v>0</v>
      </c>
      <c r="J1591" s="390">
        <f>'TAMUCC FGD'!$J$62</f>
        <v>0</v>
      </c>
      <c r="K1591" s="390">
        <f>'TAMUCC FGD'!$K$62</f>
        <v>0</v>
      </c>
      <c r="L1591" s="390">
        <f>'TAMUCC FGD'!$L$62</f>
        <v>0</v>
      </c>
      <c r="M1591" s="390">
        <f>'TAMUCC FGD'!$M$62</f>
        <v>2532832</v>
      </c>
      <c r="N1591" s="401"/>
    </row>
    <row r="1592" spans="2:14" s="160" customFormat="1" ht="12.75" hidden="1" customHeight="1" outlineLevel="1">
      <c r="B1592" s="674" t="str">
        <f>'TAMUCT FGD'!$B$2</f>
        <v>Texas A&amp;M University - Central Texas</v>
      </c>
      <c r="D1592" s="390">
        <f>'TAMUCT FGD'!$D$62</f>
        <v>0</v>
      </c>
      <c r="E1592" s="390">
        <f>'TAMUCT FGD'!$E$62</f>
        <v>5839</v>
      </c>
      <c r="F1592" s="390">
        <f>'TAMUCT FGD'!$F$62</f>
        <v>0</v>
      </c>
      <c r="G1592" s="390">
        <f>'TAMUCT FGD'!$G$62</f>
        <v>16595</v>
      </c>
      <c r="H1592" s="390">
        <f>'TAMUCT FGD'!$H$62</f>
        <v>0</v>
      </c>
      <c r="I1592" s="390">
        <f>'TAMUCT FGD'!$I$62</f>
        <v>0</v>
      </c>
      <c r="J1592" s="390">
        <f>'TAMUCT FGD'!$J$62</f>
        <v>0</v>
      </c>
      <c r="K1592" s="390">
        <f>'TAMUCT FGD'!$K$62</f>
        <v>0</v>
      </c>
      <c r="L1592" s="390">
        <f>'TAMUCT FGD'!$L$62</f>
        <v>0</v>
      </c>
      <c r="M1592" s="390">
        <f>'TAMUCT FGD'!$M$62</f>
        <v>22434</v>
      </c>
      <c r="N1592" s="401"/>
    </row>
    <row r="1593" spans="2:14" s="160" customFormat="1" ht="12.75" hidden="1" customHeight="1" outlineLevel="1">
      <c r="B1593" s="674" t="str">
        <f>'TAMUG FGD'!$B$2</f>
        <v>Texas A&amp;M University at Galveston</v>
      </c>
      <c r="D1593" s="390">
        <f>'TAMUG FGD'!$D$62</f>
        <v>0</v>
      </c>
      <c r="E1593" s="390">
        <f>'TAMUG FGD'!$E$62</f>
        <v>911634</v>
      </c>
      <c r="F1593" s="390">
        <f>'TAMUG FGD'!$F$62</f>
        <v>0</v>
      </c>
      <c r="G1593" s="390">
        <f>'TAMUG FGD'!$G$62</f>
        <v>2356</v>
      </c>
      <c r="H1593" s="390">
        <f>'TAMUG FGD'!$H$62</f>
        <v>0</v>
      </c>
      <c r="I1593" s="390">
        <f>'TAMUG FGD'!$I$62</f>
        <v>0</v>
      </c>
      <c r="J1593" s="390">
        <f>'TAMUG FGD'!$J$62</f>
        <v>0</v>
      </c>
      <c r="K1593" s="390">
        <f>'TAMUG FGD'!$K$62</f>
        <v>0</v>
      </c>
      <c r="L1593" s="390">
        <f>'TAMUG FGD'!$L$62</f>
        <v>0</v>
      </c>
      <c r="M1593" s="390">
        <f>'TAMUG FGD'!$M$62</f>
        <v>913990</v>
      </c>
      <c r="N1593" s="401"/>
    </row>
    <row r="1594" spans="2:14" s="160" customFormat="1" ht="12.75" hidden="1" customHeight="1" outlineLevel="1">
      <c r="B1594" s="674" t="str">
        <f>'TAMUK FGD'!$B$2</f>
        <v>Texas A&amp;M University - Kingsville</v>
      </c>
      <c r="D1594" s="390">
        <f>'TAMUK FGD'!$D$62</f>
        <v>37359</v>
      </c>
      <c r="E1594" s="390">
        <f>'TAMUK FGD'!$E$62</f>
        <v>252997</v>
      </c>
      <c r="F1594" s="390">
        <f>'TAMUK FGD'!$F$62</f>
        <v>0</v>
      </c>
      <c r="G1594" s="390">
        <f>'TAMUK FGD'!$G$62</f>
        <v>92244</v>
      </c>
      <c r="H1594" s="390">
        <f>'TAMUK FGD'!$H$62</f>
        <v>0</v>
      </c>
      <c r="I1594" s="390">
        <f>'TAMUK FGD'!$I$62</f>
        <v>0</v>
      </c>
      <c r="J1594" s="390">
        <f>'TAMUK FGD'!$J$62</f>
        <v>0</v>
      </c>
      <c r="K1594" s="390">
        <f>'TAMUK FGD'!$K$62</f>
        <v>0</v>
      </c>
      <c r="L1594" s="390">
        <f>'TAMUK FGD'!$L$62</f>
        <v>0</v>
      </c>
      <c r="M1594" s="390">
        <f>'TAMUK FGD'!$M$62</f>
        <v>382600</v>
      </c>
      <c r="N1594" s="401"/>
    </row>
    <row r="1595" spans="2:14" s="160" customFormat="1" ht="12.75" hidden="1" customHeight="1" outlineLevel="1">
      <c r="B1595" s="674" t="str">
        <f>'TAMUSA FGD'!$B$2</f>
        <v>Texas A&amp;M University - San Antonio</v>
      </c>
      <c r="D1595" s="390">
        <f>'TAMUSA FGD'!$D$62</f>
        <v>0</v>
      </c>
      <c r="E1595" s="390">
        <f>'TAMUSA FGD'!$E$62</f>
        <v>191445</v>
      </c>
      <c r="F1595" s="390">
        <f>'TAMUSA FGD'!$F$62</f>
        <v>0</v>
      </c>
      <c r="G1595" s="390">
        <f>'TAMUSA FGD'!$G$62</f>
        <v>0</v>
      </c>
      <c r="H1595" s="390">
        <f>'TAMUSA FGD'!$H$62</f>
        <v>0</v>
      </c>
      <c r="I1595" s="390">
        <f>'TAMUSA FGD'!$I$62</f>
        <v>0</v>
      </c>
      <c r="J1595" s="390">
        <f>'TAMUSA FGD'!$J$62</f>
        <v>0</v>
      </c>
      <c r="K1595" s="390">
        <f>'TAMUSA FGD'!$K$62</f>
        <v>0</v>
      </c>
      <c r="L1595" s="390">
        <f>'TAMUSA FGD'!$L$62</f>
        <v>0</v>
      </c>
      <c r="M1595" s="390">
        <f>'TAMUSA FGD'!$M$62</f>
        <v>191445</v>
      </c>
      <c r="N1595" s="401"/>
    </row>
    <row r="1596" spans="2:14" s="160" customFormat="1" ht="12.75" hidden="1" customHeight="1" outlineLevel="1">
      <c r="B1596" s="674" t="str">
        <f>'TAMUT FGD'!$B$2</f>
        <v>Texas A&amp;M University - Texarkana</v>
      </c>
      <c r="D1596" s="390">
        <f>'TAMUT FGD'!$D$62</f>
        <v>0</v>
      </c>
      <c r="E1596" s="390">
        <f>'TAMUT FGD'!$E$62</f>
        <v>0</v>
      </c>
      <c r="F1596" s="390">
        <f>'TAMUT FGD'!$F$62</f>
        <v>0</v>
      </c>
      <c r="G1596" s="390">
        <f>'TAMUT FGD'!$G$62</f>
        <v>9026</v>
      </c>
      <c r="H1596" s="390">
        <f>'TAMUT FGD'!$H$62</f>
        <v>0</v>
      </c>
      <c r="I1596" s="390">
        <f>'TAMUT FGD'!$I$62</f>
        <v>0</v>
      </c>
      <c r="J1596" s="390">
        <f>'TAMUT FGD'!$J$62</f>
        <v>0</v>
      </c>
      <c r="K1596" s="390">
        <f>'TAMUT FGD'!$K$62</f>
        <v>0</v>
      </c>
      <c r="L1596" s="390">
        <f>'TAMUT FGD'!$L$62</f>
        <v>0</v>
      </c>
      <c r="M1596" s="390">
        <f>'TAMUT FGD'!$M$62</f>
        <v>9026</v>
      </c>
      <c r="N1596" s="401"/>
    </row>
    <row r="1597" spans="2:14" s="160" customFormat="1" ht="12.75" hidden="1" customHeight="1" outlineLevel="1">
      <c r="B1597" s="674" t="str">
        <f>'TARLST FGD'!$B$2</f>
        <v>Tarleton State University</v>
      </c>
      <c r="D1597" s="390">
        <f>'TARLST FGD'!$D$62</f>
        <v>418108</v>
      </c>
      <c r="E1597" s="390">
        <f>'TARLST FGD'!$E$62</f>
        <v>1030094</v>
      </c>
      <c r="F1597" s="390">
        <f>'TARLST FGD'!$F$62</f>
        <v>0</v>
      </c>
      <c r="G1597" s="390">
        <f>'TARLST FGD'!$G$62</f>
        <v>794567</v>
      </c>
      <c r="H1597" s="390">
        <f>'TARLST FGD'!$H$62</f>
        <v>0</v>
      </c>
      <c r="I1597" s="390">
        <f>'TARLST FGD'!$I$62</f>
        <v>0</v>
      </c>
      <c r="J1597" s="390">
        <f>'TARLST FGD'!$J$62</f>
        <v>0</v>
      </c>
      <c r="K1597" s="390">
        <f>'TARLST FGD'!$K$62</f>
        <v>0</v>
      </c>
      <c r="L1597" s="390">
        <f>'TARLST FGD'!$L$62</f>
        <v>0</v>
      </c>
      <c r="M1597" s="390">
        <f>'TARLST FGD'!$M$62</f>
        <v>2242769</v>
      </c>
      <c r="N1597" s="401"/>
    </row>
    <row r="1598" spans="2:14" s="160" customFormat="1" ht="12.75" hidden="1" customHeight="1" outlineLevel="1">
      <c r="B1598" s="674" t="str">
        <f>'TSU FGD'!$B$2</f>
        <v>Texas Southern University</v>
      </c>
      <c r="D1598" s="390">
        <f>'TSU FGD'!$D$62</f>
        <v>325933</v>
      </c>
      <c r="E1598" s="390">
        <f>'TSU FGD'!$E$62</f>
        <v>303496</v>
      </c>
      <c r="F1598" s="390">
        <f>'TSU FGD'!$F$62</f>
        <v>0</v>
      </c>
      <c r="G1598" s="390">
        <f>'TSU FGD'!$G$62</f>
        <v>1380192</v>
      </c>
      <c r="H1598" s="390">
        <f>'TSU FGD'!$H$62</f>
        <v>0</v>
      </c>
      <c r="I1598" s="390">
        <f>'TSU FGD'!$I$62</f>
        <v>0</v>
      </c>
      <c r="J1598" s="390">
        <f>'TSU FGD'!$J$62</f>
        <v>0</v>
      </c>
      <c r="K1598" s="390">
        <f>'TSU FGD'!$K$62</f>
        <v>0</v>
      </c>
      <c r="L1598" s="390">
        <f>'TSU FGD'!$L$62</f>
        <v>0</v>
      </c>
      <c r="M1598" s="390">
        <f>'TSU FGD'!$M$62</f>
        <v>2009621</v>
      </c>
      <c r="N1598" s="401"/>
    </row>
    <row r="1599" spans="2:14" s="160" customFormat="1" ht="12.75" hidden="1" customHeight="1" outlineLevel="1">
      <c r="B1599" s="674" t="str">
        <f>'TTU FGD'!$B$2</f>
        <v>Texas Tech University</v>
      </c>
      <c r="D1599" s="390">
        <f>'TTU FGD'!$D$62</f>
        <v>2202406</v>
      </c>
      <c r="E1599" s="390">
        <f>'TTU FGD'!$E$62</f>
        <v>4690792</v>
      </c>
      <c r="F1599" s="390">
        <f>'TTU FGD'!$F$62</f>
        <v>8000</v>
      </c>
      <c r="G1599" s="390">
        <f>'TTU FGD'!$G$62</f>
        <v>9782248</v>
      </c>
      <c r="H1599" s="390">
        <f>'TTU FGD'!$H$62</f>
        <v>0</v>
      </c>
      <c r="I1599" s="390">
        <f>'TTU FGD'!$I$62</f>
        <v>0</v>
      </c>
      <c r="J1599" s="390">
        <f>'TTU FGD'!$J$62</f>
        <v>0</v>
      </c>
      <c r="K1599" s="390">
        <f>'TTU FGD'!$K$62</f>
        <v>0</v>
      </c>
      <c r="L1599" s="390">
        <f>'TTU FGD'!$L$62</f>
        <v>0</v>
      </c>
      <c r="M1599" s="390">
        <f>'TTU FGD'!$M$62</f>
        <v>16683446</v>
      </c>
      <c r="N1599" s="401"/>
    </row>
    <row r="1600" spans="2:14" s="160" customFormat="1" ht="12.75" hidden="1" customHeight="1" outlineLevel="1">
      <c r="B1600" s="674" t="str">
        <f>'TWU FGD'!$B$2</f>
        <v>Texas Woman's University</v>
      </c>
      <c r="D1600" s="390">
        <f>'TWU FGD'!$D$62</f>
        <v>843</v>
      </c>
      <c r="E1600" s="390">
        <f>'TWU FGD'!$E$62</f>
        <v>35013</v>
      </c>
      <c r="F1600" s="390">
        <f>'TWU FGD'!$F$62</f>
        <v>0</v>
      </c>
      <c r="G1600" s="390">
        <f>'TWU FGD'!$G$62</f>
        <v>705305</v>
      </c>
      <c r="H1600" s="390">
        <f>'TWU FGD'!$H$62</f>
        <v>0</v>
      </c>
      <c r="I1600" s="390">
        <f>'TWU FGD'!$I$62</f>
        <v>0</v>
      </c>
      <c r="J1600" s="390">
        <f>'TWU FGD'!$J$62</f>
        <v>0</v>
      </c>
      <c r="K1600" s="390">
        <f>'TWU FGD'!$K$62</f>
        <v>0</v>
      </c>
      <c r="L1600" s="390">
        <f>'TWU FGD'!$L$62</f>
        <v>0</v>
      </c>
      <c r="M1600" s="390">
        <f>'TWU FGD'!$M$62</f>
        <v>741161</v>
      </c>
      <c r="N1600" s="401"/>
    </row>
    <row r="1601" spans="2:14" s="160" customFormat="1" ht="12.75" hidden="1" customHeight="1" outlineLevel="1">
      <c r="B1601" s="674" t="str">
        <f>'TXST FGD'!$B$2</f>
        <v>Texas State University</v>
      </c>
      <c r="D1601" s="390">
        <f>'TXST FGD'!$D$62</f>
        <v>424520</v>
      </c>
      <c r="E1601" s="390">
        <f>'TXST FGD'!$E$62</f>
        <v>847790</v>
      </c>
      <c r="F1601" s="390">
        <f>'TXST FGD'!$F$62</f>
        <v>0</v>
      </c>
      <c r="G1601" s="390">
        <f>'TXST FGD'!$G$62</f>
        <v>182036</v>
      </c>
      <c r="H1601" s="390">
        <f>'TXST FGD'!$H$62</f>
        <v>0</v>
      </c>
      <c r="I1601" s="390">
        <f>'TXST FGD'!$I$62</f>
        <v>0</v>
      </c>
      <c r="J1601" s="390">
        <f>'TXST FGD'!$J$62</f>
        <v>0</v>
      </c>
      <c r="K1601" s="390">
        <f>'TXST FGD'!$K$62</f>
        <v>0</v>
      </c>
      <c r="L1601" s="390">
        <f>'TXST FGD'!$L$62</f>
        <v>0</v>
      </c>
      <c r="M1601" s="390">
        <f>'TXST FGD'!$M$62</f>
        <v>1454346</v>
      </c>
      <c r="N1601" s="401"/>
    </row>
    <row r="1602" spans="2:14" s="160" customFormat="1" ht="12.75" hidden="1" customHeight="1" outlineLevel="1">
      <c r="B1602" s="674" t="str">
        <f>'TYL FGD'!$B$2</f>
        <v>The University of Texas at Tyler</v>
      </c>
      <c r="D1602" s="390">
        <f>'TYL FGD'!$D$62</f>
        <v>0</v>
      </c>
      <c r="E1602" s="390">
        <f>'TYL FGD'!$E$62</f>
        <v>759291</v>
      </c>
      <c r="F1602" s="390">
        <f>'TYL FGD'!$F$62</f>
        <v>0</v>
      </c>
      <c r="G1602" s="390">
        <f>'TYL FGD'!$G$62</f>
        <v>736695</v>
      </c>
      <c r="H1602" s="390">
        <f>'TYL FGD'!$H$62</f>
        <v>0</v>
      </c>
      <c r="I1602" s="390">
        <f>'TYL FGD'!$I$62</f>
        <v>0</v>
      </c>
      <c r="J1602" s="390">
        <f>'TYL FGD'!$J$62</f>
        <v>0</v>
      </c>
      <c r="K1602" s="390">
        <f>'TYL FGD'!$K$62</f>
        <v>0</v>
      </c>
      <c r="L1602" s="390">
        <f>'TYL FGD'!$L$62</f>
        <v>0</v>
      </c>
      <c r="M1602" s="390">
        <f>'TYL FGD'!$M$62</f>
        <v>1495986</v>
      </c>
      <c r="N1602" s="401"/>
    </row>
    <row r="1603" spans="2:14" s="160" customFormat="1" ht="12.75" hidden="1" customHeight="1" outlineLevel="1">
      <c r="B1603" s="674" t="str">
        <f>'UH1 FGD'!$B$2</f>
        <v>University of Houston - Academic &amp; Health (A+H)</v>
      </c>
      <c r="D1603" s="390">
        <f>'UH1 FGD'!$D$62</f>
        <v>2871893</v>
      </c>
      <c r="E1603" s="390">
        <f>'UH1 FGD'!$E$62</f>
        <v>12302619</v>
      </c>
      <c r="F1603" s="390">
        <f>'UH1 FGD'!$F$62</f>
        <v>0</v>
      </c>
      <c r="G1603" s="390">
        <f>'UH1 FGD'!$G$62</f>
        <v>20772349</v>
      </c>
      <c r="H1603" s="390">
        <f>'UH1 FGD'!$H$62</f>
        <v>0</v>
      </c>
      <c r="I1603" s="390">
        <f>'UH1 FGD'!$I$62</f>
        <v>0</v>
      </c>
      <c r="J1603" s="390">
        <f>'UH1 FGD'!$J$62</f>
        <v>0</v>
      </c>
      <c r="K1603" s="390">
        <f>'UH1 FGD'!$K$62</f>
        <v>0</v>
      </c>
      <c r="L1603" s="390">
        <f>'UH1 FGD'!$L$62</f>
        <v>0</v>
      </c>
      <c r="M1603" s="390">
        <f>'UH1 FGD'!$M$62</f>
        <v>35946861</v>
      </c>
      <c r="N1603" s="401"/>
    </row>
    <row r="1604" spans="2:14" s="160" customFormat="1" ht="12.75" hidden="1" customHeight="1" outlineLevel="1">
      <c r="B1604" s="674" t="str">
        <f>'UHCL FGD'!$B$2</f>
        <v>University of Houston - Clear Lake</v>
      </c>
      <c r="D1604" s="390">
        <f>'UHCL FGD'!$D$62</f>
        <v>0</v>
      </c>
      <c r="E1604" s="390">
        <f>'UHCL FGD'!$E$62</f>
        <v>17072</v>
      </c>
      <c r="F1604" s="390">
        <f>'UHCL FGD'!$F$62</f>
        <v>0</v>
      </c>
      <c r="G1604" s="390">
        <f>'UHCL FGD'!$G$62</f>
        <v>50844</v>
      </c>
      <c r="H1604" s="390">
        <f>'UHCL FGD'!$H$62</f>
        <v>0</v>
      </c>
      <c r="I1604" s="390">
        <f>'UHCL FGD'!$I$62</f>
        <v>0</v>
      </c>
      <c r="J1604" s="390">
        <f>'UHCL FGD'!$J$62</f>
        <v>0</v>
      </c>
      <c r="K1604" s="390">
        <f>'UHCL FGD'!$K$62</f>
        <v>0</v>
      </c>
      <c r="L1604" s="390">
        <f>'UHCL FGD'!$L$62</f>
        <v>0</v>
      </c>
      <c r="M1604" s="390">
        <f>'UHCL FGD'!$M$62</f>
        <v>67916</v>
      </c>
      <c r="N1604" s="401"/>
    </row>
    <row r="1605" spans="2:14" s="160" customFormat="1" ht="12.75" hidden="1" customHeight="1" outlineLevel="1">
      <c r="B1605" s="674" t="str">
        <f>'UHD FGD'!$B$2</f>
        <v>University of Houston - Downtown</v>
      </c>
      <c r="D1605" s="390">
        <f>'UHD FGD'!$D$62</f>
        <v>176731</v>
      </c>
      <c r="E1605" s="390">
        <f>'UHD FGD'!$E$62</f>
        <v>1943565</v>
      </c>
      <c r="F1605" s="390">
        <f>'UHD FGD'!$F$62</f>
        <v>0</v>
      </c>
      <c r="G1605" s="390">
        <f>'UHD FGD'!$G$62</f>
        <v>535262</v>
      </c>
      <c r="H1605" s="390">
        <f>'UHD FGD'!$H$62</f>
        <v>0</v>
      </c>
      <c r="I1605" s="390">
        <f>'UHD FGD'!$I$62</f>
        <v>0</v>
      </c>
      <c r="J1605" s="390">
        <f>'UHD FGD'!$J$62</f>
        <v>0</v>
      </c>
      <c r="K1605" s="390">
        <f>'UHD FGD'!$K$62</f>
        <v>0</v>
      </c>
      <c r="L1605" s="390">
        <f>'UHD FGD'!$L$62</f>
        <v>0</v>
      </c>
      <c r="M1605" s="390">
        <f>'UHD FGD'!$M$62</f>
        <v>2655558</v>
      </c>
      <c r="N1605" s="401"/>
    </row>
    <row r="1606" spans="2:14" s="160" customFormat="1" ht="12.75" hidden="1" customHeight="1" outlineLevel="1">
      <c r="B1606" s="674" t="str">
        <f>'UHV FGD'!$B$2</f>
        <v>University of Houston - Victoria</v>
      </c>
      <c r="D1606" s="390">
        <f>'UHV FGD'!$D$62</f>
        <v>327040</v>
      </c>
      <c r="E1606" s="390">
        <f>'UHV FGD'!$E$62</f>
        <v>189992</v>
      </c>
      <c r="F1606" s="390">
        <f>'UHV FGD'!$F$62</f>
        <v>3971</v>
      </c>
      <c r="G1606" s="390">
        <f>'UHV FGD'!$G$62</f>
        <v>346911</v>
      </c>
      <c r="H1606" s="390">
        <f>'UHV FGD'!$H$62</f>
        <v>0</v>
      </c>
      <c r="I1606" s="390">
        <f>'UHV FGD'!$I$62</f>
        <v>0</v>
      </c>
      <c r="J1606" s="390">
        <f>'UHV FGD'!$J$62</f>
        <v>0</v>
      </c>
      <c r="K1606" s="390">
        <f>'UHV FGD'!$K$62</f>
        <v>0</v>
      </c>
      <c r="L1606" s="390">
        <f>'UHV FGD'!$L$62</f>
        <v>0</v>
      </c>
      <c r="M1606" s="390">
        <f>'UHV FGD'!$M$62</f>
        <v>867914</v>
      </c>
      <c r="N1606" s="401"/>
    </row>
    <row r="1607" spans="2:14" s="160" customFormat="1" ht="12.75" hidden="1" customHeight="1" outlineLevel="1">
      <c r="B1607" s="674" t="str">
        <f>'UNT FGD'!$B$2</f>
        <v>University of North Texas</v>
      </c>
      <c r="D1607" s="390">
        <f>'UNT FGD'!$D$62</f>
        <v>224095</v>
      </c>
      <c r="E1607" s="390">
        <f>'UNT FGD'!$E$62</f>
        <v>3425353</v>
      </c>
      <c r="F1607" s="390">
        <f>'UNT FGD'!$F$62</f>
        <v>0</v>
      </c>
      <c r="G1607" s="390">
        <f>'UNT FGD'!$G$62</f>
        <v>3841876</v>
      </c>
      <c r="H1607" s="390">
        <f>'UNT FGD'!$H$62</f>
        <v>0</v>
      </c>
      <c r="I1607" s="390">
        <f>'UNT FGD'!$I$62</f>
        <v>0</v>
      </c>
      <c r="J1607" s="390">
        <f>'UNT FGD'!$J$62</f>
        <v>0</v>
      </c>
      <c r="K1607" s="390">
        <f>'UNT FGD'!$K$62</f>
        <v>0</v>
      </c>
      <c r="L1607" s="390">
        <f>'UNT FGD'!$L$62</f>
        <v>0</v>
      </c>
      <c r="M1607" s="390">
        <f>'UNT FGD'!$M$62</f>
        <v>7491324</v>
      </c>
      <c r="N1607" s="401"/>
    </row>
    <row r="1608" spans="2:14" s="160" customFormat="1" ht="12.75" hidden="1" customHeight="1" outlineLevel="1">
      <c r="B1608" s="674" t="str">
        <f>'UNTD FGD'!$B$2</f>
        <v>University of North Texas at Dallas</v>
      </c>
      <c r="D1608" s="390">
        <f>'UNTD FGD'!$D$62</f>
        <v>72441</v>
      </c>
      <c r="E1608" s="390">
        <f>'UNTD FGD'!$E$62</f>
        <v>536982</v>
      </c>
      <c r="F1608" s="390">
        <f>'UNTD FGD'!$F$62</f>
        <v>0</v>
      </c>
      <c r="G1608" s="390">
        <f>'UNTD FGD'!$G$62</f>
        <v>2322407</v>
      </c>
      <c r="H1608" s="390">
        <f>'UNTD FGD'!$H$62</f>
        <v>0</v>
      </c>
      <c r="I1608" s="390">
        <f>'UNTD FGD'!$I$62</f>
        <v>0</v>
      </c>
      <c r="J1608" s="390">
        <f>'UNTD FGD'!$J$62</f>
        <v>0</v>
      </c>
      <c r="K1608" s="390">
        <f>'UNTD FGD'!$K$62</f>
        <v>0</v>
      </c>
      <c r="L1608" s="390">
        <f>'UNTD FGD'!$L$62</f>
        <v>0</v>
      </c>
      <c r="M1608" s="390">
        <f>'UNTD FGD'!$M$62</f>
        <v>2931830</v>
      </c>
      <c r="N1608" s="401"/>
    </row>
    <row r="1609" spans="2:14" s="160" customFormat="1" ht="12.75" hidden="1" customHeight="1" outlineLevel="1">
      <c r="B1609" s="674" t="str">
        <f>'WTAMU FGD'!$B$2</f>
        <v>West Texas A&amp;M University</v>
      </c>
      <c r="D1609" s="390">
        <f>'WTAMU FGD'!$D$62</f>
        <v>1190865</v>
      </c>
      <c r="E1609" s="390">
        <f>'WTAMU FGD'!$E$62</f>
        <v>936589</v>
      </c>
      <c r="F1609" s="390">
        <f>'WTAMU FGD'!$F$62</f>
        <v>0</v>
      </c>
      <c r="G1609" s="390">
        <f>'WTAMU FGD'!$G$62</f>
        <v>1906632</v>
      </c>
      <c r="H1609" s="390">
        <f>'WTAMU FGD'!$H$62</f>
        <v>0</v>
      </c>
      <c r="I1609" s="390">
        <f>'WTAMU FGD'!$I$62</f>
        <v>0</v>
      </c>
      <c r="J1609" s="390">
        <f>'WTAMU FGD'!$J$62</f>
        <v>0</v>
      </c>
      <c r="K1609" s="390">
        <f>'WTAMU FGD'!$K$62</f>
        <v>0</v>
      </c>
      <c r="L1609" s="390">
        <f>'WTAMU FGD'!$L$62</f>
        <v>0</v>
      </c>
      <c r="M1609" s="390">
        <f>'WTAMU FGD'!$M$62</f>
        <v>4034086</v>
      </c>
      <c r="N1609" s="401"/>
    </row>
    <row r="1610" spans="2:14" s="160" customFormat="1" collapsed="1">
      <c r="B1610" s="160" t="s">
        <v>16</v>
      </c>
      <c r="D1610" s="390">
        <f t="shared" ref="D1610:M1610" si="42">SUM(D1574:D1609)</f>
        <v>38317126</v>
      </c>
      <c r="E1610" s="390">
        <f t="shared" si="42"/>
        <v>97608823</v>
      </c>
      <c r="F1610" s="390">
        <f t="shared" si="42"/>
        <v>25232</v>
      </c>
      <c r="G1610" s="390">
        <f t="shared" si="42"/>
        <v>153415263</v>
      </c>
      <c r="H1610" s="390">
        <f t="shared" si="42"/>
        <v>0</v>
      </c>
      <c r="I1610" s="390">
        <f t="shared" si="42"/>
        <v>0</v>
      </c>
      <c r="J1610" s="390">
        <f t="shared" si="42"/>
        <v>0</v>
      </c>
      <c r="K1610" s="390">
        <f t="shared" si="42"/>
        <v>0</v>
      </c>
      <c r="L1610" s="390">
        <f t="shared" si="42"/>
        <v>0</v>
      </c>
      <c r="M1610" s="390">
        <f t="shared" si="42"/>
        <v>289366444</v>
      </c>
      <c r="N1610" s="401"/>
    </row>
    <row r="1611" spans="2:14" s="160" customFormat="1" ht="12.75" hidden="1" customHeight="1" outlineLevel="1">
      <c r="B1611" s="674" t="str">
        <f>'ARL FGD'!$B$2</f>
        <v>The University of Texas at Arlington</v>
      </c>
      <c r="D1611" s="390">
        <f>'ARL FGD'!$D$63</f>
        <v>21705754</v>
      </c>
      <c r="E1611" s="390">
        <f>'ARL FGD'!$E$63</f>
        <v>31121605</v>
      </c>
      <c r="F1611" s="390">
        <f>'ARL FGD'!$F$63</f>
        <v>0</v>
      </c>
      <c r="G1611" s="390">
        <f>'ARL FGD'!$G$63</f>
        <v>8675299</v>
      </c>
      <c r="H1611" s="390">
        <f>'ARL FGD'!$H$63</f>
        <v>0</v>
      </c>
      <c r="I1611" s="390">
        <f>'ARL FGD'!$I$63</f>
        <v>0</v>
      </c>
      <c r="J1611" s="390">
        <f>'ARL FGD'!$J$63</f>
        <v>0</v>
      </c>
      <c r="K1611" s="390">
        <f>'ARL FGD'!$K$63</f>
        <v>0</v>
      </c>
      <c r="L1611" s="390">
        <f>'ARL FGD'!$L$63</f>
        <v>0</v>
      </c>
      <c r="M1611" s="390">
        <f>'ARL FGD'!$M$63</f>
        <v>61502658</v>
      </c>
      <c r="N1611" s="401"/>
    </row>
    <row r="1612" spans="2:14" s="160" customFormat="1" ht="12.75" hidden="1" customHeight="1" outlineLevel="1">
      <c r="B1612" s="674" t="str">
        <f>'ASU FGD'!$B$2</f>
        <v>Angelo State University</v>
      </c>
      <c r="D1612" s="390">
        <f>'ASU FGD'!$D$63</f>
        <v>4038143</v>
      </c>
      <c r="E1612" s="390">
        <f>'ASU FGD'!$E$63</f>
        <v>2884656</v>
      </c>
      <c r="F1612" s="390">
        <f>'ASU FGD'!$F$63</f>
        <v>0</v>
      </c>
      <c r="G1612" s="390">
        <f>'ASU FGD'!$G$63</f>
        <v>32177</v>
      </c>
      <c r="H1612" s="390">
        <f>'ASU FGD'!$H$63</f>
        <v>0</v>
      </c>
      <c r="I1612" s="390">
        <f>'ASU FGD'!$I$63</f>
        <v>0</v>
      </c>
      <c r="J1612" s="390">
        <f>'ASU FGD'!$J$63</f>
        <v>0</v>
      </c>
      <c r="K1612" s="390">
        <f>'ASU FGD'!$K$63</f>
        <v>0</v>
      </c>
      <c r="L1612" s="390">
        <f>'ASU FGD'!$L$63</f>
        <v>0</v>
      </c>
      <c r="M1612" s="390">
        <f>'ASU FGD'!$M$63</f>
        <v>6954976</v>
      </c>
      <c r="N1612" s="401"/>
    </row>
    <row r="1613" spans="2:14" s="160" customFormat="1" ht="12.75" hidden="1" customHeight="1" outlineLevel="1">
      <c r="B1613" s="674" t="str">
        <f>'AUS1 FGD'!$B$2</f>
        <v>The University of Texas at Austin - Academic &amp; Health (A+H)</v>
      </c>
      <c r="D1613" s="390">
        <f>'AUS1 FGD'!$D$63</f>
        <v>97151456</v>
      </c>
      <c r="E1613" s="390">
        <f>'AUS1 FGD'!$E$63</f>
        <v>161444205</v>
      </c>
      <c r="F1613" s="390">
        <f>'AUS1 FGD'!$F$63</f>
        <v>0</v>
      </c>
      <c r="G1613" s="390">
        <f>'AUS1 FGD'!$G$63</f>
        <v>51186170</v>
      </c>
      <c r="H1613" s="390">
        <f>'AUS1 FGD'!$H$63</f>
        <v>0</v>
      </c>
      <c r="I1613" s="390">
        <f>'AUS1 FGD'!$I$63</f>
        <v>0</v>
      </c>
      <c r="J1613" s="390">
        <f>'AUS1 FGD'!$J$63</f>
        <v>0</v>
      </c>
      <c r="K1613" s="390">
        <f>'AUS1 FGD'!$K$63</f>
        <v>0</v>
      </c>
      <c r="L1613" s="390">
        <f>'AUS1 FGD'!$L$63</f>
        <v>0</v>
      </c>
      <c r="M1613" s="390">
        <f>'AUS1 FGD'!$M$63</f>
        <v>309781831</v>
      </c>
      <c r="N1613" s="401"/>
    </row>
    <row r="1614" spans="2:14" s="160" customFormat="1" ht="12.75" hidden="1" customHeight="1" outlineLevel="1">
      <c r="B1614" s="674" t="str">
        <f>'RGV1 FGD'!$B$2</f>
        <v>The University of Texas RGV - Academic &amp; Health (A+H)</v>
      </c>
      <c r="D1614" s="390">
        <f>'RGV1 FGD'!$D$63</f>
        <v>13376168</v>
      </c>
      <c r="E1614" s="390">
        <f>'RGV1 FGD'!$E$63</f>
        <v>28780079</v>
      </c>
      <c r="F1614" s="390">
        <f>'RGV1 FGD'!$F$63</f>
        <v>0</v>
      </c>
      <c r="G1614" s="390">
        <f>'RGV1 FGD'!$G$63</f>
        <v>5169329</v>
      </c>
      <c r="H1614" s="390">
        <f>'RGV1 FGD'!$H$63</f>
        <v>0</v>
      </c>
      <c r="I1614" s="390">
        <f>'RGV1 FGD'!$I$63</f>
        <v>0</v>
      </c>
      <c r="J1614" s="390">
        <f>'RGV1 FGD'!$J$63</f>
        <v>0</v>
      </c>
      <c r="K1614" s="390">
        <f>'RGV1 FGD'!$K$63</f>
        <v>0</v>
      </c>
      <c r="L1614" s="390">
        <f>'RGV1 FGD'!$L$63</f>
        <v>0</v>
      </c>
      <c r="M1614" s="390">
        <f>'RGV1 FGD'!$M$63</f>
        <v>47325576</v>
      </c>
      <c r="N1614" s="401"/>
    </row>
    <row r="1615" spans="2:14" s="160" customFormat="1" ht="12.75" hidden="1" customHeight="1" outlineLevel="1">
      <c r="B1615" s="674" t="str">
        <f>'DAL FGD'!$B$2</f>
        <v>The University of Texas at Dallas</v>
      </c>
      <c r="D1615" s="390">
        <f>'DAL FGD'!$D$63</f>
        <v>14017275</v>
      </c>
      <c r="E1615" s="390">
        <f>'DAL FGD'!$E$63</f>
        <v>45017518</v>
      </c>
      <c r="F1615" s="390">
        <f>'DAL FGD'!$F$63</f>
        <v>0</v>
      </c>
      <c r="G1615" s="390">
        <f>'DAL FGD'!$G$63</f>
        <v>3974806</v>
      </c>
      <c r="H1615" s="390">
        <f>'DAL FGD'!$H$63</f>
        <v>0</v>
      </c>
      <c r="I1615" s="390">
        <f>'DAL FGD'!$I$63</f>
        <v>0</v>
      </c>
      <c r="J1615" s="390">
        <f>'DAL FGD'!$J$63</f>
        <v>0</v>
      </c>
      <c r="K1615" s="390">
        <f>'DAL FGD'!$K$63</f>
        <v>0</v>
      </c>
      <c r="L1615" s="390">
        <f>'DAL FGD'!$L$63</f>
        <v>0</v>
      </c>
      <c r="M1615" s="390">
        <f>'DAL FGD'!$M$63</f>
        <v>63009599</v>
      </c>
      <c r="N1615" s="401"/>
    </row>
    <row r="1616" spans="2:14" s="160" customFormat="1" ht="12.75" hidden="1" customHeight="1" outlineLevel="1">
      <c r="B1616" s="674" t="str">
        <f>'E-P FGD'!$B$2</f>
        <v>The University of Texas at El Paso</v>
      </c>
      <c r="D1616" s="390">
        <f>'E-P FGD'!$D$63</f>
        <v>11912499</v>
      </c>
      <c r="E1616" s="390">
        <f>'E-P FGD'!$E$63</f>
        <v>10544913</v>
      </c>
      <c r="F1616" s="390">
        <f>'E-P FGD'!$F$63</f>
        <v>0</v>
      </c>
      <c r="G1616" s="390">
        <f>'E-P FGD'!$G$63</f>
        <v>4535859</v>
      </c>
      <c r="H1616" s="390">
        <f>'E-P FGD'!$H$63</f>
        <v>0</v>
      </c>
      <c r="I1616" s="390">
        <f>'E-P FGD'!$I$63</f>
        <v>0</v>
      </c>
      <c r="J1616" s="390">
        <f>'E-P FGD'!$J$63</f>
        <v>0</v>
      </c>
      <c r="K1616" s="390">
        <f>'E-P FGD'!$K$63</f>
        <v>0</v>
      </c>
      <c r="L1616" s="390">
        <f>'E-P FGD'!$L$63</f>
        <v>0</v>
      </c>
      <c r="M1616" s="390">
        <f>'E-P FGD'!$M$63</f>
        <v>26993271</v>
      </c>
      <c r="N1616" s="401"/>
    </row>
    <row r="1617" spans="2:14" s="160" customFormat="1" ht="12.75" hidden="1" customHeight="1" outlineLevel="1">
      <c r="B1617" s="674" t="str">
        <f>'LU FGD'!$B$2</f>
        <v xml:space="preserve">Lamar University </v>
      </c>
      <c r="D1617" s="390">
        <f>'LU FGD'!$D$63</f>
        <v>4490289</v>
      </c>
      <c r="E1617" s="390">
        <f>'LU FGD'!$E$63</f>
        <v>38932242</v>
      </c>
      <c r="F1617" s="390">
        <f>'LU FGD'!$F$63</f>
        <v>0</v>
      </c>
      <c r="G1617" s="390">
        <f>'LU FGD'!$G$63</f>
        <v>3741364</v>
      </c>
      <c r="H1617" s="390">
        <f>'LU FGD'!$H$63</f>
        <v>0</v>
      </c>
      <c r="I1617" s="390">
        <f>'LU FGD'!$I$63</f>
        <v>0</v>
      </c>
      <c r="J1617" s="390">
        <f>'LU FGD'!$J$63</f>
        <v>0</v>
      </c>
      <c r="K1617" s="390">
        <f>'LU FGD'!$K$63</f>
        <v>0</v>
      </c>
      <c r="L1617" s="390">
        <f>'LU FGD'!$L$63</f>
        <v>0</v>
      </c>
      <c r="M1617" s="390">
        <f>'LU FGD'!$M$63</f>
        <v>47163895</v>
      </c>
      <c r="N1617" s="401"/>
    </row>
    <row r="1618" spans="2:14" s="160" customFormat="1" ht="12.75" hidden="1" customHeight="1" outlineLevel="1">
      <c r="B1618" s="674" t="str">
        <f>'MidWST FGD'!$B$2</f>
        <v>Midwestern State University</v>
      </c>
      <c r="D1618" s="390">
        <f>'MidWST FGD'!$D$63</f>
        <v>2885553</v>
      </c>
      <c r="E1618" s="390">
        <f>'MidWST FGD'!$E$63</f>
        <v>5075115</v>
      </c>
      <c r="F1618" s="390">
        <f>'MidWST FGD'!$F$63</f>
        <v>0</v>
      </c>
      <c r="G1618" s="390">
        <f>'MidWST FGD'!$G$63</f>
        <v>2469768</v>
      </c>
      <c r="H1618" s="390">
        <f>'MidWST FGD'!$H$63</f>
        <v>0</v>
      </c>
      <c r="I1618" s="390">
        <f>'MidWST FGD'!$I$63</f>
        <v>0</v>
      </c>
      <c r="J1618" s="390">
        <f>'MidWST FGD'!$J$63</f>
        <v>0</v>
      </c>
      <c r="K1618" s="390">
        <f>'MidWST FGD'!$K$63</f>
        <v>0</v>
      </c>
      <c r="L1618" s="390">
        <f>'MidWST FGD'!$L$63</f>
        <v>0</v>
      </c>
      <c r="M1618" s="390">
        <f>'MidWST FGD'!$M$63</f>
        <v>10430436</v>
      </c>
      <c r="N1618" s="401"/>
    </row>
    <row r="1619" spans="2:14" s="160" customFormat="1" ht="12.75" hidden="1" customHeight="1" outlineLevel="1">
      <c r="B1619" s="674" t="str">
        <f>'P-B FGD'!$B$2</f>
        <v>The University of Texas of the Permian Basin</v>
      </c>
      <c r="D1619" s="390">
        <f>'P-B FGD'!$D$63</f>
        <v>3593731</v>
      </c>
      <c r="E1619" s="390">
        <f>'P-B FGD'!$E$63</f>
        <v>3190101</v>
      </c>
      <c r="F1619" s="390">
        <f>'P-B FGD'!$F$63</f>
        <v>0</v>
      </c>
      <c r="G1619" s="390">
        <f>'P-B FGD'!$G$63</f>
        <v>520797</v>
      </c>
      <c r="H1619" s="390">
        <f>'P-B FGD'!$H$63</f>
        <v>0</v>
      </c>
      <c r="I1619" s="390">
        <f>'P-B FGD'!$I$63</f>
        <v>0</v>
      </c>
      <c r="J1619" s="390">
        <f>'P-B FGD'!$J$63</f>
        <v>0</v>
      </c>
      <c r="K1619" s="390">
        <f>'P-B FGD'!$K$63</f>
        <v>0</v>
      </c>
      <c r="L1619" s="390">
        <f>'P-B FGD'!$L$63</f>
        <v>0</v>
      </c>
      <c r="M1619" s="390">
        <f>'P-B FGD'!$M$63</f>
        <v>7304629</v>
      </c>
      <c r="N1619" s="401"/>
    </row>
    <row r="1620" spans="2:14" s="160" customFormat="1" ht="12.75" hidden="1" customHeight="1" outlineLevel="1">
      <c r="B1620" s="674" t="str">
        <f>'PVAMU FGD'!$B$2</f>
        <v>Prairie View A&amp;M University</v>
      </c>
      <c r="D1620" s="390">
        <f>'PVAMU FGD'!$D$63</f>
        <v>8612754</v>
      </c>
      <c r="E1620" s="390">
        <f>'PVAMU FGD'!$E$63</f>
        <v>5832332</v>
      </c>
      <c r="F1620" s="390">
        <f>'PVAMU FGD'!$F$63</f>
        <v>0</v>
      </c>
      <c r="G1620" s="390">
        <f>'PVAMU FGD'!$G$63</f>
        <v>7752725</v>
      </c>
      <c r="H1620" s="390">
        <f>'PVAMU FGD'!$H$63</f>
        <v>0</v>
      </c>
      <c r="I1620" s="390">
        <f>'PVAMU FGD'!$I$63</f>
        <v>0</v>
      </c>
      <c r="J1620" s="390">
        <f>'PVAMU FGD'!$J$63</f>
        <v>0</v>
      </c>
      <c r="K1620" s="390">
        <f>'PVAMU FGD'!$K$63</f>
        <v>0</v>
      </c>
      <c r="L1620" s="390">
        <f>'PVAMU FGD'!$L$63</f>
        <v>0</v>
      </c>
      <c r="M1620" s="390">
        <f>'PVAMU FGD'!$M$63</f>
        <v>22197811</v>
      </c>
      <c r="N1620" s="401"/>
    </row>
    <row r="1621" spans="2:14" s="160" customFormat="1" ht="12.75" hidden="1" customHeight="1" outlineLevel="1">
      <c r="B1621" s="674" t="str">
        <f>'S-A FGD'!$B$2</f>
        <v>The University of Texas at San Antonio</v>
      </c>
      <c r="D1621" s="390">
        <f>'S-A FGD'!$D$63</f>
        <v>23889075</v>
      </c>
      <c r="E1621" s="390">
        <f>'S-A FGD'!$E$63</f>
        <v>40660906</v>
      </c>
      <c r="F1621" s="390">
        <f>'S-A FGD'!$F$63</f>
        <v>0</v>
      </c>
      <c r="G1621" s="390">
        <f>'S-A FGD'!$G$63</f>
        <v>7158655</v>
      </c>
      <c r="H1621" s="390">
        <f>'S-A FGD'!$H$63</f>
        <v>0</v>
      </c>
      <c r="I1621" s="390">
        <f>'S-A FGD'!$I$63</f>
        <v>0</v>
      </c>
      <c r="J1621" s="390">
        <f>'S-A FGD'!$J$63</f>
        <v>0</v>
      </c>
      <c r="K1621" s="390">
        <f>'S-A FGD'!$K$63</f>
        <v>0</v>
      </c>
      <c r="L1621" s="390">
        <f>'S-A FGD'!$L$63</f>
        <v>0</v>
      </c>
      <c r="M1621" s="390">
        <f>'S-A FGD'!$M$63</f>
        <v>71708636</v>
      </c>
      <c r="N1621" s="401"/>
    </row>
    <row r="1622" spans="2:14" s="160" customFormat="1" ht="12.75" hidden="1" customHeight="1" outlineLevel="1">
      <c r="B1622" s="674" t="str">
        <f>'SFA FGD'!$B$2</f>
        <v>Stephen F. Austin State University</v>
      </c>
      <c r="D1622" s="390">
        <f>'SFA FGD'!$D$63</f>
        <v>5111192</v>
      </c>
      <c r="E1622" s="390">
        <f>'SFA FGD'!$E$63</f>
        <v>10276478</v>
      </c>
      <c r="F1622" s="390">
        <f>'SFA FGD'!$F$63</f>
        <v>0</v>
      </c>
      <c r="G1622" s="390">
        <f>'SFA FGD'!$G$63</f>
        <v>994888</v>
      </c>
      <c r="H1622" s="390">
        <f>'SFA FGD'!$H$63</f>
        <v>0</v>
      </c>
      <c r="I1622" s="390">
        <f>'SFA FGD'!$I$63</f>
        <v>0</v>
      </c>
      <c r="J1622" s="390">
        <f>'SFA FGD'!$J$63</f>
        <v>0</v>
      </c>
      <c r="K1622" s="390">
        <f>'SFA FGD'!$K$63</f>
        <v>0</v>
      </c>
      <c r="L1622" s="390">
        <f>'SFA FGD'!$L$63</f>
        <v>0</v>
      </c>
      <c r="M1622" s="390">
        <f>'SFA FGD'!$M$63</f>
        <v>16382558</v>
      </c>
      <c r="N1622" s="401"/>
    </row>
    <row r="1623" spans="2:14" s="160" customFormat="1" ht="12.75" hidden="1" customHeight="1" outlineLevel="1">
      <c r="B1623" s="674" t="str">
        <f>'shsu1 FGD'!$B$2</f>
        <v>Sam Houston State University - Academic &amp; Health (A+H)</v>
      </c>
      <c r="D1623" s="390">
        <f>'shsu1 FGD'!$D$63</f>
        <v>9742825</v>
      </c>
      <c r="E1623" s="390">
        <f>'shsu1 FGD'!$E$63</f>
        <v>34845113</v>
      </c>
      <c r="F1623" s="390">
        <f>'shsu1 FGD'!$F$63</f>
        <v>0</v>
      </c>
      <c r="G1623" s="390">
        <f>'shsu1 FGD'!$G$63</f>
        <v>817342</v>
      </c>
      <c r="H1623" s="390">
        <f>'shsu1 FGD'!$H$63</f>
        <v>3870</v>
      </c>
      <c r="I1623" s="390">
        <f>'shsu1 FGD'!$I$63</f>
        <v>0</v>
      </c>
      <c r="J1623" s="390">
        <f>'shsu1 FGD'!$J$63</f>
        <v>0</v>
      </c>
      <c r="K1623" s="390">
        <f>'shsu1 FGD'!$K$63</f>
        <v>0</v>
      </c>
      <c r="L1623" s="390">
        <f>'shsu1 FGD'!$L$63</f>
        <v>0</v>
      </c>
      <c r="M1623" s="390">
        <f>'shsu1 FGD'!$M$63</f>
        <v>45409150</v>
      </c>
      <c r="N1623" s="401"/>
    </row>
    <row r="1624" spans="2:14" s="160" customFormat="1" ht="12.75" hidden="1" customHeight="1" outlineLevel="1">
      <c r="B1624" s="674" t="str">
        <f>'SRSU FGD'!$B$2</f>
        <v>Sul Ross State University</v>
      </c>
      <c r="D1624" s="390">
        <f>'SRSU FGD'!$D$63</f>
        <v>1990827</v>
      </c>
      <c r="E1624" s="390">
        <f>'SRSU FGD'!$E$63</f>
        <v>1383764</v>
      </c>
      <c r="F1624" s="390">
        <f>'SRSU FGD'!$F$63</f>
        <v>0</v>
      </c>
      <c r="G1624" s="390">
        <f>'SRSU FGD'!$G$63</f>
        <v>762325</v>
      </c>
      <c r="H1624" s="390">
        <f>'SRSU FGD'!$H$63</f>
        <v>0</v>
      </c>
      <c r="I1624" s="390">
        <f>'SRSU FGD'!$I$63</f>
        <v>0</v>
      </c>
      <c r="J1624" s="390">
        <f>'SRSU FGD'!$J$63</f>
        <v>0</v>
      </c>
      <c r="K1624" s="390">
        <f>'SRSU FGD'!$K$63</f>
        <v>0</v>
      </c>
      <c r="L1624" s="390">
        <f>'SRSU FGD'!$L$63</f>
        <v>0</v>
      </c>
      <c r="M1624" s="390">
        <f>'SRSU FGD'!$M$63</f>
        <v>4136916</v>
      </c>
      <c r="N1624" s="401"/>
    </row>
    <row r="1625" spans="2:14" s="160" customFormat="1" ht="12.75" hidden="1" customHeight="1" outlineLevel="1">
      <c r="B1625" s="674" t="str">
        <f>'TAMIU FGD'!$B$2</f>
        <v>Texas A&amp;M International University</v>
      </c>
      <c r="D1625" s="390">
        <f>'TAMIU FGD'!$D$63</f>
        <v>6444059</v>
      </c>
      <c r="E1625" s="390">
        <f>'TAMIU FGD'!$E$63</f>
        <v>10028745</v>
      </c>
      <c r="F1625" s="390">
        <f>'TAMIU FGD'!$F$63</f>
        <v>0</v>
      </c>
      <c r="G1625" s="390">
        <f>'TAMIU FGD'!$G$63</f>
        <v>2758049</v>
      </c>
      <c r="H1625" s="390">
        <f>'TAMIU FGD'!$H$63</f>
        <v>0</v>
      </c>
      <c r="I1625" s="390">
        <f>'TAMIU FGD'!$I$63</f>
        <v>0</v>
      </c>
      <c r="J1625" s="390">
        <f>'TAMIU FGD'!$J$63</f>
        <v>0</v>
      </c>
      <c r="K1625" s="390">
        <f>'TAMIU FGD'!$K$63</f>
        <v>0</v>
      </c>
      <c r="L1625" s="390">
        <f>'TAMIU FGD'!$L$63</f>
        <v>0</v>
      </c>
      <c r="M1625" s="390">
        <f>'TAMIU FGD'!$M$63</f>
        <v>19230853</v>
      </c>
      <c r="N1625" s="401"/>
    </row>
    <row r="1626" spans="2:14" s="160" customFormat="1" ht="12.75" hidden="1" customHeight="1" outlineLevel="1">
      <c r="B1626" s="674" t="str">
        <f>'TAMU FGD'!$B$2</f>
        <v>Texas A&amp;M University</v>
      </c>
      <c r="D1626" s="390">
        <f>'TAMU FGD'!$D$63</f>
        <v>84151214</v>
      </c>
      <c r="E1626" s="390">
        <f>'TAMU FGD'!$E$63</f>
        <v>141482204</v>
      </c>
      <c r="F1626" s="390">
        <f>'TAMU FGD'!$F$63</f>
        <v>0</v>
      </c>
      <c r="G1626" s="390">
        <f>'TAMU FGD'!$G$63</f>
        <v>29878706</v>
      </c>
      <c r="H1626" s="390">
        <f>'TAMU FGD'!$H$63</f>
        <v>0</v>
      </c>
      <c r="I1626" s="390">
        <f>'TAMU FGD'!$I$63</f>
        <v>0</v>
      </c>
      <c r="J1626" s="390">
        <f>'TAMU FGD'!$J$63</f>
        <v>0</v>
      </c>
      <c r="K1626" s="390">
        <f>'TAMU FGD'!$K$63</f>
        <v>0</v>
      </c>
      <c r="L1626" s="390">
        <f>'TAMU FGD'!$L$63</f>
        <v>0</v>
      </c>
      <c r="M1626" s="390">
        <f>'TAMU FGD'!$M$63</f>
        <v>255512124</v>
      </c>
      <c r="N1626" s="401"/>
    </row>
    <row r="1627" spans="2:14" s="160" customFormat="1" ht="12.75" hidden="1" customHeight="1" outlineLevel="1">
      <c r="B1627" s="674" t="str">
        <f>'TAMUC FGD'!$B$2</f>
        <v>Texas A&amp;M University - Commerce</v>
      </c>
      <c r="D1627" s="390">
        <f>'TAMUC FGD'!$D$63</f>
        <v>5418033</v>
      </c>
      <c r="E1627" s="390">
        <f>'TAMUC FGD'!$E$63</f>
        <v>9673999</v>
      </c>
      <c r="F1627" s="390">
        <f>'TAMUC FGD'!$F$63</f>
        <v>0</v>
      </c>
      <c r="G1627" s="390">
        <f>'TAMUC FGD'!$G$63</f>
        <v>1118464</v>
      </c>
      <c r="H1627" s="390">
        <f>'TAMUC FGD'!$H$63</f>
        <v>0</v>
      </c>
      <c r="I1627" s="390">
        <f>'TAMUC FGD'!$I$63</f>
        <v>0</v>
      </c>
      <c r="J1627" s="390">
        <f>'TAMUC FGD'!$J$63</f>
        <v>0</v>
      </c>
      <c r="K1627" s="390">
        <f>'TAMUC FGD'!$K$63</f>
        <v>0</v>
      </c>
      <c r="L1627" s="390">
        <f>'TAMUC FGD'!$L$63</f>
        <v>0</v>
      </c>
      <c r="M1627" s="390">
        <f>'TAMUC FGD'!$M$63</f>
        <v>16210496</v>
      </c>
      <c r="N1627" s="401"/>
    </row>
    <row r="1628" spans="2:14" s="160" customFormat="1" ht="12.75" hidden="1" customHeight="1" outlineLevel="1">
      <c r="B1628" s="674" t="str">
        <f>'TAMUCC FGD'!$B$2</f>
        <v>Texas A&amp;M University - Corpus Christi</v>
      </c>
      <c r="D1628" s="390">
        <f>'TAMUCC FGD'!$D$63</f>
        <v>12637945</v>
      </c>
      <c r="E1628" s="390">
        <f>'TAMUCC FGD'!$E$63</f>
        <v>16934988</v>
      </c>
      <c r="F1628" s="390">
        <f>'TAMUCC FGD'!$F$63</f>
        <v>0</v>
      </c>
      <c r="G1628" s="390">
        <f>'TAMUCC FGD'!$G$63</f>
        <v>1848731</v>
      </c>
      <c r="H1628" s="390">
        <f>'TAMUCC FGD'!$H$63</f>
        <v>0</v>
      </c>
      <c r="I1628" s="390">
        <f>'TAMUCC FGD'!$I$63</f>
        <v>0</v>
      </c>
      <c r="J1628" s="390">
        <f>'TAMUCC FGD'!$J$63</f>
        <v>0</v>
      </c>
      <c r="K1628" s="390">
        <f>'TAMUCC FGD'!$K$63</f>
        <v>0</v>
      </c>
      <c r="L1628" s="390">
        <f>'TAMUCC FGD'!$L$63</f>
        <v>0</v>
      </c>
      <c r="M1628" s="390">
        <f>'TAMUCC FGD'!$M$63</f>
        <v>31421664</v>
      </c>
      <c r="N1628" s="401"/>
    </row>
    <row r="1629" spans="2:14" s="160" customFormat="1" ht="12.75" hidden="1" customHeight="1" outlineLevel="1">
      <c r="B1629" s="674" t="str">
        <f>'TAMUCT FGD'!$B$2</f>
        <v>Texas A&amp;M University - Central Texas</v>
      </c>
      <c r="D1629" s="390">
        <f>'TAMUCT FGD'!$D$63</f>
        <v>2531158</v>
      </c>
      <c r="E1629" s="390">
        <f>'TAMUCT FGD'!$E$63</f>
        <v>3172485</v>
      </c>
      <c r="F1629" s="390">
        <f>'TAMUCT FGD'!$F$63</f>
        <v>0</v>
      </c>
      <c r="G1629" s="390">
        <f>'TAMUCT FGD'!$G$63</f>
        <v>46801</v>
      </c>
      <c r="H1629" s="390">
        <f>'TAMUCT FGD'!$H$63</f>
        <v>0</v>
      </c>
      <c r="I1629" s="390">
        <f>'TAMUCT FGD'!$I$63</f>
        <v>0</v>
      </c>
      <c r="J1629" s="390">
        <f>'TAMUCT FGD'!$J$63</f>
        <v>0</v>
      </c>
      <c r="K1629" s="390">
        <f>'TAMUCT FGD'!$K$63</f>
        <v>0</v>
      </c>
      <c r="L1629" s="390">
        <f>'TAMUCT FGD'!$L$63</f>
        <v>0</v>
      </c>
      <c r="M1629" s="390">
        <f>'TAMUCT FGD'!$M$63</f>
        <v>5750444</v>
      </c>
      <c r="N1629" s="401"/>
    </row>
    <row r="1630" spans="2:14" s="160" customFormat="1" ht="12.75" hidden="1" customHeight="1" outlineLevel="1">
      <c r="B1630" s="674" t="str">
        <f>'TAMUG FGD'!$B$2</f>
        <v>Texas A&amp;M University at Galveston</v>
      </c>
      <c r="D1630" s="390">
        <f>'TAMUG FGD'!$D$63</f>
        <v>2313531</v>
      </c>
      <c r="E1630" s="390">
        <f>'TAMUG FGD'!$E$63</f>
        <v>4021523</v>
      </c>
      <c r="F1630" s="390">
        <f>'TAMUG FGD'!$F$63</f>
        <v>0</v>
      </c>
      <c r="G1630" s="390">
        <f>'TAMUG FGD'!$G$63</f>
        <v>34523</v>
      </c>
      <c r="H1630" s="390">
        <f>'TAMUG FGD'!$H$63</f>
        <v>0</v>
      </c>
      <c r="I1630" s="390">
        <f>'TAMUG FGD'!$I$63</f>
        <v>0</v>
      </c>
      <c r="J1630" s="390">
        <f>'TAMUG FGD'!$J$63</f>
        <v>0</v>
      </c>
      <c r="K1630" s="390">
        <f>'TAMUG FGD'!$K$63</f>
        <v>0</v>
      </c>
      <c r="L1630" s="390">
        <f>'TAMUG FGD'!$L$63</f>
        <v>0</v>
      </c>
      <c r="M1630" s="390">
        <f>'TAMUG FGD'!$M$63</f>
        <v>6369577</v>
      </c>
      <c r="N1630" s="401"/>
    </row>
    <row r="1631" spans="2:14" s="160" customFormat="1" ht="12.75" hidden="1" customHeight="1" outlineLevel="1">
      <c r="B1631" s="674" t="str">
        <f>'TAMUK FGD'!$B$2</f>
        <v>Texas A&amp;M University - Kingsville</v>
      </c>
      <c r="D1631" s="390">
        <f>'TAMUK FGD'!$D$63</f>
        <v>8405819</v>
      </c>
      <c r="E1631" s="390">
        <f>'TAMUK FGD'!$E$63</f>
        <v>3457654</v>
      </c>
      <c r="F1631" s="390">
        <f>'TAMUK FGD'!$F$63</f>
        <v>0</v>
      </c>
      <c r="G1631" s="390">
        <f>'TAMUK FGD'!$G$63</f>
        <v>744283</v>
      </c>
      <c r="H1631" s="390">
        <f>'TAMUK FGD'!$H$63</f>
        <v>0</v>
      </c>
      <c r="I1631" s="390">
        <f>'TAMUK FGD'!$I$63</f>
        <v>0</v>
      </c>
      <c r="J1631" s="390">
        <f>'TAMUK FGD'!$J$63</f>
        <v>0</v>
      </c>
      <c r="K1631" s="390">
        <f>'TAMUK FGD'!$K$63</f>
        <v>0</v>
      </c>
      <c r="L1631" s="390">
        <f>'TAMUK FGD'!$L$63</f>
        <v>0</v>
      </c>
      <c r="M1631" s="390">
        <f>'TAMUK FGD'!$M$63</f>
        <v>12607756</v>
      </c>
      <c r="N1631" s="401"/>
    </row>
    <row r="1632" spans="2:14" s="160" customFormat="1" ht="12.75" hidden="1" customHeight="1" outlineLevel="1">
      <c r="B1632" s="674" t="str">
        <f>'TAMUSA FGD'!$B$2</f>
        <v>Texas A&amp;M University - San Antonio</v>
      </c>
      <c r="D1632" s="390">
        <f>'TAMUSA FGD'!$D$63</f>
        <v>2438200</v>
      </c>
      <c r="E1632" s="390">
        <f>'TAMUSA FGD'!$E$63</f>
        <v>2793939</v>
      </c>
      <c r="F1632" s="390">
        <f>'TAMUSA FGD'!$F$63</f>
        <v>0</v>
      </c>
      <c r="G1632" s="390">
        <f>'TAMUSA FGD'!$G$63</f>
        <v>961297</v>
      </c>
      <c r="H1632" s="390">
        <f>'TAMUSA FGD'!$H$63</f>
        <v>0</v>
      </c>
      <c r="I1632" s="390">
        <f>'TAMUSA FGD'!$I$63</f>
        <v>0</v>
      </c>
      <c r="J1632" s="390">
        <f>'TAMUSA FGD'!$J$63</f>
        <v>0</v>
      </c>
      <c r="K1632" s="390">
        <f>'TAMUSA FGD'!$K$63</f>
        <v>0</v>
      </c>
      <c r="L1632" s="390">
        <f>'TAMUSA FGD'!$L$63</f>
        <v>0</v>
      </c>
      <c r="M1632" s="390">
        <f>'TAMUSA FGD'!$M$63</f>
        <v>6193436</v>
      </c>
      <c r="N1632" s="401"/>
    </row>
    <row r="1633" spans="2:14" s="160" customFormat="1" ht="12.75" hidden="1" customHeight="1" outlineLevel="1">
      <c r="B1633" s="674" t="str">
        <f>'TAMUT FGD'!$B$2</f>
        <v>Texas A&amp;M University - Texarkana</v>
      </c>
      <c r="D1633" s="390">
        <f>'TAMUT FGD'!$D$63</f>
        <v>2264329</v>
      </c>
      <c r="E1633" s="390">
        <f>'TAMUT FGD'!$E$63</f>
        <v>673445</v>
      </c>
      <c r="F1633" s="390">
        <f>'TAMUT FGD'!$F$63</f>
        <v>0</v>
      </c>
      <c r="G1633" s="390">
        <f>'TAMUT FGD'!$G$63</f>
        <v>1312500</v>
      </c>
      <c r="H1633" s="390">
        <f>'TAMUT FGD'!$H$63</f>
        <v>0</v>
      </c>
      <c r="I1633" s="390">
        <f>'TAMUT FGD'!$I$63</f>
        <v>0</v>
      </c>
      <c r="J1633" s="390">
        <f>'TAMUT FGD'!$J$63</f>
        <v>0</v>
      </c>
      <c r="K1633" s="390">
        <f>'TAMUT FGD'!$K$63</f>
        <v>0</v>
      </c>
      <c r="L1633" s="390">
        <f>'TAMUT FGD'!$L$63</f>
        <v>0</v>
      </c>
      <c r="M1633" s="390">
        <f>'TAMUT FGD'!$M$63</f>
        <v>4250274</v>
      </c>
      <c r="N1633" s="401"/>
    </row>
    <row r="1634" spans="2:14" s="160" customFormat="1" ht="12.75" hidden="1" customHeight="1" outlineLevel="1">
      <c r="B1634" s="674" t="str">
        <f>'TARLST FGD'!$B$2</f>
        <v>Tarleton State University</v>
      </c>
      <c r="D1634" s="390">
        <f>'TARLST FGD'!$D$63</f>
        <v>12031015</v>
      </c>
      <c r="E1634" s="390">
        <f>'TARLST FGD'!$E$63</f>
        <v>7325194</v>
      </c>
      <c r="F1634" s="390">
        <f>'TARLST FGD'!$F$63</f>
        <v>0</v>
      </c>
      <c r="G1634" s="390">
        <f>'TARLST FGD'!$G$63</f>
        <v>2898852</v>
      </c>
      <c r="H1634" s="390">
        <f>'TARLST FGD'!$H$63</f>
        <v>0</v>
      </c>
      <c r="I1634" s="390">
        <f>'TARLST FGD'!$I$63</f>
        <v>0</v>
      </c>
      <c r="J1634" s="390">
        <f>'TARLST FGD'!$J$63</f>
        <v>0</v>
      </c>
      <c r="K1634" s="390">
        <f>'TARLST FGD'!$K$63</f>
        <v>0</v>
      </c>
      <c r="L1634" s="390">
        <f>'TARLST FGD'!$L$63</f>
        <v>0</v>
      </c>
      <c r="M1634" s="390">
        <f>'TARLST FGD'!$M$63</f>
        <v>22255061</v>
      </c>
      <c r="N1634" s="401"/>
    </row>
    <row r="1635" spans="2:14" s="160" customFormat="1" ht="12.75" hidden="1" customHeight="1" outlineLevel="1">
      <c r="B1635" s="674" t="str">
        <f>'TSU FGD'!$B$2</f>
        <v>Texas Southern University</v>
      </c>
      <c r="D1635" s="390">
        <f>'TSU FGD'!$D$63</f>
        <v>5497602</v>
      </c>
      <c r="E1635" s="390">
        <f>'TSU FGD'!$E$63</f>
        <v>4916743</v>
      </c>
      <c r="F1635" s="390">
        <f>'TSU FGD'!$F$63</f>
        <v>0</v>
      </c>
      <c r="G1635" s="390">
        <f>'TSU FGD'!$G$63</f>
        <v>3803766</v>
      </c>
      <c r="H1635" s="390">
        <f>'TSU FGD'!$H$63</f>
        <v>0</v>
      </c>
      <c r="I1635" s="390">
        <f>'TSU FGD'!$I$63</f>
        <v>0</v>
      </c>
      <c r="J1635" s="390">
        <f>'TSU FGD'!$J$63</f>
        <v>0</v>
      </c>
      <c r="K1635" s="390">
        <f>'TSU FGD'!$K$63</f>
        <v>0</v>
      </c>
      <c r="L1635" s="390">
        <f>'TSU FGD'!$L$63</f>
        <v>-2502731</v>
      </c>
      <c r="M1635" s="390">
        <f>'TSU FGD'!$M$63</f>
        <v>11715380</v>
      </c>
      <c r="N1635" s="401"/>
    </row>
    <row r="1636" spans="2:14" s="160" customFormat="1" ht="12.75" hidden="1" customHeight="1" outlineLevel="1">
      <c r="B1636" s="674" t="str">
        <f>'TTU FGD'!$B$2</f>
        <v>Texas Tech University</v>
      </c>
      <c r="D1636" s="390">
        <f>'TTU FGD'!$D$63</f>
        <v>24383711</v>
      </c>
      <c r="E1636" s="390">
        <f>'TTU FGD'!$E$63</f>
        <v>55707981</v>
      </c>
      <c r="F1636" s="390">
        <f>'TTU FGD'!$F$63</f>
        <v>0</v>
      </c>
      <c r="G1636" s="390">
        <f>'TTU FGD'!$G$63</f>
        <v>6641790</v>
      </c>
      <c r="H1636" s="390">
        <f>'TTU FGD'!$H$63</f>
        <v>0</v>
      </c>
      <c r="I1636" s="390">
        <f>'TTU FGD'!$I$63</f>
        <v>0</v>
      </c>
      <c r="J1636" s="390">
        <f>'TTU FGD'!$J$63</f>
        <v>0</v>
      </c>
      <c r="K1636" s="390">
        <f>'TTU FGD'!$K$63</f>
        <v>0</v>
      </c>
      <c r="L1636" s="390">
        <f>'TTU FGD'!$L$63</f>
        <v>0</v>
      </c>
      <c r="M1636" s="390">
        <f>'TTU FGD'!$M$63</f>
        <v>86733482</v>
      </c>
      <c r="N1636" s="401"/>
    </row>
    <row r="1637" spans="2:14" s="160" customFormat="1" ht="12.75" hidden="1" customHeight="1" outlineLevel="1">
      <c r="B1637" s="674" t="str">
        <f>'TWU FGD'!$B$2</f>
        <v>Texas Woman's University</v>
      </c>
      <c r="D1637" s="390">
        <f>'TWU FGD'!$D$63</f>
        <v>12138769</v>
      </c>
      <c r="E1637" s="390">
        <f>'TWU FGD'!$E$63</f>
        <v>16723156</v>
      </c>
      <c r="F1637" s="390">
        <f>'TWU FGD'!$F$63</f>
        <v>0</v>
      </c>
      <c r="G1637" s="390">
        <f>'TWU FGD'!$G$63</f>
        <v>738053</v>
      </c>
      <c r="H1637" s="390">
        <f>'TWU FGD'!$H$63</f>
        <v>0</v>
      </c>
      <c r="I1637" s="390">
        <f>'TWU FGD'!$I$63</f>
        <v>0</v>
      </c>
      <c r="J1637" s="390">
        <f>'TWU FGD'!$J$63</f>
        <v>0</v>
      </c>
      <c r="K1637" s="390">
        <f>'TWU FGD'!$K$63</f>
        <v>0</v>
      </c>
      <c r="L1637" s="390">
        <f>'TWU FGD'!$L$63</f>
        <v>0</v>
      </c>
      <c r="M1637" s="390">
        <f>'TWU FGD'!$M$63</f>
        <v>29599978</v>
      </c>
      <c r="N1637" s="401"/>
    </row>
    <row r="1638" spans="2:14" s="160" customFormat="1" ht="12.75" hidden="1" customHeight="1" outlineLevel="1">
      <c r="B1638" s="674" t="str">
        <f>'TXST FGD'!$B$2</f>
        <v>Texas State University</v>
      </c>
      <c r="D1638" s="390">
        <f>'TXST FGD'!$D$63</f>
        <v>10017185</v>
      </c>
      <c r="E1638" s="390">
        <f>'TXST FGD'!$E$63</f>
        <v>29199615</v>
      </c>
      <c r="F1638" s="390">
        <f>'TXST FGD'!$F$63</f>
        <v>0</v>
      </c>
      <c r="G1638" s="390">
        <f>'TXST FGD'!$G$63</f>
        <v>1211354</v>
      </c>
      <c r="H1638" s="390">
        <f>'TXST FGD'!$H$63</f>
        <v>0</v>
      </c>
      <c r="I1638" s="390">
        <f>'TXST FGD'!$I$63</f>
        <v>0</v>
      </c>
      <c r="J1638" s="390">
        <f>'TXST FGD'!$J$63</f>
        <v>0</v>
      </c>
      <c r="K1638" s="390">
        <f>'TXST FGD'!$K$63</f>
        <v>0</v>
      </c>
      <c r="L1638" s="390">
        <f>'TXST FGD'!$L$63</f>
        <v>0</v>
      </c>
      <c r="M1638" s="390">
        <f>'TXST FGD'!$M$63</f>
        <v>40428154</v>
      </c>
      <c r="N1638" s="401"/>
    </row>
    <row r="1639" spans="2:14" s="160" customFormat="1" ht="12.75" hidden="1" customHeight="1" outlineLevel="1">
      <c r="B1639" s="674" t="str">
        <f>'TYL FGD'!$B$2</f>
        <v>The University of Texas at Tyler</v>
      </c>
      <c r="D1639" s="390">
        <f>'TYL FGD'!$D$63</f>
        <v>4035747</v>
      </c>
      <c r="E1639" s="390">
        <f>'TYL FGD'!$E$63</f>
        <v>11341912</v>
      </c>
      <c r="F1639" s="390">
        <f>'TYL FGD'!$F$63</f>
        <v>0</v>
      </c>
      <c r="G1639" s="390">
        <f>'TYL FGD'!$G$63</f>
        <v>166088</v>
      </c>
      <c r="H1639" s="390">
        <f>'TYL FGD'!$H$63</f>
        <v>0</v>
      </c>
      <c r="I1639" s="390">
        <f>'TYL FGD'!$I$63</f>
        <v>0</v>
      </c>
      <c r="J1639" s="390">
        <f>'TYL FGD'!$J$63</f>
        <v>0</v>
      </c>
      <c r="K1639" s="390">
        <f>'TYL FGD'!$K$63</f>
        <v>0</v>
      </c>
      <c r="L1639" s="390">
        <f>'TYL FGD'!$L$63</f>
        <v>0</v>
      </c>
      <c r="M1639" s="390">
        <f>'TYL FGD'!$M$63</f>
        <v>15543747</v>
      </c>
      <c r="N1639" s="401"/>
    </row>
    <row r="1640" spans="2:14" s="160" customFormat="1" ht="12.75" hidden="1" customHeight="1" outlineLevel="1">
      <c r="B1640" s="674" t="str">
        <f>'UH1 FGD'!$B$2</f>
        <v>University of Houston - Academic &amp; Health (A+H)</v>
      </c>
      <c r="D1640" s="390">
        <f>'UH1 FGD'!$D$63</f>
        <v>45046929</v>
      </c>
      <c r="E1640" s="390">
        <f>'UH1 FGD'!$E$63</f>
        <v>98147811</v>
      </c>
      <c r="F1640" s="390">
        <f>'UH1 FGD'!$F$63</f>
        <v>0</v>
      </c>
      <c r="G1640" s="390">
        <f>'UH1 FGD'!$G$63</f>
        <v>36735977</v>
      </c>
      <c r="H1640" s="390">
        <f>'UH1 FGD'!$H$63</f>
        <v>0</v>
      </c>
      <c r="I1640" s="390">
        <f>'UH1 FGD'!$I$63</f>
        <v>0</v>
      </c>
      <c r="J1640" s="390">
        <f>'UH1 FGD'!$J$63</f>
        <v>0</v>
      </c>
      <c r="K1640" s="390">
        <f>'UH1 FGD'!$K$63</f>
        <v>0</v>
      </c>
      <c r="L1640" s="390">
        <f>'UH1 FGD'!$L$63</f>
        <v>0</v>
      </c>
      <c r="M1640" s="390">
        <f>'UH1 FGD'!$M$63</f>
        <v>179930717</v>
      </c>
      <c r="N1640" s="401"/>
    </row>
    <row r="1641" spans="2:14" s="160" customFormat="1" ht="12.75" hidden="1" customHeight="1" outlineLevel="1">
      <c r="B1641" s="674" t="str">
        <f>'UHCL FGD'!$B$2</f>
        <v>University of Houston - Clear Lake</v>
      </c>
      <c r="D1641" s="390">
        <f>'UHCL FGD'!$D$63</f>
        <v>6693696</v>
      </c>
      <c r="E1641" s="390">
        <f>'UHCL FGD'!$E$63</f>
        <v>12955590</v>
      </c>
      <c r="F1641" s="390">
        <f>'UHCL FGD'!$F$63</f>
        <v>0</v>
      </c>
      <c r="G1641" s="390">
        <f>'UHCL FGD'!$G$63</f>
        <v>11332880</v>
      </c>
      <c r="H1641" s="390">
        <f>'UHCL FGD'!$H$63</f>
        <v>0</v>
      </c>
      <c r="I1641" s="390">
        <f>'UHCL FGD'!$I$63</f>
        <v>0</v>
      </c>
      <c r="J1641" s="390">
        <f>'UHCL FGD'!$J$63</f>
        <v>0</v>
      </c>
      <c r="K1641" s="390">
        <f>'UHCL FGD'!$K$63</f>
        <v>0</v>
      </c>
      <c r="L1641" s="390">
        <f>'UHCL FGD'!$L$63</f>
        <v>0</v>
      </c>
      <c r="M1641" s="390">
        <f>'UHCL FGD'!$M$63</f>
        <v>30982166</v>
      </c>
      <c r="N1641" s="401"/>
    </row>
    <row r="1642" spans="2:14" s="160" customFormat="1" ht="12.75" hidden="1" customHeight="1" outlineLevel="1">
      <c r="B1642" s="674" t="str">
        <f>'UHD FGD'!$B$2</f>
        <v>University of Houston - Downtown</v>
      </c>
      <c r="D1642" s="390">
        <f>'UHD FGD'!$D$63</f>
        <v>5534404</v>
      </c>
      <c r="E1642" s="390">
        <f>'UHD FGD'!$E$63</f>
        <v>20507793</v>
      </c>
      <c r="F1642" s="390">
        <f>'UHD FGD'!$F$63</f>
        <v>0</v>
      </c>
      <c r="G1642" s="390">
        <f>'UHD FGD'!$G$63</f>
        <v>9001824</v>
      </c>
      <c r="H1642" s="390">
        <f>'UHD FGD'!$H$63</f>
        <v>0</v>
      </c>
      <c r="I1642" s="390">
        <f>'UHD FGD'!$I$63</f>
        <v>0</v>
      </c>
      <c r="J1642" s="390">
        <f>'UHD FGD'!$J$63</f>
        <v>0</v>
      </c>
      <c r="K1642" s="390">
        <f>'UHD FGD'!$K$63</f>
        <v>0</v>
      </c>
      <c r="L1642" s="390">
        <f>'UHD FGD'!$L$63</f>
        <v>0</v>
      </c>
      <c r="M1642" s="390">
        <f>'UHD FGD'!$M$63</f>
        <v>35044021</v>
      </c>
      <c r="N1642" s="401"/>
    </row>
    <row r="1643" spans="2:14" s="160" customFormat="1" ht="12.75" hidden="1" customHeight="1" outlineLevel="1">
      <c r="B1643" s="674" t="str">
        <f>'UHV FGD'!$B$2</f>
        <v>University of Houston - Victoria</v>
      </c>
      <c r="D1643" s="390">
        <f>'UHV FGD'!$D$63</f>
        <v>1835871</v>
      </c>
      <c r="E1643" s="390">
        <f>'UHV FGD'!$E$63</f>
        <v>7335797</v>
      </c>
      <c r="F1643" s="390">
        <f>'UHV FGD'!$F$63</f>
        <v>265221</v>
      </c>
      <c r="G1643" s="390">
        <f>'UHV FGD'!$G$63</f>
        <v>4760541</v>
      </c>
      <c r="H1643" s="390">
        <f>'UHV FGD'!$H$63</f>
        <v>0</v>
      </c>
      <c r="I1643" s="390">
        <f>'UHV FGD'!$I$63</f>
        <v>0</v>
      </c>
      <c r="J1643" s="390">
        <f>'UHV FGD'!$J$63</f>
        <v>0</v>
      </c>
      <c r="K1643" s="390">
        <f>'UHV FGD'!$K$63</f>
        <v>0</v>
      </c>
      <c r="L1643" s="390">
        <f>'UHV FGD'!$L$63</f>
        <v>0</v>
      </c>
      <c r="M1643" s="390">
        <f>'UHV FGD'!$M$63</f>
        <v>14197430</v>
      </c>
      <c r="N1643" s="401"/>
    </row>
    <row r="1644" spans="2:14" s="160" customFormat="1" ht="12.75" hidden="1" customHeight="1" outlineLevel="1">
      <c r="B1644" s="674" t="str">
        <f>'UNT FGD'!$B$2</f>
        <v>University of North Texas</v>
      </c>
      <c r="D1644" s="390">
        <f>'UNT FGD'!$D$63</f>
        <v>20719464</v>
      </c>
      <c r="E1644" s="390">
        <f>'UNT FGD'!$E$63</f>
        <v>34783994</v>
      </c>
      <c r="F1644" s="390">
        <f>'UNT FGD'!$F$63</f>
        <v>0</v>
      </c>
      <c r="G1644" s="390">
        <f>'UNT FGD'!$G$63</f>
        <v>755687</v>
      </c>
      <c r="H1644" s="390">
        <f>'UNT FGD'!$H$63</f>
        <v>0</v>
      </c>
      <c r="I1644" s="390">
        <f>'UNT FGD'!$I$63</f>
        <v>0</v>
      </c>
      <c r="J1644" s="390">
        <f>'UNT FGD'!$J$63</f>
        <v>0</v>
      </c>
      <c r="K1644" s="390">
        <f>'UNT FGD'!$K$63</f>
        <v>0</v>
      </c>
      <c r="L1644" s="390">
        <f>'UNT FGD'!$L$63</f>
        <v>0</v>
      </c>
      <c r="M1644" s="390">
        <f>'UNT FGD'!$M$63</f>
        <v>56259145</v>
      </c>
      <c r="N1644" s="401"/>
    </row>
    <row r="1645" spans="2:14" s="160" customFormat="1" ht="12.75" hidden="1" customHeight="1" outlineLevel="1">
      <c r="B1645" s="674" t="str">
        <f>'UNTD FGD'!$B$2</f>
        <v>University of North Texas at Dallas</v>
      </c>
      <c r="D1645" s="390">
        <f>'UNTD FGD'!$D$63</f>
        <v>2394684</v>
      </c>
      <c r="E1645" s="390">
        <f>'UNTD FGD'!$E$63</f>
        <v>2142458</v>
      </c>
      <c r="F1645" s="390">
        <f>'UNTD FGD'!$F$63</f>
        <v>0</v>
      </c>
      <c r="G1645" s="390">
        <f>'UNTD FGD'!$G$63</f>
        <v>1549</v>
      </c>
      <c r="H1645" s="390">
        <f>'UNTD FGD'!$H$63</f>
        <v>0</v>
      </c>
      <c r="I1645" s="390">
        <f>'UNTD FGD'!$I$63</f>
        <v>0</v>
      </c>
      <c r="J1645" s="390">
        <f>'UNTD FGD'!$J$63</f>
        <v>0</v>
      </c>
      <c r="K1645" s="390">
        <f>'UNTD FGD'!$K$63</f>
        <v>0</v>
      </c>
      <c r="L1645" s="390">
        <f>'UNTD FGD'!$L$63</f>
        <v>0</v>
      </c>
      <c r="M1645" s="390">
        <f>'UNTD FGD'!$M$63</f>
        <v>4538691</v>
      </c>
      <c r="N1645" s="401"/>
    </row>
    <row r="1646" spans="2:14" s="160" customFormat="1" ht="12.75" hidden="1" customHeight="1" outlineLevel="1">
      <c r="B1646" s="674" t="str">
        <f>'WTAMU FGD'!$B$2</f>
        <v>West Texas A&amp;M University</v>
      </c>
      <c r="D1646" s="390">
        <f>'WTAMU FGD'!$D$63</f>
        <v>7022250</v>
      </c>
      <c r="E1646" s="390">
        <f>'WTAMU FGD'!$E$63</f>
        <v>5614682</v>
      </c>
      <c r="F1646" s="390">
        <f>'WTAMU FGD'!$F$63</f>
        <v>0</v>
      </c>
      <c r="G1646" s="390">
        <f>'WTAMU FGD'!$G$63</f>
        <v>4350728</v>
      </c>
      <c r="H1646" s="390">
        <f>'WTAMU FGD'!$H$63</f>
        <v>0</v>
      </c>
      <c r="I1646" s="390">
        <f>'WTAMU FGD'!$I$63</f>
        <v>0</v>
      </c>
      <c r="J1646" s="390">
        <f>'WTAMU FGD'!$J$63</f>
        <v>0</v>
      </c>
      <c r="K1646" s="390">
        <f>'WTAMU FGD'!$K$63</f>
        <v>0</v>
      </c>
      <c r="L1646" s="390">
        <f>'WTAMU FGD'!$L$63</f>
        <v>0</v>
      </c>
      <c r="M1646" s="390">
        <f>'WTAMU FGD'!$M$63</f>
        <v>16987660</v>
      </c>
      <c r="N1646" s="401"/>
    </row>
    <row r="1647" spans="2:14" s="160" customFormat="1" collapsed="1">
      <c r="B1647" s="160" t="s">
        <v>17</v>
      </c>
      <c r="D1647" s="390">
        <f t="shared" ref="D1647:M1647" si="43">SUM(D1611:D1646)</f>
        <v>506473156</v>
      </c>
      <c r="E1647" s="390">
        <f t="shared" si="43"/>
        <v>918930735</v>
      </c>
      <c r="F1647" s="390">
        <f t="shared" si="43"/>
        <v>265221</v>
      </c>
      <c r="G1647" s="390">
        <f t="shared" si="43"/>
        <v>218893947</v>
      </c>
      <c r="H1647" s="390">
        <f t="shared" si="43"/>
        <v>3870</v>
      </c>
      <c r="I1647" s="390">
        <f t="shared" si="43"/>
        <v>0</v>
      </c>
      <c r="J1647" s="390">
        <f t="shared" si="43"/>
        <v>0</v>
      </c>
      <c r="K1647" s="390">
        <f t="shared" si="43"/>
        <v>0</v>
      </c>
      <c r="L1647" s="390">
        <f t="shared" si="43"/>
        <v>-2502731</v>
      </c>
      <c r="M1647" s="390">
        <f t="shared" si="43"/>
        <v>1642064198</v>
      </c>
      <c r="N1647" s="401"/>
    </row>
    <row r="1648" spans="2:14" s="160" customFormat="1" ht="12.75" hidden="1" customHeight="1" outlineLevel="1">
      <c r="B1648" s="674" t="str">
        <f>'ARL FGD'!$B$2</f>
        <v>The University of Texas at Arlington</v>
      </c>
      <c r="D1648" s="390">
        <f>'ARL FGD'!$D$64</f>
        <v>9151611</v>
      </c>
      <c r="E1648" s="390">
        <f>'ARL FGD'!$E$64</f>
        <v>78079274</v>
      </c>
      <c r="F1648" s="390">
        <f>'ARL FGD'!$F$64</f>
        <v>0</v>
      </c>
      <c r="G1648" s="390">
        <f>'ARL FGD'!$G$64</f>
        <v>379634</v>
      </c>
      <c r="H1648" s="390">
        <f>'ARL FGD'!$H$64</f>
        <v>-903687</v>
      </c>
      <c r="I1648" s="390">
        <f>'ARL FGD'!$I$64</f>
        <v>0</v>
      </c>
      <c r="J1648" s="390">
        <f>'ARL FGD'!$J$64</f>
        <v>0</v>
      </c>
      <c r="K1648" s="390">
        <f>'ARL FGD'!$K$64</f>
        <v>0</v>
      </c>
      <c r="L1648" s="390">
        <f>'ARL FGD'!$L$64</f>
        <v>0</v>
      </c>
      <c r="M1648" s="390">
        <f>'ARL FGD'!$M$64</f>
        <v>86706832</v>
      </c>
      <c r="N1648" s="401"/>
    </row>
    <row r="1649" spans="2:14" s="160" customFormat="1" ht="12.75" hidden="1" customHeight="1" outlineLevel="1">
      <c r="B1649" s="674" t="str">
        <f>'ASU FGD'!$B$2</f>
        <v>Angelo State University</v>
      </c>
      <c r="D1649" s="390">
        <f>'ASU FGD'!$D$64</f>
        <v>1897140</v>
      </c>
      <c r="E1649" s="390">
        <f>'ASU FGD'!$E$64</f>
        <v>7135272</v>
      </c>
      <c r="F1649" s="390">
        <f>'ASU FGD'!$F$64</f>
        <v>0</v>
      </c>
      <c r="G1649" s="390">
        <f>'ASU FGD'!$G$64</f>
        <v>18641</v>
      </c>
      <c r="H1649" s="390">
        <f>'ASU FGD'!$H$64</f>
        <v>0</v>
      </c>
      <c r="I1649" s="390">
        <f>'ASU FGD'!$I$64</f>
        <v>0</v>
      </c>
      <c r="J1649" s="390">
        <f>'ASU FGD'!$J$64</f>
        <v>0</v>
      </c>
      <c r="K1649" s="390">
        <f>'ASU FGD'!$K$64</f>
        <v>0</v>
      </c>
      <c r="L1649" s="390">
        <f>'ASU FGD'!$L$64</f>
        <v>0</v>
      </c>
      <c r="M1649" s="390">
        <f>'ASU FGD'!$M$64</f>
        <v>9051053</v>
      </c>
      <c r="N1649" s="401"/>
    </row>
    <row r="1650" spans="2:14" s="160" customFormat="1" ht="12.75" hidden="1" customHeight="1" outlineLevel="1">
      <c r="B1650" s="674" t="str">
        <f>'AUS1 FGD'!$B$2</f>
        <v>The University of Texas at Austin - Academic &amp; Health (A+H)</v>
      </c>
      <c r="D1650" s="390">
        <f>'AUS1 FGD'!$D$64</f>
        <v>15136139</v>
      </c>
      <c r="E1650" s="390">
        <f>'AUS1 FGD'!$E$64</f>
        <v>26494555</v>
      </c>
      <c r="F1650" s="390">
        <f>'AUS1 FGD'!$F$64</f>
        <v>0</v>
      </c>
      <c r="G1650" s="390">
        <f>'AUS1 FGD'!$G$64</f>
        <v>1062128</v>
      </c>
      <c r="H1650" s="390">
        <f>'AUS1 FGD'!$H$64</f>
        <v>-900927</v>
      </c>
      <c r="I1650" s="390">
        <f>'AUS1 FGD'!$I$64</f>
        <v>0</v>
      </c>
      <c r="J1650" s="390">
        <f>'AUS1 FGD'!$J$64</f>
        <v>0</v>
      </c>
      <c r="K1650" s="390">
        <f>'AUS1 FGD'!$K$64</f>
        <v>0</v>
      </c>
      <c r="L1650" s="390">
        <f>'AUS1 FGD'!$L$64</f>
        <v>0</v>
      </c>
      <c r="M1650" s="390">
        <f>'AUS1 FGD'!$M$64</f>
        <v>41791895</v>
      </c>
      <c r="N1650" s="401"/>
    </row>
    <row r="1651" spans="2:14" s="160" customFormat="1" ht="12.75" hidden="1" customHeight="1" outlineLevel="1">
      <c r="B1651" s="674" t="str">
        <f>'RGV1 FGD'!$B$2</f>
        <v>The University of Texas RGV - Academic &amp; Health (A+H)</v>
      </c>
      <c r="D1651" s="390">
        <f>'RGV1 FGD'!$D$64</f>
        <v>7253361</v>
      </c>
      <c r="E1651" s="390">
        <f>'RGV1 FGD'!$E$64</f>
        <v>12501876</v>
      </c>
      <c r="F1651" s="390">
        <f>'RGV1 FGD'!$F$64</f>
        <v>0</v>
      </c>
      <c r="G1651" s="390">
        <f>'RGV1 FGD'!$G$64</f>
        <v>20024783</v>
      </c>
      <c r="H1651" s="390">
        <f>'RGV1 FGD'!$H$64</f>
        <v>-539663</v>
      </c>
      <c r="I1651" s="390">
        <f>'RGV1 FGD'!$I$64</f>
        <v>0</v>
      </c>
      <c r="J1651" s="390">
        <f>'RGV1 FGD'!$J$64</f>
        <v>0</v>
      </c>
      <c r="K1651" s="390">
        <f>'RGV1 FGD'!$K$64</f>
        <v>0</v>
      </c>
      <c r="L1651" s="390">
        <f>'RGV1 FGD'!$L$64</f>
        <v>0</v>
      </c>
      <c r="M1651" s="390">
        <f>'RGV1 FGD'!$M$64</f>
        <v>39240357</v>
      </c>
      <c r="N1651" s="401"/>
    </row>
    <row r="1652" spans="2:14" s="160" customFormat="1" ht="12.75" hidden="1" customHeight="1" outlineLevel="1">
      <c r="B1652" s="674" t="str">
        <f>'DAL FGD'!$B$2</f>
        <v>The University of Texas at Dallas</v>
      </c>
      <c r="D1652" s="390">
        <f>'DAL FGD'!$D$64</f>
        <v>237603</v>
      </c>
      <c r="E1652" s="390">
        <f>'DAL FGD'!$E$64</f>
        <v>17400036</v>
      </c>
      <c r="F1652" s="390">
        <f>'DAL FGD'!$F$64</f>
        <v>0</v>
      </c>
      <c r="G1652" s="390">
        <f>'DAL FGD'!$G$64</f>
        <v>323855</v>
      </c>
      <c r="H1652" s="390">
        <f>'DAL FGD'!$H$64</f>
        <v>5339</v>
      </c>
      <c r="I1652" s="390">
        <f>'DAL FGD'!$I$64</f>
        <v>0</v>
      </c>
      <c r="J1652" s="390">
        <f>'DAL FGD'!$J$64</f>
        <v>0</v>
      </c>
      <c r="K1652" s="390">
        <f>'DAL FGD'!$K$64</f>
        <v>0</v>
      </c>
      <c r="L1652" s="390">
        <f>'DAL FGD'!$L$64</f>
        <v>0</v>
      </c>
      <c r="M1652" s="390">
        <f>'DAL FGD'!$M$64</f>
        <v>17966833</v>
      </c>
      <c r="N1652" s="401"/>
    </row>
    <row r="1653" spans="2:14" s="160" customFormat="1" ht="12.75" hidden="1" customHeight="1" outlineLevel="1">
      <c r="B1653" s="674" t="str">
        <f>'E-P FGD'!$B$2</f>
        <v>The University of Texas at El Paso</v>
      </c>
      <c r="D1653" s="390">
        <f>'E-P FGD'!$D$64</f>
        <v>6338040</v>
      </c>
      <c r="E1653" s="390">
        <f>'E-P FGD'!$E$64</f>
        <v>12793969</v>
      </c>
      <c r="F1653" s="390">
        <f>'E-P FGD'!$F$64</f>
        <v>0</v>
      </c>
      <c r="G1653" s="390">
        <f>'E-P FGD'!$G$64</f>
        <v>9509516</v>
      </c>
      <c r="H1653" s="390">
        <f>'E-P FGD'!$H$64</f>
        <v>-370763</v>
      </c>
      <c r="I1653" s="390">
        <f>'E-P FGD'!$I$64</f>
        <v>0</v>
      </c>
      <c r="J1653" s="390">
        <f>'E-P FGD'!$J$64</f>
        <v>0</v>
      </c>
      <c r="K1653" s="390">
        <f>'E-P FGD'!$K$64</f>
        <v>0</v>
      </c>
      <c r="L1653" s="390">
        <f>'E-P FGD'!$L$64</f>
        <v>0</v>
      </c>
      <c r="M1653" s="390">
        <f>'E-P FGD'!$M$64</f>
        <v>28270762</v>
      </c>
      <c r="N1653" s="401"/>
    </row>
    <row r="1654" spans="2:14" s="160" customFormat="1" ht="12.75" hidden="1" customHeight="1" outlineLevel="1">
      <c r="B1654" s="674" t="str">
        <f>'LU FGD'!$B$2</f>
        <v xml:space="preserve">Lamar University </v>
      </c>
      <c r="D1654" s="390">
        <f>'LU FGD'!$D$64</f>
        <v>5674805</v>
      </c>
      <c r="E1654" s="390">
        <f>'LU FGD'!$E$64</f>
        <v>3393054</v>
      </c>
      <c r="F1654" s="390">
        <f>'LU FGD'!$F$64</f>
        <v>0</v>
      </c>
      <c r="G1654" s="390">
        <f>'LU FGD'!$G$64</f>
        <v>113382</v>
      </c>
      <c r="H1654" s="390">
        <f>'LU FGD'!$H$64</f>
        <v>0</v>
      </c>
      <c r="I1654" s="390">
        <f>'LU FGD'!$I$64</f>
        <v>0</v>
      </c>
      <c r="J1654" s="390">
        <f>'LU FGD'!$J$64</f>
        <v>0</v>
      </c>
      <c r="K1654" s="390">
        <f>'LU FGD'!$K$64</f>
        <v>0</v>
      </c>
      <c r="L1654" s="390">
        <f>'LU FGD'!$L$64</f>
        <v>0</v>
      </c>
      <c r="M1654" s="390">
        <f>'LU FGD'!$M$64</f>
        <v>9181241</v>
      </c>
      <c r="N1654" s="401"/>
    </row>
    <row r="1655" spans="2:14" s="160" customFormat="1" ht="12.75" hidden="1" customHeight="1" outlineLevel="1">
      <c r="B1655" s="674" t="str">
        <f>'MidWST FGD'!$B$2</f>
        <v>Midwestern State University</v>
      </c>
      <c r="D1655" s="390">
        <f>'MidWST FGD'!$D$64</f>
        <v>1448699</v>
      </c>
      <c r="E1655" s="390">
        <f>'MidWST FGD'!$E$64</f>
        <v>11188606</v>
      </c>
      <c r="F1655" s="390">
        <f>'MidWST FGD'!$F$64</f>
        <v>0</v>
      </c>
      <c r="G1655" s="390">
        <f>'MidWST FGD'!$G$64</f>
        <v>547336</v>
      </c>
      <c r="H1655" s="390">
        <f>'MidWST FGD'!$H$64</f>
        <v>467508</v>
      </c>
      <c r="I1655" s="390">
        <f>'MidWST FGD'!$I$64</f>
        <v>0</v>
      </c>
      <c r="J1655" s="390">
        <f>'MidWST FGD'!$J$64</f>
        <v>0</v>
      </c>
      <c r="K1655" s="390">
        <f>'MidWST FGD'!$K$64</f>
        <v>0</v>
      </c>
      <c r="L1655" s="390">
        <f>'MidWST FGD'!$L$64</f>
        <v>0</v>
      </c>
      <c r="M1655" s="390">
        <f>'MidWST FGD'!$M$64</f>
        <v>13652149</v>
      </c>
      <c r="N1655" s="401"/>
    </row>
    <row r="1656" spans="2:14" s="160" customFormat="1" ht="12.75" hidden="1" customHeight="1" outlineLevel="1">
      <c r="B1656" s="674" t="str">
        <f>'P-B FGD'!$B$2</f>
        <v>The University of Texas of the Permian Basin</v>
      </c>
      <c r="D1656" s="390">
        <f>'P-B FGD'!$D$64</f>
        <v>2008798</v>
      </c>
      <c r="E1656" s="390">
        <f>'P-B FGD'!$E$64</f>
        <v>1406501</v>
      </c>
      <c r="F1656" s="390">
        <f>'P-B FGD'!$F$64</f>
        <v>0</v>
      </c>
      <c r="G1656" s="390">
        <f>'P-B FGD'!$G$64</f>
        <v>29161</v>
      </c>
      <c r="H1656" s="390">
        <f>'P-B FGD'!$H$64</f>
        <v>0</v>
      </c>
      <c r="I1656" s="390">
        <f>'P-B FGD'!$I$64</f>
        <v>0</v>
      </c>
      <c r="J1656" s="390">
        <f>'P-B FGD'!$J$64</f>
        <v>0</v>
      </c>
      <c r="K1656" s="390">
        <f>'P-B FGD'!$K$64</f>
        <v>0</v>
      </c>
      <c r="L1656" s="390">
        <f>'P-B FGD'!$L$64</f>
        <v>0</v>
      </c>
      <c r="M1656" s="390">
        <f>'P-B FGD'!$M$64</f>
        <v>3444460</v>
      </c>
      <c r="N1656" s="401"/>
    </row>
    <row r="1657" spans="2:14" s="160" customFormat="1" ht="12.75" hidden="1" customHeight="1" outlineLevel="1">
      <c r="B1657" s="674" t="str">
        <f>'PVAMU FGD'!$B$2</f>
        <v>Prairie View A&amp;M University</v>
      </c>
      <c r="D1657" s="390">
        <f>'PVAMU FGD'!$D$64</f>
        <v>5754030</v>
      </c>
      <c r="E1657" s="390">
        <f>'PVAMU FGD'!$E$64</f>
        <v>10181767</v>
      </c>
      <c r="F1657" s="390">
        <f>'PVAMU FGD'!$F$64</f>
        <v>0</v>
      </c>
      <c r="G1657" s="390">
        <f>'PVAMU FGD'!$G$64</f>
        <v>3594139</v>
      </c>
      <c r="H1657" s="390">
        <f>'PVAMU FGD'!$H$64</f>
        <v>-23511</v>
      </c>
      <c r="I1657" s="390">
        <f>'PVAMU FGD'!$I$64</f>
        <v>0</v>
      </c>
      <c r="J1657" s="390">
        <f>'PVAMU FGD'!$J$64</f>
        <v>0</v>
      </c>
      <c r="K1657" s="390">
        <f>'PVAMU FGD'!$K$64</f>
        <v>0</v>
      </c>
      <c r="L1657" s="390">
        <f>'PVAMU FGD'!$L$64</f>
        <v>0</v>
      </c>
      <c r="M1657" s="390">
        <f>'PVAMU FGD'!$M$64</f>
        <v>19506425</v>
      </c>
      <c r="N1657" s="401"/>
    </row>
    <row r="1658" spans="2:14" s="160" customFormat="1" ht="12.75" hidden="1" customHeight="1" outlineLevel="1">
      <c r="B1658" s="674" t="str">
        <f>'S-A FGD'!$B$2</f>
        <v>The University of Texas at San Antonio</v>
      </c>
      <c r="D1658" s="390">
        <f>'S-A FGD'!$D$64</f>
        <v>5403003</v>
      </c>
      <c r="E1658" s="390">
        <f>'S-A FGD'!$E$64</f>
        <v>23381576</v>
      </c>
      <c r="F1658" s="390">
        <f>'S-A FGD'!$F$64</f>
        <v>0</v>
      </c>
      <c r="G1658" s="390">
        <f>'S-A FGD'!$G$64</f>
        <v>731065</v>
      </c>
      <c r="H1658" s="390">
        <f>'S-A FGD'!$H$64</f>
        <v>1023660</v>
      </c>
      <c r="I1658" s="390">
        <f>'S-A FGD'!$I$64</f>
        <v>0</v>
      </c>
      <c r="J1658" s="390">
        <f>'S-A FGD'!$J$64</f>
        <v>0</v>
      </c>
      <c r="K1658" s="390">
        <f>'S-A FGD'!$K$64</f>
        <v>0</v>
      </c>
      <c r="L1658" s="390">
        <f>'S-A FGD'!$L$64</f>
        <v>0</v>
      </c>
      <c r="M1658" s="390">
        <f>'S-A FGD'!$M$64</f>
        <v>30539304</v>
      </c>
      <c r="N1658" s="401"/>
    </row>
    <row r="1659" spans="2:14" s="160" customFormat="1" ht="12.75" hidden="1" customHeight="1" outlineLevel="1">
      <c r="B1659" s="674" t="str">
        <f>'SFA FGD'!$B$2</f>
        <v>Stephen F. Austin State University</v>
      </c>
      <c r="D1659" s="390">
        <f>'SFA FGD'!$D$64</f>
        <v>609664</v>
      </c>
      <c r="E1659" s="390">
        <f>'SFA FGD'!$E$64</f>
        <v>8123407</v>
      </c>
      <c r="F1659" s="390">
        <f>'SFA FGD'!$F$64</f>
        <v>12548022</v>
      </c>
      <c r="G1659" s="390">
        <f>'SFA FGD'!$G$64</f>
        <v>1201694</v>
      </c>
      <c r="H1659" s="390">
        <f>'SFA FGD'!$H$64</f>
        <v>590966</v>
      </c>
      <c r="I1659" s="390">
        <f>'SFA FGD'!$I$64</f>
        <v>0</v>
      </c>
      <c r="J1659" s="390">
        <f>'SFA FGD'!$J$64</f>
        <v>55000</v>
      </c>
      <c r="K1659" s="390">
        <f>'SFA FGD'!$K$64</f>
        <v>0</v>
      </c>
      <c r="L1659" s="390">
        <f>'SFA FGD'!$L$64</f>
        <v>0</v>
      </c>
      <c r="M1659" s="390">
        <f>'SFA FGD'!$M$64</f>
        <v>23128753</v>
      </c>
      <c r="N1659" s="401"/>
    </row>
    <row r="1660" spans="2:14" s="160" customFormat="1" ht="12.75" hidden="1" customHeight="1" outlineLevel="1">
      <c r="B1660" s="674" t="str">
        <f>'shsu1 FGD'!$B$2</f>
        <v>Sam Houston State University - Academic &amp; Health (A+H)</v>
      </c>
      <c r="D1660" s="390">
        <f>'shsu1 FGD'!$D$64</f>
        <v>5091368</v>
      </c>
      <c r="E1660" s="390">
        <f>'shsu1 FGD'!$E$64</f>
        <v>22718857</v>
      </c>
      <c r="F1660" s="390">
        <f>'shsu1 FGD'!$F$64</f>
        <v>0</v>
      </c>
      <c r="G1660" s="390">
        <f>'shsu1 FGD'!$G$64</f>
        <v>123983</v>
      </c>
      <c r="H1660" s="390">
        <f>'shsu1 FGD'!$H$64</f>
        <v>0</v>
      </c>
      <c r="I1660" s="390">
        <f>'shsu1 FGD'!$I$64</f>
        <v>0</v>
      </c>
      <c r="J1660" s="390">
        <f>'shsu1 FGD'!$J$64</f>
        <v>44335</v>
      </c>
      <c r="K1660" s="390">
        <f>'shsu1 FGD'!$K$64</f>
        <v>0</v>
      </c>
      <c r="L1660" s="390">
        <f>'shsu1 FGD'!$L$64</f>
        <v>0</v>
      </c>
      <c r="M1660" s="390">
        <f>'shsu1 FGD'!$M$64</f>
        <v>27978543</v>
      </c>
      <c r="N1660" s="401"/>
    </row>
    <row r="1661" spans="2:14" s="160" customFormat="1" ht="12.75" hidden="1" customHeight="1" outlineLevel="1">
      <c r="B1661" s="674" t="str">
        <f>'SRSU FGD'!$B$2</f>
        <v>Sul Ross State University</v>
      </c>
      <c r="D1661" s="390">
        <f>'SRSU FGD'!$D$64</f>
        <v>1934551</v>
      </c>
      <c r="E1661" s="390">
        <f>'SRSU FGD'!$E$64</f>
        <v>78084</v>
      </c>
      <c r="F1661" s="390">
        <f>'SRSU FGD'!$F$64</f>
        <v>54116</v>
      </c>
      <c r="G1661" s="390">
        <f>'SRSU FGD'!$G$64</f>
        <v>1867478</v>
      </c>
      <c r="H1661" s="390">
        <f>'SRSU FGD'!$H$64</f>
        <v>0</v>
      </c>
      <c r="I1661" s="390">
        <f>'SRSU FGD'!$I$64</f>
        <v>0</v>
      </c>
      <c r="J1661" s="390">
        <f>'SRSU FGD'!$J$64</f>
        <v>0</v>
      </c>
      <c r="K1661" s="390">
        <f>'SRSU FGD'!$K$64</f>
        <v>0</v>
      </c>
      <c r="L1661" s="390">
        <f>'SRSU FGD'!$L$64</f>
        <v>0</v>
      </c>
      <c r="M1661" s="390">
        <f>'SRSU FGD'!$M$64</f>
        <v>3934229</v>
      </c>
      <c r="N1661" s="401"/>
    </row>
    <row r="1662" spans="2:14" s="160" customFormat="1" ht="12.75" hidden="1" customHeight="1" outlineLevel="1">
      <c r="B1662" s="674" t="str">
        <f>'TAMIU FGD'!$B$2</f>
        <v>Texas A&amp;M International University</v>
      </c>
      <c r="D1662" s="390">
        <f>'TAMIU FGD'!$D$64</f>
        <v>953114</v>
      </c>
      <c r="E1662" s="390">
        <f>'TAMIU FGD'!$E$64</f>
        <v>5535575</v>
      </c>
      <c r="F1662" s="390">
        <f>'TAMIU FGD'!$F$64</f>
        <v>0</v>
      </c>
      <c r="G1662" s="390">
        <f>'TAMIU FGD'!$G$64</f>
        <v>1640632</v>
      </c>
      <c r="H1662" s="390">
        <f>'TAMIU FGD'!$H$64</f>
        <v>215</v>
      </c>
      <c r="I1662" s="390">
        <f>'TAMIU FGD'!$I$64</f>
        <v>0</v>
      </c>
      <c r="J1662" s="390">
        <f>'TAMIU FGD'!$J$64</f>
        <v>0</v>
      </c>
      <c r="K1662" s="390">
        <f>'TAMIU FGD'!$K$64</f>
        <v>0</v>
      </c>
      <c r="L1662" s="390">
        <f>'TAMIU FGD'!$L$64</f>
        <v>0</v>
      </c>
      <c r="M1662" s="390">
        <f>'TAMIU FGD'!$M$64</f>
        <v>8129536</v>
      </c>
      <c r="N1662" s="401"/>
    </row>
    <row r="1663" spans="2:14" s="160" customFormat="1" ht="12.75" hidden="1" customHeight="1" outlineLevel="1">
      <c r="B1663" s="674" t="str">
        <f>'TAMU FGD'!$B$2</f>
        <v>Texas A&amp;M University</v>
      </c>
      <c r="D1663" s="390">
        <f>'TAMU FGD'!$D$64</f>
        <v>17170591</v>
      </c>
      <c r="E1663" s="390">
        <f>'TAMU FGD'!$E$64</f>
        <v>55635859</v>
      </c>
      <c r="F1663" s="390">
        <f>'TAMU FGD'!$F$64</f>
        <v>0</v>
      </c>
      <c r="G1663" s="390">
        <f>'TAMU FGD'!$G$64</f>
        <v>4257568</v>
      </c>
      <c r="H1663" s="390">
        <f>'TAMU FGD'!$H$64</f>
        <v>5128700</v>
      </c>
      <c r="I1663" s="390">
        <f>'TAMU FGD'!$I$64</f>
        <v>0</v>
      </c>
      <c r="J1663" s="390">
        <f>'TAMU FGD'!$J$64</f>
        <v>0</v>
      </c>
      <c r="K1663" s="390">
        <f>'TAMU FGD'!$K$64</f>
        <v>0</v>
      </c>
      <c r="L1663" s="390">
        <f>'TAMU FGD'!$L$64</f>
        <v>0</v>
      </c>
      <c r="M1663" s="390">
        <f>'TAMU FGD'!$M$64</f>
        <v>82192718</v>
      </c>
      <c r="N1663" s="401"/>
    </row>
    <row r="1664" spans="2:14" s="160" customFormat="1" ht="12.75" hidden="1" customHeight="1" outlineLevel="1">
      <c r="B1664" s="674" t="str">
        <f>'TAMUC FGD'!$B$2</f>
        <v>Texas A&amp;M University - Commerce</v>
      </c>
      <c r="D1664" s="390">
        <f>'TAMUC FGD'!$D$64</f>
        <v>4252653</v>
      </c>
      <c r="E1664" s="390">
        <f>'TAMUC FGD'!$E$64</f>
        <v>8506033</v>
      </c>
      <c r="F1664" s="390">
        <f>'TAMUC FGD'!$F$64</f>
        <v>0</v>
      </c>
      <c r="G1664" s="390">
        <f>'TAMUC FGD'!$G$64</f>
        <v>3429195</v>
      </c>
      <c r="H1664" s="390">
        <f>'TAMUC FGD'!$H$64</f>
        <v>244780</v>
      </c>
      <c r="I1664" s="390">
        <f>'TAMUC FGD'!$I$64</f>
        <v>0</v>
      </c>
      <c r="J1664" s="390">
        <f>'TAMUC FGD'!$J$64</f>
        <v>0</v>
      </c>
      <c r="K1664" s="390">
        <f>'TAMUC FGD'!$K$64</f>
        <v>0</v>
      </c>
      <c r="L1664" s="390">
        <f>'TAMUC FGD'!$L$64</f>
        <v>0</v>
      </c>
      <c r="M1664" s="390">
        <f>'TAMUC FGD'!$M$64</f>
        <v>16432661</v>
      </c>
      <c r="N1664" s="401"/>
    </row>
    <row r="1665" spans="2:14" s="160" customFormat="1" ht="12.75" hidden="1" customHeight="1" outlineLevel="1">
      <c r="B1665" s="674" t="str">
        <f>'TAMUCC FGD'!$B$2</f>
        <v>Texas A&amp;M University - Corpus Christi</v>
      </c>
      <c r="D1665" s="390">
        <f>'TAMUCC FGD'!$D$64</f>
        <v>4272410</v>
      </c>
      <c r="E1665" s="390">
        <f>'TAMUCC FGD'!$E$64</f>
        <v>8373911</v>
      </c>
      <c r="F1665" s="390">
        <f>'TAMUCC FGD'!$F$64</f>
        <v>0</v>
      </c>
      <c r="G1665" s="390">
        <f>'TAMUCC FGD'!$G$64</f>
        <v>380604</v>
      </c>
      <c r="H1665" s="390">
        <f>'TAMUCC FGD'!$H$64</f>
        <v>493268</v>
      </c>
      <c r="I1665" s="390">
        <f>'TAMUCC FGD'!$I$64</f>
        <v>0</v>
      </c>
      <c r="J1665" s="390">
        <f>'TAMUCC FGD'!$J$64</f>
        <v>20</v>
      </c>
      <c r="K1665" s="390">
        <f>'TAMUCC FGD'!$K$64</f>
        <v>0</v>
      </c>
      <c r="L1665" s="390">
        <f>'TAMUCC FGD'!$L$64</f>
        <v>0</v>
      </c>
      <c r="M1665" s="390">
        <f>'TAMUCC FGD'!$M$64</f>
        <v>13520213</v>
      </c>
      <c r="N1665" s="401"/>
    </row>
    <row r="1666" spans="2:14" s="160" customFormat="1" ht="12.75" hidden="1" customHeight="1" outlineLevel="1">
      <c r="B1666" s="674" t="str">
        <f>'TAMUCT FGD'!$B$2</f>
        <v>Texas A&amp;M University - Central Texas</v>
      </c>
      <c r="D1666" s="390">
        <f>'TAMUCT FGD'!$D$64</f>
        <v>1895827</v>
      </c>
      <c r="E1666" s="390">
        <f>'TAMUCT FGD'!$E$64</f>
        <v>3383225</v>
      </c>
      <c r="F1666" s="390">
        <f>'TAMUCT FGD'!$F$64</f>
        <v>0</v>
      </c>
      <c r="G1666" s="390">
        <f>'TAMUCT FGD'!$G$64</f>
        <v>429287</v>
      </c>
      <c r="H1666" s="390">
        <f>'TAMUCT FGD'!$H$64</f>
        <v>-3381</v>
      </c>
      <c r="I1666" s="390">
        <f>'TAMUCT FGD'!$I$64</f>
        <v>0</v>
      </c>
      <c r="J1666" s="390">
        <f>'TAMUCT FGD'!$J$64</f>
        <v>0</v>
      </c>
      <c r="K1666" s="390">
        <f>'TAMUCT FGD'!$K$64</f>
        <v>0</v>
      </c>
      <c r="L1666" s="390">
        <f>'TAMUCT FGD'!$L$64</f>
        <v>0</v>
      </c>
      <c r="M1666" s="390">
        <f>'TAMUCT FGD'!$M$64</f>
        <v>5704958</v>
      </c>
      <c r="N1666" s="401"/>
    </row>
    <row r="1667" spans="2:14" s="160" customFormat="1" ht="12.75" hidden="1" customHeight="1" outlineLevel="1">
      <c r="B1667" s="674" t="str">
        <f>'TAMUG FGD'!$B$2</f>
        <v>Texas A&amp;M University at Galveston</v>
      </c>
      <c r="D1667" s="390">
        <f>'TAMUG FGD'!$D$64</f>
        <v>1452559</v>
      </c>
      <c r="E1667" s="390">
        <f>'TAMUG FGD'!$E$64</f>
        <v>1720329</v>
      </c>
      <c r="F1667" s="390">
        <f>'TAMUG FGD'!$F$64</f>
        <v>0</v>
      </c>
      <c r="G1667" s="390">
        <f>'TAMUG FGD'!$G$64</f>
        <v>5396</v>
      </c>
      <c r="H1667" s="390">
        <f>'TAMUG FGD'!$H$64</f>
        <v>13056</v>
      </c>
      <c r="I1667" s="390">
        <f>'TAMUG FGD'!$I$64</f>
        <v>0</v>
      </c>
      <c r="J1667" s="390">
        <f>'TAMUG FGD'!$J$64</f>
        <v>0</v>
      </c>
      <c r="K1667" s="390">
        <f>'TAMUG FGD'!$K$64</f>
        <v>0</v>
      </c>
      <c r="L1667" s="390">
        <f>'TAMUG FGD'!$L$64</f>
        <v>0</v>
      </c>
      <c r="M1667" s="390">
        <f>'TAMUG FGD'!$M$64</f>
        <v>3191340</v>
      </c>
      <c r="N1667" s="401"/>
    </row>
    <row r="1668" spans="2:14" s="160" customFormat="1" ht="12.75" hidden="1" customHeight="1" outlineLevel="1">
      <c r="B1668" s="674" t="str">
        <f>'TAMUK FGD'!$B$2</f>
        <v>Texas A&amp;M University - Kingsville</v>
      </c>
      <c r="D1668" s="390">
        <f>'TAMUK FGD'!$D$64</f>
        <v>3497023</v>
      </c>
      <c r="E1668" s="390">
        <f>'TAMUK FGD'!$E$64</f>
        <v>6662764</v>
      </c>
      <c r="F1668" s="390">
        <f>'TAMUK FGD'!$F$64</f>
        <v>0</v>
      </c>
      <c r="G1668" s="390">
        <f>'TAMUK FGD'!$G$64</f>
        <v>3104219</v>
      </c>
      <c r="H1668" s="390">
        <f>'TAMUK FGD'!$H$64</f>
        <v>13140</v>
      </c>
      <c r="I1668" s="390">
        <f>'TAMUK FGD'!$I$64</f>
        <v>0</v>
      </c>
      <c r="J1668" s="390">
        <f>'TAMUK FGD'!$J$64</f>
        <v>0</v>
      </c>
      <c r="K1668" s="390">
        <f>'TAMUK FGD'!$K$64</f>
        <v>0</v>
      </c>
      <c r="L1668" s="390">
        <f>'TAMUK FGD'!$L$64</f>
        <v>0</v>
      </c>
      <c r="M1668" s="390">
        <f>'TAMUK FGD'!$M$64</f>
        <v>13277146</v>
      </c>
      <c r="N1668" s="401"/>
    </row>
    <row r="1669" spans="2:14" s="160" customFormat="1" ht="12.75" hidden="1" customHeight="1" outlineLevel="1">
      <c r="B1669" s="674" t="str">
        <f>'TAMUSA FGD'!$B$2</f>
        <v>Texas A&amp;M University - San Antonio</v>
      </c>
      <c r="D1669" s="390">
        <f>'TAMUSA FGD'!$D$64</f>
        <v>4831879</v>
      </c>
      <c r="E1669" s="390">
        <f>'TAMUSA FGD'!$E$64</f>
        <v>12899803</v>
      </c>
      <c r="F1669" s="390">
        <f>'TAMUSA FGD'!$F$64</f>
        <v>0</v>
      </c>
      <c r="G1669" s="390">
        <f>'TAMUSA FGD'!$G$64</f>
        <v>420400</v>
      </c>
      <c r="H1669" s="390">
        <f>'TAMUSA FGD'!$H$64</f>
        <v>-1085</v>
      </c>
      <c r="I1669" s="390">
        <f>'TAMUSA FGD'!$I$64</f>
        <v>0</v>
      </c>
      <c r="J1669" s="390">
        <f>'TAMUSA FGD'!$J$64</f>
        <v>0</v>
      </c>
      <c r="K1669" s="390">
        <f>'TAMUSA FGD'!$K$64</f>
        <v>0</v>
      </c>
      <c r="L1669" s="390">
        <f>'TAMUSA FGD'!$L$64</f>
        <v>0</v>
      </c>
      <c r="M1669" s="390">
        <f>'TAMUSA FGD'!$M$64</f>
        <v>18150997</v>
      </c>
      <c r="N1669" s="401"/>
    </row>
    <row r="1670" spans="2:14" s="160" customFormat="1" ht="12.75" hidden="1" customHeight="1" outlineLevel="1">
      <c r="B1670" s="674" t="str">
        <f>'TAMUT FGD'!$B$2</f>
        <v>Texas A&amp;M University - Texarkana</v>
      </c>
      <c r="D1670" s="390">
        <f>'TAMUT FGD'!$D$64</f>
        <v>2092989</v>
      </c>
      <c r="E1670" s="390">
        <f>'TAMUT FGD'!$E$64</f>
        <v>1639632</v>
      </c>
      <c r="F1670" s="390">
        <f>'TAMUT FGD'!$F$64</f>
        <v>0</v>
      </c>
      <c r="G1670" s="390">
        <f>'TAMUT FGD'!$G$64</f>
        <v>663908</v>
      </c>
      <c r="H1670" s="390">
        <f>'TAMUT FGD'!$H$64</f>
        <v>-5767</v>
      </c>
      <c r="I1670" s="390">
        <f>'TAMUT FGD'!$I$64</f>
        <v>0</v>
      </c>
      <c r="J1670" s="390">
        <f>'TAMUT FGD'!$J$64</f>
        <v>0</v>
      </c>
      <c r="K1670" s="390">
        <f>'TAMUT FGD'!$K$64</f>
        <v>0</v>
      </c>
      <c r="L1670" s="390">
        <f>'TAMUT FGD'!$L$64</f>
        <v>0</v>
      </c>
      <c r="M1670" s="390">
        <f>'TAMUT FGD'!$M$64</f>
        <v>4390762</v>
      </c>
      <c r="N1670" s="401"/>
    </row>
    <row r="1671" spans="2:14" s="160" customFormat="1" ht="12.75" hidden="1" customHeight="1" outlineLevel="1">
      <c r="B1671" s="674" t="str">
        <f>'TARLST FGD'!$B$2</f>
        <v>Tarleton State University</v>
      </c>
      <c r="D1671" s="390">
        <f>'TARLST FGD'!$D$64</f>
        <v>3323920</v>
      </c>
      <c r="E1671" s="390">
        <f>'TARLST FGD'!$E$64</f>
        <v>7737300</v>
      </c>
      <c r="F1671" s="390">
        <f>'TARLST FGD'!$F$64</f>
        <v>0</v>
      </c>
      <c r="G1671" s="390">
        <f>'TARLST FGD'!$G$64</f>
        <v>1436848</v>
      </c>
      <c r="H1671" s="390">
        <f>'TARLST FGD'!$H$64</f>
        <v>54684</v>
      </c>
      <c r="I1671" s="390">
        <f>'TARLST FGD'!$I$64</f>
        <v>0</v>
      </c>
      <c r="J1671" s="390">
        <f>'TARLST FGD'!$J$64</f>
        <v>0</v>
      </c>
      <c r="K1671" s="390">
        <f>'TARLST FGD'!$K$64</f>
        <v>0</v>
      </c>
      <c r="L1671" s="390">
        <f>'TARLST FGD'!$L$64</f>
        <v>0</v>
      </c>
      <c r="M1671" s="390">
        <f>'TARLST FGD'!$M$64</f>
        <v>12552752</v>
      </c>
      <c r="N1671" s="401"/>
    </row>
    <row r="1672" spans="2:14" s="160" customFormat="1" ht="12.75" hidden="1" customHeight="1" outlineLevel="1">
      <c r="B1672" s="674" t="str">
        <f>'TSU FGD'!$B$2</f>
        <v>Texas Southern University</v>
      </c>
      <c r="D1672" s="390">
        <f>'TSU FGD'!$D$64</f>
        <v>1372432</v>
      </c>
      <c r="E1672" s="390">
        <f>'TSU FGD'!$E$64</f>
        <v>10158044</v>
      </c>
      <c r="F1672" s="390">
        <f>'TSU FGD'!$F$64</f>
        <v>0</v>
      </c>
      <c r="G1672" s="390">
        <f>'TSU FGD'!$G$64</f>
        <v>3660856</v>
      </c>
      <c r="H1672" s="390">
        <f>'TSU FGD'!$H$64</f>
        <v>0</v>
      </c>
      <c r="I1672" s="390">
        <f>'TSU FGD'!$I$64</f>
        <v>0</v>
      </c>
      <c r="J1672" s="390">
        <f>'TSU FGD'!$J$64</f>
        <v>0</v>
      </c>
      <c r="K1672" s="390">
        <f>'TSU FGD'!$K$64</f>
        <v>0</v>
      </c>
      <c r="L1672" s="390">
        <f>'TSU FGD'!$L$64</f>
        <v>-304752</v>
      </c>
      <c r="M1672" s="390">
        <f>'TSU FGD'!$M$64</f>
        <v>14886580</v>
      </c>
      <c r="N1672" s="401"/>
    </row>
    <row r="1673" spans="2:14" s="160" customFormat="1" ht="12.75" hidden="1" customHeight="1" outlineLevel="1">
      <c r="B1673" s="674" t="str">
        <f>'TTU FGD'!$B$2</f>
        <v>Texas Tech University</v>
      </c>
      <c r="D1673" s="390">
        <f>'TTU FGD'!$D$64</f>
        <v>5351998</v>
      </c>
      <c r="E1673" s="390">
        <f>'TTU FGD'!$E$64</f>
        <v>40368891</v>
      </c>
      <c r="F1673" s="390">
        <f>'TTU FGD'!$F$64</f>
        <v>0</v>
      </c>
      <c r="G1673" s="390">
        <f>'TTU FGD'!$G$64</f>
        <v>4646979</v>
      </c>
      <c r="H1673" s="390">
        <f>'TTU FGD'!$H$64</f>
        <v>0</v>
      </c>
      <c r="I1673" s="390">
        <f>'TTU FGD'!$I$64</f>
        <v>0</v>
      </c>
      <c r="J1673" s="390">
        <f>'TTU FGD'!$J$64</f>
        <v>0</v>
      </c>
      <c r="K1673" s="390">
        <f>'TTU FGD'!$K$64</f>
        <v>0</v>
      </c>
      <c r="L1673" s="390">
        <f>'TTU FGD'!$L$64</f>
        <v>0</v>
      </c>
      <c r="M1673" s="390">
        <f>'TTU FGD'!$M$64</f>
        <v>50367868</v>
      </c>
      <c r="N1673" s="401"/>
    </row>
    <row r="1674" spans="2:14" s="160" customFormat="1" ht="12.75" hidden="1" customHeight="1" outlineLevel="1">
      <c r="B1674" s="674" t="str">
        <f>'TWU FGD'!$B$2</f>
        <v>Texas Woman's University</v>
      </c>
      <c r="D1674" s="390">
        <f>'TWU FGD'!$D$64</f>
        <v>2346777</v>
      </c>
      <c r="E1674" s="390">
        <f>'TWU FGD'!$E$64</f>
        <v>8209327</v>
      </c>
      <c r="F1674" s="390">
        <f>'TWU FGD'!$F$64</f>
        <v>0</v>
      </c>
      <c r="G1674" s="390">
        <f>'TWU FGD'!$G$64</f>
        <v>1868627</v>
      </c>
      <c r="H1674" s="390">
        <f>'TWU FGD'!$H$64</f>
        <v>0</v>
      </c>
      <c r="I1674" s="390">
        <f>'TWU FGD'!$I$64</f>
        <v>0</v>
      </c>
      <c r="J1674" s="390">
        <f>'TWU FGD'!$J$64</f>
        <v>0</v>
      </c>
      <c r="K1674" s="390">
        <f>'TWU FGD'!$K$64</f>
        <v>0</v>
      </c>
      <c r="L1674" s="390">
        <f>'TWU FGD'!$L$64</f>
        <v>0</v>
      </c>
      <c r="M1674" s="390">
        <f>'TWU FGD'!$M$64</f>
        <v>12424731</v>
      </c>
      <c r="N1674" s="401"/>
    </row>
    <row r="1675" spans="2:14" s="160" customFormat="1" ht="12.75" hidden="1" customHeight="1" outlineLevel="1">
      <c r="B1675" s="674" t="str">
        <f>'TXST FGD'!$B$2</f>
        <v>Texas State University</v>
      </c>
      <c r="D1675" s="390">
        <f>'TXST FGD'!$D$64</f>
        <v>7068611</v>
      </c>
      <c r="E1675" s="390">
        <f>'TXST FGD'!$E$64</f>
        <v>10630608</v>
      </c>
      <c r="F1675" s="390">
        <f>'TXST FGD'!$F$64</f>
        <v>13636597</v>
      </c>
      <c r="G1675" s="390">
        <f>'TXST FGD'!$G$64</f>
        <v>817985</v>
      </c>
      <c r="H1675" s="390">
        <f>'TXST FGD'!$H$64</f>
        <v>0</v>
      </c>
      <c r="I1675" s="390">
        <f>'TXST FGD'!$I$64</f>
        <v>0</v>
      </c>
      <c r="J1675" s="390">
        <f>'TXST FGD'!$J$64</f>
        <v>0</v>
      </c>
      <c r="K1675" s="390">
        <f>'TXST FGD'!$K$64</f>
        <v>0</v>
      </c>
      <c r="L1675" s="390">
        <f>'TXST FGD'!$L$64</f>
        <v>0</v>
      </c>
      <c r="M1675" s="390">
        <f>'TXST FGD'!$M$64</f>
        <v>32153801</v>
      </c>
      <c r="N1675" s="401"/>
    </row>
    <row r="1676" spans="2:14" s="160" customFormat="1" ht="12.75" hidden="1" customHeight="1" outlineLevel="1">
      <c r="B1676" s="674" t="str">
        <f>'TYL FGD'!$B$2</f>
        <v>The University of Texas at Tyler</v>
      </c>
      <c r="D1676" s="390">
        <f>'TYL FGD'!$D$64</f>
        <v>2005593</v>
      </c>
      <c r="E1676" s="390">
        <f>'TYL FGD'!$E$64</f>
        <v>11191682</v>
      </c>
      <c r="F1676" s="390">
        <f>'TYL FGD'!$F$64</f>
        <v>0</v>
      </c>
      <c r="G1676" s="390">
        <f>'TYL FGD'!$G$64</f>
        <v>70009</v>
      </c>
      <c r="H1676" s="390">
        <f>'TYL FGD'!$H$64</f>
        <v>-352978</v>
      </c>
      <c r="I1676" s="390">
        <f>'TYL FGD'!$I$64</f>
        <v>0</v>
      </c>
      <c r="J1676" s="390">
        <f>'TYL FGD'!$J$64</f>
        <v>0</v>
      </c>
      <c r="K1676" s="390">
        <f>'TYL FGD'!$K$64</f>
        <v>0</v>
      </c>
      <c r="L1676" s="390">
        <f>'TYL FGD'!$L$64</f>
        <v>0</v>
      </c>
      <c r="M1676" s="390">
        <f>'TYL FGD'!$M$64</f>
        <v>12914306</v>
      </c>
      <c r="N1676" s="401"/>
    </row>
    <row r="1677" spans="2:14" s="160" customFormat="1" ht="12.75" hidden="1" customHeight="1" outlineLevel="1">
      <c r="B1677" s="674" t="str">
        <f>'UH1 FGD'!$B$2</f>
        <v>University of Houston - Academic &amp; Health (A+H)</v>
      </c>
      <c r="D1677" s="390">
        <f>'UH1 FGD'!$D$64</f>
        <v>7172274</v>
      </c>
      <c r="E1677" s="390">
        <f>'UH1 FGD'!$E$64</f>
        <v>20926775</v>
      </c>
      <c r="F1677" s="390">
        <f>'UH1 FGD'!$F$64</f>
        <v>0</v>
      </c>
      <c r="G1677" s="390">
        <f>'UH1 FGD'!$G$64</f>
        <v>10092959</v>
      </c>
      <c r="H1677" s="390">
        <f>'UH1 FGD'!$H$64</f>
        <v>0</v>
      </c>
      <c r="I1677" s="390">
        <f>'UH1 FGD'!$I$64</f>
        <v>0</v>
      </c>
      <c r="J1677" s="390">
        <f>'UH1 FGD'!$J$64</f>
        <v>0</v>
      </c>
      <c r="K1677" s="390">
        <f>'UH1 FGD'!$K$64</f>
        <v>0</v>
      </c>
      <c r="L1677" s="390">
        <f>'UH1 FGD'!$L$64</f>
        <v>0</v>
      </c>
      <c r="M1677" s="390">
        <f>'UH1 FGD'!$M$64</f>
        <v>38192008</v>
      </c>
      <c r="N1677" s="401"/>
    </row>
    <row r="1678" spans="2:14" s="160" customFormat="1" ht="12.75" hidden="1" customHeight="1" outlineLevel="1">
      <c r="B1678" s="674" t="str">
        <f>'UHCL FGD'!$B$2</f>
        <v>University of Houston - Clear Lake</v>
      </c>
      <c r="D1678" s="390">
        <f>'UHCL FGD'!$D$64</f>
        <v>1742053</v>
      </c>
      <c r="E1678" s="390">
        <f>'UHCL FGD'!$E$64</f>
        <v>6295169</v>
      </c>
      <c r="F1678" s="390">
        <f>'UHCL FGD'!$F$64</f>
        <v>0</v>
      </c>
      <c r="G1678" s="390">
        <f>'UHCL FGD'!$G$64</f>
        <v>11606</v>
      </c>
      <c r="H1678" s="390">
        <f>'UHCL FGD'!$H$64</f>
        <v>0</v>
      </c>
      <c r="I1678" s="390">
        <f>'UHCL FGD'!$I$64</f>
        <v>0</v>
      </c>
      <c r="J1678" s="390">
        <f>'UHCL FGD'!$J$64</f>
        <v>0</v>
      </c>
      <c r="K1678" s="390">
        <f>'UHCL FGD'!$K$64</f>
        <v>0</v>
      </c>
      <c r="L1678" s="390">
        <f>'UHCL FGD'!$L$64</f>
        <v>0</v>
      </c>
      <c r="M1678" s="390">
        <f>'UHCL FGD'!$M$64</f>
        <v>8048828</v>
      </c>
      <c r="N1678" s="401"/>
    </row>
    <row r="1679" spans="2:14" s="160" customFormat="1" ht="12.75" hidden="1" customHeight="1" outlineLevel="1">
      <c r="B1679" s="674" t="str">
        <f>'UHD FGD'!$B$2</f>
        <v>University of Houston - Downtown</v>
      </c>
      <c r="D1679" s="390">
        <f>'UHD FGD'!$D$64</f>
        <v>1219606</v>
      </c>
      <c r="E1679" s="390">
        <f>'UHD FGD'!$E$64</f>
        <v>5863375</v>
      </c>
      <c r="F1679" s="390">
        <f>'UHD FGD'!$F$64</f>
        <v>0</v>
      </c>
      <c r="G1679" s="390">
        <f>'UHD FGD'!$G$64</f>
        <v>96428</v>
      </c>
      <c r="H1679" s="390">
        <f>'UHD FGD'!$H$64</f>
        <v>0</v>
      </c>
      <c r="I1679" s="390">
        <f>'UHD FGD'!$I$64</f>
        <v>0</v>
      </c>
      <c r="J1679" s="390">
        <f>'UHD FGD'!$J$64</f>
        <v>0</v>
      </c>
      <c r="K1679" s="390">
        <f>'UHD FGD'!$K$64</f>
        <v>0</v>
      </c>
      <c r="L1679" s="390">
        <f>'UHD FGD'!$L$64</f>
        <v>0</v>
      </c>
      <c r="M1679" s="390">
        <f>'UHD FGD'!$M$64</f>
        <v>7179409</v>
      </c>
      <c r="N1679" s="401"/>
    </row>
    <row r="1680" spans="2:14" s="160" customFormat="1" ht="12.75" hidden="1" customHeight="1" outlineLevel="1">
      <c r="B1680" s="674" t="str">
        <f>'UHV FGD'!$B$2</f>
        <v>University of Houston - Victoria</v>
      </c>
      <c r="D1680" s="390">
        <f>'UHV FGD'!$D$64</f>
        <v>715152</v>
      </c>
      <c r="E1680" s="390">
        <f>'UHV FGD'!$E$64</f>
        <v>4028413</v>
      </c>
      <c r="F1680" s="390">
        <f>'UHV FGD'!$F$64</f>
        <v>2264278</v>
      </c>
      <c r="G1680" s="390">
        <f>'UHV FGD'!$G$64</f>
        <v>40203</v>
      </c>
      <c r="H1680" s="390">
        <f>'UHV FGD'!$H$64</f>
        <v>2583</v>
      </c>
      <c r="I1680" s="390">
        <f>'UHV FGD'!$I$64</f>
        <v>0</v>
      </c>
      <c r="J1680" s="390">
        <f>'UHV FGD'!$J$64</f>
        <v>0</v>
      </c>
      <c r="K1680" s="390">
        <f>'UHV FGD'!$K$64</f>
        <v>0</v>
      </c>
      <c r="L1680" s="390">
        <f>'UHV FGD'!$L$64</f>
        <v>0</v>
      </c>
      <c r="M1680" s="390">
        <f>'UHV FGD'!$M$64</f>
        <v>7050629</v>
      </c>
      <c r="N1680" s="401"/>
    </row>
    <row r="1681" spans="2:14" s="160" customFormat="1" ht="12.75" hidden="1" customHeight="1" outlineLevel="1">
      <c r="B1681" s="674" t="str">
        <f>'UNT FGD'!$B$2</f>
        <v>University of North Texas</v>
      </c>
      <c r="D1681" s="390">
        <f>'UNT FGD'!$D$64</f>
        <v>11081545</v>
      </c>
      <c r="E1681" s="390">
        <f>'UNT FGD'!$E$64</f>
        <v>63242070</v>
      </c>
      <c r="F1681" s="390">
        <f>'UNT FGD'!$F$64</f>
        <v>0</v>
      </c>
      <c r="G1681" s="390">
        <f>'UNT FGD'!$G$64</f>
        <v>3316869</v>
      </c>
      <c r="H1681" s="390">
        <f>'UNT FGD'!$H$64</f>
        <v>4092</v>
      </c>
      <c r="I1681" s="390">
        <f>'UNT FGD'!$I$64</f>
        <v>0</v>
      </c>
      <c r="J1681" s="390">
        <f>'UNT FGD'!$J$64</f>
        <v>0</v>
      </c>
      <c r="K1681" s="390">
        <f>'UNT FGD'!$K$64</f>
        <v>0</v>
      </c>
      <c r="L1681" s="390">
        <f>'UNT FGD'!$L$64</f>
        <v>0</v>
      </c>
      <c r="M1681" s="390">
        <f>'UNT FGD'!$M$64</f>
        <v>77644576</v>
      </c>
      <c r="N1681" s="401"/>
    </row>
    <row r="1682" spans="2:14" s="160" customFormat="1" ht="12.75" hidden="1" customHeight="1" outlineLevel="1">
      <c r="B1682" s="674" t="str">
        <f>'UNTD FGD'!$B$2</f>
        <v>University of North Texas at Dallas</v>
      </c>
      <c r="D1682" s="390">
        <f>'UNTD FGD'!$D$64</f>
        <v>3873520</v>
      </c>
      <c r="E1682" s="390">
        <f>'UNTD FGD'!$E$64</f>
        <v>4810719</v>
      </c>
      <c r="F1682" s="390">
        <f>'UNTD FGD'!$F$64</f>
        <v>0</v>
      </c>
      <c r="G1682" s="390">
        <f>'UNTD FGD'!$G$64</f>
        <v>185411</v>
      </c>
      <c r="H1682" s="390">
        <f>'UNTD FGD'!$H$64</f>
        <v>0</v>
      </c>
      <c r="I1682" s="390">
        <f>'UNTD FGD'!$I$64</f>
        <v>0</v>
      </c>
      <c r="J1682" s="390">
        <f>'UNTD FGD'!$J$64</f>
        <v>0</v>
      </c>
      <c r="K1682" s="390">
        <f>'UNTD FGD'!$K$64</f>
        <v>0</v>
      </c>
      <c r="L1682" s="390">
        <f>'UNTD FGD'!$L$64</f>
        <v>0</v>
      </c>
      <c r="M1682" s="390">
        <f>'UNTD FGD'!$M$64</f>
        <v>8869650</v>
      </c>
      <c r="N1682" s="401"/>
    </row>
    <row r="1683" spans="2:14" s="160" customFormat="1" ht="12.75" hidden="1" customHeight="1" outlineLevel="1">
      <c r="B1683" s="674" t="str">
        <f>'WTAMU FGD'!$B$2</f>
        <v>West Texas A&amp;M University</v>
      </c>
      <c r="D1683" s="390">
        <f>'WTAMU FGD'!$D$64</f>
        <v>2390297</v>
      </c>
      <c r="E1683" s="390">
        <f>'WTAMU FGD'!$E$64</f>
        <v>7723298</v>
      </c>
      <c r="F1683" s="390">
        <f>'WTAMU FGD'!$F$64</f>
        <v>0</v>
      </c>
      <c r="G1683" s="390">
        <f>'WTAMU FGD'!$G$64</f>
        <v>998399</v>
      </c>
      <c r="H1683" s="390">
        <f>'WTAMU FGD'!$H$64</f>
        <v>42766</v>
      </c>
      <c r="I1683" s="390">
        <f>'WTAMU FGD'!$I$64</f>
        <v>0</v>
      </c>
      <c r="J1683" s="390">
        <f>'WTAMU FGD'!$J$64</f>
        <v>0</v>
      </c>
      <c r="K1683" s="390">
        <f>'WTAMU FGD'!$K$64</f>
        <v>0</v>
      </c>
      <c r="L1683" s="390">
        <f>'WTAMU FGD'!$L$64</f>
        <v>0</v>
      </c>
      <c r="M1683" s="390">
        <f>'WTAMU FGD'!$M$64</f>
        <v>11154760</v>
      </c>
      <c r="N1683" s="401"/>
    </row>
    <row r="1684" spans="2:14" s="160" customFormat="1" collapsed="1">
      <c r="B1684" s="160" t="s">
        <v>18</v>
      </c>
      <c r="D1684" s="390">
        <f t="shared" ref="D1684:M1684" si="44">SUM(D1648:D1683)</f>
        <v>158021635</v>
      </c>
      <c r="E1684" s="390">
        <f t="shared" si="44"/>
        <v>540419636</v>
      </c>
      <c r="F1684" s="390">
        <f t="shared" si="44"/>
        <v>28503013</v>
      </c>
      <c r="G1684" s="390">
        <f t="shared" si="44"/>
        <v>81101183</v>
      </c>
      <c r="H1684" s="390">
        <f t="shared" si="44"/>
        <v>4982995</v>
      </c>
      <c r="I1684" s="390">
        <f t="shared" si="44"/>
        <v>0</v>
      </c>
      <c r="J1684" s="390">
        <f t="shared" si="44"/>
        <v>99355</v>
      </c>
      <c r="K1684" s="390">
        <f t="shared" si="44"/>
        <v>0</v>
      </c>
      <c r="L1684" s="390">
        <f t="shared" si="44"/>
        <v>-304752</v>
      </c>
      <c r="M1684" s="390">
        <f t="shared" si="44"/>
        <v>812823065</v>
      </c>
      <c r="N1684" s="401"/>
    </row>
    <row r="1685" spans="2:14" s="160" customFormat="1" ht="12.75" hidden="1" customHeight="1" outlineLevel="1">
      <c r="B1685" s="674" t="str">
        <f>'ARL FGD'!$B$2</f>
        <v>The University of Texas at Arlington</v>
      </c>
      <c r="D1685" s="390">
        <f>'ARL FGD'!$D$65</f>
        <v>23055173</v>
      </c>
      <c r="E1685" s="390">
        <f>'ARL FGD'!$E$65</f>
        <v>26262069</v>
      </c>
      <c r="F1685" s="390">
        <f>'ARL FGD'!$F$65</f>
        <v>0</v>
      </c>
      <c r="G1685" s="390">
        <f>'ARL FGD'!$G$65</f>
        <v>171881</v>
      </c>
      <c r="H1685" s="390">
        <f>'ARL FGD'!$H$65</f>
        <v>0</v>
      </c>
      <c r="I1685" s="390">
        <f>'ARL FGD'!$I$65</f>
        <v>0</v>
      </c>
      <c r="J1685" s="390">
        <f>'ARL FGD'!$J$65</f>
        <v>0</v>
      </c>
      <c r="K1685" s="390">
        <f>'ARL FGD'!$K$65</f>
        <v>0</v>
      </c>
      <c r="L1685" s="390">
        <f>'ARL FGD'!$L$65</f>
        <v>0</v>
      </c>
      <c r="M1685" s="390">
        <f>'ARL FGD'!$M$65</f>
        <v>49489123</v>
      </c>
      <c r="N1685" s="401"/>
    </row>
    <row r="1686" spans="2:14" s="160" customFormat="1" ht="12.75" hidden="1" customHeight="1" outlineLevel="1">
      <c r="B1686" s="674" t="str">
        <f>'ASU FGD'!$B$2</f>
        <v>Angelo State University</v>
      </c>
      <c r="D1686" s="390">
        <f>'ASU FGD'!$D$65</f>
        <v>4365806</v>
      </c>
      <c r="E1686" s="390">
        <f>'ASU FGD'!$E$65</f>
        <v>11439189</v>
      </c>
      <c r="F1686" s="390">
        <f>'ASU FGD'!$F$65</f>
        <v>0</v>
      </c>
      <c r="G1686" s="390">
        <f>'ASU FGD'!$G$65</f>
        <v>2257084</v>
      </c>
      <c r="H1686" s="390">
        <f>'ASU FGD'!$H$65</f>
        <v>0</v>
      </c>
      <c r="I1686" s="390">
        <f>'ASU FGD'!$I$65</f>
        <v>0</v>
      </c>
      <c r="J1686" s="390">
        <f>'ASU FGD'!$J$65</f>
        <v>0</v>
      </c>
      <c r="K1686" s="390">
        <f>'ASU FGD'!$K$65</f>
        <v>0</v>
      </c>
      <c r="L1686" s="390">
        <f>'ASU FGD'!$L$65</f>
        <v>0</v>
      </c>
      <c r="M1686" s="390">
        <f>'ASU FGD'!$M$65</f>
        <v>18062079</v>
      </c>
      <c r="N1686" s="401"/>
    </row>
    <row r="1687" spans="2:14" s="160" customFormat="1" ht="12.75" hidden="1" customHeight="1" outlineLevel="1">
      <c r="B1687" s="674" t="str">
        <f>'AUS1 FGD'!$B$2</f>
        <v>The University of Texas at Austin - Academic &amp; Health (A+H)</v>
      </c>
      <c r="D1687" s="390">
        <f>'AUS1 FGD'!$D$65</f>
        <v>79165203</v>
      </c>
      <c r="E1687" s="390">
        <f>'AUS1 FGD'!$E$65</f>
        <v>106484125</v>
      </c>
      <c r="F1687" s="390">
        <f>'AUS1 FGD'!$F$65</f>
        <v>0</v>
      </c>
      <c r="G1687" s="390">
        <f>'AUS1 FGD'!$G$65</f>
        <v>27233463</v>
      </c>
      <c r="H1687" s="390">
        <f>'AUS1 FGD'!$H$65</f>
        <v>0</v>
      </c>
      <c r="I1687" s="390">
        <f>'AUS1 FGD'!$I$65</f>
        <v>0</v>
      </c>
      <c r="J1687" s="390">
        <f>'AUS1 FGD'!$J$65</f>
        <v>0</v>
      </c>
      <c r="K1687" s="390">
        <f>'AUS1 FGD'!$K$65</f>
        <v>0</v>
      </c>
      <c r="L1687" s="390">
        <f>'AUS1 FGD'!$L$65</f>
        <v>0</v>
      </c>
      <c r="M1687" s="390">
        <f>'AUS1 FGD'!$M$65</f>
        <v>212882791</v>
      </c>
      <c r="N1687" s="401"/>
    </row>
    <row r="1688" spans="2:14" s="160" customFormat="1" ht="12.75" hidden="1" customHeight="1" outlineLevel="1">
      <c r="B1688" s="674" t="str">
        <f>'RGV1 FGD'!$B$2</f>
        <v>The University of Texas RGV - Academic &amp; Health (A+H)</v>
      </c>
      <c r="D1688" s="390">
        <f>'RGV1 FGD'!$D$65</f>
        <v>14312885</v>
      </c>
      <c r="E1688" s="390">
        <f>'RGV1 FGD'!$E$65</f>
        <v>22658074</v>
      </c>
      <c r="F1688" s="390">
        <f>'RGV1 FGD'!$F$65</f>
        <v>0</v>
      </c>
      <c r="G1688" s="390">
        <f>'RGV1 FGD'!$G$65</f>
        <v>633902</v>
      </c>
      <c r="H1688" s="390">
        <f>'RGV1 FGD'!$H$65</f>
        <v>0</v>
      </c>
      <c r="I1688" s="390">
        <f>'RGV1 FGD'!$I$65</f>
        <v>0</v>
      </c>
      <c r="J1688" s="390">
        <f>'RGV1 FGD'!$J$65</f>
        <v>0</v>
      </c>
      <c r="K1688" s="390">
        <f>'RGV1 FGD'!$K$65</f>
        <v>0</v>
      </c>
      <c r="L1688" s="390">
        <f>'RGV1 FGD'!$L$65</f>
        <v>0</v>
      </c>
      <c r="M1688" s="390">
        <f>'RGV1 FGD'!$M$65</f>
        <v>37604861</v>
      </c>
      <c r="N1688" s="401"/>
    </row>
    <row r="1689" spans="2:14" s="160" customFormat="1" ht="12.75" hidden="1" customHeight="1" outlineLevel="1">
      <c r="B1689" s="674" t="str">
        <f>'DAL FGD'!$B$2</f>
        <v>The University of Texas at Dallas</v>
      </c>
      <c r="D1689" s="390">
        <f>'DAL FGD'!$D$65</f>
        <v>11034045</v>
      </c>
      <c r="E1689" s="390">
        <f>'DAL FGD'!$E$65</f>
        <v>21828784</v>
      </c>
      <c r="F1689" s="390">
        <f>'DAL FGD'!$F$65</f>
        <v>0</v>
      </c>
      <c r="G1689" s="390">
        <f>'DAL FGD'!$G$65</f>
        <v>1784968</v>
      </c>
      <c r="H1689" s="390">
        <f>'DAL FGD'!$H$65</f>
        <v>0</v>
      </c>
      <c r="I1689" s="390">
        <f>'DAL FGD'!$I$65</f>
        <v>0</v>
      </c>
      <c r="J1689" s="390">
        <f>'DAL FGD'!$J$65</f>
        <v>0</v>
      </c>
      <c r="K1689" s="390">
        <f>'DAL FGD'!$K$65</f>
        <v>0</v>
      </c>
      <c r="L1689" s="390">
        <f>'DAL FGD'!$L$65</f>
        <v>0</v>
      </c>
      <c r="M1689" s="390">
        <f>'DAL FGD'!$M$65</f>
        <v>34647797</v>
      </c>
      <c r="N1689" s="401"/>
    </row>
    <row r="1690" spans="2:14" s="160" customFormat="1" ht="12.75" hidden="1" customHeight="1" outlineLevel="1">
      <c r="B1690" s="674" t="str">
        <f>'E-P FGD'!$B$2</f>
        <v>The University of Texas at El Paso</v>
      </c>
      <c r="D1690" s="390">
        <f>'E-P FGD'!$D$65</f>
        <v>19104415</v>
      </c>
      <c r="E1690" s="390">
        <f>'E-P FGD'!$E$65</f>
        <v>10219605</v>
      </c>
      <c r="F1690" s="390">
        <f>'E-P FGD'!$F$65</f>
        <v>0</v>
      </c>
      <c r="G1690" s="390">
        <f>'E-P FGD'!$G$65</f>
        <v>2438220</v>
      </c>
      <c r="H1690" s="390">
        <f>'E-P FGD'!$H$65</f>
        <v>0</v>
      </c>
      <c r="I1690" s="390">
        <f>'E-P FGD'!$I$65</f>
        <v>0</v>
      </c>
      <c r="J1690" s="390">
        <f>'E-P FGD'!$J$65</f>
        <v>0</v>
      </c>
      <c r="K1690" s="390">
        <f>'E-P FGD'!$K$65</f>
        <v>0</v>
      </c>
      <c r="L1690" s="390">
        <f>'E-P FGD'!$L$65</f>
        <v>0</v>
      </c>
      <c r="M1690" s="390">
        <f>'E-P FGD'!$M$65</f>
        <v>31762240</v>
      </c>
      <c r="N1690" s="401"/>
    </row>
    <row r="1691" spans="2:14" s="160" customFormat="1" ht="12.75" hidden="1" customHeight="1" outlineLevel="1">
      <c r="B1691" s="674" t="str">
        <f>'LU FGD'!$B$2</f>
        <v xml:space="preserve">Lamar University </v>
      </c>
      <c r="D1691" s="390">
        <f>'LU FGD'!$D$65</f>
        <v>8524873</v>
      </c>
      <c r="E1691" s="390">
        <f>'LU FGD'!$E$65</f>
        <v>9010580</v>
      </c>
      <c r="F1691" s="390">
        <f>'LU FGD'!$F$65</f>
        <v>0</v>
      </c>
      <c r="G1691" s="390">
        <f>'LU FGD'!$G$65</f>
        <v>14628040</v>
      </c>
      <c r="H1691" s="390">
        <f>'LU FGD'!$H$65</f>
        <v>0</v>
      </c>
      <c r="I1691" s="390">
        <f>'LU FGD'!$I$65</f>
        <v>0</v>
      </c>
      <c r="J1691" s="390">
        <f>'LU FGD'!$J$65</f>
        <v>0</v>
      </c>
      <c r="K1691" s="390">
        <f>'LU FGD'!$K$65</f>
        <v>0</v>
      </c>
      <c r="L1691" s="390">
        <f>'LU FGD'!$L$65</f>
        <v>0</v>
      </c>
      <c r="M1691" s="390">
        <f>'LU FGD'!$M$65</f>
        <v>32163493</v>
      </c>
      <c r="N1691" s="401"/>
    </row>
    <row r="1692" spans="2:14" s="160" customFormat="1" ht="12.75" hidden="1" customHeight="1" outlineLevel="1">
      <c r="B1692" s="674" t="str">
        <f>'MidWST FGD'!$B$2</f>
        <v>Midwestern State University</v>
      </c>
      <c r="D1692" s="390">
        <f>'MidWST FGD'!$D$65</f>
        <v>2037095</v>
      </c>
      <c r="E1692" s="390">
        <f>'MidWST FGD'!$E$65</f>
        <v>6395159</v>
      </c>
      <c r="F1692" s="390">
        <f>'MidWST FGD'!$F$65</f>
        <v>0</v>
      </c>
      <c r="G1692" s="390">
        <f>'MidWST FGD'!$G$65</f>
        <v>259456</v>
      </c>
      <c r="H1692" s="390">
        <f>'MidWST FGD'!$H$65</f>
        <v>0</v>
      </c>
      <c r="I1692" s="390">
        <f>'MidWST FGD'!$I$65</f>
        <v>0</v>
      </c>
      <c r="J1692" s="390">
        <f>'MidWST FGD'!$J$65</f>
        <v>0</v>
      </c>
      <c r="K1692" s="390">
        <f>'MidWST FGD'!$K$65</f>
        <v>0</v>
      </c>
      <c r="L1692" s="390">
        <f>'MidWST FGD'!$L$65</f>
        <v>0</v>
      </c>
      <c r="M1692" s="390">
        <f>'MidWST FGD'!$M$65</f>
        <v>8691710</v>
      </c>
      <c r="N1692" s="401"/>
    </row>
    <row r="1693" spans="2:14" s="160" customFormat="1" ht="12.75" hidden="1" customHeight="1" outlineLevel="1">
      <c r="B1693" s="674" t="str">
        <f>'P-B FGD'!$B$2</f>
        <v>The University of Texas of the Permian Basin</v>
      </c>
      <c r="D1693" s="390">
        <f>'P-B FGD'!$D$65</f>
        <v>4090976</v>
      </c>
      <c r="E1693" s="390">
        <f>'P-B FGD'!$E$65</f>
        <v>4254525</v>
      </c>
      <c r="F1693" s="390">
        <f>'P-B FGD'!$F$65</f>
        <v>0</v>
      </c>
      <c r="G1693" s="390">
        <f>'P-B FGD'!$G$65</f>
        <v>3316735</v>
      </c>
      <c r="H1693" s="390">
        <f>'P-B FGD'!$H$65</f>
        <v>0</v>
      </c>
      <c r="I1693" s="390">
        <f>'P-B FGD'!$I$65</f>
        <v>0</v>
      </c>
      <c r="J1693" s="390">
        <f>'P-B FGD'!$J$65</f>
        <v>0</v>
      </c>
      <c r="K1693" s="390">
        <f>'P-B FGD'!$K$65</f>
        <v>0</v>
      </c>
      <c r="L1693" s="390">
        <f>'P-B FGD'!$L$65</f>
        <v>0</v>
      </c>
      <c r="M1693" s="390">
        <f>'P-B FGD'!$M$65</f>
        <v>11662236</v>
      </c>
      <c r="N1693" s="401"/>
    </row>
    <row r="1694" spans="2:14" s="160" customFormat="1" ht="12.75" hidden="1" customHeight="1" outlineLevel="1">
      <c r="B1694" s="674" t="str">
        <f>'PVAMU FGD'!$B$2</f>
        <v>Prairie View A&amp;M University</v>
      </c>
      <c r="D1694" s="390">
        <f>'PVAMU FGD'!$D$65</f>
        <v>10607398</v>
      </c>
      <c r="E1694" s="390">
        <f>'PVAMU FGD'!$E$65</f>
        <v>7236898</v>
      </c>
      <c r="F1694" s="390">
        <f>'PVAMU FGD'!$F$65</f>
        <v>0</v>
      </c>
      <c r="G1694" s="390">
        <f>'PVAMU FGD'!$G$65</f>
        <v>1365622</v>
      </c>
      <c r="H1694" s="390">
        <f>'PVAMU FGD'!$H$65</f>
        <v>0</v>
      </c>
      <c r="I1694" s="390">
        <f>'PVAMU FGD'!$I$65</f>
        <v>0</v>
      </c>
      <c r="J1694" s="390">
        <f>'PVAMU FGD'!$J$65</f>
        <v>0</v>
      </c>
      <c r="K1694" s="390">
        <f>'PVAMU FGD'!$K$65</f>
        <v>0</v>
      </c>
      <c r="L1694" s="390">
        <f>'PVAMU FGD'!$L$65</f>
        <v>0</v>
      </c>
      <c r="M1694" s="390">
        <f>'PVAMU FGD'!$M$65</f>
        <v>19209918</v>
      </c>
      <c r="N1694" s="401"/>
    </row>
    <row r="1695" spans="2:14" s="160" customFormat="1" ht="12.75" hidden="1" customHeight="1" outlineLevel="1">
      <c r="B1695" s="674" t="str">
        <f>'S-A FGD'!$B$2</f>
        <v>The University of Texas at San Antonio</v>
      </c>
      <c r="D1695" s="390">
        <f>'S-A FGD'!$D$65</f>
        <v>29266853</v>
      </c>
      <c r="E1695" s="390">
        <f>'S-A FGD'!$E$65</f>
        <v>10172842</v>
      </c>
      <c r="F1695" s="390">
        <f>'S-A FGD'!$F$65</f>
        <v>0</v>
      </c>
      <c r="G1695" s="390">
        <f>'S-A FGD'!$G$65</f>
        <v>3494944</v>
      </c>
      <c r="H1695" s="390">
        <f>'S-A FGD'!$H$65</f>
        <v>0</v>
      </c>
      <c r="I1695" s="390">
        <f>'S-A FGD'!$I$65</f>
        <v>0</v>
      </c>
      <c r="J1695" s="390">
        <f>'S-A FGD'!$J$65</f>
        <v>0</v>
      </c>
      <c r="K1695" s="390">
        <f>'S-A FGD'!$K$65</f>
        <v>0</v>
      </c>
      <c r="L1695" s="390">
        <f>'S-A FGD'!$L$65</f>
        <v>0</v>
      </c>
      <c r="M1695" s="390">
        <f>'S-A FGD'!$M$65</f>
        <v>42934639</v>
      </c>
      <c r="N1695" s="401"/>
    </row>
    <row r="1696" spans="2:14" s="160" customFormat="1" ht="12.75" hidden="1" customHeight="1" outlineLevel="1">
      <c r="B1696" s="674" t="str">
        <f>'SFA FGD'!$B$2</f>
        <v>Stephen F. Austin State University</v>
      </c>
      <c r="D1696" s="390">
        <f>'SFA FGD'!$D$65</f>
        <v>8272374</v>
      </c>
      <c r="E1696" s="390">
        <f>'SFA FGD'!$E$65</f>
        <v>20284807</v>
      </c>
      <c r="F1696" s="390">
        <f>'SFA FGD'!$F$65</f>
        <v>0</v>
      </c>
      <c r="G1696" s="390">
        <f>'SFA FGD'!$G$65</f>
        <v>6177247</v>
      </c>
      <c r="H1696" s="390">
        <f>'SFA FGD'!$H$65</f>
        <v>0</v>
      </c>
      <c r="I1696" s="390">
        <f>'SFA FGD'!$I$65</f>
        <v>0</v>
      </c>
      <c r="J1696" s="390">
        <f>'SFA FGD'!$J$65</f>
        <v>36226</v>
      </c>
      <c r="K1696" s="390">
        <f>'SFA FGD'!$K$65</f>
        <v>0</v>
      </c>
      <c r="L1696" s="390">
        <f>'SFA FGD'!$L$65</f>
        <v>0</v>
      </c>
      <c r="M1696" s="390">
        <f>'SFA FGD'!$M$65</f>
        <v>34770654</v>
      </c>
      <c r="N1696" s="401"/>
    </row>
    <row r="1697" spans="2:14" s="160" customFormat="1" ht="12.75" hidden="1" customHeight="1" outlineLevel="1">
      <c r="B1697" s="674" t="str">
        <f>'shsu1 FGD'!$B$2</f>
        <v>Sam Houston State University - Academic &amp; Health (A+H)</v>
      </c>
      <c r="D1697" s="390">
        <f>'shsu1 FGD'!$D$65</f>
        <v>6679959</v>
      </c>
      <c r="E1697" s="390">
        <f>'shsu1 FGD'!$E$65</f>
        <v>17217586</v>
      </c>
      <c r="F1697" s="390">
        <f>'shsu1 FGD'!$F$65</f>
        <v>0</v>
      </c>
      <c r="G1697" s="390">
        <f>'shsu1 FGD'!$G$65</f>
        <v>720317</v>
      </c>
      <c r="H1697" s="390">
        <f>'shsu1 FGD'!$H$65</f>
        <v>0</v>
      </c>
      <c r="I1697" s="390">
        <f>'shsu1 FGD'!$I$65</f>
        <v>32937</v>
      </c>
      <c r="J1697" s="390">
        <f>'shsu1 FGD'!$J$65</f>
        <v>16355</v>
      </c>
      <c r="K1697" s="390">
        <f>'shsu1 FGD'!$K$65</f>
        <v>0</v>
      </c>
      <c r="L1697" s="390">
        <f>'shsu1 FGD'!$L$65</f>
        <v>0</v>
      </c>
      <c r="M1697" s="390">
        <f>'shsu1 FGD'!$M$65</f>
        <v>24667154</v>
      </c>
      <c r="N1697" s="401"/>
    </row>
    <row r="1698" spans="2:14" s="160" customFormat="1" ht="12.75" hidden="1" customHeight="1" outlineLevel="1">
      <c r="B1698" s="674" t="str">
        <f>'SRSU FGD'!$B$2</f>
        <v>Sul Ross State University</v>
      </c>
      <c r="D1698" s="390">
        <f>'SRSU FGD'!$D$65</f>
        <v>5677778</v>
      </c>
      <c r="E1698" s="390">
        <f>'SRSU FGD'!$E$65</f>
        <v>7425451</v>
      </c>
      <c r="F1698" s="390">
        <f>'SRSU FGD'!$F$65</f>
        <v>51918</v>
      </c>
      <c r="G1698" s="390">
        <f>'SRSU FGD'!$G$65</f>
        <v>616736</v>
      </c>
      <c r="H1698" s="390">
        <f>'SRSU FGD'!$H$65</f>
        <v>0</v>
      </c>
      <c r="I1698" s="390">
        <f>'SRSU FGD'!$I$65</f>
        <v>0</v>
      </c>
      <c r="J1698" s="390">
        <f>'SRSU FGD'!$J$65</f>
        <v>566</v>
      </c>
      <c r="K1698" s="390">
        <f>'SRSU FGD'!$K$65</f>
        <v>0</v>
      </c>
      <c r="L1698" s="390">
        <f>'SRSU FGD'!$L$65</f>
        <v>0</v>
      </c>
      <c r="M1698" s="390">
        <f>'SRSU FGD'!$M$65</f>
        <v>13772449</v>
      </c>
      <c r="N1698" s="401"/>
    </row>
    <row r="1699" spans="2:14" s="160" customFormat="1" ht="12.75" hidden="1" customHeight="1" outlineLevel="1">
      <c r="B1699" s="674" t="str">
        <f>'TAMIU FGD'!$B$2</f>
        <v>Texas A&amp;M International University</v>
      </c>
      <c r="D1699" s="390">
        <f>'TAMIU FGD'!$D$65</f>
        <v>720349</v>
      </c>
      <c r="E1699" s="390">
        <f>'TAMIU FGD'!$E$65</f>
        <v>6287604</v>
      </c>
      <c r="F1699" s="390">
        <f>'TAMIU FGD'!$F$65</f>
        <v>0</v>
      </c>
      <c r="G1699" s="390">
        <f>'TAMIU FGD'!$G$65</f>
        <v>48866</v>
      </c>
      <c r="H1699" s="390">
        <f>'TAMIU FGD'!$H$65</f>
        <v>0</v>
      </c>
      <c r="I1699" s="390">
        <f>'TAMIU FGD'!$I$65</f>
        <v>0</v>
      </c>
      <c r="J1699" s="390">
        <f>'TAMIU FGD'!$J$65</f>
        <v>0</v>
      </c>
      <c r="K1699" s="390">
        <f>'TAMIU FGD'!$K$65</f>
        <v>0</v>
      </c>
      <c r="L1699" s="390">
        <f>'TAMIU FGD'!$L$65</f>
        <v>0</v>
      </c>
      <c r="M1699" s="390">
        <f>'TAMIU FGD'!$M$65</f>
        <v>7056819</v>
      </c>
      <c r="N1699" s="401"/>
    </row>
    <row r="1700" spans="2:14" s="160" customFormat="1" ht="12.75" hidden="1" customHeight="1" outlineLevel="1">
      <c r="B1700" s="674" t="str">
        <f>'TAMU FGD'!$B$2</f>
        <v>Texas A&amp;M University</v>
      </c>
      <c r="D1700" s="390">
        <f>'TAMU FGD'!$D$65</f>
        <v>43530837</v>
      </c>
      <c r="E1700" s="390">
        <f>'TAMU FGD'!$E$65</f>
        <v>32692729</v>
      </c>
      <c r="F1700" s="390">
        <f>'TAMU FGD'!$F$65</f>
        <v>0</v>
      </c>
      <c r="G1700" s="390">
        <f>'TAMU FGD'!$G$65</f>
        <v>11091523</v>
      </c>
      <c r="H1700" s="390">
        <f>'TAMU FGD'!$H$65</f>
        <v>0</v>
      </c>
      <c r="I1700" s="390">
        <f>'TAMU FGD'!$I$65</f>
        <v>0</v>
      </c>
      <c r="J1700" s="390">
        <f>'TAMU FGD'!$J$65</f>
        <v>0</v>
      </c>
      <c r="K1700" s="390">
        <f>'TAMU FGD'!$K$65</f>
        <v>0</v>
      </c>
      <c r="L1700" s="390">
        <f>'TAMU FGD'!$L$65</f>
        <v>0</v>
      </c>
      <c r="M1700" s="390">
        <f>'TAMU FGD'!$M$65</f>
        <v>87315089</v>
      </c>
      <c r="N1700" s="401"/>
    </row>
    <row r="1701" spans="2:14" s="160" customFormat="1" ht="12.75" hidden="1" customHeight="1" outlineLevel="1">
      <c r="B1701" s="674" t="str">
        <f>'TAMUC FGD'!$B$2</f>
        <v>Texas A&amp;M University - Commerce</v>
      </c>
      <c r="D1701" s="390">
        <f>'TAMUC FGD'!$D$65</f>
        <v>4891586</v>
      </c>
      <c r="E1701" s="390">
        <f>'TAMUC FGD'!$E$65</f>
        <v>7596000</v>
      </c>
      <c r="F1701" s="390">
        <f>'TAMUC FGD'!$F$65</f>
        <v>0</v>
      </c>
      <c r="G1701" s="390">
        <f>'TAMUC FGD'!$G$65</f>
        <v>184347</v>
      </c>
      <c r="H1701" s="390">
        <f>'TAMUC FGD'!$H$65</f>
        <v>0</v>
      </c>
      <c r="I1701" s="390">
        <f>'TAMUC FGD'!$I$65</f>
        <v>0</v>
      </c>
      <c r="J1701" s="390">
        <f>'TAMUC FGD'!$J$65</f>
        <v>0</v>
      </c>
      <c r="K1701" s="390">
        <f>'TAMUC FGD'!$K$65</f>
        <v>0</v>
      </c>
      <c r="L1701" s="390">
        <f>'TAMUC FGD'!$L$65</f>
        <v>0</v>
      </c>
      <c r="M1701" s="390">
        <f>'TAMUC FGD'!$M$65</f>
        <v>12671933</v>
      </c>
      <c r="N1701" s="401"/>
    </row>
    <row r="1702" spans="2:14" s="160" customFormat="1" ht="12.75" hidden="1" customHeight="1" outlineLevel="1">
      <c r="B1702" s="674" t="str">
        <f>'TAMUCC FGD'!$B$2</f>
        <v>Texas A&amp;M University - Corpus Christi</v>
      </c>
      <c r="D1702" s="390">
        <f>'TAMUCC FGD'!$D$65</f>
        <v>6170259</v>
      </c>
      <c r="E1702" s="390">
        <f>'TAMUCC FGD'!$E$65</f>
        <v>8168738</v>
      </c>
      <c r="F1702" s="390">
        <f>'TAMUCC FGD'!$F$65</f>
        <v>0</v>
      </c>
      <c r="G1702" s="390">
        <f>'TAMUCC FGD'!$G$65</f>
        <v>956197</v>
      </c>
      <c r="H1702" s="390">
        <f>'TAMUCC FGD'!$H$65</f>
        <v>0</v>
      </c>
      <c r="I1702" s="390">
        <f>'TAMUCC FGD'!$I$65</f>
        <v>0</v>
      </c>
      <c r="J1702" s="390">
        <f>'TAMUCC FGD'!$J$65</f>
        <v>0</v>
      </c>
      <c r="K1702" s="390">
        <f>'TAMUCC FGD'!$K$65</f>
        <v>0</v>
      </c>
      <c r="L1702" s="390">
        <f>'TAMUCC FGD'!$L$65</f>
        <v>0</v>
      </c>
      <c r="M1702" s="390">
        <f>'TAMUCC FGD'!$M$65</f>
        <v>15295194</v>
      </c>
      <c r="N1702" s="401"/>
    </row>
    <row r="1703" spans="2:14" s="160" customFormat="1" ht="12.75" hidden="1" customHeight="1" outlineLevel="1">
      <c r="B1703" s="674" t="str">
        <f>'TAMUCT FGD'!$B$2</f>
        <v>Texas A&amp;M University - Central Texas</v>
      </c>
      <c r="D1703" s="390">
        <f>'TAMUCT FGD'!$D$65</f>
        <v>2375218</v>
      </c>
      <c r="E1703" s="390">
        <f>'TAMUCT FGD'!$E$65</f>
        <v>1220675</v>
      </c>
      <c r="F1703" s="390">
        <f>'TAMUCT FGD'!$F$65</f>
        <v>0</v>
      </c>
      <c r="G1703" s="390">
        <f>'TAMUCT FGD'!$G$65</f>
        <v>655622</v>
      </c>
      <c r="H1703" s="390">
        <f>'TAMUCT FGD'!$H$65</f>
        <v>0</v>
      </c>
      <c r="I1703" s="390">
        <f>'TAMUCT FGD'!$I$65</f>
        <v>0</v>
      </c>
      <c r="J1703" s="390">
        <f>'TAMUCT FGD'!$J$65</f>
        <v>0</v>
      </c>
      <c r="K1703" s="390">
        <f>'TAMUCT FGD'!$K$65</f>
        <v>0</v>
      </c>
      <c r="L1703" s="390">
        <f>'TAMUCT FGD'!$L$65</f>
        <v>0</v>
      </c>
      <c r="M1703" s="390">
        <f>'TAMUCT FGD'!$M$65</f>
        <v>4251515</v>
      </c>
      <c r="N1703" s="401"/>
    </row>
    <row r="1704" spans="2:14" s="160" customFormat="1" ht="12.75" hidden="1" customHeight="1" outlineLevel="1">
      <c r="B1704" s="674" t="str">
        <f>'TAMUG FGD'!$B$2</f>
        <v>Texas A&amp;M University at Galveston</v>
      </c>
      <c r="D1704" s="390">
        <f>'TAMUG FGD'!$D$65</f>
        <v>2187676</v>
      </c>
      <c r="E1704" s="390">
        <f>'TAMUG FGD'!$E$65</f>
        <v>3712917</v>
      </c>
      <c r="F1704" s="390">
        <f>'TAMUG FGD'!$F$65</f>
        <v>0</v>
      </c>
      <c r="G1704" s="390">
        <f>'TAMUG FGD'!$G$65</f>
        <v>840167</v>
      </c>
      <c r="H1704" s="390">
        <f>'TAMUG FGD'!$H$65</f>
        <v>0</v>
      </c>
      <c r="I1704" s="390">
        <f>'TAMUG FGD'!$I$65</f>
        <v>0</v>
      </c>
      <c r="J1704" s="390">
        <f>'TAMUG FGD'!$J$65</f>
        <v>0</v>
      </c>
      <c r="K1704" s="390">
        <f>'TAMUG FGD'!$K$65</f>
        <v>0</v>
      </c>
      <c r="L1704" s="390">
        <f>'TAMUG FGD'!$L$65</f>
        <v>0</v>
      </c>
      <c r="M1704" s="390">
        <f>'TAMUG FGD'!$M$65</f>
        <v>6740760</v>
      </c>
      <c r="N1704" s="401"/>
    </row>
    <row r="1705" spans="2:14" s="160" customFormat="1" ht="12.75" hidden="1" customHeight="1" outlineLevel="1">
      <c r="B1705" s="674" t="str">
        <f>'TAMUK FGD'!$B$2</f>
        <v>Texas A&amp;M University - Kingsville</v>
      </c>
      <c r="D1705" s="390">
        <f>'TAMUK FGD'!$D$65</f>
        <v>5830677</v>
      </c>
      <c r="E1705" s="390">
        <f>'TAMUK FGD'!$E$65</f>
        <v>4373454</v>
      </c>
      <c r="F1705" s="390">
        <f>'TAMUK FGD'!$F$65</f>
        <v>0</v>
      </c>
      <c r="G1705" s="390">
        <f>'TAMUK FGD'!$G$65</f>
        <v>1190030</v>
      </c>
      <c r="H1705" s="390">
        <f>'TAMUK FGD'!$H$65</f>
        <v>0</v>
      </c>
      <c r="I1705" s="390">
        <f>'TAMUK FGD'!$I$65</f>
        <v>0</v>
      </c>
      <c r="J1705" s="390">
        <f>'TAMUK FGD'!$J$65</f>
        <v>0</v>
      </c>
      <c r="K1705" s="390">
        <f>'TAMUK FGD'!$K$65</f>
        <v>0</v>
      </c>
      <c r="L1705" s="390">
        <f>'TAMUK FGD'!$L$65</f>
        <v>0</v>
      </c>
      <c r="M1705" s="390">
        <f>'TAMUK FGD'!$M$65</f>
        <v>11394161</v>
      </c>
      <c r="N1705" s="401"/>
    </row>
    <row r="1706" spans="2:14" s="160" customFormat="1" ht="12.75" hidden="1" customHeight="1" outlineLevel="1">
      <c r="B1706" s="674" t="str">
        <f>'TAMUSA FGD'!$B$2</f>
        <v>Texas A&amp;M University - San Antonio</v>
      </c>
      <c r="D1706" s="390">
        <f>'TAMUSA FGD'!$D$65</f>
        <v>5263377</v>
      </c>
      <c r="E1706" s="390">
        <f>'TAMUSA FGD'!$E$65</f>
        <v>4084812</v>
      </c>
      <c r="F1706" s="390">
        <f>'TAMUSA FGD'!$F$65</f>
        <v>0</v>
      </c>
      <c r="G1706" s="390">
        <f>'TAMUSA FGD'!$G$65</f>
        <v>4383897</v>
      </c>
      <c r="H1706" s="390">
        <f>'TAMUSA FGD'!$H$65</f>
        <v>0</v>
      </c>
      <c r="I1706" s="390">
        <f>'TAMUSA FGD'!$I$65</f>
        <v>0</v>
      </c>
      <c r="J1706" s="390">
        <f>'TAMUSA FGD'!$J$65</f>
        <v>0</v>
      </c>
      <c r="K1706" s="390">
        <f>'TAMUSA FGD'!$K$65</f>
        <v>0</v>
      </c>
      <c r="L1706" s="390">
        <f>'TAMUSA FGD'!$L$65</f>
        <v>0</v>
      </c>
      <c r="M1706" s="390">
        <f>'TAMUSA FGD'!$M$65</f>
        <v>13732086</v>
      </c>
      <c r="N1706" s="401"/>
    </row>
    <row r="1707" spans="2:14" s="160" customFormat="1" ht="12.75" hidden="1" customHeight="1" outlineLevel="1">
      <c r="B1707" s="674" t="str">
        <f>'TAMUT FGD'!$B$2</f>
        <v>Texas A&amp;M University - Texarkana</v>
      </c>
      <c r="D1707" s="390">
        <f>'TAMUT FGD'!$D$65</f>
        <v>2971893</v>
      </c>
      <c r="E1707" s="390">
        <f>'TAMUT FGD'!$E$65</f>
        <v>1865328</v>
      </c>
      <c r="F1707" s="390">
        <f>'TAMUT FGD'!$F$65</f>
        <v>0</v>
      </c>
      <c r="G1707" s="390">
        <f>'TAMUT FGD'!$G$65</f>
        <v>-18436</v>
      </c>
      <c r="H1707" s="390">
        <f>'TAMUT FGD'!$H$65</f>
        <v>0</v>
      </c>
      <c r="I1707" s="390">
        <f>'TAMUT FGD'!$I$65</f>
        <v>0</v>
      </c>
      <c r="J1707" s="390">
        <f>'TAMUT FGD'!$J$65</f>
        <v>0</v>
      </c>
      <c r="K1707" s="390">
        <f>'TAMUT FGD'!$K$65</f>
        <v>0</v>
      </c>
      <c r="L1707" s="390">
        <f>'TAMUT FGD'!$L$65</f>
        <v>0</v>
      </c>
      <c r="M1707" s="390">
        <f>'TAMUT FGD'!$M$65</f>
        <v>4818785</v>
      </c>
      <c r="N1707" s="401"/>
    </row>
    <row r="1708" spans="2:14" s="160" customFormat="1" ht="12.75" hidden="1" customHeight="1" outlineLevel="1">
      <c r="B1708" s="674" t="str">
        <f>'TARLST FGD'!$B$2</f>
        <v>Tarleton State University</v>
      </c>
      <c r="D1708" s="390">
        <f>'TARLST FGD'!$D$65</f>
        <v>7468979</v>
      </c>
      <c r="E1708" s="390">
        <f>'TARLST FGD'!$E$65</f>
        <v>9616170</v>
      </c>
      <c r="F1708" s="390">
        <f>'TARLST FGD'!$F$65</f>
        <v>0</v>
      </c>
      <c r="G1708" s="390">
        <f>'TARLST FGD'!$G$65</f>
        <v>905204</v>
      </c>
      <c r="H1708" s="390">
        <f>'TARLST FGD'!$H$65</f>
        <v>0</v>
      </c>
      <c r="I1708" s="390">
        <f>'TARLST FGD'!$I$65</f>
        <v>0</v>
      </c>
      <c r="J1708" s="390">
        <f>'TARLST FGD'!$J$65</f>
        <v>0</v>
      </c>
      <c r="K1708" s="390">
        <f>'TARLST FGD'!$K$65</f>
        <v>0</v>
      </c>
      <c r="L1708" s="390">
        <f>'TARLST FGD'!$L$65</f>
        <v>0</v>
      </c>
      <c r="M1708" s="390">
        <f>'TARLST FGD'!$M$65</f>
        <v>17990353</v>
      </c>
      <c r="N1708" s="401"/>
    </row>
    <row r="1709" spans="2:14" s="160" customFormat="1" ht="12.75" hidden="1" customHeight="1" outlineLevel="1">
      <c r="B1709" s="674" t="str">
        <f>'TSU FGD'!$B$2</f>
        <v>Texas Southern University</v>
      </c>
      <c r="D1709" s="390">
        <f>'TSU FGD'!$D$65</f>
        <v>33447080</v>
      </c>
      <c r="E1709" s="390">
        <f>'TSU FGD'!$E$65</f>
        <v>12315212</v>
      </c>
      <c r="F1709" s="390">
        <f>'TSU FGD'!$F$65</f>
        <v>0</v>
      </c>
      <c r="G1709" s="390">
        <f>'TSU FGD'!$G$65</f>
        <v>10066212</v>
      </c>
      <c r="H1709" s="390">
        <f>'TSU FGD'!$H$65</f>
        <v>0</v>
      </c>
      <c r="I1709" s="390">
        <f>'TSU FGD'!$I$65</f>
        <v>0</v>
      </c>
      <c r="J1709" s="390">
        <f>'TSU FGD'!$J$65</f>
        <v>-4574</v>
      </c>
      <c r="K1709" s="390">
        <f>'TSU FGD'!$K$65</f>
        <v>0</v>
      </c>
      <c r="L1709" s="390">
        <f>'TSU FGD'!$L$65</f>
        <v>-2308076</v>
      </c>
      <c r="M1709" s="390">
        <f>'TSU FGD'!$M$65</f>
        <v>53515854</v>
      </c>
      <c r="N1709" s="401"/>
    </row>
    <row r="1710" spans="2:14" s="160" customFormat="1" ht="12.75" hidden="1" customHeight="1" outlineLevel="1">
      <c r="B1710" s="674" t="str">
        <f>'TTU FGD'!$B$2</f>
        <v>Texas Tech University</v>
      </c>
      <c r="D1710" s="390">
        <f>'TTU FGD'!$D$65</f>
        <v>15079319</v>
      </c>
      <c r="E1710" s="390">
        <f>'TTU FGD'!$E$65</f>
        <v>31578224</v>
      </c>
      <c r="F1710" s="390">
        <f>'TTU FGD'!$F$65</f>
        <v>0</v>
      </c>
      <c r="G1710" s="390">
        <f>'TTU FGD'!$G$65</f>
        <v>1251053</v>
      </c>
      <c r="H1710" s="390">
        <f>'TTU FGD'!$H$65</f>
        <v>0</v>
      </c>
      <c r="I1710" s="390">
        <f>'TTU FGD'!$I$65</f>
        <v>0</v>
      </c>
      <c r="J1710" s="390">
        <f>'TTU FGD'!$J$65</f>
        <v>0</v>
      </c>
      <c r="K1710" s="390">
        <f>'TTU FGD'!$K$65</f>
        <v>0</v>
      </c>
      <c r="L1710" s="390">
        <f>'TTU FGD'!$L$65</f>
        <v>0</v>
      </c>
      <c r="M1710" s="390">
        <f>'TTU FGD'!$M$65</f>
        <v>47908596</v>
      </c>
      <c r="N1710" s="401"/>
    </row>
    <row r="1711" spans="2:14" s="160" customFormat="1" ht="12.75" hidden="1" customHeight="1" outlineLevel="1">
      <c r="B1711" s="674" t="str">
        <f>'TWU FGD'!$B$2</f>
        <v>Texas Woman's University</v>
      </c>
      <c r="D1711" s="390">
        <f>'TWU FGD'!$D$65</f>
        <v>6852322</v>
      </c>
      <c r="E1711" s="390">
        <f>'TWU FGD'!$E$65</f>
        <v>22708349</v>
      </c>
      <c r="F1711" s="390">
        <f>'TWU FGD'!$F$65</f>
        <v>0</v>
      </c>
      <c r="G1711" s="390">
        <f>'TWU FGD'!$G$65</f>
        <v>1391343</v>
      </c>
      <c r="H1711" s="390">
        <f>'TWU FGD'!$H$65</f>
        <v>0</v>
      </c>
      <c r="I1711" s="390">
        <f>'TWU FGD'!$I$65</f>
        <v>138469</v>
      </c>
      <c r="J1711" s="390">
        <f>'TWU FGD'!$J$65</f>
        <v>0</v>
      </c>
      <c r="K1711" s="390">
        <f>'TWU FGD'!$K$65</f>
        <v>0</v>
      </c>
      <c r="L1711" s="390">
        <f>'TWU FGD'!$L$65</f>
        <v>0</v>
      </c>
      <c r="M1711" s="390">
        <f>'TWU FGD'!$M$65</f>
        <v>31090483</v>
      </c>
      <c r="N1711" s="401"/>
    </row>
    <row r="1712" spans="2:14" s="160" customFormat="1" ht="12.75" hidden="1" customHeight="1" outlineLevel="1">
      <c r="B1712" s="674" t="str">
        <f>'TXST FGD'!$B$2</f>
        <v>Texas State University</v>
      </c>
      <c r="D1712" s="390">
        <f>'TXST FGD'!$D$65</f>
        <v>2351666</v>
      </c>
      <c r="E1712" s="390">
        <f>'TXST FGD'!$E$65</f>
        <v>37012446</v>
      </c>
      <c r="F1712" s="390">
        <f>'TXST FGD'!$F$65</f>
        <v>0</v>
      </c>
      <c r="G1712" s="390">
        <f>'TXST FGD'!$G$65</f>
        <v>349265</v>
      </c>
      <c r="H1712" s="390">
        <f>'TXST FGD'!$H$65</f>
        <v>0</v>
      </c>
      <c r="I1712" s="390">
        <f>'TXST FGD'!$I$65</f>
        <v>0</v>
      </c>
      <c r="J1712" s="390">
        <f>'TXST FGD'!$J$65</f>
        <v>0</v>
      </c>
      <c r="K1712" s="390">
        <f>'TXST FGD'!$K$65</f>
        <v>0</v>
      </c>
      <c r="L1712" s="390">
        <f>'TXST FGD'!$L$65</f>
        <v>0</v>
      </c>
      <c r="M1712" s="390">
        <f>'TXST FGD'!$M$65</f>
        <v>39713377</v>
      </c>
      <c r="N1712" s="401"/>
    </row>
    <row r="1713" spans="2:14" s="160" customFormat="1" ht="12.75" hidden="1" customHeight="1" outlineLevel="1">
      <c r="B1713" s="674" t="str">
        <f>'TYL FGD'!$B$2</f>
        <v>The University of Texas at Tyler</v>
      </c>
      <c r="D1713" s="390">
        <f>'TYL FGD'!$D$65</f>
        <v>3076520</v>
      </c>
      <c r="E1713" s="390">
        <f>'TYL FGD'!$E$65</f>
        <v>10514239</v>
      </c>
      <c r="F1713" s="390">
        <f>'TYL FGD'!$F$65</f>
        <v>0</v>
      </c>
      <c r="G1713" s="390">
        <f>'TYL FGD'!$G$65</f>
        <v>496828</v>
      </c>
      <c r="H1713" s="390">
        <f>'TYL FGD'!$H$65</f>
        <v>0</v>
      </c>
      <c r="I1713" s="390">
        <f>'TYL FGD'!$I$65</f>
        <v>0</v>
      </c>
      <c r="J1713" s="390">
        <f>'TYL FGD'!$J$65</f>
        <v>0</v>
      </c>
      <c r="K1713" s="390">
        <f>'TYL FGD'!$K$65</f>
        <v>0</v>
      </c>
      <c r="L1713" s="390">
        <f>'TYL FGD'!$L$65</f>
        <v>0</v>
      </c>
      <c r="M1713" s="390">
        <f>'TYL FGD'!$M$65</f>
        <v>14087587</v>
      </c>
      <c r="N1713" s="401"/>
    </row>
    <row r="1714" spans="2:14" s="160" customFormat="1" ht="12.75" hidden="1" customHeight="1" outlineLevel="1">
      <c r="B1714" s="674" t="str">
        <f>'UH1 FGD'!$B$2</f>
        <v>University of Houston - Academic &amp; Health (A+H)</v>
      </c>
      <c r="D1714" s="390">
        <f>'UH1 FGD'!$D$65</f>
        <v>10976993</v>
      </c>
      <c r="E1714" s="390">
        <f>'UH1 FGD'!$E$65</f>
        <v>73561076</v>
      </c>
      <c r="F1714" s="390">
        <f>'UH1 FGD'!$F$65</f>
        <v>0</v>
      </c>
      <c r="G1714" s="390">
        <f>'UH1 FGD'!$G$65</f>
        <v>779991</v>
      </c>
      <c r="H1714" s="390">
        <f>'UH1 FGD'!$H$65</f>
        <v>0</v>
      </c>
      <c r="I1714" s="390">
        <f>'UH1 FGD'!$I$65</f>
        <v>0</v>
      </c>
      <c r="J1714" s="390">
        <f>'UH1 FGD'!$J$65</f>
        <v>0</v>
      </c>
      <c r="K1714" s="390">
        <f>'UH1 FGD'!$K$65</f>
        <v>0</v>
      </c>
      <c r="L1714" s="390">
        <f>'UH1 FGD'!$L$65</f>
        <v>0</v>
      </c>
      <c r="M1714" s="390">
        <f>'UH1 FGD'!$M$65</f>
        <v>85318060</v>
      </c>
      <c r="N1714" s="401"/>
    </row>
    <row r="1715" spans="2:14" s="160" customFormat="1" ht="12.75" hidden="1" customHeight="1" outlineLevel="1">
      <c r="B1715" s="674" t="str">
        <f>'UHCL FGD'!$B$2</f>
        <v>University of Houston - Clear Lake</v>
      </c>
      <c r="D1715" s="390">
        <f>'UHCL FGD'!$D$65</f>
        <v>6590028</v>
      </c>
      <c r="E1715" s="390">
        <f>'UHCL FGD'!$E$65</f>
        <v>11062147</v>
      </c>
      <c r="F1715" s="390">
        <f>'UHCL FGD'!$F$65</f>
        <v>0</v>
      </c>
      <c r="G1715" s="390">
        <f>'UHCL FGD'!$G$65</f>
        <v>32526</v>
      </c>
      <c r="H1715" s="390">
        <f>'UHCL FGD'!$H$65</f>
        <v>0</v>
      </c>
      <c r="I1715" s="390">
        <f>'UHCL FGD'!$I$65</f>
        <v>0</v>
      </c>
      <c r="J1715" s="390">
        <f>'UHCL FGD'!$J$65</f>
        <v>0</v>
      </c>
      <c r="K1715" s="390">
        <f>'UHCL FGD'!$K$65</f>
        <v>0</v>
      </c>
      <c r="L1715" s="390">
        <f>'UHCL FGD'!$L$65</f>
        <v>0</v>
      </c>
      <c r="M1715" s="390">
        <f>'UHCL FGD'!$M$65</f>
        <v>17684701</v>
      </c>
      <c r="N1715" s="401"/>
    </row>
    <row r="1716" spans="2:14" s="160" customFormat="1" ht="12.75" hidden="1" customHeight="1" outlineLevel="1">
      <c r="B1716" s="674" t="str">
        <f>'UHD FGD'!$B$2</f>
        <v>University of Houston - Downtown</v>
      </c>
      <c r="D1716" s="390">
        <f>'UHD FGD'!$D$65</f>
        <v>7565426</v>
      </c>
      <c r="E1716" s="390">
        <f>'UHD FGD'!$E$65</f>
        <v>16559114</v>
      </c>
      <c r="F1716" s="390">
        <f>'UHD FGD'!$F$65</f>
        <v>0</v>
      </c>
      <c r="G1716" s="390">
        <f>'UHD FGD'!$G$65</f>
        <v>-101925</v>
      </c>
      <c r="H1716" s="390">
        <f>'UHD FGD'!$H$65</f>
        <v>0</v>
      </c>
      <c r="I1716" s="390">
        <f>'UHD FGD'!$I$65</f>
        <v>0</v>
      </c>
      <c r="J1716" s="390">
        <f>'UHD FGD'!$J$65</f>
        <v>0</v>
      </c>
      <c r="K1716" s="390">
        <f>'UHD FGD'!$K$65</f>
        <v>0</v>
      </c>
      <c r="L1716" s="390">
        <f>'UHD FGD'!$L$65</f>
        <v>0</v>
      </c>
      <c r="M1716" s="390">
        <f>'UHD FGD'!$M$65</f>
        <v>24022615</v>
      </c>
      <c r="N1716" s="401"/>
    </row>
    <row r="1717" spans="2:14" s="160" customFormat="1" ht="12.75" hidden="1" customHeight="1" outlineLevel="1">
      <c r="B1717" s="674" t="str">
        <f>'UHV FGD'!$B$2</f>
        <v>University of Houston - Victoria</v>
      </c>
      <c r="D1717" s="390">
        <f>'UHV FGD'!$D$65</f>
        <v>2611896</v>
      </c>
      <c r="E1717" s="390">
        <f>'UHV FGD'!$E$65</f>
        <v>3270000</v>
      </c>
      <c r="F1717" s="390">
        <f>'UHV FGD'!$F$65</f>
        <v>4804</v>
      </c>
      <c r="G1717" s="390">
        <f>'UHV FGD'!$G$65</f>
        <v>10896</v>
      </c>
      <c r="H1717" s="390">
        <f>'UHV FGD'!$H$65</f>
        <v>0</v>
      </c>
      <c r="I1717" s="390">
        <f>'UHV FGD'!$I$65</f>
        <v>0</v>
      </c>
      <c r="J1717" s="390">
        <f>'UHV FGD'!$J$65</f>
        <v>0</v>
      </c>
      <c r="K1717" s="390">
        <f>'UHV FGD'!$K$65</f>
        <v>0</v>
      </c>
      <c r="L1717" s="390">
        <f>'UHV FGD'!$L$65</f>
        <v>0</v>
      </c>
      <c r="M1717" s="390">
        <f>'UHV FGD'!$M$65</f>
        <v>5897596</v>
      </c>
      <c r="N1717" s="401"/>
    </row>
    <row r="1718" spans="2:14" s="160" customFormat="1" ht="12.75" hidden="1" customHeight="1" outlineLevel="1">
      <c r="B1718" s="674" t="str">
        <f>'UNT FGD'!$B$2</f>
        <v>University of North Texas</v>
      </c>
      <c r="D1718" s="390">
        <f>'UNT FGD'!$D$65</f>
        <v>14703446</v>
      </c>
      <c r="E1718" s="390">
        <f>'UNT FGD'!$E$65</f>
        <v>32465935</v>
      </c>
      <c r="F1718" s="390">
        <f>'UNT FGD'!$F$65</f>
        <v>0</v>
      </c>
      <c r="G1718" s="390">
        <f>'UNT FGD'!$G$65</f>
        <v>3270797</v>
      </c>
      <c r="H1718" s="390">
        <f>'UNT FGD'!$H$65</f>
        <v>0</v>
      </c>
      <c r="I1718" s="390">
        <f>'UNT FGD'!$I$65</f>
        <v>297928</v>
      </c>
      <c r="J1718" s="390">
        <f>'UNT FGD'!$J$65</f>
        <v>0</v>
      </c>
      <c r="K1718" s="390">
        <f>'UNT FGD'!$K$65</f>
        <v>0</v>
      </c>
      <c r="L1718" s="390">
        <f>'UNT FGD'!$L$65</f>
        <v>0</v>
      </c>
      <c r="M1718" s="390">
        <f>'UNT FGD'!$M$65</f>
        <v>50738106</v>
      </c>
      <c r="N1718" s="401"/>
    </row>
    <row r="1719" spans="2:14" s="160" customFormat="1" ht="12.75" hidden="1" customHeight="1" outlineLevel="1">
      <c r="B1719" s="674" t="str">
        <f>'UNTD FGD'!$B$2</f>
        <v>University of North Texas at Dallas</v>
      </c>
      <c r="D1719" s="390">
        <f>'UNTD FGD'!$D$65</f>
        <v>5263288</v>
      </c>
      <c r="E1719" s="390">
        <f>'UNTD FGD'!$E$65</f>
        <v>1792855</v>
      </c>
      <c r="F1719" s="390">
        <f>'UNTD FGD'!$F$65</f>
        <v>0</v>
      </c>
      <c r="G1719" s="390">
        <f>'UNTD FGD'!$G$65</f>
        <v>454952</v>
      </c>
      <c r="H1719" s="390">
        <f>'UNTD FGD'!$H$65</f>
        <v>0</v>
      </c>
      <c r="I1719" s="390">
        <f>'UNTD FGD'!$I$65</f>
        <v>12919</v>
      </c>
      <c r="J1719" s="390">
        <f>'UNTD FGD'!$J$65</f>
        <v>0</v>
      </c>
      <c r="K1719" s="390">
        <f>'UNTD FGD'!$K$65</f>
        <v>0</v>
      </c>
      <c r="L1719" s="390">
        <f>'UNTD FGD'!$L$65</f>
        <v>0</v>
      </c>
      <c r="M1719" s="390">
        <f>'UNTD FGD'!$M$65</f>
        <v>7524014</v>
      </c>
      <c r="N1719" s="401"/>
    </row>
    <row r="1720" spans="2:14" s="160" customFormat="1" ht="12.75" hidden="1" customHeight="1" outlineLevel="1">
      <c r="B1720" s="674" t="str">
        <f>'WTAMU FGD'!$B$2</f>
        <v>West Texas A&amp;M University</v>
      </c>
      <c r="D1720" s="390">
        <f>'WTAMU FGD'!$D$65</f>
        <v>5297690</v>
      </c>
      <c r="E1720" s="390">
        <f>'WTAMU FGD'!$E$65</f>
        <v>7927877</v>
      </c>
      <c r="F1720" s="390">
        <f>'WTAMU FGD'!$F$65</f>
        <v>0</v>
      </c>
      <c r="G1720" s="390">
        <f>'WTAMU FGD'!$G$65</f>
        <v>5629</v>
      </c>
      <c r="H1720" s="390">
        <f>'WTAMU FGD'!$H$65</f>
        <v>0</v>
      </c>
      <c r="I1720" s="390">
        <f>'WTAMU FGD'!$I$65</f>
        <v>0</v>
      </c>
      <c r="J1720" s="390">
        <f>'WTAMU FGD'!$J$65</f>
        <v>0</v>
      </c>
      <c r="K1720" s="390">
        <f>'WTAMU FGD'!$K$65</f>
        <v>0</v>
      </c>
      <c r="L1720" s="390">
        <f>'WTAMU FGD'!$L$65</f>
        <v>0</v>
      </c>
      <c r="M1720" s="390">
        <f>'WTAMU FGD'!$M$65</f>
        <v>13231196</v>
      </c>
      <c r="N1720" s="401"/>
    </row>
    <row r="1721" spans="2:14" s="160" customFormat="1" collapsed="1">
      <c r="B1721" s="160" t="s">
        <v>19</v>
      </c>
      <c r="D1721" s="390">
        <f t="shared" ref="D1721:M1721" si="45">SUM(D1685:D1720)</f>
        <v>421421358</v>
      </c>
      <c r="E1721" s="390">
        <f t="shared" si="45"/>
        <v>621275595</v>
      </c>
      <c r="F1721" s="390">
        <f t="shared" si="45"/>
        <v>56722</v>
      </c>
      <c r="G1721" s="390">
        <f t="shared" si="45"/>
        <v>103343599</v>
      </c>
      <c r="H1721" s="390">
        <f t="shared" si="45"/>
        <v>0</v>
      </c>
      <c r="I1721" s="390">
        <f t="shared" si="45"/>
        <v>482253</v>
      </c>
      <c r="J1721" s="390">
        <f t="shared" si="45"/>
        <v>48573</v>
      </c>
      <c r="K1721" s="390">
        <f t="shared" si="45"/>
        <v>0</v>
      </c>
      <c r="L1721" s="390">
        <f t="shared" si="45"/>
        <v>-2308076</v>
      </c>
      <c r="M1721" s="390">
        <f t="shared" si="45"/>
        <v>1144320024</v>
      </c>
      <c r="N1721" s="401"/>
    </row>
    <row r="1722" spans="2:14" s="160" customFormat="1" ht="12.75" hidden="1" customHeight="1" outlineLevel="1">
      <c r="B1722" s="674" t="str">
        <f>'ARL FGD'!$B$2</f>
        <v>The University of Texas at Arlington</v>
      </c>
      <c r="D1722" s="390">
        <f>'ARL FGD'!$D$66</f>
        <v>24542929</v>
      </c>
      <c r="E1722" s="390">
        <f>'ARL FGD'!$E$66</f>
        <v>9473454</v>
      </c>
      <c r="F1722" s="390">
        <f>'ARL FGD'!$F$66</f>
        <v>0</v>
      </c>
      <c r="G1722" s="390">
        <f>'ARL FGD'!$G$66</f>
        <v>768581</v>
      </c>
      <c r="H1722" s="390">
        <f>'ARL FGD'!$H$66</f>
        <v>0</v>
      </c>
      <c r="I1722" s="390">
        <f>'ARL FGD'!$I$66</f>
        <v>0</v>
      </c>
      <c r="J1722" s="390">
        <f>'ARL FGD'!$J$66</f>
        <v>7141610</v>
      </c>
      <c r="K1722" s="390">
        <f>'ARL FGD'!$K$66</f>
        <v>0</v>
      </c>
      <c r="L1722" s="390">
        <f>'ARL FGD'!$L$66</f>
        <v>0</v>
      </c>
      <c r="M1722" s="390">
        <f>'ARL FGD'!$M$66</f>
        <v>41926574</v>
      </c>
      <c r="N1722" s="401"/>
    </row>
    <row r="1723" spans="2:14" s="160" customFormat="1" ht="12.75" hidden="1" customHeight="1" outlineLevel="1">
      <c r="B1723" s="674" t="str">
        <f>'ASU FGD'!$B$2</f>
        <v>Angelo State University</v>
      </c>
      <c r="D1723" s="390">
        <f>'ASU FGD'!$D$66</f>
        <v>2513395</v>
      </c>
      <c r="E1723" s="390">
        <f>'ASU FGD'!$E$66</f>
        <v>4943642</v>
      </c>
      <c r="F1723" s="390">
        <f>'ASU FGD'!$F$66</f>
        <v>0</v>
      </c>
      <c r="G1723" s="390">
        <f>'ASU FGD'!$G$66</f>
        <v>50686</v>
      </c>
      <c r="H1723" s="390">
        <f>'ASU FGD'!$H$66</f>
        <v>0</v>
      </c>
      <c r="I1723" s="390">
        <f>'ASU FGD'!$I$66</f>
        <v>0</v>
      </c>
      <c r="J1723" s="390">
        <f>'ASU FGD'!$J$66</f>
        <v>0</v>
      </c>
      <c r="K1723" s="390">
        <f>'ASU FGD'!$K$66</f>
        <v>0</v>
      </c>
      <c r="L1723" s="390">
        <f>'ASU FGD'!$L$66</f>
        <v>0</v>
      </c>
      <c r="M1723" s="390">
        <f>'ASU FGD'!$M$66</f>
        <v>7507723</v>
      </c>
      <c r="N1723" s="401"/>
    </row>
    <row r="1724" spans="2:14" s="160" customFormat="1" ht="12.75" hidden="1" customHeight="1" outlineLevel="1">
      <c r="B1724" s="674" t="str">
        <f>'AUS1 FGD'!$B$2</f>
        <v>The University of Texas at Austin - Academic &amp; Health (A+H)</v>
      </c>
      <c r="D1724" s="390">
        <f>'AUS1 FGD'!$D$66</f>
        <v>1145292</v>
      </c>
      <c r="E1724" s="390">
        <f>'AUS1 FGD'!$E$66</f>
        <v>145564045</v>
      </c>
      <c r="F1724" s="390">
        <f>'AUS1 FGD'!$F$66</f>
        <v>0</v>
      </c>
      <c r="G1724" s="390">
        <f>'AUS1 FGD'!$G$66</f>
        <v>1820</v>
      </c>
      <c r="H1724" s="390">
        <f>'AUS1 FGD'!$H$66</f>
        <v>0</v>
      </c>
      <c r="I1724" s="390">
        <f>'AUS1 FGD'!$I$66</f>
        <v>0</v>
      </c>
      <c r="J1724" s="390">
        <f>'AUS1 FGD'!$J$66</f>
        <v>51562083</v>
      </c>
      <c r="K1724" s="390">
        <f>'AUS1 FGD'!$K$66</f>
        <v>0</v>
      </c>
      <c r="L1724" s="390">
        <f>'AUS1 FGD'!$L$66</f>
        <v>0</v>
      </c>
      <c r="M1724" s="390">
        <f>'AUS1 FGD'!$M$66</f>
        <v>198273240</v>
      </c>
      <c r="N1724" s="401"/>
    </row>
    <row r="1725" spans="2:14" s="160" customFormat="1" ht="12.75" hidden="1" customHeight="1" outlineLevel="1">
      <c r="B1725" s="674" t="str">
        <f>'RGV1 FGD'!$B$2</f>
        <v>The University of Texas RGV - Academic &amp; Health (A+H)</v>
      </c>
      <c r="D1725" s="390">
        <f>'RGV1 FGD'!$D$66</f>
        <v>10200781</v>
      </c>
      <c r="E1725" s="390">
        <f>'RGV1 FGD'!$E$66</f>
        <v>23657679</v>
      </c>
      <c r="F1725" s="390">
        <f>'RGV1 FGD'!$F$66</f>
        <v>0</v>
      </c>
      <c r="G1725" s="390">
        <f>'RGV1 FGD'!$G$66</f>
        <v>62670</v>
      </c>
      <c r="H1725" s="390">
        <f>'RGV1 FGD'!$H$66</f>
        <v>0</v>
      </c>
      <c r="I1725" s="390">
        <f>'RGV1 FGD'!$I$66</f>
        <v>0</v>
      </c>
      <c r="J1725" s="390">
        <f>'RGV1 FGD'!$J$66</f>
        <v>2517358</v>
      </c>
      <c r="K1725" s="390">
        <f>'RGV1 FGD'!$K$66</f>
        <v>0</v>
      </c>
      <c r="L1725" s="390">
        <f>'RGV1 FGD'!$L$66</f>
        <v>0</v>
      </c>
      <c r="M1725" s="390">
        <f>'RGV1 FGD'!$M$66</f>
        <v>36438488</v>
      </c>
      <c r="N1725" s="401"/>
    </row>
    <row r="1726" spans="2:14" s="160" customFormat="1" ht="12.75" hidden="1" customHeight="1" outlineLevel="1">
      <c r="B1726" s="674" t="str">
        <f>'DAL FGD'!$B$2</f>
        <v>The University of Texas at Dallas</v>
      </c>
      <c r="D1726" s="390">
        <f>'DAL FGD'!$D$66</f>
        <v>11162318</v>
      </c>
      <c r="E1726" s="390">
        <f>'DAL FGD'!$E$66</f>
        <v>38020136</v>
      </c>
      <c r="F1726" s="390">
        <f>'DAL FGD'!$F$66</f>
        <v>0</v>
      </c>
      <c r="G1726" s="390">
        <f>'DAL FGD'!$G$66</f>
        <v>4406231</v>
      </c>
      <c r="H1726" s="390">
        <f>'DAL FGD'!$H$66</f>
        <v>0</v>
      </c>
      <c r="I1726" s="390">
        <f>'DAL FGD'!$I$66</f>
        <v>0</v>
      </c>
      <c r="J1726" s="390">
        <f>'DAL FGD'!$J$66</f>
        <v>988501</v>
      </c>
      <c r="K1726" s="390">
        <f>'DAL FGD'!$K$66</f>
        <v>0</v>
      </c>
      <c r="L1726" s="390">
        <f>'DAL FGD'!$L$66</f>
        <v>0</v>
      </c>
      <c r="M1726" s="390">
        <f>'DAL FGD'!$M$66</f>
        <v>54577186</v>
      </c>
      <c r="N1726" s="401"/>
    </row>
    <row r="1727" spans="2:14" s="160" customFormat="1" ht="12.75" hidden="1" customHeight="1" outlineLevel="1">
      <c r="B1727" s="674" t="str">
        <f>'E-P FGD'!$B$2</f>
        <v>The University of Texas at El Paso</v>
      </c>
      <c r="D1727" s="390">
        <f>'E-P FGD'!$D$66</f>
        <v>15732483</v>
      </c>
      <c r="E1727" s="390">
        <f>'E-P FGD'!$E$66</f>
        <v>13093326</v>
      </c>
      <c r="F1727" s="390">
        <f>'E-P FGD'!$F$66</f>
        <v>0</v>
      </c>
      <c r="G1727" s="390">
        <f>'E-P FGD'!$G$66</f>
        <v>24211</v>
      </c>
      <c r="H1727" s="390">
        <f>'E-P FGD'!$H$66</f>
        <v>0</v>
      </c>
      <c r="I1727" s="390">
        <f>'E-P FGD'!$I$66</f>
        <v>0</v>
      </c>
      <c r="J1727" s="390">
        <f>'E-P FGD'!$J$66</f>
        <v>126131</v>
      </c>
      <c r="K1727" s="390">
        <f>'E-P FGD'!$K$66</f>
        <v>0</v>
      </c>
      <c r="L1727" s="390">
        <f>'E-P FGD'!$L$66</f>
        <v>0</v>
      </c>
      <c r="M1727" s="390">
        <f>'E-P FGD'!$M$66</f>
        <v>28976151</v>
      </c>
      <c r="N1727" s="401"/>
    </row>
    <row r="1728" spans="2:14" s="160" customFormat="1" ht="12.75" hidden="1" customHeight="1" outlineLevel="1">
      <c r="B1728" s="674" t="str">
        <f>'LU FGD'!$B$2</f>
        <v xml:space="preserve">Lamar University </v>
      </c>
      <c r="D1728" s="390">
        <f>'LU FGD'!$D$66</f>
        <v>5908237</v>
      </c>
      <c r="E1728" s="390">
        <f>'LU FGD'!$E$66</f>
        <v>7887316</v>
      </c>
      <c r="F1728" s="390">
        <f>'LU FGD'!$F$66</f>
        <v>0</v>
      </c>
      <c r="G1728" s="390">
        <f>'LU FGD'!$G$66</f>
        <v>0</v>
      </c>
      <c r="H1728" s="390">
        <f>'LU FGD'!$H$66</f>
        <v>0</v>
      </c>
      <c r="I1728" s="390">
        <f>'LU FGD'!$I$66</f>
        <v>0</v>
      </c>
      <c r="J1728" s="390">
        <f>'LU FGD'!$J$66</f>
        <v>0</v>
      </c>
      <c r="K1728" s="390">
        <f>'LU FGD'!$K$66</f>
        <v>0</v>
      </c>
      <c r="L1728" s="390">
        <f>'LU FGD'!$L$66</f>
        <v>0</v>
      </c>
      <c r="M1728" s="390">
        <f>'LU FGD'!$M$66</f>
        <v>13795553</v>
      </c>
      <c r="N1728" s="401"/>
    </row>
    <row r="1729" spans="2:14" s="160" customFormat="1" ht="12.75" hidden="1" customHeight="1" outlineLevel="1">
      <c r="B1729" s="674" t="str">
        <f>'MidWST FGD'!$B$2</f>
        <v>Midwestern State University</v>
      </c>
      <c r="D1729" s="390">
        <f>'MidWST FGD'!$D$66</f>
        <v>5845789</v>
      </c>
      <c r="E1729" s="390">
        <f>'MidWST FGD'!$E$66</f>
        <v>1347704</v>
      </c>
      <c r="F1729" s="390">
        <f>'MidWST FGD'!$F$66</f>
        <v>0</v>
      </c>
      <c r="G1729" s="390">
        <f>'MidWST FGD'!$G$66</f>
        <v>67108</v>
      </c>
      <c r="H1729" s="390">
        <f>'MidWST FGD'!$H$66</f>
        <v>0</v>
      </c>
      <c r="I1729" s="390">
        <f>'MidWST FGD'!$I$66</f>
        <v>0</v>
      </c>
      <c r="J1729" s="390">
        <f>'MidWST FGD'!$J$66</f>
        <v>40950</v>
      </c>
      <c r="K1729" s="390">
        <f>'MidWST FGD'!$K$66</f>
        <v>1600</v>
      </c>
      <c r="L1729" s="390">
        <f>'MidWST FGD'!$L$66</f>
        <v>0</v>
      </c>
      <c r="M1729" s="390">
        <f>'MidWST FGD'!$M$66</f>
        <v>7303151</v>
      </c>
      <c r="N1729" s="401"/>
    </row>
    <row r="1730" spans="2:14" s="160" customFormat="1" ht="12.75" hidden="1" customHeight="1" outlineLevel="1">
      <c r="B1730" s="674" t="str">
        <f>'P-B FGD'!$B$2</f>
        <v>The University of Texas of the Permian Basin</v>
      </c>
      <c r="D1730" s="390">
        <f>'P-B FGD'!$D$66</f>
        <v>5186486</v>
      </c>
      <c r="E1730" s="390">
        <f>'P-B FGD'!$E$66</f>
        <v>3073441</v>
      </c>
      <c r="F1730" s="390">
        <f>'P-B FGD'!$F$66</f>
        <v>0</v>
      </c>
      <c r="G1730" s="390">
        <f>'P-B FGD'!$G$66</f>
        <v>221389</v>
      </c>
      <c r="H1730" s="390">
        <f>'P-B FGD'!$H$66</f>
        <v>0</v>
      </c>
      <c r="I1730" s="390">
        <f>'P-B FGD'!$I$66</f>
        <v>0</v>
      </c>
      <c r="J1730" s="390">
        <f>'P-B FGD'!$J$66</f>
        <v>1737983</v>
      </c>
      <c r="K1730" s="390">
        <f>'P-B FGD'!$K$66</f>
        <v>0</v>
      </c>
      <c r="L1730" s="390">
        <f>'P-B FGD'!$L$66</f>
        <v>0</v>
      </c>
      <c r="M1730" s="390">
        <f>'P-B FGD'!$M$66</f>
        <v>10219299</v>
      </c>
      <c r="N1730" s="401"/>
    </row>
    <row r="1731" spans="2:14" s="160" customFormat="1" ht="12.75" hidden="1" customHeight="1" outlineLevel="1">
      <c r="B1731" s="674" t="str">
        <f>'PVAMU FGD'!$B$2</f>
        <v>Prairie View A&amp;M University</v>
      </c>
      <c r="D1731" s="390">
        <f>'PVAMU FGD'!$D$66</f>
        <v>3166102</v>
      </c>
      <c r="E1731" s="390">
        <f>'PVAMU FGD'!$E$66</f>
        <v>14625734</v>
      </c>
      <c r="F1731" s="390">
        <f>'PVAMU FGD'!$F$66</f>
        <v>0</v>
      </c>
      <c r="G1731" s="390">
        <f>'PVAMU FGD'!$G$66</f>
        <v>0</v>
      </c>
      <c r="H1731" s="390">
        <f>'PVAMU FGD'!$H$66</f>
        <v>0</v>
      </c>
      <c r="I1731" s="390">
        <f>'PVAMU FGD'!$I$66</f>
        <v>0</v>
      </c>
      <c r="J1731" s="390">
        <f>'PVAMU FGD'!$J$66</f>
        <v>4482287</v>
      </c>
      <c r="K1731" s="390">
        <f>'PVAMU FGD'!$K$66</f>
        <v>0</v>
      </c>
      <c r="L1731" s="390">
        <f>'PVAMU FGD'!$L$66</f>
        <v>0</v>
      </c>
      <c r="M1731" s="390">
        <f>'PVAMU FGD'!$M$66</f>
        <v>22274123</v>
      </c>
      <c r="N1731" s="401"/>
    </row>
    <row r="1732" spans="2:14" s="160" customFormat="1" ht="12.75" hidden="1" customHeight="1" outlineLevel="1">
      <c r="B1732" s="674" t="str">
        <f>'S-A FGD'!$B$2</f>
        <v>The University of Texas at San Antonio</v>
      </c>
      <c r="D1732" s="390">
        <f>'S-A FGD'!$D$66</f>
        <v>16360131</v>
      </c>
      <c r="E1732" s="390">
        <f>'S-A FGD'!$E$66</f>
        <v>18336117</v>
      </c>
      <c r="F1732" s="390">
        <f>'S-A FGD'!$F$66</f>
        <v>0</v>
      </c>
      <c r="G1732" s="390">
        <f>'S-A FGD'!$G$66</f>
        <v>143416</v>
      </c>
      <c r="H1732" s="390">
        <f>'S-A FGD'!$H$66</f>
        <v>0</v>
      </c>
      <c r="I1732" s="390">
        <f>'S-A FGD'!$I$66</f>
        <v>0</v>
      </c>
      <c r="J1732" s="390">
        <f>'S-A FGD'!$J$66</f>
        <v>5804336</v>
      </c>
      <c r="K1732" s="390">
        <f>'S-A FGD'!$K$66</f>
        <v>0</v>
      </c>
      <c r="L1732" s="390">
        <f>'S-A FGD'!$L$66</f>
        <v>0</v>
      </c>
      <c r="M1732" s="390">
        <f>'S-A FGD'!$M$66</f>
        <v>40644000</v>
      </c>
      <c r="N1732" s="401"/>
    </row>
    <row r="1733" spans="2:14" s="160" customFormat="1" ht="12.75" hidden="1" customHeight="1" outlineLevel="1">
      <c r="B1733" s="674" t="str">
        <f>'SFA FGD'!$B$2</f>
        <v>Stephen F. Austin State University</v>
      </c>
      <c r="D1733" s="390">
        <f>'SFA FGD'!$D$66</f>
        <v>3665093</v>
      </c>
      <c r="E1733" s="390">
        <f>'SFA FGD'!$E$66</f>
        <v>8406671</v>
      </c>
      <c r="F1733" s="390">
        <f>'SFA FGD'!$F$66</f>
        <v>0</v>
      </c>
      <c r="G1733" s="390">
        <f>'SFA FGD'!$G$66</f>
        <v>92694</v>
      </c>
      <c r="H1733" s="390">
        <f>'SFA FGD'!$H$66</f>
        <v>0</v>
      </c>
      <c r="I1733" s="390">
        <f>'SFA FGD'!$I$66</f>
        <v>0</v>
      </c>
      <c r="J1733" s="390">
        <f>'SFA FGD'!$J$66</f>
        <v>4919168</v>
      </c>
      <c r="K1733" s="390">
        <f>'SFA FGD'!$K$66</f>
        <v>0</v>
      </c>
      <c r="L1733" s="390">
        <f>'SFA FGD'!$L$66</f>
        <v>0</v>
      </c>
      <c r="M1733" s="390">
        <f>'SFA FGD'!$M$66</f>
        <v>17083626</v>
      </c>
      <c r="N1733" s="401"/>
    </row>
    <row r="1734" spans="2:14" s="160" customFormat="1" ht="12.75" hidden="1" customHeight="1" outlineLevel="1">
      <c r="B1734" s="674" t="str">
        <f>'shsu1 FGD'!$B$2</f>
        <v>Sam Houston State University - Academic &amp; Health (A+H)</v>
      </c>
      <c r="D1734" s="390">
        <f>'shsu1 FGD'!$D$66</f>
        <v>9976740</v>
      </c>
      <c r="E1734" s="390">
        <f>'shsu1 FGD'!$E$66</f>
        <v>11254318</v>
      </c>
      <c r="F1734" s="390">
        <f>'shsu1 FGD'!$F$66</f>
        <v>0</v>
      </c>
      <c r="G1734" s="390">
        <f>'shsu1 FGD'!$G$66</f>
        <v>2908346</v>
      </c>
      <c r="H1734" s="390">
        <f>'shsu1 FGD'!$H$66</f>
        <v>0</v>
      </c>
      <c r="I1734" s="390">
        <f>'shsu1 FGD'!$I$66</f>
        <v>0</v>
      </c>
      <c r="J1734" s="390">
        <f>'shsu1 FGD'!$J$66</f>
        <v>227295</v>
      </c>
      <c r="K1734" s="390">
        <f>'shsu1 FGD'!$K$66</f>
        <v>0</v>
      </c>
      <c r="L1734" s="390">
        <f>'shsu1 FGD'!$L$66</f>
        <v>0</v>
      </c>
      <c r="M1734" s="390">
        <f>'shsu1 FGD'!$M$66</f>
        <v>24366699</v>
      </c>
      <c r="N1734" s="401"/>
    </row>
    <row r="1735" spans="2:14" s="160" customFormat="1" ht="12.75" hidden="1" customHeight="1" outlineLevel="1">
      <c r="B1735" s="674" t="str">
        <f>'SRSU FGD'!$B$2</f>
        <v>Sul Ross State University</v>
      </c>
      <c r="D1735" s="390">
        <f>'SRSU FGD'!$D$66</f>
        <v>3887695</v>
      </c>
      <c r="E1735" s="390">
        <f>'SRSU FGD'!$E$66</f>
        <v>138451</v>
      </c>
      <c r="F1735" s="390">
        <f>'SRSU FGD'!$F$66</f>
        <v>18</v>
      </c>
      <c r="G1735" s="390">
        <f>'SRSU FGD'!$G$66</f>
        <v>31913</v>
      </c>
      <c r="H1735" s="390">
        <f>'SRSU FGD'!$H$66</f>
        <v>0</v>
      </c>
      <c r="I1735" s="390">
        <f>'SRSU FGD'!$I$66</f>
        <v>0</v>
      </c>
      <c r="J1735" s="390">
        <f>'SRSU FGD'!$J$66</f>
        <v>1289236</v>
      </c>
      <c r="K1735" s="390">
        <f>'SRSU FGD'!$K$66</f>
        <v>0</v>
      </c>
      <c r="L1735" s="390">
        <f>'SRSU FGD'!$L$66</f>
        <v>0</v>
      </c>
      <c r="M1735" s="390">
        <f>'SRSU FGD'!$M$66</f>
        <v>5347313</v>
      </c>
      <c r="N1735" s="401"/>
    </row>
    <row r="1736" spans="2:14" s="160" customFormat="1" ht="12.75" hidden="1" customHeight="1" outlineLevel="1">
      <c r="B1736" s="674" t="str">
        <f>'TAMIU FGD'!$B$2</f>
        <v>Texas A&amp;M International University</v>
      </c>
      <c r="D1736" s="390">
        <f>'TAMIU FGD'!$D$66</f>
        <v>2626787</v>
      </c>
      <c r="E1736" s="390">
        <f>'TAMIU FGD'!$E$66</f>
        <v>7994106</v>
      </c>
      <c r="F1736" s="390">
        <f>'TAMIU FGD'!$F$66</f>
        <v>0</v>
      </c>
      <c r="G1736" s="390">
        <f>'TAMIU FGD'!$G$66</f>
        <v>3581933</v>
      </c>
      <c r="H1736" s="390">
        <f>'TAMIU FGD'!$H$66</f>
        <v>0</v>
      </c>
      <c r="I1736" s="390">
        <f>'TAMIU FGD'!$I$66</f>
        <v>0</v>
      </c>
      <c r="J1736" s="390">
        <f>'TAMIU FGD'!$J$66</f>
        <v>55</v>
      </c>
      <c r="K1736" s="390">
        <f>'TAMIU FGD'!$K$66</f>
        <v>0</v>
      </c>
      <c r="L1736" s="390">
        <f>'TAMIU FGD'!$L$66</f>
        <v>0</v>
      </c>
      <c r="M1736" s="390">
        <f>'TAMIU FGD'!$M$66</f>
        <v>14202881</v>
      </c>
      <c r="N1736" s="401"/>
    </row>
    <row r="1737" spans="2:14" s="160" customFormat="1" ht="12.75" hidden="1" customHeight="1" outlineLevel="1">
      <c r="B1737" s="674" t="str">
        <f>'TAMU FGD'!$B$2</f>
        <v>Texas A&amp;M University</v>
      </c>
      <c r="D1737" s="390">
        <f>'TAMU FGD'!$D$66</f>
        <v>13779227</v>
      </c>
      <c r="E1737" s="390">
        <f>'TAMU FGD'!$E$66</f>
        <v>119275567</v>
      </c>
      <c r="F1737" s="390">
        <f>'TAMU FGD'!$F$66</f>
        <v>0</v>
      </c>
      <c r="G1737" s="390">
        <f>'TAMU FGD'!$G$66</f>
        <v>2873094</v>
      </c>
      <c r="H1737" s="390">
        <f>'TAMU FGD'!$H$66</f>
        <v>0</v>
      </c>
      <c r="I1737" s="390">
        <f>'TAMU FGD'!$I$66</f>
        <v>0</v>
      </c>
      <c r="J1737" s="390">
        <f>'TAMU FGD'!$J$66</f>
        <v>37879429</v>
      </c>
      <c r="K1737" s="390">
        <f>'TAMU FGD'!$K$66</f>
        <v>0</v>
      </c>
      <c r="L1737" s="390">
        <f>'TAMU FGD'!$L$66</f>
        <v>0</v>
      </c>
      <c r="M1737" s="390">
        <f>'TAMU FGD'!$M$66</f>
        <v>173807317</v>
      </c>
      <c r="N1737" s="401"/>
    </row>
    <row r="1738" spans="2:14" s="160" customFormat="1" ht="12.75" hidden="1" customHeight="1" outlineLevel="1">
      <c r="B1738" s="674" t="str">
        <f>'TAMUC FGD'!$B$2</f>
        <v>Texas A&amp;M University - Commerce</v>
      </c>
      <c r="D1738" s="390">
        <f>'TAMUC FGD'!$D$66</f>
        <v>3311429</v>
      </c>
      <c r="E1738" s="390">
        <f>'TAMUC FGD'!$E$66</f>
        <v>10489178</v>
      </c>
      <c r="F1738" s="390">
        <f>'TAMUC FGD'!$F$66</f>
        <v>0</v>
      </c>
      <c r="G1738" s="390">
        <f>'TAMUC FGD'!$G$66</f>
        <v>6108</v>
      </c>
      <c r="H1738" s="390">
        <f>'TAMUC FGD'!$H$66</f>
        <v>0</v>
      </c>
      <c r="I1738" s="390">
        <f>'TAMUC FGD'!$I$66</f>
        <v>0</v>
      </c>
      <c r="J1738" s="390">
        <f>'TAMUC FGD'!$J$66</f>
        <v>1954732</v>
      </c>
      <c r="K1738" s="390">
        <f>'TAMUC FGD'!$K$66</f>
        <v>0</v>
      </c>
      <c r="L1738" s="390">
        <f>'TAMUC FGD'!$L$66</f>
        <v>0</v>
      </c>
      <c r="M1738" s="390">
        <f>'TAMUC FGD'!$M$66</f>
        <v>15761447</v>
      </c>
      <c r="N1738" s="401"/>
    </row>
    <row r="1739" spans="2:14" s="160" customFormat="1" ht="12.75" hidden="1" customHeight="1" outlineLevel="1">
      <c r="B1739" s="674" t="str">
        <f>'TAMUCC FGD'!$B$2</f>
        <v>Texas A&amp;M University - Corpus Christi</v>
      </c>
      <c r="D1739" s="390">
        <f>'TAMUCC FGD'!$D$66</f>
        <v>2952249</v>
      </c>
      <c r="E1739" s="390">
        <f>'TAMUCC FGD'!$E$66</f>
        <v>10155042</v>
      </c>
      <c r="F1739" s="390">
        <f>'TAMUCC FGD'!$F$66</f>
        <v>0</v>
      </c>
      <c r="G1739" s="390">
        <f>'TAMUCC FGD'!$G$66</f>
        <v>199083</v>
      </c>
      <c r="H1739" s="390">
        <f>'TAMUCC FGD'!$H$66</f>
        <v>0</v>
      </c>
      <c r="I1739" s="390">
        <f>'TAMUCC FGD'!$I$66</f>
        <v>0</v>
      </c>
      <c r="J1739" s="390">
        <f>'TAMUCC FGD'!$J$66</f>
        <v>0</v>
      </c>
      <c r="K1739" s="390">
        <f>'TAMUCC FGD'!$K$66</f>
        <v>0</v>
      </c>
      <c r="L1739" s="390">
        <f>'TAMUCC FGD'!$L$66</f>
        <v>0</v>
      </c>
      <c r="M1739" s="390">
        <f>'TAMUCC FGD'!$M$66</f>
        <v>13306374</v>
      </c>
      <c r="N1739" s="401"/>
    </row>
    <row r="1740" spans="2:14" s="160" customFormat="1" ht="12.75" hidden="1" customHeight="1" outlineLevel="1">
      <c r="B1740" s="674" t="str">
        <f>'TAMUCT FGD'!$B$2</f>
        <v>Texas A&amp;M University - Central Texas</v>
      </c>
      <c r="D1740" s="390">
        <f>'TAMUCT FGD'!$D$66</f>
        <v>1757140</v>
      </c>
      <c r="E1740" s="390">
        <f>'TAMUCT FGD'!$E$66</f>
        <v>572768</v>
      </c>
      <c r="F1740" s="390">
        <f>'TAMUCT FGD'!$F$66</f>
        <v>0</v>
      </c>
      <c r="G1740" s="390">
        <f>'TAMUCT FGD'!$G$66</f>
        <v>0</v>
      </c>
      <c r="H1740" s="390">
        <f>'TAMUCT FGD'!$H$66</f>
        <v>0</v>
      </c>
      <c r="I1740" s="390">
        <f>'TAMUCT FGD'!$I$66</f>
        <v>0</v>
      </c>
      <c r="J1740" s="390">
        <f>'TAMUCT FGD'!$J$66</f>
        <v>0</v>
      </c>
      <c r="K1740" s="390">
        <f>'TAMUCT FGD'!$K$66</f>
        <v>0</v>
      </c>
      <c r="L1740" s="390">
        <f>'TAMUCT FGD'!$L$66</f>
        <v>0</v>
      </c>
      <c r="M1740" s="390">
        <f>'TAMUCT FGD'!$M$66</f>
        <v>2329908</v>
      </c>
      <c r="N1740" s="401"/>
    </row>
    <row r="1741" spans="2:14" s="160" customFormat="1" ht="12.75" hidden="1" customHeight="1" outlineLevel="1">
      <c r="B1741" s="674" t="str">
        <f>'TAMUG FGD'!$B$2</f>
        <v>Texas A&amp;M University at Galveston</v>
      </c>
      <c r="D1741" s="390">
        <f>'TAMUG FGD'!$D$66</f>
        <v>271</v>
      </c>
      <c r="E1741" s="390">
        <f>'TAMUG FGD'!$E$66</f>
        <v>6293737</v>
      </c>
      <c r="F1741" s="390">
        <f>'TAMUG FGD'!$F$66</f>
        <v>0</v>
      </c>
      <c r="G1741" s="390">
        <f>'TAMUG FGD'!$G$66</f>
        <v>9087</v>
      </c>
      <c r="H1741" s="390">
        <f>'TAMUG FGD'!$H$66</f>
        <v>0</v>
      </c>
      <c r="I1741" s="390">
        <f>'TAMUG FGD'!$I$66</f>
        <v>0</v>
      </c>
      <c r="J1741" s="390">
        <f>'TAMUG FGD'!$J$66</f>
        <v>998462</v>
      </c>
      <c r="K1741" s="390">
        <f>'TAMUG FGD'!$K$66</f>
        <v>0</v>
      </c>
      <c r="L1741" s="390">
        <f>'TAMUG FGD'!$L$66</f>
        <v>0</v>
      </c>
      <c r="M1741" s="390">
        <f>'TAMUG FGD'!$M$66</f>
        <v>7301557</v>
      </c>
      <c r="N1741" s="401"/>
    </row>
    <row r="1742" spans="2:14" s="160" customFormat="1" ht="12.75" hidden="1" customHeight="1" outlineLevel="1">
      <c r="B1742" s="674" t="str">
        <f>'TAMUK FGD'!$B$2</f>
        <v>Texas A&amp;M University - Kingsville</v>
      </c>
      <c r="D1742" s="390">
        <f>'TAMUK FGD'!$D$66</f>
        <v>2017582</v>
      </c>
      <c r="E1742" s="390">
        <f>'TAMUK FGD'!$E$66</f>
        <v>8464811</v>
      </c>
      <c r="F1742" s="390">
        <f>'TAMUK FGD'!$F$66</f>
        <v>0</v>
      </c>
      <c r="G1742" s="390">
        <f>'TAMUK FGD'!$G$66</f>
        <v>0</v>
      </c>
      <c r="H1742" s="390">
        <f>'TAMUK FGD'!$H$66</f>
        <v>0</v>
      </c>
      <c r="I1742" s="390">
        <f>'TAMUK FGD'!$I$66</f>
        <v>0</v>
      </c>
      <c r="J1742" s="390">
        <f>'TAMUK FGD'!$J$66</f>
        <v>1937316</v>
      </c>
      <c r="K1742" s="390">
        <f>'TAMUK FGD'!$K$66</f>
        <v>0</v>
      </c>
      <c r="L1742" s="390">
        <f>'TAMUK FGD'!$L$66</f>
        <v>0</v>
      </c>
      <c r="M1742" s="390">
        <f>'TAMUK FGD'!$M$66</f>
        <v>12419709</v>
      </c>
      <c r="N1742" s="401"/>
    </row>
    <row r="1743" spans="2:14" s="160" customFormat="1" ht="12.75" hidden="1" customHeight="1" outlineLevel="1">
      <c r="B1743" s="674" t="str">
        <f>'TAMUSA FGD'!$B$2</f>
        <v>Texas A&amp;M University - San Antonio</v>
      </c>
      <c r="D1743" s="390">
        <f>'TAMUSA FGD'!$D$66</f>
        <v>291783</v>
      </c>
      <c r="E1743" s="390">
        <f>'TAMUSA FGD'!$E$66</f>
        <v>6788258</v>
      </c>
      <c r="F1743" s="390">
        <f>'TAMUSA FGD'!$F$66</f>
        <v>0</v>
      </c>
      <c r="G1743" s="390">
        <f>'TAMUSA FGD'!$G$66</f>
        <v>21020</v>
      </c>
      <c r="H1743" s="390">
        <f>'TAMUSA FGD'!$H$66</f>
        <v>0</v>
      </c>
      <c r="I1743" s="390">
        <f>'TAMUSA FGD'!$I$66</f>
        <v>0</v>
      </c>
      <c r="J1743" s="390">
        <f>'TAMUSA FGD'!$J$66</f>
        <v>29018</v>
      </c>
      <c r="K1743" s="390">
        <f>'TAMUSA FGD'!$K$66</f>
        <v>0</v>
      </c>
      <c r="L1743" s="390">
        <f>'TAMUSA FGD'!$L$66</f>
        <v>0</v>
      </c>
      <c r="M1743" s="390">
        <f>'TAMUSA FGD'!$M$66</f>
        <v>7130079</v>
      </c>
      <c r="N1743" s="401"/>
    </row>
    <row r="1744" spans="2:14" s="160" customFormat="1" ht="12.75" hidden="1" customHeight="1" outlineLevel="1">
      <c r="B1744" s="674" t="str">
        <f>'TAMUT FGD'!$B$2</f>
        <v>Texas A&amp;M University - Texarkana</v>
      </c>
      <c r="D1744" s="390">
        <f>'TAMUT FGD'!$D$66</f>
        <v>1817999</v>
      </c>
      <c r="E1744" s="390">
        <f>'TAMUT FGD'!$E$66</f>
        <v>542027</v>
      </c>
      <c r="F1744" s="390">
        <f>'TAMUT FGD'!$F$66</f>
        <v>0</v>
      </c>
      <c r="G1744" s="390">
        <f>'TAMUT FGD'!$G$66</f>
        <v>0</v>
      </c>
      <c r="H1744" s="390">
        <f>'TAMUT FGD'!$H$66</f>
        <v>0</v>
      </c>
      <c r="I1744" s="390">
        <f>'TAMUT FGD'!$I$66</f>
        <v>0</v>
      </c>
      <c r="J1744" s="390">
        <f>'TAMUT FGD'!$J$66</f>
        <v>3478</v>
      </c>
      <c r="K1744" s="390">
        <f>'TAMUT FGD'!$K$66</f>
        <v>0</v>
      </c>
      <c r="L1744" s="390">
        <f>'TAMUT FGD'!$L$66</f>
        <v>0</v>
      </c>
      <c r="M1744" s="390">
        <f>'TAMUT FGD'!$M$66</f>
        <v>2363504</v>
      </c>
      <c r="N1744" s="401"/>
    </row>
    <row r="1745" spans="2:14" s="160" customFormat="1" ht="12.75" hidden="1" customHeight="1" outlineLevel="1">
      <c r="B1745" s="674" t="str">
        <f>'TARLST FGD'!$B$2</f>
        <v>Tarleton State University</v>
      </c>
      <c r="D1745" s="390">
        <f>'TARLST FGD'!$D$66</f>
        <v>1912622</v>
      </c>
      <c r="E1745" s="390">
        <f>'TARLST FGD'!$E$66</f>
        <v>9496004</v>
      </c>
      <c r="F1745" s="390">
        <f>'TARLST FGD'!$F$66</f>
        <v>0</v>
      </c>
      <c r="G1745" s="390">
        <f>'TARLST FGD'!$G$66</f>
        <v>96390</v>
      </c>
      <c r="H1745" s="390">
        <f>'TARLST FGD'!$H$66</f>
        <v>0</v>
      </c>
      <c r="I1745" s="390">
        <f>'TARLST FGD'!$I$66</f>
        <v>0</v>
      </c>
      <c r="J1745" s="390">
        <f>'TARLST FGD'!$J$66</f>
        <v>736500</v>
      </c>
      <c r="K1745" s="390">
        <f>'TARLST FGD'!$K$66</f>
        <v>0</v>
      </c>
      <c r="L1745" s="390">
        <f>'TARLST FGD'!$L$66</f>
        <v>0</v>
      </c>
      <c r="M1745" s="390">
        <f>'TARLST FGD'!$M$66</f>
        <v>12241516</v>
      </c>
      <c r="N1745" s="401"/>
    </row>
    <row r="1746" spans="2:14" s="160" customFormat="1" ht="12.75" hidden="1" customHeight="1" outlineLevel="1">
      <c r="B1746" s="674" t="str">
        <f>'TSU FGD'!$B$2</f>
        <v>Texas Southern University</v>
      </c>
      <c r="D1746" s="390">
        <f>'TSU FGD'!$D$66</f>
        <v>6534710</v>
      </c>
      <c r="E1746" s="390">
        <f>'TSU FGD'!$E$66</f>
        <v>5897155</v>
      </c>
      <c r="F1746" s="390">
        <f>'TSU FGD'!$F$66</f>
        <v>0</v>
      </c>
      <c r="G1746" s="390">
        <f>'TSU FGD'!$G$66</f>
        <v>0</v>
      </c>
      <c r="H1746" s="390">
        <f>'TSU FGD'!$H$66</f>
        <v>0</v>
      </c>
      <c r="I1746" s="390">
        <f>'TSU FGD'!$I$66</f>
        <v>0</v>
      </c>
      <c r="J1746" s="390">
        <f>'TSU FGD'!$J$66</f>
        <v>15018298</v>
      </c>
      <c r="K1746" s="390">
        <f>'TSU FGD'!$K$66</f>
        <v>0</v>
      </c>
      <c r="L1746" s="390">
        <f>'TSU FGD'!$L$66</f>
        <v>-13348311</v>
      </c>
      <c r="M1746" s="390">
        <f>'TSU FGD'!$M$66</f>
        <v>14101852</v>
      </c>
      <c r="N1746" s="401"/>
    </row>
    <row r="1747" spans="2:14" s="160" customFormat="1" ht="12.75" hidden="1" customHeight="1" outlineLevel="1">
      <c r="B1747" s="674" t="str">
        <f>'TTU FGD'!$B$2</f>
        <v>Texas Tech University</v>
      </c>
      <c r="D1747" s="390">
        <f>'TTU FGD'!$D$66</f>
        <v>13419558</v>
      </c>
      <c r="E1747" s="390">
        <f>'TTU FGD'!$E$66</f>
        <v>33565714</v>
      </c>
      <c r="F1747" s="390">
        <f>'TTU FGD'!$F$66</f>
        <v>0</v>
      </c>
      <c r="G1747" s="390">
        <f>'TTU FGD'!$G$66</f>
        <v>490306</v>
      </c>
      <c r="H1747" s="390">
        <f>'TTU FGD'!$H$66</f>
        <v>0</v>
      </c>
      <c r="I1747" s="390">
        <f>'TTU FGD'!$I$66</f>
        <v>0</v>
      </c>
      <c r="J1747" s="390">
        <f>'TTU FGD'!$J$66</f>
        <v>5500029</v>
      </c>
      <c r="K1747" s="390">
        <f>'TTU FGD'!$K$66</f>
        <v>0</v>
      </c>
      <c r="L1747" s="390">
        <f>'TTU FGD'!$L$66</f>
        <v>0</v>
      </c>
      <c r="M1747" s="390">
        <f>'TTU FGD'!$M$66</f>
        <v>52975607</v>
      </c>
      <c r="N1747" s="401"/>
    </row>
    <row r="1748" spans="2:14" s="160" customFormat="1" ht="12.75" hidden="1" customHeight="1" outlineLevel="1">
      <c r="B1748" s="674" t="str">
        <f>'TWU FGD'!$B$2</f>
        <v>Texas Woman's University</v>
      </c>
      <c r="D1748" s="390">
        <f>'TWU FGD'!$D$66</f>
        <v>6759800</v>
      </c>
      <c r="E1748" s="390">
        <f>'TWU FGD'!$E$66</f>
        <v>7580771</v>
      </c>
      <c r="F1748" s="390">
        <f>'TWU FGD'!$F$66</f>
        <v>0</v>
      </c>
      <c r="G1748" s="390">
        <f>'TWU FGD'!$G$66</f>
        <v>0</v>
      </c>
      <c r="H1748" s="390">
        <f>'TWU FGD'!$H$66</f>
        <v>0</v>
      </c>
      <c r="I1748" s="390">
        <f>'TWU FGD'!$I$66</f>
        <v>0</v>
      </c>
      <c r="J1748" s="390">
        <f>'TWU FGD'!$J$66</f>
        <v>8803036</v>
      </c>
      <c r="K1748" s="390">
        <f>'TWU FGD'!$K$66</f>
        <v>0</v>
      </c>
      <c r="L1748" s="390">
        <f>'TWU FGD'!$L$66</f>
        <v>0</v>
      </c>
      <c r="M1748" s="390">
        <f>'TWU FGD'!$M$66</f>
        <v>23143607</v>
      </c>
      <c r="N1748" s="401"/>
    </row>
    <row r="1749" spans="2:14" s="160" customFormat="1" ht="12.75" hidden="1" customHeight="1" outlineLevel="1">
      <c r="B1749" s="674" t="str">
        <f>'TXST FGD'!$B$2</f>
        <v>Texas State University</v>
      </c>
      <c r="D1749" s="390">
        <f>'TXST FGD'!$D$66</f>
        <v>13756010</v>
      </c>
      <c r="E1749" s="390">
        <f>'TXST FGD'!$E$66</f>
        <v>29977186</v>
      </c>
      <c r="F1749" s="390">
        <f>'TXST FGD'!$F$66</f>
        <v>1289075</v>
      </c>
      <c r="G1749" s="390">
        <f>'TXST FGD'!$G$66</f>
        <v>4992909</v>
      </c>
      <c r="H1749" s="390">
        <f>'TXST FGD'!$H$66</f>
        <v>0</v>
      </c>
      <c r="I1749" s="390">
        <f>'TXST FGD'!$I$66</f>
        <v>0</v>
      </c>
      <c r="J1749" s="390">
        <f>'TXST FGD'!$J$66</f>
        <v>0</v>
      </c>
      <c r="K1749" s="390">
        <f>'TXST FGD'!$K$66</f>
        <v>0</v>
      </c>
      <c r="L1749" s="390">
        <f>'TXST FGD'!$L$66</f>
        <v>0</v>
      </c>
      <c r="M1749" s="390">
        <f>'TXST FGD'!$M$66</f>
        <v>50015180</v>
      </c>
      <c r="N1749" s="401"/>
    </row>
    <row r="1750" spans="2:14" s="160" customFormat="1" ht="12.75" hidden="1" customHeight="1" outlineLevel="1">
      <c r="B1750" s="674" t="str">
        <f>'TYL FGD'!$B$2</f>
        <v>The University of Texas at Tyler</v>
      </c>
      <c r="D1750" s="390">
        <f>'TYL FGD'!$D$66</f>
        <v>2482859</v>
      </c>
      <c r="E1750" s="390">
        <f>'TYL FGD'!$E$66</f>
        <v>7655307</v>
      </c>
      <c r="F1750" s="390">
        <f>'TYL FGD'!$F$66</f>
        <v>0</v>
      </c>
      <c r="G1750" s="390">
        <f>'TYL FGD'!$G$66</f>
        <v>4742</v>
      </c>
      <c r="H1750" s="390">
        <f>'TYL FGD'!$H$66</f>
        <v>0</v>
      </c>
      <c r="I1750" s="390">
        <f>'TYL FGD'!$I$66</f>
        <v>0</v>
      </c>
      <c r="J1750" s="390">
        <f>'TYL FGD'!$J$66</f>
        <v>2832172</v>
      </c>
      <c r="K1750" s="390">
        <f>'TYL FGD'!$K$66</f>
        <v>0</v>
      </c>
      <c r="L1750" s="390">
        <f>'TYL FGD'!$L$66</f>
        <v>0</v>
      </c>
      <c r="M1750" s="390">
        <f>'TYL FGD'!$M$66</f>
        <v>12975080</v>
      </c>
      <c r="N1750" s="401"/>
    </row>
    <row r="1751" spans="2:14" s="160" customFormat="1" ht="12.75" hidden="1" customHeight="1" outlineLevel="1">
      <c r="B1751" s="674" t="str">
        <f>'UH1 FGD'!$B$2</f>
        <v>University of Houston - Academic &amp; Health (A+H)</v>
      </c>
      <c r="D1751" s="390">
        <f>'UH1 FGD'!$D$66</f>
        <v>20082479</v>
      </c>
      <c r="E1751" s="390">
        <f>'UH1 FGD'!$E$66</f>
        <v>26962386</v>
      </c>
      <c r="F1751" s="390">
        <f>'UH1 FGD'!$F$66</f>
        <v>0</v>
      </c>
      <c r="G1751" s="390">
        <f>'UH1 FGD'!$G$66</f>
        <v>12313097</v>
      </c>
      <c r="H1751" s="390">
        <f>'UH1 FGD'!$H$66</f>
        <v>0</v>
      </c>
      <c r="I1751" s="390">
        <f>'UH1 FGD'!$I$66</f>
        <v>0</v>
      </c>
      <c r="J1751" s="390">
        <f>'UH1 FGD'!$J$66</f>
        <v>0</v>
      </c>
      <c r="K1751" s="390">
        <f>'UH1 FGD'!$K$66</f>
        <v>0</v>
      </c>
      <c r="L1751" s="390">
        <f>'UH1 FGD'!$L$66</f>
        <v>0</v>
      </c>
      <c r="M1751" s="390">
        <f>'UH1 FGD'!$M$66</f>
        <v>59357962</v>
      </c>
      <c r="N1751" s="401"/>
    </row>
    <row r="1752" spans="2:14" s="160" customFormat="1" ht="12.75" hidden="1" customHeight="1" outlineLevel="1">
      <c r="B1752" s="674" t="str">
        <f>'UHCL FGD'!$B$2</f>
        <v>University of Houston - Clear Lake</v>
      </c>
      <c r="D1752" s="390">
        <f>'UHCL FGD'!$D$66</f>
        <v>3765213</v>
      </c>
      <c r="E1752" s="390">
        <f>'UHCL FGD'!$E$66</f>
        <v>6174953</v>
      </c>
      <c r="F1752" s="390">
        <f>'UHCL FGD'!$F$66</f>
        <v>0</v>
      </c>
      <c r="G1752" s="390">
        <f>'UHCL FGD'!$G$66</f>
        <v>5100</v>
      </c>
      <c r="H1752" s="390">
        <f>'UHCL FGD'!$H$66</f>
        <v>0</v>
      </c>
      <c r="I1752" s="390">
        <f>'UHCL FGD'!$I$66</f>
        <v>0</v>
      </c>
      <c r="J1752" s="390">
        <f>'UHCL FGD'!$J$66</f>
        <v>0</v>
      </c>
      <c r="K1752" s="390">
        <f>'UHCL FGD'!$K$66</f>
        <v>0</v>
      </c>
      <c r="L1752" s="390">
        <f>'UHCL FGD'!$L$66</f>
        <v>0</v>
      </c>
      <c r="M1752" s="390">
        <f>'UHCL FGD'!$M$66</f>
        <v>9945266</v>
      </c>
      <c r="N1752" s="401"/>
    </row>
    <row r="1753" spans="2:14" s="160" customFormat="1" ht="12.75" hidden="1" customHeight="1" outlineLevel="1">
      <c r="B1753" s="674" t="str">
        <f>'UHD FGD'!$B$2</f>
        <v>University of Houston - Downtown</v>
      </c>
      <c r="D1753" s="390">
        <f>'UHD FGD'!$D$66</f>
        <v>3074520</v>
      </c>
      <c r="E1753" s="390">
        <f>'UHD FGD'!$E$66</f>
        <v>5350693</v>
      </c>
      <c r="F1753" s="390">
        <f>'UHD FGD'!$F$66</f>
        <v>0</v>
      </c>
      <c r="G1753" s="390">
        <f>'UHD FGD'!$G$66</f>
        <v>1466</v>
      </c>
      <c r="H1753" s="390">
        <f>'UHD FGD'!$H$66</f>
        <v>0</v>
      </c>
      <c r="I1753" s="390">
        <f>'UHD FGD'!$I$66</f>
        <v>0</v>
      </c>
      <c r="J1753" s="390">
        <f>'UHD FGD'!$J$66</f>
        <v>0</v>
      </c>
      <c r="K1753" s="390">
        <f>'UHD FGD'!$K$66</f>
        <v>0</v>
      </c>
      <c r="L1753" s="390">
        <f>'UHD FGD'!$L$66</f>
        <v>0</v>
      </c>
      <c r="M1753" s="390">
        <f>'UHD FGD'!$M$66</f>
        <v>8426679</v>
      </c>
      <c r="N1753" s="401"/>
    </row>
    <row r="1754" spans="2:14" s="160" customFormat="1" ht="12.75" hidden="1" customHeight="1" outlineLevel="1">
      <c r="B1754" s="674" t="str">
        <f>'UHV FGD'!$B$2</f>
        <v>University of Houston - Victoria</v>
      </c>
      <c r="D1754" s="390">
        <f>'UHV FGD'!$D$66</f>
        <v>1046977</v>
      </c>
      <c r="E1754" s="390">
        <f>'UHV FGD'!$E$66</f>
        <v>2178721</v>
      </c>
      <c r="F1754" s="390">
        <f>'UHV FGD'!$F$66</f>
        <v>16066</v>
      </c>
      <c r="G1754" s="390">
        <f>'UHV FGD'!$G$66</f>
        <v>12749</v>
      </c>
      <c r="H1754" s="390">
        <f>'UHV FGD'!$H$66</f>
        <v>0</v>
      </c>
      <c r="I1754" s="390">
        <f>'UHV FGD'!$I$66</f>
        <v>0</v>
      </c>
      <c r="J1754" s="390">
        <f>'UHV FGD'!$J$66</f>
        <v>0</v>
      </c>
      <c r="K1754" s="390">
        <f>'UHV FGD'!$K$66</f>
        <v>0</v>
      </c>
      <c r="L1754" s="390">
        <f>'UHV FGD'!$L$66</f>
        <v>0</v>
      </c>
      <c r="M1754" s="390">
        <f>'UHV FGD'!$M$66</f>
        <v>3254513</v>
      </c>
      <c r="N1754" s="401"/>
    </row>
    <row r="1755" spans="2:14" s="160" customFormat="1" ht="12.75" hidden="1" customHeight="1" outlineLevel="1">
      <c r="B1755" s="674" t="str">
        <f>'UNT FGD'!$B$2</f>
        <v>University of North Texas</v>
      </c>
      <c r="D1755" s="390">
        <f>'UNT FGD'!$D$66</f>
        <v>25723859</v>
      </c>
      <c r="E1755" s="390">
        <f>'UNT FGD'!$E$66</f>
        <v>9285509</v>
      </c>
      <c r="F1755" s="390">
        <f>'UNT FGD'!$F$66</f>
        <v>0</v>
      </c>
      <c r="G1755" s="390">
        <f>'UNT FGD'!$G$66</f>
        <v>-96455</v>
      </c>
      <c r="H1755" s="390">
        <f>'UNT FGD'!$H$66</f>
        <v>0</v>
      </c>
      <c r="I1755" s="390">
        <f>'UNT FGD'!$I$66</f>
        <v>0</v>
      </c>
      <c r="J1755" s="390">
        <f>'UNT FGD'!$J$66</f>
        <v>0</v>
      </c>
      <c r="K1755" s="390">
        <f>'UNT FGD'!$K$66</f>
        <v>0</v>
      </c>
      <c r="L1755" s="390">
        <f>'UNT FGD'!$L$66</f>
        <v>6783452</v>
      </c>
      <c r="M1755" s="390">
        <f>'UNT FGD'!$M$66</f>
        <v>41696365</v>
      </c>
      <c r="N1755" s="401"/>
    </row>
    <row r="1756" spans="2:14" s="160" customFormat="1" ht="12.75" hidden="1" customHeight="1" outlineLevel="1">
      <c r="B1756" s="674" t="str">
        <f>'UNTD FGD'!$B$2</f>
        <v>University of North Texas at Dallas</v>
      </c>
      <c r="D1756" s="390">
        <f>'UNTD FGD'!$D$66</f>
        <v>3256294</v>
      </c>
      <c r="E1756" s="390">
        <f>'UNTD FGD'!$E$66</f>
        <v>1934422</v>
      </c>
      <c r="F1756" s="390">
        <f>'UNTD FGD'!$F$66</f>
        <v>0</v>
      </c>
      <c r="G1756" s="390">
        <f>'UNTD FGD'!$G$66</f>
        <v>647065</v>
      </c>
      <c r="H1756" s="390">
        <f>'UNTD FGD'!$H$66</f>
        <v>0</v>
      </c>
      <c r="I1756" s="390">
        <f>'UNTD FGD'!$I$66</f>
        <v>0</v>
      </c>
      <c r="J1756" s="390">
        <f>'UNTD FGD'!$J$66</f>
        <v>0</v>
      </c>
      <c r="K1756" s="390">
        <f>'UNTD FGD'!$K$66</f>
        <v>0</v>
      </c>
      <c r="L1756" s="390">
        <f>'UNTD FGD'!$L$66</f>
        <v>304733</v>
      </c>
      <c r="M1756" s="390">
        <f>'UNTD FGD'!$M$66</f>
        <v>6142514</v>
      </c>
      <c r="N1756" s="401"/>
    </row>
    <row r="1757" spans="2:14" s="160" customFormat="1" ht="12.75" hidden="1" customHeight="1" outlineLevel="1">
      <c r="B1757" s="674" t="str">
        <f>'WTAMU FGD'!$B$2</f>
        <v>West Texas A&amp;M University</v>
      </c>
      <c r="D1757" s="390">
        <f>'WTAMU FGD'!$D$66</f>
        <v>4903342</v>
      </c>
      <c r="E1757" s="390">
        <f>'WTAMU FGD'!$E$66</f>
        <v>11544675</v>
      </c>
      <c r="F1757" s="390">
        <f>'WTAMU FGD'!$F$66</f>
        <v>0</v>
      </c>
      <c r="G1757" s="390">
        <f>'WTAMU FGD'!$G$66</f>
        <v>37406</v>
      </c>
      <c r="H1757" s="390">
        <f>'WTAMU FGD'!$H$66</f>
        <v>0</v>
      </c>
      <c r="I1757" s="390">
        <f>'WTAMU FGD'!$I$66</f>
        <v>0</v>
      </c>
      <c r="J1757" s="390">
        <f>'WTAMU FGD'!$J$66</f>
        <v>3490814</v>
      </c>
      <c r="K1757" s="390">
        <f>'WTAMU FGD'!$K$66</f>
        <v>0</v>
      </c>
      <c r="L1757" s="390">
        <f>'WTAMU FGD'!$L$66</f>
        <v>0</v>
      </c>
      <c r="M1757" s="390">
        <f>'WTAMU FGD'!$M$66</f>
        <v>19976237</v>
      </c>
      <c r="N1757" s="401"/>
    </row>
    <row r="1758" spans="2:14" s="160" customFormat="1" collapsed="1">
      <c r="B1758" s="160" t="s">
        <v>20</v>
      </c>
      <c r="D1758" s="390">
        <f t="shared" ref="D1758:M1758" si="46">SUM(D1722:D1757)</f>
        <v>254566181</v>
      </c>
      <c r="E1758" s="390">
        <f t="shared" si="46"/>
        <v>628001024</v>
      </c>
      <c r="F1758" s="390">
        <f t="shared" si="46"/>
        <v>1305159</v>
      </c>
      <c r="G1758" s="390">
        <f t="shared" si="46"/>
        <v>33974165</v>
      </c>
      <c r="H1758" s="390">
        <f t="shared" si="46"/>
        <v>0</v>
      </c>
      <c r="I1758" s="390">
        <f t="shared" si="46"/>
        <v>0</v>
      </c>
      <c r="J1758" s="390">
        <f t="shared" si="46"/>
        <v>160020277</v>
      </c>
      <c r="K1758" s="390">
        <f t="shared" si="46"/>
        <v>1600</v>
      </c>
      <c r="L1758" s="390">
        <f t="shared" si="46"/>
        <v>-6260126</v>
      </c>
      <c r="M1758" s="390">
        <f t="shared" si="46"/>
        <v>1071608280</v>
      </c>
      <c r="N1758" s="401"/>
    </row>
    <row r="1759" spans="2:14" s="160" customFormat="1" ht="12.75" hidden="1" customHeight="1" outlineLevel="1">
      <c r="B1759" s="674" t="str">
        <f>'ARL FGD'!$B$2</f>
        <v>The University of Texas at Arlington</v>
      </c>
      <c r="D1759" s="390">
        <f>'ARL FGD'!$D$67</f>
        <v>8477554</v>
      </c>
      <c r="E1759" s="390">
        <f>'ARL FGD'!$E$67</f>
        <v>17482910</v>
      </c>
      <c r="F1759" s="390">
        <f>'ARL FGD'!$F$67</f>
        <v>0</v>
      </c>
      <c r="G1759" s="390">
        <f>'ARL FGD'!$G$67</f>
        <v>60919982</v>
      </c>
      <c r="H1759" s="390">
        <f>'ARL FGD'!$H$67</f>
        <v>0</v>
      </c>
      <c r="I1759" s="390">
        <f>'ARL FGD'!$I$67</f>
        <v>0</v>
      </c>
      <c r="J1759" s="390">
        <f>'ARL FGD'!$J$67</f>
        <v>0</v>
      </c>
      <c r="K1759" s="390">
        <f>'ARL FGD'!$K$67</f>
        <v>0</v>
      </c>
      <c r="L1759" s="390">
        <f>'ARL FGD'!$L$67</f>
        <v>0</v>
      </c>
      <c r="M1759" s="390">
        <f>'ARL FGD'!$M$67</f>
        <v>86880446</v>
      </c>
      <c r="N1759" s="401"/>
    </row>
    <row r="1760" spans="2:14" s="160" customFormat="1" ht="12.75" hidden="1" customHeight="1" outlineLevel="1">
      <c r="B1760" s="674" t="str">
        <f>'ASU FGD'!$B$2</f>
        <v>Angelo State University</v>
      </c>
      <c r="D1760" s="390">
        <f>'ASU FGD'!$D$67</f>
        <v>7000279</v>
      </c>
      <c r="E1760" s="390">
        <f>'ASU FGD'!$E$67</f>
        <v>4153488</v>
      </c>
      <c r="F1760" s="390">
        <f>'ASU FGD'!$F$67</f>
        <v>3144158</v>
      </c>
      <c r="G1760" s="390">
        <f>'ASU FGD'!$G$67</f>
        <v>5713461</v>
      </c>
      <c r="H1760" s="390">
        <f>'ASU FGD'!$H$67</f>
        <v>0</v>
      </c>
      <c r="I1760" s="390">
        <f>'ASU FGD'!$I$67</f>
        <v>0</v>
      </c>
      <c r="J1760" s="390">
        <f>'ASU FGD'!$J$67</f>
        <v>0</v>
      </c>
      <c r="K1760" s="390">
        <f>'ASU FGD'!$K$67</f>
        <v>0</v>
      </c>
      <c r="L1760" s="390">
        <f>'ASU FGD'!$L$67</f>
        <v>0</v>
      </c>
      <c r="M1760" s="390">
        <f>'ASU FGD'!$M$67</f>
        <v>20011386</v>
      </c>
      <c r="N1760" s="401"/>
    </row>
    <row r="1761" spans="2:14" s="160" customFormat="1" ht="12.75" hidden="1" customHeight="1" outlineLevel="1">
      <c r="B1761" s="674" t="str">
        <f>'AUS1 FGD'!$B$2</f>
        <v>The University of Texas at Austin - Academic &amp; Health (A+H)</v>
      </c>
      <c r="D1761" s="390">
        <f>'AUS1 FGD'!$D$67</f>
        <v>56018007</v>
      </c>
      <c r="E1761" s="390">
        <f>'AUS1 FGD'!$E$67</f>
        <v>48629351</v>
      </c>
      <c r="F1761" s="390">
        <f>'AUS1 FGD'!$F$67</f>
        <v>0</v>
      </c>
      <c r="G1761" s="390">
        <f>'AUS1 FGD'!$G$67</f>
        <v>64668231</v>
      </c>
      <c r="H1761" s="390">
        <f>'AUS1 FGD'!$H$67</f>
        <v>0</v>
      </c>
      <c r="I1761" s="390">
        <f>'AUS1 FGD'!$I$67</f>
        <v>0</v>
      </c>
      <c r="J1761" s="390">
        <f>'AUS1 FGD'!$J$67</f>
        <v>0</v>
      </c>
      <c r="K1761" s="390">
        <f>'AUS1 FGD'!$K$67</f>
        <v>0</v>
      </c>
      <c r="L1761" s="390">
        <f>'AUS1 FGD'!$L$67</f>
        <v>0</v>
      </c>
      <c r="M1761" s="390">
        <f>'AUS1 FGD'!$M$67</f>
        <v>169315589</v>
      </c>
      <c r="N1761" s="401"/>
    </row>
    <row r="1762" spans="2:14" s="160" customFormat="1" ht="12.75" hidden="1" customHeight="1" outlineLevel="1">
      <c r="B1762" s="674" t="str">
        <f>'RGV1 FGD'!$B$2</f>
        <v>The University of Texas RGV - Academic &amp; Health (A+H)</v>
      </c>
      <c r="D1762" s="390">
        <f>'RGV1 FGD'!$D$67</f>
        <v>13574115</v>
      </c>
      <c r="E1762" s="390">
        <f>'RGV1 FGD'!$E$67</f>
        <v>952814</v>
      </c>
      <c r="F1762" s="390">
        <f>'RGV1 FGD'!$F$67</f>
        <v>0</v>
      </c>
      <c r="G1762" s="390">
        <f>'RGV1 FGD'!$G$67</f>
        <v>101039776</v>
      </c>
      <c r="H1762" s="390">
        <f>'RGV1 FGD'!$H$67</f>
        <v>0</v>
      </c>
      <c r="I1762" s="390">
        <f>'RGV1 FGD'!$I$67</f>
        <v>0</v>
      </c>
      <c r="J1762" s="390">
        <f>'RGV1 FGD'!$J$67</f>
        <v>0</v>
      </c>
      <c r="K1762" s="390">
        <f>'RGV1 FGD'!$K$67</f>
        <v>0</v>
      </c>
      <c r="L1762" s="390">
        <f>'RGV1 FGD'!$L$67</f>
        <v>0</v>
      </c>
      <c r="M1762" s="390">
        <f>'RGV1 FGD'!$M$67</f>
        <v>115566705</v>
      </c>
      <c r="N1762" s="401"/>
    </row>
    <row r="1763" spans="2:14" s="160" customFormat="1" ht="12.75" hidden="1" customHeight="1" outlineLevel="1">
      <c r="B1763" s="674" t="str">
        <f>'DAL FGD'!$B$2</f>
        <v>The University of Texas at Dallas</v>
      </c>
      <c r="D1763" s="390">
        <f>'DAL FGD'!$D$67</f>
        <v>4161548</v>
      </c>
      <c r="E1763" s="390">
        <f>'DAL FGD'!$E$67</f>
        <v>30167317</v>
      </c>
      <c r="F1763" s="390">
        <f>'DAL FGD'!$F$67</f>
        <v>0</v>
      </c>
      <c r="G1763" s="390">
        <f>'DAL FGD'!$G$67</f>
        <v>26634474</v>
      </c>
      <c r="H1763" s="390">
        <f>'DAL FGD'!$H$67</f>
        <v>0</v>
      </c>
      <c r="I1763" s="390">
        <f>'DAL FGD'!$I$67</f>
        <v>0</v>
      </c>
      <c r="J1763" s="390">
        <f>'DAL FGD'!$J$67</f>
        <v>0</v>
      </c>
      <c r="K1763" s="390">
        <f>'DAL FGD'!$K$67</f>
        <v>0</v>
      </c>
      <c r="L1763" s="390">
        <f>'DAL FGD'!$L$67</f>
        <v>0</v>
      </c>
      <c r="M1763" s="390">
        <f>'DAL FGD'!$M$67</f>
        <v>60963339</v>
      </c>
      <c r="N1763" s="401"/>
    </row>
    <row r="1764" spans="2:14" s="160" customFormat="1" ht="12.75" hidden="1" customHeight="1" outlineLevel="1">
      <c r="B1764" s="674" t="str">
        <f>'E-P FGD'!$B$2</f>
        <v>The University of Texas at El Paso</v>
      </c>
      <c r="D1764" s="390">
        <f>'E-P FGD'!$D$67</f>
        <v>13716166</v>
      </c>
      <c r="E1764" s="390">
        <f>'E-P FGD'!$E$67</f>
        <v>18644176</v>
      </c>
      <c r="F1764" s="390">
        <f>'E-P FGD'!$F$67</f>
        <v>0</v>
      </c>
      <c r="G1764" s="390">
        <f>'E-P FGD'!$G$67</f>
        <v>75662564</v>
      </c>
      <c r="H1764" s="390">
        <f>'E-P FGD'!$H$67</f>
        <v>0</v>
      </c>
      <c r="I1764" s="390">
        <f>'E-P FGD'!$I$67</f>
        <v>0</v>
      </c>
      <c r="J1764" s="390">
        <f>'E-P FGD'!$J$67</f>
        <v>0</v>
      </c>
      <c r="K1764" s="390">
        <f>'E-P FGD'!$K$67</f>
        <v>0</v>
      </c>
      <c r="L1764" s="390">
        <f>'E-P FGD'!$L$67</f>
        <v>0</v>
      </c>
      <c r="M1764" s="390">
        <f>'E-P FGD'!$M$67</f>
        <v>108022906</v>
      </c>
      <c r="N1764" s="401"/>
    </row>
    <row r="1765" spans="2:14" s="160" customFormat="1" ht="12.75" hidden="1" customHeight="1" outlineLevel="1">
      <c r="B1765" s="674" t="str">
        <f>'LU FGD'!$B$2</f>
        <v xml:space="preserve">Lamar University </v>
      </c>
      <c r="D1765" s="390">
        <f>'LU FGD'!$D$67</f>
        <v>919982</v>
      </c>
      <c r="E1765" s="390">
        <f>'LU FGD'!$E$67</f>
        <v>12037051</v>
      </c>
      <c r="F1765" s="390">
        <f>'LU FGD'!$F$67</f>
        <v>0</v>
      </c>
      <c r="G1765" s="390">
        <f>'LU FGD'!$G$67</f>
        <v>27161644</v>
      </c>
      <c r="H1765" s="390">
        <f>'LU FGD'!$H$67</f>
        <v>0</v>
      </c>
      <c r="I1765" s="390">
        <f>'LU FGD'!$I$67</f>
        <v>0</v>
      </c>
      <c r="J1765" s="390">
        <f>'LU FGD'!$J$67</f>
        <v>0</v>
      </c>
      <c r="K1765" s="390">
        <f>'LU FGD'!$K$67</f>
        <v>0</v>
      </c>
      <c r="L1765" s="390">
        <f>'LU FGD'!$L$67</f>
        <v>0</v>
      </c>
      <c r="M1765" s="390">
        <f>'LU FGD'!$M$67</f>
        <v>40118677</v>
      </c>
      <c r="N1765" s="401"/>
    </row>
    <row r="1766" spans="2:14" s="160" customFormat="1" ht="12.75" hidden="1" customHeight="1" outlineLevel="1">
      <c r="B1766" s="674" t="str">
        <f>'MidWST FGD'!$B$2</f>
        <v>Midwestern State University</v>
      </c>
      <c r="D1766" s="390">
        <f>'MidWST FGD'!$D$67</f>
        <v>0</v>
      </c>
      <c r="E1766" s="390">
        <f>'MidWST FGD'!$E$67</f>
        <v>0</v>
      </c>
      <c r="F1766" s="390">
        <f>'MidWST FGD'!$F$67</f>
        <v>0</v>
      </c>
      <c r="G1766" s="390">
        <f>'MidWST FGD'!$G$67</f>
        <v>17262753</v>
      </c>
      <c r="H1766" s="390">
        <f>'MidWST FGD'!$H$67</f>
        <v>0</v>
      </c>
      <c r="I1766" s="390">
        <f>'MidWST FGD'!$I$67</f>
        <v>0</v>
      </c>
      <c r="J1766" s="390">
        <f>'MidWST FGD'!$J$67</f>
        <v>0</v>
      </c>
      <c r="K1766" s="390">
        <f>'MidWST FGD'!$K$67</f>
        <v>0</v>
      </c>
      <c r="L1766" s="390">
        <f>'MidWST FGD'!$L$67</f>
        <v>0</v>
      </c>
      <c r="M1766" s="390">
        <f>'MidWST FGD'!$M$67</f>
        <v>17262753</v>
      </c>
      <c r="N1766" s="401"/>
    </row>
    <row r="1767" spans="2:14" s="160" customFormat="1" ht="12.75" hidden="1" customHeight="1" outlineLevel="1">
      <c r="B1767" s="674" t="str">
        <f>'P-B FGD'!$B$2</f>
        <v>The University of Texas of the Permian Basin</v>
      </c>
      <c r="D1767" s="390">
        <f>'P-B FGD'!$D$67</f>
        <v>179824</v>
      </c>
      <c r="E1767" s="390">
        <f>'P-B FGD'!$E$67</f>
        <v>4828312</v>
      </c>
      <c r="F1767" s="390">
        <f>'P-B FGD'!$F$67</f>
        <v>0</v>
      </c>
      <c r="G1767" s="390">
        <f>'P-B FGD'!$G$67</f>
        <v>6613556</v>
      </c>
      <c r="H1767" s="390">
        <f>'P-B FGD'!$H$67</f>
        <v>0</v>
      </c>
      <c r="I1767" s="390">
        <f>'P-B FGD'!$I$67</f>
        <v>0</v>
      </c>
      <c r="J1767" s="390">
        <f>'P-B FGD'!$J$67</f>
        <v>0</v>
      </c>
      <c r="K1767" s="390">
        <f>'P-B FGD'!$K$67</f>
        <v>0</v>
      </c>
      <c r="L1767" s="390">
        <f>'P-B FGD'!$L$67</f>
        <v>0</v>
      </c>
      <c r="M1767" s="390">
        <f>'P-B FGD'!$M$67</f>
        <v>11621692</v>
      </c>
      <c r="N1767" s="401"/>
    </row>
    <row r="1768" spans="2:14" s="160" customFormat="1" ht="12.75" hidden="1" customHeight="1" outlineLevel="1">
      <c r="B1768" s="674" t="str">
        <f>'PVAMU FGD'!$B$2</f>
        <v>Prairie View A&amp;M University</v>
      </c>
      <c r="D1768" s="390">
        <f>'PVAMU FGD'!$D$67</f>
        <v>3388559</v>
      </c>
      <c r="E1768" s="390">
        <f>'PVAMU FGD'!$E$67</f>
        <v>11745813</v>
      </c>
      <c r="F1768" s="390">
        <f>'PVAMU FGD'!$F$67</f>
        <v>0</v>
      </c>
      <c r="G1768" s="390">
        <f>'PVAMU FGD'!$G$67</f>
        <v>60082721</v>
      </c>
      <c r="H1768" s="390">
        <f>'PVAMU FGD'!$H$67</f>
        <v>0</v>
      </c>
      <c r="I1768" s="390">
        <f>'PVAMU FGD'!$I$67</f>
        <v>0</v>
      </c>
      <c r="J1768" s="390">
        <f>'PVAMU FGD'!$J$67</f>
        <v>0</v>
      </c>
      <c r="K1768" s="390">
        <f>'PVAMU FGD'!$K$67</f>
        <v>0</v>
      </c>
      <c r="L1768" s="390">
        <f>'PVAMU FGD'!$L$67</f>
        <v>0</v>
      </c>
      <c r="M1768" s="390">
        <f>'PVAMU FGD'!$M$67</f>
        <v>75217093</v>
      </c>
      <c r="N1768" s="401"/>
    </row>
    <row r="1769" spans="2:14" s="160" customFormat="1" ht="12.75" hidden="1" customHeight="1" outlineLevel="1">
      <c r="B1769" s="674" t="str">
        <f>'S-A FGD'!$B$2</f>
        <v>The University of Texas at San Antonio</v>
      </c>
      <c r="D1769" s="390">
        <f>'S-A FGD'!$D$67</f>
        <v>11310832</v>
      </c>
      <c r="E1769" s="390">
        <f>'S-A FGD'!$E$67</f>
        <v>19183044</v>
      </c>
      <c r="F1769" s="390">
        <f>'S-A FGD'!$F$67</f>
        <v>0</v>
      </c>
      <c r="G1769" s="390">
        <f>'S-A FGD'!$G$67</f>
        <v>55600046</v>
      </c>
      <c r="H1769" s="390">
        <f>'S-A FGD'!$H$67</f>
        <v>0</v>
      </c>
      <c r="I1769" s="390">
        <f>'S-A FGD'!$I$67</f>
        <v>0</v>
      </c>
      <c r="J1769" s="390">
        <f>'S-A FGD'!$J$67</f>
        <v>0</v>
      </c>
      <c r="K1769" s="390">
        <f>'S-A FGD'!$K$67</f>
        <v>0</v>
      </c>
      <c r="L1769" s="390">
        <f>'S-A FGD'!$L$67</f>
        <v>0</v>
      </c>
      <c r="M1769" s="390">
        <f>'S-A FGD'!$M$67</f>
        <v>86093922</v>
      </c>
      <c r="N1769" s="401"/>
    </row>
    <row r="1770" spans="2:14" s="160" customFormat="1" ht="12.75" hidden="1" customHeight="1" outlineLevel="1">
      <c r="B1770" s="674" t="str">
        <f>'SFA FGD'!$B$2</f>
        <v>Stephen F. Austin State University</v>
      </c>
      <c r="D1770" s="390">
        <f>'SFA FGD'!$D$67</f>
        <v>4963499</v>
      </c>
      <c r="E1770" s="390">
        <f>'SFA FGD'!$E$67</f>
        <v>5732002</v>
      </c>
      <c r="F1770" s="390">
        <f>'SFA FGD'!$F$67</f>
        <v>2719286</v>
      </c>
      <c r="G1770" s="390">
        <f>'SFA FGD'!$G$67</f>
        <v>20261040</v>
      </c>
      <c r="H1770" s="390">
        <f>'SFA FGD'!$H$67</f>
        <v>0</v>
      </c>
      <c r="I1770" s="390">
        <f>'SFA FGD'!$I$67</f>
        <v>0</v>
      </c>
      <c r="J1770" s="390">
        <f>'SFA FGD'!$J$67</f>
        <v>0</v>
      </c>
      <c r="K1770" s="390">
        <f>'SFA FGD'!$K$67</f>
        <v>0</v>
      </c>
      <c r="L1770" s="390">
        <f>'SFA FGD'!$L$67</f>
        <v>0</v>
      </c>
      <c r="M1770" s="390">
        <f>'SFA FGD'!$M$67</f>
        <v>33675827</v>
      </c>
      <c r="N1770" s="401"/>
    </row>
    <row r="1771" spans="2:14" s="160" customFormat="1" ht="12.75" hidden="1" customHeight="1" outlineLevel="1">
      <c r="B1771" s="674" t="str">
        <f>'shsu1 FGD'!$B$2</f>
        <v>Sam Houston State University - Academic &amp; Health (A+H)</v>
      </c>
      <c r="D1771" s="390">
        <f>'shsu1 FGD'!$D$67</f>
        <v>15418808</v>
      </c>
      <c r="E1771" s="390">
        <f>'shsu1 FGD'!$E$67</f>
        <v>18434412</v>
      </c>
      <c r="F1771" s="390">
        <f>'shsu1 FGD'!$F$67</f>
        <v>0</v>
      </c>
      <c r="G1771" s="390">
        <f>'shsu1 FGD'!$G$67</f>
        <v>16364088</v>
      </c>
      <c r="H1771" s="390">
        <f>'shsu1 FGD'!$H$67</f>
        <v>507545</v>
      </c>
      <c r="I1771" s="390">
        <f>'shsu1 FGD'!$I$67</f>
        <v>0</v>
      </c>
      <c r="J1771" s="390">
        <f>'shsu1 FGD'!$J$67</f>
        <v>0</v>
      </c>
      <c r="K1771" s="390">
        <f>'shsu1 FGD'!$K$67</f>
        <v>0</v>
      </c>
      <c r="L1771" s="390">
        <f>'shsu1 FGD'!$L$67</f>
        <v>0</v>
      </c>
      <c r="M1771" s="390">
        <f>'shsu1 FGD'!$M$67</f>
        <v>50724853</v>
      </c>
      <c r="N1771" s="401"/>
    </row>
    <row r="1772" spans="2:14" s="160" customFormat="1" ht="12.75" hidden="1" customHeight="1" outlineLevel="1">
      <c r="B1772" s="674" t="str">
        <f>'SRSU FGD'!$B$2</f>
        <v>Sul Ross State University</v>
      </c>
      <c r="D1772" s="390">
        <f>'SRSU FGD'!$D$67</f>
        <v>-4591404</v>
      </c>
      <c r="E1772" s="390">
        <f>'SRSU FGD'!$E$67</f>
        <v>844518</v>
      </c>
      <c r="F1772" s="390">
        <f>'SRSU FGD'!$F$67</f>
        <v>0</v>
      </c>
      <c r="G1772" s="390">
        <f>'SRSU FGD'!$G$67</f>
        <v>9348947</v>
      </c>
      <c r="H1772" s="390">
        <f>'SRSU FGD'!$H$67</f>
        <v>0</v>
      </c>
      <c r="I1772" s="390">
        <f>'SRSU FGD'!$I$67</f>
        <v>0</v>
      </c>
      <c r="J1772" s="390">
        <f>'SRSU FGD'!$J$67</f>
        <v>0</v>
      </c>
      <c r="K1772" s="390">
        <f>'SRSU FGD'!$K$67</f>
        <v>0</v>
      </c>
      <c r="L1772" s="390">
        <f>'SRSU FGD'!$L$67</f>
        <v>0</v>
      </c>
      <c r="M1772" s="390">
        <f>'SRSU FGD'!$M$67</f>
        <v>5602061</v>
      </c>
      <c r="N1772" s="401"/>
    </row>
    <row r="1773" spans="2:14" s="160" customFormat="1" ht="12.75" hidden="1" customHeight="1" outlineLevel="1">
      <c r="B1773" s="674" t="str">
        <f>'TAMIU FGD'!$B$2</f>
        <v>Texas A&amp;M International University</v>
      </c>
      <c r="D1773" s="390">
        <f>'TAMIU FGD'!$D$67</f>
        <v>1269721</v>
      </c>
      <c r="E1773" s="390">
        <f>'TAMIU FGD'!$E$67</f>
        <v>4370731</v>
      </c>
      <c r="F1773" s="390">
        <f>'TAMIU FGD'!$F$67</f>
        <v>0</v>
      </c>
      <c r="G1773" s="390">
        <f>'TAMIU FGD'!$G$67</f>
        <v>24103701</v>
      </c>
      <c r="H1773" s="390">
        <f>'TAMIU FGD'!$H$67</f>
        <v>0</v>
      </c>
      <c r="I1773" s="390">
        <f>'TAMIU FGD'!$I$67</f>
        <v>0</v>
      </c>
      <c r="J1773" s="390">
        <f>'TAMIU FGD'!$J$67</f>
        <v>0</v>
      </c>
      <c r="K1773" s="390">
        <f>'TAMIU FGD'!$K$67</f>
        <v>0</v>
      </c>
      <c r="L1773" s="390">
        <f>'TAMIU FGD'!$L$67</f>
        <v>0</v>
      </c>
      <c r="M1773" s="390">
        <f>'TAMIU FGD'!$M$67</f>
        <v>29744153</v>
      </c>
      <c r="N1773" s="401"/>
    </row>
    <row r="1774" spans="2:14" s="160" customFormat="1" ht="12.75" hidden="1" customHeight="1" outlineLevel="1">
      <c r="B1774" s="674" t="str">
        <f>'TAMU FGD'!$B$2</f>
        <v>Texas A&amp;M University</v>
      </c>
      <c r="D1774" s="390">
        <f>'TAMU FGD'!$D$67</f>
        <v>13092252</v>
      </c>
      <c r="E1774" s="390">
        <f>'TAMU FGD'!$E$67</f>
        <v>64042294</v>
      </c>
      <c r="F1774" s="390">
        <f>'TAMU FGD'!$F$67</f>
        <v>0</v>
      </c>
      <c r="G1774" s="390">
        <f>'TAMU FGD'!$G$67</f>
        <v>64235599</v>
      </c>
      <c r="H1774" s="390">
        <f>'TAMU FGD'!$H$67</f>
        <v>0</v>
      </c>
      <c r="I1774" s="390">
        <f>'TAMU FGD'!$I$67</f>
        <v>0</v>
      </c>
      <c r="J1774" s="390">
        <f>'TAMU FGD'!$J$67</f>
        <v>0</v>
      </c>
      <c r="K1774" s="390">
        <f>'TAMU FGD'!$K$67</f>
        <v>0</v>
      </c>
      <c r="L1774" s="390">
        <f>'TAMU FGD'!$L$67</f>
        <v>0</v>
      </c>
      <c r="M1774" s="390">
        <f>'TAMU FGD'!$M$67</f>
        <v>141370145</v>
      </c>
      <c r="N1774" s="401"/>
    </row>
    <row r="1775" spans="2:14" s="160" customFormat="1" ht="12.75" hidden="1" customHeight="1" outlineLevel="1">
      <c r="B1775" s="674" t="str">
        <f>'TAMUC FGD'!$B$2</f>
        <v>Texas A&amp;M University - Commerce</v>
      </c>
      <c r="D1775" s="390">
        <f>'TAMUC FGD'!$D$67</f>
        <v>1444077</v>
      </c>
      <c r="E1775" s="390">
        <f>'TAMUC FGD'!$E$67</f>
        <v>6949965</v>
      </c>
      <c r="F1775" s="390">
        <f>'TAMUC FGD'!$F$67</f>
        <v>0</v>
      </c>
      <c r="G1775" s="390">
        <f>'TAMUC FGD'!$G$67</f>
        <v>15540283</v>
      </c>
      <c r="H1775" s="390">
        <f>'TAMUC FGD'!$H$67</f>
        <v>0</v>
      </c>
      <c r="I1775" s="390">
        <f>'TAMUC FGD'!$I$67</f>
        <v>0</v>
      </c>
      <c r="J1775" s="390">
        <f>'TAMUC FGD'!$J$67</f>
        <v>0</v>
      </c>
      <c r="K1775" s="390">
        <f>'TAMUC FGD'!$K$67</f>
        <v>0</v>
      </c>
      <c r="L1775" s="390">
        <f>'TAMUC FGD'!$L$67</f>
        <v>0</v>
      </c>
      <c r="M1775" s="390">
        <f>'TAMUC FGD'!$M$67</f>
        <v>23934325</v>
      </c>
      <c r="N1775" s="401"/>
    </row>
    <row r="1776" spans="2:14" s="160" customFormat="1" ht="12.75" hidden="1" customHeight="1" outlineLevel="1">
      <c r="B1776" s="674" t="str">
        <f>'TAMUCC FGD'!$B$2</f>
        <v>Texas A&amp;M University - Corpus Christi</v>
      </c>
      <c r="D1776" s="390">
        <f>'TAMUCC FGD'!$D$67</f>
        <v>2609503</v>
      </c>
      <c r="E1776" s="390">
        <f>'TAMUCC FGD'!$E$67</f>
        <v>8005718</v>
      </c>
      <c r="F1776" s="390">
        <f>'TAMUCC FGD'!$F$67</f>
        <v>0</v>
      </c>
      <c r="G1776" s="390">
        <f>'TAMUCC FGD'!$G$67</f>
        <v>25627072</v>
      </c>
      <c r="H1776" s="390">
        <f>'TAMUCC FGD'!$H$67</f>
        <v>0</v>
      </c>
      <c r="I1776" s="390">
        <f>'TAMUCC FGD'!$I$67</f>
        <v>0</v>
      </c>
      <c r="J1776" s="390">
        <f>'TAMUCC FGD'!$J$67</f>
        <v>0</v>
      </c>
      <c r="K1776" s="390">
        <f>'TAMUCC FGD'!$K$67</f>
        <v>0</v>
      </c>
      <c r="L1776" s="390">
        <f>'TAMUCC FGD'!$L$67</f>
        <v>0</v>
      </c>
      <c r="M1776" s="390">
        <f>'TAMUCC FGD'!$M$67</f>
        <v>36242293</v>
      </c>
      <c r="N1776" s="401"/>
    </row>
    <row r="1777" spans="2:14" s="160" customFormat="1" ht="12.75" hidden="1" customHeight="1" outlineLevel="1">
      <c r="B1777" s="674" t="str">
        <f>'TAMUCT FGD'!$B$2</f>
        <v>Texas A&amp;M University - Central Texas</v>
      </c>
      <c r="D1777" s="390">
        <f>'TAMUCT FGD'!$D$67</f>
        <v>422953</v>
      </c>
      <c r="E1777" s="390">
        <f>'TAMUCT FGD'!$E$67</f>
        <v>1779640</v>
      </c>
      <c r="F1777" s="390">
        <f>'TAMUCT FGD'!$F$67</f>
        <v>0</v>
      </c>
      <c r="G1777" s="390">
        <f>'TAMUCT FGD'!$G$67</f>
        <v>1626205</v>
      </c>
      <c r="H1777" s="390">
        <f>'TAMUCT FGD'!$H$67</f>
        <v>0</v>
      </c>
      <c r="I1777" s="390">
        <f>'TAMUCT FGD'!$I$67</f>
        <v>0</v>
      </c>
      <c r="J1777" s="390">
        <f>'TAMUCT FGD'!$J$67</f>
        <v>0</v>
      </c>
      <c r="K1777" s="390">
        <f>'TAMUCT FGD'!$K$67</f>
        <v>0</v>
      </c>
      <c r="L1777" s="390">
        <f>'TAMUCT FGD'!$L$67</f>
        <v>0</v>
      </c>
      <c r="M1777" s="390">
        <f>'TAMUCT FGD'!$M$67</f>
        <v>3828798</v>
      </c>
      <c r="N1777" s="401"/>
    </row>
    <row r="1778" spans="2:14" s="160" customFormat="1" ht="12.75" hidden="1" customHeight="1" outlineLevel="1">
      <c r="B1778" s="674" t="str">
        <f>'TAMUG FGD'!$B$2</f>
        <v>Texas A&amp;M University at Galveston</v>
      </c>
      <c r="D1778" s="390">
        <f>'TAMUG FGD'!$D$67</f>
        <v>305035</v>
      </c>
      <c r="E1778" s="390">
        <f>'TAMUG FGD'!$E$67</f>
        <v>860628</v>
      </c>
      <c r="F1778" s="390">
        <f>'TAMUG FGD'!$F$67</f>
        <v>0</v>
      </c>
      <c r="G1778" s="390">
        <f>'TAMUG FGD'!$G$67</f>
        <v>1728446</v>
      </c>
      <c r="H1778" s="390">
        <f>'TAMUG FGD'!$H$67</f>
        <v>0</v>
      </c>
      <c r="I1778" s="390">
        <f>'TAMUG FGD'!$I$67</f>
        <v>0</v>
      </c>
      <c r="J1778" s="390">
        <f>'TAMUG FGD'!$J$67</f>
        <v>0</v>
      </c>
      <c r="K1778" s="390">
        <f>'TAMUG FGD'!$K$67</f>
        <v>0</v>
      </c>
      <c r="L1778" s="390">
        <f>'TAMUG FGD'!$L$67</f>
        <v>0</v>
      </c>
      <c r="M1778" s="390">
        <f>'TAMUG FGD'!$M$67</f>
        <v>2894109</v>
      </c>
      <c r="N1778" s="401"/>
    </row>
    <row r="1779" spans="2:14" s="160" customFormat="1" ht="12.75" hidden="1" customHeight="1" outlineLevel="1">
      <c r="B1779" s="674" t="str">
        <f>'TAMUK FGD'!$B$2</f>
        <v>Texas A&amp;M University - Kingsville</v>
      </c>
      <c r="D1779" s="390">
        <f>'TAMUK FGD'!$D$67</f>
        <v>1234605</v>
      </c>
      <c r="E1779" s="390">
        <f>'TAMUK FGD'!$E$67</f>
        <v>3878104</v>
      </c>
      <c r="F1779" s="390">
        <f>'TAMUK FGD'!$F$67</f>
        <v>0</v>
      </c>
      <c r="G1779" s="390">
        <f>'TAMUK FGD'!$G$67</f>
        <v>11972863</v>
      </c>
      <c r="H1779" s="390">
        <f>'TAMUK FGD'!$H$67</f>
        <v>0</v>
      </c>
      <c r="I1779" s="390">
        <f>'TAMUK FGD'!$I$67</f>
        <v>0</v>
      </c>
      <c r="J1779" s="390">
        <f>'TAMUK FGD'!$J$67</f>
        <v>0</v>
      </c>
      <c r="K1779" s="390">
        <f>'TAMUK FGD'!$K$67</f>
        <v>0</v>
      </c>
      <c r="L1779" s="390">
        <f>'TAMUK FGD'!$L$67</f>
        <v>0</v>
      </c>
      <c r="M1779" s="390">
        <f>'TAMUK FGD'!$M$67</f>
        <v>17085572</v>
      </c>
      <c r="N1779" s="401"/>
    </row>
    <row r="1780" spans="2:14" s="160" customFormat="1" ht="12.75" hidden="1" customHeight="1" outlineLevel="1">
      <c r="B1780" s="674" t="str">
        <f>'TAMUSA FGD'!$B$2</f>
        <v>Texas A&amp;M University - San Antonio</v>
      </c>
      <c r="D1780" s="390">
        <f>'TAMUSA FGD'!$D$67</f>
        <v>1276486</v>
      </c>
      <c r="E1780" s="390">
        <f>'TAMUSA FGD'!$E$67</f>
        <v>4117266</v>
      </c>
      <c r="F1780" s="390">
        <f>'TAMUSA FGD'!$F$67</f>
        <v>0</v>
      </c>
      <c r="G1780" s="390">
        <f>'TAMUSA FGD'!$G$67</f>
        <v>16370114</v>
      </c>
      <c r="H1780" s="390">
        <f>'TAMUSA FGD'!$H$67</f>
        <v>0</v>
      </c>
      <c r="I1780" s="390">
        <f>'TAMUSA FGD'!$I$67</f>
        <v>0</v>
      </c>
      <c r="J1780" s="390">
        <f>'TAMUSA FGD'!$J$67</f>
        <v>0</v>
      </c>
      <c r="K1780" s="390">
        <f>'TAMUSA FGD'!$K$67</f>
        <v>0</v>
      </c>
      <c r="L1780" s="390">
        <f>'TAMUSA FGD'!$L$67</f>
        <v>0</v>
      </c>
      <c r="M1780" s="390">
        <f>'TAMUSA FGD'!$M$67</f>
        <v>21763866</v>
      </c>
      <c r="N1780" s="401"/>
    </row>
    <row r="1781" spans="2:14" s="160" customFormat="1" ht="12.75" hidden="1" customHeight="1" outlineLevel="1">
      <c r="B1781" s="674" t="str">
        <f>'TAMUT FGD'!$B$2</f>
        <v>Texas A&amp;M University - Texarkana</v>
      </c>
      <c r="D1781" s="390">
        <f>'TAMUT FGD'!$D$67</f>
        <v>765320</v>
      </c>
      <c r="E1781" s="390">
        <f>'TAMUT FGD'!$E$67</f>
        <v>892462</v>
      </c>
      <c r="F1781" s="390">
        <f>'TAMUT FGD'!$F$67</f>
        <v>0</v>
      </c>
      <c r="G1781" s="390">
        <f>'TAMUT FGD'!$G$67</f>
        <v>3077743</v>
      </c>
      <c r="H1781" s="390">
        <f>'TAMUT FGD'!$H$67</f>
        <v>0</v>
      </c>
      <c r="I1781" s="390">
        <f>'TAMUT FGD'!$I$67</f>
        <v>0</v>
      </c>
      <c r="J1781" s="390">
        <f>'TAMUT FGD'!$J$67</f>
        <v>0</v>
      </c>
      <c r="K1781" s="390">
        <f>'TAMUT FGD'!$K$67</f>
        <v>0</v>
      </c>
      <c r="L1781" s="390">
        <f>'TAMUT FGD'!$L$67</f>
        <v>0</v>
      </c>
      <c r="M1781" s="390">
        <f>'TAMUT FGD'!$M$67</f>
        <v>4735525</v>
      </c>
      <c r="N1781" s="401"/>
    </row>
    <row r="1782" spans="2:14" s="160" customFormat="1" ht="12.75" hidden="1" customHeight="1" outlineLevel="1">
      <c r="B1782" s="674" t="str">
        <f>'TARLST FGD'!$B$2</f>
        <v>Tarleton State University</v>
      </c>
      <c r="D1782" s="390">
        <f>'TARLST FGD'!$D$67</f>
        <v>1475531</v>
      </c>
      <c r="E1782" s="390">
        <f>'TARLST FGD'!$E$67</f>
        <v>5150851</v>
      </c>
      <c r="F1782" s="390">
        <f>'TARLST FGD'!$F$67</f>
        <v>0</v>
      </c>
      <c r="G1782" s="390">
        <f>'TARLST FGD'!$G$67</f>
        <v>26842920</v>
      </c>
      <c r="H1782" s="390">
        <f>'TARLST FGD'!$H$67</f>
        <v>0</v>
      </c>
      <c r="I1782" s="390">
        <f>'TARLST FGD'!$I$67</f>
        <v>0</v>
      </c>
      <c r="J1782" s="390">
        <f>'TARLST FGD'!$J$67</f>
        <v>0</v>
      </c>
      <c r="K1782" s="390">
        <f>'TARLST FGD'!$K$67</f>
        <v>0</v>
      </c>
      <c r="L1782" s="390">
        <f>'TARLST FGD'!$L$67</f>
        <v>0</v>
      </c>
      <c r="M1782" s="390">
        <f>'TARLST FGD'!$M$67</f>
        <v>33469302</v>
      </c>
      <c r="N1782" s="401"/>
    </row>
    <row r="1783" spans="2:14" s="160" customFormat="1" ht="12.75" hidden="1" customHeight="1" outlineLevel="1">
      <c r="B1783" s="674" t="str">
        <f>'TSU FGD'!$B$2</f>
        <v>Texas Southern University</v>
      </c>
      <c r="D1783" s="390">
        <f>'TSU FGD'!$D$67</f>
        <v>-52028</v>
      </c>
      <c r="E1783" s="390">
        <f>'TSU FGD'!$E$67</f>
        <v>-7060266</v>
      </c>
      <c r="F1783" s="390">
        <f>'TSU FGD'!$F$67</f>
        <v>0</v>
      </c>
      <c r="G1783" s="390">
        <f>'TSU FGD'!$G$67</f>
        <v>34625677</v>
      </c>
      <c r="H1783" s="390">
        <f>'TSU FGD'!$H$67</f>
        <v>0</v>
      </c>
      <c r="I1783" s="390">
        <f>'TSU FGD'!$I$67</f>
        <v>0</v>
      </c>
      <c r="J1783" s="390">
        <f>'TSU FGD'!$J$67</f>
        <v>0</v>
      </c>
      <c r="K1783" s="390">
        <f>'TSU FGD'!$K$67</f>
        <v>0</v>
      </c>
      <c r="L1783" s="390">
        <f>'TSU FGD'!$L$67</f>
        <v>0</v>
      </c>
      <c r="M1783" s="390">
        <f>'TSU FGD'!$M$67</f>
        <v>27513383</v>
      </c>
      <c r="N1783" s="401"/>
    </row>
    <row r="1784" spans="2:14" s="160" customFormat="1" ht="12.75" hidden="1" customHeight="1" outlineLevel="1">
      <c r="B1784" s="674" t="str">
        <f>'TTU FGD'!$B$2</f>
        <v>Texas Tech University</v>
      </c>
      <c r="D1784" s="390">
        <f>'TTU FGD'!$D$67</f>
        <v>1218294</v>
      </c>
      <c r="E1784" s="390">
        <f>'TTU FGD'!$E$67</f>
        <v>24656706</v>
      </c>
      <c r="F1784" s="390">
        <f>'TTU FGD'!$F$67</f>
        <v>529176</v>
      </c>
      <c r="G1784" s="390">
        <f>'TTU FGD'!$G$67</f>
        <v>40519288</v>
      </c>
      <c r="H1784" s="390">
        <f>'TTU FGD'!$H$67</f>
        <v>0</v>
      </c>
      <c r="I1784" s="390">
        <f>'TTU FGD'!$I$67</f>
        <v>0</v>
      </c>
      <c r="J1784" s="390">
        <f>'TTU FGD'!$J$67</f>
        <v>0</v>
      </c>
      <c r="K1784" s="390">
        <f>'TTU FGD'!$K$67</f>
        <v>0</v>
      </c>
      <c r="L1784" s="390">
        <f>'TTU FGD'!$L$67</f>
        <v>0</v>
      </c>
      <c r="M1784" s="390">
        <f>'TTU FGD'!$M$67</f>
        <v>66923464</v>
      </c>
      <c r="N1784" s="401"/>
    </row>
    <row r="1785" spans="2:14" s="160" customFormat="1" ht="12.75" hidden="1" customHeight="1" outlineLevel="1">
      <c r="B1785" s="674" t="str">
        <f>'TWU FGD'!$B$2</f>
        <v>Texas Woman's University</v>
      </c>
      <c r="D1785" s="390">
        <f>'TWU FGD'!$D$67</f>
        <v>920999</v>
      </c>
      <c r="E1785" s="390">
        <f>'TWU FGD'!$E$67</f>
        <v>371048</v>
      </c>
      <c r="F1785" s="390">
        <f>'TWU FGD'!$F$67</f>
        <v>0</v>
      </c>
      <c r="G1785" s="390">
        <f>'TWU FGD'!$G$67</f>
        <v>3626035</v>
      </c>
      <c r="H1785" s="390">
        <f>'TWU FGD'!$H$67</f>
        <v>0</v>
      </c>
      <c r="I1785" s="390">
        <f>'TWU FGD'!$I$67</f>
        <v>0</v>
      </c>
      <c r="J1785" s="390">
        <f>'TWU FGD'!$J$67</f>
        <v>0</v>
      </c>
      <c r="K1785" s="390">
        <f>'TWU FGD'!$K$67</f>
        <v>0</v>
      </c>
      <c r="L1785" s="390">
        <f>'TWU FGD'!$L$67</f>
        <v>0</v>
      </c>
      <c r="M1785" s="390">
        <f>'TWU FGD'!$M$67</f>
        <v>4918082</v>
      </c>
      <c r="N1785" s="401"/>
    </row>
    <row r="1786" spans="2:14" s="160" customFormat="1" ht="12.75" hidden="1" customHeight="1" outlineLevel="1">
      <c r="B1786" s="674" t="str">
        <f>'TXST FGD'!$B$2</f>
        <v>Texas State University</v>
      </c>
      <c r="D1786" s="390">
        <f>'TXST FGD'!$D$67</f>
        <v>2813496</v>
      </c>
      <c r="E1786" s="390">
        <f>'TXST FGD'!$E$67</f>
        <v>17963613</v>
      </c>
      <c r="F1786" s="390">
        <f>'TXST FGD'!$F$67</f>
        <v>2341862</v>
      </c>
      <c r="G1786" s="390">
        <f>'TXST FGD'!$G$67</f>
        <v>58355308</v>
      </c>
      <c r="H1786" s="390">
        <f>'TXST FGD'!$H$67</f>
        <v>0</v>
      </c>
      <c r="I1786" s="390">
        <f>'TXST FGD'!$I$67</f>
        <v>0</v>
      </c>
      <c r="J1786" s="390">
        <f>'TXST FGD'!$J$67</f>
        <v>0</v>
      </c>
      <c r="K1786" s="390">
        <f>'TXST FGD'!$K$67</f>
        <v>0</v>
      </c>
      <c r="L1786" s="390">
        <f>'TXST FGD'!$L$67</f>
        <v>0</v>
      </c>
      <c r="M1786" s="390">
        <f>'TXST FGD'!$M$67</f>
        <v>81474279</v>
      </c>
      <c r="N1786" s="401"/>
    </row>
    <row r="1787" spans="2:14" s="160" customFormat="1" ht="12.75" hidden="1" customHeight="1" outlineLevel="1">
      <c r="B1787" s="674" t="str">
        <f>'TYL FGD'!$B$2</f>
        <v>The University of Texas at Tyler</v>
      </c>
      <c r="D1787" s="390">
        <f>'TYL FGD'!$D$67</f>
        <v>1355528</v>
      </c>
      <c r="E1787" s="390">
        <f>'TYL FGD'!$E$67</f>
        <v>4814294</v>
      </c>
      <c r="F1787" s="390">
        <f>'TYL FGD'!$F$67</f>
        <v>0</v>
      </c>
      <c r="G1787" s="390">
        <f>'TYL FGD'!$G$67</f>
        <v>7723395</v>
      </c>
      <c r="H1787" s="390">
        <f>'TYL FGD'!$H$67</f>
        <v>0</v>
      </c>
      <c r="I1787" s="390">
        <f>'TYL FGD'!$I$67</f>
        <v>0</v>
      </c>
      <c r="J1787" s="390">
        <f>'TYL FGD'!$J$67</f>
        <v>0</v>
      </c>
      <c r="K1787" s="390">
        <f>'TYL FGD'!$K$67</f>
        <v>0</v>
      </c>
      <c r="L1787" s="390">
        <f>'TYL FGD'!$L$67</f>
        <v>0</v>
      </c>
      <c r="M1787" s="390">
        <f>'TYL FGD'!$M$67</f>
        <v>13893217</v>
      </c>
      <c r="N1787" s="401"/>
    </row>
    <row r="1788" spans="2:14" s="160" customFormat="1" ht="12.75" hidden="1" customHeight="1" outlineLevel="1">
      <c r="B1788" s="674" t="str">
        <f>'UH1 FGD'!$B$2</f>
        <v>University of Houston - Academic &amp; Health (A+H)</v>
      </c>
      <c r="D1788" s="390">
        <f>'UH1 FGD'!$D$67</f>
        <v>-3113055</v>
      </c>
      <c r="E1788" s="390">
        <f>'UH1 FGD'!$E$67</f>
        <v>28418559</v>
      </c>
      <c r="F1788" s="390">
        <f>'UH1 FGD'!$F$67</f>
        <v>0</v>
      </c>
      <c r="G1788" s="390">
        <f>'UH1 FGD'!$G$67</f>
        <v>52697358</v>
      </c>
      <c r="H1788" s="390">
        <f>'UH1 FGD'!$H$67</f>
        <v>0</v>
      </c>
      <c r="I1788" s="390">
        <f>'UH1 FGD'!$I$67</f>
        <v>0</v>
      </c>
      <c r="J1788" s="390">
        <f>'UH1 FGD'!$J$67</f>
        <v>0</v>
      </c>
      <c r="K1788" s="390">
        <f>'UH1 FGD'!$K$67</f>
        <v>0</v>
      </c>
      <c r="L1788" s="390">
        <f>'UH1 FGD'!$L$67</f>
        <v>0</v>
      </c>
      <c r="M1788" s="390">
        <f>'UH1 FGD'!$M$67</f>
        <v>78002862</v>
      </c>
      <c r="N1788" s="401"/>
    </row>
    <row r="1789" spans="2:14" s="160" customFormat="1" ht="12.75" hidden="1" customHeight="1" outlineLevel="1">
      <c r="B1789" s="674" t="str">
        <f>'UHCL FGD'!$B$2</f>
        <v>University of Houston - Clear Lake</v>
      </c>
      <c r="D1789" s="390">
        <f>'UHCL FGD'!$D$67</f>
        <v>464711</v>
      </c>
      <c r="E1789" s="390">
        <f>'UHCL FGD'!$E$67</f>
        <v>4807354</v>
      </c>
      <c r="F1789" s="390">
        <f>'UHCL FGD'!$F$67</f>
        <v>0</v>
      </c>
      <c r="G1789" s="390">
        <f>'UHCL FGD'!$G$67</f>
        <v>13347151</v>
      </c>
      <c r="H1789" s="390">
        <f>'UHCL FGD'!$H$67</f>
        <v>-38499</v>
      </c>
      <c r="I1789" s="390">
        <f>'UHCL FGD'!$I$67</f>
        <v>0</v>
      </c>
      <c r="J1789" s="390">
        <f>'UHCL FGD'!$J$67</f>
        <v>0</v>
      </c>
      <c r="K1789" s="390">
        <f>'UHCL FGD'!$K$67</f>
        <v>0</v>
      </c>
      <c r="L1789" s="390">
        <f>'UHCL FGD'!$L$67</f>
        <v>0</v>
      </c>
      <c r="M1789" s="390">
        <f>'UHCL FGD'!$M$67</f>
        <v>18580717</v>
      </c>
      <c r="N1789" s="401"/>
    </row>
    <row r="1790" spans="2:14" s="160" customFormat="1" ht="12.75" hidden="1" customHeight="1" outlineLevel="1">
      <c r="B1790" s="674" t="str">
        <f>'UHD FGD'!$B$2</f>
        <v>University of Houston - Downtown</v>
      </c>
      <c r="D1790" s="390">
        <f>'UHD FGD'!$D$67</f>
        <v>1031905</v>
      </c>
      <c r="E1790" s="390">
        <f>'UHD FGD'!$E$67</f>
        <v>6228545</v>
      </c>
      <c r="F1790" s="390">
        <f>'UHD FGD'!$F$67</f>
        <v>0</v>
      </c>
      <c r="G1790" s="390">
        <f>'UHD FGD'!$G$67</f>
        <v>26779359</v>
      </c>
      <c r="H1790" s="390">
        <f>'UHD FGD'!$H$67</f>
        <v>0</v>
      </c>
      <c r="I1790" s="390">
        <f>'UHD FGD'!$I$67</f>
        <v>0</v>
      </c>
      <c r="J1790" s="390">
        <f>'UHD FGD'!$J$67</f>
        <v>0</v>
      </c>
      <c r="K1790" s="390">
        <f>'UHD FGD'!$K$67</f>
        <v>0</v>
      </c>
      <c r="L1790" s="390">
        <f>'UHD FGD'!$L$67</f>
        <v>0</v>
      </c>
      <c r="M1790" s="390">
        <f>'UHD FGD'!$M$67</f>
        <v>34039809</v>
      </c>
      <c r="N1790" s="401"/>
    </row>
    <row r="1791" spans="2:14" s="160" customFormat="1" ht="12.75" hidden="1" customHeight="1" outlineLevel="1">
      <c r="B1791" s="674" t="str">
        <f>'UHV FGD'!$B$2</f>
        <v>University of Houston - Victoria</v>
      </c>
      <c r="D1791" s="390">
        <f>'UHV FGD'!$D$67</f>
        <v>744751</v>
      </c>
      <c r="E1791" s="390">
        <f>'UHV FGD'!$E$67</f>
        <v>2451269</v>
      </c>
      <c r="F1791" s="390">
        <f>'UHV FGD'!$F$67</f>
        <v>132037</v>
      </c>
      <c r="G1791" s="390">
        <f>'UHV FGD'!$G$67</f>
        <v>5548737</v>
      </c>
      <c r="H1791" s="390">
        <f>'UHV FGD'!$H$67</f>
        <v>0</v>
      </c>
      <c r="I1791" s="390">
        <f>'UHV FGD'!$I$67</f>
        <v>0</v>
      </c>
      <c r="J1791" s="390">
        <f>'UHV FGD'!$J$67</f>
        <v>0</v>
      </c>
      <c r="K1791" s="390">
        <f>'UHV FGD'!$K$67</f>
        <v>0</v>
      </c>
      <c r="L1791" s="390">
        <f>'UHV FGD'!$L$67</f>
        <v>0</v>
      </c>
      <c r="M1791" s="390">
        <f>'UHV FGD'!$M$67</f>
        <v>8876794</v>
      </c>
      <c r="N1791" s="401"/>
    </row>
    <row r="1792" spans="2:14" s="160" customFormat="1" ht="12.75" hidden="1" customHeight="1" outlineLevel="1">
      <c r="B1792" s="674" t="str">
        <f>'UNT FGD'!$B$2</f>
        <v>University of North Texas</v>
      </c>
      <c r="D1792" s="390">
        <f>'UNT FGD'!$D$67</f>
        <v>23407072</v>
      </c>
      <c r="E1792" s="390">
        <f>'UNT FGD'!$E$67</f>
        <v>208189</v>
      </c>
      <c r="F1792" s="390">
        <f>'UNT FGD'!$F$67</f>
        <v>740613</v>
      </c>
      <c r="G1792" s="390">
        <f>'UNT FGD'!$G$67</f>
        <v>106632382</v>
      </c>
      <c r="H1792" s="390">
        <f>'UNT FGD'!$H$67</f>
        <v>968028</v>
      </c>
      <c r="I1792" s="390">
        <f>'UNT FGD'!$I$67</f>
        <v>0</v>
      </c>
      <c r="J1792" s="390">
        <f>'UNT FGD'!$J$67</f>
        <v>0</v>
      </c>
      <c r="K1792" s="390">
        <f>'UNT FGD'!$K$67</f>
        <v>0</v>
      </c>
      <c r="L1792" s="390">
        <f>'UNT FGD'!$L$67</f>
        <v>0</v>
      </c>
      <c r="M1792" s="390">
        <f>'UNT FGD'!$M$67</f>
        <v>131956284</v>
      </c>
      <c r="N1792" s="401"/>
    </row>
    <row r="1793" spans="2:14" s="160" customFormat="1" ht="12.75" hidden="1" customHeight="1" outlineLevel="1">
      <c r="B1793" s="674" t="str">
        <f>'UNTD FGD'!$B$2</f>
        <v>University of North Texas at Dallas</v>
      </c>
      <c r="D1793" s="390">
        <f>'UNTD FGD'!$D$67</f>
        <v>4463273</v>
      </c>
      <c r="E1793" s="390">
        <f>'UNTD FGD'!$E$67</f>
        <v>1111119</v>
      </c>
      <c r="F1793" s="390">
        <f>'UNTD FGD'!$F$67</f>
        <v>0</v>
      </c>
      <c r="G1793" s="390">
        <f>'UNTD FGD'!$G$67</f>
        <v>10904876</v>
      </c>
      <c r="H1793" s="390">
        <f>'UNTD FGD'!$H$67</f>
        <v>0</v>
      </c>
      <c r="I1793" s="390">
        <f>'UNTD FGD'!$I$67</f>
        <v>0</v>
      </c>
      <c r="J1793" s="390">
        <f>'UNTD FGD'!$J$67</f>
        <v>0</v>
      </c>
      <c r="K1793" s="390">
        <f>'UNTD FGD'!$K$67</f>
        <v>0</v>
      </c>
      <c r="L1793" s="390">
        <f>'UNTD FGD'!$L$67</f>
        <v>0</v>
      </c>
      <c r="M1793" s="390">
        <f>'UNTD FGD'!$M$67</f>
        <v>16479268</v>
      </c>
      <c r="N1793" s="401"/>
    </row>
    <row r="1794" spans="2:14" s="160" customFormat="1" ht="12.75" hidden="1" customHeight="1" outlineLevel="1">
      <c r="B1794" s="674" t="str">
        <f>'WTAMU FGD'!$B$2</f>
        <v>West Texas A&amp;M University</v>
      </c>
      <c r="D1794" s="390">
        <f>'WTAMU FGD'!$D$67</f>
        <v>720178</v>
      </c>
      <c r="E1794" s="390">
        <f>'WTAMU FGD'!$E$67</f>
        <v>5521047</v>
      </c>
      <c r="F1794" s="390">
        <f>'WTAMU FGD'!$F$67</f>
        <v>0</v>
      </c>
      <c r="G1794" s="390">
        <f>'WTAMU FGD'!$G$67</f>
        <v>10485593</v>
      </c>
      <c r="H1794" s="390">
        <f>'WTAMU FGD'!$H$67</f>
        <v>0</v>
      </c>
      <c r="I1794" s="390">
        <f>'WTAMU FGD'!$I$67</f>
        <v>0</v>
      </c>
      <c r="J1794" s="390">
        <f>'WTAMU FGD'!$J$67</f>
        <v>0</v>
      </c>
      <c r="K1794" s="390">
        <f>'WTAMU FGD'!$K$67</f>
        <v>0</v>
      </c>
      <c r="L1794" s="390">
        <f>'WTAMU FGD'!$L$67</f>
        <v>0</v>
      </c>
      <c r="M1794" s="390">
        <f>'WTAMU FGD'!$M$67</f>
        <v>16726818</v>
      </c>
      <c r="N1794" s="401"/>
    </row>
    <row r="1795" spans="2:14" s="160" customFormat="1" collapsed="1">
      <c r="B1795" s="160" t="s">
        <v>21</v>
      </c>
      <c r="D1795" s="390">
        <f t="shared" ref="D1795:M1795" si="47">SUM(D1759:D1794)</f>
        <v>192408376</v>
      </c>
      <c r="E1795" s="390">
        <f t="shared" si="47"/>
        <v>382374344</v>
      </c>
      <c r="F1795" s="390">
        <f t="shared" si="47"/>
        <v>9607132</v>
      </c>
      <c r="G1795" s="390">
        <f t="shared" si="47"/>
        <v>1109703388</v>
      </c>
      <c r="H1795" s="390">
        <f t="shared" si="47"/>
        <v>1437074</v>
      </c>
      <c r="I1795" s="390">
        <f t="shared" si="47"/>
        <v>0</v>
      </c>
      <c r="J1795" s="390">
        <f t="shared" si="47"/>
        <v>0</v>
      </c>
      <c r="K1795" s="390">
        <f t="shared" si="47"/>
        <v>0</v>
      </c>
      <c r="L1795" s="390">
        <f t="shared" si="47"/>
        <v>0</v>
      </c>
      <c r="M1795" s="390">
        <f t="shared" si="47"/>
        <v>1695530314</v>
      </c>
      <c r="N1795" s="401"/>
    </row>
    <row r="1796" spans="2:14" s="160" customFormat="1" ht="12.75" hidden="1" customHeight="1" outlineLevel="1">
      <c r="B1796" s="674" t="str">
        <f>'ARL FGD'!$B$2</f>
        <v>The University of Texas at Arlington</v>
      </c>
      <c r="D1796" s="390">
        <f>'ARL FGD'!$D$68</f>
        <v>0</v>
      </c>
      <c r="E1796" s="390">
        <f>'ARL FGD'!$E$68</f>
        <v>179</v>
      </c>
      <c r="F1796" s="390">
        <f>'ARL FGD'!$F$68</f>
        <v>49139466</v>
      </c>
      <c r="G1796" s="390">
        <f>'ARL FGD'!$G$68</f>
        <v>1745420</v>
      </c>
      <c r="H1796" s="390">
        <f>'ARL FGD'!$H$68</f>
        <v>0</v>
      </c>
      <c r="I1796" s="390">
        <f>'ARL FGD'!$I$68</f>
        <v>0</v>
      </c>
      <c r="J1796" s="390">
        <f>'ARL FGD'!$J$68</f>
        <v>0</v>
      </c>
      <c r="K1796" s="390">
        <f>'ARL FGD'!$K$68</f>
        <v>0</v>
      </c>
      <c r="L1796" s="390">
        <f>'ARL FGD'!$L$68</f>
        <v>0</v>
      </c>
      <c r="M1796" s="390">
        <f>'ARL FGD'!$M$68</f>
        <v>50885065</v>
      </c>
      <c r="N1796" s="401"/>
    </row>
    <row r="1797" spans="2:14" s="160" customFormat="1" ht="12.75" hidden="1" customHeight="1" outlineLevel="1">
      <c r="B1797" s="674" t="str">
        <f>'ASU FGD'!$B$2</f>
        <v>Angelo State University</v>
      </c>
      <c r="D1797" s="390">
        <f>'ASU FGD'!$D$68</f>
        <v>0</v>
      </c>
      <c r="E1797" s="390">
        <f>'ASU FGD'!$E$68</f>
        <v>0</v>
      </c>
      <c r="F1797" s="390">
        <f>'ASU FGD'!$F$68</f>
        <v>17609666</v>
      </c>
      <c r="G1797" s="390">
        <f>'ASU FGD'!$G$68</f>
        <v>0</v>
      </c>
      <c r="H1797" s="390">
        <f>'ASU FGD'!$H$68</f>
        <v>0</v>
      </c>
      <c r="I1797" s="390">
        <f>'ASU FGD'!$I$68</f>
        <v>0</v>
      </c>
      <c r="J1797" s="390">
        <f>'ASU FGD'!$J$68</f>
        <v>0</v>
      </c>
      <c r="K1797" s="390">
        <f>'ASU FGD'!$K$68</f>
        <v>0</v>
      </c>
      <c r="L1797" s="390">
        <f>'ASU FGD'!$L$68</f>
        <v>0</v>
      </c>
      <c r="M1797" s="390">
        <f>'ASU FGD'!$M$68</f>
        <v>17609666</v>
      </c>
      <c r="N1797" s="401"/>
    </row>
    <row r="1798" spans="2:14" s="160" customFormat="1" ht="12.75" hidden="1" customHeight="1" outlineLevel="1">
      <c r="B1798" s="674" t="str">
        <f>'AUS1 FGD'!$B$2</f>
        <v>The University of Texas at Austin - Academic &amp; Health (A+H)</v>
      </c>
      <c r="D1798" s="390">
        <f>'AUS1 FGD'!$D$68</f>
        <v>0</v>
      </c>
      <c r="E1798" s="390">
        <f>'AUS1 FGD'!$E$68</f>
        <v>0</v>
      </c>
      <c r="F1798" s="390">
        <f>'AUS1 FGD'!$F$68</f>
        <v>214840884</v>
      </c>
      <c r="G1798" s="390">
        <f>'AUS1 FGD'!$G$68</f>
        <v>67393537</v>
      </c>
      <c r="H1798" s="390">
        <f>'AUS1 FGD'!$H$68</f>
        <v>0</v>
      </c>
      <c r="I1798" s="390">
        <f>'AUS1 FGD'!$I$68</f>
        <v>0</v>
      </c>
      <c r="J1798" s="390">
        <f>'AUS1 FGD'!$J$68</f>
        <v>0</v>
      </c>
      <c r="K1798" s="390">
        <f>'AUS1 FGD'!$K$68</f>
        <v>0</v>
      </c>
      <c r="L1798" s="390">
        <f>'AUS1 FGD'!$L$68</f>
        <v>0</v>
      </c>
      <c r="M1798" s="390">
        <f>'AUS1 FGD'!$M$68</f>
        <v>282234421</v>
      </c>
      <c r="N1798" s="401"/>
    </row>
    <row r="1799" spans="2:14" s="160" customFormat="1" ht="12.75" hidden="1" customHeight="1" outlineLevel="1">
      <c r="B1799" s="674" t="str">
        <f>'RGV1 FGD'!$B$2</f>
        <v>The University of Texas RGV - Academic &amp; Health (A+H)</v>
      </c>
      <c r="D1799" s="390">
        <f>'RGV1 FGD'!$D$68</f>
        <v>0</v>
      </c>
      <c r="E1799" s="390">
        <f>'RGV1 FGD'!$E$68</f>
        <v>1490634</v>
      </c>
      <c r="F1799" s="390">
        <f>'RGV1 FGD'!$F$68</f>
        <v>21884278</v>
      </c>
      <c r="G1799" s="390">
        <f>'RGV1 FGD'!$G$68</f>
        <v>172681</v>
      </c>
      <c r="H1799" s="390">
        <f>'RGV1 FGD'!$H$68</f>
        <v>0</v>
      </c>
      <c r="I1799" s="390">
        <f>'RGV1 FGD'!$I$68</f>
        <v>0</v>
      </c>
      <c r="J1799" s="390">
        <f>'RGV1 FGD'!$J$68</f>
        <v>0</v>
      </c>
      <c r="K1799" s="390">
        <f>'RGV1 FGD'!$K$68</f>
        <v>0</v>
      </c>
      <c r="L1799" s="390">
        <f>'RGV1 FGD'!$L$68</f>
        <v>0</v>
      </c>
      <c r="M1799" s="390">
        <f>'RGV1 FGD'!$M$68</f>
        <v>23547593</v>
      </c>
      <c r="N1799" s="401"/>
    </row>
    <row r="1800" spans="2:14" s="160" customFormat="1" ht="12.75" hidden="1" customHeight="1" outlineLevel="1">
      <c r="B1800" s="674" t="str">
        <f>'DAL FGD'!$B$2</f>
        <v>The University of Texas at Dallas</v>
      </c>
      <c r="D1800" s="390">
        <f>'DAL FGD'!$D$68</f>
        <v>0</v>
      </c>
      <c r="E1800" s="390">
        <f>'DAL FGD'!$E$68</f>
        <v>0</v>
      </c>
      <c r="F1800" s="390">
        <f>'DAL FGD'!$F$68</f>
        <v>39253057</v>
      </c>
      <c r="G1800" s="390">
        <f>'DAL FGD'!$G$68</f>
        <v>0</v>
      </c>
      <c r="H1800" s="390">
        <f>'DAL FGD'!$H$68</f>
        <v>0</v>
      </c>
      <c r="I1800" s="390">
        <f>'DAL FGD'!$I$68</f>
        <v>0</v>
      </c>
      <c r="J1800" s="390">
        <f>'DAL FGD'!$J$68</f>
        <v>0</v>
      </c>
      <c r="K1800" s="390">
        <f>'DAL FGD'!$K$68</f>
        <v>0</v>
      </c>
      <c r="L1800" s="390">
        <f>'DAL FGD'!$L$68</f>
        <v>0</v>
      </c>
      <c r="M1800" s="390">
        <f>'DAL FGD'!$M$68</f>
        <v>39253057</v>
      </c>
      <c r="N1800" s="401"/>
    </row>
    <row r="1801" spans="2:14" s="160" customFormat="1" ht="12.75" hidden="1" customHeight="1" outlineLevel="1">
      <c r="B1801" s="674" t="str">
        <f>'E-P FGD'!$B$2</f>
        <v>The University of Texas at El Paso</v>
      </c>
      <c r="D1801" s="390">
        <f>'E-P FGD'!$D$68</f>
        <v>0</v>
      </c>
      <c r="E1801" s="390">
        <f>'E-P FGD'!$E$68</f>
        <v>0</v>
      </c>
      <c r="F1801" s="390">
        <f>'E-P FGD'!$F$68</f>
        <v>35220254</v>
      </c>
      <c r="G1801" s="390">
        <f>'E-P FGD'!$G$68</f>
        <v>501540</v>
      </c>
      <c r="H1801" s="390">
        <f>'E-P FGD'!$H$68</f>
        <v>0</v>
      </c>
      <c r="I1801" s="390">
        <f>'E-P FGD'!$I$68</f>
        <v>0</v>
      </c>
      <c r="J1801" s="390">
        <f>'E-P FGD'!$J$68</f>
        <v>0</v>
      </c>
      <c r="K1801" s="390">
        <f>'E-P FGD'!$K$68</f>
        <v>0</v>
      </c>
      <c r="L1801" s="390">
        <f>'E-P FGD'!$L$68</f>
        <v>0</v>
      </c>
      <c r="M1801" s="390">
        <f>'E-P FGD'!$M$68</f>
        <v>35721794</v>
      </c>
      <c r="N1801" s="401"/>
    </row>
    <row r="1802" spans="2:14" s="160" customFormat="1" ht="12.75" hidden="1" customHeight="1" outlineLevel="1">
      <c r="B1802" s="674" t="str">
        <f>'LU FGD'!$B$2</f>
        <v xml:space="preserve">Lamar University </v>
      </c>
      <c r="D1802" s="390">
        <f>'LU FGD'!$D$68</f>
        <v>0</v>
      </c>
      <c r="E1802" s="390">
        <f>'LU FGD'!$E$68</f>
        <v>0</v>
      </c>
      <c r="F1802" s="390">
        <f>'LU FGD'!$F$68</f>
        <v>27991412</v>
      </c>
      <c r="G1802" s="390">
        <f>'LU FGD'!$G$68</f>
        <v>0</v>
      </c>
      <c r="H1802" s="390">
        <f>'LU FGD'!$H$68</f>
        <v>0</v>
      </c>
      <c r="I1802" s="390">
        <f>'LU FGD'!$I$68</f>
        <v>0</v>
      </c>
      <c r="J1802" s="390">
        <f>'LU FGD'!$J$68</f>
        <v>0</v>
      </c>
      <c r="K1802" s="390">
        <f>'LU FGD'!$K$68</f>
        <v>0</v>
      </c>
      <c r="L1802" s="390">
        <f>'LU FGD'!$L$68</f>
        <v>0</v>
      </c>
      <c r="M1802" s="390">
        <f>'LU FGD'!$M$68</f>
        <v>27991412</v>
      </c>
      <c r="N1802" s="401"/>
    </row>
    <row r="1803" spans="2:14" s="160" customFormat="1" ht="12.75" hidden="1" customHeight="1" outlineLevel="1">
      <c r="B1803" s="674" t="str">
        <f>'MidWST FGD'!$B$2</f>
        <v>Midwestern State University</v>
      </c>
      <c r="D1803" s="390">
        <f>'MidWST FGD'!$D$68</f>
        <v>0</v>
      </c>
      <c r="E1803" s="390">
        <f>'MidWST FGD'!$E$68</f>
        <v>0</v>
      </c>
      <c r="F1803" s="390">
        <f>'MidWST FGD'!$F$68</f>
        <v>8568034</v>
      </c>
      <c r="G1803" s="390">
        <f>'MidWST FGD'!$G$68</f>
        <v>0</v>
      </c>
      <c r="H1803" s="390">
        <f>'MidWST FGD'!$H$68</f>
        <v>0</v>
      </c>
      <c r="I1803" s="390">
        <f>'MidWST FGD'!$I$68</f>
        <v>0</v>
      </c>
      <c r="J1803" s="390">
        <f>'MidWST FGD'!$J$68</f>
        <v>0</v>
      </c>
      <c r="K1803" s="390">
        <f>'MidWST FGD'!$K$68</f>
        <v>0</v>
      </c>
      <c r="L1803" s="390">
        <f>'MidWST FGD'!$L$68</f>
        <v>0</v>
      </c>
      <c r="M1803" s="390">
        <f>'MidWST FGD'!$M$68</f>
        <v>8568034</v>
      </c>
      <c r="N1803" s="401"/>
    </row>
    <row r="1804" spans="2:14" s="160" customFormat="1" ht="12.75" hidden="1" customHeight="1" outlineLevel="1">
      <c r="B1804" s="674" t="str">
        <f>'P-B FGD'!$B$2</f>
        <v>The University of Texas of the Permian Basin</v>
      </c>
      <c r="D1804" s="390">
        <f>'P-B FGD'!$D$68</f>
        <v>0</v>
      </c>
      <c r="E1804" s="390">
        <f>'P-B FGD'!$E$68</f>
        <v>31588</v>
      </c>
      <c r="F1804" s="390">
        <f>'P-B FGD'!$F$68</f>
        <v>8401166</v>
      </c>
      <c r="G1804" s="390">
        <f>'P-B FGD'!$G$68</f>
        <v>1065318</v>
      </c>
      <c r="H1804" s="390">
        <f>'P-B FGD'!$H$68</f>
        <v>0</v>
      </c>
      <c r="I1804" s="390">
        <f>'P-B FGD'!$I$68</f>
        <v>0</v>
      </c>
      <c r="J1804" s="390">
        <f>'P-B FGD'!$J$68</f>
        <v>0</v>
      </c>
      <c r="K1804" s="390">
        <f>'P-B FGD'!$K$68</f>
        <v>0</v>
      </c>
      <c r="L1804" s="390">
        <f>'P-B FGD'!$L$68</f>
        <v>0</v>
      </c>
      <c r="M1804" s="390">
        <f>'P-B FGD'!$M$68</f>
        <v>9498072</v>
      </c>
      <c r="N1804" s="401"/>
    </row>
    <row r="1805" spans="2:14" s="160" customFormat="1" ht="12.75" hidden="1" customHeight="1" outlineLevel="1">
      <c r="B1805" s="674" t="str">
        <f>'PVAMU FGD'!$B$2</f>
        <v>Prairie View A&amp;M University</v>
      </c>
      <c r="D1805" s="390">
        <f>'PVAMU FGD'!$D$68</f>
        <v>0</v>
      </c>
      <c r="E1805" s="390">
        <f>'PVAMU FGD'!$E$68</f>
        <v>0</v>
      </c>
      <c r="F1805" s="390">
        <f>'PVAMU FGD'!$F$68</f>
        <v>27900736</v>
      </c>
      <c r="G1805" s="390">
        <f>'PVAMU FGD'!$G$68</f>
        <v>0</v>
      </c>
      <c r="H1805" s="390">
        <f>'PVAMU FGD'!$H$68</f>
        <v>0</v>
      </c>
      <c r="I1805" s="390">
        <f>'PVAMU FGD'!$I$68</f>
        <v>0</v>
      </c>
      <c r="J1805" s="390">
        <f>'PVAMU FGD'!$J$68</f>
        <v>0</v>
      </c>
      <c r="K1805" s="390">
        <f>'PVAMU FGD'!$K$68</f>
        <v>0</v>
      </c>
      <c r="L1805" s="390">
        <f>'PVAMU FGD'!$L$68</f>
        <v>0</v>
      </c>
      <c r="M1805" s="390">
        <f>'PVAMU FGD'!$M$68</f>
        <v>27900736</v>
      </c>
      <c r="N1805" s="401"/>
    </row>
    <row r="1806" spans="2:14" s="160" customFormat="1" ht="12.75" hidden="1" customHeight="1" outlineLevel="1">
      <c r="B1806" s="674" t="str">
        <f>'S-A FGD'!$B$2</f>
        <v>The University of Texas at San Antonio</v>
      </c>
      <c r="D1806" s="390">
        <f>'S-A FGD'!$D$68</f>
        <v>0</v>
      </c>
      <c r="E1806" s="390">
        <f>'S-A FGD'!$E$68</f>
        <v>161994</v>
      </c>
      <c r="F1806" s="390">
        <f>'S-A FGD'!$F$68</f>
        <v>39541223</v>
      </c>
      <c r="G1806" s="390">
        <f>'S-A FGD'!$G$68</f>
        <v>1463672</v>
      </c>
      <c r="H1806" s="390">
        <f>'S-A FGD'!$H$68</f>
        <v>0</v>
      </c>
      <c r="I1806" s="390">
        <f>'S-A FGD'!$I$68</f>
        <v>0</v>
      </c>
      <c r="J1806" s="390">
        <f>'S-A FGD'!$J$68</f>
        <v>0</v>
      </c>
      <c r="K1806" s="390">
        <f>'S-A FGD'!$K$68</f>
        <v>0</v>
      </c>
      <c r="L1806" s="390">
        <f>'S-A FGD'!$L$68</f>
        <v>0</v>
      </c>
      <c r="M1806" s="390">
        <f>'S-A FGD'!$M$68</f>
        <v>41166889</v>
      </c>
      <c r="N1806" s="401"/>
    </row>
    <row r="1807" spans="2:14" s="160" customFormat="1" ht="12.75" hidden="1" customHeight="1" outlineLevel="1">
      <c r="B1807" s="674" t="str">
        <f>'SFA FGD'!$B$2</f>
        <v>Stephen F. Austin State University</v>
      </c>
      <c r="D1807" s="390">
        <f>'SFA FGD'!$D$68</f>
        <v>0</v>
      </c>
      <c r="E1807" s="390">
        <f>'SFA FGD'!$E$68</f>
        <v>3998145</v>
      </c>
      <c r="F1807" s="390">
        <f>'SFA FGD'!$F$68</f>
        <v>1237857</v>
      </c>
      <c r="G1807" s="390">
        <f>'SFA FGD'!$G$68</f>
        <v>21744086</v>
      </c>
      <c r="H1807" s="390">
        <f>'SFA FGD'!$H$68</f>
        <v>0</v>
      </c>
      <c r="I1807" s="390">
        <f>'SFA FGD'!$I$68</f>
        <v>0</v>
      </c>
      <c r="J1807" s="390">
        <f>'SFA FGD'!$J$68</f>
        <v>0</v>
      </c>
      <c r="K1807" s="390">
        <f>'SFA FGD'!$K$68</f>
        <v>0</v>
      </c>
      <c r="L1807" s="390">
        <f>'SFA FGD'!$L$68</f>
        <v>0</v>
      </c>
      <c r="M1807" s="390">
        <f>'SFA FGD'!$M$68</f>
        <v>26980088</v>
      </c>
      <c r="N1807" s="401"/>
    </row>
    <row r="1808" spans="2:14" s="160" customFormat="1" ht="12.75" hidden="1" customHeight="1" outlineLevel="1">
      <c r="B1808" s="674" t="str">
        <f>'shsu1 FGD'!$B$2</f>
        <v>Sam Houston State University - Academic &amp; Health (A+H)</v>
      </c>
      <c r="D1808" s="390">
        <f>'shsu1 FGD'!$D$68</f>
        <v>0</v>
      </c>
      <c r="E1808" s="390">
        <f>'shsu1 FGD'!$E$68</f>
        <v>3237447</v>
      </c>
      <c r="F1808" s="390">
        <f>'shsu1 FGD'!$F$68</f>
        <v>39457535</v>
      </c>
      <c r="G1808" s="390">
        <f>'shsu1 FGD'!$G$68</f>
        <v>1082072</v>
      </c>
      <c r="H1808" s="390">
        <f>'shsu1 FGD'!$H$68</f>
        <v>0</v>
      </c>
      <c r="I1808" s="390">
        <f>'shsu1 FGD'!$I$68</f>
        <v>0</v>
      </c>
      <c r="J1808" s="390">
        <f>'shsu1 FGD'!$J$68</f>
        <v>0</v>
      </c>
      <c r="K1808" s="390">
        <f>'shsu1 FGD'!$K$68</f>
        <v>0</v>
      </c>
      <c r="L1808" s="390">
        <f>'shsu1 FGD'!$L$68</f>
        <v>0</v>
      </c>
      <c r="M1808" s="390">
        <f>'shsu1 FGD'!$M$68</f>
        <v>43777054</v>
      </c>
      <c r="N1808" s="401"/>
    </row>
    <row r="1809" spans="2:14" s="160" customFormat="1" ht="12.75" hidden="1" customHeight="1" outlineLevel="1">
      <c r="B1809" s="674" t="str">
        <f>'SRSU FGD'!$B$2</f>
        <v>Sul Ross State University</v>
      </c>
      <c r="D1809" s="390">
        <f>'SRSU FGD'!$D$68</f>
        <v>0</v>
      </c>
      <c r="E1809" s="390">
        <f>'SRSU FGD'!$E$68</f>
        <v>0</v>
      </c>
      <c r="F1809" s="390">
        <f>'SRSU FGD'!$F$68</f>
        <v>4623659</v>
      </c>
      <c r="G1809" s="390">
        <f>'SRSU FGD'!$G$68</f>
        <v>0</v>
      </c>
      <c r="H1809" s="390">
        <f>'SRSU FGD'!$H$68</f>
        <v>0</v>
      </c>
      <c r="I1809" s="390">
        <f>'SRSU FGD'!$I$68</f>
        <v>0</v>
      </c>
      <c r="J1809" s="390">
        <f>'SRSU FGD'!$J$68</f>
        <v>0</v>
      </c>
      <c r="K1809" s="390">
        <f>'SRSU FGD'!$K$68</f>
        <v>0</v>
      </c>
      <c r="L1809" s="390">
        <f>'SRSU FGD'!$L$68</f>
        <v>0</v>
      </c>
      <c r="M1809" s="390">
        <f>'SRSU FGD'!$M$68</f>
        <v>4623659</v>
      </c>
      <c r="N1809" s="401"/>
    </row>
    <row r="1810" spans="2:14" s="160" customFormat="1" ht="12.75" hidden="1" customHeight="1" outlineLevel="1">
      <c r="B1810" s="674" t="str">
        <f>'TAMIU FGD'!$B$2</f>
        <v>Texas A&amp;M International University</v>
      </c>
      <c r="D1810" s="390">
        <f>'TAMIU FGD'!$D$68</f>
        <v>0</v>
      </c>
      <c r="E1810" s="390">
        <f>'TAMIU FGD'!$E$68</f>
        <v>0</v>
      </c>
      <c r="F1810" s="390">
        <f>'TAMIU FGD'!$F$68</f>
        <v>7874983</v>
      </c>
      <c r="G1810" s="390">
        <f>'TAMIU FGD'!$G$68</f>
        <v>0</v>
      </c>
      <c r="H1810" s="390">
        <f>'TAMIU FGD'!$H$68</f>
        <v>0</v>
      </c>
      <c r="I1810" s="390">
        <f>'TAMIU FGD'!$I$68</f>
        <v>0</v>
      </c>
      <c r="J1810" s="390">
        <f>'TAMIU FGD'!$J$68</f>
        <v>0</v>
      </c>
      <c r="K1810" s="390">
        <f>'TAMIU FGD'!$K$68</f>
        <v>0</v>
      </c>
      <c r="L1810" s="390">
        <f>'TAMIU FGD'!$L$68</f>
        <v>0</v>
      </c>
      <c r="M1810" s="390">
        <f>'TAMIU FGD'!$M$68</f>
        <v>7874983</v>
      </c>
      <c r="N1810" s="401"/>
    </row>
    <row r="1811" spans="2:14" s="160" customFormat="1" ht="12.75" hidden="1" customHeight="1" outlineLevel="1">
      <c r="B1811" s="674" t="str">
        <f>'TAMU FGD'!$B$2</f>
        <v>Texas A&amp;M University</v>
      </c>
      <c r="D1811" s="390">
        <f>'TAMU FGD'!$D$68</f>
        <v>0</v>
      </c>
      <c r="E1811" s="390">
        <f>'TAMU FGD'!$E$68</f>
        <v>0</v>
      </c>
      <c r="F1811" s="390">
        <f>'TAMU FGD'!$F$68</f>
        <v>205852290</v>
      </c>
      <c r="G1811" s="390">
        <f>'TAMU FGD'!$G$68</f>
        <v>0</v>
      </c>
      <c r="H1811" s="390">
        <f>'TAMU FGD'!$H$68</f>
        <v>0</v>
      </c>
      <c r="I1811" s="390">
        <f>'TAMU FGD'!$I$68</f>
        <v>0</v>
      </c>
      <c r="J1811" s="390">
        <f>'TAMU FGD'!$J$68</f>
        <v>0</v>
      </c>
      <c r="K1811" s="390">
        <f>'TAMU FGD'!$K$68</f>
        <v>0</v>
      </c>
      <c r="L1811" s="390">
        <f>'TAMU FGD'!$L$68</f>
        <v>0</v>
      </c>
      <c r="M1811" s="390">
        <f>'TAMU FGD'!$M$68</f>
        <v>205852290</v>
      </c>
      <c r="N1811" s="401"/>
    </row>
    <row r="1812" spans="2:14" s="160" customFormat="1" ht="12.75" hidden="1" customHeight="1" outlineLevel="1">
      <c r="B1812" s="674" t="str">
        <f>'TAMUC FGD'!$B$2</f>
        <v>Texas A&amp;M University - Commerce</v>
      </c>
      <c r="D1812" s="390">
        <f>'TAMUC FGD'!$D$68</f>
        <v>0</v>
      </c>
      <c r="E1812" s="390">
        <f>'TAMUC FGD'!$E$68</f>
        <v>0</v>
      </c>
      <c r="F1812" s="390">
        <f>'TAMUC FGD'!$F$68</f>
        <v>27852359</v>
      </c>
      <c r="G1812" s="390">
        <f>'TAMUC FGD'!$G$68</f>
        <v>0</v>
      </c>
      <c r="H1812" s="390">
        <f>'TAMUC FGD'!$H$68</f>
        <v>0</v>
      </c>
      <c r="I1812" s="390">
        <f>'TAMUC FGD'!$I$68</f>
        <v>0</v>
      </c>
      <c r="J1812" s="390">
        <f>'TAMUC FGD'!$J$68</f>
        <v>0</v>
      </c>
      <c r="K1812" s="390">
        <f>'TAMUC FGD'!$K$68</f>
        <v>0</v>
      </c>
      <c r="L1812" s="390">
        <f>'TAMUC FGD'!$L$68</f>
        <v>0</v>
      </c>
      <c r="M1812" s="390">
        <f>'TAMUC FGD'!$M$68</f>
        <v>27852359</v>
      </c>
      <c r="N1812" s="401"/>
    </row>
    <row r="1813" spans="2:14" s="160" customFormat="1" ht="12.75" hidden="1" customHeight="1" outlineLevel="1">
      <c r="B1813" s="674" t="str">
        <f>'TAMUCC FGD'!$B$2</f>
        <v>Texas A&amp;M University - Corpus Christi</v>
      </c>
      <c r="D1813" s="390">
        <f>'TAMUCC FGD'!$D$68</f>
        <v>0</v>
      </c>
      <c r="E1813" s="390">
        <f>'TAMUCC FGD'!$E$68</f>
        <v>0</v>
      </c>
      <c r="F1813" s="390">
        <f>'TAMUCC FGD'!$F$68</f>
        <v>22877449</v>
      </c>
      <c r="G1813" s="390">
        <f>'TAMUCC FGD'!$G$68</f>
        <v>0</v>
      </c>
      <c r="H1813" s="390">
        <f>'TAMUCC FGD'!$H$68</f>
        <v>0</v>
      </c>
      <c r="I1813" s="390">
        <f>'TAMUCC FGD'!$I$68</f>
        <v>0</v>
      </c>
      <c r="J1813" s="390">
        <f>'TAMUCC FGD'!$J$68</f>
        <v>0</v>
      </c>
      <c r="K1813" s="390">
        <f>'TAMUCC FGD'!$K$68</f>
        <v>0</v>
      </c>
      <c r="L1813" s="390">
        <f>'TAMUCC FGD'!$L$68</f>
        <v>0</v>
      </c>
      <c r="M1813" s="390">
        <f>'TAMUCC FGD'!$M$68</f>
        <v>22877449</v>
      </c>
      <c r="N1813" s="401"/>
    </row>
    <row r="1814" spans="2:14" s="160" customFormat="1" ht="12.75" hidden="1" customHeight="1" outlineLevel="1">
      <c r="B1814" s="674" t="str">
        <f>'TAMUCT FGD'!$B$2</f>
        <v>Texas A&amp;M University - Central Texas</v>
      </c>
      <c r="D1814" s="390">
        <f>'TAMUCT FGD'!$D$68</f>
        <v>0</v>
      </c>
      <c r="E1814" s="390">
        <f>'TAMUCT FGD'!$E$68</f>
        <v>0</v>
      </c>
      <c r="F1814" s="390">
        <f>'TAMUCT FGD'!$F$68</f>
        <v>148590</v>
      </c>
      <c r="G1814" s="390">
        <f>'TAMUCT FGD'!$G$68</f>
        <v>0</v>
      </c>
      <c r="H1814" s="390">
        <f>'TAMUCT FGD'!$H$68</f>
        <v>0</v>
      </c>
      <c r="I1814" s="390">
        <f>'TAMUCT FGD'!$I$68</f>
        <v>0</v>
      </c>
      <c r="J1814" s="390">
        <f>'TAMUCT FGD'!$J$68</f>
        <v>0</v>
      </c>
      <c r="K1814" s="390">
        <f>'TAMUCT FGD'!$K$68</f>
        <v>0</v>
      </c>
      <c r="L1814" s="390">
        <f>'TAMUCT FGD'!$L$68</f>
        <v>0</v>
      </c>
      <c r="M1814" s="390">
        <f>'TAMUCT FGD'!$M$68</f>
        <v>148590</v>
      </c>
      <c r="N1814" s="401"/>
    </row>
    <row r="1815" spans="2:14" s="160" customFormat="1" ht="12.75" hidden="1" customHeight="1" outlineLevel="1">
      <c r="B1815" s="674" t="str">
        <f>'TAMUG FGD'!$B$2</f>
        <v>Texas A&amp;M University at Galveston</v>
      </c>
      <c r="D1815" s="390">
        <f>'TAMUG FGD'!$D$68</f>
        <v>0</v>
      </c>
      <c r="E1815" s="390">
        <f>'TAMUG FGD'!$E$68</f>
        <v>0</v>
      </c>
      <c r="F1815" s="390">
        <f>'TAMUG FGD'!$F$68</f>
        <v>5110510</v>
      </c>
      <c r="G1815" s="390">
        <f>'TAMUG FGD'!$G$68</f>
        <v>0</v>
      </c>
      <c r="H1815" s="390">
        <f>'TAMUG FGD'!$H$68</f>
        <v>0</v>
      </c>
      <c r="I1815" s="390">
        <f>'TAMUG FGD'!$I$68</f>
        <v>0</v>
      </c>
      <c r="J1815" s="390">
        <f>'TAMUG FGD'!$J$68</f>
        <v>0</v>
      </c>
      <c r="K1815" s="390">
        <f>'TAMUG FGD'!$K$68</f>
        <v>0</v>
      </c>
      <c r="L1815" s="390">
        <f>'TAMUG FGD'!$L$68</f>
        <v>0</v>
      </c>
      <c r="M1815" s="390">
        <f>'TAMUG FGD'!$M$68</f>
        <v>5110510</v>
      </c>
      <c r="N1815" s="401"/>
    </row>
    <row r="1816" spans="2:14" s="160" customFormat="1" ht="12.75" hidden="1" customHeight="1" outlineLevel="1">
      <c r="B1816" s="674" t="str">
        <f>'TAMUK FGD'!$B$2</f>
        <v>Texas A&amp;M University - Kingsville</v>
      </c>
      <c r="D1816" s="390">
        <f>'TAMUK FGD'!$D$68</f>
        <v>0</v>
      </c>
      <c r="E1816" s="390">
        <f>'TAMUK FGD'!$E$68</f>
        <v>0</v>
      </c>
      <c r="F1816" s="390">
        <f>'TAMUK FGD'!$F$68</f>
        <v>19468544</v>
      </c>
      <c r="G1816" s="390">
        <f>'TAMUK FGD'!$G$68</f>
        <v>0</v>
      </c>
      <c r="H1816" s="390">
        <f>'TAMUK FGD'!$H$68</f>
        <v>0</v>
      </c>
      <c r="I1816" s="390">
        <f>'TAMUK FGD'!$I$68</f>
        <v>0</v>
      </c>
      <c r="J1816" s="390">
        <f>'TAMUK FGD'!$J$68</f>
        <v>0</v>
      </c>
      <c r="K1816" s="390">
        <f>'TAMUK FGD'!$K$68</f>
        <v>0</v>
      </c>
      <c r="L1816" s="390">
        <f>'TAMUK FGD'!$L$68</f>
        <v>0</v>
      </c>
      <c r="M1816" s="390">
        <f>'TAMUK FGD'!$M$68</f>
        <v>19468544</v>
      </c>
      <c r="N1816" s="401"/>
    </row>
    <row r="1817" spans="2:14" s="160" customFormat="1" ht="12.75" hidden="1" customHeight="1" outlineLevel="1">
      <c r="B1817" s="674" t="str">
        <f>'TAMUSA FGD'!$B$2</f>
        <v>Texas A&amp;M University - San Antonio</v>
      </c>
      <c r="D1817" s="390">
        <f>'TAMUSA FGD'!$D$68</f>
        <v>0</v>
      </c>
      <c r="E1817" s="390">
        <f>'TAMUSA FGD'!$E$68</f>
        <v>0</v>
      </c>
      <c r="F1817" s="390">
        <f>'TAMUSA FGD'!$F$68</f>
        <v>2909149</v>
      </c>
      <c r="G1817" s="390">
        <f>'TAMUSA FGD'!$G$68</f>
        <v>0</v>
      </c>
      <c r="H1817" s="390">
        <f>'TAMUSA FGD'!$H$68</f>
        <v>0</v>
      </c>
      <c r="I1817" s="390">
        <f>'TAMUSA FGD'!$I$68</f>
        <v>0</v>
      </c>
      <c r="J1817" s="390">
        <f>'TAMUSA FGD'!$J$68</f>
        <v>0</v>
      </c>
      <c r="K1817" s="390">
        <f>'TAMUSA FGD'!$K$68</f>
        <v>0</v>
      </c>
      <c r="L1817" s="390">
        <f>'TAMUSA FGD'!$L$68</f>
        <v>0</v>
      </c>
      <c r="M1817" s="390">
        <f>'TAMUSA FGD'!$M$68</f>
        <v>2909149</v>
      </c>
      <c r="N1817" s="401"/>
    </row>
    <row r="1818" spans="2:14" s="160" customFormat="1" ht="12.75" hidden="1" customHeight="1" outlineLevel="1">
      <c r="B1818" s="674" t="str">
        <f>'TAMUT FGD'!$B$2</f>
        <v>Texas A&amp;M University - Texarkana</v>
      </c>
      <c r="D1818" s="390">
        <f>'TAMUT FGD'!$D$68</f>
        <v>0</v>
      </c>
      <c r="E1818" s="390">
        <f>'TAMUT FGD'!$E$68</f>
        <v>0</v>
      </c>
      <c r="F1818" s="390">
        <f>'TAMUT FGD'!$F$68</f>
        <v>2544788</v>
      </c>
      <c r="G1818" s="390">
        <f>'TAMUT FGD'!$G$68</f>
        <v>0</v>
      </c>
      <c r="H1818" s="390">
        <f>'TAMUT FGD'!$H$68</f>
        <v>0</v>
      </c>
      <c r="I1818" s="390">
        <f>'TAMUT FGD'!$I$68</f>
        <v>0</v>
      </c>
      <c r="J1818" s="390">
        <f>'TAMUT FGD'!$J$68</f>
        <v>0</v>
      </c>
      <c r="K1818" s="390">
        <f>'TAMUT FGD'!$K$68</f>
        <v>0</v>
      </c>
      <c r="L1818" s="390">
        <f>'TAMUT FGD'!$L$68</f>
        <v>0</v>
      </c>
      <c r="M1818" s="390">
        <f>'TAMUT FGD'!$M$68</f>
        <v>2544788</v>
      </c>
      <c r="N1818" s="401"/>
    </row>
    <row r="1819" spans="2:14" s="160" customFormat="1" ht="12.75" hidden="1" customHeight="1" outlineLevel="1">
      <c r="B1819" s="674" t="str">
        <f>'TARLST FGD'!$B$2</f>
        <v>Tarleton State University</v>
      </c>
      <c r="D1819" s="390">
        <f>'TARLST FGD'!$D$68</f>
        <v>0</v>
      </c>
      <c r="E1819" s="390">
        <f>'TARLST FGD'!$E$68</f>
        <v>0</v>
      </c>
      <c r="F1819" s="390">
        <f>'TARLST FGD'!$F$68</f>
        <v>38683447</v>
      </c>
      <c r="G1819" s="390">
        <f>'TARLST FGD'!$G$68</f>
        <v>0</v>
      </c>
      <c r="H1819" s="390">
        <f>'TARLST FGD'!$H$68</f>
        <v>0</v>
      </c>
      <c r="I1819" s="390">
        <f>'TARLST FGD'!$I$68</f>
        <v>0</v>
      </c>
      <c r="J1819" s="390">
        <f>'TARLST FGD'!$J$68</f>
        <v>0</v>
      </c>
      <c r="K1819" s="390">
        <f>'TARLST FGD'!$K$68</f>
        <v>0</v>
      </c>
      <c r="L1819" s="390">
        <f>'TARLST FGD'!$L$68</f>
        <v>0</v>
      </c>
      <c r="M1819" s="390">
        <f>'TARLST FGD'!$M$68</f>
        <v>38683447</v>
      </c>
      <c r="N1819" s="401"/>
    </row>
    <row r="1820" spans="2:14" s="160" customFormat="1" ht="12.75" hidden="1" customHeight="1" outlineLevel="1">
      <c r="B1820" s="674" t="str">
        <f>'TSU FGD'!$B$2</f>
        <v>Texas Southern University</v>
      </c>
      <c r="D1820" s="390">
        <f>'TSU FGD'!$D$68</f>
        <v>0</v>
      </c>
      <c r="E1820" s="390">
        <f>'TSU FGD'!$E$68</f>
        <v>0</v>
      </c>
      <c r="F1820" s="390">
        <f>'TSU FGD'!$F$68</f>
        <v>15885231</v>
      </c>
      <c r="G1820" s="390">
        <f>'TSU FGD'!$G$68</f>
        <v>0</v>
      </c>
      <c r="H1820" s="390">
        <f>'TSU FGD'!$H$68</f>
        <v>0</v>
      </c>
      <c r="I1820" s="390">
        <f>'TSU FGD'!$I$68</f>
        <v>0</v>
      </c>
      <c r="J1820" s="390">
        <f>'TSU FGD'!$J$68</f>
        <v>0</v>
      </c>
      <c r="K1820" s="390">
        <f>'TSU FGD'!$K$68</f>
        <v>0</v>
      </c>
      <c r="L1820" s="390">
        <f>'TSU FGD'!$L$68</f>
        <v>0</v>
      </c>
      <c r="M1820" s="390">
        <f>'TSU FGD'!$M$68</f>
        <v>15885231</v>
      </c>
      <c r="N1820" s="401"/>
    </row>
    <row r="1821" spans="2:14" s="160" customFormat="1" ht="12.75" hidden="1" customHeight="1" outlineLevel="1">
      <c r="B1821" s="674" t="str">
        <f>'TTU FGD'!$B$2</f>
        <v>Texas Tech University</v>
      </c>
      <c r="D1821" s="390">
        <f>'TTU FGD'!$D$68</f>
        <v>0</v>
      </c>
      <c r="E1821" s="390">
        <f>'TTU FGD'!$E$68</f>
        <v>0</v>
      </c>
      <c r="F1821" s="390">
        <f>'TTU FGD'!$F$68</f>
        <v>121679919</v>
      </c>
      <c r="G1821" s="390">
        <f>'TTU FGD'!$G$68</f>
        <v>2106500</v>
      </c>
      <c r="H1821" s="390">
        <f>'TTU FGD'!$H$68</f>
        <v>0</v>
      </c>
      <c r="I1821" s="390">
        <f>'TTU FGD'!$I$68</f>
        <v>0</v>
      </c>
      <c r="J1821" s="390">
        <f>'TTU FGD'!$J$68</f>
        <v>0</v>
      </c>
      <c r="K1821" s="390">
        <f>'TTU FGD'!$K$68</f>
        <v>0</v>
      </c>
      <c r="L1821" s="390">
        <f>'TTU FGD'!$L$68</f>
        <v>0</v>
      </c>
      <c r="M1821" s="390">
        <f>'TTU FGD'!$M$68</f>
        <v>123786419</v>
      </c>
      <c r="N1821" s="401"/>
    </row>
    <row r="1822" spans="2:14" s="160" customFormat="1" ht="12.75" hidden="1" customHeight="1" outlineLevel="1">
      <c r="B1822" s="674" t="str">
        <f>'TWU FGD'!$B$2</f>
        <v>Texas Woman's University</v>
      </c>
      <c r="D1822" s="390">
        <f>'TWU FGD'!$D$68</f>
        <v>0</v>
      </c>
      <c r="E1822" s="390">
        <f>'TWU FGD'!$E$68</f>
        <v>0</v>
      </c>
      <c r="F1822" s="390">
        <f>'TWU FGD'!$F$68</f>
        <v>20998453</v>
      </c>
      <c r="G1822" s="390">
        <f>'TWU FGD'!$G$68</f>
        <v>31670</v>
      </c>
      <c r="H1822" s="390">
        <f>'TWU FGD'!$H$68</f>
        <v>0</v>
      </c>
      <c r="I1822" s="390">
        <f>'TWU FGD'!$I$68</f>
        <v>0</v>
      </c>
      <c r="J1822" s="390">
        <f>'TWU FGD'!$J$68</f>
        <v>0</v>
      </c>
      <c r="K1822" s="390">
        <f>'TWU FGD'!$K$68</f>
        <v>0</v>
      </c>
      <c r="L1822" s="390">
        <f>'TWU FGD'!$L$68</f>
        <v>0</v>
      </c>
      <c r="M1822" s="390">
        <f>'TWU FGD'!$M$68</f>
        <v>21030123</v>
      </c>
      <c r="N1822" s="401"/>
    </row>
    <row r="1823" spans="2:14" s="160" customFormat="1" ht="12.75" hidden="1" customHeight="1" outlineLevel="1">
      <c r="B1823" s="674" t="str">
        <f>'TXST FGD'!$B$2</f>
        <v>Texas State University</v>
      </c>
      <c r="D1823" s="390">
        <f>'TXST FGD'!$D$68</f>
        <v>0</v>
      </c>
      <c r="E1823" s="390">
        <f>'TXST FGD'!$E$68</f>
        <v>0</v>
      </c>
      <c r="F1823" s="390">
        <f>'TXST FGD'!$F$68</f>
        <v>68478900</v>
      </c>
      <c r="G1823" s="390">
        <f>'TXST FGD'!$G$68</f>
        <v>20538</v>
      </c>
      <c r="H1823" s="390">
        <f>'TXST FGD'!$H$68</f>
        <v>0</v>
      </c>
      <c r="I1823" s="390">
        <f>'TXST FGD'!$I$68</f>
        <v>0</v>
      </c>
      <c r="J1823" s="390">
        <f>'TXST FGD'!$J$68</f>
        <v>0</v>
      </c>
      <c r="K1823" s="390">
        <f>'TXST FGD'!$K$68</f>
        <v>0</v>
      </c>
      <c r="L1823" s="390">
        <f>'TXST FGD'!$L$68</f>
        <v>0</v>
      </c>
      <c r="M1823" s="390">
        <f>'TXST FGD'!$M$68</f>
        <v>68499438</v>
      </c>
      <c r="N1823" s="401"/>
    </row>
    <row r="1824" spans="2:14" s="160" customFormat="1" ht="12.75" hidden="1" customHeight="1" outlineLevel="1">
      <c r="B1824" s="674" t="str">
        <f>'TYL FGD'!$B$2</f>
        <v>The University of Texas at Tyler</v>
      </c>
      <c r="D1824" s="390">
        <f>'TYL FGD'!$D$68</f>
        <v>0</v>
      </c>
      <c r="E1824" s="390">
        <f>'TYL FGD'!$E$68</f>
        <v>20177</v>
      </c>
      <c r="F1824" s="390">
        <f>'TYL FGD'!$F$68</f>
        <v>12220709</v>
      </c>
      <c r="G1824" s="390">
        <f>'TYL FGD'!$G$68</f>
        <v>51752</v>
      </c>
      <c r="H1824" s="390">
        <f>'TYL FGD'!$H$68</f>
        <v>0</v>
      </c>
      <c r="I1824" s="390">
        <f>'TYL FGD'!$I$68</f>
        <v>0</v>
      </c>
      <c r="J1824" s="390">
        <f>'TYL FGD'!$J$68</f>
        <v>0</v>
      </c>
      <c r="K1824" s="390">
        <f>'TYL FGD'!$K$68</f>
        <v>0</v>
      </c>
      <c r="L1824" s="390">
        <f>'TYL FGD'!$L$68</f>
        <v>0</v>
      </c>
      <c r="M1824" s="390">
        <f>'TYL FGD'!$M$68</f>
        <v>12292638</v>
      </c>
      <c r="N1824" s="401"/>
    </row>
    <row r="1825" spans="2:14" s="160" customFormat="1" ht="12.75" hidden="1" customHeight="1" outlineLevel="1">
      <c r="B1825" s="674" t="str">
        <f>'UH1 FGD'!$B$2</f>
        <v>University of Houston - Academic &amp; Health (A+H)</v>
      </c>
      <c r="D1825" s="390">
        <f>'UH1 FGD'!$D$68</f>
        <v>0</v>
      </c>
      <c r="E1825" s="390">
        <f>'UH1 FGD'!$E$68</f>
        <v>0</v>
      </c>
      <c r="F1825" s="390">
        <f>'UH1 FGD'!$F$68</f>
        <v>99097370</v>
      </c>
      <c r="G1825" s="390">
        <f>'UH1 FGD'!$G$68</f>
        <v>34979424</v>
      </c>
      <c r="H1825" s="390">
        <f>'UH1 FGD'!$H$68</f>
        <v>0</v>
      </c>
      <c r="I1825" s="390">
        <f>'UH1 FGD'!$I$68</f>
        <v>0</v>
      </c>
      <c r="J1825" s="390">
        <f>'UH1 FGD'!$J$68</f>
        <v>0</v>
      </c>
      <c r="K1825" s="390">
        <f>'UH1 FGD'!$K$68</f>
        <v>0</v>
      </c>
      <c r="L1825" s="390">
        <f>'UH1 FGD'!$L$68</f>
        <v>0</v>
      </c>
      <c r="M1825" s="390">
        <f>'UH1 FGD'!$M$68</f>
        <v>134076794</v>
      </c>
      <c r="N1825" s="401"/>
    </row>
    <row r="1826" spans="2:14" s="160" customFormat="1" ht="12.75" hidden="1" customHeight="1" outlineLevel="1">
      <c r="B1826" s="674" t="str">
        <f>'UHCL FGD'!$B$2</f>
        <v>University of Houston - Clear Lake</v>
      </c>
      <c r="D1826" s="390">
        <f>'UHCL FGD'!$D$68</f>
        <v>0</v>
      </c>
      <c r="E1826" s="390">
        <f>'UHCL FGD'!$E$68</f>
        <v>0</v>
      </c>
      <c r="F1826" s="390">
        <f>'UHCL FGD'!$F$68</f>
        <v>6563705</v>
      </c>
      <c r="G1826" s="390">
        <f>'UHCL FGD'!$G$68</f>
        <v>0</v>
      </c>
      <c r="H1826" s="390">
        <f>'UHCL FGD'!$H$68</f>
        <v>0</v>
      </c>
      <c r="I1826" s="390">
        <f>'UHCL FGD'!$I$68</f>
        <v>0</v>
      </c>
      <c r="J1826" s="390">
        <f>'UHCL FGD'!$J$68</f>
        <v>0</v>
      </c>
      <c r="K1826" s="390">
        <f>'UHCL FGD'!$K$68</f>
        <v>0</v>
      </c>
      <c r="L1826" s="390">
        <f>'UHCL FGD'!$L$68</f>
        <v>0</v>
      </c>
      <c r="M1826" s="390">
        <f>'UHCL FGD'!$M$68</f>
        <v>6563705</v>
      </c>
      <c r="N1826" s="401"/>
    </row>
    <row r="1827" spans="2:14" s="160" customFormat="1" ht="12.75" hidden="1" customHeight="1" outlineLevel="1">
      <c r="B1827" s="674" t="str">
        <f>'UHD FGD'!$B$2</f>
        <v>University of Houston - Downtown</v>
      </c>
      <c r="D1827" s="390">
        <f>'UHD FGD'!$D$68</f>
        <v>0</v>
      </c>
      <c r="E1827" s="390">
        <f>'UHD FGD'!$E$68</f>
        <v>0</v>
      </c>
      <c r="F1827" s="390">
        <f>'UHD FGD'!$F$68</f>
        <v>7659361</v>
      </c>
      <c r="G1827" s="390">
        <f>'UHD FGD'!$G$68</f>
        <v>0</v>
      </c>
      <c r="H1827" s="390">
        <f>'UHD FGD'!$H$68</f>
        <v>0</v>
      </c>
      <c r="I1827" s="390">
        <f>'UHD FGD'!$I$68</f>
        <v>0</v>
      </c>
      <c r="J1827" s="390">
        <f>'UHD FGD'!$J$68</f>
        <v>0</v>
      </c>
      <c r="K1827" s="390">
        <f>'UHD FGD'!$K$68</f>
        <v>0</v>
      </c>
      <c r="L1827" s="390">
        <f>'UHD FGD'!$L$68</f>
        <v>0</v>
      </c>
      <c r="M1827" s="390">
        <f>'UHD FGD'!$M$68</f>
        <v>7659361</v>
      </c>
      <c r="N1827" s="401"/>
    </row>
    <row r="1828" spans="2:14" s="160" customFormat="1" ht="12.75" hidden="1" customHeight="1" outlineLevel="1">
      <c r="B1828" s="674" t="str">
        <f>'UHV FGD'!$B$2</f>
        <v>University of Houston - Victoria</v>
      </c>
      <c r="D1828" s="390">
        <f>'UHV FGD'!$D$68</f>
        <v>0</v>
      </c>
      <c r="E1828" s="390">
        <f>'UHV FGD'!$E$68</f>
        <v>87</v>
      </c>
      <c r="F1828" s="390">
        <f>'UHV FGD'!$F$68</f>
        <v>2321983</v>
      </c>
      <c r="G1828" s="390">
        <f>'UHV FGD'!$G$68</f>
        <v>20387</v>
      </c>
      <c r="H1828" s="390">
        <f>'UHV FGD'!$H$68</f>
        <v>0</v>
      </c>
      <c r="I1828" s="390">
        <f>'UHV FGD'!$I$68</f>
        <v>0</v>
      </c>
      <c r="J1828" s="390">
        <f>'UHV FGD'!$J$68</f>
        <v>0</v>
      </c>
      <c r="K1828" s="390">
        <f>'UHV FGD'!$K$68</f>
        <v>0</v>
      </c>
      <c r="L1828" s="390">
        <f>'UHV FGD'!$L$68</f>
        <v>0</v>
      </c>
      <c r="M1828" s="390">
        <f>'UHV FGD'!$M$68</f>
        <v>2342457</v>
      </c>
      <c r="N1828" s="401"/>
    </row>
    <row r="1829" spans="2:14" s="160" customFormat="1" ht="12.75" hidden="1" customHeight="1" outlineLevel="1">
      <c r="B1829" s="674" t="str">
        <f>'UNT FGD'!$B$2</f>
        <v>University of North Texas</v>
      </c>
      <c r="D1829" s="390">
        <f>'UNT FGD'!$D$68</f>
        <v>0</v>
      </c>
      <c r="E1829" s="390">
        <f>'UNT FGD'!$E$68</f>
        <v>75</v>
      </c>
      <c r="F1829" s="390">
        <f>'UNT FGD'!$F$68</f>
        <v>43345870</v>
      </c>
      <c r="G1829" s="390">
        <f>'UNT FGD'!$G$68</f>
        <v>0</v>
      </c>
      <c r="H1829" s="390">
        <f>'UNT FGD'!$H$68</f>
        <v>0</v>
      </c>
      <c r="I1829" s="390">
        <f>'UNT FGD'!$I$68</f>
        <v>0</v>
      </c>
      <c r="J1829" s="390">
        <f>'UNT FGD'!$J$68</f>
        <v>0</v>
      </c>
      <c r="K1829" s="390">
        <f>'UNT FGD'!$K$68</f>
        <v>0</v>
      </c>
      <c r="L1829" s="390">
        <f>'UNT FGD'!$L$68</f>
        <v>0</v>
      </c>
      <c r="M1829" s="390">
        <f>'UNT FGD'!$M$68</f>
        <v>43345945</v>
      </c>
      <c r="N1829" s="401"/>
    </row>
    <row r="1830" spans="2:14" s="160" customFormat="1" ht="12.75" hidden="1" customHeight="1" outlineLevel="1">
      <c r="B1830" s="674" t="str">
        <f>'UNTD FGD'!$B$2</f>
        <v>University of North Texas at Dallas</v>
      </c>
      <c r="D1830" s="390">
        <f>'UNTD FGD'!$D$68</f>
        <v>0</v>
      </c>
      <c r="E1830" s="390">
        <f>'UNTD FGD'!$E$68</f>
        <v>0</v>
      </c>
      <c r="F1830" s="390">
        <f>'UNTD FGD'!$F$68</f>
        <v>730452</v>
      </c>
      <c r="G1830" s="390">
        <f>'UNTD FGD'!$G$68</f>
        <v>0</v>
      </c>
      <c r="H1830" s="390">
        <f>'UNTD FGD'!$H$68</f>
        <v>0</v>
      </c>
      <c r="I1830" s="390">
        <f>'UNTD FGD'!$I$68</f>
        <v>0</v>
      </c>
      <c r="J1830" s="390">
        <f>'UNTD FGD'!$J$68</f>
        <v>0</v>
      </c>
      <c r="K1830" s="390">
        <f>'UNTD FGD'!$K$68</f>
        <v>0</v>
      </c>
      <c r="L1830" s="390">
        <f>'UNTD FGD'!$L$68</f>
        <v>0</v>
      </c>
      <c r="M1830" s="390">
        <f>'UNTD FGD'!$M$68</f>
        <v>730452</v>
      </c>
      <c r="N1830" s="401"/>
    </row>
    <row r="1831" spans="2:14" s="160" customFormat="1" ht="12.75" hidden="1" customHeight="1" outlineLevel="1">
      <c r="B1831" s="674" t="str">
        <f>'WTAMU FGD'!$B$2</f>
        <v>West Texas A&amp;M University</v>
      </c>
      <c r="D1831" s="390">
        <f>'WTAMU FGD'!$D$68</f>
        <v>0</v>
      </c>
      <c r="E1831" s="390">
        <f>'WTAMU FGD'!$E$68</f>
        <v>0</v>
      </c>
      <c r="F1831" s="390">
        <f>'WTAMU FGD'!$F$68</f>
        <v>19924182</v>
      </c>
      <c r="G1831" s="390">
        <f>'WTAMU FGD'!$G$68</f>
        <v>0</v>
      </c>
      <c r="H1831" s="390">
        <f>'WTAMU FGD'!$H$68</f>
        <v>0</v>
      </c>
      <c r="I1831" s="390">
        <f>'WTAMU FGD'!$I$68</f>
        <v>0</v>
      </c>
      <c r="J1831" s="390">
        <f>'WTAMU FGD'!$J$68</f>
        <v>0</v>
      </c>
      <c r="K1831" s="390">
        <f>'WTAMU FGD'!$K$68</f>
        <v>0</v>
      </c>
      <c r="L1831" s="390">
        <f>'WTAMU FGD'!$L$68</f>
        <v>0</v>
      </c>
      <c r="M1831" s="390">
        <f>'WTAMU FGD'!$M$68</f>
        <v>19924182</v>
      </c>
      <c r="N1831" s="401"/>
    </row>
    <row r="1832" spans="2:14" s="160" customFormat="1" collapsed="1">
      <c r="B1832" s="171" t="s">
        <v>2135</v>
      </c>
      <c r="D1832" s="390">
        <f t="shared" ref="D1832:M1832" si="48">SUM(D1796:D1831)</f>
        <v>0</v>
      </c>
      <c r="E1832" s="390">
        <f t="shared" si="48"/>
        <v>8940326</v>
      </c>
      <c r="F1832" s="390">
        <f t="shared" si="48"/>
        <v>1287897471</v>
      </c>
      <c r="G1832" s="390">
        <f t="shared" si="48"/>
        <v>132378597</v>
      </c>
      <c r="H1832" s="390">
        <f t="shared" si="48"/>
        <v>0</v>
      </c>
      <c r="I1832" s="390">
        <f t="shared" si="48"/>
        <v>0</v>
      </c>
      <c r="J1832" s="390">
        <f t="shared" si="48"/>
        <v>0</v>
      </c>
      <c r="K1832" s="390">
        <f t="shared" si="48"/>
        <v>0</v>
      </c>
      <c r="L1832" s="390">
        <f t="shared" si="48"/>
        <v>0</v>
      </c>
      <c r="M1832" s="390">
        <f t="shared" si="48"/>
        <v>1429216394</v>
      </c>
      <c r="N1832" s="401"/>
    </row>
    <row r="1833" spans="2:14" s="160" customFormat="1" ht="12.75" hidden="1" customHeight="1" outlineLevel="1">
      <c r="B1833" s="674" t="str">
        <f>'ARL FGD'!$B$2</f>
        <v>The University of Texas at Arlington</v>
      </c>
      <c r="D1833" s="390">
        <f>'ARL FGD'!$D$69</f>
        <v>15829</v>
      </c>
      <c r="E1833" s="390">
        <f>'ARL FGD'!$E$69</f>
        <v>273517</v>
      </c>
      <c r="F1833" s="390">
        <f>'ARL FGD'!$F$69</f>
        <v>163539</v>
      </c>
      <c r="G1833" s="390">
        <f>'ARL FGD'!$G$69</f>
        <v>3315751</v>
      </c>
      <c r="H1833" s="390">
        <f>'ARL FGD'!$H$69</f>
        <v>0</v>
      </c>
      <c r="I1833" s="390">
        <f>'ARL FGD'!$I$69</f>
        <v>0</v>
      </c>
      <c r="J1833" s="390">
        <f>'ARL FGD'!$J$69</f>
        <v>0</v>
      </c>
      <c r="K1833" s="390">
        <f>'ARL FGD'!$K$69</f>
        <v>0</v>
      </c>
      <c r="L1833" s="390">
        <f>'ARL FGD'!$L$69</f>
        <v>0</v>
      </c>
      <c r="M1833" s="390">
        <f>'ARL FGD'!$M$69</f>
        <v>3768636</v>
      </c>
      <c r="N1833" s="401"/>
    </row>
    <row r="1834" spans="2:14" s="160" customFormat="1" ht="12.75" hidden="1" customHeight="1" outlineLevel="1">
      <c r="B1834" s="674" t="str">
        <f>'ASU FGD'!$B$2</f>
        <v>Angelo State University</v>
      </c>
      <c r="D1834" s="390">
        <f>'ASU FGD'!$D$69</f>
        <v>443167</v>
      </c>
      <c r="E1834" s="390">
        <f>'ASU FGD'!$E$69</f>
        <v>260578</v>
      </c>
      <c r="F1834" s="390">
        <f>'ASU FGD'!$F$69</f>
        <v>62644</v>
      </c>
      <c r="G1834" s="390">
        <f>'ASU FGD'!$G$69</f>
        <v>334734</v>
      </c>
      <c r="H1834" s="390">
        <f>'ASU FGD'!$H$69</f>
        <v>0</v>
      </c>
      <c r="I1834" s="390">
        <f>'ASU FGD'!$I$69</f>
        <v>0</v>
      </c>
      <c r="J1834" s="390">
        <f>'ASU FGD'!$J$69</f>
        <v>0</v>
      </c>
      <c r="K1834" s="390">
        <f>'ASU FGD'!$K$69</f>
        <v>0</v>
      </c>
      <c r="L1834" s="390">
        <f>'ASU FGD'!$L$69</f>
        <v>0</v>
      </c>
      <c r="M1834" s="390">
        <f>'ASU FGD'!$M$69</f>
        <v>1101123</v>
      </c>
      <c r="N1834" s="401"/>
    </row>
    <row r="1835" spans="2:14" s="160" customFormat="1" ht="12.75" hidden="1" customHeight="1" outlineLevel="1">
      <c r="B1835" s="674" t="str">
        <f>'AUS1 FGD'!$B$2</f>
        <v>The University of Texas at Austin - Academic &amp; Health (A+H)</v>
      </c>
      <c r="D1835" s="390">
        <f>'AUS1 FGD'!$D$69</f>
        <v>9743764</v>
      </c>
      <c r="E1835" s="390">
        <f>'AUS1 FGD'!$E$69</f>
        <v>23048683</v>
      </c>
      <c r="F1835" s="390">
        <f>'AUS1 FGD'!$F$69</f>
        <v>758669</v>
      </c>
      <c r="G1835" s="390">
        <f>'AUS1 FGD'!$G$69</f>
        <v>51658375</v>
      </c>
      <c r="H1835" s="390">
        <f>'AUS1 FGD'!$H$69</f>
        <v>0</v>
      </c>
      <c r="I1835" s="390">
        <f>'AUS1 FGD'!$I$69</f>
        <v>0</v>
      </c>
      <c r="J1835" s="390">
        <f>'AUS1 FGD'!$J$69</f>
        <v>0</v>
      </c>
      <c r="K1835" s="390">
        <f>'AUS1 FGD'!$K$69</f>
        <v>0</v>
      </c>
      <c r="L1835" s="390">
        <f>'AUS1 FGD'!$L$69</f>
        <v>0</v>
      </c>
      <c r="M1835" s="390">
        <f>'AUS1 FGD'!$M$69</f>
        <v>85209491</v>
      </c>
      <c r="N1835" s="401"/>
    </row>
    <row r="1836" spans="2:14" s="160" customFormat="1" ht="12.75" hidden="1" customHeight="1" outlineLevel="1">
      <c r="B1836" s="674" t="str">
        <f>'RGV1 FGD'!$B$2</f>
        <v>The University of Texas RGV - Academic &amp; Health (A+H)</v>
      </c>
      <c r="D1836" s="390">
        <f>'RGV1 FGD'!$D$69</f>
        <v>161916</v>
      </c>
      <c r="E1836" s="390">
        <f>'RGV1 FGD'!$E$69</f>
        <v>4973006</v>
      </c>
      <c r="F1836" s="390">
        <f>'RGV1 FGD'!$F$69</f>
        <v>27998</v>
      </c>
      <c r="G1836" s="390">
        <f>'RGV1 FGD'!$G$69</f>
        <v>3252506</v>
      </c>
      <c r="H1836" s="390">
        <f>'RGV1 FGD'!$H$69</f>
        <v>0</v>
      </c>
      <c r="I1836" s="390">
        <f>'RGV1 FGD'!$I$69</f>
        <v>0</v>
      </c>
      <c r="J1836" s="390">
        <f>'RGV1 FGD'!$J$69</f>
        <v>0</v>
      </c>
      <c r="K1836" s="390">
        <f>'RGV1 FGD'!$K$69</f>
        <v>0</v>
      </c>
      <c r="L1836" s="390">
        <f>'RGV1 FGD'!$L$69</f>
        <v>0</v>
      </c>
      <c r="M1836" s="390">
        <f>'RGV1 FGD'!$M$69</f>
        <v>8415426</v>
      </c>
      <c r="N1836" s="401"/>
    </row>
    <row r="1837" spans="2:14" s="160" customFormat="1" ht="12.75" hidden="1" customHeight="1" outlineLevel="1">
      <c r="B1837" s="674" t="str">
        <f>'DAL FGD'!$B$2</f>
        <v>The University of Texas at Dallas</v>
      </c>
      <c r="D1837" s="390">
        <f>'DAL FGD'!$D$69</f>
        <v>22109</v>
      </c>
      <c r="E1837" s="390">
        <f>'DAL FGD'!$E$69</f>
        <v>8925223</v>
      </c>
      <c r="F1837" s="390">
        <f>'DAL FGD'!$F$69</f>
        <v>91150</v>
      </c>
      <c r="G1837" s="390">
        <f>'DAL FGD'!$G$69</f>
        <v>3786806</v>
      </c>
      <c r="H1837" s="390">
        <f>'DAL FGD'!$H$69</f>
        <v>0</v>
      </c>
      <c r="I1837" s="390">
        <f>'DAL FGD'!$I$69</f>
        <v>0</v>
      </c>
      <c r="J1837" s="390">
        <f>'DAL FGD'!$J$69</f>
        <v>0</v>
      </c>
      <c r="K1837" s="390">
        <f>'DAL FGD'!$K$69</f>
        <v>0</v>
      </c>
      <c r="L1837" s="390">
        <f>'DAL FGD'!$L$69</f>
        <v>0</v>
      </c>
      <c r="M1837" s="390">
        <f>'DAL FGD'!$M$69</f>
        <v>12825288</v>
      </c>
      <c r="N1837" s="401"/>
    </row>
    <row r="1838" spans="2:14" s="160" customFormat="1" ht="12.75" hidden="1" customHeight="1" outlineLevel="1">
      <c r="B1838" s="674" t="str">
        <f>'E-P FGD'!$B$2</f>
        <v>The University of Texas at El Paso</v>
      </c>
      <c r="D1838" s="390">
        <f>'E-P FGD'!$D$69</f>
        <v>175708</v>
      </c>
      <c r="E1838" s="390">
        <f>'E-P FGD'!$E$69</f>
        <v>4288811</v>
      </c>
      <c r="F1838" s="390">
        <f>'E-P FGD'!$F$69</f>
        <v>407027</v>
      </c>
      <c r="G1838" s="390">
        <f>'E-P FGD'!$G$69</f>
        <v>5253915</v>
      </c>
      <c r="H1838" s="390">
        <f>'E-P FGD'!$H$69</f>
        <v>0</v>
      </c>
      <c r="I1838" s="390">
        <f>'E-P FGD'!$I$69</f>
        <v>0</v>
      </c>
      <c r="J1838" s="390">
        <f>'E-P FGD'!$J$69</f>
        <v>0</v>
      </c>
      <c r="K1838" s="390">
        <f>'E-P FGD'!$K$69</f>
        <v>0</v>
      </c>
      <c r="L1838" s="390">
        <f>'E-P FGD'!$L$69</f>
        <v>0</v>
      </c>
      <c r="M1838" s="390">
        <f>'E-P FGD'!$M$69</f>
        <v>10125461</v>
      </c>
      <c r="N1838" s="401"/>
    </row>
    <row r="1839" spans="2:14" s="160" customFormat="1" ht="12.75" hidden="1" customHeight="1" outlineLevel="1">
      <c r="B1839" s="674" t="str">
        <f>'LU FGD'!$B$2</f>
        <v xml:space="preserve">Lamar University </v>
      </c>
      <c r="D1839" s="390">
        <f>'LU FGD'!$D$69</f>
        <v>1345195</v>
      </c>
      <c r="E1839" s="390">
        <f>'LU FGD'!$E$69</f>
        <v>85037</v>
      </c>
      <c r="F1839" s="390">
        <f>'LU FGD'!$F$69</f>
        <v>0</v>
      </c>
      <c r="G1839" s="390">
        <f>'LU FGD'!$G$69</f>
        <v>37818</v>
      </c>
      <c r="H1839" s="390">
        <f>'LU FGD'!$H$69</f>
        <v>0</v>
      </c>
      <c r="I1839" s="390">
        <f>'LU FGD'!$I$69</f>
        <v>0</v>
      </c>
      <c r="J1839" s="390">
        <f>'LU FGD'!$J$69</f>
        <v>0</v>
      </c>
      <c r="K1839" s="390">
        <f>'LU FGD'!$K$69</f>
        <v>0</v>
      </c>
      <c r="L1839" s="390">
        <f>'LU FGD'!$L$69</f>
        <v>0</v>
      </c>
      <c r="M1839" s="390">
        <f>'LU FGD'!$M$69</f>
        <v>1468050</v>
      </c>
      <c r="N1839" s="401"/>
    </row>
    <row r="1840" spans="2:14" s="160" customFormat="1" ht="12.75" hidden="1" customHeight="1" outlineLevel="1">
      <c r="B1840" s="674" t="str">
        <f>'MidWST FGD'!$B$2</f>
        <v>Midwestern State University</v>
      </c>
      <c r="D1840" s="390">
        <f>'MidWST FGD'!$D$69</f>
        <v>669728</v>
      </c>
      <c r="E1840" s="390">
        <f>'MidWST FGD'!$E$69</f>
        <v>145250</v>
      </c>
      <c r="F1840" s="390">
        <f>'MidWST FGD'!$F$69</f>
        <v>0</v>
      </c>
      <c r="G1840" s="390">
        <f>'MidWST FGD'!$G$69</f>
        <v>4772300</v>
      </c>
      <c r="H1840" s="390">
        <f>'MidWST FGD'!$H$69</f>
        <v>0</v>
      </c>
      <c r="I1840" s="390">
        <f>'MidWST FGD'!$I$69</f>
        <v>0</v>
      </c>
      <c r="J1840" s="390">
        <f>'MidWST FGD'!$J$69</f>
        <v>0</v>
      </c>
      <c r="K1840" s="390">
        <f>'MidWST FGD'!$K$69</f>
        <v>0</v>
      </c>
      <c r="L1840" s="390">
        <f>'MidWST FGD'!$L$69</f>
        <v>0</v>
      </c>
      <c r="M1840" s="390">
        <f>'MidWST FGD'!$M$69</f>
        <v>5587278</v>
      </c>
      <c r="N1840" s="401"/>
    </row>
    <row r="1841" spans="2:14" s="160" customFormat="1" ht="12.75" hidden="1" customHeight="1" outlineLevel="1">
      <c r="B1841" s="674" t="str">
        <f>'P-B FGD'!$B$2</f>
        <v>The University of Texas of the Permian Basin</v>
      </c>
      <c r="D1841" s="390">
        <f>'P-B FGD'!$D$69</f>
        <v>0</v>
      </c>
      <c r="E1841" s="390">
        <f>'P-B FGD'!$E$69</f>
        <v>2952557</v>
      </c>
      <c r="F1841" s="390">
        <f>'P-B FGD'!$F$69</f>
        <v>5726</v>
      </c>
      <c r="G1841" s="390">
        <f>'P-B FGD'!$G$69</f>
        <v>488723</v>
      </c>
      <c r="H1841" s="390">
        <f>'P-B FGD'!$H$69</f>
        <v>0</v>
      </c>
      <c r="I1841" s="390">
        <f>'P-B FGD'!$I$69</f>
        <v>0</v>
      </c>
      <c r="J1841" s="390">
        <f>'P-B FGD'!$J$69</f>
        <v>0</v>
      </c>
      <c r="K1841" s="390">
        <f>'P-B FGD'!$K$69</f>
        <v>0</v>
      </c>
      <c r="L1841" s="390">
        <f>'P-B FGD'!$L$69</f>
        <v>0</v>
      </c>
      <c r="M1841" s="390">
        <f>'P-B FGD'!$M$69</f>
        <v>3447006</v>
      </c>
      <c r="N1841" s="401"/>
    </row>
    <row r="1842" spans="2:14" s="160" customFormat="1" ht="12.75" hidden="1" customHeight="1" outlineLevel="1">
      <c r="B1842" s="674" t="str">
        <f>'PVAMU FGD'!$B$2</f>
        <v>Prairie View A&amp;M University</v>
      </c>
      <c r="D1842" s="390">
        <f>'PVAMU FGD'!$D$69</f>
        <v>148449</v>
      </c>
      <c r="E1842" s="390">
        <f>'PVAMU FGD'!$E$69</f>
        <v>598642</v>
      </c>
      <c r="F1842" s="390">
        <f>'PVAMU FGD'!$F$69</f>
        <v>64067</v>
      </c>
      <c r="G1842" s="390">
        <f>'PVAMU FGD'!$G$69</f>
        <v>2488998</v>
      </c>
      <c r="H1842" s="390">
        <f>'PVAMU FGD'!$H$69</f>
        <v>0</v>
      </c>
      <c r="I1842" s="390">
        <f>'PVAMU FGD'!$I$69</f>
        <v>0</v>
      </c>
      <c r="J1842" s="390">
        <f>'PVAMU FGD'!$J$69</f>
        <v>0</v>
      </c>
      <c r="K1842" s="390">
        <f>'PVAMU FGD'!$K$69</f>
        <v>0</v>
      </c>
      <c r="L1842" s="390">
        <f>'PVAMU FGD'!$L$69</f>
        <v>0</v>
      </c>
      <c r="M1842" s="390">
        <f>'PVAMU FGD'!$M$69</f>
        <v>3300156</v>
      </c>
      <c r="N1842" s="401"/>
    </row>
    <row r="1843" spans="2:14" s="160" customFormat="1" ht="12.75" hidden="1" customHeight="1" outlineLevel="1">
      <c r="B1843" s="674" t="str">
        <f>'S-A FGD'!$B$2</f>
        <v>The University of Texas at San Antonio</v>
      </c>
      <c r="D1843" s="390">
        <f>'S-A FGD'!$D$69</f>
        <v>876356</v>
      </c>
      <c r="E1843" s="390">
        <f>'S-A FGD'!$E$69</f>
        <v>15817008</v>
      </c>
      <c r="F1843" s="390">
        <f>'S-A FGD'!$F$69</f>
        <v>258733</v>
      </c>
      <c r="G1843" s="390">
        <f>'S-A FGD'!$G$69</f>
        <v>21461887</v>
      </c>
      <c r="H1843" s="390">
        <f>'S-A FGD'!$H$69</f>
        <v>0</v>
      </c>
      <c r="I1843" s="390">
        <f>'S-A FGD'!$I$69</f>
        <v>0</v>
      </c>
      <c r="J1843" s="390">
        <f>'S-A FGD'!$J$69</f>
        <v>0</v>
      </c>
      <c r="K1843" s="390">
        <f>'S-A FGD'!$K$69</f>
        <v>0</v>
      </c>
      <c r="L1843" s="390">
        <f>'S-A FGD'!$L$69</f>
        <v>0</v>
      </c>
      <c r="M1843" s="390">
        <f>'S-A FGD'!$M$69</f>
        <v>38413984</v>
      </c>
      <c r="N1843" s="401"/>
    </row>
    <row r="1844" spans="2:14" s="160" customFormat="1" ht="12.75" hidden="1" customHeight="1" outlineLevel="1">
      <c r="B1844" s="674" t="str">
        <f>'SFA FGD'!$B$2</f>
        <v>Stephen F. Austin State University</v>
      </c>
      <c r="D1844" s="390">
        <f>'SFA FGD'!$D$69</f>
        <v>204653</v>
      </c>
      <c r="E1844" s="390">
        <f>'SFA FGD'!$E$69</f>
        <v>384004</v>
      </c>
      <c r="F1844" s="390">
        <f>'SFA FGD'!$F$69</f>
        <v>38701</v>
      </c>
      <c r="G1844" s="390">
        <f>'SFA FGD'!$G$69</f>
        <v>583941</v>
      </c>
      <c r="H1844" s="390">
        <f>'SFA FGD'!$H$69</f>
        <v>0</v>
      </c>
      <c r="I1844" s="390">
        <f>'SFA FGD'!$I$69</f>
        <v>0</v>
      </c>
      <c r="J1844" s="390">
        <f>'SFA FGD'!$J$69</f>
        <v>0</v>
      </c>
      <c r="K1844" s="390">
        <f>'SFA FGD'!$K$69</f>
        <v>0</v>
      </c>
      <c r="L1844" s="390">
        <f>'SFA FGD'!$L$69</f>
        <v>0</v>
      </c>
      <c r="M1844" s="390">
        <f>'SFA FGD'!$M$69</f>
        <v>1211299</v>
      </c>
      <c r="N1844" s="401"/>
    </row>
    <row r="1845" spans="2:14" s="160" customFormat="1" ht="12.75" hidden="1" customHeight="1" outlineLevel="1">
      <c r="B1845" s="674" t="str">
        <f>'shsu1 FGD'!$B$2</f>
        <v>Sam Houston State University - Academic &amp; Health (A+H)</v>
      </c>
      <c r="D1845" s="390">
        <f>'shsu1 FGD'!$D$69</f>
        <v>809208</v>
      </c>
      <c r="E1845" s="390">
        <f>'shsu1 FGD'!$E$69</f>
        <v>3019514</v>
      </c>
      <c r="F1845" s="390">
        <f>'shsu1 FGD'!$F$69</f>
        <v>107282</v>
      </c>
      <c r="G1845" s="390">
        <f>'shsu1 FGD'!$G$69</f>
        <v>757818</v>
      </c>
      <c r="H1845" s="390">
        <f>'shsu1 FGD'!$H$69</f>
        <v>0</v>
      </c>
      <c r="I1845" s="390">
        <f>'shsu1 FGD'!$I$69</f>
        <v>0</v>
      </c>
      <c r="J1845" s="390">
        <f>'shsu1 FGD'!$J$69</f>
        <v>0</v>
      </c>
      <c r="K1845" s="390">
        <f>'shsu1 FGD'!$K$69</f>
        <v>0</v>
      </c>
      <c r="L1845" s="390">
        <f>'shsu1 FGD'!$L$69</f>
        <v>0</v>
      </c>
      <c r="M1845" s="390">
        <f>'shsu1 FGD'!$M$69</f>
        <v>4693822</v>
      </c>
      <c r="N1845" s="401"/>
    </row>
    <row r="1846" spans="2:14" s="160" customFormat="1" ht="12.75" hidden="1" customHeight="1" outlineLevel="1">
      <c r="B1846" s="674" t="str">
        <f>'SRSU FGD'!$B$2</f>
        <v>Sul Ross State University</v>
      </c>
      <c r="D1846" s="390">
        <f>'SRSU FGD'!$D$69</f>
        <v>187610</v>
      </c>
      <c r="E1846" s="390">
        <f>'SRSU FGD'!$E$69</f>
        <v>216538</v>
      </c>
      <c r="F1846" s="390">
        <f>'SRSU FGD'!$F$69</f>
        <v>15085</v>
      </c>
      <c r="G1846" s="390">
        <f>'SRSU FGD'!$G$69</f>
        <v>52491</v>
      </c>
      <c r="H1846" s="390">
        <f>'SRSU FGD'!$H$69</f>
        <v>0</v>
      </c>
      <c r="I1846" s="390">
        <f>'SRSU FGD'!$I$69</f>
        <v>0</v>
      </c>
      <c r="J1846" s="390">
        <f>'SRSU FGD'!$J$69</f>
        <v>0</v>
      </c>
      <c r="K1846" s="390">
        <f>'SRSU FGD'!$K$69</f>
        <v>0</v>
      </c>
      <c r="L1846" s="390">
        <f>'SRSU FGD'!$L$69</f>
        <v>0</v>
      </c>
      <c r="M1846" s="390">
        <f>'SRSU FGD'!$M$69</f>
        <v>471724</v>
      </c>
      <c r="N1846" s="401"/>
    </row>
    <row r="1847" spans="2:14" s="160" customFormat="1" ht="12.75" hidden="1" customHeight="1" outlineLevel="1">
      <c r="B1847" s="674" t="str">
        <f>'TAMIU FGD'!$B$2</f>
        <v>Texas A&amp;M International University</v>
      </c>
      <c r="D1847" s="390">
        <f>'TAMIU FGD'!$D$69</f>
        <v>1103271</v>
      </c>
      <c r="E1847" s="390">
        <f>'TAMIU FGD'!$E$69</f>
        <v>64725</v>
      </c>
      <c r="F1847" s="390">
        <f>'TAMIU FGD'!$F$69</f>
        <v>111414</v>
      </c>
      <c r="G1847" s="390">
        <f>'TAMIU FGD'!$G$69</f>
        <v>470243</v>
      </c>
      <c r="H1847" s="390">
        <f>'TAMIU FGD'!$H$69</f>
        <v>0</v>
      </c>
      <c r="I1847" s="390">
        <f>'TAMIU FGD'!$I$69</f>
        <v>0</v>
      </c>
      <c r="J1847" s="390">
        <f>'TAMIU FGD'!$J$69</f>
        <v>0</v>
      </c>
      <c r="K1847" s="390">
        <f>'TAMIU FGD'!$K$69</f>
        <v>0</v>
      </c>
      <c r="L1847" s="390">
        <f>'TAMIU FGD'!$L$69</f>
        <v>0</v>
      </c>
      <c r="M1847" s="390">
        <f>'TAMIU FGD'!$M$69</f>
        <v>1749653</v>
      </c>
      <c r="N1847" s="401"/>
    </row>
    <row r="1848" spans="2:14" s="160" customFormat="1" ht="12.75" hidden="1" customHeight="1" outlineLevel="1">
      <c r="B1848" s="674" t="str">
        <f>'TAMU FGD'!$B$2</f>
        <v>Texas A&amp;M University</v>
      </c>
      <c r="D1848" s="390">
        <f>'TAMU FGD'!$D$69</f>
        <v>368127</v>
      </c>
      <c r="E1848" s="390">
        <f>'TAMU FGD'!$E$69</f>
        <v>36167284</v>
      </c>
      <c r="F1848" s="390">
        <f>'TAMU FGD'!$F$69</f>
        <v>6100660</v>
      </c>
      <c r="G1848" s="390">
        <f>'TAMU FGD'!$G$69</f>
        <v>6153936</v>
      </c>
      <c r="H1848" s="390">
        <f>'TAMU FGD'!$H$69</f>
        <v>0</v>
      </c>
      <c r="I1848" s="390">
        <f>'TAMU FGD'!$I$69</f>
        <v>0</v>
      </c>
      <c r="J1848" s="390">
        <f>'TAMU FGD'!$J$69</f>
        <v>0</v>
      </c>
      <c r="K1848" s="390">
        <f>'TAMU FGD'!$K$69</f>
        <v>0</v>
      </c>
      <c r="L1848" s="390">
        <f>'TAMU FGD'!$L$69</f>
        <v>0</v>
      </c>
      <c r="M1848" s="390">
        <f>'TAMU FGD'!$M$69</f>
        <v>48790007</v>
      </c>
      <c r="N1848" s="401"/>
    </row>
    <row r="1849" spans="2:14" s="160" customFormat="1" ht="12.75" hidden="1" customHeight="1" outlineLevel="1">
      <c r="B1849" s="674" t="str">
        <f>'TAMUC FGD'!$B$2</f>
        <v>Texas A&amp;M University - Commerce</v>
      </c>
      <c r="D1849" s="390">
        <f>'TAMUC FGD'!$D$69</f>
        <v>1082531</v>
      </c>
      <c r="E1849" s="390">
        <f>'TAMUC FGD'!$E$69</f>
        <v>161461</v>
      </c>
      <c r="F1849" s="390">
        <f>'TAMUC FGD'!$F$69</f>
        <v>17912</v>
      </c>
      <c r="G1849" s="390">
        <f>'TAMUC FGD'!$G$69</f>
        <v>367000</v>
      </c>
      <c r="H1849" s="390">
        <f>'TAMUC FGD'!$H$69</f>
        <v>0</v>
      </c>
      <c r="I1849" s="390">
        <f>'TAMUC FGD'!$I$69</f>
        <v>0</v>
      </c>
      <c r="J1849" s="390">
        <f>'TAMUC FGD'!$J$69</f>
        <v>0</v>
      </c>
      <c r="K1849" s="390">
        <f>'TAMUC FGD'!$K$69</f>
        <v>0</v>
      </c>
      <c r="L1849" s="390">
        <f>'TAMUC FGD'!$L$69</f>
        <v>0</v>
      </c>
      <c r="M1849" s="390">
        <f>'TAMUC FGD'!$M$69</f>
        <v>1628904</v>
      </c>
      <c r="N1849" s="401"/>
    </row>
    <row r="1850" spans="2:14" s="160" customFormat="1" ht="12.75" hidden="1" customHeight="1" outlineLevel="1">
      <c r="B1850" s="674" t="str">
        <f>'TAMUCC FGD'!$B$2</f>
        <v>Texas A&amp;M University - Corpus Christi</v>
      </c>
      <c r="D1850" s="390">
        <f>'TAMUCC FGD'!$D$69</f>
        <v>2173892</v>
      </c>
      <c r="E1850" s="390">
        <f>'TAMUCC FGD'!$E$69</f>
        <v>737817</v>
      </c>
      <c r="F1850" s="390">
        <f>'TAMUCC FGD'!$F$69</f>
        <v>50065</v>
      </c>
      <c r="G1850" s="390">
        <f>'TAMUCC FGD'!$G$69</f>
        <v>1470391</v>
      </c>
      <c r="H1850" s="390">
        <f>'TAMUCC FGD'!$H$69</f>
        <v>0</v>
      </c>
      <c r="I1850" s="390">
        <f>'TAMUCC FGD'!$I$69</f>
        <v>0</v>
      </c>
      <c r="J1850" s="390">
        <f>'TAMUCC FGD'!$J$69</f>
        <v>0</v>
      </c>
      <c r="K1850" s="390">
        <f>'TAMUCC FGD'!$K$69</f>
        <v>0</v>
      </c>
      <c r="L1850" s="390">
        <f>'TAMUCC FGD'!$L$69</f>
        <v>0</v>
      </c>
      <c r="M1850" s="390">
        <f>'TAMUCC FGD'!$M$69</f>
        <v>4432165</v>
      </c>
      <c r="N1850" s="401"/>
    </row>
    <row r="1851" spans="2:14" s="160" customFormat="1" ht="12.75" hidden="1" customHeight="1" outlineLevel="1">
      <c r="B1851" s="674" t="str">
        <f>'TAMUCT FGD'!$B$2</f>
        <v>Texas A&amp;M University - Central Texas</v>
      </c>
      <c r="D1851" s="390">
        <f>'TAMUCT FGD'!$D$69</f>
        <v>104055</v>
      </c>
      <c r="E1851" s="390">
        <f>'TAMUCT FGD'!$E$69</f>
        <v>100560</v>
      </c>
      <c r="F1851" s="390">
        <f>'TAMUCT FGD'!$F$69</f>
        <v>0</v>
      </c>
      <c r="G1851" s="390">
        <f>'TAMUCT FGD'!$G$69</f>
        <v>52612</v>
      </c>
      <c r="H1851" s="390">
        <f>'TAMUCT FGD'!$H$69</f>
        <v>0</v>
      </c>
      <c r="I1851" s="390">
        <f>'TAMUCT FGD'!$I$69</f>
        <v>0</v>
      </c>
      <c r="J1851" s="390">
        <f>'TAMUCT FGD'!$J$69</f>
        <v>0</v>
      </c>
      <c r="K1851" s="390">
        <f>'TAMUCT FGD'!$K$69</f>
        <v>0</v>
      </c>
      <c r="L1851" s="390">
        <f>'TAMUCT FGD'!$L$69</f>
        <v>0</v>
      </c>
      <c r="M1851" s="390">
        <f>'TAMUCT FGD'!$M$69</f>
        <v>257227</v>
      </c>
      <c r="N1851" s="401"/>
    </row>
    <row r="1852" spans="2:14" s="160" customFormat="1" ht="12.75" hidden="1" customHeight="1" outlineLevel="1">
      <c r="B1852" s="674" t="str">
        <f>'TAMUG FGD'!$B$2</f>
        <v>Texas A&amp;M University at Galveston</v>
      </c>
      <c r="D1852" s="390">
        <f>'TAMUG FGD'!$D$69</f>
        <v>193109</v>
      </c>
      <c r="E1852" s="390">
        <f>'TAMUG FGD'!$E$69</f>
        <v>110625</v>
      </c>
      <c r="F1852" s="390">
        <f>'TAMUG FGD'!$F$69</f>
        <v>0</v>
      </c>
      <c r="G1852" s="390">
        <f>'TAMUG FGD'!$G$69</f>
        <v>103311</v>
      </c>
      <c r="H1852" s="390">
        <f>'TAMUG FGD'!$H$69</f>
        <v>0</v>
      </c>
      <c r="I1852" s="390">
        <f>'TAMUG FGD'!$I$69</f>
        <v>0</v>
      </c>
      <c r="J1852" s="390">
        <f>'TAMUG FGD'!$J$69</f>
        <v>0</v>
      </c>
      <c r="K1852" s="390">
        <f>'TAMUG FGD'!$K$69</f>
        <v>0</v>
      </c>
      <c r="L1852" s="390">
        <f>'TAMUG FGD'!$L$69</f>
        <v>0</v>
      </c>
      <c r="M1852" s="390">
        <f>'TAMUG FGD'!$M$69</f>
        <v>407045</v>
      </c>
      <c r="N1852" s="401"/>
    </row>
    <row r="1853" spans="2:14" s="160" customFormat="1" ht="12.75" hidden="1" customHeight="1" outlineLevel="1">
      <c r="B1853" s="674" t="str">
        <f>'TAMUK FGD'!$B$2</f>
        <v>Texas A&amp;M University - Kingsville</v>
      </c>
      <c r="D1853" s="390">
        <f>'TAMUK FGD'!$D$69</f>
        <v>221284</v>
      </c>
      <c r="E1853" s="390">
        <f>'TAMUK FGD'!$E$69</f>
        <v>1397121</v>
      </c>
      <c r="F1853" s="390">
        <f>'TAMUK FGD'!$F$69</f>
        <v>87111</v>
      </c>
      <c r="G1853" s="390">
        <f>'TAMUK FGD'!$G$69</f>
        <v>309482</v>
      </c>
      <c r="H1853" s="390">
        <f>'TAMUK FGD'!$H$69</f>
        <v>0</v>
      </c>
      <c r="I1853" s="390">
        <f>'TAMUK FGD'!$I$69</f>
        <v>0</v>
      </c>
      <c r="J1853" s="390">
        <f>'TAMUK FGD'!$J$69</f>
        <v>0</v>
      </c>
      <c r="K1853" s="390">
        <f>'TAMUK FGD'!$K$69</f>
        <v>0</v>
      </c>
      <c r="L1853" s="390">
        <f>'TAMUK FGD'!$L$69</f>
        <v>0</v>
      </c>
      <c r="M1853" s="390">
        <f>'TAMUK FGD'!$M$69</f>
        <v>2014998</v>
      </c>
      <c r="N1853" s="401"/>
    </row>
    <row r="1854" spans="2:14" s="160" customFormat="1" ht="12.75" hidden="1" customHeight="1" outlineLevel="1">
      <c r="B1854" s="674" t="str">
        <f>'TAMUSA FGD'!$B$2</f>
        <v>Texas A&amp;M University - San Antonio</v>
      </c>
      <c r="D1854" s="390">
        <f>'TAMUSA FGD'!$D$69</f>
        <v>0</v>
      </c>
      <c r="E1854" s="390">
        <f>'TAMUSA FGD'!$E$69</f>
        <v>185083</v>
      </c>
      <c r="F1854" s="390">
        <f>'TAMUSA FGD'!$F$69</f>
        <v>0</v>
      </c>
      <c r="G1854" s="390">
        <f>'TAMUSA FGD'!$G$69</f>
        <v>157134</v>
      </c>
      <c r="H1854" s="390">
        <f>'TAMUSA FGD'!$H$69</f>
        <v>0</v>
      </c>
      <c r="I1854" s="390">
        <f>'TAMUSA FGD'!$I$69</f>
        <v>0</v>
      </c>
      <c r="J1854" s="390">
        <f>'TAMUSA FGD'!$J$69</f>
        <v>0</v>
      </c>
      <c r="K1854" s="390">
        <f>'TAMUSA FGD'!$K$69</f>
        <v>0</v>
      </c>
      <c r="L1854" s="390">
        <f>'TAMUSA FGD'!$L$69</f>
        <v>0</v>
      </c>
      <c r="M1854" s="390">
        <f>'TAMUSA FGD'!$M$69</f>
        <v>342217</v>
      </c>
      <c r="N1854" s="401"/>
    </row>
    <row r="1855" spans="2:14" s="160" customFormat="1" ht="12.75" hidden="1" customHeight="1" outlineLevel="1">
      <c r="B1855" s="674" t="str">
        <f>'TAMUT FGD'!$B$2</f>
        <v>Texas A&amp;M University - Texarkana</v>
      </c>
      <c r="D1855" s="390">
        <f>'TAMUT FGD'!$D$69</f>
        <v>576320</v>
      </c>
      <c r="E1855" s="390">
        <f>'TAMUT FGD'!$E$69</f>
        <v>4372</v>
      </c>
      <c r="F1855" s="390">
        <f>'TAMUT FGD'!$F$69</f>
        <v>0</v>
      </c>
      <c r="G1855" s="390">
        <f>'TAMUT FGD'!$G$69</f>
        <v>17825</v>
      </c>
      <c r="H1855" s="390">
        <f>'TAMUT FGD'!$H$69</f>
        <v>0</v>
      </c>
      <c r="I1855" s="390">
        <f>'TAMUT FGD'!$I$69</f>
        <v>0</v>
      </c>
      <c r="J1855" s="390">
        <f>'TAMUT FGD'!$J$69</f>
        <v>0</v>
      </c>
      <c r="K1855" s="390">
        <f>'TAMUT FGD'!$K$69</f>
        <v>0</v>
      </c>
      <c r="L1855" s="390">
        <f>'TAMUT FGD'!$L$69</f>
        <v>0</v>
      </c>
      <c r="M1855" s="390">
        <f>'TAMUT FGD'!$M$69</f>
        <v>598517</v>
      </c>
      <c r="N1855" s="401"/>
    </row>
    <row r="1856" spans="2:14" s="160" customFormat="1" ht="12.75" hidden="1" customHeight="1" outlineLevel="1">
      <c r="B1856" s="674" t="str">
        <f>'TARLST FGD'!$B$2</f>
        <v>Tarleton State University</v>
      </c>
      <c r="D1856" s="390">
        <f>'TARLST FGD'!$D$69</f>
        <v>74414</v>
      </c>
      <c r="E1856" s="390">
        <f>'TARLST FGD'!$E$69</f>
        <v>993102</v>
      </c>
      <c r="F1856" s="390">
        <f>'TARLST FGD'!$F$69</f>
        <v>221133</v>
      </c>
      <c r="G1856" s="390">
        <f>'TARLST FGD'!$G$69</f>
        <v>247124</v>
      </c>
      <c r="H1856" s="390">
        <f>'TARLST FGD'!$H$69</f>
        <v>0</v>
      </c>
      <c r="I1856" s="390">
        <f>'TARLST FGD'!$I$69</f>
        <v>0</v>
      </c>
      <c r="J1856" s="390">
        <f>'TARLST FGD'!$J$69</f>
        <v>0</v>
      </c>
      <c r="K1856" s="390">
        <f>'TARLST FGD'!$K$69</f>
        <v>0</v>
      </c>
      <c r="L1856" s="390">
        <f>'TARLST FGD'!$L$69</f>
        <v>0</v>
      </c>
      <c r="M1856" s="390">
        <f>'TARLST FGD'!$M$69</f>
        <v>1535773</v>
      </c>
      <c r="N1856" s="401"/>
    </row>
    <row r="1857" spans="2:14" s="160" customFormat="1" ht="12.75" hidden="1" customHeight="1" outlineLevel="1">
      <c r="B1857" s="674" t="str">
        <f>'TSU FGD'!$B$2</f>
        <v>Texas Southern University</v>
      </c>
      <c r="D1857" s="390">
        <f>'TSU FGD'!$D$69</f>
        <v>1168981</v>
      </c>
      <c r="E1857" s="390">
        <f>'TSU FGD'!$E$69</f>
        <v>1226135</v>
      </c>
      <c r="F1857" s="390">
        <f>'TSU FGD'!$F$69</f>
        <v>322298</v>
      </c>
      <c r="G1857" s="390">
        <f>'TSU FGD'!$G$69</f>
        <v>2715638</v>
      </c>
      <c r="H1857" s="390">
        <f>'TSU FGD'!$H$69</f>
        <v>0</v>
      </c>
      <c r="I1857" s="390">
        <f>'TSU FGD'!$I$69</f>
        <v>0</v>
      </c>
      <c r="J1857" s="390">
        <f>'TSU FGD'!$J$69</f>
        <v>0</v>
      </c>
      <c r="K1857" s="390">
        <f>'TSU FGD'!$K$69</f>
        <v>0</v>
      </c>
      <c r="L1857" s="390">
        <f>'TSU FGD'!$L$69</f>
        <v>0</v>
      </c>
      <c r="M1857" s="390">
        <f>'TSU FGD'!$M$69</f>
        <v>5433052</v>
      </c>
      <c r="N1857" s="401"/>
    </row>
    <row r="1858" spans="2:14" s="160" customFormat="1" ht="12.75" hidden="1" customHeight="1" outlineLevel="1">
      <c r="B1858" s="674" t="str">
        <f>'TTU FGD'!$B$2</f>
        <v>Texas Tech University</v>
      </c>
      <c r="D1858" s="390">
        <f>'TTU FGD'!$D$69</f>
        <v>11990225</v>
      </c>
      <c r="E1858" s="390">
        <f>'TTU FGD'!$E$69</f>
        <v>8371502</v>
      </c>
      <c r="F1858" s="390">
        <f>'TTU FGD'!$F$69</f>
        <v>1334167</v>
      </c>
      <c r="G1858" s="390">
        <f>'TTU FGD'!$G$69</f>
        <v>4618711</v>
      </c>
      <c r="H1858" s="390">
        <f>'TTU FGD'!$H$69</f>
        <v>0</v>
      </c>
      <c r="I1858" s="390">
        <f>'TTU FGD'!$I$69</f>
        <v>0</v>
      </c>
      <c r="J1858" s="390">
        <f>'TTU FGD'!$J$69</f>
        <v>0</v>
      </c>
      <c r="K1858" s="390">
        <f>'TTU FGD'!$K$69</f>
        <v>0</v>
      </c>
      <c r="L1858" s="390">
        <f>'TTU FGD'!$L$69</f>
        <v>0</v>
      </c>
      <c r="M1858" s="390">
        <f>'TTU FGD'!$M$69</f>
        <v>26314605</v>
      </c>
      <c r="N1858" s="401"/>
    </row>
    <row r="1859" spans="2:14" s="160" customFormat="1" ht="12.75" hidden="1" customHeight="1" outlineLevel="1">
      <c r="B1859" s="674" t="str">
        <f>'TWU FGD'!$B$2</f>
        <v>Texas Woman's University</v>
      </c>
      <c r="D1859" s="390">
        <f>'TWU FGD'!$D$69</f>
        <v>579010</v>
      </c>
      <c r="E1859" s="390">
        <f>'TWU FGD'!$E$69</f>
        <v>205059</v>
      </c>
      <c r="F1859" s="390">
        <f>'TWU FGD'!$F$69</f>
        <v>0</v>
      </c>
      <c r="G1859" s="390">
        <f>'TWU FGD'!$G$69</f>
        <v>133596</v>
      </c>
      <c r="H1859" s="390">
        <f>'TWU FGD'!$H$69</f>
        <v>0</v>
      </c>
      <c r="I1859" s="390">
        <f>'TWU FGD'!$I$69</f>
        <v>0</v>
      </c>
      <c r="J1859" s="390">
        <f>'TWU FGD'!$J$69</f>
        <v>0</v>
      </c>
      <c r="K1859" s="390">
        <f>'TWU FGD'!$K$69</f>
        <v>0</v>
      </c>
      <c r="L1859" s="390">
        <f>'TWU FGD'!$L$69</f>
        <v>0</v>
      </c>
      <c r="M1859" s="390">
        <f>'TWU FGD'!$M$69</f>
        <v>917665</v>
      </c>
      <c r="N1859" s="401"/>
    </row>
    <row r="1860" spans="2:14" s="160" customFormat="1" ht="12.75" hidden="1" customHeight="1" outlineLevel="1">
      <c r="B1860" s="674" t="str">
        <f>'TXST FGD'!$B$2</f>
        <v>Texas State University</v>
      </c>
      <c r="D1860" s="390">
        <f>'TXST FGD'!$D$69</f>
        <v>2710115</v>
      </c>
      <c r="E1860" s="390">
        <f>'TXST FGD'!$E$69</f>
        <v>5632662</v>
      </c>
      <c r="F1860" s="390">
        <f>'TXST FGD'!$F$69</f>
        <v>119430</v>
      </c>
      <c r="G1860" s="390">
        <f>'TXST FGD'!$G$69</f>
        <v>1295829</v>
      </c>
      <c r="H1860" s="390">
        <f>'TXST FGD'!$H$69</f>
        <v>0</v>
      </c>
      <c r="I1860" s="390">
        <f>'TXST FGD'!$I$69</f>
        <v>0</v>
      </c>
      <c r="J1860" s="390">
        <f>'TXST FGD'!$J$69</f>
        <v>0</v>
      </c>
      <c r="K1860" s="390">
        <f>'TXST FGD'!$K$69</f>
        <v>0</v>
      </c>
      <c r="L1860" s="390">
        <f>'TXST FGD'!$L$69</f>
        <v>0</v>
      </c>
      <c r="M1860" s="390">
        <f>'TXST FGD'!$M$69</f>
        <v>9758036</v>
      </c>
      <c r="N1860" s="401"/>
    </row>
    <row r="1861" spans="2:14" s="160" customFormat="1" ht="12.75" hidden="1" customHeight="1" outlineLevel="1">
      <c r="B1861" s="674" t="str">
        <f>'TYL FGD'!$B$2</f>
        <v>The University of Texas at Tyler</v>
      </c>
      <c r="D1861" s="390">
        <f>'TYL FGD'!$D$69</f>
        <v>23100</v>
      </c>
      <c r="E1861" s="390">
        <f>'TYL FGD'!$E$69</f>
        <v>597968</v>
      </c>
      <c r="F1861" s="390">
        <f>'TYL FGD'!$F$69</f>
        <v>11530</v>
      </c>
      <c r="G1861" s="390">
        <f>'TYL FGD'!$G$69</f>
        <v>136298</v>
      </c>
      <c r="H1861" s="390">
        <f>'TYL FGD'!$H$69</f>
        <v>0</v>
      </c>
      <c r="I1861" s="390">
        <f>'TYL FGD'!$I$69</f>
        <v>0</v>
      </c>
      <c r="J1861" s="390">
        <f>'TYL FGD'!$J$69</f>
        <v>0</v>
      </c>
      <c r="K1861" s="390">
        <f>'TYL FGD'!$K$69</f>
        <v>0</v>
      </c>
      <c r="L1861" s="390">
        <f>'TYL FGD'!$L$69</f>
        <v>0</v>
      </c>
      <c r="M1861" s="390">
        <f>'TYL FGD'!$M$69</f>
        <v>768896</v>
      </c>
      <c r="N1861" s="401"/>
    </row>
    <row r="1862" spans="2:14" s="160" customFormat="1" ht="12.75" hidden="1" customHeight="1" outlineLevel="1">
      <c r="B1862" s="674" t="str">
        <f>'UH1 FGD'!$B$2</f>
        <v>University of Houston - Academic &amp; Health (A+H)</v>
      </c>
      <c r="D1862" s="390">
        <f>'UH1 FGD'!$D$69</f>
        <v>5945790</v>
      </c>
      <c r="E1862" s="390">
        <f>'UH1 FGD'!$E$69</f>
        <v>3627886</v>
      </c>
      <c r="F1862" s="390">
        <f>'UH1 FGD'!$F$69</f>
        <v>183264</v>
      </c>
      <c r="G1862" s="390">
        <f>'UH1 FGD'!$G$69</f>
        <v>3576800</v>
      </c>
      <c r="H1862" s="390">
        <f>'UH1 FGD'!$H$69</f>
        <v>0</v>
      </c>
      <c r="I1862" s="390">
        <f>'UH1 FGD'!$I$69</f>
        <v>0</v>
      </c>
      <c r="J1862" s="390">
        <f>'UH1 FGD'!$J$69</f>
        <v>0</v>
      </c>
      <c r="K1862" s="390">
        <f>'UH1 FGD'!$K$69</f>
        <v>0</v>
      </c>
      <c r="L1862" s="390">
        <f>'UH1 FGD'!$L$69</f>
        <v>0</v>
      </c>
      <c r="M1862" s="390">
        <f>'UH1 FGD'!$M$69</f>
        <v>13333740</v>
      </c>
      <c r="N1862" s="401"/>
    </row>
    <row r="1863" spans="2:14" s="160" customFormat="1" ht="12.75" hidden="1" customHeight="1" outlineLevel="1">
      <c r="B1863" s="674" t="str">
        <f>'UHCL FGD'!$B$2</f>
        <v>University of Houston - Clear Lake</v>
      </c>
      <c r="D1863" s="390">
        <f>'UHCL FGD'!$D$69</f>
        <v>1763883</v>
      </c>
      <c r="E1863" s="390">
        <f>'UHCL FGD'!$E$69</f>
        <v>911108</v>
      </c>
      <c r="F1863" s="390">
        <f>'UHCL FGD'!$F$69</f>
        <v>81206</v>
      </c>
      <c r="G1863" s="390">
        <f>'UHCL FGD'!$G$69</f>
        <v>223563</v>
      </c>
      <c r="H1863" s="390">
        <f>'UHCL FGD'!$H$69</f>
        <v>0</v>
      </c>
      <c r="I1863" s="390">
        <f>'UHCL FGD'!$I$69</f>
        <v>0</v>
      </c>
      <c r="J1863" s="390">
        <f>'UHCL FGD'!$J$69</f>
        <v>0</v>
      </c>
      <c r="K1863" s="390">
        <f>'UHCL FGD'!$K$69</f>
        <v>0</v>
      </c>
      <c r="L1863" s="390">
        <f>'UHCL FGD'!$L$69</f>
        <v>0</v>
      </c>
      <c r="M1863" s="390">
        <f>'UHCL FGD'!$M$69</f>
        <v>2979760</v>
      </c>
      <c r="N1863" s="401"/>
    </row>
    <row r="1864" spans="2:14" s="160" customFormat="1" ht="12.75" hidden="1" customHeight="1" outlineLevel="1">
      <c r="B1864" s="674" t="str">
        <f>'UHD FGD'!$B$2</f>
        <v>University of Houston - Downtown</v>
      </c>
      <c r="D1864" s="390">
        <f>'UHD FGD'!$D$69</f>
        <v>2006157</v>
      </c>
      <c r="E1864" s="390">
        <f>'UHD FGD'!$E$69</f>
        <v>39679</v>
      </c>
      <c r="F1864" s="390">
        <f>'UHD FGD'!$F$69</f>
        <v>31528</v>
      </c>
      <c r="G1864" s="390">
        <f>'UHD FGD'!$G$69</f>
        <v>421487</v>
      </c>
      <c r="H1864" s="390">
        <f>'UHD FGD'!$H$69</f>
        <v>0</v>
      </c>
      <c r="I1864" s="390">
        <f>'UHD FGD'!$I$69</f>
        <v>0</v>
      </c>
      <c r="J1864" s="390">
        <f>'UHD FGD'!$J$69</f>
        <v>0</v>
      </c>
      <c r="K1864" s="390">
        <f>'UHD FGD'!$K$69</f>
        <v>0</v>
      </c>
      <c r="L1864" s="390">
        <f>'UHD FGD'!$L$69</f>
        <v>0</v>
      </c>
      <c r="M1864" s="390">
        <f>'UHD FGD'!$M$69</f>
        <v>2498851</v>
      </c>
      <c r="N1864" s="401"/>
    </row>
    <row r="1865" spans="2:14" s="160" customFormat="1" ht="12.75" hidden="1" customHeight="1" outlineLevel="1">
      <c r="B1865" s="674" t="str">
        <f>'UHV FGD'!$B$2</f>
        <v>University of Houston - Victoria</v>
      </c>
      <c r="D1865" s="390">
        <f>'UHV FGD'!$D$69</f>
        <v>280498</v>
      </c>
      <c r="E1865" s="390">
        <f>'UHV FGD'!$E$69</f>
        <v>37980</v>
      </c>
      <c r="F1865" s="390">
        <f>'UHV FGD'!$F$69</f>
        <v>2049</v>
      </c>
      <c r="G1865" s="390">
        <f>'UHV FGD'!$G$69</f>
        <v>246519</v>
      </c>
      <c r="H1865" s="390">
        <f>'UHV FGD'!$H$69</f>
        <v>0</v>
      </c>
      <c r="I1865" s="390">
        <f>'UHV FGD'!$I$69</f>
        <v>0</v>
      </c>
      <c r="J1865" s="390">
        <f>'UHV FGD'!$J$69</f>
        <v>0</v>
      </c>
      <c r="K1865" s="390">
        <f>'UHV FGD'!$K$69</f>
        <v>0</v>
      </c>
      <c r="L1865" s="390">
        <f>'UHV FGD'!$L$69</f>
        <v>0</v>
      </c>
      <c r="M1865" s="390">
        <f>'UHV FGD'!$M$69</f>
        <v>567046</v>
      </c>
      <c r="N1865" s="401"/>
    </row>
    <row r="1866" spans="2:14" s="160" customFormat="1" ht="12.75" hidden="1" customHeight="1" outlineLevel="1">
      <c r="B1866" s="674" t="str">
        <f>'UNT FGD'!$B$2</f>
        <v>University of North Texas</v>
      </c>
      <c r="D1866" s="390">
        <f>'UNT FGD'!$D$69</f>
        <v>29647015</v>
      </c>
      <c r="E1866" s="390">
        <f>'UNT FGD'!$E$69</f>
        <v>9489868</v>
      </c>
      <c r="F1866" s="390">
        <f>'UNT FGD'!$F$69</f>
        <v>235048</v>
      </c>
      <c r="G1866" s="390">
        <f>'UNT FGD'!$G$69</f>
        <v>1616959</v>
      </c>
      <c r="H1866" s="390">
        <f>'UNT FGD'!$H$69</f>
        <v>0</v>
      </c>
      <c r="I1866" s="390">
        <f>'UNT FGD'!$I$69</f>
        <v>0</v>
      </c>
      <c r="J1866" s="390">
        <f>'UNT FGD'!$J$69</f>
        <v>0</v>
      </c>
      <c r="K1866" s="390">
        <f>'UNT FGD'!$K$69</f>
        <v>0</v>
      </c>
      <c r="L1866" s="390">
        <f>'UNT FGD'!$L$69</f>
        <v>0</v>
      </c>
      <c r="M1866" s="390">
        <f>'UNT FGD'!$M$69</f>
        <v>40988890</v>
      </c>
      <c r="N1866" s="401"/>
    </row>
    <row r="1867" spans="2:14" s="160" customFormat="1" ht="12.75" hidden="1" customHeight="1" outlineLevel="1">
      <c r="B1867" s="674" t="str">
        <f>'UNTD FGD'!$B$2</f>
        <v>University of North Texas at Dallas</v>
      </c>
      <c r="D1867" s="390">
        <f>'UNTD FGD'!$D$69</f>
        <v>840576</v>
      </c>
      <c r="E1867" s="390">
        <f>'UNTD FGD'!$E$69</f>
        <v>604090</v>
      </c>
      <c r="F1867" s="390">
        <f>'UNTD FGD'!$F$69</f>
        <v>238473</v>
      </c>
      <c r="G1867" s="390">
        <f>'UNTD FGD'!$G$69</f>
        <v>280122</v>
      </c>
      <c r="H1867" s="390">
        <f>'UNTD FGD'!$H$69</f>
        <v>0</v>
      </c>
      <c r="I1867" s="390">
        <f>'UNTD FGD'!$I$69</f>
        <v>0</v>
      </c>
      <c r="J1867" s="390">
        <f>'UNTD FGD'!$J$69</f>
        <v>0</v>
      </c>
      <c r="K1867" s="390">
        <f>'UNTD FGD'!$K$69</f>
        <v>0</v>
      </c>
      <c r="L1867" s="390">
        <f>'UNTD FGD'!$L$69</f>
        <v>0</v>
      </c>
      <c r="M1867" s="390">
        <f>'UNTD FGD'!$M$69</f>
        <v>1963261</v>
      </c>
      <c r="N1867" s="401"/>
    </row>
    <row r="1868" spans="2:14" s="160" customFormat="1" ht="12.75" hidden="1" customHeight="1" outlineLevel="1">
      <c r="B1868" s="674" t="str">
        <f>'WTAMU FGD'!$B$2</f>
        <v>West Texas A&amp;M University</v>
      </c>
      <c r="D1868" s="390">
        <f>'WTAMU FGD'!$D$69</f>
        <v>1430315</v>
      </c>
      <c r="E1868" s="390">
        <f>'WTAMU FGD'!$E$69</f>
        <v>431947</v>
      </c>
      <c r="F1868" s="390">
        <f>'WTAMU FGD'!$F$69</f>
        <v>6197</v>
      </c>
      <c r="G1868" s="390">
        <f>'WTAMU FGD'!$G$69</f>
        <v>607715</v>
      </c>
      <c r="H1868" s="390">
        <f>'WTAMU FGD'!$H$69</f>
        <v>0</v>
      </c>
      <c r="I1868" s="390">
        <f>'WTAMU FGD'!$I$69</f>
        <v>0</v>
      </c>
      <c r="J1868" s="390">
        <f>'WTAMU FGD'!$J$69</f>
        <v>0</v>
      </c>
      <c r="K1868" s="390">
        <f>'WTAMU FGD'!$K$69</f>
        <v>0</v>
      </c>
      <c r="L1868" s="390">
        <f>'WTAMU FGD'!$L$69</f>
        <v>0</v>
      </c>
      <c r="M1868" s="390">
        <f>'WTAMU FGD'!$M$69</f>
        <v>2476174</v>
      </c>
      <c r="N1868" s="401"/>
    </row>
    <row r="1869" spans="2:14" s="160" customFormat="1" collapsed="1">
      <c r="B1869" s="161" t="s">
        <v>59</v>
      </c>
      <c r="C1869" s="161"/>
      <c r="D1869" s="390">
        <f t="shared" ref="D1869:M1869" si="49">SUM(D1833:D1868)</f>
        <v>79086360</v>
      </c>
      <c r="E1869" s="390">
        <f t="shared" si="49"/>
        <v>136086402</v>
      </c>
      <c r="F1869" s="390">
        <f t="shared" si="49"/>
        <v>11154106</v>
      </c>
      <c r="G1869" s="390">
        <f t="shared" si="49"/>
        <v>123468358</v>
      </c>
      <c r="H1869" s="390">
        <f t="shared" si="49"/>
        <v>0</v>
      </c>
      <c r="I1869" s="390">
        <f t="shared" si="49"/>
        <v>0</v>
      </c>
      <c r="J1869" s="390">
        <f t="shared" si="49"/>
        <v>0</v>
      </c>
      <c r="K1869" s="390">
        <f t="shared" si="49"/>
        <v>0</v>
      </c>
      <c r="L1869" s="390">
        <f t="shared" si="49"/>
        <v>0</v>
      </c>
      <c r="M1869" s="390">
        <f t="shared" si="49"/>
        <v>349795226</v>
      </c>
      <c r="N1869" s="401"/>
    </row>
    <row r="1870" spans="2:14" s="160" customFormat="1" ht="12.75" hidden="1" customHeight="1" outlineLevel="1">
      <c r="B1870" s="674" t="str">
        <f>'ARL FGD'!$B$2</f>
        <v>The University of Texas at Arlington</v>
      </c>
      <c r="C1870" s="161"/>
      <c r="D1870" s="390">
        <f>'ARL FGD'!$D$70</f>
        <v>475</v>
      </c>
      <c r="E1870" s="390">
        <f>'ARL FGD'!$E$70</f>
        <v>24413</v>
      </c>
      <c r="F1870" s="390">
        <f>'ARL FGD'!$F$70</f>
        <v>0</v>
      </c>
      <c r="G1870" s="390">
        <f>'ARL FGD'!$G$70</f>
        <v>0</v>
      </c>
      <c r="H1870" s="390">
        <f>'ARL FGD'!$H$70</f>
        <v>40677</v>
      </c>
      <c r="I1870" s="390">
        <f>'ARL FGD'!$I$70</f>
        <v>0</v>
      </c>
      <c r="J1870" s="390">
        <f>'ARL FGD'!$J$70</f>
        <v>0</v>
      </c>
      <c r="K1870" s="390">
        <f>'ARL FGD'!$K$70</f>
        <v>0</v>
      </c>
      <c r="L1870" s="390">
        <f>'ARL FGD'!$L$70</f>
        <v>662812</v>
      </c>
      <c r="M1870" s="390">
        <f>'ARL FGD'!$M$70</f>
        <v>728377</v>
      </c>
      <c r="N1870" s="401"/>
    </row>
    <row r="1871" spans="2:14" s="160" customFormat="1" ht="12.75" hidden="1" customHeight="1" outlineLevel="1">
      <c r="B1871" s="674" t="str">
        <f>'ASU FGD'!$B$2</f>
        <v>Angelo State University</v>
      </c>
      <c r="C1871" s="161"/>
      <c r="D1871" s="390">
        <f>'ASU FGD'!$D$70</f>
        <v>102114</v>
      </c>
      <c r="E1871" s="390">
        <f>'ASU FGD'!$E$70</f>
        <v>2174</v>
      </c>
      <c r="F1871" s="390">
        <f>'ASU FGD'!$F$70</f>
        <v>0</v>
      </c>
      <c r="G1871" s="390">
        <f>'ASU FGD'!$G$70</f>
        <v>80874</v>
      </c>
      <c r="H1871" s="390">
        <f>'ASU FGD'!$H$70</f>
        <v>-3901</v>
      </c>
      <c r="I1871" s="390">
        <f>'ASU FGD'!$I$70</f>
        <v>0</v>
      </c>
      <c r="J1871" s="390">
        <f>'ASU FGD'!$J$70</f>
        <v>2237119</v>
      </c>
      <c r="K1871" s="390">
        <f>'ASU FGD'!$K$70</f>
        <v>0</v>
      </c>
      <c r="L1871" s="390">
        <f>'ASU FGD'!$L$70</f>
        <v>0</v>
      </c>
      <c r="M1871" s="390">
        <f>'ASU FGD'!$M$70</f>
        <v>2418380</v>
      </c>
      <c r="N1871" s="401"/>
    </row>
    <row r="1872" spans="2:14" s="160" customFormat="1" ht="12.75" hidden="1" customHeight="1" outlineLevel="1">
      <c r="B1872" s="674" t="str">
        <f>'AUS1 FGD'!$B$2</f>
        <v>The University of Texas at Austin - Academic &amp; Health (A+H)</v>
      </c>
      <c r="C1872" s="161"/>
      <c r="D1872" s="390">
        <f>'AUS1 FGD'!$D$70</f>
        <v>0</v>
      </c>
      <c r="E1872" s="390">
        <f>'AUS1 FGD'!$E$70</f>
        <v>786955</v>
      </c>
      <c r="F1872" s="390">
        <f>'AUS1 FGD'!$F$70</f>
        <v>165</v>
      </c>
      <c r="G1872" s="390">
        <f>'AUS1 FGD'!$G$70</f>
        <v>17775</v>
      </c>
      <c r="H1872" s="390">
        <f>'AUS1 FGD'!$H$70</f>
        <v>21853</v>
      </c>
      <c r="I1872" s="390">
        <f>'AUS1 FGD'!$I$70</f>
        <v>0</v>
      </c>
      <c r="J1872" s="390">
        <f>'AUS1 FGD'!$J$70</f>
        <v>0</v>
      </c>
      <c r="K1872" s="390">
        <f>'AUS1 FGD'!$K$70</f>
        <v>0</v>
      </c>
      <c r="L1872" s="390">
        <f>'AUS1 FGD'!$L$70</f>
        <v>903110</v>
      </c>
      <c r="M1872" s="390">
        <f>'AUS1 FGD'!$M$70</f>
        <v>1729858</v>
      </c>
      <c r="N1872" s="401"/>
    </row>
    <row r="1873" spans="2:14" s="160" customFormat="1" ht="12.75" hidden="1" customHeight="1" outlineLevel="1">
      <c r="B1873" s="674" t="str">
        <f>'RGV1 FGD'!$B$2</f>
        <v>The University of Texas RGV - Academic &amp; Health (A+H)</v>
      </c>
      <c r="C1873" s="161"/>
      <c r="D1873" s="390">
        <f>'RGV1 FGD'!$D$70</f>
        <v>0</v>
      </c>
      <c r="E1873" s="390">
        <f>'RGV1 FGD'!$E$70</f>
        <v>0</v>
      </c>
      <c r="F1873" s="390">
        <f>'RGV1 FGD'!$F$70</f>
        <v>0</v>
      </c>
      <c r="G1873" s="390">
        <f>'RGV1 FGD'!$G$70</f>
        <v>0</v>
      </c>
      <c r="H1873" s="390">
        <f>'RGV1 FGD'!$H$70</f>
        <v>0</v>
      </c>
      <c r="I1873" s="390">
        <f>'RGV1 FGD'!$I$70</f>
        <v>0</v>
      </c>
      <c r="J1873" s="390">
        <f>'RGV1 FGD'!$J$70</f>
        <v>0</v>
      </c>
      <c r="K1873" s="390">
        <f>'RGV1 FGD'!$K$70</f>
        <v>0</v>
      </c>
      <c r="L1873" s="390">
        <f>'RGV1 FGD'!$L$70</f>
        <v>0</v>
      </c>
      <c r="M1873" s="390">
        <f>'RGV1 FGD'!$M$70</f>
        <v>0</v>
      </c>
      <c r="N1873" s="401"/>
    </row>
    <row r="1874" spans="2:14" s="160" customFormat="1" ht="12.75" hidden="1" customHeight="1" outlineLevel="1">
      <c r="B1874" s="674" t="str">
        <f>'DAL FGD'!$B$2</f>
        <v>The University of Texas at Dallas</v>
      </c>
      <c r="C1874" s="161"/>
      <c r="D1874" s="390">
        <f>'DAL FGD'!$D$70</f>
        <v>0</v>
      </c>
      <c r="E1874" s="390">
        <f>'DAL FGD'!$E$70</f>
        <v>0</v>
      </c>
      <c r="F1874" s="390">
        <f>'DAL FGD'!$F$70</f>
        <v>0</v>
      </c>
      <c r="G1874" s="390">
        <f>'DAL FGD'!$G$70</f>
        <v>0</v>
      </c>
      <c r="H1874" s="390">
        <f>'DAL FGD'!$H$70</f>
        <v>0</v>
      </c>
      <c r="I1874" s="390">
        <f>'DAL FGD'!$I$70</f>
        <v>0</v>
      </c>
      <c r="J1874" s="390">
        <f>'DAL FGD'!$J$70</f>
        <v>0</v>
      </c>
      <c r="K1874" s="390">
        <f>'DAL FGD'!$K$70</f>
        <v>0</v>
      </c>
      <c r="L1874" s="390">
        <f>'DAL FGD'!$L$70</f>
        <v>0</v>
      </c>
      <c r="M1874" s="390">
        <f>'DAL FGD'!$M$70</f>
        <v>0</v>
      </c>
      <c r="N1874" s="401"/>
    </row>
    <row r="1875" spans="2:14" s="160" customFormat="1" ht="12.75" hidden="1" customHeight="1" outlineLevel="1">
      <c r="B1875" s="674" t="str">
        <f>'E-P FGD'!$B$2</f>
        <v>The University of Texas at El Paso</v>
      </c>
      <c r="C1875" s="161"/>
      <c r="D1875" s="390">
        <f>'E-P FGD'!$D$70</f>
        <v>0</v>
      </c>
      <c r="E1875" s="390">
        <f>'E-P FGD'!$E$70</f>
        <v>0</v>
      </c>
      <c r="F1875" s="390">
        <f>'E-P FGD'!$F$70</f>
        <v>0</v>
      </c>
      <c r="G1875" s="390">
        <f>'E-P FGD'!$G$70</f>
        <v>0</v>
      </c>
      <c r="H1875" s="390">
        <f>'E-P FGD'!$H$70</f>
        <v>0</v>
      </c>
      <c r="I1875" s="390">
        <f>'E-P FGD'!$I$70</f>
        <v>0</v>
      </c>
      <c r="J1875" s="390">
        <f>'E-P FGD'!$J$70</f>
        <v>0</v>
      </c>
      <c r="K1875" s="390">
        <f>'E-P FGD'!$K$70</f>
        <v>0</v>
      </c>
      <c r="L1875" s="390">
        <f>'E-P FGD'!$L$70</f>
        <v>0</v>
      </c>
      <c r="M1875" s="390">
        <f>'E-P FGD'!$M$70</f>
        <v>0</v>
      </c>
      <c r="N1875" s="401"/>
    </row>
    <row r="1876" spans="2:14" s="160" customFormat="1" ht="12.75" hidden="1" customHeight="1" outlineLevel="1">
      <c r="B1876" s="674" t="str">
        <f>'LU FGD'!$B$2</f>
        <v xml:space="preserve">Lamar University </v>
      </c>
      <c r="C1876" s="161"/>
      <c r="D1876" s="390">
        <f>'LU FGD'!$D$70</f>
        <v>0</v>
      </c>
      <c r="E1876" s="390">
        <f>'LU FGD'!$E$70</f>
        <v>0</v>
      </c>
      <c r="F1876" s="390">
        <f>'LU FGD'!$F$70</f>
        <v>0</v>
      </c>
      <c r="G1876" s="390">
        <f>'LU FGD'!$G$70</f>
        <v>0</v>
      </c>
      <c r="H1876" s="390">
        <f>'LU FGD'!$H$70</f>
        <v>96583</v>
      </c>
      <c r="I1876" s="390">
        <f>'LU FGD'!$I$70</f>
        <v>0</v>
      </c>
      <c r="J1876" s="390">
        <f>'LU FGD'!$J$70</f>
        <v>0</v>
      </c>
      <c r="K1876" s="390">
        <f>'LU FGD'!$K$70</f>
        <v>0</v>
      </c>
      <c r="L1876" s="390">
        <f>'LU FGD'!$L$70</f>
        <v>1613</v>
      </c>
      <c r="M1876" s="390">
        <f>'LU FGD'!$M$70</f>
        <v>98196</v>
      </c>
      <c r="N1876" s="401"/>
    </row>
    <row r="1877" spans="2:14" s="160" customFormat="1" ht="12.75" hidden="1" customHeight="1" outlineLevel="1">
      <c r="B1877" s="674" t="str">
        <f>'MidWST FGD'!$B$2</f>
        <v>Midwestern State University</v>
      </c>
      <c r="C1877" s="161"/>
      <c r="D1877" s="390">
        <f>'MidWST FGD'!$D$70</f>
        <v>0</v>
      </c>
      <c r="E1877" s="390">
        <f>'MidWST FGD'!$E$70</f>
        <v>0</v>
      </c>
      <c r="F1877" s="390">
        <f>'MidWST FGD'!$F$70</f>
        <v>0</v>
      </c>
      <c r="G1877" s="390">
        <f>'MidWST FGD'!$G$70</f>
        <v>0</v>
      </c>
      <c r="H1877" s="390">
        <f>'MidWST FGD'!$H$70</f>
        <v>0</v>
      </c>
      <c r="I1877" s="390">
        <f>'MidWST FGD'!$I$70</f>
        <v>0</v>
      </c>
      <c r="J1877" s="390">
        <f>'MidWST FGD'!$J$70</f>
        <v>0</v>
      </c>
      <c r="K1877" s="390">
        <f>'MidWST FGD'!$K$70</f>
        <v>0</v>
      </c>
      <c r="L1877" s="390">
        <f>'MidWST FGD'!$L$70</f>
        <v>358259</v>
      </c>
      <c r="M1877" s="390">
        <f>'MidWST FGD'!$M$70</f>
        <v>358259</v>
      </c>
      <c r="N1877" s="401"/>
    </row>
    <row r="1878" spans="2:14" s="160" customFormat="1" ht="12.75" hidden="1" customHeight="1" outlineLevel="1">
      <c r="B1878" s="674" t="str">
        <f>'P-B FGD'!$B$2</f>
        <v>The University of Texas of the Permian Basin</v>
      </c>
      <c r="C1878" s="161"/>
      <c r="D1878" s="390">
        <f>'P-B FGD'!$D$70</f>
        <v>0</v>
      </c>
      <c r="E1878" s="390">
        <f>'P-B FGD'!$E$70</f>
        <v>0</v>
      </c>
      <c r="F1878" s="390">
        <f>'P-B FGD'!$F$70</f>
        <v>0</v>
      </c>
      <c r="G1878" s="390">
        <f>'P-B FGD'!$G$70</f>
        <v>0</v>
      </c>
      <c r="H1878" s="390">
        <f>'P-B FGD'!$H$70</f>
        <v>0</v>
      </c>
      <c r="I1878" s="390">
        <f>'P-B FGD'!$I$70</f>
        <v>0</v>
      </c>
      <c r="J1878" s="390">
        <f>'P-B FGD'!$J$70</f>
        <v>0</v>
      </c>
      <c r="K1878" s="390">
        <f>'P-B FGD'!$K$70</f>
        <v>0</v>
      </c>
      <c r="L1878" s="390">
        <f>'P-B FGD'!$L$70</f>
        <v>18266</v>
      </c>
      <c r="M1878" s="390">
        <f>'P-B FGD'!$M$70</f>
        <v>18266</v>
      </c>
      <c r="N1878" s="401"/>
    </row>
    <row r="1879" spans="2:14" s="160" customFormat="1" ht="12.75" hidden="1" customHeight="1" outlineLevel="1">
      <c r="B1879" s="674" t="str">
        <f>'PVAMU FGD'!$B$2</f>
        <v>Prairie View A&amp;M University</v>
      </c>
      <c r="C1879" s="161"/>
      <c r="D1879" s="390">
        <f>'PVAMU FGD'!$D$70</f>
        <v>25565</v>
      </c>
      <c r="E1879" s="390">
        <f>'PVAMU FGD'!$E$70</f>
        <v>558394</v>
      </c>
      <c r="F1879" s="390">
        <f>'PVAMU FGD'!$F$70</f>
        <v>0</v>
      </c>
      <c r="G1879" s="390">
        <f>'PVAMU FGD'!$G$70</f>
        <v>377756</v>
      </c>
      <c r="H1879" s="390">
        <f>'PVAMU FGD'!$H$70</f>
        <v>0</v>
      </c>
      <c r="I1879" s="390">
        <f>'PVAMU FGD'!$I$70</f>
        <v>0</v>
      </c>
      <c r="J1879" s="390">
        <f>'PVAMU FGD'!$J$70</f>
        <v>0</v>
      </c>
      <c r="K1879" s="390">
        <f>'PVAMU FGD'!$K$70</f>
        <v>0</v>
      </c>
      <c r="L1879" s="390">
        <f>'PVAMU FGD'!$L$70</f>
        <v>121231</v>
      </c>
      <c r="M1879" s="390">
        <f>'PVAMU FGD'!$M$70</f>
        <v>1082946</v>
      </c>
      <c r="N1879" s="401"/>
    </row>
    <row r="1880" spans="2:14" s="160" customFormat="1" ht="12.75" hidden="1" customHeight="1" outlineLevel="1">
      <c r="B1880" s="674" t="str">
        <f>'S-A FGD'!$B$2</f>
        <v>The University of Texas at San Antonio</v>
      </c>
      <c r="C1880" s="161"/>
      <c r="D1880" s="390">
        <f>'S-A FGD'!$D$70</f>
        <v>0</v>
      </c>
      <c r="E1880" s="390">
        <f>'S-A FGD'!$E$70</f>
        <v>111055</v>
      </c>
      <c r="F1880" s="390">
        <f>'S-A FGD'!$F$70</f>
        <v>114123</v>
      </c>
      <c r="G1880" s="390">
        <f>'S-A FGD'!$G$70</f>
        <v>0</v>
      </c>
      <c r="H1880" s="390">
        <f>'S-A FGD'!$H$70</f>
        <v>-302730</v>
      </c>
      <c r="I1880" s="390">
        <f>'S-A FGD'!$I$70</f>
        <v>0</v>
      </c>
      <c r="J1880" s="390">
        <f>'S-A FGD'!$J$70</f>
        <v>0</v>
      </c>
      <c r="K1880" s="390">
        <f>'S-A FGD'!$K$70</f>
        <v>0</v>
      </c>
      <c r="L1880" s="390">
        <f>'S-A FGD'!$L$70</f>
        <v>0</v>
      </c>
      <c r="M1880" s="390">
        <f>'S-A FGD'!$M$70</f>
        <v>-77552</v>
      </c>
      <c r="N1880" s="401"/>
    </row>
    <row r="1881" spans="2:14" s="160" customFormat="1" ht="12.75" hidden="1" customHeight="1" outlineLevel="1">
      <c r="B1881" s="674" t="str">
        <f>'SFA FGD'!$B$2</f>
        <v>Stephen F. Austin State University</v>
      </c>
      <c r="C1881" s="161"/>
      <c r="D1881" s="390">
        <f>'SFA FGD'!$D$70</f>
        <v>100</v>
      </c>
      <c r="E1881" s="390">
        <f>'SFA FGD'!$E$70</f>
        <v>256009</v>
      </c>
      <c r="F1881" s="390">
        <f>'SFA FGD'!$F$70</f>
        <v>50621</v>
      </c>
      <c r="G1881" s="390">
        <f>'SFA FGD'!$G$70</f>
        <v>968600</v>
      </c>
      <c r="H1881" s="390">
        <f>'SFA FGD'!$H$70</f>
        <v>0</v>
      </c>
      <c r="I1881" s="390">
        <f>'SFA FGD'!$I$70</f>
        <v>152086</v>
      </c>
      <c r="J1881" s="390">
        <f>'SFA FGD'!$J$70</f>
        <v>-502521</v>
      </c>
      <c r="K1881" s="390">
        <f>'SFA FGD'!$K$70</f>
        <v>256383</v>
      </c>
      <c r="L1881" s="390">
        <f>'SFA FGD'!$L$70</f>
        <v>18048863</v>
      </c>
      <c r="M1881" s="390">
        <f>'SFA FGD'!$M$70</f>
        <v>19230141</v>
      </c>
      <c r="N1881" s="401"/>
    </row>
    <row r="1882" spans="2:14" s="160" customFormat="1" ht="12.75" hidden="1" customHeight="1" outlineLevel="1">
      <c r="B1882" s="674" t="str">
        <f>'shsu1 FGD'!$B$2</f>
        <v>Sam Houston State University - Academic &amp; Health (A+H)</v>
      </c>
      <c r="C1882" s="161"/>
      <c r="D1882" s="390">
        <f>'shsu1 FGD'!$D$70</f>
        <v>115776</v>
      </c>
      <c r="E1882" s="390">
        <f>'shsu1 FGD'!$E$70</f>
        <v>233986</v>
      </c>
      <c r="F1882" s="390">
        <f>'shsu1 FGD'!$F$70</f>
        <v>0</v>
      </c>
      <c r="G1882" s="390">
        <f>'shsu1 FGD'!$G$70</f>
        <v>0</v>
      </c>
      <c r="H1882" s="390">
        <f>'shsu1 FGD'!$H$70</f>
        <v>0</v>
      </c>
      <c r="I1882" s="390">
        <f>'shsu1 FGD'!$I$70</f>
        <v>0</v>
      </c>
      <c r="J1882" s="390">
        <f>'shsu1 FGD'!$J$70</f>
        <v>0</v>
      </c>
      <c r="K1882" s="390">
        <f>'shsu1 FGD'!$K$70</f>
        <v>0</v>
      </c>
      <c r="L1882" s="390">
        <f>'shsu1 FGD'!$L$70</f>
        <v>0</v>
      </c>
      <c r="M1882" s="390">
        <f>'shsu1 FGD'!$M$70</f>
        <v>349762</v>
      </c>
      <c r="N1882" s="401"/>
    </row>
    <row r="1883" spans="2:14" s="160" customFormat="1" ht="12.75" hidden="1" customHeight="1" outlineLevel="1">
      <c r="B1883" s="674" t="str">
        <f>'SRSU FGD'!$B$2</f>
        <v>Sul Ross State University</v>
      </c>
      <c r="C1883" s="161"/>
      <c r="D1883" s="390">
        <f>'SRSU FGD'!$D$70</f>
        <v>0</v>
      </c>
      <c r="E1883" s="390">
        <f>'SRSU FGD'!$E$70</f>
        <v>0</v>
      </c>
      <c r="F1883" s="390">
        <f>'SRSU FGD'!$F$70</f>
        <v>0</v>
      </c>
      <c r="G1883" s="390">
        <f>'SRSU FGD'!$G$70</f>
        <v>0</v>
      </c>
      <c r="H1883" s="390">
        <f>'SRSU FGD'!$H$70</f>
        <v>0</v>
      </c>
      <c r="I1883" s="390">
        <f>'SRSU FGD'!$I$70</f>
        <v>0</v>
      </c>
      <c r="J1883" s="390">
        <f>'SRSU FGD'!$J$70</f>
        <v>0</v>
      </c>
      <c r="K1883" s="390">
        <f>'SRSU FGD'!$K$70</f>
        <v>0</v>
      </c>
      <c r="L1883" s="390">
        <f>'SRSU FGD'!$L$70</f>
        <v>0</v>
      </c>
      <c r="M1883" s="390">
        <f>'SRSU FGD'!$M$70</f>
        <v>0</v>
      </c>
      <c r="N1883" s="401"/>
    </row>
    <row r="1884" spans="2:14" s="160" customFormat="1" ht="12.75" hidden="1" customHeight="1" outlineLevel="1">
      <c r="B1884" s="674" t="str">
        <f>'TAMIU FGD'!$B$2</f>
        <v>Texas A&amp;M International University</v>
      </c>
      <c r="C1884" s="161"/>
      <c r="D1884" s="390">
        <f>'TAMIU FGD'!$D$70</f>
        <v>0</v>
      </c>
      <c r="E1884" s="390">
        <f>'TAMIU FGD'!$E$70</f>
        <v>359783</v>
      </c>
      <c r="F1884" s="390">
        <f>'TAMIU FGD'!$F$70</f>
        <v>39966</v>
      </c>
      <c r="G1884" s="390">
        <f>'TAMIU FGD'!$G$70</f>
        <v>1585</v>
      </c>
      <c r="H1884" s="390">
        <f>'TAMIU FGD'!$H$70</f>
        <v>8303</v>
      </c>
      <c r="I1884" s="390">
        <f>'TAMIU FGD'!$I$70</f>
        <v>1318830</v>
      </c>
      <c r="J1884" s="390">
        <f>'TAMIU FGD'!$J$70</f>
        <v>-526181</v>
      </c>
      <c r="K1884" s="390">
        <f>'TAMIU FGD'!$K$70</f>
        <v>0</v>
      </c>
      <c r="L1884" s="390">
        <f>'TAMIU FGD'!$L$70</f>
        <v>528880</v>
      </c>
      <c r="M1884" s="390">
        <f>'TAMIU FGD'!$M$70</f>
        <v>1731166</v>
      </c>
      <c r="N1884" s="401"/>
    </row>
    <row r="1885" spans="2:14" s="160" customFormat="1" ht="12.75" hidden="1" customHeight="1" outlineLevel="1">
      <c r="B1885" s="674" t="str">
        <f>'TAMU FGD'!$B$2</f>
        <v>Texas A&amp;M University</v>
      </c>
      <c r="C1885" s="161"/>
      <c r="D1885" s="390">
        <f>'TAMU FGD'!$D$70</f>
        <v>770890</v>
      </c>
      <c r="E1885" s="390">
        <f>'TAMU FGD'!$E$70</f>
        <v>31857984</v>
      </c>
      <c r="F1885" s="390">
        <f>'TAMU FGD'!$F$70</f>
        <v>2417810</v>
      </c>
      <c r="G1885" s="390">
        <f>'TAMU FGD'!$G$70</f>
        <v>1122</v>
      </c>
      <c r="H1885" s="390">
        <f>'TAMU FGD'!$H$70</f>
        <v>14688</v>
      </c>
      <c r="I1885" s="390">
        <f>'TAMU FGD'!$I$70</f>
        <v>19941</v>
      </c>
      <c r="J1885" s="390">
        <f>'TAMU FGD'!$J$70</f>
        <v>4196</v>
      </c>
      <c r="K1885" s="390">
        <f>'TAMU FGD'!$K$70</f>
        <v>0</v>
      </c>
      <c r="L1885" s="390">
        <f>'TAMU FGD'!$L$70</f>
        <v>11134872</v>
      </c>
      <c r="M1885" s="390">
        <f>'TAMU FGD'!$M$70</f>
        <v>46221503</v>
      </c>
      <c r="N1885" s="401"/>
    </row>
    <row r="1886" spans="2:14" s="160" customFormat="1" ht="12.75" hidden="1" customHeight="1" outlineLevel="1">
      <c r="B1886" s="674" t="str">
        <f>'TAMUC FGD'!$B$2</f>
        <v>Texas A&amp;M University - Commerce</v>
      </c>
      <c r="C1886" s="161"/>
      <c r="D1886" s="390">
        <f>'TAMUC FGD'!$D$70</f>
        <v>0</v>
      </c>
      <c r="E1886" s="390">
        <f>'TAMUC FGD'!$E$70</f>
        <v>907208</v>
      </c>
      <c r="F1886" s="390">
        <f>'TAMUC FGD'!$F$70</f>
        <v>0</v>
      </c>
      <c r="G1886" s="390">
        <f>'TAMUC FGD'!$G$70</f>
        <v>0</v>
      </c>
      <c r="H1886" s="390">
        <f>'TAMUC FGD'!$H$70</f>
        <v>6823</v>
      </c>
      <c r="I1886" s="390">
        <f>'TAMUC FGD'!$I$70</f>
        <v>0</v>
      </c>
      <c r="J1886" s="390">
        <f>'TAMUC FGD'!$J$70</f>
        <v>0</v>
      </c>
      <c r="K1886" s="390">
        <f>'TAMUC FGD'!$K$70</f>
        <v>0</v>
      </c>
      <c r="L1886" s="390">
        <f>'TAMUC FGD'!$L$70</f>
        <v>20677</v>
      </c>
      <c r="M1886" s="390">
        <f>'TAMUC FGD'!$M$70</f>
        <v>934708</v>
      </c>
      <c r="N1886" s="401"/>
    </row>
    <row r="1887" spans="2:14" s="160" customFormat="1" ht="12.75" hidden="1" customHeight="1" outlineLevel="1">
      <c r="B1887" s="674" t="str">
        <f>'TAMUCC FGD'!$B$2</f>
        <v>Texas A&amp;M University - Corpus Christi</v>
      </c>
      <c r="C1887" s="161"/>
      <c r="D1887" s="390">
        <f>'TAMUCC FGD'!$D$70</f>
        <v>1786131</v>
      </c>
      <c r="E1887" s="390">
        <f>'TAMUCC FGD'!$E$70</f>
        <v>474703</v>
      </c>
      <c r="F1887" s="390">
        <f>'TAMUCC FGD'!$F$70</f>
        <v>201000</v>
      </c>
      <c r="G1887" s="390">
        <f>'TAMUCC FGD'!$G$70</f>
        <v>114312</v>
      </c>
      <c r="H1887" s="390">
        <f>'TAMUCC FGD'!$H$70</f>
        <v>35280</v>
      </c>
      <c r="I1887" s="390">
        <f>'TAMUCC FGD'!$I$70</f>
        <v>376</v>
      </c>
      <c r="J1887" s="390">
        <f>'TAMUCC FGD'!$J$70</f>
        <v>0</v>
      </c>
      <c r="K1887" s="390">
        <f>'TAMUCC FGD'!$K$70</f>
        <v>0</v>
      </c>
      <c r="L1887" s="390">
        <f>'TAMUCC FGD'!$L$70</f>
        <v>3904545</v>
      </c>
      <c r="M1887" s="390">
        <f>'TAMUCC FGD'!$M$70</f>
        <v>6516347</v>
      </c>
      <c r="N1887" s="401"/>
    </row>
    <row r="1888" spans="2:14" s="160" customFormat="1" ht="12.75" hidden="1" customHeight="1" outlineLevel="1">
      <c r="B1888" s="674" t="str">
        <f>'TAMUCT FGD'!$B$2</f>
        <v>Texas A&amp;M University - Central Texas</v>
      </c>
      <c r="C1888" s="161"/>
      <c r="D1888" s="390">
        <f>'TAMUCT FGD'!$D$70</f>
        <v>0</v>
      </c>
      <c r="E1888" s="390">
        <f>'TAMUCT FGD'!$E$70</f>
        <v>120512</v>
      </c>
      <c r="F1888" s="390">
        <f>'TAMUCT FGD'!$F$70</f>
        <v>0</v>
      </c>
      <c r="G1888" s="390">
        <f>'TAMUCT FGD'!$G$70</f>
        <v>0</v>
      </c>
      <c r="H1888" s="390">
        <f>'TAMUCT FGD'!$H$70</f>
        <v>0</v>
      </c>
      <c r="I1888" s="390">
        <f>'TAMUCT FGD'!$I$70</f>
        <v>0</v>
      </c>
      <c r="J1888" s="390">
        <f>'TAMUCT FGD'!$J$70</f>
        <v>0</v>
      </c>
      <c r="K1888" s="390">
        <f>'TAMUCT FGD'!$K$70</f>
        <v>0</v>
      </c>
      <c r="L1888" s="390">
        <f>'TAMUCT FGD'!$L$70</f>
        <v>1010461</v>
      </c>
      <c r="M1888" s="390">
        <f>'TAMUCT FGD'!$M$70</f>
        <v>1130973</v>
      </c>
      <c r="N1888" s="401"/>
    </row>
    <row r="1889" spans="2:14" s="160" customFormat="1" ht="12.75" hidden="1" customHeight="1" outlineLevel="1">
      <c r="B1889" s="674" t="str">
        <f>'TAMUG FGD'!$B$2</f>
        <v>Texas A&amp;M University at Galveston</v>
      </c>
      <c r="C1889" s="161"/>
      <c r="D1889" s="390">
        <f>'TAMUG FGD'!$D$70</f>
        <v>8826</v>
      </c>
      <c r="E1889" s="390">
        <f>'TAMUG FGD'!$E$70</f>
        <v>239396</v>
      </c>
      <c r="F1889" s="390">
        <f>'TAMUG FGD'!$F$70</f>
        <v>0</v>
      </c>
      <c r="G1889" s="390">
        <f>'TAMUG FGD'!$G$70</f>
        <v>0</v>
      </c>
      <c r="H1889" s="390">
        <f>'TAMUG FGD'!$H$70</f>
        <v>53137</v>
      </c>
      <c r="I1889" s="390">
        <f>'TAMUG FGD'!$I$70</f>
        <v>0</v>
      </c>
      <c r="J1889" s="390">
        <f>'TAMUG FGD'!$J$70</f>
        <v>0</v>
      </c>
      <c r="K1889" s="390">
        <f>'TAMUG FGD'!$K$70</f>
        <v>0</v>
      </c>
      <c r="L1889" s="390">
        <f>'TAMUG FGD'!$L$70</f>
        <v>2602</v>
      </c>
      <c r="M1889" s="390">
        <f>'TAMUG FGD'!$M$70</f>
        <v>303961</v>
      </c>
      <c r="N1889" s="401"/>
    </row>
    <row r="1890" spans="2:14" s="160" customFormat="1" ht="12.75" hidden="1" customHeight="1" outlineLevel="1">
      <c r="B1890" s="674" t="str">
        <f>'TAMUK FGD'!$B$2</f>
        <v>Texas A&amp;M University - Kingsville</v>
      </c>
      <c r="C1890" s="161"/>
      <c r="D1890" s="390">
        <f>'TAMUK FGD'!$D$70</f>
        <v>0</v>
      </c>
      <c r="E1890" s="390">
        <f>'TAMUK FGD'!$E$70</f>
        <v>430165</v>
      </c>
      <c r="F1890" s="390">
        <f>'TAMUK FGD'!$F$70</f>
        <v>0</v>
      </c>
      <c r="G1890" s="390">
        <f>'TAMUK FGD'!$G$70</f>
        <v>0</v>
      </c>
      <c r="H1890" s="390">
        <f>'TAMUK FGD'!$H$70</f>
        <v>0</v>
      </c>
      <c r="I1890" s="390">
        <f>'TAMUK FGD'!$I$70</f>
        <v>0</v>
      </c>
      <c r="J1890" s="390">
        <f>'TAMUK FGD'!$J$70</f>
        <v>0</v>
      </c>
      <c r="K1890" s="390">
        <f>'TAMUK FGD'!$K$70</f>
        <v>0</v>
      </c>
      <c r="L1890" s="390">
        <f>'TAMUK FGD'!$L$70</f>
        <v>1184663</v>
      </c>
      <c r="M1890" s="390">
        <f>'TAMUK FGD'!$M$70</f>
        <v>1614828</v>
      </c>
      <c r="N1890" s="401"/>
    </row>
    <row r="1891" spans="2:14" s="160" customFormat="1" ht="12.75" hidden="1" customHeight="1" outlineLevel="1">
      <c r="B1891" s="674" t="str">
        <f>'TAMUSA FGD'!$B$2</f>
        <v>Texas A&amp;M University - San Antonio</v>
      </c>
      <c r="C1891" s="161"/>
      <c r="D1891" s="390">
        <f>'TAMUSA FGD'!$D$70</f>
        <v>0</v>
      </c>
      <c r="E1891" s="390">
        <f>'TAMUSA FGD'!$E$70</f>
        <v>269432</v>
      </c>
      <c r="F1891" s="390">
        <f>'TAMUSA FGD'!$F$70</f>
        <v>0</v>
      </c>
      <c r="G1891" s="390">
        <f>'TAMUSA FGD'!$G$70</f>
        <v>0</v>
      </c>
      <c r="H1891" s="390">
        <f>'TAMUSA FGD'!$H$70</f>
        <v>0</v>
      </c>
      <c r="I1891" s="390">
        <f>'TAMUSA FGD'!$I$70</f>
        <v>0</v>
      </c>
      <c r="J1891" s="390">
        <f>'TAMUSA FGD'!$J$70</f>
        <v>0</v>
      </c>
      <c r="K1891" s="390">
        <f>'TAMUSA FGD'!$K$70</f>
        <v>0</v>
      </c>
      <c r="L1891" s="390">
        <f>'TAMUSA FGD'!$L$70</f>
        <v>15155</v>
      </c>
      <c r="M1891" s="390">
        <f>'TAMUSA FGD'!$M$70</f>
        <v>284587</v>
      </c>
      <c r="N1891" s="401"/>
    </row>
    <row r="1892" spans="2:14" s="160" customFormat="1" ht="12.75" hidden="1" customHeight="1" outlineLevel="1">
      <c r="B1892" s="674" t="str">
        <f>'TAMUT FGD'!$B$2</f>
        <v>Texas A&amp;M University - Texarkana</v>
      </c>
      <c r="C1892" s="161"/>
      <c r="D1892" s="390">
        <f>'TAMUT FGD'!$D$70</f>
        <v>0</v>
      </c>
      <c r="E1892" s="390">
        <f>'TAMUT FGD'!$E$70</f>
        <v>105278</v>
      </c>
      <c r="F1892" s="390">
        <f>'TAMUT FGD'!$F$70</f>
        <v>0</v>
      </c>
      <c r="G1892" s="390">
        <f>'TAMUT FGD'!$G$70</f>
        <v>216734</v>
      </c>
      <c r="H1892" s="390">
        <f>'TAMUT FGD'!$H$70</f>
        <v>0</v>
      </c>
      <c r="I1892" s="390">
        <f>'TAMUT FGD'!$I$70</f>
        <v>0</v>
      </c>
      <c r="J1892" s="390">
        <f>'TAMUT FGD'!$J$70</f>
        <v>0</v>
      </c>
      <c r="K1892" s="390">
        <f>'TAMUT FGD'!$K$70</f>
        <v>0</v>
      </c>
      <c r="L1892" s="390">
        <f>'TAMUT FGD'!$L$70</f>
        <v>1816260</v>
      </c>
      <c r="M1892" s="390">
        <f>'TAMUT FGD'!$M$70</f>
        <v>2138272</v>
      </c>
      <c r="N1892" s="401"/>
    </row>
    <row r="1893" spans="2:14" s="160" customFormat="1" ht="12.75" hidden="1" customHeight="1" outlineLevel="1">
      <c r="B1893" s="674" t="str">
        <f>'TARLST FGD'!$B$2</f>
        <v>Tarleton State University</v>
      </c>
      <c r="C1893" s="161"/>
      <c r="D1893" s="390">
        <f>'TARLST FGD'!$D$70</f>
        <v>0</v>
      </c>
      <c r="E1893" s="390">
        <f>'TARLST FGD'!$E$70</f>
        <v>591938</v>
      </c>
      <c r="F1893" s="390">
        <f>'TARLST FGD'!$F$70</f>
        <v>36640</v>
      </c>
      <c r="G1893" s="390">
        <f>'TARLST FGD'!$G$70</f>
        <v>0</v>
      </c>
      <c r="H1893" s="390">
        <f>'TARLST FGD'!$H$70</f>
        <v>0</v>
      </c>
      <c r="I1893" s="390">
        <f>'TARLST FGD'!$I$70</f>
        <v>0</v>
      </c>
      <c r="J1893" s="390">
        <f>'TARLST FGD'!$J$70</f>
        <v>0</v>
      </c>
      <c r="K1893" s="390">
        <f>'TARLST FGD'!$K$70</f>
        <v>0</v>
      </c>
      <c r="L1893" s="390">
        <f>'TARLST FGD'!$L$70</f>
        <v>2708694</v>
      </c>
      <c r="M1893" s="390">
        <f>'TARLST FGD'!$M$70</f>
        <v>3337272</v>
      </c>
      <c r="N1893" s="401"/>
    </row>
    <row r="1894" spans="2:14" s="160" customFormat="1" ht="12.75" hidden="1" customHeight="1" outlineLevel="1">
      <c r="B1894" s="674" t="str">
        <f>'TSU FGD'!$B$2</f>
        <v>Texas Southern University</v>
      </c>
      <c r="C1894" s="161"/>
      <c r="D1894" s="390">
        <f>'TSU FGD'!$D$70</f>
        <v>0</v>
      </c>
      <c r="E1894" s="390">
        <f>'TSU FGD'!$E$70</f>
        <v>0</v>
      </c>
      <c r="F1894" s="390">
        <f>'TSU FGD'!$F$70</f>
        <v>0</v>
      </c>
      <c r="G1894" s="390">
        <f>'TSU FGD'!$G$70</f>
        <v>0</v>
      </c>
      <c r="H1894" s="390">
        <f>'TSU FGD'!$H$70</f>
        <v>0</v>
      </c>
      <c r="I1894" s="390">
        <f>'TSU FGD'!$I$70</f>
        <v>525803</v>
      </c>
      <c r="J1894" s="390">
        <f>'TSU FGD'!$J$70</f>
        <v>0</v>
      </c>
      <c r="K1894" s="390">
        <f>'TSU FGD'!$K$70</f>
        <v>0</v>
      </c>
      <c r="L1894" s="390">
        <f>'TSU FGD'!$L$70</f>
        <v>0</v>
      </c>
      <c r="M1894" s="390">
        <f>'TSU FGD'!$M$70</f>
        <v>525803</v>
      </c>
      <c r="N1894" s="401"/>
    </row>
    <row r="1895" spans="2:14" s="160" customFormat="1" ht="12.75" hidden="1" customHeight="1" outlineLevel="1">
      <c r="B1895" s="674" t="str">
        <f>'TTU FGD'!$B$2</f>
        <v>Texas Tech University</v>
      </c>
      <c r="C1895" s="161"/>
      <c r="D1895" s="390">
        <f>'TTU FGD'!$D$70</f>
        <v>0</v>
      </c>
      <c r="E1895" s="390">
        <f>'TTU FGD'!$E$70</f>
        <v>0</v>
      </c>
      <c r="F1895" s="390">
        <f>'TTU FGD'!$F$70</f>
        <v>5406</v>
      </c>
      <c r="G1895" s="390">
        <f>'TTU FGD'!$G$70</f>
        <v>0</v>
      </c>
      <c r="H1895" s="390">
        <f>'TTU FGD'!$H$70</f>
        <v>0</v>
      </c>
      <c r="I1895" s="390">
        <f>'TTU FGD'!$I$70</f>
        <v>0</v>
      </c>
      <c r="J1895" s="390">
        <f>'TTU FGD'!$J$70</f>
        <v>0</v>
      </c>
      <c r="K1895" s="390">
        <f>'TTU FGD'!$K$70</f>
        <v>0</v>
      </c>
      <c r="L1895" s="390">
        <f>'TTU FGD'!$L$70</f>
        <v>592374</v>
      </c>
      <c r="M1895" s="390">
        <f>'TTU FGD'!$M$70</f>
        <v>597780</v>
      </c>
      <c r="N1895" s="401"/>
    </row>
    <row r="1896" spans="2:14" s="160" customFormat="1" ht="12.75" hidden="1" customHeight="1" outlineLevel="1">
      <c r="B1896" s="674" t="str">
        <f>'TWU FGD'!$B$2</f>
        <v>Texas Woman's University</v>
      </c>
      <c r="C1896" s="161"/>
      <c r="D1896" s="390">
        <f>'TWU FGD'!$D$70</f>
        <v>0</v>
      </c>
      <c r="E1896" s="390">
        <f>'TWU FGD'!$E$70</f>
        <v>0</v>
      </c>
      <c r="F1896" s="390">
        <f>'TWU FGD'!$F$70</f>
        <v>0</v>
      </c>
      <c r="G1896" s="390">
        <f>'TWU FGD'!$G$70</f>
        <v>0</v>
      </c>
      <c r="H1896" s="390">
        <f>'TWU FGD'!$H$70</f>
        <v>0</v>
      </c>
      <c r="I1896" s="390">
        <f>'TWU FGD'!$I$70</f>
        <v>0</v>
      </c>
      <c r="J1896" s="390">
        <f>'TWU FGD'!$J$70</f>
        <v>0</v>
      </c>
      <c r="K1896" s="390">
        <f>'TWU FGD'!$K$70</f>
        <v>1025</v>
      </c>
      <c r="L1896" s="390">
        <f>'TWU FGD'!$L$70</f>
        <v>120227</v>
      </c>
      <c r="M1896" s="390">
        <f>'TWU FGD'!$M$70</f>
        <v>121252</v>
      </c>
      <c r="N1896" s="401"/>
    </row>
    <row r="1897" spans="2:14" s="160" customFormat="1" ht="12.75" hidden="1" customHeight="1" outlineLevel="1">
      <c r="B1897" s="674" t="str">
        <f>'TXST FGD'!$B$2</f>
        <v>Texas State University</v>
      </c>
      <c r="C1897" s="161"/>
      <c r="D1897" s="390">
        <f>'TXST FGD'!$D$70</f>
        <v>232</v>
      </c>
      <c r="E1897" s="390">
        <f>'TXST FGD'!$E$70</f>
        <v>12577</v>
      </c>
      <c r="F1897" s="390">
        <f>'TXST FGD'!$F$70</f>
        <v>15862</v>
      </c>
      <c r="G1897" s="390">
        <f>'TXST FGD'!$G$70</f>
        <v>17970</v>
      </c>
      <c r="H1897" s="390">
        <f>'TXST FGD'!$H$70</f>
        <v>448668</v>
      </c>
      <c r="I1897" s="390">
        <f>'TXST FGD'!$I$70</f>
        <v>76207</v>
      </c>
      <c r="J1897" s="390">
        <f>'TXST FGD'!$J$70</f>
        <v>12188</v>
      </c>
      <c r="K1897" s="390">
        <f>'TXST FGD'!$K$70</f>
        <v>658</v>
      </c>
      <c r="L1897" s="390">
        <f>'TXST FGD'!$L$70</f>
        <v>0</v>
      </c>
      <c r="M1897" s="390">
        <f>'TXST FGD'!$M$70</f>
        <v>584362</v>
      </c>
      <c r="N1897" s="401"/>
    </row>
    <row r="1898" spans="2:14" s="160" customFormat="1" ht="12.75" hidden="1" customHeight="1" outlineLevel="1">
      <c r="B1898" s="674" t="str">
        <f>'TYL FGD'!$B$2</f>
        <v>The University of Texas at Tyler</v>
      </c>
      <c r="C1898" s="161"/>
      <c r="D1898" s="390">
        <f>'TYL FGD'!$D$70</f>
        <v>0</v>
      </c>
      <c r="E1898" s="390">
        <f>'TYL FGD'!$E$70</f>
        <v>0</v>
      </c>
      <c r="F1898" s="390">
        <f>'TYL FGD'!$F$70</f>
        <v>0</v>
      </c>
      <c r="G1898" s="390">
        <f>'TYL FGD'!$G$70</f>
        <v>0</v>
      </c>
      <c r="H1898" s="390">
        <f>'TYL FGD'!$H$70</f>
        <v>0</v>
      </c>
      <c r="I1898" s="390">
        <f>'TYL FGD'!$I$70</f>
        <v>0</v>
      </c>
      <c r="J1898" s="390">
        <f>'TYL FGD'!$J$70</f>
        <v>0</v>
      </c>
      <c r="K1898" s="390">
        <f>'TYL FGD'!$K$70</f>
        <v>0</v>
      </c>
      <c r="L1898" s="390">
        <f>'TYL FGD'!$L$70</f>
        <v>0</v>
      </c>
      <c r="M1898" s="390">
        <f>'TYL FGD'!$M$70</f>
        <v>0</v>
      </c>
      <c r="N1898" s="401"/>
    </row>
    <row r="1899" spans="2:14" s="160" customFormat="1" ht="12.75" hidden="1" customHeight="1" outlineLevel="1">
      <c r="B1899" s="674" t="str">
        <f>'UH1 FGD'!$B$2</f>
        <v>University of Houston - Academic &amp; Health (A+H)</v>
      </c>
      <c r="C1899" s="161"/>
      <c r="D1899" s="390">
        <f>'UH1 FGD'!$D$70</f>
        <v>4007816</v>
      </c>
      <c r="E1899" s="390">
        <f>'UH1 FGD'!$E$70</f>
        <v>0</v>
      </c>
      <c r="F1899" s="390">
        <f>'UH1 FGD'!$F$70</f>
        <v>68030</v>
      </c>
      <c r="G1899" s="390">
        <f>'UH1 FGD'!$G$70</f>
        <v>0</v>
      </c>
      <c r="H1899" s="390">
        <f>'UH1 FGD'!$H$70</f>
        <v>67713</v>
      </c>
      <c r="I1899" s="390">
        <f>'UH1 FGD'!$I$70</f>
        <v>21805891</v>
      </c>
      <c r="J1899" s="390">
        <f>'UH1 FGD'!$J$70</f>
        <v>118335844</v>
      </c>
      <c r="K1899" s="390">
        <f>'UH1 FGD'!$K$70</f>
        <v>0</v>
      </c>
      <c r="L1899" s="390">
        <f>'UH1 FGD'!$L$70</f>
        <v>0</v>
      </c>
      <c r="M1899" s="390">
        <f>'UH1 FGD'!$M$70</f>
        <v>144285294</v>
      </c>
      <c r="N1899" s="401"/>
    </row>
    <row r="1900" spans="2:14" s="160" customFormat="1" ht="12.75" hidden="1" customHeight="1" outlineLevel="1">
      <c r="B1900" s="674" t="str">
        <f>'UHCL FGD'!$B$2</f>
        <v>University of Houston - Clear Lake</v>
      </c>
      <c r="C1900" s="161"/>
      <c r="D1900" s="390">
        <f>'UHCL FGD'!$D$70</f>
        <v>757131</v>
      </c>
      <c r="E1900" s="390">
        <f>'UHCL FGD'!$E$70</f>
        <v>0</v>
      </c>
      <c r="F1900" s="390">
        <f>'UHCL FGD'!$F$70</f>
        <v>0</v>
      </c>
      <c r="G1900" s="390">
        <f>'UHCL FGD'!$G$70</f>
        <v>0</v>
      </c>
      <c r="H1900" s="390">
        <f>'UHCL FGD'!$H$70</f>
        <v>38258</v>
      </c>
      <c r="I1900" s="390">
        <f>'UHCL FGD'!$I$70</f>
        <v>986030</v>
      </c>
      <c r="J1900" s="390">
        <f>'UHCL FGD'!$J$70</f>
        <v>1988987</v>
      </c>
      <c r="K1900" s="390">
        <f>'UHCL FGD'!$K$70</f>
        <v>7643433</v>
      </c>
      <c r="L1900" s="390">
        <f>'UHCL FGD'!$L$70</f>
        <v>0</v>
      </c>
      <c r="M1900" s="390">
        <f>'UHCL FGD'!$M$70</f>
        <v>11413839</v>
      </c>
      <c r="N1900" s="401"/>
    </row>
    <row r="1901" spans="2:14" s="160" customFormat="1" ht="12.75" hidden="1" customHeight="1" outlineLevel="1">
      <c r="B1901" s="674" t="str">
        <f>'UHD FGD'!$B$2</f>
        <v>University of Houston - Downtown</v>
      </c>
      <c r="C1901" s="161"/>
      <c r="D1901" s="390">
        <f>'UHD FGD'!$D$70</f>
        <v>181576</v>
      </c>
      <c r="E1901" s="390">
        <f>'UHD FGD'!$E$70</f>
        <v>0</v>
      </c>
      <c r="F1901" s="390">
        <f>'UHD FGD'!$F$70</f>
        <v>0</v>
      </c>
      <c r="G1901" s="390">
        <f>'UHD FGD'!$G$70</f>
        <v>0</v>
      </c>
      <c r="H1901" s="390">
        <f>'UHD FGD'!$H$70</f>
        <v>0</v>
      </c>
      <c r="I1901" s="390">
        <f>'UHD FGD'!$I$70</f>
        <v>1257932</v>
      </c>
      <c r="J1901" s="390">
        <f>'UHD FGD'!$J$70</f>
        <v>1587896</v>
      </c>
      <c r="K1901" s="390">
        <f>'UHD FGD'!$K$70</f>
        <v>0</v>
      </c>
      <c r="L1901" s="390">
        <f>'UHD FGD'!$L$70</f>
        <v>0</v>
      </c>
      <c r="M1901" s="390">
        <f>'UHD FGD'!$M$70</f>
        <v>3027404</v>
      </c>
      <c r="N1901" s="401"/>
    </row>
    <row r="1902" spans="2:14" s="160" customFormat="1" ht="12.75" hidden="1" customHeight="1" outlineLevel="1">
      <c r="B1902" s="674" t="str">
        <f>'UHV FGD'!$B$2</f>
        <v>University of Houston - Victoria</v>
      </c>
      <c r="C1902" s="161"/>
      <c r="D1902" s="390">
        <f>'UHV FGD'!$D$70</f>
        <v>0</v>
      </c>
      <c r="E1902" s="390">
        <f>'UHV FGD'!$E$70</f>
        <v>240</v>
      </c>
      <c r="F1902" s="390">
        <f>'UHV FGD'!$F$70</f>
        <v>8998</v>
      </c>
      <c r="G1902" s="390">
        <f>'UHV FGD'!$G$70</f>
        <v>0</v>
      </c>
      <c r="H1902" s="390">
        <f>'UHV FGD'!$H$70</f>
        <v>0</v>
      </c>
      <c r="I1902" s="390">
        <f>'UHV FGD'!$I$70</f>
        <v>0</v>
      </c>
      <c r="J1902" s="390">
        <f>'UHV FGD'!$J$70</f>
        <v>2596431</v>
      </c>
      <c r="K1902" s="390">
        <f>'UHV FGD'!$K$70</f>
        <v>0</v>
      </c>
      <c r="L1902" s="390">
        <f>'UHV FGD'!$L$70</f>
        <v>204597</v>
      </c>
      <c r="M1902" s="390">
        <f>'UHV FGD'!$M$70</f>
        <v>2810266</v>
      </c>
      <c r="N1902" s="401"/>
    </row>
    <row r="1903" spans="2:14" s="160" customFormat="1" ht="12.75" hidden="1" customHeight="1" outlineLevel="1">
      <c r="B1903" s="674" t="str">
        <f>'UNT FGD'!$B$2</f>
        <v>University of North Texas</v>
      </c>
      <c r="C1903" s="161"/>
      <c r="D1903" s="390">
        <f>'UNT FGD'!$D$70</f>
        <v>0</v>
      </c>
      <c r="E1903" s="390">
        <f>'UNT FGD'!$E$70</f>
        <v>1661628</v>
      </c>
      <c r="F1903" s="390">
        <f>'UNT FGD'!$F$70</f>
        <v>0</v>
      </c>
      <c r="G1903" s="390">
        <f>'UNT FGD'!$G$70</f>
        <v>8237302</v>
      </c>
      <c r="H1903" s="390">
        <f>'UNT FGD'!$H$70</f>
        <v>-645182</v>
      </c>
      <c r="I1903" s="390">
        <f>'UNT FGD'!$I$70</f>
        <v>0</v>
      </c>
      <c r="J1903" s="390">
        <f>'UNT FGD'!$J$70</f>
        <v>0</v>
      </c>
      <c r="K1903" s="390">
        <f>'UNT FGD'!$K$70</f>
        <v>0</v>
      </c>
      <c r="L1903" s="390">
        <f>'UNT FGD'!$L$70</f>
        <v>0</v>
      </c>
      <c r="M1903" s="390">
        <f>'UNT FGD'!$M$70</f>
        <v>9253748</v>
      </c>
      <c r="N1903" s="401"/>
    </row>
    <row r="1904" spans="2:14" s="160" customFormat="1" ht="12.75" hidden="1" customHeight="1" outlineLevel="1">
      <c r="B1904" s="674" t="str">
        <f>'UNTD FGD'!$B$2</f>
        <v>University of North Texas at Dallas</v>
      </c>
      <c r="C1904" s="161"/>
      <c r="D1904" s="390">
        <f>'UNTD FGD'!$D$70</f>
        <v>0</v>
      </c>
      <c r="E1904" s="390">
        <f>'UNTD FGD'!$E$70</f>
        <v>-12471</v>
      </c>
      <c r="F1904" s="390">
        <f>'UNTD FGD'!$F$70</f>
        <v>0</v>
      </c>
      <c r="G1904" s="390">
        <f>'UNTD FGD'!$G$70</f>
        <v>1984496</v>
      </c>
      <c r="H1904" s="390">
        <f>'UNTD FGD'!$H$70</f>
        <v>0</v>
      </c>
      <c r="I1904" s="390">
        <f>'UNTD FGD'!$I$70</f>
        <v>0</v>
      </c>
      <c r="J1904" s="390">
        <f>'UNTD FGD'!$J$70</f>
        <v>0</v>
      </c>
      <c r="K1904" s="390">
        <f>'UNTD FGD'!$K$70</f>
        <v>0</v>
      </c>
      <c r="L1904" s="390">
        <f>'UNTD FGD'!$L$70</f>
        <v>0</v>
      </c>
      <c r="M1904" s="390">
        <f>'UNTD FGD'!$M$70</f>
        <v>1972025</v>
      </c>
      <c r="N1904" s="401"/>
    </row>
    <row r="1905" spans="2:14" s="160" customFormat="1" ht="12.75" hidden="1" customHeight="1" outlineLevel="1">
      <c r="B1905" s="674" t="str">
        <f>'WTAMU FGD'!$B$2</f>
        <v>West Texas A&amp;M University</v>
      </c>
      <c r="C1905" s="161"/>
      <c r="D1905" s="390">
        <f>'WTAMU FGD'!$D$70</f>
        <v>0</v>
      </c>
      <c r="E1905" s="390">
        <f>'WTAMU FGD'!$E$70</f>
        <v>517619</v>
      </c>
      <c r="F1905" s="390">
        <f>'WTAMU FGD'!$F$70</f>
        <v>0</v>
      </c>
      <c r="G1905" s="390">
        <f>'WTAMU FGD'!$G$70</f>
        <v>0</v>
      </c>
      <c r="H1905" s="390">
        <f>'WTAMU FGD'!$H$70</f>
        <v>0</v>
      </c>
      <c r="I1905" s="390">
        <f>'WTAMU FGD'!$I$70</f>
        <v>0</v>
      </c>
      <c r="J1905" s="390">
        <f>'WTAMU FGD'!$J$70</f>
        <v>0</v>
      </c>
      <c r="K1905" s="390">
        <f>'WTAMU FGD'!$K$70</f>
        <v>0</v>
      </c>
      <c r="L1905" s="390">
        <f>'WTAMU FGD'!$L$70</f>
        <v>20000</v>
      </c>
      <c r="M1905" s="390">
        <f>'WTAMU FGD'!$M$70</f>
        <v>537619</v>
      </c>
      <c r="N1905" s="401"/>
    </row>
    <row r="1906" spans="2:14" s="160" customFormat="1" collapsed="1">
      <c r="B1906" s="178" t="s">
        <v>44</v>
      </c>
      <c r="C1906" s="178"/>
      <c r="D1906" s="582">
        <f t="shared" ref="D1906:M1906" si="50">SUM(D1870:D1905)</f>
        <v>7756632</v>
      </c>
      <c r="E1906" s="582">
        <f t="shared" si="50"/>
        <v>39508978</v>
      </c>
      <c r="F1906" s="582">
        <f t="shared" si="50"/>
        <v>2958621</v>
      </c>
      <c r="G1906" s="582">
        <f t="shared" si="50"/>
        <v>12018526</v>
      </c>
      <c r="H1906" s="582">
        <f t="shared" si="50"/>
        <v>-119830</v>
      </c>
      <c r="I1906" s="582">
        <f t="shared" si="50"/>
        <v>26143096</v>
      </c>
      <c r="J1906" s="582">
        <f t="shared" si="50"/>
        <v>125733959</v>
      </c>
      <c r="K1906" s="582">
        <f t="shared" si="50"/>
        <v>7901499</v>
      </c>
      <c r="L1906" s="582">
        <f t="shared" si="50"/>
        <v>43378161</v>
      </c>
      <c r="M1906" s="390">
        <f t="shared" si="50"/>
        <v>265279642</v>
      </c>
      <c r="N1906" s="401"/>
    </row>
    <row r="1907" spans="2:14" s="160" customFormat="1" ht="12.75" hidden="1" customHeight="1" outlineLevel="1">
      <c r="B1907" s="582" t="str">
        <f>'ARL FGD'!$B$2</f>
        <v>The University of Texas at Arlington</v>
      </c>
      <c r="C1907" s="178"/>
      <c r="D1907" s="582">
        <f>'ARL FGD'!$D$71</f>
        <v>224846670</v>
      </c>
      <c r="E1907" s="582">
        <f>'ARL FGD'!$E$71</f>
        <v>278612962</v>
      </c>
      <c r="F1907" s="582">
        <f>'ARL FGD'!$F$71</f>
        <v>49303005</v>
      </c>
      <c r="G1907" s="582">
        <f>'ARL FGD'!$G$71</f>
        <v>135929544</v>
      </c>
      <c r="H1907" s="582">
        <f>'ARL FGD'!$H$71</f>
        <v>-863010</v>
      </c>
      <c r="I1907" s="582">
        <f>'ARL FGD'!$I$71</f>
        <v>0</v>
      </c>
      <c r="J1907" s="582">
        <f>'ARL FGD'!$J$71</f>
        <v>7141610</v>
      </c>
      <c r="K1907" s="582">
        <f>'ARL FGD'!$K$71</f>
        <v>0</v>
      </c>
      <c r="L1907" s="582">
        <f>'ARL FGD'!$L$71</f>
        <v>662812</v>
      </c>
      <c r="M1907" s="390">
        <f>'ARL FGD'!$M$71</f>
        <v>695633593</v>
      </c>
      <c r="N1907" s="401"/>
    </row>
    <row r="1908" spans="2:14" s="160" customFormat="1" ht="12.75" hidden="1" customHeight="1" outlineLevel="1">
      <c r="B1908" s="582" t="str">
        <f>'ASU FGD'!$B$2</f>
        <v>Angelo State University</v>
      </c>
      <c r="C1908" s="178"/>
      <c r="D1908" s="582">
        <f>'ASU FGD'!$D$71</f>
        <v>52773075</v>
      </c>
      <c r="E1908" s="582">
        <f>'ASU FGD'!$E$71</f>
        <v>42075432</v>
      </c>
      <c r="F1908" s="582">
        <f>'ASU FGD'!$F$71</f>
        <v>20816468</v>
      </c>
      <c r="G1908" s="582">
        <f>'ASU FGD'!$G$71</f>
        <v>11405138</v>
      </c>
      <c r="H1908" s="582">
        <f>'ASU FGD'!$H$71</f>
        <v>-3901</v>
      </c>
      <c r="I1908" s="582">
        <f>'ASU FGD'!$I$71</f>
        <v>0</v>
      </c>
      <c r="J1908" s="582">
        <f>'ASU FGD'!$J$71</f>
        <v>2237119</v>
      </c>
      <c r="K1908" s="582">
        <f>'ASU FGD'!$K$71</f>
        <v>0</v>
      </c>
      <c r="L1908" s="582">
        <f>'ASU FGD'!$L$71</f>
        <v>0</v>
      </c>
      <c r="M1908" s="390">
        <f>'ASU FGD'!$M$71</f>
        <v>129303331</v>
      </c>
      <c r="N1908" s="401"/>
    </row>
    <row r="1909" spans="2:14" s="160" customFormat="1" ht="12.75" hidden="1" customHeight="1" outlineLevel="1">
      <c r="B1909" s="582" t="str">
        <f>'AUS1 FGD'!$B$2</f>
        <v>The University of Texas at Austin - Academic &amp; Health (A+H)</v>
      </c>
      <c r="C1909" s="178"/>
      <c r="D1909" s="582">
        <f>'AUS1 FGD'!$D$71</f>
        <v>794980107</v>
      </c>
      <c r="E1909" s="582">
        <f>'AUS1 FGD'!$E$71</f>
        <v>727434620</v>
      </c>
      <c r="F1909" s="582">
        <f>'AUS1 FGD'!$F$71</f>
        <v>215599718</v>
      </c>
      <c r="G1909" s="582">
        <f>'AUS1 FGD'!$G$71</f>
        <v>805541659</v>
      </c>
      <c r="H1909" s="582">
        <f>'AUS1 FGD'!$H$71</f>
        <v>-879074</v>
      </c>
      <c r="I1909" s="582">
        <f>'AUS1 FGD'!$I$71</f>
        <v>0</v>
      </c>
      <c r="J1909" s="582">
        <f>'AUS1 FGD'!$J$71</f>
        <v>51562083</v>
      </c>
      <c r="K1909" s="582">
        <f>'AUS1 FGD'!$K$71</f>
        <v>0</v>
      </c>
      <c r="L1909" s="582">
        <f>'AUS1 FGD'!$L$71</f>
        <v>903110</v>
      </c>
      <c r="M1909" s="390">
        <f>'AUS1 FGD'!$M$71</f>
        <v>2595142223</v>
      </c>
      <c r="N1909" s="401"/>
    </row>
    <row r="1910" spans="2:14" s="160" customFormat="1" ht="12.75" hidden="1" customHeight="1" outlineLevel="1">
      <c r="B1910" s="582" t="str">
        <f>'RGV1 FGD'!$B$2</f>
        <v>The University of Texas RGV - Academic &amp; Health (A+H)</v>
      </c>
      <c r="C1910" s="178"/>
      <c r="D1910" s="582">
        <f>'RGV1 FGD'!$D$71</f>
        <v>172254225</v>
      </c>
      <c r="E1910" s="582">
        <f>'RGV1 FGD'!$E$71</f>
        <v>135600040</v>
      </c>
      <c r="F1910" s="582">
        <f>'RGV1 FGD'!$F$71</f>
        <v>21912276</v>
      </c>
      <c r="G1910" s="582">
        <f>'RGV1 FGD'!$G$71</f>
        <v>154317080</v>
      </c>
      <c r="H1910" s="582">
        <f>'RGV1 FGD'!$H$71</f>
        <v>-539663</v>
      </c>
      <c r="I1910" s="582">
        <f>'RGV1 FGD'!$I$71</f>
        <v>0</v>
      </c>
      <c r="J1910" s="582">
        <f>'RGV1 FGD'!$J$71</f>
        <v>2517358</v>
      </c>
      <c r="K1910" s="582">
        <f>'RGV1 FGD'!$K$71</f>
        <v>0</v>
      </c>
      <c r="L1910" s="582">
        <f>'RGV1 FGD'!$L$71</f>
        <v>0</v>
      </c>
      <c r="M1910" s="390">
        <f>'RGV1 FGD'!$M$71</f>
        <v>486061316</v>
      </c>
      <c r="N1910" s="401"/>
    </row>
    <row r="1911" spans="2:14" s="160" customFormat="1" ht="12.75" hidden="1" customHeight="1" outlineLevel="1">
      <c r="B1911" s="582" t="str">
        <f>'DAL FGD'!$B$2</f>
        <v>The University of Texas at Dallas</v>
      </c>
      <c r="C1911" s="178"/>
      <c r="D1911" s="582">
        <f>'DAL FGD'!$D$71</f>
        <v>166215415</v>
      </c>
      <c r="E1911" s="582">
        <f>'DAL FGD'!$E$71</f>
        <v>273355344</v>
      </c>
      <c r="F1911" s="582">
        <f>'DAL FGD'!$F$71</f>
        <v>39344207</v>
      </c>
      <c r="G1911" s="582">
        <f>'DAL FGD'!$G$71</f>
        <v>108748618</v>
      </c>
      <c r="H1911" s="582">
        <f>'DAL FGD'!$H$71</f>
        <v>5339</v>
      </c>
      <c r="I1911" s="582">
        <f>'DAL FGD'!$I$71</f>
        <v>0</v>
      </c>
      <c r="J1911" s="582">
        <f>'DAL FGD'!$J$71</f>
        <v>988501</v>
      </c>
      <c r="K1911" s="582">
        <f>'DAL FGD'!$K$71</f>
        <v>0</v>
      </c>
      <c r="L1911" s="582">
        <f>'DAL FGD'!$L$71</f>
        <v>0</v>
      </c>
      <c r="M1911" s="390">
        <f>'DAL FGD'!$M$71</f>
        <v>588657424</v>
      </c>
      <c r="N1911" s="401"/>
    </row>
    <row r="1912" spans="2:14" s="160" customFormat="1" ht="12.75" hidden="1" customHeight="1" outlineLevel="1">
      <c r="B1912" s="582" t="str">
        <f>'E-P FGD'!$B$2</f>
        <v>The University of Texas at El Paso</v>
      </c>
      <c r="C1912" s="178"/>
      <c r="D1912" s="582">
        <f>'E-P FGD'!$D$71</f>
        <v>192753917</v>
      </c>
      <c r="E1912" s="582">
        <f>'E-P FGD'!$E$71</f>
        <v>99182999</v>
      </c>
      <c r="F1912" s="582">
        <f>'E-P FGD'!$F$71</f>
        <v>35627281</v>
      </c>
      <c r="G1912" s="582">
        <f>'E-P FGD'!$G$71</f>
        <v>154697841</v>
      </c>
      <c r="H1912" s="582">
        <f>'E-P FGD'!$H$71</f>
        <v>-370763</v>
      </c>
      <c r="I1912" s="582">
        <f>'E-P FGD'!$I$71</f>
        <v>0</v>
      </c>
      <c r="J1912" s="582">
        <f>'E-P FGD'!$J$71</f>
        <v>126131</v>
      </c>
      <c r="K1912" s="582">
        <f>'E-P FGD'!$K$71</f>
        <v>0</v>
      </c>
      <c r="L1912" s="582">
        <f>'E-P FGD'!$L$71</f>
        <v>0</v>
      </c>
      <c r="M1912" s="390">
        <f>'E-P FGD'!$M$71</f>
        <v>482017406</v>
      </c>
      <c r="N1912" s="401"/>
    </row>
    <row r="1913" spans="2:14" s="160" customFormat="1" ht="12.75" hidden="1" customHeight="1" outlineLevel="1">
      <c r="B1913" s="582" t="str">
        <f>'LU FGD'!$B$2</f>
        <v xml:space="preserve">Lamar University </v>
      </c>
      <c r="C1913" s="178"/>
      <c r="D1913" s="582">
        <f>'LU FGD'!$D$71</f>
        <v>86067309</v>
      </c>
      <c r="E1913" s="582">
        <f>'LU FGD'!$E$71</f>
        <v>78897269</v>
      </c>
      <c r="F1913" s="582">
        <f>'LU FGD'!$F$71</f>
        <v>27991412</v>
      </c>
      <c r="G1913" s="582">
        <f>'LU FGD'!$G$71</f>
        <v>48696943</v>
      </c>
      <c r="H1913" s="582">
        <f>'LU FGD'!$H$71</f>
        <v>96583</v>
      </c>
      <c r="I1913" s="582">
        <f>'LU FGD'!$I$71</f>
        <v>0</v>
      </c>
      <c r="J1913" s="582">
        <f>'LU FGD'!$J$71</f>
        <v>0</v>
      </c>
      <c r="K1913" s="582">
        <f>'LU FGD'!$K$71</f>
        <v>0</v>
      </c>
      <c r="L1913" s="582">
        <f>'LU FGD'!$L$71</f>
        <v>1613</v>
      </c>
      <c r="M1913" s="390">
        <f>'LU FGD'!$M$71</f>
        <v>241751129</v>
      </c>
      <c r="N1913" s="401"/>
    </row>
    <row r="1914" spans="2:14" s="160" customFormat="1" ht="12.75" hidden="1" customHeight="1" outlineLevel="1">
      <c r="B1914" s="582" t="str">
        <f>'MidWST FGD'!$B$2</f>
        <v>Midwestern State University</v>
      </c>
      <c r="C1914" s="178"/>
      <c r="D1914" s="582">
        <f>'MidWST FGD'!$D$71</f>
        <v>36498786</v>
      </c>
      <c r="E1914" s="582">
        <f>'MidWST FGD'!$E$71</f>
        <v>38674257</v>
      </c>
      <c r="F1914" s="582">
        <f>'MidWST FGD'!$F$71</f>
        <v>8568034</v>
      </c>
      <c r="G1914" s="582">
        <f>'MidWST FGD'!$G$71</f>
        <v>27142151</v>
      </c>
      <c r="H1914" s="582">
        <f>'MidWST FGD'!$H$71</f>
        <v>467508</v>
      </c>
      <c r="I1914" s="582">
        <f>'MidWST FGD'!$I$71</f>
        <v>0</v>
      </c>
      <c r="J1914" s="582">
        <f>'MidWST FGD'!$J$71</f>
        <v>40950</v>
      </c>
      <c r="K1914" s="582">
        <f>'MidWST FGD'!$K$71</f>
        <v>1600</v>
      </c>
      <c r="L1914" s="582">
        <f>'MidWST FGD'!$L$71</f>
        <v>358259</v>
      </c>
      <c r="M1914" s="390">
        <f>'MidWST FGD'!$M$71</f>
        <v>111751545</v>
      </c>
      <c r="N1914" s="401"/>
    </row>
    <row r="1915" spans="2:14" s="160" customFormat="1" ht="12.75" hidden="1" customHeight="1" outlineLevel="1">
      <c r="B1915" s="582" t="str">
        <f>'P-B FGD'!$B$2</f>
        <v>The University of Texas of the Permian Basin</v>
      </c>
      <c r="C1915" s="178"/>
      <c r="D1915" s="582">
        <f>'P-B FGD'!$D$71</f>
        <v>30405615</v>
      </c>
      <c r="E1915" s="582">
        <f>'P-B FGD'!$E$71</f>
        <v>38363222</v>
      </c>
      <c r="F1915" s="582">
        <f>'P-B FGD'!$F$71</f>
        <v>8406892</v>
      </c>
      <c r="G1915" s="582">
        <f>'P-B FGD'!$G$71</f>
        <v>20557772</v>
      </c>
      <c r="H1915" s="582">
        <f>'P-B FGD'!$H$71</f>
        <v>0</v>
      </c>
      <c r="I1915" s="582">
        <f>'P-B FGD'!$I$71</f>
        <v>0</v>
      </c>
      <c r="J1915" s="582">
        <f>'P-B FGD'!$J$71</f>
        <v>1737983</v>
      </c>
      <c r="K1915" s="582">
        <f>'P-B FGD'!$K$71</f>
        <v>0</v>
      </c>
      <c r="L1915" s="582">
        <f>'P-B FGD'!$L$71</f>
        <v>18266</v>
      </c>
      <c r="M1915" s="390">
        <f>'P-B FGD'!$M$71</f>
        <v>99489750</v>
      </c>
      <c r="N1915" s="401"/>
    </row>
    <row r="1916" spans="2:14" s="160" customFormat="1" ht="12.75" hidden="1" customHeight="1" outlineLevel="1">
      <c r="B1916" s="582" t="str">
        <f>'PVAMU FGD'!$B$2</f>
        <v>Prairie View A&amp;M University</v>
      </c>
      <c r="C1916" s="178"/>
      <c r="D1916" s="582">
        <f>'PVAMU FGD'!$D$71</f>
        <v>87971857</v>
      </c>
      <c r="E1916" s="582">
        <f>'PVAMU FGD'!$E$71</f>
        <v>55543960</v>
      </c>
      <c r="F1916" s="582">
        <f>'PVAMU FGD'!$F$71</f>
        <v>27964803</v>
      </c>
      <c r="G1916" s="582">
        <f>'PVAMU FGD'!$G$71</f>
        <v>92245335</v>
      </c>
      <c r="H1916" s="582">
        <f>'PVAMU FGD'!$H$71</f>
        <v>-23511</v>
      </c>
      <c r="I1916" s="582">
        <f>'PVAMU FGD'!$I$71</f>
        <v>0</v>
      </c>
      <c r="J1916" s="582">
        <f>'PVAMU FGD'!$J$71</f>
        <v>4482287</v>
      </c>
      <c r="K1916" s="582">
        <f>'PVAMU FGD'!$K$71</f>
        <v>0</v>
      </c>
      <c r="L1916" s="582">
        <f>'PVAMU FGD'!$L$71</f>
        <v>121231</v>
      </c>
      <c r="M1916" s="390">
        <f>'PVAMU FGD'!$M$71</f>
        <v>268305962</v>
      </c>
      <c r="N1916" s="401"/>
    </row>
    <row r="1917" spans="2:14" s="160" customFormat="1" ht="12.75" hidden="1" customHeight="1" outlineLevel="1">
      <c r="B1917" s="582" t="str">
        <f>'S-A FGD'!$B$2</f>
        <v>The University of Texas at San Antonio</v>
      </c>
      <c r="C1917" s="178"/>
      <c r="D1917" s="582">
        <f>'S-A FGD'!$D$71</f>
        <v>232543526</v>
      </c>
      <c r="E1917" s="582">
        <f>'S-A FGD'!$E$71</f>
        <v>163132690</v>
      </c>
      <c r="F1917" s="582">
        <f>'S-A FGD'!$F$71</f>
        <v>39914079</v>
      </c>
      <c r="G1917" s="582">
        <f>'S-A FGD'!$G$71</f>
        <v>149063179</v>
      </c>
      <c r="H1917" s="582">
        <f>'S-A FGD'!$H$71</f>
        <v>720930</v>
      </c>
      <c r="I1917" s="582">
        <f>'S-A FGD'!$I$71</f>
        <v>0</v>
      </c>
      <c r="J1917" s="582">
        <f>'S-A FGD'!$J$71</f>
        <v>5804336</v>
      </c>
      <c r="K1917" s="582">
        <f>'S-A FGD'!$K$71</f>
        <v>0</v>
      </c>
      <c r="L1917" s="582">
        <f>'S-A FGD'!$L$71</f>
        <v>0</v>
      </c>
      <c r="M1917" s="390">
        <f>'S-A FGD'!$M$71</f>
        <v>591178740</v>
      </c>
      <c r="N1917" s="401"/>
    </row>
    <row r="1918" spans="2:14" s="160" customFormat="1" ht="12.75" hidden="1" customHeight="1" outlineLevel="1">
      <c r="B1918" s="582" t="str">
        <f>'SFA FGD'!$B$2</f>
        <v>Stephen F. Austin State University</v>
      </c>
      <c r="C1918" s="178"/>
      <c r="D1918" s="582">
        <f>'SFA FGD'!$D$71</f>
        <v>65850507</v>
      </c>
      <c r="E1918" s="582">
        <f>'SFA FGD'!$E$71</f>
        <v>90574859</v>
      </c>
      <c r="F1918" s="582">
        <f>'SFA FGD'!$F$71</f>
        <v>16594487</v>
      </c>
      <c r="G1918" s="582">
        <f>'SFA FGD'!$G$71</f>
        <v>57281885</v>
      </c>
      <c r="H1918" s="582">
        <f>'SFA FGD'!$H$71</f>
        <v>590966</v>
      </c>
      <c r="I1918" s="582">
        <f>'SFA FGD'!$I$71</f>
        <v>152086</v>
      </c>
      <c r="J1918" s="582">
        <f>'SFA FGD'!$J$71</f>
        <v>4507873</v>
      </c>
      <c r="K1918" s="582">
        <f>'SFA FGD'!$K$71</f>
        <v>256383</v>
      </c>
      <c r="L1918" s="582">
        <f>'SFA FGD'!$L$71</f>
        <v>18048863</v>
      </c>
      <c r="M1918" s="390">
        <f>'SFA FGD'!$M$71</f>
        <v>253857909</v>
      </c>
      <c r="N1918" s="401"/>
    </row>
    <row r="1919" spans="2:14" s="160" customFormat="1" ht="12.75" hidden="1" customHeight="1" outlineLevel="1">
      <c r="B1919" s="582" t="str">
        <f>'shsu1 FGD'!$B$2</f>
        <v>Sam Houston State University - Academic &amp; Health (A+H)</v>
      </c>
      <c r="C1919" s="178"/>
      <c r="D1919" s="582">
        <f>'shsu1 FGD'!$D$71</f>
        <v>116211675</v>
      </c>
      <c r="E1919" s="582">
        <f>'shsu1 FGD'!$E$71</f>
        <v>153195213</v>
      </c>
      <c r="F1919" s="582">
        <f>'shsu1 FGD'!$F$71</f>
        <v>39566619</v>
      </c>
      <c r="G1919" s="582">
        <f>'shsu1 FGD'!$G$71</f>
        <v>40745242</v>
      </c>
      <c r="H1919" s="582">
        <f>'shsu1 FGD'!$H$71</f>
        <v>511415</v>
      </c>
      <c r="I1919" s="582">
        <f>'shsu1 FGD'!$I$71</f>
        <v>32937</v>
      </c>
      <c r="J1919" s="582">
        <f>'shsu1 FGD'!$J$71</f>
        <v>287985</v>
      </c>
      <c r="K1919" s="582">
        <f>'shsu1 FGD'!$K$71</f>
        <v>0</v>
      </c>
      <c r="L1919" s="582">
        <f>'shsu1 FGD'!$L$71</f>
        <v>0</v>
      </c>
      <c r="M1919" s="390">
        <f>'shsu1 FGD'!$M$71</f>
        <v>350551086</v>
      </c>
      <c r="N1919" s="401"/>
    </row>
    <row r="1920" spans="2:14" s="160" customFormat="1" ht="12.75" hidden="1" customHeight="1" outlineLevel="1">
      <c r="B1920" s="582" t="str">
        <f>'SRSU FGD'!$B$2</f>
        <v>Sul Ross State University</v>
      </c>
      <c r="C1920" s="178"/>
      <c r="D1920" s="582">
        <f>'SRSU FGD'!$D$71</f>
        <v>19951777</v>
      </c>
      <c r="E1920" s="582">
        <f>'SRSU FGD'!$E$71</f>
        <v>11341104</v>
      </c>
      <c r="F1920" s="582">
        <f>'SRSU FGD'!$F$71</f>
        <v>4756255</v>
      </c>
      <c r="G1920" s="582">
        <f>'SRSU FGD'!$G$71</f>
        <v>13626466</v>
      </c>
      <c r="H1920" s="582">
        <f>'SRSU FGD'!$H$71</f>
        <v>0</v>
      </c>
      <c r="I1920" s="582">
        <f>'SRSU FGD'!$I$71</f>
        <v>0</v>
      </c>
      <c r="J1920" s="582">
        <f>'SRSU FGD'!$J$71</f>
        <v>1289802</v>
      </c>
      <c r="K1920" s="582">
        <f>'SRSU FGD'!$K$71</f>
        <v>0</v>
      </c>
      <c r="L1920" s="582">
        <f>'SRSU FGD'!$L$71</f>
        <v>0</v>
      </c>
      <c r="M1920" s="390">
        <f>'SRSU FGD'!$M$71</f>
        <v>50965404</v>
      </c>
      <c r="N1920" s="401"/>
    </row>
    <row r="1921" spans="2:14" s="160" customFormat="1" ht="12.75" hidden="1" customHeight="1" outlineLevel="1">
      <c r="B1921" s="582" t="str">
        <f>'TAMIU FGD'!$B$2</f>
        <v>Texas A&amp;M International University</v>
      </c>
      <c r="C1921" s="178"/>
      <c r="D1921" s="582">
        <f>'TAMIU FGD'!$D$71</f>
        <v>41800623</v>
      </c>
      <c r="E1921" s="582">
        <f>'TAMIU FGD'!$E$71</f>
        <v>39499853</v>
      </c>
      <c r="F1921" s="582">
        <f>'TAMIU FGD'!$F$71</f>
        <v>8026363</v>
      </c>
      <c r="G1921" s="582">
        <f>'TAMIU FGD'!$G$71</f>
        <v>38031685</v>
      </c>
      <c r="H1921" s="582">
        <f>'TAMIU FGD'!$H$71</f>
        <v>8518</v>
      </c>
      <c r="I1921" s="582">
        <f>'TAMIU FGD'!$I$71</f>
        <v>1318830</v>
      </c>
      <c r="J1921" s="582">
        <f>'TAMIU FGD'!$J$71</f>
        <v>-526126</v>
      </c>
      <c r="K1921" s="582">
        <f>'TAMIU FGD'!$K$71</f>
        <v>0</v>
      </c>
      <c r="L1921" s="582">
        <f>'TAMIU FGD'!$L$71</f>
        <v>528880</v>
      </c>
      <c r="M1921" s="390">
        <f>'TAMIU FGD'!$M$71</f>
        <v>128688626</v>
      </c>
      <c r="N1921" s="401"/>
    </row>
    <row r="1922" spans="2:14" s="160" customFormat="1" ht="12.75" hidden="1" customHeight="1" outlineLevel="1">
      <c r="B1922" s="582" t="str">
        <f>'TAMU FGD'!$B$2</f>
        <v>Texas A&amp;M University</v>
      </c>
      <c r="C1922" s="178"/>
      <c r="D1922" s="582">
        <f>'TAMU FGD'!$D$71</f>
        <v>611956467</v>
      </c>
      <c r="E1922" s="582">
        <f>'TAMU FGD'!$E$71</f>
        <v>678756351</v>
      </c>
      <c r="F1922" s="582">
        <f>'TAMU FGD'!$F$71</f>
        <v>214370760</v>
      </c>
      <c r="G1922" s="582">
        <f>'TAMU FGD'!$G$71</f>
        <v>333091366</v>
      </c>
      <c r="H1922" s="582">
        <f>'TAMU FGD'!$H$71</f>
        <v>5143388</v>
      </c>
      <c r="I1922" s="582">
        <f>'TAMU FGD'!$I$71</f>
        <v>19941</v>
      </c>
      <c r="J1922" s="582">
        <f>'TAMU FGD'!$J$71</f>
        <v>37945958</v>
      </c>
      <c r="K1922" s="582">
        <f>'TAMU FGD'!$K$71</f>
        <v>0</v>
      </c>
      <c r="L1922" s="582">
        <f>'TAMU FGD'!$L$71</f>
        <v>11134872</v>
      </c>
      <c r="M1922" s="390">
        <f>'TAMU FGD'!$M$71</f>
        <v>1892419103</v>
      </c>
      <c r="N1922" s="401"/>
    </row>
    <row r="1923" spans="2:14" s="160" customFormat="1" ht="12.75" hidden="1" customHeight="1" outlineLevel="1">
      <c r="B1923" s="582" t="str">
        <f>'TAMUC FGD'!$B$2</f>
        <v>Texas A&amp;M University - Commerce</v>
      </c>
      <c r="C1923" s="178"/>
      <c r="D1923" s="582">
        <f>'TAMUC FGD'!$D$71</f>
        <v>71000847</v>
      </c>
      <c r="E1923" s="582">
        <f>'TAMUC FGD'!$E$71</f>
        <v>53450568</v>
      </c>
      <c r="F1923" s="582">
        <f>'TAMUC FGD'!$F$71</f>
        <v>27870271</v>
      </c>
      <c r="G1923" s="582">
        <f>'TAMUC FGD'!$G$71</f>
        <v>22685382</v>
      </c>
      <c r="H1923" s="582">
        <f>'TAMUC FGD'!$H$71</f>
        <v>251603</v>
      </c>
      <c r="I1923" s="582">
        <f>'TAMUC FGD'!$I$71</f>
        <v>0</v>
      </c>
      <c r="J1923" s="582">
        <f>'TAMUC FGD'!$J$71</f>
        <v>1955936</v>
      </c>
      <c r="K1923" s="582">
        <f>'TAMUC FGD'!$K$71</f>
        <v>0</v>
      </c>
      <c r="L1923" s="582">
        <f>'TAMUC FGD'!$L$71</f>
        <v>20677</v>
      </c>
      <c r="M1923" s="390">
        <f>'TAMUC FGD'!$M$71</f>
        <v>177235284</v>
      </c>
      <c r="N1923" s="401"/>
    </row>
    <row r="1924" spans="2:14" s="160" customFormat="1" ht="12.75" hidden="1" customHeight="1" outlineLevel="1">
      <c r="B1924" s="582" t="str">
        <f>'TAMUCC FGD'!$B$2</f>
        <v>Texas A&amp;M University - Corpus Christi</v>
      </c>
      <c r="C1924" s="178"/>
      <c r="D1924" s="582">
        <f>'TAMUCC FGD'!$D$71</f>
        <v>75380324</v>
      </c>
      <c r="E1924" s="582">
        <f>'TAMUCC FGD'!$E$71</f>
        <v>79751995</v>
      </c>
      <c r="F1924" s="582">
        <f>'TAMUCC FGD'!$F$71</f>
        <v>23128514</v>
      </c>
      <c r="G1924" s="582">
        <f>'TAMUCC FGD'!$G$71</f>
        <v>53540094</v>
      </c>
      <c r="H1924" s="582">
        <f>'TAMUCC FGD'!$H$71</f>
        <v>528548</v>
      </c>
      <c r="I1924" s="582">
        <f>'TAMUCC FGD'!$I$71</f>
        <v>376</v>
      </c>
      <c r="J1924" s="582">
        <f>'TAMUCC FGD'!$J$71</f>
        <v>20</v>
      </c>
      <c r="K1924" s="582">
        <f>'TAMUCC FGD'!$K$71</f>
        <v>0</v>
      </c>
      <c r="L1924" s="582">
        <f>'TAMUCC FGD'!$L$71</f>
        <v>3904545</v>
      </c>
      <c r="M1924" s="390">
        <f>'TAMUCC FGD'!$M$71</f>
        <v>236234416</v>
      </c>
      <c r="N1924" s="401"/>
    </row>
    <row r="1925" spans="2:14" s="160" customFormat="1" ht="12.75" hidden="1" customHeight="1" outlineLevel="1">
      <c r="B1925" s="582" t="str">
        <f>'TAMUCT FGD'!$B$2</f>
        <v>Texas A&amp;M University - Central Texas</v>
      </c>
      <c r="C1925" s="178"/>
      <c r="D1925" s="582">
        <f>'TAMUCT FGD'!$D$71</f>
        <v>16926047</v>
      </c>
      <c r="E1925" s="582">
        <f>'TAMUCT FGD'!$E$71</f>
        <v>13759157</v>
      </c>
      <c r="F1925" s="582">
        <f>'TAMUCT FGD'!$F$71</f>
        <v>148590</v>
      </c>
      <c r="G1925" s="582">
        <f>'TAMUCT FGD'!$G$71</f>
        <v>3555128</v>
      </c>
      <c r="H1925" s="582">
        <f>'TAMUCT FGD'!$H$71</f>
        <v>-3381</v>
      </c>
      <c r="I1925" s="582">
        <f>'TAMUCT FGD'!$I$71</f>
        <v>0</v>
      </c>
      <c r="J1925" s="582">
        <f>'TAMUCT FGD'!$J$71</f>
        <v>0</v>
      </c>
      <c r="K1925" s="582">
        <f>'TAMUCT FGD'!$K$71</f>
        <v>0</v>
      </c>
      <c r="L1925" s="582">
        <f>'TAMUCT FGD'!$L$71</f>
        <v>1010461</v>
      </c>
      <c r="M1925" s="390">
        <f>'TAMUCT FGD'!$M$71</f>
        <v>35396002</v>
      </c>
      <c r="N1925" s="401"/>
    </row>
    <row r="1926" spans="2:14" s="160" customFormat="1" ht="12.75" hidden="1" customHeight="1" outlineLevel="1">
      <c r="B1926" s="582" t="str">
        <f>'TAMUG FGD'!$B$2</f>
        <v>Texas A&amp;M University at Galveston</v>
      </c>
      <c r="C1926" s="178"/>
      <c r="D1926" s="582">
        <f>'TAMUG FGD'!$D$71</f>
        <v>19508680</v>
      </c>
      <c r="E1926" s="582">
        <f>'TAMUG FGD'!$E$71</f>
        <v>25261679</v>
      </c>
      <c r="F1926" s="582">
        <f>'TAMUG FGD'!$F$71</f>
        <v>5110510</v>
      </c>
      <c r="G1926" s="582">
        <f>'TAMUG FGD'!$G$71</f>
        <v>9221411</v>
      </c>
      <c r="H1926" s="582">
        <f>'TAMUG FGD'!$H$71</f>
        <v>66193</v>
      </c>
      <c r="I1926" s="582">
        <f>'TAMUG FGD'!$I$71</f>
        <v>0</v>
      </c>
      <c r="J1926" s="582">
        <f>'TAMUG FGD'!$J$71</f>
        <v>998462</v>
      </c>
      <c r="K1926" s="582">
        <f>'TAMUG FGD'!$K$71</f>
        <v>0</v>
      </c>
      <c r="L1926" s="582">
        <f>'TAMUG FGD'!$L$71</f>
        <v>2602</v>
      </c>
      <c r="M1926" s="390">
        <f>'TAMUG FGD'!$M$71</f>
        <v>60169537</v>
      </c>
      <c r="N1926" s="401"/>
    </row>
    <row r="1927" spans="2:14" s="160" customFormat="1" ht="12.75" hidden="1" customHeight="1" outlineLevel="1">
      <c r="B1927" s="582" t="str">
        <f>'TAMUK FGD'!$B$2</f>
        <v>Texas A&amp;M University - Kingsville</v>
      </c>
      <c r="C1927" s="178"/>
      <c r="D1927" s="582">
        <f>'TAMUK FGD'!$D$71</f>
        <v>55623078</v>
      </c>
      <c r="E1927" s="582">
        <f>'TAMUK FGD'!$E$71</f>
        <v>37604562</v>
      </c>
      <c r="F1927" s="582">
        <f>'TAMUK FGD'!$F$71</f>
        <v>19555655</v>
      </c>
      <c r="G1927" s="582">
        <f>'TAMUK FGD'!$G$71</f>
        <v>35706057</v>
      </c>
      <c r="H1927" s="582">
        <f>'TAMUK FGD'!$H$71</f>
        <v>13140</v>
      </c>
      <c r="I1927" s="582">
        <f>'TAMUK FGD'!$I$71</f>
        <v>0</v>
      </c>
      <c r="J1927" s="582">
        <f>'TAMUK FGD'!$J$71</f>
        <v>1937316</v>
      </c>
      <c r="K1927" s="582">
        <f>'TAMUK FGD'!$K$71</f>
        <v>0</v>
      </c>
      <c r="L1927" s="582">
        <f>'TAMUK FGD'!$L$71</f>
        <v>1184663</v>
      </c>
      <c r="M1927" s="390">
        <f>'TAMUK FGD'!$M$71</f>
        <v>151624471</v>
      </c>
      <c r="N1927" s="401"/>
    </row>
    <row r="1928" spans="2:14" s="160" customFormat="1" ht="12.75" hidden="1" customHeight="1" outlineLevel="1">
      <c r="B1928" s="582" t="str">
        <f>'TAMUSA FGD'!$B$2</f>
        <v>Texas A&amp;M University - San Antonio</v>
      </c>
      <c r="C1928" s="178"/>
      <c r="D1928" s="582">
        <f>'TAMUSA FGD'!$D$71</f>
        <v>40033827</v>
      </c>
      <c r="E1928" s="582">
        <f>'TAMUSA FGD'!$E$71</f>
        <v>34543057</v>
      </c>
      <c r="F1928" s="582">
        <f>'TAMUSA FGD'!$F$71</f>
        <v>2909149</v>
      </c>
      <c r="G1928" s="582">
        <f>'TAMUSA FGD'!$G$71</f>
        <v>23801855</v>
      </c>
      <c r="H1928" s="582">
        <f>'TAMUSA FGD'!$H$71</f>
        <v>-1085</v>
      </c>
      <c r="I1928" s="582">
        <f>'TAMUSA FGD'!$I$71</f>
        <v>0</v>
      </c>
      <c r="J1928" s="582">
        <f>'TAMUSA FGD'!$J$71</f>
        <v>29018</v>
      </c>
      <c r="K1928" s="582">
        <f>'TAMUSA FGD'!$K$71</f>
        <v>0</v>
      </c>
      <c r="L1928" s="582">
        <f>'TAMUSA FGD'!$L$71</f>
        <v>15155</v>
      </c>
      <c r="M1928" s="390">
        <f>'TAMUSA FGD'!$M$71</f>
        <v>101330976</v>
      </c>
      <c r="N1928" s="401"/>
    </row>
    <row r="1929" spans="2:14" s="160" customFormat="1" ht="12.75" hidden="1" customHeight="1" outlineLevel="1">
      <c r="B1929" s="582" t="str">
        <f>'TAMUT FGD'!$B$2</f>
        <v>Texas A&amp;M University - Texarkana</v>
      </c>
      <c r="C1929" s="178"/>
      <c r="D1929" s="582">
        <f>'TAMUT FGD'!$D$71</f>
        <v>22453556</v>
      </c>
      <c r="E1929" s="582">
        <f>'TAMUT FGD'!$E$71</f>
        <v>9476886</v>
      </c>
      <c r="F1929" s="582">
        <f>'TAMUT FGD'!$F$71</f>
        <v>2544788</v>
      </c>
      <c r="G1929" s="582">
        <f>'TAMUT FGD'!$G$71</f>
        <v>5311047</v>
      </c>
      <c r="H1929" s="582">
        <f>'TAMUT FGD'!$H$71</f>
        <v>-5767</v>
      </c>
      <c r="I1929" s="582">
        <f>'TAMUT FGD'!$I$71</f>
        <v>0</v>
      </c>
      <c r="J1929" s="582">
        <f>'TAMUT FGD'!$J$71</f>
        <v>3478</v>
      </c>
      <c r="K1929" s="582">
        <f>'TAMUT FGD'!$K$71</f>
        <v>0</v>
      </c>
      <c r="L1929" s="582">
        <f>'TAMUT FGD'!$L$71</f>
        <v>1816260</v>
      </c>
      <c r="M1929" s="390">
        <f>'TAMUT FGD'!$M$71</f>
        <v>41600248</v>
      </c>
      <c r="N1929" s="401"/>
    </row>
    <row r="1930" spans="2:14" s="160" customFormat="1" ht="12.75" hidden="1" customHeight="1" outlineLevel="1">
      <c r="B1930" s="582" t="str">
        <f>'TARLST FGD'!$B$2</f>
        <v>Tarleton State University</v>
      </c>
      <c r="C1930" s="178"/>
      <c r="D1930" s="582">
        <f>'TARLST FGD'!$D$71</f>
        <v>62567452</v>
      </c>
      <c r="E1930" s="582">
        <f>'TARLST FGD'!$E$71</f>
        <v>65479452</v>
      </c>
      <c r="F1930" s="582">
        <f>'TARLST FGD'!$F$71</f>
        <v>38941220</v>
      </c>
      <c r="G1930" s="582">
        <f>'TARLST FGD'!$G$71</f>
        <v>40654540</v>
      </c>
      <c r="H1930" s="582">
        <f>'TARLST FGD'!$H$71</f>
        <v>54684</v>
      </c>
      <c r="I1930" s="582">
        <f>'TARLST FGD'!$I$71</f>
        <v>0</v>
      </c>
      <c r="J1930" s="582">
        <f>'TARLST FGD'!$J$71</f>
        <v>736500</v>
      </c>
      <c r="K1930" s="582">
        <f>'TARLST FGD'!$K$71</f>
        <v>0</v>
      </c>
      <c r="L1930" s="582">
        <f>'TARLST FGD'!$L$71</f>
        <v>2708694</v>
      </c>
      <c r="M1930" s="390">
        <f>'TARLST FGD'!$M$71</f>
        <v>211142542</v>
      </c>
      <c r="N1930" s="401"/>
    </row>
    <row r="1931" spans="2:14" s="160" customFormat="1" ht="12.75" hidden="1" customHeight="1" outlineLevel="1">
      <c r="B1931" s="582" t="str">
        <f>'TSU FGD'!$B$2</f>
        <v>Texas Southern University</v>
      </c>
      <c r="C1931" s="178"/>
      <c r="D1931" s="582">
        <f>'TSU FGD'!$D$71</f>
        <v>105260599</v>
      </c>
      <c r="E1931" s="582">
        <f>'TSU FGD'!$E$71</f>
        <v>45383652</v>
      </c>
      <c r="F1931" s="582">
        <f>'TSU FGD'!$F$71</f>
        <v>16207529</v>
      </c>
      <c r="G1931" s="582">
        <f>'TSU FGD'!$G$71</f>
        <v>65581601</v>
      </c>
      <c r="H1931" s="582">
        <f>'TSU FGD'!$H$71</f>
        <v>0</v>
      </c>
      <c r="I1931" s="582">
        <f>'TSU FGD'!$I$71</f>
        <v>525803</v>
      </c>
      <c r="J1931" s="582">
        <f>'TSU FGD'!$J$71</f>
        <v>15013724</v>
      </c>
      <c r="K1931" s="582">
        <f>'TSU FGD'!$K$71</f>
        <v>0</v>
      </c>
      <c r="L1931" s="582">
        <f>'TSU FGD'!$L$71</f>
        <v>-18780428</v>
      </c>
      <c r="M1931" s="390">
        <f>'TSU FGD'!$M$71</f>
        <v>229192480</v>
      </c>
      <c r="N1931" s="401"/>
    </row>
    <row r="1932" spans="2:14" s="160" customFormat="1" ht="12.75" hidden="1" customHeight="1" outlineLevel="1">
      <c r="B1932" s="582" t="str">
        <f>'TTU FGD'!$B$2</f>
        <v>Texas Tech University</v>
      </c>
      <c r="C1932" s="178"/>
      <c r="D1932" s="582">
        <f>'TTU FGD'!$D$71</f>
        <v>261584161</v>
      </c>
      <c r="E1932" s="582">
        <f>'TTU FGD'!$E$71</f>
        <v>322619204</v>
      </c>
      <c r="F1932" s="582">
        <f>'TTU FGD'!$F$71</f>
        <v>123556668</v>
      </c>
      <c r="G1932" s="582">
        <f>'TTU FGD'!$G$71</f>
        <v>128434189</v>
      </c>
      <c r="H1932" s="582">
        <f>'TTU FGD'!$H$71</f>
        <v>0</v>
      </c>
      <c r="I1932" s="582">
        <f>'TTU FGD'!$I$71</f>
        <v>0</v>
      </c>
      <c r="J1932" s="582">
        <f>'TTU FGD'!$J$71</f>
        <v>5500029</v>
      </c>
      <c r="K1932" s="582">
        <f>'TTU FGD'!$K$71</f>
        <v>0</v>
      </c>
      <c r="L1932" s="582">
        <f>'TTU FGD'!$L$71</f>
        <v>592374</v>
      </c>
      <c r="M1932" s="390">
        <f>'TTU FGD'!$M$71</f>
        <v>842286625</v>
      </c>
      <c r="N1932" s="401"/>
    </row>
    <row r="1933" spans="2:14" s="160" customFormat="1" ht="12.75" hidden="1" customHeight="1" outlineLevel="1">
      <c r="B1933" s="582" t="str">
        <f>'TWU FGD'!$B$2</f>
        <v>Texas Woman's University</v>
      </c>
      <c r="C1933" s="178"/>
      <c r="D1933" s="582">
        <f>'TWU FGD'!$D$71</f>
        <v>103814279</v>
      </c>
      <c r="E1933" s="582">
        <f>'TWU FGD'!$E$71</f>
        <v>67325162</v>
      </c>
      <c r="F1933" s="582">
        <f>'TWU FGD'!$F$71</f>
        <v>20998453</v>
      </c>
      <c r="G1933" s="582">
        <f>'TWU FGD'!$G$71</f>
        <v>12593792</v>
      </c>
      <c r="H1933" s="582">
        <f>'TWU FGD'!$H$71</f>
        <v>0</v>
      </c>
      <c r="I1933" s="582">
        <f>'TWU FGD'!$I$71</f>
        <v>138469</v>
      </c>
      <c r="J1933" s="582">
        <f>'TWU FGD'!$J$71</f>
        <v>8803036</v>
      </c>
      <c r="K1933" s="582">
        <f>'TWU FGD'!$K$71</f>
        <v>1025</v>
      </c>
      <c r="L1933" s="582">
        <f>'TWU FGD'!$L$71</f>
        <v>120227</v>
      </c>
      <c r="M1933" s="390">
        <f>'TWU FGD'!$M$71</f>
        <v>213794443</v>
      </c>
      <c r="N1933" s="401"/>
    </row>
    <row r="1934" spans="2:14" s="160" customFormat="1" ht="12.75" hidden="1" customHeight="1" outlineLevel="1">
      <c r="B1934" s="582" t="str">
        <f>'TXST FGD'!$B$2</f>
        <v>Texas State University</v>
      </c>
      <c r="C1934" s="178"/>
      <c r="D1934" s="582">
        <f>'TXST FGD'!$D$71</f>
        <v>221781186</v>
      </c>
      <c r="E1934" s="582">
        <f>'TXST FGD'!$E$71</f>
        <v>176969813</v>
      </c>
      <c r="F1934" s="582">
        <f>'TXST FGD'!$F$71</f>
        <v>85881726</v>
      </c>
      <c r="G1934" s="582">
        <f>'TXST FGD'!$G$71</f>
        <v>107288531</v>
      </c>
      <c r="H1934" s="582">
        <f>'TXST FGD'!$H$71</f>
        <v>448668</v>
      </c>
      <c r="I1934" s="582">
        <f>'TXST FGD'!$I$71</f>
        <v>76207</v>
      </c>
      <c r="J1934" s="582">
        <f>'TXST FGD'!$J$71</f>
        <v>12188</v>
      </c>
      <c r="K1934" s="582">
        <f>'TXST FGD'!$K$71</f>
        <v>658</v>
      </c>
      <c r="L1934" s="582">
        <f>'TXST FGD'!$L$71</f>
        <v>0</v>
      </c>
      <c r="M1934" s="390">
        <f>'TXST FGD'!$M$71</f>
        <v>592458977</v>
      </c>
      <c r="N1934" s="401"/>
    </row>
    <row r="1935" spans="2:14" s="160" customFormat="1" ht="12.75" hidden="1" customHeight="1" outlineLevel="1">
      <c r="B1935" s="582" t="str">
        <f>'TYL FGD'!$B$2</f>
        <v>The University of Texas at Tyler</v>
      </c>
      <c r="C1935" s="178"/>
      <c r="D1935" s="582">
        <f>'TYL FGD'!$D$71</f>
        <v>41869674</v>
      </c>
      <c r="E1935" s="582">
        <f>'TYL FGD'!$E$71</f>
        <v>77490574</v>
      </c>
      <c r="F1935" s="582">
        <f>'TYL FGD'!$F$71</f>
        <v>12232239</v>
      </c>
      <c r="G1935" s="582">
        <f>'TYL FGD'!$G$71</f>
        <v>13612012</v>
      </c>
      <c r="H1935" s="582">
        <f>'TYL FGD'!$H$71</f>
        <v>-352978</v>
      </c>
      <c r="I1935" s="582">
        <f>'TYL FGD'!$I$71</f>
        <v>0</v>
      </c>
      <c r="J1935" s="582">
        <f>'TYL FGD'!$J$71</f>
        <v>2832172</v>
      </c>
      <c r="K1935" s="582">
        <f>'TYL FGD'!$K$71</f>
        <v>0</v>
      </c>
      <c r="L1935" s="582">
        <f>'TYL FGD'!$L$71</f>
        <v>0</v>
      </c>
      <c r="M1935" s="390">
        <f>'TYL FGD'!$M$71</f>
        <v>147683693</v>
      </c>
      <c r="N1935" s="401"/>
    </row>
    <row r="1936" spans="2:14" s="160" customFormat="1" ht="12.75" hidden="1" customHeight="1" outlineLevel="1">
      <c r="B1936" s="582" t="str">
        <f>'UH1 FGD'!$B$2</f>
        <v>University of Houston - Academic &amp; Health (A+H)</v>
      </c>
      <c r="C1936" s="178"/>
      <c r="D1936" s="582">
        <f>'UH1 FGD'!$D$71</f>
        <v>266441030</v>
      </c>
      <c r="E1936" s="582">
        <f>'UH1 FGD'!$E$71</f>
        <v>405353854</v>
      </c>
      <c r="F1936" s="582">
        <f>'UH1 FGD'!$F$71</f>
        <v>99348664</v>
      </c>
      <c r="G1936" s="582">
        <f>'UH1 FGD'!$G$71</f>
        <v>280860033</v>
      </c>
      <c r="H1936" s="582">
        <f>'UH1 FGD'!$H$71</f>
        <v>67713</v>
      </c>
      <c r="I1936" s="582">
        <f>'UH1 FGD'!$I$71</f>
        <v>21805891</v>
      </c>
      <c r="J1936" s="582">
        <f>'UH1 FGD'!$J$71</f>
        <v>118335844</v>
      </c>
      <c r="K1936" s="582">
        <f>'UH1 FGD'!$K$71</f>
        <v>0</v>
      </c>
      <c r="L1936" s="582">
        <f>'UH1 FGD'!$L$71</f>
        <v>0</v>
      </c>
      <c r="M1936" s="390">
        <f>'UH1 FGD'!$M$71</f>
        <v>1192213029</v>
      </c>
      <c r="N1936" s="401"/>
    </row>
    <row r="1937" spans="2:14" s="160" customFormat="1" ht="12.75" hidden="1" customHeight="1" outlineLevel="1">
      <c r="B1937" s="582" t="str">
        <f>'UHCL FGD'!$B$2</f>
        <v>University of Houston - Clear Lake</v>
      </c>
      <c r="C1937" s="178"/>
      <c r="D1937" s="582">
        <f>'UHCL FGD'!$D$71</f>
        <v>55016623</v>
      </c>
      <c r="E1937" s="582">
        <f>'UHCL FGD'!$E$71</f>
        <v>51712588</v>
      </c>
      <c r="F1937" s="582">
        <f>'UHCL FGD'!$F$71</f>
        <v>6644911</v>
      </c>
      <c r="G1937" s="582">
        <f>'UHCL FGD'!$G$71</f>
        <v>27128474</v>
      </c>
      <c r="H1937" s="582">
        <f>'UHCL FGD'!$H$71</f>
        <v>-241</v>
      </c>
      <c r="I1937" s="582">
        <f>'UHCL FGD'!$I$71</f>
        <v>986030</v>
      </c>
      <c r="J1937" s="582">
        <f>'UHCL FGD'!$J$71</f>
        <v>1988987</v>
      </c>
      <c r="K1937" s="582">
        <f>'UHCL FGD'!$K$71</f>
        <v>7643433</v>
      </c>
      <c r="L1937" s="582">
        <f>'UHCL FGD'!$L$71</f>
        <v>0</v>
      </c>
      <c r="M1937" s="390">
        <f>'UHCL FGD'!$M$71</f>
        <v>151120805</v>
      </c>
      <c r="N1937" s="401"/>
    </row>
    <row r="1938" spans="2:14" s="160" customFormat="1" ht="12.75" hidden="1" customHeight="1" outlineLevel="1">
      <c r="B1938" s="582" t="str">
        <f>'UHD FGD'!$B$2</f>
        <v>University of Houston - Downtown</v>
      </c>
      <c r="C1938" s="178"/>
      <c r="D1938" s="582">
        <f>'UHD FGD'!$D$71</f>
        <v>55696029</v>
      </c>
      <c r="E1938" s="582">
        <f>'UHD FGD'!$E$71</f>
        <v>71794757</v>
      </c>
      <c r="F1938" s="582">
        <f>'UHD FGD'!$F$71</f>
        <v>7690889</v>
      </c>
      <c r="G1938" s="582">
        <f>'UHD FGD'!$G$71</f>
        <v>39469389</v>
      </c>
      <c r="H1938" s="582">
        <f>'UHD FGD'!$H$71</f>
        <v>0</v>
      </c>
      <c r="I1938" s="582">
        <f>'UHD FGD'!$I$71</f>
        <v>1257932</v>
      </c>
      <c r="J1938" s="582">
        <f>'UHD FGD'!$J$71</f>
        <v>1587896</v>
      </c>
      <c r="K1938" s="582">
        <f>'UHD FGD'!$K$71</f>
        <v>0</v>
      </c>
      <c r="L1938" s="582">
        <f>'UHD FGD'!$L$71</f>
        <v>0</v>
      </c>
      <c r="M1938" s="390">
        <f>'UHD FGD'!$M$71</f>
        <v>177496892</v>
      </c>
      <c r="N1938" s="401"/>
    </row>
    <row r="1939" spans="2:14" s="160" customFormat="1" ht="12.75" hidden="1" customHeight="1" outlineLevel="1">
      <c r="B1939" s="582" t="str">
        <f>'UHV FGD'!$B$2</f>
        <v>University of Houston - Victoria</v>
      </c>
      <c r="C1939" s="178"/>
      <c r="D1939" s="582">
        <f>'UHV FGD'!$D$71</f>
        <v>25550672</v>
      </c>
      <c r="E1939" s="582">
        <f>'UHV FGD'!$E$71</f>
        <v>22312287</v>
      </c>
      <c r="F1939" s="582">
        <f>'UHV FGD'!$F$71</f>
        <v>5019407</v>
      </c>
      <c r="G1939" s="582">
        <f>'UHV FGD'!$G$71</f>
        <v>11195088</v>
      </c>
      <c r="H1939" s="582">
        <f>'UHV FGD'!$H$71</f>
        <v>2583</v>
      </c>
      <c r="I1939" s="582">
        <f>'UHV FGD'!$I$71</f>
        <v>0</v>
      </c>
      <c r="J1939" s="582">
        <f>'UHV FGD'!$J$71</f>
        <v>2596431</v>
      </c>
      <c r="K1939" s="582">
        <f>'UHV FGD'!$K$71</f>
        <v>0</v>
      </c>
      <c r="L1939" s="582">
        <f>'UHV FGD'!$L$71</f>
        <v>204597</v>
      </c>
      <c r="M1939" s="390">
        <f>'UHV FGD'!$M$71</f>
        <v>66881065</v>
      </c>
      <c r="N1939" s="401"/>
    </row>
    <row r="1940" spans="2:14" s="160" customFormat="1" ht="12.75" hidden="1" customHeight="1" outlineLevel="1">
      <c r="B1940" s="582" t="str">
        <f>'UNT FGD'!$B$2</f>
        <v>University of North Texas</v>
      </c>
      <c r="C1940" s="178"/>
      <c r="D1940" s="582">
        <f>'UNT FGD'!$D$71</f>
        <v>231990952</v>
      </c>
      <c r="E1940" s="582">
        <f>'UNT FGD'!$E$71</f>
        <v>265503860</v>
      </c>
      <c r="F1940" s="582">
        <f>'UNT FGD'!$F$71</f>
        <v>44321531</v>
      </c>
      <c r="G1940" s="582">
        <f>'UNT FGD'!$G$71</f>
        <v>155001145</v>
      </c>
      <c r="H1940" s="582">
        <f>'UNT FGD'!$H$71</f>
        <v>326938</v>
      </c>
      <c r="I1940" s="582">
        <f>'UNT FGD'!$I$71</f>
        <v>297928</v>
      </c>
      <c r="J1940" s="582">
        <f>'UNT FGD'!$J$71</f>
        <v>0</v>
      </c>
      <c r="K1940" s="582">
        <f>'UNT FGD'!$K$71</f>
        <v>0</v>
      </c>
      <c r="L1940" s="582">
        <f>'UNT FGD'!$L$71</f>
        <v>6783452</v>
      </c>
      <c r="M1940" s="390">
        <f>'UNT FGD'!$M$71</f>
        <v>704225806</v>
      </c>
      <c r="N1940" s="401"/>
    </row>
    <row r="1941" spans="2:14" s="160" customFormat="1" ht="12.75" hidden="1" customHeight="1" outlineLevel="1">
      <c r="B1941" s="582" t="str">
        <f>'UNTD FGD'!$B$2</f>
        <v>University of North Texas at Dallas</v>
      </c>
      <c r="C1941" s="178"/>
      <c r="D1941" s="582">
        <f>'UNTD FGD'!$D$71</f>
        <v>32564606</v>
      </c>
      <c r="E1941" s="582">
        <f>'UNTD FGD'!$E$71</f>
        <v>17495662</v>
      </c>
      <c r="F1941" s="582">
        <f>'UNTD FGD'!$F$71</f>
        <v>968925</v>
      </c>
      <c r="G1941" s="582">
        <f>'UNTD FGD'!$G$71</f>
        <v>17987287</v>
      </c>
      <c r="H1941" s="582">
        <f>'UNTD FGD'!$H$71</f>
        <v>0</v>
      </c>
      <c r="I1941" s="582">
        <f>'UNTD FGD'!$I$71</f>
        <v>12919</v>
      </c>
      <c r="J1941" s="582">
        <f>'UNTD FGD'!$J$71</f>
        <v>0</v>
      </c>
      <c r="K1941" s="582">
        <f>'UNTD FGD'!$K$71</f>
        <v>0</v>
      </c>
      <c r="L1941" s="582">
        <f>'UNTD FGD'!$L$71</f>
        <v>304733</v>
      </c>
      <c r="M1941" s="390">
        <f>'UNTD FGD'!$M$71</f>
        <v>69334132</v>
      </c>
      <c r="N1941" s="401"/>
    </row>
    <row r="1942" spans="2:14" s="160" customFormat="1" ht="12.75" hidden="1" customHeight="1" outlineLevel="1">
      <c r="B1942" s="582" t="str">
        <f>'WTAMU FGD'!$B$2</f>
        <v>West Texas A&amp;M University</v>
      </c>
      <c r="C1942" s="178"/>
      <c r="D1942" s="582">
        <f>'WTAMU FGD'!$D$71</f>
        <v>54598431</v>
      </c>
      <c r="E1942" s="582">
        <f>'WTAMU FGD'!$E$71</f>
        <v>55862979</v>
      </c>
      <c r="F1942" s="582">
        <f>'WTAMU FGD'!$F$71</f>
        <v>19930379</v>
      </c>
      <c r="G1942" s="582">
        <f>'WTAMU FGD'!$G$71</f>
        <v>21243975</v>
      </c>
      <c r="H1942" s="582">
        <f>'WTAMU FGD'!$H$71</f>
        <v>42766</v>
      </c>
      <c r="I1942" s="582">
        <f>'WTAMU FGD'!$I$71</f>
        <v>0</v>
      </c>
      <c r="J1942" s="582">
        <f>'WTAMU FGD'!$J$71</f>
        <v>3490814</v>
      </c>
      <c r="K1942" s="582">
        <f>'WTAMU FGD'!$K$71</f>
        <v>0</v>
      </c>
      <c r="L1942" s="582">
        <f>'WTAMU FGD'!$L$71</f>
        <v>20000</v>
      </c>
      <c r="M1942" s="390">
        <f>'WTAMU FGD'!$M$71</f>
        <v>155189344</v>
      </c>
      <c r="N1942" s="401"/>
    </row>
    <row r="1943" spans="2:14" s="160" customFormat="1" collapsed="1">
      <c r="B1943" s="162" t="s">
        <v>69</v>
      </c>
      <c r="C1943" s="162"/>
      <c r="D1943" s="581">
        <f t="shared" ref="D1943:M1943" si="51">SUM(D1907:D1942)</f>
        <v>4752743604</v>
      </c>
      <c r="E1943" s="581">
        <f t="shared" si="51"/>
        <v>4803391923</v>
      </c>
      <c r="F1943" s="581">
        <f t="shared" si="51"/>
        <v>1341772677</v>
      </c>
      <c r="G1943" s="581">
        <f t="shared" si="51"/>
        <v>3265992934</v>
      </c>
      <c r="H1943" s="581">
        <f t="shared" si="51"/>
        <v>6304109</v>
      </c>
      <c r="I1943" s="581">
        <f t="shared" si="51"/>
        <v>26625349</v>
      </c>
      <c r="J1943" s="581">
        <f t="shared" si="51"/>
        <v>285965701</v>
      </c>
      <c r="K1943" s="581">
        <f t="shared" si="51"/>
        <v>7903099</v>
      </c>
      <c r="L1943" s="581">
        <f t="shared" si="51"/>
        <v>31685918</v>
      </c>
      <c r="M1943" s="581">
        <f t="shared" si="51"/>
        <v>14522385314</v>
      </c>
      <c r="N1943" s="401"/>
    </row>
    <row r="1944" spans="2:14" s="160" customFormat="1">
      <c r="D1944" s="390"/>
      <c r="E1944" s="390"/>
      <c r="F1944" s="390"/>
      <c r="G1944" s="390"/>
      <c r="H1944" s="390"/>
      <c r="I1944" s="390"/>
      <c r="J1944" s="390"/>
      <c r="K1944" s="390"/>
      <c r="L1944" s="390"/>
      <c r="M1944" s="390"/>
      <c r="N1944" s="401"/>
    </row>
    <row r="1945" spans="2:14" s="160" customFormat="1">
      <c r="B1945" s="172" t="s">
        <v>23</v>
      </c>
      <c r="C1945" s="172"/>
      <c r="D1945" s="390"/>
      <c r="E1945" s="390"/>
      <c r="F1945" s="390"/>
      <c r="G1945" s="390"/>
      <c r="H1945" s="390"/>
      <c r="I1945" s="390"/>
      <c r="J1945" s="390"/>
      <c r="K1945" s="390"/>
      <c r="L1945" s="390"/>
      <c r="M1945" s="390"/>
      <c r="N1945" s="401"/>
    </row>
    <row r="1946" spans="2:14" s="160" customFormat="1" ht="12.75" hidden="1" customHeight="1" outlineLevel="1">
      <c r="B1946" s="674" t="str">
        <f>'ARL FGD'!$B$2</f>
        <v>The University of Texas at Arlington</v>
      </c>
      <c r="C1946" s="172"/>
      <c r="D1946" s="390">
        <f>'ARL FGD'!$D$74</f>
        <v>0</v>
      </c>
      <c r="E1946" s="390">
        <f>'ARL FGD'!$E$74</f>
        <v>0</v>
      </c>
      <c r="F1946" s="390">
        <f>'ARL FGD'!$F$74</f>
        <v>0</v>
      </c>
      <c r="G1946" s="390">
        <f>'ARL FGD'!$G$74</f>
        <v>0</v>
      </c>
      <c r="H1946" s="390">
        <f>'ARL FGD'!$H$74</f>
        <v>0</v>
      </c>
      <c r="I1946" s="390">
        <f>'ARL FGD'!$I$74</f>
        <v>0</v>
      </c>
      <c r="J1946" s="390">
        <f>'ARL FGD'!$J$74</f>
        <v>-35588085</v>
      </c>
      <c r="K1946" s="390">
        <f>'ARL FGD'!$K$74</f>
        <v>0</v>
      </c>
      <c r="L1946" s="390">
        <f>'ARL FGD'!$L$74</f>
        <v>0</v>
      </c>
      <c r="M1946" s="390">
        <f>'ARL FGD'!$M$74</f>
        <v>-35588085</v>
      </c>
      <c r="N1946" s="401"/>
    </row>
    <row r="1947" spans="2:14" s="160" customFormat="1" ht="12.75" hidden="1" customHeight="1" outlineLevel="1">
      <c r="B1947" s="674" t="str">
        <f>'ASU FGD'!$B$2</f>
        <v>Angelo State University</v>
      </c>
      <c r="C1947" s="172"/>
      <c r="D1947" s="390">
        <f>'ASU FGD'!$D$74</f>
        <v>0</v>
      </c>
      <c r="E1947" s="390">
        <f>'ASU FGD'!$E$74</f>
        <v>0</v>
      </c>
      <c r="F1947" s="390">
        <f>'ASU FGD'!$F$74</f>
        <v>0</v>
      </c>
      <c r="G1947" s="390">
        <f>'ASU FGD'!$G$74</f>
        <v>0</v>
      </c>
      <c r="H1947" s="390">
        <f>'ASU FGD'!$H$74</f>
        <v>0</v>
      </c>
      <c r="I1947" s="390">
        <f>'ASU FGD'!$I$74</f>
        <v>0</v>
      </c>
      <c r="J1947" s="390">
        <f>'ASU FGD'!$J$74</f>
        <v>-2476769</v>
      </c>
      <c r="K1947" s="390">
        <f>'ASU FGD'!$K$74</f>
        <v>0</v>
      </c>
      <c r="L1947" s="390">
        <f>'ASU FGD'!$L$74</f>
        <v>0</v>
      </c>
      <c r="M1947" s="390">
        <f>'ASU FGD'!$M$74</f>
        <v>-2476769</v>
      </c>
      <c r="N1947" s="401"/>
    </row>
    <row r="1948" spans="2:14" s="160" customFormat="1" ht="12.75" hidden="1" customHeight="1" outlineLevel="1">
      <c r="B1948" s="674" t="str">
        <f>'AUS1 FGD'!$B$2</f>
        <v>The University of Texas at Austin - Academic &amp; Health (A+H)</v>
      </c>
      <c r="C1948" s="172"/>
      <c r="D1948" s="390">
        <f>'AUS1 FGD'!$D$74</f>
        <v>0</v>
      </c>
      <c r="E1948" s="390">
        <f>'AUS1 FGD'!$E$74</f>
        <v>0</v>
      </c>
      <c r="F1948" s="390">
        <f>'AUS1 FGD'!$F$74</f>
        <v>0</v>
      </c>
      <c r="G1948" s="390">
        <f>'AUS1 FGD'!$G$74</f>
        <v>0</v>
      </c>
      <c r="H1948" s="390">
        <f>'AUS1 FGD'!$H$74</f>
        <v>0</v>
      </c>
      <c r="I1948" s="390">
        <f>'AUS1 FGD'!$I$74</f>
        <v>0</v>
      </c>
      <c r="J1948" s="390">
        <f>'AUS1 FGD'!$J$74</f>
        <v>-360098588</v>
      </c>
      <c r="K1948" s="390">
        <f>'AUS1 FGD'!$K$74</f>
        <v>0</v>
      </c>
      <c r="L1948" s="390">
        <f>'AUS1 FGD'!$L$74</f>
        <v>0</v>
      </c>
      <c r="M1948" s="390">
        <f>'AUS1 FGD'!$M$74</f>
        <v>-360098588</v>
      </c>
      <c r="N1948" s="401"/>
    </row>
    <row r="1949" spans="2:14" s="160" customFormat="1" ht="12.75" hidden="1" customHeight="1" outlineLevel="1">
      <c r="B1949" s="674" t="str">
        <f>'RGV1 FGD'!$B$2</f>
        <v>The University of Texas RGV - Academic &amp; Health (A+H)</v>
      </c>
      <c r="C1949" s="172"/>
      <c r="D1949" s="390">
        <f>'RGV1 FGD'!$D$74</f>
        <v>0</v>
      </c>
      <c r="E1949" s="390">
        <f>'RGV1 FGD'!$E$74</f>
        <v>0</v>
      </c>
      <c r="F1949" s="390">
        <f>'RGV1 FGD'!$F$74</f>
        <v>0</v>
      </c>
      <c r="G1949" s="390">
        <f>'RGV1 FGD'!$G$74</f>
        <v>0</v>
      </c>
      <c r="H1949" s="390">
        <f>'RGV1 FGD'!$H$74</f>
        <v>0</v>
      </c>
      <c r="I1949" s="390">
        <f>'RGV1 FGD'!$I$74</f>
        <v>0</v>
      </c>
      <c r="J1949" s="390">
        <f>'RGV1 FGD'!$J$74</f>
        <v>-23701910</v>
      </c>
      <c r="K1949" s="390">
        <f>'RGV1 FGD'!$K$74</f>
        <v>0</v>
      </c>
      <c r="L1949" s="390">
        <f>'RGV1 FGD'!$L$74</f>
        <v>0</v>
      </c>
      <c r="M1949" s="390">
        <f>'RGV1 FGD'!$M$74</f>
        <v>-23701910</v>
      </c>
      <c r="N1949" s="401"/>
    </row>
    <row r="1950" spans="2:14" s="160" customFormat="1" ht="12.75" hidden="1" customHeight="1" outlineLevel="1">
      <c r="B1950" s="674" t="str">
        <f>'DAL FGD'!$B$2</f>
        <v>The University of Texas at Dallas</v>
      </c>
      <c r="C1950" s="172"/>
      <c r="D1950" s="390">
        <f>'DAL FGD'!$D$74</f>
        <v>0</v>
      </c>
      <c r="E1950" s="390">
        <f>'DAL FGD'!$E$74</f>
        <v>0</v>
      </c>
      <c r="F1950" s="390">
        <f>'DAL FGD'!$F$74</f>
        <v>0</v>
      </c>
      <c r="G1950" s="390">
        <f>'DAL FGD'!$G$74</f>
        <v>0</v>
      </c>
      <c r="H1950" s="390">
        <f>'DAL FGD'!$H$74</f>
        <v>0</v>
      </c>
      <c r="I1950" s="390">
        <f>'DAL FGD'!$I$74</f>
        <v>0</v>
      </c>
      <c r="J1950" s="390">
        <f>'DAL FGD'!$J$74</f>
        <v>-22875223</v>
      </c>
      <c r="K1950" s="390">
        <f>'DAL FGD'!$K$74</f>
        <v>0</v>
      </c>
      <c r="L1950" s="390">
        <f>'DAL FGD'!$L$74</f>
        <v>0</v>
      </c>
      <c r="M1950" s="390">
        <f>'DAL FGD'!$M$74</f>
        <v>-22875223</v>
      </c>
      <c r="N1950" s="401"/>
    </row>
    <row r="1951" spans="2:14" s="160" customFormat="1" ht="12.75" hidden="1" customHeight="1" outlineLevel="1">
      <c r="B1951" s="674" t="str">
        <f>'E-P FGD'!$B$2</f>
        <v>The University of Texas at El Paso</v>
      </c>
      <c r="C1951" s="172"/>
      <c r="D1951" s="390">
        <f>'E-P FGD'!$D$74</f>
        <v>0</v>
      </c>
      <c r="E1951" s="390">
        <f>'E-P FGD'!$E$74</f>
        <v>0</v>
      </c>
      <c r="F1951" s="390">
        <f>'E-P FGD'!$F$74</f>
        <v>0</v>
      </c>
      <c r="G1951" s="390">
        <f>'E-P FGD'!$G$74</f>
        <v>0</v>
      </c>
      <c r="H1951" s="390">
        <f>'E-P FGD'!$H$74</f>
        <v>0</v>
      </c>
      <c r="I1951" s="390">
        <f>'E-P FGD'!$I$74</f>
        <v>0</v>
      </c>
      <c r="J1951" s="390">
        <f>'E-P FGD'!$J$74</f>
        <v>-8316845</v>
      </c>
      <c r="K1951" s="390">
        <f>'E-P FGD'!$K$74</f>
        <v>0</v>
      </c>
      <c r="L1951" s="390">
        <f>'E-P FGD'!$L$74</f>
        <v>0</v>
      </c>
      <c r="M1951" s="390">
        <f>'E-P FGD'!$M$74</f>
        <v>-8316845</v>
      </c>
      <c r="N1951" s="401"/>
    </row>
    <row r="1952" spans="2:14" s="160" customFormat="1" ht="12.75" hidden="1" customHeight="1" outlineLevel="1">
      <c r="B1952" s="674" t="str">
        <f>'LU FGD'!$B$2</f>
        <v xml:space="preserve">Lamar University </v>
      </c>
      <c r="C1952" s="172"/>
      <c r="D1952" s="390">
        <f>'LU FGD'!$D$74</f>
        <v>0</v>
      </c>
      <c r="E1952" s="390">
        <f>'LU FGD'!$E$74</f>
        <v>0</v>
      </c>
      <c r="F1952" s="390">
        <f>'LU FGD'!$F$74</f>
        <v>0</v>
      </c>
      <c r="G1952" s="390">
        <f>'LU FGD'!$G$74</f>
        <v>0</v>
      </c>
      <c r="H1952" s="390">
        <f>'LU FGD'!$H$74</f>
        <v>0</v>
      </c>
      <c r="I1952" s="390">
        <f>'LU FGD'!$I$74</f>
        <v>0</v>
      </c>
      <c r="J1952" s="390">
        <f>'LU FGD'!$J$74</f>
        <v>-10149106</v>
      </c>
      <c r="K1952" s="390">
        <f>'LU FGD'!$K$74</f>
        <v>0</v>
      </c>
      <c r="L1952" s="390">
        <f>'LU FGD'!$L$74</f>
        <v>7454490</v>
      </c>
      <c r="M1952" s="390">
        <f>'LU FGD'!$M$74</f>
        <v>-2694616</v>
      </c>
      <c r="N1952" s="401"/>
    </row>
    <row r="1953" spans="2:14" s="160" customFormat="1" ht="12.75" hidden="1" customHeight="1" outlineLevel="1">
      <c r="B1953" s="674" t="str">
        <f>'MidWST FGD'!$B$2</f>
        <v>Midwestern State University</v>
      </c>
      <c r="C1953" s="172"/>
      <c r="D1953" s="390">
        <f>'MidWST FGD'!$D$74</f>
        <v>0</v>
      </c>
      <c r="E1953" s="390">
        <f>'MidWST FGD'!$E$74</f>
        <v>0</v>
      </c>
      <c r="F1953" s="390">
        <f>'MidWST FGD'!$F$74</f>
        <v>0</v>
      </c>
      <c r="G1953" s="390">
        <f>'MidWST FGD'!$G$74</f>
        <v>0</v>
      </c>
      <c r="H1953" s="390">
        <f>'MidWST FGD'!$H$74</f>
        <v>0</v>
      </c>
      <c r="I1953" s="390">
        <f>'MidWST FGD'!$I$74</f>
        <v>0</v>
      </c>
      <c r="J1953" s="390">
        <f>'MidWST FGD'!$J$74</f>
        <v>-1763329</v>
      </c>
      <c r="K1953" s="390">
        <f>'MidWST FGD'!$K$74</f>
        <v>0</v>
      </c>
      <c r="L1953" s="390">
        <f>'MidWST FGD'!$L$74</f>
        <v>0</v>
      </c>
      <c r="M1953" s="390">
        <f>'MidWST FGD'!$M$74</f>
        <v>-1763329</v>
      </c>
      <c r="N1953" s="401"/>
    </row>
    <row r="1954" spans="2:14" s="160" customFormat="1" ht="12.75" hidden="1" customHeight="1" outlineLevel="1">
      <c r="B1954" s="674" t="str">
        <f>'P-B FGD'!$B$2</f>
        <v>The University of Texas of the Permian Basin</v>
      </c>
      <c r="C1954" s="172"/>
      <c r="D1954" s="390">
        <f>'P-B FGD'!$D$74</f>
        <v>0</v>
      </c>
      <c r="E1954" s="390">
        <f>'P-B FGD'!$E$74</f>
        <v>0</v>
      </c>
      <c r="F1954" s="390">
        <f>'P-B FGD'!$F$74</f>
        <v>0</v>
      </c>
      <c r="G1954" s="390">
        <f>'P-B FGD'!$G$74</f>
        <v>0</v>
      </c>
      <c r="H1954" s="390">
        <f>'P-B FGD'!$H$74</f>
        <v>0</v>
      </c>
      <c r="I1954" s="390">
        <f>'P-B FGD'!$I$74</f>
        <v>0</v>
      </c>
      <c r="J1954" s="390">
        <f>'P-B FGD'!$J$74</f>
        <v>-8030225</v>
      </c>
      <c r="K1954" s="390">
        <f>'P-B FGD'!$K$74</f>
        <v>0</v>
      </c>
      <c r="L1954" s="390">
        <f>'P-B FGD'!$L$74</f>
        <v>0</v>
      </c>
      <c r="M1954" s="390">
        <f>'P-B FGD'!$M$74</f>
        <v>-8030225</v>
      </c>
      <c r="N1954" s="401"/>
    </row>
    <row r="1955" spans="2:14" s="160" customFormat="1" ht="12.75" hidden="1" customHeight="1" outlineLevel="1">
      <c r="B1955" s="674" t="str">
        <f>'PVAMU FGD'!$B$2</f>
        <v>Prairie View A&amp;M University</v>
      </c>
      <c r="C1955" s="172"/>
      <c r="D1955" s="390">
        <f>'PVAMU FGD'!$D$74</f>
        <v>0</v>
      </c>
      <c r="E1955" s="390">
        <f>'PVAMU FGD'!$E$74</f>
        <v>0</v>
      </c>
      <c r="F1955" s="390">
        <f>'PVAMU FGD'!$F$74</f>
        <v>0</v>
      </c>
      <c r="G1955" s="390">
        <f>'PVAMU FGD'!$G$74</f>
        <v>0</v>
      </c>
      <c r="H1955" s="390">
        <f>'PVAMU FGD'!$H$74</f>
        <v>0</v>
      </c>
      <c r="I1955" s="390">
        <f>'PVAMU FGD'!$I$74</f>
        <v>0</v>
      </c>
      <c r="J1955" s="390">
        <f>'PVAMU FGD'!$J$74</f>
        <v>-5932666</v>
      </c>
      <c r="K1955" s="390">
        <f>'PVAMU FGD'!$K$74</f>
        <v>0</v>
      </c>
      <c r="L1955" s="390">
        <f>'PVAMU FGD'!$L$74</f>
        <v>0</v>
      </c>
      <c r="M1955" s="390">
        <f>'PVAMU FGD'!$M$74</f>
        <v>-5932666</v>
      </c>
      <c r="N1955" s="401"/>
    </row>
    <row r="1956" spans="2:14" s="160" customFormat="1" ht="12.75" hidden="1" customHeight="1" outlineLevel="1">
      <c r="B1956" s="674" t="str">
        <f>'S-A FGD'!$B$2</f>
        <v>The University of Texas at San Antonio</v>
      </c>
      <c r="C1956" s="172"/>
      <c r="D1956" s="390">
        <f>'S-A FGD'!$D$74</f>
        <v>0</v>
      </c>
      <c r="E1956" s="390">
        <f>'S-A FGD'!$E$74</f>
        <v>0</v>
      </c>
      <c r="F1956" s="390">
        <f>'S-A FGD'!$F$74</f>
        <v>0</v>
      </c>
      <c r="G1956" s="390">
        <f>'S-A FGD'!$G$74</f>
        <v>0</v>
      </c>
      <c r="H1956" s="390">
        <f>'S-A FGD'!$H$74</f>
        <v>0</v>
      </c>
      <c r="I1956" s="390">
        <f>'S-A FGD'!$I$74</f>
        <v>0</v>
      </c>
      <c r="J1956" s="390">
        <f>'S-A FGD'!$J$74</f>
        <v>-72382336</v>
      </c>
      <c r="K1956" s="390">
        <f>'S-A FGD'!$K$74</f>
        <v>0</v>
      </c>
      <c r="L1956" s="390">
        <f>'S-A FGD'!$L$74</f>
        <v>0</v>
      </c>
      <c r="M1956" s="390">
        <f>'S-A FGD'!$M$74</f>
        <v>-72382336</v>
      </c>
      <c r="N1956" s="401"/>
    </row>
    <row r="1957" spans="2:14" s="160" customFormat="1" ht="12.75" hidden="1" customHeight="1" outlineLevel="1">
      <c r="B1957" s="674" t="str">
        <f>'SFA FGD'!$B$2</f>
        <v>Stephen F. Austin State University</v>
      </c>
      <c r="C1957" s="172"/>
      <c r="D1957" s="390">
        <f>'SFA FGD'!$D$74</f>
        <v>0</v>
      </c>
      <c r="E1957" s="390">
        <f>'SFA FGD'!$E$74</f>
        <v>0</v>
      </c>
      <c r="F1957" s="390">
        <f>'SFA FGD'!$F$74</f>
        <v>0</v>
      </c>
      <c r="G1957" s="390">
        <f>'SFA FGD'!$G$74</f>
        <v>0</v>
      </c>
      <c r="H1957" s="390">
        <f>'SFA FGD'!$H$74</f>
        <v>0</v>
      </c>
      <c r="I1957" s="390">
        <f>'SFA FGD'!$I$74</f>
        <v>0</v>
      </c>
      <c r="J1957" s="390">
        <f>'SFA FGD'!$J$74</f>
        <v>-27267790</v>
      </c>
      <c r="K1957" s="390">
        <f>'SFA FGD'!$K$74</f>
        <v>0</v>
      </c>
      <c r="L1957" s="390">
        <f>'SFA FGD'!$L$74</f>
        <v>-25600</v>
      </c>
      <c r="M1957" s="390">
        <f>'SFA FGD'!$M$74</f>
        <v>-27293390</v>
      </c>
      <c r="N1957" s="401"/>
    </row>
    <row r="1958" spans="2:14" s="160" customFormat="1" ht="12.75" hidden="1" customHeight="1" outlineLevel="1">
      <c r="B1958" s="674" t="str">
        <f>'shsu1 FGD'!$B$2</f>
        <v>Sam Houston State University - Academic &amp; Health (A+H)</v>
      </c>
      <c r="C1958" s="172"/>
      <c r="D1958" s="390">
        <f>'shsu1 FGD'!$D$74</f>
        <v>0</v>
      </c>
      <c r="E1958" s="390">
        <f>'shsu1 FGD'!$E$74</f>
        <v>0</v>
      </c>
      <c r="F1958" s="390">
        <f>'shsu1 FGD'!$F$74</f>
        <v>0</v>
      </c>
      <c r="G1958" s="390">
        <f>'shsu1 FGD'!$G$74</f>
        <v>0</v>
      </c>
      <c r="H1958" s="390">
        <f>'shsu1 FGD'!$H$74</f>
        <v>0</v>
      </c>
      <c r="I1958" s="390">
        <f>'shsu1 FGD'!$I$74</f>
        <v>0</v>
      </c>
      <c r="J1958" s="390">
        <f>'shsu1 FGD'!$J$74</f>
        <v>-52853362</v>
      </c>
      <c r="K1958" s="390">
        <f>'shsu1 FGD'!$K$74</f>
        <v>0</v>
      </c>
      <c r="L1958" s="390">
        <f>'shsu1 FGD'!$L$74</f>
        <v>0</v>
      </c>
      <c r="M1958" s="390">
        <f>'shsu1 FGD'!$M$74</f>
        <v>-52853362</v>
      </c>
      <c r="N1958" s="401"/>
    </row>
    <row r="1959" spans="2:14" s="160" customFormat="1" ht="12.75" hidden="1" customHeight="1" outlineLevel="1">
      <c r="B1959" s="674" t="str">
        <f>'SRSU FGD'!$B$2</f>
        <v>Sul Ross State University</v>
      </c>
      <c r="C1959" s="172"/>
      <c r="D1959" s="390">
        <f>'SRSU FGD'!$D$74</f>
        <v>0</v>
      </c>
      <c r="E1959" s="390">
        <f>'SRSU FGD'!$E$74</f>
        <v>0</v>
      </c>
      <c r="F1959" s="390">
        <f>'SRSU FGD'!$F$74</f>
        <v>0</v>
      </c>
      <c r="G1959" s="390">
        <f>'SRSU FGD'!$G$74</f>
        <v>0</v>
      </c>
      <c r="H1959" s="390">
        <f>'SRSU FGD'!$H$74</f>
        <v>0</v>
      </c>
      <c r="I1959" s="390">
        <f>'SRSU FGD'!$I$74</f>
        <v>0</v>
      </c>
      <c r="J1959" s="390">
        <f>'SRSU FGD'!$J$74</f>
        <v>-3443236</v>
      </c>
      <c r="K1959" s="390">
        <f>'SRSU FGD'!$K$74</f>
        <v>0</v>
      </c>
      <c r="L1959" s="390">
        <f>'SRSU FGD'!$L$74</f>
        <v>0</v>
      </c>
      <c r="M1959" s="390">
        <f>'SRSU FGD'!$M$74</f>
        <v>-3443236</v>
      </c>
      <c r="N1959" s="401"/>
    </row>
    <row r="1960" spans="2:14" s="160" customFormat="1" ht="12.75" hidden="1" customHeight="1" outlineLevel="1">
      <c r="B1960" s="674" t="str">
        <f>'TAMIU FGD'!$B$2</f>
        <v>Texas A&amp;M International University</v>
      </c>
      <c r="C1960" s="172"/>
      <c r="D1960" s="390">
        <f>'TAMIU FGD'!$D$74</f>
        <v>0</v>
      </c>
      <c r="E1960" s="390">
        <f>'TAMIU FGD'!$E$74</f>
        <v>0</v>
      </c>
      <c r="F1960" s="390">
        <f>'TAMIU FGD'!$F$74</f>
        <v>0</v>
      </c>
      <c r="G1960" s="390">
        <f>'TAMIU FGD'!$G$74</f>
        <v>0</v>
      </c>
      <c r="H1960" s="390">
        <f>'TAMIU FGD'!$H$74</f>
        <v>0</v>
      </c>
      <c r="I1960" s="390">
        <f>'TAMIU FGD'!$I$74</f>
        <v>0</v>
      </c>
      <c r="J1960" s="390">
        <f>'TAMIU FGD'!$J$74</f>
        <v>-369520</v>
      </c>
      <c r="K1960" s="390">
        <f>'TAMIU FGD'!$K$74</f>
        <v>0</v>
      </c>
      <c r="L1960" s="390">
        <f>'TAMIU FGD'!$L$74</f>
        <v>0</v>
      </c>
      <c r="M1960" s="390">
        <f>'TAMIU FGD'!$M$74</f>
        <v>-369520</v>
      </c>
      <c r="N1960" s="401"/>
    </row>
    <row r="1961" spans="2:14" s="160" customFormat="1" ht="12.75" hidden="1" customHeight="1" outlineLevel="1">
      <c r="B1961" s="674" t="str">
        <f>'TAMU FGD'!$B$2</f>
        <v>Texas A&amp;M University</v>
      </c>
      <c r="C1961" s="172"/>
      <c r="D1961" s="390">
        <f>'TAMU FGD'!$D$74</f>
        <v>0</v>
      </c>
      <c r="E1961" s="390">
        <f>'TAMU FGD'!$E$74</f>
        <v>0</v>
      </c>
      <c r="F1961" s="390">
        <f>'TAMU FGD'!$F$74</f>
        <v>0</v>
      </c>
      <c r="G1961" s="390">
        <f>'TAMU FGD'!$G$74</f>
        <v>0</v>
      </c>
      <c r="H1961" s="390">
        <f>'TAMU FGD'!$H$74</f>
        <v>0</v>
      </c>
      <c r="I1961" s="390">
        <f>'TAMU FGD'!$I$74</f>
        <v>0</v>
      </c>
      <c r="J1961" s="390">
        <f>'TAMU FGD'!$J$74</f>
        <v>-57478975</v>
      </c>
      <c r="K1961" s="390">
        <f>'TAMU FGD'!$K$74</f>
        <v>0</v>
      </c>
      <c r="L1961" s="390">
        <f>'TAMU FGD'!$L$74</f>
        <v>0</v>
      </c>
      <c r="M1961" s="390">
        <f>'TAMU FGD'!$M$74</f>
        <v>-57478975</v>
      </c>
      <c r="N1961" s="401"/>
    </row>
    <row r="1962" spans="2:14" s="160" customFormat="1" ht="12.75" hidden="1" customHeight="1" outlineLevel="1">
      <c r="B1962" s="674" t="str">
        <f>'TAMUC FGD'!$B$2</f>
        <v>Texas A&amp;M University - Commerce</v>
      </c>
      <c r="C1962" s="172"/>
      <c r="D1962" s="390">
        <f>'TAMUC FGD'!$D$74</f>
        <v>0</v>
      </c>
      <c r="E1962" s="390">
        <f>'TAMUC FGD'!$E$74</f>
        <v>0</v>
      </c>
      <c r="F1962" s="390">
        <f>'TAMUC FGD'!$F$74</f>
        <v>0</v>
      </c>
      <c r="G1962" s="390">
        <f>'TAMUC FGD'!$G$74</f>
        <v>0</v>
      </c>
      <c r="H1962" s="390">
        <f>'TAMUC FGD'!$H$74</f>
        <v>0</v>
      </c>
      <c r="I1962" s="390">
        <f>'TAMUC FGD'!$I$74</f>
        <v>0</v>
      </c>
      <c r="J1962" s="390">
        <f>'TAMUC FGD'!$J$74</f>
        <v>-5658587</v>
      </c>
      <c r="K1962" s="390">
        <f>'TAMUC FGD'!$K$74</f>
        <v>0</v>
      </c>
      <c r="L1962" s="390">
        <f>'TAMUC FGD'!$L$74</f>
        <v>0</v>
      </c>
      <c r="M1962" s="390">
        <f>'TAMUC FGD'!$M$74</f>
        <v>-5658587</v>
      </c>
      <c r="N1962" s="401"/>
    </row>
    <row r="1963" spans="2:14" s="160" customFormat="1" ht="12.75" hidden="1" customHeight="1" outlineLevel="1">
      <c r="B1963" s="674" t="str">
        <f>'TAMUCC FGD'!$B$2</f>
        <v>Texas A&amp;M University - Corpus Christi</v>
      </c>
      <c r="C1963" s="172"/>
      <c r="D1963" s="390">
        <f>'TAMUCC FGD'!$D$74</f>
        <v>0</v>
      </c>
      <c r="E1963" s="390">
        <f>'TAMUCC FGD'!$E$74</f>
        <v>0</v>
      </c>
      <c r="F1963" s="390">
        <f>'TAMUCC FGD'!$F$74</f>
        <v>0</v>
      </c>
      <c r="G1963" s="390">
        <f>'TAMUCC FGD'!$G$74</f>
        <v>0</v>
      </c>
      <c r="H1963" s="390">
        <f>'TAMUCC FGD'!$H$74</f>
        <v>0</v>
      </c>
      <c r="I1963" s="390">
        <f>'TAMUCC FGD'!$I$74</f>
        <v>0</v>
      </c>
      <c r="J1963" s="390">
        <f>'TAMUCC FGD'!$J$74</f>
        <v>-15740659</v>
      </c>
      <c r="K1963" s="390">
        <f>'TAMUCC FGD'!$K$74</f>
        <v>0</v>
      </c>
      <c r="L1963" s="390">
        <f>'TAMUCC FGD'!$L$74</f>
        <v>0</v>
      </c>
      <c r="M1963" s="390">
        <f>'TAMUCC FGD'!$M$74</f>
        <v>-15740659</v>
      </c>
      <c r="N1963" s="401"/>
    </row>
    <row r="1964" spans="2:14" s="160" customFormat="1" ht="12.75" hidden="1" customHeight="1" outlineLevel="1">
      <c r="B1964" s="674" t="str">
        <f>'TAMUCT FGD'!$B$2</f>
        <v>Texas A&amp;M University - Central Texas</v>
      </c>
      <c r="C1964" s="172"/>
      <c r="D1964" s="390">
        <f>'TAMUCT FGD'!$D$74</f>
        <v>0</v>
      </c>
      <c r="E1964" s="390">
        <f>'TAMUCT FGD'!$E$74</f>
        <v>0</v>
      </c>
      <c r="F1964" s="390">
        <f>'TAMUCT FGD'!$F$74</f>
        <v>0</v>
      </c>
      <c r="G1964" s="390">
        <f>'TAMUCT FGD'!$G$74</f>
        <v>0</v>
      </c>
      <c r="H1964" s="390">
        <f>'TAMUCT FGD'!$H$74</f>
        <v>0</v>
      </c>
      <c r="I1964" s="390">
        <f>'TAMUCT FGD'!$I$74</f>
        <v>0</v>
      </c>
      <c r="J1964" s="390">
        <f>'TAMUCT FGD'!$J$74</f>
        <v>0</v>
      </c>
      <c r="K1964" s="390">
        <f>'TAMUCT FGD'!$K$74</f>
        <v>0</v>
      </c>
      <c r="L1964" s="390">
        <f>'TAMUCT FGD'!$L$74</f>
        <v>0</v>
      </c>
      <c r="M1964" s="390">
        <f>'TAMUCT FGD'!$M$74</f>
        <v>0</v>
      </c>
      <c r="N1964" s="401"/>
    </row>
    <row r="1965" spans="2:14" s="160" customFormat="1" ht="12.75" hidden="1" customHeight="1" outlineLevel="1">
      <c r="B1965" s="674" t="str">
        <f>'TAMUG FGD'!$B$2</f>
        <v>Texas A&amp;M University at Galveston</v>
      </c>
      <c r="C1965" s="172"/>
      <c r="D1965" s="390">
        <f>'TAMUG FGD'!$D$74</f>
        <v>0</v>
      </c>
      <c r="E1965" s="390">
        <f>'TAMUG FGD'!$E$74</f>
        <v>0</v>
      </c>
      <c r="F1965" s="390">
        <f>'TAMUG FGD'!$F$74</f>
        <v>0</v>
      </c>
      <c r="G1965" s="390">
        <f>'TAMUG FGD'!$G$74</f>
        <v>0</v>
      </c>
      <c r="H1965" s="390">
        <f>'TAMUG FGD'!$H$74</f>
        <v>0</v>
      </c>
      <c r="I1965" s="390">
        <f>'TAMUG FGD'!$I$74</f>
        <v>0</v>
      </c>
      <c r="J1965" s="390">
        <f>'TAMUG FGD'!$J$74</f>
        <v>-2390460</v>
      </c>
      <c r="K1965" s="390">
        <f>'TAMUG FGD'!$K$74</f>
        <v>0</v>
      </c>
      <c r="L1965" s="390">
        <f>'TAMUG FGD'!$L$74</f>
        <v>0</v>
      </c>
      <c r="M1965" s="390">
        <f>'TAMUG FGD'!$M$74</f>
        <v>-2390460</v>
      </c>
      <c r="N1965" s="401"/>
    </row>
    <row r="1966" spans="2:14" s="160" customFormat="1" ht="12.75" hidden="1" customHeight="1" outlineLevel="1">
      <c r="B1966" s="674" t="str">
        <f>'TAMUK FGD'!$B$2</f>
        <v>Texas A&amp;M University - Kingsville</v>
      </c>
      <c r="C1966" s="172"/>
      <c r="D1966" s="390">
        <f>'TAMUK FGD'!$D$74</f>
        <v>0</v>
      </c>
      <c r="E1966" s="390">
        <f>'TAMUK FGD'!$E$74</f>
        <v>0</v>
      </c>
      <c r="F1966" s="390">
        <f>'TAMUK FGD'!$F$74</f>
        <v>0</v>
      </c>
      <c r="G1966" s="390">
        <f>'TAMUK FGD'!$G$74</f>
        <v>0</v>
      </c>
      <c r="H1966" s="390">
        <f>'TAMUK FGD'!$H$74</f>
        <v>0</v>
      </c>
      <c r="I1966" s="390">
        <f>'TAMUK FGD'!$I$74</f>
        <v>0</v>
      </c>
      <c r="J1966" s="390">
        <f>'TAMUK FGD'!$J$74</f>
        <v>-4109446</v>
      </c>
      <c r="K1966" s="390">
        <f>'TAMUK FGD'!$K$74</f>
        <v>0</v>
      </c>
      <c r="L1966" s="390">
        <f>'TAMUK FGD'!$L$74</f>
        <v>0</v>
      </c>
      <c r="M1966" s="390">
        <f>'TAMUK FGD'!$M$74</f>
        <v>-4109446</v>
      </c>
      <c r="N1966" s="401"/>
    </row>
    <row r="1967" spans="2:14" s="160" customFormat="1" ht="12.75" hidden="1" customHeight="1" outlineLevel="1">
      <c r="B1967" s="674" t="str">
        <f>'TAMUSA FGD'!$B$2</f>
        <v>Texas A&amp;M University - San Antonio</v>
      </c>
      <c r="C1967" s="172"/>
      <c r="D1967" s="390">
        <f>'TAMUSA FGD'!$D$74</f>
        <v>0</v>
      </c>
      <c r="E1967" s="390">
        <f>'TAMUSA FGD'!$E$74</f>
        <v>0</v>
      </c>
      <c r="F1967" s="390">
        <f>'TAMUSA FGD'!$F$74</f>
        <v>0</v>
      </c>
      <c r="G1967" s="390">
        <f>'TAMUSA FGD'!$G$74</f>
        <v>0</v>
      </c>
      <c r="H1967" s="390">
        <f>'TAMUSA FGD'!$H$74</f>
        <v>0</v>
      </c>
      <c r="I1967" s="390">
        <f>'TAMUSA FGD'!$I$74</f>
        <v>0</v>
      </c>
      <c r="J1967" s="390">
        <f>'TAMUSA FGD'!$J$74</f>
        <v>-82295</v>
      </c>
      <c r="K1967" s="390">
        <f>'TAMUSA FGD'!$K$74</f>
        <v>0</v>
      </c>
      <c r="L1967" s="390">
        <f>'TAMUSA FGD'!$L$74</f>
        <v>0</v>
      </c>
      <c r="M1967" s="390">
        <f>'TAMUSA FGD'!$M$74</f>
        <v>-82295</v>
      </c>
      <c r="N1967" s="401"/>
    </row>
    <row r="1968" spans="2:14" s="160" customFormat="1" ht="12.75" hidden="1" customHeight="1" outlineLevel="1">
      <c r="B1968" s="674" t="str">
        <f>'TAMUT FGD'!$B$2</f>
        <v>Texas A&amp;M University - Texarkana</v>
      </c>
      <c r="C1968" s="172"/>
      <c r="D1968" s="390">
        <f>'TAMUT FGD'!$D$74</f>
        <v>0</v>
      </c>
      <c r="E1968" s="390">
        <f>'TAMUT FGD'!$E$74</f>
        <v>0</v>
      </c>
      <c r="F1968" s="390">
        <f>'TAMUT FGD'!$F$74</f>
        <v>0</v>
      </c>
      <c r="G1968" s="390">
        <f>'TAMUT FGD'!$G$74</f>
        <v>0</v>
      </c>
      <c r="H1968" s="390">
        <f>'TAMUT FGD'!$H$74</f>
        <v>0</v>
      </c>
      <c r="I1968" s="390">
        <f>'TAMUT FGD'!$I$74</f>
        <v>0</v>
      </c>
      <c r="J1968" s="390">
        <f>'TAMUT FGD'!$J$74</f>
        <v>-1784827</v>
      </c>
      <c r="K1968" s="390">
        <f>'TAMUT FGD'!$K$74</f>
        <v>0</v>
      </c>
      <c r="L1968" s="390">
        <f>'TAMUT FGD'!$L$74</f>
        <v>0</v>
      </c>
      <c r="M1968" s="390">
        <f>'TAMUT FGD'!$M$74</f>
        <v>-1784827</v>
      </c>
      <c r="N1968" s="401"/>
    </row>
    <row r="1969" spans="2:14" s="160" customFormat="1" ht="12.75" hidden="1" customHeight="1" outlineLevel="1">
      <c r="B1969" s="674" t="str">
        <f>'TARLST FGD'!$B$2</f>
        <v>Tarleton State University</v>
      </c>
      <c r="C1969" s="172"/>
      <c r="D1969" s="390">
        <f>'TARLST FGD'!$D$74</f>
        <v>0</v>
      </c>
      <c r="E1969" s="390">
        <f>'TARLST FGD'!$E$74</f>
        <v>0</v>
      </c>
      <c r="F1969" s="390">
        <f>'TARLST FGD'!$F$74</f>
        <v>0</v>
      </c>
      <c r="G1969" s="390">
        <f>'TARLST FGD'!$G$74</f>
        <v>0</v>
      </c>
      <c r="H1969" s="390">
        <f>'TARLST FGD'!$H$74</f>
        <v>0</v>
      </c>
      <c r="I1969" s="390">
        <f>'TARLST FGD'!$I$74</f>
        <v>0</v>
      </c>
      <c r="J1969" s="390">
        <f>'TARLST FGD'!$J$74</f>
        <v>-15777249</v>
      </c>
      <c r="K1969" s="390">
        <f>'TARLST FGD'!$K$74</f>
        <v>0</v>
      </c>
      <c r="L1969" s="390">
        <f>'TARLST FGD'!$L$74</f>
        <v>0</v>
      </c>
      <c r="M1969" s="390">
        <f>'TARLST FGD'!$M$74</f>
        <v>-15777249</v>
      </c>
      <c r="N1969" s="401"/>
    </row>
    <row r="1970" spans="2:14" s="160" customFormat="1" ht="12.75" hidden="1" customHeight="1" outlineLevel="1">
      <c r="B1970" s="674" t="str">
        <f>'TSU FGD'!$B$2</f>
        <v>Texas Southern University</v>
      </c>
      <c r="C1970" s="172"/>
      <c r="D1970" s="390">
        <f>'TSU FGD'!$D$74</f>
        <v>0</v>
      </c>
      <c r="E1970" s="390">
        <f>'TSU FGD'!$E$74</f>
        <v>0</v>
      </c>
      <c r="F1970" s="390">
        <f>'TSU FGD'!$F$74</f>
        <v>0</v>
      </c>
      <c r="G1970" s="390">
        <f>'TSU FGD'!$G$74</f>
        <v>0</v>
      </c>
      <c r="H1970" s="390">
        <f>'TSU FGD'!$H$74</f>
        <v>0</v>
      </c>
      <c r="I1970" s="390">
        <f>'TSU FGD'!$I$74</f>
        <v>0</v>
      </c>
      <c r="J1970" s="390">
        <f>'TSU FGD'!$J$74</f>
        <v>-13325302</v>
      </c>
      <c r="K1970" s="390">
        <f>'TSU FGD'!$K$74</f>
        <v>0</v>
      </c>
      <c r="L1970" s="390">
        <f>'TSU FGD'!$L$74</f>
        <v>0</v>
      </c>
      <c r="M1970" s="390">
        <f>'TSU FGD'!$M$74</f>
        <v>-13325302</v>
      </c>
      <c r="N1970" s="401"/>
    </row>
    <row r="1971" spans="2:14" s="160" customFormat="1" ht="12.75" hidden="1" customHeight="1" outlineLevel="1">
      <c r="B1971" s="674" t="str">
        <f>'TTU FGD'!$B$2</f>
        <v>Texas Tech University</v>
      </c>
      <c r="C1971" s="172"/>
      <c r="D1971" s="390">
        <f>'TTU FGD'!$D$74</f>
        <v>0</v>
      </c>
      <c r="E1971" s="390">
        <f>'TTU FGD'!$E$74</f>
        <v>0</v>
      </c>
      <c r="F1971" s="390">
        <f>'TTU FGD'!$F$74</f>
        <v>0</v>
      </c>
      <c r="G1971" s="390">
        <f>'TTU FGD'!$G$74</f>
        <v>0</v>
      </c>
      <c r="H1971" s="390">
        <f>'TTU FGD'!$H$74</f>
        <v>0</v>
      </c>
      <c r="I1971" s="390">
        <f>'TTU FGD'!$I$74</f>
        <v>0</v>
      </c>
      <c r="J1971" s="390">
        <f>'TTU FGD'!$J$74</f>
        <v>-108431164</v>
      </c>
      <c r="K1971" s="390">
        <f>'TTU FGD'!$K$74</f>
        <v>0</v>
      </c>
      <c r="L1971" s="390">
        <f>'TTU FGD'!$L$74</f>
        <v>0</v>
      </c>
      <c r="M1971" s="390">
        <f>'TTU FGD'!$M$74</f>
        <v>-108431164</v>
      </c>
      <c r="N1971" s="401"/>
    </row>
    <row r="1972" spans="2:14" s="160" customFormat="1" ht="12.75" hidden="1" customHeight="1" outlineLevel="1">
      <c r="B1972" s="674" t="str">
        <f>'TWU FGD'!$B$2</f>
        <v>Texas Woman's University</v>
      </c>
      <c r="C1972" s="172"/>
      <c r="D1972" s="390">
        <f>'TWU FGD'!$D$74</f>
        <v>0</v>
      </c>
      <c r="E1972" s="390">
        <f>'TWU FGD'!$E$74</f>
        <v>0</v>
      </c>
      <c r="F1972" s="390">
        <f>'TWU FGD'!$F$74</f>
        <v>0</v>
      </c>
      <c r="G1972" s="390">
        <f>'TWU FGD'!$G$74</f>
        <v>0</v>
      </c>
      <c r="H1972" s="390">
        <f>'TWU FGD'!$H$74</f>
        <v>0</v>
      </c>
      <c r="I1972" s="390">
        <f>'TWU FGD'!$I$74</f>
        <v>0</v>
      </c>
      <c r="J1972" s="390">
        <f>'TWU FGD'!$J$74</f>
        <v>-8408177</v>
      </c>
      <c r="K1972" s="390">
        <f>'TWU FGD'!$K$74</f>
        <v>0</v>
      </c>
      <c r="L1972" s="390">
        <f>'TWU FGD'!$L$74</f>
        <v>0</v>
      </c>
      <c r="M1972" s="390">
        <f>'TWU FGD'!$M$74</f>
        <v>-8408177</v>
      </c>
      <c r="N1972" s="401"/>
    </row>
    <row r="1973" spans="2:14" s="160" customFormat="1" ht="12.75" hidden="1" customHeight="1" outlineLevel="1">
      <c r="B1973" s="674" t="str">
        <f>'TXST FGD'!$B$2</f>
        <v>Texas State University</v>
      </c>
      <c r="C1973" s="172"/>
      <c r="D1973" s="390">
        <f>'TXST FGD'!$D$74</f>
        <v>0</v>
      </c>
      <c r="E1973" s="390">
        <f>'TXST FGD'!$E$74</f>
        <v>0</v>
      </c>
      <c r="F1973" s="390">
        <f>'TXST FGD'!$F$74</f>
        <v>0</v>
      </c>
      <c r="G1973" s="390">
        <f>'TXST FGD'!$G$74</f>
        <v>0</v>
      </c>
      <c r="H1973" s="390">
        <f>'TXST FGD'!$H$74</f>
        <v>0</v>
      </c>
      <c r="I1973" s="390">
        <f>'TXST FGD'!$I$74</f>
        <v>0</v>
      </c>
      <c r="J1973" s="390">
        <f>'TXST FGD'!$J$74</f>
        <v>-29063077</v>
      </c>
      <c r="K1973" s="390">
        <f>'TXST FGD'!$K$74</f>
        <v>0</v>
      </c>
      <c r="L1973" s="390">
        <f>'TXST FGD'!$L$74</f>
        <v>0</v>
      </c>
      <c r="M1973" s="390">
        <f>'TXST FGD'!$M$74</f>
        <v>-29063077</v>
      </c>
      <c r="N1973" s="401"/>
    </row>
    <row r="1974" spans="2:14" s="160" customFormat="1" ht="12.75" hidden="1" customHeight="1" outlineLevel="1">
      <c r="B1974" s="674" t="str">
        <f>'TYL FGD'!$B$2</f>
        <v>The University of Texas at Tyler</v>
      </c>
      <c r="C1974" s="172"/>
      <c r="D1974" s="390">
        <f>'TYL FGD'!$D$74</f>
        <v>0</v>
      </c>
      <c r="E1974" s="390">
        <f>'TYL FGD'!$E$74</f>
        <v>0</v>
      </c>
      <c r="F1974" s="390">
        <f>'TYL FGD'!$F$74</f>
        <v>0</v>
      </c>
      <c r="G1974" s="390">
        <f>'TYL FGD'!$G$74</f>
        <v>0</v>
      </c>
      <c r="H1974" s="390">
        <f>'TYL FGD'!$H$74</f>
        <v>0</v>
      </c>
      <c r="I1974" s="390">
        <f>'TYL FGD'!$I$74</f>
        <v>0</v>
      </c>
      <c r="J1974" s="390">
        <f>'TYL FGD'!$J$74</f>
        <v>-5978934</v>
      </c>
      <c r="K1974" s="390">
        <f>'TYL FGD'!$K$74</f>
        <v>0</v>
      </c>
      <c r="L1974" s="390">
        <f>'TYL FGD'!$L$74</f>
        <v>0</v>
      </c>
      <c r="M1974" s="390">
        <f>'TYL FGD'!$M$74</f>
        <v>-5978934</v>
      </c>
      <c r="N1974" s="401"/>
    </row>
    <row r="1975" spans="2:14" s="160" customFormat="1" ht="12.75" hidden="1" customHeight="1" outlineLevel="1">
      <c r="B1975" s="674" t="str">
        <f>'UH1 FGD'!$B$2</f>
        <v>University of Houston - Academic &amp; Health (A+H)</v>
      </c>
      <c r="C1975" s="172"/>
      <c r="D1975" s="390">
        <f>'UH1 FGD'!$D$74</f>
        <v>0</v>
      </c>
      <c r="E1975" s="390">
        <f>'UH1 FGD'!$E$74</f>
        <v>0</v>
      </c>
      <c r="F1975" s="390">
        <f>'UH1 FGD'!$F$74</f>
        <v>0</v>
      </c>
      <c r="G1975" s="390">
        <f>'UH1 FGD'!$G$74</f>
        <v>0</v>
      </c>
      <c r="H1975" s="390">
        <f>'UH1 FGD'!$H$74</f>
        <v>0</v>
      </c>
      <c r="I1975" s="390">
        <f>'UH1 FGD'!$I$74</f>
        <v>0</v>
      </c>
      <c r="J1975" s="390">
        <f>'UH1 FGD'!$J$74</f>
        <v>143289196</v>
      </c>
      <c r="K1975" s="390">
        <f>'UH1 FGD'!$K$74</f>
        <v>0</v>
      </c>
      <c r="L1975" s="390">
        <f>'UH1 FGD'!$L$74</f>
        <v>0</v>
      </c>
      <c r="M1975" s="390">
        <f>'UH1 FGD'!$M$74</f>
        <v>143289196</v>
      </c>
      <c r="N1975" s="401"/>
    </row>
    <row r="1976" spans="2:14" s="160" customFormat="1" ht="12.75" hidden="1" customHeight="1" outlineLevel="1">
      <c r="B1976" s="674" t="str">
        <f>'UHCL FGD'!$B$2</f>
        <v>University of Houston - Clear Lake</v>
      </c>
      <c r="C1976" s="172"/>
      <c r="D1976" s="390">
        <f>'UHCL FGD'!$D$74</f>
        <v>0</v>
      </c>
      <c r="E1976" s="390">
        <f>'UHCL FGD'!$E$74</f>
        <v>0</v>
      </c>
      <c r="F1976" s="390">
        <f>'UHCL FGD'!$F$74</f>
        <v>0</v>
      </c>
      <c r="G1976" s="390">
        <f>'UHCL FGD'!$G$74</f>
        <v>0</v>
      </c>
      <c r="H1976" s="390">
        <f>'UHCL FGD'!$H$74</f>
        <v>0</v>
      </c>
      <c r="I1976" s="390">
        <f>'UHCL FGD'!$I$74</f>
        <v>0</v>
      </c>
      <c r="J1976" s="390">
        <f>'UHCL FGD'!$J$74</f>
        <v>0</v>
      </c>
      <c r="K1976" s="390">
        <f>'UHCL FGD'!$K$74</f>
        <v>0</v>
      </c>
      <c r="L1976" s="390">
        <f>'UHCL FGD'!$L$74</f>
        <v>0</v>
      </c>
      <c r="M1976" s="390">
        <f>'UHCL FGD'!$M$74</f>
        <v>0</v>
      </c>
      <c r="N1976" s="401"/>
    </row>
    <row r="1977" spans="2:14" s="160" customFormat="1" ht="12.75" hidden="1" customHeight="1" outlineLevel="1">
      <c r="B1977" s="674" t="str">
        <f>'UHD FGD'!$B$2</f>
        <v>University of Houston - Downtown</v>
      </c>
      <c r="C1977" s="172"/>
      <c r="D1977" s="390">
        <f>'UHD FGD'!$D$74</f>
        <v>0</v>
      </c>
      <c r="E1977" s="390">
        <f>'UHD FGD'!$E$74</f>
        <v>0</v>
      </c>
      <c r="F1977" s="390">
        <f>'UHD FGD'!$F$74</f>
        <v>0</v>
      </c>
      <c r="G1977" s="390">
        <f>'UHD FGD'!$G$74</f>
        <v>0</v>
      </c>
      <c r="H1977" s="390">
        <f>'UHD FGD'!$H$74</f>
        <v>0</v>
      </c>
      <c r="I1977" s="390">
        <f>'UHD FGD'!$I$74</f>
        <v>0</v>
      </c>
      <c r="J1977" s="390">
        <f>'UHD FGD'!$J$74</f>
        <v>5734582</v>
      </c>
      <c r="K1977" s="390">
        <f>'UHD FGD'!$K$74</f>
        <v>0</v>
      </c>
      <c r="L1977" s="390">
        <f>'UHD FGD'!$L$74</f>
        <v>0</v>
      </c>
      <c r="M1977" s="390">
        <f>'UHD FGD'!$M$74</f>
        <v>5734582</v>
      </c>
      <c r="N1977" s="401"/>
    </row>
    <row r="1978" spans="2:14" s="160" customFormat="1" ht="12.75" hidden="1" customHeight="1" outlineLevel="1">
      <c r="B1978" s="674" t="str">
        <f>'UHV FGD'!$B$2</f>
        <v>University of Houston - Victoria</v>
      </c>
      <c r="C1978" s="172"/>
      <c r="D1978" s="390">
        <f>'UHV FGD'!$D$74</f>
        <v>0</v>
      </c>
      <c r="E1978" s="390">
        <f>'UHV FGD'!$E$74</f>
        <v>0</v>
      </c>
      <c r="F1978" s="390">
        <f>'UHV FGD'!$F$74</f>
        <v>0</v>
      </c>
      <c r="G1978" s="390">
        <f>'UHV FGD'!$G$74</f>
        <v>0</v>
      </c>
      <c r="H1978" s="390">
        <f>'UHV FGD'!$H$74</f>
        <v>0</v>
      </c>
      <c r="I1978" s="390">
        <f>'UHV FGD'!$I$74</f>
        <v>0</v>
      </c>
      <c r="J1978" s="390">
        <f>'UHV FGD'!$J$74</f>
        <v>-7732299</v>
      </c>
      <c r="K1978" s="390">
        <f>'UHV FGD'!$K$74</f>
        <v>0</v>
      </c>
      <c r="L1978" s="390">
        <f>'UHV FGD'!$L$74</f>
        <v>0</v>
      </c>
      <c r="M1978" s="390">
        <f>'UHV FGD'!$M$74</f>
        <v>-7732299</v>
      </c>
      <c r="N1978" s="401"/>
    </row>
    <row r="1979" spans="2:14" s="160" customFormat="1" ht="12.75" hidden="1" customHeight="1" outlineLevel="1">
      <c r="B1979" s="674" t="str">
        <f>'UNT FGD'!$B$2</f>
        <v>University of North Texas</v>
      </c>
      <c r="C1979" s="172"/>
      <c r="D1979" s="390">
        <f>'UNT FGD'!$D$74</f>
        <v>0</v>
      </c>
      <c r="E1979" s="390">
        <f>'UNT FGD'!$E$74</f>
        <v>0</v>
      </c>
      <c r="F1979" s="390">
        <f>'UNT FGD'!$F$74</f>
        <v>0</v>
      </c>
      <c r="G1979" s="390">
        <f>'UNT FGD'!$G$74</f>
        <v>0</v>
      </c>
      <c r="H1979" s="390">
        <f>'UNT FGD'!$H$74</f>
        <v>0</v>
      </c>
      <c r="I1979" s="390">
        <f>'UNT FGD'!$I$74</f>
        <v>0</v>
      </c>
      <c r="J1979" s="390">
        <f>'UNT FGD'!$J$74</f>
        <v>0</v>
      </c>
      <c r="K1979" s="390">
        <f>'UNT FGD'!$K$74</f>
        <v>0</v>
      </c>
      <c r="L1979" s="390">
        <f>'UNT FGD'!$L$74</f>
        <v>4471404</v>
      </c>
      <c r="M1979" s="390">
        <f>'UNT FGD'!$M$74</f>
        <v>4471404</v>
      </c>
      <c r="N1979" s="401"/>
    </row>
    <row r="1980" spans="2:14" s="160" customFormat="1" ht="12.75" hidden="1" customHeight="1" outlineLevel="1">
      <c r="B1980" s="674" t="str">
        <f>'UNTD FGD'!$B$2</f>
        <v>University of North Texas at Dallas</v>
      </c>
      <c r="C1980" s="172"/>
      <c r="D1980" s="390">
        <f>'UNTD FGD'!$D$74</f>
        <v>0</v>
      </c>
      <c r="E1980" s="390">
        <f>'UNTD FGD'!$E$74</f>
        <v>0</v>
      </c>
      <c r="F1980" s="390">
        <f>'UNTD FGD'!$F$74</f>
        <v>0</v>
      </c>
      <c r="G1980" s="390">
        <f>'UNTD FGD'!$G$74</f>
        <v>0</v>
      </c>
      <c r="H1980" s="390">
        <f>'UNTD FGD'!$H$74</f>
        <v>0</v>
      </c>
      <c r="I1980" s="390">
        <f>'UNTD FGD'!$I$74</f>
        <v>0</v>
      </c>
      <c r="J1980" s="390">
        <f>'UNTD FGD'!$J$74</f>
        <v>0</v>
      </c>
      <c r="K1980" s="390">
        <f>'UNTD FGD'!$K$74</f>
        <v>0</v>
      </c>
      <c r="L1980" s="390">
        <f>'UNTD FGD'!$L$74</f>
        <v>-1122444</v>
      </c>
      <c r="M1980" s="390">
        <f>'UNTD FGD'!$M$74</f>
        <v>-1122444</v>
      </c>
      <c r="N1980" s="401"/>
    </row>
    <row r="1981" spans="2:14" s="160" customFormat="1" ht="12.75" hidden="1" customHeight="1" outlineLevel="1">
      <c r="B1981" s="674" t="str">
        <f>'WTAMU FGD'!$B$2</f>
        <v>West Texas A&amp;M University</v>
      </c>
      <c r="C1981" s="172"/>
      <c r="D1981" s="390">
        <f>'WTAMU FGD'!$D$74</f>
        <v>0</v>
      </c>
      <c r="E1981" s="390">
        <f>'WTAMU FGD'!$E$74</f>
        <v>0</v>
      </c>
      <c r="F1981" s="390">
        <f>'WTAMU FGD'!$F$74</f>
        <v>0</v>
      </c>
      <c r="G1981" s="390">
        <f>'WTAMU FGD'!$G$74</f>
        <v>0</v>
      </c>
      <c r="H1981" s="390">
        <f>'WTAMU FGD'!$H$74</f>
        <v>0</v>
      </c>
      <c r="I1981" s="390">
        <f>'WTAMU FGD'!$I$74</f>
        <v>0</v>
      </c>
      <c r="J1981" s="390">
        <f>'WTAMU FGD'!$J$74</f>
        <v>-72847</v>
      </c>
      <c r="K1981" s="390">
        <f>'WTAMU FGD'!$K$74</f>
        <v>0</v>
      </c>
      <c r="L1981" s="390">
        <f>'WTAMU FGD'!$L$74</f>
        <v>0</v>
      </c>
      <c r="M1981" s="390">
        <f>'WTAMU FGD'!$M$74</f>
        <v>-72847</v>
      </c>
      <c r="N1981" s="401"/>
    </row>
    <row r="1982" spans="2:14" s="160" customFormat="1" collapsed="1">
      <c r="B1982" s="160" t="s">
        <v>60</v>
      </c>
      <c r="D1982" s="390">
        <f t="shared" ref="D1982:M1982" si="52">SUM(D1946:D1981)</f>
        <v>0</v>
      </c>
      <c r="E1982" s="390">
        <f t="shared" si="52"/>
        <v>0</v>
      </c>
      <c r="F1982" s="390">
        <f t="shared" si="52"/>
        <v>0</v>
      </c>
      <c r="G1982" s="390">
        <f t="shared" si="52"/>
        <v>0</v>
      </c>
      <c r="H1982" s="390">
        <f t="shared" si="52"/>
        <v>0</v>
      </c>
      <c r="I1982" s="390">
        <f t="shared" si="52"/>
        <v>0</v>
      </c>
      <c r="J1982" s="390">
        <f t="shared" si="52"/>
        <v>-762259510</v>
      </c>
      <c r="K1982" s="390">
        <f t="shared" si="52"/>
        <v>0</v>
      </c>
      <c r="L1982" s="390">
        <f t="shared" si="52"/>
        <v>10777850</v>
      </c>
      <c r="M1982" s="390">
        <f t="shared" si="52"/>
        <v>-751481660</v>
      </c>
      <c r="N1982" s="401"/>
    </row>
    <row r="1983" spans="2:14" s="160" customFormat="1" ht="12.75" hidden="1" customHeight="1" outlineLevel="1">
      <c r="B1983" s="674" t="str">
        <f>'ARL FGD'!$B$2</f>
        <v>The University of Texas at Arlington</v>
      </c>
      <c r="D1983" s="390">
        <f>'ARL FGD'!$D$75</f>
        <v>13998005</v>
      </c>
      <c r="E1983" s="390">
        <f>'ARL FGD'!$E$75</f>
        <v>21541201</v>
      </c>
      <c r="F1983" s="390">
        <f>'ARL FGD'!$F$75</f>
        <v>10134725</v>
      </c>
      <c r="G1983" s="390">
        <f>'ARL FGD'!$G$75</f>
        <v>-50589446</v>
      </c>
      <c r="H1983" s="390">
        <f>'ARL FGD'!$H$75</f>
        <v>0</v>
      </c>
      <c r="I1983" s="390">
        <f>'ARL FGD'!$I$75</f>
        <v>866411</v>
      </c>
      <c r="J1983" s="390">
        <f>'ARL FGD'!$J$75</f>
        <v>11577806</v>
      </c>
      <c r="K1983" s="390">
        <f>'ARL FGD'!$K$75</f>
        <v>0</v>
      </c>
      <c r="L1983" s="390">
        <f>'ARL FGD'!$L$75</f>
        <v>4534</v>
      </c>
      <c r="M1983" s="390">
        <f>'ARL FGD'!$M$75</f>
        <v>7533236</v>
      </c>
      <c r="N1983" s="401"/>
    </row>
    <row r="1984" spans="2:14" s="160" customFormat="1" ht="12.75" hidden="1" customHeight="1" outlineLevel="1">
      <c r="B1984" s="674" t="str">
        <f>'ASU FGD'!$B$2</f>
        <v>Angelo State University</v>
      </c>
      <c r="D1984" s="390">
        <f>'ASU FGD'!$D$75</f>
        <v>-4350893</v>
      </c>
      <c r="E1984" s="390">
        <f>'ASU FGD'!$E$75</f>
        <v>3604308</v>
      </c>
      <c r="F1984" s="390">
        <f>'ASU FGD'!$F$75</f>
        <v>4129498</v>
      </c>
      <c r="G1984" s="390">
        <f>'ASU FGD'!$G$75</f>
        <v>-22437800</v>
      </c>
      <c r="H1984" s="390">
        <f>'ASU FGD'!$H$75</f>
        <v>52025</v>
      </c>
      <c r="I1984" s="390">
        <f>'ASU FGD'!$I$75</f>
        <v>-866688</v>
      </c>
      <c r="J1984" s="390">
        <f>'ASU FGD'!$J$75</f>
        <v>10110464</v>
      </c>
      <c r="K1984" s="390">
        <f>'ASU FGD'!$K$75</f>
        <v>0</v>
      </c>
      <c r="L1984" s="390">
        <f>'ASU FGD'!$L$75</f>
        <v>0</v>
      </c>
      <c r="M1984" s="390">
        <f>'ASU FGD'!$M$75</f>
        <v>-9759086</v>
      </c>
      <c r="N1984" s="401"/>
    </row>
    <row r="1985" spans="2:14" s="160" customFormat="1" ht="12.75" hidden="1" customHeight="1" outlineLevel="1">
      <c r="B1985" s="674" t="str">
        <f>'AUS1 FGD'!$B$2</f>
        <v>The University of Texas at Austin - Academic &amp; Health (A+H)</v>
      </c>
      <c r="D1985" s="390">
        <f>'AUS1 FGD'!$D$75</f>
        <v>20978223</v>
      </c>
      <c r="E1985" s="390">
        <f>'AUS1 FGD'!$E$75</f>
        <v>-50476323</v>
      </c>
      <c r="F1985" s="390">
        <f>'AUS1 FGD'!$F$75</f>
        <v>9652482</v>
      </c>
      <c r="G1985" s="390">
        <f>'AUS1 FGD'!$G$75</f>
        <v>-71563812</v>
      </c>
      <c r="H1985" s="390">
        <f>'AUS1 FGD'!$H$75</f>
        <v>-1538052</v>
      </c>
      <c r="I1985" s="390">
        <f>'AUS1 FGD'!$I$75</f>
        <v>20538508</v>
      </c>
      <c r="J1985" s="390">
        <f>'AUS1 FGD'!$J$75</f>
        <v>95739968</v>
      </c>
      <c r="K1985" s="390">
        <f>'AUS1 FGD'!$K$75</f>
        <v>0</v>
      </c>
      <c r="L1985" s="390">
        <f>'AUS1 FGD'!$L$75</f>
        <v>-624251</v>
      </c>
      <c r="M1985" s="390">
        <f>'AUS1 FGD'!$M$75</f>
        <v>22706743</v>
      </c>
      <c r="N1985" s="401"/>
    </row>
    <row r="1986" spans="2:14" s="160" customFormat="1" ht="12.75" hidden="1" customHeight="1" outlineLevel="1">
      <c r="B1986" s="674" t="str">
        <f>'RGV1 FGD'!$B$2</f>
        <v>The University of Texas RGV - Academic &amp; Health (A+H)</v>
      </c>
      <c r="D1986" s="390">
        <f>'RGV1 FGD'!$D$75</f>
        <v>3036252</v>
      </c>
      <c r="E1986" s="390">
        <f>'RGV1 FGD'!$E$75</f>
        <v>20146579</v>
      </c>
      <c r="F1986" s="390">
        <f>'RGV1 FGD'!$F$75</f>
        <v>10903166</v>
      </c>
      <c r="G1986" s="390">
        <f>'RGV1 FGD'!$G$75</f>
        <v>-92463265</v>
      </c>
      <c r="H1986" s="390">
        <f>'RGV1 FGD'!$H$75</f>
        <v>753982</v>
      </c>
      <c r="I1986" s="390">
        <f>'RGV1 FGD'!$I$75</f>
        <v>40009940</v>
      </c>
      <c r="J1986" s="390">
        <f>'RGV1 FGD'!$J$75</f>
        <v>15387463</v>
      </c>
      <c r="K1986" s="390">
        <f>'RGV1 FGD'!$K$75</f>
        <v>0</v>
      </c>
      <c r="L1986" s="390">
        <f>'RGV1 FGD'!$L$75</f>
        <v>14395</v>
      </c>
      <c r="M1986" s="390">
        <f>'RGV1 FGD'!$M$75</f>
        <v>-2211488</v>
      </c>
      <c r="N1986" s="401"/>
    </row>
    <row r="1987" spans="2:14" s="160" customFormat="1" ht="12.75" hidden="1" customHeight="1" outlineLevel="1">
      <c r="B1987" s="674" t="str">
        <f>'DAL FGD'!$B$2</f>
        <v>The University of Texas at Dallas</v>
      </c>
      <c r="D1987" s="390">
        <f>'DAL FGD'!$D$75</f>
        <v>5097454</v>
      </c>
      <c r="E1987" s="390">
        <f>'DAL FGD'!$E$75</f>
        <v>23698548</v>
      </c>
      <c r="F1987" s="390">
        <f>'DAL FGD'!$F$75</f>
        <v>17688994</v>
      </c>
      <c r="G1987" s="390">
        <f>'DAL FGD'!$G$75</f>
        <v>-56754325</v>
      </c>
      <c r="H1987" s="390">
        <f>'DAL FGD'!$H$75</f>
        <v>499530</v>
      </c>
      <c r="I1987" s="390">
        <f>'DAL FGD'!$I$75</f>
        <v>12006007</v>
      </c>
      <c r="J1987" s="390">
        <f>'DAL FGD'!$J$75</f>
        <v>11799416</v>
      </c>
      <c r="K1987" s="390">
        <f>'DAL FGD'!$K$75</f>
        <v>0</v>
      </c>
      <c r="L1987" s="390">
        <f>'DAL FGD'!$L$75</f>
        <v>-1454827</v>
      </c>
      <c r="M1987" s="390">
        <f>'DAL FGD'!$M$75</f>
        <v>12580797</v>
      </c>
      <c r="N1987" s="401"/>
    </row>
    <row r="1988" spans="2:14" s="160" customFormat="1" ht="12.75" hidden="1" customHeight="1" outlineLevel="1">
      <c r="B1988" s="674" t="str">
        <f>'E-P FGD'!$B$2</f>
        <v>The University of Texas at El Paso</v>
      </c>
      <c r="D1988" s="390">
        <f>'E-P FGD'!$D$75</f>
        <v>42216938</v>
      </c>
      <c r="E1988" s="390">
        <f>'E-P FGD'!$E$75</f>
        <v>-14615625</v>
      </c>
      <c r="F1988" s="390">
        <f>'E-P FGD'!$F$75</f>
        <v>21676525</v>
      </c>
      <c r="G1988" s="390">
        <f>'E-P FGD'!$G$75</f>
        <v>-55820010</v>
      </c>
      <c r="H1988" s="390">
        <f>'E-P FGD'!$H$75</f>
        <v>220260</v>
      </c>
      <c r="I1988" s="390">
        <f>'E-P FGD'!$I$75</f>
        <v>3378042</v>
      </c>
      <c r="J1988" s="390">
        <f>'E-P FGD'!$J$75</f>
        <v>917120</v>
      </c>
      <c r="K1988" s="390">
        <f>'E-P FGD'!$K$75</f>
        <v>0</v>
      </c>
      <c r="L1988" s="390">
        <f>'E-P FGD'!$L$75</f>
        <v>0</v>
      </c>
      <c r="M1988" s="390">
        <f>'E-P FGD'!$M$75</f>
        <v>-2026750</v>
      </c>
      <c r="N1988" s="401"/>
    </row>
    <row r="1989" spans="2:14" s="160" customFormat="1" ht="12.75" hidden="1" customHeight="1" outlineLevel="1">
      <c r="B1989" s="674" t="str">
        <f>'LU FGD'!$B$2</f>
        <v xml:space="preserve">Lamar University </v>
      </c>
      <c r="D1989" s="390">
        <f>'LU FGD'!$D$75</f>
        <v>1930206</v>
      </c>
      <c r="E1989" s="390">
        <f>'LU FGD'!$E$75</f>
        <v>-1628144</v>
      </c>
      <c r="F1989" s="390">
        <f>'LU FGD'!$F$75</f>
        <v>0</v>
      </c>
      <c r="G1989" s="390">
        <f>'LU FGD'!$G$75</f>
        <v>0</v>
      </c>
      <c r="H1989" s="390">
        <f>'LU FGD'!$H$75</f>
        <v>0</v>
      </c>
      <c r="I1989" s="390">
        <f>'LU FGD'!$I$75</f>
        <v>0</v>
      </c>
      <c r="J1989" s="390">
        <f>'LU FGD'!$J$75</f>
        <v>0</v>
      </c>
      <c r="K1989" s="390">
        <f>'LU FGD'!$K$75</f>
        <v>0</v>
      </c>
      <c r="L1989" s="390">
        <f>'LU FGD'!$L$75</f>
        <v>0</v>
      </c>
      <c r="M1989" s="390">
        <f>'LU FGD'!$M$75</f>
        <v>302062</v>
      </c>
      <c r="N1989" s="401"/>
    </row>
    <row r="1990" spans="2:14" s="160" customFormat="1" ht="12.75" hidden="1" customHeight="1" outlineLevel="1">
      <c r="B1990" s="674" t="str">
        <f>'MidWST FGD'!$B$2</f>
        <v>Midwestern State University</v>
      </c>
      <c r="D1990" s="390">
        <f>'MidWST FGD'!$D$75</f>
        <v>-7245416</v>
      </c>
      <c r="E1990" s="390">
        <f>'MidWST FGD'!$E$75</f>
        <v>6663901</v>
      </c>
      <c r="F1990" s="390">
        <f>'MidWST FGD'!$F$75</f>
        <v>-4283502</v>
      </c>
      <c r="G1990" s="390">
        <f>'MidWST FGD'!$G$75</f>
        <v>-15253613</v>
      </c>
      <c r="H1990" s="390">
        <f>'MidWST FGD'!$H$75</f>
        <v>89852</v>
      </c>
      <c r="I1990" s="390">
        <f>'MidWST FGD'!$I$75</f>
        <v>11879</v>
      </c>
      <c r="J1990" s="390">
        <f>'MidWST FGD'!$J$75</f>
        <v>-1780356</v>
      </c>
      <c r="K1990" s="390">
        <f>'MidWST FGD'!$K$75</f>
        <v>4871850</v>
      </c>
      <c r="L1990" s="390">
        <f>'MidWST FGD'!$L$75</f>
        <v>14221232</v>
      </c>
      <c r="M1990" s="390">
        <f>'MidWST FGD'!$M$75</f>
        <v>-2704173</v>
      </c>
      <c r="N1990" s="401"/>
    </row>
    <row r="1991" spans="2:14" s="160" customFormat="1" ht="12.75" hidden="1" customHeight="1" outlineLevel="1">
      <c r="B1991" s="674" t="str">
        <f>'P-B FGD'!$B$2</f>
        <v>The University of Texas of the Permian Basin</v>
      </c>
      <c r="D1991" s="390">
        <f>'P-B FGD'!$D$75</f>
        <v>537844</v>
      </c>
      <c r="E1991" s="390">
        <f>'P-B FGD'!$E$75</f>
        <v>4544481</v>
      </c>
      <c r="F1991" s="390">
        <f>'P-B FGD'!$F$75</f>
        <v>3653431</v>
      </c>
      <c r="G1991" s="390">
        <f>'P-B FGD'!$G$75</f>
        <v>-9649145</v>
      </c>
      <c r="H1991" s="390">
        <f>'P-B FGD'!$H$75</f>
        <v>0</v>
      </c>
      <c r="I1991" s="390">
        <f>'P-B FGD'!$I$75</f>
        <v>2573</v>
      </c>
      <c r="J1991" s="390">
        <f>'P-B FGD'!$J$75</f>
        <v>1000000</v>
      </c>
      <c r="K1991" s="390">
        <f>'P-B FGD'!$K$75</f>
        <v>0</v>
      </c>
      <c r="L1991" s="390">
        <f>'P-B FGD'!$L$75</f>
        <v>0</v>
      </c>
      <c r="M1991" s="390">
        <f>'P-B FGD'!$M$75</f>
        <v>89184</v>
      </c>
      <c r="N1991" s="401"/>
    </row>
    <row r="1992" spans="2:14" s="160" customFormat="1" ht="12.75" hidden="1" customHeight="1" outlineLevel="1">
      <c r="B1992" s="674" t="str">
        <f>'PVAMU FGD'!$B$2</f>
        <v>Prairie View A&amp;M University</v>
      </c>
      <c r="D1992" s="390">
        <f>'PVAMU FGD'!$D$75</f>
        <v>2705367</v>
      </c>
      <c r="E1992" s="390">
        <f>'PVAMU FGD'!$E$75</f>
        <v>14400434</v>
      </c>
      <c r="F1992" s="390">
        <f>'PVAMU FGD'!$F$75</f>
        <v>14707249</v>
      </c>
      <c r="G1992" s="390">
        <f>'PVAMU FGD'!$G$75</f>
        <v>-36541635</v>
      </c>
      <c r="H1992" s="390">
        <f>'PVAMU FGD'!$H$75</f>
        <v>0</v>
      </c>
      <c r="I1992" s="390">
        <f>'PVAMU FGD'!$I$75</f>
        <v>5765732</v>
      </c>
      <c r="J1992" s="390">
        <f>'PVAMU FGD'!$J$75</f>
        <v>-951342</v>
      </c>
      <c r="K1992" s="390">
        <f>'PVAMU FGD'!$K$75</f>
        <v>0</v>
      </c>
      <c r="L1992" s="390">
        <f>'PVAMU FGD'!$L$75</f>
        <v>0</v>
      </c>
      <c r="M1992" s="390">
        <f>'PVAMU FGD'!$M$75</f>
        <v>85805</v>
      </c>
      <c r="N1992" s="401"/>
    </row>
    <row r="1993" spans="2:14" s="160" customFormat="1" ht="12.75" hidden="1" customHeight="1" outlineLevel="1">
      <c r="B1993" s="674" t="str">
        <f>'S-A FGD'!$B$2</f>
        <v>The University of Texas at San Antonio</v>
      </c>
      <c r="D1993" s="390">
        <f>'S-A FGD'!$D$75</f>
        <v>45963484</v>
      </c>
      <c r="E1993" s="390">
        <f>'S-A FGD'!$E$75</f>
        <v>-4339347</v>
      </c>
      <c r="F1993" s="390">
        <f>'S-A FGD'!$F$75</f>
        <v>22158947</v>
      </c>
      <c r="G1993" s="390">
        <f>'S-A FGD'!$G$75</f>
        <v>-133130391</v>
      </c>
      <c r="H1993" s="390">
        <f>'S-A FGD'!$H$75</f>
        <v>849722</v>
      </c>
      <c r="I1993" s="390">
        <f>'S-A FGD'!$I$75</f>
        <v>44117242</v>
      </c>
      <c r="J1993" s="390">
        <f>'S-A FGD'!$J$75</f>
        <v>27654005</v>
      </c>
      <c r="K1993" s="390">
        <f>'S-A FGD'!$K$75</f>
        <v>0</v>
      </c>
      <c r="L1993" s="390">
        <f>'S-A FGD'!$L$75</f>
        <v>24232</v>
      </c>
      <c r="M1993" s="390">
        <f>'S-A FGD'!$M$75</f>
        <v>3297894</v>
      </c>
      <c r="N1993" s="401"/>
    </row>
    <row r="1994" spans="2:14" s="160" customFormat="1" ht="12.75" hidden="1" customHeight="1" outlineLevel="1">
      <c r="B1994" s="674" t="str">
        <f>'SFA FGD'!$B$2</f>
        <v>Stephen F. Austin State University</v>
      </c>
      <c r="D1994" s="390">
        <f>'SFA FGD'!$D$75</f>
        <v>-12642786</v>
      </c>
      <c r="E1994" s="390">
        <f>'SFA FGD'!$E$75</f>
        <v>2224549</v>
      </c>
      <c r="F1994" s="390">
        <f>'SFA FGD'!$F$75</f>
        <v>5373680</v>
      </c>
      <c r="G1994" s="390">
        <f>'SFA FGD'!$G$75</f>
        <v>-25563260</v>
      </c>
      <c r="H1994" s="390">
        <f>'SFA FGD'!$H$75</f>
        <v>0</v>
      </c>
      <c r="I1994" s="390">
        <f>'SFA FGD'!$I$75</f>
        <v>465000</v>
      </c>
      <c r="J1994" s="390">
        <f>'SFA FGD'!$J$75</f>
        <v>5478898</v>
      </c>
      <c r="K1994" s="390">
        <f>'SFA FGD'!$K$75</f>
        <v>25334155</v>
      </c>
      <c r="L1994" s="390">
        <f>'SFA FGD'!$L$75</f>
        <v>0</v>
      </c>
      <c r="M1994" s="390">
        <f>'SFA FGD'!$M$75</f>
        <v>670236</v>
      </c>
      <c r="N1994" s="401"/>
    </row>
    <row r="1995" spans="2:14" s="160" customFormat="1" ht="12.75" hidden="1" customHeight="1" outlineLevel="1">
      <c r="B1995" s="674" t="str">
        <f>'shsu1 FGD'!$B$2</f>
        <v>Sam Houston State University - Academic &amp; Health (A+H)</v>
      </c>
      <c r="D1995" s="390">
        <f>'shsu1 FGD'!$D$75</f>
        <v>-4700429</v>
      </c>
      <c r="E1995" s="390">
        <f>'shsu1 FGD'!$E$75</f>
        <v>-2475068</v>
      </c>
      <c r="F1995" s="390">
        <f>'shsu1 FGD'!$F$75</f>
        <v>100000</v>
      </c>
      <c r="G1995" s="390">
        <f>'shsu1 FGD'!$G$75</f>
        <v>405250</v>
      </c>
      <c r="H1995" s="390">
        <f>'shsu1 FGD'!$H$75</f>
        <v>0</v>
      </c>
      <c r="I1995" s="390">
        <f>'shsu1 FGD'!$I$75</f>
        <v>0</v>
      </c>
      <c r="J1995" s="390">
        <f>'shsu1 FGD'!$J$75</f>
        <v>766383</v>
      </c>
      <c r="K1995" s="390">
        <f>'shsu1 FGD'!$K$75</f>
        <v>0</v>
      </c>
      <c r="L1995" s="390">
        <f>'shsu1 FGD'!$L$75</f>
        <v>0</v>
      </c>
      <c r="M1995" s="390">
        <f>'shsu1 FGD'!$M$75</f>
        <v>-5903864</v>
      </c>
      <c r="N1995" s="401"/>
    </row>
    <row r="1996" spans="2:14" s="160" customFormat="1" ht="12.75" hidden="1" customHeight="1" outlineLevel="1">
      <c r="B1996" s="674" t="str">
        <f>'SRSU FGD'!$B$2</f>
        <v>Sul Ross State University</v>
      </c>
      <c r="D1996" s="390">
        <f>'SRSU FGD'!$D$75</f>
        <v>-2902541</v>
      </c>
      <c r="E1996" s="390">
        <f>'SRSU FGD'!$E$75</f>
        <v>779693</v>
      </c>
      <c r="F1996" s="390">
        <f>'SRSU FGD'!$F$75</f>
        <v>-2598748</v>
      </c>
      <c r="G1996" s="390">
        <f>'SRSU FGD'!$G$75</f>
        <v>-1193478</v>
      </c>
      <c r="H1996" s="390">
        <f>'SRSU FGD'!$H$75</f>
        <v>0</v>
      </c>
      <c r="I1996" s="390">
        <f>'SRSU FGD'!$I$75</f>
        <v>-783406</v>
      </c>
      <c r="J1996" s="390">
        <f>'SRSU FGD'!$J$75</f>
        <v>2757192</v>
      </c>
      <c r="K1996" s="390">
        <f>'SRSU FGD'!$K$75</f>
        <v>0</v>
      </c>
      <c r="L1996" s="390">
        <f>'SRSU FGD'!$L$75</f>
        <v>0</v>
      </c>
      <c r="M1996" s="390">
        <f>'SRSU FGD'!$M$75</f>
        <v>-3941288</v>
      </c>
      <c r="N1996" s="401"/>
    </row>
    <row r="1997" spans="2:14" s="160" customFormat="1" ht="12.75" hidden="1" customHeight="1" outlineLevel="1">
      <c r="B1997" s="674" t="str">
        <f>'TAMIU FGD'!$B$2</f>
        <v>Texas A&amp;M International University</v>
      </c>
      <c r="D1997" s="390">
        <f>'TAMIU FGD'!$D$75</f>
        <v>3891247</v>
      </c>
      <c r="E1997" s="390">
        <f>'TAMIU FGD'!$E$75</f>
        <v>18383132</v>
      </c>
      <c r="F1997" s="390">
        <f>'TAMIU FGD'!$F$75</f>
        <v>2869378</v>
      </c>
      <c r="G1997" s="390">
        <f>'TAMIU FGD'!$G$75</f>
        <v>-22079937</v>
      </c>
      <c r="H1997" s="390">
        <f>'TAMIU FGD'!$H$75</f>
        <v>144783</v>
      </c>
      <c r="I1997" s="390">
        <f>'TAMIU FGD'!$I$75</f>
        <v>3685376</v>
      </c>
      <c r="J1997" s="390">
        <f>'TAMIU FGD'!$J$75</f>
        <v>0</v>
      </c>
      <c r="K1997" s="390">
        <f>'TAMIU FGD'!$K$75</f>
        <v>0</v>
      </c>
      <c r="L1997" s="390">
        <f>'TAMIU FGD'!$L$75</f>
        <v>0</v>
      </c>
      <c r="M1997" s="390">
        <f>'TAMIU FGD'!$M$75</f>
        <v>6893979</v>
      </c>
      <c r="N1997" s="401"/>
    </row>
    <row r="1998" spans="2:14" s="160" customFormat="1" ht="12.75" hidden="1" customHeight="1" outlineLevel="1">
      <c r="B1998" s="674" t="str">
        <f>'TAMU FGD'!$B$2</f>
        <v>Texas A&amp;M University</v>
      </c>
      <c r="D1998" s="390">
        <f>'TAMU FGD'!$D$75</f>
        <v>-2825395</v>
      </c>
      <c r="E1998" s="390">
        <f>'TAMU FGD'!$E$75</f>
        <v>-135464560</v>
      </c>
      <c r="F1998" s="390">
        <f>'TAMU FGD'!$F$75</f>
        <v>-1722624</v>
      </c>
      <c r="G1998" s="390">
        <f>'TAMU FGD'!$G$75</f>
        <v>-37558737</v>
      </c>
      <c r="H1998" s="390">
        <f>'TAMU FGD'!$H$75</f>
        <v>-49243</v>
      </c>
      <c r="I1998" s="390">
        <f>'TAMU FGD'!$I$75</f>
        <v>14750576</v>
      </c>
      <c r="J1998" s="390">
        <f>'TAMU FGD'!$J$75</f>
        <v>145888168</v>
      </c>
      <c r="K1998" s="390">
        <f>'TAMU FGD'!$K$75</f>
        <v>0</v>
      </c>
      <c r="L1998" s="390">
        <f>'TAMU FGD'!$L$75</f>
        <v>0</v>
      </c>
      <c r="M1998" s="390">
        <f>'TAMU FGD'!$M$75</f>
        <v>-16981815</v>
      </c>
      <c r="N1998" s="401"/>
    </row>
    <row r="1999" spans="2:14" s="160" customFormat="1" ht="12.75" hidden="1" customHeight="1" outlineLevel="1">
      <c r="B1999" s="674" t="str">
        <f>'TAMUC FGD'!$B$2</f>
        <v>Texas A&amp;M University - Commerce</v>
      </c>
      <c r="D1999" s="390">
        <f>'TAMUC FGD'!$D$75</f>
        <v>-694946</v>
      </c>
      <c r="E1999" s="390">
        <f>'TAMUC FGD'!$E$75</f>
        <v>-2817570</v>
      </c>
      <c r="F1999" s="390">
        <f>'TAMUC FGD'!$F$75</f>
        <v>3354267</v>
      </c>
      <c r="G1999" s="390">
        <f>'TAMUC FGD'!$G$75</f>
        <v>-17197172</v>
      </c>
      <c r="H1999" s="390">
        <f>'TAMUC FGD'!$H$75</f>
        <v>-5269</v>
      </c>
      <c r="I1999" s="390">
        <f>'TAMUC FGD'!$I$75</f>
        <v>40610</v>
      </c>
      <c r="J1999" s="390">
        <f>'TAMUC FGD'!$J$75</f>
        <v>18029032</v>
      </c>
      <c r="K1999" s="390">
        <f>'TAMUC FGD'!$K$75</f>
        <v>0</v>
      </c>
      <c r="L1999" s="390">
        <f>'TAMUC FGD'!$L$75</f>
        <v>0</v>
      </c>
      <c r="M1999" s="390">
        <f>'TAMUC FGD'!$M$75</f>
        <v>708952</v>
      </c>
      <c r="N1999" s="401"/>
    </row>
    <row r="2000" spans="2:14" s="160" customFormat="1" ht="12.75" hidden="1" customHeight="1" outlineLevel="1">
      <c r="B2000" s="674" t="str">
        <f>'TAMUCC FGD'!$B$2</f>
        <v>Texas A&amp;M University - Corpus Christi</v>
      </c>
      <c r="D2000" s="390">
        <f>'TAMUCC FGD'!$D$75</f>
        <v>-1986535</v>
      </c>
      <c r="E2000" s="390">
        <f>'TAMUCC FGD'!$E$75</f>
        <v>11841562</v>
      </c>
      <c r="F2000" s="390">
        <f>'TAMUCC FGD'!$F$75</f>
        <v>12369165</v>
      </c>
      <c r="G2000" s="390">
        <f>'TAMUCC FGD'!$G$75</f>
        <v>-20949337</v>
      </c>
      <c r="H2000" s="390">
        <f>'TAMUCC FGD'!$H$75</f>
        <v>247133</v>
      </c>
      <c r="I2000" s="390">
        <f>'TAMUCC FGD'!$I$75</f>
        <v>1081849</v>
      </c>
      <c r="J2000" s="390">
        <f>'TAMUCC FGD'!$J$75</f>
        <v>20087278</v>
      </c>
      <c r="K2000" s="390">
        <f>'TAMUCC FGD'!$K$75</f>
        <v>0</v>
      </c>
      <c r="L2000" s="390">
        <f>'TAMUCC FGD'!$L$75</f>
        <v>0</v>
      </c>
      <c r="M2000" s="390">
        <f>'TAMUCC FGD'!$M$75</f>
        <v>22691115</v>
      </c>
      <c r="N2000" s="401"/>
    </row>
    <row r="2001" spans="2:14" s="160" customFormat="1" ht="12.75" hidden="1" customHeight="1" outlineLevel="1">
      <c r="B2001" s="674" t="str">
        <f>'TAMUCT FGD'!$B$2</f>
        <v>Texas A&amp;M University - Central Texas</v>
      </c>
      <c r="D2001" s="390">
        <f>'TAMUCT FGD'!$D$75</f>
        <v>82352</v>
      </c>
      <c r="E2001" s="390">
        <f>'TAMUCT FGD'!$E$75</f>
        <v>4686415</v>
      </c>
      <c r="F2001" s="390">
        <f>'TAMUCT FGD'!$F$75</f>
        <v>96655</v>
      </c>
      <c r="G2001" s="390">
        <f>'TAMUCT FGD'!$G$75</f>
        <v>-2740052</v>
      </c>
      <c r="H2001" s="390">
        <f>'TAMUCT FGD'!$H$75</f>
        <v>0</v>
      </c>
      <c r="I2001" s="390">
        <f>'TAMUCT FGD'!$I$75</f>
        <v>46662</v>
      </c>
      <c r="J2001" s="390">
        <f>'TAMUCT FGD'!$J$75</f>
        <v>0</v>
      </c>
      <c r="K2001" s="390">
        <f>'TAMUCT FGD'!$K$75</f>
        <v>0</v>
      </c>
      <c r="L2001" s="390">
        <f>'TAMUCT FGD'!$L$75</f>
        <v>0</v>
      </c>
      <c r="M2001" s="390">
        <f>'TAMUCT FGD'!$M$75</f>
        <v>2172032</v>
      </c>
      <c r="N2001" s="401"/>
    </row>
    <row r="2002" spans="2:14" s="160" customFormat="1" ht="12.75" hidden="1" customHeight="1" outlineLevel="1">
      <c r="B2002" s="674" t="str">
        <f>'TAMUG FGD'!$B$2</f>
        <v>Texas A&amp;M University at Galveston</v>
      </c>
      <c r="D2002" s="390">
        <f>'TAMUG FGD'!$D$75</f>
        <v>-47472704</v>
      </c>
      <c r="E2002" s="390">
        <f>'TAMUG FGD'!$E$75</f>
        <v>4143238</v>
      </c>
      <c r="F2002" s="390">
        <f>'TAMUG FGD'!$F$75</f>
        <v>422806</v>
      </c>
      <c r="G2002" s="390">
        <f>'TAMUG FGD'!$G$75</f>
        <v>-1694221</v>
      </c>
      <c r="H2002" s="390">
        <f>'TAMUG FGD'!$H$75</f>
        <v>348891</v>
      </c>
      <c r="I2002" s="390">
        <f>'TAMUG FGD'!$I$75</f>
        <v>138797</v>
      </c>
      <c r="J2002" s="390">
        <f>'TAMUG FGD'!$J$75</f>
        <v>47021274</v>
      </c>
      <c r="K2002" s="390">
        <f>'TAMUG FGD'!$K$75</f>
        <v>0</v>
      </c>
      <c r="L2002" s="390">
        <f>'TAMUG FGD'!$L$75</f>
        <v>0</v>
      </c>
      <c r="M2002" s="390">
        <f>'TAMUG FGD'!$M$75</f>
        <v>2908081</v>
      </c>
      <c r="N2002" s="401"/>
    </row>
    <row r="2003" spans="2:14" s="160" customFormat="1" ht="12.75" hidden="1" customHeight="1" outlineLevel="1">
      <c r="B2003" s="674" t="str">
        <f>'TAMUK FGD'!$B$2</f>
        <v>Texas A&amp;M University - Kingsville</v>
      </c>
      <c r="D2003" s="390">
        <f>'TAMUK FGD'!$D$75</f>
        <v>1888857</v>
      </c>
      <c r="E2003" s="390">
        <f>'TAMUK FGD'!$E$75</f>
        <v>902600</v>
      </c>
      <c r="F2003" s="390">
        <f>'TAMUK FGD'!$F$75</f>
        <v>9732619</v>
      </c>
      <c r="G2003" s="390">
        <f>'TAMUK FGD'!$G$75</f>
        <v>-16708661</v>
      </c>
      <c r="H2003" s="390">
        <f>'TAMUK FGD'!$H$75</f>
        <v>-732763</v>
      </c>
      <c r="I2003" s="390">
        <f>'TAMUK FGD'!$I$75</f>
        <v>983365</v>
      </c>
      <c r="J2003" s="390">
        <f>'TAMUK FGD'!$J$75</f>
        <v>9162055</v>
      </c>
      <c r="K2003" s="390">
        <f>'TAMUK FGD'!$K$75</f>
        <v>0</v>
      </c>
      <c r="L2003" s="390">
        <f>'TAMUK FGD'!$L$75</f>
        <v>0</v>
      </c>
      <c r="M2003" s="390">
        <f>'TAMUK FGD'!$M$75</f>
        <v>5228072</v>
      </c>
      <c r="N2003" s="401"/>
    </row>
    <row r="2004" spans="2:14" s="160" customFormat="1" ht="12.75" hidden="1" customHeight="1" outlineLevel="1">
      <c r="B2004" s="674" t="str">
        <f>'TAMUSA FGD'!$B$2</f>
        <v>Texas A&amp;M University - San Antonio</v>
      </c>
      <c r="D2004" s="390">
        <f>'TAMUSA FGD'!$D$75</f>
        <v>1101782</v>
      </c>
      <c r="E2004" s="390">
        <f>'TAMUSA FGD'!$E$75</f>
        <v>10162080</v>
      </c>
      <c r="F2004" s="390">
        <f>'TAMUSA FGD'!$F$75</f>
        <v>2800432</v>
      </c>
      <c r="G2004" s="390">
        <f>'TAMUSA FGD'!$G$75</f>
        <v>-12619929</v>
      </c>
      <c r="H2004" s="390">
        <f>'TAMUSA FGD'!$H$75</f>
        <v>100013</v>
      </c>
      <c r="I2004" s="390">
        <f>'TAMUSA FGD'!$I$75</f>
        <v>18183</v>
      </c>
      <c r="J2004" s="390">
        <f>'TAMUSA FGD'!$J$75</f>
        <v>1014632</v>
      </c>
      <c r="K2004" s="390">
        <f>'TAMUSA FGD'!$K$75</f>
        <v>0</v>
      </c>
      <c r="L2004" s="390">
        <f>'TAMUSA FGD'!$L$75</f>
        <v>0</v>
      </c>
      <c r="M2004" s="390">
        <f>'TAMUSA FGD'!$M$75</f>
        <v>2577193</v>
      </c>
      <c r="N2004" s="401"/>
    </row>
    <row r="2005" spans="2:14" s="160" customFormat="1" ht="12.75" hidden="1" customHeight="1" outlineLevel="1">
      <c r="B2005" s="674" t="str">
        <f>'TAMUT FGD'!$B$2</f>
        <v>Texas A&amp;M University - Texarkana</v>
      </c>
      <c r="D2005" s="390">
        <f>'TAMUT FGD'!$D$75</f>
        <v>-1218860</v>
      </c>
      <c r="E2005" s="390">
        <f>'TAMUT FGD'!$E$75</f>
        <v>-2748224</v>
      </c>
      <c r="F2005" s="390">
        <f>'TAMUT FGD'!$F$75</f>
        <v>2157503</v>
      </c>
      <c r="G2005" s="390">
        <f>'TAMUT FGD'!$G$75</f>
        <v>1473011</v>
      </c>
      <c r="H2005" s="390">
        <f>'TAMUT FGD'!$H$75</f>
        <v>31674</v>
      </c>
      <c r="I2005" s="390">
        <f>'TAMUT FGD'!$I$75</f>
        <v>594718</v>
      </c>
      <c r="J2005" s="390">
        <f>'TAMUT FGD'!$J$75</f>
        <v>850220</v>
      </c>
      <c r="K2005" s="390">
        <f>'TAMUT FGD'!$K$75</f>
        <v>0</v>
      </c>
      <c r="L2005" s="390">
        <f>'TAMUT FGD'!$L$75</f>
        <v>0</v>
      </c>
      <c r="M2005" s="390">
        <f>'TAMUT FGD'!$M$75</f>
        <v>1140042</v>
      </c>
      <c r="N2005" s="401"/>
    </row>
    <row r="2006" spans="2:14" s="160" customFormat="1" ht="12.75" hidden="1" customHeight="1" outlineLevel="1">
      <c r="B2006" s="674" t="str">
        <f>'TARLST FGD'!$B$2</f>
        <v>Tarleton State University</v>
      </c>
      <c r="D2006" s="390">
        <f>'TARLST FGD'!$D$75</f>
        <v>-3294005</v>
      </c>
      <c r="E2006" s="390">
        <f>'TARLST FGD'!$E$75</f>
        <v>15382803</v>
      </c>
      <c r="F2006" s="390">
        <f>'TARLST FGD'!$F$75</f>
        <v>-2843470</v>
      </c>
      <c r="G2006" s="390">
        <f>'TARLST FGD'!$G$75</f>
        <v>-23586930</v>
      </c>
      <c r="H2006" s="390">
        <f>'TARLST FGD'!$H$75</f>
        <v>19288</v>
      </c>
      <c r="I2006" s="390">
        <f>'TARLST FGD'!$I$75</f>
        <v>1765687</v>
      </c>
      <c r="J2006" s="390">
        <f>'TARLST FGD'!$J$75</f>
        <v>38649414</v>
      </c>
      <c r="K2006" s="390">
        <f>'TARLST FGD'!$K$75</f>
        <v>0</v>
      </c>
      <c r="L2006" s="390">
        <f>'TARLST FGD'!$L$75</f>
        <v>0</v>
      </c>
      <c r="M2006" s="390">
        <f>'TARLST FGD'!$M$75</f>
        <v>26092787</v>
      </c>
      <c r="N2006" s="401"/>
    </row>
    <row r="2007" spans="2:14" s="160" customFormat="1" ht="12.75" hidden="1" customHeight="1" outlineLevel="1">
      <c r="B2007" s="674" t="str">
        <f>'TSU FGD'!$B$2</f>
        <v>Texas Southern University</v>
      </c>
      <c r="D2007" s="390">
        <f>'TSU FGD'!$D$75</f>
        <v>-3767752</v>
      </c>
      <c r="E2007" s="390">
        <f>'TSU FGD'!$E$75</f>
        <v>0</v>
      </c>
      <c r="F2007" s="390">
        <f>'TSU FGD'!$F$75</f>
        <v>0</v>
      </c>
      <c r="G2007" s="390">
        <f>'TSU FGD'!$G$75</f>
        <v>0</v>
      </c>
      <c r="H2007" s="390">
        <f>'TSU FGD'!$H$75</f>
        <v>0</v>
      </c>
      <c r="I2007" s="390">
        <f>'TSU FGD'!$I$75</f>
        <v>0</v>
      </c>
      <c r="J2007" s="390">
        <f>'TSU FGD'!$J$75</f>
        <v>0</v>
      </c>
      <c r="K2007" s="390">
        <f>'TSU FGD'!$K$75</f>
        <v>0</v>
      </c>
      <c r="L2007" s="390">
        <f>'TSU FGD'!$L$75</f>
        <v>0</v>
      </c>
      <c r="M2007" s="390">
        <f>'TSU FGD'!$M$75</f>
        <v>-3767752</v>
      </c>
      <c r="N2007" s="401"/>
    </row>
    <row r="2008" spans="2:14" s="160" customFormat="1" ht="12.75" hidden="1" customHeight="1" outlineLevel="1">
      <c r="B2008" s="674" t="str">
        <f>'TTU FGD'!$B$2</f>
        <v>Texas Tech University</v>
      </c>
      <c r="D2008" s="390">
        <f>'TTU FGD'!$D$75</f>
        <v>-26847326</v>
      </c>
      <c r="E2008" s="390">
        <f>'TTU FGD'!$E$75</f>
        <v>19940290</v>
      </c>
      <c r="F2008" s="390">
        <f>'TTU FGD'!$F$75</f>
        <v>1872191</v>
      </c>
      <c r="G2008" s="390">
        <f>'TTU FGD'!$G$75</f>
        <v>-94560633</v>
      </c>
      <c r="H2008" s="390">
        <f>'TTU FGD'!$H$75</f>
        <v>-151189</v>
      </c>
      <c r="I2008" s="390">
        <f>'TTU FGD'!$I$75</f>
        <v>6638997</v>
      </c>
      <c r="J2008" s="390">
        <f>'TTU FGD'!$J$75</f>
        <v>42826902</v>
      </c>
      <c r="K2008" s="390">
        <f>'TTU FGD'!$K$75</f>
        <v>-1000000</v>
      </c>
      <c r="L2008" s="390">
        <f>'TTU FGD'!$L$75</f>
        <v>0</v>
      </c>
      <c r="M2008" s="390">
        <f>'TTU FGD'!$M$75</f>
        <v>-51280768</v>
      </c>
      <c r="N2008" s="401"/>
    </row>
    <row r="2009" spans="2:14" s="160" customFormat="1" ht="12.75" hidden="1" customHeight="1" outlineLevel="1">
      <c r="B2009" s="674" t="str">
        <f>'TWU FGD'!$B$2</f>
        <v>Texas Woman's University</v>
      </c>
      <c r="D2009" s="390">
        <f>'TWU FGD'!$D$75</f>
        <v>-10399796</v>
      </c>
      <c r="E2009" s="390">
        <f>'TWU FGD'!$E$75</f>
        <v>6604078</v>
      </c>
      <c r="F2009" s="390">
        <f>'TWU FGD'!$F$75</f>
        <v>8746385</v>
      </c>
      <c r="G2009" s="390">
        <f>'TWU FGD'!$G$75</f>
        <v>-33882011</v>
      </c>
      <c r="H2009" s="390">
        <f>'TWU FGD'!$H$75</f>
        <v>267687</v>
      </c>
      <c r="I2009" s="390">
        <f>'TWU FGD'!$I$75</f>
        <v>-605987</v>
      </c>
      <c r="J2009" s="390">
        <f>'TWU FGD'!$J$75</f>
        <v>14032197</v>
      </c>
      <c r="K2009" s="390">
        <f>'TWU FGD'!$K$75</f>
        <v>15565646</v>
      </c>
      <c r="L2009" s="390">
        <f>'TWU FGD'!$L$75</f>
        <v>0</v>
      </c>
      <c r="M2009" s="390">
        <f>'TWU FGD'!$M$75</f>
        <v>328199</v>
      </c>
      <c r="N2009" s="401"/>
    </row>
    <row r="2010" spans="2:14" s="160" customFormat="1" ht="12.75" hidden="1" customHeight="1" outlineLevel="1">
      <c r="B2010" s="674" t="str">
        <f>'TXST FGD'!$B$2</f>
        <v>Texas State University</v>
      </c>
      <c r="D2010" s="390">
        <f>'TXST FGD'!$D$75</f>
        <v>1189063</v>
      </c>
      <c r="E2010" s="390">
        <f>'TXST FGD'!$E$75</f>
        <v>-4801208</v>
      </c>
      <c r="F2010" s="390">
        <f>'TXST FGD'!$F$75</f>
        <v>0</v>
      </c>
      <c r="G2010" s="390">
        <f>'TXST FGD'!$G$75</f>
        <v>0</v>
      </c>
      <c r="H2010" s="390">
        <f>'TXST FGD'!$H$75</f>
        <v>0</v>
      </c>
      <c r="I2010" s="390">
        <f>'TXST FGD'!$I$75</f>
        <v>0</v>
      </c>
      <c r="J2010" s="390">
        <f>'TXST FGD'!$J$75</f>
        <v>0</v>
      </c>
      <c r="K2010" s="390">
        <f>'TXST FGD'!$K$75</f>
        <v>0</v>
      </c>
      <c r="L2010" s="390">
        <f>'TXST FGD'!$L$75</f>
        <v>0</v>
      </c>
      <c r="M2010" s="390">
        <f>'TXST FGD'!$M$75</f>
        <v>-3612145</v>
      </c>
      <c r="N2010" s="401"/>
    </row>
    <row r="2011" spans="2:14" s="160" customFormat="1" ht="12.75" hidden="1" customHeight="1" outlineLevel="1">
      <c r="B2011" s="674" t="str">
        <f>'TYL FGD'!$B$2</f>
        <v>The University of Texas at Tyler</v>
      </c>
      <c r="D2011" s="390">
        <f>'TYL FGD'!$D$75</f>
        <v>144700</v>
      </c>
      <c r="E2011" s="390">
        <f>'TYL FGD'!$E$75</f>
        <v>9199917</v>
      </c>
      <c r="F2011" s="390">
        <f>'TYL FGD'!$F$75</f>
        <v>1573058</v>
      </c>
      <c r="G2011" s="390">
        <f>'TYL FGD'!$G$75</f>
        <v>-14944967</v>
      </c>
      <c r="H2011" s="390">
        <f>'TYL FGD'!$H$75</f>
        <v>162736</v>
      </c>
      <c r="I2011" s="390">
        <f>'TYL FGD'!$I$75</f>
        <v>33706</v>
      </c>
      <c r="J2011" s="390">
        <f>'TYL FGD'!$J$75</f>
        <v>4063832</v>
      </c>
      <c r="K2011" s="390">
        <f>'TYL FGD'!$K$75</f>
        <v>0</v>
      </c>
      <c r="L2011" s="390">
        <f>'TYL FGD'!$L$75</f>
        <v>0</v>
      </c>
      <c r="M2011" s="390">
        <f>'TYL FGD'!$M$75</f>
        <v>232982</v>
      </c>
      <c r="N2011" s="401"/>
    </row>
    <row r="2012" spans="2:14" s="160" customFormat="1" ht="12.75" hidden="1" customHeight="1" outlineLevel="1">
      <c r="B2012" s="674" t="str">
        <f>'UH1 FGD'!$B$2</f>
        <v>University of Houston - Academic &amp; Health (A+H)</v>
      </c>
      <c r="D2012" s="390">
        <f>'UH1 FGD'!$D$75</f>
        <v>-78233589</v>
      </c>
      <c r="E2012" s="390">
        <f>'UH1 FGD'!$E$75</f>
        <v>27849121</v>
      </c>
      <c r="F2012" s="390">
        <f>'UH1 FGD'!$F$75</f>
        <v>-6679305</v>
      </c>
      <c r="G2012" s="390">
        <f>'UH1 FGD'!$G$75</f>
        <v>-107112696</v>
      </c>
      <c r="H2012" s="390">
        <f>'UH1 FGD'!$H$75</f>
        <v>0</v>
      </c>
      <c r="I2012" s="390">
        <f>'UH1 FGD'!$I$75</f>
        <v>-2015890</v>
      </c>
      <c r="J2012" s="390">
        <f>'UH1 FGD'!$J$75</f>
        <v>70803301</v>
      </c>
      <c r="K2012" s="390">
        <f>'UH1 FGD'!$K$75</f>
        <v>143940333</v>
      </c>
      <c r="L2012" s="390">
        <f>'UH1 FGD'!$L$75</f>
        <v>168626923</v>
      </c>
      <c r="M2012" s="390">
        <f>'UH1 FGD'!$M$75</f>
        <v>217178198</v>
      </c>
      <c r="N2012" s="401"/>
    </row>
    <row r="2013" spans="2:14" s="160" customFormat="1" ht="12.75" hidden="1" customHeight="1" outlineLevel="1">
      <c r="B2013" s="674" t="str">
        <f>'UHCL FGD'!$B$2</f>
        <v>University of Houston - Clear Lake</v>
      </c>
      <c r="D2013" s="390">
        <f>'UHCL FGD'!$D$75</f>
        <v>-2714973</v>
      </c>
      <c r="E2013" s="390">
        <f>'UHCL FGD'!$E$75</f>
        <v>8320010</v>
      </c>
      <c r="F2013" s="390">
        <f>'UHCL FGD'!$F$75</f>
        <v>-1514819</v>
      </c>
      <c r="G2013" s="390">
        <f>'UHCL FGD'!$G$75</f>
        <v>-14263609</v>
      </c>
      <c r="H2013" s="390">
        <f>'UHCL FGD'!$H$75</f>
        <v>39410</v>
      </c>
      <c r="I2013" s="390">
        <f>'UHCL FGD'!$I$75</f>
        <v>-171282</v>
      </c>
      <c r="J2013" s="390">
        <f>'UHCL FGD'!$J$75</f>
        <v>2525402</v>
      </c>
      <c r="K2013" s="390">
        <f>'UHCL FGD'!$K$75</f>
        <v>13006062</v>
      </c>
      <c r="L2013" s="390">
        <f>'UHCL FGD'!$L$75</f>
        <v>12197745</v>
      </c>
      <c r="M2013" s="390">
        <f>'UHCL FGD'!$M$75</f>
        <v>17423946</v>
      </c>
      <c r="N2013" s="401"/>
    </row>
    <row r="2014" spans="2:14" s="160" customFormat="1" ht="12.75" hidden="1" customHeight="1" outlineLevel="1">
      <c r="B2014" s="674" t="str">
        <f>'UHD FGD'!$B$2</f>
        <v>University of Houston - Downtown</v>
      </c>
      <c r="D2014" s="390">
        <f>'UHD FGD'!$D$75</f>
        <v>-3058706</v>
      </c>
      <c r="E2014" s="390">
        <f>'UHD FGD'!$E$75</f>
        <v>26997561</v>
      </c>
      <c r="F2014" s="390">
        <f>'UHD FGD'!$F$75</f>
        <v>579576</v>
      </c>
      <c r="G2014" s="390">
        <f>'UHD FGD'!$G$75</f>
        <v>-36140122</v>
      </c>
      <c r="H2014" s="390">
        <f>'UHD FGD'!$H$75</f>
        <v>250217</v>
      </c>
      <c r="I2014" s="390">
        <f>'UHD FGD'!$I$75</f>
        <v>-267101</v>
      </c>
      <c r="J2014" s="390">
        <f>'UHD FGD'!$J$75</f>
        <v>7682984</v>
      </c>
      <c r="K2014" s="390">
        <f>'UHD FGD'!$K$75</f>
        <v>12908718</v>
      </c>
      <c r="L2014" s="390">
        <f>'UHD FGD'!$L$75</f>
        <v>14102713</v>
      </c>
      <c r="M2014" s="390">
        <f>'UHD FGD'!$M$75</f>
        <v>23055840</v>
      </c>
      <c r="N2014" s="401"/>
    </row>
    <row r="2015" spans="2:14" s="160" customFormat="1" ht="12.75" hidden="1" customHeight="1" outlineLevel="1">
      <c r="B2015" s="674" t="str">
        <f>'UHV FGD'!$B$2</f>
        <v>University of Houston - Victoria</v>
      </c>
      <c r="D2015" s="390">
        <f>'UHV FGD'!$D$75</f>
        <v>169650</v>
      </c>
      <c r="E2015" s="390">
        <f>'UHV FGD'!$E$75</f>
        <v>4969408</v>
      </c>
      <c r="F2015" s="390">
        <f>'UHV FGD'!$F$75</f>
        <v>-1730132</v>
      </c>
      <c r="G2015" s="390">
        <f>'UHV FGD'!$G$75</f>
        <v>-6643786</v>
      </c>
      <c r="H2015" s="390">
        <f>'UHV FGD'!$H$75</f>
        <v>72073</v>
      </c>
      <c r="I2015" s="390">
        <f>'UHV FGD'!$I$75</f>
        <v>-606787</v>
      </c>
      <c r="J2015" s="390">
        <f>'UHV FGD'!$J$75</f>
        <v>-3619071</v>
      </c>
      <c r="K2015" s="390">
        <f>'UHV FGD'!$K$75</f>
        <v>4527281</v>
      </c>
      <c r="L2015" s="390">
        <f>'UHV FGD'!$L$75</f>
        <v>7672301</v>
      </c>
      <c r="M2015" s="390">
        <f>'UHV FGD'!$M$75</f>
        <v>4810937</v>
      </c>
      <c r="N2015" s="401"/>
    </row>
    <row r="2016" spans="2:14" s="160" customFormat="1" ht="12.75" hidden="1" customHeight="1" outlineLevel="1">
      <c r="B2016" s="674" t="str">
        <f>'UNT FGD'!$B$2</f>
        <v>University of North Texas</v>
      </c>
      <c r="D2016" s="390">
        <f>'UNT FGD'!$D$75</f>
        <v>-11548042</v>
      </c>
      <c r="E2016" s="390">
        <f>'UNT FGD'!$E$75</f>
        <v>-28684509</v>
      </c>
      <c r="F2016" s="390">
        <f>'UNT FGD'!$F$75</f>
        <v>-18401414</v>
      </c>
      <c r="G2016" s="390">
        <f>'UNT FGD'!$G$75</f>
        <v>-26332558</v>
      </c>
      <c r="H2016" s="390">
        <f>'UNT FGD'!$H$75</f>
        <v>-31415</v>
      </c>
      <c r="I2016" s="390">
        <f>'UNT FGD'!$I$75</f>
        <v>-3733219</v>
      </c>
      <c r="J2016" s="390">
        <f>'UNT FGD'!$J$75</f>
        <v>0</v>
      </c>
      <c r="K2016" s="390">
        <f>'UNT FGD'!$K$75</f>
        <v>10467281</v>
      </c>
      <c r="L2016" s="390">
        <f>'UNT FGD'!$L$75</f>
        <v>-5875698</v>
      </c>
      <c r="M2016" s="390">
        <f>'UNT FGD'!$M$75</f>
        <v>-84139574</v>
      </c>
      <c r="N2016" s="401"/>
    </row>
    <row r="2017" spans="2:14" s="160" customFormat="1" ht="12.75" hidden="1" customHeight="1" outlineLevel="1">
      <c r="B2017" s="674" t="str">
        <f>'UNTD FGD'!$B$2</f>
        <v>University of North Texas at Dallas</v>
      </c>
      <c r="D2017" s="390">
        <f>'UNTD FGD'!$D$75</f>
        <v>-8161519</v>
      </c>
      <c r="E2017" s="390">
        <f>'UNTD FGD'!$E$75</f>
        <v>9419388</v>
      </c>
      <c r="F2017" s="390">
        <f>'UNTD FGD'!$F$75</f>
        <v>622662</v>
      </c>
      <c r="G2017" s="390">
        <f>'UNTD FGD'!$G$75</f>
        <v>-4904769</v>
      </c>
      <c r="H2017" s="390">
        <f>'UNTD FGD'!$H$75</f>
        <v>0</v>
      </c>
      <c r="I2017" s="390">
        <f>'UNTD FGD'!$I$75</f>
        <v>-11019897</v>
      </c>
      <c r="J2017" s="390">
        <f>'UNTD FGD'!$J$75</f>
        <v>0</v>
      </c>
      <c r="K2017" s="390">
        <f>'UNTD FGD'!$K$75</f>
        <v>-2267274</v>
      </c>
      <c r="L2017" s="390">
        <f>'UNTD FGD'!$L$75</f>
        <v>5702442</v>
      </c>
      <c r="M2017" s="390">
        <f>'UNTD FGD'!$M$75</f>
        <v>-10608967</v>
      </c>
      <c r="N2017" s="401"/>
    </row>
    <row r="2018" spans="2:14" s="160" customFormat="1" ht="12.75" hidden="1" customHeight="1" outlineLevel="1">
      <c r="B2018" s="674" t="str">
        <f>'WTAMU FGD'!$B$2</f>
        <v>West Texas A&amp;M University</v>
      </c>
      <c r="D2018" s="390">
        <f>'WTAMU FGD'!$D$75</f>
        <v>2388589</v>
      </c>
      <c r="E2018" s="390">
        <f>'WTAMU FGD'!$E$75</f>
        <v>12635365</v>
      </c>
      <c r="F2018" s="390">
        <f>'WTAMU FGD'!$F$75</f>
        <v>3284053</v>
      </c>
      <c r="G2018" s="390">
        <f>'WTAMU FGD'!$G$75</f>
        <v>-27182395</v>
      </c>
      <c r="H2018" s="390">
        <f>'WTAMU FGD'!$H$75</f>
        <v>103787</v>
      </c>
      <c r="I2018" s="390">
        <f>'WTAMU FGD'!$I$75</f>
        <v>1396055</v>
      </c>
      <c r="J2018" s="390">
        <f>'WTAMU FGD'!$J$75</f>
        <v>9392558</v>
      </c>
      <c r="K2018" s="390">
        <f>'WTAMU FGD'!$K$75</f>
        <v>0</v>
      </c>
      <c r="L2018" s="390">
        <f>'WTAMU FGD'!$L$75</f>
        <v>0</v>
      </c>
      <c r="M2018" s="390">
        <f>'WTAMU FGD'!$M$75</f>
        <v>2018012</v>
      </c>
      <c r="N2018" s="401"/>
    </row>
    <row r="2019" spans="2:14" s="160" customFormat="1" collapsed="1">
      <c r="B2019" s="171" t="s">
        <v>572</v>
      </c>
      <c r="C2019" s="171"/>
      <c r="D2019" s="390">
        <f t="shared" ref="D2019:M2019" si="53">SUM(D1983:D2018)</f>
        <v>-86746200</v>
      </c>
      <c r="E2019" s="390">
        <f t="shared" si="53"/>
        <v>40990084</v>
      </c>
      <c r="F2019" s="390">
        <f t="shared" si="53"/>
        <v>130885433</v>
      </c>
      <c r="G2019" s="390">
        <f t="shared" si="53"/>
        <v>-1090184441</v>
      </c>
      <c r="H2019" s="390">
        <f t="shared" si="53"/>
        <v>1745132</v>
      </c>
      <c r="I2019" s="390">
        <f t="shared" si="53"/>
        <v>138265658</v>
      </c>
      <c r="J2019" s="390">
        <f t="shared" si="53"/>
        <v>608867195</v>
      </c>
      <c r="K2019" s="390">
        <f t="shared" si="53"/>
        <v>227354052</v>
      </c>
      <c r="L2019" s="390">
        <f t="shared" si="53"/>
        <v>214611741</v>
      </c>
      <c r="M2019" s="390">
        <f t="shared" si="53"/>
        <v>185788654</v>
      </c>
      <c r="N2019" s="401"/>
    </row>
    <row r="2020" spans="2:14" s="160" customFormat="1" ht="12.75" hidden="1" customHeight="1" outlineLevel="1">
      <c r="B2020" s="674" t="str">
        <f>'ARL FGD'!$B$2</f>
        <v>The University of Texas at Arlington</v>
      </c>
      <c r="C2020" s="171"/>
      <c r="D2020" s="390">
        <f>'ARL FGD'!$D$76</f>
        <v>0</v>
      </c>
      <c r="E2020" s="390">
        <f>'ARL FGD'!$E$76</f>
        <v>0</v>
      </c>
      <c r="F2020" s="390">
        <f>'ARL FGD'!$F$76</f>
        <v>0</v>
      </c>
      <c r="G2020" s="390">
        <f>'ARL FGD'!$G$76</f>
        <v>0</v>
      </c>
      <c r="H2020" s="390">
        <f>'ARL FGD'!$H$76</f>
        <v>0</v>
      </c>
      <c r="I2020" s="390">
        <f>'ARL FGD'!$I$76</f>
        <v>0</v>
      </c>
      <c r="J2020" s="390">
        <f>'ARL FGD'!$J$76</f>
        <v>35870062</v>
      </c>
      <c r="K2020" s="390">
        <f>'ARL FGD'!$K$76</f>
        <v>0</v>
      </c>
      <c r="L2020" s="390">
        <f>'ARL FGD'!$L$76</f>
        <v>0</v>
      </c>
      <c r="M2020" s="390">
        <f>'ARL FGD'!$M$76</f>
        <v>35870062</v>
      </c>
      <c r="N2020" s="401"/>
    </row>
    <row r="2021" spans="2:14" s="160" customFormat="1" ht="12.75" hidden="1" customHeight="1" outlineLevel="1">
      <c r="B2021" s="674" t="str">
        <f>'ASU FGD'!$B$2</f>
        <v>Angelo State University</v>
      </c>
      <c r="C2021" s="171"/>
      <c r="D2021" s="390">
        <f>'ASU FGD'!$D$76</f>
        <v>0</v>
      </c>
      <c r="E2021" s="390">
        <f>'ASU FGD'!$E$76</f>
        <v>0</v>
      </c>
      <c r="F2021" s="390">
        <f>'ASU FGD'!$F$76</f>
        <v>0</v>
      </c>
      <c r="G2021" s="390">
        <f>'ASU FGD'!$G$76</f>
        <v>0</v>
      </c>
      <c r="H2021" s="390">
        <f>'ASU FGD'!$H$76</f>
        <v>0</v>
      </c>
      <c r="I2021" s="390">
        <f>'ASU FGD'!$I$76</f>
        <v>0</v>
      </c>
      <c r="J2021" s="390">
        <f>'ASU FGD'!$J$76</f>
        <v>0</v>
      </c>
      <c r="K2021" s="390">
        <f>'ASU FGD'!$K$76</f>
        <v>0</v>
      </c>
      <c r="L2021" s="390">
        <f>'ASU FGD'!$L$76</f>
        <v>0</v>
      </c>
      <c r="M2021" s="390">
        <f>'ASU FGD'!$M$76</f>
        <v>0</v>
      </c>
      <c r="N2021" s="401"/>
    </row>
    <row r="2022" spans="2:14" s="160" customFormat="1" ht="12.75" hidden="1" customHeight="1" outlineLevel="1">
      <c r="B2022" s="674" t="str">
        <f>'AUS1 FGD'!$B$2</f>
        <v>The University of Texas at Austin - Academic &amp; Health (A+H)</v>
      </c>
      <c r="C2022" s="171"/>
      <c r="D2022" s="390">
        <f>'AUS1 FGD'!$D$76</f>
        <v>0</v>
      </c>
      <c r="E2022" s="390">
        <f>'AUS1 FGD'!$E$76</f>
        <v>0</v>
      </c>
      <c r="F2022" s="390">
        <f>'AUS1 FGD'!$F$76</f>
        <v>0</v>
      </c>
      <c r="G2022" s="390">
        <f>'AUS1 FGD'!$G$76</f>
        <v>0</v>
      </c>
      <c r="H2022" s="390">
        <f>'AUS1 FGD'!$H$76</f>
        <v>0</v>
      </c>
      <c r="I2022" s="390">
        <f>'AUS1 FGD'!$I$76</f>
        <v>0</v>
      </c>
      <c r="J2022" s="390">
        <f>'AUS1 FGD'!$J$76</f>
        <v>221797095</v>
      </c>
      <c r="K2022" s="390">
        <f>'AUS1 FGD'!$K$76</f>
        <v>0</v>
      </c>
      <c r="L2022" s="390">
        <f>'AUS1 FGD'!$L$76</f>
        <v>0</v>
      </c>
      <c r="M2022" s="390">
        <f>'AUS1 FGD'!$M$76</f>
        <v>221797095</v>
      </c>
      <c r="N2022" s="401"/>
    </row>
    <row r="2023" spans="2:14" s="160" customFormat="1" ht="12.75" hidden="1" customHeight="1" outlineLevel="1">
      <c r="B2023" s="674" t="str">
        <f>'RGV1 FGD'!$B$2</f>
        <v>The University of Texas RGV - Academic &amp; Health (A+H)</v>
      </c>
      <c r="C2023" s="171"/>
      <c r="D2023" s="390">
        <f>'RGV1 FGD'!$D$76</f>
        <v>0</v>
      </c>
      <c r="E2023" s="390">
        <f>'RGV1 FGD'!$E$76</f>
        <v>0</v>
      </c>
      <c r="F2023" s="390">
        <f>'RGV1 FGD'!$F$76</f>
        <v>0</v>
      </c>
      <c r="G2023" s="390">
        <f>'RGV1 FGD'!$G$76</f>
        <v>0</v>
      </c>
      <c r="H2023" s="390">
        <f>'RGV1 FGD'!$H$76</f>
        <v>0</v>
      </c>
      <c r="I2023" s="390">
        <f>'RGV1 FGD'!$I$76</f>
        <v>0</v>
      </c>
      <c r="J2023" s="390">
        <f>'RGV1 FGD'!$J$76</f>
        <v>34597718</v>
      </c>
      <c r="K2023" s="390">
        <f>'RGV1 FGD'!$K$76</f>
        <v>0</v>
      </c>
      <c r="L2023" s="390">
        <f>'RGV1 FGD'!$L$76</f>
        <v>0</v>
      </c>
      <c r="M2023" s="390">
        <f>'RGV1 FGD'!$M$76</f>
        <v>34597718</v>
      </c>
      <c r="N2023" s="401"/>
    </row>
    <row r="2024" spans="2:14" s="160" customFormat="1" ht="12.75" hidden="1" customHeight="1" outlineLevel="1">
      <c r="B2024" s="674" t="str">
        <f>'DAL FGD'!$B$2</f>
        <v>The University of Texas at Dallas</v>
      </c>
      <c r="C2024" s="171"/>
      <c r="D2024" s="390">
        <f>'DAL FGD'!$D$76</f>
        <v>0</v>
      </c>
      <c r="E2024" s="390">
        <f>'DAL FGD'!$E$76</f>
        <v>0</v>
      </c>
      <c r="F2024" s="390">
        <f>'DAL FGD'!$F$76</f>
        <v>0</v>
      </c>
      <c r="G2024" s="390">
        <f>'DAL FGD'!$G$76</f>
        <v>0</v>
      </c>
      <c r="H2024" s="390">
        <f>'DAL FGD'!$H$76</f>
        <v>0</v>
      </c>
      <c r="I2024" s="390">
        <f>'DAL FGD'!$I$76</f>
        <v>0</v>
      </c>
      <c r="J2024" s="390">
        <f>'DAL FGD'!$J$76</f>
        <v>8984486</v>
      </c>
      <c r="K2024" s="390">
        <f>'DAL FGD'!$K$76</f>
        <v>0</v>
      </c>
      <c r="L2024" s="390">
        <f>'DAL FGD'!$L$76</f>
        <v>0</v>
      </c>
      <c r="M2024" s="390">
        <f>'DAL FGD'!$M$76</f>
        <v>8984486</v>
      </c>
      <c r="N2024" s="401"/>
    </row>
    <row r="2025" spans="2:14" s="160" customFormat="1" ht="12.75" hidden="1" customHeight="1" outlineLevel="1">
      <c r="B2025" s="674" t="str">
        <f>'E-P FGD'!$B$2</f>
        <v>The University of Texas at El Paso</v>
      </c>
      <c r="C2025" s="171"/>
      <c r="D2025" s="390">
        <f>'E-P FGD'!$D$76</f>
        <v>0</v>
      </c>
      <c r="E2025" s="390">
        <f>'E-P FGD'!$E$76</f>
        <v>0</v>
      </c>
      <c r="F2025" s="390">
        <f>'E-P FGD'!$F$76</f>
        <v>0</v>
      </c>
      <c r="G2025" s="390">
        <f>'E-P FGD'!$G$76</f>
        <v>0</v>
      </c>
      <c r="H2025" s="390">
        <f>'E-P FGD'!$H$76</f>
        <v>0</v>
      </c>
      <c r="I2025" s="390">
        <f>'E-P FGD'!$I$76</f>
        <v>0</v>
      </c>
      <c r="J2025" s="390">
        <f>'E-P FGD'!$J$76</f>
        <v>13287671</v>
      </c>
      <c r="K2025" s="390">
        <f>'E-P FGD'!$K$76</f>
        <v>0</v>
      </c>
      <c r="L2025" s="390">
        <f>'E-P FGD'!$L$76</f>
        <v>0</v>
      </c>
      <c r="M2025" s="390">
        <f>'E-P FGD'!$M$76</f>
        <v>13287671</v>
      </c>
      <c r="N2025" s="401"/>
    </row>
    <row r="2026" spans="2:14" s="160" customFormat="1" ht="12.75" hidden="1" customHeight="1" outlineLevel="1">
      <c r="B2026" s="674" t="str">
        <f>'LU FGD'!$B$2</f>
        <v xml:space="preserve">Lamar University </v>
      </c>
      <c r="C2026" s="171"/>
      <c r="D2026" s="390">
        <f>'LU FGD'!$D$76</f>
        <v>0</v>
      </c>
      <c r="E2026" s="390">
        <f>'LU FGD'!$E$76</f>
        <v>0</v>
      </c>
      <c r="F2026" s="390">
        <f>'LU FGD'!$F$76</f>
        <v>0</v>
      </c>
      <c r="G2026" s="390">
        <f>'LU FGD'!$G$76</f>
        <v>0</v>
      </c>
      <c r="H2026" s="390">
        <f>'LU FGD'!$H$76</f>
        <v>0</v>
      </c>
      <c r="I2026" s="390">
        <f>'LU FGD'!$I$76</f>
        <v>0</v>
      </c>
      <c r="J2026" s="390">
        <f>'LU FGD'!$J$76</f>
        <v>0</v>
      </c>
      <c r="K2026" s="390">
        <f>'LU FGD'!$K$76</f>
        <v>0</v>
      </c>
      <c r="L2026" s="390">
        <f>'LU FGD'!$L$76</f>
        <v>0</v>
      </c>
      <c r="M2026" s="390">
        <f>'LU FGD'!$M$76</f>
        <v>0</v>
      </c>
      <c r="N2026" s="401"/>
    </row>
    <row r="2027" spans="2:14" s="160" customFormat="1" ht="12.75" hidden="1" customHeight="1" outlineLevel="1">
      <c r="B2027" s="674" t="str">
        <f>'MidWST FGD'!$B$2</f>
        <v>Midwestern State University</v>
      </c>
      <c r="C2027" s="171"/>
      <c r="D2027" s="390">
        <f>'MidWST FGD'!$D$76</f>
        <v>0</v>
      </c>
      <c r="E2027" s="390">
        <f>'MidWST FGD'!$E$76</f>
        <v>0</v>
      </c>
      <c r="F2027" s="390">
        <f>'MidWST FGD'!$F$76</f>
        <v>0</v>
      </c>
      <c r="G2027" s="390">
        <f>'MidWST FGD'!$G$76</f>
        <v>0</v>
      </c>
      <c r="H2027" s="390">
        <f>'MidWST FGD'!$H$76</f>
        <v>0</v>
      </c>
      <c r="I2027" s="390">
        <f>'MidWST FGD'!$I$76</f>
        <v>0</v>
      </c>
      <c r="J2027" s="390">
        <f>'MidWST FGD'!$J$76</f>
        <v>-76777</v>
      </c>
      <c r="K2027" s="390">
        <f>'MidWST FGD'!$K$76</f>
        <v>0</v>
      </c>
      <c r="L2027" s="390">
        <f>'MidWST FGD'!$L$76</f>
        <v>0</v>
      </c>
      <c r="M2027" s="390">
        <f>'MidWST FGD'!$M$76</f>
        <v>-76777</v>
      </c>
      <c r="N2027" s="401"/>
    </row>
    <row r="2028" spans="2:14" s="160" customFormat="1" ht="12.75" hidden="1" customHeight="1" outlineLevel="1">
      <c r="B2028" s="674" t="str">
        <f>'P-B FGD'!$B$2</f>
        <v>The University of Texas of the Permian Basin</v>
      </c>
      <c r="C2028" s="171"/>
      <c r="D2028" s="390">
        <f>'P-B FGD'!$D$76</f>
        <v>0</v>
      </c>
      <c r="E2028" s="390">
        <f>'P-B FGD'!$E$76</f>
        <v>0</v>
      </c>
      <c r="F2028" s="390">
        <f>'P-B FGD'!$F$76</f>
        <v>0</v>
      </c>
      <c r="G2028" s="390">
        <f>'P-B FGD'!$G$76</f>
        <v>0</v>
      </c>
      <c r="H2028" s="390">
        <f>'P-B FGD'!$H$76</f>
        <v>0</v>
      </c>
      <c r="I2028" s="390">
        <f>'P-B FGD'!$I$76</f>
        <v>0</v>
      </c>
      <c r="J2028" s="390">
        <f>'P-B FGD'!$J$76</f>
        <v>8659975</v>
      </c>
      <c r="K2028" s="390">
        <f>'P-B FGD'!$K$76</f>
        <v>0</v>
      </c>
      <c r="L2028" s="390">
        <f>'P-B FGD'!$L$76</f>
        <v>0</v>
      </c>
      <c r="M2028" s="390">
        <f>'P-B FGD'!$M$76</f>
        <v>8659975</v>
      </c>
      <c r="N2028" s="401"/>
    </row>
    <row r="2029" spans="2:14" s="160" customFormat="1" ht="12.75" hidden="1" customHeight="1" outlineLevel="1">
      <c r="B2029" s="674" t="str">
        <f>'PVAMU FGD'!$B$2</f>
        <v>Prairie View A&amp;M University</v>
      </c>
      <c r="C2029" s="171"/>
      <c r="D2029" s="390">
        <f>'PVAMU FGD'!$D$76</f>
        <v>0</v>
      </c>
      <c r="E2029" s="390">
        <f>'PVAMU FGD'!$E$76</f>
        <v>0</v>
      </c>
      <c r="F2029" s="390">
        <f>'PVAMU FGD'!$F$76</f>
        <v>0</v>
      </c>
      <c r="G2029" s="390">
        <f>'PVAMU FGD'!$G$76</f>
        <v>0</v>
      </c>
      <c r="H2029" s="390">
        <f>'PVAMU FGD'!$H$76</f>
        <v>0</v>
      </c>
      <c r="I2029" s="390">
        <f>'PVAMU FGD'!$I$76</f>
        <v>0</v>
      </c>
      <c r="J2029" s="390">
        <f>'PVAMU FGD'!$J$76</f>
        <v>0</v>
      </c>
      <c r="K2029" s="390">
        <f>'PVAMU FGD'!$K$76</f>
        <v>0</v>
      </c>
      <c r="L2029" s="390">
        <f>'PVAMU FGD'!$L$76</f>
        <v>0</v>
      </c>
      <c r="M2029" s="390">
        <f>'PVAMU FGD'!$M$76</f>
        <v>0</v>
      </c>
      <c r="N2029" s="401"/>
    </row>
    <row r="2030" spans="2:14" s="160" customFormat="1" ht="12.75" hidden="1" customHeight="1" outlineLevel="1">
      <c r="B2030" s="674" t="str">
        <f>'S-A FGD'!$B$2</f>
        <v>The University of Texas at San Antonio</v>
      </c>
      <c r="C2030" s="171"/>
      <c r="D2030" s="390">
        <f>'S-A FGD'!$D$76</f>
        <v>0</v>
      </c>
      <c r="E2030" s="390">
        <f>'S-A FGD'!$E$76</f>
        <v>0</v>
      </c>
      <c r="F2030" s="390">
        <f>'S-A FGD'!$F$76</f>
        <v>0</v>
      </c>
      <c r="G2030" s="390">
        <f>'S-A FGD'!$G$76</f>
        <v>0</v>
      </c>
      <c r="H2030" s="390">
        <f>'S-A FGD'!$H$76</f>
        <v>0</v>
      </c>
      <c r="I2030" s="390">
        <f>'S-A FGD'!$I$76</f>
        <v>0</v>
      </c>
      <c r="J2030" s="390">
        <f>'S-A FGD'!$J$76</f>
        <v>77361204</v>
      </c>
      <c r="K2030" s="390">
        <f>'S-A FGD'!$K$76</f>
        <v>0</v>
      </c>
      <c r="L2030" s="390">
        <f>'S-A FGD'!$L$76</f>
        <v>0</v>
      </c>
      <c r="M2030" s="390">
        <f>'S-A FGD'!$M$76</f>
        <v>77361204</v>
      </c>
      <c r="N2030" s="401"/>
    </row>
    <row r="2031" spans="2:14" s="160" customFormat="1" ht="12.75" hidden="1" customHeight="1" outlineLevel="1">
      <c r="B2031" s="674" t="str">
        <f>'SFA FGD'!$B$2</f>
        <v>Stephen F. Austin State University</v>
      </c>
      <c r="C2031" s="171"/>
      <c r="D2031" s="390">
        <f>'SFA FGD'!$D$76</f>
        <v>0</v>
      </c>
      <c r="E2031" s="390">
        <f>'SFA FGD'!$E$76</f>
        <v>0</v>
      </c>
      <c r="F2031" s="390">
        <f>'SFA FGD'!$F$76</f>
        <v>0</v>
      </c>
      <c r="G2031" s="390">
        <f>'SFA FGD'!$G$76</f>
        <v>0</v>
      </c>
      <c r="H2031" s="390">
        <f>'SFA FGD'!$H$76</f>
        <v>0</v>
      </c>
      <c r="I2031" s="390">
        <f>'SFA FGD'!$I$76</f>
        <v>0</v>
      </c>
      <c r="J2031" s="390">
        <f>'SFA FGD'!$J$76</f>
        <v>0</v>
      </c>
      <c r="K2031" s="390">
        <f>'SFA FGD'!$K$76</f>
        <v>0</v>
      </c>
      <c r="L2031" s="390">
        <f>'SFA FGD'!$L$76</f>
        <v>0</v>
      </c>
      <c r="M2031" s="390">
        <f>'SFA FGD'!$M$76</f>
        <v>0</v>
      </c>
      <c r="N2031" s="401"/>
    </row>
    <row r="2032" spans="2:14" s="160" customFormat="1" ht="12.75" hidden="1" customHeight="1" outlineLevel="1">
      <c r="B2032" s="674" t="str">
        <f>'shsu1 FGD'!$B$2</f>
        <v>Sam Houston State University - Academic &amp; Health (A+H)</v>
      </c>
      <c r="C2032" s="171"/>
      <c r="D2032" s="390">
        <f>'shsu1 FGD'!$D$76</f>
        <v>0</v>
      </c>
      <c r="E2032" s="390">
        <f>'shsu1 FGD'!$E$76</f>
        <v>0</v>
      </c>
      <c r="F2032" s="390">
        <f>'shsu1 FGD'!$F$76</f>
        <v>0</v>
      </c>
      <c r="G2032" s="390">
        <f>'shsu1 FGD'!$G$76</f>
        <v>0</v>
      </c>
      <c r="H2032" s="390">
        <f>'shsu1 FGD'!$H$76</f>
        <v>0</v>
      </c>
      <c r="I2032" s="390">
        <f>'shsu1 FGD'!$I$76</f>
        <v>0</v>
      </c>
      <c r="J2032" s="390">
        <f>'shsu1 FGD'!$J$76</f>
        <v>0</v>
      </c>
      <c r="K2032" s="390">
        <f>'shsu1 FGD'!$K$76</f>
        <v>0</v>
      </c>
      <c r="L2032" s="390">
        <f>'shsu1 FGD'!$L$76</f>
        <v>0</v>
      </c>
      <c r="M2032" s="390">
        <f>'shsu1 FGD'!$M$76</f>
        <v>0</v>
      </c>
      <c r="N2032" s="401"/>
    </row>
    <row r="2033" spans="2:14" s="160" customFormat="1" ht="12.75" hidden="1" customHeight="1" outlineLevel="1">
      <c r="B2033" s="674" t="str">
        <f>'SRSU FGD'!$B$2</f>
        <v>Sul Ross State University</v>
      </c>
      <c r="C2033" s="171"/>
      <c r="D2033" s="390">
        <f>'SRSU FGD'!$D$76</f>
        <v>0</v>
      </c>
      <c r="E2033" s="390">
        <f>'SRSU FGD'!$E$76</f>
        <v>0</v>
      </c>
      <c r="F2033" s="390">
        <f>'SRSU FGD'!$F$76</f>
        <v>0</v>
      </c>
      <c r="G2033" s="390">
        <f>'SRSU FGD'!$G$76</f>
        <v>0</v>
      </c>
      <c r="H2033" s="390">
        <f>'SRSU FGD'!$H$76</f>
        <v>0</v>
      </c>
      <c r="I2033" s="390">
        <f>'SRSU FGD'!$I$76</f>
        <v>0</v>
      </c>
      <c r="J2033" s="390">
        <f>'SRSU FGD'!$J$76</f>
        <v>0</v>
      </c>
      <c r="K2033" s="390">
        <f>'SRSU FGD'!$K$76</f>
        <v>0</v>
      </c>
      <c r="L2033" s="390">
        <f>'SRSU FGD'!$L$76</f>
        <v>0</v>
      </c>
      <c r="M2033" s="390">
        <f>'SRSU FGD'!$M$76</f>
        <v>0</v>
      </c>
      <c r="N2033" s="401"/>
    </row>
    <row r="2034" spans="2:14" s="160" customFormat="1" ht="12.75" hidden="1" customHeight="1" outlineLevel="1">
      <c r="B2034" s="674" t="str">
        <f>'TAMIU FGD'!$B$2</f>
        <v>Texas A&amp;M International University</v>
      </c>
      <c r="C2034" s="171"/>
      <c r="D2034" s="390">
        <f>'TAMIU FGD'!$D$76</f>
        <v>0</v>
      </c>
      <c r="E2034" s="390">
        <f>'TAMIU FGD'!$E$76</f>
        <v>0</v>
      </c>
      <c r="F2034" s="390">
        <f>'TAMIU FGD'!$F$76</f>
        <v>0</v>
      </c>
      <c r="G2034" s="390">
        <f>'TAMIU FGD'!$G$76</f>
        <v>0</v>
      </c>
      <c r="H2034" s="390">
        <f>'TAMIU FGD'!$H$76</f>
        <v>0</v>
      </c>
      <c r="I2034" s="390">
        <f>'TAMIU FGD'!$I$76</f>
        <v>0</v>
      </c>
      <c r="J2034" s="390">
        <f>'TAMIU FGD'!$J$76</f>
        <v>0</v>
      </c>
      <c r="K2034" s="390">
        <f>'TAMIU FGD'!$K$76</f>
        <v>0</v>
      </c>
      <c r="L2034" s="390">
        <f>'TAMIU FGD'!$L$76</f>
        <v>0</v>
      </c>
      <c r="M2034" s="390">
        <f>'TAMIU FGD'!$M$76</f>
        <v>0</v>
      </c>
      <c r="N2034" s="401"/>
    </row>
    <row r="2035" spans="2:14" s="160" customFormat="1" ht="12.75" hidden="1" customHeight="1" outlineLevel="1">
      <c r="B2035" s="674" t="str">
        <f>'TAMU FGD'!$B$2</f>
        <v>Texas A&amp;M University</v>
      </c>
      <c r="C2035" s="171"/>
      <c r="D2035" s="390">
        <f>'TAMU FGD'!$D$76</f>
        <v>0</v>
      </c>
      <c r="E2035" s="390">
        <f>'TAMU FGD'!$E$76</f>
        <v>0</v>
      </c>
      <c r="F2035" s="390">
        <f>'TAMU FGD'!$F$76</f>
        <v>0</v>
      </c>
      <c r="G2035" s="390">
        <f>'TAMU FGD'!$G$76</f>
        <v>0</v>
      </c>
      <c r="H2035" s="390">
        <f>'TAMU FGD'!$H$76</f>
        <v>0</v>
      </c>
      <c r="I2035" s="390">
        <f>'TAMU FGD'!$I$76</f>
        <v>0</v>
      </c>
      <c r="J2035" s="390">
        <f>'TAMU FGD'!$J$76</f>
        <v>0</v>
      </c>
      <c r="K2035" s="390">
        <f>'TAMU FGD'!$K$76</f>
        <v>0</v>
      </c>
      <c r="L2035" s="390">
        <f>'TAMU FGD'!$L$76</f>
        <v>0</v>
      </c>
      <c r="M2035" s="390">
        <f>'TAMU FGD'!$M$76</f>
        <v>0</v>
      </c>
      <c r="N2035" s="401"/>
    </row>
    <row r="2036" spans="2:14" s="160" customFormat="1" ht="12.75" hidden="1" customHeight="1" outlineLevel="1">
      <c r="B2036" s="674" t="str">
        <f>'TAMUC FGD'!$B$2</f>
        <v>Texas A&amp;M University - Commerce</v>
      </c>
      <c r="C2036" s="171"/>
      <c r="D2036" s="390">
        <f>'TAMUC FGD'!$D$76</f>
        <v>0</v>
      </c>
      <c r="E2036" s="390">
        <f>'TAMUC FGD'!$E$76</f>
        <v>0</v>
      </c>
      <c r="F2036" s="390">
        <f>'TAMUC FGD'!$F$76</f>
        <v>0</v>
      </c>
      <c r="G2036" s="390">
        <f>'TAMUC FGD'!$G$76</f>
        <v>0</v>
      </c>
      <c r="H2036" s="390">
        <f>'TAMUC FGD'!$H$76</f>
        <v>0</v>
      </c>
      <c r="I2036" s="390">
        <f>'TAMUC FGD'!$I$76</f>
        <v>0</v>
      </c>
      <c r="J2036" s="390">
        <f>'TAMUC FGD'!$J$76</f>
        <v>0</v>
      </c>
      <c r="K2036" s="390">
        <f>'TAMUC FGD'!$K$76</f>
        <v>0</v>
      </c>
      <c r="L2036" s="390">
        <f>'TAMUC FGD'!$L$76</f>
        <v>0</v>
      </c>
      <c r="M2036" s="390">
        <f>'TAMUC FGD'!$M$76</f>
        <v>0</v>
      </c>
      <c r="N2036" s="401"/>
    </row>
    <row r="2037" spans="2:14" s="160" customFormat="1" ht="12.75" hidden="1" customHeight="1" outlineLevel="1">
      <c r="B2037" s="674" t="str">
        <f>'TAMUCC FGD'!$B$2</f>
        <v>Texas A&amp;M University - Corpus Christi</v>
      </c>
      <c r="C2037" s="171"/>
      <c r="D2037" s="390">
        <f>'TAMUCC FGD'!$D$76</f>
        <v>0</v>
      </c>
      <c r="E2037" s="390">
        <f>'TAMUCC FGD'!$E$76</f>
        <v>0</v>
      </c>
      <c r="F2037" s="390">
        <f>'TAMUCC FGD'!$F$76</f>
        <v>0</v>
      </c>
      <c r="G2037" s="390">
        <f>'TAMUCC FGD'!$G$76</f>
        <v>0</v>
      </c>
      <c r="H2037" s="390">
        <f>'TAMUCC FGD'!$H$76</f>
        <v>0</v>
      </c>
      <c r="I2037" s="390">
        <f>'TAMUCC FGD'!$I$76</f>
        <v>0</v>
      </c>
      <c r="J2037" s="390">
        <f>'TAMUCC FGD'!$J$76</f>
        <v>0</v>
      </c>
      <c r="K2037" s="390">
        <f>'TAMUCC FGD'!$K$76</f>
        <v>0</v>
      </c>
      <c r="L2037" s="390">
        <f>'TAMUCC FGD'!$L$76</f>
        <v>0</v>
      </c>
      <c r="M2037" s="390">
        <f>'TAMUCC FGD'!$M$76</f>
        <v>0</v>
      </c>
      <c r="N2037" s="401"/>
    </row>
    <row r="2038" spans="2:14" s="160" customFormat="1" ht="12.75" hidden="1" customHeight="1" outlineLevel="1">
      <c r="B2038" s="674" t="str">
        <f>'TAMUCT FGD'!$B$2</f>
        <v>Texas A&amp;M University - Central Texas</v>
      </c>
      <c r="C2038" s="171"/>
      <c r="D2038" s="390">
        <f>'TAMUCT FGD'!$D$76</f>
        <v>0</v>
      </c>
      <c r="E2038" s="390">
        <f>'TAMUCT FGD'!$E$76</f>
        <v>0</v>
      </c>
      <c r="F2038" s="390">
        <f>'TAMUCT FGD'!$F$76</f>
        <v>0</v>
      </c>
      <c r="G2038" s="390">
        <f>'TAMUCT FGD'!$G$76</f>
        <v>0</v>
      </c>
      <c r="H2038" s="390">
        <f>'TAMUCT FGD'!$H$76</f>
        <v>0</v>
      </c>
      <c r="I2038" s="390">
        <f>'TAMUCT FGD'!$I$76</f>
        <v>0</v>
      </c>
      <c r="J2038" s="390">
        <f>'TAMUCT FGD'!$J$76</f>
        <v>0</v>
      </c>
      <c r="K2038" s="390">
        <f>'TAMUCT FGD'!$K$76</f>
        <v>0</v>
      </c>
      <c r="L2038" s="390">
        <f>'TAMUCT FGD'!$L$76</f>
        <v>0</v>
      </c>
      <c r="M2038" s="390">
        <f>'TAMUCT FGD'!$M$76</f>
        <v>0</v>
      </c>
      <c r="N2038" s="401"/>
    </row>
    <row r="2039" spans="2:14" s="160" customFormat="1" ht="12.75" hidden="1" customHeight="1" outlineLevel="1">
      <c r="B2039" s="674" t="str">
        <f>'TAMUG FGD'!$B$2</f>
        <v>Texas A&amp;M University at Galveston</v>
      </c>
      <c r="C2039" s="171"/>
      <c r="D2039" s="390">
        <f>'TAMUG FGD'!$D$76</f>
        <v>0</v>
      </c>
      <c r="E2039" s="390">
        <f>'TAMUG FGD'!$E$76</f>
        <v>0</v>
      </c>
      <c r="F2039" s="390">
        <f>'TAMUG FGD'!$F$76</f>
        <v>0</v>
      </c>
      <c r="G2039" s="390">
        <f>'TAMUG FGD'!$G$76</f>
        <v>0</v>
      </c>
      <c r="H2039" s="390">
        <f>'TAMUG FGD'!$H$76</f>
        <v>0</v>
      </c>
      <c r="I2039" s="390">
        <f>'TAMUG FGD'!$I$76</f>
        <v>0</v>
      </c>
      <c r="J2039" s="390">
        <f>'TAMUG FGD'!$J$76</f>
        <v>0</v>
      </c>
      <c r="K2039" s="390">
        <f>'TAMUG FGD'!$K$76</f>
        <v>0</v>
      </c>
      <c r="L2039" s="390">
        <f>'TAMUG FGD'!$L$76</f>
        <v>0</v>
      </c>
      <c r="M2039" s="390">
        <f>'TAMUG FGD'!$M$76</f>
        <v>0</v>
      </c>
      <c r="N2039" s="401"/>
    </row>
    <row r="2040" spans="2:14" s="160" customFormat="1" ht="12.75" hidden="1" customHeight="1" outlineLevel="1">
      <c r="B2040" s="674" t="str">
        <f>'TAMUK FGD'!$B$2</f>
        <v>Texas A&amp;M University - Kingsville</v>
      </c>
      <c r="C2040" s="171"/>
      <c r="D2040" s="390">
        <f>'TAMUK FGD'!$D$76</f>
        <v>0</v>
      </c>
      <c r="E2040" s="390">
        <f>'TAMUK FGD'!$E$76</f>
        <v>0</v>
      </c>
      <c r="F2040" s="390">
        <f>'TAMUK FGD'!$F$76</f>
        <v>0</v>
      </c>
      <c r="G2040" s="390">
        <f>'TAMUK FGD'!$G$76</f>
        <v>0</v>
      </c>
      <c r="H2040" s="390">
        <f>'TAMUK FGD'!$H$76</f>
        <v>0</v>
      </c>
      <c r="I2040" s="390">
        <f>'TAMUK FGD'!$I$76</f>
        <v>0</v>
      </c>
      <c r="J2040" s="390">
        <f>'TAMUK FGD'!$J$76</f>
        <v>0</v>
      </c>
      <c r="K2040" s="390">
        <f>'TAMUK FGD'!$K$76</f>
        <v>0</v>
      </c>
      <c r="L2040" s="390">
        <f>'TAMUK FGD'!$L$76</f>
        <v>0</v>
      </c>
      <c r="M2040" s="390">
        <f>'TAMUK FGD'!$M$76</f>
        <v>0</v>
      </c>
      <c r="N2040" s="401"/>
    </row>
    <row r="2041" spans="2:14" s="160" customFormat="1" ht="12.75" hidden="1" customHeight="1" outlineLevel="1">
      <c r="B2041" s="674" t="str">
        <f>'TAMUSA FGD'!$B$2</f>
        <v>Texas A&amp;M University - San Antonio</v>
      </c>
      <c r="C2041" s="171"/>
      <c r="D2041" s="390">
        <f>'TAMUSA FGD'!$D$76</f>
        <v>0</v>
      </c>
      <c r="E2041" s="390">
        <f>'TAMUSA FGD'!$E$76</f>
        <v>0</v>
      </c>
      <c r="F2041" s="390">
        <f>'TAMUSA FGD'!$F$76</f>
        <v>0</v>
      </c>
      <c r="G2041" s="390">
        <f>'TAMUSA FGD'!$G$76</f>
        <v>0</v>
      </c>
      <c r="H2041" s="390">
        <f>'TAMUSA FGD'!$H$76</f>
        <v>0</v>
      </c>
      <c r="I2041" s="390">
        <f>'TAMUSA FGD'!$I$76</f>
        <v>0</v>
      </c>
      <c r="J2041" s="390">
        <f>'TAMUSA FGD'!$J$76</f>
        <v>0</v>
      </c>
      <c r="K2041" s="390">
        <f>'TAMUSA FGD'!$K$76</f>
        <v>0</v>
      </c>
      <c r="L2041" s="390">
        <f>'TAMUSA FGD'!$L$76</f>
        <v>0</v>
      </c>
      <c r="M2041" s="390">
        <f>'TAMUSA FGD'!$M$76</f>
        <v>0</v>
      </c>
      <c r="N2041" s="401"/>
    </row>
    <row r="2042" spans="2:14" s="160" customFormat="1" ht="12.75" hidden="1" customHeight="1" outlineLevel="1">
      <c r="B2042" s="674" t="str">
        <f>'TAMUT FGD'!$B$2</f>
        <v>Texas A&amp;M University - Texarkana</v>
      </c>
      <c r="C2042" s="171"/>
      <c r="D2042" s="390">
        <f>'TAMUT FGD'!$D$76</f>
        <v>0</v>
      </c>
      <c r="E2042" s="390">
        <f>'TAMUT FGD'!$E$76</f>
        <v>0</v>
      </c>
      <c r="F2042" s="390">
        <f>'TAMUT FGD'!$F$76</f>
        <v>0</v>
      </c>
      <c r="G2042" s="390">
        <f>'TAMUT FGD'!$G$76</f>
        <v>0</v>
      </c>
      <c r="H2042" s="390">
        <f>'TAMUT FGD'!$H$76</f>
        <v>0</v>
      </c>
      <c r="I2042" s="390">
        <f>'TAMUT FGD'!$I$76</f>
        <v>0</v>
      </c>
      <c r="J2042" s="390">
        <f>'TAMUT FGD'!$J$76</f>
        <v>0</v>
      </c>
      <c r="K2042" s="390">
        <f>'TAMUT FGD'!$K$76</f>
        <v>0</v>
      </c>
      <c r="L2042" s="390">
        <f>'TAMUT FGD'!$L$76</f>
        <v>0</v>
      </c>
      <c r="M2042" s="390">
        <f>'TAMUT FGD'!$M$76</f>
        <v>0</v>
      </c>
      <c r="N2042" s="401"/>
    </row>
    <row r="2043" spans="2:14" s="160" customFormat="1" ht="12.75" hidden="1" customHeight="1" outlineLevel="1">
      <c r="B2043" s="674" t="str">
        <f>'TARLST FGD'!$B$2</f>
        <v>Tarleton State University</v>
      </c>
      <c r="C2043" s="171"/>
      <c r="D2043" s="390">
        <f>'TARLST FGD'!$D$76</f>
        <v>0</v>
      </c>
      <c r="E2043" s="390">
        <f>'TARLST FGD'!$E$76</f>
        <v>0</v>
      </c>
      <c r="F2043" s="390">
        <f>'TARLST FGD'!$F$76</f>
        <v>0</v>
      </c>
      <c r="G2043" s="390">
        <f>'TARLST FGD'!$G$76</f>
        <v>0</v>
      </c>
      <c r="H2043" s="390">
        <f>'TARLST FGD'!$H$76</f>
        <v>0</v>
      </c>
      <c r="I2043" s="390">
        <f>'TARLST FGD'!$I$76</f>
        <v>0</v>
      </c>
      <c r="J2043" s="390">
        <f>'TARLST FGD'!$J$76</f>
        <v>0</v>
      </c>
      <c r="K2043" s="390">
        <f>'TARLST FGD'!$K$76</f>
        <v>0</v>
      </c>
      <c r="L2043" s="390">
        <f>'TARLST FGD'!$L$76</f>
        <v>0</v>
      </c>
      <c r="M2043" s="390">
        <f>'TARLST FGD'!$M$76</f>
        <v>0</v>
      </c>
      <c r="N2043" s="401"/>
    </row>
    <row r="2044" spans="2:14" s="160" customFormat="1" ht="12.75" hidden="1" customHeight="1" outlineLevel="1">
      <c r="B2044" s="674" t="str">
        <f>'TSU FGD'!$B$2</f>
        <v>Texas Southern University</v>
      </c>
      <c r="C2044" s="171"/>
      <c r="D2044" s="390">
        <f>'TSU FGD'!$D$76</f>
        <v>0</v>
      </c>
      <c r="E2044" s="390">
        <f>'TSU FGD'!$E$76</f>
        <v>0</v>
      </c>
      <c r="F2044" s="390">
        <f>'TSU FGD'!$F$76</f>
        <v>0</v>
      </c>
      <c r="G2044" s="390">
        <f>'TSU FGD'!$G$76</f>
        <v>0</v>
      </c>
      <c r="H2044" s="390">
        <f>'TSU FGD'!$H$76</f>
        <v>0</v>
      </c>
      <c r="I2044" s="390">
        <f>'TSU FGD'!$I$76</f>
        <v>0</v>
      </c>
      <c r="J2044" s="390">
        <f>'TSU FGD'!$J$76</f>
        <v>0</v>
      </c>
      <c r="K2044" s="390">
        <f>'TSU FGD'!$K$76</f>
        <v>0</v>
      </c>
      <c r="L2044" s="390">
        <f>'TSU FGD'!$L$76</f>
        <v>0</v>
      </c>
      <c r="M2044" s="390">
        <f>'TSU FGD'!$M$76</f>
        <v>0</v>
      </c>
      <c r="N2044" s="401"/>
    </row>
    <row r="2045" spans="2:14" s="160" customFormat="1" ht="12.75" hidden="1" customHeight="1" outlineLevel="1">
      <c r="B2045" s="674" t="str">
        <f>'TTU FGD'!$B$2</f>
        <v>Texas Tech University</v>
      </c>
      <c r="C2045" s="171"/>
      <c r="D2045" s="390">
        <f>'TTU FGD'!$D$76</f>
        <v>0</v>
      </c>
      <c r="E2045" s="390">
        <f>'TTU FGD'!$E$76</f>
        <v>0</v>
      </c>
      <c r="F2045" s="390">
        <f>'TTU FGD'!$F$76</f>
        <v>0</v>
      </c>
      <c r="G2045" s="390">
        <f>'TTU FGD'!$G$76</f>
        <v>0</v>
      </c>
      <c r="H2045" s="390">
        <f>'TTU FGD'!$H$76</f>
        <v>0</v>
      </c>
      <c r="I2045" s="390">
        <f>'TTU FGD'!$I$76</f>
        <v>0</v>
      </c>
      <c r="J2045" s="390">
        <f>'TTU FGD'!$J$76</f>
        <v>89031003</v>
      </c>
      <c r="K2045" s="390">
        <f>'TTU FGD'!$K$76</f>
        <v>0</v>
      </c>
      <c r="L2045" s="390">
        <f>'TTU FGD'!$L$76</f>
        <v>0</v>
      </c>
      <c r="M2045" s="390">
        <f>'TTU FGD'!$M$76</f>
        <v>89031003</v>
      </c>
      <c r="N2045" s="401"/>
    </row>
    <row r="2046" spans="2:14" s="160" customFormat="1" ht="12.75" hidden="1" customHeight="1" outlineLevel="1">
      <c r="B2046" s="674" t="str">
        <f>'TWU FGD'!$B$2</f>
        <v>Texas Woman's University</v>
      </c>
      <c r="C2046" s="171"/>
      <c r="D2046" s="390">
        <f>'TWU FGD'!$D$76</f>
        <v>0</v>
      </c>
      <c r="E2046" s="390">
        <f>'TWU FGD'!$E$76</f>
        <v>0</v>
      </c>
      <c r="F2046" s="390">
        <f>'TWU FGD'!$F$76</f>
        <v>0</v>
      </c>
      <c r="G2046" s="390">
        <f>'TWU FGD'!$G$76</f>
        <v>0</v>
      </c>
      <c r="H2046" s="390">
        <f>'TWU FGD'!$H$76</f>
        <v>0</v>
      </c>
      <c r="I2046" s="390">
        <f>'TWU FGD'!$I$76</f>
        <v>0</v>
      </c>
      <c r="J2046" s="390">
        <f>'TWU FGD'!$J$76</f>
        <v>17938486</v>
      </c>
      <c r="K2046" s="390">
        <f>'TWU FGD'!$K$76</f>
        <v>0</v>
      </c>
      <c r="L2046" s="390">
        <f>'TWU FGD'!$L$76</f>
        <v>0</v>
      </c>
      <c r="M2046" s="390">
        <f>'TWU FGD'!$M$76</f>
        <v>17938486</v>
      </c>
      <c r="N2046" s="401"/>
    </row>
    <row r="2047" spans="2:14" s="160" customFormat="1" ht="12.75" hidden="1" customHeight="1" outlineLevel="1">
      <c r="B2047" s="674" t="str">
        <f>'TXST FGD'!$B$2</f>
        <v>Texas State University</v>
      </c>
      <c r="C2047" s="171"/>
      <c r="D2047" s="390">
        <f>'TXST FGD'!$D$76</f>
        <v>0</v>
      </c>
      <c r="E2047" s="390">
        <f>'TXST FGD'!$E$76</f>
        <v>0</v>
      </c>
      <c r="F2047" s="390">
        <f>'TXST FGD'!$F$76</f>
        <v>0</v>
      </c>
      <c r="G2047" s="390">
        <f>'TXST FGD'!$G$76</f>
        <v>0</v>
      </c>
      <c r="H2047" s="390">
        <f>'TXST FGD'!$H$76</f>
        <v>0</v>
      </c>
      <c r="I2047" s="390">
        <f>'TXST FGD'!$I$76</f>
        <v>0</v>
      </c>
      <c r="J2047" s="390">
        <f>'TXST FGD'!$J$76</f>
        <v>0</v>
      </c>
      <c r="K2047" s="390">
        <f>'TXST FGD'!$K$76</f>
        <v>0</v>
      </c>
      <c r="L2047" s="390">
        <f>'TXST FGD'!$L$76</f>
        <v>0</v>
      </c>
      <c r="M2047" s="390">
        <f>'TXST FGD'!$M$76</f>
        <v>0</v>
      </c>
      <c r="N2047" s="401"/>
    </row>
    <row r="2048" spans="2:14" s="160" customFormat="1" ht="12.75" hidden="1" customHeight="1" outlineLevel="1">
      <c r="B2048" s="674" t="str">
        <f>'TYL FGD'!$B$2</f>
        <v>The University of Texas at Tyler</v>
      </c>
      <c r="C2048" s="171"/>
      <c r="D2048" s="390">
        <f>'TYL FGD'!$D$76</f>
        <v>0</v>
      </c>
      <c r="E2048" s="390">
        <f>'TYL FGD'!$E$76</f>
        <v>0</v>
      </c>
      <c r="F2048" s="390">
        <f>'TYL FGD'!$F$76</f>
        <v>0</v>
      </c>
      <c r="G2048" s="390">
        <f>'TYL FGD'!$G$76</f>
        <v>0</v>
      </c>
      <c r="H2048" s="390">
        <f>'TYL FGD'!$H$76</f>
        <v>0</v>
      </c>
      <c r="I2048" s="390">
        <f>'TYL FGD'!$I$76</f>
        <v>0</v>
      </c>
      <c r="J2048" s="390">
        <f>'TYL FGD'!$J$76</f>
        <v>3309931</v>
      </c>
      <c r="K2048" s="390">
        <f>'TYL FGD'!$K$76</f>
        <v>0</v>
      </c>
      <c r="L2048" s="390">
        <f>'TYL FGD'!$L$76</f>
        <v>0</v>
      </c>
      <c r="M2048" s="390">
        <f>'TYL FGD'!$M$76</f>
        <v>3309931</v>
      </c>
      <c r="N2048" s="401"/>
    </row>
    <row r="2049" spans="2:14" s="160" customFormat="1" ht="12.75" hidden="1" customHeight="1" outlineLevel="1">
      <c r="B2049" s="674" t="str">
        <f>'UH1 FGD'!$B$2</f>
        <v>University of Houston - Academic &amp; Health (A+H)</v>
      </c>
      <c r="C2049" s="171"/>
      <c r="D2049" s="390">
        <f>'UH1 FGD'!$D$76</f>
        <v>0</v>
      </c>
      <c r="E2049" s="390">
        <f>'UH1 FGD'!$E$76</f>
        <v>0</v>
      </c>
      <c r="F2049" s="390">
        <f>'UH1 FGD'!$F$76</f>
        <v>0</v>
      </c>
      <c r="G2049" s="390">
        <f>'UH1 FGD'!$G$76</f>
        <v>0</v>
      </c>
      <c r="H2049" s="390">
        <f>'UH1 FGD'!$H$76</f>
        <v>0</v>
      </c>
      <c r="I2049" s="390">
        <f>'UH1 FGD'!$I$76</f>
        <v>0</v>
      </c>
      <c r="J2049" s="390">
        <f>'UH1 FGD'!$J$76</f>
        <v>48101000</v>
      </c>
      <c r="K2049" s="390">
        <f>'UH1 FGD'!$K$76</f>
        <v>0</v>
      </c>
      <c r="L2049" s="390">
        <f>'UH1 FGD'!$L$76</f>
        <v>0</v>
      </c>
      <c r="M2049" s="390">
        <f>'UH1 FGD'!$M$76</f>
        <v>48101000</v>
      </c>
      <c r="N2049" s="401"/>
    </row>
    <row r="2050" spans="2:14" s="160" customFormat="1" ht="12.75" hidden="1" customHeight="1" outlineLevel="1">
      <c r="B2050" s="674" t="str">
        <f>'UHCL FGD'!$B$2</f>
        <v>University of Houston - Clear Lake</v>
      </c>
      <c r="C2050" s="171"/>
      <c r="D2050" s="390">
        <f>'UHCL FGD'!$D$76</f>
        <v>0</v>
      </c>
      <c r="E2050" s="390">
        <f>'UHCL FGD'!$E$76</f>
        <v>0</v>
      </c>
      <c r="F2050" s="390">
        <f>'UHCL FGD'!$F$76</f>
        <v>0</v>
      </c>
      <c r="G2050" s="390">
        <f>'UHCL FGD'!$G$76</f>
        <v>0</v>
      </c>
      <c r="H2050" s="390">
        <f>'UHCL FGD'!$H$76</f>
        <v>0</v>
      </c>
      <c r="I2050" s="390">
        <f>'UHCL FGD'!$I$76</f>
        <v>0</v>
      </c>
      <c r="J2050" s="390">
        <f>'UHCL FGD'!$J$76</f>
        <v>0</v>
      </c>
      <c r="K2050" s="390">
        <f>'UHCL FGD'!$K$76</f>
        <v>0</v>
      </c>
      <c r="L2050" s="390">
        <f>'UHCL FGD'!$L$76</f>
        <v>0</v>
      </c>
      <c r="M2050" s="390">
        <f>'UHCL FGD'!$M$76</f>
        <v>0</v>
      </c>
      <c r="N2050" s="401"/>
    </row>
    <row r="2051" spans="2:14" s="160" customFormat="1" ht="12.75" hidden="1" customHeight="1" outlineLevel="1">
      <c r="B2051" s="674" t="str">
        <f>'UHD FGD'!$B$2</f>
        <v>University of Houston - Downtown</v>
      </c>
      <c r="C2051" s="171"/>
      <c r="D2051" s="390">
        <f>'UHD FGD'!$D$76</f>
        <v>0</v>
      </c>
      <c r="E2051" s="390">
        <f>'UHD FGD'!$E$76</f>
        <v>0</v>
      </c>
      <c r="F2051" s="390">
        <f>'UHD FGD'!$F$76</f>
        <v>0</v>
      </c>
      <c r="G2051" s="390">
        <f>'UHD FGD'!$G$76</f>
        <v>0</v>
      </c>
      <c r="H2051" s="390">
        <f>'UHD FGD'!$H$76</f>
        <v>0</v>
      </c>
      <c r="I2051" s="390">
        <f>'UHD FGD'!$I$76</f>
        <v>0</v>
      </c>
      <c r="J2051" s="390">
        <f>'UHD FGD'!$J$76</f>
        <v>0</v>
      </c>
      <c r="K2051" s="390">
        <f>'UHD FGD'!$K$76</f>
        <v>0</v>
      </c>
      <c r="L2051" s="390">
        <f>'UHD FGD'!$L$76</f>
        <v>0</v>
      </c>
      <c r="M2051" s="390">
        <f>'UHD FGD'!$M$76</f>
        <v>0</v>
      </c>
      <c r="N2051" s="401"/>
    </row>
    <row r="2052" spans="2:14" s="160" customFormat="1" ht="12.75" hidden="1" customHeight="1" outlineLevel="1">
      <c r="B2052" s="674" t="str">
        <f>'UHV FGD'!$B$2</f>
        <v>University of Houston - Victoria</v>
      </c>
      <c r="C2052" s="171"/>
      <c r="D2052" s="390">
        <f>'UHV FGD'!$D$76</f>
        <v>0</v>
      </c>
      <c r="E2052" s="390">
        <f>'UHV FGD'!$E$76</f>
        <v>0</v>
      </c>
      <c r="F2052" s="390">
        <f>'UHV FGD'!$F$76</f>
        <v>0</v>
      </c>
      <c r="G2052" s="390">
        <f>'UHV FGD'!$G$76</f>
        <v>0</v>
      </c>
      <c r="H2052" s="390">
        <f>'UHV FGD'!$H$76</f>
        <v>0</v>
      </c>
      <c r="I2052" s="390">
        <f>'UHV FGD'!$I$76</f>
        <v>0</v>
      </c>
      <c r="J2052" s="390">
        <f>'UHV FGD'!$J$76</f>
        <v>1444000</v>
      </c>
      <c r="K2052" s="390">
        <f>'UHV FGD'!$K$76</f>
        <v>0</v>
      </c>
      <c r="L2052" s="390">
        <f>'UHV FGD'!$L$76</f>
        <v>0</v>
      </c>
      <c r="M2052" s="390">
        <f>'UHV FGD'!$M$76</f>
        <v>1444000</v>
      </c>
      <c r="N2052" s="401"/>
    </row>
    <row r="2053" spans="2:14" s="160" customFormat="1" ht="12.75" hidden="1" customHeight="1" outlineLevel="1">
      <c r="B2053" s="674" t="str">
        <f>'UNT FGD'!$B$2</f>
        <v>University of North Texas</v>
      </c>
      <c r="C2053" s="171"/>
      <c r="D2053" s="390">
        <f>'UNT FGD'!$D$76</f>
        <v>0</v>
      </c>
      <c r="E2053" s="390">
        <f>'UNT FGD'!$E$76</f>
        <v>0</v>
      </c>
      <c r="F2053" s="390">
        <f>'UNT FGD'!$F$76</f>
        <v>0</v>
      </c>
      <c r="G2053" s="390">
        <f>'UNT FGD'!$G$76</f>
        <v>0</v>
      </c>
      <c r="H2053" s="390">
        <f>'UNT FGD'!$H$76</f>
        <v>0</v>
      </c>
      <c r="I2053" s="390">
        <f>'UNT FGD'!$I$76</f>
        <v>0</v>
      </c>
      <c r="J2053" s="390">
        <f>'UNT FGD'!$J$76</f>
        <v>0</v>
      </c>
      <c r="K2053" s="390">
        <f>'UNT FGD'!$K$76</f>
        <v>0</v>
      </c>
      <c r="L2053" s="390">
        <f>'UNT FGD'!$L$76</f>
        <v>0</v>
      </c>
      <c r="M2053" s="390">
        <f>'UNT FGD'!$M$76</f>
        <v>0</v>
      </c>
      <c r="N2053" s="401"/>
    </row>
    <row r="2054" spans="2:14" s="160" customFormat="1" ht="12.75" hidden="1" customHeight="1" outlineLevel="1">
      <c r="B2054" s="674" t="str">
        <f>'UNTD FGD'!$B$2</f>
        <v>University of North Texas at Dallas</v>
      </c>
      <c r="C2054" s="171"/>
      <c r="D2054" s="390">
        <f>'UNTD FGD'!$D$76</f>
        <v>0</v>
      </c>
      <c r="E2054" s="390">
        <f>'UNTD FGD'!$E$76</f>
        <v>0</v>
      </c>
      <c r="F2054" s="390">
        <f>'UNTD FGD'!$F$76</f>
        <v>0</v>
      </c>
      <c r="G2054" s="390">
        <f>'UNTD FGD'!$G$76</f>
        <v>0</v>
      </c>
      <c r="H2054" s="390">
        <f>'UNTD FGD'!$H$76</f>
        <v>0</v>
      </c>
      <c r="I2054" s="390">
        <f>'UNTD FGD'!$I$76</f>
        <v>0</v>
      </c>
      <c r="J2054" s="390">
        <f>'UNTD FGD'!$J$76</f>
        <v>0</v>
      </c>
      <c r="K2054" s="390">
        <f>'UNTD FGD'!$K$76</f>
        <v>0</v>
      </c>
      <c r="L2054" s="390">
        <f>'UNTD FGD'!$L$76</f>
        <v>0</v>
      </c>
      <c r="M2054" s="390">
        <f>'UNTD FGD'!$M$76</f>
        <v>0</v>
      </c>
      <c r="N2054" s="401"/>
    </row>
    <row r="2055" spans="2:14" s="160" customFormat="1" ht="12.75" hidden="1" customHeight="1" outlineLevel="1">
      <c r="B2055" s="674" t="str">
        <f>'WTAMU FGD'!$B$2</f>
        <v>West Texas A&amp;M University</v>
      </c>
      <c r="C2055" s="171"/>
      <c r="D2055" s="390">
        <f>'WTAMU FGD'!$D$76</f>
        <v>0</v>
      </c>
      <c r="E2055" s="390">
        <f>'WTAMU FGD'!$E$76</f>
        <v>0</v>
      </c>
      <c r="F2055" s="390">
        <f>'WTAMU FGD'!$F$76</f>
        <v>0</v>
      </c>
      <c r="G2055" s="390">
        <f>'WTAMU FGD'!$G$76</f>
        <v>0</v>
      </c>
      <c r="H2055" s="390">
        <f>'WTAMU FGD'!$H$76</f>
        <v>0</v>
      </c>
      <c r="I2055" s="390">
        <f>'WTAMU FGD'!$I$76</f>
        <v>0</v>
      </c>
      <c r="J2055" s="390">
        <f>'WTAMU FGD'!$J$76</f>
        <v>0</v>
      </c>
      <c r="K2055" s="390">
        <f>'WTAMU FGD'!$K$76</f>
        <v>0</v>
      </c>
      <c r="L2055" s="390">
        <f>'WTAMU FGD'!$L$76</f>
        <v>0</v>
      </c>
      <c r="M2055" s="390">
        <f>'WTAMU FGD'!$M$76</f>
        <v>0</v>
      </c>
      <c r="N2055" s="401"/>
    </row>
    <row r="2056" spans="2:14" s="160" customFormat="1" collapsed="1">
      <c r="B2056" s="160" t="s">
        <v>45</v>
      </c>
      <c r="D2056" s="390">
        <f t="shared" ref="D2056:M2056" si="54">SUM(D2020:D2055)</f>
        <v>0</v>
      </c>
      <c r="E2056" s="390">
        <f t="shared" si="54"/>
        <v>0</v>
      </c>
      <c r="F2056" s="390">
        <f t="shared" si="54"/>
        <v>0</v>
      </c>
      <c r="G2056" s="390">
        <f t="shared" si="54"/>
        <v>0</v>
      </c>
      <c r="H2056" s="390">
        <f t="shared" si="54"/>
        <v>0</v>
      </c>
      <c r="I2056" s="390">
        <f t="shared" si="54"/>
        <v>0</v>
      </c>
      <c r="J2056" s="390">
        <f t="shared" si="54"/>
        <v>560305854</v>
      </c>
      <c r="K2056" s="390">
        <f t="shared" si="54"/>
        <v>0</v>
      </c>
      <c r="L2056" s="390">
        <f t="shared" si="54"/>
        <v>0</v>
      </c>
      <c r="M2056" s="390">
        <f t="shared" si="54"/>
        <v>560305854</v>
      </c>
      <c r="N2056" s="401"/>
    </row>
    <row r="2057" spans="2:14" s="160" customFormat="1" ht="12.75" hidden="1" customHeight="1" outlineLevel="1">
      <c r="B2057" s="674" t="str">
        <f>'ARL FGD'!$B$2</f>
        <v>The University of Texas at Arlington</v>
      </c>
      <c r="D2057" s="390">
        <f>'ARL FGD'!$D$77</f>
        <v>-12828000</v>
      </c>
      <c r="E2057" s="390">
        <f>'ARL FGD'!$E$77</f>
        <v>-1860379</v>
      </c>
      <c r="F2057" s="390">
        <f>'ARL FGD'!$F$77</f>
        <v>-8127827</v>
      </c>
      <c r="G2057" s="390">
        <f>'ARL FGD'!$G$77</f>
        <v>0</v>
      </c>
      <c r="H2057" s="390">
        <f>'ARL FGD'!$H$77</f>
        <v>0</v>
      </c>
      <c r="I2057" s="390">
        <f>'ARL FGD'!$I$77</f>
        <v>0</v>
      </c>
      <c r="J2057" s="390">
        <f>'ARL FGD'!$J$77</f>
        <v>0</v>
      </c>
      <c r="K2057" s="390">
        <f>'ARL FGD'!$K$77</f>
        <v>0</v>
      </c>
      <c r="L2057" s="390">
        <f>'ARL FGD'!$L$77</f>
        <v>0</v>
      </c>
      <c r="M2057" s="390">
        <f>'ARL FGD'!$M$77</f>
        <v>-22816206</v>
      </c>
      <c r="N2057" s="401"/>
    </row>
    <row r="2058" spans="2:14" s="160" customFormat="1" ht="12.75" hidden="1" customHeight="1" outlineLevel="1">
      <c r="B2058" s="674" t="str">
        <f>'ASU FGD'!$B$2</f>
        <v>Angelo State University</v>
      </c>
      <c r="D2058" s="390">
        <f>'ASU FGD'!$D$77</f>
        <v>-4124773</v>
      </c>
      <c r="E2058" s="390">
        <f>'ASU FGD'!$E$77</f>
        <v>-905575</v>
      </c>
      <c r="F2058" s="390">
        <f>'ASU FGD'!$F$77</f>
        <v>-5744302</v>
      </c>
      <c r="G2058" s="390">
        <f>'ASU FGD'!$G$77</f>
        <v>-2208890</v>
      </c>
      <c r="H2058" s="390">
        <f>'ASU FGD'!$H$77</f>
        <v>0</v>
      </c>
      <c r="I2058" s="390">
        <f>'ASU FGD'!$I$77</f>
        <v>0</v>
      </c>
      <c r="J2058" s="390">
        <f>'ASU FGD'!$J$77</f>
        <v>0</v>
      </c>
      <c r="K2058" s="390">
        <f>'ASU FGD'!$K$77</f>
        <v>0</v>
      </c>
      <c r="L2058" s="390">
        <f>'ASU FGD'!$L$77</f>
        <v>0</v>
      </c>
      <c r="M2058" s="390">
        <f>'ASU FGD'!$M$77</f>
        <v>-12983540</v>
      </c>
      <c r="N2058" s="401"/>
    </row>
    <row r="2059" spans="2:14" s="160" customFormat="1" ht="12.75" hidden="1" customHeight="1" outlineLevel="1">
      <c r="B2059" s="674" t="str">
        <f>'AUS1 FGD'!$B$2</f>
        <v>The University of Texas at Austin - Academic &amp; Health (A+H)</v>
      </c>
      <c r="D2059" s="390">
        <f>'AUS1 FGD'!$D$77</f>
        <v>-26557020</v>
      </c>
      <c r="E2059" s="390">
        <f>'AUS1 FGD'!$E$77</f>
        <v>-36227182</v>
      </c>
      <c r="F2059" s="390">
        <f>'AUS1 FGD'!$F$77</f>
        <v>-25929154</v>
      </c>
      <c r="G2059" s="390">
        <f>'AUS1 FGD'!$G$77</f>
        <v>-7516922</v>
      </c>
      <c r="H2059" s="390">
        <f>'AUS1 FGD'!$H$77</f>
        <v>0</v>
      </c>
      <c r="I2059" s="390">
        <f>'AUS1 FGD'!$I$77</f>
        <v>0</v>
      </c>
      <c r="J2059" s="390">
        <f>'AUS1 FGD'!$J$77</f>
        <v>-190695</v>
      </c>
      <c r="K2059" s="390">
        <f>'AUS1 FGD'!$K$77</f>
        <v>0</v>
      </c>
      <c r="L2059" s="390">
        <f>'AUS1 FGD'!$L$77</f>
        <v>0</v>
      </c>
      <c r="M2059" s="390">
        <f>'AUS1 FGD'!$M$77</f>
        <v>-96420973</v>
      </c>
      <c r="N2059" s="401"/>
    </row>
    <row r="2060" spans="2:14" s="160" customFormat="1" ht="12.75" hidden="1" customHeight="1" outlineLevel="1">
      <c r="B2060" s="674" t="str">
        <f>'RGV1 FGD'!$B$2</f>
        <v>The University of Texas RGV - Academic &amp; Health (A+H)</v>
      </c>
      <c r="D2060" s="390">
        <f>'RGV1 FGD'!$D$77</f>
        <v>-18020350</v>
      </c>
      <c r="E2060" s="390">
        <f>'RGV1 FGD'!$E$77</f>
        <v>-744396</v>
      </c>
      <c r="F2060" s="390">
        <f>'RGV1 FGD'!$F$77</f>
        <v>-1408840</v>
      </c>
      <c r="G2060" s="390">
        <f>'RGV1 FGD'!$G$77</f>
        <v>0</v>
      </c>
      <c r="H2060" s="390">
        <f>'RGV1 FGD'!$H$77</f>
        <v>0</v>
      </c>
      <c r="I2060" s="390">
        <f>'RGV1 FGD'!$I$77</f>
        <v>0</v>
      </c>
      <c r="J2060" s="390">
        <f>'RGV1 FGD'!$J$77</f>
        <v>0</v>
      </c>
      <c r="K2060" s="390">
        <f>'RGV1 FGD'!$K$77</f>
        <v>0</v>
      </c>
      <c r="L2060" s="390">
        <f>'RGV1 FGD'!$L$77</f>
        <v>0</v>
      </c>
      <c r="M2060" s="390">
        <f>'RGV1 FGD'!$M$77</f>
        <v>-20173586</v>
      </c>
      <c r="N2060" s="401"/>
    </row>
    <row r="2061" spans="2:14" s="160" customFormat="1" ht="12.75" hidden="1" customHeight="1" outlineLevel="1">
      <c r="B2061" s="674" t="str">
        <f>'DAL FGD'!$B$2</f>
        <v>The University of Texas at Dallas</v>
      </c>
      <c r="D2061" s="390">
        <f>'DAL FGD'!$D$77</f>
        <v>-11934428</v>
      </c>
      <c r="E2061" s="390">
        <f>'DAL FGD'!$E$77</f>
        <v>-6879583</v>
      </c>
      <c r="F2061" s="390">
        <f>'DAL FGD'!$F$77</f>
        <v>-15700129</v>
      </c>
      <c r="G2061" s="390">
        <f>'DAL FGD'!$G$77</f>
        <v>-25127</v>
      </c>
      <c r="H2061" s="390">
        <f>'DAL FGD'!$H$77</f>
        <v>0</v>
      </c>
      <c r="I2061" s="390">
        <f>'DAL FGD'!$I$77</f>
        <v>0</v>
      </c>
      <c r="J2061" s="390">
        <f>'DAL FGD'!$J$77</f>
        <v>-2311704</v>
      </c>
      <c r="K2061" s="390">
        <f>'DAL FGD'!$K$77</f>
        <v>0</v>
      </c>
      <c r="L2061" s="390">
        <f>'DAL FGD'!$L$77</f>
        <v>0</v>
      </c>
      <c r="M2061" s="390">
        <f>'DAL FGD'!$M$77</f>
        <v>-36850971</v>
      </c>
      <c r="N2061" s="401"/>
    </row>
    <row r="2062" spans="2:14" s="160" customFormat="1" ht="12.75" hidden="1" customHeight="1" outlineLevel="1">
      <c r="B2062" s="674" t="str">
        <f>'E-P FGD'!$B$2</f>
        <v>The University of Texas at El Paso</v>
      </c>
      <c r="D2062" s="390">
        <f>'E-P FGD'!$D$77</f>
        <v>-12707350</v>
      </c>
      <c r="E2062" s="390">
        <f>'E-P FGD'!$E$77</f>
        <v>-2922747</v>
      </c>
      <c r="F2062" s="390">
        <f>'E-P FGD'!$F$77</f>
        <v>-2353549</v>
      </c>
      <c r="G2062" s="390">
        <f>'E-P FGD'!$G$77</f>
        <v>-471746</v>
      </c>
      <c r="H2062" s="390">
        <f>'E-P FGD'!$H$77</f>
        <v>0</v>
      </c>
      <c r="I2062" s="390">
        <f>'E-P FGD'!$I$77</f>
        <v>0</v>
      </c>
      <c r="J2062" s="390">
        <f>'E-P FGD'!$J$77</f>
        <v>0</v>
      </c>
      <c r="K2062" s="390">
        <f>'E-P FGD'!$K$77</f>
        <v>0</v>
      </c>
      <c r="L2062" s="390">
        <f>'E-P FGD'!$L$77</f>
        <v>0</v>
      </c>
      <c r="M2062" s="390">
        <f>'E-P FGD'!$M$77</f>
        <v>-18455392</v>
      </c>
      <c r="N2062" s="401"/>
    </row>
    <row r="2063" spans="2:14" s="160" customFormat="1" ht="12.75" hidden="1" customHeight="1" outlineLevel="1">
      <c r="B2063" s="674" t="str">
        <f>'LU FGD'!$B$2</f>
        <v xml:space="preserve">Lamar University </v>
      </c>
      <c r="D2063" s="390">
        <f>'LU FGD'!$D$77</f>
        <v>-6405348</v>
      </c>
      <c r="E2063" s="390">
        <f>'LU FGD'!$E$77</f>
        <v>-204841</v>
      </c>
      <c r="F2063" s="390">
        <f>'LU FGD'!$F$77</f>
        <v>-9924963</v>
      </c>
      <c r="G2063" s="390">
        <f>'LU FGD'!$G$77</f>
        <v>0</v>
      </c>
      <c r="H2063" s="390">
        <f>'LU FGD'!$H$77</f>
        <v>0</v>
      </c>
      <c r="I2063" s="390">
        <f>'LU FGD'!$I$77</f>
        <v>0</v>
      </c>
      <c r="J2063" s="390">
        <f>'LU FGD'!$J$77</f>
        <v>0</v>
      </c>
      <c r="K2063" s="390">
        <f>'LU FGD'!$K$77</f>
        <v>0</v>
      </c>
      <c r="L2063" s="390">
        <f>'LU FGD'!$L$77</f>
        <v>0</v>
      </c>
      <c r="M2063" s="390">
        <f>'LU FGD'!$M$77</f>
        <v>-16535152</v>
      </c>
      <c r="N2063" s="401"/>
    </row>
    <row r="2064" spans="2:14" s="160" customFormat="1" ht="12.75" hidden="1" customHeight="1" outlineLevel="1">
      <c r="B2064" s="674" t="str">
        <f>'MidWST FGD'!$B$2</f>
        <v>Midwestern State University</v>
      </c>
      <c r="D2064" s="390">
        <f>'MidWST FGD'!$D$77</f>
        <v>0</v>
      </c>
      <c r="E2064" s="390">
        <f>'MidWST FGD'!$E$77</f>
        <v>0</v>
      </c>
      <c r="F2064" s="390">
        <f>'MidWST FGD'!$F$77</f>
        <v>0</v>
      </c>
      <c r="G2064" s="390">
        <f>'MidWST FGD'!$G$77</f>
        <v>0</v>
      </c>
      <c r="H2064" s="390">
        <f>'MidWST FGD'!$H$77</f>
        <v>0</v>
      </c>
      <c r="I2064" s="390">
        <f>'MidWST FGD'!$I$77</f>
        <v>0</v>
      </c>
      <c r="J2064" s="390">
        <f>'MidWST FGD'!$J$77</f>
        <v>0</v>
      </c>
      <c r="K2064" s="390">
        <f>'MidWST FGD'!$K$77</f>
        <v>-11178053</v>
      </c>
      <c r="L2064" s="390">
        <f>'MidWST FGD'!$L$77</f>
        <v>0</v>
      </c>
      <c r="M2064" s="390">
        <f>'MidWST FGD'!$M$77</f>
        <v>-11178053</v>
      </c>
      <c r="N2064" s="401"/>
    </row>
    <row r="2065" spans="2:14" s="160" customFormat="1" ht="12.75" hidden="1" customHeight="1" outlineLevel="1">
      <c r="B2065" s="674" t="str">
        <f>'P-B FGD'!$B$2</f>
        <v>The University of Texas of the Permian Basin</v>
      </c>
      <c r="D2065" s="390">
        <f>'P-B FGD'!$D$77</f>
        <v>-12186051</v>
      </c>
      <c r="E2065" s="390">
        <f>'P-B FGD'!$E$77</f>
        <v>-1412935</v>
      </c>
      <c r="F2065" s="390">
        <f>'P-B FGD'!$F$77</f>
        <v>-3656026</v>
      </c>
      <c r="G2065" s="390">
        <f>'P-B FGD'!$G$77</f>
        <v>0</v>
      </c>
      <c r="H2065" s="390">
        <f>'P-B FGD'!$H$77</f>
        <v>0</v>
      </c>
      <c r="I2065" s="390">
        <f>'P-B FGD'!$I$77</f>
        <v>0</v>
      </c>
      <c r="J2065" s="390">
        <f>'P-B FGD'!$J$77</f>
        <v>0</v>
      </c>
      <c r="K2065" s="390">
        <f>'P-B FGD'!$K$77</f>
        <v>0</v>
      </c>
      <c r="L2065" s="390">
        <f>'P-B FGD'!$L$77</f>
        <v>0</v>
      </c>
      <c r="M2065" s="390">
        <f>'P-B FGD'!$M$77</f>
        <v>-17255012</v>
      </c>
      <c r="N2065" s="401"/>
    </row>
    <row r="2066" spans="2:14" s="160" customFormat="1" ht="12.75" hidden="1" customHeight="1" outlineLevel="1">
      <c r="B2066" s="674" t="str">
        <f>'PVAMU FGD'!$B$2</f>
        <v>Prairie View A&amp;M University</v>
      </c>
      <c r="D2066" s="390">
        <f>'PVAMU FGD'!$D$77</f>
        <v>-6665732</v>
      </c>
      <c r="E2066" s="390">
        <f>'PVAMU FGD'!$E$77</f>
        <v>-1880616</v>
      </c>
      <c r="F2066" s="390">
        <f>'PVAMU FGD'!$F$77</f>
        <v>-5443658</v>
      </c>
      <c r="G2066" s="390">
        <f>'PVAMU FGD'!$G$77</f>
        <v>0</v>
      </c>
      <c r="H2066" s="390">
        <f>'PVAMU FGD'!$H$77</f>
        <v>0</v>
      </c>
      <c r="I2066" s="390">
        <f>'PVAMU FGD'!$I$77</f>
        <v>0</v>
      </c>
      <c r="J2066" s="390">
        <f>'PVAMU FGD'!$J$77</f>
        <v>0</v>
      </c>
      <c r="K2066" s="390">
        <f>'PVAMU FGD'!$K$77</f>
        <v>0</v>
      </c>
      <c r="L2066" s="390">
        <f>'PVAMU FGD'!$L$77</f>
        <v>0</v>
      </c>
      <c r="M2066" s="390">
        <f>'PVAMU FGD'!$M$77</f>
        <v>-13990006</v>
      </c>
      <c r="N2066" s="401"/>
    </row>
    <row r="2067" spans="2:14" s="160" customFormat="1" ht="12.75" hidden="1" customHeight="1" outlineLevel="1">
      <c r="B2067" s="674" t="str">
        <f>'S-A FGD'!$B$2</f>
        <v>The University of Texas at San Antonio</v>
      </c>
      <c r="D2067" s="390">
        <f>'S-A FGD'!$D$77</f>
        <v>-16641000</v>
      </c>
      <c r="E2067" s="390">
        <f>'S-A FGD'!$E$77</f>
        <v>-1604870</v>
      </c>
      <c r="F2067" s="390">
        <f>'S-A FGD'!$F$77</f>
        <v>-9205820</v>
      </c>
      <c r="G2067" s="390">
        <f>'S-A FGD'!$G$77</f>
        <v>0</v>
      </c>
      <c r="H2067" s="390">
        <f>'S-A FGD'!$H$77</f>
        <v>0</v>
      </c>
      <c r="I2067" s="390">
        <f>'S-A FGD'!$I$77</f>
        <v>0</v>
      </c>
      <c r="J2067" s="390">
        <f>'S-A FGD'!$J$77</f>
        <v>0</v>
      </c>
      <c r="K2067" s="390">
        <f>'S-A FGD'!$K$77</f>
        <v>0</v>
      </c>
      <c r="L2067" s="390">
        <f>'S-A FGD'!$L$77</f>
        <v>0</v>
      </c>
      <c r="M2067" s="390">
        <f>'S-A FGD'!$M$77</f>
        <v>-27451690</v>
      </c>
      <c r="N2067" s="401"/>
    </row>
    <row r="2068" spans="2:14" s="160" customFormat="1" ht="12.75" hidden="1" customHeight="1" outlineLevel="1">
      <c r="B2068" s="674" t="str">
        <f>'SFA FGD'!$B$2</f>
        <v>Stephen F. Austin State University</v>
      </c>
      <c r="D2068" s="390">
        <f>'SFA FGD'!$D$77</f>
        <v>0</v>
      </c>
      <c r="E2068" s="390">
        <f>'SFA FGD'!$E$77</f>
        <v>0</v>
      </c>
      <c r="F2068" s="390">
        <f>'SFA FGD'!$F$77</f>
        <v>-62086</v>
      </c>
      <c r="G2068" s="390">
        <f>'SFA FGD'!$G$77</f>
        <v>0</v>
      </c>
      <c r="H2068" s="390">
        <f>'SFA FGD'!$H$77</f>
        <v>0</v>
      </c>
      <c r="I2068" s="390">
        <f>'SFA FGD'!$I$77</f>
        <v>0</v>
      </c>
      <c r="J2068" s="390">
        <f>'SFA FGD'!$J$77</f>
        <v>0</v>
      </c>
      <c r="K2068" s="390">
        <f>'SFA FGD'!$K$77</f>
        <v>-8927792</v>
      </c>
      <c r="L2068" s="390">
        <f>'SFA FGD'!$L$77</f>
        <v>0</v>
      </c>
      <c r="M2068" s="390">
        <f>'SFA FGD'!$M$77</f>
        <v>-8989878</v>
      </c>
      <c r="N2068" s="401"/>
    </row>
    <row r="2069" spans="2:14" s="160" customFormat="1" ht="12.75" hidden="1" customHeight="1" outlineLevel="1">
      <c r="B2069" s="674" t="str">
        <f>'shsu1 FGD'!$B$2</f>
        <v>Sam Houston State University - Academic &amp; Health (A+H)</v>
      </c>
      <c r="D2069" s="390">
        <f>'shsu1 FGD'!$D$77</f>
        <v>0</v>
      </c>
      <c r="E2069" s="390">
        <f>'shsu1 FGD'!$E$77</f>
        <v>0</v>
      </c>
      <c r="F2069" s="390">
        <f>'shsu1 FGD'!$F$77</f>
        <v>0</v>
      </c>
      <c r="G2069" s="390">
        <f>'shsu1 FGD'!$G$77</f>
        <v>0</v>
      </c>
      <c r="H2069" s="390">
        <f>'shsu1 FGD'!$H$77</f>
        <v>0</v>
      </c>
      <c r="I2069" s="390">
        <f>'shsu1 FGD'!$I$77</f>
        <v>0</v>
      </c>
      <c r="J2069" s="390">
        <f>'shsu1 FGD'!$J$77</f>
        <v>0</v>
      </c>
      <c r="K2069" s="390">
        <f>'shsu1 FGD'!$K$77</f>
        <v>0</v>
      </c>
      <c r="L2069" s="390">
        <f>'shsu1 FGD'!$L$77</f>
        <v>0</v>
      </c>
      <c r="M2069" s="390">
        <f>'shsu1 FGD'!$M$77</f>
        <v>0</v>
      </c>
      <c r="N2069" s="401"/>
    </row>
    <row r="2070" spans="2:14" s="160" customFormat="1" ht="12.75" hidden="1" customHeight="1" outlineLevel="1">
      <c r="B2070" s="674" t="str">
        <f>'SRSU FGD'!$B$2</f>
        <v>Sul Ross State University</v>
      </c>
      <c r="D2070" s="390">
        <f>'SRSU FGD'!$D$77</f>
        <v>0</v>
      </c>
      <c r="E2070" s="390">
        <f>'SRSU FGD'!$E$77</f>
        <v>0</v>
      </c>
      <c r="F2070" s="390">
        <f>'SRSU FGD'!$F$77</f>
        <v>0</v>
      </c>
      <c r="G2070" s="390">
        <f>'SRSU FGD'!$G$77</f>
        <v>0</v>
      </c>
      <c r="H2070" s="390">
        <f>'SRSU FGD'!$H$77</f>
        <v>0</v>
      </c>
      <c r="I2070" s="390">
        <f>'SRSU FGD'!$I$77</f>
        <v>0</v>
      </c>
      <c r="J2070" s="390">
        <f>'SRSU FGD'!$J$77</f>
        <v>0</v>
      </c>
      <c r="K2070" s="390">
        <f>'SRSU FGD'!$K$77</f>
        <v>0</v>
      </c>
      <c r="L2070" s="390">
        <f>'SRSU FGD'!$L$77</f>
        <v>0</v>
      </c>
      <c r="M2070" s="390">
        <f>'SRSU FGD'!$M$77</f>
        <v>0</v>
      </c>
      <c r="N2070" s="401"/>
    </row>
    <row r="2071" spans="2:14" s="160" customFormat="1" ht="12.75" hidden="1" customHeight="1" outlineLevel="1">
      <c r="B2071" s="674" t="str">
        <f>'TAMIU FGD'!$B$2</f>
        <v>Texas A&amp;M International University</v>
      </c>
      <c r="D2071" s="390">
        <f>'TAMIU FGD'!$D$77</f>
        <v>-8575585</v>
      </c>
      <c r="E2071" s="390">
        <f>'TAMIU FGD'!$E$77</f>
        <v>-403358</v>
      </c>
      <c r="F2071" s="390">
        <f>'TAMIU FGD'!$F$77</f>
        <v>-1921255</v>
      </c>
      <c r="G2071" s="390">
        <f>'TAMIU FGD'!$G$77</f>
        <v>0</v>
      </c>
      <c r="H2071" s="390">
        <f>'TAMIU FGD'!$H$77</f>
        <v>0</v>
      </c>
      <c r="I2071" s="390">
        <f>'TAMIU FGD'!$I$77</f>
        <v>0</v>
      </c>
      <c r="J2071" s="390">
        <f>'TAMIU FGD'!$J$77</f>
        <v>0</v>
      </c>
      <c r="K2071" s="390">
        <f>'TAMIU FGD'!$K$77</f>
        <v>0</v>
      </c>
      <c r="L2071" s="390">
        <f>'TAMIU FGD'!$L$77</f>
        <v>0</v>
      </c>
      <c r="M2071" s="390">
        <f>'TAMIU FGD'!$M$77</f>
        <v>-10900198</v>
      </c>
      <c r="N2071" s="401"/>
    </row>
    <row r="2072" spans="2:14" s="160" customFormat="1" ht="12.75" hidden="1" customHeight="1" outlineLevel="1">
      <c r="B2072" s="674" t="str">
        <f>'TAMU FGD'!$B$2</f>
        <v>Texas A&amp;M University</v>
      </c>
      <c r="D2072" s="390">
        <f>'TAMU FGD'!$D$77</f>
        <v>-8267586</v>
      </c>
      <c r="E2072" s="390">
        <f>'TAMU FGD'!$E$77</f>
        <v>-25813650</v>
      </c>
      <c r="F2072" s="390">
        <f>'TAMU FGD'!$F$77</f>
        <v>-62154887</v>
      </c>
      <c r="G2072" s="390">
        <f>'TAMU FGD'!$G$77</f>
        <v>-7363854</v>
      </c>
      <c r="H2072" s="390">
        <f>'TAMU FGD'!$H$77</f>
        <v>0</v>
      </c>
      <c r="I2072" s="390">
        <f>'TAMU FGD'!$I$77</f>
        <v>0</v>
      </c>
      <c r="J2072" s="390">
        <f>'TAMU FGD'!$J$77</f>
        <v>-15230483</v>
      </c>
      <c r="K2072" s="390">
        <f>'TAMU FGD'!$K$77</f>
        <v>0</v>
      </c>
      <c r="L2072" s="390">
        <f>'TAMU FGD'!$L$77</f>
        <v>0</v>
      </c>
      <c r="M2072" s="390">
        <f>'TAMU FGD'!$M$77</f>
        <v>-118830460</v>
      </c>
      <c r="N2072" s="401"/>
    </row>
    <row r="2073" spans="2:14" s="160" customFormat="1" ht="12.75" hidden="1" customHeight="1" outlineLevel="1">
      <c r="B2073" s="674" t="str">
        <f>'TAMUC FGD'!$B$2</f>
        <v>Texas A&amp;M University - Commerce</v>
      </c>
      <c r="D2073" s="390">
        <f>'TAMUC FGD'!$D$77</f>
        <v>-5818983</v>
      </c>
      <c r="E2073" s="390">
        <f>'TAMUC FGD'!$E$77</f>
        <v>-708462</v>
      </c>
      <c r="F2073" s="390">
        <f>'TAMUC FGD'!$F$77</f>
        <v>-6233138</v>
      </c>
      <c r="G2073" s="390">
        <f>'TAMUC FGD'!$G$77</f>
        <v>0</v>
      </c>
      <c r="H2073" s="390">
        <f>'TAMUC FGD'!$H$77</f>
        <v>0</v>
      </c>
      <c r="I2073" s="390">
        <f>'TAMUC FGD'!$I$77</f>
        <v>0</v>
      </c>
      <c r="J2073" s="390">
        <f>'TAMUC FGD'!$J$77</f>
        <v>0</v>
      </c>
      <c r="K2073" s="390">
        <f>'TAMUC FGD'!$K$77</f>
        <v>0</v>
      </c>
      <c r="L2073" s="390">
        <f>'TAMUC FGD'!$L$77</f>
        <v>0</v>
      </c>
      <c r="M2073" s="390">
        <f>'TAMUC FGD'!$M$77</f>
        <v>-12760583</v>
      </c>
      <c r="N2073" s="401"/>
    </row>
    <row r="2074" spans="2:14" s="160" customFormat="1" ht="12.75" hidden="1" customHeight="1" outlineLevel="1">
      <c r="B2074" s="674" t="str">
        <f>'TAMUCC FGD'!$B$2</f>
        <v>Texas A&amp;M University - Corpus Christi</v>
      </c>
      <c r="D2074" s="390">
        <f>'TAMUCC FGD'!$D$77</f>
        <v>-11730997</v>
      </c>
      <c r="E2074" s="390">
        <f>'TAMUCC FGD'!$E$77</f>
        <v>-659016</v>
      </c>
      <c r="F2074" s="390">
        <f>'TAMUCC FGD'!$F$77</f>
        <v>-4593760</v>
      </c>
      <c r="G2074" s="390">
        <f>'TAMUCC FGD'!$G$77</f>
        <v>0</v>
      </c>
      <c r="H2074" s="390">
        <f>'TAMUCC FGD'!$H$77</f>
        <v>0</v>
      </c>
      <c r="I2074" s="390">
        <f>'TAMUCC FGD'!$I$77</f>
        <v>0</v>
      </c>
      <c r="J2074" s="390">
        <f>'TAMUCC FGD'!$J$77</f>
        <v>0</v>
      </c>
      <c r="K2074" s="390">
        <f>'TAMUCC FGD'!$K$77</f>
        <v>0</v>
      </c>
      <c r="L2074" s="390">
        <f>'TAMUCC FGD'!$L$77</f>
        <v>0</v>
      </c>
      <c r="M2074" s="390">
        <f>'TAMUCC FGD'!$M$77</f>
        <v>-16983773</v>
      </c>
      <c r="N2074" s="401"/>
    </row>
    <row r="2075" spans="2:14" s="160" customFormat="1" ht="12.75" hidden="1" customHeight="1" outlineLevel="1">
      <c r="B2075" s="674" t="str">
        <f>'TAMUCT FGD'!$B$2</f>
        <v>Texas A&amp;M University - Central Texas</v>
      </c>
      <c r="D2075" s="390">
        <f>'TAMUCT FGD'!$D$77</f>
        <v>-4539061</v>
      </c>
      <c r="E2075" s="390">
        <f>'TAMUCT FGD'!$E$77</f>
        <v>0</v>
      </c>
      <c r="F2075" s="390">
        <f>'TAMUCT FGD'!$F$77</f>
        <v>0</v>
      </c>
      <c r="G2075" s="390">
        <f>'TAMUCT FGD'!$G$77</f>
        <v>0</v>
      </c>
      <c r="H2075" s="390">
        <f>'TAMUCT FGD'!$H$77</f>
        <v>0</v>
      </c>
      <c r="I2075" s="390">
        <f>'TAMUCT FGD'!$I$77</f>
        <v>0</v>
      </c>
      <c r="J2075" s="390">
        <f>'TAMUCT FGD'!$J$77</f>
        <v>0</v>
      </c>
      <c r="K2075" s="390">
        <f>'TAMUCT FGD'!$K$77</f>
        <v>0</v>
      </c>
      <c r="L2075" s="390">
        <f>'TAMUCT FGD'!$L$77</f>
        <v>0</v>
      </c>
      <c r="M2075" s="390">
        <f>'TAMUCT FGD'!$M$77</f>
        <v>-4539061</v>
      </c>
      <c r="N2075" s="401"/>
    </row>
    <row r="2076" spans="2:14" s="160" customFormat="1" ht="12.75" hidden="1" customHeight="1" outlineLevel="1">
      <c r="B2076" s="674" t="str">
        <f>'TAMUG FGD'!$B$2</f>
        <v>Texas A&amp;M University at Galveston</v>
      </c>
      <c r="D2076" s="390">
        <f>'TAMUG FGD'!$D$77</f>
        <v>-8264142</v>
      </c>
      <c r="E2076" s="390">
        <f>'TAMUG FGD'!$E$77</f>
        <v>-742480</v>
      </c>
      <c r="F2076" s="390">
        <f>'TAMUG FGD'!$F$77</f>
        <v>-1687212</v>
      </c>
      <c r="G2076" s="390">
        <f>'TAMUG FGD'!$G$77</f>
        <v>0</v>
      </c>
      <c r="H2076" s="390">
        <f>'TAMUG FGD'!$H$77</f>
        <v>0</v>
      </c>
      <c r="I2076" s="390">
        <f>'TAMUG FGD'!$I$77</f>
        <v>0</v>
      </c>
      <c r="J2076" s="390">
        <f>'TAMUG FGD'!$J$77</f>
        <v>0</v>
      </c>
      <c r="K2076" s="390">
        <f>'TAMUG FGD'!$K$77</f>
        <v>0</v>
      </c>
      <c r="L2076" s="390">
        <f>'TAMUG FGD'!$L$77</f>
        <v>0</v>
      </c>
      <c r="M2076" s="390">
        <f>'TAMUG FGD'!$M$77</f>
        <v>-10693834</v>
      </c>
      <c r="N2076" s="401"/>
    </row>
    <row r="2077" spans="2:14" s="160" customFormat="1" ht="12.75" hidden="1" customHeight="1" outlineLevel="1">
      <c r="B2077" s="674" t="str">
        <f>'TAMUK FGD'!$B$2</f>
        <v>Texas A&amp;M University - Kingsville</v>
      </c>
      <c r="D2077" s="390">
        <f>'TAMUK FGD'!$D$77</f>
        <v>-8004990</v>
      </c>
      <c r="E2077" s="390">
        <f>'TAMUK FGD'!$E$77</f>
        <v>-284536</v>
      </c>
      <c r="F2077" s="390">
        <f>'TAMUK FGD'!$F$77</f>
        <v>-5381502</v>
      </c>
      <c r="G2077" s="390">
        <f>'TAMUK FGD'!$G$77</f>
        <v>0</v>
      </c>
      <c r="H2077" s="390">
        <f>'TAMUK FGD'!$H$77</f>
        <v>0</v>
      </c>
      <c r="I2077" s="390">
        <f>'TAMUK FGD'!$I$77</f>
        <v>0</v>
      </c>
      <c r="J2077" s="390">
        <f>'TAMUK FGD'!$J$77</f>
        <v>0</v>
      </c>
      <c r="K2077" s="390">
        <f>'TAMUK FGD'!$K$77</f>
        <v>0</v>
      </c>
      <c r="L2077" s="390">
        <f>'TAMUK FGD'!$L$77</f>
        <v>0</v>
      </c>
      <c r="M2077" s="390">
        <f>'TAMUK FGD'!$M$77</f>
        <v>-13671028</v>
      </c>
      <c r="N2077" s="401"/>
    </row>
    <row r="2078" spans="2:14" s="160" customFormat="1" ht="12.75" hidden="1" customHeight="1" outlineLevel="1">
      <c r="B2078" s="674" t="str">
        <f>'TAMUSA FGD'!$B$2</f>
        <v>Texas A&amp;M University - San Antonio</v>
      </c>
      <c r="D2078" s="390">
        <f>'TAMUSA FGD'!$D$77</f>
        <v>-7690641</v>
      </c>
      <c r="E2078" s="390">
        <f>'TAMUSA FGD'!$E$77</f>
        <v>-1191</v>
      </c>
      <c r="F2078" s="390">
        <f>'TAMUSA FGD'!$F$77</f>
        <v>-305203</v>
      </c>
      <c r="G2078" s="390">
        <f>'TAMUSA FGD'!$G$77</f>
        <v>0</v>
      </c>
      <c r="H2078" s="390">
        <f>'TAMUSA FGD'!$H$77</f>
        <v>0</v>
      </c>
      <c r="I2078" s="390">
        <f>'TAMUSA FGD'!$I$77</f>
        <v>0</v>
      </c>
      <c r="J2078" s="390">
        <f>'TAMUSA FGD'!$J$77</f>
        <v>0</v>
      </c>
      <c r="K2078" s="390">
        <f>'TAMUSA FGD'!$K$77</f>
        <v>0</v>
      </c>
      <c r="L2078" s="390">
        <f>'TAMUSA FGD'!$L$77</f>
        <v>0</v>
      </c>
      <c r="M2078" s="390">
        <f>'TAMUSA FGD'!$M$77</f>
        <v>-7997035</v>
      </c>
      <c r="N2078" s="401"/>
    </row>
    <row r="2079" spans="2:14" s="160" customFormat="1" ht="12.75" hidden="1" customHeight="1" outlineLevel="1">
      <c r="B2079" s="674" t="str">
        <f>'TAMUT FGD'!$B$2</f>
        <v>Texas A&amp;M University - Texarkana</v>
      </c>
      <c r="D2079" s="390">
        <f>'TAMUT FGD'!$D$77</f>
        <v>-7676599</v>
      </c>
      <c r="E2079" s="390">
        <f>'TAMUT FGD'!$E$77</f>
        <v>0</v>
      </c>
      <c r="F2079" s="390">
        <f>'TAMUT FGD'!$F$77</f>
        <v>-958150</v>
      </c>
      <c r="G2079" s="390">
        <f>'TAMUT FGD'!$G$77</f>
        <v>0</v>
      </c>
      <c r="H2079" s="390">
        <f>'TAMUT FGD'!$H$77</f>
        <v>0</v>
      </c>
      <c r="I2079" s="390">
        <f>'TAMUT FGD'!$I$77</f>
        <v>0</v>
      </c>
      <c r="J2079" s="390">
        <f>'TAMUT FGD'!$J$77</f>
        <v>0</v>
      </c>
      <c r="K2079" s="390">
        <f>'TAMUT FGD'!$K$77</f>
        <v>0</v>
      </c>
      <c r="L2079" s="390">
        <f>'TAMUT FGD'!$L$77</f>
        <v>0</v>
      </c>
      <c r="M2079" s="390">
        <f>'TAMUT FGD'!$M$77</f>
        <v>-8634749</v>
      </c>
      <c r="N2079" s="401"/>
    </row>
    <row r="2080" spans="2:14" s="160" customFormat="1" ht="12.75" hidden="1" customHeight="1" outlineLevel="1">
      <c r="B2080" s="674" t="str">
        <f>'TARLST FGD'!$B$2</f>
        <v>Tarleton State University</v>
      </c>
      <c r="D2080" s="390">
        <f>'TARLST FGD'!$D$77</f>
        <v>-10730763</v>
      </c>
      <c r="E2080" s="390">
        <f>'TARLST FGD'!$E$77</f>
        <v>-1249579</v>
      </c>
      <c r="F2080" s="390">
        <f>'TARLST FGD'!$F$77</f>
        <v>-13703188</v>
      </c>
      <c r="G2080" s="390">
        <f>'TARLST FGD'!$G$77</f>
        <v>-1200193</v>
      </c>
      <c r="H2080" s="390">
        <f>'TARLST FGD'!$H$77</f>
        <v>0</v>
      </c>
      <c r="I2080" s="390">
        <f>'TARLST FGD'!$I$77</f>
        <v>0</v>
      </c>
      <c r="J2080" s="390">
        <f>'TARLST FGD'!$J$77</f>
        <v>0</v>
      </c>
      <c r="K2080" s="390">
        <f>'TARLST FGD'!$K$77</f>
        <v>0</v>
      </c>
      <c r="L2080" s="390">
        <f>'TARLST FGD'!$L$77</f>
        <v>0</v>
      </c>
      <c r="M2080" s="390">
        <f>'TARLST FGD'!$M$77</f>
        <v>-26883723</v>
      </c>
      <c r="N2080" s="401"/>
    </row>
    <row r="2081" spans="2:14" s="160" customFormat="1" ht="12.75" hidden="1" customHeight="1" outlineLevel="1">
      <c r="B2081" s="674" t="str">
        <f>'TSU FGD'!$B$2</f>
        <v>Texas Southern University</v>
      </c>
      <c r="D2081" s="390">
        <f>'TSU FGD'!$D$77</f>
        <v>-8700020</v>
      </c>
      <c r="E2081" s="390">
        <f>'TSU FGD'!$E$77</f>
        <v>-1361931</v>
      </c>
      <c r="F2081" s="390">
        <f>'TSU FGD'!$F$77</f>
        <v>-1745665</v>
      </c>
      <c r="G2081" s="390">
        <f>'TSU FGD'!$G$77</f>
        <v>0</v>
      </c>
      <c r="H2081" s="390">
        <f>'TSU FGD'!$H$77</f>
        <v>0</v>
      </c>
      <c r="I2081" s="390">
        <f>'TSU FGD'!$I$77</f>
        <v>0</v>
      </c>
      <c r="J2081" s="390">
        <f>'TSU FGD'!$J$77</f>
        <v>-2059502</v>
      </c>
      <c r="K2081" s="390">
        <f>'TSU FGD'!$K$77</f>
        <v>-1512902</v>
      </c>
      <c r="L2081" s="390">
        <f>'TSU FGD'!$L$77</f>
        <v>-523969</v>
      </c>
      <c r="M2081" s="390">
        <f>'TSU FGD'!$M$77</f>
        <v>-15903989</v>
      </c>
      <c r="N2081" s="401"/>
    </row>
    <row r="2082" spans="2:14" s="160" customFormat="1" ht="12.75" hidden="1" customHeight="1" outlineLevel="1">
      <c r="B2082" s="674" t="str">
        <f>'TTU FGD'!$B$2</f>
        <v>Texas Tech University</v>
      </c>
      <c r="D2082" s="390">
        <f>'TTU FGD'!$D$77</f>
        <v>-20649535</v>
      </c>
      <c r="E2082" s="390">
        <f>'TTU FGD'!$E$77</f>
        <v>-10654967</v>
      </c>
      <c r="F2082" s="390">
        <f>'TTU FGD'!$F$77</f>
        <v>-11597188</v>
      </c>
      <c r="G2082" s="390">
        <f>'TTU FGD'!$G$77</f>
        <v>0</v>
      </c>
      <c r="H2082" s="390">
        <f>'TTU FGD'!$H$77</f>
        <v>0</v>
      </c>
      <c r="I2082" s="390">
        <f>'TTU FGD'!$I$77</f>
        <v>0</v>
      </c>
      <c r="J2082" s="390">
        <f>'TTU FGD'!$J$77</f>
        <v>0</v>
      </c>
      <c r="K2082" s="390">
        <f>'TTU FGD'!$K$77</f>
        <v>-9445924</v>
      </c>
      <c r="L2082" s="390">
        <f>'TTU FGD'!$L$77</f>
        <v>0</v>
      </c>
      <c r="M2082" s="390">
        <f>'TTU FGD'!$M$77</f>
        <v>-52347614</v>
      </c>
      <c r="N2082" s="401"/>
    </row>
    <row r="2083" spans="2:14" s="160" customFormat="1" ht="12.75" hidden="1" customHeight="1" outlineLevel="1">
      <c r="B2083" s="674" t="str">
        <f>'TWU FGD'!$B$2</f>
        <v>Texas Woman's University</v>
      </c>
      <c r="D2083" s="390">
        <f>'TWU FGD'!$D$77</f>
        <v>0</v>
      </c>
      <c r="E2083" s="390">
        <f>'TWU FGD'!$E$77</f>
        <v>0</v>
      </c>
      <c r="F2083" s="390">
        <f>'TWU FGD'!$F$77</f>
        <v>0</v>
      </c>
      <c r="G2083" s="390">
        <f>'TWU FGD'!$G$77</f>
        <v>0</v>
      </c>
      <c r="H2083" s="390">
        <f>'TWU FGD'!$H$77</f>
        <v>0</v>
      </c>
      <c r="I2083" s="390">
        <f>'TWU FGD'!$I$77</f>
        <v>0</v>
      </c>
      <c r="J2083" s="390">
        <f>'TWU FGD'!$J$77</f>
        <v>0</v>
      </c>
      <c r="K2083" s="390">
        <f>'TWU FGD'!$K$77</f>
        <v>-15455033</v>
      </c>
      <c r="L2083" s="390">
        <f>'TWU FGD'!$L$77</f>
        <v>0</v>
      </c>
      <c r="M2083" s="390">
        <f>'TWU FGD'!$M$77</f>
        <v>-15455033</v>
      </c>
      <c r="N2083" s="401"/>
    </row>
    <row r="2084" spans="2:14" s="160" customFormat="1" ht="12.75" hidden="1" customHeight="1" outlineLevel="1">
      <c r="B2084" s="674" t="str">
        <f>'TXST FGD'!$B$2</f>
        <v>Texas State University</v>
      </c>
      <c r="D2084" s="390">
        <f>'TXST FGD'!$D$77</f>
        <v>-22343790</v>
      </c>
      <c r="E2084" s="390">
        <f>'TXST FGD'!$E$77</f>
        <v>-6893566</v>
      </c>
      <c r="F2084" s="390">
        <f>'TXST FGD'!$F$77</f>
        <v>-31093592</v>
      </c>
      <c r="G2084" s="390">
        <f>'TXST FGD'!$G$77</f>
        <v>0</v>
      </c>
      <c r="H2084" s="390">
        <f>'TXST FGD'!$H$77</f>
        <v>0</v>
      </c>
      <c r="I2084" s="390">
        <f>'TXST FGD'!$I$77</f>
        <v>0</v>
      </c>
      <c r="J2084" s="390">
        <f>'TXST FGD'!$J$77</f>
        <v>-137385</v>
      </c>
      <c r="K2084" s="390">
        <f>'TXST FGD'!$K$77</f>
        <v>0</v>
      </c>
      <c r="L2084" s="390">
        <f>'TXST FGD'!$L$77</f>
        <v>0</v>
      </c>
      <c r="M2084" s="390">
        <f>'TXST FGD'!$M$77</f>
        <v>-60468333</v>
      </c>
      <c r="N2084" s="401"/>
    </row>
    <row r="2085" spans="2:14" s="160" customFormat="1" ht="12.75" hidden="1" customHeight="1" outlineLevel="1">
      <c r="B2085" s="674" t="str">
        <f>'TYL FGD'!$B$2</f>
        <v>The University of Texas at Tyler</v>
      </c>
      <c r="D2085" s="390">
        <f>'TYL FGD'!$D$77</f>
        <v>-9869900</v>
      </c>
      <c r="E2085" s="390">
        <f>'TYL FGD'!$E$77</f>
        <v>-737599</v>
      </c>
      <c r="F2085" s="390">
        <f>'TYL FGD'!$F$77</f>
        <v>-2360915</v>
      </c>
      <c r="G2085" s="390">
        <f>'TYL FGD'!$G$77</f>
        <v>0</v>
      </c>
      <c r="H2085" s="390">
        <f>'TYL FGD'!$H$77</f>
        <v>0</v>
      </c>
      <c r="I2085" s="390">
        <f>'TYL FGD'!$I$77</f>
        <v>0</v>
      </c>
      <c r="J2085" s="390">
        <f>'TYL FGD'!$J$77</f>
        <v>0</v>
      </c>
      <c r="K2085" s="390">
        <f>'TYL FGD'!$K$77</f>
        <v>0</v>
      </c>
      <c r="L2085" s="390">
        <f>'TYL FGD'!$L$77</f>
        <v>0</v>
      </c>
      <c r="M2085" s="390">
        <f>'TYL FGD'!$M$77</f>
        <v>-12968414</v>
      </c>
      <c r="N2085" s="401"/>
    </row>
    <row r="2086" spans="2:14" s="160" customFormat="1" ht="12.75" hidden="1" customHeight="1" outlineLevel="1">
      <c r="B2086" s="674" t="str">
        <f>'UH1 FGD'!$B$2</f>
        <v>University of Houston - Academic &amp; Health (A+H)</v>
      </c>
      <c r="D2086" s="390">
        <f>'UH1 FGD'!$D$77</f>
        <v>0</v>
      </c>
      <c r="E2086" s="390">
        <f>'UH1 FGD'!$E$77</f>
        <v>0</v>
      </c>
      <c r="F2086" s="390">
        <f>'UH1 FGD'!$F$77</f>
        <v>0</v>
      </c>
      <c r="G2086" s="390">
        <f>'UH1 FGD'!$G$77</f>
        <v>0</v>
      </c>
      <c r="H2086" s="390">
        <f>'UH1 FGD'!$H$77</f>
        <v>0</v>
      </c>
      <c r="I2086" s="390">
        <f>'UH1 FGD'!$I$77</f>
        <v>0</v>
      </c>
      <c r="J2086" s="390">
        <f>'UH1 FGD'!$J$77</f>
        <v>0</v>
      </c>
      <c r="K2086" s="390">
        <f>'UH1 FGD'!$K$77</f>
        <v>-145875990</v>
      </c>
      <c r="L2086" s="390">
        <f>'UH1 FGD'!$L$77</f>
        <v>0</v>
      </c>
      <c r="M2086" s="390">
        <f>'UH1 FGD'!$M$77</f>
        <v>-145875990</v>
      </c>
      <c r="N2086" s="401"/>
    </row>
    <row r="2087" spans="2:14" s="160" customFormat="1" ht="12.75" hidden="1" customHeight="1" outlineLevel="1">
      <c r="B2087" s="674" t="str">
        <f>'UHCL FGD'!$B$2</f>
        <v>University of Houston - Clear Lake</v>
      </c>
      <c r="D2087" s="390">
        <f>'UHCL FGD'!$D$77</f>
        <v>0</v>
      </c>
      <c r="E2087" s="390">
        <f>'UHCL FGD'!$E$77</f>
        <v>0</v>
      </c>
      <c r="F2087" s="390">
        <f>'UHCL FGD'!$F$77</f>
        <v>0</v>
      </c>
      <c r="G2087" s="390">
        <f>'UHCL FGD'!$G$77</f>
        <v>0</v>
      </c>
      <c r="H2087" s="390">
        <f>'UHCL FGD'!$H$77</f>
        <v>0</v>
      </c>
      <c r="I2087" s="390">
        <f>'UHCL FGD'!$I$77</f>
        <v>0</v>
      </c>
      <c r="J2087" s="390">
        <f>'UHCL FGD'!$J$77</f>
        <v>0</v>
      </c>
      <c r="K2087" s="390">
        <f>'UHCL FGD'!$K$77</f>
        <v>-5349465</v>
      </c>
      <c r="L2087" s="390">
        <f>'UHCL FGD'!$L$77</f>
        <v>0</v>
      </c>
      <c r="M2087" s="390">
        <f>'UHCL FGD'!$M$77</f>
        <v>-5349465</v>
      </c>
      <c r="N2087" s="401"/>
    </row>
    <row r="2088" spans="2:14" s="160" customFormat="1" ht="12.75" hidden="1" customHeight="1" outlineLevel="1">
      <c r="B2088" s="674" t="str">
        <f>'UHD FGD'!$B$2</f>
        <v>University of Houston - Downtown</v>
      </c>
      <c r="D2088" s="390">
        <f>'UHD FGD'!$D$77</f>
        <v>0</v>
      </c>
      <c r="E2088" s="390">
        <f>'UHD FGD'!$E$77</f>
        <v>0</v>
      </c>
      <c r="F2088" s="390">
        <f>'UHD FGD'!$F$77</f>
        <v>0</v>
      </c>
      <c r="G2088" s="390">
        <f>'UHD FGD'!$G$77</f>
        <v>0</v>
      </c>
      <c r="H2088" s="390">
        <f>'UHD FGD'!$H$77</f>
        <v>0</v>
      </c>
      <c r="I2088" s="390">
        <f>'UHD FGD'!$I$77</f>
        <v>0</v>
      </c>
      <c r="J2088" s="390">
        <f>'UHD FGD'!$J$77</f>
        <v>0</v>
      </c>
      <c r="K2088" s="390">
        <f>'UHD FGD'!$K$77</f>
        <v>-12894562</v>
      </c>
      <c r="L2088" s="390">
        <f>'UHD FGD'!$L$77</f>
        <v>0</v>
      </c>
      <c r="M2088" s="390">
        <f>'UHD FGD'!$M$77</f>
        <v>-12894562</v>
      </c>
      <c r="N2088" s="401"/>
    </row>
    <row r="2089" spans="2:14" s="160" customFormat="1" ht="12.75" hidden="1" customHeight="1" outlineLevel="1">
      <c r="B2089" s="674" t="str">
        <f>'UHV FGD'!$B$2</f>
        <v>University of Houston - Victoria</v>
      </c>
      <c r="D2089" s="390">
        <f>'UHV FGD'!$D$77</f>
        <v>0</v>
      </c>
      <c r="E2089" s="390">
        <f>'UHV FGD'!$E$77</f>
        <v>0</v>
      </c>
      <c r="F2089" s="390">
        <f>'UHV FGD'!$F$77</f>
        <v>0</v>
      </c>
      <c r="G2089" s="390">
        <f>'UHV FGD'!$G$77</f>
        <v>0</v>
      </c>
      <c r="H2089" s="390">
        <f>'UHV FGD'!$H$77</f>
        <v>0</v>
      </c>
      <c r="I2089" s="390">
        <f>'UHV FGD'!$I$77</f>
        <v>0</v>
      </c>
      <c r="J2089" s="390">
        <f>'UHV FGD'!$J$77</f>
        <v>0</v>
      </c>
      <c r="K2089" s="390">
        <f>'UHV FGD'!$K$77</f>
        <v>-7706264</v>
      </c>
      <c r="L2089" s="390">
        <f>'UHV FGD'!$L$77</f>
        <v>0</v>
      </c>
      <c r="M2089" s="390">
        <f>'UHV FGD'!$M$77</f>
        <v>-7706264</v>
      </c>
      <c r="N2089" s="401"/>
    </row>
    <row r="2090" spans="2:14" s="160" customFormat="1" ht="12.75" hidden="1" customHeight="1" outlineLevel="1">
      <c r="B2090" s="674" t="str">
        <f>'UNT FGD'!$B$2</f>
        <v>University of North Texas</v>
      </c>
      <c r="D2090" s="390">
        <f>'UNT FGD'!$D$77</f>
        <v>0</v>
      </c>
      <c r="E2090" s="390">
        <f>'UNT FGD'!$E$77</f>
        <v>-1662</v>
      </c>
      <c r="F2090" s="390">
        <f>'UNT FGD'!$F$77</f>
        <v>0</v>
      </c>
      <c r="G2090" s="390">
        <f>'UNT FGD'!$G$77</f>
        <v>0</v>
      </c>
      <c r="H2090" s="390">
        <f>'UNT FGD'!$H$77</f>
        <v>0</v>
      </c>
      <c r="I2090" s="390">
        <f>'UNT FGD'!$I$77</f>
        <v>0</v>
      </c>
      <c r="J2090" s="390">
        <f>'UNT FGD'!$J$77</f>
        <v>0</v>
      </c>
      <c r="K2090" s="390">
        <f>'UNT FGD'!$K$77</f>
        <v>-15843</v>
      </c>
      <c r="L2090" s="390">
        <f>'UNT FGD'!$L$77</f>
        <v>0</v>
      </c>
      <c r="M2090" s="390">
        <f>'UNT FGD'!$M$77</f>
        <v>-17505</v>
      </c>
      <c r="N2090" s="401"/>
    </row>
    <row r="2091" spans="2:14" s="160" customFormat="1" ht="12.75" hidden="1" customHeight="1" outlineLevel="1">
      <c r="B2091" s="674" t="str">
        <f>'UNTD FGD'!$B$2</f>
        <v>University of North Texas at Dallas</v>
      </c>
      <c r="D2091" s="390">
        <f>'UNTD FGD'!$D$77</f>
        <v>0</v>
      </c>
      <c r="E2091" s="390">
        <f>'UNTD FGD'!$E$77</f>
        <v>0</v>
      </c>
      <c r="F2091" s="390">
        <f>'UNTD FGD'!$F$77</f>
        <v>0</v>
      </c>
      <c r="G2091" s="390">
        <f>'UNTD FGD'!$G$77</f>
        <v>0</v>
      </c>
      <c r="H2091" s="390">
        <f>'UNTD FGD'!$H$77</f>
        <v>0</v>
      </c>
      <c r="I2091" s="390">
        <f>'UNTD FGD'!$I$77</f>
        <v>0</v>
      </c>
      <c r="J2091" s="390">
        <f>'UNTD FGD'!$J$77</f>
        <v>0</v>
      </c>
      <c r="K2091" s="390">
        <f>'UNTD FGD'!$K$77</f>
        <v>0</v>
      </c>
      <c r="L2091" s="390">
        <f>'UNTD FGD'!$L$77</f>
        <v>0</v>
      </c>
      <c r="M2091" s="390">
        <f>'UNTD FGD'!$M$77</f>
        <v>0</v>
      </c>
      <c r="N2091" s="401"/>
    </row>
    <row r="2092" spans="2:14" s="160" customFormat="1" ht="12.75" hidden="1" customHeight="1" outlineLevel="1">
      <c r="B2092" s="674" t="str">
        <f>'WTAMU FGD'!$B$2</f>
        <v>West Texas A&amp;M University</v>
      </c>
      <c r="D2092" s="390">
        <f>'WTAMU FGD'!$D$77</f>
        <v>-9033668</v>
      </c>
      <c r="E2092" s="390">
        <f>'WTAMU FGD'!$E$77</f>
        <v>-380443</v>
      </c>
      <c r="F2092" s="390">
        <f>'WTAMU FGD'!$F$77</f>
        <v>-6748720</v>
      </c>
      <c r="G2092" s="390">
        <f>'WTAMU FGD'!$G$77</f>
        <v>0</v>
      </c>
      <c r="H2092" s="390">
        <f>'WTAMU FGD'!$H$77</f>
        <v>0</v>
      </c>
      <c r="I2092" s="390">
        <f>'WTAMU FGD'!$I$77</f>
        <v>0</v>
      </c>
      <c r="J2092" s="390">
        <f>'WTAMU FGD'!$J$77</f>
        <v>0</v>
      </c>
      <c r="K2092" s="390">
        <f>'WTAMU FGD'!$K$77</f>
        <v>0</v>
      </c>
      <c r="L2092" s="390">
        <f>'WTAMU FGD'!$L$77</f>
        <v>0</v>
      </c>
      <c r="M2092" s="390">
        <f>'WTAMU FGD'!$M$77</f>
        <v>-16162831</v>
      </c>
      <c r="N2092" s="401"/>
    </row>
    <row r="2093" spans="2:14" s="160" customFormat="1" collapsed="1">
      <c r="B2093" s="160" t="s">
        <v>46</v>
      </c>
      <c r="D2093" s="390">
        <f t="shared" ref="D2093:M2093" si="55">SUM(D2057:D2092)</f>
        <v>-279966312</v>
      </c>
      <c r="E2093" s="390">
        <f t="shared" si="55"/>
        <v>-104535564</v>
      </c>
      <c r="F2093" s="390">
        <f t="shared" si="55"/>
        <v>-238040729</v>
      </c>
      <c r="G2093" s="390">
        <f t="shared" si="55"/>
        <v>-18786732</v>
      </c>
      <c r="H2093" s="390">
        <f t="shared" si="55"/>
        <v>0</v>
      </c>
      <c r="I2093" s="390">
        <f t="shared" si="55"/>
        <v>0</v>
      </c>
      <c r="J2093" s="390">
        <f t="shared" si="55"/>
        <v>-19929769</v>
      </c>
      <c r="K2093" s="390">
        <f t="shared" si="55"/>
        <v>-218361828</v>
      </c>
      <c r="L2093" s="390">
        <f t="shared" si="55"/>
        <v>-523969</v>
      </c>
      <c r="M2093" s="390">
        <f t="shared" si="55"/>
        <v>-880144903</v>
      </c>
      <c r="N2093" s="401"/>
    </row>
    <row r="2094" spans="2:14" s="160" customFormat="1" ht="12.75" hidden="1" customHeight="1" outlineLevel="1">
      <c r="B2094" s="674" t="str">
        <f>'ARL FGD'!$B$2</f>
        <v>The University of Texas at Arlington</v>
      </c>
      <c r="D2094" s="390">
        <f>'ARL FGD'!$D$78</f>
        <v>1170005</v>
      </c>
      <c r="E2094" s="390">
        <f>'ARL FGD'!$E$78</f>
        <v>19680822</v>
      </c>
      <c r="F2094" s="390">
        <f>'ARL FGD'!$F$78</f>
        <v>2006898</v>
      </c>
      <c r="G2094" s="390">
        <f>'ARL FGD'!$G$78</f>
        <v>-50589446</v>
      </c>
      <c r="H2094" s="390">
        <f>'ARL FGD'!$H$78</f>
        <v>0</v>
      </c>
      <c r="I2094" s="390">
        <f>'ARL FGD'!$I$78</f>
        <v>866411</v>
      </c>
      <c r="J2094" s="390">
        <f>'ARL FGD'!$J$78</f>
        <v>11859783</v>
      </c>
      <c r="K2094" s="390">
        <f>'ARL FGD'!$K$78</f>
        <v>0</v>
      </c>
      <c r="L2094" s="390">
        <f>'ARL FGD'!$L$78</f>
        <v>4534</v>
      </c>
      <c r="M2094" s="390">
        <f>'ARL FGD'!$M$78</f>
        <v>-15000993</v>
      </c>
      <c r="N2094" s="401"/>
    </row>
    <row r="2095" spans="2:14" s="160" customFormat="1" ht="12.75" hidden="1" customHeight="1" outlineLevel="1">
      <c r="B2095" s="674" t="str">
        <f>'ASU FGD'!$B$2</f>
        <v>Angelo State University</v>
      </c>
      <c r="D2095" s="390">
        <f>'ASU FGD'!$D$78</f>
        <v>-8475666</v>
      </c>
      <c r="E2095" s="390">
        <f>'ASU FGD'!$E$78</f>
        <v>2698733</v>
      </c>
      <c r="F2095" s="390">
        <f>'ASU FGD'!$F$78</f>
        <v>-1614804</v>
      </c>
      <c r="G2095" s="390">
        <f>'ASU FGD'!$G$78</f>
        <v>-24646690</v>
      </c>
      <c r="H2095" s="390">
        <f>'ASU FGD'!$H$78</f>
        <v>52025</v>
      </c>
      <c r="I2095" s="390">
        <f>'ASU FGD'!$I$78</f>
        <v>-866688</v>
      </c>
      <c r="J2095" s="390">
        <f>'ASU FGD'!$J$78</f>
        <v>7633695</v>
      </c>
      <c r="K2095" s="390">
        <f>'ASU FGD'!$K$78</f>
        <v>0</v>
      </c>
      <c r="L2095" s="390">
        <f>'ASU FGD'!$L$78</f>
        <v>0</v>
      </c>
      <c r="M2095" s="390">
        <f>'ASU FGD'!$M$78</f>
        <v>-25219395</v>
      </c>
      <c r="N2095" s="401"/>
    </row>
    <row r="2096" spans="2:14" s="160" customFormat="1" ht="12.75" hidden="1" customHeight="1" outlineLevel="1">
      <c r="B2096" s="674" t="str">
        <f>'AUS1 FGD'!$B$2</f>
        <v>The University of Texas at Austin - Academic &amp; Health (A+H)</v>
      </c>
      <c r="D2096" s="390">
        <f>'AUS1 FGD'!$D$78</f>
        <v>-5578797</v>
      </c>
      <c r="E2096" s="390">
        <f>'AUS1 FGD'!$E$78</f>
        <v>-86703505</v>
      </c>
      <c r="F2096" s="390">
        <f>'AUS1 FGD'!$F$78</f>
        <v>-16276672</v>
      </c>
      <c r="G2096" s="390">
        <f>'AUS1 FGD'!$G$78</f>
        <v>-79080734</v>
      </c>
      <c r="H2096" s="390">
        <f>'AUS1 FGD'!$H$78</f>
        <v>-1538052</v>
      </c>
      <c r="I2096" s="390">
        <f>'AUS1 FGD'!$I$78</f>
        <v>20538508</v>
      </c>
      <c r="J2096" s="390">
        <f>'AUS1 FGD'!$J$78</f>
        <v>-42752220</v>
      </c>
      <c r="K2096" s="390">
        <f>'AUS1 FGD'!$K$78</f>
        <v>0</v>
      </c>
      <c r="L2096" s="390">
        <f>'AUS1 FGD'!$L$78</f>
        <v>-624251</v>
      </c>
      <c r="M2096" s="390">
        <f>'AUS1 FGD'!$M$78</f>
        <v>-212015723</v>
      </c>
      <c r="N2096" s="401"/>
    </row>
    <row r="2097" spans="2:14" s="160" customFormat="1" ht="12.75" hidden="1" customHeight="1" outlineLevel="1">
      <c r="B2097" s="674" t="str">
        <f>'RGV1 FGD'!$B$2</f>
        <v>The University of Texas RGV - Academic &amp; Health (A+H)</v>
      </c>
      <c r="D2097" s="390">
        <f>'RGV1 FGD'!$D$78</f>
        <v>-14984098</v>
      </c>
      <c r="E2097" s="390">
        <f>'RGV1 FGD'!$E$78</f>
        <v>19402183</v>
      </c>
      <c r="F2097" s="390">
        <f>'RGV1 FGD'!$F$78</f>
        <v>9494326</v>
      </c>
      <c r="G2097" s="390">
        <f>'RGV1 FGD'!$G$78</f>
        <v>-92463265</v>
      </c>
      <c r="H2097" s="390">
        <f>'RGV1 FGD'!$H$78</f>
        <v>753982</v>
      </c>
      <c r="I2097" s="390">
        <f>'RGV1 FGD'!$I$78</f>
        <v>40009940</v>
      </c>
      <c r="J2097" s="390">
        <f>'RGV1 FGD'!$J$78</f>
        <v>26283271</v>
      </c>
      <c r="K2097" s="390">
        <f>'RGV1 FGD'!$K$78</f>
        <v>0</v>
      </c>
      <c r="L2097" s="390">
        <f>'RGV1 FGD'!$L$78</f>
        <v>14395</v>
      </c>
      <c r="M2097" s="390">
        <f>'RGV1 FGD'!$M$78</f>
        <v>-11489266</v>
      </c>
      <c r="N2097" s="401"/>
    </row>
    <row r="2098" spans="2:14" s="160" customFormat="1" ht="12.75" hidden="1" customHeight="1" outlineLevel="1">
      <c r="B2098" s="674" t="str">
        <f>'DAL FGD'!$B$2</f>
        <v>The University of Texas at Dallas</v>
      </c>
      <c r="D2098" s="390">
        <f>'DAL FGD'!$D$78</f>
        <v>-6836974</v>
      </c>
      <c r="E2098" s="390">
        <f>'DAL FGD'!$E$78</f>
        <v>16818965</v>
      </c>
      <c r="F2098" s="390">
        <f>'DAL FGD'!$F$78</f>
        <v>1988865</v>
      </c>
      <c r="G2098" s="390">
        <f>'DAL FGD'!$G$78</f>
        <v>-56779452</v>
      </c>
      <c r="H2098" s="390">
        <f>'DAL FGD'!$H$78</f>
        <v>499530</v>
      </c>
      <c r="I2098" s="390">
        <f>'DAL FGD'!$I$78</f>
        <v>12006007</v>
      </c>
      <c r="J2098" s="390">
        <f>'DAL FGD'!$J$78</f>
        <v>-4403025</v>
      </c>
      <c r="K2098" s="390">
        <f>'DAL FGD'!$K$78</f>
        <v>0</v>
      </c>
      <c r="L2098" s="390">
        <f>'DAL FGD'!$L$78</f>
        <v>-1454827</v>
      </c>
      <c r="M2098" s="390">
        <f>'DAL FGD'!$M$78</f>
        <v>-38160911</v>
      </c>
      <c r="N2098" s="401"/>
    </row>
    <row r="2099" spans="2:14" s="160" customFormat="1" ht="12.75" hidden="1" customHeight="1" outlineLevel="1">
      <c r="B2099" s="674" t="str">
        <f>'E-P FGD'!$B$2</f>
        <v>The University of Texas at El Paso</v>
      </c>
      <c r="D2099" s="390">
        <f>'E-P FGD'!$D$78</f>
        <v>29509588</v>
      </c>
      <c r="E2099" s="390">
        <f>'E-P FGD'!$E$78</f>
        <v>-17538372</v>
      </c>
      <c r="F2099" s="390">
        <f>'E-P FGD'!$F$78</f>
        <v>19322976</v>
      </c>
      <c r="G2099" s="390">
        <f>'E-P FGD'!$G$78</f>
        <v>-56291756</v>
      </c>
      <c r="H2099" s="390">
        <f>'E-P FGD'!$H$78</f>
        <v>220260</v>
      </c>
      <c r="I2099" s="390">
        <f>'E-P FGD'!$I$78</f>
        <v>3378042</v>
      </c>
      <c r="J2099" s="390">
        <f>'E-P FGD'!$J$78</f>
        <v>5887946</v>
      </c>
      <c r="K2099" s="390">
        <f>'E-P FGD'!$K$78</f>
        <v>0</v>
      </c>
      <c r="L2099" s="390">
        <f>'E-P FGD'!$L$78</f>
        <v>0</v>
      </c>
      <c r="M2099" s="390">
        <f>'E-P FGD'!$M$78</f>
        <v>-15511316</v>
      </c>
      <c r="N2099" s="401"/>
    </row>
    <row r="2100" spans="2:14" s="160" customFormat="1" ht="12.75" hidden="1" customHeight="1" outlineLevel="1">
      <c r="B2100" s="674" t="str">
        <f>'LU FGD'!$B$2</f>
        <v xml:space="preserve">Lamar University </v>
      </c>
      <c r="D2100" s="390">
        <f>'LU FGD'!$D$78</f>
        <v>-4475142</v>
      </c>
      <c r="E2100" s="390">
        <f>'LU FGD'!$E$78</f>
        <v>-1832985</v>
      </c>
      <c r="F2100" s="390">
        <f>'LU FGD'!$F$78</f>
        <v>-9924963</v>
      </c>
      <c r="G2100" s="390">
        <f>'LU FGD'!$G$78</f>
        <v>0</v>
      </c>
      <c r="H2100" s="390">
        <f>'LU FGD'!$H$78</f>
        <v>0</v>
      </c>
      <c r="I2100" s="390">
        <f>'LU FGD'!$I$78</f>
        <v>0</v>
      </c>
      <c r="J2100" s="390">
        <f>'LU FGD'!$J$78</f>
        <v>-10149106</v>
      </c>
      <c r="K2100" s="390">
        <f>'LU FGD'!$K$78</f>
        <v>0</v>
      </c>
      <c r="L2100" s="390">
        <f>'LU FGD'!$L$78</f>
        <v>7454490</v>
      </c>
      <c r="M2100" s="390">
        <f>'LU FGD'!$M$78</f>
        <v>-18927706</v>
      </c>
      <c r="N2100" s="401"/>
    </row>
    <row r="2101" spans="2:14" s="160" customFormat="1" ht="12.75" hidden="1" customHeight="1" outlineLevel="1">
      <c r="B2101" s="674" t="str">
        <f>'MidWST FGD'!$B$2</f>
        <v>Midwestern State University</v>
      </c>
      <c r="D2101" s="390">
        <f>'MidWST FGD'!$D$78</f>
        <v>-7245416</v>
      </c>
      <c r="E2101" s="390">
        <f>'MidWST FGD'!$E$78</f>
        <v>6663901</v>
      </c>
      <c r="F2101" s="390">
        <f>'MidWST FGD'!$F$78</f>
        <v>-4283502</v>
      </c>
      <c r="G2101" s="390">
        <f>'MidWST FGD'!$G$78</f>
        <v>-15253613</v>
      </c>
      <c r="H2101" s="390">
        <f>'MidWST FGD'!$H$78</f>
        <v>89852</v>
      </c>
      <c r="I2101" s="390">
        <f>'MidWST FGD'!$I$78</f>
        <v>11879</v>
      </c>
      <c r="J2101" s="390">
        <f>'MidWST FGD'!$J$78</f>
        <v>-3620462</v>
      </c>
      <c r="K2101" s="390">
        <f>'MidWST FGD'!$K$78</f>
        <v>-6306203</v>
      </c>
      <c r="L2101" s="390">
        <f>'MidWST FGD'!$L$78</f>
        <v>14221232</v>
      </c>
      <c r="M2101" s="390">
        <f>'MidWST FGD'!$M$78</f>
        <v>-15722332</v>
      </c>
      <c r="N2101" s="401"/>
    </row>
    <row r="2102" spans="2:14" s="160" customFormat="1" ht="12.75" hidden="1" customHeight="1" outlineLevel="1">
      <c r="B2102" s="674" t="str">
        <f>'P-B FGD'!$B$2</f>
        <v>The University of Texas of the Permian Basin</v>
      </c>
      <c r="D2102" s="390">
        <f>'P-B FGD'!$D$78</f>
        <v>-11648207</v>
      </c>
      <c r="E2102" s="390">
        <f>'P-B FGD'!$E$78</f>
        <v>3131546</v>
      </c>
      <c r="F2102" s="390">
        <f>'P-B FGD'!$F$78</f>
        <v>-2595</v>
      </c>
      <c r="G2102" s="390">
        <f>'P-B FGD'!$G$78</f>
        <v>-9649145</v>
      </c>
      <c r="H2102" s="390">
        <f>'P-B FGD'!$H$78</f>
        <v>0</v>
      </c>
      <c r="I2102" s="390">
        <f>'P-B FGD'!$I$78</f>
        <v>2573</v>
      </c>
      <c r="J2102" s="390">
        <f>'P-B FGD'!$J$78</f>
        <v>1629750</v>
      </c>
      <c r="K2102" s="390">
        <f>'P-B FGD'!$K$78</f>
        <v>0</v>
      </c>
      <c r="L2102" s="390">
        <f>'P-B FGD'!$L$78</f>
        <v>0</v>
      </c>
      <c r="M2102" s="390">
        <f>'P-B FGD'!$M$78</f>
        <v>-16536078</v>
      </c>
      <c r="N2102" s="401"/>
    </row>
    <row r="2103" spans="2:14" s="160" customFormat="1" ht="12.75" hidden="1" customHeight="1" outlineLevel="1">
      <c r="B2103" s="674" t="str">
        <f>'PVAMU FGD'!$B$2</f>
        <v>Prairie View A&amp;M University</v>
      </c>
      <c r="D2103" s="390">
        <f>'PVAMU FGD'!$D$78</f>
        <v>-3960365</v>
      </c>
      <c r="E2103" s="390">
        <f>'PVAMU FGD'!$E$78</f>
        <v>12519818</v>
      </c>
      <c r="F2103" s="390">
        <f>'PVAMU FGD'!$F$78</f>
        <v>9263591</v>
      </c>
      <c r="G2103" s="390">
        <f>'PVAMU FGD'!$G$78</f>
        <v>-36541635</v>
      </c>
      <c r="H2103" s="390">
        <f>'PVAMU FGD'!$H$78</f>
        <v>0</v>
      </c>
      <c r="I2103" s="390">
        <f>'PVAMU FGD'!$I$78</f>
        <v>5765732</v>
      </c>
      <c r="J2103" s="390">
        <f>'PVAMU FGD'!$J$78</f>
        <v>-6884008</v>
      </c>
      <c r="K2103" s="390">
        <f>'PVAMU FGD'!$K$78</f>
        <v>0</v>
      </c>
      <c r="L2103" s="390">
        <f>'PVAMU FGD'!$L$78</f>
        <v>0</v>
      </c>
      <c r="M2103" s="390">
        <f>'PVAMU FGD'!$M$78</f>
        <v>-19836867</v>
      </c>
      <c r="N2103" s="401"/>
    </row>
    <row r="2104" spans="2:14" s="160" customFormat="1" ht="12.75" hidden="1" customHeight="1" outlineLevel="1">
      <c r="B2104" s="674" t="str">
        <f>'S-A FGD'!$B$2</f>
        <v>The University of Texas at San Antonio</v>
      </c>
      <c r="D2104" s="390">
        <f>'S-A FGD'!$D$78</f>
        <v>29322484</v>
      </c>
      <c r="E2104" s="390">
        <f>'S-A FGD'!$E$78</f>
        <v>-5944217</v>
      </c>
      <c r="F2104" s="390">
        <f>'S-A FGD'!$F$78</f>
        <v>12953127</v>
      </c>
      <c r="G2104" s="390">
        <f>'S-A FGD'!$G$78</f>
        <v>-133130391</v>
      </c>
      <c r="H2104" s="390">
        <f>'S-A FGD'!$H$78</f>
        <v>849722</v>
      </c>
      <c r="I2104" s="390">
        <f>'S-A FGD'!$I$78</f>
        <v>44117242</v>
      </c>
      <c r="J2104" s="390">
        <f>'S-A FGD'!$J$78</f>
        <v>32632873</v>
      </c>
      <c r="K2104" s="390">
        <f>'S-A FGD'!$K$78</f>
        <v>0</v>
      </c>
      <c r="L2104" s="390">
        <f>'S-A FGD'!$L$78</f>
        <v>24232</v>
      </c>
      <c r="M2104" s="390">
        <f>'S-A FGD'!$M$78</f>
        <v>-19174928</v>
      </c>
      <c r="N2104" s="401"/>
    </row>
    <row r="2105" spans="2:14" s="160" customFormat="1" ht="12.75" hidden="1" customHeight="1" outlineLevel="1">
      <c r="B2105" s="674" t="str">
        <f>'SFA FGD'!$B$2</f>
        <v>Stephen F. Austin State University</v>
      </c>
      <c r="D2105" s="390">
        <f>'SFA FGD'!$D$78</f>
        <v>-12642786</v>
      </c>
      <c r="E2105" s="390">
        <f>'SFA FGD'!$E$78</f>
        <v>2224549</v>
      </c>
      <c r="F2105" s="390">
        <f>'SFA FGD'!$F$78</f>
        <v>5311594</v>
      </c>
      <c r="G2105" s="390">
        <f>'SFA FGD'!$G$78</f>
        <v>-25563260</v>
      </c>
      <c r="H2105" s="390">
        <f>'SFA FGD'!$H$78</f>
        <v>0</v>
      </c>
      <c r="I2105" s="390">
        <f>'SFA FGD'!$I$78</f>
        <v>465000</v>
      </c>
      <c r="J2105" s="390">
        <f>'SFA FGD'!$J$78</f>
        <v>-21788892</v>
      </c>
      <c r="K2105" s="390">
        <f>'SFA FGD'!$K$78</f>
        <v>16406363</v>
      </c>
      <c r="L2105" s="390">
        <f>'SFA FGD'!$L$78</f>
        <v>-25600</v>
      </c>
      <c r="M2105" s="390">
        <f>'SFA FGD'!$M$78</f>
        <v>-35613032</v>
      </c>
      <c r="N2105" s="401"/>
    </row>
    <row r="2106" spans="2:14" s="160" customFormat="1" ht="12.75" hidden="1" customHeight="1" outlineLevel="1">
      <c r="B2106" s="674" t="str">
        <f>'shsu1 FGD'!$B$2</f>
        <v>Sam Houston State University - Academic &amp; Health (A+H)</v>
      </c>
      <c r="D2106" s="390">
        <f>'shsu1 FGD'!$D$78</f>
        <v>-4700429</v>
      </c>
      <c r="E2106" s="390">
        <f>'shsu1 FGD'!$E$78</f>
        <v>-2475068</v>
      </c>
      <c r="F2106" s="390">
        <f>'shsu1 FGD'!$F$78</f>
        <v>100000</v>
      </c>
      <c r="G2106" s="390">
        <f>'shsu1 FGD'!$G$78</f>
        <v>405250</v>
      </c>
      <c r="H2106" s="390">
        <f>'shsu1 FGD'!$H$78</f>
        <v>0</v>
      </c>
      <c r="I2106" s="390">
        <f>'shsu1 FGD'!$I$78</f>
        <v>0</v>
      </c>
      <c r="J2106" s="390">
        <f>'shsu1 FGD'!$J$78</f>
        <v>-52086979</v>
      </c>
      <c r="K2106" s="390">
        <f>'shsu1 FGD'!$K$78</f>
        <v>0</v>
      </c>
      <c r="L2106" s="390">
        <f>'shsu1 FGD'!$L$78</f>
        <v>0</v>
      </c>
      <c r="M2106" s="390">
        <f>'shsu1 FGD'!$M$78</f>
        <v>-58757226</v>
      </c>
      <c r="N2106" s="401"/>
    </row>
    <row r="2107" spans="2:14" s="160" customFormat="1" ht="12.75" hidden="1" customHeight="1" outlineLevel="1">
      <c r="B2107" s="674" t="str">
        <f>'SRSU FGD'!$B$2</f>
        <v>Sul Ross State University</v>
      </c>
      <c r="D2107" s="390">
        <f>'SRSU FGD'!$D$78</f>
        <v>-2902541</v>
      </c>
      <c r="E2107" s="390">
        <f>'SRSU FGD'!$E$78</f>
        <v>779693</v>
      </c>
      <c r="F2107" s="390">
        <f>'SRSU FGD'!$F$78</f>
        <v>-2598748</v>
      </c>
      <c r="G2107" s="390">
        <f>'SRSU FGD'!$G$78</f>
        <v>-1193478</v>
      </c>
      <c r="H2107" s="390">
        <f>'SRSU FGD'!$H$78</f>
        <v>0</v>
      </c>
      <c r="I2107" s="390">
        <f>'SRSU FGD'!$I$78</f>
        <v>-783406</v>
      </c>
      <c r="J2107" s="390">
        <f>'SRSU FGD'!$J$78</f>
        <v>-686044</v>
      </c>
      <c r="K2107" s="390">
        <f>'SRSU FGD'!$K$78</f>
        <v>0</v>
      </c>
      <c r="L2107" s="390">
        <f>'SRSU FGD'!$L$78</f>
        <v>0</v>
      </c>
      <c r="M2107" s="390">
        <f>'SRSU FGD'!$M$78</f>
        <v>-7384524</v>
      </c>
      <c r="N2107" s="401"/>
    </row>
    <row r="2108" spans="2:14" s="160" customFormat="1" ht="12.75" hidden="1" customHeight="1" outlineLevel="1">
      <c r="B2108" s="674" t="str">
        <f>'TAMIU FGD'!$B$2</f>
        <v>Texas A&amp;M International University</v>
      </c>
      <c r="D2108" s="390">
        <f>'TAMIU FGD'!$D$78</f>
        <v>-4684338</v>
      </c>
      <c r="E2108" s="390">
        <f>'TAMIU FGD'!$E$78</f>
        <v>17979774</v>
      </c>
      <c r="F2108" s="390">
        <f>'TAMIU FGD'!$F$78</f>
        <v>948123</v>
      </c>
      <c r="G2108" s="390">
        <f>'TAMIU FGD'!$G$78</f>
        <v>-22079937</v>
      </c>
      <c r="H2108" s="390">
        <f>'TAMIU FGD'!$H$78</f>
        <v>144783</v>
      </c>
      <c r="I2108" s="390">
        <f>'TAMIU FGD'!$I$78</f>
        <v>3685376</v>
      </c>
      <c r="J2108" s="390">
        <f>'TAMIU FGD'!$J$78</f>
        <v>-369520</v>
      </c>
      <c r="K2108" s="390">
        <f>'TAMIU FGD'!$K$78</f>
        <v>0</v>
      </c>
      <c r="L2108" s="390">
        <f>'TAMIU FGD'!$L$78</f>
        <v>0</v>
      </c>
      <c r="M2108" s="390">
        <f>'TAMIU FGD'!$M$78</f>
        <v>-4375739</v>
      </c>
      <c r="N2108" s="401"/>
    </row>
    <row r="2109" spans="2:14" s="160" customFormat="1" ht="12.75" hidden="1" customHeight="1" outlineLevel="1">
      <c r="B2109" s="674" t="str">
        <f>'TAMU FGD'!$B$2</f>
        <v>Texas A&amp;M University</v>
      </c>
      <c r="D2109" s="390">
        <f>'TAMU FGD'!$D$78</f>
        <v>-11092981</v>
      </c>
      <c r="E2109" s="390">
        <f>'TAMU FGD'!$E$78</f>
        <v>-161278210</v>
      </c>
      <c r="F2109" s="390">
        <f>'TAMU FGD'!$F$78</f>
        <v>-63877511</v>
      </c>
      <c r="G2109" s="390">
        <f>'TAMU FGD'!$G$78</f>
        <v>-44922591</v>
      </c>
      <c r="H2109" s="390">
        <f>'TAMU FGD'!$H$78</f>
        <v>-49243</v>
      </c>
      <c r="I2109" s="390">
        <f>'TAMU FGD'!$I$78</f>
        <v>14750576</v>
      </c>
      <c r="J2109" s="390">
        <f>'TAMU FGD'!$J$78</f>
        <v>73178710</v>
      </c>
      <c r="K2109" s="390">
        <f>'TAMU FGD'!$K$78</f>
        <v>0</v>
      </c>
      <c r="L2109" s="390">
        <f>'TAMU FGD'!$L$78</f>
        <v>0</v>
      </c>
      <c r="M2109" s="390">
        <f>'TAMU FGD'!$M$78</f>
        <v>-193291250</v>
      </c>
      <c r="N2109" s="401"/>
    </row>
    <row r="2110" spans="2:14" s="160" customFormat="1" ht="12.75" hidden="1" customHeight="1" outlineLevel="1">
      <c r="B2110" s="674" t="str">
        <f>'TAMUC FGD'!$B$2</f>
        <v>Texas A&amp;M University - Commerce</v>
      </c>
      <c r="D2110" s="390">
        <f>'TAMUC FGD'!$D$78</f>
        <v>-6513929</v>
      </c>
      <c r="E2110" s="390">
        <f>'TAMUC FGD'!$E$78</f>
        <v>-3526032</v>
      </c>
      <c r="F2110" s="390">
        <f>'TAMUC FGD'!$F$78</f>
        <v>-2878871</v>
      </c>
      <c r="G2110" s="390">
        <f>'TAMUC FGD'!$G$78</f>
        <v>-17197172</v>
      </c>
      <c r="H2110" s="390">
        <f>'TAMUC FGD'!$H$78</f>
        <v>-5269</v>
      </c>
      <c r="I2110" s="390">
        <f>'TAMUC FGD'!$I$78</f>
        <v>40610</v>
      </c>
      <c r="J2110" s="390">
        <f>'TAMUC FGD'!$J$78</f>
        <v>12370445</v>
      </c>
      <c r="K2110" s="390">
        <f>'TAMUC FGD'!$K$78</f>
        <v>0</v>
      </c>
      <c r="L2110" s="390">
        <f>'TAMUC FGD'!$L$78</f>
        <v>0</v>
      </c>
      <c r="M2110" s="390">
        <f>'TAMUC FGD'!$M$78</f>
        <v>-17710218</v>
      </c>
      <c r="N2110" s="401"/>
    </row>
    <row r="2111" spans="2:14" s="160" customFormat="1" ht="12.75" hidden="1" customHeight="1" outlineLevel="1">
      <c r="B2111" s="674" t="str">
        <f>'TAMUCC FGD'!$B$2</f>
        <v>Texas A&amp;M University - Corpus Christi</v>
      </c>
      <c r="D2111" s="390">
        <f>'TAMUCC FGD'!$D$78</f>
        <v>-13717532</v>
      </c>
      <c r="E2111" s="390">
        <f>'TAMUCC FGD'!$E$78</f>
        <v>11182546</v>
      </c>
      <c r="F2111" s="390">
        <f>'TAMUCC FGD'!$F$78</f>
        <v>7775405</v>
      </c>
      <c r="G2111" s="390">
        <f>'TAMUCC FGD'!$G$78</f>
        <v>-20949337</v>
      </c>
      <c r="H2111" s="390">
        <f>'TAMUCC FGD'!$H$78</f>
        <v>247133</v>
      </c>
      <c r="I2111" s="390">
        <f>'TAMUCC FGD'!$I$78</f>
        <v>1081849</v>
      </c>
      <c r="J2111" s="390">
        <f>'TAMUCC FGD'!$J$78</f>
        <v>4346619</v>
      </c>
      <c r="K2111" s="390">
        <f>'TAMUCC FGD'!$K$78</f>
        <v>0</v>
      </c>
      <c r="L2111" s="390">
        <f>'TAMUCC FGD'!$L$78</f>
        <v>0</v>
      </c>
      <c r="M2111" s="390">
        <f>'TAMUCC FGD'!$M$78</f>
        <v>-10033317</v>
      </c>
      <c r="N2111" s="401"/>
    </row>
    <row r="2112" spans="2:14" s="160" customFormat="1" ht="12.75" hidden="1" customHeight="1" outlineLevel="1">
      <c r="B2112" s="674" t="str">
        <f>'TAMUCT FGD'!$B$2</f>
        <v>Texas A&amp;M University - Central Texas</v>
      </c>
      <c r="D2112" s="390">
        <f>'TAMUCT FGD'!$D$78</f>
        <v>-4456709</v>
      </c>
      <c r="E2112" s="390">
        <f>'TAMUCT FGD'!$E$78</f>
        <v>4686415</v>
      </c>
      <c r="F2112" s="390">
        <f>'TAMUCT FGD'!$F$78</f>
        <v>96655</v>
      </c>
      <c r="G2112" s="390">
        <f>'TAMUCT FGD'!$G$78</f>
        <v>-2740052</v>
      </c>
      <c r="H2112" s="390">
        <f>'TAMUCT FGD'!$H$78</f>
        <v>0</v>
      </c>
      <c r="I2112" s="390">
        <f>'TAMUCT FGD'!$I$78</f>
        <v>46662</v>
      </c>
      <c r="J2112" s="390">
        <f>'TAMUCT FGD'!$J$78</f>
        <v>0</v>
      </c>
      <c r="K2112" s="390">
        <f>'TAMUCT FGD'!$K$78</f>
        <v>0</v>
      </c>
      <c r="L2112" s="390">
        <f>'TAMUCT FGD'!$L$78</f>
        <v>0</v>
      </c>
      <c r="M2112" s="390">
        <f>'TAMUCT FGD'!$M$78</f>
        <v>-2367029</v>
      </c>
      <c r="N2112" s="401"/>
    </row>
    <row r="2113" spans="2:14" s="160" customFormat="1" ht="12.75" hidden="1" customHeight="1" outlineLevel="1">
      <c r="B2113" s="674" t="str">
        <f>'TAMUG FGD'!$B$2</f>
        <v>Texas A&amp;M University at Galveston</v>
      </c>
      <c r="D2113" s="390">
        <f>'TAMUG FGD'!$D$78</f>
        <v>-55736846</v>
      </c>
      <c r="E2113" s="390">
        <f>'TAMUG FGD'!$E$78</f>
        <v>3400758</v>
      </c>
      <c r="F2113" s="390">
        <f>'TAMUG FGD'!$F$78</f>
        <v>-1264406</v>
      </c>
      <c r="G2113" s="390">
        <f>'TAMUG FGD'!$G$78</f>
        <v>-1694221</v>
      </c>
      <c r="H2113" s="390">
        <f>'TAMUG FGD'!$H$78</f>
        <v>348891</v>
      </c>
      <c r="I2113" s="390">
        <f>'TAMUG FGD'!$I$78</f>
        <v>138797</v>
      </c>
      <c r="J2113" s="390">
        <f>'TAMUG FGD'!$J$78</f>
        <v>44630814</v>
      </c>
      <c r="K2113" s="390">
        <f>'TAMUG FGD'!$K$78</f>
        <v>0</v>
      </c>
      <c r="L2113" s="390">
        <f>'TAMUG FGD'!$L$78</f>
        <v>0</v>
      </c>
      <c r="M2113" s="390">
        <f>'TAMUG FGD'!$M$78</f>
        <v>-10176213</v>
      </c>
      <c r="N2113" s="401"/>
    </row>
    <row r="2114" spans="2:14" s="160" customFormat="1" ht="12.75" hidden="1" customHeight="1" outlineLevel="1">
      <c r="B2114" s="674" t="str">
        <f>'TAMUK FGD'!$B$2</f>
        <v>Texas A&amp;M University - Kingsville</v>
      </c>
      <c r="D2114" s="390">
        <f>'TAMUK FGD'!$D$78</f>
        <v>-6116133</v>
      </c>
      <c r="E2114" s="390">
        <f>'TAMUK FGD'!$E$78</f>
        <v>618064</v>
      </c>
      <c r="F2114" s="390">
        <f>'TAMUK FGD'!$F$78</f>
        <v>4351117</v>
      </c>
      <c r="G2114" s="390">
        <f>'TAMUK FGD'!$G$78</f>
        <v>-16708661</v>
      </c>
      <c r="H2114" s="390">
        <f>'TAMUK FGD'!$H$78</f>
        <v>-732763</v>
      </c>
      <c r="I2114" s="390">
        <f>'TAMUK FGD'!$I$78</f>
        <v>983365</v>
      </c>
      <c r="J2114" s="390">
        <f>'TAMUK FGD'!$J$78</f>
        <v>5052609</v>
      </c>
      <c r="K2114" s="390">
        <f>'TAMUK FGD'!$K$78</f>
        <v>0</v>
      </c>
      <c r="L2114" s="390">
        <f>'TAMUK FGD'!$L$78</f>
        <v>0</v>
      </c>
      <c r="M2114" s="390">
        <f>'TAMUK FGD'!$M$78</f>
        <v>-12552402</v>
      </c>
      <c r="N2114" s="401"/>
    </row>
    <row r="2115" spans="2:14" s="160" customFormat="1" ht="12.75" hidden="1" customHeight="1" outlineLevel="1">
      <c r="B2115" s="674" t="str">
        <f>'TAMUSA FGD'!$B$2</f>
        <v>Texas A&amp;M University - San Antonio</v>
      </c>
      <c r="D2115" s="390">
        <f>'TAMUSA FGD'!$D$78</f>
        <v>-6588859</v>
      </c>
      <c r="E2115" s="390">
        <f>'TAMUSA FGD'!$E$78</f>
        <v>10160889</v>
      </c>
      <c r="F2115" s="390">
        <f>'TAMUSA FGD'!$F$78</f>
        <v>2495229</v>
      </c>
      <c r="G2115" s="390">
        <f>'TAMUSA FGD'!$G$78</f>
        <v>-12619929</v>
      </c>
      <c r="H2115" s="390">
        <f>'TAMUSA FGD'!$H$78</f>
        <v>100013</v>
      </c>
      <c r="I2115" s="390">
        <f>'TAMUSA FGD'!$I$78</f>
        <v>18183</v>
      </c>
      <c r="J2115" s="390">
        <f>'TAMUSA FGD'!$J$78</f>
        <v>932337</v>
      </c>
      <c r="K2115" s="390">
        <f>'TAMUSA FGD'!$K$78</f>
        <v>0</v>
      </c>
      <c r="L2115" s="390">
        <f>'TAMUSA FGD'!$L$78</f>
        <v>0</v>
      </c>
      <c r="M2115" s="390">
        <f>'TAMUSA FGD'!$M$78</f>
        <v>-5502137</v>
      </c>
      <c r="N2115" s="401"/>
    </row>
    <row r="2116" spans="2:14" s="160" customFormat="1" ht="12.75" hidden="1" customHeight="1" outlineLevel="1">
      <c r="B2116" s="674" t="str">
        <f>'TAMUT FGD'!$B$2</f>
        <v>Texas A&amp;M University - Texarkana</v>
      </c>
      <c r="D2116" s="390">
        <f>'TAMUT FGD'!$D$78</f>
        <v>-8895459</v>
      </c>
      <c r="E2116" s="390">
        <f>'TAMUT FGD'!$E$78</f>
        <v>-2748224</v>
      </c>
      <c r="F2116" s="390">
        <f>'TAMUT FGD'!$F$78</f>
        <v>1199353</v>
      </c>
      <c r="G2116" s="390">
        <f>'TAMUT FGD'!$G$78</f>
        <v>1473011</v>
      </c>
      <c r="H2116" s="390">
        <f>'TAMUT FGD'!$H$78</f>
        <v>31674</v>
      </c>
      <c r="I2116" s="390">
        <f>'TAMUT FGD'!$I$78</f>
        <v>594718</v>
      </c>
      <c r="J2116" s="390">
        <f>'TAMUT FGD'!$J$78</f>
        <v>-934607</v>
      </c>
      <c r="K2116" s="390">
        <f>'TAMUT FGD'!$K$78</f>
        <v>0</v>
      </c>
      <c r="L2116" s="390">
        <f>'TAMUT FGD'!$L$78</f>
        <v>0</v>
      </c>
      <c r="M2116" s="390">
        <f>'TAMUT FGD'!$M$78</f>
        <v>-9279534</v>
      </c>
      <c r="N2116" s="401"/>
    </row>
    <row r="2117" spans="2:14" s="160" customFormat="1" ht="12.75" hidden="1" customHeight="1" outlineLevel="1">
      <c r="B2117" s="674" t="str">
        <f>'TARLST FGD'!$B$2</f>
        <v>Tarleton State University</v>
      </c>
      <c r="D2117" s="390">
        <f>'TARLST FGD'!$D$78</f>
        <v>-14024768</v>
      </c>
      <c r="E2117" s="390">
        <f>'TARLST FGD'!$E$78</f>
        <v>14133224</v>
      </c>
      <c r="F2117" s="390">
        <f>'TARLST FGD'!$F$78</f>
        <v>-16546658</v>
      </c>
      <c r="G2117" s="390">
        <f>'TARLST FGD'!$G$78</f>
        <v>-24787123</v>
      </c>
      <c r="H2117" s="390">
        <f>'TARLST FGD'!$H$78</f>
        <v>19288</v>
      </c>
      <c r="I2117" s="390">
        <f>'TARLST FGD'!$I$78</f>
        <v>1765687</v>
      </c>
      <c r="J2117" s="390">
        <f>'TARLST FGD'!$J$78</f>
        <v>22872165</v>
      </c>
      <c r="K2117" s="390">
        <f>'TARLST FGD'!$K$78</f>
        <v>0</v>
      </c>
      <c r="L2117" s="390">
        <f>'TARLST FGD'!$L$78</f>
        <v>0</v>
      </c>
      <c r="M2117" s="390">
        <f>'TARLST FGD'!$M$78</f>
        <v>-16568185</v>
      </c>
      <c r="N2117" s="401"/>
    </row>
    <row r="2118" spans="2:14" s="160" customFormat="1" ht="12.75" hidden="1" customHeight="1" outlineLevel="1">
      <c r="B2118" s="674" t="str">
        <f>'TSU FGD'!$B$2</f>
        <v>Texas Southern University</v>
      </c>
      <c r="D2118" s="390">
        <f>'TSU FGD'!$D$78</f>
        <v>-12467772</v>
      </c>
      <c r="E2118" s="390">
        <f>'TSU FGD'!$E$78</f>
        <v>-1361931</v>
      </c>
      <c r="F2118" s="390">
        <f>'TSU FGD'!$F$78</f>
        <v>-1745665</v>
      </c>
      <c r="G2118" s="390">
        <f>'TSU FGD'!$G$78</f>
        <v>0</v>
      </c>
      <c r="H2118" s="390">
        <f>'TSU FGD'!$H$78</f>
        <v>0</v>
      </c>
      <c r="I2118" s="390">
        <f>'TSU FGD'!$I$78</f>
        <v>0</v>
      </c>
      <c r="J2118" s="390">
        <f>'TSU FGD'!$J$78</f>
        <v>-15384804</v>
      </c>
      <c r="K2118" s="390">
        <f>'TSU FGD'!$K$78</f>
        <v>-1512902</v>
      </c>
      <c r="L2118" s="390">
        <f>'TSU FGD'!$L$78</f>
        <v>-523969</v>
      </c>
      <c r="M2118" s="390">
        <f>'TSU FGD'!$M$78</f>
        <v>-32997043</v>
      </c>
      <c r="N2118" s="401"/>
    </row>
    <row r="2119" spans="2:14" s="160" customFormat="1" ht="12.75" hidden="1" customHeight="1" outlineLevel="1">
      <c r="B2119" s="674" t="str">
        <f>'TTU FGD'!$B$2</f>
        <v>Texas Tech University</v>
      </c>
      <c r="D2119" s="390">
        <f>'TTU FGD'!$D$78</f>
        <v>-47496861</v>
      </c>
      <c r="E2119" s="390">
        <f>'TTU FGD'!$E$78</f>
        <v>9285323</v>
      </c>
      <c r="F2119" s="390">
        <f>'TTU FGD'!$F$78</f>
        <v>-9724997</v>
      </c>
      <c r="G2119" s="390">
        <f>'TTU FGD'!$G$78</f>
        <v>-94560633</v>
      </c>
      <c r="H2119" s="390">
        <f>'TTU FGD'!$H$78</f>
        <v>-151189</v>
      </c>
      <c r="I2119" s="390">
        <f>'TTU FGD'!$I$78</f>
        <v>6638997</v>
      </c>
      <c r="J2119" s="390">
        <f>'TTU FGD'!$J$78</f>
        <v>23426741</v>
      </c>
      <c r="K2119" s="390">
        <f>'TTU FGD'!$K$78</f>
        <v>-10445924</v>
      </c>
      <c r="L2119" s="390">
        <f>'TTU FGD'!$L$78</f>
        <v>0</v>
      </c>
      <c r="M2119" s="390">
        <f>'TTU FGD'!$M$78</f>
        <v>-123028543</v>
      </c>
      <c r="N2119" s="401"/>
    </row>
    <row r="2120" spans="2:14" s="160" customFormat="1" ht="12.75" hidden="1" customHeight="1" outlineLevel="1">
      <c r="B2120" s="674" t="str">
        <f>'TWU FGD'!$B$2</f>
        <v>Texas Woman's University</v>
      </c>
      <c r="D2120" s="390">
        <f>'TWU FGD'!$D$78</f>
        <v>-10399796</v>
      </c>
      <c r="E2120" s="390">
        <f>'TWU FGD'!$E$78</f>
        <v>6604078</v>
      </c>
      <c r="F2120" s="390">
        <f>'TWU FGD'!$F$78</f>
        <v>8746385</v>
      </c>
      <c r="G2120" s="390">
        <f>'TWU FGD'!$G$78</f>
        <v>-33882011</v>
      </c>
      <c r="H2120" s="390">
        <f>'TWU FGD'!$H$78</f>
        <v>267687</v>
      </c>
      <c r="I2120" s="390">
        <f>'TWU FGD'!$I$78</f>
        <v>-605987</v>
      </c>
      <c r="J2120" s="390">
        <f>'TWU FGD'!$J$78</f>
        <v>23562506</v>
      </c>
      <c r="K2120" s="390">
        <f>'TWU FGD'!$K$78</f>
        <v>110613</v>
      </c>
      <c r="L2120" s="390">
        <f>'TWU FGD'!$L$78</f>
        <v>0</v>
      </c>
      <c r="M2120" s="390">
        <f>'TWU FGD'!$M$78</f>
        <v>-5596525</v>
      </c>
      <c r="N2120" s="401"/>
    </row>
    <row r="2121" spans="2:14" s="160" customFormat="1" ht="12.75" hidden="1" customHeight="1" outlineLevel="1">
      <c r="B2121" s="674" t="str">
        <f>'TXST FGD'!$B$2</f>
        <v>Texas State University</v>
      </c>
      <c r="D2121" s="390">
        <f>'TXST FGD'!$D$78</f>
        <v>-21154727</v>
      </c>
      <c r="E2121" s="390">
        <f>'TXST FGD'!$E$78</f>
        <v>-11694774</v>
      </c>
      <c r="F2121" s="390">
        <f>'TXST FGD'!$F$78</f>
        <v>-31093592</v>
      </c>
      <c r="G2121" s="390">
        <f>'TXST FGD'!$G$78</f>
        <v>0</v>
      </c>
      <c r="H2121" s="390">
        <f>'TXST FGD'!$H$78</f>
        <v>0</v>
      </c>
      <c r="I2121" s="390">
        <f>'TXST FGD'!$I$78</f>
        <v>0</v>
      </c>
      <c r="J2121" s="390">
        <f>'TXST FGD'!$J$78</f>
        <v>-29200462</v>
      </c>
      <c r="K2121" s="390">
        <f>'TXST FGD'!$K$78</f>
        <v>0</v>
      </c>
      <c r="L2121" s="390">
        <f>'TXST FGD'!$L$78</f>
        <v>0</v>
      </c>
      <c r="M2121" s="390">
        <f>'TXST FGD'!$M$78</f>
        <v>-93143555</v>
      </c>
      <c r="N2121" s="401"/>
    </row>
    <row r="2122" spans="2:14" s="160" customFormat="1" ht="12.75" hidden="1" customHeight="1" outlineLevel="1">
      <c r="B2122" s="674" t="str">
        <f>'TYL FGD'!$B$2</f>
        <v>The University of Texas at Tyler</v>
      </c>
      <c r="D2122" s="390">
        <f>'TYL FGD'!$D$78</f>
        <v>-9725200</v>
      </c>
      <c r="E2122" s="390">
        <f>'TYL FGD'!$E$78</f>
        <v>8462318</v>
      </c>
      <c r="F2122" s="390">
        <f>'TYL FGD'!$F$78</f>
        <v>-787857</v>
      </c>
      <c r="G2122" s="390">
        <f>'TYL FGD'!$G$78</f>
        <v>-14944967</v>
      </c>
      <c r="H2122" s="390">
        <f>'TYL FGD'!$H$78</f>
        <v>162736</v>
      </c>
      <c r="I2122" s="390">
        <f>'TYL FGD'!$I$78</f>
        <v>33706</v>
      </c>
      <c r="J2122" s="390">
        <f>'TYL FGD'!$J$78</f>
        <v>1394829</v>
      </c>
      <c r="K2122" s="390">
        <f>'TYL FGD'!$K$78</f>
        <v>0</v>
      </c>
      <c r="L2122" s="390">
        <f>'TYL FGD'!$L$78</f>
        <v>0</v>
      </c>
      <c r="M2122" s="390">
        <f>'TYL FGD'!$M$78</f>
        <v>-15404435</v>
      </c>
      <c r="N2122" s="401"/>
    </row>
    <row r="2123" spans="2:14" s="160" customFormat="1" ht="12.75" hidden="1" customHeight="1" outlineLevel="1">
      <c r="B2123" s="674" t="str">
        <f>'UH1 FGD'!$B$2</f>
        <v>University of Houston - Academic &amp; Health (A+H)</v>
      </c>
      <c r="D2123" s="390">
        <f>'UH1 FGD'!$D$78</f>
        <v>-78233589</v>
      </c>
      <c r="E2123" s="390">
        <f>'UH1 FGD'!$E$78</f>
        <v>27849121</v>
      </c>
      <c r="F2123" s="390">
        <f>'UH1 FGD'!$F$78</f>
        <v>-6679305</v>
      </c>
      <c r="G2123" s="390">
        <f>'UH1 FGD'!$G$78</f>
        <v>-107112696</v>
      </c>
      <c r="H2123" s="390">
        <f>'UH1 FGD'!$H$78</f>
        <v>0</v>
      </c>
      <c r="I2123" s="390">
        <f>'UH1 FGD'!$I$78</f>
        <v>-2015890</v>
      </c>
      <c r="J2123" s="390">
        <f>'UH1 FGD'!$J$78</f>
        <v>262193497</v>
      </c>
      <c r="K2123" s="390">
        <f>'UH1 FGD'!$K$78</f>
        <v>-1935657</v>
      </c>
      <c r="L2123" s="390">
        <f>'UH1 FGD'!$L$78</f>
        <v>168626923</v>
      </c>
      <c r="M2123" s="390">
        <f>'UH1 FGD'!$M$78</f>
        <v>262692404</v>
      </c>
      <c r="N2123" s="401"/>
    </row>
    <row r="2124" spans="2:14" s="160" customFormat="1" ht="12.75" hidden="1" customHeight="1" outlineLevel="1">
      <c r="B2124" s="674" t="str">
        <f>'UHCL FGD'!$B$2</f>
        <v>University of Houston - Clear Lake</v>
      </c>
      <c r="D2124" s="390">
        <f>'UHCL FGD'!$D$78</f>
        <v>-2714973</v>
      </c>
      <c r="E2124" s="390">
        <f>'UHCL FGD'!$E$78</f>
        <v>8320010</v>
      </c>
      <c r="F2124" s="390">
        <f>'UHCL FGD'!$F$78</f>
        <v>-1514819</v>
      </c>
      <c r="G2124" s="390">
        <f>'UHCL FGD'!$G$78</f>
        <v>-14263609</v>
      </c>
      <c r="H2124" s="390">
        <f>'UHCL FGD'!$H$78</f>
        <v>39410</v>
      </c>
      <c r="I2124" s="390">
        <f>'UHCL FGD'!$I$78</f>
        <v>-171282</v>
      </c>
      <c r="J2124" s="390">
        <f>'UHCL FGD'!$J$78</f>
        <v>2525402</v>
      </c>
      <c r="K2124" s="390">
        <f>'UHCL FGD'!$K$78</f>
        <v>7656597</v>
      </c>
      <c r="L2124" s="390">
        <f>'UHCL FGD'!$L$78</f>
        <v>12197745</v>
      </c>
      <c r="M2124" s="390">
        <f>'UHCL FGD'!$M$78</f>
        <v>12074481</v>
      </c>
      <c r="N2124" s="401"/>
    </row>
    <row r="2125" spans="2:14" s="160" customFormat="1" ht="12.75" hidden="1" customHeight="1" outlineLevel="1">
      <c r="B2125" s="674" t="str">
        <f>'UHD FGD'!$B$2</f>
        <v>University of Houston - Downtown</v>
      </c>
      <c r="D2125" s="390">
        <f>'UHD FGD'!$D$78</f>
        <v>-3058706</v>
      </c>
      <c r="E2125" s="390">
        <f>'UHD FGD'!$E$78</f>
        <v>26997561</v>
      </c>
      <c r="F2125" s="390">
        <f>'UHD FGD'!$F$78</f>
        <v>579576</v>
      </c>
      <c r="G2125" s="390">
        <f>'UHD FGD'!$G$78</f>
        <v>-36140122</v>
      </c>
      <c r="H2125" s="390">
        <f>'UHD FGD'!$H$78</f>
        <v>250217</v>
      </c>
      <c r="I2125" s="390">
        <f>'UHD FGD'!$I$78</f>
        <v>-267101</v>
      </c>
      <c r="J2125" s="390">
        <f>'UHD FGD'!$J$78</f>
        <v>13417566</v>
      </c>
      <c r="K2125" s="390">
        <f>'UHD FGD'!$K$78</f>
        <v>14156</v>
      </c>
      <c r="L2125" s="390">
        <f>'UHD FGD'!$L$78</f>
        <v>14102713</v>
      </c>
      <c r="M2125" s="390">
        <f>'UHD FGD'!$M$78</f>
        <v>15895860</v>
      </c>
      <c r="N2125" s="401"/>
    </row>
    <row r="2126" spans="2:14" s="160" customFormat="1" ht="12.75" hidden="1" customHeight="1" outlineLevel="1">
      <c r="B2126" s="674" t="str">
        <f>'UHV FGD'!$B$2</f>
        <v>University of Houston - Victoria</v>
      </c>
      <c r="D2126" s="390">
        <f>'UHV FGD'!$D$78</f>
        <v>169650</v>
      </c>
      <c r="E2126" s="390">
        <f>'UHV FGD'!$E$78</f>
        <v>4969408</v>
      </c>
      <c r="F2126" s="390">
        <f>'UHV FGD'!$F$78</f>
        <v>-1730132</v>
      </c>
      <c r="G2126" s="390">
        <f>'UHV FGD'!$G$78</f>
        <v>-6643786</v>
      </c>
      <c r="H2126" s="390">
        <f>'UHV FGD'!$H$78</f>
        <v>72073</v>
      </c>
      <c r="I2126" s="390">
        <f>'UHV FGD'!$I$78</f>
        <v>-606787</v>
      </c>
      <c r="J2126" s="390">
        <f>'UHV FGD'!$J$78</f>
        <v>-9907370</v>
      </c>
      <c r="K2126" s="390">
        <f>'UHV FGD'!$K$78</f>
        <v>-3178983</v>
      </c>
      <c r="L2126" s="390">
        <f>'UHV FGD'!$L$78</f>
        <v>7672301</v>
      </c>
      <c r="M2126" s="390">
        <f>'UHV FGD'!$M$78</f>
        <v>-9183626</v>
      </c>
      <c r="N2126" s="401"/>
    </row>
    <row r="2127" spans="2:14" s="160" customFormat="1" ht="12.75" hidden="1" customHeight="1" outlineLevel="1">
      <c r="B2127" s="674" t="str">
        <f>'UNT FGD'!$B$2</f>
        <v>University of North Texas</v>
      </c>
      <c r="D2127" s="390">
        <f>'UNT FGD'!$D$78</f>
        <v>-11548042</v>
      </c>
      <c r="E2127" s="390">
        <f>'UNT FGD'!$E$78</f>
        <v>-28686171</v>
      </c>
      <c r="F2127" s="390">
        <f>'UNT FGD'!$F$78</f>
        <v>-18401414</v>
      </c>
      <c r="G2127" s="390">
        <f>'UNT FGD'!$G$78</f>
        <v>-26332558</v>
      </c>
      <c r="H2127" s="390">
        <f>'UNT FGD'!$H$78</f>
        <v>-31415</v>
      </c>
      <c r="I2127" s="390">
        <f>'UNT FGD'!$I$78</f>
        <v>-3733219</v>
      </c>
      <c r="J2127" s="390">
        <f>'UNT FGD'!$J$78</f>
        <v>0</v>
      </c>
      <c r="K2127" s="390">
        <f>'UNT FGD'!$K$78</f>
        <v>10451438</v>
      </c>
      <c r="L2127" s="390">
        <f>'UNT FGD'!$L$78</f>
        <v>-1404294</v>
      </c>
      <c r="M2127" s="390">
        <f>'UNT FGD'!$M$78</f>
        <v>-79685675</v>
      </c>
      <c r="N2127" s="401"/>
    </row>
    <row r="2128" spans="2:14" s="160" customFormat="1" ht="12.75" hidden="1" customHeight="1" outlineLevel="1">
      <c r="B2128" s="674" t="str">
        <f>'UNTD FGD'!$B$2</f>
        <v>University of North Texas at Dallas</v>
      </c>
      <c r="D2128" s="390">
        <f>'UNTD FGD'!$D$78</f>
        <v>-8161519</v>
      </c>
      <c r="E2128" s="390">
        <f>'UNTD FGD'!$E$78</f>
        <v>9419388</v>
      </c>
      <c r="F2128" s="390">
        <f>'UNTD FGD'!$F$78</f>
        <v>622662</v>
      </c>
      <c r="G2128" s="390">
        <f>'UNTD FGD'!$G$78</f>
        <v>-4904769</v>
      </c>
      <c r="H2128" s="390">
        <f>'UNTD FGD'!$H$78</f>
        <v>0</v>
      </c>
      <c r="I2128" s="390">
        <f>'UNTD FGD'!$I$78</f>
        <v>-11019897</v>
      </c>
      <c r="J2128" s="390">
        <f>'UNTD FGD'!$J$78</f>
        <v>0</v>
      </c>
      <c r="K2128" s="390">
        <f>'UNTD FGD'!$K$78</f>
        <v>-2267274</v>
      </c>
      <c r="L2128" s="390">
        <f>'UNTD FGD'!$L$78</f>
        <v>4579998</v>
      </c>
      <c r="M2128" s="390">
        <f>'UNTD FGD'!$M$78</f>
        <v>-11731411</v>
      </c>
      <c r="N2128" s="401"/>
    </row>
    <row r="2129" spans="2:14" s="160" customFormat="1" ht="12.75" hidden="1" customHeight="1" outlineLevel="1">
      <c r="B2129" s="674" t="str">
        <f>'WTAMU FGD'!$B$2</f>
        <v>West Texas A&amp;M University</v>
      </c>
      <c r="D2129" s="390">
        <f>'WTAMU FGD'!$D$78</f>
        <v>-6645079</v>
      </c>
      <c r="E2129" s="390">
        <f>'WTAMU FGD'!$E$78</f>
        <v>12254922</v>
      </c>
      <c r="F2129" s="390">
        <f>'WTAMU FGD'!$F$78</f>
        <v>-3464667</v>
      </c>
      <c r="G2129" s="390">
        <f>'WTAMU FGD'!$G$78</f>
        <v>-27182395</v>
      </c>
      <c r="H2129" s="390">
        <f>'WTAMU FGD'!$H$78</f>
        <v>103787</v>
      </c>
      <c r="I2129" s="390">
        <f>'WTAMU FGD'!$I$78</f>
        <v>1396055</v>
      </c>
      <c r="J2129" s="390">
        <f>'WTAMU FGD'!$J$78</f>
        <v>9319711</v>
      </c>
      <c r="K2129" s="390">
        <f>'WTAMU FGD'!$K$78</f>
        <v>0</v>
      </c>
      <c r="L2129" s="390">
        <f>'WTAMU FGD'!$L$78</f>
        <v>0</v>
      </c>
      <c r="M2129" s="390">
        <f>'WTAMU FGD'!$M$78</f>
        <v>-14217666</v>
      </c>
      <c r="N2129" s="401"/>
    </row>
    <row r="2130" spans="2:14" s="160" customFormat="1" collapsed="1">
      <c r="B2130" s="162" t="s">
        <v>3</v>
      </c>
      <c r="C2130" s="162"/>
      <c r="D2130" s="581">
        <f t="shared" ref="D2130:M2130" si="56">SUM(D2094:D2129)</f>
        <v>-366712512</v>
      </c>
      <c r="E2130" s="581">
        <f t="shared" si="56"/>
        <v>-63545480</v>
      </c>
      <c r="F2130" s="581">
        <f t="shared" si="56"/>
        <v>-107155296</v>
      </c>
      <c r="G2130" s="581">
        <f t="shared" si="56"/>
        <v>-1108971173</v>
      </c>
      <c r="H2130" s="581">
        <f t="shared" si="56"/>
        <v>1745132</v>
      </c>
      <c r="I2130" s="581">
        <f t="shared" si="56"/>
        <v>138265658</v>
      </c>
      <c r="J2130" s="581">
        <f t="shared" si="56"/>
        <v>386983770</v>
      </c>
      <c r="K2130" s="581">
        <f t="shared" si="56"/>
        <v>8992224</v>
      </c>
      <c r="L2130" s="581">
        <f t="shared" si="56"/>
        <v>224865622</v>
      </c>
      <c r="M2130" s="581">
        <f t="shared" si="56"/>
        <v>-885532055</v>
      </c>
      <c r="N2130" s="401"/>
    </row>
    <row r="2131" spans="2:14" s="160" customFormat="1">
      <c r="D2131" s="390"/>
      <c r="E2131" s="390"/>
      <c r="F2131" s="390"/>
      <c r="G2131" s="390"/>
      <c r="H2131" s="390"/>
      <c r="I2131" s="390"/>
      <c r="J2131" s="390"/>
      <c r="K2131" s="390"/>
      <c r="L2131" s="390"/>
      <c r="M2131" s="390"/>
      <c r="N2131" s="401"/>
    </row>
    <row r="2132" spans="2:14" s="160" customFormat="1">
      <c r="B2132" s="172" t="s">
        <v>24</v>
      </c>
      <c r="C2132" s="172"/>
      <c r="D2132" s="390"/>
      <c r="E2132" s="390"/>
      <c r="F2132" s="390"/>
      <c r="G2132" s="390"/>
      <c r="H2132" s="390"/>
      <c r="I2132" s="390"/>
      <c r="J2132" s="390"/>
      <c r="K2132" s="390"/>
      <c r="L2132" s="390"/>
      <c r="M2132" s="390"/>
      <c r="N2132" s="401"/>
    </row>
    <row r="2133" spans="2:14" s="160" customFormat="1" ht="12.75" hidden="1" customHeight="1" outlineLevel="1">
      <c r="B2133" s="674" t="str">
        <f>'ARL FGD'!$B$2</f>
        <v>The University of Texas at Arlington</v>
      </c>
      <c r="C2133" s="172"/>
      <c r="D2133" s="390">
        <f>'ARL FGD'!$D$81</f>
        <v>0</v>
      </c>
      <c r="E2133" s="390">
        <f>'ARL FGD'!$E$81</f>
        <v>64916118</v>
      </c>
      <c r="F2133" s="390">
        <f>'ARL FGD'!$F$81</f>
        <v>2717888</v>
      </c>
      <c r="G2133" s="390">
        <f>'ARL FGD'!$G$81</f>
        <v>4160681</v>
      </c>
      <c r="H2133" s="390">
        <f>'ARL FGD'!$H$81</f>
        <v>-23312</v>
      </c>
      <c r="I2133" s="390">
        <f>'ARL FGD'!$I$81</f>
        <v>44959355</v>
      </c>
      <c r="J2133" s="390">
        <f>'ARL FGD'!$J$81</f>
        <v>5898917</v>
      </c>
      <c r="K2133" s="390">
        <f>'ARL FGD'!$K$81</f>
        <v>0</v>
      </c>
      <c r="L2133" s="390">
        <f>'ARL FGD'!$L$81</f>
        <v>0</v>
      </c>
      <c r="M2133" s="390">
        <f>'ARL FGD'!$M$81</f>
        <v>122629647</v>
      </c>
      <c r="N2133" s="401"/>
    </row>
    <row r="2134" spans="2:14" s="160" customFormat="1" ht="12.75" hidden="1" customHeight="1" outlineLevel="1">
      <c r="B2134" s="674" t="str">
        <f>'ASU FGD'!$B$2</f>
        <v>Angelo State University</v>
      </c>
      <c r="C2134" s="172"/>
      <c r="D2134" s="390">
        <f>'ASU FGD'!$D$81</f>
        <v>0</v>
      </c>
      <c r="E2134" s="390">
        <f>'ASU FGD'!$E$81</f>
        <v>2082271</v>
      </c>
      <c r="F2134" s="390">
        <f>'ASU FGD'!$F$81</f>
        <v>1650680</v>
      </c>
      <c r="G2134" s="390">
        <f>'ASU FGD'!$G$81</f>
        <v>506452</v>
      </c>
      <c r="H2134" s="390">
        <f>'ASU FGD'!$H$81</f>
        <v>0</v>
      </c>
      <c r="I2134" s="390">
        <f>'ASU FGD'!$I$81</f>
        <v>8777390</v>
      </c>
      <c r="J2134" s="390">
        <f>'ASU FGD'!$J$81</f>
        <v>0</v>
      </c>
      <c r="K2134" s="390">
        <f>'ASU FGD'!$K$81</f>
        <v>0</v>
      </c>
      <c r="L2134" s="390">
        <f>'ASU FGD'!$L$81</f>
        <v>0</v>
      </c>
      <c r="M2134" s="390">
        <f>'ASU FGD'!$M$81</f>
        <v>13016793</v>
      </c>
      <c r="N2134" s="401"/>
    </row>
    <row r="2135" spans="2:14" s="160" customFormat="1" ht="12.75" hidden="1" customHeight="1" outlineLevel="1">
      <c r="B2135" s="674" t="str">
        <f>'AUS1 FGD'!$B$2</f>
        <v>The University of Texas at Austin - Academic &amp; Health (A+H)</v>
      </c>
      <c r="C2135" s="172"/>
      <c r="D2135" s="390">
        <f>'AUS1 FGD'!$D$81</f>
        <v>8841424</v>
      </c>
      <c r="E2135" s="390">
        <f>'AUS1 FGD'!$E$81</f>
        <v>33878254</v>
      </c>
      <c r="F2135" s="390">
        <f>'AUS1 FGD'!$F$81</f>
        <v>-5452872</v>
      </c>
      <c r="G2135" s="390">
        <f>'AUS1 FGD'!$G$81</f>
        <v>15449162</v>
      </c>
      <c r="H2135" s="390">
        <f>'AUS1 FGD'!$H$81</f>
        <v>602215</v>
      </c>
      <c r="I2135" s="390">
        <f>'AUS1 FGD'!$I$81</f>
        <v>1212216533</v>
      </c>
      <c r="J2135" s="390">
        <f>'AUS1 FGD'!$J$81</f>
        <v>9599976</v>
      </c>
      <c r="K2135" s="390">
        <f>'AUS1 FGD'!$K$81</f>
        <v>0</v>
      </c>
      <c r="L2135" s="390">
        <f>'AUS1 FGD'!$L$81</f>
        <v>0</v>
      </c>
      <c r="M2135" s="390">
        <f>'AUS1 FGD'!$M$81</f>
        <v>1275134692</v>
      </c>
      <c r="N2135" s="401"/>
    </row>
    <row r="2136" spans="2:14" s="160" customFormat="1" ht="12.75" hidden="1" customHeight="1" outlineLevel="1">
      <c r="B2136" s="674" t="str">
        <f>'RGV1 FGD'!$B$2</f>
        <v>The University of Texas RGV - Academic &amp; Health (A+H)</v>
      </c>
      <c r="C2136" s="172"/>
      <c r="D2136" s="390">
        <f>'RGV1 FGD'!$D$81</f>
        <v>0</v>
      </c>
      <c r="E2136" s="390">
        <f>'RGV1 FGD'!$E$81</f>
        <v>10545330</v>
      </c>
      <c r="F2136" s="390">
        <f>'RGV1 FGD'!$F$81</f>
        <v>1767447</v>
      </c>
      <c r="G2136" s="390">
        <f>'RGV1 FGD'!$G$81</f>
        <v>257414</v>
      </c>
      <c r="H2136" s="390">
        <f>'RGV1 FGD'!$H$81</f>
        <v>91225</v>
      </c>
      <c r="I2136" s="390">
        <f>'RGV1 FGD'!$I$81</f>
        <v>18891890</v>
      </c>
      <c r="J2136" s="390">
        <f>'RGV1 FGD'!$J$81</f>
        <v>678066</v>
      </c>
      <c r="K2136" s="390">
        <f>'RGV1 FGD'!$K$81</f>
        <v>0</v>
      </c>
      <c r="L2136" s="390">
        <f>'RGV1 FGD'!$L$81</f>
        <v>0</v>
      </c>
      <c r="M2136" s="390">
        <f>'RGV1 FGD'!$M$81</f>
        <v>32231372</v>
      </c>
      <c r="N2136" s="401"/>
    </row>
    <row r="2137" spans="2:14" s="160" customFormat="1" ht="12.75" hidden="1" customHeight="1" outlineLevel="1">
      <c r="B2137" s="674" t="str">
        <f>'DAL FGD'!$B$2</f>
        <v>The University of Texas at Dallas</v>
      </c>
      <c r="C2137" s="172"/>
      <c r="D2137" s="390">
        <f>'DAL FGD'!$D$81</f>
        <v>0</v>
      </c>
      <c r="E2137" s="390">
        <f>'DAL FGD'!$E$81</f>
        <v>29441463</v>
      </c>
      <c r="F2137" s="390">
        <f>'DAL FGD'!$F$81</f>
        <v>0</v>
      </c>
      <c r="G2137" s="390">
        <f>'DAL FGD'!$G$81</f>
        <v>-431452</v>
      </c>
      <c r="H2137" s="390">
        <f>'DAL FGD'!$H$81</f>
        <v>0</v>
      </c>
      <c r="I2137" s="390">
        <f>'DAL FGD'!$I$81</f>
        <v>144491058</v>
      </c>
      <c r="J2137" s="390">
        <f>'DAL FGD'!$J$81</f>
        <v>0</v>
      </c>
      <c r="K2137" s="390">
        <f>'DAL FGD'!$K$81</f>
        <v>0</v>
      </c>
      <c r="L2137" s="390">
        <f>'DAL FGD'!$L$81</f>
        <v>0</v>
      </c>
      <c r="M2137" s="390">
        <f>'DAL FGD'!$M$81</f>
        <v>173501069</v>
      </c>
      <c r="N2137" s="401"/>
    </row>
    <row r="2138" spans="2:14" s="160" customFormat="1" ht="12.75" hidden="1" customHeight="1" outlineLevel="1">
      <c r="B2138" s="674" t="str">
        <f>'E-P FGD'!$B$2</f>
        <v>The University of Texas at El Paso</v>
      </c>
      <c r="C2138" s="172"/>
      <c r="D2138" s="390">
        <f>'E-P FGD'!$D$81</f>
        <v>0</v>
      </c>
      <c r="E2138" s="390">
        <f>'E-P FGD'!$E$81</f>
        <v>10599159</v>
      </c>
      <c r="F2138" s="390">
        <f>'E-P FGD'!$F$81</f>
        <v>0</v>
      </c>
      <c r="G2138" s="390">
        <f>'E-P FGD'!$G$81</f>
        <v>0</v>
      </c>
      <c r="H2138" s="390">
        <f>'E-P FGD'!$H$81</f>
        <v>0</v>
      </c>
      <c r="I2138" s="390">
        <f>'E-P FGD'!$I$81</f>
        <v>73729239</v>
      </c>
      <c r="J2138" s="390">
        <f>'E-P FGD'!$J$81</f>
        <v>0</v>
      </c>
      <c r="K2138" s="390">
        <f>'E-P FGD'!$K$81</f>
        <v>0</v>
      </c>
      <c r="L2138" s="390">
        <f>'E-P FGD'!$L$81</f>
        <v>0</v>
      </c>
      <c r="M2138" s="390">
        <f>'E-P FGD'!$M$81</f>
        <v>84328398</v>
      </c>
      <c r="N2138" s="401"/>
    </row>
    <row r="2139" spans="2:14" s="160" customFormat="1" ht="12.75" hidden="1" customHeight="1" outlineLevel="1">
      <c r="B2139" s="674" t="str">
        <f>'LU FGD'!$B$2</f>
        <v xml:space="preserve">Lamar University </v>
      </c>
      <c r="C2139" s="172"/>
      <c r="D2139" s="390">
        <f>'LU FGD'!$D$81</f>
        <v>0</v>
      </c>
      <c r="E2139" s="390">
        <f>'LU FGD'!$E$81</f>
        <v>0</v>
      </c>
      <c r="F2139" s="390">
        <f>'LU FGD'!$F$81</f>
        <v>0</v>
      </c>
      <c r="G2139" s="390">
        <f>'LU FGD'!$G$81</f>
        <v>0</v>
      </c>
      <c r="H2139" s="390">
        <f>'LU FGD'!$H$81</f>
        <v>0</v>
      </c>
      <c r="I2139" s="390">
        <f>'LU FGD'!$I$81</f>
        <v>4954863</v>
      </c>
      <c r="J2139" s="390">
        <f>'LU FGD'!$J$81</f>
        <v>0</v>
      </c>
      <c r="K2139" s="390">
        <f>'LU FGD'!$K$81</f>
        <v>0</v>
      </c>
      <c r="L2139" s="390">
        <f>'LU FGD'!$L$81</f>
        <v>0</v>
      </c>
      <c r="M2139" s="390">
        <f>'LU FGD'!$M$81</f>
        <v>4954863</v>
      </c>
      <c r="N2139" s="401"/>
    </row>
    <row r="2140" spans="2:14" s="160" customFormat="1" ht="12.75" hidden="1" customHeight="1" outlineLevel="1">
      <c r="B2140" s="674" t="str">
        <f>'MidWST FGD'!$B$2</f>
        <v>Midwestern State University</v>
      </c>
      <c r="C2140" s="172"/>
      <c r="D2140" s="390">
        <f>'MidWST FGD'!$D$81</f>
        <v>0</v>
      </c>
      <c r="E2140" s="390">
        <f>'MidWST FGD'!$E$81</f>
        <v>2591997</v>
      </c>
      <c r="F2140" s="390">
        <f>'MidWST FGD'!$F$81</f>
        <v>295990</v>
      </c>
      <c r="G2140" s="390">
        <f>'MidWST FGD'!$G$81</f>
        <v>557890</v>
      </c>
      <c r="H2140" s="390">
        <f>'MidWST FGD'!$H$81</f>
        <v>-67169</v>
      </c>
      <c r="I2140" s="390">
        <f>'MidWST FGD'!$I$81</f>
        <v>3978257</v>
      </c>
      <c r="J2140" s="390">
        <f>'MidWST FGD'!$J$81</f>
        <v>348373</v>
      </c>
      <c r="K2140" s="390">
        <f>'MidWST FGD'!$K$81</f>
        <v>0</v>
      </c>
      <c r="L2140" s="390">
        <f>'MidWST FGD'!$L$81</f>
        <v>0</v>
      </c>
      <c r="M2140" s="390">
        <f>'MidWST FGD'!$M$81</f>
        <v>7705338</v>
      </c>
      <c r="N2140" s="401"/>
    </row>
    <row r="2141" spans="2:14" s="160" customFormat="1" ht="12.75" hidden="1" customHeight="1" outlineLevel="1">
      <c r="B2141" s="674" t="str">
        <f>'P-B FGD'!$B$2</f>
        <v>The University of Texas of the Permian Basin</v>
      </c>
      <c r="C2141" s="172"/>
      <c r="D2141" s="390">
        <f>'P-B FGD'!$D$81</f>
        <v>0</v>
      </c>
      <c r="E2141" s="390">
        <f>'P-B FGD'!$E$81</f>
        <v>-701557</v>
      </c>
      <c r="F2141" s="390">
        <f>'P-B FGD'!$F$81</f>
        <v>0</v>
      </c>
      <c r="G2141" s="390">
        <f>'P-B FGD'!$G$81</f>
        <v>0</v>
      </c>
      <c r="H2141" s="390">
        <f>'P-B FGD'!$H$81</f>
        <v>0</v>
      </c>
      <c r="I2141" s="390">
        <f>'P-B FGD'!$I$81</f>
        <v>13857515</v>
      </c>
      <c r="J2141" s="390">
        <f>'P-B FGD'!$J$81</f>
        <v>0</v>
      </c>
      <c r="K2141" s="390">
        <f>'P-B FGD'!$K$81</f>
        <v>0</v>
      </c>
      <c r="L2141" s="390">
        <f>'P-B FGD'!$L$81</f>
        <v>0</v>
      </c>
      <c r="M2141" s="390">
        <f>'P-B FGD'!$M$81</f>
        <v>13155958</v>
      </c>
      <c r="N2141" s="401"/>
    </row>
    <row r="2142" spans="2:14" s="160" customFormat="1" ht="12.75" hidden="1" customHeight="1" outlineLevel="1">
      <c r="B2142" s="674" t="str">
        <f>'PVAMU FGD'!$B$2</f>
        <v>Prairie View A&amp;M University</v>
      </c>
      <c r="C2142" s="172"/>
      <c r="D2142" s="390">
        <f>'PVAMU FGD'!$D$81</f>
        <v>0</v>
      </c>
      <c r="E2142" s="390">
        <f>'PVAMU FGD'!$E$81</f>
        <v>14018084</v>
      </c>
      <c r="F2142" s="390">
        <f>'PVAMU FGD'!$F$81</f>
        <v>0</v>
      </c>
      <c r="G2142" s="390">
        <f>'PVAMU FGD'!$G$81</f>
        <v>0</v>
      </c>
      <c r="H2142" s="390">
        <f>'PVAMU FGD'!$H$81</f>
        <v>0</v>
      </c>
      <c r="I2142" s="390">
        <f>'PVAMU FGD'!$I$81</f>
        <v>16892673</v>
      </c>
      <c r="J2142" s="390">
        <f>'PVAMU FGD'!$J$81</f>
        <v>0</v>
      </c>
      <c r="K2142" s="390">
        <f>'PVAMU FGD'!$K$81</f>
        <v>0</v>
      </c>
      <c r="L2142" s="390">
        <f>'PVAMU FGD'!$L$81</f>
        <v>0</v>
      </c>
      <c r="M2142" s="390">
        <f>'PVAMU FGD'!$M$81</f>
        <v>30910757</v>
      </c>
      <c r="N2142" s="401"/>
    </row>
    <row r="2143" spans="2:14" s="160" customFormat="1" ht="12.75" hidden="1" customHeight="1" outlineLevel="1">
      <c r="B2143" s="674" t="str">
        <f>'S-A FGD'!$B$2</f>
        <v>The University of Texas at San Antonio</v>
      </c>
      <c r="C2143" s="172"/>
      <c r="D2143" s="390">
        <f>'S-A FGD'!$D$81</f>
        <v>0</v>
      </c>
      <c r="E2143" s="390">
        <f>'S-A FGD'!$E$81</f>
        <v>22750376</v>
      </c>
      <c r="F2143" s="390">
        <f>'S-A FGD'!$F$81</f>
        <v>4394742</v>
      </c>
      <c r="G2143" s="390">
        <f>'S-A FGD'!$G$81</f>
        <v>4604626</v>
      </c>
      <c r="H2143" s="390">
        <f>'S-A FGD'!$H$81</f>
        <v>0</v>
      </c>
      <c r="I2143" s="390">
        <f>'S-A FGD'!$I$81</f>
        <v>46500251</v>
      </c>
      <c r="J2143" s="390">
        <f>'S-A FGD'!$J$81</f>
        <v>0</v>
      </c>
      <c r="K2143" s="390">
        <f>'S-A FGD'!$K$81</f>
        <v>0</v>
      </c>
      <c r="L2143" s="390">
        <f>'S-A FGD'!$L$81</f>
        <v>0</v>
      </c>
      <c r="M2143" s="390">
        <f>'S-A FGD'!$M$81</f>
        <v>78249995</v>
      </c>
      <c r="N2143" s="401"/>
    </row>
    <row r="2144" spans="2:14" s="160" customFormat="1" ht="12.75" hidden="1" customHeight="1" outlineLevel="1">
      <c r="B2144" s="674" t="str">
        <f>'SFA FGD'!$B$2</f>
        <v>Stephen F. Austin State University</v>
      </c>
      <c r="C2144" s="172"/>
      <c r="D2144" s="390">
        <f>'SFA FGD'!$D$81</f>
        <v>0</v>
      </c>
      <c r="E2144" s="390">
        <f>'SFA FGD'!$E$81</f>
        <v>6378087</v>
      </c>
      <c r="F2144" s="390">
        <f>'SFA FGD'!$F$81</f>
        <v>1121322</v>
      </c>
      <c r="G2144" s="390">
        <f>'SFA FGD'!$G$81</f>
        <v>0</v>
      </c>
      <c r="H2144" s="390">
        <f>'SFA FGD'!$H$81</f>
        <v>0</v>
      </c>
      <c r="I2144" s="390">
        <f>'SFA FGD'!$I$81</f>
        <v>2847216</v>
      </c>
      <c r="J2144" s="390">
        <f>'SFA FGD'!$J$81</f>
        <v>0</v>
      </c>
      <c r="K2144" s="390">
        <f>'SFA FGD'!$K$81</f>
        <v>0</v>
      </c>
      <c r="L2144" s="390">
        <f>'SFA FGD'!$L$81</f>
        <v>-95477</v>
      </c>
      <c r="M2144" s="390">
        <f>'SFA FGD'!$M$81</f>
        <v>10251148</v>
      </c>
      <c r="N2144" s="401"/>
    </row>
    <row r="2145" spans="2:14" s="160" customFormat="1" ht="12.75" hidden="1" customHeight="1" outlineLevel="1">
      <c r="B2145" s="674" t="str">
        <f>'shsu1 FGD'!$B$2</f>
        <v>Sam Houston State University - Academic &amp; Health (A+H)</v>
      </c>
      <c r="C2145" s="172"/>
      <c r="D2145" s="390">
        <f>'shsu1 FGD'!$D$81</f>
        <v>0</v>
      </c>
      <c r="E2145" s="390">
        <f>'shsu1 FGD'!$E$81</f>
        <v>15685431</v>
      </c>
      <c r="F2145" s="390">
        <f>'shsu1 FGD'!$F$81</f>
        <v>0</v>
      </c>
      <c r="G2145" s="390">
        <f>'shsu1 FGD'!$G$81</f>
        <v>0</v>
      </c>
      <c r="H2145" s="390">
        <f>'shsu1 FGD'!$H$81</f>
        <v>0</v>
      </c>
      <c r="I2145" s="390">
        <f>'shsu1 FGD'!$I$81</f>
        <v>14660409</v>
      </c>
      <c r="J2145" s="390">
        <f>'shsu1 FGD'!$J$81</f>
        <v>0</v>
      </c>
      <c r="K2145" s="390">
        <f>'shsu1 FGD'!$K$81</f>
        <v>0</v>
      </c>
      <c r="L2145" s="390">
        <f>'shsu1 FGD'!$L$81</f>
        <v>0</v>
      </c>
      <c r="M2145" s="390">
        <f>'shsu1 FGD'!$M$81</f>
        <v>30345840</v>
      </c>
      <c r="N2145" s="401"/>
    </row>
    <row r="2146" spans="2:14" s="160" customFormat="1" ht="12.75" hidden="1" customHeight="1" outlineLevel="1">
      <c r="B2146" s="674" t="str">
        <f>'SRSU FGD'!$B$2</f>
        <v>Sul Ross State University</v>
      </c>
      <c r="C2146" s="172"/>
      <c r="D2146" s="390">
        <f>'SRSU FGD'!$D$81</f>
        <v>0</v>
      </c>
      <c r="E2146" s="390">
        <f>'SRSU FGD'!$E$81</f>
        <v>0</v>
      </c>
      <c r="F2146" s="390">
        <f>'SRSU FGD'!$F$81</f>
        <v>0</v>
      </c>
      <c r="G2146" s="390">
        <f>'SRSU FGD'!$G$81</f>
        <v>0</v>
      </c>
      <c r="H2146" s="390">
        <f>'SRSU FGD'!$H$81</f>
        <v>0</v>
      </c>
      <c r="I2146" s="390">
        <f>'SRSU FGD'!$I$81</f>
        <v>2258482</v>
      </c>
      <c r="J2146" s="390">
        <f>'SRSU FGD'!$J$81</f>
        <v>0</v>
      </c>
      <c r="K2146" s="390">
        <f>'SRSU FGD'!$K$81</f>
        <v>0</v>
      </c>
      <c r="L2146" s="390">
        <f>'SRSU FGD'!$L$81</f>
        <v>0</v>
      </c>
      <c r="M2146" s="390">
        <f>'SRSU FGD'!$M$81</f>
        <v>2258482</v>
      </c>
      <c r="N2146" s="401"/>
    </row>
    <row r="2147" spans="2:14" s="160" customFormat="1" ht="12.75" hidden="1" customHeight="1" outlineLevel="1">
      <c r="B2147" s="674" t="str">
        <f>'TAMIU FGD'!$B$2</f>
        <v>Texas A&amp;M International University</v>
      </c>
      <c r="C2147" s="172"/>
      <c r="D2147" s="390">
        <f>'TAMIU FGD'!$D$81</f>
        <v>8186343</v>
      </c>
      <c r="E2147" s="390">
        <f>'TAMIU FGD'!$E$81</f>
        <v>3045137</v>
      </c>
      <c r="F2147" s="390">
        <f>'TAMIU FGD'!$F$81</f>
        <v>735726</v>
      </c>
      <c r="G2147" s="390">
        <f>'TAMIU FGD'!$G$81</f>
        <v>349162</v>
      </c>
      <c r="H2147" s="390">
        <f>'TAMIU FGD'!$H$81</f>
        <v>0</v>
      </c>
      <c r="I2147" s="390">
        <f>'TAMIU FGD'!$I$81</f>
        <v>11143774</v>
      </c>
      <c r="J2147" s="390">
        <f>'TAMIU FGD'!$J$81</f>
        <v>0</v>
      </c>
      <c r="K2147" s="390">
        <f>'TAMIU FGD'!$K$81</f>
        <v>0</v>
      </c>
      <c r="L2147" s="390">
        <f>'TAMIU FGD'!$L$81</f>
        <v>0</v>
      </c>
      <c r="M2147" s="390">
        <f>'TAMIU FGD'!$M$81</f>
        <v>23460142</v>
      </c>
      <c r="N2147" s="401"/>
    </row>
    <row r="2148" spans="2:14" s="160" customFormat="1" ht="12.75" hidden="1" customHeight="1" outlineLevel="1">
      <c r="B2148" s="674" t="str">
        <f>'TAMU FGD'!$B$2</f>
        <v>Texas A&amp;M University</v>
      </c>
      <c r="C2148" s="172"/>
      <c r="D2148" s="390">
        <f>'TAMU FGD'!$D$81</f>
        <v>0</v>
      </c>
      <c r="E2148" s="390">
        <f>'TAMU FGD'!$E$81</f>
        <v>236540171</v>
      </c>
      <c r="F2148" s="390">
        <f>'TAMU FGD'!$F$81</f>
        <v>0</v>
      </c>
      <c r="G2148" s="390">
        <f>'TAMU FGD'!$G$81</f>
        <v>0</v>
      </c>
      <c r="H2148" s="390">
        <f>'TAMU FGD'!$H$81</f>
        <v>0</v>
      </c>
      <c r="I2148" s="390">
        <f>'TAMU FGD'!$I$81</f>
        <v>82991348</v>
      </c>
      <c r="J2148" s="390">
        <f>'TAMU FGD'!$J$81</f>
        <v>0</v>
      </c>
      <c r="K2148" s="390">
        <f>'TAMU FGD'!$K$81</f>
        <v>0</v>
      </c>
      <c r="L2148" s="390">
        <f>'TAMU FGD'!$L$81</f>
        <v>0</v>
      </c>
      <c r="M2148" s="390">
        <f>'TAMU FGD'!$M$81</f>
        <v>319531519</v>
      </c>
      <c r="N2148" s="401"/>
    </row>
    <row r="2149" spans="2:14" s="160" customFormat="1" ht="12.75" hidden="1" customHeight="1" outlineLevel="1">
      <c r="B2149" s="674" t="str">
        <f>'TAMUC FGD'!$B$2</f>
        <v>Texas A&amp;M University - Commerce</v>
      </c>
      <c r="C2149" s="172"/>
      <c r="D2149" s="390">
        <f>'TAMUC FGD'!$D$81</f>
        <v>-163818</v>
      </c>
      <c r="E2149" s="390">
        <f>'TAMUC FGD'!$E$81</f>
        <v>12062293</v>
      </c>
      <c r="F2149" s="390">
        <f>'TAMUC FGD'!$F$81</f>
        <v>2799243</v>
      </c>
      <c r="G2149" s="390">
        <f>'TAMUC FGD'!$G$81</f>
        <v>879266</v>
      </c>
      <c r="H2149" s="390">
        <f>'TAMUC FGD'!$H$81</f>
        <v>168701</v>
      </c>
      <c r="I2149" s="390">
        <f>'TAMUC FGD'!$I$81</f>
        <v>276923</v>
      </c>
      <c r="J2149" s="390">
        <f>'TAMUC FGD'!$J$81</f>
        <v>2910080</v>
      </c>
      <c r="K2149" s="390">
        <f>'TAMUC FGD'!$K$81</f>
        <v>0</v>
      </c>
      <c r="L2149" s="390">
        <f>'TAMUC FGD'!$L$81</f>
        <v>0</v>
      </c>
      <c r="M2149" s="390">
        <f>'TAMUC FGD'!$M$81</f>
        <v>18932688</v>
      </c>
      <c r="N2149" s="401"/>
    </row>
    <row r="2150" spans="2:14" s="160" customFormat="1" ht="12.75" hidden="1" customHeight="1" outlineLevel="1">
      <c r="B2150" s="674" t="str">
        <f>'TAMUCC FGD'!$B$2</f>
        <v>Texas A&amp;M University - Corpus Christi</v>
      </c>
      <c r="C2150" s="172"/>
      <c r="D2150" s="390">
        <f>'TAMUCC FGD'!$D$81</f>
        <v>0</v>
      </c>
      <c r="E2150" s="390">
        <f>'TAMUCC FGD'!$E$81</f>
        <v>13890053</v>
      </c>
      <c r="F2150" s="390">
        <f>'TAMUCC FGD'!$F$81</f>
        <v>4993249</v>
      </c>
      <c r="G2150" s="390">
        <f>'TAMUCC FGD'!$G$81</f>
        <v>-4066727</v>
      </c>
      <c r="H2150" s="390">
        <f>'TAMUCC FGD'!$H$81</f>
        <v>251380</v>
      </c>
      <c r="I2150" s="390">
        <f>'TAMUCC FGD'!$I$81</f>
        <v>3099403</v>
      </c>
      <c r="J2150" s="390">
        <f>'TAMUCC FGD'!$J$81</f>
        <v>609942</v>
      </c>
      <c r="K2150" s="390">
        <f>'TAMUCC FGD'!$K$81</f>
        <v>0</v>
      </c>
      <c r="L2150" s="390">
        <f>'TAMUCC FGD'!$L$81</f>
        <v>0</v>
      </c>
      <c r="M2150" s="390">
        <f>'TAMUCC FGD'!$M$81</f>
        <v>18777300</v>
      </c>
      <c r="N2150" s="401"/>
    </row>
    <row r="2151" spans="2:14" s="160" customFormat="1" ht="12.75" hidden="1" customHeight="1" outlineLevel="1">
      <c r="B2151" s="674" t="str">
        <f>'TAMUCT FGD'!$B$2</f>
        <v>Texas A&amp;M University - Central Texas</v>
      </c>
      <c r="C2151" s="172"/>
      <c r="D2151" s="390">
        <f>'TAMUCT FGD'!$D$81</f>
        <v>308628</v>
      </c>
      <c r="E2151" s="390">
        <f>'TAMUCT FGD'!$E$81</f>
        <v>2073883</v>
      </c>
      <c r="F2151" s="390">
        <f>'TAMUCT FGD'!$F$81</f>
        <v>0</v>
      </c>
      <c r="G2151" s="390">
        <f>'TAMUCT FGD'!$G$81</f>
        <v>0</v>
      </c>
      <c r="H2151" s="390">
        <f>'TAMUCT FGD'!$H$81</f>
        <v>0</v>
      </c>
      <c r="I2151" s="390">
        <f>'TAMUCT FGD'!$I$81</f>
        <v>162381</v>
      </c>
      <c r="J2151" s="390">
        <f>'TAMUCT FGD'!$J$81</f>
        <v>0</v>
      </c>
      <c r="K2151" s="390">
        <f>'TAMUCT FGD'!$K$81</f>
        <v>0</v>
      </c>
      <c r="L2151" s="390">
        <f>'TAMUCT FGD'!$L$81</f>
        <v>0</v>
      </c>
      <c r="M2151" s="390">
        <f>'TAMUCT FGD'!$M$81</f>
        <v>2544892</v>
      </c>
      <c r="N2151" s="401"/>
    </row>
    <row r="2152" spans="2:14" s="160" customFormat="1" ht="12.75" hidden="1" customHeight="1" outlineLevel="1">
      <c r="B2152" s="674" t="str">
        <f>'TAMUG FGD'!$B$2</f>
        <v>Texas A&amp;M University at Galveston</v>
      </c>
      <c r="C2152" s="172"/>
      <c r="D2152" s="390">
        <f>'TAMUG FGD'!$D$81</f>
        <v>0</v>
      </c>
      <c r="E2152" s="390">
        <f>'TAMUG FGD'!$E$81</f>
        <v>7510918</v>
      </c>
      <c r="F2152" s="390">
        <f>'TAMUG FGD'!$F$81</f>
        <v>0</v>
      </c>
      <c r="G2152" s="390">
        <f>'TAMUG FGD'!$G$81</f>
        <v>0</v>
      </c>
      <c r="H2152" s="390">
        <f>'TAMUG FGD'!$H$81</f>
        <v>0</v>
      </c>
      <c r="I2152" s="390">
        <f>'TAMUG FGD'!$I$81</f>
        <v>706195</v>
      </c>
      <c r="J2152" s="390">
        <f>'TAMUG FGD'!$J$81</f>
        <v>0</v>
      </c>
      <c r="K2152" s="390">
        <f>'TAMUG FGD'!$K$81</f>
        <v>0</v>
      </c>
      <c r="L2152" s="390">
        <f>'TAMUG FGD'!$L$81</f>
        <v>0</v>
      </c>
      <c r="M2152" s="390">
        <f>'TAMUG FGD'!$M$81</f>
        <v>8217113</v>
      </c>
      <c r="N2152" s="401"/>
    </row>
    <row r="2153" spans="2:14" s="160" customFormat="1" ht="12.75" hidden="1" customHeight="1" outlineLevel="1">
      <c r="B2153" s="674" t="str">
        <f>'TAMUK FGD'!$B$2</f>
        <v>Texas A&amp;M University - Kingsville</v>
      </c>
      <c r="C2153" s="172"/>
      <c r="D2153" s="390">
        <f>'TAMUK FGD'!$D$81</f>
        <v>0</v>
      </c>
      <c r="E2153" s="390">
        <f>'TAMUK FGD'!$E$81</f>
        <v>8775136</v>
      </c>
      <c r="F2153" s="390">
        <f>'TAMUK FGD'!$F$81</f>
        <v>0</v>
      </c>
      <c r="G2153" s="390">
        <f>'TAMUK FGD'!$G$81</f>
        <v>2973914</v>
      </c>
      <c r="H2153" s="390">
        <f>'TAMUK FGD'!$H$81</f>
        <v>72625</v>
      </c>
      <c r="I2153" s="390">
        <f>'TAMUK FGD'!$I$81</f>
        <v>4410933</v>
      </c>
      <c r="J2153" s="390">
        <f>'TAMUK FGD'!$J$81</f>
        <v>0</v>
      </c>
      <c r="K2153" s="390">
        <f>'TAMUK FGD'!$K$81</f>
        <v>0</v>
      </c>
      <c r="L2153" s="390">
        <f>'TAMUK FGD'!$L$81</f>
        <v>0</v>
      </c>
      <c r="M2153" s="390">
        <f>'TAMUK FGD'!$M$81</f>
        <v>16232608</v>
      </c>
      <c r="N2153" s="401"/>
    </row>
    <row r="2154" spans="2:14" s="160" customFormat="1" ht="12.75" hidden="1" customHeight="1" outlineLevel="1">
      <c r="B2154" s="674" t="str">
        <f>'TAMUSA FGD'!$B$2</f>
        <v>Texas A&amp;M University - San Antonio</v>
      </c>
      <c r="C2154" s="172"/>
      <c r="D2154" s="390">
        <f>'TAMUSA FGD'!$D$81</f>
        <v>0</v>
      </c>
      <c r="E2154" s="390">
        <f>'TAMUSA FGD'!$E$81</f>
        <v>4825886</v>
      </c>
      <c r="F2154" s="390">
        <f>'TAMUSA FGD'!$F$81</f>
        <v>560135</v>
      </c>
      <c r="G2154" s="390">
        <f>'TAMUSA FGD'!$G$81</f>
        <v>0</v>
      </c>
      <c r="H2154" s="390">
        <f>'TAMUSA FGD'!$H$81</f>
        <v>262665</v>
      </c>
      <c r="I2154" s="390">
        <f>'TAMUSA FGD'!$I$81</f>
        <v>46658</v>
      </c>
      <c r="J2154" s="390">
        <f>'TAMUSA FGD'!$J$81</f>
        <v>21460</v>
      </c>
      <c r="K2154" s="390">
        <f>'TAMUSA FGD'!$K$81</f>
        <v>0</v>
      </c>
      <c r="L2154" s="390">
        <f>'TAMUSA FGD'!$L$81</f>
        <v>0</v>
      </c>
      <c r="M2154" s="390">
        <f>'TAMUSA FGD'!$M$81</f>
        <v>5716804</v>
      </c>
      <c r="N2154" s="401"/>
    </row>
    <row r="2155" spans="2:14" s="160" customFormat="1" ht="12.75" hidden="1" customHeight="1" outlineLevel="1">
      <c r="B2155" s="674" t="str">
        <f>'TAMUT FGD'!$B$2</f>
        <v>Texas A&amp;M University - Texarkana</v>
      </c>
      <c r="C2155" s="172"/>
      <c r="D2155" s="390">
        <f>'TAMUT FGD'!$D$81</f>
        <v>0</v>
      </c>
      <c r="E2155" s="390">
        <f>'TAMUT FGD'!$E$81</f>
        <v>2766919</v>
      </c>
      <c r="F2155" s="390">
        <f>'TAMUT FGD'!$F$81</f>
        <v>216082</v>
      </c>
      <c r="G2155" s="390">
        <f>'TAMUT FGD'!$G$81</f>
        <v>-52437</v>
      </c>
      <c r="H2155" s="390">
        <f>'TAMUT FGD'!$H$81</f>
        <v>0</v>
      </c>
      <c r="I2155" s="390">
        <f>'TAMUT FGD'!$I$81</f>
        <v>1476268</v>
      </c>
      <c r="J2155" s="390">
        <f>'TAMUT FGD'!$J$81</f>
        <v>0</v>
      </c>
      <c r="K2155" s="390">
        <f>'TAMUT FGD'!$K$81</f>
        <v>0</v>
      </c>
      <c r="L2155" s="390">
        <f>'TAMUT FGD'!$L$81</f>
        <v>0</v>
      </c>
      <c r="M2155" s="390">
        <f>'TAMUT FGD'!$M$81</f>
        <v>4406832</v>
      </c>
      <c r="N2155" s="401"/>
    </row>
    <row r="2156" spans="2:14" s="160" customFormat="1" ht="12.75" hidden="1" customHeight="1" outlineLevel="1">
      <c r="B2156" s="674" t="str">
        <f>'TARLST FGD'!$B$2</f>
        <v>Tarleton State University</v>
      </c>
      <c r="C2156" s="172"/>
      <c r="D2156" s="390">
        <f>'TARLST FGD'!$D$81</f>
        <v>324869</v>
      </c>
      <c r="E2156" s="390">
        <f>'TARLST FGD'!$E$81</f>
        <v>11981110</v>
      </c>
      <c r="F2156" s="390">
        <f>'TARLST FGD'!$F$81</f>
        <v>1259800</v>
      </c>
      <c r="G2156" s="390">
        <f>'TARLST FGD'!$G$81</f>
        <v>856104</v>
      </c>
      <c r="H2156" s="390">
        <f>'TARLST FGD'!$H$81</f>
        <v>302169</v>
      </c>
      <c r="I2156" s="390">
        <f>'TARLST FGD'!$I$81</f>
        <v>7746119</v>
      </c>
      <c r="J2156" s="390">
        <f>'TARLST FGD'!$J$81</f>
        <v>1849485</v>
      </c>
      <c r="K2156" s="390">
        <f>'TARLST FGD'!$K$81</f>
        <v>0</v>
      </c>
      <c r="L2156" s="390">
        <f>'TARLST FGD'!$L$81</f>
        <v>0</v>
      </c>
      <c r="M2156" s="390">
        <f>'TARLST FGD'!$M$81</f>
        <v>24319656</v>
      </c>
      <c r="N2156" s="401"/>
    </row>
    <row r="2157" spans="2:14" s="160" customFormat="1" ht="12.75" hidden="1" customHeight="1" outlineLevel="1">
      <c r="B2157" s="674" t="str">
        <f>'TSU FGD'!$B$2</f>
        <v>Texas Southern University</v>
      </c>
      <c r="C2157" s="172"/>
      <c r="D2157" s="390">
        <f>'TSU FGD'!$D$81</f>
        <v>85431864</v>
      </c>
      <c r="E2157" s="390">
        <f>'TSU FGD'!$E$81</f>
        <v>709272</v>
      </c>
      <c r="F2157" s="390">
        <f>'TSU FGD'!$F$81</f>
        <v>0</v>
      </c>
      <c r="G2157" s="390">
        <f>'TSU FGD'!$G$81</f>
        <v>0</v>
      </c>
      <c r="H2157" s="390">
        <f>'TSU FGD'!$H$81</f>
        <v>0</v>
      </c>
      <c r="I2157" s="390">
        <f>'TSU FGD'!$I$81</f>
        <v>16166641</v>
      </c>
      <c r="J2157" s="390">
        <f>'TSU FGD'!$J$81</f>
        <v>0</v>
      </c>
      <c r="K2157" s="390">
        <f>'TSU FGD'!$K$81</f>
        <v>0</v>
      </c>
      <c r="L2157" s="390">
        <f>'TSU FGD'!$L$81</f>
        <v>0</v>
      </c>
      <c r="M2157" s="390">
        <f>'TSU FGD'!$M$81</f>
        <v>102307777</v>
      </c>
      <c r="N2157" s="401"/>
    </row>
    <row r="2158" spans="2:14" s="160" customFormat="1" ht="12.75" hidden="1" customHeight="1" outlineLevel="1">
      <c r="B2158" s="674" t="str">
        <f>'TTU FGD'!$B$2</f>
        <v>Texas Tech University</v>
      </c>
      <c r="C2158" s="172"/>
      <c r="D2158" s="390">
        <f>'TTU FGD'!$D$81</f>
        <v>0</v>
      </c>
      <c r="E2158" s="390">
        <f>'TTU FGD'!$E$81</f>
        <v>40452108</v>
      </c>
      <c r="F2158" s="390">
        <f>'TTU FGD'!$F$81</f>
        <v>8454897</v>
      </c>
      <c r="G2158" s="390">
        <f>'TTU FGD'!$G$81</f>
        <v>6928610</v>
      </c>
      <c r="H2158" s="390">
        <f>'TTU FGD'!$H$81</f>
        <v>306694</v>
      </c>
      <c r="I2158" s="390">
        <f>'TTU FGD'!$I$81</f>
        <v>69182308</v>
      </c>
      <c r="J2158" s="390">
        <f>'TTU FGD'!$J$81</f>
        <v>1298081</v>
      </c>
      <c r="K2158" s="390">
        <f>'TTU FGD'!$K$81</f>
        <v>3199871</v>
      </c>
      <c r="L2158" s="390">
        <f>'TTU FGD'!$L$81</f>
        <v>0</v>
      </c>
      <c r="M2158" s="390">
        <f>'TTU FGD'!$M$81</f>
        <v>129822569</v>
      </c>
      <c r="N2158" s="401"/>
    </row>
    <row r="2159" spans="2:14" s="160" customFormat="1" ht="12.75" hidden="1" customHeight="1" outlineLevel="1">
      <c r="B2159" s="674" t="str">
        <f>'TWU FGD'!$B$2</f>
        <v>Texas Woman's University</v>
      </c>
      <c r="C2159" s="172"/>
      <c r="D2159" s="390">
        <f>'TWU FGD'!$D$81</f>
        <v>0</v>
      </c>
      <c r="E2159" s="390">
        <f>'TWU FGD'!$E$81</f>
        <v>21789315</v>
      </c>
      <c r="F2159" s="390">
        <f>'TWU FGD'!$F$81</f>
        <v>0</v>
      </c>
      <c r="G2159" s="390">
        <f>'TWU FGD'!$G$81</f>
        <v>0</v>
      </c>
      <c r="H2159" s="390">
        <f>'TWU FGD'!$H$81</f>
        <v>0</v>
      </c>
      <c r="I2159" s="390">
        <f>'TWU FGD'!$I$81</f>
        <v>3175476</v>
      </c>
      <c r="J2159" s="390">
        <f>'TWU FGD'!$J$81</f>
        <v>0</v>
      </c>
      <c r="K2159" s="390">
        <f>'TWU FGD'!$K$81</f>
        <v>0</v>
      </c>
      <c r="L2159" s="390">
        <f>'TWU FGD'!$L$81</f>
        <v>0</v>
      </c>
      <c r="M2159" s="390">
        <f>'TWU FGD'!$M$81</f>
        <v>24964791</v>
      </c>
      <c r="N2159" s="401"/>
    </row>
    <row r="2160" spans="2:14" s="160" customFormat="1" ht="12.75" hidden="1" customHeight="1" outlineLevel="1">
      <c r="B2160" s="674" t="str">
        <f>'TXST FGD'!$B$2</f>
        <v>Texas State University</v>
      </c>
      <c r="C2160" s="172"/>
      <c r="D2160" s="390">
        <f>'TXST FGD'!$D$81</f>
        <v>0</v>
      </c>
      <c r="E2160" s="390">
        <f>'TXST FGD'!$E$81</f>
        <v>0</v>
      </c>
      <c r="F2160" s="390">
        <f>'TXST FGD'!$F$81</f>
        <v>0</v>
      </c>
      <c r="G2160" s="390">
        <f>'TXST FGD'!$G$81</f>
        <v>0</v>
      </c>
      <c r="H2160" s="390">
        <f>'TXST FGD'!$H$81</f>
        <v>0</v>
      </c>
      <c r="I2160" s="390">
        <f>'TXST FGD'!$I$81</f>
        <v>11401898</v>
      </c>
      <c r="J2160" s="390">
        <f>'TXST FGD'!$J$81</f>
        <v>0</v>
      </c>
      <c r="K2160" s="390">
        <f>'TXST FGD'!$K$81</f>
        <v>0</v>
      </c>
      <c r="L2160" s="390">
        <f>'TXST FGD'!$L$81</f>
        <v>7637315</v>
      </c>
      <c r="M2160" s="390">
        <f>'TXST FGD'!$M$81</f>
        <v>19039213</v>
      </c>
      <c r="N2160" s="401"/>
    </row>
    <row r="2161" spans="2:14" s="160" customFormat="1" ht="12.75" hidden="1" customHeight="1" outlineLevel="1">
      <c r="B2161" s="674" t="str">
        <f>'TYL FGD'!$B$2</f>
        <v>The University of Texas at Tyler</v>
      </c>
      <c r="C2161" s="172"/>
      <c r="D2161" s="390">
        <f>'TYL FGD'!$D$81</f>
        <v>0</v>
      </c>
      <c r="E2161" s="390">
        <f>'TYL FGD'!$E$81</f>
        <v>79861</v>
      </c>
      <c r="F2161" s="390">
        <f>'TYL FGD'!$F$81</f>
        <v>0</v>
      </c>
      <c r="G2161" s="390">
        <f>'TYL FGD'!$G$81</f>
        <v>0</v>
      </c>
      <c r="H2161" s="390">
        <f>'TYL FGD'!$H$81</f>
        <v>0</v>
      </c>
      <c r="I2161" s="390">
        <f>'TYL FGD'!$I$81</f>
        <v>25963862</v>
      </c>
      <c r="J2161" s="390">
        <f>'TYL FGD'!$J$81</f>
        <v>0</v>
      </c>
      <c r="K2161" s="390">
        <f>'TYL FGD'!$K$81</f>
        <v>0</v>
      </c>
      <c r="L2161" s="390">
        <f>'TYL FGD'!$L$81</f>
        <v>0</v>
      </c>
      <c r="M2161" s="390">
        <f>'TYL FGD'!$M$81</f>
        <v>26043723</v>
      </c>
      <c r="N2161" s="401"/>
    </row>
    <row r="2162" spans="2:14" s="160" customFormat="1" ht="12.75" hidden="1" customHeight="1" outlineLevel="1">
      <c r="B2162" s="674" t="str">
        <f>'UH1 FGD'!$B$2</f>
        <v>University of Houston - Academic &amp; Health (A+H)</v>
      </c>
      <c r="C2162" s="172"/>
      <c r="D2162" s="390">
        <f>'UH1 FGD'!$D$81</f>
        <v>0</v>
      </c>
      <c r="E2162" s="390">
        <f>'UH1 FGD'!$E$81</f>
        <v>-4254641</v>
      </c>
      <c r="F2162" s="390">
        <f>'UH1 FGD'!$F$81</f>
        <v>0</v>
      </c>
      <c r="G2162" s="390">
        <f>'UH1 FGD'!$G$81</f>
        <v>0</v>
      </c>
      <c r="H2162" s="390">
        <f>'UH1 FGD'!$H$81</f>
        <v>0</v>
      </c>
      <c r="I2162" s="390">
        <f>'UH1 FGD'!$I$81</f>
        <v>121230358</v>
      </c>
      <c r="J2162" s="390">
        <f>'UH1 FGD'!$J$81</f>
        <v>0</v>
      </c>
      <c r="K2162" s="390">
        <f>'UH1 FGD'!$K$81</f>
        <v>0</v>
      </c>
      <c r="L2162" s="390">
        <f>'UH1 FGD'!$L$81</f>
        <v>0</v>
      </c>
      <c r="M2162" s="390">
        <f>'UH1 FGD'!$M$81</f>
        <v>116975717</v>
      </c>
      <c r="N2162" s="401"/>
    </row>
    <row r="2163" spans="2:14" s="160" customFormat="1" ht="12.75" hidden="1" customHeight="1" outlineLevel="1">
      <c r="B2163" s="674" t="str">
        <f>'UHCL FGD'!$B$2</f>
        <v>University of Houston - Clear Lake</v>
      </c>
      <c r="C2163" s="172"/>
      <c r="D2163" s="390">
        <f>'UHCL FGD'!$D$81</f>
        <v>0</v>
      </c>
      <c r="E2163" s="390">
        <f>'UHCL FGD'!$E$81</f>
        <v>-305368</v>
      </c>
      <c r="F2163" s="390">
        <f>'UHCL FGD'!$F$81</f>
        <v>0</v>
      </c>
      <c r="G2163" s="390">
        <f>'UHCL FGD'!$G$81</f>
        <v>0</v>
      </c>
      <c r="H2163" s="390">
        <f>'UHCL FGD'!$H$81</f>
        <v>0</v>
      </c>
      <c r="I2163" s="390">
        <f>'UHCL FGD'!$I$81</f>
        <v>4946232</v>
      </c>
      <c r="J2163" s="390">
        <f>'UHCL FGD'!$J$81</f>
        <v>0</v>
      </c>
      <c r="K2163" s="390">
        <f>'UHCL FGD'!$K$81</f>
        <v>0</v>
      </c>
      <c r="L2163" s="390">
        <f>'UHCL FGD'!$L$81</f>
        <v>0</v>
      </c>
      <c r="M2163" s="390">
        <f>'UHCL FGD'!$M$81</f>
        <v>4640864</v>
      </c>
      <c r="N2163" s="401"/>
    </row>
    <row r="2164" spans="2:14" s="160" customFormat="1" ht="12.75" hidden="1" customHeight="1" outlineLevel="1">
      <c r="B2164" s="674" t="str">
        <f>'UHD FGD'!$B$2</f>
        <v>University of Houston - Downtown</v>
      </c>
      <c r="C2164" s="172"/>
      <c r="D2164" s="390">
        <f>'UHD FGD'!$D$81</f>
        <v>0</v>
      </c>
      <c r="E2164" s="390">
        <f>'UHD FGD'!$E$81</f>
        <v>-388940</v>
      </c>
      <c r="F2164" s="390">
        <f>'UHD FGD'!$F$81</f>
        <v>0</v>
      </c>
      <c r="G2164" s="390">
        <f>'UHD FGD'!$G$81</f>
        <v>0</v>
      </c>
      <c r="H2164" s="390">
        <f>'UHD FGD'!$H$81</f>
        <v>0</v>
      </c>
      <c r="I2164" s="390">
        <f>'UHD FGD'!$I$81</f>
        <v>6973334</v>
      </c>
      <c r="J2164" s="390">
        <f>'UHD FGD'!$J$81</f>
        <v>0</v>
      </c>
      <c r="K2164" s="390">
        <f>'UHD FGD'!$K$81</f>
        <v>0</v>
      </c>
      <c r="L2164" s="390">
        <f>'UHD FGD'!$L$81</f>
        <v>0</v>
      </c>
      <c r="M2164" s="390">
        <f>'UHD FGD'!$M$81</f>
        <v>6584394</v>
      </c>
      <c r="N2164" s="401"/>
    </row>
    <row r="2165" spans="2:14" s="160" customFormat="1" ht="12.75" hidden="1" customHeight="1" outlineLevel="1">
      <c r="B2165" s="674" t="str">
        <f>'UHV FGD'!$B$2</f>
        <v>University of Houston - Victoria</v>
      </c>
      <c r="C2165" s="172"/>
      <c r="D2165" s="390">
        <f>'UHV FGD'!$D$81</f>
        <v>0</v>
      </c>
      <c r="E2165" s="390">
        <f>'UHV FGD'!$E$81</f>
        <v>-10596</v>
      </c>
      <c r="F2165" s="390">
        <f>'UHV FGD'!$F$81</f>
        <v>0</v>
      </c>
      <c r="G2165" s="390">
        <f>'UHV FGD'!$G$81</f>
        <v>0</v>
      </c>
      <c r="H2165" s="390">
        <f>'UHV FGD'!$H$81</f>
        <v>0</v>
      </c>
      <c r="I2165" s="390">
        <f>'UHV FGD'!$I$81</f>
        <v>2397195</v>
      </c>
      <c r="J2165" s="390">
        <f>'UHV FGD'!$J$81</f>
        <v>0</v>
      </c>
      <c r="K2165" s="390">
        <f>'UHV FGD'!$K$81</f>
        <v>0</v>
      </c>
      <c r="L2165" s="390">
        <f>'UHV FGD'!$L$81</f>
        <v>0</v>
      </c>
      <c r="M2165" s="390">
        <f>'UHV FGD'!$M$81</f>
        <v>2386599</v>
      </c>
      <c r="N2165" s="401"/>
    </row>
    <row r="2166" spans="2:14" s="160" customFormat="1" ht="12.75" hidden="1" customHeight="1" outlineLevel="1">
      <c r="B2166" s="674" t="str">
        <f>'UNT FGD'!$B$2</f>
        <v>University of North Texas</v>
      </c>
      <c r="C2166" s="172"/>
      <c r="D2166" s="390">
        <f>'UNT FGD'!$D$81</f>
        <v>0</v>
      </c>
      <c r="E2166" s="390">
        <f>'UNT FGD'!$E$81</f>
        <v>22722470</v>
      </c>
      <c r="F2166" s="390">
        <f>'UNT FGD'!$F$81</f>
        <v>0</v>
      </c>
      <c r="G2166" s="390">
        <f>'UNT FGD'!$G$81</f>
        <v>0</v>
      </c>
      <c r="H2166" s="390">
        <f>'UNT FGD'!$H$81</f>
        <v>0</v>
      </c>
      <c r="I2166" s="390">
        <f>'UNT FGD'!$I$81</f>
        <v>6563714</v>
      </c>
      <c r="J2166" s="390">
        <f>'UNT FGD'!$J$81</f>
        <v>0</v>
      </c>
      <c r="K2166" s="390">
        <f>'UNT FGD'!$K$81</f>
        <v>0</v>
      </c>
      <c r="L2166" s="390">
        <f>'UNT FGD'!$L$81</f>
        <v>0</v>
      </c>
      <c r="M2166" s="390">
        <f>'UNT FGD'!$M$81</f>
        <v>29286184</v>
      </c>
      <c r="N2166" s="401"/>
    </row>
    <row r="2167" spans="2:14" s="160" customFormat="1" ht="12.75" hidden="1" customHeight="1" outlineLevel="1">
      <c r="B2167" s="674" t="str">
        <f>'UNTD FGD'!$B$2</f>
        <v>University of North Texas at Dallas</v>
      </c>
      <c r="C2167" s="172"/>
      <c r="D2167" s="390">
        <f>'UNTD FGD'!$D$81</f>
        <v>0</v>
      </c>
      <c r="E2167" s="390">
        <f>'UNTD FGD'!$E$81</f>
        <v>1793758</v>
      </c>
      <c r="F2167" s="390">
        <f>'UNTD FGD'!$F$81</f>
        <v>0</v>
      </c>
      <c r="G2167" s="390">
        <f>'UNTD FGD'!$G$81</f>
        <v>0</v>
      </c>
      <c r="H2167" s="390">
        <f>'UNTD FGD'!$H$81</f>
        <v>0</v>
      </c>
      <c r="I2167" s="390">
        <f>'UNTD FGD'!$I$81</f>
        <v>136769</v>
      </c>
      <c r="J2167" s="390">
        <f>'UNTD FGD'!$J$81</f>
        <v>0</v>
      </c>
      <c r="K2167" s="390">
        <f>'UNTD FGD'!$K$81</f>
        <v>0</v>
      </c>
      <c r="L2167" s="390">
        <f>'UNTD FGD'!$L$81</f>
        <v>0</v>
      </c>
      <c r="M2167" s="390">
        <f>'UNTD FGD'!$M$81</f>
        <v>1930527</v>
      </c>
      <c r="N2167" s="401"/>
    </row>
    <row r="2168" spans="2:14" s="160" customFormat="1" ht="12.75" hidden="1" customHeight="1" outlineLevel="1">
      <c r="B2168" s="674" t="str">
        <f>'WTAMU FGD'!$B$2</f>
        <v>West Texas A&amp;M University</v>
      </c>
      <c r="C2168" s="172"/>
      <c r="D2168" s="390">
        <f>'WTAMU FGD'!$D$81</f>
        <v>-33644</v>
      </c>
      <c r="E2168" s="390">
        <f>'WTAMU FGD'!$E$81</f>
        <v>10746236</v>
      </c>
      <c r="F2168" s="390">
        <f>'WTAMU FGD'!$F$81</f>
        <v>2034607</v>
      </c>
      <c r="G2168" s="390">
        <f>'WTAMU FGD'!$G$81</f>
        <v>55274</v>
      </c>
      <c r="H2168" s="390">
        <f>'WTAMU FGD'!$H$81</f>
        <v>0</v>
      </c>
      <c r="I2168" s="390">
        <f>'WTAMU FGD'!$I$81</f>
        <v>4933091</v>
      </c>
      <c r="J2168" s="390">
        <f>'WTAMU FGD'!$J$81</f>
        <v>1825534</v>
      </c>
      <c r="K2168" s="390">
        <f>'WTAMU FGD'!$K$81</f>
        <v>0</v>
      </c>
      <c r="L2168" s="390">
        <f>'WTAMU FGD'!$L$81</f>
        <v>0</v>
      </c>
      <c r="M2168" s="390">
        <f>'WTAMU FGD'!$M$81</f>
        <v>19561098</v>
      </c>
      <c r="N2168" s="401"/>
    </row>
    <row r="2169" spans="2:14" s="160" customFormat="1" collapsed="1">
      <c r="B2169" s="160" t="s">
        <v>47</v>
      </c>
      <c r="D2169" s="390">
        <f t="shared" ref="D2169:M2169" si="57">SUM(D2133:D2168)</f>
        <v>102895666</v>
      </c>
      <c r="E2169" s="390">
        <f t="shared" si="57"/>
        <v>608989994</v>
      </c>
      <c r="F2169" s="390">
        <f t="shared" si="57"/>
        <v>27548936</v>
      </c>
      <c r="G2169" s="390">
        <f t="shared" si="57"/>
        <v>33027939</v>
      </c>
      <c r="H2169" s="390">
        <f t="shared" si="57"/>
        <v>1967193</v>
      </c>
      <c r="I2169" s="390">
        <f t="shared" si="57"/>
        <v>1994146011</v>
      </c>
      <c r="J2169" s="390">
        <f t="shared" si="57"/>
        <v>25039914</v>
      </c>
      <c r="K2169" s="390">
        <f t="shared" si="57"/>
        <v>3199871</v>
      </c>
      <c r="L2169" s="390">
        <f t="shared" si="57"/>
        <v>7541838</v>
      </c>
      <c r="M2169" s="390">
        <f t="shared" si="57"/>
        <v>2804357362</v>
      </c>
      <c r="N2169" s="401"/>
    </row>
    <row r="2170" spans="2:14" s="160" customFormat="1" ht="12.75" hidden="1" customHeight="1" outlineLevel="1">
      <c r="B2170" s="674" t="str">
        <f>'ARL FGD'!$B$2</f>
        <v>The University of Texas at Arlington</v>
      </c>
      <c r="D2170" s="390">
        <f>'ARL FGD'!$D$82</f>
        <v>0</v>
      </c>
      <c r="E2170" s="390">
        <f>'ARL FGD'!$E$82</f>
        <v>0</v>
      </c>
      <c r="F2170" s="390">
        <f>'ARL FGD'!$F$82</f>
        <v>0</v>
      </c>
      <c r="G2170" s="390">
        <f>'ARL FGD'!$G$82</f>
        <v>0</v>
      </c>
      <c r="H2170" s="390">
        <f>'ARL FGD'!$H$82</f>
        <v>0</v>
      </c>
      <c r="I2170" s="390">
        <f>'ARL FGD'!$I$82</f>
        <v>1396992</v>
      </c>
      <c r="J2170" s="390">
        <f>'ARL FGD'!$J$82</f>
        <v>0</v>
      </c>
      <c r="K2170" s="390">
        <f>'ARL FGD'!$K$82</f>
        <v>0</v>
      </c>
      <c r="L2170" s="390">
        <f>'ARL FGD'!$L$82</f>
        <v>0</v>
      </c>
      <c r="M2170" s="390">
        <f>'ARL FGD'!$M$82</f>
        <v>1396992</v>
      </c>
      <c r="N2170" s="401"/>
    </row>
    <row r="2171" spans="2:14" s="160" customFormat="1" ht="12.75" hidden="1" customHeight="1" outlineLevel="1">
      <c r="B2171" s="674" t="str">
        <f>'ASU FGD'!$B$2</f>
        <v>Angelo State University</v>
      </c>
      <c r="D2171" s="390">
        <f>'ASU FGD'!$D$82</f>
        <v>0</v>
      </c>
      <c r="E2171" s="390">
        <f>'ASU FGD'!$E$82</f>
        <v>0</v>
      </c>
      <c r="F2171" s="390">
        <f>'ASU FGD'!$F$82</f>
        <v>0</v>
      </c>
      <c r="G2171" s="390">
        <f>'ASU FGD'!$G$82</f>
        <v>0</v>
      </c>
      <c r="H2171" s="390">
        <f>'ASU FGD'!$H$82</f>
        <v>0</v>
      </c>
      <c r="I2171" s="390">
        <f>'ASU FGD'!$I$82</f>
        <v>0</v>
      </c>
      <c r="J2171" s="390">
        <f>'ASU FGD'!$J$82</f>
        <v>0</v>
      </c>
      <c r="K2171" s="390">
        <f>'ASU FGD'!$K$82</f>
        <v>0</v>
      </c>
      <c r="L2171" s="390">
        <f>'ASU FGD'!$L$82</f>
        <v>0</v>
      </c>
      <c r="M2171" s="390">
        <f>'ASU FGD'!$M$82</f>
        <v>0</v>
      </c>
      <c r="N2171" s="401"/>
    </row>
    <row r="2172" spans="2:14" s="160" customFormat="1" ht="12.75" hidden="1" customHeight="1" outlineLevel="1">
      <c r="B2172" s="674" t="str">
        <f>'AUS1 FGD'!$B$2</f>
        <v>The University of Texas at Austin - Academic &amp; Health (A+H)</v>
      </c>
      <c r="D2172" s="390">
        <f>'AUS1 FGD'!$D$82</f>
        <v>0</v>
      </c>
      <c r="E2172" s="390">
        <f>'AUS1 FGD'!$E$82</f>
        <v>0</v>
      </c>
      <c r="F2172" s="390">
        <f>'AUS1 FGD'!$F$82</f>
        <v>0</v>
      </c>
      <c r="G2172" s="390">
        <f>'AUS1 FGD'!$G$82</f>
        <v>0</v>
      </c>
      <c r="H2172" s="390">
        <f>'AUS1 FGD'!$H$82</f>
        <v>0</v>
      </c>
      <c r="I2172" s="390">
        <f>'AUS1 FGD'!$I$82</f>
        <v>72883827</v>
      </c>
      <c r="J2172" s="390">
        <f>'AUS1 FGD'!$J$82</f>
        <v>0</v>
      </c>
      <c r="K2172" s="390">
        <f>'AUS1 FGD'!$K$82</f>
        <v>0</v>
      </c>
      <c r="L2172" s="390">
        <f>'AUS1 FGD'!$L$82</f>
        <v>0</v>
      </c>
      <c r="M2172" s="390">
        <f>'AUS1 FGD'!$M$82</f>
        <v>72883827</v>
      </c>
      <c r="N2172" s="401"/>
    </row>
    <row r="2173" spans="2:14" s="160" customFormat="1" ht="12.75" hidden="1" customHeight="1" outlineLevel="1">
      <c r="B2173" s="674" t="str">
        <f>'RGV1 FGD'!$B$2</f>
        <v>The University of Texas RGV - Academic &amp; Health (A+H)</v>
      </c>
      <c r="D2173" s="390">
        <f>'RGV1 FGD'!$D$82</f>
        <v>0</v>
      </c>
      <c r="E2173" s="390">
        <f>'RGV1 FGD'!$E$82</f>
        <v>0</v>
      </c>
      <c r="F2173" s="390">
        <f>'RGV1 FGD'!$F$82</f>
        <v>0</v>
      </c>
      <c r="G2173" s="390">
        <f>'RGV1 FGD'!$G$82</f>
        <v>0</v>
      </c>
      <c r="H2173" s="390">
        <f>'RGV1 FGD'!$H$82</f>
        <v>0</v>
      </c>
      <c r="I2173" s="390">
        <f>'RGV1 FGD'!$I$82</f>
        <v>4638362</v>
      </c>
      <c r="J2173" s="390">
        <f>'RGV1 FGD'!$J$82</f>
        <v>0</v>
      </c>
      <c r="K2173" s="390">
        <f>'RGV1 FGD'!$K$82</f>
        <v>0</v>
      </c>
      <c r="L2173" s="390">
        <f>'RGV1 FGD'!$L$82</f>
        <v>0</v>
      </c>
      <c r="M2173" s="390">
        <f>'RGV1 FGD'!$M$82</f>
        <v>4638362</v>
      </c>
      <c r="N2173" s="401"/>
    </row>
    <row r="2174" spans="2:14" s="160" customFormat="1" ht="12.75" hidden="1" customHeight="1" outlineLevel="1">
      <c r="B2174" s="674" t="str">
        <f>'DAL FGD'!$B$2</f>
        <v>The University of Texas at Dallas</v>
      </c>
      <c r="D2174" s="390">
        <f>'DAL FGD'!$D$82</f>
        <v>0</v>
      </c>
      <c r="E2174" s="390">
        <f>'DAL FGD'!$E$82</f>
        <v>0</v>
      </c>
      <c r="F2174" s="390">
        <f>'DAL FGD'!$F$82</f>
        <v>0</v>
      </c>
      <c r="G2174" s="390">
        <f>'DAL FGD'!$G$82</f>
        <v>0</v>
      </c>
      <c r="H2174" s="390">
        <f>'DAL FGD'!$H$82</f>
        <v>0</v>
      </c>
      <c r="I2174" s="390">
        <f>'DAL FGD'!$I$82</f>
        <v>7464414</v>
      </c>
      <c r="J2174" s="390">
        <f>'DAL FGD'!$J$82</f>
        <v>0</v>
      </c>
      <c r="K2174" s="390">
        <f>'DAL FGD'!$K$82</f>
        <v>0</v>
      </c>
      <c r="L2174" s="390">
        <f>'DAL FGD'!$L$82</f>
        <v>0</v>
      </c>
      <c r="M2174" s="390">
        <f>'DAL FGD'!$M$82</f>
        <v>7464414</v>
      </c>
      <c r="N2174" s="401"/>
    </row>
    <row r="2175" spans="2:14" s="160" customFormat="1" ht="12.75" hidden="1" customHeight="1" outlineLevel="1">
      <c r="B2175" s="674" t="str">
        <f>'E-P FGD'!$B$2</f>
        <v>The University of Texas at El Paso</v>
      </c>
      <c r="D2175" s="390">
        <f>'E-P FGD'!$D$82</f>
        <v>0</v>
      </c>
      <c r="E2175" s="390">
        <f>'E-P FGD'!$E$82</f>
        <v>0</v>
      </c>
      <c r="F2175" s="390">
        <f>'E-P FGD'!$F$82</f>
        <v>0</v>
      </c>
      <c r="G2175" s="390">
        <f>'E-P FGD'!$G$82</f>
        <v>0</v>
      </c>
      <c r="H2175" s="390">
        <f>'E-P FGD'!$H$82</f>
        <v>0</v>
      </c>
      <c r="I2175" s="390">
        <f>'E-P FGD'!$I$82</f>
        <v>9111883</v>
      </c>
      <c r="J2175" s="390">
        <f>'E-P FGD'!$J$82</f>
        <v>0</v>
      </c>
      <c r="K2175" s="390">
        <f>'E-P FGD'!$K$82</f>
        <v>0</v>
      </c>
      <c r="L2175" s="390">
        <f>'E-P FGD'!$L$82</f>
        <v>0</v>
      </c>
      <c r="M2175" s="390">
        <f>'E-P FGD'!$M$82</f>
        <v>9111883</v>
      </c>
      <c r="N2175" s="401"/>
    </row>
    <row r="2176" spans="2:14" s="160" customFormat="1" ht="12.75" hidden="1" customHeight="1" outlineLevel="1">
      <c r="B2176" s="674" t="str">
        <f>'LU FGD'!$B$2</f>
        <v xml:space="preserve">Lamar University </v>
      </c>
      <c r="D2176" s="390">
        <f>'LU FGD'!$D$82</f>
        <v>0</v>
      </c>
      <c r="E2176" s="390">
        <f>'LU FGD'!$E$82</f>
        <v>0</v>
      </c>
      <c r="F2176" s="390">
        <f>'LU FGD'!$F$82</f>
        <v>0</v>
      </c>
      <c r="G2176" s="390">
        <f>'LU FGD'!$G$82</f>
        <v>0</v>
      </c>
      <c r="H2176" s="390">
        <f>'LU FGD'!$H$82</f>
        <v>0</v>
      </c>
      <c r="I2176" s="390">
        <f>'LU FGD'!$I$82</f>
        <v>0</v>
      </c>
      <c r="J2176" s="390">
        <f>'LU FGD'!$J$82</f>
        <v>0</v>
      </c>
      <c r="K2176" s="390">
        <f>'LU FGD'!$K$82</f>
        <v>0</v>
      </c>
      <c r="L2176" s="390">
        <f>'LU FGD'!$L$82</f>
        <v>0</v>
      </c>
      <c r="M2176" s="390">
        <f>'LU FGD'!$M$82</f>
        <v>0</v>
      </c>
      <c r="N2176" s="401"/>
    </row>
    <row r="2177" spans="2:14" s="160" customFormat="1" ht="12.75" hidden="1" customHeight="1" outlineLevel="1">
      <c r="B2177" s="674" t="str">
        <f>'MidWST FGD'!$B$2</f>
        <v>Midwestern State University</v>
      </c>
      <c r="D2177" s="390">
        <f>'MidWST FGD'!$D$82</f>
        <v>0</v>
      </c>
      <c r="E2177" s="390">
        <f>'MidWST FGD'!$E$82</f>
        <v>0</v>
      </c>
      <c r="F2177" s="390">
        <f>'MidWST FGD'!$F$82</f>
        <v>0</v>
      </c>
      <c r="G2177" s="390">
        <f>'MidWST FGD'!$G$82</f>
        <v>0</v>
      </c>
      <c r="H2177" s="390">
        <f>'MidWST FGD'!$H$82</f>
        <v>0</v>
      </c>
      <c r="I2177" s="390">
        <f>'MidWST FGD'!$I$82</f>
        <v>63270</v>
      </c>
      <c r="J2177" s="390">
        <f>'MidWST FGD'!$J$82</f>
        <v>0</v>
      </c>
      <c r="K2177" s="390">
        <f>'MidWST FGD'!$K$82</f>
        <v>0</v>
      </c>
      <c r="L2177" s="390">
        <f>'MidWST FGD'!$L$82</f>
        <v>0</v>
      </c>
      <c r="M2177" s="390">
        <f>'MidWST FGD'!$M$82</f>
        <v>63270</v>
      </c>
      <c r="N2177" s="401"/>
    </row>
    <row r="2178" spans="2:14" s="160" customFormat="1" ht="12.75" hidden="1" customHeight="1" outlineLevel="1">
      <c r="B2178" s="674" t="str">
        <f>'P-B FGD'!$B$2</f>
        <v>The University of Texas of the Permian Basin</v>
      </c>
      <c r="D2178" s="390">
        <f>'P-B FGD'!$D$82</f>
        <v>0</v>
      </c>
      <c r="E2178" s="390">
        <f>'P-B FGD'!$E$82</f>
        <v>0</v>
      </c>
      <c r="F2178" s="390">
        <f>'P-B FGD'!$F$82</f>
        <v>0</v>
      </c>
      <c r="G2178" s="390">
        <f>'P-B FGD'!$G$82</f>
        <v>0</v>
      </c>
      <c r="H2178" s="390">
        <f>'P-B FGD'!$H$82</f>
        <v>0</v>
      </c>
      <c r="I2178" s="390">
        <f>'P-B FGD'!$I$82</f>
        <v>3504810</v>
      </c>
      <c r="J2178" s="390">
        <f>'P-B FGD'!$J$82</f>
        <v>0</v>
      </c>
      <c r="K2178" s="390">
        <f>'P-B FGD'!$K$82</f>
        <v>0</v>
      </c>
      <c r="L2178" s="390">
        <f>'P-B FGD'!$L$82</f>
        <v>0</v>
      </c>
      <c r="M2178" s="390">
        <f>'P-B FGD'!$M$82</f>
        <v>3504810</v>
      </c>
      <c r="N2178" s="401"/>
    </row>
    <row r="2179" spans="2:14" s="160" customFormat="1" ht="12.75" hidden="1" customHeight="1" outlineLevel="1">
      <c r="B2179" s="674" t="str">
        <f>'PVAMU FGD'!$B$2</f>
        <v>Prairie View A&amp;M University</v>
      </c>
      <c r="D2179" s="390">
        <f>'PVAMU FGD'!$D$82</f>
        <v>0</v>
      </c>
      <c r="E2179" s="390">
        <f>'PVAMU FGD'!$E$82</f>
        <v>0</v>
      </c>
      <c r="F2179" s="390">
        <f>'PVAMU FGD'!$F$82</f>
        <v>0</v>
      </c>
      <c r="G2179" s="390">
        <f>'PVAMU FGD'!$G$82</f>
        <v>0</v>
      </c>
      <c r="H2179" s="390">
        <f>'PVAMU FGD'!$H$82</f>
        <v>0</v>
      </c>
      <c r="I2179" s="390">
        <f>'PVAMU FGD'!$I$82</f>
        <v>35859004</v>
      </c>
      <c r="J2179" s="390">
        <f>'PVAMU FGD'!$J$82</f>
        <v>0</v>
      </c>
      <c r="K2179" s="390">
        <f>'PVAMU FGD'!$K$82</f>
        <v>0</v>
      </c>
      <c r="L2179" s="390">
        <f>'PVAMU FGD'!$L$82</f>
        <v>0</v>
      </c>
      <c r="M2179" s="390">
        <f>'PVAMU FGD'!$M$82</f>
        <v>35859004</v>
      </c>
      <c r="N2179" s="401"/>
    </row>
    <row r="2180" spans="2:14" s="160" customFormat="1" ht="12.75" hidden="1" customHeight="1" outlineLevel="1">
      <c r="B2180" s="674" t="str">
        <f>'S-A FGD'!$B$2</f>
        <v>The University of Texas at San Antonio</v>
      </c>
      <c r="D2180" s="390">
        <f>'S-A FGD'!$D$82</f>
        <v>0</v>
      </c>
      <c r="E2180" s="390">
        <f>'S-A FGD'!$E$82</f>
        <v>0</v>
      </c>
      <c r="F2180" s="390">
        <f>'S-A FGD'!$F$82</f>
        <v>0</v>
      </c>
      <c r="G2180" s="390">
        <f>'S-A FGD'!$G$82</f>
        <v>0</v>
      </c>
      <c r="H2180" s="390">
        <f>'S-A FGD'!$H$82</f>
        <v>0</v>
      </c>
      <c r="I2180" s="390">
        <f>'S-A FGD'!$I$82</f>
        <v>5078362</v>
      </c>
      <c r="J2180" s="390">
        <f>'S-A FGD'!$J$82</f>
        <v>0</v>
      </c>
      <c r="K2180" s="390">
        <f>'S-A FGD'!$K$82</f>
        <v>0</v>
      </c>
      <c r="L2180" s="390">
        <f>'S-A FGD'!$L$82</f>
        <v>0</v>
      </c>
      <c r="M2180" s="390">
        <f>'S-A FGD'!$M$82</f>
        <v>5078362</v>
      </c>
      <c r="N2180" s="401"/>
    </row>
    <row r="2181" spans="2:14" s="160" customFormat="1" ht="12.75" hidden="1" customHeight="1" outlineLevel="1">
      <c r="B2181" s="674" t="str">
        <f>'SFA FGD'!$B$2</f>
        <v>Stephen F. Austin State University</v>
      </c>
      <c r="D2181" s="390">
        <f>'SFA FGD'!$D$82</f>
        <v>0</v>
      </c>
      <c r="E2181" s="390">
        <f>'SFA FGD'!$E$82</f>
        <v>0</v>
      </c>
      <c r="F2181" s="390">
        <f>'SFA FGD'!$F$82</f>
        <v>0</v>
      </c>
      <c r="G2181" s="390">
        <f>'SFA FGD'!$G$82</f>
        <v>0</v>
      </c>
      <c r="H2181" s="390">
        <f>'SFA FGD'!$H$82</f>
        <v>0</v>
      </c>
      <c r="I2181" s="390">
        <f>'SFA FGD'!$I$82</f>
        <v>23478</v>
      </c>
      <c r="J2181" s="390">
        <f>'SFA FGD'!$J$82</f>
        <v>0</v>
      </c>
      <c r="K2181" s="390">
        <f>'SFA FGD'!$K$82</f>
        <v>0</v>
      </c>
      <c r="L2181" s="390">
        <f>'SFA FGD'!$L$82</f>
        <v>0</v>
      </c>
      <c r="M2181" s="390">
        <f>'SFA FGD'!$M$82</f>
        <v>23478</v>
      </c>
      <c r="N2181" s="401"/>
    </row>
    <row r="2182" spans="2:14" s="160" customFormat="1" ht="12.75" hidden="1" customHeight="1" outlineLevel="1">
      <c r="B2182" s="674" t="str">
        <f>'shsu1 FGD'!$B$2</f>
        <v>Sam Houston State University - Academic &amp; Health (A+H)</v>
      </c>
      <c r="D2182" s="390">
        <f>'shsu1 FGD'!$D$82</f>
        <v>0</v>
      </c>
      <c r="E2182" s="390">
        <f>'shsu1 FGD'!$E$82</f>
        <v>0</v>
      </c>
      <c r="F2182" s="390">
        <f>'shsu1 FGD'!$F$82</f>
        <v>0</v>
      </c>
      <c r="G2182" s="390">
        <f>'shsu1 FGD'!$G$82</f>
        <v>0</v>
      </c>
      <c r="H2182" s="390">
        <f>'shsu1 FGD'!$H$82</f>
        <v>0</v>
      </c>
      <c r="I2182" s="390">
        <f>'shsu1 FGD'!$I$82</f>
        <v>2811133</v>
      </c>
      <c r="J2182" s="390">
        <f>'shsu1 FGD'!$J$82</f>
        <v>0</v>
      </c>
      <c r="K2182" s="390">
        <f>'shsu1 FGD'!$K$82</f>
        <v>0</v>
      </c>
      <c r="L2182" s="390">
        <f>'shsu1 FGD'!$L$82</f>
        <v>0</v>
      </c>
      <c r="M2182" s="390">
        <f>'shsu1 FGD'!$M$82</f>
        <v>2811133</v>
      </c>
      <c r="N2182" s="401"/>
    </row>
    <row r="2183" spans="2:14" s="160" customFormat="1" ht="12.75" hidden="1" customHeight="1" outlineLevel="1">
      <c r="B2183" s="674" t="str">
        <f>'SRSU FGD'!$B$2</f>
        <v>Sul Ross State University</v>
      </c>
      <c r="D2183" s="390">
        <f>'SRSU FGD'!$D$82</f>
        <v>0</v>
      </c>
      <c r="E2183" s="390">
        <f>'SRSU FGD'!$E$82</f>
        <v>0</v>
      </c>
      <c r="F2183" s="390">
        <f>'SRSU FGD'!$F$82</f>
        <v>0</v>
      </c>
      <c r="G2183" s="390">
        <f>'SRSU FGD'!$G$82</f>
        <v>0</v>
      </c>
      <c r="H2183" s="390">
        <f>'SRSU FGD'!$H$82</f>
        <v>0</v>
      </c>
      <c r="I2183" s="390">
        <f>'SRSU FGD'!$I$82</f>
        <v>196306</v>
      </c>
      <c r="J2183" s="390">
        <f>'SRSU FGD'!$J$82</f>
        <v>0</v>
      </c>
      <c r="K2183" s="390">
        <f>'SRSU FGD'!$K$82</f>
        <v>0</v>
      </c>
      <c r="L2183" s="390">
        <f>'SRSU FGD'!$L$82</f>
        <v>0</v>
      </c>
      <c r="M2183" s="390">
        <f>'SRSU FGD'!$M$82</f>
        <v>196306</v>
      </c>
      <c r="N2183" s="401"/>
    </row>
    <row r="2184" spans="2:14" s="160" customFormat="1" ht="12.75" hidden="1" customHeight="1" outlineLevel="1">
      <c r="B2184" s="674" t="str">
        <f>'TAMIU FGD'!$B$2</f>
        <v>Texas A&amp;M International University</v>
      </c>
      <c r="D2184" s="390">
        <f>'TAMIU FGD'!$D$82</f>
        <v>0</v>
      </c>
      <c r="E2184" s="390">
        <f>'TAMIU FGD'!$E$82</f>
        <v>0</v>
      </c>
      <c r="F2184" s="390">
        <f>'TAMIU FGD'!$F$82</f>
        <v>0</v>
      </c>
      <c r="G2184" s="390">
        <f>'TAMIU FGD'!$G$82</f>
        <v>0</v>
      </c>
      <c r="H2184" s="390">
        <f>'TAMIU FGD'!$H$82</f>
        <v>0</v>
      </c>
      <c r="I2184" s="390">
        <f>'TAMIU FGD'!$I$82</f>
        <v>41530514</v>
      </c>
      <c r="J2184" s="390">
        <f>'TAMIU FGD'!$J$82</f>
        <v>0</v>
      </c>
      <c r="K2184" s="390">
        <f>'TAMIU FGD'!$K$82</f>
        <v>0</v>
      </c>
      <c r="L2184" s="390">
        <f>'TAMIU FGD'!$L$82</f>
        <v>0</v>
      </c>
      <c r="M2184" s="390">
        <f>'TAMIU FGD'!$M$82</f>
        <v>41530514</v>
      </c>
      <c r="N2184" s="401"/>
    </row>
    <row r="2185" spans="2:14" s="160" customFormat="1" ht="12.75" hidden="1" customHeight="1" outlineLevel="1">
      <c r="B2185" s="674" t="str">
        <f>'TAMU FGD'!$B$2</f>
        <v>Texas A&amp;M University</v>
      </c>
      <c r="D2185" s="390">
        <f>'TAMU FGD'!$D$82</f>
        <v>0</v>
      </c>
      <c r="E2185" s="390">
        <f>'TAMU FGD'!$E$82</f>
        <v>0</v>
      </c>
      <c r="F2185" s="390">
        <f>'TAMU FGD'!$F$82</f>
        <v>0</v>
      </c>
      <c r="G2185" s="390">
        <f>'TAMU FGD'!$G$82</f>
        <v>0</v>
      </c>
      <c r="H2185" s="390">
        <f>'TAMU FGD'!$H$82</f>
        <v>0</v>
      </c>
      <c r="I2185" s="390">
        <f>'TAMU FGD'!$I$82</f>
        <v>152174</v>
      </c>
      <c r="J2185" s="390">
        <f>'TAMU FGD'!$J$82</f>
        <v>0</v>
      </c>
      <c r="K2185" s="390">
        <f>'TAMU FGD'!$K$82</f>
        <v>0</v>
      </c>
      <c r="L2185" s="390">
        <f>'TAMU FGD'!$L$82</f>
        <v>0</v>
      </c>
      <c r="M2185" s="390">
        <f>'TAMU FGD'!$M$82</f>
        <v>152174</v>
      </c>
      <c r="N2185" s="401"/>
    </row>
    <row r="2186" spans="2:14" s="160" customFormat="1" ht="12.75" hidden="1" customHeight="1" outlineLevel="1">
      <c r="B2186" s="674" t="str">
        <f>'TAMUC FGD'!$B$2</f>
        <v>Texas A&amp;M University - Commerce</v>
      </c>
      <c r="D2186" s="390">
        <f>'TAMUC FGD'!$D$82</f>
        <v>0</v>
      </c>
      <c r="E2186" s="390">
        <f>'TAMUC FGD'!$E$82</f>
        <v>0</v>
      </c>
      <c r="F2186" s="390">
        <f>'TAMUC FGD'!$F$82</f>
        <v>0</v>
      </c>
      <c r="G2186" s="390">
        <f>'TAMUC FGD'!$G$82</f>
        <v>0</v>
      </c>
      <c r="H2186" s="390">
        <f>'TAMUC FGD'!$H$82</f>
        <v>0</v>
      </c>
      <c r="I2186" s="390">
        <f>'TAMUC FGD'!$I$82</f>
        <v>0</v>
      </c>
      <c r="J2186" s="390">
        <f>'TAMUC FGD'!$J$82</f>
        <v>0</v>
      </c>
      <c r="K2186" s="390">
        <f>'TAMUC FGD'!$K$82</f>
        <v>0</v>
      </c>
      <c r="L2186" s="390">
        <f>'TAMUC FGD'!$L$82</f>
        <v>0</v>
      </c>
      <c r="M2186" s="390">
        <f>'TAMUC FGD'!$M$82</f>
        <v>0</v>
      </c>
      <c r="N2186" s="401"/>
    </row>
    <row r="2187" spans="2:14" s="160" customFormat="1" ht="12.75" hidden="1" customHeight="1" outlineLevel="1">
      <c r="B2187" s="674" t="str">
        <f>'TAMUCC FGD'!$B$2</f>
        <v>Texas A&amp;M University - Corpus Christi</v>
      </c>
      <c r="D2187" s="390">
        <f>'TAMUCC FGD'!$D$82</f>
        <v>0</v>
      </c>
      <c r="E2187" s="390">
        <f>'TAMUCC FGD'!$E$82</f>
        <v>0</v>
      </c>
      <c r="F2187" s="390">
        <f>'TAMUCC FGD'!$F$82</f>
        <v>0</v>
      </c>
      <c r="G2187" s="390">
        <f>'TAMUCC FGD'!$G$82</f>
        <v>0</v>
      </c>
      <c r="H2187" s="390">
        <f>'TAMUCC FGD'!$H$82</f>
        <v>0</v>
      </c>
      <c r="I2187" s="390">
        <f>'TAMUCC FGD'!$I$82</f>
        <v>420152</v>
      </c>
      <c r="J2187" s="390">
        <f>'TAMUCC FGD'!$J$82</f>
        <v>0</v>
      </c>
      <c r="K2187" s="390">
        <f>'TAMUCC FGD'!$K$82</f>
        <v>0</v>
      </c>
      <c r="L2187" s="390">
        <f>'TAMUCC FGD'!$L$82</f>
        <v>0</v>
      </c>
      <c r="M2187" s="390">
        <f>'TAMUCC FGD'!$M$82</f>
        <v>420152</v>
      </c>
      <c r="N2187" s="401"/>
    </row>
    <row r="2188" spans="2:14" s="160" customFormat="1" ht="12.75" hidden="1" customHeight="1" outlineLevel="1">
      <c r="B2188" s="674" t="str">
        <f>'TAMUCT FGD'!$B$2</f>
        <v>Texas A&amp;M University - Central Texas</v>
      </c>
      <c r="D2188" s="390">
        <f>'TAMUCT FGD'!$D$82</f>
        <v>0</v>
      </c>
      <c r="E2188" s="390">
        <f>'TAMUCT FGD'!$E$82</f>
        <v>0</v>
      </c>
      <c r="F2188" s="390">
        <f>'TAMUCT FGD'!$F$82</f>
        <v>0</v>
      </c>
      <c r="G2188" s="390">
        <f>'TAMUCT FGD'!$G$82</f>
        <v>0</v>
      </c>
      <c r="H2188" s="390">
        <f>'TAMUCT FGD'!$H$82</f>
        <v>0</v>
      </c>
      <c r="I2188" s="390">
        <f>'TAMUCT FGD'!$I$82</f>
        <v>33210</v>
      </c>
      <c r="J2188" s="390">
        <f>'TAMUCT FGD'!$J$82</f>
        <v>0</v>
      </c>
      <c r="K2188" s="390">
        <f>'TAMUCT FGD'!$K$82</f>
        <v>0</v>
      </c>
      <c r="L2188" s="390">
        <f>'TAMUCT FGD'!$L$82</f>
        <v>0</v>
      </c>
      <c r="M2188" s="390">
        <f>'TAMUCT FGD'!$M$82</f>
        <v>33210</v>
      </c>
      <c r="N2188" s="401"/>
    </row>
    <row r="2189" spans="2:14" s="160" customFormat="1" ht="12.75" hidden="1" customHeight="1" outlineLevel="1">
      <c r="B2189" s="674" t="str">
        <f>'TAMUG FGD'!$B$2</f>
        <v>Texas A&amp;M University at Galveston</v>
      </c>
      <c r="D2189" s="390">
        <f>'TAMUG FGD'!$D$82</f>
        <v>0</v>
      </c>
      <c r="E2189" s="390">
        <f>'TAMUG FGD'!$E$82</f>
        <v>0</v>
      </c>
      <c r="F2189" s="390">
        <f>'TAMUG FGD'!$F$82</f>
        <v>0</v>
      </c>
      <c r="G2189" s="390">
        <f>'TAMUG FGD'!$G$82</f>
        <v>0</v>
      </c>
      <c r="H2189" s="390">
        <f>'TAMUG FGD'!$H$82</f>
        <v>0</v>
      </c>
      <c r="I2189" s="390">
        <f>'TAMUG FGD'!$I$82</f>
        <v>1397</v>
      </c>
      <c r="J2189" s="390">
        <f>'TAMUG FGD'!$J$82</f>
        <v>0</v>
      </c>
      <c r="K2189" s="390">
        <f>'TAMUG FGD'!$K$82</f>
        <v>0</v>
      </c>
      <c r="L2189" s="390">
        <f>'TAMUG FGD'!$L$82</f>
        <v>0</v>
      </c>
      <c r="M2189" s="390">
        <f>'TAMUG FGD'!$M$82</f>
        <v>1397</v>
      </c>
      <c r="N2189" s="401"/>
    </row>
    <row r="2190" spans="2:14" s="160" customFormat="1" ht="12.75" hidden="1" customHeight="1" outlineLevel="1">
      <c r="B2190" s="674" t="str">
        <f>'TAMUK FGD'!$B$2</f>
        <v>Texas A&amp;M University - Kingsville</v>
      </c>
      <c r="D2190" s="390">
        <f>'TAMUK FGD'!$D$82</f>
        <v>0</v>
      </c>
      <c r="E2190" s="390">
        <f>'TAMUK FGD'!$E$82</f>
        <v>0</v>
      </c>
      <c r="F2190" s="390">
        <f>'TAMUK FGD'!$F$82</f>
        <v>0</v>
      </c>
      <c r="G2190" s="390">
        <f>'TAMUK FGD'!$G$82</f>
        <v>0</v>
      </c>
      <c r="H2190" s="390">
        <f>'TAMUK FGD'!$H$82</f>
        <v>0</v>
      </c>
      <c r="I2190" s="390">
        <f>'TAMUK FGD'!$I$82</f>
        <v>23257</v>
      </c>
      <c r="J2190" s="390">
        <f>'TAMUK FGD'!$J$82</f>
        <v>0</v>
      </c>
      <c r="K2190" s="390">
        <f>'TAMUK FGD'!$K$82</f>
        <v>0</v>
      </c>
      <c r="L2190" s="390">
        <f>'TAMUK FGD'!$L$82</f>
        <v>0</v>
      </c>
      <c r="M2190" s="390">
        <f>'TAMUK FGD'!$M$82</f>
        <v>23257</v>
      </c>
      <c r="N2190" s="401"/>
    </row>
    <row r="2191" spans="2:14" s="160" customFormat="1" ht="12.75" hidden="1" customHeight="1" outlineLevel="1">
      <c r="B2191" s="674" t="str">
        <f>'TAMUSA FGD'!$B$2</f>
        <v>Texas A&amp;M University - San Antonio</v>
      </c>
      <c r="D2191" s="390">
        <f>'TAMUSA FGD'!$D$82</f>
        <v>0</v>
      </c>
      <c r="E2191" s="390">
        <f>'TAMUSA FGD'!$E$82</f>
        <v>0</v>
      </c>
      <c r="F2191" s="390">
        <f>'TAMUSA FGD'!$F$82</f>
        <v>0</v>
      </c>
      <c r="G2191" s="390">
        <f>'TAMUSA FGD'!$G$82</f>
        <v>0</v>
      </c>
      <c r="H2191" s="390">
        <f>'TAMUSA FGD'!$H$82</f>
        <v>0</v>
      </c>
      <c r="I2191" s="390">
        <f>'TAMUSA FGD'!$I$82</f>
        <v>0</v>
      </c>
      <c r="J2191" s="390">
        <f>'TAMUSA FGD'!$J$82</f>
        <v>0</v>
      </c>
      <c r="K2191" s="390">
        <f>'TAMUSA FGD'!$K$82</f>
        <v>0</v>
      </c>
      <c r="L2191" s="390">
        <f>'TAMUSA FGD'!$L$82</f>
        <v>0</v>
      </c>
      <c r="M2191" s="390">
        <f>'TAMUSA FGD'!$M$82</f>
        <v>0</v>
      </c>
      <c r="N2191" s="401"/>
    </row>
    <row r="2192" spans="2:14" s="160" customFormat="1" ht="12.75" hidden="1" customHeight="1" outlineLevel="1">
      <c r="B2192" s="674" t="str">
        <f>'TAMUT FGD'!$B$2</f>
        <v>Texas A&amp;M University - Texarkana</v>
      </c>
      <c r="D2192" s="390">
        <f>'TAMUT FGD'!$D$82</f>
        <v>0</v>
      </c>
      <c r="E2192" s="390">
        <f>'TAMUT FGD'!$E$82</f>
        <v>0</v>
      </c>
      <c r="F2192" s="390">
        <f>'TAMUT FGD'!$F$82</f>
        <v>0</v>
      </c>
      <c r="G2192" s="390">
        <f>'TAMUT FGD'!$G$82</f>
        <v>0</v>
      </c>
      <c r="H2192" s="390">
        <f>'TAMUT FGD'!$H$82</f>
        <v>0</v>
      </c>
      <c r="I2192" s="390">
        <f>'TAMUT FGD'!$I$82</f>
        <v>310369</v>
      </c>
      <c r="J2192" s="390">
        <f>'TAMUT FGD'!$J$82</f>
        <v>0</v>
      </c>
      <c r="K2192" s="390">
        <f>'TAMUT FGD'!$K$82</f>
        <v>0</v>
      </c>
      <c r="L2192" s="390">
        <f>'TAMUT FGD'!$L$82</f>
        <v>0</v>
      </c>
      <c r="M2192" s="390">
        <f>'TAMUT FGD'!$M$82</f>
        <v>310369</v>
      </c>
      <c r="N2192" s="401"/>
    </row>
    <row r="2193" spans="2:14" s="160" customFormat="1" ht="12.75" hidden="1" customHeight="1" outlineLevel="1">
      <c r="B2193" s="674" t="str">
        <f>'TARLST FGD'!$B$2</f>
        <v>Tarleton State University</v>
      </c>
      <c r="D2193" s="390">
        <f>'TARLST FGD'!$D$82</f>
        <v>0</v>
      </c>
      <c r="E2193" s="390">
        <f>'TARLST FGD'!$E$82</f>
        <v>0</v>
      </c>
      <c r="F2193" s="390">
        <f>'TARLST FGD'!$F$82</f>
        <v>0</v>
      </c>
      <c r="G2193" s="390">
        <f>'TARLST FGD'!$G$82</f>
        <v>0</v>
      </c>
      <c r="H2193" s="390">
        <f>'TARLST FGD'!$H$82</f>
        <v>0</v>
      </c>
      <c r="I2193" s="390">
        <f>'TARLST FGD'!$I$82</f>
        <v>2378088</v>
      </c>
      <c r="J2193" s="390">
        <f>'TARLST FGD'!$J$82</f>
        <v>0</v>
      </c>
      <c r="K2193" s="390">
        <f>'TARLST FGD'!$K$82</f>
        <v>0</v>
      </c>
      <c r="L2193" s="390">
        <f>'TARLST FGD'!$L$82</f>
        <v>0</v>
      </c>
      <c r="M2193" s="390">
        <f>'TARLST FGD'!$M$82</f>
        <v>2378088</v>
      </c>
      <c r="N2193" s="401"/>
    </row>
    <row r="2194" spans="2:14" s="160" customFormat="1" ht="12.75" hidden="1" customHeight="1" outlineLevel="1">
      <c r="B2194" s="674" t="str">
        <f>'TSU FGD'!$B$2</f>
        <v>Texas Southern University</v>
      </c>
      <c r="D2194" s="390">
        <f>'TSU FGD'!$D$82</f>
        <v>0</v>
      </c>
      <c r="E2194" s="390">
        <f>'TSU FGD'!$E$82</f>
        <v>0</v>
      </c>
      <c r="F2194" s="390">
        <f>'TSU FGD'!$F$82</f>
        <v>0</v>
      </c>
      <c r="G2194" s="390">
        <f>'TSU FGD'!$G$82</f>
        <v>0</v>
      </c>
      <c r="H2194" s="390">
        <f>'TSU FGD'!$H$82</f>
        <v>0</v>
      </c>
      <c r="I2194" s="390">
        <f>'TSU FGD'!$I$82</f>
        <v>898617</v>
      </c>
      <c r="J2194" s="390">
        <f>'TSU FGD'!$J$82</f>
        <v>0</v>
      </c>
      <c r="K2194" s="390">
        <f>'TSU FGD'!$K$82</f>
        <v>0</v>
      </c>
      <c r="L2194" s="390">
        <f>'TSU FGD'!$L$82</f>
        <v>0</v>
      </c>
      <c r="M2194" s="390">
        <f>'TSU FGD'!$M$82</f>
        <v>898617</v>
      </c>
      <c r="N2194" s="401"/>
    </row>
    <row r="2195" spans="2:14" s="160" customFormat="1" ht="12.75" hidden="1" customHeight="1" outlineLevel="1">
      <c r="B2195" s="674" t="str">
        <f>'TTU FGD'!$B$2</f>
        <v>Texas Tech University</v>
      </c>
      <c r="D2195" s="390">
        <f>'TTU FGD'!$D$82</f>
        <v>0</v>
      </c>
      <c r="E2195" s="390">
        <f>'TTU FGD'!$E$82</f>
        <v>0</v>
      </c>
      <c r="F2195" s="390">
        <f>'TTU FGD'!$F$82</f>
        <v>0</v>
      </c>
      <c r="G2195" s="390">
        <f>'TTU FGD'!$G$82</f>
        <v>0</v>
      </c>
      <c r="H2195" s="390">
        <f>'TTU FGD'!$H$82</f>
        <v>0</v>
      </c>
      <c r="I2195" s="390">
        <f>'TTU FGD'!$I$82</f>
        <v>540520</v>
      </c>
      <c r="J2195" s="390">
        <f>'TTU FGD'!$J$82</f>
        <v>0</v>
      </c>
      <c r="K2195" s="390">
        <f>'TTU FGD'!$K$82</f>
        <v>0</v>
      </c>
      <c r="L2195" s="390">
        <f>'TTU FGD'!$L$82</f>
        <v>0</v>
      </c>
      <c r="M2195" s="390">
        <f>'TTU FGD'!$M$82</f>
        <v>540520</v>
      </c>
      <c r="N2195" s="401"/>
    </row>
    <row r="2196" spans="2:14" s="160" customFormat="1" ht="12.75" hidden="1" customHeight="1" outlineLevel="1">
      <c r="B2196" s="674" t="str">
        <f>'TWU FGD'!$B$2</f>
        <v>Texas Woman's University</v>
      </c>
      <c r="D2196" s="390">
        <f>'TWU FGD'!$D$82</f>
        <v>0</v>
      </c>
      <c r="E2196" s="390">
        <f>'TWU FGD'!$E$82</f>
        <v>0</v>
      </c>
      <c r="F2196" s="390">
        <f>'TWU FGD'!$F$82</f>
        <v>0</v>
      </c>
      <c r="G2196" s="390">
        <f>'TWU FGD'!$G$82</f>
        <v>0</v>
      </c>
      <c r="H2196" s="390">
        <f>'TWU FGD'!$H$82</f>
        <v>0</v>
      </c>
      <c r="I2196" s="390">
        <f>'TWU FGD'!$I$82</f>
        <v>36018</v>
      </c>
      <c r="J2196" s="390">
        <f>'TWU FGD'!$J$82</f>
        <v>0</v>
      </c>
      <c r="K2196" s="390">
        <f>'TWU FGD'!$K$82</f>
        <v>0</v>
      </c>
      <c r="L2196" s="390">
        <f>'TWU FGD'!$L$82</f>
        <v>0</v>
      </c>
      <c r="M2196" s="390">
        <f>'TWU FGD'!$M$82</f>
        <v>36018</v>
      </c>
      <c r="N2196" s="401"/>
    </row>
    <row r="2197" spans="2:14" s="160" customFormat="1" ht="12.75" hidden="1" customHeight="1" outlineLevel="1">
      <c r="B2197" s="674" t="str">
        <f>'TXST FGD'!$B$2</f>
        <v>Texas State University</v>
      </c>
      <c r="D2197" s="390">
        <f>'TXST FGD'!$D$82</f>
        <v>0</v>
      </c>
      <c r="E2197" s="390">
        <f>'TXST FGD'!$E$82</f>
        <v>0</v>
      </c>
      <c r="F2197" s="390">
        <f>'TXST FGD'!$F$82</f>
        <v>0</v>
      </c>
      <c r="G2197" s="390">
        <f>'TXST FGD'!$G$82</f>
        <v>0</v>
      </c>
      <c r="H2197" s="390">
        <f>'TXST FGD'!$H$82</f>
        <v>0</v>
      </c>
      <c r="I2197" s="390">
        <f>'TXST FGD'!$I$82</f>
        <v>239539</v>
      </c>
      <c r="J2197" s="390">
        <f>'TXST FGD'!$J$82</f>
        <v>0</v>
      </c>
      <c r="K2197" s="390">
        <f>'TXST FGD'!$K$82</f>
        <v>0</v>
      </c>
      <c r="L2197" s="390">
        <f>'TXST FGD'!$L$82</f>
        <v>0</v>
      </c>
      <c r="M2197" s="390">
        <f>'TXST FGD'!$M$82</f>
        <v>239539</v>
      </c>
      <c r="N2197" s="401"/>
    </row>
    <row r="2198" spans="2:14" s="160" customFormat="1" ht="12.75" hidden="1" customHeight="1" outlineLevel="1">
      <c r="B2198" s="674" t="str">
        <f>'TYL FGD'!$B$2</f>
        <v>The University of Texas at Tyler</v>
      </c>
      <c r="D2198" s="390">
        <f>'TYL FGD'!$D$82</f>
        <v>0</v>
      </c>
      <c r="E2198" s="390">
        <f>'TYL FGD'!$E$82</f>
        <v>0</v>
      </c>
      <c r="F2198" s="390">
        <f>'TYL FGD'!$F$82</f>
        <v>0</v>
      </c>
      <c r="G2198" s="390">
        <f>'TYL FGD'!$G$82</f>
        <v>-644491</v>
      </c>
      <c r="H2198" s="390">
        <f>'TYL FGD'!$H$82</f>
        <v>0</v>
      </c>
      <c r="I2198" s="390">
        <f>'TYL FGD'!$I$82</f>
        <v>4718304</v>
      </c>
      <c r="J2198" s="390">
        <f>'TYL FGD'!$J$82</f>
        <v>0</v>
      </c>
      <c r="K2198" s="390">
        <f>'TYL FGD'!$K$82</f>
        <v>0</v>
      </c>
      <c r="L2198" s="390">
        <f>'TYL FGD'!$L$82</f>
        <v>0</v>
      </c>
      <c r="M2198" s="390">
        <f>'TYL FGD'!$M$82</f>
        <v>4073813</v>
      </c>
      <c r="N2198" s="401"/>
    </row>
    <row r="2199" spans="2:14" s="160" customFormat="1" ht="12.75" hidden="1" customHeight="1" outlineLevel="1">
      <c r="B2199" s="674" t="str">
        <f>'UH1 FGD'!$B$2</f>
        <v>University of Houston - Academic &amp; Health (A+H)</v>
      </c>
      <c r="D2199" s="390">
        <f>'UH1 FGD'!$D$82</f>
        <v>0</v>
      </c>
      <c r="E2199" s="390">
        <f>'UH1 FGD'!$E$82</f>
        <v>0</v>
      </c>
      <c r="F2199" s="390">
        <f>'UH1 FGD'!$F$82</f>
        <v>0</v>
      </c>
      <c r="G2199" s="390">
        <f>'UH1 FGD'!$G$82</f>
        <v>0</v>
      </c>
      <c r="H2199" s="390">
        <f>'UH1 FGD'!$H$82</f>
        <v>0</v>
      </c>
      <c r="I2199" s="390">
        <f>'UH1 FGD'!$I$82</f>
        <v>29671553</v>
      </c>
      <c r="J2199" s="390">
        <f>'UH1 FGD'!$J$82</f>
        <v>0</v>
      </c>
      <c r="K2199" s="390">
        <f>'UH1 FGD'!$K$82</f>
        <v>0</v>
      </c>
      <c r="L2199" s="390">
        <f>'UH1 FGD'!$L$82</f>
        <v>0</v>
      </c>
      <c r="M2199" s="390">
        <f>'UH1 FGD'!$M$82</f>
        <v>29671553</v>
      </c>
      <c r="N2199" s="401"/>
    </row>
    <row r="2200" spans="2:14" s="160" customFormat="1" ht="12.75" hidden="1" customHeight="1" outlineLevel="1">
      <c r="B2200" s="674" t="str">
        <f>'UHCL FGD'!$B$2</f>
        <v>University of Houston - Clear Lake</v>
      </c>
      <c r="D2200" s="390">
        <f>'UHCL FGD'!$D$82</f>
        <v>0</v>
      </c>
      <c r="E2200" s="390">
        <f>'UHCL FGD'!$E$82</f>
        <v>0</v>
      </c>
      <c r="F2200" s="390">
        <f>'UHCL FGD'!$F$82</f>
        <v>0</v>
      </c>
      <c r="G2200" s="390">
        <f>'UHCL FGD'!$G$82</f>
        <v>0</v>
      </c>
      <c r="H2200" s="390">
        <f>'UHCL FGD'!$H$82</f>
        <v>0</v>
      </c>
      <c r="I2200" s="390">
        <f>'UHCL FGD'!$I$82</f>
        <v>229415</v>
      </c>
      <c r="J2200" s="390">
        <f>'UHCL FGD'!$J$82</f>
        <v>0</v>
      </c>
      <c r="K2200" s="390">
        <f>'UHCL FGD'!$K$82</f>
        <v>0</v>
      </c>
      <c r="L2200" s="390">
        <f>'UHCL FGD'!$L$82</f>
        <v>0</v>
      </c>
      <c r="M2200" s="390">
        <f>'UHCL FGD'!$M$82</f>
        <v>229415</v>
      </c>
      <c r="N2200" s="401"/>
    </row>
    <row r="2201" spans="2:14" s="160" customFormat="1" ht="12.75" hidden="1" customHeight="1" outlineLevel="1">
      <c r="B2201" s="674" t="str">
        <f>'UHD FGD'!$B$2</f>
        <v>University of Houston - Downtown</v>
      </c>
      <c r="D2201" s="390">
        <f>'UHD FGD'!$D$82</f>
        <v>0</v>
      </c>
      <c r="E2201" s="390">
        <f>'UHD FGD'!$E$82</f>
        <v>0</v>
      </c>
      <c r="F2201" s="390">
        <f>'UHD FGD'!$F$82</f>
        <v>0</v>
      </c>
      <c r="G2201" s="390">
        <f>'UHD FGD'!$G$82</f>
        <v>0</v>
      </c>
      <c r="H2201" s="390">
        <f>'UHD FGD'!$H$82</f>
        <v>0</v>
      </c>
      <c r="I2201" s="390">
        <f>'UHD FGD'!$I$82</f>
        <v>1188428</v>
      </c>
      <c r="J2201" s="390">
        <f>'UHD FGD'!$J$82</f>
        <v>0</v>
      </c>
      <c r="K2201" s="390">
        <f>'UHD FGD'!$K$82</f>
        <v>0</v>
      </c>
      <c r="L2201" s="390">
        <f>'UHD FGD'!$L$82</f>
        <v>0</v>
      </c>
      <c r="M2201" s="390">
        <f>'UHD FGD'!$M$82</f>
        <v>1188428</v>
      </c>
      <c r="N2201" s="401"/>
    </row>
    <row r="2202" spans="2:14" s="160" customFormat="1" ht="12.75" hidden="1" customHeight="1" outlineLevel="1">
      <c r="B2202" s="674" t="str">
        <f>'UHV FGD'!$B$2</f>
        <v>University of Houston - Victoria</v>
      </c>
      <c r="D2202" s="390">
        <f>'UHV FGD'!$D$82</f>
        <v>0</v>
      </c>
      <c r="E2202" s="390">
        <f>'UHV FGD'!$E$82</f>
        <v>0</v>
      </c>
      <c r="F2202" s="390">
        <f>'UHV FGD'!$F$82</f>
        <v>0</v>
      </c>
      <c r="G2202" s="390">
        <f>'UHV FGD'!$G$82</f>
        <v>0</v>
      </c>
      <c r="H2202" s="390">
        <f>'UHV FGD'!$H$82</f>
        <v>0</v>
      </c>
      <c r="I2202" s="390">
        <f>'UHV FGD'!$I$82</f>
        <v>25000</v>
      </c>
      <c r="J2202" s="390">
        <f>'UHV FGD'!$J$82</f>
        <v>0</v>
      </c>
      <c r="K2202" s="390">
        <f>'UHV FGD'!$K$82</f>
        <v>0</v>
      </c>
      <c r="L2202" s="390">
        <f>'UHV FGD'!$L$82</f>
        <v>0</v>
      </c>
      <c r="M2202" s="390">
        <f>'UHV FGD'!$M$82</f>
        <v>25000</v>
      </c>
      <c r="N2202" s="401"/>
    </row>
    <row r="2203" spans="2:14" s="160" customFormat="1" ht="12.75" hidden="1" customHeight="1" outlineLevel="1">
      <c r="B2203" s="674" t="str">
        <f>'UNT FGD'!$B$2</f>
        <v>University of North Texas</v>
      </c>
      <c r="D2203" s="390">
        <f>'UNT FGD'!$D$82</f>
        <v>0</v>
      </c>
      <c r="E2203" s="390">
        <f>'UNT FGD'!$E$82</f>
        <v>0</v>
      </c>
      <c r="F2203" s="390">
        <f>'UNT FGD'!$F$82</f>
        <v>0</v>
      </c>
      <c r="G2203" s="390">
        <f>'UNT FGD'!$G$82</f>
        <v>0</v>
      </c>
      <c r="H2203" s="390">
        <f>'UNT FGD'!$H$82</f>
        <v>0</v>
      </c>
      <c r="I2203" s="390">
        <f>'UNT FGD'!$I$82</f>
        <v>167208</v>
      </c>
      <c r="J2203" s="390">
        <f>'UNT FGD'!$J$82</f>
        <v>0</v>
      </c>
      <c r="K2203" s="390">
        <f>'UNT FGD'!$K$82</f>
        <v>0</v>
      </c>
      <c r="L2203" s="390">
        <f>'UNT FGD'!$L$82</f>
        <v>0</v>
      </c>
      <c r="M2203" s="390">
        <f>'UNT FGD'!$M$82</f>
        <v>167208</v>
      </c>
      <c r="N2203" s="401"/>
    </row>
    <row r="2204" spans="2:14" s="160" customFormat="1" ht="12.75" hidden="1" customHeight="1" outlineLevel="1">
      <c r="B2204" s="674" t="str">
        <f>'UNTD FGD'!$B$2</f>
        <v>University of North Texas at Dallas</v>
      </c>
      <c r="D2204" s="390">
        <f>'UNTD FGD'!$D$82</f>
        <v>0</v>
      </c>
      <c r="E2204" s="390">
        <f>'UNTD FGD'!$E$82</f>
        <v>0</v>
      </c>
      <c r="F2204" s="390">
        <f>'UNTD FGD'!$F$82</f>
        <v>0</v>
      </c>
      <c r="G2204" s="390">
        <f>'UNTD FGD'!$G$82</f>
        <v>0</v>
      </c>
      <c r="H2204" s="390">
        <f>'UNTD FGD'!$H$82</f>
        <v>0</v>
      </c>
      <c r="I2204" s="390">
        <f>'UNTD FGD'!$I$82</f>
        <v>840</v>
      </c>
      <c r="J2204" s="390">
        <f>'UNTD FGD'!$J$82</f>
        <v>0</v>
      </c>
      <c r="K2204" s="390">
        <f>'UNTD FGD'!$K$82</f>
        <v>0</v>
      </c>
      <c r="L2204" s="390">
        <f>'UNTD FGD'!$L$82</f>
        <v>0</v>
      </c>
      <c r="M2204" s="390">
        <f>'UNTD FGD'!$M$82</f>
        <v>840</v>
      </c>
      <c r="N2204" s="401"/>
    </row>
    <row r="2205" spans="2:14" s="160" customFormat="1" ht="12.75" hidden="1" customHeight="1" outlineLevel="1">
      <c r="B2205" s="674" t="str">
        <f>'WTAMU FGD'!$B$2</f>
        <v>West Texas A&amp;M University</v>
      </c>
      <c r="D2205" s="390">
        <f>'WTAMU FGD'!$D$82</f>
        <v>0</v>
      </c>
      <c r="E2205" s="390">
        <f>'WTAMU FGD'!$E$82</f>
        <v>0</v>
      </c>
      <c r="F2205" s="390">
        <f>'WTAMU FGD'!$F$82</f>
        <v>0</v>
      </c>
      <c r="G2205" s="390">
        <f>'WTAMU FGD'!$G$82</f>
        <v>0</v>
      </c>
      <c r="H2205" s="390">
        <f>'WTAMU FGD'!$H$82</f>
        <v>0</v>
      </c>
      <c r="I2205" s="390">
        <f>'WTAMU FGD'!$I$82</f>
        <v>38897</v>
      </c>
      <c r="J2205" s="390">
        <f>'WTAMU FGD'!$J$82</f>
        <v>0</v>
      </c>
      <c r="K2205" s="390">
        <f>'WTAMU FGD'!$K$82</f>
        <v>0</v>
      </c>
      <c r="L2205" s="390">
        <f>'WTAMU FGD'!$L$82</f>
        <v>0</v>
      </c>
      <c r="M2205" s="390">
        <f>'WTAMU FGD'!$M$82</f>
        <v>38897</v>
      </c>
      <c r="N2205" s="401"/>
    </row>
    <row r="2206" spans="2:14" s="160" customFormat="1" collapsed="1">
      <c r="B2206" s="160" t="s">
        <v>48</v>
      </c>
      <c r="D2206" s="390">
        <f t="shared" ref="D2206:M2206" si="58">SUM(D2170:D2205)</f>
        <v>0</v>
      </c>
      <c r="E2206" s="390">
        <f t="shared" si="58"/>
        <v>0</v>
      </c>
      <c r="F2206" s="390">
        <f t="shared" si="58"/>
        <v>0</v>
      </c>
      <c r="G2206" s="390">
        <f t="shared" si="58"/>
        <v>-644491</v>
      </c>
      <c r="H2206" s="390">
        <f t="shared" si="58"/>
        <v>0</v>
      </c>
      <c r="I2206" s="390">
        <f t="shared" si="58"/>
        <v>225635341</v>
      </c>
      <c r="J2206" s="390">
        <f t="shared" si="58"/>
        <v>0</v>
      </c>
      <c r="K2206" s="390">
        <f t="shared" si="58"/>
        <v>0</v>
      </c>
      <c r="L2206" s="390">
        <f t="shared" si="58"/>
        <v>0</v>
      </c>
      <c r="M2206" s="390">
        <f t="shared" si="58"/>
        <v>224990850</v>
      </c>
      <c r="N2206" s="401"/>
    </row>
    <row r="2207" spans="2:14" s="160" customFormat="1" ht="12.75" hidden="1" customHeight="1" outlineLevel="1">
      <c r="B2207" s="674" t="str">
        <f>'ARL FGD'!$B$2</f>
        <v>The University of Texas at Arlington</v>
      </c>
      <c r="D2207" s="390">
        <f>'ARL FGD'!$D$83</f>
        <v>0</v>
      </c>
      <c r="E2207" s="390">
        <f>'ARL FGD'!$E$83</f>
        <v>64916118</v>
      </c>
      <c r="F2207" s="390">
        <f>'ARL FGD'!$F$83</f>
        <v>2717888</v>
      </c>
      <c r="G2207" s="390">
        <f>'ARL FGD'!$G$83</f>
        <v>4160681</v>
      </c>
      <c r="H2207" s="390">
        <f>'ARL FGD'!$H$83</f>
        <v>-23312</v>
      </c>
      <c r="I2207" s="390">
        <f>'ARL FGD'!$I$83</f>
        <v>46356347</v>
      </c>
      <c r="J2207" s="390">
        <f>'ARL FGD'!$J$83</f>
        <v>5898917</v>
      </c>
      <c r="K2207" s="390">
        <f>'ARL FGD'!$K$83</f>
        <v>0</v>
      </c>
      <c r="L2207" s="390">
        <f>'ARL FGD'!$L$83</f>
        <v>0</v>
      </c>
      <c r="M2207" s="390">
        <f>'ARL FGD'!$M$83</f>
        <v>124026639</v>
      </c>
      <c r="N2207" s="401"/>
    </row>
    <row r="2208" spans="2:14" s="160" customFormat="1" ht="12.75" hidden="1" customHeight="1" outlineLevel="1">
      <c r="B2208" s="674" t="str">
        <f>'ASU FGD'!$B$2</f>
        <v>Angelo State University</v>
      </c>
      <c r="D2208" s="390">
        <f>'ASU FGD'!$D$83</f>
        <v>0</v>
      </c>
      <c r="E2208" s="390">
        <f>'ASU FGD'!$E$83</f>
        <v>2082271</v>
      </c>
      <c r="F2208" s="390">
        <f>'ASU FGD'!$F$83</f>
        <v>1650680</v>
      </c>
      <c r="G2208" s="390">
        <f>'ASU FGD'!$G$83</f>
        <v>506452</v>
      </c>
      <c r="H2208" s="390">
        <f>'ASU FGD'!$H$83</f>
        <v>0</v>
      </c>
      <c r="I2208" s="390">
        <f>'ASU FGD'!$I$83</f>
        <v>8777390</v>
      </c>
      <c r="J2208" s="390">
        <f>'ASU FGD'!$J$83</f>
        <v>0</v>
      </c>
      <c r="K2208" s="390">
        <f>'ASU FGD'!$K$83</f>
        <v>0</v>
      </c>
      <c r="L2208" s="390">
        <f>'ASU FGD'!$L$83</f>
        <v>0</v>
      </c>
      <c r="M2208" s="390">
        <f>'ASU FGD'!$M$83</f>
        <v>13016793</v>
      </c>
      <c r="N2208" s="401"/>
    </row>
    <row r="2209" spans="2:14" s="160" customFormat="1" ht="12.75" hidden="1" customHeight="1" outlineLevel="1">
      <c r="B2209" s="674" t="str">
        <f>'AUS1 FGD'!$B$2</f>
        <v>The University of Texas at Austin - Academic &amp; Health (A+H)</v>
      </c>
      <c r="D2209" s="390">
        <f>'AUS1 FGD'!$D$83</f>
        <v>8841424</v>
      </c>
      <c r="E2209" s="390">
        <f>'AUS1 FGD'!$E$83</f>
        <v>33878254</v>
      </c>
      <c r="F2209" s="390">
        <f>'AUS1 FGD'!$F$83</f>
        <v>-5452872</v>
      </c>
      <c r="G2209" s="390">
        <f>'AUS1 FGD'!$G$83</f>
        <v>15449162</v>
      </c>
      <c r="H2209" s="390">
        <f>'AUS1 FGD'!$H$83</f>
        <v>602215</v>
      </c>
      <c r="I2209" s="390">
        <f>'AUS1 FGD'!$I$83</f>
        <v>1285100360</v>
      </c>
      <c r="J2209" s="390">
        <f>'AUS1 FGD'!$J$83</f>
        <v>9599976</v>
      </c>
      <c r="K2209" s="390">
        <f>'AUS1 FGD'!$K$83</f>
        <v>0</v>
      </c>
      <c r="L2209" s="390">
        <f>'AUS1 FGD'!$L$83</f>
        <v>0</v>
      </c>
      <c r="M2209" s="390">
        <f>'AUS1 FGD'!$M$83</f>
        <v>1348018519</v>
      </c>
      <c r="N2209" s="401"/>
    </row>
    <row r="2210" spans="2:14" s="160" customFormat="1" ht="12.75" hidden="1" customHeight="1" outlineLevel="1">
      <c r="B2210" s="674" t="str">
        <f>'RGV1 FGD'!$B$2</f>
        <v>The University of Texas RGV - Academic &amp; Health (A+H)</v>
      </c>
      <c r="D2210" s="390">
        <f>'RGV1 FGD'!$D$83</f>
        <v>0</v>
      </c>
      <c r="E2210" s="390">
        <f>'RGV1 FGD'!$E$83</f>
        <v>10545330</v>
      </c>
      <c r="F2210" s="390">
        <f>'RGV1 FGD'!$F$83</f>
        <v>1767447</v>
      </c>
      <c r="G2210" s="390">
        <f>'RGV1 FGD'!$G$83</f>
        <v>257414</v>
      </c>
      <c r="H2210" s="390">
        <f>'RGV1 FGD'!$H$83</f>
        <v>91225</v>
      </c>
      <c r="I2210" s="390">
        <f>'RGV1 FGD'!$I$83</f>
        <v>23530252</v>
      </c>
      <c r="J2210" s="390">
        <f>'RGV1 FGD'!$J$83</f>
        <v>678066</v>
      </c>
      <c r="K2210" s="390">
        <f>'RGV1 FGD'!$K$83</f>
        <v>0</v>
      </c>
      <c r="L2210" s="390">
        <f>'RGV1 FGD'!$L$83</f>
        <v>0</v>
      </c>
      <c r="M2210" s="390">
        <f>'RGV1 FGD'!$M$83</f>
        <v>36869734</v>
      </c>
      <c r="N2210" s="401"/>
    </row>
    <row r="2211" spans="2:14" s="160" customFormat="1" ht="12.75" hidden="1" customHeight="1" outlineLevel="1">
      <c r="B2211" s="674" t="str">
        <f>'DAL FGD'!$B$2</f>
        <v>The University of Texas at Dallas</v>
      </c>
      <c r="D2211" s="390">
        <f>'DAL FGD'!$D$83</f>
        <v>0</v>
      </c>
      <c r="E2211" s="390">
        <f>'DAL FGD'!$E$83</f>
        <v>29441463</v>
      </c>
      <c r="F2211" s="390">
        <f>'DAL FGD'!$F$83</f>
        <v>0</v>
      </c>
      <c r="G2211" s="390">
        <f>'DAL FGD'!$G$83</f>
        <v>-431452</v>
      </c>
      <c r="H2211" s="390">
        <f>'DAL FGD'!$H$83</f>
        <v>0</v>
      </c>
      <c r="I2211" s="390">
        <f>'DAL FGD'!$I$83</f>
        <v>151955472</v>
      </c>
      <c r="J2211" s="390">
        <f>'DAL FGD'!$J$83</f>
        <v>0</v>
      </c>
      <c r="K2211" s="390">
        <f>'DAL FGD'!$K$83</f>
        <v>0</v>
      </c>
      <c r="L2211" s="390">
        <f>'DAL FGD'!$L$83</f>
        <v>0</v>
      </c>
      <c r="M2211" s="390">
        <f>'DAL FGD'!$M$83</f>
        <v>180965483</v>
      </c>
      <c r="N2211" s="401"/>
    </row>
    <row r="2212" spans="2:14" s="160" customFormat="1" ht="12.75" hidden="1" customHeight="1" outlineLevel="1">
      <c r="B2212" s="674" t="str">
        <f>'E-P FGD'!$B$2</f>
        <v>The University of Texas at El Paso</v>
      </c>
      <c r="D2212" s="390">
        <f>'E-P FGD'!$D$83</f>
        <v>0</v>
      </c>
      <c r="E2212" s="390">
        <f>'E-P FGD'!$E$83</f>
        <v>10599159</v>
      </c>
      <c r="F2212" s="390">
        <f>'E-P FGD'!$F$83</f>
        <v>0</v>
      </c>
      <c r="G2212" s="390">
        <f>'E-P FGD'!$G$83</f>
        <v>0</v>
      </c>
      <c r="H2212" s="390">
        <f>'E-P FGD'!$H$83</f>
        <v>0</v>
      </c>
      <c r="I2212" s="390">
        <f>'E-P FGD'!$I$83</f>
        <v>82841122</v>
      </c>
      <c r="J2212" s="390">
        <f>'E-P FGD'!$J$83</f>
        <v>0</v>
      </c>
      <c r="K2212" s="390">
        <f>'E-P FGD'!$K$83</f>
        <v>0</v>
      </c>
      <c r="L2212" s="390">
        <f>'E-P FGD'!$L$83</f>
        <v>0</v>
      </c>
      <c r="M2212" s="390">
        <f>'E-P FGD'!$M$83</f>
        <v>93440281</v>
      </c>
      <c r="N2212" s="401"/>
    </row>
    <row r="2213" spans="2:14" s="160" customFormat="1" ht="12.75" hidden="1" customHeight="1" outlineLevel="1">
      <c r="B2213" s="674" t="str">
        <f>'LU FGD'!$B$2</f>
        <v xml:space="preserve">Lamar University </v>
      </c>
      <c r="D2213" s="390">
        <f>'LU FGD'!$D$83</f>
        <v>0</v>
      </c>
      <c r="E2213" s="390">
        <f>'LU FGD'!$E$83</f>
        <v>0</v>
      </c>
      <c r="F2213" s="390">
        <f>'LU FGD'!$F$83</f>
        <v>0</v>
      </c>
      <c r="G2213" s="390">
        <f>'LU FGD'!$G$83</f>
        <v>0</v>
      </c>
      <c r="H2213" s="390">
        <f>'LU FGD'!$H$83</f>
        <v>0</v>
      </c>
      <c r="I2213" s="390">
        <f>'LU FGD'!$I$83</f>
        <v>4954863</v>
      </c>
      <c r="J2213" s="390">
        <f>'LU FGD'!$J$83</f>
        <v>0</v>
      </c>
      <c r="K2213" s="390">
        <f>'LU FGD'!$K$83</f>
        <v>0</v>
      </c>
      <c r="L2213" s="390">
        <f>'LU FGD'!$L$83</f>
        <v>0</v>
      </c>
      <c r="M2213" s="390">
        <f>'LU FGD'!$M$83</f>
        <v>4954863</v>
      </c>
      <c r="N2213" s="401"/>
    </row>
    <row r="2214" spans="2:14" s="160" customFormat="1" ht="12.75" hidden="1" customHeight="1" outlineLevel="1">
      <c r="B2214" s="674" t="str">
        <f>'MidWST FGD'!$B$2</f>
        <v>Midwestern State University</v>
      </c>
      <c r="D2214" s="390">
        <f>'MidWST FGD'!$D$83</f>
        <v>0</v>
      </c>
      <c r="E2214" s="390">
        <f>'MidWST FGD'!$E$83</f>
        <v>2591997</v>
      </c>
      <c r="F2214" s="390">
        <f>'MidWST FGD'!$F$83</f>
        <v>295990</v>
      </c>
      <c r="G2214" s="390">
        <f>'MidWST FGD'!$G$83</f>
        <v>557890</v>
      </c>
      <c r="H2214" s="390">
        <f>'MidWST FGD'!$H$83</f>
        <v>-67169</v>
      </c>
      <c r="I2214" s="390">
        <f>'MidWST FGD'!$I$83</f>
        <v>4041527</v>
      </c>
      <c r="J2214" s="390">
        <f>'MidWST FGD'!$J$83</f>
        <v>348373</v>
      </c>
      <c r="K2214" s="390">
        <f>'MidWST FGD'!$K$83</f>
        <v>0</v>
      </c>
      <c r="L2214" s="390">
        <f>'MidWST FGD'!$L$83</f>
        <v>0</v>
      </c>
      <c r="M2214" s="390">
        <f>'MidWST FGD'!$M$83</f>
        <v>7768608</v>
      </c>
      <c r="N2214" s="401"/>
    </row>
    <row r="2215" spans="2:14" s="160" customFormat="1" ht="12.75" hidden="1" customHeight="1" outlineLevel="1">
      <c r="B2215" s="674" t="str">
        <f>'P-B FGD'!$B$2</f>
        <v>The University of Texas of the Permian Basin</v>
      </c>
      <c r="D2215" s="390">
        <f>'P-B FGD'!$D$83</f>
        <v>0</v>
      </c>
      <c r="E2215" s="390">
        <f>'P-B FGD'!$E$83</f>
        <v>-701557</v>
      </c>
      <c r="F2215" s="390">
        <f>'P-B FGD'!$F$83</f>
        <v>0</v>
      </c>
      <c r="G2215" s="390">
        <f>'P-B FGD'!$G$83</f>
        <v>0</v>
      </c>
      <c r="H2215" s="390">
        <f>'P-B FGD'!$H$83</f>
        <v>0</v>
      </c>
      <c r="I2215" s="390">
        <f>'P-B FGD'!$I$83</f>
        <v>17362325</v>
      </c>
      <c r="J2215" s="390">
        <f>'P-B FGD'!$J$83</f>
        <v>0</v>
      </c>
      <c r="K2215" s="390">
        <f>'P-B FGD'!$K$83</f>
        <v>0</v>
      </c>
      <c r="L2215" s="390">
        <f>'P-B FGD'!$L$83</f>
        <v>0</v>
      </c>
      <c r="M2215" s="390">
        <f>'P-B FGD'!$M$83</f>
        <v>16660768</v>
      </c>
      <c r="N2215" s="401"/>
    </row>
    <row r="2216" spans="2:14" s="160" customFormat="1" ht="12.75" hidden="1" customHeight="1" outlineLevel="1">
      <c r="B2216" s="674" t="str">
        <f>'PVAMU FGD'!$B$2</f>
        <v>Prairie View A&amp;M University</v>
      </c>
      <c r="D2216" s="390">
        <f>'PVAMU FGD'!$D$83</f>
        <v>0</v>
      </c>
      <c r="E2216" s="390">
        <f>'PVAMU FGD'!$E$83</f>
        <v>14018084</v>
      </c>
      <c r="F2216" s="390">
        <f>'PVAMU FGD'!$F$83</f>
        <v>0</v>
      </c>
      <c r="G2216" s="390">
        <f>'PVAMU FGD'!$G$83</f>
        <v>0</v>
      </c>
      <c r="H2216" s="390">
        <f>'PVAMU FGD'!$H$83</f>
        <v>0</v>
      </c>
      <c r="I2216" s="390">
        <f>'PVAMU FGD'!$I$83</f>
        <v>52751677</v>
      </c>
      <c r="J2216" s="390">
        <f>'PVAMU FGD'!$J$83</f>
        <v>0</v>
      </c>
      <c r="K2216" s="390">
        <f>'PVAMU FGD'!$K$83</f>
        <v>0</v>
      </c>
      <c r="L2216" s="390">
        <f>'PVAMU FGD'!$L$83</f>
        <v>0</v>
      </c>
      <c r="M2216" s="390">
        <f>'PVAMU FGD'!$M$83</f>
        <v>66769761</v>
      </c>
      <c r="N2216" s="401"/>
    </row>
    <row r="2217" spans="2:14" s="160" customFormat="1" ht="12.75" hidden="1" customHeight="1" outlineLevel="1">
      <c r="B2217" s="674" t="str">
        <f>'S-A FGD'!$B$2</f>
        <v>The University of Texas at San Antonio</v>
      </c>
      <c r="D2217" s="390">
        <f>'S-A FGD'!$D$83</f>
        <v>0</v>
      </c>
      <c r="E2217" s="390">
        <f>'S-A FGD'!$E$83</f>
        <v>22750376</v>
      </c>
      <c r="F2217" s="390">
        <f>'S-A FGD'!$F$83</f>
        <v>4394742</v>
      </c>
      <c r="G2217" s="390">
        <f>'S-A FGD'!$G$83</f>
        <v>4604626</v>
      </c>
      <c r="H2217" s="390">
        <f>'S-A FGD'!$H$83</f>
        <v>0</v>
      </c>
      <c r="I2217" s="390">
        <f>'S-A FGD'!$I$83</f>
        <v>51578613</v>
      </c>
      <c r="J2217" s="390">
        <f>'S-A FGD'!$J$83</f>
        <v>0</v>
      </c>
      <c r="K2217" s="390">
        <f>'S-A FGD'!$K$83</f>
        <v>0</v>
      </c>
      <c r="L2217" s="390">
        <f>'S-A FGD'!$L$83</f>
        <v>0</v>
      </c>
      <c r="M2217" s="390">
        <f>'S-A FGD'!$M$83</f>
        <v>83328357</v>
      </c>
      <c r="N2217" s="401"/>
    </row>
    <row r="2218" spans="2:14" s="160" customFormat="1" ht="12.75" hidden="1" customHeight="1" outlineLevel="1">
      <c r="B2218" s="674" t="str">
        <f>'SFA FGD'!$B$2</f>
        <v>Stephen F. Austin State University</v>
      </c>
      <c r="D2218" s="390">
        <f>'SFA FGD'!$D$83</f>
        <v>0</v>
      </c>
      <c r="E2218" s="390">
        <f>'SFA FGD'!$E$83</f>
        <v>6378087</v>
      </c>
      <c r="F2218" s="390">
        <f>'SFA FGD'!$F$83</f>
        <v>1121322</v>
      </c>
      <c r="G2218" s="390">
        <f>'SFA FGD'!$G$83</f>
        <v>0</v>
      </c>
      <c r="H2218" s="390">
        <f>'SFA FGD'!$H$83</f>
        <v>0</v>
      </c>
      <c r="I2218" s="390">
        <f>'SFA FGD'!$I$83</f>
        <v>2870694</v>
      </c>
      <c r="J2218" s="390">
        <f>'SFA FGD'!$J$83</f>
        <v>0</v>
      </c>
      <c r="K2218" s="390">
        <f>'SFA FGD'!$K$83</f>
        <v>0</v>
      </c>
      <c r="L2218" s="390">
        <f>'SFA FGD'!$L$83</f>
        <v>-95477</v>
      </c>
      <c r="M2218" s="390">
        <f>'SFA FGD'!$M$83</f>
        <v>10274626</v>
      </c>
      <c r="N2218" s="401"/>
    </row>
    <row r="2219" spans="2:14" s="160" customFormat="1" ht="12.75" hidden="1" customHeight="1" outlineLevel="1">
      <c r="B2219" s="674" t="str">
        <f>'shsu1 FGD'!$B$2</f>
        <v>Sam Houston State University - Academic &amp; Health (A+H)</v>
      </c>
      <c r="D2219" s="390">
        <f>'shsu1 FGD'!$D$83</f>
        <v>0</v>
      </c>
      <c r="E2219" s="390">
        <f>'shsu1 FGD'!$E$83</f>
        <v>15685431</v>
      </c>
      <c r="F2219" s="390">
        <f>'shsu1 FGD'!$F$83</f>
        <v>0</v>
      </c>
      <c r="G2219" s="390">
        <f>'shsu1 FGD'!$G$83</f>
        <v>0</v>
      </c>
      <c r="H2219" s="390">
        <f>'shsu1 FGD'!$H$83</f>
        <v>0</v>
      </c>
      <c r="I2219" s="390">
        <f>'shsu1 FGD'!$I$83</f>
        <v>17471542</v>
      </c>
      <c r="J2219" s="390">
        <f>'shsu1 FGD'!$J$83</f>
        <v>0</v>
      </c>
      <c r="K2219" s="390">
        <f>'shsu1 FGD'!$K$83</f>
        <v>0</v>
      </c>
      <c r="L2219" s="390">
        <f>'shsu1 FGD'!$L$83</f>
        <v>0</v>
      </c>
      <c r="M2219" s="390">
        <f>'shsu1 FGD'!$M$83</f>
        <v>33156973</v>
      </c>
      <c r="N2219" s="401"/>
    </row>
    <row r="2220" spans="2:14" s="160" customFormat="1" ht="12.75" hidden="1" customHeight="1" outlineLevel="1">
      <c r="B2220" s="674" t="str">
        <f>'SRSU FGD'!$B$2</f>
        <v>Sul Ross State University</v>
      </c>
      <c r="D2220" s="390">
        <f>'SRSU FGD'!$D$83</f>
        <v>0</v>
      </c>
      <c r="E2220" s="390">
        <f>'SRSU FGD'!$E$83</f>
        <v>0</v>
      </c>
      <c r="F2220" s="390">
        <f>'SRSU FGD'!$F$83</f>
        <v>0</v>
      </c>
      <c r="G2220" s="390">
        <f>'SRSU FGD'!$G$83</f>
        <v>0</v>
      </c>
      <c r="H2220" s="390">
        <f>'SRSU FGD'!$H$83</f>
        <v>0</v>
      </c>
      <c r="I2220" s="390">
        <f>'SRSU FGD'!$I$83</f>
        <v>2454788</v>
      </c>
      <c r="J2220" s="390">
        <f>'SRSU FGD'!$J$83</f>
        <v>0</v>
      </c>
      <c r="K2220" s="390">
        <f>'SRSU FGD'!$K$83</f>
        <v>0</v>
      </c>
      <c r="L2220" s="390">
        <f>'SRSU FGD'!$L$83</f>
        <v>0</v>
      </c>
      <c r="M2220" s="390">
        <f>'SRSU FGD'!$M$83</f>
        <v>2454788</v>
      </c>
      <c r="N2220" s="401"/>
    </row>
    <row r="2221" spans="2:14" s="160" customFormat="1" ht="12.75" hidden="1" customHeight="1" outlineLevel="1">
      <c r="B2221" s="674" t="str">
        <f>'TAMIU FGD'!$B$2</f>
        <v>Texas A&amp;M International University</v>
      </c>
      <c r="D2221" s="390">
        <f>'TAMIU FGD'!$D$83</f>
        <v>8186343</v>
      </c>
      <c r="E2221" s="390">
        <f>'TAMIU FGD'!$E$83</f>
        <v>3045137</v>
      </c>
      <c r="F2221" s="390">
        <f>'TAMIU FGD'!$F$83</f>
        <v>735726</v>
      </c>
      <c r="G2221" s="390">
        <f>'TAMIU FGD'!$G$83</f>
        <v>349162</v>
      </c>
      <c r="H2221" s="390">
        <f>'TAMIU FGD'!$H$83</f>
        <v>0</v>
      </c>
      <c r="I2221" s="390">
        <f>'TAMIU FGD'!$I$83</f>
        <v>52674288</v>
      </c>
      <c r="J2221" s="390">
        <f>'TAMIU FGD'!$J$83</f>
        <v>0</v>
      </c>
      <c r="K2221" s="390">
        <f>'TAMIU FGD'!$K$83</f>
        <v>0</v>
      </c>
      <c r="L2221" s="390">
        <f>'TAMIU FGD'!$L$83</f>
        <v>0</v>
      </c>
      <c r="M2221" s="390">
        <f>'TAMIU FGD'!$M$83</f>
        <v>64990656</v>
      </c>
      <c r="N2221" s="401"/>
    </row>
    <row r="2222" spans="2:14" s="160" customFormat="1" ht="12.75" hidden="1" customHeight="1" outlineLevel="1">
      <c r="B2222" s="674" t="str">
        <f>'TAMU FGD'!$B$2</f>
        <v>Texas A&amp;M University</v>
      </c>
      <c r="D2222" s="390">
        <f>'TAMU FGD'!$D$83</f>
        <v>0</v>
      </c>
      <c r="E2222" s="390">
        <f>'TAMU FGD'!$E$83</f>
        <v>236540171</v>
      </c>
      <c r="F2222" s="390">
        <f>'TAMU FGD'!$F$83</f>
        <v>0</v>
      </c>
      <c r="G2222" s="390">
        <f>'TAMU FGD'!$G$83</f>
        <v>0</v>
      </c>
      <c r="H2222" s="390">
        <f>'TAMU FGD'!$H$83</f>
        <v>0</v>
      </c>
      <c r="I2222" s="390">
        <f>'TAMU FGD'!$I$83</f>
        <v>83143522</v>
      </c>
      <c r="J2222" s="390">
        <f>'TAMU FGD'!$J$83</f>
        <v>0</v>
      </c>
      <c r="K2222" s="390">
        <f>'TAMU FGD'!$K$83</f>
        <v>0</v>
      </c>
      <c r="L2222" s="390">
        <f>'TAMU FGD'!$L$83</f>
        <v>0</v>
      </c>
      <c r="M2222" s="390">
        <f>'TAMU FGD'!$M$83</f>
        <v>319683693</v>
      </c>
      <c r="N2222" s="401"/>
    </row>
    <row r="2223" spans="2:14" s="160" customFormat="1" ht="12.75" hidden="1" customHeight="1" outlineLevel="1">
      <c r="B2223" s="674" t="str">
        <f>'TAMUC FGD'!$B$2</f>
        <v>Texas A&amp;M University - Commerce</v>
      </c>
      <c r="D2223" s="390">
        <f>'TAMUC FGD'!$D$83</f>
        <v>-163818</v>
      </c>
      <c r="E2223" s="390">
        <f>'TAMUC FGD'!$E$83</f>
        <v>12062293</v>
      </c>
      <c r="F2223" s="390">
        <f>'TAMUC FGD'!$F$83</f>
        <v>2799243</v>
      </c>
      <c r="G2223" s="390">
        <f>'TAMUC FGD'!$G$83</f>
        <v>879266</v>
      </c>
      <c r="H2223" s="390">
        <f>'TAMUC FGD'!$H$83</f>
        <v>168701</v>
      </c>
      <c r="I2223" s="390">
        <f>'TAMUC FGD'!$I$83</f>
        <v>276923</v>
      </c>
      <c r="J2223" s="390">
        <f>'TAMUC FGD'!$J$83</f>
        <v>2910080</v>
      </c>
      <c r="K2223" s="390">
        <f>'TAMUC FGD'!$K$83</f>
        <v>0</v>
      </c>
      <c r="L2223" s="390">
        <f>'TAMUC FGD'!$L$83</f>
        <v>0</v>
      </c>
      <c r="M2223" s="390">
        <f>'TAMUC FGD'!$M$83</f>
        <v>18932688</v>
      </c>
      <c r="N2223" s="401"/>
    </row>
    <row r="2224" spans="2:14" s="160" customFormat="1" ht="12.75" hidden="1" customHeight="1" outlineLevel="1">
      <c r="B2224" s="674" t="str">
        <f>'TAMUCC FGD'!$B$2</f>
        <v>Texas A&amp;M University - Corpus Christi</v>
      </c>
      <c r="D2224" s="390">
        <f>'TAMUCC FGD'!$D$83</f>
        <v>0</v>
      </c>
      <c r="E2224" s="390">
        <f>'TAMUCC FGD'!$E$83</f>
        <v>13890053</v>
      </c>
      <c r="F2224" s="390">
        <f>'TAMUCC FGD'!$F$83</f>
        <v>4993249</v>
      </c>
      <c r="G2224" s="390">
        <f>'TAMUCC FGD'!$G$83</f>
        <v>-4066727</v>
      </c>
      <c r="H2224" s="390">
        <f>'TAMUCC FGD'!$H$83</f>
        <v>251380</v>
      </c>
      <c r="I2224" s="390">
        <f>'TAMUCC FGD'!$I$83</f>
        <v>3519555</v>
      </c>
      <c r="J2224" s="390">
        <f>'TAMUCC FGD'!$J$83</f>
        <v>609942</v>
      </c>
      <c r="K2224" s="390">
        <f>'TAMUCC FGD'!$K$83</f>
        <v>0</v>
      </c>
      <c r="L2224" s="390">
        <f>'TAMUCC FGD'!$L$83</f>
        <v>0</v>
      </c>
      <c r="M2224" s="390">
        <f>'TAMUCC FGD'!$M$83</f>
        <v>19197452</v>
      </c>
      <c r="N2224" s="401"/>
    </row>
    <row r="2225" spans="2:14" s="160" customFormat="1" ht="12.75" hidden="1" customHeight="1" outlineLevel="1">
      <c r="B2225" s="674" t="str">
        <f>'TAMUCT FGD'!$B$2</f>
        <v>Texas A&amp;M University - Central Texas</v>
      </c>
      <c r="D2225" s="390">
        <f>'TAMUCT FGD'!$D$83</f>
        <v>308628</v>
      </c>
      <c r="E2225" s="390">
        <f>'TAMUCT FGD'!$E$83</f>
        <v>2073883</v>
      </c>
      <c r="F2225" s="390">
        <f>'TAMUCT FGD'!$F$83</f>
        <v>0</v>
      </c>
      <c r="G2225" s="390">
        <f>'TAMUCT FGD'!$G$83</f>
        <v>0</v>
      </c>
      <c r="H2225" s="390">
        <f>'TAMUCT FGD'!$H$83</f>
        <v>0</v>
      </c>
      <c r="I2225" s="390">
        <f>'TAMUCT FGD'!$I$83</f>
        <v>195591</v>
      </c>
      <c r="J2225" s="390">
        <f>'TAMUCT FGD'!$J$83</f>
        <v>0</v>
      </c>
      <c r="K2225" s="390">
        <f>'TAMUCT FGD'!$K$83</f>
        <v>0</v>
      </c>
      <c r="L2225" s="390">
        <f>'TAMUCT FGD'!$L$83</f>
        <v>0</v>
      </c>
      <c r="M2225" s="390">
        <f>'TAMUCT FGD'!$M$83</f>
        <v>2578102</v>
      </c>
      <c r="N2225" s="401"/>
    </row>
    <row r="2226" spans="2:14" s="160" customFormat="1" ht="12.75" hidden="1" customHeight="1" outlineLevel="1">
      <c r="B2226" s="674" t="str">
        <f>'TAMUG FGD'!$B$2</f>
        <v>Texas A&amp;M University at Galveston</v>
      </c>
      <c r="D2226" s="390">
        <f>'TAMUG FGD'!$D$83</f>
        <v>0</v>
      </c>
      <c r="E2226" s="390">
        <f>'TAMUG FGD'!$E$83</f>
        <v>7510918</v>
      </c>
      <c r="F2226" s="390">
        <f>'TAMUG FGD'!$F$83</f>
        <v>0</v>
      </c>
      <c r="G2226" s="390">
        <f>'TAMUG FGD'!$G$83</f>
        <v>0</v>
      </c>
      <c r="H2226" s="390">
        <f>'TAMUG FGD'!$H$83</f>
        <v>0</v>
      </c>
      <c r="I2226" s="390">
        <f>'TAMUG FGD'!$I$83</f>
        <v>707592</v>
      </c>
      <c r="J2226" s="390">
        <f>'TAMUG FGD'!$J$83</f>
        <v>0</v>
      </c>
      <c r="K2226" s="390">
        <f>'TAMUG FGD'!$K$83</f>
        <v>0</v>
      </c>
      <c r="L2226" s="390">
        <f>'TAMUG FGD'!$L$83</f>
        <v>0</v>
      </c>
      <c r="M2226" s="390">
        <f>'TAMUG FGD'!$M$83</f>
        <v>8218510</v>
      </c>
      <c r="N2226" s="401"/>
    </row>
    <row r="2227" spans="2:14" s="160" customFormat="1" ht="12.75" hidden="1" customHeight="1" outlineLevel="1">
      <c r="B2227" s="674" t="str">
        <f>'TAMUK FGD'!$B$2</f>
        <v>Texas A&amp;M University - Kingsville</v>
      </c>
      <c r="D2227" s="390">
        <f>'TAMUK FGD'!$D$83</f>
        <v>0</v>
      </c>
      <c r="E2227" s="390">
        <f>'TAMUK FGD'!$E$83</f>
        <v>8775136</v>
      </c>
      <c r="F2227" s="390">
        <f>'TAMUK FGD'!$F$83</f>
        <v>0</v>
      </c>
      <c r="G2227" s="390">
        <f>'TAMUK FGD'!$G$83</f>
        <v>2973914</v>
      </c>
      <c r="H2227" s="390">
        <f>'TAMUK FGD'!$H$83</f>
        <v>72625</v>
      </c>
      <c r="I2227" s="390">
        <f>'TAMUK FGD'!$I$83</f>
        <v>4434190</v>
      </c>
      <c r="J2227" s="390">
        <f>'TAMUK FGD'!$J$83</f>
        <v>0</v>
      </c>
      <c r="K2227" s="390">
        <f>'TAMUK FGD'!$K$83</f>
        <v>0</v>
      </c>
      <c r="L2227" s="390">
        <f>'TAMUK FGD'!$L$83</f>
        <v>0</v>
      </c>
      <c r="M2227" s="390">
        <f>'TAMUK FGD'!$M$83</f>
        <v>16255865</v>
      </c>
      <c r="N2227" s="401"/>
    </row>
    <row r="2228" spans="2:14" s="160" customFormat="1" ht="12.75" hidden="1" customHeight="1" outlineLevel="1">
      <c r="B2228" s="674" t="str">
        <f>'TAMUSA FGD'!$B$2</f>
        <v>Texas A&amp;M University - San Antonio</v>
      </c>
      <c r="D2228" s="390">
        <f>'TAMUSA FGD'!$D$83</f>
        <v>0</v>
      </c>
      <c r="E2228" s="390">
        <f>'TAMUSA FGD'!$E$83</f>
        <v>4825886</v>
      </c>
      <c r="F2228" s="390">
        <f>'TAMUSA FGD'!$F$83</f>
        <v>560135</v>
      </c>
      <c r="G2228" s="390">
        <f>'TAMUSA FGD'!$G$83</f>
        <v>0</v>
      </c>
      <c r="H2228" s="390">
        <f>'TAMUSA FGD'!$H$83</f>
        <v>262665</v>
      </c>
      <c r="I2228" s="390">
        <f>'TAMUSA FGD'!$I$83</f>
        <v>46658</v>
      </c>
      <c r="J2228" s="390">
        <f>'TAMUSA FGD'!$J$83</f>
        <v>21460</v>
      </c>
      <c r="K2228" s="390">
        <f>'TAMUSA FGD'!$K$83</f>
        <v>0</v>
      </c>
      <c r="L2228" s="390">
        <f>'TAMUSA FGD'!$L$83</f>
        <v>0</v>
      </c>
      <c r="M2228" s="390">
        <f>'TAMUSA FGD'!$M$83</f>
        <v>5716804</v>
      </c>
      <c r="N2228" s="401"/>
    </row>
    <row r="2229" spans="2:14" s="160" customFormat="1" ht="12.75" hidden="1" customHeight="1" outlineLevel="1">
      <c r="B2229" s="674" t="str">
        <f>'TAMUT FGD'!$B$2</f>
        <v>Texas A&amp;M University - Texarkana</v>
      </c>
      <c r="D2229" s="390">
        <f>'TAMUT FGD'!$D$83</f>
        <v>0</v>
      </c>
      <c r="E2229" s="390">
        <f>'TAMUT FGD'!$E$83</f>
        <v>2766919</v>
      </c>
      <c r="F2229" s="390">
        <f>'TAMUT FGD'!$F$83</f>
        <v>216082</v>
      </c>
      <c r="G2229" s="390">
        <f>'TAMUT FGD'!$G$83</f>
        <v>-52437</v>
      </c>
      <c r="H2229" s="390">
        <f>'TAMUT FGD'!$H$83</f>
        <v>0</v>
      </c>
      <c r="I2229" s="390">
        <f>'TAMUT FGD'!$I$83</f>
        <v>1786637</v>
      </c>
      <c r="J2229" s="390">
        <f>'TAMUT FGD'!$J$83</f>
        <v>0</v>
      </c>
      <c r="K2229" s="390">
        <f>'TAMUT FGD'!$K$83</f>
        <v>0</v>
      </c>
      <c r="L2229" s="390">
        <f>'TAMUT FGD'!$L$83</f>
        <v>0</v>
      </c>
      <c r="M2229" s="390">
        <f>'TAMUT FGD'!$M$83</f>
        <v>4717201</v>
      </c>
      <c r="N2229" s="401"/>
    </row>
    <row r="2230" spans="2:14" s="160" customFormat="1" ht="12.75" hidden="1" customHeight="1" outlineLevel="1">
      <c r="B2230" s="674" t="str">
        <f>'TARLST FGD'!$B$2</f>
        <v>Tarleton State University</v>
      </c>
      <c r="D2230" s="390">
        <f>'TARLST FGD'!$D$83</f>
        <v>324869</v>
      </c>
      <c r="E2230" s="390">
        <f>'TARLST FGD'!$E$83</f>
        <v>11981110</v>
      </c>
      <c r="F2230" s="390">
        <f>'TARLST FGD'!$F$83</f>
        <v>1259800</v>
      </c>
      <c r="G2230" s="390">
        <f>'TARLST FGD'!$G$83</f>
        <v>856104</v>
      </c>
      <c r="H2230" s="390">
        <f>'TARLST FGD'!$H$83</f>
        <v>302169</v>
      </c>
      <c r="I2230" s="390">
        <f>'TARLST FGD'!$I$83</f>
        <v>10124207</v>
      </c>
      <c r="J2230" s="390">
        <f>'TARLST FGD'!$J$83</f>
        <v>1849485</v>
      </c>
      <c r="K2230" s="390">
        <f>'TARLST FGD'!$K$83</f>
        <v>0</v>
      </c>
      <c r="L2230" s="390">
        <f>'TARLST FGD'!$L$83</f>
        <v>0</v>
      </c>
      <c r="M2230" s="390">
        <f>'TARLST FGD'!$M$83</f>
        <v>26697744</v>
      </c>
      <c r="N2230" s="401"/>
    </row>
    <row r="2231" spans="2:14" s="160" customFormat="1" ht="12.75" hidden="1" customHeight="1" outlineLevel="1">
      <c r="B2231" s="674" t="str">
        <f>'TSU FGD'!$B$2</f>
        <v>Texas Southern University</v>
      </c>
      <c r="D2231" s="390">
        <f>'TSU FGD'!$D$83</f>
        <v>85431864</v>
      </c>
      <c r="E2231" s="390">
        <f>'TSU FGD'!$E$83</f>
        <v>709272</v>
      </c>
      <c r="F2231" s="390">
        <f>'TSU FGD'!$F$83</f>
        <v>0</v>
      </c>
      <c r="G2231" s="390">
        <f>'TSU FGD'!$G$83</f>
        <v>0</v>
      </c>
      <c r="H2231" s="390">
        <f>'TSU FGD'!$H$83</f>
        <v>0</v>
      </c>
      <c r="I2231" s="390">
        <f>'TSU FGD'!$I$83</f>
        <v>17065258</v>
      </c>
      <c r="J2231" s="390">
        <f>'TSU FGD'!$J$83</f>
        <v>0</v>
      </c>
      <c r="K2231" s="390">
        <f>'TSU FGD'!$K$83</f>
        <v>0</v>
      </c>
      <c r="L2231" s="390">
        <f>'TSU FGD'!$L$83</f>
        <v>0</v>
      </c>
      <c r="M2231" s="390">
        <f>'TSU FGD'!$M$83</f>
        <v>103206394</v>
      </c>
      <c r="N2231" s="401"/>
    </row>
    <row r="2232" spans="2:14" s="160" customFormat="1" ht="12.75" hidden="1" customHeight="1" outlineLevel="1">
      <c r="B2232" s="674" t="str">
        <f>'TTU FGD'!$B$2</f>
        <v>Texas Tech University</v>
      </c>
      <c r="D2232" s="390">
        <f>'TTU FGD'!$D$83</f>
        <v>0</v>
      </c>
      <c r="E2232" s="390">
        <f>'TTU FGD'!$E$83</f>
        <v>40452108</v>
      </c>
      <c r="F2232" s="390">
        <f>'TTU FGD'!$F$83</f>
        <v>8454897</v>
      </c>
      <c r="G2232" s="390">
        <f>'TTU FGD'!$G$83</f>
        <v>6928610</v>
      </c>
      <c r="H2232" s="390">
        <f>'TTU FGD'!$H$83</f>
        <v>306694</v>
      </c>
      <c r="I2232" s="390">
        <f>'TTU FGD'!$I$83</f>
        <v>69722828</v>
      </c>
      <c r="J2232" s="390">
        <f>'TTU FGD'!$J$83</f>
        <v>1298081</v>
      </c>
      <c r="K2232" s="390">
        <f>'TTU FGD'!$K$83</f>
        <v>3199871</v>
      </c>
      <c r="L2232" s="390">
        <f>'TTU FGD'!$L$83</f>
        <v>0</v>
      </c>
      <c r="M2232" s="390">
        <f>'TTU FGD'!$M$83</f>
        <v>130363089</v>
      </c>
      <c r="N2232" s="401"/>
    </row>
    <row r="2233" spans="2:14" s="160" customFormat="1" ht="12.75" hidden="1" customHeight="1" outlineLevel="1">
      <c r="B2233" s="674" t="str">
        <f>'TWU FGD'!$B$2</f>
        <v>Texas Woman's University</v>
      </c>
      <c r="D2233" s="390">
        <f>'TWU FGD'!$D$83</f>
        <v>0</v>
      </c>
      <c r="E2233" s="390">
        <f>'TWU FGD'!$E$83</f>
        <v>21789315</v>
      </c>
      <c r="F2233" s="390">
        <f>'TWU FGD'!$F$83</f>
        <v>0</v>
      </c>
      <c r="G2233" s="390">
        <f>'TWU FGD'!$G$83</f>
        <v>0</v>
      </c>
      <c r="H2233" s="390">
        <f>'TWU FGD'!$H$83</f>
        <v>0</v>
      </c>
      <c r="I2233" s="390">
        <f>'TWU FGD'!$I$83</f>
        <v>3211494</v>
      </c>
      <c r="J2233" s="390">
        <f>'TWU FGD'!$J$83</f>
        <v>0</v>
      </c>
      <c r="K2233" s="390">
        <f>'TWU FGD'!$K$83</f>
        <v>0</v>
      </c>
      <c r="L2233" s="390">
        <f>'TWU FGD'!$L$83</f>
        <v>0</v>
      </c>
      <c r="M2233" s="390">
        <f>'TWU FGD'!$M$83</f>
        <v>25000809</v>
      </c>
      <c r="N2233" s="401"/>
    </row>
    <row r="2234" spans="2:14" s="160" customFormat="1" ht="12.75" hidden="1" customHeight="1" outlineLevel="1">
      <c r="B2234" s="674" t="str">
        <f>'TXST FGD'!$B$2</f>
        <v>Texas State University</v>
      </c>
      <c r="D2234" s="390">
        <f>'TXST FGD'!$D$83</f>
        <v>0</v>
      </c>
      <c r="E2234" s="390">
        <f>'TXST FGD'!$E$83</f>
        <v>0</v>
      </c>
      <c r="F2234" s="390">
        <f>'TXST FGD'!$F$83</f>
        <v>0</v>
      </c>
      <c r="G2234" s="390">
        <f>'TXST FGD'!$G$83</f>
        <v>0</v>
      </c>
      <c r="H2234" s="390">
        <f>'TXST FGD'!$H$83</f>
        <v>0</v>
      </c>
      <c r="I2234" s="390">
        <f>'TXST FGD'!$I$83</f>
        <v>11641437</v>
      </c>
      <c r="J2234" s="390">
        <f>'TXST FGD'!$J$83</f>
        <v>0</v>
      </c>
      <c r="K2234" s="390">
        <f>'TXST FGD'!$K$83</f>
        <v>0</v>
      </c>
      <c r="L2234" s="390">
        <f>'TXST FGD'!$L$83</f>
        <v>7637315</v>
      </c>
      <c r="M2234" s="390">
        <f>'TXST FGD'!$M$83</f>
        <v>19278752</v>
      </c>
      <c r="N2234" s="401"/>
    </row>
    <row r="2235" spans="2:14" s="160" customFormat="1" ht="12.75" hidden="1" customHeight="1" outlineLevel="1">
      <c r="B2235" s="674" t="str">
        <f>'TYL FGD'!$B$2</f>
        <v>The University of Texas at Tyler</v>
      </c>
      <c r="D2235" s="390">
        <f>'TYL FGD'!$D$83</f>
        <v>0</v>
      </c>
      <c r="E2235" s="390">
        <f>'TYL FGD'!$E$83</f>
        <v>79861</v>
      </c>
      <c r="F2235" s="390">
        <f>'TYL FGD'!$F$83</f>
        <v>0</v>
      </c>
      <c r="G2235" s="390">
        <f>'TYL FGD'!$G$83</f>
        <v>-644491</v>
      </c>
      <c r="H2235" s="390">
        <f>'TYL FGD'!$H$83</f>
        <v>0</v>
      </c>
      <c r="I2235" s="390">
        <f>'TYL FGD'!$I$83</f>
        <v>30682166</v>
      </c>
      <c r="J2235" s="390">
        <f>'TYL FGD'!$J$83</f>
        <v>0</v>
      </c>
      <c r="K2235" s="390">
        <f>'TYL FGD'!$K$83</f>
        <v>0</v>
      </c>
      <c r="L2235" s="390">
        <f>'TYL FGD'!$L$83</f>
        <v>0</v>
      </c>
      <c r="M2235" s="390">
        <f>'TYL FGD'!$M$83</f>
        <v>30117536</v>
      </c>
      <c r="N2235" s="401"/>
    </row>
    <row r="2236" spans="2:14" s="160" customFormat="1" ht="12.75" hidden="1" customHeight="1" outlineLevel="1">
      <c r="B2236" s="674" t="str">
        <f>'UH1 FGD'!$B$2</f>
        <v>University of Houston - Academic &amp; Health (A+H)</v>
      </c>
      <c r="D2236" s="390">
        <f>'UH1 FGD'!$D$83</f>
        <v>0</v>
      </c>
      <c r="E2236" s="390">
        <f>'UH1 FGD'!$E$83</f>
        <v>-4254641</v>
      </c>
      <c r="F2236" s="390">
        <f>'UH1 FGD'!$F$83</f>
        <v>0</v>
      </c>
      <c r="G2236" s="390">
        <f>'UH1 FGD'!$G$83</f>
        <v>0</v>
      </c>
      <c r="H2236" s="390">
        <f>'UH1 FGD'!$H$83</f>
        <v>0</v>
      </c>
      <c r="I2236" s="390">
        <f>'UH1 FGD'!$I$83</f>
        <v>150901911</v>
      </c>
      <c r="J2236" s="390">
        <f>'UH1 FGD'!$J$83</f>
        <v>0</v>
      </c>
      <c r="K2236" s="390">
        <f>'UH1 FGD'!$K$83</f>
        <v>0</v>
      </c>
      <c r="L2236" s="390">
        <f>'UH1 FGD'!$L$83</f>
        <v>0</v>
      </c>
      <c r="M2236" s="390">
        <f>'UH1 FGD'!$M$83</f>
        <v>146647270</v>
      </c>
      <c r="N2236" s="401"/>
    </row>
    <row r="2237" spans="2:14" s="160" customFormat="1" ht="12.75" hidden="1" customHeight="1" outlineLevel="1">
      <c r="B2237" s="674" t="str">
        <f>'UHCL FGD'!$B$2</f>
        <v>University of Houston - Clear Lake</v>
      </c>
      <c r="D2237" s="390">
        <f>'UHCL FGD'!$D$83</f>
        <v>0</v>
      </c>
      <c r="E2237" s="390">
        <f>'UHCL FGD'!$E$83</f>
        <v>-305368</v>
      </c>
      <c r="F2237" s="390">
        <f>'UHCL FGD'!$F$83</f>
        <v>0</v>
      </c>
      <c r="G2237" s="390">
        <f>'UHCL FGD'!$G$83</f>
        <v>0</v>
      </c>
      <c r="H2237" s="390">
        <f>'UHCL FGD'!$H$83</f>
        <v>0</v>
      </c>
      <c r="I2237" s="390">
        <f>'UHCL FGD'!$I$83</f>
        <v>5175647</v>
      </c>
      <c r="J2237" s="390">
        <f>'UHCL FGD'!$J$83</f>
        <v>0</v>
      </c>
      <c r="K2237" s="390">
        <f>'UHCL FGD'!$K$83</f>
        <v>0</v>
      </c>
      <c r="L2237" s="390">
        <f>'UHCL FGD'!$L$83</f>
        <v>0</v>
      </c>
      <c r="M2237" s="390">
        <f>'UHCL FGD'!$M$83</f>
        <v>4870279</v>
      </c>
      <c r="N2237" s="401"/>
    </row>
    <row r="2238" spans="2:14" s="160" customFormat="1" ht="12.75" hidden="1" customHeight="1" outlineLevel="1">
      <c r="B2238" s="674" t="str">
        <f>'UHD FGD'!$B$2</f>
        <v>University of Houston - Downtown</v>
      </c>
      <c r="D2238" s="390">
        <f>'UHD FGD'!$D$83</f>
        <v>0</v>
      </c>
      <c r="E2238" s="390">
        <f>'UHD FGD'!$E$83</f>
        <v>-388940</v>
      </c>
      <c r="F2238" s="390">
        <f>'UHD FGD'!$F$83</f>
        <v>0</v>
      </c>
      <c r="G2238" s="390">
        <f>'UHD FGD'!$G$83</f>
        <v>0</v>
      </c>
      <c r="H2238" s="390">
        <f>'UHD FGD'!$H$83</f>
        <v>0</v>
      </c>
      <c r="I2238" s="390">
        <f>'UHD FGD'!$I$83</f>
        <v>8161762</v>
      </c>
      <c r="J2238" s="390">
        <f>'UHD FGD'!$J$83</f>
        <v>0</v>
      </c>
      <c r="K2238" s="390">
        <f>'UHD FGD'!$K$83</f>
        <v>0</v>
      </c>
      <c r="L2238" s="390">
        <f>'UHD FGD'!$L$83</f>
        <v>0</v>
      </c>
      <c r="M2238" s="390">
        <f>'UHD FGD'!$M$83</f>
        <v>7772822</v>
      </c>
      <c r="N2238" s="401"/>
    </row>
    <row r="2239" spans="2:14" s="160" customFormat="1" ht="12.75" hidden="1" customHeight="1" outlineLevel="1">
      <c r="B2239" s="674" t="str">
        <f>'UHV FGD'!$B$2</f>
        <v>University of Houston - Victoria</v>
      </c>
      <c r="D2239" s="390">
        <f>'UHV FGD'!$D$83</f>
        <v>0</v>
      </c>
      <c r="E2239" s="390">
        <f>'UHV FGD'!$E$83</f>
        <v>-10596</v>
      </c>
      <c r="F2239" s="390">
        <f>'UHV FGD'!$F$83</f>
        <v>0</v>
      </c>
      <c r="G2239" s="390">
        <f>'UHV FGD'!$G$83</f>
        <v>0</v>
      </c>
      <c r="H2239" s="390">
        <f>'UHV FGD'!$H$83</f>
        <v>0</v>
      </c>
      <c r="I2239" s="390">
        <f>'UHV FGD'!$I$83</f>
        <v>2422195</v>
      </c>
      <c r="J2239" s="390">
        <f>'UHV FGD'!$J$83</f>
        <v>0</v>
      </c>
      <c r="K2239" s="390">
        <f>'UHV FGD'!$K$83</f>
        <v>0</v>
      </c>
      <c r="L2239" s="390">
        <f>'UHV FGD'!$L$83</f>
        <v>0</v>
      </c>
      <c r="M2239" s="390">
        <f>'UHV FGD'!$M$83</f>
        <v>2411599</v>
      </c>
      <c r="N2239" s="401"/>
    </row>
    <row r="2240" spans="2:14" s="160" customFormat="1" ht="12.75" hidden="1" customHeight="1" outlineLevel="1">
      <c r="B2240" s="674" t="str">
        <f>'UNT FGD'!$B$2</f>
        <v>University of North Texas</v>
      </c>
      <c r="D2240" s="390">
        <f>'UNT FGD'!$D$83</f>
        <v>0</v>
      </c>
      <c r="E2240" s="390">
        <f>'UNT FGD'!$E$83</f>
        <v>22722470</v>
      </c>
      <c r="F2240" s="390">
        <f>'UNT FGD'!$F$83</f>
        <v>0</v>
      </c>
      <c r="G2240" s="390">
        <f>'UNT FGD'!$G$83</f>
        <v>0</v>
      </c>
      <c r="H2240" s="390">
        <f>'UNT FGD'!$H$83</f>
        <v>0</v>
      </c>
      <c r="I2240" s="390">
        <f>'UNT FGD'!$I$83</f>
        <v>6730922</v>
      </c>
      <c r="J2240" s="390">
        <f>'UNT FGD'!$J$83</f>
        <v>0</v>
      </c>
      <c r="K2240" s="390">
        <f>'UNT FGD'!$K$83</f>
        <v>0</v>
      </c>
      <c r="L2240" s="390">
        <f>'UNT FGD'!$L$83</f>
        <v>0</v>
      </c>
      <c r="M2240" s="390">
        <f>'UNT FGD'!$M$83</f>
        <v>29453392</v>
      </c>
      <c r="N2240" s="401"/>
    </row>
    <row r="2241" spans="2:14" s="160" customFormat="1" ht="12.75" hidden="1" customHeight="1" outlineLevel="1">
      <c r="B2241" s="674" t="str">
        <f>'UNTD FGD'!$B$2</f>
        <v>University of North Texas at Dallas</v>
      </c>
      <c r="D2241" s="390">
        <f>'UNTD FGD'!$D$83</f>
        <v>0</v>
      </c>
      <c r="E2241" s="390">
        <f>'UNTD FGD'!$E$83</f>
        <v>1793758</v>
      </c>
      <c r="F2241" s="390">
        <f>'UNTD FGD'!$F$83</f>
        <v>0</v>
      </c>
      <c r="G2241" s="390">
        <f>'UNTD FGD'!$G$83</f>
        <v>0</v>
      </c>
      <c r="H2241" s="390">
        <f>'UNTD FGD'!$H$83</f>
        <v>0</v>
      </c>
      <c r="I2241" s="390">
        <f>'UNTD FGD'!$I$83</f>
        <v>137609</v>
      </c>
      <c r="J2241" s="390">
        <f>'UNTD FGD'!$J$83</f>
        <v>0</v>
      </c>
      <c r="K2241" s="390">
        <f>'UNTD FGD'!$K$83</f>
        <v>0</v>
      </c>
      <c r="L2241" s="390">
        <f>'UNTD FGD'!$L$83</f>
        <v>0</v>
      </c>
      <c r="M2241" s="390">
        <f>'UNTD FGD'!$M$83</f>
        <v>1931367</v>
      </c>
      <c r="N2241" s="401"/>
    </row>
    <row r="2242" spans="2:14" s="160" customFormat="1" ht="12.75" hidden="1" customHeight="1" outlineLevel="1">
      <c r="B2242" s="674" t="str">
        <f>'WTAMU FGD'!$B$2</f>
        <v>West Texas A&amp;M University</v>
      </c>
      <c r="D2242" s="390">
        <f>'WTAMU FGD'!$D$83</f>
        <v>-33644</v>
      </c>
      <c r="E2242" s="390">
        <f>'WTAMU FGD'!$E$83</f>
        <v>10746236</v>
      </c>
      <c r="F2242" s="390">
        <f>'WTAMU FGD'!$F$83</f>
        <v>2034607</v>
      </c>
      <c r="G2242" s="390">
        <f>'WTAMU FGD'!$G$83</f>
        <v>55274</v>
      </c>
      <c r="H2242" s="390">
        <f>'WTAMU FGD'!$H$83</f>
        <v>0</v>
      </c>
      <c r="I2242" s="390">
        <f>'WTAMU FGD'!$I$83</f>
        <v>4971988</v>
      </c>
      <c r="J2242" s="390">
        <f>'WTAMU FGD'!$J$83</f>
        <v>1825534</v>
      </c>
      <c r="K2242" s="390">
        <f>'WTAMU FGD'!$K$83</f>
        <v>0</v>
      </c>
      <c r="L2242" s="390">
        <f>'WTAMU FGD'!$L$83</f>
        <v>0</v>
      </c>
      <c r="M2242" s="390">
        <f>'WTAMU FGD'!$M$83</f>
        <v>19599995</v>
      </c>
      <c r="N2242" s="401"/>
    </row>
    <row r="2243" spans="2:14" s="160" customFormat="1" collapsed="1">
      <c r="B2243" s="162" t="s">
        <v>3</v>
      </c>
      <c r="C2243" s="162"/>
      <c r="D2243" s="581">
        <f t="shared" ref="D2243:M2243" si="59">SUM(D2207:D2242)</f>
        <v>102895666</v>
      </c>
      <c r="E2243" s="581">
        <f t="shared" si="59"/>
        <v>608989994</v>
      </c>
      <c r="F2243" s="581">
        <f t="shared" si="59"/>
        <v>27548936</v>
      </c>
      <c r="G2243" s="581">
        <f t="shared" si="59"/>
        <v>32383448</v>
      </c>
      <c r="H2243" s="581">
        <f t="shared" si="59"/>
        <v>1967193</v>
      </c>
      <c r="I2243" s="581">
        <f t="shared" si="59"/>
        <v>2219781352</v>
      </c>
      <c r="J2243" s="581">
        <f t="shared" si="59"/>
        <v>25039914</v>
      </c>
      <c r="K2243" s="581">
        <f t="shared" si="59"/>
        <v>3199871</v>
      </c>
      <c r="L2243" s="581">
        <f t="shared" si="59"/>
        <v>7541838</v>
      </c>
      <c r="M2243" s="581">
        <f t="shared" si="59"/>
        <v>3029348212</v>
      </c>
      <c r="N2243" s="401"/>
    </row>
    <row r="2244" spans="2:14" s="160" customFormat="1">
      <c r="D2244" s="390"/>
      <c r="E2244" s="390"/>
      <c r="F2244" s="390"/>
      <c r="G2244" s="390"/>
      <c r="H2244" s="390"/>
      <c r="I2244" s="390"/>
      <c r="J2244" s="390"/>
      <c r="K2244" s="390"/>
      <c r="L2244" s="390"/>
      <c r="M2244" s="390"/>
      <c r="N2244" s="401"/>
    </row>
    <row r="2245" spans="2:14" s="160" customFormat="1" ht="12.75" hidden="1" customHeight="1" outlineLevel="1">
      <c r="B2245" s="674" t="str">
        <f>'ARL FGD'!$B$2</f>
        <v>The University of Texas at Arlington</v>
      </c>
      <c r="D2245" s="390">
        <f>'ARL FGD'!$D$85</f>
        <v>0</v>
      </c>
      <c r="E2245" s="390">
        <f>'ARL FGD'!$E$85</f>
        <v>146756045</v>
      </c>
      <c r="F2245" s="390">
        <f>'ARL FGD'!$F$85</f>
        <v>3027127</v>
      </c>
      <c r="G2245" s="390">
        <f>'ARL FGD'!$G$85</f>
        <v>7768129</v>
      </c>
      <c r="H2245" s="390">
        <f>'ARL FGD'!$H$85</f>
        <v>1076230</v>
      </c>
      <c r="I2245" s="390">
        <f>'ARL FGD'!$I$85</f>
        <v>47231344</v>
      </c>
      <c r="J2245" s="390">
        <f>'ARL FGD'!$J$85</f>
        <v>13565104</v>
      </c>
      <c r="K2245" s="390">
        <f>'ARL FGD'!$K$85</f>
        <v>0</v>
      </c>
      <c r="L2245" s="390">
        <f>'ARL FGD'!$L$85</f>
        <v>-33927</v>
      </c>
      <c r="M2245" s="390">
        <f>'ARL FGD'!$M$85</f>
        <v>219390052</v>
      </c>
      <c r="N2245" s="401"/>
    </row>
    <row r="2246" spans="2:14" s="160" customFormat="1" ht="12.75" hidden="1" customHeight="1" outlineLevel="1">
      <c r="B2246" s="674" t="str">
        <f>'ASU FGD'!$B$2</f>
        <v>Angelo State University</v>
      </c>
      <c r="D2246" s="390">
        <f>'ASU FGD'!$D$85</f>
        <v>-2741496</v>
      </c>
      <c r="E2246" s="390">
        <f>'ASU FGD'!$E$85</f>
        <v>-5668073</v>
      </c>
      <c r="F2246" s="390">
        <f>'ASU FGD'!$F$85</f>
        <v>-3256296</v>
      </c>
      <c r="G2246" s="390">
        <f>'ASU FGD'!$G$85</f>
        <v>13616905</v>
      </c>
      <c r="H2246" s="390">
        <f>'ASU FGD'!$H$85</f>
        <v>69568</v>
      </c>
      <c r="I2246" s="390">
        <f>'ASU FGD'!$I$85</f>
        <v>16083898</v>
      </c>
      <c r="J2246" s="390">
        <f>'ASU FGD'!$J$85</f>
        <v>6691508</v>
      </c>
      <c r="K2246" s="390">
        <f>'ASU FGD'!$K$85</f>
        <v>0</v>
      </c>
      <c r="L2246" s="390">
        <f>'ASU FGD'!$L$85</f>
        <v>45693</v>
      </c>
      <c r="M2246" s="390">
        <f>'ASU FGD'!$M$85</f>
        <v>24841707</v>
      </c>
      <c r="N2246" s="401"/>
    </row>
    <row r="2247" spans="2:14" s="160" customFormat="1" ht="12.75" hidden="1" customHeight="1" outlineLevel="1">
      <c r="B2247" s="674" t="str">
        <f>'AUS1 FGD'!$B$2</f>
        <v>The University of Texas at Austin - Academic &amp; Health (A+H)</v>
      </c>
      <c r="D2247" s="390">
        <f>'AUS1 FGD'!$D$85</f>
        <v>61078143</v>
      </c>
      <c r="E2247" s="390">
        <f>'AUS1 FGD'!$E$85</f>
        <v>225349620</v>
      </c>
      <c r="F2247" s="390">
        <f>'AUS1 FGD'!$F$85</f>
        <v>-9214834</v>
      </c>
      <c r="G2247" s="390">
        <f>'AUS1 FGD'!$G$85</f>
        <v>227959756</v>
      </c>
      <c r="H2247" s="390">
        <f>'AUS1 FGD'!$H$85</f>
        <v>5491523</v>
      </c>
      <c r="I2247" s="390">
        <f>'AUS1 FGD'!$I$85</f>
        <v>1305999967</v>
      </c>
      <c r="J2247" s="390">
        <f>'AUS1 FGD'!$J$85</f>
        <v>-31932866</v>
      </c>
      <c r="K2247" s="390">
        <f>'AUS1 FGD'!$K$85</f>
        <v>0</v>
      </c>
      <c r="L2247" s="390">
        <f>'AUS1 FGD'!$L$85</f>
        <v>-7253376</v>
      </c>
      <c r="M2247" s="390">
        <f>'AUS1 FGD'!$M$85</f>
        <v>1777477933</v>
      </c>
      <c r="N2247" s="401"/>
    </row>
    <row r="2248" spans="2:14" s="160" customFormat="1" ht="12.75" hidden="1" customHeight="1" outlineLevel="1">
      <c r="B2248" s="674" t="str">
        <f>'RGV1 FGD'!$B$2</f>
        <v>The University of Texas RGV - Academic &amp; Health (A+H)</v>
      </c>
      <c r="D2248" s="390">
        <f>'RGV1 FGD'!$D$85</f>
        <v>-2311688</v>
      </c>
      <c r="E2248" s="390">
        <f>'RGV1 FGD'!$E$85</f>
        <v>64303052</v>
      </c>
      <c r="F2248" s="390">
        <f>'RGV1 FGD'!$F$85</f>
        <v>5851482</v>
      </c>
      <c r="G2248" s="390">
        <f>'RGV1 FGD'!$G$85</f>
        <v>-1543126</v>
      </c>
      <c r="H2248" s="390">
        <f>'RGV1 FGD'!$H$85</f>
        <v>1995161</v>
      </c>
      <c r="I2248" s="390">
        <f>'RGV1 FGD'!$I$85</f>
        <v>63578727</v>
      </c>
      <c r="J2248" s="390">
        <f>'RGV1 FGD'!$J$85</f>
        <v>24655743</v>
      </c>
      <c r="K2248" s="390">
        <f>'RGV1 FGD'!$K$85</f>
        <v>0</v>
      </c>
      <c r="L2248" s="390">
        <f>'RGV1 FGD'!$L$85</f>
        <v>-109276</v>
      </c>
      <c r="M2248" s="390">
        <f>'RGV1 FGD'!$M$85</f>
        <v>156420075</v>
      </c>
      <c r="N2248" s="401"/>
    </row>
    <row r="2249" spans="2:14" s="160" customFormat="1" ht="12.75" hidden="1" customHeight="1" outlineLevel="1">
      <c r="B2249" s="674" t="str">
        <f>'DAL FGD'!$B$2</f>
        <v>The University of Texas at Dallas</v>
      </c>
      <c r="D2249" s="390">
        <f>'DAL FGD'!$D$85</f>
        <v>-62168</v>
      </c>
      <c r="E2249" s="390">
        <f>'DAL FGD'!$E$85</f>
        <v>84487099</v>
      </c>
      <c r="F2249" s="390">
        <f>'DAL FGD'!$F$85</f>
        <v>12447297</v>
      </c>
      <c r="G2249" s="390">
        <f>'DAL FGD'!$G$85</f>
        <v>3849350</v>
      </c>
      <c r="H2249" s="390">
        <f>'DAL FGD'!$H$85</f>
        <v>515906</v>
      </c>
      <c r="I2249" s="390">
        <f>'DAL FGD'!$I$85</f>
        <v>166005651</v>
      </c>
      <c r="J2249" s="390">
        <f>'DAL FGD'!$J$85</f>
        <v>-3458402</v>
      </c>
      <c r="K2249" s="390">
        <f>'DAL FGD'!$K$85</f>
        <v>0</v>
      </c>
      <c r="L2249" s="390">
        <f>'DAL FGD'!$L$85</f>
        <v>-2871730</v>
      </c>
      <c r="M2249" s="390">
        <f>'DAL FGD'!$M$85</f>
        <v>260913003</v>
      </c>
      <c r="N2249" s="401"/>
    </row>
    <row r="2250" spans="2:14" s="160" customFormat="1" ht="12.75" hidden="1" customHeight="1" outlineLevel="1">
      <c r="B2250" s="674" t="str">
        <f>'E-P FGD'!$B$2</f>
        <v>The University of Texas at El Paso</v>
      </c>
      <c r="D2250" s="390">
        <f>'E-P FGD'!$D$85</f>
        <v>0</v>
      </c>
      <c r="E2250" s="390">
        <f>'E-P FGD'!$E$85</f>
        <v>34309588</v>
      </c>
      <c r="F2250" s="390">
        <f>'E-P FGD'!$F$85</f>
        <v>8957216</v>
      </c>
      <c r="G2250" s="390">
        <f>'E-P FGD'!$G$85</f>
        <v>4548012</v>
      </c>
      <c r="H2250" s="390">
        <f>'E-P FGD'!$H$85</f>
        <v>611972</v>
      </c>
      <c r="I2250" s="390">
        <f>'E-P FGD'!$I$85</f>
        <v>86411433</v>
      </c>
      <c r="J2250" s="390">
        <f>'E-P FGD'!$J$85</f>
        <v>5764417</v>
      </c>
      <c r="K2250" s="390">
        <f>'E-P FGD'!$K$85</f>
        <v>0</v>
      </c>
      <c r="L2250" s="390">
        <f>'E-P FGD'!$L$85</f>
        <v>335566</v>
      </c>
      <c r="M2250" s="390">
        <f>'E-P FGD'!$M$85</f>
        <v>140938204</v>
      </c>
      <c r="N2250" s="401"/>
    </row>
    <row r="2251" spans="2:14" s="160" customFormat="1" ht="12.75" hidden="1" customHeight="1" outlineLevel="1">
      <c r="B2251" s="674" t="str">
        <f>'LU FGD'!$B$2</f>
        <v xml:space="preserve">Lamar University </v>
      </c>
      <c r="D2251" s="390">
        <f>'LU FGD'!$D$85</f>
        <v>4197563</v>
      </c>
      <c r="E2251" s="390">
        <f>'LU FGD'!$E$85</f>
        <v>10948286</v>
      </c>
      <c r="F2251" s="390">
        <f>'LU FGD'!$F$85</f>
        <v>-5549355</v>
      </c>
      <c r="G2251" s="390">
        <f>'LU FGD'!$G$85</f>
        <v>19634994</v>
      </c>
      <c r="H2251" s="390">
        <f>'LU FGD'!$H$85</f>
        <v>-96583</v>
      </c>
      <c r="I2251" s="390">
        <f>'LU FGD'!$I$85</f>
        <v>5350554</v>
      </c>
      <c r="J2251" s="390">
        <f>'LU FGD'!$J$85</f>
        <v>-10136051</v>
      </c>
      <c r="K2251" s="390">
        <f>'LU FGD'!$K$85</f>
        <v>0</v>
      </c>
      <c r="L2251" s="390">
        <f>'LU FGD'!$L$85</f>
        <v>7452877</v>
      </c>
      <c r="M2251" s="390">
        <f>'LU FGD'!$M$85</f>
        <v>31802285</v>
      </c>
      <c r="N2251" s="401"/>
    </row>
    <row r="2252" spans="2:14" s="160" customFormat="1" ht="12.75" hidden="1" customHeight="1" outlineLevel="1">
      <c r="B2252" s="674" t="str">
        <f>'MidWST FGD'!$B$2</f>
        <v>Midwestern State University</v>
      </c>
      <c r="D2252" s="390">
        <f>'MidWST FGD'!$D$85</f>
        <v>-6673706</v>
      </c>
      <c r="E2252" s="390">
        <f>'MidWST FGD'!$E$85</f>
        <v>2634748</v>
      </c>
      <c r="F2252" s="390">
        <f>'MidWST FGD'!$F$85</f>
        <v>897379</v>
      </c>
      <c r="G2252" s="390">
        <f>'MidWST FGD'!$G$85</f>
        <v>-7434834</v>
      </c>
      <c r="H2252" s="390">
        <f>'MidWST FGD'!$H$85</f>
        <v>-394419</v>
      </c>
      <c r="I2252" s="390">
        <f>'MidWST FGD'!$I$85</f>
        <v>4020484</v>
      </c>
      <c r="J2252" s="390">
        <f>'MidWST FGD'!$J$85</f>
        <v>-2303319</v>
      </c>
      <c r="K2252" s="390">
        <f>'MidWST FGD'!$K$85</f>
        <v>-6307803</v>
      </c>
      <c r="L2252" s="390">
        <f>'MidWST FGD'!$L$85</f>
        <v>13862973</v>
      </c>
      <c r="M2252" s="390">
        <f>'MidWST FGD'!$M$85</f>
        <v>-1698497</v>
      </c>
      <c r="N2252" s="401"/>
    </row>
    <row r="2253" spans="2:14" s="160" customFormat="1" ht="12.75" hidden="1" customHeight="1" outlineLevel="1">
      <c r="B2253" s="674" t="str">
        <f>'P-B FGD'!$B$2</f>
        <v>The University of Texas of the Permian Basin</v>
      </c>
      <c r="D2253" s="390">
        <f>'P-B FGD'!$D$85</f>
        <v>-3074496</v>
      </c>
      <c r="E2253" s="390">
        <f>'P-B FGD'!$E$85</f>
        <v>-2060920</v>
      </c>
      <c r="F2253" s="390">
        <f>'P-B FGD'!$F$85</f>
        <v>603262</v>
      </c>
      <c r="G2253" s="390">
        <f>'P-B FGD'!$G$85</f>
        <v>2728151</v>
      </c>
      <c r="H2253" s="390">
        <f>'P-B FGD'!$H$85</f>
        <v>0</v>
      </c>
      <c r="I2253" s="390">
        <f>'P-B FGD'!$I$85</f>
        <v>17398862</v>
      </c>
      <c r="J2253" s="390">
        <f>'P-B FGD'!$J$85</f>
        <v>-108233</v>
      </c>
      <c r="K2253" s="390">
        <f>'P-B FGD'!$K$85</f>
        <v>0</v>
      </c>
      <c r="L2253" s="390">
        <f>'P-B FGD'!$L$85</f>
        <v>-18266</v>
      </c>
      <c r="M2253" s="390">
        <f>'P-B FGD'!$M$85</f>
        <v>15468360</v>
      </c>
      <c r="N2253" s="401"/>
    </row>
    <row r="2254" spans="2:14" s="160" customFormat="1" ht="12.75" hidden="1" customHeight="1" outlineLevel="1">
      <c r="B2254" s="674" t="str">
        <f>'PVAMU FGD'!$B$2</f>
        <v>Prairie View A&amp;M University</v>
      </c>
      <c r="D2254" s="390">
        <f>'PVAMU FGD'!$D$85</f>
        <v>3413048</v>
      </c>
      <c r="E2254" s="390">
        <f>'PVAMU FGD'!$E$85</f>
        <v>27047085</v>
      </c>
      <c r="F2254" s="390">
        <f>'PVAMU FGD'!$F$85</f>
        <v>613789</v>
      </c>
      <c r="G2254" s="390">
        <f>'PVAMU FGD'!$G$85</f>
        <v>18669609</v>
      </c>
      <c r="H2254" s="390">
        <f>'PVAMU FGD'!$H$85</f>
        <v>23511</v>
      </c>
      <c r="I2254" s="390">
        <f>'PVAMU FGD'!$I$85</f>
        <v>58562866</v>
      </c>
      <c r="J2254" s="390">
        <f>'PVAMU FGD'!$J$85</f>
        <v>-10896661</v>
      </c>
      <c r="K2254" s="390">
        <f>'PVAMU FGD'!$K$85</f>
        <v>0</v>
      </c>
      <c r="L2254" s="390">
        <f>'PVAMU FGD'!$L$85</f>
        <v>-121231</v>
      </c>
      <c r="M2254" s="390">
        <f>'PVAMU FGD'!$M$85</f>
        <v>97312016</v>
      </c>
      <c r="N2254" s="401"/>
    </row>
    <row r="2255" spans="2:14" s="160" customFormat="1" ht="12.75" hidden="1" customHeight="1" outlineLevel="1">
      <c r="B2255" s="674" t="str">
        <f>'S-A FGD'!$B$2</f>
        <v>The University of Texas at San Antonio</v>
      </c>
      <c r="D2255" s="390">
        <f>'S-A FGD'!$D$85</f>
        <v>1059523</v>
      </c>
      <c r="E2255" s="390">
        <f>'S-A FGD'!$E$85</f>
        <v>74057504</v>
      </c>
      <c r="F2255" s="390">
        <f>'S-A FGD'!$F$85</f>
        <v>28542329</v>
      </c>
      <c r="G2255" s="390">
        <f>'S-A FGD'!$G$85</f>
        <v>22224472</v>
      </c>
      <c r="H2255" s="390">
        <f>'S-A FGD'!$H$85</f>
        <v>196588</v>
      </c>
      <c r="I2255" s="390">
        <f>'S-A FGD'!$I$85</f>
        <v>95943013</v>
      </c>
      <c r="J2255" s="390">
        <f>'S-A FGD'!$J$85</f>
        <v>27819248</v>
      </c>
      <c r="K2255" s="390">
        <f>'S-A FGD'!$K$85</f>
        <v>0</v>
      </c>
      <c r="L2255" s="390">
        <f>'S-A FGD'!$L$85</f>
        <v>11981</v>
      </c>
      <c r="M2255" s="390">
        <f>'S-A FGD'!$M$85</f>
        <v>249854658</v>
      </c>
      <c r="N2255" s="401"/>
    </row>
    <row r="2256" spans="2:14" s="160" customFormat="1" ht="12.75" hidden="1" customHeight="1" outlineLevel="1">
      <c r="B2256" s="674" t="str">
        <f>'SFA FGD'!$B$2</f>
        <v>Stephen F. Austin State University</v>
      </c>
      <c r="D2256" s="390">
        <f>'SFA FGD'!$D$85</f>
        <v>3534174</v>
      </c>
      <c r="E2256" s="390">
        <f>'SFA FGD'!$E$85</f>
        <v>-9619386</v>
      </c>
      <c r="F2256" s="390">
        <f>'SFA FGD'!$F$85</f>
        <v>13108105</v>
      </c>
      <c r="G2256" s="390">
        <f>'SFA FGD'!$G$85</f>
        <v>1647786</v>
      </c>
      <c r="H2256" s="390">
        <f>'SFA FGD'!$H$85</f>
        <v>-759102</v>
      </c>
      <c r="I2256" s="390">
        <f>'SFA FGD'!$I$85</f>
        <v>4573037</v>
      </c>
      <c r="J2256" s="390">
        <f>'SFA FGD'!$J$85</f>
        <v>-22085142</v>
      </c>
      <c r="K2256" s="390">
        <f>'SFA FGD'!$K$85</f>
        <v>16149980</v>
      </c>
      <c r="L2256" s="390">
        <f>'SFA FGD'!$L$85</f>
        <v>-18169940</v>
      </c>
      <c r="M2256" s="390">
        <f>'SFA FGD'!$M$85</f>
        <v>-11620488</v>
      </c>
      <c r="N2256" s="401"/>
    </row>
    <row r="2257" spans="2:14" s="160" customFormat="1" ht="12.75" hidden="1" customHeight="1" outlineLevel="1">
      <c r="B2257" s="674" t="str">
        <f>'shsu1 FGD'!$B$2</f>
        <v>Sam Houston State University - Academic &amp; Health (A+H)</v>
      </c>
      <c r="D2257" s="390">
        <f>'shsu1 FGD'!$D$85</f>
        <v>2036872</v>
      </c>
      <c r="E2257" s="390">
        <f>'shsu1 FGD'!$E$85</f>
        <v>5235913</v>
      </c>
      <c r="F2257" s="390">
        <f>'shsu1 FGD'!$F$85</f>
        <v>4095785</v>
      </c>
      <c r="G2257" s="390">
        <f>'shsu1 FGD'!$G$85</f>
        <v>67750398</v>
      </c>
      <c r="H2257" s="390">
        <f>'shsu1 FGD'!$H$85</f>
        <v>-511480</v>
      </c>
      <c r="I2257" s="390">
        <f>'shsu1 FGD'!$I$85</f>
        <v>32195789</v>
      </c>
      <c r="J2257" s="390">
        <f>'shsu1 FGD'!$J$85</f>
        <v>-55039609</v>
      </c>
      <c r="K2257" s="390">
        <f>'shsu1 FGD'!$K$85</f>
        <v>0</v>
      </c>
      <c r="L2257" s="390">
        <f>'shsu1 FGD'!$L$85</f>
        <v>0</v>
      </c>
      <c r="M2257" s="390">
        <f>'shsu1 FGD'!$M$85</f>
        <v>55763668</v>
      </c>
      <c r="N2257" s="401"/>
    </row>
    <row r="2258" spans="2:14" s="160" customFormat="1" ht="12.75" hidden="1" customHeight="1" outlineLevel="1">
      <c r="B2258" s="674" t="str">
        <f>'SRSU FGD'!$B$2</f>
        <v>Sul Ross State University</v>
      </c>
      <c r="D2258" s="390">
        <f>'SRSU FGD'!$D$85</f>
        <v>1903246</v>
      </c>
      <c r="E2258" s="390">
        <f>'SRSU FGD'!$E$85</f>
        <v>-3347404</v>
      </c>
      <c r="F2258" s="390">
        <f>'SRSU FGD'!$F$85</f>
        <v>-4896395</v>
      </c>
      <c r="G2258" s="390">
        <f>'SRSU FGD'!$G$85</f>
        <v>7000738</v>
      </c>
      <c r="H2258" s="390">
        <f>'SRSU FGD'!$H$85</f>
        <v>0</v>
      </c>
      <c r="I2258" s="390">
        <f>'SRSU FGD'!$I$85</f>
        <v>4295753</v>
      </c>
      <c r="J2258" s="390">
        <f>'SRSU FGD'!$J$85</f>
        <v>-944175</v>
      </c>
      <c r="K2258" s="390">
        <f>'SRSU FGD'!$K$85</f>
        <v>0</v>
      </c>
      <c r="L2258" s="390">
        <f>'SRSU FGD'!$L$85</f>
        <v>0</v>
      </c>
      <c r="M2258" s="390">
        <f>'SRSU FGD'!$M$85</f>
        <v>4011763</v>
      </c>
      <c r="N2258" s="401"/>
    </row>
    <row r="2259" spans="2:14" s="160" customFormat="1" ht="12.75" hidden="1" customHeight="1" outlineLevel="1">
      <c r="B2259" s="674" t="str">
        <f>'TAMIU FGD'!$B$2</f>
        <v>Texas A&amp;M International University</v>
      </c>
      <c r="D2259" s="390">
        <f>'TAMIU FGD'!$D$85</f>
        <v>14827075</v>
      </c>
      <c r="E2259" s="390">
        <f>'TAMIU FGD'!$E$85</f>
        <v>17747250</v>
      </c>
      <c r="F2259" s="390">
        <f>'TAMIU FGD'!$F$85</f>
        <v>718115</v>
      </c>
      <c r="G2259" s="390">
        <f>'TAMIU FGD'!$G$85</f>
        <v>2213289</v>
      </c>
      <c r="H2259" s="390">
        <f>'TAMIU FGD'!$H$85</f>
        <v>287588</v>
      </c>
      <c r="I2259" s="390">
        <f>'TAMIU FGD'!$I$85</f>
        <v>56522704</v>
      </c>
      <c r="J2259" s="390">
        <f>'TAMIU FGD'!$J$85</f>
        <v>185841</v>
      </c>
      <c r="K2259" s="390">
        <f>'TAMIU FGD'!$K$85</f>
        <v>0</v>
      </c>
      <c r="L2259" s="390">
        <f>'TAMIU FGD'!$L$85</f>
        <v>-528880</v>
      </c>
      <c r="M2259" s="390">
        <f>'TAMIU FGD'!$M$85</f>
        <v>91972982</v>
      </c>
      <c r="N2259" s="401"/>
    </row>
    <row r="2260" spans="2:14" s="160" customFormat="1" ht="12.75" hidden="1" customHeight="1" outlineLevel="1">
      <c r="B2260" s="674" t="str">
        <f>'TAMU FGD'!$B$2</f>
        <v>Texas A&amp;M University</v>
      </c>
      <c r="D2260" s="390">
        <f>'TAMU FGD'!$D$85</f>
        <v>21621093</v>
      </c>
      <c r="E2260" s="390">
        <f>'TAMU FGD'!$E$85</f>
        <v>400832933</v>
      </c>
      <c r="F2260" s="390">
        <f>'TAMU FGD'!$F$85</f>
        <v>-21092132</v>
      </c>
      <c r="G2260" s="390">
        <f>'TAMU FGD'!$G$85</f>
        <v>29638450</v>
      </c>
      <c r="H2260" s="390">
        <f>'TAMU FGD'!$H$85</f>
        <v>-3655401</v>
      </c>
      <c r="I2260" s="390">
        <f>'TAMU FGD'!$I$85</f>
        <v>97922959</v>
      </c>
      <c r="J2260" s="390">
        <f>'TAMU FGD'!$J$85</f>
        <v>36369788</v>
      </c>
      <c r="K2260" s="390">
        <f>'TAMU FGD'!$K$85</f>
        <v>0</v>
      </c>
      <c r="L2260" s="390">
        <f>'TAMU FGD'!$L$85</f>
        <v>3490541</v>
      </c>
      <c r="M2260" s="390">
        <f>'TAMU FGD'!$M$85</f>
        <v>565128231</v>
      </c>
      <c r="N2260" s="401"/>
    </row>
    <row r="2261" spans="2:14" s="160" customFormat="1" ht="12.75" hidden="1" customHeight="1" outlineLevel="1">
      <c r="B2261" s="674" t="str">
        <f>'TAMUC FGD'!$B$2</f>
        <v>Texas A&amp;M University - Commerce</v>
      </c>
      <c r="D2261" s="390">
        <f>'TAMUC FGD'!$D$85</f>
        <v>224250</v>
      </c>
      <c r="E2261" s="390">
        <f>'TAMUC FGD'!$E$85</f>
        <v>33527005</v>
      </c>
      <c r="F2261" s="390">
        <f>'TAMUC FGD'!$F$85</f>
        <v>4891980</v>
      </c>
      <c r="G2261" s="390">
        <f>'TAMUC FGD'!$G$85</f>
        <v>7462008</v>
      </c>
      <c r="H2261" s="390">
        <f>'TAMUC FGD'!$H$85</f>
        <v>-48780</v>
      </c>
      <c r="I2261" s="390">
        <f>'TAMUC FGD'!$I$85</f>
        <v>317533</v>
      </c>
      <c r="J2261" s="390">
        <f>'TAMUC FGD'!$J$85</f>
        <v>13329589</v>
      </c>
      <c r="K2261" s="390">
        <f>'TAMUC FGD'!$K$85</f>
        <v>0</v>
      </c>
      <c r="L2261" s="390">
        <f>'TAMUC FGD'!$L$85</f>
        <v>47620</v>
      </c>
      <c r="M2261" s="390">
        <f>'TAMUC FGD'!$M$85</f>
        <v>59751205</v>
      </c>
      <c r="N2261" s="401"/>
    </row>
    <row r="2262" spans="2:14" s="160" customFormat="1" ht="12.75" hidden="1" customHeight="1" outlineLevel="1">
      <c r="B2262" s="674" t="str">
        <f>'TAMUCC FGD'!$B$2</f>
        <v>Texas A&amp;M University - Corpus Christi</v>
      </c>
      <c r="D2262" s="390">
        <f>'TAMUCC FGD'!$D$85</f>
        <v>-2252537</v>
      </c>
      <c r="E2262" s="390">
        <f>'TAMUCC FGD'!$E$85</f>
        <v>19894297</v>
      </c>
      <c r="F2262" s="390">
        <f>'TAMUCC FGD'!$F$85</f>
        <v>14444274</v>
      </c>
      <c r="G2262" s="390">
        <f>'TAMUCC FGD'!$G$85</f>
        <v>-2952072</v>
      </c>
      <c r="H2262" s="390">
        <f>'TAMUCC FGD'!$H$85</f>
        <v>27828</v>
      </c>
      <c r="I2262" s="390">
        <f>'TAMUCC FGD'!$I$85</f>
        <v>4609476</v>
      </c>
      <c r="J2262" s="390">
        <f>'TAMUCC FGD'!$J$85</f>
        <v>5329294</v>
      </c>
      <c r="K2262" s="390">
        <f>'TAMUCC FGD'!$K$85</f>
        <v>0</v>
      </c>
      <c r="L2262" s="390">
        <f>'TAMUCC FGD'!$L$85</f>
        <v>-3871532</v>
      </c>
      <c r="M2262" s="390">
        <f>'TAMUCC FGD'!$M$85</f>
        <v>35229028</v>
      </c>
      <c r="N2262" s="401"/>
    </row>
    <row r="2263" spans="2:14" s="160" customFormat="1" ht="12.75" hidden="1" customHeight="1" outlineLevel="1">
      <c r="B2263" s="674" t="str">
        <f>'TAMUCT FGD'!$B$2</f>
        <v>Texas A&amp;M University - Central Texas</v>
      </c>
      <c r="D2263" s="390">
        <f>'TAMUCT FGD'!$D$85</f>
        <v>-211152</v>
      </c>
      <c r="E2263" s="390">
        <f>'TAMUCT FGD'!$E$85</f>
        <v>6649025</v>
      </c>
      <c r="F2263" s="390">
        <f>'TAMUCT FGD'!$F$85</f>
        <v>211</v>
      </c>
      <c r="G2263" s="390">
        <f>'TAMUCT FGD'!$G$85</f>
        <v>845440</v>
      </c>
      <c r="H2263" s="390">
        <f>'TAMUCT FGD'!$H$85</f>
        <v>5057</v>
      </c>
      <c r="I2263" s="390">
        <f>'TAMUCT FGD'!$I$85</f>
        <v>242253</v>
      </c>
      <c r="J2263" s="390">
        <f>'TAMUCT FGD'!$J$85</f>
        <v>0</v>
      </c>
      <c r="K2263" s="390">
        <f>'TAMUCT FGD'!$K$85</f>
        <v>0</v>
      </c>
      <c r="L2263" s="390">
        <f>'TAMUCT FGD'!$L$85</f>
        <v>-1010461</v>
      </c>
      <c r="M2263" s="390">
        <f>'TAMUCT FGD'!$M$85</f>
        <v>6520373</v>
      </c>
      <c r="N2263" s="401"/>
    </row>
    <row r="2264" spans="2:14" s="160" customFormat="1" ht="12.75" hidden="1" customHeight="1" outlineLevel="1">
      <c r="B2264" s="674" t="str">
        <f>'TAMUG FGD'!$B$2</f>
        <v>Texas A&amp;M University at Galveston</v>
      </c>
      <c r="D2264" s="390">
        <f>'TAMUG FGD'!$D$85</f>
        <v>-1435356</v>
      </c>
      <c r="E2264" s="390">
        <f>'TAMUG FGD'!$E$85</f>
        <v>14261933</v>
      </c>
      <c r="F2264" s="390">
        <f>'TAMUG FGD'!$F$85</f>
        <v>697513</v>
      </c>
      <c r="G2264" s="390">
        <f>'TAMUG FGD'!$G$85</f>
        <v>134382</v>
      </c>
      <c r="H2264" s="390">
        <f>'TAMUG FGD'!$H$85</f>
        <v>289627</v>
      </c>
      <c r="I2264" s="390">
        <f>'TAMUG FGD'!$I$85</f>
        <v>847357</v>
      </c>
      <c r="J2264" s="390">
        <f>'TAMUG FGD'!$J$85</f>
        <v>43632352</v>
      </c>
      <c r="K2264" s="390">
        <f>'TAMUG FGD'!$K$85</f>
        <v>0</v>
      </c>
      <c r="L2264" s="390">
        <f>'TAMUG FGD'!$L$85</f>
        <v>-4169</v>
      </c>
      <c r="M2264" s="390">
        <f>'TAMUG FGD'!$M$85</f>
        <v>58423639</v>
      </c>
      <c r="N2264" s="401"/>
    </row>
    <row r="2265" spans="2:14" s="160" customFormat="1" ht="12.75" hidden="1" customHeight="1" outlineLevel="1">
      <c r="B2265" s="674" t="str">
        <f>'TAMUK FGD'!$B$2</f>
        <v>Texas A&amp;M University - Kingsville</v>
      </c>
      <c r="D2265" s="390">
        <f>'TAMUK FGD'!$D$85</f>
        <v>5088962</v>
      </c>
      <c r="E2265" s="390">
        <f>'TAMUK FGD'!$E$85</f>
        <v>14769503</v>
      </c>
      <c r="F2265" s="390">
        <f>'TAMUK FGD'!$F$85</f>
        <v>1082917</v>
      </c>
      <c r="G2265" s="390">
        <f>'TAMUK FGD'!$G$85</f>
        <v>6480526</v>
      </c>
      <c r="H2265" s="390">
        <f>'TAMUK FGD'!$H$85</f>
        <v>-598434</v>
      </c>
      <c r="I2265" s="390">
        <f>'TAMUK FGD'!$I$85</f>
        <v>5418367</v>
      </c>
      <c r="J2265" s="390">
        <f>'TAMUK FGD'!$J$85</f>
        <v>3115293</v>
      </c>
      <c r="K2265" s="390">
        <f>'TAMUK FGD'!$K$85</f>
        <v>0</v>
      </c>
      <c r="L2265" s="390">
        <f>'TAMUK FGD'!$L$85</f>
        <v>-1533513</v>
      </c>
      <c r="M2265" s="390">
        <f>'TAMUK FGD'!$M$85</f>
        <v>33823621</v>
      </c>
      <c r="N2265" s="401"/>
    </row>
    <row r="2266" spans="2:14" s="160" customFormat="1" ht="12.75" hidden="1" customHeight="1" outlineLevel="1">
      <c r="B2266" s="674" t="str">
        <f>'TAMUSA FGD'!$B$2</f>
        <v>Texas A&amp;M University - San Antonio</v>
      </c>
      <c r="D2266" s="390">
        <f>'TAMUSA FGD'!$D$85</f>
        <v>-4481098</v>
      </c>
      <c r="E2266" s="390">
        <f>'TAMUSA FGD'!$E$85</f>
        <v>12049806</v>
      </c>
      <c r="F2266" s="390">
        <f>'TAMUSA FGD'!$F$85</f>
        <v>3038716</v>
      </c>
      <c r="G2266" s="390">
        <f>'TAMUSA FGD'!$G$85</f>
        <v>-349285</v>
      </c>
      <c r="H2266" s="390">
        <f>'TAMUSA FGD'!$H$85</f>
        <v>363701</v>
      </c>
      <c r="I2266" s="390">
        <f>'TAMUSA FGD'!$I$85</f>
        <v>64841</v>
      </c>
      <c r="J2266" s="390">
        <f>'TAMUSA FGD'!$J$85</f>
        <v>924779</v>
      </c>
      <c r="K2266" s="390">
        <f>'TAMUSA FGD'!$K$85</f>
        <v>0</v>
      </c>
      <c r="L2266" s="390">
        <f>'TAMUSA FGD'!$L$85</f>
        <v>-261</v>
      </c>
      <c r="M2266" s="390">
        <f>'TAMUSA FGD'!$M$85</f>
        <v>11611199</v>
      </c>
      <c r="N2266" s="401"/>
    </row>
    <row r="2267" spans="2:14" s="160" customFormat="1" ht="12.75" hidden="1" customHeight="1" outlineLevel="1">
      <c r="B2267" s="674" t="str">
        <f>'TAMUT FGD'!$B$2</f>
        <v>Texas A&amp;M University - Texarkana</v>
      </c>
      <c r="D2267" s="390">
        <f>'TAMUT FGD'!$D$85</f>
        <v>-545609</v>
      </c>
      <c r="E2267" s="390">
        <f>'TAMUT FGD'!$E$85</f>
        <v>5676652</v>
      </c>
      <c r="F2267" s="390">
        <f>'TAMUT FGD'!$F$85</f>
        <v>1254239</v>
      </c>
      <c r="G2267" s="390">
        <f>'TAMUT FGD'!$G$85</f>
        <v>4054507</v>
      </c>
      <c r="H2267" s="390">
        <f>'TAMUT FGD'!$H$85</f>
        <v>38481</v>
      </c>
      <c r="I2267" s="390">
        <f>'TAMUT FGD'!$I$85</f>
        <v>2559079</v>
      </c>
      <c r="J2267" s="390">
        <f>'TAMUT FGD'!$J$85</f>
        <v>-938085</v>
      </c>
      <c r="K2267" s="390">
        <f>'TAMUT FGD'!$K$85</f>
        <v>0</v>
      </c>
      <c r="L2267" s="390">
        <f>'TAMUT FGD'!$L$85</f>
        <v>-2563353</v>
      </c>
      <c r="M2267" s="390">
        <f>'TAMUT FGD'!$M$85</f>
        <v>9535911</v>
      </c>
      <c r="N2267" s="401"/>
    </row>
    <row r="2268" spans="2:14" s="160" customFormat="1" ht="12.75" hidden="1" customHeight="1" outlineLevel="1">
      <c r="B2268" s="674" t="str">
        <f>'TARLST FGD'!$B$2</f>
        <v>Tarleton State University</v>
      </c>
      <c r="D2268" s="390">
        <f>'TARLST FGD'!$D$85</f>
        <v>-2762695</v>
      </c>
      <c r="E2268" s="390">
        <f>'TARLST FGD'!$E$85</f>
        <v>42993146</v>
      </c>
      <c r="F2268" s="390">
        <f>'TARLST FGD'!$F$85</f>
        <v>-8881949</v>
      </c>
      <c r="G2268" s="390">
        <f>'TARLST FGD'!$G$85</f>
        <v>5938948</v>
      </c>
      <c r="H2268" s="390">
        <f>'TARLST FGD'!$H$85</f>
        <v>369006</v>
      </c>
      <c r="I2268" s="390">
        <f>'TARLST FGD'!$I$85</f>
        <v>11890177</v>
      </c>
      <c r="J2268" s="390">
        <f>'TARLST FGD'!$J$85</f>
        <v>25692418</v>
      </c>
      <c r="K2268" s="390">
        <f>'TARLST FGD'!$K$85</f>
        <v>0</v>
      </c>
      <c r="L2268" s="390">
        <f>'TARLST FGD'!$L$85</f>
        <v>-2882808</v>
      </c>
      <c r="M2268" s="390">
        <f>'TARLST FGD'!$M$85</f>
        <v>72356243</v>
      </c>
      <c r="N2268" s="401"/>
    </row>
    <row r="2269" spans="2:14" s="160" customFormat="1" ht="12.75" hidden="1" customHeight="1" outlineLevel="1">
      <c r="B2269" s="674" t="str">
        <f>'TSU FGD'!$B$2</f>
        <v>Texas Southern University</v>
      </c>
      <c r="D2269" s="390">
        <f>'TSU FGD'!$D$85</f>
        <v>79015169</v>
      </c>
      <c r="E2269" s="390">
        <f>'TSU FGD'!$E$85</f>
        <v>-9285064</v>
      </c>
      <c r="F2269" s="390">
        <f>'TSU FGD'!$F$85</f>
        <v>-4891670</v>
      </c>
      <c r="G2269" s="390">
        <f>'TSU FGD'!$G$85</f>
        <v>23159594</v>
      </c>
      <c r="H2269" s="390">
        <f>'TSU FGD'!$H$85</f>
        <v>0</v>
      </c>
      <c r="I2269" s="390">
        <f>'TSU FGD'!$I$85</f>
        <v>17904791</v>
      </c>
      <c r="J2269" s="390">
        <f>'TSU FGD'!$J$85</f>
        <v>-27165411</v>
      </c>
      <c r="K2269" s="390">
        <f>'TSU FGD'!$K$85</f>
        <v>-1455554</v>
      </c>
      <c r="L2269" s="390">
        <f>'TSU FGD'!$L$85</f>
        <v>18941677</v>
      </c>
      <c r="M2269" s="390">
        <f>'TSU FGD'!$M$85</f>
        <v>96223532</v>
      </c>
      <c r="N2269" s="401"/>
    </row>
    <row r="2270" spans="2:14" s="160" customFormat="1" ht="12.75" hidden="1" customHeight="1" outlineLevel="1">
      <c r="B2270" s="674" t="str">
        <f>'TTU FGD'!$B$2</f>
        <v>Texas Tech University</v>
      </c>
      <c r="D2270" s="390">
        <f>'TTU FGD'!$D$85</f>
        <v>-9652329</v>
      </c>
      <c r="E2270" s="390">
        <f>'TTU FGD'!$E$85</f>
        <v>62465183</v>
      </c>
      <c r="F2270" s="390">
        <f>'TTU FGD'!$F$85</f>
        <v>22413798</v>
      </c>
      <c r="G2270" s="390">
        <f>'TTU FGD'!$G$85</f>
        <v>51648435</v>
      </c>
      <c r="H2270" s="390">
        <f>'TTU FGD'!$H$85</f>
        <v>256697</v>
      </c>
      <c r="I2270" s="390">
        <f>'TTU FGD'!$I$85</f>
        <v>59400842</v>
      </c>
      <c r="J2270" s="390">
        <f>'TTU FGD'!$J$85</f>
        <v>19309091</v>
      </c>
      <c r="K2270" s="390">
        <f>'TTU FGD'!$K$85</f>
        <v>-6236624</v>
      </c>
      <c r="L2270" s="390">
        <f>'TTU FGD'!$L$85</f>
        <v>549269</v>
      </c>
      <c r="M2270" s="390">
        <f>'TTU FGD'!$M$85</f>
        <v>200154362</v>
      </c>
      <c r="N2270" s="401"/>
    </row>
    <row r="2271" spans="2:14" s="160" customFormat="1" ht="12.75" hidden="1" customHeight="1" outlineLevel="1">
      <c r="B2271" s="674" t="str">
        <f>'TWU FGD'!$B$2</f>
        <v>Texas Woman's University</v>
      </c>
      <c r="D2271" s="390">
        <f>'TWU FGD'!$D$85</f>
        <v>-7608745</v>
      </c>
      <c r="E2271" s="390">
        <f>'TWU FGD'!$E$85</f>
        <v>45004128</v>
      </c>
      <c r="F2271" s="390">
        <f>'TWU FGD'!$F$85</f>
        <v>6672227</v>
      </c>
      <c r="G2271" s="390">
        <f>'TWU FGD'!$G$85</f>
        <v>6819896</v>
      </c>
      <c r="H2271" s="390">
        <f>'TWU FGD'!$H$85</f>
        <v>284055</v>
      </c>
      <c r="I2271" s="390">
        <f>'TWU FGD'!$I$85</f>
        <v>3343766</v>
      </c>
      <c r="J2271" s="390">
        <f>'TWU FGD'!$J$85</f>
        <v>14882561</v>
      </c>
      <c r="K2271" s="390">
        <f>'TWU FGD'!$K$85</f>
        <v>109588</v>
      </c>
      <c r="L2271" s="390">
        <f>'TWU FGD'!$L$85</f>
        <v>-120227</v>
      </c>
      <c r="M2271" s="390">
        <f>'TWU FGD'!$M$85</f>
        <v>69387249</v>
      </c>
      <c r="N2271" s="401"/>
    </row>
    <row r="2272" spans="2:14" s="160" customFormat="1" ht="12.75" hidden="1" customHeight="1" outlineLevel="1">
      <c r="B2272" s="674" t="str">
        <f>'TXST FGD'!$B$2</f>
        <v>Texas State University</v>
      </c>
      <c r="D2272" s="390">
        <f>'TXST FGD'!$D$85</f>
        <v>-25971448</v>
      </c>
      <c r="E2272" s="390">
        <f>'TXST FGD'!$E$85</f>
        <v>37517518</v>
      </c>
      <c r="F2272" s="390">
        <f>'TXST FGD'!$F$85</f>
        <v>-838072</v>
      </c>
      <c r="G2272" s="390">
        <f>'TXST FGD'!$G$85</f>
        <v>80688072</v>
      </c>
      <c r="H2272" s="390">
        <f>'TXST FGD'!$H$85</f>
        <v>-301547</v>
      </c>
      <c r="I2272" s="390">
        <f>'TXST FGD'!$I$85</f>
        <v>18123745</v>
      </c>
      <c r="J2272" s="390">
        <f>'TXST FGD'!$J$85</f>
        <v>-27212143</v>
      </c>
      <c r="K2272" s="390">
        <f>'TXST FGD'!$K$85</f>
        <v>-758</v>
      </c>
      <c r="L2272" s="390">
        <f>'TXST FGD'!$L$85</f>
        <v>7637315</v>
      </c>
      <c r="M2272" s="390">
        <f>'TXST FGD'!$M$85</f>
        <v>89642682</v>
      </c>
      <c r="N2272" s="401"/>
    </row>
    <row r="2273" spans="2:14" s="160" customFormat="1" ht="12.75" hidden="1" customHeight="1" outlineLevel="1">
      <c r="B2273" s="674" t="str">
        <f>'TYL FGD'!$B$2</f>
        <v>The University of Texas at Tyler</v>
      </c>
      <c r="D2273" s="390">
        <f>'TYL FGD'!$D$85</f>
        <v>2738422</v>
      </c>
      <c r="E2273" s="390">
        <f>'TYL FGD'!$E$85</f>
        <v>-626568</v>
      </c>
      <c r="F2273" s="390">
        <f>'TYL FGD'!$F$85</f>
        <v>2534949</v>
      </c>
      <c r="G2273" s="390">
        <f>'TYL FGD'!$G$85</f>
        <v>-928277</v>
      </c>
      <c r="H2273" s="390">
        <f>'TYL FGD'!$H$85</f>
        <v>515714</v>
      </c>
      <c r="I2273" s="390">
        <f>'TYL FGD'!$I$85</f>
        <v>30764007</v>
      </c>
      <c r="J2273" s="390">
        <f>'TYL FGD'!$J$85</f>
        <v>-1337343</v>
      </c>
      <c r="K2273" s="390">
        <f>'TYL FGD'!$K$85</f>
        <v>0</v>
      </c>
      <c r="L2273" s="390">
        <f>'TYL FGD'!$L$85</f>
        <v>-46441</v>
      </c>
      <c r="M2273" s="390">
        <f>'TYL FGD'!$M$85</f>
        <v>33614463</v>
      </c>
      <c r="N2273" s="401"/>
    </row>
    <row r="2274" spans="2:14" s="160" customFormat="1" ht="12.75" hidden="1" customHeight="1" outlineLevel="1">
      <c r="B2274" s="674" t="str">
        <f>'UH1 FGD'!$B$2</f>
        <v>University of Houston - Academic &amp; Health (A+H)</v>
      </c>
      <c r="D2274" s="390">
        <f>'UH1 FGD'!$D$85</f>
        <v>-22063218</v>
      </c>
      <c r="E2274" s="390">
        <f>'UH1 FGD'!$E$85</f>
        <v>103481545</v>
      </c>
      <c r="F2274" s="390">
        <f>'UH1 FGD'!$F$85</f>
        <v>-3022468</v>
      </c>
      <c r="G2274" s="390">
        <f>'UH1 FGD'!$G$85</f>
        <v>11665231</v>
      </c>
      <c r="H2274" s="390">
        <f>'UH1 FGD'!$H$85</f>
        <v>46742</v>
      </c>
      <c r="I2274" s="390">
        <f>'UH1 FGD'!$I$85</f>
        <v>207890741</v>
      </c>
      <c r="J2274" s="390">
        <f>'UH1 FGD'!$J$85</f>
        <v>144134574</v>
      </c>
      <c r="K2274" s="390">
        <f>'UH1 FGD'!$K$85</f>
        <v>-1935499</v>
      </c>
      <c r="L2274" s="390">
        <f>'UH1 FGD'!$L$85</f>
        <v>168626923</v>
      </c>
      <c r="M2274" s="390">
        <f>'UH1 FGD'!$M$85</f>
        <v>608824571</v>
      </c>
      <c r="N2274" s="401"/>
    </row>
    <row r="2275" spans="2:14" s="160" customFormat="1" ht="12.75" hidden="1" customHeight="1" outlineLevel="1">
      <c r="B2275" s="674" t="str">
        <f>'UHCL FGD'!$B$2</f>
        <v>University of Houston - Clear Lake</v>
      </c>
      <c r="D2275" s="390">
        <f>'UHCL FGD'!$D$85</f>
        <v>-4553077</v>
      </c>
      <c r="E2275" s="390">
        <f>'UHCL FGD'!$E$85</f>
        <v>3003595</v>
      </c>
      <c r="F2275" s="390">
        <f>'UHCL FGD'!$F$85</f>
        <v>2799352</v>
      </c>
      <c r="G2275" s="390">
        <f>'UHCL FGD'!$G$85</f>
        <v>1629088</v>
      </c>
      <c r="H2275" s="390">
        <f>'UHCL FGD'!$H$85</f>
        <v>49760</v>
      </c>
      <c r="I2275" s="390">
        <f>'UHCL FGD'!$I$85</f>
        <v>7516786</v>
      </c>
      <c r="J2275" s="390">
        <f>'UHCL FGD'!$J$85</f>
        <v>554345</v>
      </c>
      <c r="K2275" s="390">
        <f>'UHCL FGD'!$K$85</f>
        <v>13164</v>
      </c>
      <c r="L2275" s="390">
        <f>'UHCL FGD'!$L$85</f>
        <v>12197745</v>
      </c>
      <c r="M2275" s="390">
        <f>'UHCL FGD'!$M$85</f>
        <v>23210758</v>
      </c>
      <c r="N2275" s="401"/>
    </row>
    <row r="2276" spans="2:14" s="160" customFormat="1" ht="12.75" hidden="1" customHeight="1" outlineLevel="1">
      <c r="B2276" s="674" t="str">
        <f>'UHD FGD'!$B$2</f>
        <v>University of Houston - Downtown</v>
      </c>
      <c r="D2276" s="390">
        <f>'UHD FGD'!$D$85</f>
        <v>-1073498</v>
      </c>
      <c r="E2276" s="390">
        <f>'UHD FGD'!$E$85</f>
        <v>13179364</v>
      </c>
      <c r="F2276" s="390">
        <f>'UHD FGD'!$F$85</f>
        <v>2912445</v>
      </c>
      <c r="G2276" s="390">
        <f>'UHD FGD'!$G$85</f>
        <v>-1959272</v>
      </c>
      <c r="H2276" s="390">
        <f>'UHD FGD'!$H$85</f>
        <v>400946</v>
      </c>
      <c r="I2276" s="390">
        <f>'UHD FGD'!$I$85</f>
        <v>11389358</v>
      </c>
      <c r="J2276" s="390">
        <f>'UHD FGD'!$J$85</f>
        <v>11829670</v>
      </c>
      <c r="K2276" s="390">
        <f>'UHD FGD'!$K$85</f>
        <v>14156</v>
      </c>
      <c r="L2276" s="390">
        <f>'UHD FGD'!$L$85</f>
        <v>14102713</v>
      </c>
      <c r="M2276" s="390">
        <f>'UHD FGD'!$M$85</f>
        <v>50795882</v>
      </c>
      <c r="N2276" s="401"/>
    </row>
    <row r="2277" spans="2:14" s="160" customFormat="1" ht="12.75" hidden="1" customHeight="1" outlineLevel="1">
      <c r="B2277" s="674" t="str">
        <f>'UHV FGD'!$B$2</f>
        <v>University of Houston - Victoria</v>
      </c>
      <c r="D2277" s="390">
        <f>'UHV FGD'!$D$85</f>
        <v>1464187</v>
      </c>
      <c r="E2277" s="390">
        <f>'UHV FGD'!$E$85</f>
        <v>2226022</v>
      </c>
      <c r="F2277" s="390">
        <f>'UHV FGD'!$F$85</f>
        <v>1972983</v>
      </c>
      <c r="G2277" s="390">
        <f>'UHV FGD'!$G$85</f>
        <v>1290728</v>
      </c>
      <c r="H2277" s="390">
        <f>'UHV FGD'!$H$85</f>
        <v>69490</v>
      </c>
      <c r="I2277" s="390">
        <f>'UHV FGD'!$I$85</f>
        <v>3532382</v>
      </c>
      <c r="J2277" s="390">
        <f>'UHV FGD'!$J$85</f>
        <v>-12503801</v>
      </c>
      <c r="K2277" s="390">
        <f>'UHV FGD'!$K$85</f>
        <v>-3178983</v>
      </c>
      <c r="L2277" s="390">
        <f>'UHV FGD'!$L$85</f>
        <v>7467704</v>
      </c>
      <c r="M2277" s="390">
        <f>'UHV FGD'!$M$85</f>
        <v>2340712</v>
      </c>
      <c r="N2277" s="401"/>
    </row>
    <row r="2278" spans="2:14" s="160" customFormat="1" ht="12.75" hidden="1" customHeight="1" outlineLevel="1">
      <c r="B2278" s="674" t="str">
        <f>'UNT FGD'!$B$2</f>
        <v>University of North Texas</v>
      </c>
      <c r="D2278" s="390">
        <f>'UNT FGD'!$D$85</f>
        <v>19634581</v>
      </c>
      <c r="E2278" s="390">
        <f>'UNT FGD'!$E$85</f>
        <v>43065942</v>
      </c>
      <c r="F2278" s="390">
        <f>'UNT FGD'!$F$85</f>
        <v>12792599</v>
      </c>
      <c r="G2278" s="390">
        <f>'UNT FGD'!$G$85</f>
        <v>5367949</v>
      </c>
      <c r="H2278" s="390">
        <f>'UNT FGD'!$H$85</f>
        <v>864749</v>
      </c>
      <c r="I2278" s="390">
        <f>'UNT FGD'!$I$85</f>
        <v>6040045</v>
      </c>
      <c r="J2278" s="390">
        <f>'UNT FGD'!$J$85</f>
        <v>0</v>
      </c>
      <c r="K2278" s="390">
        <f>'UNT FGD'!$K$85</f>
        <v>10451438</v>
      </c>
      <c r="L2278" s="390">
        <f>'UNT FGD'!$L$85</f>
        <v>-8368618</v>
      </c>
      <c r="M2278" s="390">
        <f>'UNT FGD'!$M$85</f>
        <v>89848685</v>
      </c>
      <c r="N2278" s="401"/>
    </row>
    <row r="2279" spans="2:14" s="160" customFormat="1" ht="12.75" hidden="1" customHeight="1" outlineLevel="1">
      <c r="B2279" s="674" t="str">
        <f>'UNTD FGD'!$B$2</f>
        <v>University of North Texas at Dallas</v>
      </c>
      <c r="D2279" s="390">
        <f>'UNTD FGD'!$D$85</f>
        <v>944819</v>
      </c>
      <c r="E2279" s="390">
        <f>'UNTD FGD'!$E$85</f>
        <v>18432583</v>
      </c>
      <c r="F2279" s="390">
        <f>'UNTD FGD'!$F$85</f>
        <v>121328</v>
      </c>
      <c r="G2279" s="390">
        <f>'UNTD FGD'!$G$85</f>
        <v>261486</v>
      </c>
      <c r="H2279" s="390">
        <f>'UNTD FGD'!$H$85</f>
        <v>0</v>
      </c>
      <c r="I2279" s="390">
        <f>'UNTD FGD'!$I$85</f>
        <v>-10832976</v>
      </c>
      <c r="J2279" s="390">
        <f>'UNTD FGD'!$J$85</f>
        <v>0</v>
      </c>
      <c r="K2279" s="390">
        <f>'UNTD FGD'!$K$85</f>
        <v>-2267171</v>
      </c>
      <c r="L2279" s="390">
        <f>'UNTD FGD'!$L$85</f>
        <v>4570932</v>
      </c>
      <c r="M2279" s="390">
        <f>'UNTD FGD'!$M$85</f>
        <v>11231001</v>
      </c>
      <c r="N2279" s="401"/>
    </row>
    <row r="2280" spans="2:14" s="160" customFormat="1" ht="12.75" hidden="1" customHeight="1" outlineLevel="1">
      <c r="B2280" s="674" t="str">
        <f>'WTAMU FGD'!$B$2</f>
        <v>West Texas A&amp;M University</v>
      </c>
      <c r="D2280" s="390">
        <f>'WTAMU FGD'!$D$85</f>
        <v>-774786</v>
      </c>
      <c r="E2280" s="390">
        <f>'WTAMU FGD'!$E$85</f>
        <v>25924206</v>
      </c>
      <c r="F2280" s="390">
        <f>'WTAMU FGD'!$F$85</f>
        <v>1214001</v>
      </c>
      <c r="G2280" s="390">
        <f>'WTAMU FGD'!$G$85</f>
        <v>-325795</v>
      </c>
      <c r="H2280" s="390">
        <f>'WTAMU FGD'!$H$85</f>
        <v>304248</v>
      </c>
      <c r="I2280" s="390">
        <f>'WTAMU FGD'!$I$85</f>
        <v>6406302</v>
      </c>
      <c r="J2280" s="390">
        <f>'WTAMU FGD'!$J$85</f>
        <v>8288937</v>
      </c>
      <c r="K2280" s="390">
        <f>'WTAMU FGD'!$K$85</f>
        <v>0</v>
      </c>
      <c r="L2280" s="390">
        <f>'WTAMU FGD'!$L$85</f>
        <v>-20000</v>
      </c>
      <c r="M2280" s="390">
        <f>'WTAMU FGD'!$M$85</f>
        <v>41017113</v>
      </c>
      <c r="N2280" s="401"/>
    </row>
    <row r="2281" spans="2:14" s="160" customFormat="1" collapsed="1">
      <c r="B2281" s="162" t="s">
        <v>574</v>
      </c>
      <c r="C2281" s="162"/>
      <c r="D2281" s="581">
        <f t="shared" ref="D2281:M2281" si="60">SUM(D2245:D2280)</f>
        <v>124532025</v>
      </c>
      <c r="E2281" s="581">
        <f t="shared" si="60"/>
        <v>1567223161</v>
      </c>
      <c r="F2281" s="581">
        <f t="shared" si="60"/>
        <v>96062247</v>
      </c>
      <c r="G2281" s="581">
        <f t="shared" si="60"/>
        <v>621203668</v>
      </c>
      <c r="H2281" s="581">
        <f t="shared" si="60"/>
        <v>7788402</v>
      </c>
      <c r="I2281" s="581">
        <f t="shared" si="60"/>
        <v>2449525913</v>
      </c>
      <c r="J2281" s="581">
        <f t="shared" si="60"/>
        <v>200013311</v>
      </c>
      <c r="K2281" s="581">
        <f t="shared" si="60"/>
        <v>5355934</v>
      </c>
      <c r="L2281" s="581">
        <f t="shared" si="60"/>
        <v>209813520</v>
      </c>
      <c r="M2281" s="581">
        <f t="shared" si="60"/>
        <v>5281518181</v>
      </c>
      <c r="N2281" s="401"/>
    </row>
    <row r="2282" spans="2:14" s="160" customFormat="1">
      <c r="B2282" s="163"/>
      <c r="C2282" s="163"/>
      <c r="D2282" s="397"/>
      <c r="E2282" s="397"/>
      <c r="F2282" s="397"/>
      <c r="G2282" s="397"/>
      <c r="H2282" s="397"/>
      <c r="I2282" s="397"/>
      <c r="J2282" s="397"/>
      <c r="K2282" s="397"/>
      <c r="L2282" s="397"/>
      <c r="M2282" s="397"/>
      <c r="N2282" s="401"/>
    </row>
    <row r="2283" spans="2:14" s="160" customFormat="1" ht="12.75" hidden="1" customHeight="1" outlineLevel="1">
      <c r="B2283" s="674" t="str">
        <f>'ARL FGD'!$B$2</f>
        <v>The University of Texas at Arlington</v>
      </c>
      <c r="C2283" s="163"/>
      <c r="D2283" s="397">
        <f>'ARL FGD'!$D$87</f>
        <v>0</v>
      </c>
      <c r="E2283" s="397">
        <f>'ARL FGD'!$E$87</f>
        <v>0</v>
      </c>
      <c r="F2283" s="397">
        <f>'ARL FGD'!$F$87</f>
        <v>0</v>
      </c>
      <c r="G2283" s="397">
        <f>'ARL FGD'!$G$87</f>
        <v>0</v>
      </c>
      <c r="H2283" s="397">
        <f>'ARL FGD'!$H$87</f>
        <v>0</v>
      </c>
      <c r="I2283" s="397">
        <f>'ARL FGD'!$I$87</f>
        <v>0</v>
      </c>
      <c r="J2283" s="397">
        <f>'ARL FGD'!$J$87</f>
        <v>0</v>
      </c>
      <c r="K2283" s="397">
        <f>'ARL FGD'!$K$87</f>
        <v>0</v>
      </c>
      <c r="L2283" s="397">
        <f>'ARL FGD'!$L$87</f>
        <v>0</v>
      </c>
      <c r="M2283" s="397">
        <f>'ARL FGD'!$M$87</f>
        <v>0</v>
      </c>
      <c r="N2283" s="401"/>
    </row>
    <row r="2284" spans="2:14" s="160" customFormat="1" ht="12.75" hidden="1" customHeight="1" outlineLevel="1">
      <c r="B2284" s="674" t="str">
        <f>'ASU FGD'!$B$2</f>
        <v>Angelo State University</v>
      </c>
      <c r="C2284" s="163"/>
      <c r="D2284" s="397">
        <f>'ASU FGD'!$D$87</f>
        <v>0</v>
      </c>
      <c r="E2284" s="397">
        <f>'ASU FGD'!$E$87</f>
        <v>0</v>
      </c>
      <c r="F2284" s="397">
        <f>'ASU FGD'!$F$87</f>
        <v>0</v>
      </c>
      <c r="G2284" s="397">
        <f>'ASU FGD'!$G$87</f>
        <v>0</v>
      </c>
      <c r="H2284" s="397">
        <f>'ASU FGD'!$H$87</f>
        <v>0</v>
      </c>
      <c r="I2284" s="397">
        <f>'ASU FGD'!$I$87</f>
        <v>0</v>
      </c>
      <c r="J2284" s="397">
        <f>'ASU FGD'!$J$87</f>
        <v>0</v>
      </c>
      <c r="K2284" s="397">
        <f>'ASU FGD'!$K$87</f>
        <v>0</v>
      </c>
      <c r="L2284" s="397">
        <f>'ASU FGD'!$L$87</f>
        <v>0</v>
      </c>
      <c r="M2284" s="397">
        <f>'ASU FGD'!$M$87</f>
        <v>0</v>
      </c>
      <c r="N2284" s="401"/>
    </row>
    <row r="2285" spans="2:14" s="160" customFormat="1" ht="12.75" hidden="1" customHeight="1" outlineLevel="1">
      <c r="B2285" s="674" t="str">
        <f>'AUS1 FGD'!$B$2</f>
        <v>The University of Texas at Austin - Academic &amp; Health (A+H)</v>
      </c>
      <c r="C2285" s="163"/>
      <c r="D2285" s="397">
        <f>'AUS1 FGD'!$D$87</f>
        <v>0</v>
      </c>
      <c r="E2285" s="397">
        <f>'AUS1 FGD'!$E$87</f>
        <v>0</v>
      </c>
      <c r="F2285" s="397">
        <f>'AUS1 FGD'!$F$87</f>
        <v>0</v>
      </c>
      <c r="G2285" s="397">
        <f>'AUS1 FGD'!$G$87</f>
        <v>0</v>
      </c>
      <c r="H2285" s="397">
        <f>'AUS1 FGD'!$H$87</f>
        <v>0</v>
      </c>
      <c r="I2285" s="397">
        <f>'AUS1 FGD'!$I$87</f>
        <v>0</v>
      </c>
      <c r="J2285" s="397">
        <f>'AUS1 FGD'!$J$87</f>
        <v>0</v>
      </c>
      <c r="K2285" s="397">
        <f>'AUS1 FGD'!$K$87</f>
        <v>0</v>
      </c>
      <c r="L2285" s="397">
        <f>'AUS1 FGD'!$L$87</f>
        <v>0</v>
      </c>
      <c r="M2285" s="397">
        <f>'AUS1 FGD'!$M$87</f>
        <v>0</v>
      </c>
      <c r="N2285" s="401"/>
    </row>
    <row r="2286" spans="2:14" s="160" customFormat="1" ht="12.75" hidden="1" customHeight="1" outlineLevel="1">
      <c r="B2286" s="674" t="str">
        <f>'RGV1 FGD'!$B$2</f>
        <v>The University of Texas RGV - Academic &amp; Health (A+H)</v>
      </c>
      <c r="C2286" s="163"/>
      <c r="D2286" s="397">
        <f>'RGV1 FGD'!$D$87</f>
        <v>0</v>
      </c>
      <c r="E2286" s="397">
        <f>'RGV1 FGD'!$E$87</f>
        <v>0</v>
      </c>
      <c r="F2286" s="397">
        <f>'RGV1 FGD'!$F$87</f>
        <v>0</v>
      </c>
      <c r="G2286" s="397">
        <f>'RGV1 FGD'!$G$87</f>
        <v>0</v>
      </c>
      <c r="H2286" s="397">
        <f>'RGV1 FGD'!$H$87</f>
        <v>0</v>
      </c>
      <c r="I2286" s="397">
        <f>'RGV1 FGD'!$I$87</f>
        <v>0</v>
      </c>
      <c r="J2286" s="397">
        <f>'RGV1 FGD'!$J$87</f>
        <v>0</v>
      </c>
      <c r="K2286" s="397">
        <f>'RGV1 FGD'!$K$87</f>
        <v>0</v>
      </c>
      <c r="L2286" s="397">
        <f>'RGV1 FGD'!$L$87</f>
        <v>0</v>
      </c>
      <c r="M2286" s="397">
        <f>'RGV1 FGD'!$M$87</f>
        <v>0</v>
      </c>
      <c r="N2286" s="401"/>
    </row>
    <row r="2287" spans="2:14" s="160" customFormat="1" ht="12.75" hidden="1" customHeight="1" outlineLevel="1">
      <c r="B2287" s="674" t="str">
        <f>'DAL FGD'!$B$2</f>
        <v>The University of Texas at Dallas</v>
      </c>
      <c r="C2287" s="163"/>
      <c r="D2287" s="397">
        <f>'DAL FGD'!$D$87</f>
        <v>0</v>
      </c>
      <c r="E2287" s="397">
        <f>'DAL FGD'!$E$87</f>
        <v>0</v>
      </c>
      <c r="F2287" s="397">
        <f>'DAL FGD'!$F$87</f>
        <v>0</v>
      </c>
      <c r="G2287" s="397">
        <f>'DAL FGD'!$G$87</f>
        <v>0</v>
      </c>
      <c r="H2287" s="397">
        <f>'DAL FGD'!$H$87</f>
        <v>0</v>
      </c>
      <c r="I2287" s="397">
        <f>'DAL FGD'!$I$87</f>
        <v>0</v>
      </c>
      <c r="J2287" s="397">
        <f>'DAL FGD'!$J$87</f>
        <v>0</v>
      </c>
      <c r="K2287" s="397">
        <f>'DAL FGD'!$K$87</f>
        <v>0</v>
      </c>
      <c r="L2287" s="397">
        <f>'DAL FGD'!$L$87</f>
        <v>0</v>
      </c>
      <c r="M2287" s="397">
        <f>'DAL FGD'!$M$87</f>
        <v>0</v>
      </c>
      <c r="N2287" s="401"/>
    </row>
    <row r="2288" spans="2:14" s="160" customFormat="1" ht="12.75" hidden="1" customHeight="1" outlineLevel="1">
      <c r="B2288" s="674" t="str">
        <f>'E-P FGD'!$B$2</f>
        <v>The University of Texas at El Paso</v>
      </c>
      <c r="C2288" s="163"/>
      <c r="D2288" s="397">
        <f>'E-P FGD'!$D$87</f>
        <v>0</v>
      </c>
      <c r="E2288" s="397">
        <f>'E-P FGD'!$E$87</f>
        <v>0</v>
      </c>
      <c r="F2288" s="397">
        <f>'E-P FGD'!$F$87</f>
        <v>0</v>
      </c>
      <c r="G2288" s="397">
        <f>'E-P FGD'!$G$87</f>
        <v>0</v>
      </c>
      <c r="H2288" s="397">
        <f>'E-P FGD'!$H$87</f>
        <v>0</v>
      </c>
      <c r="I2288" s="397">
        <f>'E-P FGD'!$I$87</f>
        <v>0</v>
      </c>
      <c r="J2288" s="397">
        <f>'E-P FGD'!$J$87</f>
        <v>0</v>
      </c>
      <c r="K2288" s="397">
        <f>'E-P FGD'!$K$87</f>
        <v>0</v>
      </c>
      <c r="L2288" s="397">
        <f>'E-P FGD'!$L$87</f>
        <v>0</v>
      </c>
      <c r="M2288" s="397">
        <f>'E-P FGD'!$M$87</f>
        <v>0</v>
      </c>
      <c r="N2288" s="401"/>
    </row>
    <row r="2289" spans="2:14" s="160" customFormat="1" ht="12.75" hidden="1" customHeight="1" outlineLevel="1">
      <c r="B2289" s="674" t="str">
        <f>'LU FGD'!$B$2</f>
        <v xml:space="preserve">Lamar University </v>
      </c>
      <c r="C2289" s="163"/>
      <c r="D2289" s="397">
        <f>'LU FGD'!$D$87</f>
        <v>0</v>
      </c>
      <c r="E2289" s="397">
        <f>'LU FGD'!$E$87</f>
        <v>0</v>
      </c>
      <c r="F2289" s="397">
        <f>'LU FGD'!$F$87</f>
        <v>0</v>
      </c>
      <c r="G2289" s="397">
        <f>'LU FGD'!$G$87</f>
        <v>0</v>
      </c>
      <c r="H2289" s="397">
        <f>'LU FGD'!$H$87</f>
        <v>0</v>
      </c>
      <c r="I2289" s="397">
        <f>'LU FGD'!$I$87</f>
        <v>0</v>
      </c>
      <c r="J2289" s="397">
        <f>'LU FGD'!$J$87</f>
        <v>0</v>
      </c>
      <c r="K2289" s="397">
        <f>'LU FGD'!$K$87</f>
        <v>0</v>
      </c>
      <c r="L2289" s="397">
        <f>'LU FGD'!$L$87</f>
        <v>0</v>
      </c>
      <c r="M2289" s="397">
        <f>'LU FGD'!$M$87</f>
        <v>0</v>
      </c>
      <c r="N2289" s="401"/>
    </row>
    <row r="2290" spans="2:14" s="160" customFormat="1" ht="12.75" hidden="1" customHeight="1" outlineLevel="1">
      <c r="B2290" s="674" t="str">
        <f>'MidWST FGD'!$B$2</f>
        <v>Midwestern State University</v>
      </c>
      <c r="C2290" s="163"/>
      <c r="D2290" s="397">
        <f>'MidWST FGD'!$D$87</f>
        <v>0</v>
      </c>
      <c r="E2290" s="397">
        <f>'MidWST FGD'!$E$87</f>
        <v>0</v>
      </c>
      <c r="F2290" s="397">
        <f>'MidWST FGD'!$F$87</f>
        <v>0</v>
      </c>
      <c r="G2290" s="397">
        <f>'MidWST FGD'!$G$87</f>
        <v>0</v>
      </c>
      <c r="H2290" s="397">
        <f>'MidWST FGD'!$H$87</f>
        <v>0</v>
      </c>
      <c r="I2290" s="397">
        <f>'MidWST FGD'!$I$87</f>
        <v>0</v>
      </c>
      <c r="J2290" s="397">
        <f>'MidWST FGD'!$J$87</f>
        <v>76777</v>
      </c>
      <c r="K2290" s="397">
        <f>'MidWST FGD'!$K$87</f>
        <v>6307803</v>
      </c>
      <c r="L2290" s="397">
        <f>'MidWST FGD'!$L$87</f>
        <v>0</v>
      </c>
      <c r="M2290" s="397">
        <f>'MidWST FGD'!$M$87</f>
        <v>6384580</v>
      </c>
      <c r="N2290" s="401"/>
    </row>
    <row r="2291" spans="2:14" s="160" customFormat="1" ht="12.75" hidden="1" customHeight="1" outlineLevel="1">
      <c r="B2291" s="674" t="str">
        <f>'P-B FGD'!$B$2</f>
        <v>The University of Texas of the Permian Basin</v>
      </c>
      <c r="C2291" s="163"/>
      <c r="D2291" s="397">
        <f>'P-B FGD'!$D$87</f>
        <v>0</v>
      </c>
      <c r="E2291" s="397">
        <f>'P-B FGD'!$E$87</f>
        <v>0</v>
      </c>
      <c r="F2291" s="397">
        <f>'P-B FGD'!$F$87</f>
        <v>0</v>
      </c>
      <c r="G2291" s="397">
        <f>'P-B FGD'!$G$87</f>
        <v>0</v>
      </c>
      <c r="H2291" s="397">
        <f>'P-B FGD'!$H$87</f>
        <v>0</v>
      </c>
      <c r="I2291" s="397">
        <f>'P-B FGD'!$I$87</f>
        <v>0</v>
      </c>
      <c r="J2291" s="397">
        <f>'P-B FGD'!$J$87</f>
        <v>0</v>
      </c>
      <c r="K2291" s="397">
        <f>'P-B FGD'!$K$87</f>
        <v>0</v>
      </c>
      <c r="L2291" s="397">
        <f>'P-B FGD'!$L$87</f>
        <v>0</v>
      </c>
      <c r="M2291" s="397">
        <f>'P-B FGD'!$M$87</f>
        <v>0</v>
      </c>
      <c r="N2291" s="401"/>
    </row>
    <row r="2292" spans="2:14" s="160" customFormat="1" ht="12.75" hidden="1" customHeight="1" outlineLevel="1">
      <c r="B2292" s="674" t="str">
        <f>'PVAMU FGD'!$B$2</f>
        <v>Prairie View A&amp;M University</v>
      </c>
      <c r="C2292" s="163"/>
      <c r="D2292" s="397">
        <f>'PVAMU FGD'!$D$87</f>
        <v>0</v>
      </c>
      <c r="E2292" s="397">
        <f>'PVAMU FGD'!$E$87</f>
        <v>0</v>
      </c>
      <c r="F2292" s="397">
        <f>'PVAMU FGD'!$F$87</f>
        <v>0</v>
      </c>
      <c r="G2292" s="397">
        <f>'PVAMU FGD'!$G$87</f>
        <v>0</v>
      </c>
      <c r="H2292" s="397">
        <f>'PVAMU FGD'!$H$87</f>
        <v>0</v>
      </c>
      <c r="I2292" s="397">
        <f>'PVAMU FGD'!$I$87</f>
        <v>0</v>
      </c>
      <c r="J2292" s="397">
        <f>'PVAMU FGD'!$J$87</f>
        <v>0</v>
      </c>
      <c r="K2292" s="397">
        <f>'PVAMU FGD'!$K$87</f>
        <v>0</v>
      </c>
      <c r="L2292" s="397">
        <f>'PVAMU FGD'!$L$87</f>
        <v>0</v>
      </c>
      <c r="M2292" s="397">
        <f>'PVAMU FGD'!$M$87</f>
        <v>0</v>
      </c>
      <c r="N2292" s="401"/>
    </row>
    <row r="2293" spans="2:14" s="160" customFormat="1" ht="12.75" hidden="1" customHeight="1" outlineLevel="1">
      <c r="B2293" s="674" t="str">
        <f>'S-A FGD'!$B$2</f>
        <v>The University of Texas at San Antonio</v>
      </c>
      <c r="C2293" s="163"/>
      <c r="D2293" s="397">
        <f>'S-A FGD'!$D$87</f>
        <v>0</v>
      </c>
      <c r="E2293" s="397">
        <f>'S-A FGD'!$E$87</f>
        <v>0</v>
      </c>
      <c r="F2293" s="397">
        <f>'S-A FGD'!$F$87</f>
        <v>0</v>
      </c>
      <c r="G2293" s="397">
        <f>'S-A FGD'!$G$87</f>
        <v>0</v>
      </c>
      <c r="H2293" s="397">
        <f>'S-A FGD'!$H$87</f>
        <v>0</v>
      </c>
      <c r="I2293" s="397">
        <f>'S-A FGD'!$I$87</f>
        <v>0</v>
      </c>
      <c r="J2293" s="397">
        <f>'S-A FGD'!$J$87</f>
        <v>0</v>
      </c>
      <c r="K2293" s="397">
        <f>'S-A FGD'!$K$87</f>
        <v>0</v>
      </c>
      <c r="L2293" s="397">
        <f>'S-A FGD'!$L$87</f>
        <v>0</v>
      </c>
      <c r="M2293" s="397">
        <f>'S-A FGD'!$M$87</f>
        <v>0</v>
      </c>
      <c r="N2293" s="401"/>
    </row>
    <row r="2294" spans="2:14" s="160" customFormat="1" ht="12.75" hidden="1" customHeight="1" outlineLevel="1">
      <c r="B2294" s="674" t="str">
        <f>'SFA FGD'!$B$2</f>
        <v>Stephen F. Austin State University</v>
      </c>
      <c r="C2294" s="163"/>
      <c r="D2294" s="397">
        <f>'SFA FGD'!$D$87</f>
        <v>0</v>
      </c>
      <c r="E2294" s="397">
        <f>'SFA FGD'!$E$87</f>
        <v>0</v>
      </c>
      <c r="F2294" s="397">
        <f>'SFA FGD'!$F$87</f>
        <v>0</v>
      </c>
      <c r="G2294" s="397">
        <f>'SFA FGD'!$G$87</f>
        <v>0</v>
      </c>
      <c r="H2294" s="397">
        <f>'SFA FGD'!$H$87</f>
        <v>0</v>
      </c>
      <c r="I2294" s="397">
        <f>'SFA FGD'!$I$87</f>
        <v>0</v>
      </c>
      <c r="J2294" s="397">
        <f>'SFA FGD'!$J$87</f>
        <v>1905000</v>
      </c>
      <c r="K2294" s="397">
        <f>'SFA FGD'!$K$87</f>
        <v>-15748685</v>
      </c>
      <c r="L2294" s="397">
        <f>'SFA FGD'!$L$87</f>
        <v>33394968</v>
      </c>
      <c r="M2294" s="397">
        <f>'SFA FGD'!$M$87</f>
        <v>19551283</v>
      </c>
      <c r="N2294" s="401"/>
    </row>
    <row r="2295" spans="2:14" s="160" customFormat="1" ht="12.75" hidden="1" customHeight="1" outlineLevel="1">
      <c r="B2295" s="674" t="str">
        <f>'shsu1 FGD'!$B$2</f>
        <v>Sam Houston State University - Academic &amp; Health (A+H)</v>
      </c>
      <c r="C2295" s="163"/>
      <c r="D2295" s="397">
        <f>'shsu1 FGD'!$D$87</f>
        <v>0</v>
      </c>
      <c r="E2295" s="397">
        <f>'shsu1 FGD'!$E$87</f>
        <v>0</v>
      </c>
      <c r="F2295" s="397">
        <f>'shsu1 FGD'!$F$87</f>
        <v>0</v>
      </c>
      <c r="G2295" s="397">
        <f>'shsu1 FGD'!$G$87</f>
        <v>0</v>
      </c>
      <c r="H2295" s="397">
        <f>'shsu1 FGD'!$H$87</f>
        <v>0</v>
      </c>
      <c r="I2295" s="397">
        <f>'shsu1 FGD'!$I$87</f>
        <v>0</v>
      </c>
      <c r="J2295" s="397">
        <f>'shsu1 FGD'!$J$87</f>
        <v>0</v>
      </c>
      <c r="K2295" s="397">
        <f>'shsu1 FGD'!$K$87</f>
        <v>0</v>
      </c>
      <c r="L2295" s="397">
        <f>'shsu1 FGD'!$L$87</f>
        <v>0</v>
      </c>
      <c r="M2295" s="397">
        <f>'shsu1 FGD'!$M$87</f>
        <v>0</v>
      </c>
      <c r="N2295" s="401"/>
    </row>
    <row r="2296" spans="2:14" s="160" customFormat="1" ht="12.75" hidden="1" customHeight="1" outlineLevel="1">
      <c r="B2296" s="674" t="str">
        <f>'SRSU FGD'!$B$2</f>
        <v>Sul Ross State University</v>
      </c>
      <c r="C2296" s="163"/>
      <c r="D2296" s="397">
        <f>'SRSU FGD'!$D$87</f>
        <v>0</v>
      </c>
      <c r="E2296" s="397">
        <f>'SRSU FGD'!$E$87</f>
        <v>0</v>
      </c>
      <c r="F2296" s="397">
        <f>'SRSU FGD'!$F$87</f>
        <v>0</v>
      </c>
      <c r="G2296" s="397">
        <f>'SRSU FGD'!$G$87</f>
        <v>0</v>
      </c>
      <c r="H2296" s="397">
        <f>'SRSU FGD'!$H$87</f>
        <v>0</v>
      </c>
      <c r="I2296" s="397">
        <f>'SRSU FGD'!$I$87</f>
        <v>0</v>
      </c>
      <c r="J2296" s="397">
        <f>'SRSU FGD'!$J$87</f>
        <v>0</v>
      </c>
      <c r="K2296" s="397">
        <f>'SRSU FGD'!$K$87</f>
        <v>0</v>
      </c>
      <c r="L2296" s="397">
        <f>'SRSU FGD'!$L$87</f>
        <v>0</v>
      </c>
      <c r="M2296" s="397">
        <f>'SRSU FGD'!$M$87</f>
        <v>0</v>
      </c>
      <c r="N2296" s="401"/>
    </row>
    <row r="2297" spans="2:14" s="160" customFormat="1" ht="12.75" hidden="1" customHeight="1" outlineLevel="1">
      <c r="B2297" s="674" t="str">
        <f>'TAMIU FGD'!$B$2</f>
        <v>Texas A&amp;M International University</v>
      </c>
      <c r="C2297" s="163"/>
      <c r="D2297" s="397">
        <f>'TAMIU FGD'!$D$87</f>
        <v>0</v>
      </c>
      <c r="E2297" s="397">
        <f>'TAMIU FGD'!$E$87</f>
        <v>0</v>
      </c>
      <c r="F2297" s="397">
        <f>'TAMIU FGD'!$F$87</f>
        <v>0</v>
      </c>
      <c r="G2297" s="397">
        <f>'TAMIU FGD'!$G$87</f>
        <v>0</v>
      </c>
      <c r="H2297" s="397">
        <f>'TAMIU FGD'!$H$87</f>
        <v>0</v>
      </c>
      <c r="I2297" s="397">
        <f>'TAMIU FGD'!$I$87</f>
        <v>0</v>
      </c>
      <c r="J2297" s="397">
        <f>'TAMIU FGD'!$J$87</f>
        <v>0</v>
      </c>
      <c r="K2297" s="397">
        <f>'TAMIU FGD'!$K$87</f>
        <v>0</v>
      </c>
      <c r="L2297" s="397">
        <f>'TAMIU FGD'!$L$87</f>
        <v>0</v>
      </c>
      <c r="M2297" s="397">
        <f>'TAMIU FGD'!$M$87</f>
        <v>0</v>
      </c>
      <c r="N2297" s="401"/>
    </row>
    <row r="2298" spans="2:14" s="160" customFormat="1" ht="12.75" hidden="1" customHeight="1" outlineLevel="1">
      <c r="B2298" s="674" t="str">
        <f>'TAMU FGD'!$B$2</f>
        <v>Texas A&amp;M University</v>
      </c>
      <c r="C2298" s="163"/>
      <c r="D2298" s="397">
        <f>'TAMU FGD'!$D$87</f>
        <v>0</v>
      </c>
      <c r="E2298" s="397">
        <f>'TAMU FGD'!$E$87</f>
        <v>0</v>
      </c>
      <c r="F2298" s="397">
        <f>'TAMU FGD'!$F$87</f>
        <v>0</v>
      </c>
      <c r="G2298" s="397">
        <f>'TAMU FGD'!$G$87</f>
        <v>0</v>
      </c>
      <c r="H2298" s="397">
        <f>'TAMU FGD'!$H$87</f>
        <v>0</v>
      </c>
      <c r="I2298" s="397">
        <f>'TAMU FGD'!$I$87</f>
        <v>0</v>
      </c>
      <c r="J2298" s="397">
        <f>'TAMU FGD'!$J$87</f>
        <v>0</v>
      </c>
      <c r="K2298" s="397">
        <f>'TAMU FGD'!$K$87</f>
        <v>0</v>
      </c>
      <c r="L2298" s="397">
        <f>'TAMU FGD'!$L$87</f>
        <v>0</v>
      </c>
      <c r="M2298" s="397">
        <f>'TAMU FGD'!$M$87</f>
        <v>0</v>
      </c>
      <c r="N2298" s="401"/>
    </row>
    <row r="2299" spans="2:14" s="160" customFormat="1" ht="12.75" hidden="1" customHeight="1" outlineLevel="1">
      <c r="B2299" s="674" t="str">
        <f>'TAMUC FGD'!$B$2</f>
        <v>Texas A&amp;M University - Commerce</v>
      </c>
      <c r="C2299" s="163"/>
      <c r="D2299" s="397">
        <f>'TAMUC FGD'!$D$87</f>
        <v>0</v>
      </c>
      <c r="E2299" s="397">
        <f>'TAMUC FGD'!$E$87</f>
        <v>0</v>
      </c>
      <c r="F2299" s="397">
        <f>'TAMUC FGD'!$F$87</f>
        <v>0</v>
      </c>
      <c r="G2299" s="397">
        <f>'TAMUC FGD'!$G$87</f>
        <v>0</v>
      </c>
      <c r="H2299" s="397">
        <f>'TAMUC FGD'!$H$87</f>
        <v>0</v>
      </c>
      <c r="I2299" s="397">
        <f>'TAMUC FGD'!$I$87</f>
        <v>0</v>
      </c>
      <c r="J2299" s="397">
        <f>'TAMUC FGD'!$J$87</f>
        <v>0</v>
      </c>
      <c r="K2299" s="397">
        <f>'TAMUC FGD'!$K$87</f>
        <v>0</v>
      </c>
      <c r="L2299" s="397">
        <f>'TAMUC FGD'!$L$87</f>
        <v>0</v>
      </c>
      <c r="M2299" s="397">
        <f>'TAMUC FGD'!$M$87</f>
        <v>0</v>
      </c>
      <c r="N2299" s="401"/>
    </row>
    <row r="2300" spans="2:14" s="160" customFormat="1" ht="12.75" hidden="1" customHeight="1" outlineLevel="1">
      <c r="B2300" s="674" t="str">
        <f>'TAMUCC FGD'!$B$2</f>
        <v>Texas A&amp;M University - Corpus Christi</v>
      </c>
      <c r="C2300" s="163"/>
      <c r="D2300" s="397">
        <f>'TAMUCC FGD'!$D$87</f>
        <v>0</v>
      </c>
      <c r="E2300" s="397">
        <f>'TAMUCC FGD'!$E$87</f>
        <v>0</v>
      </c>
      <c r="F2300" s="397">
        <f>'TAMUCC FGD'!$F$87</f>
        <v>0</v>
      </c>
      <c r="G2300" s="397">
        <f>'TAMUCC FGD'!$G$87</f>
        <v>0</v>
      </c>
      <c r="H2300" s="397">
        <f>'TAMUCC FGD'!$H$87</f>
        <v>0</v>
      </c>
      <c r="I2300" s="397">
        <f>'TAMUCC FGD'!$I$87</f>
        <v>0</v>
      </c>
      <c r="J2300" s="397">
        <f>'TAMUCC FGD'!$J$87</f>
        <v>0</v>
      </c>
      <c r="K2300" s="397">
        <f>'TAMUCC FGD'!$K$87</f>
        <v>0</v>
      </c>
      <c r="L2300" s="397">
        <f>'TAMUCC FGD'!$L$87</f>
        <v>0</v>
      </c>
      <c r="M2300" s="397">
        <f>'TAMUCC FGD'!$M$87</f>
        <v>0</v>
      </c>
      <c r="N2300" s="401"/>
    </row>
    <row r="2301" spans="2:14" s="160" customFormat="1" ht="12.75" hidden="1" customHeight="1" outlineLevel="1">
      <c r="B2301" s="674" t="str">
        <f>'TAMUCT FGD'!$B$2</f>
        <v>Texas A&amp;M University - Central Texas</v>
      </c>
      <c r="C2301" s="163"/>
      <c r="D2301" s="397">
        <f>'TAMUCT FGD'!$D$87</f>
        <v>0</v>
      </c>
      <c r="E2301" s="397">
        <f>'TAMUCT FGD'!$E$87</f>
        <v>0</v>
      </c>
      <c r="F2301" s="397">
        <f>'TAMUCT FGD'!$F$87</f>
        <v>0</v>
      </c>
      <c r="G2301" s="397">
        <f>'TAMUCT FGD'!$G$87</f>
        <v>0</v>
      </c>
      <c r="H2301" s="397">
        <f>'TAMUCT FGD'!$H$87</f>
        <v>0</v>
      </c>
      <c r="I2301" s="397">
        <f>'TAMUCT FGD'!$I$87</f>
        <v>0</v>
      </c>
      <c r="J2301" s="397">
        <f>'TAMUCT FGD'!$J$87</f>
        <v>0</v>
      </c>
      <c r="K2301" s="397">
        <f>'TAMUCT FGD'!$K$87</f>
        <v>0</v>
      </c>
      <c r="L2301" s="397">
        <f>'TAMUCT FGD'!$L$87</f>
        <v>0</v>
      </c>
      <c r="M2301" s="397">
        <f>'TAMUCT FGD'!$M$87</f>
        <v>0</v>
      </c>
      <c r="N2301" s="401"/>
    </row>
    <row r="2302" spans="2:14" s="160" customFormat="1" ht="12.75" hidden="1" customHeight="1" outlineLevel="1">
      <c r="B2302" s="674" t="str">
        <f>'TAMUG FGD'!$B$2</f>
        <v>Texas A&amp;M University at Galveston</v>
      </c>
      <c r="C2302" s="163"/>
      <c r="D2302" s="397">
        <f>'TAMUG FGD'!$D$87</f>
        <v>0</v>
      </c>
      <c r="E2302" s="397">
        <f>'TAMUG FGD'!$E$87</f>
        <v>0</v>
      </c>
      <c r="F2302" s="397">
        <f>'TAMUG FGD'!$F$87</f>
        <v>0</v>
      </c>
      <c r="G2302" s="397">
        <f>'TAMUG FGD'!$G$87</f>
        <v>0</v>
      </c>
      <c r="H2302" s="397">
        <f>'TAMUG FGD'!$H$87</f>
        <v>0</v>
      </c>
      <c r="I2302" s="397">
        <f>'TAMUG FGD'!$I$87</f>
        <v>0</v>
      </c>
      <c r="J2302" s="397">
        <f>'TAMUG FGD'!$J$87</f>
        <v>0</v>
      </c>
      <c r="K2302" s="397">
        <f>'TAMUG FGD'!$K$87</f>
        <v>0</v>
      </c>
      <c r="L2302" s="397">
        <f>'TAMUG FGD'!$L$87</f>
        <v>0</v>
      </c>
      <c r="M2302" s="397">
        <f>'TAMUG FGD'!$M$87</f>
        <v>0</v>
      </c>
      <c r="N2302" s="401"/>
    </row>
    <row r="2303" spans="2:14" s="160" customFormat="1" ht="12.75" hidden="1" customHeight="1" outlineLevel="1">
      <c r="B2303" s="674" t="str">
        <f>'TAMUK FGD'!$B$2</f>
        <v>Texas A&amp;M University - Kingsville</v>
      </c>
      <c r="C2303" s="163"/>
      <c r="D2303" s="397">
        <f>'TAMUK FGD'!$D$87</f>
        <v>0</v>
      </c>
      <c r="E2303" s="397">
        <f>'TAMUK FGD'!$E$87</f>
        <v>0</v>
      </c>
      <c r="F2303" s="397">
        <f>'TAMUK FGD'!$F$87</f>
        <v>0</v>
      </c>
      <c r="G2303" s="397">
        <f>'TAMUK FGD'!$G$87</f>
        <v>0</v>
      </c>
      <c r="H2303" s="397">
        <f>'TAMUK FGD'!$H$87</f>
        <v>0</v>
      </c>
      <c r="I2303" s="397">
        <f>'TAMUK FGD'!$I$87</f>
        <v>0</v>
      </c>
      <c r="J2303" s="397">
        <f>'TAMUK FGD'!$J$87</f>
        <v>0</v>
      </c>
      <c r="K2303" s="397">
        <f>'TAMUK FGD'!$K$87</f>
        <v>0</v>
      </c>
      <c r="L2303" s="397">
        <f>'TAMUK FGD'!$L$87</f>
        <v>0</v>
      </c>
      <c r="M2303" s="397">
        <f>'TAMUK FGD'!$M$87</f>
        <v>0</v>
      </c>
      <c r="N2303" s="401"/>
    </row>
    <row r="2304" spans="2:14" s="160" customFormat="1" ht="12.75" hidden="1" customHeight="1" outlineLevel="1">
      <c r="B2304" s="674" t="str">
        <f>'TAMUSA FGD'!$B$2</f>
        <v>Texas A&amp;M University - San Antonio</v>
      </c>
      <c r="C2304" s="163"/>
      <c r="D2304" s="397">
        <f>'TAMUSA FGD'!$D$87</f>
        <v>0</v>
      </c>
      <c r="E2304" s="397">
        <f>'TAMUSA FGD'!$E$87</f>
        <v>0</v>
      </c>
      <c r="F2304" s="397">
        <f>'TAMUSA FGD'!$F$87</f>
        <v>0</v>
      </c>
      <c r="G2304" s="397">
        <f>'TAMUSA FGD'!$G$87</f>
        <v>0</v>
      </c>
      <c r="H2304" s="397">
        <f>'TAMUSA FGD'!$H$87</f>
        <v>0</v>
      </c>
      <c r="I2304" s="397">
        <f>'TAMUSA FGD'!$I$87</f>
        <v>0</v>
      </c>
      <c r="J2304" s="397">
        <f>'TAMUSA FGD'!$J$87</f>
        <v>0</v>
      </c>
      <c r="K2304" s="397">
        <f>'TAMUSA FGD'!$K$87</f>
        <v>0</v>
      </c>
      <c r="L2304" s="397">
        <f>'TAMUSA FGD'!$L$87</f>
        <v>0</v>
      </c>
      <c r="M2304" s="397">
        <f>'TAMUSA FGD'!$M$87</f>
        <v>0</v>
      </c>
      <c r="N2304" s="401"/>
    </row>
    <row r="2305" spans="2:14" s="160" customFormat="1" ht="12.75" hidden="1" customHeight="1" outlineLevel="1">
      <c r="B2305" s="674" t="str">
        <f>'TAMUT FGD'!$B$2</f>
        <v>Texas A&amp;M University - Texarkana</v>
      </c>
      <c r="C2305" s="163"/>
      <c r="D2305" s="397">
        <f>'TAMUT FGD'!$D$87</f>
        <v>0</v>
      </c>
      <c r="E2305" s="397">
        <f>'TAMUT FGD'!$E$87</f>
        <v>0</v>
      </c>
      <c r="F2305" s="397">
        <f>'TAMUT FGD'!$F$87</f>
        <v>0</v>
      </c>
      <c r="G2305" s="397">
        <f>'TAMUT FGD'!$G$87</f>
        <v>0</v>
      </c>
      <c r="H2305" s="397">
        <f>'TAMUT FGD'!$H$87</f>
        <v>0</v>
      </c>
      <c r="I2305" s="397">
        <f>'TAMUT FGD'!$I$87</f>
        <v>0</v>
      </c>
      <c r="J2305" s="397">
        <f>'TAMUT FGD'!$J$87</f>
        <v>0</v>
      </c>
      <c r="K2305" s="397">
        <f>'TAMUT FGD'!$K$87</f>
        <v>0</v>
      </c>
      <c r="L2305" s="397">
        <f>'TAMUT FGD'!$L$87</f>
        <v>0</v>
      </c>
      <c r="M2305" s="397">
        <f>'TAMUT FGD'!$M$87</f>
        <v>0</v>
      </c>
      <c r="N2305" s="401"/>
    </row>
    <row r="2306" spans="2:14" s="160" customFormat="1" ht="12.75" hidden="1" customHeight="1" outlineLevel="1">
      <c r="B2306" s="674" t="str">
        <f>'TARLST FGD'!$B$2</f>
        <v>Tarleton State University</v>
      </c>
      <c r="C2306" s="163"/>
      <c r="D2306" s="397">
        <f>'TARLST FGD'!$D$87</f>
        <v>0</v>
      </c>
      <c r="E2306" s="397">
        <f>'TARLST FGD'!$E$87</f>
        <v>0</v>
      </c>
      <c r="F2306" s="397">
        <f>'TARLST FGD'!$F$87</f>
        <v>0</v>
      </c>
      <c r="G2306" s="397">
        <f>'TARLST FGD'!$G$87</f>
        <v>0</v>
      </c>
      <c r="H2306" s="397">
        <f>'TARLST FGD'!$H$87</f>
        <v>0</v>
      </c>
      <c r="I2306" s="397">
        <f>'TARLST FGD'!$I$87</f>
        <v>0</v>
      </c>
      <c r="J2306" s="397">
        <f>'TARLST FGD'!$J$87</f>
        <v>0</v>
      </c>
      <c r="K2306" s="397">
        <f>'TARLST FGD'!$K$87</f>
        <v>0</v>
      </c>
      <c r="L2306" s="397">
        <f>'TARLST FGD'!$L$87</f>
        <v>0</v>
      </c>
      <c r="M2306" s="397">
        <f>'TARLST FGD'!$M$87</f>
        <v>0</v>
      </c>
      <c r="N2306" s="401"/>
    </row>
    <row r="2307" spans="2:14" s="160" customFormat="1" ht="12.75" hidden="1" customHeight="1" outlineLevel="1">
      <c r="B2307" s="674" t="str">
        <f>'TSU FGD'!$B$2</f>
        <v>Texas Southern University</v>
      </c>
      <c r="C2307" s="163"/>
      <c r="D2307" s="397">
        <f>'TSU FGD'!$D$87</f>
        <v>8700000</v>
      </c>
      <c r="E2307" s="397">
        <f>'TSU FGD'!$E$87</f>
        <v>1187519</v>
      </c>
      <c r="F2307" s="397">
        <f>'TSU FGD'!$F$87</f>
        <v>1274250</v>
      </c>
      <c r="G2307" s="397">
        <f>'TSU FGD'!$G$87</f>
        <v>0</v>
      </c>
      <c r="H2307" s="397">
        <f>'TSU FGD'!$H$87</f>
        <v>0</v>
      </c>
      <c r="I2307" s="397">
        <f>'TSU FGD'!$I$87</f>
        <v>0</v>
      </c>
      <c r="J2307" s="397">
        <f>'TSU FGD'!$J$87</f>
        <v>116793</v>
      </c>
      <c r="K2307" s="397">
        <f>'TSU FGD'!$K$87</f>
        <v>0</v>
      </c>
      <c r="L2307" s="397">
        <f>'TSU FGD'!$L$87</f>
        <v>0</v>
      </c>
      <c r="M2307" s="397">
        <f>'TSU FGD'!$M$87</f>
        <v>11278562</v>
      </c>
      <c r="N2307" s="401"/>
    </row>
    <row r="2308" spans="2:14" s="160" customFormat="1" ht="12.75" hidden="1" customHeight="1" outlineLevel="1">
      <c r="B2308" s="674" t="str">
        <f>'TTU FGD'!$B$2</f>
        <v>Texas Tech University</v>
      </c>
      <c r="C2308" s="163"/>
      <c r="D2308" s="397">
        <f>'TTU FGD'!$D$87</f>
        <v>0</v>
      </c>
      <c r="E2308" s="397">
        <f>'TTU FGD'!$E$87</f>
        <v>0</v>
      </c>
      <c r="F2308" s="397">
        <f>'TTU FGD'!$F$87</f>
        <v>0</v>
      </c>
      <c r="G2308" s="397">
        <f>'TTU FGD'!$G$87</f>
        <v>0</v>
      </c>
      <c r="H2308" s="397">
        <f>'TTU FGD'!$H$87</f>
        <v>0</v>
      </c>
      <c r="I2308" s="397">
        <f>'TTU FGD'!$I$87</f>
        <v>0</v>
      </c>
      <c r="J2308" s="397">
        <f>'TTU FGD'!$J$87</f>
        <v>0</v>
      </c>
      <c r="K2308" s="397">
        <f>'TTU FGD'!$K$87</f>
        <v>0</v>
      </c>
      <c r="L2308" s="397">
        <f>'TTU FGD'!$L$87</f>
        <v>0</v>
      </c>
      <c r="M2308" s="397">
        <f>'TTU FGD'!$M$87</f>
        <v>0</v>
      </c>
      <c r="N2308" s="401"/>
    </row>
    <row r="2309" spans="2:14" s="160" customFormat="1" ht="12.75" hidden="1" customHeight="1" outlineLevel="1">
      <c r="B2309" s="674" t="str">
        <f>'TWU FGD'!$B$2</f>
        <v>Texas Woman's University</v>
      </c>
      <c r="C2309" s="163"/>
      <c r="D2309" s="397">
        <f>'TWU FGD'!$D$87</f>
        <v>0</v>
      </c>
      <c r="E2309" s="397">
        <f>'TWU FGD'!$E$87</f>
        <v>0</v>
      </c>
      <c r="F2309" s="397">
        <f>'TWU FGD'!$F$87</f>
        <v>0</v>
      </c>
      <c r="G2309" s="397">
        <f>'TWU FGD'!$G$87</f>
        <v>0</v>
      </c>
      <c r="H2309" s="397">
        <f>'TWU FGD'!$H$87</f>
        <v>0</v>
      </c>
      <c r="I2309" s="397">
        <f>'TWU FGD'!$I$87</f>
        <v>0</v>
      </c>
      <c r="J2309" s="397">
        <f>'TWU FGD'!$J$87</f>
        <v>-17938486</v>
      </c>
      <c r="K2309" s="397">
        <f>'TWU FGD'!$K$87</f>
        <v>9930000</v>
      </c>
      <c r="L2309" s="397">
        <f>'TWU FGD'!$L$87</f>
        <v>0</v>
      </c>
      <c r="M2309" s="397">
        <f>'TWU FGD'!$M$87</f>
        <v>-8008486</v>
      </c>
      <c r="N2309" s="401"/>
    </row>
    <row r="2310" spans="2:14" s="160" customFormat="1" ht="12.75" hidden="1" customHeight="1" outlineLevel="1">
      <c r="B2310" s="674" t="str">
        <f>'TXST FGD'!$B$2</f>
        <v>Texas State University</v>
      </c>
      <c r="C2310" s="163"/>
      <c r="D2310" s="397">
        <f>'TXST FGD'!$D$87</f>
        <v>0</v>
      </c>
      <c r="E2310" s="397">
        <f>'TXST FGD'!$E$87</f>
        <v>0</v>
      </c>
      <c r="F2310" s="397">
        <f>'TXST FGD'!$F$87</f>
        <v>0</v>
      </c>
      <c r="G2310" s="397">
        <f>'TXST FGD'!$G$87</f>
        <v>0</v>
      </c>
      <c r="H2310" s="397">
        <f>'TXST FGD'!$H$87</f>
        <v>0</v>
      </c>
      <c r="I2310" s="397">
        <f>'TXST FGD'!$I$87</f>
        <v>0</v>
      </c>
      <c r="J2310" s="397">
        <f>'TXST FGD'!$J$87</f>
        <v>0</v>
      </c>
      <c r="K2310" s="397">
        <f>'TXST FGD'!$K$87</f>
        <v>0</v>
      </c>
      <c r="L2310" s="397">
        <f>'TXST FGD'!$L$87</f>
        <v>0</v>
      </c>
      <c r="M2310" s="397">
        <f>'TXST FGD'!$M$87</f>
        <v>0</v>
      </c>
      <c r="N2310" s="401"/>
    </row>
    <row r="2311" spans="2:14" s="160" customFormat="1" ht="12.75" hidden="1" customHeight="1" outlineLevel="1">
      <c r="B2311" s="674" t="str">
        <f>'TYL FGD'!$B$2</f>
        <v>The University of Texas at Tyler</v>
      </c>
      <c r="C2311" s="163"/>
      <c r="D2311" s="397">
        <f>'TYL FGD'!$D$87</f>
        <v>0</v>
      </c>
      <c r="E2311" s="397">
        <f>'TYL FGD'!$E$87</f>
        <v>0</v>
      </c>
      <c r="F2311" s="397">
        <f>'TYL FGD'!$F$87</f>
        <v>0</v>
      </c>
      <c r="G2311" s="397">
        <f>'TYL FGD'!$G$87</f>
        <v>0</v>
      </c>
      <c r="H2311" s="397">
        <f>'TYL FGD'!$H$87</f>
        <v>0</v>
      </c>
      <c r="I2311" s="397">
        <f>'TYL FGD'!$I$87</f>
        <v>0</v>
      </c>
      <c r="J2311" s="397">
        <f>'TYL FGD'!$J$87</f>
        <v>0</v>
      </c>
      <c r="K2311" s="397">
        <f>'TYL FGD'!$K$87</f>
        <v>0</v>
      </c>
      <c r="L2311" s="397">
        <f>'TYL FGD'!$L$87</f>
        <v>0</v>
      </c>
      <c r="M2311" s="397">
        <f>'TYL FGD'!$M$87</f>
        <v>0</v>
      </c>
      <c r="N2311" s="401"/>
    </row>
    <row r="2312" spans="2:14" s="160" customFormat="1" ht="12.75" hidden="1" customHeight="1" outlineLevel="1">
      <c r="B2312" s="674" t="str">
        <f>'UH1 FGD'!$B$2</f>
        <v>University of Houston - Academic &amp; Health (A+H)</v>
      </c>
      <c r="C2312" s="163"/>
      <c r="D2312" s="397">
        <f>'UH1 FGD'!$D$87</f>
        <v>0</v>
      </c>
      <c r="E2312" s="397">
        <f>'UH1 FGD'!$E$87</f>
        <v>0</v>
      </c>
      <c r="F2312" s="397">
        <f>'UH1 FGD'!$F$87</f>
        <v>0</v>
      </c>
      <c r="G2312" s="397">
        <f>'UH1 FGD'!$G$87</f>
        <v>0</v>
      </c>
      <c r="H2312" s="397">
        <f>'UH1 FGD'!$H$87</f>
        <v>0</v>
      </c>
      <c r="I2312" s="397">
        <f>'UH1 FGD'!$I$87</f>
        <v>0</v>
      </c>
      <c r="J2312" s="397">
        <f>'UH1 FGD'!$J$87</f>
        <v>-48101000</v>
      </c>
      <c r="K2312" s="397">
        <f>'UH1 FGD'!$K$87</f>
        <v>0</v>
      </c>
      <c r="L2312" s="397">
        <f>'UH1 FGD'!$L$87</f>
        <v>0</v>
      </c>
      <c r="M2312" s="397">
        <f>'UH1 FGD'!$M$87</f>
        <v>-48101000</v>
      </c>
      <c r="N2312" s="401"/>
    </row>
    <row r="2313" spans="2:14" s="160" customFormat="1" ht="12.75" hidden="1" customHeight="1" outlineLevel="1">
      <c r="B2313" s="674" t="str">
        <f>'UHCL FGD'!$B$2</f>
        <v>University of Houston - Clear Lake</v>
      </c>
      <c r="C2313" s="163"/>
      <c r="D2313" s="397">
        <f>'UHCL FGD'!$D$87</f>
        <v>0</v>
      </c>
      <c r="E2313" s="397">
        <f>'UHCL FGD'!$E$87</f>
        <v>0</v>
      </c>
      <c r="F2313" s="397">
        <f>'UHCL FGD'!$F$87</f>
        <v>0</v>
      </c>
      <c r="G2313" s="397">
        <f>'UHCL FGD'!$G$87</f>
        <v>0</v>
      </c>
      <c r="H2313" s="397">
        <f>'UHCL FGD'!$H$87</f>
        <v>0</v>
      </c>
      <c r="I2313" s="397">
        <f>'UHCL FGD'!$I$87</f>
        <v>0</v>
      </c>
      <c r="J2313" s="397">
        <f>'UHCL FGD'!$J$87</f>
        <v>0</v>
      </c>
      <c r="K2313" s="397">
        <f>'UHCL FGD'!$K$87</f>
        <v>0</v>
      </c>
      <c r="L2313" s="397">
        <f>'UHCL FGD'!$L$87</f>
        <v>0</v>
      </c>
      <c r="M2313" s="397">
        <f>'UHCL FGD'!$M$87</f>
        <v>0</v>
      </c>
      <c r="N2313" s="401"/>
    </row>
    <row r="2314" spans="2:14" s="160" customFormat="1" ht="12.75" hidden="1" customHeight="1" outlineLevel="1">
      <c r="B2314" s="674" t="str">
        <f>'UHD FGD'!$B$2</f>
        <v>University of Houston - Downtown</v>
      </c>
      <c r="C2314" s="163"/>
      <c r="D2314" s="397">
        <f>'UHD FGD'!$D$87</f>
        <v>0</v>
      </c>
      <c r="E2314" s="397">
        <f>'UHD FGD'!$E$87</f>
        <v>0</v>
      </c>
      <c r="F2314" s="397">
        <f>'UHD FGD'!$F$87</f>
        <v>0</v>
      </c>
      <c r="G2314" s="397">
        <f>'UHD FGD'!$G$87</f>
        <v>0</v>
      </c>
      <c r="H2314" s="397">
        <f>'UHD FGD'!$H$87</f>
        <v>0</v>
      </c>
      <c r="I2314" s="397">
        <f>'UHD FGD'!$I$87</f>
        <v>0</v>
      </c>
      <c r="J2314" s="397">
        <f>'UHD FGD'!$J$87</f>
        <v>0</v>
      </c>
      <c r="K2314" s="397">
        <f>'UHD FGD'!$K$87</f>
        <v>0</v>
      </c>
      <c r="L2314" s="397">
        <f>'UHD FGD'!$L$87</f>
        <v>0</v>
      </c>
      <c r="M2314" s="397">
        <f>'UHD FGD'!$M$87</f>
        <v>0</v>
      </c>
      <c r="N2314" s="401"/>
    </row>
    <row r="2315" spans="2:14" s="160" customFormat="1" ht="12.75" hidden="1" customHeight="1" outlineLevel="1">
      <c r="B2315" s="674" t="str">
        <f>'UHV FGD'!$B$2</f>
        <v>University of Houston - Victoria</v>
      </c>
      <c r="C2315" s="163"/>
      <c r="D2315" s="397">
        <f>'UHV FGD'!$D$87</f>
        <v>0</v>
      </c>
      <c r="E2315" s="397">
        <f>'UHV FGD'!$E$87</f>
        <v>0</v>
      </c>
      <c r="F2315" s="397">
        <f>'UHV FGD'!$F$87</f>
        <v>0</v>
      </c>
      <c r="G2315" s="397">
        <f>'UHV FGD'!$G$87</f>
        <v>0</v>
      </c>
      <c r="H2315" s="397">
        <f>'UHV FGD'!$H$87</f>
        <v>0</v>
      </c>
      <c r="I2315" s="397">
        <f>'UHV FGD'!$I$87</f>
        <v>0</v>
      </c>
      <c r="J2315" s="397">
        <f>'UHV FGD'!$J$87</f>
        <v>-1444000</v>
      </c>
      <c r="K2315" s="397">
        <f>'UHV FGD'!$K$87</f>
        <v>4035267</v>
      </c>
      <c r="L2315" s="397">
        <f>'UHV FGD'!$L$87</f>
        <v>0</v>
      </c>
      <c r="M2315" s="397">
        <f>'UHV FGD'!$M$87</f>
        <v>2591267</v>
      </c>
      <c r="N2315" s="401"/>
    </row>
    <row r="2316" spans="2:14" s="160" customFormat="1" ht="12.75" hidden="1" customHeight="1" outlineLevel="1">
      <c r="B2316" s="674" t="str">
        <f>'UNT FGD'!$B$2</f>
        <v>University of North Texas</v>
      </c>
      <c r="C2316" s="163"/>
      <c r="D2316" s="397">
        <f>'UNT FGD'!$D$87</f>
        <v>0</v>
      </c>
      <c r="E2316" s="397">
        <f>'UNT FGD'!$E$87</f>
        <v>0</v>
      </c>
      <c r="F2316" s="397">
        <f>'UNT FGD'!$F$87</f>
        <v>0</v>
      </c>
      <c r="G2316" s="397">
        <f>'UNT FGD'!$G$87</f>
        <v>0</v>
      </c>
      <c r="H2316" s="397">
        <f>'UNT FGD'!$H$87</f>
        <v>0</v>
      </c>
      <c r="I2316" s="397">
        <f>'UNT FGD'!$I$87</f>
        <v>0</v>
      </c>
      <c r="J2316" s="397">
        <f>'UNT FGD'!$J$87</f>
        <v>0</v>
      </c>
      <c r="K2316" s="397">
        <f>'UNT FGD'!$K$87</f>
        <v>0</v>
      </c>
      <c r="L2316" s="397">
        <f>'UNT FGD'!$L$87</f>
        <v>0</v>
      </c>
      <c r="M2316" s="397">
        <f>'UNT FGD'!$M$87</f>
        <v>0</v>
      </c>
      <c r="N2316" s="401"/>
    </row>
    <row r="2317" spans="2:14" s="160" customFormat="1" ht="12.75" hidden="1" customHeight="1" outlineLevel="1">
      <c r="B2317" s="674" t="str">
        <f>'UNTD FGD'!$B$2</f>
        <v>University of North Texas at Dallas</v>
      </c>
      <c r="C2317" s="163"/>
      <c r="D2317" s="397">
        <f>'UNTD FGD'!$D$87</f>
        <v>0</v>
      </c>
      <c r="E2317" s="397">
        <f>'UNTD FGD'!$E$87</f>
        <v>0</v>
      </c>
      <c r="F2317" s="397">
        <f>'UNTD FGD'!$F$87</f>
        <v>0</v>
      </c>
      <c r="G2317" s="397">
        <f>'UNTD FGD'!$G$87</f>
        <v>0</v>
      </c>
      <c r="H2317" s="397">
        <f>'UNTD FGD'!$H$87</f>
        <v>0</v>
      </c>
      <c r="I2317" s="397">
        <f>'UNTD FGD'!$I$87</f>
        <v>0</v>
      </c>
      <c r="J2317" s="397">
        <f>'UNTD FGD'!$J$87</f>
        <v>0</v>
      </c>
      <c r="K2317" s="397">
        <f>'UNTD FGD'!$K$87</f>
        <v>0</v>
      </c>
      <c r="L2317" s="397">
        <f>'UNTD FGD'!$L$87</f>
        <v>0</v>
      </c>
      <c r="M2317" s="397">
        <f>'UNTD FGD'!$M$87</f>
        <v>0</v>
      </c>
      <c r="N2317" s="401"/>
    </row>
    <row r="2318" spans="2:14" s="160" customFormat="1" ht="12.75" hidden="1" customHeight="1" outlineLevel="1">
      <c r="B2318" s="674" t="str">
        <f>'WTAMU FGD'!$B$2</f>
        <v>West Texas A&amp;M University</v>
      </c>
      <c r="C2318" s="163"/>
      <c r="D2318" s="397">
        <f>'WTAMU FGD'!$D$87</f>
        <v>0</v>
      </c>
      <c r="E2318" s="397">
        <f>'WTAMU FGD'!$E$87</f>
        <v>0</v>
      </c>
      <c r="F2318" s="397">
        <f>'WTAMU FGD'!$F$87</f>
        <v>0</v>
      </c>
      <c r="G2318" s="397">
        <f>'WTAMU FGD'!$G$87</f>
        <v>0</v>
      </c>
      <c r="H2318" s="397">
        <f>'WTAMU FGD'!$H$87</f>
        <v>0</v>
      </c>
      <c r="I2318" s="397">
        <f>'WTAMU FGD'!$I$87</f>
        <v>0</v>
      </c>
      <c r="J2318" s="397">
        <f>'WTAMU FGD'!$J$87</f>
        <v>0</v>
      </c>
      <c r="K2318" s="397">
        <f>'WTAMU FGD'!$K$87</f>
        <v>0</v>
      </c>
      <c r="L2318" s="397">
        <f>'WTAMU FGD'!$L$87</f>
        <v>0</v>
      </c>
      <c r="M2318" s="397">
        <f>'WTAMU FGD'!$M$87</f>
        <v>0</v>
      </c>
      <c r="N2318" s="401"/>
    </row>
    <row r="2319" spans="2:14" s="160" customFormat="1" collapsed="1">
      <c r="B2319" s="161" t="s">
        <v>65</v>
      </c>
      <c r="C2319" s="161"/>
      <c r="D2319" s="390">
        <f t="shared" ref="D2319:M2319" si="61">SUM(D2283:D2318)</f>
        <v>8700000</v>
      </c>
      <c r="E2319" s="390">
        <f t="shared" si="61"/>
        <v>1187519</v>
      </c>
      <c r="F2319" s="390">
        <f t="shared" si="61"/>
        <v>1274250</v>
      </c>
      <c r="G2319" s="390">
        <f t="shared" si="61"/>
        <v>0</v>
      </c>
      <c r="H2319" s="390">
        <f t="shared" si="61"/>
        <v>0</v>
      </c>
      <c r="I2319" s="390">
        <f t="shared" si="61"/>
        <v>0</v>
      </c>
      <c r="J2319" s="390">
        <f t="shared" si="61"/>
        <v>-65384916</v>
      </c>
      <c r="K2319" s="390">
        <f t="shared" si="61"/>
        <v>4524385</v>
      </c>
      <c r="L2319" s="390">
        <f t="shared" si="61"/>
        <v>33394968</v>
      </c>
      <c r="M2319" s="397">
        <f t="shared" si="61"/>
        <v>-16303794</v>
      </c>
      <c r="N2319" s="171"/>
    </row>
    <row r="2320" spans="2:14" s="160" customFormat="1" ht="12.75" hidden="1" customHeight="1" outlineLevel="1">
      <c r="B2320" s="674" t="str">
        <f>'ARL FGD'!$B$2</f>
        <v>The University of Texas at Arlington</v>
      </c>
      <c r="C2320" s="161"/>
      <c r="D2320" s="390">
        <f>'ARL FGD'!$D$88</f>
        <v>0</v>
      </c>
      <c r="E2320" s="390">
        <f>'ARL FGD'!$E$88</f>
        <v>0</v>
      </c>
      <c r="F2320" s="390">
        <f>'ARL FGD'!$F$88</f>
        <v>0</v>
      </c>
      <c r="G2320" s="390">
        <f>'ARL FGD'!$G$88</f>
        <v>0</v>
      </c>
      <c r="H2320" s="390">
        <f>'ARL FGD'!$H$88</f>
        <v>0</v>
      </c>
      <c r="I2320" s="390">
        <f>'ARL FGD'!$I$88</f>
        <v>0</v>
      </c>
      <c r="J2320" s="390">
        <f>'ARL FGD'!$J$88</f>
        <v>0</v>
      </c>
      <c r="K2320" s="390">
        <f>'ARL FGD'!$K$88</f>
        <v>0</v>
      </c>
      <c r="L2320" s="390">
        <f>'ARL FGD'!$L$88</f>
        <v>-56108157</v>
      </c>
      <c r="M2320" s="397">
        <f>'ARL FGD'!$M$88</f>
        <v>-56108157</v>
      </c>
      <c r="N2320" s="171"/>
    </row>
    <row r="2321" spans="2:14" s="160" customFormat="1" ht="12.75" hidden="1" customHeight="1" outlineLevel="1">
      <c r="B2321" s="674" t="str">
        <f>'ASU FGD'!$B$2</f>
        <v>Angelo State University</v>
      </c>
      <c r="C2321" s="161"/>
      <c r="D2321" s="390">
        <f>'ASU FGD'!$D$88</f>
        <v>0</v>
      </c>
      <c r="E2321" s="390">
        <f>'ASU FGD'!$E$88</f>
        <v>0</v>
      </c>
      <c r="F2321" s="390">
        <f>'ASU FGD'!$F$88</f>
        <v>0</v>
      </c>
      <c r="G2321" s="390">
        <f>'ASU FGD'!$G$88</f>
        <v>0</v>
      </c>
      <c r="H2321" s="390">
        <f>'ASU FGD'!$H$88</f>
        <v>0</v>
      </c>
      <c r="I2321" s="390">
        <f>'ASU FGD'!$I$88</f>
        <v>0</v>
      </c>
      <c r="J2321" s="390">
        <f>'ASU FGD'!$J$88</f>
        <v>0</v>
      </c>
      <c r="K2321" s="390">
        <f>'ASU FGD'!$K$88</f>
        <v>0</v>
      </c>
      <c r="L2321" s="390">
        <f>'ASU FGD'!$L$88</f>
        <v>-11074042</v>
      </c>
      <c r="M2321" s="397">
        <f>'ASU FGD'!$M$88</f>
        <v>-11074042</v>
      </c>
      <c r="N2321" s="171"/>
    </row>
    <row r="2322" spans="2:14" s="160" customFormat="1" ht="12.75" hidden="1" customHeight="1" outlineLevel="1">
      <c r="B2322" s="674" t="str">
        <f>'AUS1 FGD'!$B$2</f>
        <v>The University of Texas at Austin - Academic &amp; Health (A+H)</v>
      </c>
      <c r="C2322" s="161"/>
      <c r="D2322" s="390">
        <f>'AUS1 FGD'!$D$88</f>
        <v>0</v>
      </c>
      <c r="E2322" s="390">
        <f>'AUS1 FGD'!$E$88</f>
        <v>0</v>
      </c>
      <c r="F2322" s="390">
        <f>'AUS1 FGD'!$F$88</f>
        <v>0</v>
      </c>
      <c r="G2322" s="390">
        <f>'AUS1 FGD'!$G$88</f>
        <v>0</v>
      </c>
      <c r="H2322" s="390">
        <f>'AUS1 FGD'!$H$88</f>
        <v>0</v>
      </c>
      <c r="I2322" s="390">
        <f>'AUS1 FGD'!$I$88</f>
        <v>0</v>
      </c>
      <c r="J2322" s="390">
        <f>'AUS1 FGD'!$J$88</f>
        <v>0</v>
      </c>
      <c r="K2322" s="390">
        <f>'AUS1 FGD'!$K$88</f>
        <v>0</v>
      </c>
      <c r="L2322" s="390">
        <f>'AUS1 FGD'!$L$88</f>
        <v>-324807006</v>
      </c>
      <c r="M2322" s="397">
        <f>'AUS1 FGD'!$M$88</f>
        <v>-324807006</v>
      </c>
      <c r="N2322" s="171"/>
    </row>
    <row r="2323" spans="2:14" s="160" customFormat="1" ht="12.75" hidden="1" customHeight="1" outlineLevel="1">
      <c r="B2323" s="674" t="str">
        <f>'RGV1 FGD'!$B$2</f>
        <v>The University of Texas RGV - Academic &amp; Health (A+H)</v>
      </c>
      <c r="C2323" s="161"/>
      <c r="D2323" s="390">
        <f>'RGV1 FGD'!$D$88</f>
        <v>0</v>
      </c>
      <c r="E2323" s="390">
        <f>'RGV1 FGD'!$E$88</f>
        <v>0</v>
      </c>
      <c r="F2323" s="390">
        <f>'RGV1 FGD'!$F$88</f>
        <v>0</v>
      </c>
      <c r="G2323" s="390">
        <f>'RGV1 FGD'!$G$88</f>
        <v>0</v>
      </c>
      <c r="H2323" s="390">
        <f>'RGV1 FGD'!$H$88</f>
        <v>0</v>
      </c>
      <c r="I2323" s="390">
        <f>'RGV1 FGD'!$I$88</f>
        <v>0</v>
      </c>
      <c r="J2323" s="390">
        <f>'RGV1 FGD'!$J$88</f>
        <v>0</v>
      </c>
      <c r="K2323" s="390">
        <f>'RGV1 FGD'!$K$88</f>
        <v>0</v>
      </c>
      <c r="L2323" s="390">
        <f>'RGV1 FGD'!$L$88</f>
        <v>-42000621</v>
      </c>
      <c r="M2323" s="397">
        <f>'RGV1 FGD'!$M$88</f>
        <v>-42000621</v>
      </c>
      <c r="N2323" s="171"/>
    </row>
    <row r="2324" spans="2:14" s="160" customFormat="1" ht="12.75" hidden="1" customHeight="1" outlineLevel="1">
      <c r="B2324" s="674" t="str">
        <f>'DAL FGD'!$B$2</f>
        <v>The University of Texas at Dallas</v>
      </c>
      <c r="C2324" s="161"/>
      <c r="D2324" s="390">
        <f>'DAL FGD'!$D$88</f>
        <v>0</v>
      </c>
      <c r="E2324" s="390">
        <f>'DAL FGD'!$E$88</f>
        <v>0</v>
      </c>
      <c r="F2324" s="390">
        <f>'DAL FGD'!$F$88</f>
        <v>0</v>
      </c>
      <c r="G2324" s="390">
        <f>'DAL FGD'!$G$88</f>
        <v>0</v>
      </c>
      <c r="H2324" s="390">
        <f>'DAL FGD'!$H$88</f>
        <v>0</v>
      </c>
      <c r="I2324" s="390">
        <f>'DAL FGD'!$I$88</f>
        <v>0</v>
      </c>
      <c r="J2324" s="390">
        <f>'DAL FGD'!$J$88</f>
        <v>0</v>
      </c>
      <c r="K2324" s="390">
        <f>'DAL FGD'!$K$88</f>
        <v>0</v>
      </c>
      <c r="L2324" s="390">
        <f>'DAL FGD'!$L$88</f>
        <v>-90383879</v>
      </c>
      <c r="M2324" s="397">
        <f>'DAL FGD'!$M$88</f>
        <v>-90383879</v>
      </c>
      <c r="N2324" s="171"/>
    </row>
    <row r="2325" spans="2:14" s="160" customFormat="1" ht="12.75" hidden="1" customHeight="1" outlineLevel="1">
      <c r="B2325" s="674" t="str">
        <f>'E-P FGD'!$B$2</f>
        <v>The University of Texas at El Paso</v>
      </c>
      <c r="C2325" s="161"/>
      <c r="D2325" s="390">
        <f>'E-P FGD'!$D$88</f>
        <v>0</v>
      </c>
      <c r="E2325" s="390">
        <f>'E-P FGD'!$E$88</f>
        <v>0</v>
      </c>
      <c r="F2325" s="390">
        <f>'E-P FGD'!$F$88</f>
        <v>0</v>
      </c>
      <c r="G2325" s="390">
        <f>'E-P FGD'!$G$88</f>
        <v>0</v>
      </c>
      <c r="H2325" s="390">
        <f>'E-P FGD'!$H$88</f>
        <v>0</v>
      </c>
      <c r="I2325" s="390">
        <f>'E-P FGD'!$I$88</f>
        <v>0</v>
      </c>
      <c r="J2325" s="390">
        <f>'E-P FGD'!$J$88</f>
        <v>0</v>
      </c>
      <c r="K2325" s="390">
        <f>'E-P FGD'!$K$88</f>
        <v>0</v>
      </c>
      <c r="L2325" s="390">
        <f>'E-P FGD'!$L$88</f>
        <v>-33734963</v>
      </c>
      <c r="M2325" s="397">
        <f>'E-P FGD'!$M$88</f>
        <v>-33734963</v>
      </c>
      <c r="N2325" s="171"/>
    </row>
    <row r="2326" spans="2:14" s="160" customFormat="1" ht="12.75" hidden="1" customHeight="1" outlineLevel="1">
      <c r="B2326" s="674" t="str">
        <f>'LU FGD'!$B$2</f>
        <v xml:space="preserve">Lamar University </v>
      </c>
      <c r="C2326" s="161"/>
      <c r="D2326" s="390">
        <f>'LU FGD'!$D$88</f>
        <v>0</v>
      </c>
      <c r="E2326" s="390">
        <f>'LU FGD'!$E$88</f>
        <v>0</v>
      </c>
      <c r="F2326" s="390">
        <f>'LU FGD'!$F$88</f>
        <v>0</v>
      </c>
      <c r="G2326" s="390">
        <f>'LU FGD'!$G$88</f>
        <v>0</v>
      </c>
      <c r="H2326" s="390">
        <f>'LU FGD'!$H$88</f>
        <v>0</v>
      </c>
      <c r="I2326" s="390">
        <f>'LU FGD'!$I$88</f>
        <v>0</v>
      </c>
      <c r="J2326" s="390">
        <f>'LU FGD'!$J$88</f>
        <v>0</v>
      </c>
      <c r="K2326" s="390">
        <f>'LU FGD'!$K$88</f>
        <v>0</v>
      </c>
      <c r="L2326" s="390">
        <f>'LU FGD'!$L$88</f>
        <v>-12021265</v>
      </c>
      <c r="M2326" s="397">
        <f>'LU FGD'!$M$88</f>
        <v>-12021265</v>
      </c>
      <c r="N2326" s="171"/>
    </row>
    <row r="2327" spans="2:14" s="160" customFormat="1" ht="12.75" hidden="1" customHeight="1" outlineLevel="1">
      <c r="B2327" s="674" t="str">
        <f>'MidWST FGD'!$B$2</f>
        <v>Midwestern State University</v>
      </c>
      <c r="C2327" s="161"/>
      <c r="D2327" s="390">
        <f>'MidWST FGD'!$D$88</f>
        <v>0</v>
      </c>
      <c r="E2327" s="390">
        <f>'MidWST FGD'!$E$88</f>
        <v>0</v>
      </c>
      <c r="F2327" s="390">
        <f>'MidWST FGD'!$F$88</f>
        <v>0</v>
      </c>
      <c r="G2327" s="390">
        <f>'MidWST FGD'!$G$88</f>
        <v>0</v>
      </c>
      <c r="H2327" s="390">
        <f>'MidWST FGD'!$H$88</f>
        <v>0</v>
      </c>
      <c r="I2327" s="390">
        <f>'MidWST FGD'!$I$88</f>
        <v>0</v>
      </c>
      <c r="J2327" s="390">
        <f>'MidWST FGD'!$J$88</f>
        <v>0</v>
      </c>
      <c r="K2327" s="390">
        <f>'MidWST FGD'!$K$88</f>
        <v>0</v>
      </c>
      <c r="L2327" s="390">
        <f>'MidWST FGD'!$L$88</f>
        <v>-17216719</v>
      </c>
      <c r="M2327" s="397">
        <f>'MidWST FGD'!$M$88</f>
        <v>-17216719</v>
      </c>
      <c r="N2327" s="171"/>
    </row>
    <row r="2328" spans="2:14" s="160" customFormat="1" ht="12.75" hidden="1" customHeight="1" outlineLevel="1">
      <c r="B2328" s="674" t="str">
        <f>'P-B FGD'!$B$2</f>
        <v>The University of Texas of the Permian Basin</v>
      </c>
      <c r="C2328" s="161"/>
      <c r="D2328" s="390">
        <f>'P-B FGD'!$D$88</f>
        <v>0</v>
      </c>
      <c r="E2328" s="390">
        <f>'P-B FGD'!$E$88</f>
        <v>0</v>
      </c>
      <c r="F2328" s="390">
        <f>'P-B FGD'!$F$88</f>
        <v>0</v>
      </c>
      <c r="G2328" s="390">
        <f>'P-B FGD'!$G$88</f>
        <v>0</v>
      </c>
      <c r="H2328" s="390">
        <f>'P-B FGD'!$H$88</f>
        <v>0</v>
      </c>
      <c r="I2328" s="390">
        <f>'P-B FGD'!$I$88</f>
        <v>0</v>
      </c>
      <c r="J2328" s="390">
        <f>'P-B FGD'!$J$88</f>
        <v>0</v>
      </c>
      <c r="K2328" s="390">
        <f>'P-B FGD'!$K$88</f>
        <v>0</v>
      </c>
      <c r="L2328" s="390">
        <f>'P-B FGD'!$L$88</f>
        <v>-20910893</v>
      </c>
      <c r="M2328" s="397">
        <f>'P-B FGD'!$M$88</f>
        <v>-20910893</v>
      </c>
      <c r="N2328" s="171"/>
    </row>
    <row r="2329" spans="2:14" s="160" customFormat="1" ht="12.75" hidden="1" customHeight="1" outlineLevel="1">
      <c r="B2329" s="674" t="str">
        <f>'PVAMU FGD'!$B$2</f>
        <v>Prairie View A&amp;M University</v>
      </c>
      <c r="C2329" s="161"/>
      <c r="D2329" s="390">
        <f>'PVAMU FGD'!$D$88</f>
        <v>0</v>
      </c>
      <c r="E2329" s="390">
        <f>'PVAMU FGD'!$E$88</f>
        <v>0</v>
      </c>
      <c r="F2329" s="390">
        <f>'PVAMU FGD'!$F$88</f>
        <v>0</v>
      </c>
      <c r="G2329" s="390">
        <f>'PVAMU FGD'!$G$88</f>
        <v>0</v>
      </c>
      <c r="H2329" s="390">
        <f>'PVAMU FGD'!$H$88</f>
        <v>0</v>
      </c>
      <c r="I2329" s="390">
        <f>'PVAMU FGD'!$I$88</f>
        <v>0</v>
      </c>
      <c r="J2329" s="390">
        <f>'PVAMU FGD'!$J$88</f>
        <v>0</v>
      </c>
      <c r="K2329" s="390">
        <f>'PVAMU FGD'!$K$88</f>
        <v>0</v>
      </c>
      <c r="L2329" s="390">
        <f>'PVAMU FGD'!$L$88</f>
        <v>-23402579</v>
      </c>
      <c r="M2329" s="397">
        <f>'PVAMU FGD'!$M$88</f>
        <v>-23402579</v>
      </c>
      <c r="N2329" s="171"/>
    </row>
    <row r="2330" spans="2:14" s="160" customFormat="1" ht="12.75" hidden="1" customHeight="1" outlineLevel="1">
      <c r="B2330" s="674" t="str">
        <f>'S-A FGD'!$B$2</f>
        <v>The University of Texas at San Antonio</v>
      </c>
      <c r="C2330" s="161"/>
      <c r="D2330" s="390">
        <f>'S-A FGD'!$D$88</f>
        <v>0</v>
      </c>
      <c r="E2330" s="390">
        <f>'S-A FGD'!$E$88</f>
        <v>0</v>
      </c>
      <c r="F2330" s="390">
        <f>'S-A FGD'!$F$88</f>
        <v>0</v>
      </c>
      <c r="G2330" s="390">
        <f>'S-A FGD'!$G$88</f>
        <v>0</v>
      </c>
      <c r="H2330" s="390">
        <f>'S-A FGD'!$H$88</f>
        <v>0</v>
      </c>
      <c r="I2330" s="390">
        <f>'S-A FGD'!$I$88</f>
        <v>0</v>
      </c>
      <c r="J2330" s="390">
        <f>'S-A FGD'!$J$88</f>
        <v>0</v>
      </c>
      <c r="K2330" s="390">
        <f>'S-A FGD'!$K$88</f>
        <v>0</v>
      </c>
      <c r="L2330" s="390">
        <f>'S-A FGD'!$L$88</f>
        <v>-59046219</v>
      </c>
      <c r="M2330" s="397">
        <f>'S-A FGD'!$M$88</f>
        <v>-59046219</v>
      </c>
      <c r="N2330" s="171"/>
    </row>
    <row r="2331" spans="2:14" s="160" customFormat="1" ht="12.75" hidden="1" customHeight="1" outlineLevel="1">
      <c r="B2331" s="674" t="str">
        <f>'SFA FGD'!$B$2</f>
        <v>Stephen F. Austin State University</v>
      </c>
      <c r="C2331" s="161"/>
      <c r="D2331" s="390">
        <f>'SFA FGD'!$D$88</f>
        <v>0</v>
      </c>
      <c r="E2331" s="390">
        <f>'SFA FGD'!$E$88</f>
        <v>0</v>
      </c>
      <c r="F2331" s="390">
        <f>'SFA FGD'!$F$88</f>
        <v>0</v>
      </c>
      <c r="G2331" s="390">
        <f>'SFA FGD'!$G$88</f>
        <v>0</v>
      </c>
      <c r="H2331" s="390">
        <f>'SFA FGD'!$H$88</f>
        <v>0</v>
      </c>
      <c r="I2331" s="390">
        <f>'SFA FGD'!$I$88</f>
        <v>0</v>
      </c>
      <c r="J2331" s="390">
        <f>'SFA FGD'!$J$88</f>
        <v>0</v>
      </c>
      <c r="K2331" s="390">
        <f>'SFA FGD'!$K$88</f>
        <v>0</v>
      </c>
      <c r="L2331" s="390">
        <f>'SFA FGD'!$L$88</f>
        <v>-18823601</v>
      </c>
      <c r="M2331" s="397">
        <f>'SFA FGD'!$M$88</f>
        <v>-18823601</v>
      </c>
      <c r="N2331" s="171"/>
    </row>
    <row r="2332" spans="2:14" s="160" customFormat="1" ht="12.75" hidden="1" customHeight="1" outlineLevel="1">
      <c r="B2332" s="674" t="str">
        <f>'shsu1 FGD'!$B$2</f>
        <v>Sam Houston State University - Academic &amp; Health (A+H)</v>
      </c>
      <c r="C2332" s="161"/>
      <c r="D2332" s="390">
        <f>'shsu1 FGD'!$D$88</f>
        <v>0</v>
      </c>
      <c r="E2332" s="390">
        <f>'shsu1 FGD'!$E$88</f>
        <v>0</v>
      </c>
      <c r="F2332" s="390">
        <f>'shsu1 FGD'!$F$88</f>
        <v>0</v>
      </c>
      <c r="G2332" s="390">
        <f>'shsu1 FGD'!$G$88</f>
        <v>0</v>
      </c>
      <c r="H2332" s="390">
        <f>'shsu1 FGD'!$H$88</f>
        <v>0</v>
      </c>
      <c r="I2332" s="390">
        <f>'shsu1 FGD'!$I$88</f>
        <v>0</v>
      </c>
      <c r="J2332" s="390">
        <f>'shsu1 FGD'!$J$88</f>
        <v>-39216453</v>
      </c>
      <c r="K2332" s="390">
        <f>'shsu1 FGD'!$K$88</f>
        <v>0</v>
      </c>
      <c r="L2332" s="390">
        <f>'shsu1 FGD'!$L$88</f>
        <v>0</v>
      </c>
      <c r="M2332" s="397">
        <f>'shsu1 FGD'!$M$88</f>
        <v>-39216453</v>
      </c>
      <c r="N2332" s="171"/>
    </row>
    <row r="2333" spans="2:14" s="160" customFormat="1" ht="12.75" hidden="1" customHeight="1" outlineLevel="1">
      <c r="B2333" s="674" t="str">
        <f>'SRSU FGD'!$B$2</f>
        <v>Sul Ross State University</v>
      </c>
      <c r="C2333" s="161"/>
      <c r="D2333" s="390">
        <f>'SRSU FGD'!$D$88</f>
        <v>0</v>
      </c>
      <c r="E2333" s="390">
        <f>'SRSU FGD'!$E$88</f>
        <v>0</v>
      </c>
      <c r="F2333" s="390">
        <f>'SRSU FGD'!$F$88</f>
        <v>0</v>
      </c>
      <c r="G2333" s="390">
        <f>'SRSU FGD'!$G$88</f>
        <v>0</v>
      </c>
      <c r="H2333" s="390">
        <f>'SRSU FGD'!$H$88</f>
        <v>0</v>
      </c>
      <c r="I2333" s="390">
        <f>'SRSU FGD'!$I$88</f>
        <v>0</v>
      </c>
      <c r="J2333" s="390">
        <f>'SRSU FGD'!$J$88</f>
        <v>0</v>
      </c>
      <c r="K2333" s="390">
        <f>'SRSU FGD'!$K$88</f>
        <v>0</v>
      </c>
      <c r="L2333" s="390">
        <f>'SRSU FGD'!$L$88</f>
        <v>-4534260</v>
      </c>
      <c r="M2333" s="397">
        <f>'SRSU FGD'!$M$88</f>
        <v>-4534260</v>
      </c>
      <c r="N2333" s="171"/>
    </row>
    <row r="2334" spans="2:14" s="160" customFormat="1" ht="12.75" hidden="1" customHeight="1" outlineLevel="1">
      <c r="B2334" s="674" t="str">
        <f>'TAMIU FGD'!$B$2</f>
        <v>Texas A&amp;M International University</v>
      </c>
      <c r="C2334" s="161"/>
      <c r="D2334" s="390">
        <f>'TAMIU FGD'!$D$88</f>
        <v>0</v>
      </c>
      <c r="E2334" s="390">
        <f>'TAMIU FGD'!$E$88</f>
        <v>0</v>
      </c>
      <c r="F2334" s="390">
        <f>'TAMIU FGD'!$F$88</f>
        <v>0</v>
      </c>
      <c r="G2334" s="390">
        <f>'TAMIU FGD'!$G$88</f>
        <v>0</v>
      </c>
      <c r="H2334" s="390">
        <f>'TAMIU FGD'!$H$88</f>
        <v>0</v>
      </c>
      <c r="I2334" s="390">
        <f>'TAMIU FGD'!$I$88</f>
        <v>0</v>
      </c>
      <c r="J2334" s="390">
        <f>'TAMIU FGD'!$J$88</f>
        <v>0</v>
      </c>
      <c r="K2334" s="390">
        <f>'TAMIU FGD'!$K$88</f>
        <v>0</v>
      </c>
      <c r="L2334" s="390">
        <f>'TAMIU FGD'!$L$88</f>
        <v>-11214168</v>
      </c>
      <c r="M2334" s="397">
        <f>'TAMIU FGD'!$M$88</f>
        <v>-11214168</v>
      </c>
      <c r="N2334" s="171"/>
    </row>
    <row r="2335" spans="2:14" s="160" customFormat="1" ht="12.75" hidden="1" customHeight="1" outlineLevel="1">
      <c r="B2335" s="674" t="str">
        <f>'TAMU FGD'!$B$2</f>
        <v>Texas A&amp;M University</v>
      </c>
      <c r="C2335" s="161"/>
      <c r="D2335" s="390">
        <f>'TAMU FGD'!$D$88</f>
        <v>0</v>
      </c>
      <c r="E2335" s="390">
        <f>'TAMU FGD'!$E$88</f>
        <v>0</v>
      </c>
      <c r="F2335" s="390">
        <f>'TAMU FGD'!$F$88</f>
        <v>0</v>
      </c>
      <c r="G2335" s="390">
        <f>'TAMU FGD'!$G$88</f>
        <v>0</v>
      </c>
      <c r="H2335" s="390">
        <f>'TAMU FGD'!$H$88</f>
        <v>0</v>
      </c>
      <c r="I2335" s="390">
        <f>'TAMU FGD'!$I$88</f>
        <v>0</v>
      </c>
      <c r="J2335" s="390">
        <f>'TAMU FGD'!$J$88</f>
        <v>0</v>
      </c>
      <c r="K2335" s="390">
        <f>'TAMU FGD'!$K$88</f>
        <v>0</v>
      </c>
      <c r="L2335" s="390">
        <f>'TAMU FGD'!$L$88</f>
        <v>-229375492</v>
      </c>
      <c r="M2335" s="397">
        <f>'TAMU FGD'!$M$88</f>
        <v>-229375492</v>
      </c>
      <c r="N2335" s="171"/>
    </row>
    <row r="2336" spans="2:14" s="160" customFormat="1" ht="12.75" hidden="1" customHeight="1" outlineLevel="1">
      <c r="B2336" s="674" t="str">
        <f>'TAMUC FGD'!$B$2</f>
        <v>Texas A&amp;M University - Commerce</v>
      </c>
      <c r="C2336" s="161"/>
      <c r="D2336" s="390">
        <f>'TAMUC FGD'!$D$88</f>
        <v>0</v>
      </c>
      <c r="E2336" s="390">
        <f>'TAMUC FGD'!$E$88</f>
        <v>0</v>
      </c>
      <c r="F2336" s="390">
        <f>'TAMUC FGD'!$F$88</f>
        <v>0</v>
      </c>
      <c r="G2336" s="390">
        <f>'TAMUC FGD'!$G$88</f>
        <v>0</v>
      </c>
      <c r="H2336" s="390">
        <f>'TAMUC FGD'!$H$88</f>
        <v>0</v>
      </c>
      <c r="I2336" s="390">
        <f>'TAMUC FGD'!$I$88</f>
        <v>0</v>
      </c>
      <c r="J2336" s="390">
        <f>'TAMUC FGD'!$J$88</f>
        <v>0</v>
      </c>
      <c r="K2336" s="390">
        <f>'TAMUC FGD'!$K$88</f>
        <v>0</v>
      </c>
      <c r="L2336" s="390">
        <f>'TAMUC FGD'!$L$88</f>
        <v>-11902932</v>
      </c>
      <c r="M2336" s="397">
        <f>'TAMUC FGD'!$M$88</f>
        <v>-11902932</v>
      </c>
      <c r="N2336" s="171"/>
    </row>
    <row r="2337" spans="2:14" s="160" customFormat="1" ht="12.75" hidden="1" customHeight="1" outlineLevel="1">
      <c r="B2337" s="674" t="str">
        <f>'TAMUCC FGD'!$B$2</f>
        <v>Texas A&amp;M University - Corpus Christi</v>
      </c>
      <c r="C2337" s="161"/>
      <c r="D2337" s="390">
        <f>'TAMUCC FGD'!$D$88</f>
        <v>0</v>
      </c>
      <c r="E2337" s="390">
        <f>'TAMUCC FGD'!$E$88</f>
        <v>0</v>
      </c>
      <c r="F2337" s="390">
        <f>'TAMUCC FGD'!$F$88</f>
        <v>0</v>
      </c>
      <c r="G2337" s="390">
        <f>'TAMUCC FGD'!$G$88</f>
        <v>0</v>
      </c>
      <c r="H2337" s="390">
        <f>'TAMUCC FGD'!$H$88</f>
        <v>0</v>
      </c>
      <c r="I2337" s="390">
        <f>'TAMUCC FGD'!$I$88</f>
        <v>0</v>
      </c>
      <c r="J2337" s="390">
        <f>'TAMUCC FGD'!$J$88</f>
        <v>0</v>
      </c>
      <c r="K2337" s="390">
        <f>'TAMUCC FGD'!$K$88</f>
        <v>0</v>
      </c>
      <c r="L2337" s="390">
        <f>'TAMUCC FGD'!$L$88</f>
        <v>-27397707</v>
      </c>
      <c r="M2337" s="397">
        <f>'TAMUCC FGD'!$M$88</f>
        <v>-27397707</v>
      </c>
      <c r="N2337" s="171"/>
    </row>
    <row r="2338" spans="2:14" s="160" customFormat="1" ht="12.75" hidden="1" customHeight="1" outlineLevel="1">
      <c r="B2338" s="674" t="str">
        <f>'TAMUCT FGD'!$B$2</f>
        <v>Texas A&amp;M University - Central Texas</v>
      </c>
      <c r="C2338" s="161"/>
      <c r="D2338" s="390">
        <f>'TAMUCT FGD'!$D$88</f>
        <v>0</v>
      </c>
      <c r="E2338" s="390">
        <f>'TAMUCT FGD'!$E$88</f>
        <v>0</v>
      </c>
      <c r="F2338" s="390">
        <f>'TAMUCT FGD'!$F$88</f>
        <v>0</v>
      </c>
      <c r="G2338" s="390">
        <f>'TAMUCT FGD'!$G$88</f>
        <v>0</v>
      </c>
      <c r="H2338" s="390">
        <f>'TAMUCT FGD'!$H$88</f>
        <v>0</v>
      </c>
      <c r="I2338" s="390">
        <f>'TAMUCT FGD'!$I$88</f>
        <v>0</v>
      </c>
      <c r="J2338" s="390">
        <f>'TAMUCT FGD'!$J$88</f>
        <v>0</v>
      </c>
      <c r="K2338" s="390">
        <f>'TAMUCT FGD'!$K$88</f>
        <v>0</v>
      </c>
      <c r="L2338" s="390">
        <f>'TAMUCT FGD'!$L$88</f>
        <v>-5769238</v>
      </c>
      <c r="M2338" s="397">
        <f>'TAMUCT FGD'!$M$88</f>
        <v>-5769238</v>
      </c>
      <c r="N2338" s="171"/>
    </row>
    <row r="2339" spans="2:14" s="160" customFormat="1" ht="12.75" hidden="1" customHeight="1" outlineLevel="1">
      <c r="B2339" s="674" t="str">
        <f>'TAMUG FGD'!$B$2</f>
        <v>Texas A&amp;M University at Galveston</v>
      </c>
      <c r="C2339" s="161"/>
      <c r="D2339" s="390">
        <f>'TAMUG FGD'!$D$88</f>
        <v>0</v>
      </c>
      <c r="E2339" s="390">
        <f>'TAMUG FGD'!$E$88</f>
        <v>0</v>
      </c>
      <c r="F2339" s="390">
        <f>'TAMUG FGD'!$F$88</f>
        <v>0</v>
      </c>
      <c r="G2339" s="390">
        <f>'TAMUG FGD'!$G$88</f>
        <v>0</v>
      </c>
      <c r="H2339" s="390">
        <f>'TAMUG FGD'!$H$88</f>
        <v>0</v>
      </c>
      <c r="I2339" s="390">
        <f>'TAMUG FGD'!$I$88</f>
        <v>0</v>
      </c>
      <c r="J2339" s="390">
        <f>'TAMUG FGD'!$J$88</f>
        <v>0</v>
      </c>
      <c r="K2339" s="390">
        <f>'TAMUG FGD'!$K$88</f>
        <v>0</v>
      </c>
      <c r="L2339" s="390">
        <f>'TAMUG FGD'!$L$88</f>
        <v>-11223911</v>
      </c>
      <c r="M2339" s="397">
        <f>'TAMUG FGD'!$M$88</f>
        <v>-11223911</v>
      </c>
      <c r="N2339" s="171"/>
    </row>
    <row r="2340" spans="2:14" s="160" customFormat="1" ht="12.75" hidden="1" customHeight="1" outlineLevel="1">
      <c r="B2340" s="674" t="str">
        <f>'TAMUK FGD'!$B$2</f>
        <v>Texas A&amp;M University - Kingsville</v>
      </c>
      <c r="C2340" s="161"/>
      <c r="D2340" s="390">
        <f>'TAMUK FGD'!$D$88</f>
        <v>0</v>
      </c>
      <c r="E2340" s="390">
        <f>'TAMUK FGD'!$E$88</f>
        <v>0</v>
      </c>
      <c r="F2340" s="390">
        <f>'TAMUK FGD'!$F$88</f>
        <v>0</v>
      </c>
      <c r="G2340" s="390">
        <f>'TAMUK FGD'!$G$88</f>
        <v>0</v>
      </c>
      <c r="H2340" s="390">
        <f>'TAMUK FGD'!$H$88</f>
        <v>0</v>
      </c>
      <c r="I2340" s="390">
        <f>'TAMUK FGD'!$I$88</f>
        <v>0</v>
      </c>
      <c r="J2340" s="390">
        <f>'TAMUK FGD'!$J$88</f>
        <v>0</v>
      </c>
      <c r="K2340" s="390">
        <f>'TAMUK FGD'!$K$88</f>
        <v>0</v>
      </c>
      <c r="L2340" s="390">
        <f>'TAMUK FGD'!$L$88</f>
        <v>-12971337</v>
      </c>
      <c r="M2340" s="397">
        <f>'TAMUK FGD'!$M$88</f>
        <v>-12971337</v>
      </c>
      <c r="N2340" s="171"/>
    </row>
    <row r="2341" spans="2:14" s="160" customFormat="1" ht="12.75" hidden="1" customHeight="1" outlineLevel="1">
      <c r="B2341" s="674" t="str">
        <f>'TAMUSA FGD'!$B$2</f>
        <v>Texas A&amp;M University - San Antonio</v>
      </c>
      <c r="C2341" s="161"/>
      <c r="D2341" s="390">
        <f>'TAMUSA FGD'!$D$88</f>
        <v>0</v>
      </c>
      <c r="E2341" s="390">
        <f>'TAMUSA FGD'!$E$88</f>
        <v>0</v>
      </c>
      <c r="F2341" s="390">
        <f>'TAMUSA FGD'!$F$88</f>
        <v>0</v>
      </c>
      <c r="G2341" s="390">
        <f>'TAMUSA FGD'!$G$88</f>
        <v>0</v>
      </c>
      <c r="H2341" s="390">
        <f>'TAMUSA FGD'!$H$88</f>
        <v>0</v>
      </c>
      <c r="I2341" s="390">
        <f>'TAMUSA FGD'!$I$88</f>
        <v>0</v>
      </c>
      <c r="J2341" s="390">
        <f>'TAMUSA FGD'!$J$88</f>
        <v>0</v>
      </c>
      <c r="K2341" s="390">
        <f>'TAMUSA FGD'!$K$88</f>
        <v>0</v>
      </c>
      <c r="L2341" s="390">
        <f>'TAMUSA FGD'!$L$88</f>
        <v>-11025709</v>
      </c>
      <c r="M2341" s="397">
        <f>'TAMUSA FGD'!$M$88</f>
        <v>-11025709</v>
      </c>
      <c r="N2341" s="171"/>
    </row>
    <row r="2342" spans="2:14" s="160" customFormat="1" ht="12.75" hidden="1" customHeight="1" outlineLevel="1">
      <c r="B2342" s="674" t="str">
        <f>'TAMUT FGD'!$B$2</f>
        <v>Texas A&amp;M University - Texarkana</v>
      </c>
      <c r="C2342" s="161"/>
      <c r="D2342" s="390">
        <f>'TAMUT FGD'!$D$88</f>
        <v>0</v>
      </c>
      <c r="E2342" s="390">
        <f>'TAMUT FGD'!$E$88</f>
        <v>0</v>
      </c>
      <c r="F2342" s="390">
        <f>'TAMUT FGD'!$F$88</f>
        <v>0</v>
      </c>
      <c r="G2342" s="390">
        <f>'TAMUT FGD'!$G$88</f>
        <v>0</v>
      </c>
      <c r="H2342" s="390">
        <f>'TAMUT FGD'!$H$88</f>
        <v>0</v>
      </c>
      <c r="I2342" s="390">
        <f>'TAMUT FGD'!$I$88</f>
        <v>0</v>
      </c>
      <c r="J2342" s="390">
        <f>'TAMUT FGD'!$J$88</f>
        <v>0</v>
      </c>
      <c r="K2342" s="390">
        <f>'TAMUT FGD'!$K$88</f>
        <v>0</v>
      </c>
      <c r="L2342" s="390">
        <f>'TAMUT FGD'!$L$88</f>
        <v>-8818600</v>
      </c>
      <c r="M2342" s="397">
        <f>'TAMUT FGD'!$M$88</f>
        <v>-8818600</v>
      </c>
      <c r="N2342" s="171"/>
    </row>
    <row r="2343" spans="2:14" s="160" customFormat="1" ht="12.75" hidden="1" customHeight="1" outlineLevel="1">
      <c r="B2343" s="674" t="str">
        <f>'TARLST FGD'!$B$2</f>
        <v>Tarleton State University</v>
      </c>
      <c r="C2343" s="161"/>
      <c r="D2343" s="390">
        <f>'TARLST FGD'!$D$88</f>
        <v>0</v>
      </c>
      <c r="E2343" s="390">
        <f>'TARLST FGD'!$E$88</f>
        <v>0</v>
      </c>
      <c r="F2343" s="390">
        <f>'TARLST FGD'!$F$88</f>
        <v>0</v>
      </c>
      <c r="G2343" s="390">
        <f>'TARLST FGD'!$G$88</f>
        <v>0</v>
      </c>
      <c r="H2343" s="390">
        <f>'TARLST FGD'!$H$88</f>
        <v>0</v>
      </c>
      <c r="I2343" s="390">
        <f>'TARLST FGD'!$I$88</f>
        <v>0</v>
      </c>
      <c r="J2343" s="390">
        <f>'TARLST FGD'!$J$88</f>
        <v>0</v>
      </c>
      <c r="K2343" s="390">
        <f>'TARLST FGD'!$K$88</f>
        <v>0</v>
      </c>
      <c r="L2343" s="390">
        <f>'TARLST FGD'!$L$88</f>
        <v>-30572355</v>
      </c>
      <c r="M2343" s="397">
        <f>'TARLST FGD'!$M$88</f>
        <v>-30572355</v>
      </c>
      <c r="N2343" s="171"/>
    </row>
    <row r="2344" spans="2:14" s="160" customFormat="1" ht="12.75" hidden="1" customHeight="1" outlineLevel="1">
      <c r="B2344" s="674" t="str">
        <f>'TSU FGD'!$B$2</f>
        <v>Texas Southern University</v>
      </c>
      <c r="C2344" s="161"/>
      <c r="D2344" s="390">
        <f>'TSU FGD'!$D$88</f>
        <v>0</v>
      </c>
      <c r="E2344" s="390">
        <f>'TSU FGD'!$E$88</f>
        <v>0</v>
      </c>
      <c r="F2344" s="390">
        <f>'TSU FGD'!$F$88</f>
        <v>0</v>
      </c>
      <c r="G2344" s="390">
        <f>'TSU FGD'!$G$88</f>
        <v>0</v>
      </c>
      <c r="H2344" s="390">
        <f>'TSU FGD'!$H$88</f>
        <v>0</v>
      </c>
      <c r="I2344" s="390">
        <f>'TSU FGD'!$I$88</f>
        <v>0</v>
      </c>
      <c r="J2344" s="390">
        <f>'TSU FGD'!$J$88</f>
        <v>0</v>
      </c>
      <c r="K2344" s="390">
        <f>'TSU FGD'!$K$88</f>
        <v>0</v>
      </c>
      <c r="L2344" s="390">
        <f>'TSU FGD'!$L$88</f>
        <v>-22977507</v>
      </c>
      <c r="M2344" s="397">
        <f>'TSU FGD'!$M$88</f>
        <v>-22977507</v>
      </c>
      <c r="N2344" s="171"/>
    </row>
    <row r="2345" spans="2:14" s="160" customFormat="1" ht="12.75" hidden="1" customHeight="1" outlineLevel="1">
      <c r="B2345" s="674" t="str">
        <f>'TTU FGD'!$B$2</f>
        <v>Texas Tech University</v>
      </c>
      <c r="C2345" s="161"/>
      <c r="D2345" s="390">
        <f>'TTU FGD'!$D$88</f>
        <v>0</v>
      </c>
      <c r="E2345" s="390">
        <f>'TTU FGD'!$E$88</f>
        <v>0</v>
      </c>
      <c r="F2345" s="390">
        <f>'TTU FGD'!$F$88</f>
        <v>0</v>
      </c>
      <c r="G2345" s="390">
        <f>'TTU FGD'!$G$88</f>
        <v>0</v>
      </c>
      <c r="H2345" s="390">
        <f>'TTU FGD'!$H$88</f>
        <v>0</v>
      </c>
      <c r="I2345" s="390">
        <f>'TTU FGD'!$I$88</f>
        <v>0</v>
      </c>
      <c r="J2345" s="390">
        <f>'TTU FGD'!$J$88</f>
        <v>0</v>
      </c>
      <c r="K2345" s="390">
        <f>'TTU FGD'!$K$88</f>
        <v>0</v>
      </c>
      <c r="L2345" s="390">
        <f>'TTU FGD'!$L$88</f>
        <v>-92951310</v>
      </c>
      <c r="M2345" s="397">
        <f>'TTU FGD'!$M$88</f>
        <v>-92951310</v>
      </c>
      <c r="N2345" s="171"/>
    </row>
    <row r="2346" spans="2:14" s="160" customFormat="1" ht="12.75" hidden="1" customHeight="1" outlineLevel="1">
      <c r="B2346" s="674" t="str">
        <f>'TWU FGD'!$B$2</f>
        <v>Texas Woman's University</v>
      </c>
      <c r="C2346" s="161"/>
      <c r="D2346" s="390">
        <f>'TWU FGD'!$D$88</f>
        <v>0</v>
      </c>
      <c r="E2346" s="390">
        <f>'TWU FGD'!$E$88</f>
        <v>0</v>
      </c>
      <c r="F2346" s="390">
        <f>'TWU FGD'!$F$88</f>
        <v>0</v>
      </c>
      <c r="G2346" s="390">
        <f>'TWU FGD'!$G$88</f>
        <v>0</v>
      </c>
      <c r="H2346" s="390">
        <f>'TWU FGD'!$H$88</f>
        <v>0</v>
      </c>
      <c r="I2346" s="390">
        <f>'TWU FGD'!$I$88</f>
        <v>0</v>
      </c>
      <c r="J2346" s="390">
        <f>'TWU FGD'!$J$88</f>
        <v>0</v>
      </c>
      <c r="K2346" s="390">
        <f>'TWU FGD'!$K$88</f>
        <v>0</v>
      </c>
      <c r="L2346" s="390">
        <f>'TWU FGD'!$L$88</f>
        <v>-21007708</v>
      </c>
      <c r="M2346" s="397">
        <f>'TWU FGD'!$M$88</f>
        <v>-21007708</v>
      </c>
      <c r="N2346" s="171"/>
    </row>
    <row r="2347" spans="2:14" s="160" customFormat="1" ht="12.75" hidden="1" customHeight="1" outlineLevel="1">
      <c r="B2347" s="674" t="str">
        <f>'TXST FGD'!$B$2</f>
        <v>Texas State University</v>
      </c>
      <c r="C2347" s="161"/>
      <c r="D2347" s="390">
        <f>'TXST FGD'!$D$88</f>
        <v>0</v>
      </c>
      <c r="E2347" s="390">
        <f>'TXST FGD'!$E$88</f>
        <v>0</v>
      </c>
      <c r="F2347" s="390">
        <f>'TXST FGD'!$F$88</f>
        <v>0</v>
      </c>
      <c r="G2347" s="390">
        <f>'TXST FGD'!$G$88</f>
        <v>0</v>
      </c>
      <c r="H2347" s="390">
        <f>'TXST FGD'!$H$88</f>
        <v>0</v>
      </c>
      <c r="I2347" s="390">
        <f>'TXST FGD'!$I$88</f>
        <v>0</v>
      </c>
      <c r="J2347" s="390">
        <f>'TXST FGD'!$J$88</f>
        <v>0</v>
      </c>
      <c r="K2347" s="390">
        <f>'TXST FGD'!$K$88</f>
        <v>0</v>
      </c>
      <c r="L2347" s="390">
        <f>'TXST FGD'!$L$88</f>
        <v>-72067914</v>
      </c>
      <c r="M2347" s="397">
        <f>'TXST FGD'!$M$88</f>
        <v>-72067914</v>
      </c>
      <c r="N2347" s="171"/>
    </row>
    <row r="2348" spans="2:14" s="160" customFormat="1" ht="12.75" hidden="1" customHeight="1" outlineLevel="1">
      <c r="B2348" s="674" t="str">
        <f>'TYL FGD'!$B$2</f>
        <v>The University of Texas at Tyler</v>
      </c>
      <c r="C2348" s="161"/>
      <c r="D2348" s="390">
        <f>'TYL FGD'!$D$88</f>
        <v>0</v>
      </c>
      <c r="E2348" s="390">
        <f>'TYL FGD'!$E$88</f>
        <v>0</v>
      </c>
      <c r="F2348" s="390">
        <f>'TYL FGD'!$F$88</f>
        <v>0</v>
      </c>
      <c r="G2348" s="390">
        <f>'TYL FGD'!$G$88</f>
        <v>0</v>
      </c>
      <c r="H2348" s="390">
        <f>'TYL FGD'!$H$88</f>
        <v>0</v>
      </c>
      <c r="I2348" s="390">
        <f>'TYL FGD'!$I$88</f>
        <v>0</v>
      </c>
      <c r="J2348" s="390">
        <f>'TYL FGD'!$J$88</f>
        <v>0</v>
      </c>
      <c r="K2348" s="390">
        <f>'TYL FGD'!$K$88</f>
        <v>0</v>
      </c>
      <c r="L2348" s="390">
        <f>'TYL FGD'!$L$88</f>
        <v>-16588997</v>
      </c>
      <c r="M2348" s="397">
        <f>'TYL FGD'!$M$88</f>
        <v>-16588997</v>
      </c>
      <c r="N2348" s="171"/>
    </row>
    <row r="2349" spans="2:14" s="160" customFormat="1" ht="12.75" hidden="1" customHeight="1" outlineLevel="1">
      <c r="B2349" s="674" t="str">
        <f>'UH1 FGD'!$B$2</f>
        <v>University of Houston - Academic &amp; Health (A+H)</v>
      </c>
      <c r="C2349" s="161"/>
      <c r="D2349" s="390">
        <f>'UH1 FGD'!$D$88</f>
        <v>0</v>
      </c>
      <c r="E2349" s="390">
        <f>'UH1 FGD'!$E$88</f>
        <v>0</v>
      </c>
      <c r="F2349" s="390">
        <f>'UH1 FGD'!$F$88</f>
        <v>0</v>
      </c>
      <c r="G2349" s="390">
        <f>'UH1 FGD'!$G$88</f>
        <v>0</v>
      </c>
      <c r="H2349" s="390">
        <f>'UH1 FGD'!$H$88</f>
        <v>0</v>
      </c>
      <c r="I2349" s="390">
        <f>'UH1 FGD'!$I$88</f>
        <v>0</v>
      </c>
      <c r="J2349" s="390">
        <f>'UH1 FGD'!$J$88</f>
        <v>0</v>
      </c>
      <c r="K2349" s="390">
        <f>'UH1 FGD'!$K$88</f>
        <v>0</v>
      </c>
      <c r="L2349" s="390">
        <f>'UH1 FGD'!$L$88</f>
        <v>-91094771</v>
      </c>
      <c r="M2349" s="397">
        <f>'UH1 FGD'!$M$88</f>
        <v>-91094771</v>
      </c>
      <c r="N2349" s="171"/>
    </row>
    <row r="2350" spans="2:14" s="160" customFormat="1" ht="12.75" hidden="1" customHeight="1" outlineLevel="1">
      <c r="B2350" s="674" t="str">
        <f>'UHCL FGD'!$B$2</f>
        <v>University of Houston - Clear Lake</v>
      </c>
      <c r="C2350" s="161"/>
      <c r="D2350" s="390">
        <f>'UHCL FGD'!$D$88</f>
        <v>0</v>
      </c>
      <c r="E2350" s="390">
        <f>'UHCL FGD'!$E$88</f>
        <v>0</v>
      </c>
      <c r="F2350" s="390">
        <f>'UHCL FGD'!$F$88</f>
        <v>0</v>
      </c>
      <c r="G2350" s="390">
        <f>'UHCL FGD'!$G$88</f>
        <v>0</v>
      </c>
      <c r="H2350" s="390">
        <f>'UHCL FGD'!$H$88</f>
        <v>0</v>
      </c>
      <c r="I2350" s="390">
        <f>'UHCL FGD'!$I$88</f>
        <v>0</v>
      </c>
      <c r="J2350" s="390">
        <f>'UHCL FGD'!$J$88</f>
        <v>0</v>
      </c>
      <c r="K2350" s="390">
        <f>'UHCL FGD'!$K$88</f>
        <v>0</v>
      </c>
      <c r="L2350" s="390">
        <f>'UHCL FGD'!$L$88</f>
        <v>-12206418</v>
      </c>
      <c r="M2350" s="397">
        <f>'UHCL FGD'!$M$88</f>
        <v>-12206418</v>
      </c>
      <c r="N2350" s="171"/>
    </row>
    <row r="2351" spans="2:14" s="160" customFormat="1" ht="12.75" hidden="1" customHeight="1" outlineLevel="1">
      <c r="B2351" s="674" t="str">
        <f>'UHD FGD'!$B$2</f>
        <v>University of Houston - Downtown</v>
      </c>
      <c r="C2351" s="161"/>
      <c r="D2351" s="390">
        <f>'UHD FGD'!$D$88</f>
        <v>0</v>
      </c>
      <c r="E2351" s="390">
        <f>'UHD FGD'!$E$88</f>
        <v>0</v>
      </c>
      <c r="F2351" s="390">
        <f>'UHD FGD'!$F$88</f>
        <v>0</v>
      </c>
      <c r="G2351" s="390">
        <f>'UHD FGD'!$G$88</f>
        <v>0</v>
      </c>
      <c r="H2351" s="390">
        <f>'UHD FGD'!$H$88</f>
        <v>0</v>
      </c>
      <c r="I2351" s="390">
        <f>'UHD FGD'!$I$88</f>
        <v>0</v>
      </c>
      <c r="J2351" s="390">
        <f>'UHD FGD'!$J$88</f>
        <v>0</v>
      </c>
      <c r="K2351" s="390">
        <f>'UHD FGD'!$K$88</f>
        <v>0</v>
      </c>
      <c r="L2351" s="390">
        <f>'UHD FGD'!$L$88</f>
        <v>-12438824</v>
      </c>
      <c r="M2351" s="397">
        <f>'UHD FGD'!$M$88</f>
        <v>-12438824</v>
      </c>
      <c r="N2351" s="171"/>
    </row>
    <row r="2352" spans="2:14" s="160" customFormat="1" ht="12.75" hidden="1" customHeight="1" outlineLevel="1">
      <c r="B2352" s="674" t="str">
        <f>'UHV FGD'!$B$2</f>
        <v>University of Houston - Victoria</v>
      </c>
      <c r="C2352" s="161"/>
      <c r="D2352" s="390">
        <f>'UHV FGD'!$D$88</f>
        <v>0</v>
      </c>
      <c r="E2352" s="390">
        <f>'UHV FGD'!$E$88</f>
        <v>0</v>
      </c>
      <c r="F2352" s="390">
        <f>'UHV FGD'!$F$88</f>
        <v>0</v>
      </c>
      <c r="G2352" s="390">
        <f>'UHV FGD'!$G$88</f>
        <v>0</v>
      </c>
      <c r="H2352" s="390">
        <f>'UHV FGD'!$H$88</f>
        <v>0</v>
      </c>
      <c r="I2352" s="390">
        <f>'UHV FGD'!$I$88</f>
        <v>0</v>
      </c>
      <c r="J2352" s="390">
        <f>'UHV FGD'!$J$88</f>
        <v>0</v>
      </c>
      <c r="K2352" s="390">
        <f>'UHV FGD'!$K$88</f>
        <v>0</v>
      </c>
      <c r="L2352" s="390">
        <f>'UHV FGD'!$L$88</f>
        <v>-7013519</v>
      </c>
      <c r="M2352" s="397">
        <f>'UHV FGD'!$M$88</f>
        <v>-7013519</v>
      </c>
      <c r="N2352" s="171"/>
    </row>
    <row r="2353" spans="2:14" s="160" customFormat="1" ht="12.75" hidden="1" customHeight="1" outlineLevel="1">
      <c r="B2353" s="674" t="str">
        <f>'UNT FGD'!$B$2</f>
        <v>University of North Texas</v>
      </c>
      <c r="C2353" s="161"/>
      <c r="D2353" s="390">
        <f>'UNT FGD'!$D$88</f>
        <v>0</v>
      </c>
      <c r="E2353" s="390">
        <f>'UNT FGD'!$E$88</f>
        <v>0</v>
      </c>
      <c r="F2353" s="390">
        <f>'UNT FGD'!$F$88</f>
        <v>0</v>
      </c>
      <c r="G2353" s="390">
        <f>'UNT FGD'!$G$88</f>
        <v>0</v>
      </c>
      <c r="H2353" s="390">
        <f>'UNT FGD'!$H$88</f>
        <v>0</v>
      </c>
      <c r="I2353" s="390">
        <f>'UNT FGD'!$I$88</f>
        <v>0</v>
      </c>
      <c r="J2353" s="390">
        <f>'UNT FGD'!$J$88</f>
        <v>0</v>
      </c>
      <c r="K2353" s="390">
        <f>'UNT FGD'!$K$88</f>
        <v>0</v>
      </c>
      <c r="L2353" s="390">
        <f>'UNT FGD'!$L$88</f>
        <v>-65164000</v>
      </c>
      <c r="M2353" s="397">
        <f>'UNT FGD'!$M$88</f>
        <v>-65164000</v>
      </c>
      <c r="N2353" s="171"/>
    </row>
    <row r="2354" spans="2:14" s="160" customFormat="1" ht="12.75" hidden="1" customHeight="1" outlineLevel="1">
      <c r="B2354" s="674" t="str">
        <f>'UNTD FGD'!$B$2</f>
        <v>University of North Texas at Dallas</v>
      </c>
      <c r="C2354" s="161"/>
      <c r="D2354" s="390">
        <f>'UNTD FGD'!$D$88</f>
        <v>0</v>
      </c>
      <c r="E2354" s="390">
        <f>'UNTD FGD'!$E$88</f>
        <v>0</v>
      </c>
      <c r="F2354" s="390">
        <f>'UNTD FGD'!$F$88</f>
        <v>0</v>
      </c>
      <c r="G2354" s="390">
        <f>'UNTD FGD'!$G$88</f>
        <v>0</v>
      </c>
      <c r="H2354" s="390">
        <f>'UNTD FGD'!$H$88</f>
        <v>0</v>
      </c>
      <c r="I2354" s="390">
        <f>'UNTD FGD'!$I$88</f>
        <v>0</v>
      </c>
      <c r="J2354" s="390">
        <f>'UNTD FGD'!$J$88</f>
        <v>0</v>
      </c>
      <c r="K2354" s="390">
        <f>'UNTD FGD'!$K$88</f>
        <v>0</v>
      </c>
      <c r="L2354" s="390">
        <f>'UNTD FGD'!$L$88</f>
        <v>-12070890</v>
      </c>
      <c r="M2354" s="397">
        <f>'UNTD FGD'!$M$88</f>
        <v>-12070890</v>
      </c>
      <c r="N2354" s="171"/>
    </row>
    <row r="2355" spans="2:14" s="160" customFormat="1" ht="12.75" hidden="1" customHeight="1" outlineLevel="1">
      <c r="B2355" s="674" t="str">
        <f>'WTAMU FGD'!$B$2</f>
        <v>West Texas A&amp;M University</v>
      </c>
      <c r="C2355" s="161"/>
      <c r="D2355" s="390">
        <f>'WTAMU FGD'!$D$88</f>
        <v>0</v>
      </c>
      <c r="E2355" s="390">
        <f>'WTAMU FGD'!$E$88</f>
        <v>0</v>
      </c>
      <c r="F2355" s="390">
        <f>'WTAMU FGD'!$F$88</f>
        <v>0</v>
      </c>
      <c r="G2355" s="390">
        <f>'WTAMU FGD'!$G$88</f>
        <v>0</v>
      </c>
      <c r="H2355" s="390">
        <f>'WTAMU FGD'!$H$88</f>
        <v>0</v>
      </c>
      <c r="I2355" s="390">
        <f>'WTAMU FGD'!$I$88</f>
        <v>0</v>
      </c>
      <c r="J2355" s="390">
        <f>'WTAMU FGD'!$J$88</f>
        <v>0</v>
      </c>
      <c r="K2355" s="390">
        <f>'WTAMU FGD'!$K$88</f>
        <v>0</v>
      </c>
      <c r="L2355" s="390">
        <f>'WTAMU FGD'!$L$88</f>
        <v>-20263972</v>
      </c>
      <c r="M2355" s="397">
        <f>'WTAMU FGD'!$M$88</f>
        <v>-20263972</v>
      </c>
      <c r="N2355" s="171"/>
    </row>
    <row r="2356" spans="2:14" s="160" customFormat="1" collapsed="1">
      <c r="B2356" s="160" t="s">
        <v>66</v>
      </c>
      <c r="D2356" s="390">
        <f t="shared" ref="D2356:M2356" si="62">SUM(D2320:D2355)</f>
        <v>0</v>
      </c>
      <c r="E2356" s="390">
        <f t="shared" si="62"/>
        <v>0</v>
      </c>
      <c r="F2356" s="390">
        <f t="shared" si="62"/>
        <v>0</v>
      </c>
      <c r="G2356" s="390">
        <f t="shared" si="62"/>
        <v>0</v>
      </c>
      <c r="H2356" s="390">
        <f t="shared" si="62"/>
        <v>0</v>
      </c>
      <c r="I2356" s="390">
        <f t="shared" si="62"/>
        <v>0</v>
      </c>
      <c r="J2356" s="390">
        <f t="shared" si="62"/>
        <v>-39216453</v>
      </c>
      <c r="K2356" s="390">
        <f t="shared" si="62"/>
        <v>0</v>
      </c>
      <c r="L2356" s="390">
        <f t="shared" si="62"/>
        <v>-1520181483</v>
      </c>
      <c r="M2356" s="390">
        <f t="shared" si="62"/>
        <v>-1559397936</v>
      </c>
    </row>
    <row r="2357" spans="2:14" s="160" customFormat="1" ht="12.75" hidden="1" customHeight="1" outlineLevel="1">
      <c r="B2357" s="674" t="str">
        <f>'ARL FGD'!$B$2</f>
        <v>The University of Texas at Arlington</v>
      </c>
      <c r="D2357" s="390">
        <f>'ARL FGD'!$D$89</f>
        <v>0</v>
      </c>
      <c r="E2357" s="390">
        <f>'ARL FGD'!$E$89</f>
        <v>0</v>
      </c>
      <c r="F2357" s="390">
        <f>'ARL FGD'!$F$89</f>
        <v>0</v>
      </c>
      <c r="G2357" s="390">
        <f>'ARL FGD'!$G$89</f>
        <v>0</v>
      </c>
      <c r="H2357" s="390">
        <f>'ARL FGD'!$H$89</f>
        <v>0</v>
      </c>
      <c r="I2357" s="390">
        <f>'ARL FGD'!$I$89</f>
        <v>0</v>
      </c>
      <c r="J2357" s="390">
        <f>'ARL FGD'!$J$89</f>
        <v>0</v>
      </c>
      <c r="K2357" s="390">
        <f>'ARL FGD'!$K$89</f>
        <v>0</v>
      </c>
      <c r="L2357" s="390">
        <f>'ARL FGD'!$L$89</f>
        <v>0</v>
      </c>
      <c r="M2357" s="390">
        <f>'ARL FGD'!$M$89</f>
        <v>0</v>
      </c>
    </row>
    <row r="2358" spans="2:14" s="160" customFormat="1" ht="12.75" hidden="1" customHeight="1" outlineLevel="1">
      <c r="B2358" s="674" t="str">
        <f>'ASU FGD'!$B$2</f>
        <v>Angelo State University</v>
      </c>
      <c r="D2358" s="390">
        <f>'ASU FGD'!$D$89</f>
        <v>0</v>
      </c>
      <c r="E2358" s="390">
        <f>'ASU FGD'!$E$89</f>
        <v>0</v>
      </c>
      <c r="F2358" s="390">
        <f>'ASU FGD'!$F$89</f>
        <v>0</v>
      </c>
      <c r="G2358" s="390">
        <f>'ASU FGD'!$G$89</f>
        <v>0</v>
      </c>
      <c r="H2358" s="390">
        <f>'ASU FGD'!$H$89</f>
        <v>0</v>
      </c>
      <c r="I2358" s="390">
        <f>'ASU FGD'!$I$89</f>
        <v>0</v>
      </c>
      <c r="J2358" s="390">
        <f>'ASU FGD'!$J$89</f>
        <v>0</v>
      </c>
      <c r="K2358" s="390">
        <f>'ASU FGD'!$K$89</f>
        <v>0</v>
      </c>
      <c r="L2358" s="390">
        <f>'ASU FGD'!$L$89</f>
        <v>0</v>
      </c>
      <c r="M2358" s="390">
        <f>'ASU FGD'!$M$89</f>
        <v>0</v>
      </c>
    </row>
    <row r="2359" spans="2:14" s="160" customFormat="1" ht="12.75" hidden="1" customHeight="1" outlineLevel="1">
      <c r="B2359" s="674" t="str">
        <f>'AUS1 FGD'!$B$2</f>
        <v>The University of Texas at Austin - Academic &amp; Health (A+H)</v>
      </c>
      <c r="D2359" s="390">
        <f>'AUS1 FGD'!$D$89</f>
        <v>0</v>
      </c>
      <c r="E2359" s="390">
        <f>'AUS1 FGD'!$E$89</f>
        <v>0</v>
      </c>
      <c r="F2359" s="390">
        <f>'AUS1 FGD'!$F$89</f>
        <v>0</v>
      </c>
      <c r="G2359" s="390">
        <f>'AUS1 FGD'!$G$89</f>
        <v>0</v>
      </c>
      <c r="H2359" s="390">
        <f>'AUS1 FGD'!$H$89</f>
        <v>0</v>
      </c>
      <c r="I2359" s="390">
        <f>'AUS1 FGD'!$I$89</f>
        <v>0</v>
      </c>
      <c r="J2359" s="390">
        <f>'AUS1 FGD'!$J$89</f>
        <v>0</v>
      </c>
      <c r="K2359" s="390">
        <f>'AUS1 FGD'!$K$89</f>
        <v>0</v>
      </c>
      <c r="L2359" s="390">
        <f>'AUS1 FGD'!$L$89</f>
        <v>0</v>
      </c>
      <c r="M2359" s="390">
        <f>'AUS1 FGD'!$M$89</f>
        <v>0</v>
      </c>
    </row>
    <row r="2360" spans="2:14" s="160" customFormat="1" ht="12.75" hidden="1" customHeight="1" outlineLevel="1">
      <c r="B2360" s="674" t="str">
        <f>'RGV1 FGD'!$B$2</f>
        <v>The University of Texas RGV - Academic &amp; Health (A+H)</v>
      </c>
      <c r="D2360" s="390">
        <f>'RGV1 FGD'!$D$89</f>
        <v>0</v>
      </c>
      <c r="E2360" s="390">
        <f>'RGV1 FGD'!$E$89</f>
        <v>0</v>
      </c>
      <c r="F2360" s="390">
        <f>'RGV1 FGD'!$F$89</f>
        <v>0</v>
      </c>
      <c r="G2360" s="390">
        <f>'RGV1 FGD'!$G$89</f>
        <v>0</v>
      </c>
      <c r="H2360" s="390">
        <f>'RGV1 FGD'!$H$89</f>
        <v>0</v>
      </c>
      <c r="I2360" s="390">
        <f>'RGV1 FGD'!$I$89</f>
        <v>0</v>
      </c>
      <c r="J2360" s="390">
        <f>'RGV1 FGD'!$J$89</f>
        <v>0</v>
      </c>
      <c r="K2360" s="390">
        <f>'RGV1 FGD'!$K$89</f>
        <v>0</v>
      </c>
      <c r="L2360" s="390">
        <f>'RGV1 FGD'!$L$89</f>
        <v>0</v>
      </c>
      <c r="M2360" s="390">
        <f>'RGV1 FGD'!$M$89</f>
        <v>0</v>
      </c>
    </row>
    <row r="2361" spans="2:14" s="160" customFormat="1" ht="12.75" hidden="1" customHeight="1" outlineLevel="1">
      <c r="B2361" s="674" t="str">
        <f>'DAL FGD'!$B$2</f>
        <v>The University of Texas at Dallas</v>
      </c>
      <c r="D2361" s="390">
        <f>'DAL FGD'!$D$89</f>
        <v>0</v>
      </c>
      <c r="E2361" s="390">
        <f>'DAL FGD'!$E$89</f>
        <v>0</v>
      </c>
      <c r="F2361" s="390">
        <f>'DAL FGD'!$F$89</f>
        <v>0</v>
      </c>
      <c r="G2361" s="390">
        <f>'DAL FGD'!$G$89</f>
        <v>0</v>
      </c>
      <c r="H2361" s="390">
        <f>'DAL FGD'!$H$89</f>
        <v>0</v>
      </c>
      <c r="I2361" s="390">
        <f>'DAL FGD'!$I$89</f>
        <v>0</v>
      </c>
      <c r="J2361" s="390">
        <f>'DAL FGD'!$J$89</f>
        <v>0</v>
      </c>
      <c r="K2361" s="390">
        <f>'DAL FGD'!$K$89</f>
        <v>0</v>
      </c>
      <c r="L2361" s="390">
        <f>'DAL FGD'!$L$89</f>
        <v>0</v>
      </c>
      <c r="M2361" s="390">
        <f>'DAL FGD'!$M$89</f>
        <v>0</v>
      </c>
    </row>
    <row r="2362" spans="2:14" s="160" customFormat="1" ht="12.75" hidden="1" customHeight="1" outlineLevel="1">
      <c r="B2362" s="674" t="str">
        <f>'E-P FGD'!$B$2</f>
        <v>The University of Texas at El Paso</v>
      </c>
      <c r="D2362" s="390">
        <f>'E-P FGD'!$D$89</f>
        <v>0</v>
      </c>
      <c r="E2362" s="390">
        <f>'E-P FGD'!$E$89</f>
        <v>0</v>
      </c>
      <c r="F2362" s="390">
        <f>'E-P FGD'!$F$89</f>
        <v>0</v>
      </c>
      <c r="G2362" s="390">
        <f>'E-P FGD'!$G$89</f>
        <v>0</v>
      </c>
      <c r="H2362" s="390">
        <f>'E-P FGD'!$H$89</f>
        <v>0</v>
      </c>
      <c r="I2362" s="390">
        <f>'E-P FGD'!$I$89</f>
        <v>0</v>
      </c>
      <c r="J2362" s="390">
        <f>'E-P FGD'!$J$89</f>
        <v>0</v>
      </c>
      <c r="K2362" s="390">
        <f>'E-P FGD'!$K$89</f>
        <v>0</v>
      </c>
      <c r="L2362" s="390">
        <f>'E-P FGD'!$L$89</f>
        <v>0</v>
      </c>
      <c r="M2362" s="390">
        <f>'E-P FGD'!$M$89</f>
        <v>0</v>
      </c>
    </row>
    <row r="2363" spans="2:14" s="160" customFormat="1" ht="12.75" hidden="1" customHeight="1" outlineLevel="1">
      <c r="B2363" s="674" t="str">
        <f>'LU FGD'!$B$2</f>
        <v xml:space="preserve">Lamar University </v>
      </c>
      <c r="D2363" s="390">
        <f>'LU FGD'!$D$89</f>
        <v>0</v>
      </c>
      <c r="E2363" s="390">
        <f>'LU FGD'!$E$89</f>
        <v>0</v>
      </c>
      <c r="F2363" s="390">
        <f>'LU FGD'!$F$89</f>
        <v>0</v>
      </c>
      <c r="G2363" s="390">
        <f>'LU FGD'!$G$89</f>
        <v>0</v>
      </c>
      <c r="H2363" s="390">
        <f>'LU FGD'!$H$89</f>
        <v>0</v>
      </c>
      <c r="I2363" s="390">
        <f>'LU FGD'!$I$89</f>
        <v>0</v>
      </c>
      <c r="J2363" s="390">
        <f>'LU FGD'!$J$89</f>
        <v>0</v>
      </c>
      <c r="K2363" s="390">
        <f>'LU FGD'!$K$89</f>
        <v>0</v>
      </c>
      <c r="L2363" s="390">
        <f>'LU FGD'!$L$89</f>
        <v>0</v>
      </c>
      <c r="M2363" s="390">
        <f>'LU FGD'!$M$89</f>
        <v>0</v>
      </c>
    </row>
    <row r="2364" spans="2:14" s="160" customFormat="1" ht="12.75" hidden="1" customHeight="1" outlineLevel="1">
      <c r="B2364" s="674" t="str">
        <f>'MidWST FGD'!$B$2</f>
        <v>Midwestern State University</v>
      </c>
      <c r="D2364" s="390">
        <f>'MidWST FGD'!$D$89</f>
        <v>0</v>
      </c>
      <c r="E2364" s="390">
        <f>'MidWST FGD'!$E$89</f>
        <v>0</v>
      </c>
      <c r="F2364" s="390">
        <f>'MidWST FGD'!$F$89</f>
        <v>0</v>
      </c>
      <c r="G2364" s="390">
        <f>'MidWST FGD'!$G$89</f>
        <v>0</v>
      </c>
      <c r="H2364" s="390">
        <f>'MidWST FGD'!$H$89</f>
        <v>0</v>
      </c>
      <c r="I2364" s="390">
        <f>'MidWST FGD'!$I$89</f>
        <v>0</v>
      </c>
      <c r="J2364" s="390">
        <f>'MidWST FGD'!$J$89</f>
        <v>0</v>
      </c>
      <c r="K2364" s="390">
        <f>'MidWST FGD'!$K$89</f>
        <v>0</v>
      </c>
      <c r="L2364" s="390">
        <f>'MidWST FGD'!$L$89</f>
        <v>0</v>
      </c>
      <c r="M2364" s="390">
        <f>'MidWST FGD'!$M$89</f>
        <v>0</v>
      </c>
    </row>
    <row r="2365" spans="2:14" s="160" customFormat="1" ht="12.75" hidden="1" customHeight="1" outlineLevel="1">
      <c r="B2365" s="674" t="str">
        <f>'P-B FGD'!$B$2</f>
        <v>The University of Texas of the Permian Basin</v>
      </c>
      <c r="D2365" s="390">
        <f>'P-B FGD'!$D$89</f>
        <v>0</v>
      </c>
      <c r="E2365" s="390">
        <f>'P-B FGD'!$E$89</f>
        <v>0</v>
      </c>
      <c r="F2365" s="390">
        <f>'P-B FGD'!$F$89</f>
        <v>0</v>
      </c>
      <c r="G2365" s="390">
        <f>'P-B FGD'!$G$89</f>
        <v>0</v>
      </c>
      <c r="H2365" s="390">
        <f>'P-B FGD'!$H$89</f>
        <v>0</v>
      </c>
      <c r="I2365" s="390">
        <f>'P-B FGD'!$I$89</f>
        <v>0</v>
      </c>
      <c r="J2365" s="390">
        <f>'P-B FGD'!$J$89</f>
        <v>0</v>
      </c>
      <c r="K2365" s="390">
        <f>'P-B FGD'!$K$89</f>
        <v>0</v>
      </c>
      <c r="L2365" s="390">
        <f>'P-B FGD'!$L$89</f>
        <v>0</v>
      </c>
      <c r="M2365" s="390">
        <f>'P-B FGD'!$M$89</f>
        <v>0</v>
      </c>
    </row>
    <row r="2366" spans="2:14" s="160" customFormat="1" ht="12.75" hidden="1" customHeight="1" outlineLevel="1">
      <c r="B2366" s="674" t="str">
        <f>'PVAMU FGD'!$B$2</f>
        <v>Prairie View A&amp;M University</v>
      </c>
      <c r="D2366" s="390">
        <f>'PVAMU FGD'!$D$89</f>
        <v>0</v>
      </c>
      <c r="E2366" s="390">
        <f>'PVAMU FGD'!$E$89</f>
        <v>0</v>
      </c>
      <c r="F2366" s="390">
        <f>'PVAMU FGD'!$F$89</f>
        <v>0</v>
      </c>
      <c r="G2366" s="390">
        <f>'PVAMU FGD'!$G$89</f>
        <v>0</v>
      </c>
      <c r="H2366" s="390">
        <f>'PVAMU FGD'!$H$89</f>
        <v>0</v>
      </c>
      <c r="I2366" s="390">
        <f>'PVAMU FGD'!$I$89</f>
        <v>0</v>
      </c>
      <c r="J2366" s="390">
        <f>'PVAMU FGD'!$J$89</f>
        <v>0</v>
      </c>
      <c r="K2366" s="390">
        <f>'PVAMU FGD'!$K$89</f>
        <v>0</v>
      </c>
      <c r="L2366" s="390">
        <f>'PVAMU FGD'!$L$89</f>
        <v>0</v>
      </c>
      <c r="M2366" s="390">
        <f>'PVAMU FGD'!$M$89</f>
        <v>0</v>
      </c>
    </row>
    <row r="2367" spans="2:14" s="160" customFormat="1" ht="12.75" hidden="1" customHeight="1" outlineLevel="1">
      <c r="B2367" s="674" t="str">
        <f>'S-A FGD'!$B$2</f>
        <v>The University of Texas at San Antonio</v>
      </c>
      <c r="D2367" s="390">
        <f>'S-A FGD'!$D$89</f>
        <v>0</v>
      </c>
      <c r="E2367" s="390">
        <f>'S-A FGD'!$E$89</f>
        <v>0</v>
      </c>
      <c r="F2367" s="390">
        <f>'S-A FGD'!$F$89</f>
        <v>0</v>
      </c>
      <c r="G2367" s="390">
        <f>'S-A FGD'!$G$89</f>
        <v>0</v>
      </c>
      <c r="H2367" s="390">
        <f>'S-A FGD'!$H$89</f>
        <v>0</v>
      </c>
      <c r="I2367" s="390">
        <f>'S-A FGD'!$I$89</f>
        <v>0</v>
      </c>
      <c r="J2367" s="390">
        <f>'S-A FGD'!$J$89</f>
        <v>0</v>
      </c>
      <c r="K2367" s="390">
        <f>'S-A FGD'!$K$89</f>
        <v>0</v>
      </c>
      <c r="L2367" s="390">
        <f>'S-A FGD'!$L$89</f>
        <v>0</v>
      </c>
      <c r="M2367" s="390">
        <f>'S-A FGD'!$M$89</f>
        <v>0</v>
      </c>
    </row>
    <row r="2368" spans="2:14" s="160" customFormat="1" ht="12.75" hidden="1" customHeight="1" outlineLevel="1">
      <c r="B2368" s="674" t="str">
        <f>'SFA FGD'!$B$2</f>
        <v>Stephen F. Austin State University</v>
      </c>
      <c r="D2368" s="390">
        <f>'SFA FGD'!$D$89</f>
        <v>0</v>
      </c>
      <c r="E2368" s="390">
        <f>'SFA FGD'!$E$89</f>
        <v>0</v>
      </c>
      <c r="F2368" s="390">
        <f>'SFA FGD'!$F$89</f>
        <v>0</v>
      </c>
      <c r="G2368" s="390">
        <f>'SFA FGD'!$G$89</f>
        <v>0</v>
      </c>
      <c r="H2368" s="390">
        <f>'SFA FGD'!$H$89</f>
        <v>0</v>
      </c>
      <c r="I2368" s="390">
        <f>'SFA FGD'!$I$89</f>
        <v>0</v>
      </c>
      <c r="J2368" s="390">
        <f>'SFA FGD'!$J$89</f>
        <v>0</v>
      </c>
      <c r="K2368" s="390">
        <f>'SFA FGD'!$K$89</f>
        <v>0</v>
      </c>
      <c r="L2368" s="390">
        <f>'SFA FGD'!$L$89</f>
        <v>0</v>
      </c>
      <c r="M2368" s="390">
        <f>'SFA FGD'!$M$89</f>
        <v>0</v>
      </c>
    </row>
    <row r="2369" spans="2:13" s="160" customFormat="1" ht="12.75" hidden="1" customHeight="1" outlineLevel="1">
      <c r="B2369" s="674" t="str">
        <f>'shsu1 FGD'!$B$2</f>
        <v>Sam Houston State University - Academic &amp; Health (A+H)</v>
      </c>
      <c r="D2369" s="390">
        <f>'shsu1 FGD'!$D$89</f>
        <v>0</v>
      </c>
      <c r="E2369" s="390">
        <f>'shsu1 FGD'!$E$89</f>
        <v>0</v>
      </c>
      <c r="F2369" s="390">
        <f>'shsu1 FGD'!$F$89</f>
        <v>0</v>
      </c>
      <c r="G2369" s="390">
        <f>'shsu1 FGD'!$G$89</f>
        <v>0</v>
      </c>
      <c r="H2369" s="390">
        <f>'shsu1 FGD'!$H$89</f>
        <v>0</v>
      </c>
      <c r="I2369" s="390">
        <f>'shsu1 FGD'!$I$89</f>
        <v>0</v>
      </c>
      <c r="J2369" s="390">
        <f>'shsu1 FGD'!$J$89</f>
        <v>0</v>
      </c>
      <c r="K2369" s="390">
        <f>'shsu1 FGD'!$K$89</f>
        <v>0</v>
      </c>
      <c r="L2369" s="390">
        <f>'shsu1 FGD'!$L$89</f>
        <v>0</v>
      </c>
      <c r="M2369" s="390">
        <f>'shsu1 FGD'!$M$89</f>
        <v>0</v>
      </c>
    </row>
    <row r="2370" spans="2:13" s="160" customFormat="1" ht="12.75" hidden="1" customHeight="1" outlineLevel="1">
      <c r="B2370" s="674" t="str">
        <f>'SRSU FGD'!$B$2</f>
        <v>Sul Ross State University</v>
      </c>
      <c r="D2370" s="390">
        <f>'SRSU FGD'!$D$89</f>
        <v>0</v>
      </c>
      <c r="E2370" s="390">
        <f>'SRSU FGD'!$E$89</f>
        <v>0</v>
      </c>
      <c r="F2370" s="390">
        <f>'SRSU FGD'!$F$89</f>
        <v>0</v>
      </c>
      <c r="G2370" s="390">
        <f>'SRSU FGD'!$G$89</f>
        <v>0</v>
      </c>
      <c r="H2370" s="390">
        <f>'SRSU FGD'!$H$89</f>
        <v>0</v>
      </c>
      <c r="I2370" s="390">
        <f>'SRSU FGD'!$I$89</f>
        <v>0</v>
      </c>
      <c r="J2370" s="390">
        <f>'SRSU FGD'!$J$89</f>
        <v>0</v>
      </c>
      <c r="K2370" s="390">
        <f>'SRSU FGD'!$K$89</f>
        <v>0</v>
      </c>
      <c r="L2370" s="390">
        <f>'SRSU FGD'!$L$89</f>
        <v>0</v>
      </c>
      <c r="M2370" s="390">
        <f>'SRSU FGD'!$M$89</f>
        <v>0</v>
      </c>
    </row>
    <row r="2371" spans="2:13" s="160" customFormat="1" ht="12.75" hidden="1" customHeight="1" outlineLevel="1">
      <c r="B2371" s="674" t="str">
        <f>'TAMIU FGD'!$B$2</f>
        <v>Texas A&amp;M International University</v>
      </c>
      <c r="D2371" s="390">
        <f>'TAMIU FGD'!$D$89</f>
        <v>0</v>
      </c>
      <c r="E2371" s="390">
        <f>'TAMIU FGD'!$E$89</f>
        <v>0</v>
      </c>
      <c r="F2371" s="390">
        <f>'TAMIU FGD'!$F$89</f>
        <v>0</v>
      </c>
      <c r="G2371" s="390">
        <f>'TAMIU FGD'!$G$89</f>
        <v>0</v>
      </c>
      <c r="H2371" s="390">
        <f>'TAMIU FGD'!$H$89</f>
        <v>0</v>
      </c>
      <c r="I2371" s="390">
        <f>'TAMIU FGD'!$I$89</f>
        <v>0</v>
      </c>
      <c r="J2371" s="390">
        <f>'TAMIU FGD'!$J$89</f>
        <v>0</v>
      </c>
      <c r="K2371" s="390">
        <f>'TAMIU FGD'!$K$89</f>
        <v>0</v>
      </c>
      <c r="L2371" s="390">
        <f>'TAMIU FGD'!$L$89</f>
        <v>528302</v>
      </c>
      <c r="M2371" s="390">
        <f>'TAMIU FGD'!$M$89</f>
        <v>528302</v>
      </c>
    </row>
    <row r="2372" spans="2:13" s="160" customFormat="1" ht="12.75" hidden="1" customHeight="1" outlineLevel="1">
      <c r="B2372" s="674" t="str">
        <f>'TAMU FGD'!$B$2</f>
        <v>Texas A&amp;M University</v>
      </c>
      <c r="D2372" s="390">
        <f>'TAMU FGD'!$D$89</f>
        <v>0</v>
      </c>
      <c r="E2372" s="390">
        <f>'TAMU FGD'!$E$89</f>
        <v>0</v>
      </c>
      <c r="F2372" s="390">
        <f>'TAMU FGD'!$F$89</f>
        <v>0</v>
      </c>
      <c r="G2372" s="390">
        <f>'TAMU FGD'!$G$89</f>
        <v>0</v>
      </c>
      <c r="H2372" s="390">
        <f>'TAMU FGD'!$H$89</f>
        <v>0</v>
      </c>
      <c r="I2372" s="390">
        <f>'TAMU FGD'!$I$89</f>
        <v>0</v>
      </c>
      <c r="J2372" s="390">
        <f>'TAMU FGD'!$J$89</f>
        <v>0</v>
      </c>
      <c r="K2372" s="390">
        <f>'TAMU FGD'!$K$89</f>
        <v>0</v>
      </c>
      <c r="L2372" s="390">
        <f>'TAMU FGD'!$L$89</f>
        <v>141929619</v>
      </c>
      <c r="M2372" s="390">
        <f>'TAMU FGD'!$M$89</f>
        <v>141929619</v>
      </c>
    </row>
    <row r="2373" spans="2:13" s="160" customFormat="1" ht="12.75" hidden="1" customHeight="1" outlineLevel="1">
      <c r="B2373" s="674" t="str">
        <f>'TAMUC FGD'!$B$2</f>
        <v>Texas A&amp;M University - Commerce</v>
      </c>
      <c r="D2373" s="390">
        <f>'TAMUC FGD'!$D$89</f>
        <v>0</v>
      </c>
      <c r="E2373" s="390">
        <f>'TAMUC FGD'!$E$89</f>
        <v>0</v>
      </c>
      <c r="F2373" s="390">
        <f>'TAMUC FGD'!$F$89</f>
        <v>0</v>
      </c>
      <c r="G2373" s="390">
        <f>'TAMUC FGD'!$G$89</f>
        <v>0</v>
      </c>
      <c r="H2373" s="390">
        <f>'TAMUC FGD'!$H$89</f>
        <v>0</v>
      </c>
      <c r="I2373" s="390">
        <f>'TAMUC FGD'!$I$89</f>
        <v>0</v>
      </c>
      <c r="J2373" s="390">
        <f>'TAMUC FGD'!$J$89</f>
        <v>0</v>
      </c>
      <c r="K2373" s="390">
        <f>'TAMUC FGD'!$K$89</f>
        <v>0</v>
      </c>
      <c r="L2373" s="390">
        <f>'TAMUC FGD'!$L$89</f>
        <v>0</v>
      </c>
      <c r="M2373" s="390">
        <f>'TAMUC FGD'!$M$89</f>
        <v>0</v>
      </c>
    </row>
    <row r="2374" spans="2:13" s="160" customFormat="1" ht="12.75" hidden="1" customHeight="1" outlineLevel="1">
      <c r="B2374" s="674" t="str">
        <f>'TAMUCC FGD'!$B$2</f>
        <v>Texas A&amp;M University - Corpus Christi</v>
      </c>
      <c r="D2374" s="390">
        <f>'TAMUCC FGD'!$D$89</f>
        <v>0</v>
      </c>
      <c r="E2374" s="390">
        <f>'TAMUCC FGD'!$E$89</f>
        <v>0</v>
      </c>
      <c r="F2374" s="390">
        <f>'TAMUCC FGD'!$F$89</f>
        <v>0</v>
      </c>
      <c r="G2374" s="390">
        <f>'TAMUCC FGD'!$G$89</f>
        <v>0</v>
      </c>
      <c r="H2374" s="390">
        <f>'TAMUCC FGD'!$H$89</f>
        <v>0</v>
      </c>
      <c r="I2374" s="390">
        <f>'TAMUCC FGD'!$I$89</f>
        <v>0</v>
      </c>
      <c r="J2374" s="390">
        <f>'TAMUCC FGD'!$J$89</f>
        <v>0</v>
      </c>
      <c r="K2374" s="390">
        <f>'TAMUCC FGD'!$K$89</f>
        <v>0</v>
      </c>
      <c r="L2374" s="390">
        <f>'TAMUCC FGD'!$L$89</f>
        <v>162792953</v>
      </c>
      <c r="M2374" s="390">
        <f>'TAMUCC FGD'!$M$89</f>
        <v>162792953</v>
      </c>
    </row>
    <row r="2375" spans="2:13" s="160" customFormat="1" ht="12.75" hidden="1" customHeight="1" outlineLevel="1">
      <c r="B2375" s="674" t="str">
        <f>'TAMUCT FGD'!$B$2</f>
        <v>Texas A&amp;M University - Central Texas</v>
      </c>
      <c r="D2375" s="390">
        <f>'TAMUCT FGD'!$D$89</f>
        <v>0</v>
      </c>
      <c r="E2375" s="390">
        <f>'TAMUCT FGD'!$E$89</f>
        <v>0</v>
      </c>
      <c r="F2375" s="390">
        <f>'TAMUCT FGD'!$F$89</f>
        <v>0</v>
      </c>
      <c r="G2375" s="390">
        <f>'TAMUCT FGD'!$G$89</f>
        <v>0</v>
      </c>
      <c r="H2375" s="390">
        <f>'TAMUCT FGD'!$H$89</f>
        <v>0</v>
      </c>
      <c r="I2375" s="390">
        <f>'TAMUCT FGD'!$I$89</f>
        <v>0</v>
      </c>
      <c r="J2375" s="390">
        <f>'TAMUCT FGD'!$J$89</f>
        <v>0</v>
      </c>
      <c r="K2375" s="390">
        <f>'TAMUCT FGD'!$K$89</f>
        <v>0</v>
      </c>
      <c r="L2375" s="390">
        <f>'TAMUCT FGD'!$L$89</f>
        <v>3242341</v>
      </c>
      <c r="M2375" s="390">
        <f>'TAMUCT FGD'!$M$89</f>
        <v>3242341</v>
      </c>
    </row>
    <row r="2376" spans="2:13" s="160" customFormat="1" ht="12.75" hidden="1" customHeight="1" outlineLevel="1">
      <c r="B2376" s="674" t="str">
        <f>'TAMUG FGD'!$B$2</f>
        <v>Texas A&amp;M University at Galveston</v>
      </c>
      <c r="D2376" s="390">
        <f>'TAMUG FGD'!$D$89</f>
        <v>0</v>
      </c>
      <c r="E2376" s="390">
        <f>'TAMUG FGD'!$E$89</f>
        <v>0</v>
      </c>
      <c r="F2376" s="390">
        <f>'TAMUG FGD'!$F$89</f>
        <v>0</v>
      </c>
      <c r="G2376" s="390">
        <f>'TAMUG FGD'!$G$89</f>
        <v>0</v>
      </c>
      <c r="H2376" s="390">
        <f>'TAMUG FGD'!$H$89</f>
        <v>0</v>
      </c>
      <c r="I2376" s="390">
        <f>'TAMUG FGD'!$I$89</f>
        <v>0</v>
      </c>
      <c r="J2376" s="390">
        <f>'TAMUG FGD'!$J$89</f>
        <v>0</v>
      </c>
      <c r="K2376" s="390">
        <f>'TAMUG FGD'!$K$89</f>
        <v>0</v>
      </c>
      <c r="L2376" s="390">
        <f>'TAMUG FGD'!$L$89</f>
        <v>43996874</v>
      </c>
      <c r="M2376" s="390">
        <f>'TAMUG FGD'!$M$89</f>
        <v>43996874</v>
      </c>
    </row>
    <row r="2377" spans="2:13" s="160" customFormat="1" ht="12.75" hidden="1" customHeight="1" outlineLevel="1">
      <c r="B2377" s="674" t="str">
        <f>'TAMUK FGD'!$B$2</f>
        <v>Texas A&amp;M University - Kingsville</v>
      </c>
      <c r="D2377" s="390">
        <f>'TAMUK FGD'!$D$89</f>
        <v>0</v>
      </c>
      <c r="E2377" s="390">
        <f>'TAMUK FGD'!$E$89</f>
        <v>0</v>
      </c>
      <c r="F2377" s="390">
        <f>'TAMUK FGD'!$F$89</f>
        <v>0</v>
      </c>
      <c r="G2377" s="390">
        <f>'TAMUK FGD'!$G$89</f>
        <v>0</v>
      </c>
      <c r="H2377" s="390">
        <f>'TAMUK FGD'!$H$89</f>
        <v>0</v>
      </c>
      <c r="I2377" s="390">
        <f>'TAMUK FGD'!$I$89</f>
        <v>0</v>
      </c>
      <c r="J2377" s="390">
        <f>'TAMUK FGD'!$J$89</f>
        <v>0</v>
      </c>
      <c r="K2377" s="390">
        <f>'TAMUK FGD'!$K$89</f>
        <v>0</v>
      </c>
      <c r="L2377" s="390">
        <f>'TAMUK FGD'!$L$89</f>
        <v>890150</v>
      </c>
      <c r="M2377" s="390">
        <f>'TAMUK FGD'!$M$89</f>
        <v>890150</v>
      </c>
    </row>
    <row r="2378" spans="2:13" s="160" customFormat="1" ht="12.75" hidden="1" customHeight="1" outlineLevel="1">
      <c r="B2378" s="674" t="str">
        <f>'TAMUSA FGD'!$B$2</f>
        <v>Texas A&amp;M University - San Antonio</v>
      </c>
      <c r="D2378" s="390">
        <f>'TAMUSA FGD'!$D$89</f>
        <v>0</v>
      </c>
      <c r="E2378" s="390">
        <f>'TAMUSA FGD'!$E$89</f>
        <v>0</v>
      </c>
      <c r="F2378" s="390">
        <f>'TAMUSA FGD'!$F$89</f>
        <v>0</v>
      </c>
      <c r="G2378" s="390">
        <f>'TAMUSA FGD'!$G$89</f>
        <v>0</v>
      </c>
      <c r="H2378" s="390">
        <f>'TAMUSA FGD'!$H$89</f>
        <v>0</v>
      </c>
      <c r="I2378" s="390">
        <f>'TAMUSA FGD'!$I$89</f>
        <v>0</v>
      </c>
      <c r="J2378" s="390">
        <f>'TAMUSA FGD'!$J$89</f>
        <v>0</v>
      </c>
      <c r="K2378" s="390">
        <f>'TAMUSA FGD'!$K$89</f>
        <v>0</v>
      </c>
      <c r="L2378" s="390">
        <f>'TAMUSA FGD'!$L$89</f>
        <v>22678708</v>
      </c>
      <c r="M2378" s="390">
        <f>'TAMUSA FGD'!$M$89</f>
        <v>22678708</v>
      </c>
    </row>
    <row r="2379" spans="2:13" s="160" customFormat="1" ht="12.75" hidden="1" customHeight="1" outlineLevel="1">
      <c r="B2379" s="674" t="str">
        <f>'TAMUT FGD'!$B$2</f>
        <v>Texas A&amp;M University - Texarkana</v>
      </c>
      <c r="D2379" s="390">
        <f>'TAMUT FGD'!$D$89</f>
        <v>0</v>
      </c>
      <c r="E2379" s="390">
        <f>'TAMUT FGD'!$E$89</f>
        <v>0</v>
      </c>
      <c r="F2379" s="390">
        <f>'TAMUT FGD'!$F$89</f>
        <v>0</v>
      </c>
      <c r="G2379" s="390">
        <f>'TAMUT FGD'!$G$89</f>
        <v>0</v>
      </c>
      <c r="H2379" s="390">
        <f>'TAMUT FGD'!$H$89</f>
        <v>0</v>
      </c>
      <c r="I2379" s="390">
        <f>'TAMUT FGD'!$I$89</f>
        <v>0</v>
      </c>
      <c r="J2379" s="390">
        <f>'TAMUT FGD'!$J$89</f>
        <v>0</v>
      </c>
      <c r="K2379" s="390">
        <f>'TAMUT FGD'!$K$89</f>
        <v>0</v>
      </c>
      <c r="L2379" s="390">
        <f>'TAMUT FGD'!$L$89</f>
        <v>5263846</v>
      </c>
      <c r="M2379" s="390">
        <f>'TAMUT FGD'!$M$89</f>
        <v>5263846</v>
      </c>
    </row>
    <row r="2380" spans="2:13" s="160" customFormat="1" ht="12.75" hidden="1" customHeight="1" outlineLevel="1">
      <c r="B2380" s="674" t="str">
        <f>'TARLST FGD'!$B$2</f>
        <v>Tarleton State University</v>
      </c>
      <c r="D2380" s="390">
        <f>'TARLST FGD'!$D$89</f>
        <v>0</v>
      </c>
      <c r="E2380" s="390">
        <f>'TARLST FGD'!$E$89</f>
        <v>0</v>
      </c>
      <c r="F2380" s="390">
        <f>'TARLST FGD'!$F$89</f>
        <v>0</v>
      </c>
      <c r="G2380" s="390">
        <f>'TARLST FGD'!$G$89</f>
        <v>0</v>
      </c>
      <c r="H2380" s="390">
        <f>'TARLST FGD'!$H$89</f>
        <v>0</v>
      </c>
      <c r="I2380" s="390">
        <f>'TARLST FGD'!$I$89</f>
        <v>0</v>
      </c>
      <c r="J2380" s="390">
        <f>'TARLST FGD'!$J$89</f>
        <v>0</v>
      </c>
      <c r="K2380" s="390">
        <f>'TARLST FGD'!$K$89</f>
        <v>0</v>
      </c>
      <c r="L2380" s="390">
        <f>'TARLST FGD'!$L$89</f>
        <v>20675406</v>
      </c>
      <c r="M2380" s="390">
        <f>'TARLST FGD'!$M$89</f>
        <v>20675406</v>
      </c>
    </row>
    <row r="2381" spans="2:13" s="160" customFormat="1" ht="12.75" hidden="1" customHeight="1" outlineLevel="1">
      <c r="B2381" s="674" t="str">
        <f>'TSU FGD'!$B$2</f>
        <v>Texas Southern University</v>
      </c>
      <c r="D2381" s="390">
        <f>'TSU FGD'!$D$89</f>
        <v>0</v>
      </c>
      <c r="E2381" s="390">
        <f>'TSU FGD'!$E$89</f>
        <v>0</v>
      </c>
      <c r="F2381" s="390">
        <f>'TSU FGD'!$F$89</f>
        <v>0</v>
      </c>
      <c r="G2381" s="390">
        <f>'TSU FGD'!$G$89</f>
        <v>0</v>
      </c>
      <c r="H2381" s="390">
        <f>'TSU FGD'!$H$89</f>
        <v>0</v>
      </c>
      <c r="I2381" s="390">
        <f>'TSU FGD'!$I$89</f>
        <v>0</v>
      </c>
      <c r="J2381" s="390">
        <f>'TSU FGD'!$J$89</f>
        <v>0</v>
      </c>
      <c r="K2381" s="390">
        <f>'TSU FGD'!$K$89</f>
        <v>0</v>
      </c>
      <c r="L2381" s="390">
        <f>'TSU FGD'!$L$89</f>
        <v>0</v>
      </c>
      <c r="M2381" s="390">
        <f>'TSU FGD'!$M$89</f>
        <v>0</v>
      </c>
    </row>
    <row r="2382" spans="2:13" s="160" customFormat="1" ht="12.75" hidden="1" customHeight="1" outlineLevel="1">
      <c r="B2382" s="674" t="str">
        <f>'TTU FGD'!$B$2</f>
        <v>Texas Tech University</v>
      </c>
      <c r="D2382" s="390">
        <f>'TTU FGD'!$D$89</f>
        <v>0</v>
      </c>
      <c r="E2382" s="390">
        <f>'TTU FGD'!$E$89</f>
        <v>0</v>
      </c>
      <c r="F2382" s="390">
        <f>'TTU FGD'!$F$89</f>
        <v>0</v>
      </c>
      <c r="G2382" s="390">
        <f>'TTU FGD'!$G$89</f>
        <v>0</v>
      </c>
      <c r="H2382" s="390">
        <f>'TTU FGD'!$H$89</f>
        <v>0</v>
      </c>
      <c r="I2382" s="390">
        <f>'TTU FGD'!$I$89</f>
        <v>0</v>
      </c>
      <c r="J2382" s="390">
        <f>'TTU FGD'!$J$89</f>
        <v>0</v>
      </c>
      <c r="K2382" s="390">
        <f>'TTU FGD'!$K$89</f>
        <v>0</v>
      </c>
      <c r="L2382" s="390">
        <f>'TTU FGD'!$L$89</f>
        <v>-38779</v>
      </c>
      <c r="M2382" s="390">
        <f>'TTU FGD'!$M$89</f>
        <v>-38779</v>
      </c>
    </row>
    <row r="2383" spans="2:13" s="160" customFormat="1" ht="12.75" hidden="1" customHeight="1" outlineLevel="1">
      <c r="B2383" s="674" t="str">
        <f>'TWU FGD'!$B$2</f>
        <v>Texas Woman's University</v>
      </c>
      <c r="D2383" s="390">
        <f>'TWU FGD'!$D$89</f>
        <v>0</v>
      </c>
      <c r="E2383" s="390">
        <f>'TWU FGD'!$E$89</f>
        <v>0</v>
      </c>
      <c r="F2383" s="390">
        <f>'TWU FGD'!$F$89</f>
        <v>0</v>
      </c>
      <c r="G2383" s="390">
        <f>'TWU FGD'!$G$89</f>
        <v>0</v>
      </c>
      <c r="H2383" s="390">
        <f>'TWU FGD'!$H$89</f>
        <v>0</v>
      </c>
      <c r="I2383" s="390">
        <f>'TWU FGD'!$I$89</f>
        <v>0</v>
      </c>
      <c r="J2383" s="390">
        <f>'TWU FGD'!$J$89</f>
        <v>0</v>
      </c>
      <c r="K2383" s="390">
        <f>'TWU FGD'!$K$89</f>
        <v>0</v>
      </c>
      <c r="L2383" s="390">
        <f>'TWU FGD'!$L$89</f>
        <v>0</v>
      </c>
      <c r="M2383" s="390">
        <f>'TWU FGD'!$M$89</f>
        <v>0</v>
      </c>
    </row>
    <row r="2384" spans="2:13" s="160" customFormat="1" ht="12.75" hidden="1" customHeight="1" outlineLevel="1">
      <c r="B2384" s="674" t="str">
        <f>'TXST FGD'!$B$2</f>
        <v>Texas State University</v>
      </c>
      <c r="D2384" s="390">
        <f>'TXST FGD'!$D$89</f>
        <v>0</v>
      </c>
      <c r="E2384" s="390">
        <f>'TXST FGD'!$E$89</f>
        <v>0</v>
      </c>
      <c r="F2384" s="390">
        <f>'TXST FGD'!$F$89</f>
        <v>0</v>
      </c>
      <c r="G2384" s="390">
        <f>'TXST FGD'!$G$89</f>
        <v>0</v>
      </c>
      <c r="H2384" s="390">
        <f>'TXST FGD'!$H$89</f>
        <v>0</v>
      </c>
      <c r="I2384" s="390">
        <f>'TXST FGD'!$I$89</f>
        <v>0</v>
      </c>
      <c r="J2384" s="390">
        <f>'TXST FGD'!$J$89</f>
        <v>0</v>
      </c>
      <c r="K2384" s="390">
        <f>'TXST FGD'!$K$89</f>
        <v>0</v>
      </c>
      <c r="L2384" s="390">
        <f>'TXST FGD'!$L$89</f>
        <v>0</v>
      </c>
      <c r="M2384" s="390">
        <f>'TXST FGD'!$M$89</f>
        <v>0</v>
      </c>
    </row>
    <row r="2385" spans="2:13" s="160" customFormat="1" ht="12.75" hidden="1" customHeight="1" outlineLevel="1">
      <c r="B2385" s="674" t="str">
        <f>'TYL FGD'!$B$2</f>
        <v>The University of Texas at Tyler</v>
      </c>
      <c r="D2385" s="390">
        <f>'TYL FGD'!$D$89</f>
        <v>0</v>
      </c>
      <c r="E2385" s="390">
        <f>'TYL FGD'!$E$89</f>
        <v>0</v>
      </c>
      <c r="F2385" s="390">
        <f>'TYL FGD'!$F$89</f>
        <v>0</v>
      </c>
      <c r="G2385" s="390">
        <f>'TYL FGD'!$G$89</f>
        <v>0</v>
      </c>
      <c r="H2385" s="390">
        <f>'TYL FGD'!$H$89</f>
        <v>0</v>
      </c>
      <c r="I2385" s="390">
        <f>'TYL FGD'!$I$89</f>
        <v>0</v>
      </c>
      <c r="J2385" s="390">
        <f>'TYL FGD'!$J$89</f>
        <v>0</v>
      </c>
      <c r="K2385" s="390">
        <f>'TYL FGD'!$K$89</f>
        <v>0</v>
      </c>
      <c r="L2385" s="390">
        <f>'TYL FGD'!$L$89</f>
        <v>0</v>
      </c>
      <c r="M2385" s="390">
        <f>'TYL FGD'!$M$89</f>
        <v>0</v>
      </c>
    </row>
    <row r="2386" spans="2:13" s="160" customFormat="1" ht="12.75" hidden="1" customHeight="1" outlineLevel="1">
      <c r="B2386" s="674" t="str">
        <f>'UH1 FGD'!$B$2</f>
        <v>University of Houston - Academic &amp; Health (A+H)</v>
      </c>
      <c r="D2386" s="390">
        <f>'UH1 FGD'!$D$89</f>
        <v>0</v>
      </c>
      <c r="E2386" s="390">
        <f>'UH1 FGD'!$E$89</f>
        <v>0</v>
      </c>
      <c r="F2386" s="390">
        <f>'UH1 FGD'!$F$89</f>
        <v>0</v>
      </c>
      <c r="G2386" s="390">
        <f>'UH1 FGD'!$G$89</f>
        <v>0</v>
      </c>
      <c r="H2386" s="390">
        <f>'UH1 FGD'!$H$89</f>
        <v>0</v>
      </c>
      <c r="I2386" s="390">
        <f>'UH1 FGD'!$I$89</f>
        <v>0</v>
      </c>
      <c r="J2386" s="390">
        <f>'UH1 FGD'!$J$89</f>
        <v>0</v>
      </c>
      <c r="K2386" s="390">
        <f>'UH1 FGD'!$K$89</f>
        <v>0</v>
      </c>
      <c r="L2386" s="390">
        <f>'UH1 FGD'!$L$89</f>
        <v>0</v>
      </c>
      <c r="M2386" s="390">
        <f>'UH1 FGD'!$M$89</f>
        <v>0</v>
      </c>
    </row>
    <row r="2387" spans="2:13" s="160" customFormat="1" ht="12.75" hidden="1" customHeight="1" outlineLevel="1">
      <c r="B2387" s="674" t="str">
        <f>'UHCL FGD'!$B$2</f>
        <v>University of Houston - Clear Lake</v>
      </c>
      <c r="D2387" s="390">
        <f>'UHCL FGD'!$D$89</f>
        <v>0</v>
      </c>
      <c r="E2387" s="390">
        <f>'UHCL FGD'!$E$89</f>
        <v>0</v>
      </c>
      <c r="F2387" s="390">
        <f>'UHCL FGD'!$F$89</f>
        <v>0</v>
      </c>
      <c r="G2387" s="390">
        <f>'UHCL FGD'!$G$89</f>
        <v>0</v>
      </c>
      <c r="H2387" s="390">
        <f>'UHCL FGD'!$H$89</f>
        <v>0</v>
      </c>
      <c r="I2387" s="390">
        <f>'UHCL FGD'!$I$89</f>
        <v>0</v>
      </c>
      <c r="J2387" s="390">
        <f>'UHCL FGD'!$J$89</f>
        <v>0</v>
      </c>
      <c r="K2387" s="390">
        <f>'UHCL FGD'!$K$89</f>
        <v>0</v>
      </c>
      <c r="L2387" s="390">
        <f>'UHCL FGD'!$L$89</f>
        <v>0</v>
      </c>
      <c r="M2387" s="390">
        <f>'UHCL FGD'!$M$89</f>
        <v>0</v>
      </c>
    </row>
    <row r="2388" spans="2:13" s="160" customFormat="1" ht="12.75" hidden="1" customHeight="1" outlineLevel="1">
      <c r="B2388" s="674" t="str">
        <f>'UHD FGD'!$B$2</f>
        <v>University of Houston - Downtown</v>
      </c>
      <c r="D2388" s="390">
        <f>'UHD FGD'!$D$89</f>
        <v>0</v>
      </c>
      <c r="E2388" s="390">
        <f>'UHD FGD'!$E$89</f>
        <v>0</v>
      </c>
      <c r="F2388" s="390">
        <f>'UHD FGD'!$F$89</f>
        <v>0</v>
      </c>
      <c r="G2388" s="390">
        <f>'UHD FGD'!$G$89</f>
        <v>0</v>
      </c>
      <c r="H2388" s="390">
        <f>'UHD FGD'!$H$89</f>
        <v>0</v>
      </c>
      <c r="I2388" s="390">
        <f>'UHD FGD'!$I$89</f>
        <v>0</v>
      </c>
      <c r="J2388" s="390">
        <f>'UHD FGD'!$J$89</f>
        <v>0</v>
      </c>
      <c r="K2388" s="390">
        <f>'UHD FGD'!$K$89</f>
        <v>0</v>
      </c>
      <c r="L2388" s="390">
        <f>'UHD FGD'!$L$89</f>
        <v>0</v>
      </c>
      <c r="M2388" s="390">
        <f>'UHD FGD'!$M$89</f>
        <v>0</v>
      </c>
    </row>
    <row r="2389" spans="2:13" s="160" customFormat="1" ht="12.75" hidden="1" customHeight="1" outlineLevel="1">
      <c r="B2389" s="674" t="str">
        <f>'UHV FGD'!$B$2</f>
        <v>University of Houston - Victoria</v>
      </c>
      <c r="D2389" s="390">
        <f>'UHV FGD'!$D$89</f>
        <v>0</v>
      </c>
      <c r="E2389" s="390">
        <f>'UHV FGD'!$E$89</f>
        <v>0</v>
      </c>
      <c r="F2389" s="390">
        <f>'UHV FGD'!$F$89</f>
        <v>0</v>
      </c>
      <c r="G2389" s="390">
        <f>'UHV FGD'!$G$89</f>
        <v>0</v>
      </c>
      <c r="H2389" s="390">
        <f>'UHV FGD'!$H$89</f>
        <v>0</v>
      </c>
      <c r="I2389" s="390">
        <f>'UHV FGD'!$I$89</f>
        <v>0</v>
      </c>
      <c r="J2389" s="390">
        <f>'UHV FGD'!$J$89</f>
        <v>0</v>
      </c>
      <c r="K2389" s="390">
        <f>'UHV FGD'!$K$89</f>
        <v>0</v>
      </c>
      <c r="L2389" s="390">
        <f>'UHV FGD'!$L$89</f>
        <v>0</v>
      </c>
      <c r="M2389" s="390">
        <f>'UHV FGD'!$M$89</f>
        <v>0</v>
      </c>
    </row>
    <row r="2390" spans="2:13" s="160" customFormat="1" ht="12.75" hidden="1" customHeight="1" outlineLevel="1">
      <c r="B2390" s="674" t="str">
        <f>'UNT FGD'!$B$2</f>
        <v>University of North Texas</v>
      </c>
      <c r="D2390" s="390">
        <f>'UNT FGD'!$D$89</f>
        <v>0</v>
      </c>
      <c r="E2390" s="390">
        <f>'UNT FGD'!$E$89</f>
        <v>0</v>
      </c>
      <c r="F2390" s="390">
        <f>'UNT FGD'!$F$89</f>
        <v>0</v>
      </c>
      <c r="G2390" s="390">
        <f>'UNT FGD'!$G$89</f>
        <v>0</v>
      </c>
      <c r="H2390" s="390">
        <f>'UNT FGD'!$H$89</f>
        <v>0</v>
      </c>
      <c r="I2390" s="390">
        <f>'UNT FGD'!$I$89</f>
        <v>0</v>
      </c>
      <c r="J2390" s="390">
        <f>'UNT FGD'!$J$89</f>
        <v>0</v>
      </c>
      <c r="K2390" s="390">
        <f>'UNT FGD'!$K$89</f>
        <v>0</v>
      </c>
      <c r="L2390" s="390">
        <f>'UNT FGD'!$L$89</f>
        <v>0</v>
      </c>
      <c r="M2390" s="390">
        <f>'UNT FGD'!$M$89</f>
        <v>0</v>
      </c>
    </row>
    <row r="2391" spans="2:13" s="160" customFormat="1" ht="12.75" hidden="1" customHeight="1" outlineLevel="1">
      <c r="B2391" s="674" t="str">
        <f>'UNTD FGD'!$B$2</f>
        <v>University of North Texas at Dallas</v>
      </c>
      <c r="D2391" s="390">
        <f>'UNTD FGD'!$D$89</f>
        <v>0</v>
      </c>
      <c r="E2391" s="390">
        <f>'UNTD FGD'!$E$89</f>
        <v>0</v>
      </c>
      <c r="F2391" s="390">
        <f>'UNTD FGD'!$F$89</f>
        <v>0</v>
      </c>
      <c r="G2391" s="390">
        <f>'UNTD FGD'!$G$89</f>
        <v>0</v>
      </c>
      <c r="H2391" s="390">
        <f>'UNTD FGD'!$H$89</f>
        <v>0</v>
      </c>
      <c r="I2391" s="390">
        <f>'UNTD FGD'!$I$89</f>
        <v>0</v>
      </c>
      <c r="J2391" s="390">
        <f>'UNTD FGD'!$J$89</f>
        <v>0</v>
      </c>
      <c r="K2391" s="390">
        <f>'UNTD FGD'!$K$89</f>
        <v>0</v>
      </c>
      <c r="L2391" s="390">
        <f>'UNTD FGD'!$L$89</f>
        <v>0</v>
      </c>
      <c r="M2391" s="390">
        <f>'UNTD FGD'!$M$89</f>
        <v>0</v>
      </c>
    </row>
    <row r="2392" spans="2:13" s="160" customFormat="1" ht="12.75" hidden="1" customHeight="1" outlineLevel="1">
      <c r="B2392" s="674" t="str">
        <f>'WTAMU FGD'!$B$2</f>
        <v>West Texas A&amp;M University</v>
      </c>
      <c r="D2392" s="390">
        <f>'WTAMU FGD'!$D$89</f>
        <v>0</v>
      </c>
      <c r="E2392" s="390">
        <f>'WTAMU FGD'!$E$89</f>
        <v>0</v>
      </c>
      <c r="F2392" s="390">
        <f>'WTAMU FGD'!$F$89</f>
        <v>0</v>
      </c>
      <c r="G2392" s="390">
        <f>'WTAMU FGD'!$G$89</f>
        <v>0</v>
      </c>
      <c r="H2392" s="390">
        <f>'WTAMU FGD'!$H$89</f>
        <v>0</v>
      </c>
      <c r="I2392" s="390">
        <f>'WTAMU FGD'!$I$89</f>
        <v>0</v>
      </c>
      <c r="J2392" s="390">
        <f>'WTAMU FGD'!$J$89</f>
        <v>0</v>
      </c>
      <c r="K2392" s="390">
        <f>'WTAMU FGD'!$K$89</f>
        <v>0</v>
      </c>
      <c r="L2392" s="390">
        <f>'WTAMU FGD'!$L$89</f>
        <v>0</v>
      </c>
      <c r="M2392" s="390">
        <f>'WTAMU FGD'!$M$89</f>
        <v>0</v>
      </c>
    </row>
    <row r="2393" spans="2:13" s="160" customFormat="1" collapsed="1">
      <c r="B2393" s="171" t="s">
        <v>216</v>
      </c>
      <c r="C2393" s="171"/>
      <c r="D2393" s="390">
        <f t="shared" ref="D2393:M2393" si="63">SUM(D2357:D2392)</f>
        <v>0</v>
      </c>
      <c r="E2393" s="390">
        <f t="shared" si="63"/>
        <v>0</v>
      </c>
      <c r="F2393" s="390">
        <f t="shared" si="63"/>
        <v>0</v>
      </c>
      <c r="G2393" s="390">
        <f t="shared" si="63"/>
        <v>0</v>
      </c>
      <c r="H2393" s="390">
        <f t="shared" si="63"/>
        <v>0</v>
      </c>
      <c r="I2393" s="390">
        <f t="shared" si="63"/>
        <v>0</v>
      </c>
      <c r="J2393" s="390">
        <f t="shared" si="63"/>
        <v>0</v>
      </c>
      <c r="K2393" s="390">
        <f t="shared" si="63"/>
        <v>0</v>
      </c>
      <c r="L2393" s="390">
        <f t="shared" si="63"/>
        <v>401959420</v>
      </c>
      <c r="M2393" s="390">
        <f t="shared" si="63"/>
        <v>401959420</v>
      </c>
    </row>
    <row r="2394" spans="2:13" s="160" customFormat="1" ht="12.75" hidden="1" customHeight="1" outlineLevel="1">
      <c r="B2394" s="674" t="str">
        <f>'ARL FGD'!$B$2</f>
        <v>The University of Texas at Arlington</v>
      </c>
      <c r="C2394" s="171"/>
      <c r="D2394" s="390">
        <f>'ARL FGD'!$D$90</f>
        <v>0</v>
      </c>
      <c r="E2394" s="390">
        <f>'ARL FGD'!$E$90</f>
        <v>0</v>
      </c>
      <c r="F2394" s="390">
        <f>'ARL FGD'!$F$90</f>
        <v>0</v>
      </c>
      <c r="G2394" s="390">
        <f>'ARL FGD'!$G$90</f>
        <v>0</v>
      </c>
      <c r="H2394" s="390">
        <f>'ARL FGD'!$H$90</f>
        <v>0</v>
      </c>
      <c r="I2394" s="390">
        <f>'ARL FGD'!$I$90</f>
        <v>0</v>
      </c>
      <c r="J2394" s="390">
        <f>'ARL FGD'!$J$90</f>
        <v>0</v>
      </c>
      <c r="K2394" s="390">
        <f>'ARL FGD'!$K$90</f>
        <v>0</v>
      </c>
      <c r="L2394" s="390">
        <f>'ARL FGD'!$L$90</f>
        <v>0</v>
      </c>
      <c r="M2394" s="390">
        <f>'ARL FGD'!$M$90</f>
        <v>0</v>
      </c>
    </row>
    <row r="2395" spans="2:13" s="160" customFormat="1" ht="12.75" hidden="1" customHeight="1" outlineLevel="1">
      <c r="B2395" s="674" t="str">
        <f>'ASU FGD'!$B$2</f>
        <v>Angelo State University</v>
      </c>
      <c r="C2395" s="171"/>
      <c r="D2395" s="390">
        <f>'ASU FGD'!$D$90</f>
        <v>0</v>
      </c>
      <c r="E2395" s="390">
        <f>'ASU FGD'!$E$90</f>
        <v>0</v>
      </c>
      <c r="F2395" s="390">
        <f>'ASU FGD'!$F$90</f>
        <v>0</v>
      </c>
      <c r="G2395" s="390">
        <f>'ASU FGD'!$G$90</f>
        <v>0</v>
      </c>
      <c r="H2395" s="390">
        <f>'ASU FGD'!$H$90</f>
        <v>0</v>
      </c>
      <c r="I2395" s="390">
        <f>'ASU FGD'!$I$90</f>
        <v>0</v>
      </c>
      <c r="J2395" s="390">
        <f>'ASU FGD'!$J$90</f>
        <v>0</v>
      </c>
      <c r="K2395" s="390">
        <f>'ASU FGD'!$K$90</f>
        <v>0</v>
      </c>
      <c r="L2395" s="390">
        <f>'ASU FGD'!$L$90</f>
        <v>0</v>
      </c>
      <c r="M2395" s="390">
        <f>'ASU FGD'!$M$90</f>
        <v>0</v>
      </c>
    </row>
    <row r="2396" spans="2:13" s="160" customFormat="1" ht="12.75" hidden="1" customHeight="1" outlineLevel="1">
      <c r="B2396" s="674" t="str">
        <f>'AUS1 FGD'!$B$2</f>
        <v>The University of Texas at Austin - Academic &amp; Health (A+H)</v>
      </c>
      <c r="C2396" s="171"/>
      <c r="D2396" s="390">
        <f>'AUS1 FGD'!$D$90</f>
        <v>0</v>
      </c>
      <c r="E2396" s="390">
        <f>'AUS1 FGD'!$E$90</f>
        <v>0</v>
      </c>
      <c r="F2396" s="390">
        <f>'AUS1 FGD'!$F$90</f>
        <v>0</v>
      </c>
      <c r="G2396" s="390">
        <f>'AUS1 FGD'!$G$90</f>
        <v>0</v>
      </c>
      <c r="H2396" s="390">
        <f>'AUS1 FGD'!$H$90</f>
        <v>0</v>
      </c>
      <c r="I2396" s="390">
        <f>'AUS1 FGD'!$I$90</f>
        <v>0</v>
      </c>
      <c r="J2396" s="390">
        <f>'AUS1 FGD'!$J$90</f>
        <v>0</v>
      </c>
      <c r="K2396" s="390">
        <f>'AUS1 FGD'!$K$90</f>
        <v>0</v>
      </c>
      <c r="L2396" s="390">
        <f>'AUS1 FGD'!$L$90</f>
        <v>0</v>
      </c>
      <c r="M2396" s="390">
        <f>'AUS1 FGD'!$M$90</f>
        <v>0</v>
      </c>
    </row>
    <row r="2397" spans="2:13" s="160" customFormat="1" ht="12.75" hidden="1" customHeight="1" outlineLevel="1">
      <c r="B2397" s="674" t="str">
        <f>'RGV1 FGD'!$B$2</f>
        <v>The University of Texas RGV - Academic &amp; Health (A+H)</v>
      </c>
      <c r="C2397" s="171"/>
      <c r="D2397" s="390">
        <f>'RGV1 FGD'!$D$90</f>
        <v>0</v>
      </c>
      <c r="E2397" s="390">
        <f>'RGV1 FGD'!$E$90</f>
        <v>0</v>
      </c>
      <c r="F2397" s="390">
        <f>'RGV1 FGD'!$F$90</f>
        <v>0</v>
      </c>
      <c r="G2397" s="390">
        <f>'RGV1 FGD'!$G$90</f>
        <v>0</v>
      </c>
      <c r="H2397" s="390">
        <f>'RGV1 FGD'!$H$90</f>
        <v>0</v>
      </c>
      <c r="I2397" s="390">
        <f>'RGV1 FGD'!$I$90</f>
        <v>0</v>
      </c>
      <c r="J2397" s="390">
        <f>'RGV1 FGD'!$J$90</f>
        <v>0</v>
      </c>
      <c r="K2397" s="390">
        <f>'RGV1 FGD'!$K$90</f>
        <v>0</v>
      </c>
      <c r="L2397" s="390">
        <f>'RGV1 FGD'!$L$90</f>
        <v>0</v>
      </c>
      <c r="M2397" s="390">
        <f>'RGV1 FGD'!$M$90</f>
        <v>0</v>
      </c>
    </row>
    <row r="2398" spans="2:13" s="160" customFormat="1" ht="12.75" hidden="1" customHeight="1" outlineLevel="1">
      <c r="B2398" s="674" t="str">
        <f>'DAL FGD'!$B$2</f>
        <v>The University of Texas at Dallas</v>
      </c>
      <c r="C2398" s="171"/>
      <c r="D2398" s="390">
        <f>'DAL FGD'!$D$90</f>
        <v>0</v>
      </c>
      <c r="E2398" s="390">
        <f>'DAL FGD'!$E$90</f>
        <v>0</v>
      </c>
      <c r="F2398" s="390">
        <f>'DAL FGD'!$F$90</f>
        <v>0</v>
      </c>
      <c r="G2398" s="390">
        <f>'DAL FGD'!$G$90</f>
        <v>0</v>
      </c>
      <c r="H2398" s="390">
        <f>'DAL FGD'!$H$90</f>
        <v>0</v>
      </c>
      <c r="I2398" s="390">
        <f>'DAL FGD'!$I$90</f>
        <v>0</v>
      </c>
      <c r="J2398" s="390">
        <f>'DAL FGD'!$J$90</f>
        <v>0</v>
      </c>
      <c r="K2398" s="390">
        <f>'DAL FGD'!$K$90</f>
        <v>0</v>
      </c>
      <c r="L2398" s="390">
        <f>'DAL FGD'!$L$90</f>
        <v>0</v>
      </c>
      <c r="M2398" s="390">
        <f>'DAL FGD'!$M$90</f>
        <v>0</v>
      </c>
    </row>
    <row r="2399" spans="2:13" s="160" customFormat="1" ht="12.75" hidden="1" customHeight="1" outlineLevel="1">
      <c r="B2399" s="674" t="str">
        <f>'E-P FGD'!$B$2</f>
        <v>The University of Texas at El Paso</v>
      </c>
      <c r="C2399" s="171"/>
      <c r="D2399" s="390">
        <f>'E-P FGD'!$D$90</f>
        <v>0</v>
      </c>
      <c r="E2399" s="390">
        <f>'E-P FGD'!$E$90</f>
        <v>0</v>
      </c>
      <c r="F2399" s="390">
        <f>'E-P FGD'!$F$90</f>
        <v>0</v>
      </c>
      <c r="G2399" s="390">
        <f>'E-P FGD'!$G$90</f>
        <v>0</v>
      </c>
      <c r="H2399" s="390">
        <f>'E-P FGD'!$H$90</f>
        <v>0</v>
      </c>
      <c r="I2399" s="390">
        <f>'E-P FGD'!$I$90</f>
        <v>0</v>
      </c>
      <c r="J2399" s="390">
        <f>'E-P FGD'!$J$90</f>
        <v>0</v>
      </c>
      <c r="K2399" s="390">
        <f>'E-P FGD'!$K$90</f>
        <v>0</v>
      </c>
      <c r="L2399" s="390">
        <f>'E-P FGD'!$L$90</f>
        <v>0</v>
      </c>
      <c r="M2399" s="390">
        <f>'E-P FGD'!$M$90</f>
        <v>0</v>
      </c>
    </row>
    <row r="2400" spans="2:13" s="160" customFormat="1" ht="12.75" hidden="1" customHeight="1" outlineLevel="1">
      <c r="B2400" s="674" t="str">
        <f>'LU FGD'!$B$2</f>
        <v xml:space="preserve">Lamar University </v>
      </c>
      <c r="C2400" s="171"/>
      <c r="D2400" s="390">
        <f>'LU FGD'!$D$90</f>
        <v>0</v>
      </c>
      <c r="E2400" s="390">
        <f>'LU FGD'!$E$90</f>
        <v>0</v>
      </c>
      <c r="F2400" s="390">
        <f>'LU FGD'!$F$90</f>
        <v>0</v>
      </c>
      <c r="G2400" s="390">
        <f>'LU FGD'!$G$90</f>
        <v>0</v>
      </c>
      <c r="H2400" s="390">
        <f>'LU FGD'!$H$90</f>
        <v>0</v>
      </c>
      <c r="I2400" s="390">
        <f>'LU FGD'!$I$90</f>
        <v>0</v>
      </c>
      <c r="J2400" s="390">
        <f>'LU FGD'!$J$90</f>
        <v>0</v>
      </c>
      <c r="K2400" s="390">
        <f>'LU FGD'!$K$90</f>
        <v>0</v>
      </c>
      <c r="L2400" s="390">
        <f>'LU FGD'!$L$90</f>
        <v>0</v>
      </c>
      <c r="M2400" s="390">
        <f>'LU FGD'!$M$90</f>
        <v>0</v>
      </c>
    </row>
    <row r="2401" spans="2:13" s="160" customFormat="1" ht="12.75" hidden="1" customHeight="1" outlineLevel="1">
      <c r="B2401" s="674" t="str">
        <f>'MidWST FGD'!$B$2</f>
        <v>Midwestern State University</v>
      </c>
      <c r="C2401" s="171"/>
      <c r="D2401" s="390">
        <f>'MidWST FGD'!$D$90</f>
        <v>0</v>
      </c>
      <c r="E2401" s="390">
        <f>'MidWST FGD'!$E$90</f>
        <v>0</v>
      </c>
      <c r="F2401" s="390">
        <f>'MidWST FGD'!$F$90</f>
        <v>0</v>
      </c>
      <c r="G2401" s="390">
        <f>'MidWST FGD'!$G$90</f>
        <v>0</v>
      </c>
      <c r="H2401" s="390">
        <f>'MidWST FGD'!$H$90</f>
        <v>0</v>
      </c>
      <c r="I2401" s="390">
        <f>'MidWST FGD'!$I$90</f>
        <v>0</v>
      </c>
      <c r="J2401" s="390">
        <f>'MidWST FGD'!$J$90</f>
        <v>0</v>
      </c>
      <c r="K2401" s="390">
        <f>'MidWST FGD'!$K$90</f>
        <v>0</v>
      </c>
      <c r="L2401" s="390">
        <f>'MidWST FGD'!$L$90</f>
        <v>0</v>
      </c>
      <c r="M2401" s="390">
        <f>'MidWST FGD'!$M$90</f>
        <v>0</v>
      </c>
    </row>
    <row r="2402" spans="2:13" s="160" customFormat="1" ht="12.75" hidden="1" customHeight="1" outlineLevel="1">
      <c r="B2402" s="674" t="str">
        <f>'P-B FGD'!$B$2</f>
        <v>The University of Texas of the Permian Basin</v>
      </c>
      <c r="C2402" s="171"/>
      <c r="D2402" s="390">
        <f>'P-B FGD'!$D$90</f>
        <v>0</v>
      </c>
      <c r="E2402" s="390">
        <f>'P-B FGD'!$E$90</f>
        <v>0</v>
      </c>
      <c r="F2402" s="390">
        <f>'P-B FGD'!$F$90</f>
        <v>0</v>
      </c>
      <c r="G2402" s="390">
        <f>'P-B FGD'!$G$90</f>
        <v>0</v>
      </c>
      <c r="H2402" s="390">
        <f>'P-B FGD'!$H$90</f>
        <v>0</v>
      </c>
      <c r="I2402" s="390">
        <f>'P-B FGD'!$I$90</f>
        <v>0</v>
      </c>
      <c r="J2402" s="390">
        <f>'P-B FGD'!$J$90</f>
        <v>0</v>
      </c>
      <c r="K2402" s="390">
        <f>'P-B FGD'!$K$90</f>
        <v>0</v>
      </c>
      <c r="L2402" s="390">
        <f>'P-B FGD'!$L$90</f>
        <v>0</v>
      </c>
      <c r="M2402" s="390">
        <f>'P-B FGD'!$M$90</f>
        <v>0</v>
      </c>
    </row>
    <row r="2403" spans="2:13" s="160" customFormat="1" ht="12.75" hidden="1" customHeight="1" outlineLevel="1">
      <c r="B2403" s="674" t="str">
        <f>'PVAMU FGD'!$B$2</f>
        <v>Prairie View A&amp;M University</v>
      </c>
      <c r="C2403" s="171"/>
      <c r="D2403" s="390">
        <f>'PVAMU FGD'!$D$90</f>
        <v>0</v>
      </c>
      <c r="E2403" s="390">
        <f>'PVAMU FGD'!$E$90</f>
        <v>0</v>
      </c>
      <c r="F2403" s="390">
        <f>'PVAMU FGD'!$F$90</f>
        <v>0</v>
      </c>
      <c r="G2403" s="390">
        <f>'PVAMU FGD'!$G$90</f>
        <v>0</v>
      </c>
      <c r="H2403" s="390">
        <f>'PVAMU FGD'!$H$90</f>
        <v>0</v>
      </c>
      <c r="I2403" s="390">
        <f>'PVAMU FGD'!$I$90</f>
        <v>0</v>
      </c>
      <c r="J2403" s="390">
        <f>'PVAMU FGD'!$J$90</f>
        <v>0</v>
      </c>
      <c r="K2403" s="390">
        <f>'PVAMU FGD'!$K$90</f>
        <v>0</v>
      </c>
      <c r="L2403" s="390">
        <f>'PVAMU FGD'!$L$90</f>
        <v>0</v>
      </c>
      <c r="M2403" s="390">
        <f>'PVAMU FGD'!$M$90</f>
        <v>0</v>
      </c>
    </row>
    <row r="2404" spans="2:13" s="160" customFormat="1" ht="12.75" hidden="1" customHeight="1" outlineLevel="1">
      <c r="B2404" s="674" t="str">
        <f>'S-A FGD'!$B$2</f>
        <v>The University of Texas at San Antonio</v>
      </c>
      <c r="C2404" s="171"/>
      <c r="D2404" s="390">
        <f>'S-A FGD'!$D$90</f>
        <v>0</v>
      </c>
      <c r="E2404" s="390">
        <f>'S-A FGD'!$E$90</f>
        <v>0</v>
      </c>
      <c r="F2404" s="390">
        <f>'S-A FGD'!$F$90</f>
        <v>0</v>
      </c>
      <c r="G2404" s="390">
        <f>'S-A FGD'!$G$90</f>
        <v>0</v>
      </c>
      <c r="H2404" s="390">
        <f>'S-A FGD'!$H$90</f>
        <v>0</v>
      </c>
      <c r="I2404" s="390">
        <f>'S-A FGD'!$I$90</f>
        <v>0</v>
      </c>
      <c r="J2404" s="390">
        <f>'S-A FGD'!$J$90</f>
        <v>0</v>
      </c>
      <c r="K2404" s="390">
        <f>'S-A FGD'!$K$90</f>
        <v>0</v>
      </c>
      <c r="L2404" s="390">
        <f>'S-A FGD'!$L$90</f>
        <v>0</v>
      </c>
      <c r="M2404" s="390">
        <f>'S-A FGD'!$M$90</f>
        <v>0</v>
      </c>
    </row>
    <row r="2405" spans="2:13" s="160" customFormat="1" ht="12.75" hidden="1" customHeight="1" outlineLevel="1">
      <c r="B2405" s="674" t="str">
        <f>'SFA FGD'!$B$2</f>
        <v>Stephen F. Austin State University</v>
      </c>
      <c r="C2405" s="171"/>
      <c r="D2405" s="390">
        <f>'SFA FGD'!$D$90</f>
        <v>0</v>
      </c>
      <c r="E2405" s="390">
        <f>'SFA FGD'!$E$90</f>
        <v>0</v>
      </c>
      <c r="F2405" s="390">
        <f>'SFA FGD'!$F$90</f>
        <v>0</v>
      </c>
      <c r="G2405" s="390">
        <f>'SFA FGD'!$G$90</f>
        <v>0</v>
      </c>
      <c r="H2405" s="390">
        <f>'SFA FGD'!$H$90</f>
        <v>0</v>
      </c>
      <c r="I2405" s="390">
        <f>'SFA FGD'!$I$90</f>
        <v>0</v>
      </c>
      <c r="J2405" s="390">
        <f>'SFA FGD'!$J$90</f>
        <v>0</v>
      </c>
      <c r="K2405" s="390">
        <f>'SFA FGD'!$K$90</f>
        <v>0</v>
      </c>
      <c r="L2405" s="390">
        <f>'SFA FGD'!$L$90</f>
        <v>0</v>
      </c>
      <c r="M2405" s="390">
        <f>'SFA FGD'!$M$90</f>
        <v>0</v>
      </c>
    </row>
    <row r="2406" spans="2:13" s="160" customFormat="1" ht="12.75" hidden="1" customHeight="1" outlineLevel="1">
      <c r="B2406" s="674" t="str">
        <f>'shsu1 FGD'!$B$2</f>
        <v>Sam Houston State University - Academic &amp; Health (A+H)</v>
      </c>
      <c r="C2406" s="171"/>
      <c r="D2406" s="390">
        <f>'shsu1 FGD'!$D$90</f>
        <v>0</v>
      </c>
      <c r="E2406" s="390">
        <f>'shsu1 FGD'!$E$90</f>
        <v>0</v>
      </c>
      <c r="F2406" s="390">
        <f>'shsu1 FGD'!$F$90</f>
        <v>0</v>
      </c>
      <c r="G2406" s="390">
        <f>'shsu1 FGD'!$G$90</f>
        <v>0</v>
      </c>
      <c r="H2406" s="390">
        <f>'shsu1 FGD'!$H$90</f>
        <v>0</v>
      </c>
      <c r="I2406" s="390">
        <f>'shsu1 FGD'!$I$90</f>
        <v>0</v>
      </c>
      <c r="J2406" s="390">
        <f>'shsu1 FGD'!$J$90</f>
        <v>0</v>
      </c>
      <c r="K2406" s="390">
        <f>'shsu1 FGD'!$K$90</f>
        <v>0</v>
      </c>
      <c r="L2406" s="390">
        <f>'shsu1 FGD'!$L$90</f>
        <v>0</v>
      </c>
      <c r="M2406" s="390">
        <f>'shsu1 FGD'!$M$90</f>
        <v>0</v>
      </c>
    </row>
    <row r="2407" spans="2:13" s="160" customFormat="1" ht="12.75" hidden="1" customHeight="1" outlineLevel="1">
      <c r="B2407" s="674" t="str">
        <f>'SRSU FGD'!$B$2</f>
        <v>Sul Ross State University</v>
      </c>
      <c r="C2407" s="171"/>
      <c r="D2407" s="390">
        <f>'SRSU FGD'!$D$90</f>
        <v>0</v>
      </c>
      <c r="E2407" s="390">
        <f>'SRSU FGD'!$E$90</f>
        <v>0</v>
      </c>
      <c r="F2407" s="390">
        <f>'SRSU FGD'!$F$90</f>
        <v>0</v>
      </c>
      <c r="G2407" s="390">
        <f>'SRSU FGD'!$G$90</f>
        <v>0</v>
      </c>
      <c r="H2407" s="390">
        <f>'SRSU FGD'!$H$90</f>
        <v>0</v>
      </c>
      <c r="I2407" s="390">
        <f>'SRSU FGD'!$I$90</f>
        <v>0</v>
      </c>
      <c r="J2407" s="390">
        <f>'SRSU FGD'!$J$90</f>
        <v>0</v>
      </c>
      <c r="K2407" s="390">
        <f>'SRSU FGD'!$K$90</f>
        <v>0</v>
      </c>
      <c r="L2407" s="390">
        <f>'SRSU FGD'!$L$90</f>
        <v>0</v>
      </c>
      <c r="M2407" s="390">
        <f>'SRSU FGD'!$M$90</f>
        <v>0</v>
      </c>
    </row>
    <row r="2408" spans="2:13" s="160" customFormat="1" ht="12.75" hidden="1" customHeight="1" outlineLevel="1">
      <c r="B2408" s="674" t="str">
        <f>'TAMIU FGD'!$B$2</f>
        <v>Texas A&amp;M International University</v>
      </c>
      <c r="C2408" s="171"/>
      <c r="D2408" s="390">
        <f>'TAMIU FGD'!$D$90</f>
        <v>0</v>
      </c>
      <c r="E2408" s="390">
        <f>'TAMIU FGD'!$E$90</f>
        <v>0</v>
      </c>
      <c r="F2408" s="390">
        <f>'TAMIU FGD'!$F$90</f>
        <v>0</v>
      </c>
      <c r="G2408" s="390">
        <f>'TAMIU FGD'!$G$90</f>
        <v>0</v>
      </c>
      <c r="H2408" s="390">
        <f>'TAMIU FGD'!$H$90</f>
        <v>0</v>
      </c>
      <c r="I2408" s="390">
        <f>'TAMIU FGD'!$I$90</f>
        <v>0</v>
      </c>
      <c r="J2408" s="390">
        <f>'TAMIU FGD'!$J$90</f>
        <v>0</v>
      </c>
      <c r="K2408" s="390">
        <f>'TAMIU FGD'!$K$90</f>
        <v>0</v>
      </c>
      <c r="L2408" s="390">
        <f>'TAMIU FGD'!$L$90</f>
        <v>0</v>
      </c>
      <c r="M2408" s="390">
        <f>'TAMIU FGD'!$M$90</f>
        <v>0</v>
      </c>
    </row>
    <row r="2409" spans="2:13" s="160" customFormat="1" ht="12.75" hidden="1" customHeight="1" outlineLevel="1">
      <c r="B2409" s="674" t="str">
        <f>'TAMU FGD'!$B$2</f>
        <v>Texas A&amp;M University</v>
      </c>
      <c r="C2409" s="171"/>
      <c r="D2409" s="390">
        <f>'TAMU FGD'!$D$90</f>
        <v>0</v>
      </c>
      <c r="E2409" s="390">
        <f>'TAMU FGD'!$E$90</f>
        <v>0</v>
      </c>
      <c r="F2409" s="390">
        <f>'TAMU FGD'!$F$90</f>
        <v>0</v>
      </c>
      <c r="G2409" s="390">
        <f>'TAMU FGD'!$G$90</f>
        <v>0</v>
      </c>
      <c r="H2409" s="390">
        <f>'TAMU FGD'!$H$90</f>
        <v>0</v>
      </c>
      <c r="I2409" s="390">
        <f>'TAMU FGD'!$I$90</f>
        <v>0</v>
      </c>
      <c r="J2409" s="390">
        <f>'TAMU FGD'!$J$90</f>
        <v>0</v>
      </c>
      <c r="K2409" s="390">
        <f>'TAMU FGD'!$K$90</f>
        <v>0</v>
      </c>
      <c r="L2409" s="390">
        <f>'TAMU FGD'!$L$90</f>
        <v>0</v>
      </c>
      <c r="M2409" s="390">
        <f>'TAMU FGD'!$M$90</f>
        <v>0</v>
      </c>
    </row>
    <row r="2410" spans="2:13" s="160" customFormat="1" ht="12.75" hidden="1" customHeight="1" outlineLevel="1">
      <c r="B2410" s="674" t="str">
        <f>'TAMUC FGD'!$B$2</f>
        <v>Texas A&amp;M University - Commerce</v>
      </c>
      <c r="C2410" s="171"/>
      <c r="D2410" s="390">
        <f>'TAMUC FGD'!$D$90</f>
        <v>0</v>
      </c>
      <c r="E2410" s="390">
        <f>'TAMUC FGD'!$E$90</f>
        <v>0</v>
      </c>
      <c r="F2410" s="390">
        <f>'TAMUC FGD'!$F$90</f>
        <v>0</v>
      </c>
      <c r="G2410" s="390">
        <f>'TAMUC FGD'!$G$90</f>
        <v>0</v>
      </c>
      <c r="H2410" s="390">
        <f>'TAMUC FGD'!$H$90</f>
        <v>0</v>
      </c>
      <c r="I2410" s="390">
        <f>'TAMUC FGD'!$I$90</f>
        <v>0</v>
      </c>
      <c r="J2410" s="390">
        <f>'TAMUC FGD'!$J$90</f>
        <v>0</v>
      </c>
      <c r="K2410" s="390">
        <f>'TAMUC FGD'!$K$90</f>
        <v>0</v>
      </c>
      <c r="L2410" s="390">
        <f>'TAMUC FGD'!$L$90</f>
        <v>0</v>
      </c>
      <c r="M2410" s="390">
        <f>'TAMUC FGD'!$M$90</f>
        <v>0</v>
      </c>
    </row>
    <row r="2411" spans="2:13" s="160" customFormat="1" ht="12.75" hidden="1" customHeight="1" outlineLevel="1">
      <c r="B2411" s="674" t="str">
        <f>'TAMUCC FGD'!$B$2</f>
        <v>Texas A&amp;M University - Corpus Christi</v>
      </c>
      <c r="C2411" s="171"/>
      <c r="D2411" s="390">
        <f>'TAMUCC FGD'!$D$90</f>
        <v>0</v>
      </c>
      <c r="E2411" s="390">
        <f>'TAMUCC FGD'!$E$90</f>
        <v>0</v>
      </c>
      <c r="F2411" s="390">
        <f>'TAMUCC FGD'!$F$90</f>
        <v>0</v>
      </c>
      <c r="G2411" s="390">
        <f>'TAMUCC FGD'!$G$90</f>
        <v>0</v>
      </c>
      <c r="H2411" s="390">
        <f>'TAMUCC FGD'!$H$90</f>
        <v>0</v>
      </c>
      <c r="I2411" s="390">
        <f>'TAMUCC FGD'!$I$90</f>
        <v>0</v>
      </c>
      <c r="J2411" s="390">
        <f>'TAMUCC FGD'!$J$90</f>
        <v>0</v>
      </c>
      <c r="K2411" s="390">
        <f>'TAMUCC FGD'!$K$90</f>
        <v>0</v>
      </c>
      <c r="L2411" s="390">
        <f>'TAMUCC FGD'!$L$90</f>
        <v>0</v>
      </c>
      <c r="M2411" s="390">
        <f>'TAMUCC FGD'!$M$90</f>
        <v>0</v>
      </c>
    </row>
    <row r="2412" spans="2:13" s="160" customFormat="1" ht="12.75" hidden="1" customHeight="1" outlineLevel="1">
      <c r="B2412" s="674" t="str">
        <f>'TAMUCT FGD'!$B$2</f>
        <v>Texas A&amp;M University - Central Texas</v>
      </c>
      <c r="C2412" s="171"/>
      <c r="D2412" s="390">
        <f>'TAMUCT FGD'!$D$90</f>
        <v>0</v>
      </c>
      <c r="E2412" s="390">
        <f>'TAMUCT FGD'!$E$90</f>
        <v>0</v>
      </c>
      <c r="F2412" s="390">
        <f>'TAMUCT FGD'!$F$90</f>
        <v>0</v>
      </c>
      <c r="G2412" s="390">
        <f>'TAMUCT FGD'!$G$90</f>
        <v>0</v>
      </c>
      <c r="H2412" s="390">
        <f>'TAMUCT FGD'!$H$90</f>
        <v>0</v>
      </c>
      <c r="I2412" s="390">
        <f>'TAMUCT FGD'!$I$90</f>
        <v>0</v>
      </c>
      <c r="J2412" s="390">
        <f>'TAMUCT FGD'!$J$90</f>
        <v>0</v>
      </c>
      <c r="K2412" s="390">
        <f>'TAMUCT FGD'!$K$90</f>
        <v>0</v>
      </c>
      <c r="L2412" s="390">
        <f>'TAMUCT FGD'!$L$90</f>
        <v>0</v>
      </c>
      <c r="M2412" s="390">
        <f>'TAMUCT FGD'!$M$90</f>
        <v>0</v>
      </c>
    </row>
    <row r="2413" spans="2:13" s="160" customFormat="1" ht="12.75" hidden="1" customHeight="1" outlineLevel="1">
      <c r="B2413" s="674" t="str">
        <f>'TAMUG FGD'!$B$2</f>
        <v>Texas A&amp;M University at Galveston</v>
      </c>
      <c r="C2413" s="171"/>
      <c r="D2413" s="390">
        <f>'TAMUG FGD'!$D$90</f>
        <v>0</v>
      </c>
      <c r="E2413" s="390">
        <f>'TAMUG FGD'!$E$90</f>
        <v>0</v>
      </c>
      <c r="F2413" s="390">
        <f>'TAMUG FGD'!$F$90</f>
        <v>0</v>
      </c>
      <c r="G2413" s="390">
        <f>'TAMUG FGD'!$G$90</f>
        <v>0</v>
      </c>
      <c r="H2413" s="390">
        <f>'TAMUG FGD'!$H$90</f>
        <v>0</v>
      </c>
      <c r="I2413" s="390">
        <f>'TAMUG FGD'!$I$90</f>
        <v>0</v>
      </c>
      <c r="J2413" s="390">
        <f>'TAMUG FGD'!$J$90</f>
        <v>0</v>
      </c>
      <c r="K2413" s="390">
        <f>'TAMUG FGD'!$K$90</f>
        <v>0</v>
      </c>
      <c r="L2413" s="390">
        <f>'TAMUG FGD'!$L$90</f>
        <v>0</v>
      </c>
      <c r="M2413" s="390">
        <f>'TAMUG FGD'!$M$90</f>
        <v>0</v>
      </c>
    </row>
    <row r="2414" spans="2:13" s="160" customFormat="1" ht="12.75" hidden="1" customHeight="1" outlineLevel="1">
      <c r="B2414" s="674" t="str">
        <f>'TAMUK FGD'!$B$2</f>
        <v>Texas A&amp;M University - Kingsville</v>
      </c>
      <c r="C2414" s="171"/>
      <c r="D2414" s="390">
        <f>'TAMUK FGD'!$D$90</f>
        <v>0</v>
      </c>
      <c r="E2414" s="390">
        <f>'TAMUK FGD'!$E$90</f>
        <v>0</v>
      </c>
      <c r="F2414" s="390">
        <f>'TAMUK FGD'!$F$90</f>
        <v>0</v>
      </c>
      <c r="G2414" s="390">
        <f>'TAMUK FGD'!$G$90</f>
        <v>0</v>
      </c>
      <c r="H2414" s="390">
        <f>'TAMUK FGD'!$H$90</f>
        <v>0</v>
      </c>
      <c r="I2414" s="390">
        <f>'TAMUK FGD'!$I$90</f>
        <v>0</v>
      </c>
      <c r="J2414" s="390">
        <f>'TAMUK FGD'!$J$90</f>
        <v>0</v>
      </c>
      <c r="K2414" s="390">
        <f>'TAMUK FGD'!$K$90</f>
        <v>0</v>
      </c>
      <c r="L2414" s="390">
        <f>'TAMUK FGD'!$L$90</f>
        <v>0</v>
      </c>
      <c r="M2414" s="390">
        <f>'TAMUK FGD'!$M$90</f>
        <v>0</v>
      </c>
    </row>
    <row r="2415" spans="2:13" s="160" customFormat="1" ht="12.75" hidden="1" customHeight="1" outlineLevel="1">
      <c r="B2415" s="674" t="str">
        <f>'TAMUSA FGD'!$B$2</f>
        <v>Texas A&amp;M University - San Antonio</v>
      </c>
      <c r="C2415" s="171"/>
      <c r="D2415" s="390">
        <f>'TAMUSA FGD'!$D$90</f>
        <v>0</v>
      </c>
      <c r="E2415" s="390">
        <f>'TAMUSA FGD'!$E$90</f>
        <v>0</v>
      </c>
      <c r="F2415" s="390">
        <f>'TAMUSA FGD'!$F$90</f>
        <v>0</v>
      </c>
      <c r="G2415" s="390">
        <f>'TAMUSA FGD'!$G$90</f>
        <v>0</v>
      </c>
      <c r="H2415" s="390">
        <f>'TAMUSA FGD'!$H$90</f>
        <v>0</v>
      </c>
      <c r="I2415" s="390">
        <f>'TAMUSA FGD'!$I$90</f>
        <v>0</v>
      </c>
      <c r="J2415" s="390">
        <f>'TAMUSA FGD'!$J$90</f>
        <v>0</v>
      </c>
      <c r="K2415" s="390">
        <f>'TAMUSA FGD'!$K$90</f>
        <v>0</v>
      </c>
      <c r="L2415" s="390">
        <f>'TAMUSA FGD'!$L$90</f>
        <v>0</v>
      </c>
      <c r="M2415" s="390">
        <f>'TAMUSA FGD'!$M$90</f>
        <v>0</v>
      </c>
    </row>
    <row r="2416" spans="2:13" s="160" customFormat="1" ht="12.75" hidden="1" customHeight="1" outlineLevel="1">
      <c r="B2416" s="674" t="str">
        <f>'TAMUT FGD'!$B$2</f>
        <v>Texas A&amp;M University - Texarkana</v>
      </c>
      <c r="C2416" s="171"/>
      <c r="D2416" s="390">
        <f>'TAMUT FGD'!$D$90</f>
        <v>0</v>
      </c>
      <c r="E2416" s="390">
        <f>'TAMUT FGD'!$E$90</f>
        <v>0</v>
      </c>
      <c r="F2416" s="390">
        <f>'TAMUT FGD'!$F$90</f>
        <v>0</v>
      </c>
      <c r="G2416" s="390">
        <f>'TAMUT FGD'!$G$90</f>
        <v>0</v>
      </c>
      <c r="H2416" s="390">
        <f>'TAMUT FGD'!$H$90</f>
        <v>0</v>
      </c>
      <c r="I2416" s="390">
        <f>'TAMUT FGD'!$I$90</f>
        <v>0</v>
      </c>
      <c r="J2416" s="390">
        <f>'TAMUT FGD'!$J$90</f>
        <v>0</v>
      </c>
      <c r="K2416" s="390">
        <f>'TAMUT FGD'!$K$90</f>
        <v>0</v>
      </c>
      <c r="L2416" s="390">
        <f>'TAMUT FGD'!$L$90</f>
        <v>0</v>
      </c>
      <c r="M2416" s="390">
        <f>'TAMUT FGD'!$M$90</f>
        <v>0</v>
      </c>
    </row>
    <row r="2417" spans="2:13" s="160" customFormat="1" ht="12.75" hidden="1" customHeight="1" outlineLevel="1">
      <c r="B2417" s="674" t="str">
        <f>'TARLST FGD'!$B$2</f>
        <v>Tarleton State University</v>
      </c>
      <c r="C2417" s="171"/>
      <c r="D2417" s="390">
        <f>'TARLST FGD'!$D$90</f>
        <v>0</v>
      </c>
      <c r="E2417" s="390">
        <f>'TARLST FGD'!$E$90</f>
        <v>0</v>
      </c>
      <c r="F2417" s="390">
        <f>'TARLST FGD'!$F$90</f>
        <v>0</v>
      </c>
      <c r="G2417" s="390">
        <f>'TARLST FGD'!$G$90</f>
        <v>0</v>
      </c>
      <c r="H2417" s="390">
        <f>'TARLST FGD'!$H$90</f>
        <v>0</v>
      </c>
      <c r="I2417" s="390">
        <f>'TARLST FGD'!$I$90</f>
        <v>0</v>
      </c>
      <c r="J2417" s="390">
        <f>'TARLST FGD'!$J$90</f>
        <v>0</v>
      </c>
      <c r="K2417" s="390">
        <f>'TARLST FGD'!$K$90</f>
        <v>0</v>
      </c>
      <c r="L2417" s="390">
        <f>'TARLST FGD'!$L$90</f>
        <v>0</v>
      </c>
      <c r="M2417" s="390">
        <f>'TARLST FGD'!$M$90</f>
        <v>0</v>
      </c>
    </row>
    <row r="2418" spans="2:13" s="160" customFormat="1" ht="12.75" hidden="1" customHeight="1" outlineLevel="1">
      <c r="B2418" s="674" t="str">
        <f>'TSU FGD'!$B$2</f>
        <v>Texas Southern University</v>
      </c>
      <c r="C2418" s="171"/>
      <c r="D2418" s="390">
        <f>'TSU FGD'!$D$90</f>
        <v>0</v>
      </c>
      <c r="E2418" s="390">
        <f>'TSU FGD'!$E$90</f>
        <v>0</v>
      </c>
      <c r="F2418" s="390">
        <f>'TSU FGD'!$F$90</f>
        <v>0</v>
      </c>
      <c r="G2418" s="390">
        <f>'TSU FGD'!$G$90</f>
        <v>0</v>
      </c>
      <c r="H2418" s="390">
        <f>'TSU FGD'!$H$90</f>
        <v>0</v>
      </c>
      <c r="I2418" s="390">
        <f>'TSU FGD'!$I$90</f>
        <v>0</v>
      </c>
      <c r="J2418" s="390">
        <f>'TSU FGD'!$J$90</f>
        <v>0</v>
      </c>
      <c r="K2418" s="390">
        <f>'TSU FGD'!$K$90</f>
        <v>0</v>
      </c>
      <c r="L2418" s="390">
        <f>'TSU FGD'!$L$90</f>
        <v>0</v>
      </c>
      <c r="M2418" s="390">
        <f>'TSU FGD'!$M$90</f>
        <v>0</v>
      </c>
    </row>
    <row r="2419" spans="2:13" s="160" customFormat="1" ht="12.75" hidden="1" customHeight="1" outlineLevel="1">
      <c r="B2419" s="674" t="str">
        <f>'TTU FGD'!$B$2</f>
        <v>Texas Tech University</v>
      </c>
      <c r="C2419" s="171"/>
      <c r="D2419" s="390">
        <f>'TTU FGD'!$D$90</f>
        <v>0</v>
      </c>
      <c r="E2419" s="390">
        <f>'TTU FGD'!$E$90</f>
        <v>0</v>
      </c>
      <c r="F2419" s="390">
        <f>'TTU FGD'!$F$90</f>
        <v>0</v>
      </c>
      <c r="G2419" s="390">
        <f>'TTU FGD'!$G$90</f>
        <v>0</v>
      </c>
      <c r="H2419" s="390">
        <f>'TTU FGD'!$H$90</f>
        <v>0</v>
      </c>
      <c r="I2419" s="390">
        <f>'TTU FGD'!$I$90</f>
        <v>0</v>
      </c>
      <c r="J2419" s="390">
        <f>'TTU FGD'!$J$90</f>
        <v>0</v>
      </c>
      <c r="K2419" s="390">
        <f>'TTU FGD'!$K$90</f>
        <v>0</v>
      </c>
      <c r="L2419" s="390">
        <f>'TTU FGD'!$L$90</f>
        <v>0</v>
      </c>
      <c r="M2419" s="390">
        <f>'TTU FGD'!$M$90</f>
        <v>0</v>
      </c>
    </row>
    <row r="2420" spans="2:13" s="160" customFormat="1" ht="12.75" hidden="1" customHeight="1" outlineLevel="1">
      <c r="B2420" s="674" t="str">
        <f>'TWU FGD'!$B$2</f>
        <v>Texas Woman's University</v>
      </c>
      <c r="C2420" s="171"/>
      <c r="D2420" s="390">
        <f>'TWU FGD'!$D$90</f>
        <v>0</v>
      </c>
      <c r="E2420" s="390">
        <f>'TWU FGD'!$E$90</f>
        <v>0</v>
      </c>
      <c r="F2420" s="390">
        <f>'TWU FGD'!$F$90</f>
        <v>0</v>
      </c>
      <c r="G2420" s="390">
        <f>'TWU FGD'!$G$90</f>
        <v>0</v>
      </c>
      <c r="H2420" s="390">
        <f>'TWU FGD'!$H$90</f>
        <v>0</v>
      </c>
      <c r="I2420" s="390">
        <f>'TWU FGD'!$I$90</f>
        <v>0</v>
      </c>
      <c r="J2420" s="390">
        <f>'TWU FGD'!$J$90</f>
        <v>0</v>
      </c>
      <c r="K2420" s="390">
        <f>'TWU FGD'!$K$90</f>
        <v>0</v>
      </c>
      <c r="L2420" s="390">
        <f>'TWU FGD'!$L$90</f>
        <v>0</v>
      </c>
      <c r="M2420" s="390">
        <f>'TWU FGD'!$M$90</f>
        <v>0</v>
      </c>
    </row>
    <row r="2421" spans="2:13" s="160" customFormat="1" ht="12.75" hidden="1" customHeight="1" outlineLevel="1">
      <c r="B2421" s="674" t="str">
        <f>'TXST FGD'!$B$2</f>
        <v>Texas State University</v>
      </c>
      <c r="C2421" s="171"/>
      <c r="D2421" s="390">
        <f>'TXST FGD'!$D$90</f>
        <v>0</v>
      </c>
      <c r="E2421" s="390">
        <f>'TXST FGD'!$E$90</f>
        <v>0</v>
      </c>
      <c r="F2421" s="390">
        <f>'TXST FGD'!$F$90</f>
        <v>0</v>
      </c>
      <c r="G2421" s="390">
        <f>'TXST FGD'!$G$90</f>
        <v>0</v>
      </c>
      <c r="H2421" s="390">
        <f>'TXST FGD'!$H$90</f>
        <v>0</v>
      </c>
      <c r="I2421" s="390">
        <f>'TXST FGD'!$I$90</f>
        <v>0</v>
      </c>
      <c r="J2421" s="390">
        <f>'TXST FGD'!$J$90</f>
        <v>0</v>
      </c>
      <c r="K2421" s="390">
        <f>'TXST FGD'!$K$90</f>
        <v>0</v>
      </c>
      <c r="L2421" s="390">
        <f>'TXST FGD'!$L$90</f>
        <v>0</v>
      </c>
      <c r="M2421" s="390">
        <f>'TXST FGD'!$M$90</f>
        <v>0</v>
      </c>
    </row>
    <row r="2422" spans="2:13" s="160" customFormat="1" ht="12.75" hidden="1" customHeight="1" outlineLevel="1">
      <c r="B2422" s="674" t="str">
        <f>'TYL FGD'!$B$2</f>
        <v>The University of Texas at Tyler</v>
      </c>
      <c r="C2422" s="171"/>
      <c r="D2422" s="390">
        <f>'TYL FGD'!$D$90</f>
        <v>0</v>
      </c>
      <c r="E2422" s="390">
        <f>'TYL FGD'!$E$90</f>
        <v>0</v>
      </c>
      <c r="F2422" s="390">
        <f>'TYL FGD'!$F$90</f>
        <v>0</v>
      </c>
      <c r="G2422" s="390">
        <f>'TYL FGD'!$G$90</f>
        <v>0</v>
      </c>
      <c r="H2422" s="390">
        <f>'TYL FGD'!$H$90</f>
        <v>0</v>
      </c>
      <c r="I2422" s="390">
        <f>'TYL FGD'!$I$90</f>
        <v>0</v>
      </c>
      <c r="J2422" s="390">
        <f>'TYL FGD'!$J$90</f>
        <v>0</v>
      </c>
      <c r="K2422" s="390">
        <f>'TYL FGD'!$K$90</f>
        <v>0</v>
      </c>
      <c r="L2422" s="390">
        <f>'TYL FGD'!$L$90</f>
        <v>0</v>
      </c>
      <c r="M2422" s="390">
        <f>'TYL FGD'!$M$90</f>
        <v>0</v>
      </c>
    </row>
    <row r="2423" spans="2:13" s="160" customFormat="1" ht="12.75" hidden="1" customHeight="1" outlineLevel="1">
      <c r="B2423" s="674" t="str">
        <f>'UH1 FGD'!$B$2</f>
        <v>University of Houston - Academic &amp; Health (A+H)</v>
      </c>
      <c r="C2423" s="171"/>
      <c r="D2423" s="390">
        <f>'UH1 FGD'!$D$90</f>
        <v>0</v>
      </c>
      <c r="E2423" s="390">
        <f>'UH1 FGD'!$E$90</f>
        <v>0</v>
      </c>
      <c r="F2423" s="390">
        <f>'UH1 FGD'!$F$90</f>
        <v>0</v>
      </c>
      <c r="G2423" s="390">
        <f>'UH1 FGD'!$G$90</f>
        <v>0</v>
      </c>
      <c r="H2423" s="390">
        <f>'UH1 FGD'!$H$90</f>
        <v>0</v>
      </c>
      <c r="I2423" s="390">
        <f>'UH1 FGD'!$I$90</f>
        <v>0</v>
      </c>
      <c r="J2423" s="390">
        <f>'UH1 FGD'!$J$90</f>
        <v>0</v>
      </c>
      <c r="K2423" s="390">
        <f>'UH1 FGD'!$K$90</f>
        <v>0</v>
      </c>
      <c r="L2423" s="390">
        <f>'UH1 FGD'!$L$90</f>
        <v>0</v>
      </c>
      <c r="M2423" s="390">
        <f>'UH1 FGD'!$M$90</f>
        <v>0</v>
      </c>
    </row>
    <row r="2424" spans="2:13" s="160" customFormat="1" ht="12.75" hidden="1" customHeight="1" outlineLevel="1">
      <c r="B2424" s="674" t="str">
        <f>'UHCL FGD'!$B$2</f>
        <v>University of Houston - Clear Lake</v>
      </c>
      <c r="C2424" s="171"/>
      <c r="D2424" s="390">
        <f>'UHCL FGD'!$D$90</f>
        <v>0</v>
      </c>
      <c r="E2424" s="390">
        <f>'UHCL FGD'!$E$90</f>
        <v>0</v>
      </c>
      <c r="F2424" s="390">
        <f>'UHCL FGD'!$F$90</f>
        <v>0</v>
      </c>
      <c r="G2424" s="390">
        <f>'UHCL FGD'!$G$90</f>
        <v>0</v>
      </c>
      <c r="H2424" s="390">
        <f>'UHCL FGD'!$H$90</f>
        <v>0</v>
      </c>
      <c r="I2424" s="390">
        <f>'UHCL FGD'!$I$90</f>
        <v>0</v>
      </c>
      <c r="J2424" s="390">
        <f>'UHCL FGD'!$J$90</f>
        <v>0</v>
      </c>
      <c r="K2424" s="390">
        <f>'UHCL FGD'!$K$90</f>
        <v>0</v>
      </c>
      <c r="L2424" s="390">
        <f>'UHCL FGD'!$L$90</f>
        <v>0</v>
      </c>
      <c r="M2424" s="390">
        <f>'UHCL FGD'!$M$90</f>
        <v>0</v>
      </c>
    </row>
    <row r="2425" spans="2:13" s="160" customFormat="1" ht="12.75" hidden="1" customHeight="1" outlineLevel="1">
      <c r="B2425" s="674" t="str">
        <f>'UHD FGD'!$B$2</f>
        <v>University of Houston - Downtown</v>
      </c>
      <c r="C2425" s="171"/>
      <c r="D2425" s="390">
        <f>'UHD FGD'!$D$90</f>
        <v>0</v>
      </c>
      <c r="E2425" s="390">
        <f>'UHD FGD'!$E$90</f>
        <v>0</v>
      </c>
      <c r="F2425" s="390">
        <f>'UHD FGD'!$F$90</f>
        <v>0</v>
      </c>
      <c r="G2425" s="390">
        <f>'UHD FGD'!$G$90</f>
        <v>0</v>
      </c>
      <c r="H2425" s="390">
        <f>'UHD FGD'!$H$90</f>
        <v>0</v>
      </c>
      <c r="I2425" s="390">
        <f>'UHD FGD'!$I$90</f>
        <v>0</v>
      </c>
      <c r="J2425" s="390">
        <f>'UHD FGD'!$J$90</f>
        <v>0</v>
      </c>
      <c r="K2425" s="390">
        <f>'UHD FGD'!$K$90</f>
        <v>0</v>
      </c>
      <c r="L2425" s="390">
        <f>'UHD FGD'!$L$90</f>
        <v>0</v>
      </c>
      <c r="M2425" s="390">
        <f>'UHD FGD'!$M$90</f>
        <v>0</v>
      </c>
    </row>
    <row r="2426" spans="2:13" s="160" customFormat="1" ht="12.75" hidden="1" customHeight="1" outlineLevel="1">
      <c r="B2426" s="674" t="str">
        <f>'UHV FGD'!$B$2</f>
        <v>University of Houston - Victoria</v>
      </c>
      <c r="C2426" s="171"/>
      <c r="D2426" s="390">
        <f>'UHV FGD'!$D$90</f>
        <v>0</v>
      </c>
      <c r="E2426" s="390">
        <f>'UHV FGD'!$E$90</f>
        <v>0</v>
      </c>
      <c r="F2426" s="390">
        <f>'UHV FGD'!$F$90</f>
        <v>0</v>
      </c>
      <c r="G2426" s="390">
        <f>'UHV FGD'!$G$90</f>
        <v>0</v>
      </c>
      <c r="H2426" s="390">
        <f>'UHV FGD'!$H$90</f>
        <v>0</v>
      </c>
      <c r="I2426" s="390">
        <f>'UHV FGD'!$I$90</f>
        <v>0</v>
      </c>
      <c r="J2426" s="390">
        <f>'UHV FGD'!$J$90</f>
        <v>0</v>
      </c>
      <c r="K2426" s="390">
        <f>'UHV FGD'!$K$90</f>
        <v>0</v>
      </c>
      <c r="L2426" s="390">
        <f>'UHV FGD'!$L$90</f>
        <v>0</v>
      </c>
      <c r="M2426" s="390">
        <f>'UHV FGD'!$M$90</f>
        <v>0</v>
      </c>
    </row>
    <row r="2427" spans="2:13" s="160" customFormat="1" ht="12.75" hidden="1" customHeight="1" outlineLevel="1">
      <c r="B2427" s="674" t="str">
        <f>'UNT FGD'!$B$2</f>
        <v>University of North Texas</v>
      </c>
      <c r="C2427" s="171"/>
      <c r="D2427" s="390">
        <f>'UNT FGD'!$D$90</f>
        <v>0</v>
      </c>
      <c r="E2427" s="390">
        <f>'UNT FGD'!$E$90</f>
        <v>0</v>
      </c>
      <c r="F2427" s="390">
        <f>'UNT FGD'!$F$90</f>
        <v>0</v>
      </c>
      <c r="G2427" s="390">
        <f>'UNT FGD'!$G$90</f>
        <v>0</v>
      </c>
      <c r="H2427" s="390">
        <f>'UNT FGD'!$H$90</f>
        <v>0</v>
      </c>
      <c r="I2427" s="390">
        <f>'UNT FGD'!$I$90</f>
        <v>0</v>
      </c>
      <c r="J2427" s="390">
        <f>'UNT FGD'!$J$90</f>
        <v>0</v>
      </c>
      <c r="K2427" s="390">
        <f>'UNT FGD'!$K$90</f>
        <v>0</v>
      </c>
      <c r="L2427" s="390">
        <f>'UNT FGD'!$L$90</f>
        <v>0</v>
      </c>
      <c r="M2427" s="390">
        <f>'UNT FGD'!$M$90</f>
        <v>0</v>
      </c>
    </row>
    <row r="2428" spans="2:13" s="160" customFormat="1" ht="12.75" hidden="1" customHeight="1" outlineLevel="1">
      <c r="B2428" s="674" t="str">
        <f>'UNTD FGD'!$B$2</f>
        <v>University of North Texas at Dallas</v>
      </c>
      <c r="C2428" s="171"/>
      <c r="D2428" s="390">
        <f>'UNTD FGD'!$D$90</f>
        <v>0</v>
      </c>
      <c r="E2428" s="390">
        <f>'UNTD FGD'!$E$90</f>
        <v>0</v>
      </c>
      <c r="F2428" s="390">
        <f>'UNTD FGD'!$F$90</f>
        <v>0</v>
      </c>
      <c r="G2428" s="390">
        <f>'UNTD FGD'!$G$90</f>
        <v>0</v>
      </c>
      <c r="H2428" s="390">
        <f>'UNTD FGD'!$H$90</f>
        <v>0</v>
      </c>
      <c r="I2428" s="390">
        <f>'UNTD FGD'!$I$90</f>
        <v>0</v>
      </c>
      <c r="J2428" s="390">
        <f>'UNTD FGD'!$J$90</f>
        <v>0</v>
      </c>
      <c r="K2428" s="390">
        <f>'UNTD FGD'!$K$90</f>
        <v>0</v>
      </c>
      <c r="L2428" s="390">
        <f>'UNTD FGD'!$L$90</f>
        <v>0</v>
      </c>
      <c r="M2428" s="390">
        <f>'UNTD FGD'!$M$90</f>
        <v>0</v>
      </c>
    </row>
    <row r="2429" spans="2:13" s="160" customFormat="1" ht="12.75" hidden="1" customHeight="1" outlineLevel="1">
      <c r="B2429" s="674" t="str">
        <f>'WTAMU FGD'!$B$2</f>
        <v>West Texas A&amp;M University</v>
      </c>
      <c r="C2429" s="171"/>
      <c r="D2429" s="390">
        <f>'WTAMU FGD'!$D$90</f>
        <v>0</v>
      </c>
      <c r="E2429" s="390">
        <f>'WTAMU FGD'!$E$90</f>
        <v>0</v>
      </c>
      <c r="F2429" s="390">
        <f>'WTAMU FGD'!$F$90</f>
        <v>0</v>
      </c>
      <c r="G2429" s="390">
        <f>'WTAMU FGD'!$G$90</f>
        <v>0</v>
      </c>
      <c r="H2429" s="390">
        <f>'WTAMU FGD'!$H$90</f>
        <v>0</v>
      </c>
      <c r="I2429" s="390">
        <f>'WTAMU FGD'!$I$90</f>
        <v>0</v>
      </c>
      <c r="J2429" s="390">
        <f>'WTAMU FGD'!$J$90</f>
        <v>0</v>
      </c>
      <c r="K2429" s="390">
        <f>'WTAMU FGD'!$K$90</f>
        <v>0</v>
      </c>
      <c r="L2429" s="390">
        <f>'WTAMU FGD'!$L$90</f>
        <v>0</v>
      </c>
      <c r="M2429" s="390">
        <f>'WTAMU FGD'!$M$90</f>
        <v>0</v>
      </c>
    </row>
    <row r="2430" spans="2:13" s="160" customFormat="1" collapsed="1">
      <c r="B2430" s="171" t="s">
        <v>105</v>
      </c>
      <c r="C2430" s="171"/>
      <c r="D2430" s="390">
        <f t="shared" ref="D2430:M2430" si="64">SUM(D2394:D2429)</f>
        <v>0</v>
      </c>
      <c r="E2430" s="390">
        <f t="shared" si="64"/>
        <v>0</v>
      </c>
      <c r="F2430" s="390">
        <f t="shared" si="64"/>
        <v>0</v>
      </c>
      <c r="G2430" s="390">
        <f t="shared" si="64"/>
        <v>0</v>
      </c>
      <c r="H2430" s="390">
        <f t="shared" si="64"/>
        <v>0</v>
      </c>
      <c r="I2430" s="390">
        <f t="shared" si="64"/>
        <v>0</v>
      </c>
      <c r="J2430" s="390">
        <f t="shared" si="64"/>
        <v>0</v>
      </c>
      <c r="K2430" s="390">
        <f t="shared" si="64"/>
        <v>0</v>
      </c>
      <c r="L2430" s="390">
        <f t="shared" si="64"/>
        <v>0</v>
      </c>
      <c r="M2430" s="390">
        <f t="shared" si="64"/>
        <v>0</v>
      </c>
    </row>
    <row r="2431" spans="2:13" s="160" customFormat="1" ht="12.75" hidden="1" customHeight="1" outlineLevel="1">
      <c r="B2431" s="674" t="str">
        <f>'ARL FGD'!$B$2</f>
        <v>The University of Texas at Arlington</v>
      </c>
      <c r="C2431" s="171"/>
      <c r="D2431" s="390">
        <f>'ARL FGD'!$D$91</f>
        <v>0</v>
      </c>
      <c r="E2431" s="390">
        <f>'ARL FGD'!$E$91</f>
        <v>0</v>
      </c>
      <c r="F2431" s="390">
        <f>'ARL FGD'!$F$91</f>
        <v>0</v>
      </c>
      <c r="G2431" s="390">
        <f>'ARL FGD'!$G$91</f>
        <v>0</v>
      </c>
      <c r="H2431" s="390">
        <f>'ARL FGD'!$H$91</f>
        <v>0</v>
      </c>
      <c r="I2431" s="390">
        <f>'ARL FGD'!$I$91</f>
        <v>0</v>
      </c>
      <c r="J2431" s="390">
        <f>'ARL FGD'!$J$91</f>
        <v>0</v>
      </c>
      <c r="K2431" s="390">
        <f>'ARL FGD'!$K$91</f>
        <v>0</v>
      </c>
      <c r="L2431" s="390">
        <f>'ARL FGD'!$L$91</f>
        <v>2346</v>
      </c>
      <c r="M2431" s="390">
        <f>'ARL FGD'!$M$91</f>
        <v>2346</v>
      </c>
    </row>
    <row r="2432" spans="2:13" s="160" customFormat="1" ht="12.75" hidden="1" customHeight="1" outlineLevel="1">
      <c r="B2432" s="674" t="str">
        <f>'ASU FGD'!$B$2</f>
        <v>Angelo State University</v>
      </c>
      <c r="C2432" s="171"/>
      <c r="D2432" s="390">
        <f>'ASU FGD'!$D$91</f>
        <v>0</v>
      </c>
      <c r="E2432" s="390">
        <f>'ASU FGD'!$E$91</f>
        <v>0</v>
      </c>
      <c r="F2432" s="390">
        <f>'ASU FGD'!$F$91</f>
        <v>0</v>
      </c>
      <c r="G2432" s="390">
        <f>'ASU FGD'!$G$91</f>
        <v>0</v>
      </c>
      <c r="H2432" s="390">
        <f>'ASU FGD'!$H$91</f>
        <v>0</v>
      </c>
      <c r="I2432" s="390">
        <f>'ASU FGD'!$I$91</f>
        <v>0</v>
      </c>
      <c r="J2432" s="390">
        <f>'ASU FGD'!$J$91</f>
        <v>0</v>
      </c>
      <c r="K2432" s="390">
        <f>'ASU FGD'!$K$91</f>
        <v>0</v>
      </c>
      <c r="L2432" s="390">
        <f>'ASU FGD'!$L$91</f>
        <v>0</v>
      </c>
      <c r="M2432" s="390">
        <f>'ASU FGD'!$M$91</f>
        <v>0</v>
      </c>
    </row>
    <row r="2433" spans="2:13" s="160" customFormat="1" ht="12.75" hidden="1" customHeight="1" outlineLevel="1">
      <c r="B2433" s="674" t="str">
        <f>'AUS1 FGD'!$B$2</f>
        <v>The University of Texas at Austin - Academic &amp; Health (A+H)</v>
      </c>
      <c r="C2433" s="171"/>
      <c r="D2433" s="390">
        <f>'AUS1 FGD'!$D$91</f>
        <v>0</v>
      </c>
      <c r="E2433" s="390">
        <f>'AUS1 FGD'!$E$91</f>
        <v>0</v>
      </c>
      <c r="F2433" s="390">
        <f>'AUS1 FGD'!$F$91</f>
        <v>0</v>
      </c>
      <c r="G2433" s="390">
        <f>'AUS1 FGD'!$G$91</f>
        <v>0</v>
      </c>
      <c r="H2433" s="390">
        <f>'AUS1 FGD'!$H$91</f>
        <v>0</v>
      </c>
      <c r="I2433" s="390">
        <f>'AUS1 FGD'!$I$91</f>
        <v>0</v>
      </c>
      <c r="J2433" s="390">
        <f>'AUS1 FGD'!$J$91</f>
        <v>0</v>
      </c>
      <c r="K2433" s="390">
        <f>'AUS1 FGD'!$K$91</f>
        <v>0</v>
      </c>
      <c r="L2433" s="390">
        <f>'AUS1 FGD'!$L$91</f>
        <v>13671247</v>
      </c>
      <c r="M2433" s="390">
        <f>'AUS1 FGD'!$M$91</f>
        <v>13671247</v>
      </c>
    </row>
    <row r="2434" spans="2:13" s="160" customFormat="1" ht="12.75" hidden="1" customHeight="1" outlineLevel="1">
      <c r="B2434" s="674" t="str">
        <f>'RGV1 FGD'!$B$2</f>
        <v>The University of Texas RGV - Academic &amp; Health (A+H)</v>
      </c>
      <c r="C2434" s="171"/>
      <c r="D2434" s="390">
        <f>'RGV1 FGD'!$D$91</f>
        <v>0</v>
      </c>
      <c r="E2434" s="390">
        <f>'RGV1 FGD'!$E$91</f>
        <v>0</v>
      </c>
      <c r="F2434" s="390">
        <f>'RGV1 FGD'!$F$91</f>
        <v>0</v>
      </c>
      <c r="G2434" s="390">
        <f>'RGV1 FGD'!$G$91</f>
        <v>0</v>
      </c>
      <c r="H2434" s="390">
        <f>'RGV1 FGD'!$H$91</f>
        <v>0</v>
      </c>
      <c r="I2434" s="390">
        <f>'RGV1 FGD'!$I$91</f>
        <v>0</v>
      </c>
      <c r="J2434" s="390">
        <f>'RGV1 FGD'!$J$91</f>
        <v>0</v>
      </c>
      <c r="K2434" s="390">
        <f>'RGV1 FGD'!$K$91</f>
        <v>0</v>
      </c>
      <c r="L2434" s="390">
        <f>'RGV1 FGD'!$L$91</f>
        <v>-54186</v>
      </c>
      <c r="M2434" s="390">
        <f>'RGV1 FGD'!$M$91</f>
        <v>-54186</v>
      </c>
    </row>
    <row r="2435" spans="2:13" s="160" customFormat="1" ht="12.75" hidden="1" customHeight="1" outlineLevel="1">
      <c r="B2435" s="674" t="str">
        <f>'DAL FGD'!$B$2</f>
        <v>The University of Texas at Dallas</v>
      </c>
      <c r="C2435" s="171"/>
      <c r="D2435" s="390">
        <f>'DAL FGD'!$D$91</f>
        <v>0</v>
      </c>
      <c r="E2435" s="390">
        <f>'DAL FGD'!$E$91</f>
        <v>0</v>
      </c>
      <c r="F2435" s="390">
        <f>'DAL FGD'!$F$91</f>
        <v>0</v>
      </c>
      <c r="G2435" s="390">
        <f>'DAL FGD'!$G$91</f>
        <v>0</v>
      </c>
      <c r="H2435" s="390">
        <f>'DAL FGD'!$H$91</f>
        <v>0</v>
      </c>
      <c r="I2435" s="390">
        <f>'DAL FGD'!$I$91</f>
        <v>0</v>
      </c>
      <c r="J2435" s="390">
        <f>'DAL FGD'!$J$91</f>
        <v>0</v>
      </c>
      <c r="K2435" s="390">
        <f>'DAL FGD'!$K$91</f>
        <v>0</v>
      </c>
      <c r="L2435" s="390">
        <f>'DAL FGD'!$L$91</f>
        <v>0</v>
      </c>
      <c r="M2435" s="390">
        <f>'DAL FGD'!$M$91</f>
        <v>0</v>
      </c>
    </row>
    <row r="2436" spans="2:13" s="160" customFormat="1" ht="12.75" hidden="1" customHeight="1" outlineLevel="1">
      <c r="B2436" s="674" t="str">
        <f>'E-P FGD'!$B$2</f>
        <v>The University of Texas at El Paso</v>
      </c>
      <c r="C2436" s="171"/>
      <c r="D2436" s="390">
        <f>'E-P FGD'!$D$91</f>
        <v>0</v>
      </c>
      <c r="E2436" s="390">
        <f>'E-P FGD'!$E$91</f>
        <v>0</v>
      </c>
      <c r="F2436" s="390">
        <f>'E-P FGD'!$F$91</f>
        <v>0</v>
      </c>
      <c r="G2436" s="390">
        <f>'E-P FGD'!$G$91</f>
        <v>0</v>
      </c>
      <c r="H2436" s="390">
        <f>'E-P FGD'!$H$91</f>
        <v>0</v>
      </c>
      <c r="I2436" s="390">
        <f>'E-P FGD'!$I$91</f>
        <v>0</v>
      </c>
      <c r="J2436" s="390">
        <f>'E-P FGD'!$J$91</f>
        <v>0</v>
      </c>
      <c r="K2436" s="390">
        <f>'E-P FGD'!$K$91</f>
        <v>0</v>
      </c>
      <c r="L2436" s="390">
        <f>'E-P FGD'!$L$91</f>
        <v>313559</v>
      </c>
      <c r="M2436" s="390">
        <f>'E-P FGD'!$M$91</f>
        <v>313559</v>
      </c>
    </row>
    <row r="2437" spans="2:13" s="160" customFormat="1" ht="12.75" hidden="1" customHeight="1" outlineLevel="1">
      <c r="B2437" s="674" t="str">
        <f>'LU FGD'!$B$2</f>
        <v xml:space="preserve">Lamar University </v>
      </c>
      <c r="C2437" s="171"/>
      <c r="D2437" s="390">
        <f>'LU FGD'!$D$91</f>
        <v>0</v>
      </c>
      <c r="E2437" s="390">
        <f>'LU FGD'!$E$91</f>
        <v>0</v>
      </c>
      <c r="F2437" s="390">
        <f>'LU FGD'!$F$91</f>
        <v>0</v>
      </c>
      <c r="G2437" s="390">
        <f>'LU FGD'!$G$91</f>
        <v>0</v>
      </c>
      <c r="H2437" s="390">
        <f>'LU FGD'!$H$91</f>
        <v>0</v>
      </c>
      <c r="I2437" s="390">
        <f>'LU FGD'!$I$91</f>
        <v>0</v>
      </c>
      <c r="J2437" s="390">
        <f>'LU FGD'!$J$91</f>
        <v>0</v>
      </c>
      <c r="K2437" s="390">
        <f>'LU FGD'!$K$91</f>
        <v>0</v>
      </c>
      <c r="L2437" s="390">
        <f>'LU FGD'!$L$91</f>
        <v>0</v>
      </c>
      <c r="M2437" s="390">
        <f>'LU FGD'!$M$91</f>
        <v>0</v>
      </c>
    </row>
    <row r="2438" spans="2:13" s="160" customFormat="1" ht="12.75" hidden="1" customHeight="1" outlineLevel="1">
      <c r="B2438" s="674" t="str">
        <f>'MidWST FGD'!$B$2</f>
        <v>Midwestern State University</v>
      </c>
      <c r="C2438" s="171"/>
      <c r="D2438" s="390">
        <f>'MidWST FGD'!$D$91</f>
        <v>0</v>
      </c>
      <c r="E2438" s="390">
        <f>'MidWST FGD'!$E$91</f>
        <v>0</v>
      </c>
      <c r="F2438" s="390">
        <f>'MidWST FGD'!$F$91</f>
        <v>0</v>
      </c>
      <c r="G2438" s="390">
        <f>'MidWST FGD'!$G$91</f>
        <v>4253750</v>
      </c>
      <c r="H2438" s="390">
        <f>'MidWST FGD'!$H$91</f>
        <v>0</v>
      </c>
      <c r="I2438" s="390">
        <f>'MidWST FGD'!$I$91</f>
        <v>0</v>
      </c>
      <c r="J2438" s="390">
        <f>'MidWST FGD'!$J$91</f>
        <v>0</v>
      </c>
      <c r="K2438" s="390">
        <f>'MidWST FGD'!$K$91</f>
        <v>0</v>
      </c>
      <c r="L2438" s="390">
        <f>'MidWST FGD'!$L$91</f>
        <v>0</v>
      </c>
      <c r="M2438" s="390">
        <f>'MidWST FGD'!$M$91</f>
        <v>4253750</v>
      </c>
    </row>
    <row r="2439" spans="2:13" s="160" customFormat="1" ht="12.75" hidden="1" customHeight="1" outlineLevel="1">
      <c r="B2439" s="674" t="str">
        <f>'P-B FGD'!$B$2</f>
        <v>The University of Texas of the Permian Basin</v>
      </c>
      <c r="C2439" s="171"/>
      <c r="D2439" s="390">
        <f>'P-B FGD'!$D$91</f>
        <v>0</v>
      </c>
      <c r="E2439" s="390">
        <f>'P-B FGD'!$E$91</f>
        <v>0</v>
      </c>
      <c r="F2439" s="390">
        <f>'P-B FGD'!$F$91</f>
        <v>0</v>
      </c>
      <c r="G2439" s="390">
        <f>'P-B FGD'!$G$91</f>
        <v>0</v>
      </c>
      <c r="H2439" s="390">
        <f>'P-B FGD'!$H$91</f>
        <v>0</v>
      </c>
      <c r="I2439" s="390">
        <f>'P-B FGD'!$I$91</f>
        <v>0</v>
      </c>
      <c r="J2439" s="390">
        <f>'P-B FGD'!$J$91</f>
        <v>0</v>
      </c>
      <c r="K2439" s="390">
        <f>'P-B FGD'!$K$91</f>
        <v>0</v>
      </c>
      <c r="L2439" s="390">
        <f>'P-B FGD'!$L$91</f>
        <v>0</v>
      </c>
      <c r="M2439" s="390">
        <f>'P-B FGD'!$M$91</f>
        <v>0</v>
      </c>
    </row>
    <row r="2440" spans="2:13" s="160" customFormat="1" ht="12.75" hidden="1" customHeight="1" outlineLevel="1">
      <c r="B2440" s="674" t="str">
        <f>'PVAMU FGD'!$B$2</f>
        <v>Prairie View A&amp;M University</v>
      </c>
      <c r="C2440" s="171"/>
      <c r="D2440" s="390">
        <f>'PVAMU FGD'!$D$91</f>
        <v>0</v>
      </c>
      <c r="E2440" s="390">
        <f>'PVAMU FGD'!$E$91</f>
        <v>0</v>
      </c>
      <c r="F2440" s="390">
        <f>'PVAMU FGD'!$F$91</f>
        <v>0</v>
      </c>
      <c r="G2440" s="390">
        <f>'PVAMU FGD'!$G$91</f>
        <v>0</v>
      </c>
      <c r="H2440" s="390">
        <f>'PVAMU FGD'!$H$91</f>
        <v>0</v>
      </c>
      <c r="I2440" s="390">
        <f>'PVAMU FGD'!$I$91</f>
        <v>0</v>
      </c>
      <c r="J2440" s="390">
        <f>'PVAMU FGD'!$J$91</f>
        <v>0</v>
      </c>
      <c r="K2440" s="390">
        <f>'PVAMU FGD'!$K$91</f>
        <v>0</v>
      </c>
      <c r="L2440" s="390">
        <f>'PVAMU FGD'!$L$91</f>
        <v>0</v>
      </c>
      <c r="M2440" s="390">
        <f>'PVAMU FGD'!$M$91</f>
        <v>0</v>
      </c>
    </row>
    <row r="2441" spans="2:13" s="160" customFormat="1" ht="12.75" hidden="1" customHeight="1" outlineLevel="1">
      <c r="B2441" s="674" t="str">
        <f>'S-A FGD'!$B$2</f>
        <v>The University of Texas at San Antonio</v>
      </c>
      <c r="C2441" s="171"/>
      <c r="D2441" s="390">
        <f>'S-A FGD'!$D$91</f>
        <v>0</v>
      </c>
      <c r="E2441" s="390">
        <f>'S-A FGD'!$E$91</f>
        <v>0</v>
      </c>
      <c r="F2441" s="390">
        <f>'S-A FGD'!$F$91</f>
        <v>0</v>
      </c>
      <c r="G2441" s="390">
        <f>'S-A FGD'!$G$91</f>
        <v>0</v>
      </c>
      <c r="H2441" s="390">
        <f>'S-A FGD'!$H$91</f>
        <v>0</v>
      </c>
      <c r="I2441" s="390">
        <f>'S-A FGD'!$I$91</f>
        <v>0</v>
      </c>
      <c r="J2441" s="390">
        <f>'S-A FGD'!$J$91</f>
        <v>0</v>
      </c>
      <c r="K2441" s="390">
        <f>'S-A FGD'!$K$91</f>
        <v>0</v>
      </c>
      <c r="L2441" s="390">
        <f>'S-A FGD'!$L$91</f>
        <v>1533784</v>
      </c>
      <c r="M2441" s="390">
        <f>'S-A FGD'!$M$91</f>
        <v>1533784</v>
      </c>
    </row>
    <row r="2442" spans="2:13" s="160" customFormat="1" ht="12.75" hidden="1" customHeight="1" outlineLevel="1">
      <c r="B2442" s="674" t="str">
        <f>'SFA FGD'!$B$2</f>
        <v>Stephen F. Austin State University</v>
      </c>
      <c r="C2442" s="171"/>
      <c r="D2442" s="390">
        <f>'SFA FGD'!$D$91</f>
        <v>0</v>
      </c>
      <c r="E2442" s="390">
        <f>'SFA FGD'!$E$91</f>
        <v>0</v>
      </c>
      <c r="F2442" s="390">
        <f>'SFA FGD'!$F$91</f>
        <v>0</v>
      </c>
      <c r="G2442" s="390">
        <f>'SFA FGD'!$G$91</f>
        <v>0</v>
      </c>
      <c r="H2442" s="390">
        <f>'SFA FGD'!$H$91</f>
        <v>0</v>
      </c>
      <c r="I2442" s="390">
        <f>'SFA FGD'!$I$91</f>
        <v>0</v>
      </c>
      <c r="J2442" s="390">
        <f>'SFA FGD'!$J$91</f>
        <v>0</v>
      </c>
      <c r="K2442" s="390">
        <f>'SFA FGD'!$K$91</f>
        <v>0</v>
      </c>
      <c r="L2442" s="390">
        <f>'SFA FGD'!$L$91</f>
        <v>0</v>
      </c>
      <c r="M2442" s="390">
        <f>'SFA FGD'!$M$91</f>
        <v>0</v>
      </c>
    </row>
    <row r="2443" spans="2:13" s="160" customFormat="1" ht="12.75" hidden="1" customHeight="1" outlineLevel="1">
      <c r="B2443" s="674" t="str">
        <f>'shsu1 FGD'!$B$2</f>
        <v>Sam Houston State University - Academic &amp; Health (A+H)</v>
      </c>
      <c r="C2443" s="171"/>
      <c r="D2443" s="390">
        <f>'shsu1 FGD'!$D$91</f>
        <v>0</v>
      </c>
      <c r="E2443" s="390">
        <f>'shsu1 FGD'!$E$91</f>
        <v>0</v>
      </c>
      <c r="F2443" s="390">
        <f>'shsu1 FGD'!$F$91</f>
        <v>0</v>
      </c>
      <c r="G2443" s="390">
        <f>'shsu1 FGD'!$G$91</f>
        <v>0</v>
      </c>
      <c r="H2443" s="390">
        <f>'shsu1 FGD'!$H$91</f>
        <v>0</v>
      </c>
      <c r="I2443" s="390">
        <f>'shsu1 FGD'!$I$91</f>
        <v>0</v>
      </c>
      <c r="J2443" s="390">
        <f>'shsu1 FGD'!$J$91</f>
        <v>0</v>
      </c>
      <c r="K2443" s="390">
        <f>'shsu1 FGD'!$K$91</f>
        <v>0</v>
      </c>
      <c r="L2443" s="390">
        <f>'shsu1 FGD'!$L$91</f>
        <v>0</v>
      </c>
      <c r="M2443" s="390">
        <f>'shsu1 FGD'!$M$91</f>
        <v>0</v>
      </c>
    </row>
    <row r="2444" spans="2:13" s="160" customFormat="1" ht="12.75" hidden="1" customHeight="1" outlineLevel="1">
      <c r="B2444" s="674" t="str">
        <f>'SRSU FGD'!$B$2</f>
        <v>Sul Ross State University</v>
      </c>
      <c r="C2444" s="171"/>
      <c r="D2444" s="390">
        <f>'SRSU FGD'!$D$91</f>
        <v>0</v>
      </c>
      <c r="E2444" s="390">
        <f>'SRSU FGD'!$E$91</f>
        <v>0</v>
      </c>
      <c r="F2444" s="390">
        <f>'SRSU FGD'!$F$91</f>
        <v>0</v>
      </c>
      <c r="G2444" s="390">
        <f>'SRSU FGD'!$G$91</f>
        <v>0</v>
      </c>
      <c r="H2444" s="390">
        <f>'SRSU FGD'!$H$91</f>
        <v>0</v>
      </c>
      <c r="I2444" s="390">
        <f>'SRSU FGD'!$I$91</f>
        <v>0</v>
      </c>
      <c r="J2444" s="390">
        <f>'SRSU FGD'!$J$91</f>
        <v>0</v>
      </c>
      <c r="K2444" s="390">
        <f>'SRSU FGD'!$K$91</f>
        <v>0</v>
      </c>
      <c r="L2444" s="390">
        <f>'SRSU FGD'!$L$91</f>
        <v>0</v>
      </c>
      <c r="M2444" s="390">
        <f>'SRSU FGD'!$M$91</f>
        <v>0</v>
      </c>
    </row>
    <row r="2445" spans="2:13" s="160" customFormat="1" ht="12.75" hidden="1" customHeight="1" outlineLevel="1">
      <c r="B2445" s="674" t="str">
        <f>'TAMIU FGD'!$B$2</f>
        <v>Texas A&amp;M International University</v>
      </c>
      <c r="C2445" s="171"/>
      <c r="D2445" s="390">
        <f>'TAMIU FGD'!$D$91</f>
        <v>0</v>
      </c>
      <c r="E2445" s="390">
        <f>'TAMIU FGD'!$E$91</f>
        <v>0</v>
      </c>
      <c r="F2445" s="390">
        <f>'TAMIU FGD'!$F$91</f>
        <v>0</v>
      </c>
      <c r="G2445" s="390">
        <f>'TAMIU FGD'!$G$91</f>
        <v>0</v>
      </c>
      <c r="H2445" s="390">
        <f>'TAMIU FGD'!$H$91</f>
        <v>0</v>
      </c>
      <c r="I2445" s="390">
        <f>'TAMIU FGD'!$I$91</f>
        <v>0</v>
      </c>
      <c r="J2445" s="390">
        <f>'TAMIU FGD'!$J$91</f>
        <v>0</v>
      </c>
      <c r="K2445" s="390">
        <f>'TAMIU FGD'!$K$91</f>
        <v>0</v>
      </c>
      <c r="L2445" s="390">
        <f>'TAMIU FGD'!$L$91</f>
        <v>0</v>
      </c>
      <c r="M2445" s="390">
        <f>'TAMIU FGD'!$M$91</f>
        <v>0</v>
      </c>
    </row>
    <row r="2446" spans="2:13" s="160" customFormat="1" ht="12.75" hidden="1" customHeight="1" outlineLevel="1">
      <c r="B2446" s="674" t="str">
        <f>'TAMU FGD'!$B$2</f>
        <v>Texas A&amp;M University</v>
      </c>
      <c r="C2446" s="171"/>
      <c r="D2446" s="390">
        <f>'TAMU FGD'!$D$91</f>
        <v>0</v>
      </c>
      <c r="E2446" s="390">
        <f>'TAMU FGD'!$E$91</f>
        <v>0</v>
      </c>
      <c r="F2446" s="390">
        <f>'TAMU FGD'!$F$91</f>
        <v>0</v>
      </c>
      <c r="G2446" s="390">
        <f>'TAMU FGD'!$G$91</f>
        <v>0</v>
      </c>
      <c r="H2446" s="390">
        <f>'TAMU FGD'!$H$91</f>
        <v>0</v>
      </c>
      <c r="I2446" s="390">
        <f>'TAMU FGD'!$I$91</f>
        <v>0</v>
      </c>
      <c r="J2446" s="390">
        <f>'TAMU FGD'!$J$91</f>
        <v>0</v>
      </c>
      <c r="K2446" s="390">
        <f>'TAMU FGD'!$K$91</f>
        <v>0</v>
      </c>
      <c r="L2446" s="390">
        <f>'TAMU FGD'!$L$91</f>
        <v>10493456</v>
      </c>
      <c r="M2446" s="390">
        <f>'TAMU FGD'!$M$91</f>
        <v>10493456</v>
      </c>
    </row>
    <row r="2447" spans="2:13" s="160" customFormat="1" ht="12.75" hidden="1" customHeight="1" outlineLevel="1">
      <c r="B2447" s="674" t="str">
        <f>'TAMUC FGD'!$B$2</f>
        <v>Texas A&amp;M University - Commerce</v>
      </c>
      <c r="C2447" s="171"/>
      <c r="D2447" s="390">
        <f>'TAMUC FGD'!$D$91</f>
        <v>0</v>
      </c>
      <c r="E2447" s="390">
        <f>'TAMUC FGD'!$E$91</f>
        <v>0</v>
      </c>
      <c r="F2447" s="390">
        <f>'TAMUC FGD'!$F$91</f>
        <v>0</v>
      </c>
      <c r="G2447" s="390">
        <f>'TAMUC FGD'!$G$91</f>
        <v>0</v>
      </c>
      <c r="H2447" s="390">
        <f>'TAMUC FGD'!$H$91</f>
        <v>0</v>
      </c>
      <c r="I2447" s="390">
        <f>'TAMUC FGD'!$I$91</f>
        <v>0</v>
      </c>
      <c r="J2447" s="390">
        <f>'TAMUC FGD'!$J$91</f>
        <v>0</v>
      </c>
      <c r="K2447" s="390">
        <f>'TAMUC FGD'!$K$91</f>
        <v>0</v>
      </c>
      <c r="L2447" s="390">
        <f>'TAMUC FGD'!$L$91</f>
        <v>45795</v>
      </c>
      <c r="M2447" s="390">
        <f>'TAMUC FGD'!$M$91</f>
        <v>45795</v>
      </c>
    </row>
    <row r="2448" spans="2:13" s="160" customFormat="1" ht="12.75" hidden="1" customHeight="1" outlineLevel="1">
      <c r="B2448" s="674" t="str">
        <f>'TAMUCC FGD'!$B$2</f>
        <v>Texas A&amp;M University - Corpus Christi</v>
      </c>
      <c r="C2448" s="171"/>
      <c r="D2448" s="390">
        <f>'TAMUCC FGD'!$D$91</f>
        <v>0</v>
      </c>
      <c r="E2448" s="390">
        <f>'TAMUCC FGD'!$E$91</f>
        <v>0</v>
      </c>
      <c r="F2448" s="390">
        <f>'TAMUCC FGD'!$F$91</f>
        <v>0</v>
      </c>
      <c r="G2448" s="390">
        <f>'TAMUCC FGD'!$G$91</f>
        <v>0</v>
      </c>
      <c r="H2448" s="390">
        <f>'TAMUCC FGD'!$H$91</f>
        <v>0</v>
      </c>
      <c r="I2448" s="390">
        <f>'TAMUCC FGD'!$I$91</f>
        <v>0</v>
      </c>
      <c r="J2448" s="390">
        <f>'TAMUCC FGD'!$J$91</f>
        <v>0</v>
      </c>
      <c r="K2448" s="390">
        <f>'TAMUCC FGD'!$K$91</f>
        <v>0</v>
      </c>
      <c r="L2448" s="390">
        <f>'TAMUCC FGD'!$L$91</f>
        <v>0</v>
      </c>
      <c r="M2448" s="390">
        <f>'TAMUCC FGD'!$M$91</f>
        <v>0</v>
      </c>
    </row>
    <row r="2449" spans="2:13" s="160" customFormat="1" ht="12.75" hidden="1" customHeight="1" outlineLevel="1">
      <c r="B2449" s="674" t="str">
        <f>'TAMUCT FGD'!$B$2</f>
        <v>Texas A&amp;M University - Central Texas</v>
      </c>
      <c r="C2449" s="171"/>
      <c r="D2449" s="390">
        <f>'TAMUCT FGD'!$D$91</f>
        <v>0</v>
      </c>
      <c r="E2449" s="390">
        <f>'TAMUCT FGD'!$E$91</f>
        <v>0</v>
      </c>
      <c r="F2449" s="390">
        <f>'TAMUCT FGD'!$F$91</f>
        <v>0</v>
      </c>
      <c r="G2449" s="390">
        <f>'TAMUCT FGD'!$G$91</f>
        <v>0</v>
      </c>
      <c r="H2449" s="390">
        <f>'TAMUCT FGD'!$H$91</f>
        <v>0</v>
      </c>
      <c r="I2449" s="390">
        <f>'TAMUCT FGD'!$I$91</f>
        <v>0</v>
      </c>
      <c r="J2449" s="390">
        <f>'TAMUCT FGD'!$J$91</f>
        <v>0</v>
      </c>
      <c r="K2449" s="390">
        <f>'TAMUCT FGD'!$K$91</f>
        <v>0</v>
      </c>
      <c r="L2449" s="390">
        <f>'TAMUCT FGD'!$L$91</f>
        <v>1677</v>
      </c>
      <c r="M2449" s="390">
        <f>'TAMUCT FGD'!$M$91</f>
        <v>1677</v>
      </c>
    </row>
    <row r="2450" spans="2:13" s="160" customFormat="1" ht="12.75" hidden="1" customHeight="1" outlineLevel="1">
      <c r="B2450" s="674" t="str">
        <f>'TAMUG FGD'!$B$2</f>
        <v>Texas A&amp;M University at Galveston</v>
      </c>
      <c r="C2450" s="171"/>
      <c r="D2450" s="390">
        <f>'TAMUG FGD'!$D$91</f>
        <v>0</v>
      </c>
      <c r="E2450" s="390">
        <f>'TAMUG FGD'!$E$91</f>
        <v>0</v>
      </c>
      <c r="F2450" s="390">
        <f>'TAMUG FGD'!$F$91</f>
        <v>0</v>
      </c>
      <c r="G2450" s="390">
        <f>'TAMUG FGD'!$G$91</f>
        <v>0</v>
      </c>
      <c r="H2450" s="390">
        <f>'TAMUG FGD'!$H$91</f>
        <v>0</v>
      </c>
      <c r="I2450" s="390">
        <f>'TAMUG FGD'!$I$91</f>
        <v>0</v>
      </c>
      <c r="J2450" s="390">
        <f>'TAMUG FGD'!$J$91</f>
        <v>0</v>
      </c>
      <c r="K2450" s="390">
        <f>'TAMUG FGD'!$K$91</f>
        <v>0</v>
      </c>
      <c r="L2450" s="390">
        <f>'TAMUG FGD'!$L$91</f>
        <v>98252</v>
      </c>
      <c r="M2450" s="390">
        <f>'TAMUG FGD'!$M$91</f>
        <v>98252</v>
      </c>
    </row>
    <row r="2451" spans="2:13" s="160" customFormat="1" ht="12.75" hidden="1" customHeight="1" outlineLevel="1">
      <c r="B2451" s="674" t="str">
        <f>'TAMUK FGD'!$B$2</f>
        <v>Texas A&amp;M University - Kingsville</v>
      </c>
      <c r="C2451" s="171"/>
      <c r="D2451" s="390">
        <f>'TAMUK FGD'!$D$91</f>
        <v>0</v>
      </c>
      <c r="E2451" s="390">
        <f>'TAMUK FGD'!$E$91</f>
        <v>0</v>
      </c>
      <c r="F2451" s="390">
        <f>'TAMUK FGD'!$F$91</f>
        <v>0</v>
      </c>
      <c r="G2451" s="390">
        <f>'TAMUK FGD'!$G$91</f>
        <v>0</v>
      </c>
      <c r="H2451" s="390">
        <f>'TAMUK FGD'!$H$91</f>
        <v>0</v>
      </c>
      <c r="I2451" s="390">
        <f>'TAMUK FGD'!$I$91</f>
        <v>0</v>
      </c>
      <c r="J2451" s="390">
        <f>'TAMUK FGD'!$J$91</f>
        <v>0</v>
      </c>
      <c r="K2451" s="390">
        <f>'TAMUK FGD'!$K$91</f>
        <v>0</v>
      </c>
      <c r="L2451" s="390">
        <f>'TAMUK FGD'!$L$91</f>
        <v>64411</v>
      </c>
      <c r="M2451" s="390">
        <f>'TAMUK FGD'!$M$91</f>
        <v>64411</v>
      </c>
    </row>
    <row r="2452" spans="2:13" s="160" customFormat="1" ht="12.75" hidden="1" customHeight="1" outlineLevel="1">
      <c r="B2452" s="674" t="str">
        <f>'TAMUSA FGD'!$B$2</f>
        <v>Texas A&amp;M University - San Antonio</v>
      </c>
      <c r="C2452" s="171"/>
      <c r="D2452" s="390">
        <f>'TAMUSA FGD'!$D$91</f>
        <v>0</v>
      </c>
      <c r="E2452" s="390">
        <f>'TAMUSA FGD'!$E$91</f>
        <v>0</v>
      </c>
      <c r="F2452" s="390">
        <f>'TAMUSA FGD'!$F$91</f>
        <v>0</v>
      </c>
      <c r="G2452" s="390">
        <f>'TAMUSA FGD'!$G$91</f>
        <v>0</v>
      </c>
      <c r="H2452" s="390">
        <f>'TAMUSA FGD'!$H$91</f>
        <v>0</v>
      </c>
      <c r="I2452" s="390">
        <f>'TAMUSA FGD'!$I$91</f>
        <v>0</v>
      </c>
      <c r="J2452" s="390">
        <f>'TAMUSA FGD'!$J$91</f>
        <v>0</v>
      </c>
      <c r="K2452" s="390">
        <f>'TAMUSA FGD'!$K$91</f>
        <v>0</v>
      </c>
      <c r="L2452" s="390">
        <f>'TAMUSA FGD'!$L$91</f>
        <v>4777</v>
      </c>
      <c r="M2452" s="390">
        <f>'TAMUSA FGD'!$M$91</f>
        <v>4777</v>
      </c>
    </row>
    <row r="2453" spans="2:13" s="160" customFormat="1" ht="12.75" hidden="1" customHeight="1" outlineLevel="1">
      <c r="B2453" s="674" t="str">
        <f>'TAMUT FGD'!$B$2</f>
        <v>Texas A&amp;M University - Texarkana</v>
      </c>
      <c r="C2453" s="171"/>
      <c r="D2453" s="390">
        <f>'TAMUT FGD'!$D$91</f>
        <v>0</v>
      </c>
      <c r="E2453" s="390">
        <f>'TAMUT FGD'!$E$91</f>
        <v>0</v>
      </c>
      <c r="F2453" s="390">
        <f>'TAMUT FGD'!$F$91</f>
        <v>0</v>
      </c>
      <c r="G2453" s="390">
        <f>'TAMUT FGD'!$G$91</f>
        <v>0</v>
      </c>
      <c r="H2453" s="390">
        <f>'TAMUT FGD'!$H$91</f>
        <v>0</v>
      </c>
      <c r="I2453" s="390">
        <f>'TAMUT FGD'!$I$91</f>
        <v>0</v>
      </c>
      <c r="J2453" s="390">
        <f>'TAMUT FGD'!$J$91</f>
        <v>0</v>
      </c>
      <c r="K2453" s="390">
        <f>'TAMUT FGD'!$K$91</f>
        <v>0</v>
      </c>
      <c r="L2453" s="390">
        <f>'TAMUT FGD'!$L$91</f>
        <v>0</v>
      </c>
      <c r="M2453" s="390">
        <f>'TAMUT FGD'!$M$91</f>
        <v>0</v>
      </c>
    </row>
    <row r="2454" spans="2:13" s="160" customFormat="1" ht="12.75" hidden="1" customHeight="1" outlineLevel="1">
      <c r="B2454" s="674" t="str">
        <f>'TARLST FGD'!$B$2</f>
        <v>Tarleton State University</v>
      </c>
      <c r="C2454" s="171"/>
      <c r="D2454" s="390">
        <f>'TARLST FGD'!$D$91</f>
        <v>0</v>
      </c>
      <c r="E2454" s="390">
        <f>'TARLST FGD'!$E$91</f>
        <v>0</v>
      </c>
      <c r="F2454" s="390">
        <f>'TARLST FGD'!$F$91</f>
        <v>0</v>
      </c>
      <c r="G2454" s="390">
        <f>'TARLST FGD'!$G$91</f>
        <v>0</v>
      </c>
      <c r="H2454" s="390">
        <f>'TARLST FGD'!$H$91</f>
        <v>0</v>
      </c>
      <c r="I2454" s="390">
        <f>'TARLST FGD'!$I$91</f>
        <v>0</v>
      </c>
      <c r="J2454" s="390">
        <f>'TARLST FGD'!$J$91</f>
        <v>0</v>
      </c>
      <c r="K2454" s="390">
        <f>'TARLST FGD'!$K$91</f>
        <v>0</v>
      </c>
      <c r="L2454" s="390">
        <f>'TARLST FGD'!$L$91</f>
        <v>157067</v>
      </c>
      <c r="M2454" s="390">
        <f>'TARLST FGD'!$M$91</f>
        <v>157067</v>
      </c>
    </row>
    <row r="2455" spans="2:13" s="160" customFormat="1" ht="12.75" hidden="1" customHeight="1" outlineLevel="1">
      <c r="B2455" s="674" t="str">
        <f>'TSU FGD'!$B$2</f>
        <v>Texas Southern University</v>
      </c>
      <c r="C2455" s="171"/>
      <c r="D2455" s="390">
        <f>'TSU FGD'!$D$91</f>
        <v>0</v>
      </c>
      <c r="E2455" s="390">
        <f>'TSU FGD'!$E$91</f>
        <v>0</v>
      </c>
      <c r="F2455" s="390">
        <f>'TSU FGD'!$F$91</f>
        <v>0</v>
      </c>
      <c r="G2455" s="390">
        <f>'TSU FGD'!$G$91</f>
        <v>0</v>
      </c>
      <c r="H2455" s="390">
        <f>'TSU FGD'!$H$91</f>
        <v>0</v>
      </c>
      <c r="I2455" s="390">
        <f>'TSU FGD'!$I$91</f>
        <v>0</v>
      </c>
      <c r="J2455" s="390">
        <f>'TSU FGD'!$J$91</f>
        <v>0</v>
      </c>
      <c r="K2455" s="390">
        <f>'TSU FGD'!$K$91</f>
        <v>0</v>
      </c>
      <c r="L2455" s="390">
        <f>'TSU FGD'!$L$91</f>
        <v>0</v>
      </c>
      <c r="M2455" s="390">
        <f>'TSU FGD'!$M$91</f>
        <v>0</v>
      </c>
    </row>
    <row r="2456" spans="2:13" s="160" customFormat="1" ht="12.75" hidden="1" customHeight="1" outlineLevel="1">
      <c r="B2456" s="674" t="str">
        <f>'TTU FGD'!$B$2</f>
        <v>Texas Tech University</v>
      </c>
      <c r="C2456" s="171"/>
      <c r="D2456" s="390">
        <f>'TTU FGD'!$D$91</f>
        <v>0</v>
      </c>
      <c r="E2456" s="390">
        <f>'TTU FGD'!$E$91</f>
        <v>0</v>
      </c>
      <c r="F2456" s="390">
        <f>'TTU FGD'!$F$91</f>
        <v>0</v>
      </c>
      <c r="G2456" s="390">
        <f>'TTU FGD'!$G$91</f>
        <v>0</v>
      </c>
      <c r="H2456" s="390">
        <f>'TTU FGD'!$H$91</f>
        <v>0</v>
      </c>
      <c r="I2456" s="390">
        <f>'TTU FGD'!$I$91</f>
        <v>0</v>
      </c>
      <c r="J2456" s="390">
        <f>'TTU FGD'!$J$91</f>
        <v>0</v>
      </c>
      <c r="K2456" s="390">
        <f>'TTU FGD'!$K$91</f>
        <v>0</v>
      </c>
      <c r="L2456" s="390">
        <f>'TTU FGD'!$L$91</f>
        <v>5640709</v>
      </c>
      <c r="M2456" s="390">
        <f>'TTU FGD'!$M$91</f>
        <v>5640709</v>
      </c>
    </row>
    <row r="2457" spans="2:13" s="160" customFormat="1" ht="12.75" hidden="1" customHeight="1" outlineLevel="1">
      <c r="B2457" s="674" t="str">
        <f>'TWU FGD'!$B$2</f>
        <v>Texas Woman's University</v>
      </c>
      <c r="C2457" s="171"/>
      <c r="D2457" s="390">
        <f>'TWU FGD'!$D$91</f>
        <v>0</v>
      </c>
      <c r="E2457" s="390">
        <f>'TWU FGD'!$E$91</f>
        <v>0</v>
      </c>
      <c r="F2457" s="390">
        <f>'TWU FGD'!$F$91</f>
        <v>0</v>
      </c>
      <c r="G2457" s="390">
        <f>'TWU FGD'!$G$91</f>
        <v>0</v>
      </c>
      <c r="H2457" s="390">
        <f>'TWU FGD'!$H$91</f>
        <v>0</v>
      </c>
      <c r="I2457" s="390">
        <f>'TWU FGD'!$I$91</f>
        <v>0</v>
      </c>
      <c r="J2457" s="390">
        <f>'TWU FGD'!$J$91</f>
        <v>0</v>
      </c>
      <c r="K2457" s="390">
        <f>'TWU FGD'!$K$91</f>
        <v>0</v>
      </c>
      <c r="L2457" s="390">
        <f>'TWU FGD'!$L$91</f>
        <v>0</v>
      </c>
      <c r="M2457" s="390">
        <f>'TWU FGD'!$M$91</f>
        <v>0</v>
      </c>
    </row>
    <row r="2458" spans="2:13" s="160" customFormat="1" ht="12.75" hidden="1" customHeight="1" outlineLevel="1">
      <c r="B2458" s="674" t="str">
        <f>'TXST FGD'!$B$2</f>
        <v>Texas State University</v>
      </c>
      <c r="C2458" s="171"/>
      <c r="D2458" s="390">
        <f>'TXST FGD'!$D$91</f>
        <v>0</v>
      </c>
      <c r="E2458" s="390">
        <f>'TXST FGD'!$E$91</f>
        <v>877585</v>
      </c>
      <c r="F2458" s="390">
        <f>'TXST FGD'!$F$91</f>
        <v>35330</v>
      </c>
      <c r="G2458" s="390">
        <f>'TXST FGD'!$G$91</f>
        <v>175639</v>
      </c>
      <c r="H2458" s="390">
        <f>'TXST FGD'!$H$91</f>
        <v>0</v>
      </c>
      <c r="I2458" s="390">
        <f>'TXST FGD'!$I$91</f>
        <v>0</v>
      </c>
      <c r="J2458" s="390">
        <f>'TXST FGD'!$J$91</f>
        <v>0</v>
      </c>
      <c r="K2458" s="390">
        <f>'TXST FGD'!$K$91</f>
        <v>0</v>
      </c>
      <c r="L2458" s="390">
        <f>'TXST FGD'!$L$91</f>
        <v>0</v>
      </c>
      <c r="M2458" s="390">
        <f>'TXST FGD'!$M$91</f>
        <v>1088554</v>
      </c>
    </row>
    <row r="2459" spans="2:13" s="160" customFormat="1" ht="12.75" hidden="1" customHeight="1" outlineLevel="1">
      <c r="B2459" s="674" t="str">
        <f>'TYL FGD'!$B$2</f>
        <v>The University of Texas at Tyler</v>
      </c>
      <c r="C2459" s="171"/>
      <c r="D2459" s="390">
        <f>'TYL FGD'!$D$91</f>
        <v>0</v>
      </c>
      <c r="E2459" s="390">
        <f>'TYL FGD'!$E$91</f>
        <v>0</v>
      </c>
      <c r="F2459" s="390">
        <f>'TYL FGD'!$F$91</f>
        <v>0</v>
      </c>
      <c r="G2459" s="390">
        <f>'TYL FGD'!$G$91</f>
        <v>0</v>
      </c>
      <c r="H2459" s="390">
        <f>'TYL FGD'!$H$91</f>
        <v>0</v>
      </c>
      <c r="I2459" s="390">
        <f>'TYL FGD'!$I$91</f>
        <v>0</v>
      </c>
      <c r="J2459" s="390">
        <f>'TYL FGD'!$J$91</f>
        <v>0</v>
      </c>
      <c r="K2459" s="390">
        <f>'TYL FGD'!$K$91</f>
        <v>0</v>
      </c>
      <c r="L2459" s="390">
        <f>'TYL FGD'!$L$91</f>
        <v>0</v>
      </c>
      <c r="M2459" s="390">
        <f>'TYL FGD'!$M$91</f>
        <v>0</v>
      </c>
    </row>
    <row r="2460" spans="2:13" s="160" customFormat="1" ht="12.75" hidden="1" customHeight="1" outlineLevel="1">
      <c r="B2460" s="674" t="str">
        <f>'UH1 FGD'!$B$2</f>
        <v>University of Houston - Academic &amp; Health (A+H)</v>
      </c>
      <c r="C2460" s="171"/>
      <c r="D2460" s="390">
        <f>'UH1 FGD'!$D$91</f>
        <v>0</v>
      </c>
      <c r="E2460" s="390">
        <f>'UH1 FGD'!$E$91</f>
        <v>0</v>
      </c>
      <c r="F2460" s="390">
        <f>'UH1 FGD'!$F$91</f>
        <v>0</v>
      </c>
      <c r="G2460" s="390">
        <f>'UH1 FGD'!$G$91</f>
        <v>0</v>
      </c>
      <c r="H2460" s="390">
        <f>'UH1 FGD'!$H$91</f>
        <v>0</v>
      </c>
      <c r="I2460" s="390">
        <f>'UH1 FGD'!$I$91</f>
        <v>0</v>
      </c>
      <c r="J2460" s="390">
        <f>'UH1 FGD'!$J$91</f>
        <v>0</v>
      </c>
      <c r="K2460" s="390">
        <f>'UH1 FGD'!$K$91</f>
        <v>0</v>
      </c>
      <c r="L2460" s="390">
        <f>'UH1 FGD'!$L$91</f>
        <v>121400</v>
      </c>
      <c r="M2460" s="390">
        <f>'UH1 FGD'!$M$91</f>
        <v>121400</v>
      </c>
    </row>
    <row r="2461" spans="2:13" s="160" customFormat="1" ht="12.75" hidden="1" customHeight="1" outlineLevel="1">
      <c r="B2461" s="674" t="str">
        <f>'UHCL FGD'!$B$2</f>
        <v>University of Houston - Clear Lake</v>
      </c>
      <c r="C2461" s="171"/>
      <c r="D2461" s="390">
        <f>'UHCL FGD'!$D$91</f>
        <v>0</v>
      </c>
      <c r="E2461" s="390">
        <f>'UHCL FGD'!$E$91</f>
        <v>0</v>
      </c>
      <c r="F2461" s="390">
        <f>'UHCL FGD'!$F$91</f>
        <v>0</v>
      </c>
      <c r="G2461" s="390">
        <f>'UHCL FGD'!$G$91</f>
        <v>0</v>
      </c>
      <c r="H2461" s="390">
        <f>'UHCL FGD'!$H$91</f>
        <v>0</v>
      </c>
      <c r="I2461" s="390">
        <f>'UHCL FGD'!$I$91</f>
        <v>0</v>
      </c>
      <c r="J2461" s="390">
        <f>'UHCL FGD'!$J$91</f>
        <v>0</v>
      </c>
      <c r="K2461" s="390">
        <f>'UHCL FGD'!$K$91</f>
        <v>0</v>
      </c>
      <c r="L2461" s="390">
        <f>'UHCL FGD'!$L$91</f>
        <v>0</v>
      </c>
      <c r="M2461" s="390">
        <f>'UHCL FGD'!$M$91</f>
        <v>0</v>
      </c>
    </row>
    <row r="2462" spans="2:13" s="160" customFormat="1" ht="12.75" hidden="1" customHeight="1" outlineLevel="1">
      <c r="B2462" s="674" t="str">
        <f>'UHD FGD'!$B$2</f>
        <v>University of Houston - Downtown</v>
      </c>
      <c r="C2462" s="171"/>
      <c r="D2462" s="390">
        <f>'UHD FGD'!$D$91</f>
        <v>0</v>
      </c>
      <c r="E2462" s="390">
        <f>'UHD FGD'!$E$91</f>
        <v>0</v>
      </c>
      <c r="F2462" s="390">
        <f>'UHD FGD'!$F$91</f>
        <v>0</v>
      </c>
      <c r="G2462" s="390">
        <f>'UHD FGD'!$G$91</f>
        <v>0</v>
      </c>
      <c r="H2462" s="390">
        <f>'UHD FGD'!$H$91</f>
        <v>0</v>
      </c>
      <c r="I2462" s="390">
        <f>'UHD FGD'!$I$91</f>
        <v>0</v>
      </c>
      <c r="J2462" s="390">
        <f>'UHD FGD'!$J$91</f>
        <v>0</v>
      </c>
      <c r="K2462" s="390">
        <f>'UHD FGD'!$K$91</f>
        <v>0</v>
      </c>
      <c r="L2462" s="390">
        <f>'UHD FGD'!$L$91</f>
        <v>0</v>
      </c>
      <c r="M2462" s="390">
        <f>'UHD FGD'!$M$91</f>
        <v>0</v>
      </c>
    </row>
    <row r="2463" spans="2:13" s="160" customFormat="1" ht="12.75" hidden="1" customHeight="1" outlineLevel="1">
      <c r="B2463" s="674" t="str">
        <f>'UHV FGD'!$B$2</f>
        <v>University of Houston - Victoria</v>
      </c>
      <c r="C2463" s="171"/>
      <c r="D2463" s="390">
        <f>'UHV FGD'!$D$91</f>
        <v>0</v>
      </c>
      <c r="E2463" s="390">
        <f>'UHV FGD'!$E$91</f>
        <v>0</v>
      </c>
      <c r="F2463" s="390">
        <f>'UHV FGD'!$F$91</f>
        <v>0</v>
      </c>
      <c r="G2463" s="390">
        <f>'UHV FGD'!$G$91</f>
        <v>0</v>
      </c>
      <c r="H2463" s="390">
        <f>'UHV FGD'!$H$91</f>
        <v>0</v>
      </c>
      <c r="I2463" s="390">
        <f>'UHV FGD'!$I$91</f>
        <v>0</v>
      </c>
      <c r="J2463" s="390">
        <f>'UHV FGD'!$J$91</f>
        <v>0</v>
      </c>
      <c r="K2463" s="390">
        <f>'UHV FGD'!$K$91</f>
        <v>0</v>
      </c>
      <c r="L2463" s="390">
        <f>'UHV FGD'!$L$91</f>
        <v>0</v>
      </c>
      <c r="M2463" s="390">
        <f>'UHV FGD'!$M$91</f>
        <v>0</v>
      </c>
    </row>
    <row r="2464" spans="2:13" s="160" customFormat="1" ht="12.75" hidden="1" customHeight="1" outlineLevel="1">
      <c r="B2464" s="674" t="str">
        <f>'UNT FGD'!$B$2</f>
        <v>University of North Texas</v>
      </c>
      <c r="C2464" s="171"/>
      <c r="D2464" s="390">
        <f>'UNT FGD'!$D$91</f>
        <v>0</v>
      </c>
      <c r="E2464" s="390">
        <f>'UNT FGD'!$E$91</f>
        <v>-4969885</v>
      </c>
      <c r="F2464" s="390">
        <f>'UNT FGD'!$F$91</f>
        <v>0</v>
      </c>
      <c r="G2464" s="390">
        <f>'UNT FGD'!$G$91</f>
        <v>70000</v>
      </c>
      <c r="H2464" s="390">
        <f>'UNT FGD'!$H$91</f>
        <v>0</v>
      </c>
      <c r="I2464" s="390">
        <f>'UNT FGD'!$I$91</f>
        <v>0</v>
      </c>
      <c r="J2464" s="390">
        <f>'UNT FGD'!$J$91</f>
        <v>0</v>
      </c>
      <c r="K2464" s="390">
        <f>'UNT FGD'!$K$91</f>
        <v>0</v>
      </c>
      <c r="L2464" s="390">
        <f>'UNT FGD'!$L$91</f>
        <v>7546791</v>
      </c>
      <c r="M2464" s="390">
        <f>'UNT FGD'!$M$91</f>
        <v>2646906</v>
      </c>
    </row>
    <row r="2465" spans="2:13" s="160" customFormat="1" ht="12.75" hidden="1" customHeight="1" outlineLevel="1">
      <c r="B2465" s="674" t="str">
        <f>'UNTD FGD'!$B$2</f>
        <v>University of North Texas at Dallas</v>
      </c>
      <c r="C2465" s="171"/>
      <c r="D2465" s="390">
        <f>'UNTD FGD'!$D$91</f>
        <v>0</v>
      </c>
      <c r="E2465" s="390">
        <f>'UNTD FGD'!$E$91</f>
        <v>0</v>
      </c>
      <c r="F2465" s="390">
        <f>'UNTD FGD'!$F$91</f>
        <v>0</v>
      </c>
      <c r="G2465" s="390">
        <f>'UNTD FGD'!$G$91</f>
        <v>0</v>
      </c>
      <c r="H2465" s="390">
        <f>'UNTD FGD'!$H$91</f>
        <v>0</v>
      </c>
      <c r="I2465" s="390">
        <f>'UNTD FGD'!$I$91</f>
        <v>0</v>
      </c>
      <c r="J2465" s="390">
        <f>'UNTD FGD'!$J$91</f>
        <v>0</v>
      </c>
      <c r="K2465" s="390">
        <f>'UNTD FGD'!$K$91</f>
        <v>0</v>
      </c>
      <c r="L2465" s="390">
        <f>'UNTD FGD'!$L$91</f>
        <v>415142</v>
      </c>
      <c r="M2465" s="390">
        <f>'UNTD FGD'!$M$91</f>
        <v>415142</v>
      </c>
    </row>
    <row r="2466" spans="2:13" s="160" customFormat="1" ht="12.75" hidden="1" customHeight="1" outlineLevel="1">
      <c r="B2466" s="674" t="str">
        <f>'WTAMU FGD'!$B$2</f>
        <v>West Texas A&amp;M University</v>
      </c>
      <c r="C2466" s="171"/>
      <c r="D2466" s="390">
        <f>'WTAMU FGD'!$D$91</f>
        <v>0</v>
      </c>
      <c r="E2466" s="390">
        <f>'WTAMU FGD'!$E$91</f>
        <v>0</v>
      </c>
      <c r="F2466" s="390">
        <f>'WTAMU FGD'!$F$91</f>
        <v>0</v>
      </c>
      <c r="G2466" s="390">
        <f>'WTAMU FGD'!$G$91</f>
        <v>0</v>
      </c>
      <c r="H2466" s="390">
        <f>'WTAMU FGD'!$H$91</f>
        <v>0</v>
      </c>
      <c r="I2466" s="390">
        <f>'WTAMU FGD'!$I$91</f>
        <v>0</v>
      </c>
      <c r="J2466" s="390">
        <f>'WTAMU FGD'!$J$91</f>
        <v>0</v>
      </c>
      <c r="K2466" s="390">
        <f>'WTAMU FGD'!$K$91</f>
        <v>0</v>
      </c>
      <c r="L2466" s="390">
        <f>'WTAMU FGD'!$L$91</f>
        <v>0</v>
      </c>
      <c r="M2466" s="390">
        <f>'WTAMU FGD'!$M$91</f>
        <v>0</v>
      </c>
    </row>
    <row r="2467" spans="2:13" s="160" customFormat="1" collapsed="1">
      <c r="B2467" s="171" t="s">
        <v>128</v>
      </c>
      <c r="C2467" s="171"/>
      <c r="D2467" s="390">
        <f t="shared" ref="D2467:M2467" si="65">SUM(D2431:D2466)</f>
        <v>0</v>
      </c>
      <c r="E2467" s="390">
        <f t="shared" si="65"/>
        <v>-4092300</v>
      </c>
      <c r="F2467" s="390">
        <f t="shared" si="65"/>
        <v>35330</v>
      </c>
      <c r="G2467" s="390">
        <f t="shared" si="65"/>
        <v>4499389</v>
      </c>
      <c r="H2467" s="390">
        <f t="shared" si="65"/>
        <v>0</v>
      </c>
      <c r="I2467" s="390">
        <f t="shared" si="65"/>
        <v>0</v>
      </c>
      <c r="J2467" s="390">
        <f t="shared" si="65"/>
        <v>0</v>
      </c>
      <c r="K2467" s="390">
        <f t="shared" si="65"/>
        <v>0</v>
      </c>
      <c r="L2467" s="390">
        <f t="shared" si="65"/>
        <v>40056227</v>
      </c>
      <c r="M2467" s="390">
        <f t="shared" si="65"/>
        <v>40498646</v>
      </c>
    </row>
    <row r="2468" spans="2:13" s="160" customFormat="1" ht="12.75" hidden="1" customHeight="1" outlineLevel="1">
      <c r="B2468" s="674" t="str">
        <f>'ARL FGD'!$B$2</f>
        <v>The University of Texas at Arlington</v>
      </c>
      <c r="C2468" s="171"/>
      <c r="D2468" s="390">
        <f>'ARL FGD'!$D$92</f>
        <v>0</v>
      </c>
      <c r="E2468" s="390">
        <f>'ARL FGD'!$E$92</f>
        <v>0</v>
      </c>
      <c r="F2468" s="390">
        <f>'ARL FGD'!$F$92</f>
        <v>0</v>
      </c>
      <c r="G2468" s="390">
        <f>'ARL FGD'!$G$92</f>
        <v>0</v>
      </c>
      <c r="H2468" s="390">
        <f>'ARL FGD'!$H$92</f>
        <v>0</v>
      </c>
      <c r="I2468" s="390">
        <f>'ARL FGD'!$I$92</f>
        <v>0</v>
      </c>
      <c r="J2468" s="390">
        <f>'ARL FGD'!$J$92</f>
        <v>0</v>
      </c>
      <c r="K2468" s="390">
        <f>'ARL FGD'!$K$92</f>
        <v>0</v>
      </c>
      <c r="L2468" s="390">
        <f>'ARL FGD'!$L$92</f>
        <v>39356721</v>
      </c>
      <c r="M2468" s="390">
        <f>'ARL FGD'!$M$92</f>
        <v>39356721</v>
      </c>
    </row>
    <row r="2469" spans="2:13" s="160" customFormat="1" ht="12.75" hidden="1" customHeight="1" outlineLevel="1">
      <c r="B2469" s="674" t="str">
        <f>'ASU FGD'!$B$2</f>
        <v>Angelo State University</v>
      </c>
      <c r="C2469" s="171"/>
      <c r="D2469" s="390">
        <f>'ASU FGD'!$D$92</f>
        <v>443167</v>
      </c>
      <c r="E2469" s="390">
        <f>'ASU FGD'!$E$92</f>
        <v>260578</v>
      </c>
      <c r="F2469" s="390">
        <f>'ASU FGD'!$F$92</f>
        <v>62644</v>
      </c>
      <c r="G2469" s="390">
        <f>'ASU FGD'!$G$92</f>
        <v>334734</v>
      </c>
      <c r="H2469" s="390">
        <f>'ASU FGD'!$H$92</f>
        <v>0</v>
      </c>
      <c r="I2469" s="390">
        <f>'ASU FGD'!$I$92</f>
        <v>0</v>
      </c>
      <c r="J2469" s="390">
        <f>'ASU FGD'!$J$92</f>
        <v>2476769</v>
      </c>
      <c r="K2469" s="390">
        <f>'ASU FGD'!$K$92</f>
        <v>0</v>
      </c>
      <c r="L2469" s="390">
        <f>'ASU FGD'!$L$92</f>
        <v>0</v>
      </c>
      <c r="M2469" s="390">
        <f>'ASU FGD'!$M$92</f>
        <v>3577892</v>
      </c>
    </row>
    <row r="2470" spans="2:13" s="160" customFormat="1" ht="12.75" hidden="1" customHeight="1" outlineLevel="1">
      <c r="B2470" s="674" t="str">
        <f>'AUS1 FGD'!$B$2</f>
        <v>The University of Texas at Austin - Academic &amp; Health (A+H)</v>
      </c>
      <c r="C2470" s="171"/>
      <c r="D2470" s="390">
        <f>'AUS1 FGD'!$D$92</f>
        <v>0</v>
      </c>
      <c r="E2470" s="390">
        <f>'AUS1 FGD'!$E$92</f>
        <v>0</v>
      </c>
      <c r="F2470" s="390">
        <f>'AUS1 FGD'!$F$92</f>
        <v>0</v>
      </c>
      <c r="G2470" s="390">
        <f>'AUS1 FGD'!$G$92</f>
        <v>0</v>
      </c>
      <c r="H2470" s="390">
        <f>'AUS1 FGD'!$H$92</f>
        <v>0</v>
      </c>
      <c r="I2470" s="390">
        <f>'AUS1 FGD'!$I$92</f>
        <v>0</v>
      </c>
      <c r="J2470" s="390">
        <f>'AUS1 FGD'!$J$92</f>
        <v>0</v>
      </c>
      <c r="K2470" s="390">
        <f>'AUS1 FGD'!$K$92</f>
        <v>0</v>
      </c>
      <c r="L2470" s="390">
        <f>'AUS1 FGD'!$L$92</f>
        <v>445308080</v>
      </c>
      <c r="M2470" s="390">
        <f>'AUS1 FGD'!$M$92</f>
        <v>445308080</v>
      </c>
    </row>
    <row r="2471" spans="2:13" s="160" customFormat="1" ht="12.75" hidden="1" customHeight="1" outlineLevel="1">
      <c r="B2471" s="674" t="str">
        <f>'RGV1 FGD'!$B$2</f>
        <v>The University of Texas RGV - Academic &amp; Health (A+H)</v>
      </c>
      <c r="C2471" s="171"/>
      <c r="D2471" s="390">
        <f>'RGV1 FGD'!$D$92</f>
        <v>0</v>
      </c>
      <c r="E2471" s="390">
        <f>'RGV1 FGD'!$E$92</f>
        <v>0</v>
      </c>
      <c r="F2471" s="390">
        <f>'RGV1 FGD'!$F$92</f>
        <v>0</v>
      </c>
      <c r="G2471" s="390">
        <f>'RGV1 FGD'!$G$92</f>
        <v>0</v>
      </c>
      <c r="H2471" s="390">
        <f>'RGV1 FGD'!$H$92</f>
        <v>0</v>
      </c>
      <c r="I2471" s="390">
        <f>'RGV1 FGD'!$I$92</f>
        <v>0</v>
      </c>
      <c r="J2471" s="390">
        <f>'RGV1 FGD'!$J$92</f>
        <v>0</v>
      </c>
      <c r="K2471" s="390">
        <f>'RGV1 FGD'!$K$92</f>
        <v>0</v>
      </c>
      <c r="L2471" s="390">
        <f>'RGV1 FGD'!$L$92</f>
        <v>32117337</v>
      </c>
      <c r="M2471" s="390">
        <f>'RGV1 FGD'!$M$92</f>
        <v>32117337</v>
      </c>
    </row>
    <row r="2472" spans="2:13" s="160" customFormat="1" ht="12.75" hidden="1" customHeight="1" outlineLevel="1">
      <c r="B2472" s="674" t="str">
        <f>'DAL FGD'!$B$2</f>
        <v>The University of Texas at Dallas</v>
      </c>
      <c r="C2472" s="171"/>
      <c r="D2472" s="390">
        <f>'DAL FGD'!$D$92</f>
        <v>0</v>
      </c>
      <c r="E2472" s="390">
        <f>'DAL FGD'!$E$92</f>
        <v>0</v>
      </c>
      <c r="F2472" s="390">
        <f>'DAL FGD'!$F$92</f>
        <v>0</v>
      </c>
      <c r="G2472" s="390">
        <f>'DAL FGD'!$G$92</f>
        <v>0</v>
      </c>
      <c r="H2472" s="390">
        <f>'DAL FGD'!$H$92</f>
        <v>0</v>
      </c>
      <c r="I2472" s="390">
        <f>'DAL FGD'!$I$92</f>
        <v>0</v>
      </c>
      <c r="J2472" s="390">
        <f>'DAL FGD'!$J$92</f>
        <v>0</v>
      </c>
      <c r="K2472" s="390">
        <f>'DAL FGD'!$K$92</f>
        <v>0</v>
      </c>
      <c r="L2472" s="390">
        <f>'DAL FGD'!$L$92</f>
        <v>35700511</v>
      </c>
      <c r="M2472" s="390">
        <f>'DAL FGD'!$M$92</f>
        <v>35700511</v>
      </c>
    </row>
    <row r="2473" spans="2:13" s="160" customFormat="1" ht="12.75" hidden="1" customHeight="1" outlineLevel="1">
      <c r="B2473" s="674" t="str">
        <f>'E-P FGD'!$B$2</f>
        <v>The University of Texas at El Paso</v>
      </c>
      <c r="C2473" s="171"/>
      <c r="D2473" s="390">
        <f>'E-P FGD'!$D$92</f>
        <v>0</v>
      </c>
      <c r="E2473" s="390">
        <f>'E-P FGD'!$E$92</f>
        <v>0</v>
      </c>
      <c r="F2473" s="390">
        <f>'E-P FGD'!$F$92</f>
        <v>0</v>
      </c>
      <c r="G2473" s="390">
        <f>'E-P FGD'!$G$92</f>
        <v>0</v>
      </c>
      <c r="H2473" s="390">
        <f>'E-P FGD'!$H$92</f>
        <v>0</v>
      </c>
      <c r="I2473" s="390">
        <f>'E-P FGD'!$I$92</f>
        <v>0</v>
      </c>
      <c r="J2473" s="390">
        <f>'E-P FGD'!$J$92</f>
        <v>0</v>
      </c>
      <c r="K2473" s="390">
        <f>'E-P FGD'!$K$92</f>
        <v>0</v>
      </c>
      <c r="L2473" s="390">
        <f>'E-P FGD'!$L$92</f>
        <v>18442307</v>
      </c>
      <c r="M2473" s="390">
        <f>'E-P FGD'!$M$92</f>
        <v>18442307</v>
      </c>
    </row>
    <row r="2474" spans="2:13" s="160" customFormat="1" ht="12.75" hidden="1" customHeight="1" outlineLevel="1">
      <c r="B2474" s="674" t="str">
        <f>'LU FGD'!$B$2</f>
        <v xml:space="preserve">Lamar University </v>
      </c>
      <c r="C2474" s="171"/>
      <c r="D2474" s="390">
        <f>'LU FGD'!$D$92</f>
        <v>0</v>
      </c>
      <c r="E2474" s="390">
        <f>'LU FGD'!$E$92</f>
        <v>0</v>
      </c>
      <c r="F2474" s="390">
        <f>'LU FGD'!$F$92</f>
        <v>0</v>
      </c>
      <c r="G2474" s="390">
        <f>'LU FGD'!$G$92</f>
        <v>0</v>
      </c>
      <c r="H2474" s="390">
        <f>'LU FGD'!$H$92</f>
        <v>0</v>
      </c>
      <c r="I2474" s="390">
        <f>'LU FGD'!$I$92</f>
        <v>0</v>
      </c>
      <c r="J2474" s="390">
        <f>'LU FGD'!$J$92</f>
        <v>0</v>
      </c>
      <c r="K2474" s="390">
        <f>'LU FGD'!$K$92</f>
        <v>0</v>
      </c>
      <c r="L2474" s="390">
        <f>'LU FGD'!$L$92</f>
        <v>1468050</v>
      </c>
      <c r="M2474" s="390">
        <f>'LU FGD'!$M$92</f>
        <v>1468050</v>
      </c>
    </row>
    <row r="2475" spans="2:13" s="160" customFormat="1" ht="12.75" hidden="1" customHeight="1" outlineLevel="1">
      <c r="B2475" s="674" t="str">
        <f>'MidWST FGD'!$B$2</f>
        <v>Midwestern State University</v>
      </c>
      <c r="C2475" s="171"/>
      <c r="D2475" s="390">
        <f>'MidWST FGD'!$D$92</f>
        <v>669728</v>
      </c>
      <c r="E2475" s="390">
        <f>'MidWST FGD'!$E$92</f>
        <v>145250</v>
      </c>
      <c r="F2475" s="390">
        <f>'MidWST FGD'!$F$92</f>
        <v>0</v>
      </c>
      <c r="G2475" s="390">
        <f>'MidWST FGD'!$G$92</f>
        <v>4772300</v>
      </c>
      <c r="H2475" s="390">
        <f>'MidWST FGD'!$H$92</f>
        <v>0</v>
      </c>
      <c r="I2475" s="390">
        <f>'MidWST FGD'!$I$92</f>
        <v>0</v>
      </c>
      <c r="J2475" s="390">
        <f>'MidWST FGD'!$J$92</f>
        <v>1763329</v>
      </c>
      <c r="K2475" s="390">
        <f>'MidWST FGD'!$K$92</f>
        <v>0</v>
      </c>
      <c r="L2475" s="390">
        <f>'MidWST FGD'!$L$92</f>
        <v>0</v>
      </c>
      <c r="M2475" s="390">
        <f>'MidWST FGD'!$M$92</f>
        <v>7350607</v>
      </c>
    </row>
    <row r="2476" spans="2:13" s="160" customFormat="1" ht="12.75" hidden="1" customHeight="1" outlineLevel="1">
      <c r="B2476" s="674" t="str">
        <f>'P-B FGD'!$B$2</f>
        <v>The University of Texas of the Permian Basin</v>
      </c>
      <c r="C2476" s="171"/>
      <c r="D2476" s="390">
        <f>'P-B FGD'!$D$92</f>
        <v>0</v>
      </c>
      <c r="E2476" s="390">
        <f>'P-B FGD'!$E$92</f>
        <v>0</v>
      </c>
      <c r="F2476" s="390">
        <f>'P-B FGD'!$F$92</f>
        <v>0</v>
      </c>
      <c r="G2476" s="390">
        <f>'P-B FGD'!$G$92</f>
        <v>0</v>
      </c>
      <c r="H2476" s="390">
        <f>'P-B FGD'!$H$92</f>
        <v>0</v>
      </c>
      <c r="I2476" s="390">
        <f>'P-B FGD'!$I$92</f>
        <v>0</v>
      </c>
      <c r="J2476" s="390">
        <f>'P-B FGD'!$J$92</f>
        <v>0</v>
      </c>
      <c r="K2476" s="390">
        <f>'P-B FGD'!$K$92</f>
        <v>0</v>
      </c>
      <c r="L2476" s="390">
        <f>'P-B FGD'!$L$92</f>
        <v>11477231</v>
      </c>
      <c r="M2476" s="390">
        <f>'P-B FGD'!$M$92</f>
        <v>11477231</v>
      </c>
    </row>
    <row r="2477" spans="2:13" s="160" customFormat="1" ht="12.75" hidden="1" customHeight="1" outlineLevel="1">
      <c r="B2477" s="674" t="str">
        <f>'PVAMU FGD'!$B$2</f>
        <v>Prairie View A&amp;M University</v>
      </c>
      <c r="C2477" s="171"/>
      <c r="D2477" s="390">
        <f>'PVAMU FGD'!$D$92</f>
        <v>148449</v>
      </c>
      <c r="E2477" s="390">
        <f>'PVAMU FGD'!$E$92</f>
        <v>598642</v>
      </c>
      <c r="F2477" s="390">
        <f>'PVAMU FGD'!$F$92</f>
        <v>64067</v>
      </c>
      <c r="G2477" s="390">
        <f>'PVAMU FGD'!$G$92</f>
        <v>2488998</v>
      </c>
      <c r="H2477" s="390">
        <f>'PVAMU FGD'!$H$92</f>
        <v>0</v>
      </c>
      <c r="I2477" s="390">
        <f>'PVAMU FGD'!$I$92</f>
        <v>0</v>
      </c>
      <c r="J2477" s="390">
        <f>'PVAMU FGD'!$J$92</f>
        <v>5932666</v>
      </c>
      <c r="K2477" s="390">
        <f>'PVAMU FGD'!$K$92</f>
        <v>0</v>
      </c>
      <c r="L2477" s="390">
        <f>'PVAMU FGD'!$L$92</f>
        <v>0</v>
      </c>
      <c r="M2477" s="390">
        <f>'PVAMU FGD'!$M$92</f>
        <v>9232822</v>
      </c>
    </row>
    <row r="2478" spans="2:13" s="160" customFormat="1" ht="12.75" hidden="1" customHeight="1" outlineLevel="1">
      <c r="B2478" s="674" t="str">
        <f>'S-A FGD'!$B$2</f>
        <v>The University of Texas at San Antonio</v>
      </c>
      <c r="C2478" s="171"/>
      <c r="D2478" s="390">
        <f>'S-A FGD'!$D$92</f>
        <v>0</v>
      </c>
      <c r="E2478" s="390">
        <f>'S-A FGD'!$E$92</f>
        <v>0</v>
      </c>
      <c r="F2478" s="390">
        <f>'S-A FGD'!$F$92</f>
        <v>0</v>
      </c>
      <c r="G2478" s="390">
        <f>'S-A FGD'!$G$92</f>
        <v>0</v>
      </c>
      <c r="H2478" s="390">
        <f>'S-A FGD'!$H$92</f>
        <v>0</v>
      </c>
      <c r="I2478" s="390">
        <f>'S-A FGD'!$I$92</f>
        <v>0</v>
      </c>
      <c r="J2478" s="390">
        <f>'S-A FGD'!$J$92</f>
        <v>0</v>
      </c>
      <c r="K2478" s="390">
        <f>'S-A FGD'!$K$92</f>
        <v>0</v>
      </c>
      <c r="L2478" s="390">
        <f>'S-A FGD'!$L$92</f>
        <v>110796320</v>
      </c>
      <c r="M2478" s="390">
        <f>'S-A FGD'!$M$92</f>
        <v>110796320</v>
      </c>
    </row>
    <row r="2479" spans="2:13" s="160" customFormat="1" ht="12.75" hidden="1" customHeight="1" outlineLevel="1">
      <c r="B2479" s="674" t="str">
        <f>'SFA FGD'!$B$2</f>
        <v>Stephen F. Austin State University</v>
      </c>
      <c r="C2479" s="171"/>
      <c r="D2479" s="390">
        <f>'SFA FGD'!$D$92</f>
        <v>0</v>
      </c>
      <c r="E2479" s="390">
        <f>'SFA FGD'!$E$92</f>
        <v>0</v>
      </c>
      <c r="F2479" s="390">
        <f>'SFA FGD'!$F$92</f>
        <v>0</v>
      </c>
      <c r="G2479" s="390">
        <f>'SFA FGD'!$G$92</f>
        <v>0</v>
      </c>
      <c r="H2479" s="390">
        <f>'SFA FGD'!$H$92</f>
        <v>0</v>
      </c>
      <c r="I2479" s="390">
        <f>'SFA FGD'!$I$92</f>
        <v>0</v>
      </c>
      <c r="J2479" s="390">
        <f>'SFA FGD'!$J$92</f>
        <v>0</v>
      </c>
      <c r="K2479" s="390">
        <f>'SFA FGD'!$K$92</f>
        <v>0</v>
      </c>
      <c r="L2479" s="390">
        <f>'SFA FGD'!$L$92</f>
        <v>28504689</v>
      </c>
      <c r="M2479" s="390">
        <f>'SFA FGD'!$M$92</f>
        <v>28504689</v>
      </c>
    </row>
    <row r="2480" spans="2:13" s="160" customFormat="1" ht="12.75" hidden="1" customHeight="1" outlineLevel="1">
      <c r="B2480" s="674" t="str">
        <f>'shsu1 FGD'!$B$2</f>
        <v>Sam Houston State University - Academic &amp; Health (A+H)</v>
      </c>
      <c r="C2480" s="171"/>
      <c r="D2480" s="390">
        <f>'shsu1 FGD'!$D$92</f>
        <v>809208</v>
      </c>
      <c r="E2480" s="390">
        <f>'shsu1 FGD'!$E$92</f>
        <v>3019514</v>
      </c>
      <c r="F2480" s="390">
        <f>'shsu1 FGD'!$F$92</f>
        <v>107282</v>
      </c>
      <c r="G2480" s="390">
        <f>'shsu1 FGD'!$G$92</f>
        <v>757818</v>
      </c>
      <c r="H2480" s="390">
        <f>'shsu1 FGD'!$H$92</f>
        <v>0</v>
      </c>
      <c r="I2480" s="390">
        <f>'shsu1 FGD'!$I$92</f>
        <v>0</v>
      </c>
      <c r="J2480" s="390">
        <f>'shsu1 FGD'!$J$92</f>
        <v>52853362</v>
      </c>
      <c r="K2480" s="390">
        <f>'shsu1 FGD'!$K$92</f>
        <v>0</v>
      </c>
      <c r="L2480" s="390">
        <f>'shsu1 FGD'!$L$92</f>
        <v>0</v>
      </c>
      <c r="M2480" s="390">
        <f>'shsu1 FGD'!$M$92</f>
        <v>57547184</v>
      </c>
    </row>
    <row r="2481" spans="2:13" s="160" customFormat="1" ht="12.75" hidden="1" customHeight="1" outlineLevel="1">
      <c r="B2481" s="674" t="str">
        <f>'SRSU FGD'!$B$2</f>
        <v>Sul Ross State University</v>
      </c>
      <c r="C2481" s="171"/>
      <c r="D2481" s="390">
        <f>'SRSU FGD'!$D$92</f>
        <v>187610</v>
      </c>
      <c r="E2481" s="390">
        <f>'SRSU FGD'!$E$92</f>
        <v>216538</v>
      </c>
      <c r="F2481" s="390">
        <f>'SRSU FGD'!$F$92</f>
        <v>15085</v>
      </c>
      <c r="G2481" s="390">
        <f>'SRSU FGD'!$G$92</f>
        <v>52491</v>
      </c>
      <c r="H2481" s="390">
        <f>'SRSU FGD'!$H$92</f>
        <v>0</v>
      </c>
      <c r="I2481" s="390">
        <f>'SRSU FGD'!$I$92</f>
        <v>0</v>
      </c>
      <c r="J2481" s="390">
        <f>'SRSU FGD'!$J$92</f>
        <v>3443236</v>
      </c>
      <c r="K2481" s="390">
        <f>'SRSU FGD'!$K$92</f>
        <v>0</v>
      </c>
      <c r="L2481" s="390">
        <f>'SRSU FGD'!$L$92</f>
        <v>0</v>
      </c>
      <c r="M2481" s="390">
        <f>'SRSU FGD'!$M$92</f>
        <v>3914960</v>
      </c>
    </row>
    <row r="2482" spans="2:13" s="160" customFormat="1" ht="12.75" hidden="1" customHeight="1" outlineLevel="1">
      <c r="B2482" s="674" t="str">
        <f>'TAMIU FGD'!$B$2</f>
        <v>Texas A&amp;M International University</v>
      </c>
      <c r="C2482" s="171"/>
      <c r="D2482" s="390">
        <f>'TAMIU FGD'!$D$92</f>
        <v>1103271</v>
      </c>
      <c r="E2482" s="390">
        <f>'TAMIU FGD'!$E$92</f>
        <v>64725</v>
      </c>
      <c r="F2482" s="390">
        <f>'TAMIU FGD'!$F$92</f>
        <v>111414</v>
      </c>
      <c r="G2482" s="390">
        <f>'TAMIU FGD'!$G$92</f>
        <v>470243</v>
      </c>
      <c r="H2482" s="390">
        <f>'TAMIU FGD'!$H$92</f>
        <v>0</v>
      </c>
      <c r="I2482" s="390">
        <f>'TAMIU FGD'!$I$92</f>
        <v>0</v>
      </c>
      <c r="J2482" s="390">
        <f>'TAMIU FGD'!$J$92</f>
        <v>369520</v>
      </c>
      <c r="K2482" s="390">
        <f>'TAMIU FGD'!$K$92</f>
        <v>0</v>
      </c>
      <c r="L2482" s="390">
        <f>'TAMIU FGD'!$L$92</f>
        <v>0</v>
      </c>
      <c r="M2482" s="390">
        <f>'TAMIU FGD'!$M$92</f>
        <v>2119173</v>
      </c>
    </row>
    <row r="2483" spans="2:13" s="160" customFormat="1" ht="12.75" hidden="1" customHeight="1" outlineLevel="1">
      <c r="B2483" s="674" t="str">
        <f>'TAMU FGD'!$B$2</f>
        <v>Texas A&amp;M University</v>
      </c>
      <c r="C2483" s="171"/>
      <c r="D2483" s="390">
        <f>'TAMU FGD'!$D$92</f>
        <v>368127</v>
      </c>
      <c r="E2483" s="390">
        <f>'TAMU FGD'!$E$92</f>
        <v>36167284</v>
      </c>
      <c r="F2483" s="390">
        <f>'TAMU FGD'!$F$92</f>
        <v>6100660</v>
      </c>
      <c r="G2483" s="390">
        <f>'TAMU FGD'!$G$92</f>
        <v>7561279</v>
      </c>
      <c r="H2483" s="390">
        <f>'TAMU FGD'!$H$92</f>
        <v>0</v>
      </c>
      <c r="I2483" s="390">
        <f>'TAMU FGD'!$I$92</f>
        <v>0</v>
      </c>
      <c r="J2483" s="390">
        <f>'TAMU FGD'!$J$92</f>
        <v>57478975</v>
      </c>
      <c r="K2483" s="390">
        <f>'TAMU FGD'!$K$92</f>
        <v>0</v>
      </c>
      <c r="L2483" s="390">
        <f>'TAMU FGD'!$L$92</f>
        <v>0</v>
      </c>
      <c r="M2483" s="390">
        <f>'TAMU FGD'!$M$92</f>
        <v>107676325</v>
      </c>
    </row>
    <row r="2484" spans="2:13" s="160" customFormat="1" ht="12.75" hidden="1" customHeight="1" outlineLevel="1">
      <c r="B2484" s="674" t="str">
        <f>'TAMUC FGD'!$B$2</f>
        <v>Texas A&amp;M University - Commerce</v>
      </c>
      <c r="C2484" s="171"/>
      <c r="D2484" s="390">
        <f>'TAMUC FGD'!$D$92</f>
        <v>1082531</v>
      </c>
      <c r="E2484" s="390">
        <f>'TAMUC FGD'!$E$92</f>
        <v>161461</v>
      </c>
      <c r="F2484" s="390">
        <f>'TAMUC FGD'!$F$92</f>
        <v>17912</v>
      </c>
      <c r="G2484" s="390">
        <f>'TAMUC FGD'!$G$92</f>
        <v>367000</v>
      </c>
      <c r="H2484" s="390">
        <f>'TAMUC FGD'!$H$92</f>
        <v>0</v>
      </c>
      <c r="I2484" s="390">
        <f>'TAMUC FGD'!$I$92</f>
        <v>0</v>
      </c>
      <c r="J2484" s="390">
        <f>'TAMUC FGD'!$J$92</f>
        <v>5658587</v>
      </c>
      <c r="K2484" s="390">
        <f>'TAMUC FGD'!$K$92</f>
        <v>0</v>
      </c>
      <c r="L2484" s="390">
        <f>'TAMUC FGD'!$L$92</f>
        <v>0</v>
      </c>
      <c r="M2484" s="390">
        <f>'TAMUC FGD'!$M$92</f>
        <v>7287491</v>
      </c>
    </row>
    <row r="2485" spans="2:13" s="160" customFormat="1" ht="12.75" hidden="1" customHeight="1" outlineLevel="1">
      <c r="B2485" s="674" t="str">
        <f>'TAMUCC FGD'!$B$2</f>
        <v>Texas A&amp;M University - Corpus Christi</v>
      </c>
      <c r="C2485" s="171"/>
      <c r="D2485" s="390">
        <f>'TAMUCC FGD'!$D$92</f>
        <v>2173892</v>
      </c>
      <c r="E2485" s="390">
        <f>'TAMUCC FGD'!$E$92</f>
        <v>737817</v>
      </c>
      <c r="F2485" s="390">
        <f>'TAMUCC FGD'!$F$92</f>
        <v>50065</v>
      </c>
      <c r="G2485" s="390">
        <f>'TAMUCC FGD'!$G$92</f>
        <v>1470391</v>
      </c>
      <c r="H2485" s="390">
        <f>'TAMUCC FGD'!$H$92</f>
        <v>0</v>
      </c>
      <c r="I2485" s="390">
        <f>'TAMUCC FGD'!$I$92</f>
        <v>0</v>
      </c>
      <c r="J2485" s="390">
        <f>'TAMUCC FGD'!$J$92</f>
        <v>15740659</v>
      </c>
      <c r="K2485" s="390">
        <f>'TAMUCC FGD'!$K$92</f>
        <v>0</v>
      </c>
      <c r="L2485" s="390">
        <f>'TAMUCC FGD'!$L$92</f>
        <v>0</v>
      </c>
      <c r="M2485" s="390">
        <f>'TAMUCC FGD'!$M$92</f>
        <v>20172824</v>
      </c>
    </row>
    <row r="2486" spans="2:13" s="160" customFormat="1" ht="12.75" hidden="1" customHeight="1" outlineLevel="1">
      <c r="B2486" s="674" t="str">
        <f>'TAMUCT FGD'!$B$2</f>
        <v>Texas A&amp;M University - Central Texas</v>
      </c>
      <c r="C2486" s="171"/>
      <c r="D2486" s="390">
        <f>'TAMUCT FGD'!$D$92</f>
        <v>104055</v>
      </c>
      <c r="E2486" s="390">
        <f>'TAMUCT FGD'!$E$92</f>
        <v>100560</v>
      </c>
      <c r="F2486" s="390">
        <f>'TAMUCT FGD'!$F$92</f>
        <v>0</v>
      </c>
      <c r="G2486" s="390">
        <f>'TAMUCT FGD'!$G$92</f>
        <v>52612</v>
      </c>
      <c r="H2486" s="390">
        <f>'TAMUCT FGD'!$H$92</f>
        <v>0</v>
      </c>
      <c r="I2486" s="390">
        <f>'TAMUCT FGD'!$I$92</f>
        <v>0</v>
      </c>
      <c r="J2486" s="390">
        <f>'TAMUCT FGD'!$J$92</f>
        <v>0</v>
      </c>
      <c r="K2486" s="390">
        <f>'TAMUCT FGD'!$K$92</f>
        <v>0</v>
      </c>
      <c r="L2486" s="390">
        <f>'TAMUCT FGD'!$L$92</f>
        <v>0</v>
      </c>
      <c r="M2486" s="390">
        <f>'TAMUCT FGD'!$M$92</f>
        <v>257227</v>
      </c>
    </row>
    <row r="2487" spans="2:13" s="160" customFormat="1" ht="12.75" hidden="1" customHeight="1" outlineLevel="1">
      <c r="B2487" s="674" t="str">
        <f>'TAMUG FGD'!$B$2</f>
        <v>Texas A&amp;M University at Galveston</v>
      </c>
      <c r="C2487" s="171"/>
      <c r="D2487" s="390">
        <f>'TAMUG FGD'!$D$92</f>
        <v>193109</v>
      </c>
      <c r="E2487" s="390">
        <f>'TAMUG FGD'!$E$92</f>
        <v>110625</v>
      </c>
      <c r="F2487" s="390">
        <f>'TAMUG FGD'!$F$92</f>
        <v>0</v>
      </c>
      <c r="G2487" s="390">
        <f>'TAMUG FGD'!$G$92</f>
        <v>103311</v>
      </c>
      <c r="H2487" s="390">
        <f>'TAMUG FGD'!$H$92</f>
        <v>0</v>
      </c>
      <c r="I2487" s="390">
        <f>'TAMUG FGD'!$I$92</f>
        <v>0</v>
      </c>
      <c r="J2487" s="390">
        <f>'TAMUG FGD'!$J$92</f>
        <v>2390460</v>
      </c>
      <c r="K2487" s="390">
        <f>'TAMUG FGD'!$K$92</f>
        <v>0</v>
      </c>
      <c r="L2487" s="390">
        <f>'TAMUG FGD'!$L$92</f>
        <v>0</v>
      </c>
      <c r="M2487" s="390">
        <f>'TAMUG FGD'!$M$92</f>
        <v>2797505</v>
      </c>
    </row>
    <row r="2488" spans="2:13" s="160" customFormat="1" ht="12.75" hidden="1" customHeight="1" outlineLevel="1">
      <c r="B2488" s="674" t="str">
        <f>'TAMUK FGD'!$B$2</f>
        <v>Texas A&amp;M University - Kingsville</v>
      </c>
      <c r="C2488" s="171"/>
      <c r="D2488" s="390">
        <f>'TAMUK FGD'!$D$92</f>
        <v>221284</v>
      </c>
      <c r="E2488" s="390">
        <f>'TAMUK FGD'!$E$92</f>
        <v>1397121</v>
      </c>
      <c r="F2488" s="390">
        <f>'TAMUK FGD'!$F$92</f>
        <v>87111</v>
      </c>
      <c r="G2488" s="390">
        <f>'TAMUK FGD'!$G$92</f>
        <v>309482</v>
      </c>
      <c r="H2488" s="390">
        <f>'TAMUK FGD'!$H$92</f>
        <v>0</v>
      </c>
      <c r="I2488" s="390">
        <f>'TAMUK FGD'!$I$92</f>
        <v>0</v>
      </c>
      <c r="J2488" s="390">
        <f>'TAMUK FGD'!$J$92</f>
        <v>4109446</v>
      </c>
      <c r="K2488" s="390">
        <f>'TAMUK FGD'!$K$92</f>
        <v>0</v>
      </c>
      <c r="L2488" s="390">
        <f>'TAMUK FGD'!$L$92</f>
        <v>0</v>
      </c>
      <c r="M2488" s="390">
        <f>'TAMUK FGD'!$M$92</f>
        <v>6124444</v>
      </c>
    </row>
    <row r="2489" spans="2:13" s="160" customFormat="1" ht="12.75" hidden="1" customHeight="1" outlineLevel="1">
      <c r="B2489" s="674" t="str">
        <f>'TAMUSA FGD'!$B$2</f>
        <v>Texas A&amp;M University - San Antonio</v>
      </c>
      <c r="C2489" s="171"/>
      <c r="D2489" s="390">
        <f>'TAMUSA FGD'!$D$92</f>
        <v>0</v>
      </c>
      <c r="E2489" s="390">
        <f>'TAMUSA FGD'!$E$92</f>
        <v>185083</v>
      </c>
      <c r="F2489" s="390">
        <f>'TAMUSA FGD'!$F$92</f>
        <v>0</v>
      </c>
      <c r="G2489" s="390">
        <f>'TAMUSA FGD'!$G$92</f>
        <v>157134</v>
      </c>
      <c r="H2489" s="390">
        <f>'TAMUSA FGD'!$H$92</f>
        <v>0</v>
      </c>
      <c r="I2489" s="390">
        <f>'TAMUSA FGD'!$I$92</f>
        <v>0</v>
      </c>
      <c r="J2489" s="390">
        <f>'TAMUSA FGD'!$J$92</f>
        <v>82295</v>
      </c>
      <c r="K2489" s="390">
        <f>'TAMUSA FGD'!$K$92</f>
        <v>0</v>
      </c>
      <c r="L2489" s="390">
        <f>'TAMUSA FGD'!$L$92</f>
        <v>0</v>
      </c>
      <c r="M2489" s="390">
        <f>'TAMUSA FGD'!$M$92</f>
        <v>424512</v>
      </c>
    </row>
    <row r="2490" spans="2:13" s="160" customFormat="1" ht="12.75" hidden="1" customHeight="1" outlineLevel="1">
      <c r="B2490" s="674" t="str">
        <f>'TAMUT FGD'!$B$2</f>
        <v>Texas A&amp;M University - Texarkana</v>
      </c>
      <c r="C2490" s="171"/>
      <c r="D2490" s="390">
        <f>'TAMUT FGD'!$D$92</f>
        <v>576320</v>
      </c>
      <c r="E2490" s="390">
        <f>'TAMUT FGD'!$E$92</f>
        <v>4372</v>
      </c>
      <c r="F2490" s="390">
        <f>'TAMUT FGD'!$F$92</f>
        <v>0</v>
      </c>
      <c r="G2490" s="390">
        <f>'TAMUT FGD'!$G$92</f>
        <v>17825</v>
      </c>
      <c r="H2490" s="390">
        <f>'TAMUT FGD'!$H$92</f>
        <v>0</v>
      </c>
      <c r="I2490" s="390">
        <f>'TAMUT FGD'!$I$92</f>
        <v>0</v>
      </c>
      <c r="J2490" s="390">
        <f>'TAMUT FGD'!$J$92</f>
        <v>1784827</v>
      </c>
      <c r="K2490" s="390">
        <f>'TAMUT FGD'!$K$92</f>
        <v>0</v>
      </c>
      <c r="L2490" s="390">
        <f>'TAMUT FGD'!$L$92</f>
        <v>0</v>
      </c>
      <c r="M2490" s="390">
        <f>'TAMUT FGD'!$M$92</f>
        <v>2383344</v>
      </c>
    </row>
    <row r="2491" spans="2:13" s="160" customFormat="1" ht="12.75" hidden="1" customHeight="1" outlineLevel="1">
      <c r="B2491" s="674" t="str">
        <f>'TARLST FGD'!$B$2</f>
        <v>Tarleton State University</v>
      </c>
      <c r="C2491" s="171"/>
      <c r="D2491" s="390">
        <f>'TARLST FGD'!$D$92</f>
        <v>74414</v>
      </c>
      <c r="E2491" s="390">
        <f>'TARLST FGD'!$E$92</f>
        <v>993102</v>
      </c>
      <c r="F2491" s="390">
        <f>'TARLST FGD'!$F$92</f>
        <v>221133</v>
      </c>
      <c r="G2491" s="390">
        <f>'TARLST FGD'!$G$92</f>
        <v>247124</v>
      </c>
      <c r="H2491" s="390">
        <f>'TARLST FGD'!$H$92</f>
        <v>0</v>
      </c>
      <c r="I2491" s="390">
        <f>'TARLST FGD'!$I$92</f>
        <v>0</v>
      </c>
      <c r="J2491" s="390">
        <f>'TARLST FGD'!$J$92</f>
        <v>15777249</v>
      </c>
      <c r="K2491" s="390">
        <f>'TARLST FGD'!$K$92</f>
        <v>0</v>
      </c>
      <c r="L2491" s="390">
        <f>'TARLST FGD'!$L$92</f>
        <v>0</v>
      </c>
      <c r="M2491" s="390">
        <f>'TARLST FGD'!$M$92</f>
        <v>17313022</v>
      </c>
    </row>
    <row r="2492" spans="2:13" s="160" customFormat="1" ht="12.75" hidden="1" customHeight="1" outlineLevel="1">
      <c r="B2492" s="674" t="str">
        <f>'TSU FGD'!$B$2</f>
        <v>Texas Southern University</v>
      </c>
      <c r="C2492" s="171"/>
      <c r="D2492" s="390">
        <f>'TSU FGD'!$D$92</f>
        <v>1168981</v>
      </c>
      <c r="E2492" s="390">
        <f>'TSU FGD'!$E$92</f>
        <v>1226135</v>
      </c>
      <c r="F2492" s="390">
        <f>'TSU FGD'!$F$92</f>
        <v>322298</v>
      </c>
      <c r="G2492" s="390">
        <f>'TSU FGD'!$G$92</f>
        <v>2715638</v>
      </c>
      <c r="H2492" s="390">
        <f>'TSU FGD'!$H$92</f>
        <v>0</v>
      </c>
      <c r="I2492" s="390">
        <f>'TSU FGD'!$I$92</f>
        <v>0</v>
      </c>
      <c r="J2492" s="390">
        <f>'TSU FGD'!$J$92</f>
        <v>13325302</v>
      </c>
      <c r="K2492" s="390">
        <f>'TSU FGD'!$K$92</f>
        <v>0</v>
      </c>
      <c r="L2492" s="390">
        <f>'TSU FGD'!$L$92</f>
        <v>0</v>
      </c>
      <c r="M2492" s="390">
        <f>'TSU FGD'!$M$92</f>
        <v>18758354</v>
      </c>
    </row>
    <row r="2493" spans="2:13" s="160" customFormat="1" ht="12.75" hidden="1" customHeight="1" outlineLevel="1">
      <c r="B2493" s="674" t="str">
        <f>'TTU FGD'!$B$2</f>
        <v>Texas Tech University</v>
      </c>
      <c r="C2493" s="171"/>
      <c r="D2493" s="390">
        <f>'TTU FGD'!$D$92</f>
        <v>11990225</v>
      </c>
      <c r="E2493" s="390">
        <f>'TTU FGD'!$E$92</f>
        <v>8371502</v>
      </c>
      <c r="F2493" s="390">
        <f>'TTU FGD'!$F$92</f>
        <v>1334167</v>
      </c>
      <c r="G2493" s="390">
        <f>'TTU FGD'!$G$92</f>
        <v>4618711</v>
      </c>
      <c r="H2493" s="390">
        <f>'TTU FGD'!$H$92</f>
        <v>0</v>
      </c>
      <c r="I2493" s="390">
        <f>'TTU FGD'!$I$92</f>
        <v>0</v>
      </c>
      <c r="J2493" s="390">
        <f>'TTU FGD'!$J$92</f>
        <v>108431164</v>
      </c>
      <c r="K2493" s="390">
        <f>'TTU FGD'!$K$92</f>
        <v>0</v>
      </c>
      <c r="L2493" s="390">
        <f>'TTU FGD'!$L$92</f>
        <v>0</v>
      </c>
      <c r="M2493" s="390">
        <f>'TTU FGD'!$M$92</f>
        <v>134745769</v>
      </c>
    </row>
    <row r="2494" spans="2:13" s="160" customFormat="1" ht="12.75" hidden="1" customHeight="1" outlineLevel="1">
      <c r="B2494" s="674" t="str">
        <f>'TWU FGD'!$B$2</f>
        <v>Texas Woman's University</v>
      </c>
      <c r="C2494" s="171"/>
      <c r="D2494" s="390">
        <f>'TWU FGD'!$D$92</f>
        <v>0</v>
      </c>
      <c r="E2494" s="390">
        <f>'TWU FGD'!$E$92</f>
        <v>0</v>
      </c>
      <c r="F2494" s="390">
        <f>'TWU FGD'!$F$92</f>
        <v>0</v>
      </c>
      <c r="G2494" s="390">
        <f>'TWU FGD'!$G$92</f>
        <v>0</v>
      </c>
      <c r="H2494" s="390">
        <f>'TWU FGD'!$H$92</f>
        <v>0</v>
      </c>
      <c r="I2494" s="390">
        <f>'TWU FGD'!$I$92</f>
        <v>0</v>
      </c>
      <c r="J2494" s="390">
        <f>'TWU FGD'!$J$92</f>
        <v>0</v>
      </c>
      <c r="K2494" s="390">
        <f>'TWU FGD'!$K$92</f>
        <v>0</v>
      </c>
      <c r="L2494" s="390">
        <f>'TWU FGD'!$L$92</f>
        <v>9325842</v>
      </c>
      <c r="M2494" s="390">
        <f>'TWU FGD'!$M$92</f>
        <v>9325842</v>
      </c>
    </row>
    <row r="2495" spans="2:13" s="160" customFormat="1" ht="12.75" hidden="1" customHeight="1" outlineLevel="1">
      <c r="B2495" s="674" t="str">
        <f>'TXST FGD'!$B$2</f>
        <v>Texas State University</v>
      </c>
      <c r="C2495" s="171"/>
      <c r="D2495" s="390">
        <f>'TXST FGD'!$D$92</f>
        <v>2710115</v>
      </c>
      <c r="E2495" s="390">
        <f>'TXST FGD'!$E$92</f>
        <v>5632662</v>
      </c>
      <c r="F2495" s="390">
        <f>'TXST FGD'!$F$92</f>
        <v>119430</v>
      </c>
      <c r="G2495" s="390">
        <f>'TXST FGD'!$G$92</f>
        <v>1295829</v>
      </c>
      <c r="H2495" s="390">
        <f>'TXST FGD'!$H$92</f>
        <v>0</v>
      </c>
      <c r="I2495" s="390">
        <f>'TXST FGD'!$I$92</f>
        <v>0</v>
      </c>
      <c r="J2495" s="390">
        <f>'TXST FGD'!$J$92</f>
        <v>29063077</v>
      </c>
      <c r="K2495" s="390">
        <f>'TXST FGD'!$K$92</f>
        <v>0</v>
      </c>
      <c r="L2495" s="390">
        <f>'TXST FGD'!$L$92</f>
        <v>0</v>
      </c>
      <c r="M2495" s="390">
        <f>'TXST FGD'!$M$92</f>
        <v>38821113</v>
      </c>
    </row>
    <row r="2496" spans="2:13" s="160" customFormat="1" ht="12.75" hidden="1" customHeight="1" outlineLevel="1">
      <c r="B2496" s="674" t="str">
        <f>'TYL FGD'!$B$2</f>
        <v>The University of Texas at Tyler</v>
      </c>
      <c r="C2496" s="171"/>
      <c r="D2496" s="390">
        <f>'TYL FGD'!$D$92</f>
        <v>0</v>
      </c>
      <c r="E2496" s="390">
        <f>'TYL FGD'!$E$92</f>
        <v>0</v>
      </c>
      <c r="F2496" s="390">
        <f>'TYL FGD'!$F$92</f>
        <v>0</v>
      </c>
      <c r="G2496" s="390">
        <f>'TYL FGD'!$G$92</f>
        <v>0</v>
      </c>
      <c r="H2496" s="390">
        <f>'TYL FGD'!$H$92</f>
        <v>0</v>
      </c>
      <c r="I2496" s="390">
        <f>'TYL FGD'!$I$92</f>
        <v>0</v>
      </c>
      <c r="J2496" s="390">
        <f>'TYL FGD'!$J$92</f>
        <v>0</v>
      </c>
      <c r="K2496" s="390">
        <f>'TYL FGD'!$K$92</f>
        <v>0</v>
      </c>
      <c r="L2496" s="390">
        <f>'TYL FGD'!$L$92</f>
        <v>6747830</v>
      </c>
      <c r="M2496" s="390">
        <f>'TYL FGD'!$M$92</f>
        <v>6747830</v>
      </c>
    </row>
    <row r="2497" spans="2:13" s="160" customFormat="1" ht="12.75" hidden="1" customHeight="1" outlineLevel="1">
      <c r="B2497" s="674" t="str">
        <f>'UH1 FGD'!$B$2</f>
        <v>University of Houston - Academic &amp; Health (A+H)</v>
      </c>
      <c r="C2497" s="171"/>
      <c r="D2497" s="390">
        <f>'UH1 FGD'!$D$92</f>
        <v>5945790</v>
      </c>
      <c r="E2497" s="390">
        <f>'UH1 FGD'!$E$92</f>
        <v>3627886</v>
      </c>
      <c r="F2497" s="390">
        <f>'UH1 FGD'!$F$92</f>
        <v>183264</v>
      </c>
      <c r="G2497" s="390">
        <f>'UH1 FGD'!$G$92</f>
        <v>3576800</v>
      </c>
      <c r="H2497" s="390">
        <f>'UH1 FGD'!$H$92</f>
        <v>0</v>
      </c>
      <c r="I2497" s="390">
        <f>'UH1 FGD'!$I$92</f>
        <v>0</v>
      </c>
      <c r="J2497" s="390">
        <f>'UH1 FGD'!$J$92</f>
        <v>-143289196</v>
      </c>
      <c r="K2497" s="390">
        <f>'UH1 FGD'!$K$92</f>
        <v>0</v>
      </c>
      <c r="L2497" s="390">
        <f>'UH1 FGD'!$L$92</f>
        <v>0</v>
      </c>
      <c r="M2497" s="390">
        <f>'UH1 FGD'!$M$92</f>
        <v>-129955456</v>
      </c>
    </row>
    <row r="2498" spans="2:13" s="160" customFormat="1" ht="12.75" hidden="1" customHeight="1" outlineLevel="1">
      <c r="B2498" s="674" t="str">
        <f>'UHCL FGD'!$B$2</f>
        <v>University of Houston - Clear Lake</v>
      </c>
      <c r="C2498" s="171"/>
      <c r="D2498" s="390">
        <f>'UHCL FGD'!$D$92</f>
        <v>1763883</v>
      </c>
      <c r="E2498" s="390">
        <f>'UHCL FGD'!$E$92</f>
        <v>911108</v>
      </c>
      <c r="F2498" s="390">
        <f>'UHCL FGD'!$F$92</f>
        <v>81206</v>
      </c>
      <c r="G2498" s="390">
        <f>'UHCL FGD'!$G$92</f>
        <v>223563</v>
      </c>
      <c r="H2498" s="390">
        <f>'UHCL FGD'!$H$92</f>
        <v>0</v>
      </c>
      <c r="I2498" s="390">
        <f>'UHCL FGD'!$I$92</f>
        <v>0</v>
      </c>
      <c r="J2498" s="390">
        <f>'UHCL FGD'!$J$92</f>
        <v>0</v>
      </c>
      <c r="K2498" s="390">
        <f>'UHCL FGD'!$K$92</f>
        <v>0</v>
      </c>
      <c r="L2498" s="390">
        <f>'UHCL FGD'!$L$92</f>
        <v>0</v>
      </c>
      <c r="M2498" s="390">
        <f>'UHCL FGD'!$M$92</f>
        <v>2979760</v>
      </c>
    </row>
    <row r="2499" spans="2:13" s="160" customFormat="1" ht="12.75" hidden="1" customHeight="1" outlineLevel="1">
      <c r="B2499" s="674" t="str">
        <f>'UHD FGD'!$B$2</f>
        <v>University of Houston - Downtown</v>
      </c>
      <c r="C2499" s="171"/>
      <c r="D2499" s="390">
        <f>'UHD FGD'!$D$92</f>
        <v>2006157</v>
      </c>
      <c r="E2499" s="390">
        <f>'UHD FGD'!$E$92</f>
        <v>39679</v>
      </c>
      <c r="F2499" s="390">
        <f>'UHD FGD'!$F$92</f>
        <v>31528</v>
      </c>
      <c r="G2499" s="390">
        <f>'UHD FGD'!$G$92</f>
        <v>421487</v>
      </c>
      <c r="H2499" s="390">
        <f>'UHD FGD'!$H$92</f>
        <v>0</v>
      </c>
      <c r="I2499" s="390">
        <f>'UHD FGD'!$I$92</f>
        <v>0</v>
      </c>
      <c r="J2499" s="390">
        <f>'UHD FGD'!$J$92</f>
        <v>-5734582</v>
      </c>
      <c r="K2499" s="390">
        <f>'UHD FGD'!$K$92</f>
        <v>0</v>
      </c>
      <c r="L2499" s="390">
        <f>'UHD FGD'!$L$92</f>
        <v>0</v>
      </c>
      <c r="M2499" s="390">
        <f>'UHD FGD'!$M$92</f>
        <v>-3235731</v>
      </c>
    </row>
    <row r="2500" spans="2:13" s="160" customFormat="1" ht="12.75" hidden="1" customHeight="1" outlineLevel="1">
      <c r="B2500" s="674" t="str">
        <f>'UHV FGD'!$B$2</f>
        <v>University of Houston - Victoria</v>
      </c>
      <c r="C2500" s="171"/>
      <c r="D2500" s="390">
        <f>'UHV FGD'!$D$92</f>
        <v>280498</v>
      </c>
      <c r="E2500" s="390">
        <f>'UHV FGD'!$E$92</f>
        <v>37980</v>
      </c>
      <c r="F2500" s="390">
        <f>'UHV FGD'!$F$92</f>
        <v>2049</v>
      </c>
      <c r="G2500" s="390">
        <f>'UHV FGD'!$G$92</f>
        <v>246519</v>
      </c>
      <c r="H2500" s="390">
        <f>'UHV FGD'!$H$92</f>
        <v>0</v>
      </c>
      <c r="I2500" s="390">
        <f>'UHV FGD'!$I$92</f>
        <v>0</v>
      </c>
      <c r="J2500" s="390">
        <f>'UHV FGD'!$J$92</f>
        <v>7732299</v>
      </c>
      <c r="K2500" s="390">
        <f>'UHV FGD'!$K$92</f>
        <v>0</v>
      </c>
      <c r="L2500" s="390">
        <f>'UHV FGD'!$L$92</f>
        <v>0</v>
      </c>
      <c r="M2500" s="390">
        <f>'UHV FGD'!$M$92</f>
        <v>8299345</v>
      </c>
    </row>
    <row r="2501" spans="2:13" s="160" customFormat="1" ht="12.75" hidden="1" customHeight="1" outlineLevel="1">
      <c r="B2501" s="674" t="str">
        <f>'UNT FGD'!$B$2</f>
        <v>University of North Texas</v>
      </c>
      <c r="C2501" s="171"/>
      <c r="D2501" s="390">
        <f>'UNT FGD'!$D$92</f>
        <v>0</v>
      </c>
      <c r="E2501" s="390">
        <f>'UNT FGD'!$E$92</f>
        <v>4979870</v>
      </c>
      <c r="F2501" s="390">
        <f>'UNT FGD'!$F$92</f>
        <v>0</v>
      </c>
      <c r="G2501" s="390">
        <f>'UNT FGD'!$G$92</f>
        <v>0</v>
      </c>
      <c r="H2501" s="390">
        <f>'UNT FGD'!$H$92</f>
        <v>0</v>
      </c>
      <c r="I2501" s="390">
        <f>'UNT FGD'!$I$92</f>
        <v>0</v>
      </c>
      <c r="J2501" s="390">
        <f>'UNT FGD'!$J$92</f>
        <v>0</v>
      </c>
      <c r="K2501" s="390">
        <f>'UNT FGD'!$K$92</f>
        <v>0</v>
      </c>
      <c r="L2501" s="390">
        <f>'UNT FGD'!$L$92</f>
        <v>31537615</v>
      </c>
      <c r="M2501" s="390">
        <f>'UNT FGD'!$M$92</f>
        <v>36517485</v>
      </c>
    </row>
    <row r="2502" spans="2:13" s="160" customFormat="1" ht="12.75" hidden="1" customHeight="1" outlineLevel="1">
      <c r="B2502" s="674" t="str">
        <f>'UNTD FGD'!$B$2</f>
        <v>University of North Texas at Dallas</v>
      </c>
      <c r="C2502" s="171"/>
      <c r="D2502" s="390">
        <f>'UNTD FGD'!$D$92</f>
        <v>0</v>
      </c>
      <c r="E2502" s="390">
        <f>'UNTD FGD'!$E$92</f>
        <v>0</v>
      </c>
      <c r="F2502" s="390">
        <f>'UNTD FGD'!$F$92</f>
        <v>0</v>
      </c>
      <c r="G2502" s="390">
        <f>'UNTD FGD'!$G$92</f>
        <v>0</v>
      </c>
      <c r="H2502" s="390">
        <f>'UNTD FGD'!$H$92</f>
        <v>0</v>
      </c>
      <c r="I2502" s="390">
        <f>'UNTD FGD'!$I$92</f>
        <v>0</v>
      </c>
      <c r="J2502" s="390">
        <f>'UNTD FGD'!$J$92</f>
        <v>0</v>
      </c>
      <c r="K2502" s="390">
        <f>'UNTD FGD'!$K$92</f>
        <v>0</v>
      </c>
      <c r="L2502" s="390">
        <f>'UNTD FGD'!$L$92</f>
        <v>3085705</v>
      </c>
      <c r="M2502" s="390">
        <f>'UNTD FGD'!$M$92</f>
        <v>3085705</v>
      </c>
    </row>
    <row r="2503" spans="2:13" s="160" customFormat="1" ht="12.75" hidden="1" customHeight="1" outlineLevel="1">
      <c r="B2503" s="674" t="str">
        <f>'WTAMU FGD'!$B$2</f>
        <v>West Texas A&amp;M University</v>
      </c>
      <c r="C2503" s="171"/>
      <c r="D2503" s="390">
        <f>'WTAMU FGD'!$D$92</f>
        <v>1430315</v>
      </c>
      <c r="E2503" s="390">
        <f>'WTAMU FGD'!$E$92</f>
        <v>431947</v>
      </c>
      <c r="F2503" s="390">
        <f>'WTAMU FGD'!$F$92</f>
        <v>6197</v>
      </c>
      <c r="G2503" s="390">
        <f>'WTAMU FGD'!$G$92</f>
        <v>607715</v>
      </c>
      <c r="H2503" s="390">
        <f>'WTAMU FGD'!$H$92</f>
        <v>0</v>
      </c>
      <c r="I2503" s="390">
        <f>'WTAMU FGD'!$I$92</f>
        <v>0</v>
      </c>
      <c r="J2503" s="390">
        <f>'WTAMU FGD'!$J$92</f>
        <v>72847</v>
      </c>
      <c r="K2503" s="390">
        <f>'WTAMU FGD'!$K$92</f>
        <v>0</v>
      </c>
      <c r="L2503" s="390">
        <f>'WTAMU FGD'!$L$92</f>
        <v>0</v>
      </c>
      <c r="M2503" s="390">
        <f>'WTAMU FGD'!$M$92</f>
        <v>2549021</v>
      </c>
    </row>
    <row r="2504" spans="2:13" s="160" customFormat="1" collapsed="1">
      <c r="B2504" s="160" t="s">
        <v>67</v>
      </c>
      <c r="D2504" s="390">
        <f t="shared" ref="D2504:M2504" si="66">SUM(D2468:D2503)</f>
        <v>35451129</v>
      </c>
      <c r="E2504" s="390">
        <f t="shared" si="66"/>
        <v>69421441</v>
      </c>
      <c r="F2504" s="390">
        <f t="shared" si="66"/>
        <v>8917512</v>
      </c>
      <c r="G2504" s="390">
        <f t="shared" si="66"/>
        <v>32869004</v>
      </c>
      <c r="H2504" s="390">
        <f t="shared" si="66"/>
        <v>0</v>
      </c>
      <c r="I2504" s="390">
        <f t="shared" si="66"/>
        <v>0</v>
      </c>
      <c r="J2504" s="390">
        <f t="shared" si="66"/>
        <v>179462291</v>
      </c>
      <c r="K2504" s="390">
        <f t="shared" si="66"/>
        <v>0</v>
      </c>
      <c r="L2504" s="390">
        <f t="shared" si="66"/>
        <v>773868238</v>
      </c>
      <c r="M2504" s="390">
        <f t="shared" si="66"/>
        <v>1099989615</v>
      </c>
    </row>
    <row r="2505" spans="2:13" s="160" customFormat="1" ht="12.75" hidden="1" customHeight="1" outlineLevel="1">
      <c r="B2505" s="674" t="str">
        <f>'ARL FGD'!$B$2</f>
        <v>The University of Texas at Arlington</v>
      </c>
      <c r="D2505" s="390">
        <f>'ARL FGD'!$D$93</f>
        <v>0</v>
      </c>
      <c r="E2505" s="390">
        <f>'ARL FGD'!$E$93</f>
        <v>146756045</v>
      </c>
      <c r="F2505" s="390">
        <f>'ARL FGD'!$F$93</f>
        <v>3027127</v>
      </c>
      <c r="G2505" s="390">
        <f>'ARL FGD'!$G$93</f>
        <v>7768129</v>
      </c>
      <c r="H2505" s="390">
        <f>'ARL FGD'!$H$93</f>
        <v>1076230</v>
      </c>
      <c r="I2505" s="390">
        <f>'ARL FGD'!$I$93</f>
        <v>47231344</v>
      </c>
      <c r="J2505" s="390">
        <f>'ARL FGD'!$J$93</f>
        <v>13565104</v>
      </c>
      <c r="K2505" s="390">
        <f>'ARL FGD'!$K$93</f>
        <v>0</v>
      </c>
      <c r="L2505" s="390">
        <f>'ARL FGD'!$L$93</f>
        <v>-16783017</v>
      </c>
      <c r="M2505" s="390">
        <f>'ARL FGD'!$M$93</f>
        <v>202640962</v>
      </c>
    </row>
    <row r="2506" spans="2:13" s="160" customFormat="1" ht="12.75" hidden="1" customHeight="1" outlineLevel="1">
      <c r="B2506" s="674" t="str">
        <f>'ASU FGD'!$B$2</f>
        <v>Angelo State University</v>
      </c>
      <c r="D2506" s="390">
        <f>'ASU FGD'!$D$93</f>
        <v>-2298329</v>
      </c>
      <c r="E2506" s="390">
        <f>'ASU FGD'!$E$93</f>
        <v>-5407495</v>
      </c>
      <c r="F2506" s="390">
        <f>'ASU FGD'!$F$93</f>
        <v>-3193652</v>
      </c>
      <c r="G2506" s="390">
        <f>'ASU FGD'!$G$93</f>
        <v>13951639</v>
      </c>
      <c r="H2506" s="390">
        <f>'ASU FGD'!$H$93</f>
        <v>69568</v>
      </c>
      <c r="I2506" s="390">
        <f>'ASU FGD'!$I$93</f>
        <v>16083898</v>
      </c>
      <c r="J2506" s="390">
        <f>'ASU FGD'!$J$93</f>
        <v>9168277</v>
      </c>
      <c r="K2506" s="390">
        <f>'ASU FGD'!$K$93</f>
        <v>0</v>
      </c>
      <c r="L2506" s="390">
        <f>'ASU FGD'!$L$93</f>
        <v>-11028349</v>
      </c>
      <c r="M2506" s="390">
        <f>'ASU FGD'!$M$93</f>
        <v>17345557</v>
      </c>
    </row>
    <row r="2507" spans="2:13" s="160" customFormat="1" ht="12.75" hidden="1" customHeight="1" outlineLevel="1">
      <c r="B2507" s="674" t="str">
        <f>'AUS1 FGD'!$B$2</f>
        <v>The University of Texas at Austin - Academic &amp; Health (A+H)</v>
      </c>
      <c r="D2507" s="390">
        <f>'AUS1 FGD'!$D$93</f>
        <v>61078143</v>
      </c>
      <c r="E2507" s="390">
        <f>'AUS1 FGD'!$E$93</f>
        <v>225349620</v>
      </c>
      <c r="F2507" s="390">
        <f>'AUS1 FGD'!$F$93</f>
        <v>-9214834</v>
      </c>
      <c r="G2507" s="390">
        <f>'AUS1 FGD'!$G$93</f>
        <v>227959756</v>
      </c>
      <c r="H2507" s="390">
        <f>'AUS1 FGD'!$H$93</f>
        <v>5491523</v>
      </c>
      <c r="I2507" s="390">
        <f>'AUS1 FGD'!$I$93</f>
        <v>1305999967</v>
      </c>
      <c r="J2507" s="390">
        <f>'AUS1 FGD'!$J$93</f>
        <v>-31932866</v>
      </c>
      <c r="K2507" s="390">
        <f>'AUS1 FGD'!$K$93</f>
        <v>0</v>
      </c>
      <c r="L2507" s="390">
        <f>'AUS1 FGD'!$L$93</f>
        <v>126918945</v>
      </c>
      <c r="M2507" s="390">
        <f>'AUS1 FGD'!$M$93</f>
        <v>1911650254</v>
      </c>
    </row>
    <row r="2508" spans="2:13" s="160" customFormat="1" ht="12.75" hidden="1" customHeight="1" outlineLevel="1">
      <c r="B2508" s="674" t="str">
        <f>'RGV1 FGD'!$B$2</f>
        <v>The University of Texas RGV - Academic &amp; Health (A+H)</v>
      </c>
      <c r="D2508" s="390">
        <f>'RGV1 FGD'!$D$93</f>
        <v>-2311688</v>
      </c>
      <c r="E2508" s="390">
        <f>'RGV1 FGD'!$E$93</f>
        <v>64303052</v>
      </c>
      <c r="F2508" s="390">
        <f>'RGV1 FGD'!$F$93</f>
        <v>5851482</v>
      </c>
      <c r="G2508" s="390">
        <f>'RGV1 FGD'!$G$93</f>
        <v>-1543126</v>
      </c>
      <c r="H2508" s="390">
        <f>'RGV1 FGD'!$H$93</f>
        <v>1995161</v>
      </c>
      <c r="I2508" s="390">
        <f>'RGV1 FGD'!$I$93</f>
        <v>63578727</v>
      </c>
      <c r="J2508" s="390">
        <f>'RGV1 FGD'!$J$93</f>
        <v>24655743</v>
      </c>
      <c r="K2508" s="390">
        <f>'RGV1 FGD'!$K$93</f>
        <v>0</v>
      </c>
      <c r="L2508" s="390">
        <f>'RGV1 FGD'!$L$93</f>
        <v>-10046746</v>
      </c>
      <c r="M2508" s="390">
        <f>'RGV1 FGD'!$M$93</f>
        <v>146482605</v>
      </c>
    </row>
    <row r="2509" spans="2:13" s="160" customFormat="1" ht="12.75" hidden="1" customHeight="1" outlineLevel="1">
      <c r="B2509" s="674" t="str">
        <f>'DAL FGD'!$B$2</f>
        <v>The University of Texas at Dallas</v>
      </c>
      <c r="D2509" s="390">
        <f>'DAL FGD'!$D$93</f>
        <v>-62168</v>
      </c>
      <c r="E2509" s="390">
        <f>'DAL FGD'!$E$93</f>
        <v>84487099</v>
      </c>
      <c r="F2509" s="390">
        <f>'DAL FGD'!$F$93</f>
        <v>12447297</v>
      </c>
      <c r="G2509" s="390">
        <f>'DAL FGD'!$G$93</f>
        <v>3849350</v>
      </c>
      <c r="H2509" s="390">
        <f>'DAL FGD'!$H$93</f>
        <v>515906</v>
      </c>
      <c r="I2509" s="390">
        <f>'DAL FGD'!$I$93</f>
        <v>166005651</v>
      </c>
      <c r="J2509" s="390">
        <f>'DAL FGD'!$J$93</f>
        <v>-3458402</v>
      </c>
      <c r="K2509" s="390">
        <f>'DAL FGD'!$K$93</f>
        <v>0</v>
      </c>
      <c r="L2509" s="390">
        <f>'DAL FGD'!$L$93</f>
        <v>-57555098</v>
      </c>
      <c r="M2509" s="390">
        <f>'DAL FGD'!$M$93</f>
        <v>206229635</v>
      </c>
    </row>
    <row r="2510" spans="2:13" s="160" customFormat="1" ht="12.75" hidden="1" customHeight="1" outlineLevel="1">
      <c r="B2510" s="674" t="str">
        <f>'E-P FGD'!$B$2</f>
        <v>The University of Texas at El Paso</v>
      </c>
      <c r="D2510" s="390">
        <f>'E-P FGD'!$D$93</f>
        <v>0</v>
      </c>
      <c r="E2510" s="390">
        <f>'E-P FGD'!$E$93</f>
        <v>34309588</v>
      </c>
      <c r="F2510" s="390">
        <f>'E-P FGD'!$F$93</f>
        <v>8957216</v>
      </c>
      <c r="G2510" s="390">
        <f>'E-P FGD'!$G$93</f>
        <v>4548012</v>
      </c>
      <c r="H2510" s="390">
        <f>'E-P FGD'!$H$93</f>
        <v>611972</v>
      </c>
      <c r="I2510" s="390">
        <f>'E-P FGD'!$I$93</f>
        <v>86411433</v>
      </c>
      <c r="J2510" s="390">
        <f>'E-P FGD'!$J$93</f>
        <v>5764417</v>
      </c>
      <c r="K2510" s="390">
        <f>'E-P FGD'!$K$93</f>
        <v>0</v>
      </c>
      <c r="L2510" s="390">
        <f>'E-P FGD'!$L$93</f>
        <v>-14643531</v>
      </c>
      <c r="M2510" s="390">
        <f>'E-P FGD'!$M$93</f>
        <v>125959107</v>
      </c>
    </row>
    <row r="2511" spans="2:13" s="160" customFormat="1" ht="12.75" hidden="1" customHeight="1" outlineLevel="1">
      <c r="B2511" s="674" t="str">
        <f>'LU FGD'!$B$2</f>
        <v xml:space="preserve">Lamar University </v>
      </c>
      <c r="D2511" s="390">
        <f>'LU FGD'!$D$93</f>
        <v>4197563</v>
      </c>
      <c r="E2511" s="390">
        <f>'LU FGD'!$E$93</f>
        <v>10948286</v>
      </c>
      <c r="F2511" s="390">
        <f>'LU FGD'!$F$93</f>
        <v>-5549355</v>
      </c>
      <c r="G2511" s="390">
        <f>'LU FGD'!$G$93</f>
        <v>19634994</v>
      </c>
      <c r="H2511" s="390">
        <f>'LU FGD'!$H$93</f>
        <v>-96583</v>
      </c>
      <c r="I2511" s="390">
        <f>'LU FGD'!$I$93</f>
        <v>5350554</v>
      </c>
      <c r="J2511" s="390">
        <f>'LU FGD'!$J$93</f>
        <v>-10136051</v>
      </c>
      <c r="K2511" s="390">
        <f>'LU FGD'!$K$93</f>
        <v>0</v>
      </c>
      <c r="L2511" s="390">
        <f>'LU FGD'!$L$93</f>
        <v>-3100338</v>
      </c>
      <c r="M2511" s="390">
        <f>'LU FGD'!$M$93</f>
        <v>21249070</v>
      </c>
    </row>
    <row r="2512" spans="2:13" s="160" customFormat="1" ht="12.75" hidden="1" customHeight="1" outlineLevel="1">
      <c r="B2512" s="674" t="str">
        <f>'MidWST FGD'!$B$2</f>
        <v>Midwestern State University</v>
      </c>
      <c r="D2512" s="390">
        <f>'MidWST FGD'!$D$93</f>
        <v>-6003978</v>
      </c>
      <c r="E2512" s="390">
        <f>'MidWST FGD'!$E$93</f>
        <v>2779998</v>
      </c>
      <c r="F2512" s="390">
        <f>'MidWST FGD'!$F$93</f>
        <v>897379</v>
      </c>
      <c r="G2512" s="390">
        <f>'MidWST FGD'!$G$93</f>
        <v>1591216</v>
      </c>
      <c r="H2512" s="390">
        <f>'MidWST FGD'!$H$93</f>
        <v>-394419</v>
      </c>
      <c r="I2512" s="390">
        <f>'MidWST FGD'!$I$93</f>
        <v>4020484</v>
      </c>
      <c r="J2512" s="390">
        <f>'MidWST FGD'!$J$93</f>
        <v>-463213</v>
      </c>
      <c r="K2512" s="390">
        <f>'MidWST FGD'!$K$93</f>
        <v>0</v>
      </c>
      <c r="L2512" s="390">
        <f>'MidWST FGD'!$L$93</f>
        <v>-3353746</v>
      </c>
      <c r="M2512" s="390">
        <f>'MidWST FGD'!$M$93</f>
        <v>-926279</v>
      </c>
    </row>
    <row r="2513" spans="2:13" s="160" customFormat="1" ht="12.75" hidden="1" customHeight="1" outlineLevel="1">
      <c r="B2513" s="674" t="str">
        <f>'P-B FGD'!$B$2</f>
        <v>The University of Texas of the Permian Basin</v>
      </c>
      <c r="D2513" s="390">
        <f>'P-B FGD'!$D$93</f>
        <v>-3074496</v>
      </c>
      <c r="E2513" s="390">
        <f>'P-B FGD'!$E$93</f>
        <v>-2060920</v>
      </c>
      <c r="F2513" s="390">
        <f>'P-B FGD'!$F$93</f>
        <v>603262</v>
      </c>
      <c r="G2513" s="390">
        <f>'P-B FGD'!$G$93</f>
        <v>2728151</v>
      </c>
      <c r="H2513" s="390">
        <f>'P-B FGD'!$H$93</f>
        <v>0</v>
      </c>
      <c r="I2513" s="390">
        <f>'P-B FGD'!$I$93</f>
        <v>17398862</v>
      </c>
      <c r="J2513" s="390">
        <f>'P-B FGD'!$J$93</f>
        <v>-108233</v>
      </c>
      <c r="K2513" s="390">
        <f>'P-B FGD'!$K$93</f>
        <v>0</v>
      </c>
      <c r="L2513" s="390">
        <f>'P-B FGD'!$L$93</f>
        <v>-9451928</v>
      </c>
      <c r="M2513" s="390">
        <f>'P-B FGD'!$M$93</f>
        <v>6034698</v>
      </c>
    </row>
    <row r="2514" spans="2:13" s="160" customFormat="1" ht="12.75" hidden="1" customHeight="1" outlineLevel="1">
      <c r="B2514" s="674" t="str">
        <f>'PVAMU FGD'!$B$2</f>
        <v>Prairie View A&amp;M University</v>
      </c>
      <c r="D2514" s="390">
        <f>'PVAMU FGD'!$D$93</f>
        <v>3561497</v>
      </c>
      <c r="E2514" s="390">
        <f>'PVAMU FGD'!$E$93</f>
        <v>27645727</v>
      </c>
      <c r="F2514" s="390">
        <f>'PVAMU FGD'!$F$93</f>
        <v>677856</v>
      </c>
      <c r="G2514" s="390">
        <f>'PVAMU FGD'!$G$93</f>
        <v>21158607</v>
      </c>
      <c r="H2514" s="390">
        <f>'PVAMU FGD'!$H$93</f>
        <v>23511</v>
      </c>
      <c r="I2514" s="390">
        <f>'PVAMU FGD'!$I$93</f>
        <v>58562866</v>
      </c>
      <c r="J2514" s="390">
        <f>'PVAMU FGD'!$J$93</f>
        <v>-4963995</v>
      </c>
      <c r="K2514" s="390">
        <f>'PVAMU FGD'!$K$93</f>
        <v>0</v>
      </c>
      <c r="L2514" s="390">
        <f>'PVAMU FGD'!$L$93</f>
        <v>-23523810</v>
      </c>
      <c r="M2514" s="390">
        <f>'PVAMU FGD'!$M$93</f>
        <v>83142259</v>
      </c>
    </row>
    <row r="2515" spans="2:13" s="160" customFormat="1" ht="12.75" hidden="1" customHeight="1" outlineLevel="1">
      <c r="B2515" s="674" t="str">
        <f>'S-A FGD'!$B$2</f>
        <v>The University of Texas at San Antonio</v>
      </c>
      <c r="D2515" s="390">
        <f>'S-A FGD'!$D$93</f>
        <v>1059523</v>
      </c>
      <c r="E2515" s="390">
        <f>'S-A FGD'!$E$93</f>
        <v>74057504</v>
      </c>
      <c r="F2515" s="390">
        <f>'S-A FGD'!$F$93</f>
        <v>28542329</v>
      </c>
      <c r="G2515" s="390">
        <f>'S-A FGD'!$G$93</f>
        <v>22224472</v>
      </c>
      <c r="H2515" s="390">
        <f>'S-A FGD'!$H$93</f>
        <v>196588</v>
      </c>
      <c r="I2515" s="390">
        <f>'S-A FGD'!$I$93</f>
        <v>95943013</v>
      </c>
      <c r="J2515" s="390">
        <f>'S-A FGD'!$J$93</f>
        <v>27819248</v>
      </c>
      <c r="K2515" s="390">
        <f>'S-A FGD'!$K$93</f>
        <v>0</v>
      </c>
      <c r="L2515" s="390">
        <f>'S-A FGD'!$L$93</f>
        <v>53295866</v>
      </c>
      <c r="M2515" s="390">
        <f>'S-A FGD'!$M$93</f>
        <v>303138543</v>
      </c>
    </row>
    <row r="2516" spans="2:13" s="160" customFormat="1" ht="12.75" hidden="1" customHeight="1" outlineLevel="1">
      <c r="B2516" s="674" t="str">
        <f>'SFA FGD'!$B$2</f>
        <v>Stephen F. Austin State University</v>
      </c>
      <c r="D2516" s="390">
        <f>'SFA FGD'!$D$93</f>
        <v>3534174</v>
      </c>
      <c r="E2516" s="390">
        <f>'SFA FGD'!$E$93</f>
        <v>-9619386</v>
      </c>
      <c r="F2516" s="390">
        <f>'SFA FGD'!$F$93</f>
        <v>13108105</v>
      </c>
      <c r="G2516" s="390">
        <f>'SFA FGD'!$G$93</f>
        <v>1647786</v>
      </c>
      <c r="H2516" s="390">
        <f>'SFA FGD'!$H$93</f>
        <v>-759102</v>
      </c>
      <c r="I2516" s="390">
        <f>'SFA FGD'!$I$93</f>
        <v>4573037</v>
      </c>
      <c r="J2516" s="390">
        <f>'SFA FGD'!$J$93</f>
        <v>-20180142</v>
      </c>
      <c r="K2516" s="390">
        <f>'SFA FGD'!$K$93</f>
        <v>401295</v>
      </c>
      <c r="L2516" s="390">
        <f>'SFA FGD'!$L$93</f>
        <v>24906116</v>
      </c>
      <c r="M2516" s="390">
        <f>'SFA FGD'!$M$93</f>
        <v>17611883</v>
      </c>
    </row>
    <row r="2517" spans="2:13" s="160" customFormat="1" ht="12.75" hidden="1" customHeight="1" outlineLevel="1">
      <c r="B2517" s="674" t="str">
        <f>'shsu1 FGD'!$B$2</f>
        <v>Sam Houston State University - Academic &amp; Health (A+H)</v>
      </c>
      <c r="D2517" s="390">
        <f>'shsu1 FGD'!$D$93</f>
        <v>2846080</v>
      </c>
      <c r="E2517" s="390">
        <f>'shsu1 FGD'!$E$93</f>
        <v>8255427</v>
      </c>
      <c r="F2517" s="390">
        <f>'shsu1 FGD'!$F$93</f>
        <v>4203067</v>
      </c>
      <c r="G2517" s="390">
        <f>'shsu1 FGD'!$G$93</f>
        <v>68508216</v>
      </c>
      <c r="H2517" s="390">
        <f>'shsu1 FGD'!$H$93</f>
        <v>-511480</v>
      </c>
      <c r="I2517" s="390">
        <f>'shsu1 FGD'!$I$93</f>
        <v>32195789</v>
      </c>
      <c r="J2517" s="390">
        <f>'shsu1 FGD'!$J$93</f>
        <v>-41402700</v>
      </c>
      <c r="K2517" s="390">
        <f>'shsu1 FGD'!$K$93</f>
        <v>0</v>
      </c>
      <c r="L2517" s="390">
        <f>'shsu1 FGD'!$L$93</f>
        <v>0</v>
      </c>
      <c r="M2517" s="390">
        <f>'shsu1 FGD'!$M$93</f>
        <v>74094399</v>
      </c>
    </row>
    <row r="2518" spans="2:13" s="160" customFormat="1" ht="12.75" hidden="1" customHeight="1" outlineLevel="1">
      <c r="B2518" s="674" t="str">
        <f>'SRSU FGD'!$B$2</f>
        <v>Sul Ross State University</v>
      </c>
      <c r="D2518" s="390">
        <f>'SRSU FGD'!$D$93</f>
        <v>2090856</v>
      </c>
      <c r="E2518" s="390">
        <f>'SRSU FGD'!$E$93</f>
        <v>-3130866</v>
      </c>
      <c r="F2518" s="390">
        <f>'SRSU FGD'!$F$93</f>
        <v>-4881310</v>
      </c>
      <c r="G2518" s="390">
        <f>'SRSU FGD'!$G$93</f>
        <v>7053229</v>
      </c>
      <c r="H2518" s="390">
        <f>'SRSU FGD'!$H$93</f>
        <v>0</v>
      </c>
      <c r="I2518" s="390">
        <f>'SRSU FGD'!$I$93</f>
        <v>4295753</v>
      </c>
      <c r="J2518" s="390">
        <f>'SRSU FGD'!$J$93</f>
        <v>2499061</v>
      </c>
      <c r="K2518" s="390">
        <f>'SRSU FGD'!$K$93</f>
        <v>0</v>
      </c>
      <c r="L2518" s="390">
        <f>'SRSU FGD'!$L$93</f>
        <v>-4534260</v>
      </c>
      <c r="M2518" s="390">
        <f>'SRSU FGD'!$M$93</f>
        <v>3392463</v>
      </c>
    </row>
    <row r="2519" spans="2:13" s="160" customFormat="1" ht="12.75" hidden="1" customHeight="1" outlineLevel="1">
      <c r="B2519" s="674" t="str">
        <f>'TAMIU FGD'!$B$2</f>
        <v>Texas A&amp;M International University</v>
      </c>
      <c r="D2519" s="390">
        <f>'TAMIU FGD'!$D$93</f>
        <v>15930346</v>
      </c>
      <c r="E2519" s="390">
        <f>'TAMIU FGD'!$E$93</f>
        <v>17811975</v>
      </c>
      <c r="F2519" s="390">
        <f>'TAMIU FGD'!$F$93</f>
        <v>829529</v>
      </c>
      <c r="G2519" s="390">
        <f>'TAMIU FGD'!$G$93</f>
        <v>2683532</v>
      </c>
      <c r="H2519" s="390">
        <f>'TAMIU FGD'!$H$93</f>
        <v>287588</v>
      </c>
      <c r="I2519" s="390">
        <f>'TAMIU FGD'!$I$93</f>
        <v>56522704</v>
      </c>
      <c r="J2519" s="390">
        <f>'TAMIU FGD'!$J$93</f>
        <v>555361</v>
      </c>
      <c r="K2519" s="390">
        <f>'TAMIU FGD'!$K$93</f>
        <v>0</v>
      </c>
      <c r="L2519" s="390">
        <f>'TAMIU FGD'!$L$93</f>
        <v>-11214746</v>
      </c>
      <c r="M2519" s="390">
        <f>'TAMIU FGD'!$M$93</f>
        <v>83406289</v>
      </c>
    </row>
    <row r="2520" spans="2:13" s="160" customFormat="1" ht="12.75" hidden="1" customHeight="1" outlineLevel="1">
      <c r="B2520" s="674" t="str">
        <f>'TAMU FGD'!$B$2</f>
        <v>Texas A&amp;M University</v>
      </c>
      <c r="D2520" s="390">
        <f>'TAMU FGD'!$D$93</f>
        <v>21989220</v>
      </c>
      <c r="E2520" s="390">
        <f>'TAMU FGD'!$E$93</f>
        <v>437000217</v>
      </c>
      <c r="F2520" s="390">
        <f>'TAMU FGD'!$F$93</f>
        <v>-14991472</v>
      </c>
      <c r="G2520" s="390">
        <f>'TAMU FGD'!$G$93</f>
        <v>37199729</v>
      </c>
      <c r="H2520" s="390">
        <f>'TAMU FGD'!$H$93</f>
        <v>-3655401</v>
      </c>
      <c r="I2520" s="390">
        <f>'TAMU FGD'!$I$93</f>
        <v>97922959</v>
      </c>
      <c r="J2520" s="390">
        <f>'TAMU FGD'!$J$93</f>
        <v>93848763</v>
      </c>
      <c r="K2520" s="390">
        <f>'TAMU FGD'!$K$93</f>
        <v>0</v>
      </c>
      <c r="L2520" s="390">
        <f>'TAMU FGD'!$L$93</f>
        <v>-73461876</v>
      </c>
      <c r="M2520" s="390">
        <f>'TAMU FGD'!$M$93</f>
        <v>595852139</v>
      </c>
    </row>
    <row r="2521" spans="2:13" s="160" customFormat="1" ht="12.75" hidden="1" customHeight="1" outlineLevel="1">
      <c r="B2521" s="674" t="str">
        <f>'TAMUC FGD'!$B$2</f>
        <v>Texas A&amp;M University - Commerce</v>
      </c>
      <c r="D2521" s="390">
        <f>'TAMUC FGD'!$D$93</f>
        <v>1306781</v>
      </c>
      <c r="E2521" s="390">
        <f>'TAMUC FGD'!$E$93</f>
        <v>33688466</v>
      </c>
      <c r="F2521" s="390">
        <f>'TAMUC FGD'!$F$93</f>
        <v>4909892</v>
      </c>
      <c r="G2521" s="390">
        <f>'TAMUC FGD'!$G$93</f>
        <v>7829008</v>
      </c>
      <c r="H2521" s="390">
        <f>'TAMUC FGD'!$H$93</f>
        <v>-48780</v>
      </c>
      <c r="I2521" s="390">
        <f>'TAMUC FGD'!$I$93</f>
        <v>317533</v>
      </c>
      <c r="J2521" s="390">
        <f>'TAMUC FGD'!$J$93</f>
        <v>18988176</v>
      </c>
      <c r="K2521" s="390">
        <f>'TAMUC FGD'!$K$93</f>
        <v>0</v>
      </c>
      <c r="L2521" s="390">
        <f>'TAMUC FGD'!$L$93</f>
        <v>-11809517</v>
      </c>
      <c r="M2521" s="390">
        <f>'TAMUC FGD'!$M$93</f>
        <v>55181559</v>
      </c>
    </row>
    <row r="2522" spans="2:13" s="160" customFormat="1" ht="12.75" hidden="1" customHeight="1" outlineLevel="1">
      <c r="B2522" s="674" t="str">
        <f>'TAMUCC FGD'!$B$2</f>
        <v>Texas A&amp;M University - Corpus Christi</v>
      </c>
      <c r="D2522" s="390">
        <f>'TAMUCC FGD'!$D$93</f>
        <v>-78645</v>
      </c>
      <c r="E2522" s="390">
        <f>'TAMUCC FGD'!$E$93</f>
        <v>20632114</v>
      </c>
      <c r="F2522" s="390">
        <f>'TAMUCC FGD'!$F$93</f>
        <v>14494339</v>
      </c>
      <c r="G2522" s="390">
        <f>'TAMUCC FGD'!$G$93</f>
        <v>-1481681</v>
      </c>
      <c r="H2522" s="390">
        <f>'TAMUCC FGD'!$H$93</f>
        <v>27828</v>
      </c>
      <c r="I2522" s="390">
        <f>'TAMUCC FGD'!$I$93</f>
        <v>4609476</v>
      </c>
      <c r="J2522" s="390">
        <f>'TAMUCC FGD'!$J$93</f>
        <v>21069953</v>
      </c>
      <c r="K2522" s="390">
        <f>'TAMUCC FGD'!$K$93</f>
        <v>0</v>
      </c>
      <c r="L2522" s="390">
        <f>'TAMUCC FGD'!$L$93</f>
        <v>131523714</v>
      </c>
      <c r="M2522" s="390">
        <f>'TAMUCC FGD'!$M$93</f>
        <v>190797098</v>
      </c>
    </row>
    <row r="2523" spans="2:13" s="160" customFormat="1" ht="12.75" hidden="1" customHeight="1" outlineLevel="1">
      <c r="B2523" s="674" t="str">
        <f>'TAMUCT FGD'!$B$2</f>
        <v>Texas A&amp;M University - Central Texas</v>
      </c>
      <c r="D2523" s="390">
        <f>'TAMUCT FGD'!$D$93</f>
        <v>-107097</v>
      </c>
      <c r="E2523" s="390">
        <f>'TAMUCT FGD'!$E$93</f>
        <v>6749585</v>
      </c>
      <c r="F2523" s="390">
        <f>'TAMUCT FGD'!$F$93</f>
        <v>211</v>
      </c>
      <c r="G2523" s="390">
        <f>'TAMUCT FGD'!$G$93</f>
        <v>898052</v>
      </c>
      <c r="H2523" s="390">
        <f>'TAMUCT FGD'!$H$93</f>
        <v>5057</v>
      </c>
      <c r="I2523" s="390">
        <f>'TAMUCT FGD'!$I$93</f>
        <v>242253</v>
      </c>
      <c r="J2523" s="390">
        <f>'TAMUCT FGD'!$J$93</f>
        <v>0</v>
      </c>
      <c r="K2523" s="390">
        <f>'TAMUCT FGD'!$K$93</f>
        <v>0</v>
      </c>
      <c r="L2523" s="390">
        <f>'TAMUCT FGD'!$L$93</f>
        <v>-3535681</v>
      </c>
      <c r="M2523" s="390">
        <f>'TAMUCT FGD'!$M$93</f>
        <v>4252380</v>
      </c>
    </row>
    <row r="2524" spans="2:13" s="160" customFormat="1" ht="12.75" hidden="1" customHeight="1" outlineLevel="1">
      <c r="B2524" s="674" t="str">
        <f>'TAMUG FGD'!$B$2</f>
        <v>Texas A&amp;M University at Galveston</v>
      </c>
      <c r="D2524" s="390">
        <f>'TAMUG FGD'!$D$93</f>
        <v>-1242247</v>
      </c>
      <c r="E2524" s="390">
        <f>'TAMUG FGD'!$E$93</f>
        <v>14372558</v>
      </c>
      <c r="F2524" s="390">
        <f>'TAMUG FGD'!$F$93</f>
        <v>697513</v>
      </c>
      <c r="G2524" s="390">
        <f>'TAMUG FGD'!$G$93</f>
        <v>237693</v>
      </c>
      <c r="H2524" s="390">
        <f>'TAMUG FGD'!$H$93</f>
        <v>289627</v>
      </c>
      <c r="I2524" s="390">
        <f>'TAMUG FGD'!$I$93</f>
        <v>847357</v>
      </c>
      <c r="J2524" s="390">
        <f>'TAMUG FGD'!$J$93</f>
        <v>46022812</v>
      </c>
      <c r="K2524" s="390">
        <f>'TAMUG FGD'!$K$93</f>
        <v>0</v>
      </c>
      <c r="L2524" s="390">
        <f>'TAMUG FGD'!$L$93</f>
        <v>32867046</v>
      </c>
      <c r="M2524" s="390">
        <f>'TAMUG FGD'!$M$93</f>
        <v>94092359</v>
      </c>
    </row>
    <row r="2525" spans="2:13" s="160" customFormat="1" ht="12.75" hidden="1" customHeight="1" outlineLevel="1">
      <c r="B2525" s="674" t="str">
        <f>'TAMUK FGD'!$B$2</f>
        <v>Texas A&amp;M University - Kingsville</v>
      </c>
      <c r="D2525" s="390">
        <f>'TAMUK FGD'!$D$93</f>
        <v>5310246</v>
      </c>
      <c r="E2525" s="390">
        <f>'TAMUK FGD'!$E$93</f>
        <v>16166624</v>
      </c>
      <c r="F2525" s="390">
        <f>'TAMUK FGD'!$F$93</f>
        <v>1170028</v>
      </c>
      <c r="G2525" s="390">
        <f>'TAMUK FGD'!$G$93</f>
        <v>6790008</v>
      </c>
      <c r="H2525" s="390">
        <f>'TAMUK FGD'!$H$93</f>
        <v>-598434</v>
      </c>
      <c r="I2525" s="390">
        <f>'TAMUK FGD'!$I$93</f>
        <v>5418367</v>
      </c>
      <c r="J2525" s="390">
        <f>'TAMUK FGD'!$J$93</f>
        <v>7224739</v>
      </c>
      <c r="K2525" s="390">
        <f>'TAMUK FGD'!$K$93</f>
        <v>0</v>
      </c>
      <c r="L2525" s="390">
        <f>'TAMUK FGD'!$L$93</f>
        <v>-13550289</v>
      </c>
      <c r="M2525" s="390">
        <f>'TAMUK FGD'!$M$93</f>
        <v>27931289</v>
      </c>
    </row>
    <row r="2526" spans="2:13" s="160" customFormat="1" ht="12.75" hidden="1" customHeight="1" outlineLevel="1">
      <c r="B2526" s="674" t="str">
        <f>'TAMUSA FGD'!$B$2</f>
        <v>Texas A&amp;M University - San Antonio</v>
      </c>
      <c r="D2526" s="390">
        <f>'TAMUSA FGD'!$D$93</f>
        <v>-4481098</v>
      </c>
      <c r="E2526" s="390">
        <f>'TAMUSA FGD'!$E$93</f>
        <v>12234889</v>
      </c>
      <c r="F2526" s="390">
        <f>'TAMUSA FGD'!$F$93</f>
        <v>3038716</v>
      </c>
      <c r="G2526" s="390">
        <f>'TAMUSA FGD'!$G$93</f>
        <v>-192151</v>
      </c>
      <c r="H2526" s="390">
        <f>'TAMUSA FGD'!$H$93</f>
        <v>363701</v>
      </c>
      <c r="I2526" s="390">
        <f>'TAMUSA FGD'!$I$93</f>
        <v>64841</v>
      </c>
      <c r="J2526" s="390">
        <f>'TAMUSA FGD'!$J$93</f>
        <v>1007074</v>
      </c>
      <c r="K2526" s="390">
        <f>'TAMUSA FGD'!$K$93</f>
        <v>0</v>
      </c>
      <c r="L2526" s="390">
        <f>'TAMUSA FGD'!$L$93</f>
        <v>11657515</v>
      </c>
      <c r="M2526" s="390">
        <f>'TAMUSA FGD'!$M$93</f>
        <v>23693487</v>
      </c>
    </row>
    <row r="2527" spans="2:13" s="160" customFormat="1" ht="12.75" hidden="1" customHeight="1" outlineLevel="1">
      <c r="B2527" s="674" t="str">
        <f>'TAMUT FGD'!$B$2</f>
        <v>Texas A&amp;M University - Texarkana</v>
      </c>
      <c r="D2527" s="390">
        <f>'TAMUT FGD'!$D$93</f>
        <v>30711</v>
      </c>
      <c r="E2527" s="390">
        <f>'TAMUT FGD'!$E$93</f>
        <v>5681024</v>
      </c>
      <c r="F2527" s="390">
        <f>'TAMUT FGD'!$F$93</f>
        <v>1254239</v>
      </c>
      <c r="G2527" s="390">
        <f>'TAMUT FGD'!$G$93</f>
        <v>4072332</v>
      </c>
      <c r="H2527" s="390">
        <f>'TAMUT FGD'!$H$93</f>
        <v>38481</v>
      </c>
      <c r="I2527" s="390">
        <f>'TAMUT FGD'!$I$93</f>
        <v>2559079</v>
      </c>
      <c r="J2527" s="390">
        <f>'TAMUT FGD'!$J$93</f>
        <v>846742</v>
      </c>
      <c r="K2527" s="390">
        <f>'TAMUT FGD'!$K$93</f>
        <v>0</v>
      </c>
      <c r="L2527" s="390">
        <f>'TAMUT FGD'!$L$93</f>
        <v>-6118107</v>
      </c>
      <c r="M2527" s="390">
        <f>'TAMUT FGD'!$M$93</f>
        <v>8364501</v>
      </c>
    </row>
    <row r="2528" spans="2:13" s="160" customFormat="1" ht="12.75" hidden="1" customHeight="1" outlineLevel="1">
      <c r="B2528" s="674" t="str">
        <f>'TARLST FGD'!$B$2</f>
        <v>Tarleton State University</v>
      </c>
      <c r="D2528" s="390">
        <f>'TARLST FGD'!$D$93</f>
        <v>-2688281</v>
      </c>
      <c r="E2528" s="390">
        <f>'TARLST FGD'!$E$93</f>
        <v>43986248</v>
      </c>
      <c r="F2528" s="390">
        <f>'TARLST FGD'!$F$93</f>
        <v>-8660816</v>
      </c>
      <c r="G2528" s="390">
        <f>'TARLST FGD'!$G$93</f>
        <v>6186072</v>
      </c>
      <c r="H2528" s="390">
        <f>'TARLST FGD'!$H$93</f>
        <v>369006</v>
      </c>
      <c r="I2528" s="390">
        <f>'TARLST FGD'!$I$93</f>
        <v>11890177</v>
      </c>
      <c r="J2528" s="390">
        <f>'TARLST FGD'!$J$93</f>
        <v>41469667</v>
      </c>
      <c r="K2528" s="390">
        <f>'TARLST FGD'!$K$93</f>
        <v>0</v>
      </c>
      <c r="L2528" s="390">
        <f>'TARLST FGD'!$L$93</f>
        <v>-12622690</v>
      </c>
      <c r="M2528" s="390">
        <f>'TARLST FGD'!$M$93</f>
        <v>79929383</v>
      </c>
    </row>
    <row r="2529" spans="2:13" s="160" customFormat="1" ht="12.75" hidden="1" customHeight="1" outlineLevel="1">
      <c r="B2529" s="674" t="str">
        <f>'TSU FGD'!$B$2</f>
        <v>Texas Southern University</v>
      </c>
      <c r="D2529" s="390">
        <f>'TSU FGD'!$D$93</f>
        <v>88884150</v>
      </c>
      <c r="E2529" s="390">
        <f>'TSU FGD'!$E$93</f>
        <v>-6871410</v>
      </c>
      <c r="F2529" s="390">
        <f>'TSU FGD'!$F$93</f>
        <v>-3295122</v>
      </c>
      <c r="G2529" s="390">
        <f>'TSU FGD'!$G$93</f>
        <v>25875232</v>
      </c>
      <c r="H2529" s="390">
        <f>'TSU FGD'!$H$93</f>
        <v>0</v>
      </c>
      <c r="I2529" s="390">
        <f>'TSU FGD'!$I$93</f>
        <v>17904791</v>
      </c>
      <c r="J2529" s="390">
        <f>'TSU FGD'!$J$93</f>
        <v>-13723316</v>
      </c>
      <c r="K2529" s="390">
        <f>'TSU FGD'!$K$93</f>
        <v>-1455554</v>
      </c>
      <c r="L2529" s="390">
        <f>'TSU FGD'!$L$93</f>
        <v>-4035830</v>
      </c>
      <c r="M2529" s="390">
        <f>'TSU FGD'!$M$93</f>
        <v>103282941</v>
      </c>
    </row>
    <row r="2530" spans="2:13" s="160" customFormat="1" ht="12.75" hidden="1" customHeight="1" outlineLevel="1">
      <c r="B2530" s="674" t="str">
        <f>'TTU FGD'!$B$2</f>
        <v>Texas Tech University</v>
      </c>
      <c r="D2530" s="390">
        <f>'TTU FGD'!$D$93</f>
        <v>2337896</v>
      </c>
      <c r="E2530" s="390">
        <f>'TTU FGD'!$E$93</f>
        <v>70836685</v>
      </c>
      <c r="F2530" s="390">
        <f>'TTU FGD'!$F$93</f>
        <v>23747965</v>
      </c>
      <c r="G2530" s="390">
        <f>'TTU FGD'!$G$93</f>
        <v>56267146</v>
      </c>
      <c r="H2530" s="390">
        <f>'TTU FGD'!$H$93</f>
        <v>256697</v>
      </c>
      <c r="I2530" s="390">
        <f>'TTU FGD'!$I$93</f>
        <v>59400842</v>
      </c>
      <c r="J2530" s="390">
        <f>'TTU FGD'!$J$93</f>
        <v>127740255</v>
      </c>
      <c r="K2530" s="390">
        <f>'TTU FGD'!$K$93</f>
        <v>-6236624</v>
      </c>
      <c r="L2530" s="390">
        <f>'TTU FGD'!$L$93</f>
        <v>-86800111</v>
      </c>
      <c r="M2530" s="390">
        <f>'TTU FGD'!$M$93</f>
        <v>247550751</v>
      </c>
    </row>
    <row r="2531" spans="2:13" s="160" customFormat="1" ht="12.75" hidden="1" customHeight="1" outlineLevel="1">
      <c r="B2531" s="674" t="str">
        <f>'TWU FGD'!$B$2</f>
        <v>Texas Woman's University</v>
      </c>
      <c r="D2531" s="390">
        <f>'TWU FGD'!$D$93</f>
        <v>-7608745</v>
      </c>
      <c r="E2531" s="390">
        <f>'TWU FGD'!$E$93</f>
        <v>45004128</v>
      </c>
      <c r="F2531" s="390">
        <f>'TWU FGD'!$F$93</f>
        <v>6672227</v>
      </c>
      <c r="G2531" s="390">
        <f>'TWU FGD'!$G$93</f>
        <v>6819896</v>
      </c>
      <c r="H2531" s="390">
        <f>'TWU FGD'!$H$93</f>
        <v>284055</v>
      </c>
      <c r="I2531" s="390">
        <f>'TWU FGD'!$I$93</f>
        <v>3343766</v>
      </c>
      <c r="J2531" s="390">
        <f>'TWU FGD'!$J$93</f>
        <v>-3055925</v>
      </c>
      <c r="K2531" s="390">
        <f>'TWU FGD'!$K$93</f>
        <v>10039588</v>
      </c>
      <c r="L2531" s="390">
        <f>'TWU FGD'!$L$93</f>
        <v>-11802093</v>
      </c>
      <c r="M2531" s="390">
        <f>'TWU FGD'!$M$93</f>
        <v>49696897</v>
      </c>
    </row>
    <row r="2532" spans="2:13" s="160" customFormat="1" ht="12.75" hidden="1" customHeight="1" outlineLevel="1">
      <c r="B2532" s="674" t="str">
        <f>'TXST FGD'!$B$2</f>
        <v>Texas State University</v>
      </c>
      <c r="D2532" s="390">
        <f>'TXST FGD'!$D$93</f>
        <v>-23261333</v>
      </c>
      <c r="E2532" s="390">
        <f>'TXST FGD'!$E$93</f>
        <v>44027765</v>
      </c>
      <c r="F2532" s="390">
        <f>'TXST FGD'!$F$93</f>
        <v>-683312</v>
      </c>
      <c r="G2532" s="390">
        <f>'TXST FGD'!$G$93</f>
        <v>82159540</v>
      </c>
      <c r="H2532" s="390">
        <f>'TXST FGD'!$H$93</f>
        <v>-301547</v>
      </c>
      <c r="I2532" s="390">
        <f>'TXST FGD'!$I$93</f>
        <v>18123745</v>
      </c>
      <c r="J2532" s="390">
        <f>'TXST FGD'!$J$93</f>
        <v>1850934</v>
      </c>
      <c r="K2532" s="390">
        <f>'TXST FGD'!$K$93</f>
        <v>-758</v>
      </c>
      <c r="L2532" s="390">
        <f>'TXST FGD'!$L$93</f>
        <v>-64430599</v>
      </c>
      <c r="M2532" s="390">
        <f>'TXST FGD'!$M$93</f>
        <v>57484435</v>
      </c>
    </row>
    <row r="2533" spans="2:13" s="160" customFormat="1" ht="12.75" hidden="1" customHeight="1" outlineLevel="1">
      <c r="B2533" s="674" t="str">
        <f>'TYL FGD'!$B$2</f>
        <v>The University of Texas at Tyler</v>
      </c>
      <c r="D2533" s="390">
        <f>'TYL FGD'!$D$93</f>
        <v>2738422</v>
      </c>
      <c r="E2533" s="390">
        <f>'TYL FGD'!$E$93</f>
        <v>-626568</v>
      </c>
      <c r="F2533" s="390">
        <f>'TYL FGD'!$F$93</f>
        <v>2534949</v>
      </c>
      <c r="G2533" s="390">
        <f>'TYL FGD'!$G$93</f>
        <v>-928277</v>
      </c>
      <c r="H2533" s="390">
        <f>'TYL FGD'!$H$93</f>
        <v>515714</v>
      </c>
      <c r="I2533" s="390">
        <f>'TYL FGD'!$I$93</f>
        <v>30764007</v>
      </c>
      <c r="J2533" s="390">
        <f>'TYL FGD'!$J$93</f>
        <v>-1337343</v>
      </c>
      <c r="K2533" s="390">
        <f>'TYL FGD'!$K$93</f>
        <v>0</v>
      </c>
      <c r="L2533" s="390">
        <f>'TYL FGD'!$L$93</f>
        <v>-9887608</v>
      </c>
      <c r="M2533" s="390">
        <f>'TYL FGD'!$M$93</f>
        <v>23773296</v>
      </c>
    </row>
    <row r="2534" spans="2:13" s="160" customFormat="1" ht="12.75" hidden="1" customHeight="1" outlineLevel="1">
      <c r="B2534" s="674" t="str">
        <f>'UH1 FGD'!$B$2</f>
        <v>University of Houston - Academic &amp; Health (A+H)</v>
      </c>
      <c r="D2534" s="390">
        <f>'UH1 FGD'!$D$93</f>
        <v>-16117428</v>
      </c>
      <c r="E2534" s="390">
        <f>'UH1 FGD'!$E$93</f>
        <v>107109431</v>
      </c>
      <c r="F2534" s="390">
        <f>'UH1 FGD'!$F$93</f>
        <v>-2839204</v>
      </c>
      <c r="G2534" s="390">
        <f>'UH1 FGD'!$G$93</f>
        <v>15242031</v>
      </c>
      <c r="H2534" s="390">
        <f>'UH1 FGD'!$H$93</f>
        <v>46742</v>
      </c>
      <c r="I2534" s="390">
        <f>'UH1 FGD'!$I$93</f>
        <v>207890741</v>
      </c>
      <c r="J2534" s="390">
        <f>'UH1 FGD'!$J$93</f>
        <v>-47255622</v>
      </c>
      <c r="K2534" s="390">
        <f>'UH1 FGD'!$K$93</f>
        <v>-1935499</v>
      </c>
      <c r="L2534" s="390">
        <f>'UH1 FGD'!$L$93</f>
        <v>77653552</v>
      </c>
      <c r="M2534" s="390">
        <f>'UH1 FGD'!$M$93</f>
        <v>339794744</v>
      </c>
    </row>
    <row r="2535" spans="2:13" s="160" customFormat="1" ht="12.75" hidden="1" customHeight="1" outlineLevel="1">
      <c r="B2535" s="674" t="str">
        <f>'UHCL FGD'!$B$2</f>
        <v>University of Houston - Clear Lake</v>
      </c>
      <c r="D2535" s="390">
        <f>'UHCL FGD'!$D$93</f>
        <v>-2789194</v>
      </c>
      <c r="E2535" s="390">
        <f>'UHCL FGD'!$E$93</f>
        <v>3914703</v>
      </c>
      <c r="F2535" s="390">
        <f>'UHCL FGD'!$F$93</f>
        <v>2880558</v>
      </c>
      <c r="G2535" s="390">
        <f>'UHCL FGD'!$G$93</f>
        <v>1852651</v>
      </c>
      <c r="H2535" s="390">
        <f>'UHCL FGD'!$H$93</f>
        <v>49760</v>
      </c>
      <c r="I2535" s="390">
        <f>'UHCL FGD'!$I$93</f>
        <v>7516786</v>
      </c>
      <c r="J2535" s="390">
        <f>'UHCL FGD'!$J$93</f>
        <v>554345</v>
      </c>
      <c r="K2535" s="390">
        <f>'UHCL FGD'!$K$93</f>
        <v>13164</v>
      </c>
      <c r="L2535" s="390">
        <f>'UHCL FGD'!$L$93</f>
        <v>-8673</v>
      </c>
      <c r="M2535" s="390">
        <f>'UHCL FGD'!$M$93</f>
        <v>13984100</v>
      </c>
    </row>
    <row r="2536" spans="2:13" s="160" customFormat="1" ht="12.75" hidden="1" customHeight="1" outlineLevel="1">
      <c r="B2536" s="674" t="str">
        <f>'UHD FGD'!$B$2</f>
        <v>University of Houston - Downtown</v>
      </c>
      <c r="D2536" s="390">
        <f>'UHD FGD'!$D$93</f>
        <v>932659</v>
      </c>
      <c r="E2536" s="390">
        <f>'UHD FGD'!$E$93</f>
        <v>13219043</v>
      </c>
      <c r="F2536" s="390">
        <f>'UHD FGD'!$F$93</f>
        <v>2943973</v>
      </c>
      <c r="G2536" s="390">
        <f>'UHD FGD'!$G$93</f>
        <v>-1537785</v>
      </c>
      <c r="H2536" s="390">
        <f>'UHD FGD'!$H$93</f>
        <v>400946</v>
      </c>
      <c r="I2536" s="390">
        <f>'UHD FGD'!$I$93</f>
        <v>11389358</v>
      </c>
      <c r="J2536" s="390">
        <f>'UHD FGD'!$J$93</f>
        <v>6095088</v>
      </c>
      <c r="K2536" s="390">
        <f>'UHD FGD'!$K$93</f>
        <v>14156</v>
      </c>
      <c r="L2536" s="390">
        <f>'UHD FGD'!$L$93</f>
        <v>1663889</v>
      </c>
      <c r="M2536" s="390">
        <f>'UHD FGD'!$M$93</f>
        <v>35121327</v>
      </c>
    </row>
    <row r="2537" spans="2:13" s="160" customFormat="1" ht="12.75" hidden="1" customHeight="1" outlineLevel="1">
      <c r="B2537" s="674" t="str">
        <f>'UHV FGD'!$B$2</f>
        <v>University of Houston - Victoria</v>
      </c>
      <c r="D2537" s="390">
        <f>'UHV FGD'!$D$93</f>
        <v>1744685</v>
      </c>
      <c r="E2537" s="390">
        <f>'UHV FGD'!$E$93</f>
        <v>2264002</v>
      </c>
      <c r="F2537" s="390">
        <f>'UHV FGD'!$F$93</f>
        <v>1975032</v>
      </c>
      <c r="G2537" s="390">
        <f>'UHV FGD'!$G$93</f>
        <v>1537247</v>
      </c>
      <c r="H2537" s="390">
        <f>'UHV FGD'!$H$93</f>
        <v>69490</v>
      </c>
      <c r="I2537" s="390">
        <f>'UHV FGD'!$I$93</f>
        <v>3532382</v>
      </c>
      <c r="J2537" s="390">
        <f>'UHV FGD'!$J$93</f>
        <v>-6215502</v>
      </c>
      <c r="K2537" s="390">
        <f>'UHV FGD'!$K$93</f>
        <v>856284</v>
      </c>
      <c r="L2537" s="390">
        <f>'UHV FGD'!$L$93</f>
        <v>454185</v>
      </c>
      <c r="M2537" s="390">
        <f>'UHV FGD'!$M$93</f>
        <v>6217805</v>
      </c>
    </row>
    <row r="2538" spans="2:13" s="160" customFormat="1" ht="12.75" hidden="1" customHeight="1" outlineLevel="1">
      <c r="B2538" s="674" t="str">
        <f>'UNT FGD'!$B$2</f>
        <v>University of North Texas</v>
      </c>
      <c r="D2538" s="390">
        <f>'UNT FGD'!$D$93</f>
        <v>19634581</v>
      </c>
      <c r="E2538" s="390">
        <f>'UNT FGD'!$E$93</f>
        <v>43075927</v>
      </c>
      <c r="F2538" s="390">
        <f>'UNT FGD'!$F$93</f>
        <v>12792599</v>
      </c>
      <c r="G2538" s="390">
        <f>'UNT FGD'!$G$93</f>
        <v>5437949</v>
      </c>
      <c r="H2538" s="390">
        <f>'UNT FGD'!$H$93</f>
        <v>864749</v>
      </c>
      <c r="I2538" s="390">
        <f>'UNT FGD'!$I$93</f>
        <v>6040045</v>
      </c>
      <c r="J2538" s="390">
        <f>'UNT FGD'!$J$93</f>
        <v>0</v>
      </c>
      <c r="K2538" s="390">
        <f>'UNT FGD'!$K$93</f>
        <v>10451438</v>
      </c>
      <c r="L2538" s="390">
        <f>'UNT FGD'!$L$93</f>
        <v>-34448212</v>
      </c>
      <c r="M2538" s="390">
        <f>'UNT FGD'!$M$93</f>
        <v>63849076</v>
      </c>
    </row>
    <row r="2539" spans="2:13" s="160" customFormat="1" ht="12.75" hidden="1" customHeight="1" outlineLevel="1">
      <c r="B2539" s="674" t="str">
        <f>'UNTD FGD'!$B$2</f>
        <v>University of North Texas at Dallas</v>
      </c>
      <c r="D2539" s="390">
        <f>'UNTD FGD'!$D$93</f>
        <v>944819</v>
      </c>
      <c r="E2539" s="390">
        <f>'UNTD FGD'!$E$93</f>
        <v>18432583</v>
      </c>
      <c r="F2539" s="390">
        <f>'UNTD FGD'!$F$93</f>
        <v>121328</v>
      </c>
      <c r="G2539" s="390">
        <f>'UNTD FGD'!$G$93</f>
        <v>261486</v>
      </c>
      <c r="H2539" s="390">
        <f>'UNTD FGD'!$H$93</f>
        <v>0</v>
      </c>
      <c r="I2539" s="390">
        <f>'UNTD FGD'!$I$93</f>
        <v>-10832976</v>
      </c>
      <c r="J2539" s="390">
        <f>'UNTD FGD'!$J$93</f>
        <v>0</v>
      </c>
      <c r="K2539" s="390">
        <f>'UNTD FGD'!$K$93</f>
        <v>-2267171</v>
      </c>
      <c r="L2539" s="390">
        <f>'UNTD FGD'!$L$93</f>
        <v>-3999111</v>
      </c>
      <c r="M2539" s="390">
        <f>'UNTD FGD'!$M$93</f>
        <v>2660958</v>
      </c>
    </row>
    <row r="2540" spans="2:13" s="160" customFormat="1" ht="12.75" hidden="1" customHeight="1" outlineLevel="1">
      <c r="B2540" s="674" t="str">
        <f>'WTAMU FGD'!$B$2</f>
        <v>West Texas A&amp;M University</v>
      </c>
      <c r="D2540" s="390">
        <f>'WTAMU FGD'!$D$93</f>
        <v>655529</v>
      </c>
      <c r="E2540" s="390">
        <f>'WTAMU FGD'!$E$93</f>
        <v>26356153</v>
      </c>
      <c r="F2540" s="390">
        <f>'WTAMU FGD'!$F$93</f>
        <v>1220198</v>
      </c>
      <c r="G2540" s="390">
        <f>'WTAMU FGD'!$G$93</f>
        <v>281920</v>
      </c>
      <c r="H2540" s="390">
        <f>'WTAMU FGD'!$H$93</f>
        <v>304248</v>
      </c>
      <c r="I2540" s="390">
        <f>'WTAMU FGD'!$I$93</f>
        <v>6406302</v>
      </c>
      <c r="J2540" s="390">
        <f>'WTAMU FGD'!$J$93</f>
        <v>8361784</v>
      </c>
      <c r="K2540" s="390">
        <f>'WTAMU FGD'!$K$93</f>
        <v>0</v>
      </c>
      <c r="L2540" s="390">
        <f>'WTAMU FGD'!$L$93</f>
        <v>-20283972</v>
      </c>
      <c r="M2540" s="390">
        <f>'WTAMU FGD'!$M$93</f>
        <v>23302162</v>
      </c>
    </row>
    <row r="2541" spans="2:13" s="160" customFormat="1" ht="13.5" collapsed="1" thickBot="1">
      <c r="B2541" s="179" t="s">
        <v>58</v>
      </c>
      <c r="C2541" s="179"/>
      <c r="D2541" s="380">
        <f t="shared" ref="D2541:M2541" si="67">SUM(D2505:D2540)</f>
        <v>168683154</v>
      </c>
      <c r="E2541" s="380">
        <f t="shared" si="67"/>
        <v>1633739821</v>
      </c>
      <c r="F2541" s="380">
        <f t="shared" si="67"/>
        <v>106289339</v>
      </c>
      <c r="G2541" s="380">
        <f t="shared" si="67"/>
        <v>658572061</v>
      </c>
      <c r="H2541" s="380">
        <f t="shared" si="67"/>
        <v>7788402</v>
      </c>
      <c r="I2541" s="380">
        <f t="shared" si="67"/>
        <v>2449525913</v>
      </c>
      <c r="J2541" s="380">
        <f t="shared" si="67"/>
        <v>274874233</v>
      </c>
      <c r="K2541" s="380">
        <f t="shared" si="67"/>
        <v>9880319</v>
      </c>
      <c r="L2541" s="380">
        <f t="shared" si="67"/>
        <v>-61089110</v>
      </c>
      <c r="M2541" s="380">
        <f t="shared" si="67"/>
        <v>5248264132</v>
      </c>
    </row>
    <row r="2542" spans="2:13" s="160" customFormat="1" ht="13.5" thickTop="1">
      <c r="B2542" s="164"/>
      <c r="D2542" s="165"/>
      <c r="E2542" s="165"/>
      <c r="F2542" s="165"/>
      <c r="G2542" s="165"/>
      <c r="H2542" s="165"/>
      <c r="I2542" s="165"/>
      <c r="J2542" s="165"/>
      <c r="K2542" s="165"/>
      <c r="L2542" s="165"/>
      <c r="M2542" s="180"/>
    </row>
    <row r="2543" spans="2:13" s="160" customFormat="1">
      <c r="B2543" s="171" t="s">
        <v>1369</v>
      </c>
      <c r="C2543" s="169"/>
      <c r="D2543" s="165"/>
      <c r="E2543" s="165"/>
      <c r="F2543" s="165"/>
      <c r="G2543" s="165"/>
      <c r="H2543" s="165"/>
      <c r="I2543" s="165"/>
      <c r="J2543" s="165"/>
      <c r="K2543" s="165"/>
      <c r="L2543" s="165"/>
      <c r="M2543" s="180"/>
    </row>
    <row r="2544" spans="2:13" s="160" customFormat="1">
      <c r="B2544" s="169" t="s">
        <v>80</v>
      </c>
      <c r="D2544" s="165"/>
      <c r="E2544" s="165"/>
      <c r="F2544" s="165"/>
      <c r="G2544" s="165"/>
      <c r="H2544" s="165"/>
      <c r="I2544" s="165"/>
      <c r="J2544" s="165"/>
      <c r="K2544" s="165"/>
      <c r="L2544" s="165"/>
      <c r="M2544" s="180"/>
    </row>
    <row r="2545" spans="2:13" s="160" customFormat="1">
      <c r="B2545" s="261" t="s">
        <v>1297</v>
      </c>
      <c r="D2545" s="165"/>
      <c r="E2545" s="165"/>
      <c r="F2545" s="165"/>
      <c r="G2545" s="165"/>
      <c r="H2545" s="165"/>
      <c r="I2545" s="165"/>
      <c r="J2545" s="165"/>
      <c r="K2545" s="165"/>
      <c r="L2545" s="165"/>
      <c r="M2545" s="180"/>
    </row>
    <row r="2546" spans="2:13" s="160" customFormat="1">
      <c r="D2546" s="165"/>
      <c r="E2546" s="165"/>
      <c r="F2546" s="165"/>
      <c r="G2546" s="165"/>
      <c r="H2546" s="165"/>
      <c r="I2546" s="165"/>
      <c r="J2546" s="165"/>
      <c r="K2546" s="165"/>
      <c r="L2546" s="165"/>
      <c r="M2546" s="180"/>
    </row>
    <row r="2547" spans="2:13" s="160" customFormat="1">
      <c r="M2547" s="181" t="s">
        <v>93</v>
      </c>
    </row>
    <row r="2548" spans="2:13" s="160" customFormat="1" ht="12.75" hidden="1" customHeight="1" outlineLevel="1">
      <c r="B2548" s="674" t="str">
        <f>'ARL FGD'!$B$2</f>
        <v>The University of Texas at Arlington</v>
      </c>
      <c r="M2548" s="586">
        <f>'ARL FGD'!$M$100</f>
        <v>202640962</v>
      </c>
    </row>
    <row r="2549" spans="2:13" s="160" customFormat="1" ht="12.75" hidden="1" customHeight="1" outlineLevel="1">
      <c r="B2549" s="674" t="str">
        <f>'ASU FGD'!$B$2</f>
        <v>Angelo State University</v>
      </c>
      <c r="M2549" s="586">
        <f>'ASU FGD'!$M$100</f>
        <v>17345557</v>
      </c>
    </row>
    <row r="2550" spans="2:13" s="160" customFormat="1" ht="12.75" hidden="1" customHeight="1" outlineLevel="1">
      <c r="B2550" s="674" t="str">
        <f>'AUS1 FGD'!$B$2</f>
        <v>The University of Texas at Austin - Academic &amp; Health (A+H)</v>
      </c>
      <c r="M2550" s="586">
        <f>'AUS1 FGD'!$M$100</f>
        <v>1911650254</v>
      </c>
    </row>
    <row r="2551" spans="2:13" s="160" customFormat="1" ht="12.75" hidden="1" customHeight="1" outlineLevel="1">
      <c r="B2551" s="674" t="str">
        <f>'RGV1 FGD'!$B$2</f>
        <v>The University of Texas RGV - Academic &amp; Health (A+H)</v>
      </c>
      <c r="M2551" s="586">
        <f>'RGV1 FGD'!$M$100</f>
        <v>146482605</v>
      </c>
    </row>
    <row r="2552" spans="2:13" s="160" customFormat="1" ht="12.75" hidden="1" customHeight="1" outlineLevel="1">
      <c r="B2552" s="674" t="str">
        <f>'DAL FGD'!$B$2</f>
        <v>The University of Texas at Dallas</v>
      </c>
      <c r="M2552" s="586">
        <f>'DAL FGD'!$M$100</f>
        <v>206229635</v>
      </c>
    </row>
    <row r="2553" spans="2:13" s="160" customFormat="1" ht="12.75" hidden="1" customHeight="1" outlineLevel="1">
      <c r="B2553" s="674" t="str">
        <f>'E-P FGD'!$B$2</f>
        <v>The University of Texas at El Paso</v>
      </c>
      <c r="M2553" s="586">
        <f>'E-P FGD'!$M$100</f>
        <v>125959107</v>
      </c>
    </row>
    <row r="2554" spans="2:13" s="160" customFormat="1" ht="12.75" hidden="1" customHeight="1" outlineLevel="1">
      <c r="B2554" s="674" t="str">
        <f>'LU FGD'!$B$2</f>
        <v xml:space="preserve">Lamar University </v>
      </c>
      <c r="M2554" s="586">
        <f>'LU FGD'!$M$100</f>
        <v>21249070</v>
      </c>
    </row>
    <row r="2555" spans="2:13" s="160" customFormat="1" ht="12.75" hidden="1" customHeight="1" outlineLevel="1">
      <c r="B2555" s="674" t="str">
        <f>'MidWST FGD'!$B$2</f>
        <v>Midwestern State University</v>
      </c>
      <c r="M2555" s="586">
        <f>'MidWST FGD'!$M$100</f>
        <v>-926279</v>
      </c>
    </row>
    <row r="2556" spans="2:13" s="160" customFormat="1" ht="12.75" hidden="1" customHeight="1" outlineLevel="1">
      <c r="B2556" s="674" t="str">
        <f>'P-B FGD'!$B$2</f>
        <v>The University of Texas of the Permian Basin</v>
      </c>
      <c r="M2556" s="586">
        <f>'P-B FGD'!$M$100</f>
        <v>6034698</v>
      </c>
    </row>
    <row r="2557" spans="2:13" s="160" customFormat="1" ht="12.75" hidden="1" customHeight="1" outlineLevel="1">
      <c r="B2557" s="674" t="str">
        <f>'PVAMU FGD'!$B$2</f>
        <v>Prairie View A&amp;M University</v>
      </c>
      <c r="M2557" s="586">
        <f>'PVAMU FGD'!$M$100</f>
        <v>83142259</v>
      </c>
    </row>
    <row r="2558" spans="2:13" s="160" customFormat="1" ht="12.75" hidden="1" customHeight="1" outlineLevel="1">
      <c r="B2558" s="674" t="str">
        <f>'S-A FGD'!$B$2</f>
        <v>The University of Texas at San Antonio</v>
      </c>
      <c r="M2558" s="586">
        <f>'S-A FGD'!$M$100</f>
        <v>303138543</v>
      </c>
    </row>
    <row r="2559" spans="2:13" s="160" customFormat="1" ht="12.75" hidden="1" customHeight="1" outlineLevel="1">
      <c r="B2559" s="674" t="str">
        <f>'SFA FGD'!$B$2</f>
        <v>Stephen F. Austin State University</v>
      </c>
      <c r="M2559" s="586">
        <f>'SFA FGD'!$M$100</f>
        <v>17611883</v>
      </c>
    </row>
    <row r="2560" spans="2:13" s="160" customFormat="1" ht="12.75" hidden="1" customHeight="1" outlineLevel="1">
      <c r="B2560" s="674" t="str">
        <f>'shsu1 FGD'!$B$2</f>
        <v>Sam Houston State University - Academic &amp; Health (A+H)</v>
      </c>
      <c r="M2560" s="586">
        <f>'shsu1 FGD'!$M$100</f>
        <v>74094399</v>
      </c>
    </row>
    <row r="2561" spans="2:13" s="160" customFormat="1" ht="12.75" hidden="1" customHeight="1" outlineLevel="1">
      <c r="B2561" s="674" t="str">
        <f>'SRSU FGD'!$B$2</f>
        <v>Sul Ross State University</v>
      </c>
      <c r="M2561" s="586">
        <f>'SRSU FGD'!$M$100</f>
        <v>3392463</v>
      </c>
    </row>
    <row r="2562" spans="2:13" s="160" customFormat="1" ht="12.75" hidden="1" customHeight="1" outlineLevel="1">
      <c r="B2562" s="674" t="str">
        <f>'TAMIU FGD'!$B$2</f>
        <v>Texas A&amp;M International University</v>
      </c>
      <c r="M2562" s="586">
        <f>'TAMIU FGD'!$M$100</f>
        <v>83406289</v>
      </c>
    </row>
    <row r="2563" spans="2:13" s="160" customFormat="1" ht="12.75" hidden="1" customHeight="1" outlineLevel="1">
      <c r="B2563" s="674" t="str">
        <f>'TAMU FGD'!$B$2</f>
        <v>Texas A&amp;M University</v>
      </c>
      <c r="M2563" s="586">
        <f>'TAMU FGD'!$M$100</f>
        <v>595852139</v>
      </c>
    </row>
    <row r="2564" spans="2:13" s="160" customFormat="1" ht="12.75" hidden="1" customHeight="1" outlineLevel="1">
      <c r="B2564" s="674" t="str">
        <f>'TAMUC FGD'!$B$2</f>
        <v>Texas A&amp;M University - Commerce</v>
      </c>
      <c r="M2564" s="586">
        <f>'TAMUC FGD'!$M$100</f>
        <v>55181559</v>
      </c>
    </row>
    <row r="2565" spans="2:13" s="160" customFormat="1" ht="12.75" hidden="1" customHeight="1" outlineLevel="1">
      <c r="B2565" s="674" t="str">
        <f>'TAMUCC FGD'!$B$2</f>
        <v>Texas A&amp;M University - Corpus Christi</v>
      </c>
      <c r="M2565" s="586">
        <f>'TAMUCC FGD'!$M$100</f>
        <v>190797098</v>
      </c>
    </row>
    <row r="2566" spans="2:13" s="160" customFormat="1" ht="12.75" hidden="1" customHeight="1" outlineLevel="1">
      <c r="B2566" s="674" t="str">
        <f>'TAMUCT FGD'!$B$2</f>
        <v>Texas A&amp;M University - Central Texas</v>
      </c>
      <c r="M2566" s="586">
        <f>'TAMUCT FGD'!$M$100</f>
        <v>4252380</v>
      </c>
    </row>
    <row r="2567" spans="2:13" s="160" customFormat="1" ht="12.75" hidden="1" customHeight="1" outlineLevel="1">
      <c r="B2567" s="674" t="str">
        <f>'TAMUG FGD'!$B$2</f>
        <v>Texas A&amp;M University at Galveston</v>
      </c>
      <c r="M2567" s="586">
        <f>'TAMUG FGD'!$M$100</f>
        <v>94092359</v>
      </c>
    </row>
    <row r="2568" spans="2:13" s="160" customFormat="1" ht="12.75" hidden="1" customHeight="1" outlineLevel="1">
      <c r="B2568" s="674" t="str">
        <f>'TAMUK FGD'!$B$2</f>
        <v>Texas A&amp;M University - Kingsville</v>
      </c>
      <c r="M2568" s="586">
        <f>'TAMUK FGD'!$M$100</f>
        <v>27931289</v>
      </c>
    </row>
    <row r="2569" spans="2:13" s="160" customFormat="1" ht="12.75" hidden="1" customHeight="1" outlineLevel="1">
      <c r="B2569" s="674" t="str">
        <f>'TAMUSA FGD'!$B$2</f>
        <v>Texas A&amp;M University - San Antonio</v>
      </c>
      <c r="M2569" s="586">
        <f>'TAMUSA FGD'!$M$100</f>
        <v>23693487</v>
      </c>
    </row>
    <row r="2570" spans="2:13" s="160" customFormat="1" ht="12.75" hidden="1" customHeight="1" outlineLevel="1">
      <c r="B2570" s="674" t="str">
        <f>'TAMUT FGD'!$B$2</f>
        <v>Texas A&amp;M University - Texarkana</v>
      </c>
      <c r="M2570" s="586">
        <f>'TAMUT FGD'!$M$100</f>
        <v>8364501</v>
      </c>
    </row>
    <row r="2571" spans="2:13" s="160" customFormat="1" ht="12.75" hidden="1" customHeight="1" outlineLevel="1">
      <c r="B2571" s="674" t="str">
        <f>'TARLST FGD'!$B$2</f>
        <v>Tarleton State University</v>
      </c>
      <c r="M2571" s="586">
        <f>'TARLST FGD'!$M$100</f>
        <v>79929383</v>
      </c>
    </row>
    <row r="2572" spans="2:13" s="160" customFormat="1" ht="12.75" hidden="1" customHeight="1" outlineLevel="1">
      <c r="B2572" s="674" t="str">
        <f>'TSU FGD'!$B$2</f>
        <v>Texas Southern University</v>
      </c>
      <c r="M2572" s="586">
        <f>'TSU FGD'!$M$100</f>
        <v>103282941</v>
      </c>
    </row>
    <row r="2573" spans="2:13" s="160" customFormat="1" ht="12.75" hidden="1" customHeight="1" outlineLevel="1">
      <c r="B2573" s="674" t="str">
        <f>'TTU FGD'!$B$2</f>
        <v>Texas Tech University</v>
      </c>
      <c r="M2573" s="586">
        <f>'TTU FGD'!$M$100</f>
        <v>247550751</v>
      </c>
    </row>
    <row r="2574" spans="2:13" s="160" customFormat="1" ht="12.75" hidden="1" customHeight="1" outlineLevel="1">
      <c r="B2574" s="674" t="str">
        <f>'TWU FGD'!$B$2</f>
        <v>Texas Woman's University</v>
      </c>
      <c r="M2574" s="586">
        <f>'TWU FGD'!$M$100</f>
        <v>49696897</v>
      </c>
    </row>
    <row r="2575" spans="2:13" s="160" customFormat="1" ht="12.75" hidden="1" customHeight="1" outlineLevel="1">
      <c r="B2575" s="674" t="str">
        <f>'TXST FGD'!$B$2</f>
        <v>Texas State University</v>
      </c>
      <c r="M2575" s="586">
        <f>'TXST FGD'!$M$100</f>
        <v>57484435</v>
      </c>
    </row>
    <row r="2576" spans="2:13" s="160" customFormat="1" ht="12.75" hidden="1" customHeight="1" outlineLevel="1">
      <c r="B2576" s="674" t="str">
        <f>'TYL FGD'!$B$2</f>
        <v>The University of Texas at Tyler</v>
      </c>
      <c r="M2576" s="586">
        <f>'TYL FGD'!$M$100</f>
        <v>23773296</v>
      </c>
    </row>
    <row r="2577" spans="2:13" s="160" customFormat="1" ht="12.75" hidden="1" customHeight="1" outlineLevel="1">
      <c r="B2577" s="674" t="str">
        <f>'UH1 FGD'!$B$2</f>
        <v>University of Houston - Academic &amp; Health (A+H)</v>
      </c>
      <c r="M2577" s="586">
        <f>'UH1 FGD'!$M$100</f>
        <v>339794744</v>
      </c>
    </row>
    <row r="2578" spans="2:13" s="160" customFormat="1" ht="12.75" hidden="1" customHeight="1" outlineLevel="1">
      <c r="B2578" s="674" t="str">
        <f>'UHCL FGD'!$B$2</f>
        <v>University of Houston - Clear Lake</v>
      </c>
      <c r="M2578" s="586">
        <f>'UHCL FGD'!$M$100</f>
        <v>13984100</v>
      </c>
    </row>
    <row r="2579" spans="2:13" s="160" customFormat="1" ht="12.75" hidden="1" customHeight="1" outlineLevel="1">
      <c r="B2579" s="674" t="str">
        <f>'UHD FGD'!$B$2</f>
        <v>University of Houston - Downtown</v>
      </c>
      <c r="M2579" s="586">
        <f>'UHD FGD'!$M$100</f>
        <v>35121327</v>
      </c>
    </row>
    <row r="2580" spans="2:13" s="160" customFormat="1" ht="12.75" hidden="1" customHeight="1" outlineLevel="1">
      <c r="B2580" s="674" t="str">
        <f>'UHV FGD'!$B$2</f>
        <v>University of Houston - Victoria</v>
      </c>
      <c r="M2580" s="586">
        <f>'UHV FGD'!$M$100</f>
        <v>6217805</v>
      </c>
    </row>
    <row r="2581" spans="2:13" s="160" customFormat="1" ht="12.75" hidden="1" customHeight="1" outlineLevel="1">
      <c r="B2581" s="674" t="str">
        <f>'UNT FGD'!$B$2</f>
        <v>University of North Texas</v>
      </c>
      <c r="M2581" s="586">
        <f>'UNT FGD'!$M$100</f>
        <v>63849076</v>
      </c>
    </row>
    <row r="2582" spans="2:13" s="160" customFormat="1" ht="12.75" hidden="1" customHeight="1" outlineLevel="1">
      <c r="B2582" s="674" t="str">
        <f>'UNTD FGD'!$B$2</f>
        <v>University of North Texas at Dallas</v>
      </c>
      <c r="M2582" s="586">
        <f>'UNTD FGD'!$M$100</f>
        <v>2660958</v>
      </c>
    </row>
    <row r="2583" spans="2:13" s="160" customFormat="1" ht="12.75" hidden="1" customHeight="1" outlineLevel="1">
      <c r="B2583" s="674" t="str">
        <f>'WTAMU FGD'!$B$2</f>
        <v>West Texas A&amp;M University</v>
      </c>
      <c r="M2583" s="586">
        <f>'WTAMU FGD'!$M$100</f>
        <v>23302162</v>
      </c>
    </row>
    <row r="2584" spans="2:13" s="160" customFormat="1" collapsed="1">
      <c r="B2584" s="261" t="s">
        <v>1298</v>
      </c>
      <c r="M2584" s="390">
        <f>SUM(M2548:M2583)</f>
        <v>5248264132</v>
      </c>
    </row>
    <row r="2585" spans="2:13" s="160" customFormat="1" ht="12.75" hidden="1" customHeight="1" outlineLevel="1">
      <c r="B2585" s="674" t="str">
        <f>'ARL FGD'!$B$2</f>
        <v>The University of Texas at Arlington</v>
      </c>
      <c r="M2585" s="390">
        <f>'ARL FGD'!$M$101</f>
        <v>0</v>
      </c>
    </row>
    <row r="2586" spans="2:13" s="160" customFormat="1" ht="12.75" hidden="1" customHeight="1" outlineLevel="1">
      <c r="B2586" s="674" t="str">
        <f>'ASU FGD'!$B$2</f>
        <v>Angelo State University</v>
      </c>
      <c r="M2586" s="390">
        <f>'ASU FGD'!$M$101</f>
        <v>0</v>
      </c>
    </row>
    <row r="2587" spans="2:13" s="160" customFormat="1" ht="12.75" hidden="1" customHeight="1" outlineLevel="1">
      <c r="B2587" s="674" t="str">
        <f>'AUS1 FGD'!$B$2</f>
        <v>The University of Texas at Austin - Academic &amp; Health (A+H)</v>
      </c>
      <c r="M2587" s="390">
        <f>'AUS1 FGD'!$M$101</f>
        <v>0</v>
      </c>
    </row>
    <row r="2588" spans="2:13" s="160" customFormat="1" ht="12.75" hidden="1" customHeight="1" outlineLevel="1">
      <c r="B2588" s="674" t="str">
        <f>'RGV1 FGD'!$B$2</f>
        <v>The University of Texas RGV - Academic &amp; Health (A+H)</v>
      </c>
      <c r="M2588" s="390">
        <f>'RGV1 FGD'!$M$101</f>
        <v>0</v>
      </c>
    </row>
    <row r="2589" spans="2:13" s="160" customFormat="1" ht="12.75" hidden="1" customHeight="1" outlineLevel="1">
      <c r="B2589" s="674" t="str">
        <f>'DAL FGD'!$B$2</f>
        <v>The University of Texas at Dallas</v>
      </c>
      <c r="M2589" s="390">
        <f>'DAL FGD'!$M$101</f>
        <v>0</v>
      </c>
    </row>
    <row r="2590" spans="2:13" s="160" customFormat="1" ht="12.75" hidden="1" customHeight="1" outlineLevel="1">
      <c r="B2590" s="674" t="str">
        <f>'E-P FGD'!$B$2</f>
        <v>The University of Texas at El Paso</v>
      </c>
      <c r="M2590" s="390">
        <f>'E-P FGD'!$M$101</f>
        <v>0</v>
      </c>
    </row>
    <row r="2591" spans="2:13" s="160" customFormat="1" ht="12.75" hidden="1" customHeight="1" outlineLevel="1">
      <c r="B2591" s="674" t="str">
        <f>'LU FGD'!$B$2</f>
        <v xml:space="preserve">Lamar University </v>
      </c>
      <c r="M2591" s="390">
        <f>'LU FGD'!$M$101</f>
        <v>0</v>
      </c>
    </row>
    <row r="2592" spans="2:13" s="160" customFormat="1" ht="12.75" hidden="1" customHeight="1" outlineLevel="1">
      <c r="B2592" s="674" t="str">
        <f>'MidWST FGD'!$B$2</f>
        <v>Midwestern State University</v>
      </c>
      <c r="M2592" s="390">
        <f>'MidWST FGD'!$M$101</f>
        <v>0</v>
      </c>
    </row>
    <row r="2593" spans="2:13" s="160" customFormat="1" ht="12.75" hidden="1" customHeight="1" outlineLevel="1">
      <c r="B2593" s="674" t="str">
        <f>'P-B FGD'!$B$2</f>
        <v>The University of Texas of the Permian Basin</v>
      </c>
      <c r="M2593" s="390">
        <f>'P-B FGD'!$M$101</f>
        <v>0</v>
      </c>
    </row>
    <row r="2594" spans="2:13" s="160" customFormat="1" ht="12.75" hidden="1" customHeight="1" outlineLevel="1">
      <c r="B2594" s="674" t="str">
        <f>'PVAMU FGD'!$B$2</f>
        <v>Prairie View A&amp;M University</v>
      </c>
      <c r="M2594" s="390">
        <f>'PVAMU FGD'!$M$101</f>
        <v>0</v>
      </c>
    </row>
    <row r="2595" spans="2:13" s="160" customFormat="1" ht="12.75" hidden="1" customHeight="1" outlineLevel="1">
      <c r="B2595" s="674" t="str">
        <f>'S-A FGD'!$B$2</f>
        <v>The University of Texas at San Antonio</v>
      </c>
      <c r="M2595" s="390">
        <f>'S-A FGD'!$M$101</f>
        <v>0</v>
      </c>
    </row>
    <row r="2596" spans="2:13" s="160" customFormat="1" ht="12.75" hidden="1" customHeight="1" outlineLevel="1">
      <c r="B2596" s="674" t="str">
        <f>'SFA FGD'!$B$2</f>
        <v>Stephen F. Austin State University</v>
      </c>
      <c r="M2596" s="390">
        <f>'SFA FGD'!$M$101</f>
        <v>0</v>
      </c>
    </row>
    <row r="2597" spans="2:13" s="160" customFormat="1" ht="12.75" hidden="1" customHeight="1" outlineLevel="1">
      <c r="B2597" s="674" t="str">
        <f>'shsu1 FGD'!$B$2</f>
        <v>Sam Houston State University - Academic &amp; Health (A+H)</v>
      </c>
      <c r="M2597" s="390">
        <f>'shsu1 FGD'!$M$101</f>
        <v>0</v>
      </c>
    </row>
    <row r="2598" spans="2:13" s="160" customFormat="1" ht="12.75" hidden="1" customHeight="1" outlineLevel="1">
      <c r="B2598" s="674" t="str">
        <f>'SRSU FGD'!$B$2</f>
        <v>Sul Ross State University</v>
      </c>
      <c r="M2598" s="390">
        <f>'SRSU FGD'!$M$101</f>
        <v>0</v>
      </c>
    </row>
    <row r="2599" spans="2:13" s="160" customFormat="1" ht="12.75" hidden="1" customHeight="1" outlineLevel="1">
      <c r="B2599" s="674" t="str">
        <f>'TAMIU FGD'!$B$2</f>
        <v>Texas A&amp;M International University</v>
      </c>
      <c r="M2599" s="390">
        <f>'TAMIU FGD'!$M$101</f>
        <v>0</v>
      </c>
    </row>
    <row r="2600" spans="2:13" s="160" customFormat="1" ht="12.75" hidden="1" customHeight="1" outlineLevel="1">
      <c r="B2600" s="674" t="str">
        <f>'TAMU FGD'!$B$2</f>
        <v>Texas A&amp;M University</v>
      </c>
      <c r="M2600" s="390">
        <f>'TAMU FGD'!$M$101</f>
        <v>0</v>
      </c>
    </row>
    <row r="2601" spans="2:13" s="160" customFormat="1" ht="12.75" hidden="1" customHeight="1" outlineLevel="1">
      <c r="B2601" s="674" t="str">
        <f>'TAMUC FGD'!$B$2</f>
        <v>Texas A&amp;M University - Commerce</v>
      </c>
      <c r="M2601" s="390">
        <f>'TAMUC FGD'!$M$101</f>
        <v>0</v>
      </c>
    </row>
    <row r="2602" spans="2:13" s="160" customFormat="1" ht="12.75" hidden="1" customHeight="1" outlineLevel="1">
      <c r="B2602" s="674" t="str">
        <f>'TAMUCC FGD'!$B$2</f>
        <v>Texas A&amp;M University - Corpus Christi</v>
      </c>
      <c r="M2602" s="390">
        <f>'TAMUCC FGD'!$M$101</f>
        <v>0</v>
      </c>
    </row>
    <row r="2603" spans="2:13" s="160" customFormat="1" ht="12.75" hidden="1" customHeight="1" outlineLevel="1">
      <c r="B2603" s="674" t="str">
        <f>'TAMUCT FGD'!$B$2</f>
        <v>Texas A&amp;M University - Central Texas</v>
      </c>
      <c r="M2603" s="390">
        <f>'TAMUCT FGD'!$M$101</f>
        <v>0</v>
      </c>
    </row>
    <row r="2604" spans="2:13" s="160" customFormat="1" ht="12.75" hidden="1" customHeight="1" outlineLevel="1">
      <c r="B2604" s="674" t="str">
        <f>'TAMUG FGD'!$B$2</f>
        <v>Texas A&amp;M University at Galveston</v>
      </c>
      <c r="M2604" s="390">
        <f>'TAMUG FGD'!$M$101</f>
        <v>0</v>
      </c>
    </row>
    <row r="2605" spans="2:13" s="160" customFormat="1" ht="12.75" hidden="1" customHeight="1" outlineLevel="1">
      <c r="B2605" s="674" t="str">
        <f>'TAMUK FGD'!$B$2</f>
        <v>Texas A&amp;M University - Kingsville</v>
      </c>
      <c r="M2605" s="390">
        <f>'TAMUK FGD'!$M$101</f>
        <v>0</v>
      </c>
    </row>
    <row r="2606" spans="2:13" s="160" customFormat="1" ht="12.75" hidden="1" customHeight="1" outlineLevel="1">
      <c r="B2606" s="674" t="str">
        <f>'TAMUSA FGD'!$B$2</f>
        <v>Texas A&amp;M University - San Antonio</v>
      </c>
      <c r="M2606" s="390">
        <f>'TAMUSA FGD'!$M$101</f>
        <v>0</v>
      </c>
    </row>
    <row r="2607" spans="2:13" s="160" customFormat="1" ht="12.75" hidden="1" customHeight="1" outlineLevel="1">
      <c r="B2607" s="674" t="str">
        <f>'TAMUT FGD'!$B$2</f>
        <v>Texas A&amp;M University - Texarkana</v>
      </c>
      <c r="M2607" s="390">
        <f>'TAMUT FGD'!$M$101</f>
        <v>0</v>
      </c>
    </row>
    <row r="2608" spans="2:13" s="160" customFormat="1" ht="12.75" hidden="1" customHeight="1" outlineLevel="1">
      <c r="B2608" s="674" t="str">
        <f>'TARLST FGD'!$B$2</f>
        <v>Tarleton State University</v>
      </c>
      <c r="M2608" s="390">
        <f>'TARLST FGD'!$M$101</f>
        <v>0</v>
      </c>
    </row>
    <row r="2609" spans="1:14" ht="12.75" hidden="1" customHeight="1" outlineLevel="1">
      <c r="B2609" s="674" t="str">
        <f>'TSU FGD'!$B$2</f>
        <v>Texas Southern University</v>
      </c>
      <c r="M2609" s="390">
        <f>'TSU FGD'!$M$101</f>
        <v>0</v>
      </c>
    </row>
    <row r="2610" spans="1:14" ht="12.75" hidden="1" customHeight="1" outlineLevel="1">
      <c r="B2610" s="674" t="str">
        <f>'TTU FGD'!$B$2</f>
        <v>Texas Tech University</v>
      </c>
      <c r="M2610" s="390">
        <f>'TTU FGD'!$M$101</f>
        <v>0</v>
      </c>
    </row>
    <row r="2611" spans="1:14" ht="12.75" hidden="1" customHeight="1" outlineLevel="1">
      <c r="B2611" s="674" t="str">
        <f>'TWU FGD'!$B$2</f>
        <v>Texas Woman's University</v>
      </c>
      <c r="M2611" s="390">
        <f>'TWU FGD'!$M$101</f>
        <v>0</v>
      </c>
    </row>
    <row r="2612" spans="1:14" ht="12.75" hidden="1" customHeight="1" outlineLevel="1">
      <c r="B2612" s="674" t="str">
        <f>'TXST FGD'!$B$2</f>
        <v>Texas State University</v>
      </c>
      <c r="M2612" s="390">
        <f>'TXST FGD'!$M$101</f>
        <v>0</v>
      </c>
    </row>
    <row r="2613" spans="1:14" ht="12.75" hidden="1" customHeight="1" outlineLevel="1">
      <c r="B2613" s="674" t="str">
        <f>'TYL FGD'!$B$2</f>
        <v>The University of Texas at Tyler</v>
      </c>
      <c r="M2613" s="390">
        <f>'TYL FGD'!$M$101</f>
        <v>0</v>
      </c>
    </row>
    <row r="2614" spans="1:14" ht="12.75" hidden="1" customHeight="1" outlineLevel="1">
      <c r="B2614" s="674" t="str">
        <f>'UH1 FGD'!$B$2</f>
        <v>University of Houston - Academic &amp; Health (A+H)</v>
      </c>
      <c r="M2614" s="390">
        <f>'UH1 FGD'!$M$101</f>
        <v>0</v>
      </c>
    </row>
    <row r="2615" spans="1:14" ht="12.75" hidden="1" customHeight="1" outlineLevel="1">
      <c r="B2615" s="674" t="str">
        <f>'UHCL FGD'!$B$2</f>
        <v>University of Houston - Clear Lake</v>
      </c>
      <c r="M2615" s="390">
        <f>'UHCL FGD'!$M$101</f>
        <v>0</v>
      </c>
    </row>
    <row r="2616" spans="1:14" ht="12.75" hidden="1" customHeight="1" outlineLevel="1">
      <c r="B2616" s="674" t="str">
        <f>'UHD FGD'!$B$2</f>
        <v>University of Houston - Downtown</v>
      </c>
      <c r="M2616" s="390">
        <f>'UHD FGD'!$M$101</f>
        <v>0</v>
      </c>
    </row>
    <row r="2617" spans="1:14" ht="12.75" hidden="1" customHeight="1" outlineLevel="1">
      <c r="B2617" s="674" t="str">
        <f>'UHV FGD'!$B$2</f>
        <v>University of Houston - Victoria</v>
      </c>
      <c r="M2617" s="390">
        <f>'UHV FGD'!$M$101</f>
        <v>0</v>
      </c>
    </row>
    <row r="2618" spans="1:14" ht="12.75" hidden="1" customHeight="1" outlineLevel="1">
      <c r="B2618" s="674" t="str">
        <f>'UNT FGD'!$B$2</f>
        <v>University of North Texas</v>
      </c>
      <c r="M2618" s="390">
        <f>'UNT FGD'!$M$101</f>
        <v>0</v>
      </c>
    </row>
    <row r="2619" spans="1:14" ht="12.75" hidden="1" customHeight="1" outlineLevel="1">
      <c r="B2619" s="674" t="str">
        <f>'UNTD FGD'!$B$2</f>
        <v>University of North Texas at Dallas</v>
      </c>
      <c r="M2619" s="390">
        <f>'UNTD FGD'!$M$101</f>
        <v>0</v>
      </c>
    </row>
    <row r="2620" spans="1:14" ht="12.75" hidden="1" customHeight="1" outlineLevel="1">
      <c r="B2620" s="674" t="str">
        <f>'WTAMU FGD'!$B$2</f>
        <v>West Texas A&amp;M University</v>
      </c>
      <c r="M2620" s="390">
        <f>'WTAMU FGD'!$M$101</f>
        <v>0</v>
      </c>
    </row>
    <row r="2621" spans="1:14" collapsed="1">
      <c r="B2621" s="160" t="s">
        <v>92</v>
      </c>
      <c r="D2621" s="182"/>
      <c r="E2621" s="182"/>
      <c r="F2621" s="182"/>
      <c r="G2621" s="182"/>
      <c r="H2621" s="182"/>
      <c r="I2621" s="182"/>
      <c r="J2621" s="182"/>
      <c r="K2621" s="182"/>
      <c r="L2621" s="183"/>
      <c r="M2621" s="583">
        <f>SUM(M2585:M2620)</f>
        <v>0</v>
      </c>
      <c r="N2621" s="171"/>
    </row>
    <row r="2622" spans="1:14">
      <c r="B2622" s="171"/>
      <c r="C2622" s="183"/>
      <c r="D2622" s="183"/>
      <c r="E2622" s="183"/>
      <c r="F2622" s="183"/>
      <c r="G2622" s="183"/>
      <c r="H2622" s="183"/>
      <c r="I2622" s="183"/>
      <c r="J2622" s="183"/>
      <c r="K2622" s="171"/>
      <c r="L2622" s="401"/>
      <c r="M2622" s="171"/>
    </row>
    <row r="2623" spans="1:14">
      <c r="B2623" s="171"/>
      <c r="C2623" s="183"/>
      <c r="D2623" s="183"/>
      <c r="E2623" s="183"/>
      <c r="F2623" s="183"/>
      <c r="G2623" s="183"/>
      <c r="H2623" s="183"/>
      <c r="I2623" s="183"/>
      <c r="J2623" s="183"/>
      <c r="K2623" s="171"/>
      <c r="L2623" s="401"/>
      <c r="M2623" s="171"/>
    </row>
    <row r="2624" spans="1:14">
      <c r="A2624" s="396"/>
      <c r="B2624" s="171"/>
      <c r="C2624" s="183"/>
      <c r="D2624" s="183"/>
      <c r="E2624" s="183"/>
      <c r="F2624" s="183"/>
      <c r="G2624" s="183"/>
      <c r="H2624" s="183"/>
      <c r="I2624" s="183"/>
      <c r="J2624" s="183"/>
      <c r="K2624" s="171"/>
      <c r="L2624" s="401"/>
      <c r="M2624" s="171"/>
    </row>
    <row r="2625" spans="1:14">
      <c r="A2625" s="396"/>
      <c r="B2625" s="172" t="s">
        <v>273</v>
      </c>
      <c r="C2625" s="183"/>
      <c r="D2625" s="183"/>
      <c r="E2625" s="183"/>
      <c r="F2625" s="183"/>
      <c r="G2625" s="183"/>
      <c r="H2625" s="183"/>
      <c r="I2625" s="183"/>
      <c r="J2625" s="183"/>
      <c r="K2625" s="171"/>
      <c r="L2625" s="401"/>
      <c r="M2625" s="171"/>
    </row>
    <row r="2626" spans="1:14">
      <c r="A2626" s="404"/>
      <c r="B2626" s="405"/>
      <c r="C2626" s="405"/>
      <c r="D2626" s="405"/>
      <c r="E2626" s="405"/>
      <c r="F2626" s="405"/>
      <c r="G2626" s="405"/>
      <c r="H2626" s="405"/>
      <c r="I2626" s="405"/>
      <c r="J2626" s="405"/>
      <c r="K2626" s="405"/>
      <c r="L2626" s="405"/>
      <c r="M2626" s="405"/>
      <c r="N2626" s="171"/>
    </row>
    <row r="2627" spans="1:14">
      <c r="A2627" s="403">
        <v>8</v>
      </c>
      <c r="B2627" s="172" t="s">
        <v>0</v>
      </c>
      <c r="C2627" s="172"/>
      <c r="D2627" s="171"/>
      <c r="E2627" s="171"/>
      <c r="F2627" s="171"/>
      <c r="G2627" s="171"/>
      <c r="H2627" s="171"/>
      <c r="I2627" s="171"/>
      <c r="J2627" s="171"/>
      <c r="K2627" s="171"/>
      <c r="L2627" s="171"/>
      <c r="M2627" s="171"/>
      <c r="N2627" s="171"/>
    </row>
    <row r="2628" spans="1:14">
      <c r="A2628" s="403">
        <v>9</v>
      </c>
      <c r="B2628" s="160" t="s">
        <v>1</v>
      </c>
      <c r="D2628" s="390">
        <f t="shared" ref="D2628:M2628" si="68">D46</f>
        <v>3049059798</v>
      </c>
      <c r="E2628" s="390">
        <f t="shared" si="68"/>
        <v>0</v>
      </c>
      <c r="F2628" s="390">
        <f t="shared" si="68"/>
        <v>0</v>
      </c>
      <c r="G2628" s="390">
        <f t="shared" si="68"/>
        <v>0</v>
      </c>
      <c r="H2628" s="390">
        <f t="shared" si="68"/>
        <v>0</v>
      </c>
      <c r="I2628" s="390">
        <f t="shared" si="68"/>
        <v>0</v>
      </c>
      <c r="J2628" s="390">
        <f t="shared" si="68"/>
        <v>0</v>
      </c>
      <c r="K2628" s="390">
        <f t="shared" si="68"/>
        <v>0</v>
      </c>
      <c r="L2628" s="390">
        <f t="shared" si="68"/>
        <v>0</v>
      </c>
      <c r="M2628" s="390">
        <f t="shared" si="68"/>
        <v>3049059798</v>
      </c>
      <c r="N2628" s="171"/>
    </row>
    <row r="2629" spans="1:14">
      <c r="A2629" s="403">
        <v>10</v>
      </c>
      <c r="B2629" s="160" t="s">
        <v>2</v>
      </c>
      <c r="D2629" s="390">
        <f t="shared" ref="D2629:M2629" si="69">D83</f>
        <v>279330880</v>
      </c>
      <c r="E2629" s="390">
        <f t="shared" si="69"/>
        <v>47826509</v>
      </c>
      <c r="F2629" s="390">
        <f t="shared" si="69"/>
        <v>0</v>
      </c>
      <c r="G2629" s="390">
        <f t="shared" si="69"/>
        <v>243194293</v>
      </c>
      <c r="H2629" s="390">
        <f t="shared" si="69"/>
        <v>0</v>
      </c>
      <c r="I2629" s="390">
        <f t="shared" si="69"/>
        <v>0</v>
      </c>
      <c r="J2629" s="390">
        <f t="shared" si="69"/>
        <v>0</v>
      </c>
      <c r="K2629" s="390">
        <f t="shared" si="69"/>
        <v>0</v>
      </c>
      <c r="L2629" s="390">
        <f t="shared" si="69"/>
        <v>0</v>
      </c>
      <c r="M2629" s="390">
        <f t="shared" si="69"/>
        <v>570351682</v>
      </c>
      <c r="N2629" s="171"/>
    </row>
    <row r="2630" spans="1:14">
      <c r="A2630" s="403">
        <v>11</v>
      </c>
      <c r="B2630" s="160" t="s">
        <v>94</v>
      </c>
      <c r="D2630" s="390">
        <f t="shared" ref="D2630:M2630" si="70">D120</f>
        <v>0</v>
      </c>
      <c r="E2630" s="390">
        <f t="shared" si="70"/>
        <v>0</v>
      </c>
      <c r="F2630" s="390">
        <f t="shared" si="70"/>
        <v>0</v>
      </c>
      <c r="G2630" s="390">
        <f t="shared" si="70"/>
        <v>0</v>
      </c>
      <c r="H2630" s="390">
        <f t="shared" si="70"/>
        <v>0</v>
      </c>
      <c r="I2630" s="390">
        <f t="shared" si="70"/>
        <v>0</v>
      </c>
      <c r="J2630" s="390">
        <f t="shared" si="70"/>
        <v>0</v>
      </c>
      <c r="K2630" s="390">
        <f t="shared" si="70"/>
        <v>0</v>
      </c>
      <c r="L2630" s="390">
        <f t="shared" si="70"/>
        <v>0</v>
      </c>
      <c r="M2630" s="390">
        <f t="shared" si="70"/>
        <v>0</v>
      </c>
      <c r="N2630" s="171"/>
    </row>
    <row r="2631" spans="1:14">
      <c r="A2631" s="403">
        <v>12</v>
      </c>
      <c r="B2631" s="160" t="s">
        <v>1368</v>
      </c>
      <c r="D2631" s="390">
        <f t="shared" ref="D2631:M2631" si="71">D157</f>
        <v>336493406</v>
      </c>
      <c r="E2631" s="390">
        <f t="shared" si="71"/>
        <v>0</v>
      </c>
      <c r="F2631" s="390">
        <f t="shared" si="71"/>
        <v>0</v>
      </c>
      <c r="G2631" s="390">
        <f t="shared" si="71"/>
        <v>0</v>
      </c>
      <c r="H2631" s="390">
        <f t="shared" si="71"/>
        <v>0</v>
      </c>
      <c r="I2631" s="390">
        <f t="shared" si="71"/>
        <v>0</v>
      </c>
      <c r="J2631" s="390">
        <f t="shared" si="71"/>
        <v>0</v>
      </c>
      <c r="K2631" s="390">
        <f t="shared" si="71"/>
        <v>0</v>
      </c>
      <c r="L2631" s="390">
        <f t="shared" si="71"/>
        <v>0</v>
      </c>
      <c r="M2631" s="390">
        <f t="shared" si="71"/>
        <v>336493406</v>
      </c>
      <c r="N2631" s="171"/>
    </row>
    <row r="2632" spans="1:14">
      <c r="A2632" s="403">
        <v>13</v>
      </c>
      <c r="B2632" s="160" t="s">
        <v>49</v>
      </c>
      <c r="D2632" s="390">
        <f t="shared" ref="D2632:M2632" si="72">D194</f>
        <v>483676803</v>
      </c>
      <c r="E2632" s="390">
        <f t="shared" si="72"/>
        <v>136918806</v>
      </c>
      <c r="F2632" s="390">
        <f t="shared" si="72"/>
        <v>0</v>
      </c>
      <c r="G2632" s="390">
        <f t="shared" si="72"/>
        <v>0</v>
      </c>
      <c r="H2632" s="390">
        <f t="shared" si="72"/>
        <v>0</v>
      </c>
      <c r="I2632" s="390">
        <f t="shared" si="72"/>
        <v>0</v>
      </c>
      <c r="J2632" s="390">
        <f t="shared" si="72"/>
        <v>0</v>
      </c>
      <c r="K2632" s="390">
        <f t="shared" si="72"/>
        <v>0</v>
      </c>
      <c r="L2632" s="390">
        <f t="shared" si="72"/>
        <v>0</v>
      </c>
      <c r="M2632" s="390">
        <f t="shared" si="72"/>
        <v>620595609</v>
      </c>
      <c r="N2632" s="171"/>
    </row>
    <row r="2633" spans="1:14">
      <c r="A2633" s="403">
        <v>14</v>
      </c>
      <c r="B2633" s="176" t="s">
        <v>3</v>
      </c>
      <c r="C2633" s="176"/>
      <c r="D2633" s="565">
        <f t="shared" ref="D2633:M2633" si="73">SUM(D2628:D2632)</f>
        <v>4148560887</v>
      </c>
      <c r="E2633" s="565">
        <f t="shared" si="73"/>
        <v>184745315</v>
      </c>
      <c r="F2633" s="565">
        <f t="shared" si="73"/>
        <v>0</v>
      </c>
      <c r="G2633" s="565">
        <f t="shared" si="73"/>
        <v>243194293</v>
      </c>
      <c r="H2633" s="565">
        <f t="shared" si="73"/>
        <v>0</v>
      </c>
      <c r="I2633" s="565">
        <f t="shared" si="73"/>
        <v>0</v>
      </c>
      <c r="J2633" s="565">
        <f t="shared" si="73"/>
        <v>0</v>
      </c>
      <c r="K2633" s="565">
        <f t="shared" si="73"/>
        <v>0</v>
      </c>
      <c r="L2633" s="565">
        <f t="shared" si="73"/>
        <v>0</v>
      </c>
      <c r="M2633" s="565">
        <f t="shared" si="73"/>
        <v>4576500495</v>
      </c>
      <c r="N2633" s="588" t="str">
        <f>IF(M2633&lt;&gt;M231,"Error","")</f>
        <v/>
      </c>
    </row>
    <row r="2634" spans="1:14">
      <c r="A2634" s="403">
        <v>15</v>
      </c>
      <c r="C2634" s="171"/>
      <c r="D2634" s="171"/>
      <c r="E2634" s="171"/>
      <c r="F2634" s="171"/>
      <c r="G2634" s="171"/>
      <c r="H2634" s="171"/>
      <c r="I2634" s="171"/>
      <c r="J2634" s="171"/>
      <c r="K2634" s="401"/>
      <c r="L2634" s="171"/>
      <c r="M2634" s="171"/>
    </row>
    <row r="2635" spans="1:14">
      <c r="A2635" s="403">
        <v>16</v>
      </c>
      <c r="B2635" s="172" t="s">
        <v>4</v>
      </c>
      <c r="C2635" s="171"/>
      <c r="D2635" s="171"/>
      <c r="E2635" s="171"/>
      <c r="F2635" s="171"/>
      <c r="G2635" s="171"/>
      <c r="H2635" s="171"/>
      <c r="I2635" s="171"/>
      <c r="J2635" s="171"/>
      <c r="K2635" s="401"/>
      <c r="L2635" s="171"/>
      <c r="M2635" s="171"/>
    </row>
    <row r="2636" spans="1:14">
      <c r="A2636" s="403"/>
      <c r="B2636" s="558" t="s">
        <v>1042</v>
      </c>
      <c r="C2636" s="558"/>
      <c r="D2636" s="581">
        <f>D2641-SUM(D2637:D2640)</f>
        <v>1529151060</v>
      </c>
      <c r="E2636" s="581">
        <f t="shared" ref="E2636:M2636" si="74">E2641-SUM(E2637:E2640)</f>
        <v>4071191523</v>
      </c>
      <c r="F2636" s="581">
        <f t="shared" si="74"/>
        <v>0</v>
      </c>
      <c r="G2636" s="581">
        <f t="shared" si="74"/>
        <v>-3218960</v>
      </c>
      <c r="H2636" s="581">
        <f t="shared" si="74"/>
        <v>0</v>
      </c>
      <c r="I2636" s="581">
        <f t="shared" si="74"/>
        <v>0</v>
      </c>
      <c r="J2636" s="581">
        <f t="shared" si="74"/>
        <v>0</v>
      </c>
      <c r="K2636" s="581">
        <f t="shared" si="74"/>
        <v>0</v>
      </c>
      <c r="L2636" s="581">
        <f t="shared" si="74"/>
        <v>0</v>
      </c>
      <c r="M2636" s="581">
        <f t="shared" si="74"/>
        <v>5597123623</v>
      </c>
    </row>
    <row r="2637" spans="1:14">
      <c r="A2637" s="403"/>
      <c r="B2637" s="261" t="s">
        <v>722</v>
      </c>
      <c r="C2637" s="261"/>
      <c r="D2637" s="390">
        <f t="shared" ref="D2637:M2637" si="75">D307</f>
        <v>-347164259</v>
      </c>
      <c r="E2637" s="390">
        <f t="shared" si="75"/>
        <v>-72012664</v>
      </c>
      <c r="F2637" s="390">
        <f t="shared" si="75"/>
        <v>0</v>
      </c>
      <c r="G2637" s="390">
        <f t="shared" si="75"/>
        <v>0</v>
      </c>
      <c r="H2637" s="390">
        <f t="shared" si="75"/>
        <v>0</v>
      </c>
      <c r="I2637" s="390">
        <f t="shared" si="75"/>
        <v>0</v>
      </c>
      <c r="J2637" s="390">
        <f t="shared" si="75"/>
        <v>0</v>
      </c>
      <c r="K2637" s="390">
        <f t="shared" si="75"/>
        <v>0</v>
      </c>
      <c r="L2637" s="390">
        <f t="shared" si="75"/>
        <v>0</v>
      </c>
      <c r="M2637" s="390">
        <f t="shared" si="75"/>
        <v>-419176923</v>
      </c>
    </row>
    <row r="2638" spans="1:14">
      <c r="A2638" s="403"/>
      <c r="B2638" s="261" t="s">
        <v>723</v>
      </c>
      <c r="C2638" s="261"/>
      <c r="D2638" s="390">
        <f t="shared" ref="D2638:M2638" si="76">D344</f>
        <v>-2627355</v>
      </c>
      <c r="E2638" s="390">
        <f t="shared" si="76"/>
        <v>-1485060</v>
      </c>
      <c r="F2638" s="390">
        <f t="shared" si="76"/>
        <v>0</v>
      </c>
      <c r="G2638" s="390">
        <f t="shared" si="76"/>
        <v>0</v>
      </c>
      <c r="H2638" s="390">
        <f t="shared" si="76"/>
        <v>0</v>
      </c>
      <c r="I2638" s="390">
        <f t="shared" si="76"/>
        <v>0</v>
      </c>
      <c r="J2638" s="390">
        <f t="shared" si="76"/>
        <v>0</v>
      </c>
      <c r="K2638" s="390">
        <f t="shared" si="76"/>
        <v>0</v>
      </c>
      <c r="L2638" s="390">
        <f t="shared" si="76"/>
        <v>0</v>
      </c>
      <c r="M2638" s="390">
        <f t="shared" si="76"/>
        <v>-4112415</v>
      </c>
    </row>
    <row r="2639" spans="1:14">
      <c r="A2639" s="403"/>
      <c r="B2639" s="261" t="s">
        <v>724</v>
      </c>
      <c r="C2639" s="261"/>
      <c r="D2639" s="390">
        <f t="shared" ref="D2639:M2639" si="77">D381</f>
        <v>-3908989</v>
      </c>
      <c r="E2639" s="390">
        <f t="shared" si="77"/>
        <v>-19793366</v>
      </c>
      <c r="F2639" s="390">
        <f t="shared" si="77"/>
        <v>0</v>
      </c>
      <c r="G2639" s="390">
        <f t="shared" si="77"/>
        <v>0</v>
      </c>
      <c r="H2639" s="390">
        <f t="shared" si="77"/>
        <v>0</v>
      </c>
      <c r="I2639" s="390">
        <f t="shared" si="77"/>
        <v>0</v>
      </c>
      <c r="J2639" s="390">
        <f t="shared" si="77"/>
        <v>0</v>
      </c>
      <c r="K2639" s="390">
        <f t="shared" si="77"/>
        <v>0</v>
      </c>
      <c r="L2639" s="390">
        <f t="shared" si="77"/>
        <v>0</v>
      </c>
      <c r="M2639" s="390">
        <f t="shared" si="77"/>
        <v>-23702355</v>
      </c>
    </row>
    <row r="2640" spans="1:14">
      <c r="A2640" s="403"/>
      <c r="B2640" s="261" t="s">
        <v>725</v>
      </c>
      <c r="C2640" s="261"/>
      <c r="D2640" s="390">
        <f t="shared" ref="D2640:M2640" si="78">D418</f>
        <v>-424908</v>
      </c>
      <c r="E2640" s="390">
        <f t="shared" si="78"/>
        <v>-3472529</v>
      </c>
      <c r="F2640" s="390">
        <f t="shared" si="78"/>
        <v>0</v>
      </c>
      <c r="G2640" s="390">
        <f t="shared" si="78"/>
        <v>0</v>
      </c>
      <c r="H2640" s="390">
        <f t="shared" si="78"/>
        <v>0</v>
      </c>
      <c r="I2640" s="390">
        <f t="shared" si="78"/>
        <v>0</v>
      </c>
      <c r="J2640" s="390">
        <f t="shared" si="78"/>
        <v>0</v>
      </c>
      <c r="K2640" s="390">
        <f t="shared" si="78"/>
        <v>0</v>
      </c>
      <c r="L2640" s="390">
        <f t="shared" si="78"/>
        <v>0</v>
      </c>
      <c r="M2640" s="390">
        <f t="shared" si="78"/>
        <v>-3897437</v>
      </c>
    </row>
    <row r="2641" spans="1:14">
      <c r="A2641" s="403"/>
      <c r="B2641" s="558" t="s">
        <v>726</v>
      </c>
      <c r="C2641" s="563"/>
      <c r="D2641" s="565">
        <f t="shared" ref="D2641:M2641" si="79">D455</f>
        <v>1175025549</v>
      </c>
      <c r="E2641" s="565">
        <f t="shared" si="79"/>
        <v>3974427904</v>
      </c>
      <c r="F2641" s="565">
        <f t="shared" si="79"/>
        <v>0</v>
      </c>
      <c r="G2641" s="565">
        <f t="shared" si="79"/>
        <v>-3218960</v>
      </c>
      <c r="H2641" s="565">
        <f t="shared" si="79"/>
        <v>0</v>
      </c>
      <c r="I2641" s="565">
        <f t="shared" si="79"/>
        <v>0</v>
      </c>
      <c r="J2641" s="565">
        <f t="shared" si="79"/>
        <v>0</v>
      </c>
      <c r="K2641" s="565">
        <f t="shared" si="79"/>
        <v>0</v>
      </c>
      <c r="L2641" s="565">
        <f t="shared" si="79"/>
        <v>0</v>
      </c>
      <c r="M2641" s="565">
        <f t="shared" si="79"/>
        <v>5146234493</v>
      </c>
    </row>
    <row r="2642" spans="1:14">
      <c r="A2642" s="403"/>
      <c r="B2642" s="261" t="s">
        <v>727</v>
      </c>
      <c r="C2642" s="566"/>
      <c r="D2642" s="390">
        <f t="shared" ref="D2642:M2642" si="80">D492</f>
        <v>-11154519</v>
      </c>
      <c r="E2642" s="390">
        <f t="shared" si="80"/>
        <v>-204806</v>
      </c>
      <c r="F2642" s="390">
        <f t="shared" si="80"/>
        <v>0</v>
      </c>
      <c r="G2642" s="390">
        <f t="shared" si="80"/>
        <v>0</v>
      </c>
      <c r="H2642" s="390">
        <f t="shared" si="80"/>
        <v>0</v>
      </c>
      <c r="I2642" s="390">
        <f t="shared" si="80"/>
        <v>0</v>
      </c>
      <c r="J2642" s="390">
        <f t="shared" si="80"/>
        <v>0</v>
      </c>
      <c r="K2642" s="390">
        <f t="shared" si="80"/>
        <v>0</v>
      </c>
      <c r="L2642" s="390">
        <f t="shared" si="80"/>
        <v>0</v>
      </c>
      <c r="M2642" s="390">
        <f t="shared" si="80"/>
        <v>-11359325</v>
      </c>
    </row>
    <row r="2643" spans="1:14">
      <c r="A2643" s="403"/>
      <c r="B2643" s="261" t="s">
        <v>728</v>
      </c>
      <c r="C2643" s="566"/>
      <c r="D2643" s="390">
        <f t="shared" ref="D2643:M2643" si="81">D529</f>
        <v>-13704</v>
      </c>
      <c r="E2643" s="390">
        <f t="shared" si="81"/>
        <v>-40224</v>
      </c>
      <c r="F2643" s="390">
        <f t="shared" si="81"/>
        <v>0</v>
      </c>
      <c r="G2643" s="390">
        <f t="shared" si="81"/>
        <v>0</v>
      </c>
      <c r="H2643" s="390">
        <f t="shared" si="81"/>
        <v>0</v>
      </c>
      <c r="I2643" s="390">
        <f t="shared" si="81"/>
        <v>0</v>
      </c>
      <c r="J2643" s="390">
        <f t="shared" si="81"/>
        <v>0</v>
      </c>
      <c r="K2643" s="390">
        <f t="shared" si="81"/>
        <v>0</v>
      </c>
      <c r="L2643" s="390">
        <f t="shared" si="81"/>
        <v>0</v>
      </c>
      <c r="M2643" s="390">
        <f t="shared" si="81"/>
        <v>-53928</v>
      </c>
    </row>
    <row r="2644" spans="1:14">
      <c r="A2644" s="403"/>
      <c r="B2644" s="261" t="s">
        <v>729</v>
      </c>
      <c r="C2644" s="566"/>
      <c r="D2644" s="390">
        <f t="shared" ref="D2644:M2644" si="82">D566</f>
        <v>-56749628</v>
      </c>
      <c r="E2644" s="390">
        <f t="shared" si="82"/>
        <v>-168596879</v>
      </c>
      <c r="F2644" s="390">
        <f t="shared" si="82"/>
        <v>0</v>
      </c>
      <c r="G2644" s="390">
        <f t="shared" si="82"/>
        <v>0</v>
      </c>
      <c r="H2644" s="390">
        <f t="shared" si="82"/>
        <v>0</v>
      </c>
      <c r="I2644" s="390">
        <f t="shared" si="82"/>
        <v>0</v>
      </c>
      <c r="J2644" s="390">
        <f t="shared" si="82"/>
        <v>0</v>
      </c>
      <c r="K2644" s="390">
        <f t="shared" si="82"/>
        <v>0</v>
      </c>
      <c r="L2644" s="390">
        <f t="shared" si="82"/>
        <v>0</v>
      </c>
      <c r="M2644" s="390">
        <f t="shared" si="82"/>
        <v>-225346507</v>
      </c>
    </row>
    <row r="2645" spans="1:14">
      <c r="A2645" s="403"/>
      <c r="B2645" s="261" t="s">
        <v>730</v>
      </c>
      <c r="C2645" s="566"/>
      <c r="D2645" s="390">
        <f t="shared" ref="D2645:M2645" si="83">D603</f>
        <v>-319394</v>
      </c>
      <c r="E2645" s="390">
        <f t="shared" si="83"/>
        <v>-3025861</v>
      </c>
      <c r="F2645" s="390">
        <f t="shared" si="83"/>
        <v>0</v>
      </c>
      <c r="G2645" s="390">
        <f t="shared" si="83"/>
        <v>0</v>
      </c>
      <c r="H2645" s="390">
        <f t="shared" si="83"/>
        <v>0</v>
      </c>
      <c r="I2645" s="390">
        <f t="shared" si="83"/>
        <v>0</v>
      </c>
      <c r="J2645" s="390">
        <f t="shared" si="83"/>
        <v>0</v>
      </c>
      <c r="K2645" s="390">
        <f t="shared" si="83"/>
        <v>0</v>
      </c>
      <c r="L2645" s="390">
        <f t="shared" si="83"/>
        <v>0</v>
      </c>
      <c r="M2645" s="390">
        <f t="shared" si="83"/>
        <v>-3345255</v>
      </c>
    </row>
    <row r="2646" spans="1:14">
      <c r="A2646" s="403"/>
      <c r="B2646" s="261" t="s">
        <v>731</v>
      </c>
      <c r="C2646" s="566"/>
      <c r="D2646" s="390">
        <f t="shared" ref="D2646:M2646" si="84">D640</f>
        <v>-267774291</v>
      </c>
      <c r="E2646" s="390">
        <f t="shared" si="84"/>
        <v>-966082660</v>
      </c>
      <c r="F2646" s="390">
        <f t="shared" si="84"/>
        <v>0</v>
      </c>
      <c r="G2646" s="390">
        <f t="shared" si="84"/>
        <v>0</v>
      </c>
      <c r="H2646" s="390">
        <f t="shared" si="84"/>
        <v>0</v>
      </c>
      <c r="I2646" s="390">
        <f t="shared" si="84"/>
        <v>0</v>
      </c>
      <c r="J2646" s="390">
        <f t="shared" si="84"/>
        <v>0</v>
      </c>
      <c r="K2646" s="390">
        <f t="shared" si="84"/>
        <v>0</v>
      </c>
      <c r="L2646" s="390">
        <f t="shared" si="84"/>
        <v>0</v>
      </c>
      <c r="M2646" s="390">
        <f t="shared" si="84"/>
        <v>-1233856951</v>
      </c>
    </row>
    <row r="2647" spans="1:14">
      <c r="A2647" s="403"/>
      <c r="B2647" s="575" t="s">
        <v>39</v>
      </c>
      <c r="C2647" s="563"/>
      <c r="D2647" s="581">
        <f>SUM(D2641:D2646)</f>
        <v>839014013</v>
      </c>
      <c r="E2647" s="581">
        <f t="shared" ref="E2647:M2647" si="85">SUM(E2641:E2646)</f>
        <v>2836477474</v>
      </c>
      <c r="F2647" s="581">
        <f t="shared" si="85"/>
        <v>0</v>
      </c>
      <c r="G2647" s="581">
        <f t="shared" si="85"/>
        <v>-3218960</v>
      </c>
      <c r="H2647" s="581">
        <f t="shared" si="85"/>
        <v>0</v>
      </c>
      <c r="I2647" s="581">
        <f t="shared" si="85"/>
        <v>0</v>
      </c>
      <c r="J2647" s="581">
        <f t="shared" si="85"/>
        <v>0</v>
      </c>
      <c r="K2647" s="581">
        <f t="shared" si="85"/>
        <v>0</v>
      </c>
      <c r="L2647" s="581">
        <f t="shared" si="85"/>
        <v>0</v>
      </c>
      <c r="M2647" s="581">
        <f t="shared" si="85"/>
        <v>3672272527</v>
      </c>
      <c r="N2647" s="589" t="str">
        <f>IF(M2647&lt;&gt;M677,"Error","")</f>
        <v/>
      </c>
    </row>
    <row r="2648" spans="1:14">
      <c r="A2648" s="403"/>
      <c r="B2648" s="261"/>
      <c r="C2648" s="566"/>
      <c r="D2648" s="566"/>
      <c r="E2648" s="566"/>
      <c r="F2648" s="566"/>
      <c r="G2648" s="566"/>
      <c r="H2648" s="566"/>
      <c r="I2648" s="566"/>
      <c r="J2648" s="566"/>
      <c r="K2648" s="566"/>
      <c r="L2648" s="566"/>
      <c r="M2648" s="566"/>
    </row>
    <row r="2649" spans="1:14">
      <c r="A2649" s="403"/>
      <c r="B2649" s="558" t="s">
        <v>1052</v>
      </c>
      <c r="C2649" s="558"/>
      <c r="D2649" s="581">
        <f>D2654-SUM(D2650:D2653)</f>
        <v>16772044</v>
      </c>
      <c r="E2649" s="581">
        <f t="shared" ref="E2649:M2649" si="86">E2654-SUM(E2650:E2653)</f>
        <v>1675265287</v>
      </c>
      <c r="F2649" s="581">
        <f t="shared" si="86"/>
        <v>490651504</v>
      </c>
      <c r="G2649" s="581">
        <f t="shared" si="86"/>
        <v>-6130182</v>
      </c>
      <c r="H2649" s="581">
        <f t="shared" si="86"/>
        <v>0</v>
      </c>
      <c r="I2649" s="581">
        <f t="shared" si="86"/>
        <v>0</v>
      </c>
      <c r="J2649" s="581">
        <f t="shared" si="86"/>
        <v>0</v>
      </c>
      <c r="K2649" s="581">
        <f t="shared" si="86"/>
        <v>0</v>
      </c>
      <c r="L2649" s="581">
        <f t="shared" si="86"/>
        <v>0</v>
      </c>
      <c r="M2649" s="581">
        <f t="shared" si="86"/>
        <v>2176558653</v>
      </c>
    </row>
    <row r="2650" spans="1:14">
      <c r="A2650" s="403"/>
      <c r="B2650" s="261" t="s">
        <v>722</v>
      </c>
      <c r="C2650" s="261"/>
      <c r="D2650" s="390">
        <f t="shared" ref="D2650:M2650" si="87">D752</f>
        <v>-117</v>
      </c>
      <c r="E2650" s="390">
        <f t="shared" si="87"/>
        <v>-8137273</v>
      </c>
      <c r="F2650" s="390">
        <f t="shared" si="87"/>
        <v>-3780412</v>
      </c>
      <c r="G2650" s="390">
        <f t="shared" si="87"/>
        <v>0</v>
      </c>
      <c r="H2650" s="390">
        <f t="shared" si="87"/>
        <v>0</v>
      </c>
      <c r="I2650" s="390">
        <f t="shared" si="87"/>
        <v>0</v>
      </c>
      <c r="J2650" s="390">
        <f t="shared" si="87"/>
        <v>0</v>
      </c>
      <c r="K2650" s="390">
        <f t="shared" si="87"/>
        <v>0</v>
      </c>
      <c r="L2650" s="390">
        <f t="shared" si="87"/>
        <v>0</v>
      </c>
      <c r="M2650" s="390">
        <f t="shared" si="87"/>
        <v>-11917802</v>
      </c>
    </row>
    <row r="2651" spans="1:14">
      <c r="A2651" s="403"/>
      <c r="B2651" s="261" t="s">
        <v>723</v>
      </c>
      <c r="C2651" s="261"/>
      <c r="D2651" s="390">
        <f t="shared" ref="D2651:M2651" si="88">D789</f>
        <v>-36</v>
      </c>
      <c r="E2651" s="390">
        <f t="shared" si="88"/>
        <v>-54655</v>
      </c>
      <c r="F2651" s="390">
        <f t="shared" si="88"/>
        <v>-71714</v>
      </c>
      <c r="G2651" s="390">
        <f t="shared" si="88"/>
        <v>0</v>
      </c>
      <c r="H2651" s="390">
        <f t="shared" si="88"/>
        <v>0</v>
      </c>
      <c r="I2651" s="390">
        <f t="shared" si="88"/>
        <v>0</v>
      </c>
      <c r="J2651" s="390">
        <f t="shared" si="88"/>
        <v>0</v>
      </c>
      <c r="K2651" s="390">
        <f t="shared" si="88"/>
        <v>0</v>
      </c>
      <c r="L2651" s="390">
        <f t="shared" si="88"/>
        <v>0</v>
      </c>
      <c r="M2651" s="390">
        <f t="shared" si="88"/>
        <v>-126405</v>
      </c>
    </row>
    <row r="2652" spans="1:14">
      <c r="A2652" s="403"/>
      <c r="B2652" s="261" t="s">
        <v>724</v>
      </c>
      <c r="C2652" s="261"/>
      <c r="D2652" s="390">
        <f t="shared" ref="D2652:M2652" si="89">D826</f>
        <v>0</v>
      </c>
      <c r="E2652" s="390">
        <f t="shared" si="89"/>
        <v>-785140</v>
      </c>
      <c r="F2652" s="390">
        <f t="shared" si="89"/>
        <v>-1235475</v>
      </c>
      <c r="G2652" s="390">
        <f t="shared" si="89"/>
        <v>0</v>
      </c>
      <c r="H2652" s="390">
        <f t="shared" si="89"/>
        <v>0</v>
      </c>
      <c r="I2652" s="390">
        <f t="shared" si="89"/>
        <v>0</v>
      </c>
      <c r="J2652" s="390">
        <f t="shared" si="89"/>
        <v>0</v>
      </c>
      <c r="K2652" s="390">
        <f t="shared" si="89"/>
        <v>0</v>
      </c>
      <c r="L2652" s="390">
        <f t="shared" si="89"/>
        <v>0</v>
      </c>
      <c r="M2652" s="390">
        <f t="shared" si="89"/>
        <v>-2020615</v>
      </c>
    </row>
    <row r="2653" spans="1:14">
      <c r="A2653" s="403"/>
      <c r="B2653" s="261" t="s">
        <v>725</v>
      </c>
      <c r="C2653" s="261"/>
      <c r="D2653" s="390">
        <f t="shared" ref="D2653:M2653" si="90">D863</f>
        <v>0</v>
      </c>
      <c r="E2653" s="390">
        <f t="shared" si="90"/>
        <v>0</v>
      </c>
      <c r="F2653" s="390">
        <f t="shared" si="90"/>
        <v>0</v>
      </c>
      <c r="G2653" s="390">
        <f t="shared" si="90"/>
        <v>0</v>
      </c>
      <c r="H2653" s="390">
        <f t="shared" si="90"/>
        <v>0</v>
      </c>
      <c r="I2653" s="390">
        <f t="shared" si="90"/>
        <v>0</v>
      </c>
      <c r="J2653" s="390">
        <f t="shared" si="90"/>
        <v>0</v>
      </c>
      <c r="K2653" s="390">
        <f t="shared" si="90"/>
        <v>0</v>
      </c>
      <c r="L2653" s="390">
        <f t="shared" si="90"/>
        <v>0</v>
      </c>
      <c r="M2653" s="390">
        <f t="shared" si="90"/>
        <v>0</v>
      </c>
    </row>
    <row r="2654" spans="1:14">
      <c r="A2654" s="403"/>
      <c r="B2654" s="558" t="s">
        <v>732</v>
      </c>
      <c r="C2654" s="563"/>
      <c r="D2654" s="565">
        <f t="shared" ref="D2654:M2654" si="91">D900</f>
        <v>16771891</v>
      </c>
      <c r="E2654" s="565">
        <f t="shared" si="91"/>
        <v>1666288219</v>
      </c>
      <c r="F2654" s="565">
        <f t="shared" si="91"/>
        <v>485563903</v>
      </c>
      <c r="G2654" s="565">
        <f t="shared" si="91"/>
        <v>-6130182</v>
      </c>
      <c r="H2654" s="565">
        <f t="shared" si="91"/>
        <v>0</v>
      </c>
      <c r="I2654" s="565">
        <f t="shared" si="91"/>
        <v>0</v>
      </c>
      <c r="J2654" s="565">
        <f t="shared" si="91"/>
        <v>0</v>
      </c>
      <c r="K2654" s="565">
        <f t="shared" si="91"/>
        <v>0</v>
      </c>
      <c r="L2654" s="565">
        <f t="shared" si="91"/>
        <v>0</v>
      </c>
      <c r="M2654" s="565">
        <f t="shared" si="91"/>
        <v>2162493831</v>
      </c>
    </row>
    <row r="2655" spans="1:14">
      <c r="A2655" s="403"/>
      <c r="B2655" s="261" t="s">
        <v>727</v>
      </c>
      <c r="C2655" s="566"/>
      <c r="D2655" s="390">
        <f t="shared" ref="D2655:M2655" si="92">D937</f>
        <v>-305313</v>
      </c>
      <c r="E2655" s="390">
        <f t="shared" si="92"/>
        <v>-581626</v>
      </c>
      <c r="F2655" s="390">
        <f t="shared" si="92"/>
        <v>0</v>
      </c>
      <c r="G2655" s="390">
        <f t="shared" si="92"/>
        <v>0</v>
      </c>
      <c r="H2655" s="390">
        <f t="shared" si="92"/>
        <v>0</v>
      </c>
      <c r="I2655" s="390">
        <f t="shared" si="92"/>
        <v>0</v>
      </c>
      <c r="J2655" s="390">
        <f t="shared" si="92"/>
        <v>0</v>
      </c>
      <c r="K2655" s="390">
        <f t="shared" si="92"/>
        <v>0</v>
      </c>
      <c r="L2655" s="390">
        <f t="shared" si="92"/>
        <v>0</v>
      </c>
      <c r="M2655" s="390">
        <f t="shared" si="92"/>
        <v>-886939</v>
      </c>
    </row>
    <row r="2656" spans="1:14">
      <c r="A2656" s="403"/>
      <c r="B2656" s="261" t="s">
        <v>728</v>
      </c>
      <c r="C2656" s="566"/>
      <c r="D2656" s="390">
        <f t="shared" ref="D2656:M2656" si="93">D974</f>
        <v>0</v>
      </c>
      <c r="E2656" s="390">
        <f t="shared" si="93"/>
        <v>-2325</v>
      </c>
      <c r="F2656" s="390">
        <f t="shared" si="93"/>
        <v>0</v>
      </c>
      <c r="G2656" s="390">
        <f t="shared" si="93"/>
        <v>0</v>
      </c>
      <c r="H2656" s="390">
        <f t="shared" si="93"/>
        <v>0</v>
      </c>
      <c r="I2656" s="390">
        <f t="shared" si="93"/>
        <v>0</v>
      </c>
      <c r="J2656" s="390">
        <f t="shared" si="93"/>
        <v>0</v>
      </c>
      <c r="K2656" s="390">
        <f t="shared" si="93"/>
        <v>0</v>
      </c>
      <c r="L2656" s="390">
        <f t="shared" si="93"/>
        <v>0</v>
      </c>
      <c r="M2656" s="390">
        <f t="shared" si="93"/>
        <v>-2325</v>
      </c>
    </row>
    <row r="2657" spans="1:14">
      <c r="A2657" s="403"/>
      <c r="B2657" s="261" t="s">
        <v>729</v>
      </c>
      <c r="C2657" s="566"/>
      <c r="D2657" s="390">
        <f t="shared" ref="D2657:M2657" si="94">D1011</f>
        <v>-3648539</v>
      </c>
      <c r="E2657" s="390">
        <f t="shared" si="94"/>
        <v>-55586510</v>
      </c>
      <c r="F2657" s="390">
        <f t="shared" si="94"/>
        <v>-34712977</v>
      </c>
      <c r="G2657" s="390">
        <f t="shared" si="94"/>
        <v>0</v>
      </c>
      <c r="H2657" s="390">
        <f t="shared" si="94"/>
        <v>0</v>
      </c>
      <c r="I2657" s="390">
        <f t="shared" si="94"/>
        <v>0</v>
      </c>
      <c r="J2657" s="390">
        <f t="shared" si="94"/>
        <v>0</v>
      </c>
      <c r="K2657" s="390">
        <f t="shared" si="94"/>
        <v>0</v>
      </c>
      <c r="L2657" s="390">
        <f t="shared" si="94"/>
        <v>0</v>
      </c>
      <c r="M2657" s="390">
        <f t="shared" si="94"/>
        <v>-93948026</v>
      </c>
    </row>
    <row r="2658" spans="1:14">
      <c r="A2658" s="403"/>
      <c r="B2658" s="261" t="s">
        <v>730</v>
      </c>
      <c r="C2658" s="566"/>
      <c r="D2658" s="390">
        <f t="shared" ref="D2658:M2658" si="95">D1048</f>
        <v>0</v>
      </c>
      <c r="E2658" s="390">
        <f t="shared" si="95"/>
        <v>-1007198</v>
      </c>
      <c r="F2658" s="390">
        <f t="shared" si="95"/>
        <v>-2405125</v>
      </c>
      <c r="G2658" s="390">
        <f t="shared" si="95"/>
        <v>0</v>
      </c>
      <c r="H2658" s="390">
        <f t="shared" si="95"/>
        <v>0</v>
      </c>
      <c r="I2658" s="390">
        <f t="shared" si="95"/>
        <v>0</v>
      </c>
      <c r="J2658" s="390">
        <f t="shared" si="95"/>
        <v>0</v>
      </c>
      <c r="K2658" s="390">
        <f t="shared" si="95"/>
        <v>0</v>
      </c>
      <c r="L2658" s="390">
        <f t="shared" si="95"/>
        <v>0</v>
      </c>
      <c r="M2658" s="390">
        <f t="shared" si="95"/>
        <v>-3412323</v>
      </c>
    </row>
    <row r="2659" spans="1:14">
      <c r="A2659" s="403"/>
      <c r="B2659" s="261" t="s">
        <v>731</v>
      </c>
      <c r="C2659" s="566"/>
      <c r="D2659" s="390">
        <f t="shared" ref="D2659:M2659" si="96">D1085</f>
        <v>-15288602</v>
      </c>
      <c r="E2659" s="390">
        <f t="shared" si="96"/>
        <v>-426910738</v>
      </c>
      <c r="F2659" s="390">
        <f t="shared" si="96"/>
        <v>-92791162</v>
      </c>
      <c r="G2659" s="390">
        <f t="shared" si="96"/>
        <v>0</v>
      </c>
      <c r="H2659" s="390">
        <f t="shared" si="96"/>
        <v>0</v>
      </c>
      <c r="I2659" s="390">
        <f t="shared" si="96"/>
        <v>0</v>
      </c>
      <c r="J2659" s="390">
        <f t="shared" si="96"/>
        <v>0</v>
      </c>
      <c r="K2659" s="390">
        <f t="shared" si="96"/>
        <v>0</v>
      </c>
      <c r="L2659" s="390">
        <f t="shared" si="96"/>
        <v>0</v>
      </c>
      <c r="M2659" s="390">
        <f t="shared" si="96"/>
        <v>-534990502</v>
      </c>
    </row>
    <row r="2660" spans="1:14">
      <c r="A2660" s="403"/>
      <c r="B2660" s="575" t="s">
        <v>40</v>
      </c>
      <c r="C2660" s="563"/>
      <c r="D2660" s="581">
        <f>SUM(D2654:D2659)</f>
        <v>-2470563</v>
      </c>
      <c r="E2660" s="581">
        <f t="shared" ref="E2660:M2660" si="97">SUM(E2654:E2659)</f>
        <v>1182199822</v>
      </c>
      <c r="F2660" s="581">
        <f t="shared" si="97"/>
        <v>355654639</v>
      </c>
      <c r="G2660" s="581">
        <f t="shared" si="97"/>
        <v>-6130182</v>
      </c>
      <c r="H2660" s="581">
        <f t="shared" si="97"/>
        <v>0</v>
      </c>
      <c r="I2660" s="581">
        <f t="shared" si="97"/>
        <v>0</v>
      </c>
      <c r="J2660" s="581">
        <f t="shared" si="97"/>
        <v>0</v>
      </c>
      <c r="K2660" s="581">
        <f t="shared" si="97"/>
        <v>0</v>
      </c>
      <c r="L2660" s="581">
        <f t="shared" si="97"/>
        <v>0</v>
      </c>
      <c r="M2660" s="581">
        <f t="shared" si="97"/>
        <v>1529253716</v>
      </c>
      <c r="N2660" s="589" t="str">
        <f>IF(M2660&lt;&gt;M1122,"Error","")</f>
        <v/>
      </c>
    </row>
    <row r="2661" spans="1:14">
      <c r="A2661" s="403"/>
      <c r="B2661" s="261"/>
      <c r="C2661" s="566"/>
      <c r="D2661" s="566"/>
      <c r="E2661" s="566"/>
      <c r="F2661" s="566"/>
      <c r="G2661" s="566"/>
      <c r="H2661" s="566"/>
      <c r="I2661" s="566"/>
      <c r="J2661" s="566"/>
      <c r="K2661" s="566"/>
      <c r="L2661" s="566"/>
      <c r="M2661" s="566"/>
    </row>
    <row r="2662" spans="1:14">
      <c r="A2662" s="403"/>
      <c r="B2662" s="575" t="s">
        <v>1055</v>
      </c>
      <c r="C2662" s="563"/>
      <c r="D2662" s="581">
        <f>D2660+D2647</f>
        <v>836543450</v>
      </c>
      <c r="E2662" s="581">
        <f t="shared" ref="E2662:M2662" si="98">E2660+E2647</f>
        <v>4018677296</v>
      </c>
      <c r="F2662" s="581">
        <f t="shared" si="98"/>
        <v>355654639</v>
      </c>
      <c r="G2662" s="581">
        <f t="shared" si="98"/>
        <v>-9349142</v>
      </c>
      <c r="H2662" s="581">
        <f t="shared" si="98"/>
        <v>0</v>
      </c>
      <c r="I2662" s="581">
        <f t="shared" si="98"/>
        <v>0</v>
      </c>
      <c r="J2662" s="581">
        <f t="shared" si="98"/>
        <v>0</v>
      </c>
      <c r="K2662" s="581">
        <f t="shared" si="98"/>
        <v>0</v>
      </c>
      <c r="L2662" s="581">
        <f t="shared" si="98"/>
        <v>0</v>
      </c>
      <c r="M2662" s="581">
        <f t="shared" si="98"/>
        <v>5201526243</v>
      </c>
      <c r="N2662" s="589" t="str">
        <f>IF(M2662&lt;&gt;M1160,"Error","")</f>
        <v/>
      </c>
    </row>
    <row r="2663" spans="1:14">
      <c r="A2663" s="403">
        <v>28</v>
      </c>
      <c r="C2663" s="171"/>
      <c r="D2663" s="171"/>
      <c r="E2663" s="171"/>
      <c r="F2663" s="171"/>
      <c r="G2663" s="171"/>
      <c r="H2663" s="171"/>
      <c r="I2663" s="171"/>
      <c r="J2663" s="171"/>
      <c r="K2663" s="171"/>
      <c r="L2663" s="171"/>
      <c r="M2663" s="171"/>
    </row>
    <row r="2664" spans="1:14">
      <c r="A2664" s="403">
        <v>29</v>
      </c>
      <c r="B2664" s="172" t="s">
        <v>6</v>
      </c>
      <c r="C2664" s="171"/>
      <c r="D2664" s="171"/>
      <c r="E2664" s="171"/>
      <c r="F2664" s="171"/>
      <c r="G2664" s="171"/>
      <c r="H2664" s="171"/>
      <c r="I2664" s="171"/>
      <c r="J2664" s="171"/>
      <c r="K2664" s="171"/>
      <c r="L2664" s="171"/>
      <c r="M2664" s="171"/>
    </row>
    <row r="2665" spans="1:14">
      <c r="A2665" s="403">
        <v>30</v>
      </c>
      <c r="B2665" s="176" t="s">
        <v>7</v>
      </c>
      <c r="C2665" s="176"/>
      <c r="D2665" s="581">
        <f t="shared" ref="D2665:M2665" si="99">D1199</f>
        <v>60000195</v>
      </c>
      <c r="E2665" s="581">
        <f t="shared" si="99"/>
        <v>222474221</v>
      </c>
      <c r="F2665" s="581">
        <f t="shared" si="99"/>
        <v>0</v>
      </c>
      <c r="G2665" s="581">
        <f t="shared" si="99"/>
        <v>3316929695</v>
      </c>
      <c r="H2665" s="581">
        <f t="shared" si="99"/>
        <v>71458</v>
      </c>
      <c r="I2665" s="581">
        <f t="shared" si="99"/>
        <v>0</v>
      </c>
      <c r="J2665" s="581">
        <f t="shared" si="99"/>
        <v>515768</v>
      </c>
      <c r="K2665" s="581">
        <f t="shared" si="99"/>
        <v>0</v>
      </c>
      <c r="L2665" s="581">
        <f t="shared" si="99"/>
        <v>0</v>
      </c>
      <c r="M2665" s="581">
        <f t="shared" si="99"/>
        <v>3599991337</v>
      </c>
      <c r="N2665" s="588" t="str">
        <f>IF(M2665&lt;&gt;M1199,"Error","")</f>
        <v/>
      </c>
    </row>
    <row r="2666" spans="1:14">
      <c r="A2666" s="403">
        <v>31</v>
      </c>
      <c r="D2666" s="171"/>
      <c r="E2666" s="171"/>
      <c r="F2666" s="171"/>
      <c r="G2666" s="171"/>
      <c r="H2666" s="171"/>
      <c r="I2666" s="171"/>
      <c r="J2666" s="171"/>
      <c r="K2666" s="171"/>
      <c r="L2666" s="171"/>
      <c r="M2666" s="171"/>
      <c r="N2666" s="171"/>
    </row>
    <row r="2667" spans="1:14">
      <c r="A2667" s="403">
        <v>32</v>
      </c>
      <c r="B2667" s="172" t="s">
        <v>8</v>
      </c>
      <c r="C2667" s="172"/>
      <c r="D2667" s="171"/>
      <c r="E2667" s="171"/>
      <c r="F2667" s="171"/>
      <c r="G2667" s="171"/>
      <c r="H2667" s="171"/>
      <c r="I2667" s="171"/>
      <c r="J2667" s="171"/>
      <c r="K2667" s="171"/>
      <c r="L2667" s="171"/>
      <c r="M2667" s="171"/>
      <c r="N2667" s="171"/>
    </row>
    <row r="2668" spans="1:14">
      <c r="A2668" s="403">
        <v>33</v>
      </c>
      <c r="B2668" s="160" t="s">
        <v>42</v>
      </c>
      <c r="D2668" s="171">
        <f t="shared" ref="D2668:M2668" si="100">D1238</f>
        <v>22845187</v>
      </c>
      <c r="E2668" s="171">
        <f t="shared" si="100"/>
        <v>475466134</v>
      </c>
      <c r="F2668" s="171">
        <f t="shared" si="100"/>
        <v>52606885</v>
      </c>
      <c r="G2668" s="171">
        <f t="shared" si="100"/>
        <v>368121435</v>
      </c>
      <c r="H2668" s="171">
        <f t="shared" si="100"/>
        <v>6692138</v>
      </c>
      <c r="I2668" s="171">
        <f t="shared" si="100"/>
        <v>107594336</v>
      </c>
      <c r="J2668" s="171">
        <f t="shared" si="100"/>
        <v>60047947</v>
      </c>
      <c r="K2668" s="171">
        <f t="shared" si="100"/>
        <v>1067038</v>
      </c>
      <c r="L2668" s="171">
        <f t="shared" si="100"/>
        <v>847746</v>
      </c>
      <c r="M2668" s="171">
        <f t="shared" si="100"/>
        <v>1095288846</v>
      </c>
      <c r="N2668" s="171"/>
    </row>
    <row r="2669" spans="1:14">
      <c r="A2669" s="403">
        <v>34</v>
      </c>
      <c r="B2669" s="160" t="s">
        <v>9</v>
      </c>
      <c r="D2669" s="171">
        <f t="shared" ref="D2669:M2669" si="101">D1275</f>
        <v>0</v>
      </c>
      <c r="E2669" s="171">
        <f t="shared" si="101"/>
        <v>12771075</v>
      </c>
      <c r="F2669" s="171">
        <f t="shared" si="101"/>
        <v>0</v>
      </c>
      <c r="G2669" s="171">
        <f t="shared" si="101"/>
        <v>21547810</v>
      </c>
      <c r="H2669" s="171">
        <f t="shared" si="101"/>
        <v>0</v>
      </c>
      <c r="I2669" s="171">
        <f t="shared" si="101"/>
        <v>0</v>
      </c>
      <c r="J2669" s="171">
        <f t="shared" si="101"/>
        <v>0</v>
      </c>
      <c r="K2669" s="171">
        <f t="shared" si="101"/>
        <v>0</v>
      </c>
      <c r="L2669" s="171">
        <f t="shared" si="101"/>
        <v>0</v>
      </c>
      <c r="M2669" s="171">
        <f t="shared" si="101"/>
        <v>34318885</v>
      </c>
      <c r="N2669" s="171"/>
    </row>
    <row r="2670" spans="1:14">
      <c r="A2670" s="403">
        <v>35</v>
      </c>
      <c r="B2670" s="160" t="s">
        <v>10</v>
      </c>
      <c r="D2670" s="171">
        <f t="shared" ref="D2670:M2670" si="102">D1312</f>
        <v>-6304368</v>
      </c>
      <c r="E2670" s="171">
        <f t="shared" si="102"/>
        <v>79215756</v>
      </c>
      <c r="F2670" s="171">
        <f t="shared" si="102"/>
        <v>27600138</v>
      </c>
      <c r="G2670" s="171">
        <f t="shared" si="102"/>
        <v>1014498949</v>
      </c>
      <c r="H2670" s="171">
        <f t="shared" si="102"/>
        <v>566273</v>
      </c>
      <c r="I2670" s="171">
        <f t="shared" si="102"/>
        <v>7768861</v>
      </c>
      <c r="J2670" s="171">
        <f t="shared" si="102"/>
        <v>7104343</v>
      </c>
      <c r="K2670" s="171">
        <f t="shared" si="102"/>
        <v>0</v>
      </c>
      <c r="L2670" s="171">
        <f t="shared" si="102"/>
        <v>0</v>
      </c>
      <c r="M2670" s="171">
        <f t="shared" si="102"/>
        <v>1130449952</v>
      </c>
      <c r="N2670" s="171"/>
    </row>
    <row r="2671" spans="1:14">
      <c r="A2671" s="403">
        <v>36</v>
      </c>
      <c r="B2671" s="160" t="s">
        <v>11</v>
      </c>
      <c r="D2671" s="171">
        <f t="shared" ref="D2671:M2671" si="103">D1349</f>
        <v>49629496</v>
      </c>
      <c r="E2671" s="171">
        <f t="shared" si="103"/>
        <v>599223800</v>
      </c>
      <c r="F2671" s="171">
        <f t="shared" si="103"/>
        <v>182721</v>
      </c>
      <c r="G2671" s="171">
        <f t="shared" si="103"/>
        <v>37130327</v>
      </c>
      <c r="H2671" s="171">
        <f t="shared" si="103"/>
        <v>-147279</v>
      </c>
      <c r="I2671" s="171">
        <f t="shared" si="103"/>
        <v>19385</v>
      </c>
      <c r="J2671" s="171">
        <f t="shared" si="103"/>
        <v>0</v>
      </c>
      <c r="K2671" s="171">
        <f t="shared" si="103"/>
        <v>-100</v>
      </c>
      <c r="L2671" s="171">
        <f t="shared" si="103"/>
        <v>0</v>
      </c>
      <c r="M2671" s="171">
        <f t="shared" si="103"/>
        <v>686038350</v>
      </c>
      <c r="N2671" s="171"/>
    </row>
    <row r="2672" spans="1:14">
      <c r="A2672" s="403">
        <v>37</v>
      </c>
      <c r="B2672" s="177" t="s">
        <v>12</v>
      </c>
      <c r="C2672" s="177"/>
      <c r="D2672" s="171">
        <f t="shared" ref="D2672:M2672" si="104">D1386</f>
        <v>6214657</v>
      </c>
      <c r="E2672" s="171">
        <f t="shared" si="104"/>
        <v>1516522</v>
      </c>
      <c r="F2672" s="171">
        <f t="shared" si="104"/>
        <v>1018721062</v>
      </c>
      <c r="G2672" s="171">
        <f t="shared" si="104"/>
        <v>596930</v>
      </c>
      <c r="H2672" s="171">
        <f t="shared" si="104"/>
        <v>0</v>
      </c>
      <c r="I2672" s="171">
        <f t="shared" si="104"/>
        <v>0</v>
      </c>
      <c r="J2672" s="171">
        <f t="shared" si="104"/>
        <v>0</v>
      </c>
      <c r="K2672" s="171">
        <f t="shared" si="104"/>
        <v>0</v>
      </c>
      <c r="L2672" s="171">
        <f t="shared" si="104"/>
        <v>0</v>
      </c>
      <c r="M2672" s="171">
        <f t="shared" si="104"/>
        <v>1027049171</v>
      </c>
      <c r="N2672" s="171"/>
    </row>
    <row r="2673" spans="1:14">
      <c r="A2673" s="403">
        <v>38</v>
      </c>
      <c r="B2673" s="160" t="s">
        <v>43</v>
      </c>
      <c r="D2673" s="171">
        <f t="shared" ref="D2673:M2673" si="105">D1423</f>
        <v>23602971</v>
      </c>
      <c r="E2673" s="171">
        <f t="shared" si="105"/>
        <v>231080451</v>
      </c>
      <c r="F2673" s="171">
        <f t="shared" si="105"/>
        <v>62675839</v>
      </c>
      <c r="G2673" s="171">
        <f t="shared" si="105"/>
        <v>-28885970</v>
      </c>
      <c r="H2673" s="171">
        <f t="shared" si="105"/>
        <v>3197596</v>
      </c>
      <c r="I2673" s="171">
        <f t="shared" si="105"/>
        <v>2721670</v>
      </c>
      <c r="J2673" s="171">
        <f t="shared" si="105"/>
        <v>6287270</v>
      </c>
      <c r="K2673" s="171">
        <f t="shared" si="105"/>
        <v>0</v>
      </c>
      <c r="L2673" s="171">
        <f t="shared" si="105"/>
        <v>8244232</v>
      </c>
      <c r="M2673" s="171">
        <f t="shared" si="105"/>
        <v>308924059</v>
      </c>
      <c r="N2673" s="171"/>
    </row>
    <row r="2674" spans="1:14">
      <c r="A2674" s="403">
        <v>39</v>
      </c>
      <c r="B2674" s="176" t="s">
        <v>3</v>
      </c>
      <c r="C2674" s="176"/>
      <c r="D2674" s="402">
        <f>SUM(D2668:D2673)</f>
        <v>95987943</v>
      </c>
      <c r="E2674" s="402">
        <f t="shared" ref="E2674:M2674" si="106">SUM(E2668:E2673)</f>
        <v>1399273738</v>
      </c>
      <c r="F2674" s="402">
        <f t="shared" si="106"/>
        <v>1161786645</v>
      </c>
      <c r="G2674" s="402">
        <f t="shared" si="106"/>
        <v>1413009481</v>
      </c>
      <c r="H2674" s="402">
        <f t="shared" si="106"/>
        <v>10308728</v>
      </c>
      <c r="I2674" s="402">
        <f t="shared" si="106"/>
        <v>118104252</v>
      </c>
      <c r="J2674" s="402">
        <f t="shared" si="106"/>
        <v>73439560</v>
      </c>
      <c r="K2674" s="402">
        <f t="shared" si="106"/>
        <v>1066938</v>
      </c>
      <c r="L2674" s="402">
        <f t="shared" si="106"/>
        <v>9091978</v>
      </c>
      <c r="M2674" s="402">
        <f t="shared" si="106"/>
        <v>4282069263</v>
      </c>
      <c r="N2674" s="588" t="str">
        <f>IF(M2674&lt;&gt;M1460,"Error","")</f>
        <v/>
      </c>
    </row>
    <row r="2675" spans="1:14">
      <c r="A2675" s="403">
        <v>40</v>
      </c>
      <c r="B2675" s="162" t="s">
        <v>68</v>
      </c>
      <c r="C2675" s="162"/>
      <c r="D2675" s="402">
        <f>D2674+D2665+D2662+D2633</f>
        <v>5141092475</v>
      </c>
      <c r="E2675" s="402">
        <f t="shared" ref="E2675:M2675" si="107">E2674+E2665+E2662+E2633</f>
        <v>5825170570</v>
      </c>
      <c r="F2675" s="402">
        <f t="shared" si="107"/>
        <v>1517441284</v>
      </c>
      <c r="G2675" s="402">
        <f t="shared" si="107"/>
        <v>4963784327</v>
      </c>
      <c r="H2675" s="402">
        <f t="shared" si="107"/>
        <v>10380186</v>
      </c>
      <c r="I2675" s="402">
        <f t="shared" si="107"/>
        <v>118104252</v>
      </c>
      <c r="J2675" s="402">
        <f t="shared" si="107"/>
        <v>73955328</v>
      </c>
      <c r="K2675" s="402">
        <f t="shared" si="107"/>
        <v>1066938</v>
      </c>
      <c r="L2675" s="402">
        <f t="shared" si="107"/>
        <v>9091978</v>
      </c>
      <c r="M2675" s="402">
        <f t="shared" si="107"/>
        <v>17660087338</v>
      </c>
      <c r="N2675" s="588" t="str">
        <f>IF(M2675&lt;&gt;M1497,"Error","")</f>
        <v/>
      </c>
    </row>
    <row r="2676" spans="1:14">
      <c r="A2676" s="403">
        <v>41</v>
      </c>
      <c r="D2676" s="171"/>
      <c r="E2676" s="171"/>
      <c r="F2676" s="171"/>
      <c r="G2676" s="171"/>
      <c r="H2676" s="171"/>
      <c r="I2676" s="171"/>
      <c r="J2676" s="171"/>
      <c r="K2676" s="171"/>
      <c r="L2676" s="171"/>
      <c r="M2676" s="171"/>
      <c r="N2676" s="171"/>
    </row>
    <row r="2677" spans="1:14">
      <c r="A2677" s="403">
        <v>42</v>
      </c>
      <c r="B2677" s="174" t="s">
        <v>72</v>
      </c>
      <c r="C2677" s="174"/>
      <c r="D2677" s="398"/>
      <c r="E2677" s="398"/>
      <c r="F2677" s="398"/>
      <c r="G2677" s="398"/>
      <c r="H2677" s="398"/>
      <c r="I2677" s="398"/>
      <c r="J2677" s="398"/>
      <c r="K2677" s="398"/>
      <c r="L2677" s="398"/>
      <c r="M2677" s="398"/>
      <c r="N2677" s="171"/>
    </row>
    <row r="2678" spans="1:14">
      <c r="A2678" s="403">
        <v>43</v>
      </c>
      <c r="B2678" s="160" t="s">
        <v>14</v>
      </c>
      <c r="D2678" s="171">
        <f t="shared" ref="D2678:M2678" si="108">D1536</f>
        <v>2737307060</v>
      </c>
      <c r="E2678" s="171">
        <f t="shared" si="108"/>
        <v>1087088824</v>
      </c>
      <c r="F2678" s="171">
        <f t="shared" si="108"/>
        <v>0</v>
      </c>
      <c r="G2678" s="171">
        <f t="shared" si="108"/>
        <v>213009758</v>
      </c>
      <c r="H2678" s="171">
        <f t="shared" si="108"/>
        <v>0</v>
      </c>
      <c r="I2678" s="171">
        <f t="shared" si="108"/>
        <v>0</v>
      </c>
      <c r="J2678" s="171">
        <f t="shared" si="108"/>
        <v>0</v>
      </c>
      <c r="K2678" s="171">
        <f t="shared" si="108"/>
        <v>0</v>
      </c>
      <c r="L2678" s="171">
        <f t="shared" si="108"/>
        <v>-256984</v>
      </c>
      <c r="M2678" s="171">
        <f t="shared" si="108"/>
        <v>4037148658</v>
      </c>
      <c r="N2678" s="171"/>
    </row>
    <row r="2679" spans="1:14">
      <c r="A2679" s="403">
        <v>44</v>
      </c>
      <c r="B2679" s="160" t="s">
        <v>15</v>
      </c>
      <c r="D2679" s="171">
        <f t="shared" ref="D2679:M2679" si="109">D1573</f>
        <v>357385720</v>
      </c>
      <c r="E2679" s="171">
        <f t="shared" si="109"/>
        <v>343157236</v>
      </c>
      <c r="F2679" s="171">
        <f t="shared" si="109"/>
        <v>0</v>
      </c>
      <c r="G2679" s="171">
        <f t="shared" si="109"/>
        <v>1084686150</v>
      </c>
      <c r="H2679" s="171">
        <f t="shared" si="109"/>
        <v>0</v>
      </c>
      <c r="I2679" s="171">
        <f t="shared" si="109"/>
        <v>0</v>
      </c>
      <c r="J2679" s="171">
        <f t="shared" si="109"/>
        <v>63537</v>
      </c>
      <c r="K2679" s="171">
        <f t="shared" si="109"/>
        <v>0</v>
      </c>
      <c r="L2679" s="171">
        <f t="shared" si="109"/>
        <v>-59574</v>
      </c>
      <c r="M2679" s="171">
        <f t="shared" si="109"/>
        <v>1785233069</v>
      </c>
      <c r="N2679" s="171"/>
    </row>
    <row r="2680" spans="1:14">
      <c r="A2680" s="403">
        <v>45</v>
      </c>
      <c r="B2680" s="160" t="s">
        <v>16</v>
      </c>
      <c r="D2680" s="171">
        <f t="shared" ref="D2680:M2680" si="110">D1610</f>
        <v>38317126</v>
      </c>
      <c r="E2680" s="171">
        <f t="shared" si="110"/>
        <v>97608823</v>
      </c>
      <c r="F2680" s="171">
        <f t="shared" si="110"/>
        <v>25232</v>
      </c>
      <c r="G2680" s="171">
        <f t="shared" si="110"/>
        <v>153415263</v>
      </c>
      <c r="H2680" s="171">
        <f t="shared" si="110"/>
        <v>0</v>
      </c>
      <c r="I2680" s="171">
        <f t="shared" si="110"/>
        <v>0</v>
      </c>
      <c r="J2680" s="171">
        <f t="shared" si="110"/>
        <v>0</v>
      </c>
      <c r="K2680" s="171">
        <f t="shared" si="110"/>
        <v>0</v>
      </c>
      <c r="L2680" s="171">
        <f t="shared" si="110"/>
        <v>0</v>
      </c>
      <c r="M2680" s="171">
        <f t="shared" si="110"/>
        <v>289366444</v>
      </c>
      <c r="N2680" s="171"/>
    </row>
    <row r="2681" spans="1:14">
      <c r="A2681" s="403">
        <v>46</v>
      </c>
      <c r="B2681" s="160" t="s">
        <v>17</v>
      </c>
      <c r="D2681" s="171">
        <f t="shared" ref="D2681:M2681" si="111">D1647</f>
        <v>506473156</v>
      </c>
      <c r="E2681" s="171">
        <f t="shared" si="111"/>
        <v>918930735</v>
      </c>
      <c r="F2681" s="171">
        <f t="shared" si="111"/>
        <v>265221</v>
      </c>
      <c r="G2681" s="171">
        <f t="shared" si="111"/>
        <v>218893947</v>
      </c>
      <c r="H2681" s="171">
        <f t="shared" si="111"/>
        <v>3870</v>
      </c>
      <c r="I2681" s="171">
        <f t="shared" si="111"/>
        <v>0</v>
      </c>
      <c r="J2681" s="171">
        <f t="shared" si="111"/>
        <v>0</v>
      </c>
      <c r="K2681" s="171">
        <f t="shared" si="111"/>
        <v>0</v>
      </c>
      <c r="L2681" s="171">
        <f t="shared" si="111"/>
        <v>-2502731</v>
      </c>
      <c r="M2681" s="171">
        <f t="shared" si="111"/>
        <v>1642064198</v>
      </c>
      <c r="N2681" s="171"/>
    </row>
    <row r="2682" spans="1:14">
      <c r="A2682" s="403">
        <v>47</v>
      </c>
      <c r="B2682" s="160" t="s">
        <v>18</v>
      </c>
      <c r="D2682" s="171">
        <f t="shared" ref="D2682:M2682" si="112">D1684</f>
        <v>158021635</v>
      </c>
      <c r="E2682" s="171">
        <f t="shared" si="112"/>
        <v>540419636</v>
      </c>
      <c r="F2682" s="171">
        <f t="shared" si="112"/>
        <v>28503013</v>
      </c>
      <c r="G2682" s="171">
        <f t="shared" si="112"/>
        <v>81101183</v>
      </c>
      <c r="H2682" s="171">
        <f t="shared" si="112"/>
        <v>4982995</v>
      </c>
      <c r="I2682" s="171">
        <f t="shared" si="112"/>
        <v>0</v>
      </c>
      <c r="J2682" s="171">
        <f t="shared" si="112"/>
        <v>99355</v>
      </c>
      <c r="K2682" s="171">
        <f t="shared" si="112"/>
        <v>0</v>
      </c>
      <c r="L2682" s="171">
        <f t="shared" si="112"/>
        <v>-304752</v>
      </c>
      <c r="M2682" s="171">
        <f t="shared" si="112"/>
        <v>812823065</v>
      </c>
      <c r="N2682" s="171"/>
    </row>
    <row r="2683" spans="1:14">
      <c r="A2683" s="403">
        <v>48</v>
      </c>
      <c r="B2683" s="160" t="s">
        <v>19</v>
      </c>
      <c r="D2683" s="171">
        <f t="shared" ref="D2683:M2683" si="113">D1721</f>
        <v>421421358</v>
      </c>
      <c r="E2683" s="171">
        <f t="shared" si="113"/>
        <v>621275595</v>
      </c>
      <c r="F2683" s="171">
        <f t="shared" si="113"/>
        <v>56722</v>
      </c>
      <c r="G2683" s="171">
        <f t="shared" si="113"/>
        <v>103343599</v>
      </c>
      <c r="H2683" s="171">
        <f t="shared" si="113"/>
        <v>0</v>
      </c>
      <c r="I2683" s="171">
        <f t="shared" si="113"/>
        <v>482253</v>
      </c>
      <c r="J2683" s="171">
        <f t="shared" si="113"/>
        <v>48573</v>
      </c>
      <c r="K2683" s="171">
        <f t="shared" si="113"/>
        <v>0</v>
      </c>
      <c r="L2683" s="171">
        <f t="shared" si="113"/>
        <v>-2308076</v>
      </c>
      <c r="M2683" s="171">
        <f t="shared" si="113"/>
        <v>1144320024</v>
      </c>
      <c r="N2683" s="171"/>
    </row>
    <row r="2684" spans="1:14">
      <c r="A2684" s="403">
        <v>49</v>
      </c>
      <c r="B2684" s="160" t="s">
        <v>20</v>
      </c>
      <c r="D2684" s="171">
        <f t="shared" ref="D2684:M2684" si="114">D1758</f>
        <v>254566181</v>
      </c>
      <c r="E2684" s="171">
        <f t="shared" si="114"/>
        <v>628001024</v>
      </c>
      <c r="F2684" s="171">
        <f t="shared" si="114"/>
        <v>1305159</v>
      </c>
      <c r="G2684" s="171">
        <f t="shared" si="114"/>
        <v>33974165</v>
      </c>
      <c r="H2684" s="171">
        <f t="shared" si="114"/>
        <v>0</v>
      </c>
      <c r="I2684" s="171">
        <f t="shared" si="114"/>
        <v>0</v>
      </c>
      <c r="J2684" s="171">
        <f t="shared" si="114"/>
        <v>160020277</v>
      </c>
      <c r="K2684" s="171">
        <f t="shared" si="114"/>
        <v>1600</v>
      </c>
      <c r="L2684" s="171">
        <f t="shared" si="114"/>
        <v>-6260126</v>
      </c>
      <c r="M2684" s="171">
        <f t="shared" si="114"/>
        <v>1071608280</v>
      </c>
      <c r="N2684" s="171"/>
    </row>
    <row r="2685" spans="1:14">
      <c r="A2685" s="403">
        <v>50</v>
      </c>
      <c r="B2685" s="160" t="s">
        <v>21</v>
      </c>
      <c r="D2685" s="171">
        <f t="shared" ref="D2685:M2685" si="115">D1795</f>
        <v>192408376</v>
      </c>
      <c r="E2685" s="171">
        <f t="shared" si="115"/>
        <v>382374344</v>
      </c>
      <c r="F2685" s="171">
        <f t="shared" si="115"/>
        <v>9607132</v>
      </c>
      <c r="G2685" s="171">
        <f t="shared" si="115"/>
        <v>1109703388</v>
      </c>
      <c r="H2685" s="171">
        <f t="shared" si="115"/>
        <v>1437074</v>
      </c>
      <c r="I2685" s="171">
        <f t="shared" si="115"/>
        <v>0</v>
      </c>
      <c r="J2685" s="171">
        <f t="shared" si="115"/>
        <v>0</v>
      </c>
      <c r="K2685" s="171">
        <f t="shared" si="115"/>
        <v>0</v>
      </c>
      <c r="L2685" s="171">
        <f t="shared" si="115"/>
        <v>0</v>
      </c>
      <c r="M2685" s="171">
        <f t="shared" si="115"/>
        <v>1695530314</v>
      </c>
      <c r="N2685" s="171"/>
    </row>
    <row r="2686" spans="1:14">
      <c r="A2686" s="403">
        <v>51</v>
      </c>
      <c r="B2686" s="160" t="s">
        <v>22</v>
      </c>
      <c r="D2686" s="171">
        <f t="shared" ref="D2686:M2686" si="116">D1832</f>
        <v>0</v>
      </c>
      <c r="E2686" s="171">
        <f t="shared" si="116"/>
        <v>8940326</v>
      </c>
      <c r="F2686" s="171">
        <f t="shared" si="116"/>
        <v>1287897471</v>
      </c>
      <c r="G2686" s="171">
        <f t="shared" si="116"/>
        <v>132378597</v>
      </c>
      <c r="H2686" s="171">
        <f t="shared" si="116"/>
        <v>0</v>
      </c>
      <c r="I2686" s="171">
        <f t="shared" si="116"/>
        <v>0</v>
      </c>
      <c r="J2686" s="171">
        <f t="shared" si="116"/>
        <v>0</v>
      </c>
      <c r="K2686" s="171">
        <f t="shared" si="116"/>
        <v>0</v>
      </c>
      <c r="L2686" s="171">
        <f t="shared" si="116"/>
        <v>0</v>
      </c>
      <c r="M2686" s="171">
        <f t="shared" si="116"/>
        <v>1429216394</v>
      </c>
      <c r="N2686" s="171"/>
    </row>
    <row r="2687" spans="1:14">
      <c r="A2687" s="403">
        <v>52</v>
      </c>
      <c r="B2687" s="161" t="s">
        <v>59</v>
      </c>
      <c r="C2687" s="161"/>
      <c r="D2687" s="171">
        <f t="shared" ref="D2687:M2687" si="117">D1869</f>
        <v>79086360</v>
      </c>
      <c r="E2687" s="171">
        <f t="shared" si="117"/>
        <v>136086402</v>
      </c>
      <c r="F2687" s="171">
        <f t="shared" si="117"/>
        <v>11154106</v>
      </c>
      <c r="G2687" s="171">
        <f t="shared" si="117"/>
        <v>123468358</v>
      </c>
      <c r="H2687" s="171">
        <f t="shared" si="117"/>
        <v>0</v>
      </c>
      <c r="I2687" s="171">
        <f t="shared" si="117"/>
        <v>0</v>
      </c>
      <c r="J2687" s="171">
        <f t="shared" si="117"/>
        <v>0</v>
      </c>
      <c r="K2687" s="171">
        <f t="shared" si="117"/>
        <v>0</v>
      </c>
      <c r="L2687" s="171">
        <f t="shared" si="117"/>
        <v>0</v>
      </c>
      <c r="M2687" s="171">
        <f t="shared" si="117"/>
        <v>349795226</v>
      </c>
      <c r="N2687" s="171"/>
    </row>
    <row r="2688" spans="1:14">
      <c r="A2688" s="403">
        <v>53</v>
      </c>
      <c r="B2688" s="178" t="s">
        <v>44</v>
      </c>
      <c r="C2688" s="177"/>
      <c r="D2688" s="171">
        <f t="shared" ref="D2688:M2688" si="118">D1906</f>
        <v>7756632</v>
      </c>
      <c r="E2688" s="171">
        <f t="shared" si="118"/>
        <v>39508978</v>
      </c>
      <c r="F2688" s="171">
        <f t="shared" si="118"/>
        <v>2958621</v>
      </c>
      <c r="G2688" s="171">
        <f t="shared" si="118"/>
        <v>12018526</v>
      </c>
      <c r="H2688" s="171">
        <f t="shared" si="118"/>
        <v>-119830</v>
      </c>
      <c r="I2688" s="171">
        <f t="shared" si="118"/>
        <v>26143096</v>
      </c>
      <c r="J2688" s="171">
        <f t="shared" si="118"/>
        <v>125733959</v>
      </c>
      <c r="K2688" s="171">
        <f t="shared" si="118"/>
        <v>7901499</v>
      </c>
      <c r="L2688" s="171">
        <f t="shared" si="118"/>
        <v>43378161</v>
      </c>
      <c r="M2688" s="171">
        <f t="shared" si="118"/>
        <v>265279642</v>
      </c>
      <c r="N2688" s="171"/>
    </row>
    <row r="2689" spans="1:14">
      <c r="A2689" s="403">
        <v>54</v>
      </c>
      <c r="B2689" s="162" t="s">
        <v>69</v>
      </c>
      <c r="C2689" s="162"/>
      <c r="D2689" s="402">
        <f>SUM(D2678:D2688)</f>
        <v>4752743604</v>
      </c>
      <c r="E2689" s="402">
        <f t="shared" ref="E2689:M2689" si="119">SUM(E2678:E2688)</f>
        <v>4803391923</v>
      </c>
      <c r="F2689" s="402">
        <f t="shared" si="119"/>
        <v>1341772677</v>
      </c>
      <c r="G2689" s="402">
        <f t="shared" si="119"/>
        <v>3265992934</v>
      </c>
      <c r="H2689" s="402">
        <f t="shared" si="119"/>
        <v>6304109</v>
      </c>
      <c r="I2689" s="402">
        <f t="shared" si="119"/>
        <v>26625349</v>
      </c>
      <c r="J2689" s="402">
        <f t="shared" si="119"/>
        <v>285965701</v>
      </c>
      <c r="K2689" s="402">
        <f t="shared" si="119"/>
        <v>7903099</v>
      </c>
      <c r="L2689" s="402">
        <f t="shared" si="119"/>
        <v>31685918</v>
      </c>
      <c r="M2689" s="402">
        <f t="shared" si="119"/>
        <v>14522385314</v>
      </c>
      <c r="N2689" s="588" t="str">
        <f>IF(M2689&lt;&gt;M1943,"Error","")</f>
        <v/>
      </c>
    </row>
    <row r="2690" spans="1:14">
      <c r="A2690" s="403">
        <v>55</v>
      </c>
      <c r="D2690" s="171"/>
      <c r="E2690" s="171"/>
      <c r="F2690" s="171"/>
      <c r="G2690" s="171"/>
      <c r="H2690" s="171"/>
      <c r="I2690" s="171"/>
      <c r="J2690" s="171"/>
      <c r="K2690" s="171"/>
      <c r="L2690" s="171"/>
      <c r="M2690" s="171"/>
      <c r="N2690" s="171"/>
    </row>
    <row r="2691" spans="1:14">
      <c r="A2691" s="403">
        <v>56</v>
      </c>
      <c r="B2691" s="172" t="s">
        <v>23</v>
      </c>
      <c r="C2691" s="172"/>
      <c r="D2691" s="171"/>
      <c r="E2691" s="171"/>
      <c r="F2691" s="171"/>
      <c r="G2691" s="171"/>
      <c r="H2691" s="171"/>
      <c r="I2691" s="171"/>
      <c r="J2691" s="171"/>
      <c r="K2691" s="171"/>
      <c r="L2691" s="171"/>
      <c r="M2691" s="171"/>
      <c r="N2691" s="171"/>
    </row>
    <row r="2692" spans="1:14">
      <c r="A2692" s="403">
        <v>57</v>
      </c>
      <c r="B2692" s="160" t="s">
        <v>60</v>
      </c>
      <c r="D2692" s="171">
        <f t="shared" ref="D2692:M2692" si="120">D1982</f>
        <v>0</v>
      </c>
      <c r="E2692" s="171">
        <f t="shared" si="120"/>
        <v>0</v>
      </c>
      <c r="F2692" s="171">
        <f t="shared" si="120"/>
        <v>0</v>
      </c>
      <c r="G2692" s="171">
        <f t="shared" si="120"/>
        <v>0</v>
      </c>
      <c r="H2692" s="171">
        <f t="shared" si="120"/>
        <v>0</v>
      </c>
      <c r="I2692" s="171">
        <f t="shared" si="120"/>
        <v>0</v>
      </c>
      <c r="J2692" s="171">
        <f t="shared" si="120"/>
        <v>-762259510</v>
      </c>
      <c r="K2692" s="171">
        <f t="shared" si="120"/>
        <v>0</v>
      </c>
      <c r="L2692" s="171">
        <f t="shared" si="120"/>
        <v>10777850</v>
      </c>
      <c r="M2692" s="171">
        <f t="shared" si="120"/>
        <v>-751481660</v>
      </c>
      <c r="N2692" s="171"/>
    </row>
    <row r="2693" spans="1:14">
      <c r="A2693" s="403">
        <v>58</v>
      </c>
      <c r="B2693" s="160" t="s">
        <v>54</v>
      </c>
      <c r="D2693" s="171">
        <f t="shared" ref="D2693:M2693" si="121">D2019</f>
        <v>-86746200</v>
      </c>
      <c r="E2693" s="171">
        <f t="shared" si="121"/>
        <v>40990084</v>
      </c>
      <c r="F2693" s="171">
        <f t="shared" si="121"/>
        <v>130885433</v>
      </c>
      <c r="G2693" s="171">
        <f t="shared" si="121"/>
        <v>-1090184441</v>
      </c>
      <c r="H2693" s="171">
        <f t="shared" si="121"/>
        <v>1745132</v>
      </c>
      <c r="I2693" s="171">
        <f t="shared" si="121"/>
        <v>138265658</v>
      </c>
      <c r="J2693" s="171">
        <f t="shared" si="121"/>
        <v>608867195</v>
      </c>
      <c r="K2693" s="171">
        <f t="shared" si="121"/>
        <v>227354052</v>
      </c>
      <c r="L2693" s="171">
        <f t="shared" si="121"/>
        <v>214611741</v>
      </c>
      <c r="M2693" s="171">
        <f t="shared" si="121"/>
        <v>185788654</v>
      </c>
      <c r="N2693" s="171"/>
    </row>
    <row r="2694" spans="1:14">
      <c r="A2694" s="403">
        <v>59</v>
      </c>
      <c r="B2694" s="160" t="s">
        <v>45</v>
      </c>
      <c r="D2694" s="171">
        <f t="shared" ref="D2694:M2694" si="122">D2056</f>
        <v>0</v>
      </c>
      <c r="E2694" s="171">
        <f t="shared" si="122"/>
        <v>0</v>
      </c>
      <c r="F2694" s="171">
        <f t="shared" si="122"/>
        <v>0</v>
      </c>
      <c r="G2694" s="171">
        <f t="shared" si="122"/>
        <v>0</v>
      </c>
      <c r="H2694" s="171">
        <f t="shared" si="122"/>
        <v>0</v>
      </c>
      <c r="I2694" s="171">
        <f t="shared" si="122"/>
        <v>0</v>
      </c>
      <c r="J2694" s="171">
        <f t="shared" si="122"/>
        <v>560305854</v>
      </c>
      <c r="K2694" s="171">
        <f t="shared" si="122"/>
        <v>0</v>
      </c>
      <c r="L2694" s="171">
        <f t="shared" si="122"/>
        <v>0</v>
      </c>
      <c r="M2694" s="171">
        <f t="shared" si="122"/>
        <v>560305854</v>
      </c>
      <c r="N2694" s="171"/>
    </row>
    <row r="2695" spans="1:14">
      <c r="A2695" s="403">
        <v>60</v>
      </c>
      <c r="B2695" s="160" t="s">
        <v>46</v>
      </c>
      <c r="D2695" s="171">
        <f t="shared" ref="D2695:M2695" si="123">D2093</f>
        <v>-279966312</v>
      </c>
      <c r="E2695" s="171">
        <f t="shared" si="123"/>
        <v>-104535564</v>
      </c>
      <c r="F2695" s="171">
        <f t="shared" si="123"/>
        <v>-238040729</v>
      </c>
      <c r="G2695" s="171">
        <f t="shared" si="123"/>
        <v>-18786732</v>
      </c>
      <c r="H2695" s="171">
        <f t="shared" si="123"/>
        <v>0</v>
      </c>
      <c r="I2695" s="171">
        <f t="shared" si="123"/>
        <v>0</v>
      </c>
      <c r="J2695" s="171">
        <f t="shared" si="123"/>
        <v>-19929769</v>
      </c>
      <c r="K2695" s="171">
        <f t="shared" si="123"/>
        <v>-218361828</v>
      </c>
      <c r="L2695" s="171">
        <f t="shared" si="123"/>
        <v>-523969</v>
      </c>
      <c r="M2695" s="171">
        <f t="shared" si="123"/>
        <v>-880144903</v>
      </c>
      <c r="N2695" s="171"/>
    </row>
    <row r="2696" spans="1:14">
      <c r="A2696" s="403">
        <v>61</v>
      </c>
      <c r="B2696" s="162" t="s">
        <v>3</v>
      </c>
      <c r="C2696" s="162"/>
      <c r="D2696" s="402">
        <f>SUM(D2692:D2695)</f>
        <v>-366712512</v>
      </c>
      <c r="E2696" s="402">
        <f t="shared" ref="E2696:M2696" si="124">SUM(E2692:E2695)</f>
        <v>-63545480</v>
      </c>
      <c r="F2696" s="402">
        <f t="shared" si="124"/>
        <v>-107155296</v>
      </c>
      <c r="G2696" s="402">
        <f t="shared" si="124"/>
        <v>-1108971173</v>
      </c>
      <c r="H2696" s="402">
        <f t="shared" si="124"/>
        <v>1745132</v>
      </c>
      <c r="I2696" s="402">
        <f t="shared" si="124"/>
        <v>138265658</v>
      </c>
      <c r="J2696" s="402">
        <f t="shared" si="124"/>
        <v>386983770</v>
      </c>
      <c r="K2696" s="402">
        <f t="shared" si="124"/>
        <v>8992224</v>
      </c>
      <c r="L2696" s="402">
        <f t="shared" si="124"/>
        <v>224865622</v>
      </c>
      <c r="M2696" s="402">
        <f t="shared" si="124"/>
        <v>-885532055</v>
      </c>
      <c r="N2696" s="588" t="str">
        <f>IF(M2696&lt;&gt;M2130,"Error","")</f>
        <v/>
      </c>
    </row>
    <row r="2697" spans="1:14">
      <c r="A2697" s="403">
        <v>62</v>
      </c>
      <c r="D2697" s="171"/>
      <c r="E2697" s="171"/>
      <c r="F2697" s="171"/>
      <c r="G2697" s="171"/>
      <c r="H2697" s="171"/>
      <c r="I2697" s="171"/>
      <c r="J2697" s="171"/>
      <c r="K2697" s="171"/>
      <c r="L2697" s="171"/>
      <c r="M2697" s="171"/>
      <c r="N2697" s="171"/>
    </row>
    <row r="2698" spans="1:14">
      <c r="A2698" s="403">
        <v>63</v>
      </c>
      <c r="B2698" s="172" t="s">
        <v>24</v>
      </c>
      <c r="C2698" s="172"/>
      <c r="D2698" s="171"/>
      <c r="E2698" s="171"/>
      <c r="F2698" s="171"/>
      <c r="G2698" s="171"/>
      <c r="H2698" s="171"/>
      <c r="I2698" s="171"/>
      <c r="J2698" s="171"/>
      <c r="K2698" s="171"/>
      <c r="L2698" s="171"/>
      <c r="M2698" s="171"/>
      <c r="N2698" s="171"/>
    </row>
    <row r="2699" spans="1:14">
      <c r="A2699" s="403">
        <v>64</v>
      </c>
      <c r="B2699" s="160" t="s">
        <v>47</v>
      </c>
      <c r="D2699" s="171">
        <f t="shared" ref="D2699:M2699" si="125">D2169</f>
        <v>102895666</v>
      </c>
      <c r="E2699" s="171">
        <f t="shared" si="125"/>
        <v>608989994</v>
      </c>
      <c r="F2699" s="171">
        <f t="shared" si="125"/>
        <v>27548936</v>
      </c>
      <c r="G2699" s="171">
        <f t="shared" si="125"/>
        <v>33027939</v>
      </c>
      <c r="H2699" s="171">
        <f t="shared" si="125"/>
        <v>1967193</v>
      </c>
      <c r="I2699" s="171">
        <f t="shared" si="125"/>
        <v>1994146011</v>
      </c>
      <c r="J2699" s="171">
        <f t="shared" si="125"/>
        <v>25039914</v>
      </c>
      <c r="K2699" s="171">
        <f t="shared" si="125"/>
        <v>3199871</v>
      </c>
      <c r="L2699" s="171">
        <f t="shared" si="125"/>
        <v>7541838</v>
      </c>
      <c r="M2699" s="171">
        <f t="shared" si="125"/>
        <v>2804357362</v>
      </c>
      <c r="N2699" s="171"/>
    </row>
    <row r="2700" spans="1:14">
      <c r="A2700" s="403">
        <v>65</v>
      </c>
      <c r="B2700" s="160" t="s">
        <v>48</v>
      </c>
      <c r="D2700" s="171">
        <f t="shared" ref="D2700:M2700" si="126">D2206</f>
        <v>0</v>
      </c>
      <c r="E2700" s="171">
        <f t="shared" si="126"/>
        <v>0</v>
      </c>
      <c r="F2700" s="171">
        <f t="shared" si="126"/>
        <v>0</v>
      </c>
      <c r="G2700" s="171">
        <f t="shared" si="126"/>
        <v>-644491</v>
      </c>
      <c r="H2700" s="171">
        <f t="shared" si="126"/>
        <v>0</v>
      </c>
      <c r="I2700" s="171">
        <f t="shared" si="126"/>
        <v>225635341</v>
      </c>
      <c r="J2700" s="171">
        <f t="shared" si="126"/>
        <v>0</v>
      </c>
      <c r="K2700" s="171">
        <f t="shared" si="126"/>
        <v>0</v>
      </c>
      <c r="L2700" s="171">
        <f t="shared" si="126"/>
        <v>0</v>
      </c>
      <c r="M2700" s="171">
        <f t="shared" si="126"/>
        <v>224990850</v>
      </c>
      <c r="N2700" s="171"/>
    </row>
    <row r="2701" spans="1:14">
      <c r="A2701" s="403">
        <v>66</v>
      </c>
      <c r="B2701" s="162" t="s">
        <v>3</v>
      </c>
      <c r="C2701" s="162"/>
      <c r="D2701" s="402">
        <f>SUM(D2699:D2700)</f>
        <v>102895666</v>
      </c>
      <c r="E2701" s="402">
        <f t="shared" ref="E2701:M2701" si="127">SUM(E2699:E2700)</f>
        <v>608989994</v>
      </c>
      <c r="F2701" s="402">
        <f t="shared" si="127"/>
        <v>27548936</v>
      </c>
      <c r="G2701" s="402">
        <f t="shared" si="127"/>
        <v>32383448</v>
      </c>
      <c r="H2701" s="402">
        <f t="shared" si="127"/>
        <v>1967193</v>
      </c>
      <c r="I2701" s="402">
        <f t="shared" si="127"/>
        <v>2219781352</v>
      </c>
      <c r="J2701" s="402">
        <f t="shared" si="127"/>
        <v>25039914</v>
      </c>
      <c r="K2701" s="402">
        <f t="shared" si="127"/>
        <v>3199871</v>
      </c>
      <c r="L2701" s="402">
        <f t="shared" si="127"/>
        <v>7541838</v>
      </c>
      <c r="M2701" s="402">
        <f t="shared" si="127"/>
        <v>3029348212</v>
      </c>
      <c r="N2701" s="588" t="str">
        <f>IF(M2701&lt;&gt;M2243,"Error","")</f>
        <v/>
      </c>
    </row>
    <row r="2702" spans="1:14">
      <c r="A2702" s="403">
        <v>67</v>
      </c>
      <c r="D2702" s="171"/>
      <c r="E2702" s="171"/>
      <c r="F2702" s="171"/>
      <c r="G2702" s="171"/>
      <c r="H2702" s="171"/>
      <c r="I2702" s="171"/>
      <c r="J2702" s="171"/>
      <c r="K2702" s="171"/>
      <c r="L2702" s="171"/>
      <c r="M2702" s="171"/>
      <c r="N2702" s="171"/>
    </row>
    <row r="2703" spans="1:14">
      <c r="A2703" s="403">
        <v>68</v>
      </c>
      <c r="B2703" s="162" t="s">
        <v>57</v>
      </c>
      <c r="C2703" s="162"/>
      <c r="D2703" s="402">
        <f>D2675-D2689+D2696+D2701</f>
        <v>124532025</v>
      </c>
      <c r="E2703" s="402">
        <f t="shared" ref="E2703:M2703" si="128">E2675-E2689+E2696+E2701</f>
        <v>1567223161</v>
      </c>
      <c r="F2703" s="402">
        <f t="shared" si="128"/>
        <v>96062247</v>
      </c>
      <c r="G2703" s="402">
        <f t="shared" si="128"/>
        <v>621203668</v>
      </c>
      <c r="H2703" s="402">
        <f t="shared" si="128"/>
        <v>7788402</v>
      </c>
      <c r="I2703" s="402">
        <f t="shared" si="128"/>
        <v>2449525913</v>
      </c>
      <c r="J2703" s="402">
        <f t="shared" si="128"/>
        <v>200013311</v>
      </c>
      <c r="K2703" s="402">
        <f t="shared" si="128"/>
        <v>5355934</v>
      </c>
      <c r="L2703" s="402">
        <f t="shared" si="128"/>
        <v>209813520</v>
      </c>
      <c r="M2703" s="402">
        <f t="shared" si="128"/>
        <v>5281518181</v>
      </c>
      <c r="N2703" s="588" t="str">
        <f>IF(M2703&lt;&gt;M2281,"Error","")</f>
        <v/>
      </c>
    </row>
    <row r="2704" spans="1:14">
      <c r="A2704" s="403">
        <v>69</v>
      </c>
      <c r="B2704" s="163"/>
      <c r="C2704" s="163"/>
      <c r="D2704" s="171"/>
      <c r="E2704" s="171"/>
      <c r="F2704" s="171"/>
      <c r="G2704" s="171"/>
      <c r="H2704" s="171"/>
      <c r="I2704" s="171"/>
      <c r="J2704" s="171"/>
      <c r="K2704" s="171"/>
      <c r="L2704" s="171"/>
      <c r="M2704" s="171"/>
      <c r="N2704" s="171"/>
    </row>
    <row r="2705" spans="1:14">
      <c r="A2705" s="403">
        <v>70</v>
      </c>
      <c r="B2705" s="161" t="s">
        <v>65</v>
      </c>
      <c r="C2705" s="161"/>
      <c r="D2705" s="390">
        <f t="shared" ref="D2705:M2705" si="129">D2319</f>
        <v>8700000</v>
      </c>
      <c r="E2705" s="390">
        <f t="shared" si="129"/>
        <v>1187519</v>
      </c>
      <c r="F2705" s="390">
        <f t="shared" si="129"/>
        <v>1274250</v>
      </c>
      <c r="G2705" s="390">
        <f t="shared" si="129"/>
        <v>0</v>
      </c>
      <c r="H2705" s="390">
        <f t="shared" si="129"/>
        <v>0</v>
      </c>
      <c r="I2705" s="390">
        <f t="shared" si="129"/>
        <v>0</v>
      </c>
      <c r="J2705" s="390">
        <f t="shared" si="129"/>
        <v>-65384916</v>
      </c>
      <c r="K2705" s="390">
        <f t="shared" si="129"/>
        <v>4524385</v>
      </c>
      <c r="L2705" s="390">
        <f t="shared" si="129"/>
        <v>33394968</v>
      </c>
      <c r="M2705" s="390">
        <f t="shared" si="129"/>
        <v>-16303794</v>
      </c>
      <c r="N2705" s="171"/>
    </row>
    <row r="2706" spans="1:14">
      <c r="A2706" s="403">
        <v>72</v>
      </c>
      <c r="B2706" s="160" t="s">
        <v>66</v>
      </c>
      <c r="D2706" s="390">
        <f t="shared" ref="D2706:M2706" si="130">D2356</f>
        <v>0</v>
      </c>
      <c r="E2706" s="390">
        <f t="shared" si="130"/>
        <v>0</v>
      </c>
      <c r="F2706" s="390">
        <f t="shared" si="130"/>
        <v>0</v>
      </c>
      <c r="G2706" s="390">
        <f t="shared" si="130"/>
        <v>0</v>
      </c>
      <c r="H2706" s="390">
        <f t="shared" si="130"/>
        <v>0</v>
      </c>
      <c r="I2706" s="390">
        <f t="shared" si="130"/>
        <v>0</v>
      </c>
      <c r="J2706" s="390">
        <f t="shared" si="130"/>
        <v>-39216453</v>
      </c>
      <c r="K2706" s="390">
        <f t="shared" si="130"/>
        <v>0</v>
      </c>
      <c r="L2706" s="390">
        <f t="shared" si="130"/>
        <v>-1520181483</v>
      </c>
      <c r="M2706" s="390">
        <f t="shared" si="130"/>
        <v>-1559397936</v>
      </c>
      <c r="N2706" s="171"/>
    </row>
    <row r="2707" spans="1:14">
      <c r="A2707" s="403"/>
      <c r="B2707" s="171" t="s">
        <v>216</v>
      </c>
      <c r="C2707" s="171"/>
      <c r="D2707" s="390">
        <f t="shared" ref="D2707:M2707" si="131">D2393</f>
        <v>0</v>
      </c>
      <c r="E2707" s="390">
        <f t="shared" si="131"/>
        <v>0</v>
      </c>
      <c r="F2707" s="390">
        <f t="shared" si="131"/>
        <v>0</v>
      </c>
      <c r="G2707" s="390">
        <f t="shared" si="131"/>
        <v>0</v>
      </c>
      <c r="H2707" s="390">
        <f t="shared" si="131"/>
        <v>0</v>
      </c>
      <c r="I2707" s="390">
        <f t="shared" si="131"/>
        <v>0</v>
      </c>
      <c r="J2707" s="390">
        <f t="shared" si="131"/>
        <v>0</v>
      </c>
      <c r="K2707" s="390">
        <f t="shared" si="131"/>
        <v>0</v>
      </c>
      <c r="L2707" s="390">
        <f t="shared" si="131"/>
        <v>401959420</v>
      </c>
      <c r="M2707" s="390">
        <f t="shared" si="131"/>
        <v>401959420</v>
      </c>
      <c r="N2707" s="171"/>
    </row>
    <row r="2708" spans="1:14">
      <c r="A2708" s="403"/>
      <c r="B2708" s="171" t="s">
        <v>105</v>
      </c>
      <c r="C2708" s="171"/>
      <c r="D2708" s="390">
        <f t="shared" ref="D2708:M2708" si="132">D2430</f>
        <v>0</v>
      </c>
      <c r="E2708" s="390">
        <f t="shared" si="132"/>
        <v>0</v>
      </c>
      <c r="F2708" s="390">
        <f t="shared" si="132"/>
        <v>0</v>
      </c>
      <c r="G2708" s="390">
        <f t="shared" si="132"/>
        <v>0</v>
      </c>
      <c r="H2708" s="390">
        <f t="shared" si="132"/>
        <v>0</v>
      </c>
      <c r="I2708" s="390">
        <f t="shared" si="132"/>
        <v>0</v>
      </c>
      <c r="J2708" s="390">
        <f t="shared" si="132"/>
        <v>0</v>
      </c>
      <c r="K2708" s="390">
        <f t="shared" si="132"/>
        <v>0</v>
      </c>
      <c r="L2708" s="390">
        <f t="shared" si="132"/>
        <v>0</v>
      </c>
      <c r="M2708" s="390">
        <f t="shared" si="132"/>
        <v>0</v>
      </c>
      <c r="N2708" s="171"/>
    </row>
    <row r="2709" spans="1:14">
      <c r="A2709" s="403"/>
      <c r="B2709" s="171" t="s">
        <v>128</v>
      </c>
      <c r="C2709" s="171"/>
      <c r="D2709" s="390">
        <f t="shared" ref="D2709:M2709" si="133">D2467</f>
        <v>0</v>
      </c>
      <c r="E2709" s="390">
        <f t="shared" si="133"/>
        <v>-4092300</v>
      </c>
      <c r="F2709" s="390">
        <f t="shared" si="133"/>
        <v>35330</v>
      </c>
      <c r="G2709" s="390">
        <f t="shared" si="133"/>
        <v>4499389</v>
      </c>
      <c r="H2709" s="390">
        <f t="shared" si="133"/>
        <v>0</v>
      </c>
      <c r="I2709" s="390">
        <f t="shared" si="133"/>
        <v>0</v>
      </c>
      <c r="J2709" s="390">
        <f t="shared" si="133"/>
        <v>0</v>
      </c>
      <c r="K2709" s="390">
        <f t="shared" si="133"/>
        <v>0</v>
      </c>
      <c r="L2709" s="390">
        <f t="shared" si="133"/>
        <v>40056227</v>
      </c>
      <c r="M2709" s="390">
        <f t="shared" si="133"/>
        <v>40498646</v>
      </c>
      <c r="N2709" s="171"/>
    </row>
    <row r="2710" spans="1:14">
      <c r="A2710" s="403">
        <v>73</v>
      </c>
      <c r="B2710" s="160" t="s">
        <v>67</v>
      </c>
      <c r="D2710" s="390">
        <f t="shared" ref="D2710:M2710" si="134">D2504</f>
        <v>35451129</v>
      </c>
      <c r="E2710" s="390">
        <f t="shared" si="134"/>
        <v>69421441</v>
      </c>
      <c r="F2710" s="390">
        <f t="shared" si="134"/>
        <v>8917512</v>
      </c>
      <c r="G2710" s="390">
        <f t="shared" si="134"/>
        <v>32869004</v>
      </c>
      <c r="H2710" s="390">
        <f t="shared" si="134"/>
        <v>0</v>
      </c>
      <c r="I2710" s="390">
        <f t="shared" si="134"/>
        <v>0</v>
      </c>
      <c r="J2710" s="390">
        <f t="shared" si="134"/>
        <v>179462291</v>
      </c>
      <c r="K2710" s="390">
        <f t="shared" si="134"/>
        <v>0</v>
      </c>
      <c r="L2710" s="390">
        <f t="shared" si="134"/>
        <v>773868238</v>
      </c>
      <c r="M2710" s="390">
        <f t="shared" si="134"/>
        <v>1099989615</v>
      </c>
      <c r="N2710" s="171"/>
    </row>
    <row r="2711" spans="1:14" ht="13.5" thickBot="1">
      <c r="A2711" s="403">
        <v>74</v>
      </c>
      <c r="B2711" s="179" t="s">
        <v>58</v>
      </c>
      <c r="C2711" s="179"/>
      <c r="D2711" s="399">
        <f t="shared" ref="D2711" si="135">SUM(D2703:D2710)</f>
        <v>168683154</v>
      </c>
      <c r="E2711" s="399">
        <f t="shared" ref="E2711:M2711" si="136">SUM(E2703:E2710)</f>
        <v>1633739821</v>
      </c>
      <c r="F2711" s="399">
        <f t="shared" si="136"/>
        <v>106289339</v>
      </c>
      <c r="G2711" s="399">
        <f t="shared" si="136"/>
        <v>658572061</v>
      </c>
      <c r="H2711" s="399">
        <f t="shared" si="136"/>
        <v>7788402</v>
      </c>
      <c r="I2711" s="399">
        <f t="shared" si="136"/>
        <v>2449525913</v>
      </c>
      <c r="J2711" s="399">
        <f t="shared" si="136"/>
        <v>274874233</v>
      </c>
      <c r="K2711" s="399">
        <f t="shared" si="136"/>
        <v>9880319</v>
      </c>
      <c r="L2711" s="399">
        <f t="shared" si="136"/>
        <v>-61089110</v>
      </c>
      <c r="M2711" s="399">
        <f t="shared" si="136"/>
        <v>5248264132</v>
      </c>
      <c r="N2711" s="588" t="str">
        <f>IF(M2711&lt;&gt;M2541,"Error","")</f>
        <v/>
      </c>
    </row>
    <row r="2712" spans="1:14" ht="13.5" thickTop="1">
      <c r="A2712" s="404"/>
      <c r="B2712" s="171"/>
      <c r="C2712" s="171"/>
      <c r="D2712" s="171"/>
      <c r="E2712" s="171"/>
      <c r="F2712" s="171"/>
      <c r="G2712" s="171"/>
      <c r="H2712" s="171"/>
      <c r="I2712" s="171"/>
      <c r="J2712" s="171"/>
      <c r="K2712" s="401"/>
      <c r="L2712" s="171"/>
      <c r="M2712" s="171"/>
    </row>
    <row r="2713" spans="1:14">
      <c r="A2713" s="404"/>
      <c r="B2713" s="171"/>
      <c r="C2713" s="171"/>
      <c r="D2713" s="171"/>
      <c r="E2713" s="171"/>
      <c r="F2713" s="171"/>
      <c r="G2713" s="171"/>
      <c r="H2713" s="171"/>
      <c r="I2713" s="171"/>
      <c r="J2713" s="171"/>
      <c r="K2713" s="401"/>
      <c r="L2713" s="171"/>
      <c r="M2713" s="171"/>
    </row>
    <row r="2714" spans="1:14">
      <c r="A2714" s="396"/>
      <c r="B2714" s="171"/>
      <c r="C2714" s="171"/>
      <c r="D2714" s="171"/>
      <c r="E2714" s="171"/>
      <c r="F2714" s="171"/>
      <c r="G2714" s="171"/>
      <c r="H2714" s="171"/>
      <c r="I2714" s="171"/>
      <c r="J2714" s="171"/>
      <c r="K2714" s="401"/>
      <c r="L2714" s="171"/>
      <c r="M2714" s="171"/>
    </row>
    <row r="2715" spans="1:14">
      <c r="H2715" s="171"/>
      <c r="I2715" s="171"/>
      <c r="J2715" s="171"/>
      <c r="K2715" s="171"/>
      <c r="L2715" s="171"/>
      <c r="M2715" s="171"/>
    </row>
  </sheetData>
  <dataConsolidate link="1">
    <dataRefs count="37">
      <dataRef ref="D10:M101" sheet="ARL FGD"/>
      <dataRef ref="D10:M101" sheet="ASU FGD"/>
      <dataRef ref="D10:M101" sheet="AUS FGD"/>
      <dataRef ref="D10:M101" sheet="AUS1 FGD"/>
      <dataRef ref="D10:M101" sheet="DAL FGD"/>
      <dataRef ref="D10:M101" sheet="E-P FGD"/>
      <dataRef ref="D10:M101" sheet="LU FGD"/>
      <dataRef ref="D10:M101" sheet="MidWST FGD"/>
      <dataRef ref="D10:M101" sheet="P-B FGD"/>
      <dataRef ref="D10:M101" sheet="PVAMU FGD"/>
      <dataRef ref="D10:M101" sheet="RGV1 FGD"/>
      <dataRef ref="D10:M101" sheet="S-A FGD"/>
      <dataRef ref="D10:M101" sheet="SFA FGD"/>
      <dataRef ref="D10:M101" sheet="shsu1 FGD"/>
      <dataRef ref="D10:M101" sheet="SRSU FGD"/>
      <dataRef ref="D10:M101" sheet="TAMIU FGD"/>
      <dataRef ref="D10:M101" sheet="TAMU FGD"/>
      <dataRef ref="D10:M101" sheet="TAMUC FGD"/>
      <dataRef ref="D10:M101" sheet="TAMUCC FGD"/>
      <dataRef ref="D10:M101" sheet="TAMUCT FGD"/>
      <dataRef ref="D10:M101" sheet="TAMUG FGD"/>
      <dataRef ref="D10:M101" sheet="TAMUK FGD"/>
      <dataRef ref="D10:M101" sheet="TAMUSA FGD"/>
      <dataRef ref="D10:M101" sheet="TAMUT FGD"/>
      <dataRef ref="D10:M101" sheet="TARLST FGD"/>
      <dataRef ref="D10:M101" sheet="TSU FGD"/>
      <dataRef ref="D10:M101" sheet="TTU FGD"/>
      <dataRef ref="D10:M101" sheet="TWU FGD"/>
      <dataRef ref="D10:M101" sheet="TXST FGD"/>
      <dataRef ref="D10:M101" sheet="TYL FGD"/>
      <dataRef ref="D10:M101" sheet="UH1 FGD"/>
      <dataRef ref="D10:M101" sheet="UHCL FGD"/>
      <dataRef ref="D10:M101" sheet="UHD FGD"/>
      <dataRef ref="D10:M101" sheet="UHV FGD"/>
      <dataRef ref="D10:M101" sheet="UNT FGD"/>
      <dataRef ref="D10:M101" sheet="UNTD FGD"/>
      <dataRef ref="D10:M101" sheet="WTAMU FGD"/>
    </dataRefs>
  </dataConsolidate>
  <mergeCells count="5">
    <mergeCell ref="B2:E2"/>
    <mergeCell ref="B3:E3"/>
    <mergeCell ref="B4:E4"/>
    <mergeCell ref="G1499:K1499"/>
    <mergeCell ref="B6:M6"/>
  </mergeCells>
  <conditionalFormatting sqref="L2622:L2625">
    <cfRule type="cellIs" dxfId="1400" priority="29" operator="notEqual">
      <formula>0</formula>
    </cfRule>
  </conditionalFormatting>
  <conditionalFormatting sqref="D2541:M2546">
    <cfRule type="cellIs" dxfId="1399" priority="3" stopIfTrue="1" operator="notEqual">
      <formula>#REF!</formula>
    </cfRule>
  </conditionalFormatting>
  <conditionalFormatting sqref="M2621">
    <cfRule type="expression" dxfId="1398" priority="1">
      <formula>$M$2621&lt;&gt;0</formula>
    </cfRule>
  </conditionalFormatting>
  <conditionalFormatting sqref="G1499:K1535">
    <cfRule type="expression" dxfId="1397" priority="355">
      <formula>$T$2547&gt;0</formula>
    </cfRule>
  </conditionalFormatting>
  <hyperlinks>
    <hyperlink ref="N2" location="Index!A1" display="Return to Index" xr:uid="{00000000-0004-0000-1700-000000000000}"/>
  </hyperlinks>
  <printOptions horizontalCentered="1"/>
  <pageMargins left="0.5" right="0.5" top="0.25" bottom="0.25" header="0" footer="0.25"/>
  <pageSetup scale="1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9"/>
  <dimension ref="B1:F9"/>
  <sheetViews>
    <sheetView showGridLines="0" zoomScale="80" zoomScaleNormal="80" workbookViewId="0">
      <selection activeCell="E74" sqref="E74:F74"/>
    </sheetView>
  </sheetViews>
  <sheetFormatPr defaultColWidth="9.140625" defaultRowHeight="12.75"/>
  <cols>
    <col min="1" max="1" width="7" style="53" customWidth="1"/>
    <col min="2" max="2" width="93" style="53" customWidth="1"/>
    <col min="3" max="3" width="22.140625" style="53" customWidth="1"/>
    <col min="4" max="9" width="9.140625" style="53"/>
    <col min="10" max="10" width="14.140625" style="53" customWidth="1"/>
    <col min="11" max="11" width="9.7109375" style="53" customWidth="1"/>
    <col min="12" max="16384" width="9.140625" style="53"/>
  </cols>
  <sheetData>
    <row r="1" spans="2:6" ht="18.75" thickBot="1">
      <c r="B1" s="393" t="str">
        <f>'Smmy Chrts'!$A$1</f>
        <v>Summary of All General Academic Institutions</v>
      </c>
      <c r="C1" s="835" t="s">
        <v>1200</v>
      </c>
    </row>
    <row r="2" spans="2:6">
      <c r="B2" s="393" t="str">
        <f>'Smmy Chrts'!$A$2</f>
        <v>For the Year Ended August 31, 2021</v>
      </c>
    </row>
    <row r="3" spans="2:6">
      <c r="B3" s="393" t="str">
        <f>'Smmy Chrts'!$A$3</f>
        <v>Source: FY 2021 Annual Financial Report</v>
      </c>
    </row>
    <row r="5" spans="2:6" customFormat="1">
      <c r="B5" s="529" t="s">
        <v>705</v>
      </c>
    </row>
    <row r="6" spans="2:6" customFormat="1">
      <c r="B6" s="530"/>
    </row>
    <row r="7" spans="2:6" customFormat="1" ht="226.5" customHeight="1">
      <c r="B7" s="531" t="s">
        <v>706</v>
      </c>
      <c r="C7" s="532"/>
    </row>
    <row r="8" spans="2:6" customFormat="1" ht="263.25" customHeight="1">
      <c r="B8" s="531" t="s">
        <v>707</v>
      </c>
    </row>
    <row r="9" spans="2:6" ht="69.75" customHeight="1">
      <c r="B9" s="534" t="s">
        <v>1367</v>
      </c>
      <c r="F9" s="105"/>
    </row>
  </sheetData>
  <hyperlinks>
    <hyperlink ref="C1" location="Index!A1" display="Return to Index" xr:uid="{00000000-0004-0000-1800-000000000000}"/>
  </hyperlinks>
  <pageMargins left="0.25" right="0.25" top="0.25" bottom="0.25" header="0" footer="0.25"/>
  <pageSetup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
    <tabColor indexed="47"/>
    <pageSetUpPr fitToPage="1"/>
  </sheetPr>
  <dimension ref="A1:E165"/>
  <sheetViews>
    <sheetView showGridLines="0" zoomScale="65" zoomScaleNormal="65" zoomScaleSheetLayoutView="65" workbookViewId="0">
      <selection activeCell="B43" sqref="B43"/>
    </sheetView>
  </sheetViews>
  <sheetFormatPr defaultRowHeight="12.75" customHeight="1"/>
  <cols>
    <col min="1" max="1" width="158.7109375" customWidth="1"/>
    <col min="2" max="2" width="21.7109375" customWidth="1"/>
    <col min="3" max="3" width="54.7109375" customWidth="1"/>
    <col min="4" max="4" width="20.7109375" customWidth="1"/>
    <col min="5" max="5" width="9.140625" style="679"/>
  </cols>
  <sheetData>
    <row r="1" spans="1:5" ht="28.5" thickBot="1">
      <c r="A1" s="157" t="s">
        <v>219</v>
      </c>
      <c r="B1" s="835" t="s">
        <v>1200</v>
      </c>
      <c r="C1" s="53" t="s">
        <v>1329</v>
      </c>
    </row>
    <row r="2" spans="1:5" ht="27.75">
      <c r="A2" s="34" t="str">
        <f>'Smmy Chrts'!$A$2</f>
        <v>For the Year Ended August 31, 2021</v>
      </c>
      <c r="C2" s="36" t="s">
        <v>63</v>
      </c>
    </row>
    <row r="3" spans="1:5" ht="27.75">
      <c r="A3" s="34" t="str">
        <f>'Smmy Chrts'!$A$3</f>
        <v>Source: FY 2021 Annual Financial Report</v>
      </c>
      <c r="C3" t="s">
        <v>64</v>
      </c>
    </row>
    <row r="4" spans="1:5" ht="12.75" customHeight="1">
      <c r="C4" t="s">
        <v>267</v>
      </c>
    </row>
    <row r="5" spans="1:5" ht="12.75" customHeight="1">
      <c r="C5" t="s">
        <v>268</v>
      </c>
    </row>
    <row r="7" spans="1:5" ht="12.75" customHeight="1">
      <c r="C7" s="1716" t="s">
        <v>25</v>
      </c>
      <c r="D7" s="1716"/>
    </row>
    <row r="8" spans="1:5" ht="12.75" customHeight="1">
      <c r="C8" s="14"/>
      <c r="D8" s="15"/>
    </row>
    <row r="9" spans="1:5" ht="12.75" customHeight="1">
      <c r="C9" s="16" t="str">
        <f>'ARL Sum'!A9</f>
        <v>State of Texas</v>
      </c>
      <c r="D9" s="23">
        <f>'ARL Sum'!B15</f>
        <v>160771184</v>
      </c>
      <c r="E9" s="680">
        <f>ROUND(D9/$D$14,3)</f>
        <v>0.19900000000000001</v>
      </c>
    </row>
    <row r="10" spans="1:5" ht="12.75" customHeight="1">
      <c r="C10" s="16" t="str">
        <f>'ARL Sum'!A17</f>
        <v>Student &amp; Parent</v>
      </c>
      <c r="D10" s="23">
        <f>'ARL Sum'!B20</f>
        <v>348479934</v>
      </c>
      <c r="E10" s="680">
        <f t="shared" ref="E10:E12" si="0">ROUND(D10/$D$14,3)</f>
        <v>0.432</v>
      </c>
    </row>
    <row r="11" spans="1:5" ht="12.75" customHeight="1">
      <c r="C11" s="16" t="str">
        <f>'ARL Sum'!A22</f>
        <v>Federal Government</v>
      </c>
      <c r="D11" s="23">
        <f>'ARL Sum'!B23</f>
        <v>176364560</v>
      </c>
      <c r="E11" s="680">
        <f t="shared" si="0"/>
        <v>0.219</v>
      </c>
    </row>
    <row r="12" spans="1:5" ht="12.75" customHeight="1">
      <c r="C12" s="16" t="str">
        <f>'ARL Sum'!A25</f>
        <v>Institutional Resources</v>
      </c>
      <c r="D12" s="23">
        <f>'ARL Sum'!B32</f>
        <v>120382321</v>
      </c>
      <c r="E12" s="680">
        <f t="shared" si="0"/>
        <v>0.14899999999999999</v>
      </c>
    </row>
    <row r="13" spans="1:5" ht="12.75" customHeight="1">
      <c r="C13" s="14"/>
      <c r="D13" s="15"/>
      <c r="E13" s="680"/>
    </row>
    <row r="14" spans="1:5" ht="12.75" customHeight="1">
      <c r="C14" s="17" t="s">
        <v>68</v>
      </c>
      <c r="D14" s="18">
        <f>SUM(D9:D13)</f>
        <v>805997999</v>
      </c>
      <c r="E14" s="680">
        <f>SUM(E9:E13)</f>
        <v>0.999</v>
      </c>
    </row>
    <row r="20" spans="1:3" ht="12.75" customHeight="1">
      <c r="C20" t="s">
        <v>88</v>
      </c>
    </row>
    <row r="21" spans="1:3" ht="12.75" customHeight="1">
      <c r="C21" t="s">
        <v>89</v>
      </c>
    </row>
    <row r="22" spans="1:3" ht="12.75" customHeight="1">
      <c r="C22" t="s">
        <v>90</v>
      </c>
    </row>
    <row r="23" spans="1:3" ht="12.75" customHeight="1">
      <c r="A23" s="12"/>
      <c r="C23" t="s">
        <v>91</v>
      </c>
    </row>
    <row r="24" spans="1:3" ht="12.75" customHeight="1">
      <c r="A24" s="12"/>
    </row>
    <row r="25" spans="1:3" ht="12.75" customHeight="1">
      <c r="A25" s="12"/>
    </row>
    <row r="26" spans="1:3" ht="12.75" customHeight="1">
      <c r="A26" s="12"/>
    </row>
    <row r="27" spans="1:3" ht="12.75" customHeight="1">
      <c r="A27" s="12"/>
    </row>
    <row r="28" spans="1:3" ht="12.75" customHeight="1">
      <c r="A28" s="12"/>
      <c r="C28" s="53" t="s">
        <v>269</v>
      </c>
    </row>
    <row r="29" spans="1:3" ht="12.75" customHeight="1">
      <c r="A29" s="12"/>
    </row>
    <row r="30" spans="1:3" ht="12.75" customHeight="1">
      <c r="A30" s="12"/>
    </row>
    <row r="31" spans="1:3" ht="12.75" customHeight="1">
      <c r="A31" s="12"/>
    </row>
    <row r="32" spans="1:3" ht="12.75" customHeight="1">
      <c r="A32" s="12"/>
    </row>
    <row r="33" spans="1:1" ht="12.75" customHeight="1">
      <c r="A33" s="12"/>
    </row>
    <row r="34" spans="1:1" ht="12.75" customHeight="1">
      <c r="A34" s="12"/>
    </row>
    <row r="35" spans="1:1" ht="12.75" customHeight="1">
      <c r="A35" s="12"/>
    </row>
    <row r="36" spans="1:1" ht="12.75" customHeight="1">
      <c r="A36" s="12"/>
    </row>
    <row r="37" spans="1:1" ht="12.75" customHeight="1">
      <c r="A37" s="12"/>
    </row>
    <row r="38" spans="1:1" ht="12.75" customHeight="1">
      <c r="A38" s="12"/>
    </row>
    <row r="39" spans="1:1" ht="12.75" customHeight="1">
      <c r="A39" s="12"/>
    </row>
    <row r="40" spans="1:1" ht="12.75" customHeight="1">
      <c r="A40" s="12"/>
    </row>
    <row r="41" spans="1:1" ht="12.75" customHeight="1">
      <c r="A41" s="12"/>
    </row>
    <row r="42" spans="1:1" ht="12.75" customHeight="1">
      <c r="A42" s="12"/>
    </row>
    <row r="43" spans="1:1" ht="12.75" customHeight="1">
      <c r="A43" s="12"/>
    </row>
    <row r="44" spans="1:1" ht="12.75" customHeight="1">
      <c r="A44" s="12"/>
    </row>
    <row r="45" spans="1:1" ht="12.75" customHeight="1">
      <c r="A45" s="12"/>
    </row>
    <row r="46" spans="1:1" ht="12.75" customHeight="1">
      <c r="A46" s="12"/>
    </row>
    <row r="47" spans="1:1" ht="12.75" customHeight="1">
      <c r="A47" s="1686" t="str">
        <f>C14&amp;" "&amp;TEXT(D14,"$#,###")</f>
        <v>Total Operating Sources $805,997,999</v>
      </c>
    </row>
    <row r="48" spans="1:1" ht="12.75" customHeight="1">
      <c r="A48" s="1686"/>
    </row>
    <row r="49" spans="1:5" ht="12.75" customHeight="1">
      <c r="A49" s="12"/>
    </row>
    <row r="52" spans="1:5" ht="12.75" customHeight="1">
      <c r="C52" s="13" t="s">
        <v>25</v>
      </c>
      <c r="D52" s="15"/>
    </row>
    <row r="54" spans="1:5" ht="12.75" customHeight="1">
      <c r="C54" s="16" t="s">
        <v>1</v>
      </c>
      <c r="D54" s="23">
        <f>'ARL Sum'!B10</f>
        <v>144637415</v>
      </c>
      <c r="E54" s="680">
        <f>ROUND(D54/$D$67,3)</f>
        <v>0.17899999999999999</v>
      </c>
    </row>
    <row r="55" spans="1:5" ht="12.75" customHeight="1">
      <c r="C55" s="16" t="s">
        <v>221</v>
      </c>
      <c r="D55" s="23">
        <f>'ARL Sum'!B11</f>
        <v>16133769</v>
      </c>
      <c r="E55" s="680">
        <f t="shared" ref="E55:E66" si="1">ROUND(D55/$D$67,3)</f>
        <v>0.02</v>
      </c>
    </row>
    <row r="56" spans="1:5" ht="12.75" customHeight="1">
      <c r="C56" s="16"/>
      <c r="D56" s="23"/>
      <c r="E56" s="680"/>
    </row>
    <row r="57" spans="1:5" ht="12.75" customHeight="1">
      <c r="C57" s="1068" t="str">
        <f>'ARL Sum'!A13</f>
        <v>Higher Education Fund</v>
      </c>
      <c r="D57" s="23">
        <f>'ARL Sum'!B13</f>
        <v>0</v>
      </c>
      <c r="E57" s="680">
        <f t="shared" si="1"/>
        <v>0</v>
      </c>
    </row>
    <row r="58" spans="1:5" ht="12.75" customHeight="1">
      <c r="C58" s="1068" t="s">
        <v>41</v>
      </c>
      <c r="D58" s="23">
        <f>'ARL Sum'!B14</f>
        <v>0</v>
      </c>
      <c r="E58" s="680">
        <f t="shared" si="1"/>
        <v>0</v>
      </c>
    </row>
    <row r="59" spans="1:5" ht="12.75" customHeight="1">
      <c r="C59" s="16" t="s">
        <v>87</v>
      </c>
      <c r="D59" s="23">
        <f>'ARL Sum'!B20</f>
        <v>348479934</v>
      </c>
      <c r="E59" s="680">
        <f t="shared" si="1"/>
        <v>0.432</v>
      </c>
    </row>
    <row r="60" spans="1:5" ht="12.75" customHeight="1">
      <c r="C60" s="19" t="s">
        <v>74</v>
      </c>
      <c r="D60" s="23">
        <f>'ARL Sum'!B23</f>
        <v>176364560</v>
      </c>
      <c r="E60" s="680">
        <f t="shared" si="1"/>
        <v>0.219</v>
      </c>
    </row>
    <row r="61" spans="1:5" ht="12.75" customHeight="1">
      <c r="C61" s="16" t="s">
        <v>75</v>
      </c>
      <c r="D61" s="23">
        <f>'ARL Sum'!B26</f>
        <v>33675891</v>
      </c>
      <c r="E61" s="680">
        <f t="shared" si="1"/>
        <v>4.2000000000000003E-2</v>
      </c>
    </row>
    <row r="62" spans="1:5" ht="12.75" customHeight="1">
      <c r="C62" s="16" t="s">
        <v>27</v>
      </c>
      <c r="D62" s="23">
        <f>'ARL Sum'!B27</f>
        <v>1090181</v>
      </c>
      <c r="E62" s="680">
        <f t="shared" si="1"/>
        <v>1E-3</v>
      </c>
    </row>
    <row r="63" spans="1:5" ht="12.75" customHeight="1">
      <c r="C63" s="16" t="s">
        <v>76</v>
      </c>
      <c r="D63" s="23">
        <f>'ARL Sum'!B28</f>
        <v>18108585</v>
      </c>
      <c r="E63" s="680">
        <f t="shared" si="1"/>
        <v>2.1999999999999999E-2</v>
      </c>
    </row>
    <row r="64" spans="1:5" ht="12.75" customHeight="1">
      <c r="C64" s="16" t="s">
        <v>77</v>
      </c>
      <c r="D64" s="23">
        <f>'ARL Sum'!B29</f>
        <v>28252072</v>
      </c>
      <c r="E64" s="680">
        <f t="shared" si="1"/>
        <v>3.5000000000000003E-2</v>
      </c>
    </row>
    <row r="65" spans="1:5" ht="12.75" customHeight="1">
      <c r="C65" s="16" t="s">
        <v>220</v>
      </c>
      <c r="D65" s="23">
        <f>'ARL Sum'!B30</f>
        <v>31718698</v>
      </c>
      <c r="E65" s="680">
        <f t="shared" si="1"/>
        <v>3.9E-2</v>
      </c>
    </row>
    <row r="66" spans="1:5" ht="12.75" customHeight="1">
      <c r="C66" s="19" t="s">
        <v>52</v>
      </c>
      <c r="D66" s="23">
        <f>'ARL Sum'!B31</f>
        <v>7536894</v>
      </c>
      <c r="E66" s="680">
        <f t="shared" si="1"/>
        <v>8.9999999999999993E-3</v>
      </c>
    </row>
    <row r="67" spans="1:5" ht="12.75" customHeight="1">
      <c r="C67" s="17" t="s">
        <v>68</v>
      </c>
      <c r="D67" s="18">
        <f>SUM(D54:D66)</f>
        <v>805997999</v>
      </c>
      <c r="E67" s="681">
        <f>SUM(E54:E66)</f>
        <v>0.99800000000000011</v>
      </c>
    </row>
    <row r="76" spans="1:5" ht="12.75" customHeight="1">
      <c r="A76" s="12"/>
    </row>
    <row r="77" spans="1:5" ht="12.75" customHeight="1">
      <c r="A77" s="12"/>
    </row>
    <row r="78" spans="1:5" ht="12.75" customHeight="1">
      <c r="A78" s="12"/>
    </row>
    <row r="79" spans="1:5" ht="12.75" customHeight="1">
      <c r="A79" s="12"/>
    </row>
    <row r="80" spans="1:5" ht="12.75" customHeight="1">
      <c r="A80" s="20"/>
    </row>
    <row r="81" spans="1:5" ht="12.75" customHeight="1">
      <c r="A81" s="20"/>
    </row>
    <row r="82" spans="1:5" ht="12.75" customHeight="1">
      <c r="A82" s="20"/>
    </row>
    <row r="83" spans="1:5" ht="12.75" customHeight="1">
      <c r="A83" s="20"/>
    </row>
    <row r="84" spans="1:5" ht="12.75" customHeight="1">
      <c r="A84" s="20"/>
    </row>
    <row r="85" spans="1:5" ht="12.75" customHeight="1">
      <c r="A85" s="20"/>
    </row>
    <row r="86" spans="1:5" ht="12.75" customHeight="1">
      <c r="A86" s="20"/>
    </row>
    <row r="87" spans="1:5" ht="12.75" customHeight="1">
      <c r="A87" s="20"/>
    </row>
    <row r="88" spans="1:5" ht="12.75" customHeight="1">
      <c r="A88" s="20"/>
    </row>
    <row r="89" spans="1:5" ht="12.75" customHeight="1">
      <c r="A89" s="20"/>
    </row>
    <row r="90" spans="1:5" ht="12.75" customHeight="1">
      <c r="A90" s="20"/>
    </row>
    <row r="91" spans="1:5" ht="12.75" customHeight="1">
      <c r="A91" s="20"/>
    </row>
    <row r="92" spans="1:5" ht="12.75" customHeight="1">
      <c r="A92" s="1686" t="str">
        <f>C67&amp;" "&amp;TEXT(D67,"$#,###")</f>
        <v>Total Operating Sources $805,997,999</v>
      </c>
    </row>
    <row r="93" spans="1:5" ht="12.75" customHeight="1">
      <c r="A93" s="1686"/>
    </row>
    <row r="94" spans="1:5" ht="12.75" customHeight="1">
      <c r="A94" s="20"/>
    </row>
    <row r="95" spans="1:5" s="31" customFormat="1" ht="12.75" customHeight="1">
      <c r="A95" s="32"/>
      <c r="E95" s="682"/>
    </row>
    <row r="96" spans="1:5" ht="12.75" customHeight="1">
      <c r="A96" s="20"/>
    </row>
    <row r="97" spans="1:5" ht="12.75" customHeight="1">
      <c r="A97" s="20"/>
    </row>
    <row r="98" spans="1:5" ht="12.75" customHeight="1">
      <c r="A98" s="20"/>
    </row>
    <row r="100" spans="1:5" ht="12.75" customHeight="1">
      <c r="C100" s="1716" t="s">
        <v>13</v>
      </c>
      <c r="D100" s="1716"/>
    </row>
    <row r="101" spans="1:5" ht="12.75" customHeight="1">
      <c r="C101" s="1716"/>
      <c r="D101" s="1716"/>
    </row>
    <row r="102" spans="1:5" ht="12.75" customHeight="1">
      <c r="C102" s="21" t="s">
        <v>14</v>
      </c>
      <c r="D102" s="23">
        <f>'ARL Sum'!B36</f>
        <v>198085111</v>
      </c>
      <c r="E102" s="680">
        <f>ROUND(D102/$D$114,3)</f>
        <v>0.28499999999999998</v>
      </c>
    </row>
    <row r="103" spans="1:5" ht="12.75" customHeight="1">
      <c r="C103" s="21" t="s">
        <v>15</v>
      </c>
      <c r="D103" s="23">
        <f>'ARL Sum'!B37</f>
        <v>103398965</v>
      </c>
      <c r="E103" s="680">
        <f t="shared" ref="E103:E112" si="2">ROUND(D103/$D$114,3)</f>
        <v>0.14899999999999999</v>
      </c>
    </row>
    <row r="104" spans="1:5" ht="12.75" customHeight="1">
      <c r="C104" s="21" t="s">
        <v>16</v>
      </c>
      <c r="D104" s="23">
        <f>'ARL Sum'!B38</f>
        <v>12261806</v>
      </c>
      <c r="E104" s="680">
        <f t="shared" si="2"/>
        <v>1.7999999999999999E-2</v>
      </c>
    </row>
    <row r="105" spans="1:5" ht="12.75" customHeight="1">
      <c r="C105" s="21" t="s">
        <v>17</v>
      </c>
      <c r="D105" s="23">
        <f>'ARL Sum'!B39</f>
        <v>61502658</v>
      </c>
      <c r="E105" s="680">
        <f t="shared" si="2"/>
        <v>8.7999999999999995E-2</v>
      </c>
    </row>
    <row r="106" spans="1:5" ht="12.75" customHeight="1">
      <c r="C106" s="21" t="s">
        <v>18</v>
      </c>
      <c r="D106" s="23">
        <f>'ARL Sum'!B40</f>
        <v>86706832</v>
      </c>
      <c r="E106" s="680">
        <f t="shared" si="2"/>
        <v>0.125</v>
      </c>
    </row>
    <row r="107" spans="1:5" ht="12.75" customHeight="1">
      <c r="C107" s="21" t="s">
        <v>19</v>
      </c>
      <c r="D107" s="23">
        <f>'ARL Sum'!B41</f>
        <v>49489123</v>
      </c>
      <c r="E107" s="680">
        <f t="shared" si="2"/>
        <v>7.0999999999999994E-2</v>
      </c>
    </row>
    <row r="108" spans="1:5" ht="12.75" customHeight="1">
      <c r="C108" s="21" t="s">
        <v>78</v>
      </c>
      <c r="D108" s="23">
        <f>'ARL Sum'!B42</f>
        <v>41926574</v>
      </c>
      <c r="E108" s="680">
        <f t="shared" si="2"/>
        <v>0.06</v>
      </c>
    </row>
    <row r="109" spans="1:5" ht="12.75" customHeight="1">
      <c r="C109" s="21" t="s">
        <v>79</v>
      </c>
      <c r="D109" s="23">
        <f>'ARL Sum'!B43</f>
        <v>86880446</v>
      </c>
      <c r="E109" s="680">
        <f t="shared" si="2"/>
        <v>0.125</v>
      </c>
    </row>
    <row r="110" spans="1:5" ht="12.75" customHeight="1">
      <c r="C110" s="21" t="s">
        <v>22</v>
      </c>
      <c r="D110" s="23">
        <f>'ARL Sum'!B44</f>
        <v>50885065</v>
      </c>
      <c r="E110" s="680">
        <f t="shared" si="2"/>
        <v>7.2999999999999995E-2</v>
      </c>
    </row>
    <row r="111" spans="1:5" ht="12.75" customHeight="1">
      <c r="C111" s="19" t="s">
        <v>29</v>
      </c>
      <c r="D111" s="23">
        <f>'ARL Sum'!B45</f>
        <v>3768636</v>
      </c>
      <c r="E111" s="680">
        <f t="shared" si="2"/>
        <v>5.0000000000000001E-3</v>
      </c>
    </row>
    <row r="112" spans="1:5" ht="12.75" customHeight="1">
      <c r="C112" s="19" t="s">
        <v>53</v>
      </c>
      <c r="D112" s="23">
        <f>'ARL Sum'!B46</f>
        <v>728377</v>
      </c>
      <c r="E112" s="680">
        <f t="shared" si="2"/>
        <v>1E-3</v>
      </c>
    </row>
    <row r="113" spans="3:5" ht="12.75" customHeight="1">
      <c r="C113" s="14"/>
      <c r="D113" s="14"/>
    </row>
    <row r="114" spans="3:5" ht="12.75" customHeight="1">
      <c r="C114" s="28" t="s">
        <v>69</v>
      </c>
      <c r="D114" s="18">
        <f>SUM(D102:D113)</f>
        <v>695633593</v>
      </c>
      <c r="E114" s="681">
        <f>SUM(E102:E113)</f>
        <v>0.99999999999999978</v>
      </c>
    </row>
    <row r="115" spans="3:5" ht="12.75" customHeight="1">
      <c r="D115" s="12"/>
    </row>
    <row r="116" spans="3:5" ht="12.75" customHeight="1">
      <c r="C116" s="29" t="s">
        <v>55</v>
      </c>
      <c r="D116" s="12"/>
    </row>
    <row r="131" spans="1:1" ht="12.75" customHeight="1">
      <c r="A131" s="19"/>
    </row>
    <row r="132" spans="1:1" ht="12.75" customHeight="1">
      <c r="A132" s="12"/>
    </row>
    <row r="133" spans="1:1" ht="12.75" customHeight="1">
      <c r="A133" s="12"/>
    </row>
    <row r="134" spans="1:1" ht="12.75" customHeight="1">
      <c r="A134" s="12"/>
    </row>
    <row r="135" spans="1:1" ht="12.75" customHeight="1">
      <c r="A135" s="12"/>
    </row>
    <row r="136" spans="1:1" ht="12.75" customHeight="1">
      <c r="A136" s="1686" t="str">
        <f>C114&amp;" "&amp;TEXT(D114,"$#,###")</f>
        <v>Total Operating Uses $695,633,593</v>
      </c>
    </row>
    <row r="137" spans="1:1" ht="12.75" customHeight="1">
      <c r="A137" s="1686"/>
    </row>
    <row r="138" spans="1:1" ht="12.75" customHeight="1">
      <c r="A138" s="12"/>
    </row>
    <row r="139" spans="1:1" ht="16.5" customHeight="1">
      <c r="A139" s="30" t="s">
        <v>70</v>
      </c>
    </row>
    <row r="140" spans="1:1" ht="19.5" customHeight="1">
      <c r="A140" s="16" t="s">
        <v>56</v>
      </c>
    </row>
    <row r="141" spans="1:1" ht="13.5" customHeight="1">
      <c r="A141" s="12"/>
    </row>
    <row r="142" spans="1:1" ht="13.5" customHeight="1">
      <c r="A142" s="12"/>
    </row>
    <row r="143" spans="1:1" ht="13.5" customHeight="1">
      <c r="A143" s="12"/>
    </row>
    <row r="144" spans="1:1" ht="13.5" customHeight="1">
      <c r="A144" s="12"/>
    </row>
    <row r="145" spans="1:1" ht="13.5" customHeight="1">
      <c r="A145" s="12"/>
    </row>
    <row r="146" spans="1:1" ht="12.75" customHeight="1">
      <c r="A146" s="27"/>
    </row>
    <row r="147" spans="1:1" ht="12.75" customHeight="1">
      <c r="A147" s="27"/>
    </row>
    <row r="148" spans="1:1" ht="12.75" customHeight="1">
      <c r="A148" s="27"/>
    </row>
    <row r="149" spans="1:1" ht="12.75" customHeight="1">
      <c r="A149" s="26"/>
    </row>
    <row r="150" spans="1:1" ht="12.75" customHeight="1">
      <c r="A150" s="26"/>
    </row>
    <row r="151" spans="1:1" ht="12.75" customHeight="1">
      <c r="A151" s="26"/>
    </row>
    <row r="152" spans="1:1" ht="12.75" customHeight="1">
      <c r="A152" s="26"/>
    </row>
    <row r="153" spans="1:1" ht="12.75" customHeight="1">
      <c r="A153" s="26"/>
    </row>
    <row r="154" spans="1:1" ht="12.75" customHeight="1">
      <c r="A154" s="26"/>
    </row>
    <row r="155" spans="1:1" ht="12.75" customHeight="1">
      <c r="A155" s="26"/>
    </row>
    <row r="156" spans="1:1" ht="12.75" customHeight="1">
      <c r="A156" s="26"/>
    </row>
    <row r="157" spans="1:1" ht="12.75" customHeight="1">
      <c r="A157" s="26"/>
    </row>
    <row r="158" spans="1:1" ht="12.75" customHeight="1">
      <c r="A158" s="26"/>
    </row>
    <row r="159" spans="1:1" ht="12.75" customHeight="1">
      <c r="A159" s="26"/>
    </row>
    <row r="160" spans="1:1" ht="12.75" customHeight="1">
      <c r="A160" s="26"/>
    </row>
    <row r="161" spans="1:1" ht="12.75" customHeight="1">
      <c r="A161" s="26"/>
    </row>
    <row r="162" spans="1:1" ht="12.75" customHeight="1">
      <c r="A162" s="26"/>
    </row>
    <row r="163" spans="1:1" ht="12.75" customHeight="1">
      <c r="A163" s="26"/>
    </row>
    <row r="164" spans="1:1" ht="12.75" customHeight="1">
      <c r="A164" s="26"/>
    </row>
    <row r="165" spans="1:1" ht="12.75" customHeight="1">
      <c r="A165" s="26"/>
    </row>
  </sheetData>
  <mergeCells count="6">
    <mergeCell ref="C7:D7"/>
    <mergeCell ref="A47:A48"/>
    <mergeCell ref="A92:A93"/>
    <mergeCell ref="A136:A137"/>
    <mergeCell ref="C100:D100"/>
    <mergeCell ref="C101:D101"/>
  </mergeCells>
  <phoneticPr fontId="0" type="noConversion"/>
  <hyperlinks>
    <hyperlink ref="B1" location="Index!A1" display="Return to Index" xr:uid="{00000000-0004-0000-19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ransitionEvaluation="1" transitionEntry="1" codeName="Sheet4">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61.7109375" style="2" customWidth="1"/>
    <col min="2" max="2" width="17.85546875" style="2" customWidth="1"/>
    <col min="3" max="3" width="14.7109375" style="2" customWidth="1"/>
    <col min="4" max="4" width="14" style="261" customWidth="1"/>
    <col min="5" max="5" width="13.140625" style="261" customWidth="1"/>
    <col min="6" max="6" width="18.140625"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2"/>
  </cols>
  <sheetData>
    <row r="1" spans="1:15" ht="17.25" thickTop="1" thickBot="1">
      <c r="A1" s="155" t="str">
        <f>'ARL Chrts'!$A$1</f>
        <v>The University of Texas at Arlington</v>
      </c>
      <c r="B1" s="1"/>
      <c r="C1" s="1"/>
      <c r="D1" s="1704" t="s">
        <v>1200</v>
      </c>
      <c r="E1" s="1705"/>
      <c r="F1" s="1706" t="s">
        <v>1196</v>
      </c>
      <c r="G1" s="1706"/>
      <c r="H1" s="1706"/>
      <c r="I1" s="1706"/>
      <c r="J1" s="1707" t="s">
        <v>1197</v>
      </c>
      <c r="K1" s="1695"/>
      <c r="L1" s="1695"/>
      <c r="M1" s="1695"/>
      <c r="N1" s="1695"/>
      <c r="O1" s="1696"/>
    </row>
    <row r="2" spans="1:15" ht="15.75">
      <c r="A2" s="76" t="str">
        <f>'Smmy Chrts'!$A$2</f>
        <v>For the Year Ended August 31, 2021</v>
      </c>
      <c r="B2" s="1"/>
      <c r="C2" s="1"/>
      <c r="D2" s="37"/>
      <c r="E2" s="37"/>
      <c r="F2" s="37"/>
      <c r="J2" s="37"/>
      <c r="K2" s="37"/>
      <c r="L2" s="37"/>
      <c r="M2" s="37"/>
    </row>
    <row r="3" spans="1:15" ht="15.75">
      <c r="A3" s="76" t="str">
        <f>'Smmy Chrts'!$A$3</f>
        <v>Source: FY 2021 Annual Financial Report</v>
      </c>
      <c r="B3" s="1"/>
      <c r="C3" s="1"/>
    </row>
    <row r="4" spans="1:15" ht="13.5" customHeight="1">
      <c r="A4" s="261"/>
      <c r="B4" s="4"/>
      <c r="C4" s="4"/>
      <c r="D4" s="1711" t="s">
        <v>1142</v>
      </c>
      <c r="E4" s="1711" t="s">
        <v>1143</v>
      </c>
      <c r="F4" s="266"/>
    </row>
    <row r="5" spans="1:15" ht="18">
      <c r="A5" s="39" t="str">
        <f>'Smmy Chrts'!$C$35</f>
        <v>Summary Worksheet FY 2021</v>
      </c>
      <c r="B5" s="40" t="s">
        <v>86</v>
      </c>
      <c r="C5" s="40" t="s">
        <v>129</v>
      </c>
      <c r="D5" s="1712"/>
      <c r="E5" s="1712"/>
      <c r="F5" s="266"/>
      <c r="G5" s="799" t="s">
        <v>1198</v>
      </c>
      <c r="I5" s="822" t="s">
        <v>2157</v>
      </c>
      <c r="J5" s="792" t="s">
        <v>1144</v>
      </c>
    </row>
    <row r="6" spans="1:15" ht="13.5" customHeight="1">
      <c r="A6" s="78" t="s">
        <v>266</v>
      </c>
      <c r="B6" s="41"/>
      <c r="C6" s="42">
        <f>VLOOKUP($A$1,FTSELU,12,FALSE)</f>
        <v>34362.15</v>
      </c>
      <c r="J6" s="712"/>
    </row>
    <row r="7" spans="1:15">
      <c r="I7" s="824" t="s">
        <v>1162</v>
      </c>
      <c r="J7" s="827"/>
    </row>
    <row r="8" spans="1:15">
      <c r="A8" s="24" t="s">
        <v>71</v>
      </c>
      <c r="B8" s="24"/>
      <c r="C8" s="24"/>
      <c r="I8" s="896">
        <f>VLOOKUP(A1,FTSELU,14,FALSE)</f>
        <v>2456.3000000000002</v>
      </c>
      <c r="J8" s="712"/>
    </row>
    <row r="9" spans="1:15" ht="12.75" customHeight="1" thickBot="1">
      <c r="A9" s="5" t="s">
        <v>0</v>
      </c>
      <c r="B9" s="7"/>
      <c r="C9" s="7"/>
      <c r="J9" s="712"/>
    </row>
    <row r="10" spans="1:15" ht="12.75" customHeight="1" thickTop="1">
      <c r="A10" s="2" t="s">
        <v>1</v>
      </c>
      <c r="B10" s="43">
        <f>'ARL FGD'!M10</f>
        <v>144637415</v>
      </c>
      <c r="C10" s="83">
        <f>ROUND(B10/$C$6,0)</f>
        <v>4209</v>
      </c>
      <c r="D10" s="512">
        <f>'ARL FGD'!F10</f>
        <v>0</v>
      </c>
      <c r="E10" s="512"/>
      <c r="F10" s="84">
        <f>B10-(SUM(D10:E10))</f>
        <v>144637415</v>
      </c>
      <c r="G10" s="1143" t="s">
        <v>1</v>
      </c>
      <c r="H10" s="1144"/>
      <c r="I10" s="825" t="s">
        <v>1161</v>
      </c>
      <c r="J10" s="713">
        <f>ROUND(F10/$C$6,0)</f>
        <v>4209</v>
      </c>
    </row>
    <row r="11" spans="1:15" ht="12.75" customHeight="1" thickBot="1">
      <c r="A11" s="2" t="s">
        <v>2</v>
      </c>
      <c r="B11" s="47">
        <f>'ARL FGD'!M11</f>
        <v>16133769</v>
      </c>
      <c r="C11" s="87">
        <f t="shared" ref="C11:C14" si="0">ROUND(B11/$C$6,0)</f>
        <v>470</v>
      </c>
      <c r="D11" s="86">
        <f>'ARL FGD'!F11</f>
        <v>0</v>
      </c>
      <c r="E11" s="74"/>
      <c r="F11" s="606">
        <f t="shared" ref="F11:F14" si="1">B11-(SUM(D11:E11))</f>
        <v>16133769</v>
      </c>
      <c r="G11" s="1148">
        <f>SUM(F10:F11)</f>
        <v>160771184</v>
      </c>
      <c r="H11" s="715"/>
      <c r="I11" s="1373">
        <f>ROUND($G$11/$C$6,0)</f>
        <v>4679</v>
      </c>
      <c r="J11" s="716">
        <f t="shared" ref="J11:J14" si="2">ROUND(F11/$C$6,0)</f>
        <v>470</v>
      </c>
    </row>
    <row r="12" spans="1:15" ht="12.75" hidden="1" customHeight="1" thickTop="1" thickBot="1">
      <c r="A12" s="261" t="s">
        <v>1410</v>
      </c>
      <c r="B12" s="47"/>
      <c r="C12" s="87"/>
      <c r="D12" s="86"/>
      <c r="E12" s="74"/>
      <c r="F12" s="607"/>
      <c r="J12" s="716"/>
      <c r="O12" s="608"/>
    </row>
    <row r="13" spans="1:15" ht="12.75" customHeight="1" thickTop="1">
      <c r="A13" s="2" t="s">
        <v>1368</v>
      </c>
      <c r="B13" s="47">
        <f>'ARL FGD'!M13</f>
        <v>0</v>
      </c>
      <c r="C13" s="87">
        <f t="shared" si="0"/>
        <v>0</v>
      </c>
      <c r="D13" s="86">
        <f>'ARL FGD'!F13</f>
        <v>0</v>
      </c>
      <c r="E13" s="74"/>
      <c r="F13" s="893">
        <f t="shared" si="1"/>
        <v>0</v>
      </c>
      <c r="G13" s="883" t="s">
        <v>81</v>
      </c>
      <c r="H13" s="894"/>
      <c r="I13" s="826" t="s">
        <v>1163</v>
      </c>
      <c r="J13" s="716">
        <f t="shared" si="2"/>
        <v>0</v>
      </c>
    </row>
    <row r="14" spans="1:15" ht="12.75" customHeight="1" thickBot="1">
      <c r="A14" s="2" t="s">
        <v>49</v>
      </c>
      <c r="B14" s="47">
        <f>'ARL FGD'!M14</f>
        <v>0</v>
      </c>
      <c r="C14" s="87">
        <f t="shared" si="0"/>
        <v>0</v>
      </c>
      <c r="D14" s="86">
        <f>'ARL FGD'!F14</f>
        <v>0</v>
      </c>
      <c r="E14" s="74"/>
      <c r="F14" s="607">
        <f t="shared" si="1"/>
        <v>0</v>
      </c>
      <c r="G14" s="800">
        <f>SUM(F13:F14)</f>
        <v>0</v>
      </c>
      <c r="H14" s="895"/>
      <c r="I14" s="1374">
        <f>ROUND($G$11/$I$8,0)</f>
        <v>65453</v>
      </c>
      <c r="J14" s="828">
        <f t="shared" si="2"/>
        <v>0</v>
      </c>
    </row>
    <row r="15" spans="1:15" ht="12.75" customHeight="1" thickTop="1">
      <c r="A15" s="8" t="s">
        <v>3</v>
      </c>
      <c r="B15" s="44">
        <f>SUM(B10:B14)</f>
        <v>160771184</v>
      </c>
      <c r="C15" s="89">
        <f>SUM(C10:C14)</f>
        <v>4679</v>
      </c>
      <c r="D15" s="89">
        <f>SUM(D10:D14)</f>
        <v>0</v>
      </c>
      <c r="E15" s="89">
        <f>SUM(E10:E14)</f>
        <v>0</v>
      </c>
      <c r="F15" s="216">
        <f>SUM(F10:F14)</f>
        <v>160771184</v>
      </c>
      <c r="I15" s="1372"/>
      <c r="J15" s="757">
        <f>SUM(J10:J14)</f>
        <v>4679</v>
      </c>
    </row>
    <row r="16" spans="1:15">
      <c r="B16" s="48"/>
      <c r="C16" s="75"/>
      <c r="J16" s="712"/>
    </row>
    <row r="17" spans="1:31" ht="12.75" customHeight="1">
      <c r="A17" s="5" t="s">
        <v>4</v>
      </c>
      <c r="B17" s="47"/>
      <c r="C17" s="75"/>
      <c r="J17" s="712"/>
    </row>
    <row r="18" spans="1:31">
      <c r="A18" s="2" t="s">
        <v>39</v>
      </c>
      <c r="B18" s="43">
        <f>'ARL FGD'!M29</f>
        <v>239288753</v>
      </c>
      <c r="C18" s="83">
        <f t="shared" ref="C18:C19" si="3">ROUND(B18/$C$6,0)</f>
        <v>6964</v>
      </c>
      <c r="D18" s="512">
        <f>'ARL FGD'!$F$29</f>
        <v>0</v>
      </c>
      <c r="E18" s="512"/>
      <c r="F18" s="512">
        <f t="shared" ref="F18:F19" si="4">B18-(SUM(D18:E18))</f>
        <v>239288753</v>
      </c>
      <c r="G18" s="337"/>
      <c r="H18" s="337"/>
      <c r="I18" s="337"/>
      <c r="J18" s="713">
        <f>ROUND(F18/$C$6,0)</f>
        <v>6964</v>
      </c>
    </row>
    <row r="19" spans="1:31" ht="13.5" thickBot="1">
      <c r="A19" s="2" t="s">
        <v>40</v>
      </c>
      <c r="B19" s="47">
        <f>'ARL FGD'!M42</f>
        <v>109191181</v>
      </c>
      <c r="C19" s="87">
        <f t="shared" si="3"/>
        <v>3178</v>
      </c>
      <c r="D19" s="74">
        <f>'ARL FGD'!$F$42</f>
        <v>14985597</v>
      </c>
      <c r="E19" s="74"/>
      <c r="F19" s="74">
        <f t="shared" si="4"/>
        <v>94205584</v>
      </c>
      <c r="G19" s="337"/>
      <c r="H19" s="337"/>
      <c r="I19" s="337"/>
      <c r="J19" s="716">
        <f>ROUND(F19/$C$6,0)</f>
        <v>2742</v>
      </c>
    </row>
    <row r="20" spans="1:31" ht="14.25" thickTop="1" thickBot="1">
      <c r="A20" s="8" t="s">
        <v>5</v>
      </c>
      <c r="B20" s="44">
        <f>SUM(B18:B19)</f>
        <v>348479934</v>
      </c>
      <c r="C20" s="89">
        <f>SUM(C18:C19)</f>
        <v>10142</v>
      </c>
      <c r="D20" s="717">
        <f>SUM(D18:D19)</f>
        <v>14985597</v>
      </c>
      <c r="E20" s="718">
        <f>SUM(E18:E19)</f>
        <v>0</v>
      </c>
      <c r="F20" s="801">
        <f>SUM(F18:F19)</f>
        <v>333494337</v>
      </c>
      <c r="G20" s="720" t="s">
        <v>26</v>
      </c>
      <c r="H20" s="366"/>
      <c r="I20" s="367"/>
      <c r="J20" s="721">
        <f>SUM(J18:J19)</f>
        <v>9706</v>
      </c>
    </row>
    <row r="21" spans="1:31" ht="12.75" customHeight="1" thickTop="1">
      <c r="B21" s="49"/>
      <c r="C21" s="75"/>
      <c r="F21" s="804"/>
      <c r="J21" s="712"/>
    </row>
    <row r="22" spans="1:31" ht="14.25" customHeight="1" thickBot="1">
      <c r="A22" s="5" t="s">
        <v>6</v>
      </c>
      <c r="B22" s="49"/>
      <c r="C22" s="75"/>
      <c r="J22" s="712"/>
    </row>
    <row r="23" spans="1:31" ht="14.25" thickTop="1" thickBot="1">
      <c r="A23" s="8" t="s">
        <v>7</v>
      </c>
      <c r="B23" s="50">
        <f>'ARL FGD'!M47</f>
        <v>176364560</v>
      </c>
      <c r="C23" s="89">
        <f t="shared" ref="C23" si="5">ROUND(B23/$C$6,0)</f>
        <v>5133</v>
      </c>
      <c r="D23" s="717">
        <f>'ARL FGD'!F47</f>
        <v>0</v>
      </c>
      <c r="E23" s="718"/>
      <c r="F23" s="801">
        <f>B23-(SUM(D23:E23))</f>
        <v>176364560</v>
      </c>
      <c r="G23" s="722" t="s">
        <v>74</v>
      </c>
      <c r="H23" s="366"/>
      <c r="I23" s="367"/>
      <c r="J23" s="756">
        <f>ROUND(F23/$C$6,0)</f>
        <v>5133</v>
      </c>
    </row>
    <row r="24" spans="1:31" ht="13.5" thickTop="1">
      <c r="B24" s="49"/>
      <c r="C24" s="75"/>
      <c r="J24" s="712"/>
    </row>
    <row r="25" spans="1:31">
      <c r="A25" s="5" t="s">
        <v>8</v>
      </c>
      <c r="B25" s="49"/>
      <c r="C25" s="75"/>
      <c r="J25" s="712"/>
    </row>
    <row r="26" spans="1:31">
      <c r="A26" s="2" t="s">
        <v>42</v>
      </c>
      <c r="B26" s="43">
        <f>'ARL FGD'!M50</f>
        <v>33675891</v>
      </c>
      <c r="C26" s="83">
        <f t="shared" ref="C26:C31" si="6">ROUND(B26/$C$6,0)</f>
        <v>980</v>
      </c>
      <c r="D26" s="512">
        <f>'ARL FGD'!F50</f>
        <v>901051</v>
      </c>
      <c r="E26" s="512"/>
      <c r="F26" s="512">
        <f t="shared" ref="F26:F31" si="7">B26-(SUM(D26:E26))</f>
        <v>32774840</v>
      </c>
      <c r="G26" s="337"/>
      <c r="H26" s="337"/>
      <c r="I26" s="337"/>
      <c r="J26" s="713">
        <f>ROUND(F26/$C$6,0)</f>
        <v>954</v>
      </c>
    </row>
    <row r="27" spans="1:31">
      <c r="A27" s="2" t="s">
        <v>9</v>
      </c>
      <c r="B27" s="47">
        <f>'ARL FGD'!M51</f>
        <v>1090181</v>
      </c>
      <c r="C27" s="87">
        <f t="shared" si="6"/>
        <v>32</v>
      </c>
      <c r="D27" s="86">
        <f>'ARL FGD'!F51</f>
        <v>0</v>
      </c>
      <c r="E27" s="74"/>
      <c r="F27" s="74">
        <f t="shared" si="7"/>
        <v>1090181</v>
      </c>
      <c r="G27" s="337"/>
      <c r="H27" s="337"/>
      <c r="I27" s="337"/>
      <c r="J27" s="716">
        <f t="shared" ref="J27:J31" si="8">ROUND(F27/$C$6,0)</f>
        <v>32</v>
      </c>
    </row>
    <row r="28" spans="1:31" ht="13.5" thickBot="1">
      <c r="A28" s="2" t="s">
        <v>10</v>
      </c>
      <c r="B28" s="47">
        <f>'ARL FGD'!M52</f>
        <v>18108585</v>
      </c>
      <c r="C28" s="87">
        <f t="shared" si="6"/>
        <v>527</v>
      </c>
      <c r="D28" s="86">
        <f>'ARL FGD'!F52</f>
        <v>0</v>
      </c>
      <c r="E28" s="74"/>
      <c r="F28" s="74">
        <f t="shared" si="7"/>
        <v>18108585</v>
      </c>
      <c r="G28" s="337"/>
      <c r="H28" s="337"/>
      <c r="I28" s="337"/>
      <c r="J28" s="716">
        <f t="shared" si="8"/>
        <v>527</v>
      </c>
    </row>
    <row r="29" spans="1:31" ht="13.5" thickBot="1">
      <c r="A29" s="2" t="s">
        <v>11</v>
      </c>
      <c r="B29" s="47">
        <f>'ARL FGD'!M53</f>
        <v>28252072</v>
      </c>
      <c r="C29" s="87">
        <f t="shared" si="6"/>
        <v>822</v>
      </c>
      <c r="D29" s="86">
        <f>'ARL FGD'!F53</f>
        <v>0</v>
      </c>
      <c r="E29" s="74"/>
      <c r="F29" s="74">
        <f t="shared" si="7"/>
        <v>28252072</v>
      </c>
      <c r="G29" s="337"/>
      <c r="H29" s="337"/>
      <c r="I29" s="337"/>
      <c r="J29" s="716">
        <f t="shared" si="8"/>
        <v>822</v>
      </c>
      <c r="K29" s="1694" t="s">
        <v>1065</v>
      </c>
      <c r="L29" s="1695"/>
      <c r="M29" s="1695"/>
      <c r="N29" s="1695"/>
      <c r="O29" s="1696"/>
    </row>
    <row r="30" spans="1:31" ht="13.5" thickBot="1">
      <c r="A30" s="3" t="s">
        <v>2134</v>
      </c>
      <c r="B30" s="51">
        <f>'ARL FGD'!M54</f>
        <v>31718698</v>
      </c>
      <c r="C30" s="87">
        <f t="shared" si="6"/>
        <v>923</v>
      </c>
      <c r="D30" s="729">
        <f>B30</f>
        <v>31718698</v>
      </c>
      <c r="E30" s="74"/>
      <c r="F30" s="74">
        <f t="shared" si="7"/>
        <v>0</v>
      </c>
      <c r="G30" s="337"/>
      <c r="H30" s="337"/>
      <c r="I30" s="337"/>
      <c r="J30" s="716">
        <f t="shared" si="8"/>
        <v>0</v>
      </c>
      <c r="K30" s="1694" t="s">
        <v>1070</v>
      </c>
      <c r="L30" s="1695"/>
      <c r="M30" s="1695"/>
      <c r="N30" s="1695"/>
      <c r="O30" s="1696"/>
    </row>
    <row r="31" spans="1:31" ht="13.5" customHeight="1" thickBot="1">
      <c r="A31" s="10" t="s">
        <v>43</v>
      </c>
      <c r="B31" s="47">
        <f>'ARL FGD'!M55</f>
        <v>7536894</v>
      </c>
      <c r="C31" s="87">
        <f t="shared" si="6"/>
        <v>219</v>
      </c>
      <c r="D31" s="86">
        <f>'ARL FGD'!F55</f>
        <v>0</v>
      </c>
      <c r="E31" s="74"/>
      <c r="F31" s="74">
        <f t="shared" si="7"/>
        <v>7536894</v>
      </c>
      <c r="G31" s="35"/>
      <c r="H31" s="35"/>
      <c r="I31" s="38"/>
      <c r="J31" s="716">
        <f t="shared" si="8"/>
        <v>219</v>
      </c>
      <c r="K31" s="1697" t="s">
        <v>1073</v>
      </c>
      <c r="L31" s="1697" t="s">
        <v>1071</v>
      </c>
      <c r="M31" s="1697" t="s">
        <v>1072</v>
      </c>
      <c r="N31" s="1697" t="s">
        <v>1240</v>
      </c>
      <c r="O31" s="1697" t="s">
        <v>1075</v>
      </c>
      <c r="P31" s="35"/>
      <c r="Q31" s="35"/>
      <c r="R31" s="35"/>
      <c r="S31" s="35"/>
      <c r="T31" s="35"/>
      <c r="U31" s="35"/>
      <c r="V31" s="35"/>
      <c r="W31" s="35"/>
      <c r="X31" s="35"/>
      <c r="Y31" s="35"/>
      <c r="Z31" s="35"/>
      <c r="AA31" s="35"/>
      <c r="AB31" s="35"/>
      <c r="AC31" s="35"/>
      <c r="AD31" s="35"/>
      <c r="AE31" s="35"/>
    </row>
    <row r="32" spans="1:31" ht="14.25" customHeight="1" thickTop="1" thickBot="1">
      <c r="A32" s="8" t="s">
        <v>3</v>
      </c>
      <c r="B32" s="44">
        <f>SUM(B26:B31)</f>
        <v>120382321</v>
      </c>
      <c r="C32" s="89">
        <f>SUM(C26:C31)</f>
        <v>3503</v>
      </c>
      <c r="D32" s="723">
        <f>SUM(D26:D31)</f>
        <v>32619749</v>
      </c>
      <c r="E32" s="723">
        <f>SUM(E26:E31)</f>
        <v>0</v>
      </c>
      <c r="F32" s="802">
        <f>SUM(F26:F31)</f>
        <v>87762572</v>
      </c>
      <c r="G32" s="1708" t="s">
        <v>8</v>
      </c>
      <c r="H32" s="1709"/>
      <c r="I32" s="783" t="s">
        <v>1166</v>
      </c>
      <c r="J32" s="725">
        <f>SUM(J26:J31)</f>
        <v>2554</v>
      </c>
      <c r="K32" s="1698"/>
      <c r="L32" s="1698"/>
      <c r="M32" s="1698"/>
      <c r="N32" s="1698" t="s">
        <v>1074</v>
      </c>
      <c r="O32" s="1698" t="s">
        <v>1075</v>
      </c>
    </row>
    <row r="33" spans="1:31" ht="13.5" thickTop="1">
      <c r="A33" s="11" t="s">
        <v>68</v>
      </c>
      <c r="B33" s="52">
        <f>B15+B20+B23+B32</f>
        <v>805997999</v>
      </c>
      <c r="C33" s="45">
        <f>C15+C20+C23+C32</f>
        <v>23457</v>
      </c>
      <c r="D33" s="52">
        <f>D15+D20+D23+D32</f>
        <v>47605346</v>
      </c>
      <c r="E33" s="52">
        <f>E15+E20+E23+E32</f>
        <v>0</v>
      </c>
      <c r="F33" s="880">
        <f>F15+F20+F23+F32</f>
        <v>758392653</v>
      </c>
      <c r="G33" s="1717" t="s">
        <v>84</v>
      </c>
      <c r="H33" s="1717"/>
      <c r="I33" s="1375">
        <f>ROUND($G$35/$C$6,0)</f>
        <v>22071</v>
      </c>
      <c r="J33" s="726">
        <f>J15+J20+J23+J32</f>
        <v>22072</v>
      </c>
      <c r="K33" s="1698"/>
      <c r="L33" s="1698"/>
      <c r="M33" s="1698"/>
      <c r="N33" s="1698"/>
      <c r="O33" s="1698"/>
    </row>
    <row r="34" spans="1:31" ht="13.5" thickBot="1">
      <c r="B34" s="9"/>
      <c r="C34" s="75"/>
      <c r="D34" s="337"/>
      <c r="E34" s="337"/>
      <c r="F34" s="337" t="s">
        <v>1199</v>
      </c>
      <c r="G34" s="881">
        <f>G14*-1</f>
        <v>0</v>
      </c>
      <c r="H34" s="337"/>
      <c r="I34" s="783" t="s">
        <v>1167</v>
      </c>
      <c r="J34" s="727"/>
      <c r="K34" s="1699"/>
      <c r="L34" s="1699"/>
      <c r="M34" s="1699"/>
      <c r="N34" s="1699"/>
      <c r="O34" s="1699"/>
    </row>
    <row r="35" spans="1:31" ht="14.25" thickTop="1" thickBot="1">
      <c r="A35" s="24" t="s">
        <v>72</v>
      </c>
      <c r="B35" s="24"/>
      <c r="C35" s="81"/>
      <c r="D35" s="728"/>
      <c r="E35" s="728"/>
      <c r="F35" s="788" t="s">
        <v>1165</v>
      </c>
      <c r="G35" s="803">
        <f>F33+G34</f>
        <v>758392653</v>
      </c>
      <c r="I35" s="1376">
        <f>ROUND($G$35/$I$8,0)</f>
        <v>308754</v>
      </c>
      <c r="K35" s="609"/>
      <c r="L35" s="609"/>
      <c r="M35" s="609"/>
      <c r="N35" s="609"/>
      <c r="O35" s="609"/>
    </row>
    <row r="36" spans="1:31" ht="13.5" thickTop="1">
      <c r="A36" s="6" t="s">
        <v>14</v>
      </c>
      <c r="B36" s="43">
        <f>'ARL FGD'!M60</f>
        <v>198085111</v>
      </c>
      <c r="C36" s="83">
        <f t="shared" ref="C36:C46" si="9">ROUND(B36/$C$6,0)</f>
        <v>5765</v>
      </c>
      <c r="D36" s="512">
        <f>'ARL FGD'!F60</f>
        <v>0</v>
      </c>
      <c r="E36" s="512"/>
      <c r="F36" s="512">
        <f t="shared" ref="F36:F46" si="10">B36-(SUM(D36:E36))</f>
        <v>198085111</v>
      </c>
      <c r="G36" s="337"/>
      <c r="H36" s="1378" t="s">
        <v>2158</v>
      </c>
      <c r="I36" s="1379">
        <f>ROUND(F36/$C$6,0)</f>
        <v>5765</v>
      </c>
      <c r="J36" s="337" t="s">
        <v>752</v>
      </c>
      <c r="K36" s="512">
        <f>F36</f>
        <v>198085111</v>
      </c>
      <c r="L36" s="512">
        <f>K36</f>
        <v>198085111</v>
      </c>
      <c r="M36" s="512"/>
      <c r="N36" s="512"/>
      <c r="O36" s="512"/>
    </row>
    <row r="37" spans="1:31">
      <c r="A37" s="6" t="s">
        <v>15</v>
      </c>
      <c r="B37" s="47">
        <f>'ARL FGD'!M61</f>
        <v>103398965</v>
      </c>
      <c r="C37" s="87">
        <f t="shared" si="9"/>
        <v>3009</v>
      </c>
      <c r="D37" s="86">
        <f>'ARL FGD'!F61</f>
        <v>0</v>
      </c>
      <c r="E37" s="74"/>
      <c r="F37" s="74">
        <f t="shared" si="10"/>
        <v>103398965</v>
      </c>
      <c r="G37" s="337"/>
      <c r="H37" s="337"/>
      <c r="J37" s="337" t="s">
        <v>1076</v>
      </c>
      <c r="K37" s="373">
        <f>F37</f>
        <v>103398965</v>
      </c>
      <c r="L37" s="373">
        <f>K37</f>
        <v>103398965</v>
      </c>
      <c r="M37" s="373"/>
      <c r="N37" s="373"/>
      <c r="O37" s="373"/>
    </row>
    <row r="38" spans="1:31">
      <c r="A38" s="6" t="s">
        <v>16</v>
      </c>
      <c r="B38" s="47">
        <f>'ARL FGD'!M62</f>
        <v>12261806</v>
      </c>
      <c r="C38" s="87">
        <f t="shared" si="9"/>
        <v>357</v>
      </c>
      <c r="D38" s="86">
        <f>'ARL FGD'!F62</f>
        <v>0</v>
      </c>
      <c r="E38" s="86">
        <f>B38-D38</f>
        <v>12261806</v>
      </c>
      <c r="F38" s="74">
        <f t="shared" si="10"/>
        <v>0</v>
      </c>
      <c r="G38" s="337"/>
      <c r="H38" s="337"/>
      <c r="I38" s="337"/>
      <c r="J38" s="337" t="s">
        <v>1077</v>
      </c>
      <c r="K38" s="736"/>
      <c r="L38" s="737"/>
      <c r="M38" s="737" t="s">
        <v>1152</v>
      </c>
      <c r="N38" s="737"/>
      <c r="O38" s="738"/>
    </row>
    <row r="39" spans="1:31">
      <c r="A39" s="6" t="s">
        <v>17</v>
      </c>
      <c r="B39" s="47">
        <f>'ARL FGD'!M63</f>
        <v>61502658</v>
      </c>
      <c r="C39" s="87">
        <f t="shared" si="9"/>
        <v>1790</v>
      </c>
      <c r="D39" s="86">
        <f>'ARL FGD'!F63</f>
        <v>0</v>
      </c>
      <c r="E39" s="74"/>
      <c r="F39" s="74">
        <f t="shared" si="10"/>
        <v>61502658</v>
      </c>
      <c r="G39" s="337"/>
      <c r="H39" s="1378" t="s">
        <v>2159</v>
      </c>
      <c r="I39" s="1379">
        <f>ROUND(F39/$C$6,0)</f>
        <v>1790</v>
      </c>
      <c r="J39" s="337" t="s">
        <v>1078</v>
      </c>
      <c r="K39" s="373">
        <f t="shared" ref="K39:K43" si="11">F39</f>
        <v>61502658</v>
      </c>
      <c r="L39" s="373">
        <f>K39</f>
        <v>61502658</v>
      </c>
      <c r="M39" s="373"/>
      <c r="N39" s="373"/>
      <c r="O39" s="373"/>
    </row>
    <row r="40" spans="1:31">
      <c r="A40" s="6" t="s">
        <v>18</v>
      </c>
      <c r="B40" s="47">
        <f>'ARL FGD'!M64</f>
        <v>86706832</v>
      </c>
      <c r="C40" s="87">
        <f t="shared" si="9"/>
        <v>2523</v>
      </c>
      <c r="D40" s="86">
        <f>'ARL FGD'!F64</f>
        <v>0</v>
      </c>
      <c r="E40" s="74"/>
      <c r="F40" s="74">
        <f t="shared" si="10"/>
        <v>86706832</v>
      </c>
      <c r="G40" s="337"/>
      <c r="J40" s="337" t="s">
        <v>1079</v>
      </c>
      <c r="K40" s="373">
        <f t="shared" si="11"/>
        <v>86706832</v>
      </c>
      <c r="L40" s="373"/>
      <c r="M40" s="373">
        <f>K40</f>
        <v>86706832</v>
      </c>
      <c r="N40" s="373"/>
      <c r="O40" s="373"/>
    </row>
    <row r="41" spans="1:31">
      <c r="A41" s="6" t="s">
        <v>19</v>
      </c>
      <c r="B41" s="47">
        <f>'ARL FGD'!M65</f>
        <v>49489123</v>
      </c>
      <c r="C41" s="87">
        <f t="shared" si="9"/>
        <v>1440</v>
      </c>
      <c r="D41" s="86">
        <f>'ARL FGD'!F65</f>
        <v>0</v>
      </c>
      <c r="E41" s="74"/>
      <c r="F41" s="74">
        <f t="shared" si="10"/>
        <v>49489123</v>
      </c>
      <c r="G41" s="337"/>
      <c r="H41" s="1378" t="s">
        <v>2160</v>
      </c>
      <c r="I41" s="1379">
        <f>ROUND(F41/$C$6,0)</f>
        <v>1440</v>
      </c>
      <c r="J41" s="337" t="s">
        <v>757</v>
      </c>
      <c r="K41" s="373">
        <f t="shared" si="11"/>
        <v>49489123</v>
      </c>
      <c r="L41" s="373"/>
      <c r="M41" s="373"/>
      <c r="N41" s="373">
        <f>K41</f>
        <v>49489123</v>
      </c>
      <c r="O41" s="373"/>
    </row>
    <row r="42" spans="1:31">
      <c r="A42" s="6" t="s">
        <v>20</v>
      </c>
      <c r="B42" s="47">
        <f>'ARL FGD'!M66</f>
        <v>41926574</v>
      </c>
      <c r="C42" s="87">
        <f t="shared" si="9"/>
        <v>1220</v>
      </c>
      <c r="D42" s="86">
        <f>'ARL FGD'!F66</f>
        <v>0</v>
      </c>
      <c r="E42" s="74"/>
      <c r="F42" s="74">
        <f t="shared" si="10"/>
        <v>41926574</v>
      </c>
      <c r="G42" s="337"/>
      <c r="J42" s="337" t="s">
        <v>758</v>
      </c>
      <c r="K42" s="373">
        <f t="shared" si="11"/>
        <v>41926574</v>
      </c>
      <c r="L42" s="373"/>
      <c r="M42" s="373"/>
      <c r="N42" s="373">
        <f>K42</f>
        <v>41926574</v>
      </c>
      <c r="O42" s="373"/>
    </row>
    <row r="43" spans="1:31">
      <c r="A43" s="6" t="s">
        <v>21</v>
      </c>
      <c r="B43" s="47">
        <f>'ARL FGD'!M67</f>
        <v>86880446</v>
      </c>
      <c r="C43" s="87">
        <f t="shared" si="9"/>
        <v>2528</v>
      </c>
      <c r="D43" s="86">
        <f>'ARL FGD'!F67</f>
        <v>0</v>
      </c>
      <c r="E43" s="74"/>
      <c r="F43" s="74">
        <f t="shared" si="10"/>
        <v>86880446</v>
      </c>
      <c r="G43" s="337"/>
      <c r="H43" s="337"/>
      <c r="I43" s="337"/>
      <c r="J43" s="337" t="s">
        <v>1145</v>
      </c>
      <c r="K43" s="373">
        <f t="shared" si="11"/>
        <v>86880446</v>
      </c>
      <c r="L43" s="373"/>
      <c r="M43" s="373">
        <f>K43</f>
        <v>86880446</v>
      </c>
      <c r="N43" s="373"/>
      <c r="O43" s="373"/>
    </row>
    <row r="44" spans="1:31">
      <c r="A44" s="6" t="s">
        <v>2135</v>
      </c>
      <c r="B44" s="47">
        <f>'ARL FGD'!M68</f>
        <v>50885065</v>
      </c>
      <c r="C44" s="87">
        <f t="shared" si="9"/>
        <v>1481</v>
      </c>
      <c r="D44" s="729">
        <f>B44</f>
        <v>50885065</v>
      </c>
      <c r="E44" s="74"/>
      <c r="F44" s="74">
        <f t="shared" si="10"/>
        <v>0</v>
      </c>
      <c r="G44" s="337"/>
      <c r="H44" s="337"/>
      <c r="I44" s="337"/>
      <c r="J44" s="337" t="s">
        <v>743</v>
      </c>
      <c r="K44" s="736"/>
      <c r="L44" s="737"/>
      <c r="M44" s="737" t="s">
        <v>1152</v>
      </c>
      <c r="N44" s="737"/>
      <c r="O44" s="738"/>
    </row>
    <row r="45" spans="1:31">
      <c r="A45" s="6" t="s">
        <v>61</v>
      </c>
      <c r="B45" s="47">
        <f>'ARL FGD'!M69</f>
        <v>3768636</v>
      </c>
      <c r="C45" s="87">
        <f t="shared" si="9"/>
        <v>110</v>
      </c>
      <c r="D45" s="86">
        <f>'ARL FGD'!F69</f>
        <v>163539</v>
      </c>
      <c r="E45" s="74"/>
      <c r="F45" s="74">
        <f t="shared" si="10"/>
        <v>3605097</v>
      </c>
      <c r="G45" s="337"/>
      <c r="H45" s="337"/>
      <c r="I45" s="337"/>
      <c r="J45" s="337" t="s">
        <v>1080</v>
      </c>
      <c r="K45" s="373">
        <f t="shared" ref="K45:K46" si="12">F45</f>
        <v>3605097</v>
      </c>
      <c r="L45" s="373"/>
      <c r="M45" s="373"/>
      <c r="N45" s="373"/>
      <c r="O45" s="373">
        <f>K45</f>
        <v>3605097</v>
      </c>
    </row>
    <row r="46" spans="1:31" ht="13.5" thickBot="1">
      <c r="A46" s="2" t="s">
        <v>50</v>
      </c>
      <c r="B46" s="47">
        <f>'ARL FGD'!M70</f>
        <v>728377</v>
      </c>
      <c r="C46" s="87">
        <f t="shared" si="9"/>
        <v>21</v>
      </c>
      <c r="D46" s="86">
        <f>'ARL FGD'!F70</f>
        <v>0</v>
      </c>
      <c r="E46" s="74"/>
      <c r="F46" s="74">
        <f t="shared" si="10"/>
        <v>728377</v>
      </c>
      <c r="G46" s="35"/>
      <c r="H46" s="1378" t="s">
        <v>2161</v>
      </c>
      <c r="I46" s="1379">
        <f>ROUND(SUM(F37+F40+F42+F43+F45+F46)/$C$6,0)</f>
        <v>9407</v>
      </c>
      <c r="J46" s="610" t="s">
        <v>1075</v>
      </c>
      <c r="K46" s="373">
        <f t="shared" si="12"/>
        <v>728377</v>
      </c>
      <c r="L46" s="611"/>
      <c r="M46" s="611"/>
      <c r="N46" s="611"/>
      <c r="O46" s="373">
        <f>K46</f>
        <v>728377</v>
      </c>
      <c r="P46" s="35"/>
      <c r="Q46" s="35"/>
      <c r="R46" s="35"/>
      <c r="S46" s="35"/>
      <c r="T46" s="35"/>
      <c r="U46" s="35"/>
      <c r="V46" s="35"/>
      <c r="W46" s="35"/>
      <c r="X46" s="35"/>
      <c r="Y46" s="35"/>
      <c r="Z46" s="35"/>
      <c r="AA46" s="35"/>
      <c r="AB46" s="35"/>
      <c r="AC46" s="35"/>
      <c r="AD46" s="35"/>
      <c r="AE46" s="35"/>
    </row>
    <row r="47" spans="1:31" ht="14.25" customHeight="1" thickTop="1" thickBot="1">
      <c r="A47" s="22" t="s">
        <v>69</v>
      </c>
      <c r="B47" s="45">
        <f>SUM(B36:B46)</f>
        <v>695633593</v>
      </c>
      <c r="C47" s="45">
        <f>SUM(C36:C46)</f>
        <v>20244</v>
      </c>
      <c r="D47" s="730">
        <f>SUM(D36:D46)</f>
        <v>51048604</v>
      </c>
      <c r="E47" s="731">
        <f>SUM(E36:E46)</f>
        <v>12261806</v>
      </c>
      <c r="F47" s="719">
        <f>SUM(F36:F46)</f>
        <v>632323183</v>
      </c>
      <c r="G47" s="1688" t="s">
        <v>1176</v>
      </c>
      <c r="H47" s="1689"/>
      <c r="I47" s="785" t="s">
        <v>1164</v>
      </c>
      <c r="J47" s="610" t="s">
        <v>1081</v>
      </c>
      <c r="K47" s="612">
        <f>SUM(K36:K46)</f>
        <v>632323183</v>
      </c>
      <c r="L47" s="612">
        <f>SUM(L36:L46)</f>
        <v>362986734</v>
      </c>
      <c r="M47" s="612">
        <f>SUM(M36:M46)</f>
        <v>173587278</v>
      </c>
      <c r="N47" s="612">
        <f>SUM(N36:N46)</f>
        <v>91415697</v>
      </c>
      <c r="O47" s="612">
        <f>SUM(O36:O46)</f>
        <v>4333474</v>
      </c>
    </row>
    <row r="48" spans="1:31" ht="14.25" thickTop="1" thickBot="1">
      <c r="A48" s="3"/>
      <c r="B48" s="9"/>
      <c r="C48" s="75"/>
      <c r="F48" s="613"/>
      <c r="G48" s="1690"/>
      <c r="H48" s="1691"/>
      <c r="I48" s="823">
        <f>ROUND(F47/C6,0)</f>
        <v>18402</v>
      </c>
      <c r="J48" s="1700" t="s">
        <v>1082</v>
      </c>
      <c r="K48" s="611"/>
      <c r="L48" s="611"/>
      <c r="M48" s="611"/>
      <c r="N48" s="611"/>
      <c r="O48" s="611"/>
    </row>
    <row r="49" spans="1:31" ht="13.5" thickBot="1">
      <c r="A49" s="5" t="s">
        <v>23</v>
      </c>
      <c r="B49" s="7"/>
      <c r="C49" s="75"/>
      <c r="F49" s="614"/>
      <c r="G49" s="1690"/>
      <c r="H49" s="1691"/>
      <c r="I49" s="811"/>
      <c r="J49" s="1700"/>
      <c r="K49" s="615">
        <f>ROUND(K47/$C$6,2)</f>
        <v>18401.740000000002</v>
      </c>
      <c r="L49" s="615">
        <f t="shared" ref="L49:O49" si="13">ROUND(L47/$C$6,2)</f>
        <v>10563.56</v>
      </c>
      <c r="M49" s="615">
        <f t="shared" si="13"/>
        <v>5051.7</v>
      </c>
      <c r="N49" s="615">
        <f t="shared" si="13"/>
        <v>2660.36</v>
      </c>
      <c r="O49" s="615">
        <f t="shared" si="13"/>
        <v>126.11</v>
      </c>
      <c r="P49" s="35"/>
      <c r="Q49" s="35"/>
      <c r="R49" s="35"/>
      <c r="S49" s="35"/>
      <c r="T49" s="35"/>
      <c r="U49" s="35"/>
      <c r="V49" s="35"/>
      <c r="W49" s="35"/>
      <c r="X49" s="35"/>
      <c r="Y49" s="35"/>
      <c r="Z49" s="35"/>
      <c r="AA49" s="35"/>
      <c r="AB49" s="35"/>
      <c r="AC49" s="35"/>
      <c r="AD49" s="35"/>
      <c r="AE49" s="35"/>
    </row>
    <row r="50" spans="1:31" ht="13.5" thickBot="1">
      <c r="A50" s="2" t="s">
        <v>62</v>
      </c>
      <c r="B50" s="47">
        <f>'ARL FGD'!M74</f>
        <v>-35588085</v>
      </c>
      <c r="C50" s="83">
        <f t="shared" ref="C50:C53" si="14">ROUND(B50/$C$6,0)</f>
        <v>-1036</v>
      </c>
      <c r="D50" s="512">
        <f>'ARL FGD'!F74</f>
        <v>0</v>
      </c>
      <c r="E50" s="512"/>
      <c r="F50" s="732">
        <f t="shared" ref="F50:F53" si="15">B50-(SUM(D50:E50))</f>
        <v>-35588085</v>
      </c>
      <c r="G50" s="1692"/>
      <c r="H50" s="1693"/>
      <c r="I50" s="808"/>
      <c r="J50" s="38"/>
      <c r="K50" s="35"/>
      <c r="L50" s="35"/>
      <c r="M50" s="35"/>
      <c r="N50" s="35"/>
      <c r="O50" s="35"/>
      <c r="P50" s="35"/>
      <c r="Q50" s="35"/>
      <c r="R50" s="35"/>
      <c r="S50" s="35"/>
      <c r="T50" s="35"/>
      <c r="U50" s="35"/>
      <c r="V50" s="35"/>
      <c r="W50" s="35"/>
      <c r="X50" s="35"/>
      <c r="Y50" s="35"/>
      <c r="Z50" s="35"/>
      <c r="AA50" s="35"/>
      <c r="AB50" s="35"/>
      <c r="AC50" s="35"/>
      <c r="AD50" s="35"/>
      <c r="AE50" s="35"/>
    </row>
    <row r="51" spans="1:31" ht="13.5" thickTop="1">
      <c r="A51" s="261" t="s">
        <v>572</v>
      </c>
      <c r="B51" s="47">
        <f>'ARL FGD'!M75</f>
        <v>7533236</v>
      </c>
      <c r="C51" s="87">
        <f t="shared" si="14"/>
        <v>219</v>
      </c>
      <c r="D51" s="91">
        <f>'ARL FGD'!F75</f>
        <v>10134725</v>
      </c>
      <c r="E51" s="82"/>
      <c r="F51" s="74">
        <f t="shared" si="15"/>
        <v>-2601489</v>
      </c>
      <c r="G51" s="337"/>
      <c r="J51" s="337"/>
      <c r="K51" s="616"/>
      <c r="L51" s="616"/>
      <c r="M51" s="616"/>
      <c r="N51" s="616"/>
      <c r="O51" s="616"/>
    </row>
    <row r="52" spans="1:31">
      <c r="A52" s="2" t="s">
        <v>51</v>
      </c>
      <c r="B52" s="47">
        <f>'ARL FGD'!M76</f>
        <v>35870062</v>
      </c>
      <c r="C52" s="87">
        <f t="shared" si="14"/>
        <v>1044</v>
      </c>
      <c r="D52" s="91">
        <f>'ARL FGD'!F76</f>
        <v>0</v>
      </c>
      <c r="E52" s="82"/>
      <c r="F52" s="74">
        <f t="shared" si="15"/>
        <v>35870062</v>
      </c>
      <c r="G52" s="337"/>
      <c r="J52" s="733"/>
      <c r="K52" s="733"/>
      <c r="L52" s="733"/>
      <c r="M52" s="733"/>
      <c r="N52" s="733"/>
      <c r="O52" s="733"/>
    </row>
    <row r="53" spans="1:31" ht="12" customHeight="1">
      <c r="A53" s="2" t="s">
        <v>46</v>
      </c>
      <c r="B53" s="47">
        <f>'ARL FGD'!M77</f>
        <v>-22816206</v>
      </c>
      <c r="C53" s="87">
        <f t="shared" si="14"/>
        <v>-664</v>
      </c>
      <c r="D53" s="91">
        <f>'ARL FGD'!F77</f>
        <v>-8127827</v>
      </c>
      <c r="E53" s="82"/>
      <c r="F53" s="74">
        <f t="shared" si="15"/>
        <v>-14688379</v>
      </c>
      <c r="G53" s="35"/>
      <c r="J53" s="733"/>
      <c r="K53" s="733"/>
      <c r="L53" s="733"/>
      <c r="M53" s="733"/>
      <c r="N53" s="733"/>
      <c r="O53" s="733"/>
      <c r="P53" s="35"/>
      <c r="Q53" s="35"/>
      <c r="R53" s="35"/>
      <c r="S53" s="35"/>
      <c r="T53" s="35"/>
      <c r="U53" s="35"/>
      <c r="V53" s="35"/>
      <c r="W53" s="35"/>
      <c r="X53" s="35"/>
      <c r="Y53" s="35"/>
      <c r="Z53" s="35"/>
      <c r="AA53" s="35"/>
      <c r="AB53" s="35"/>
      <c r="AC53" s="35"/>
      <c r="AD53" s="35"/>
      <c r="AE53" s="35"/>
    </row>
    <row r="54" spans="1:31">
      <c r="A54" s="8" t="s">
        <v>3</v>
      </c>
      <c r="B54" s="44">
        <f>SUM(B50:B53)</f>
        <v>-15000993</v>
      </c>
      <c r="C54" s="89">
        <f>SUM(C50:C53)</f>
        <v>-437</v>
      </c>
      <c r="D54" s="89">
        <f>SUM(D50:D53)</f>
        <v>2006898</v>
      </c>
      <c r="E54" s="89">
        <f>SUM(E50:E53)</f>
        <v>0</v>
      </c>
      <c r="F54" s="102">
        <f>SUM(F50:F53)</f>
        <v>-17007891</v>
      </c>
      <c r="G54" s="337"/>
      <c r="H54" s="337"/>
      <c r="I54" s="337"/>
      <c r="J54" s="733"/>
      <c r="K54" s="733"/>
      <c r="L54" s="733"/>
      <c r="M54" s="733"/>
      <c r="N54" s="733"/>
      <c r="O54" s="733"/>
    </row>
    <row r="55" spans="1:31">
      <c r="B55" s="7"/>
      <c r="C55" s="75"/>
    </row>
    <row r="56" spans="1:31">
      <c r="A56" s="5" t="s">
        <v>24</v>
      </c>
      <c r="B56" s="7"/>
      <c r="C56" s="75"/>
      <c r="F56" s="368"/>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row>
    <row r="57" spans="1:31">
      <c r="A57" s="2" t="s">
        <v>47</v>
      </c>
      <c r="B57" s="47">
        <f>'ARL FGD'!M81</f>
        <v>122629647</v>
      </c>
      <c r="C57" s="83">
        <f>ROUND(B57/$C$6,0)</f>
        <v>3569</v>
      </c>
      <c r="D57" s="512">
        <f>'ARL FGD'!F81</f>
        <v>2717888</v>
      </c>
      <c r="E57" s="512"/>
      <c r="F57" s="512">
        <f t="shared" ref="F57:F58" si="16">B57-(SUM(D57:E57))</f>
        <v>119911759</v>
      </c>
      <c r="G57" s="337"/>
      <c r="H57" s="337"/>
      <c r="I57" s="337"/>
      <c r="J57" s="337"/>
    </row>
    <row r="58" spans="1:31">
      <c r="A58" s="2" t="s">
        <v>48</v>
      </c>
      <c r="B58" s="47">
        <f>'ARL FGD'!M82</f>
        <v>1396992</v>
      </c>
      <c r="C58" s="87">
        <f>ROUND(B58/$C$6,0)</f>
        <v>41</v>
      </c>
      <c r="D58" s="91">
        <f>'ARL FGD'!F82</f>
        <v>0</v>
      </c>
      <c r="E58" s="82"/>
      <c r="F58" s="74">
        <f t="shared" si="16"/>
        <v>1396992</v>
      </c>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row>
    <row r="59" spans="1:31" s="3" customFormat="1">
      <c r="A59" s="8" t="s">
        <v>3</v>
      </c>
      <c r="B59" s="44">
        <f>SUM(B57:B58)</f>
        <v>124026639</v>
      </c>
      <c r="C59" s="89">
        <f>SUM(C57:C58)</f>
        <v>3610</v>
      </c>
      <c r="D59" s="89">
        <f>SUM(D57:D58)</f>
        <v>2717888</v>
      </c>
      <c r="E59" s="89">
        <f>SUM(E57:E58)</f>
        <v>0</v>
      </c>
      <c r="F59" s="89">
        <f>SUM(F57:F58)</f>
        <v>121308751</v>
      </c>
      <c r="G59" s="367"/>
      <c r="H59" s="367"/>
      <c r="I59" s="367"/>
      <c r="J59" s="367"/>
      <c r="K59" s="266"/>
      <c r="L59" s="266"/>
      <c r="M59" s="266"/>
      <c r="N59" s="266"/>
      <c r="O59" s="266"/>
      <c r="P59" s="266"/>
    </row>
    <row r="60" spans="1:31">
      <c r="B60" s="7"/>
      <c r="C60" s="75"/>
    </row>
    <row r="61" spans="1:31" ht="13.5" thickBot="1">
      <c r="A61" s="33" t="s">
        <v>573</v>
      </c>
      <c r="B61" s="46">
        <f>B33-B47+B54+B59</f>
        <v>219390052</v>
      </c>
      <c r="C61" s="46">
        <f>C33-C47+C54+C59</f>
        <v>6386</v>
      </c>
      <c r="D61" s="46">
        <f>D33-D47+D54+D59</f>
        <v>1281528</v>
      </c>
      <c r="E61" s="46">
        <f>E33-E47+E54+E59</f>
        <v>-12261806</v>
      </c>
      <c r="F61" s="46">
        <f>F33-F47+F54+F59</f>
        <v>230370330</v>
      </c>
    </row>
    <row r="62" spans="1:31" ht="13.5" thickTop="1"/>
    <row r="63" spans="1:31">
      <c r="D63" s="512"/>
    </row>
    <row r="65" spans="2:16">
      <c r="B65" s="734">
        <f>'ARL FGD'!$M$85</f>
        <v>219390052</v>
      </c>
      <c r="C65" s="75"/>
      <c r="D65" s="734">
        <f>'ARL FGD'!$F$85</f>
        <v>3027127</v>
      </c>
      <c r="E65" s="734">
        <f>'ARL FGD'!$M$62*-1</f>
        <v>-12261806</v>
      </c>
      <c r="F65" s="75"/>
    </row>
    <row r="66" spans="2:16">
      <c r="B66" s="734"/>
      <c r="C66" s="75"/>
      <c r="D66" s="734">
        <f>'ARL FGD'!$F$68</f>
        <v>49139466</v>
      </c>
      <c r="E66" s="734">
        <f>+$D$38</f>
        <v>0</v>
      </c>
      <c r="F66" s="734"/>
    </row>
    <row r="67" spans="2:16">
      <c r="B67" s="759"/>
      <c r="C67" s="75"/>
      <c r="D67" s="759">
        <f>-'ARL FGD'!$M$68</f>
        <v>-50885065</v>
      </c>
      <c r="E67" s="759"/>
      <c r="F67" s="734"/>
    </row>
    <row r="68" spans="2:16">
      <c r="B68" s="734">
        <f>SUM(B65:B67)</f>
        <v>219390052</v>
      </c>
      <c r="C68" s="75"/>
      <c r="D68" s="734">
        <f>SUM(D65:D67)</f>
        <v>1281528</v>
      </c>
      <c r="E68" s="734">
        <f>SUM(E65:E67)</f>
        <v>-12261806</v>
      </c>
      <c r="F68" s="734">
        <f>B68-D68-E68</f>
        <v>230370330</v>
      </c>
    </row>
    <row r="69" spans="2:16">
      <c r="B69" s="734"/>
      <c r="C69" s="75"/>
      <c r="D69" s="734">
        <f>'ARL FGD'!F54*-1</f>
        <v>-31718698</v>
      </c>
      <c r="E69" s="734"/>
      <c r="F69" s="734"/>
    </row>
    <row r="70" spans="2:16" ht="12.75" customHeight="1">
      <c r="B70" s="759"/>
      <c r="C70" s="95"/>
      <c r="D70" s="759">
        <f>'ARL FGD'!M54</f>
        <v>31718698</v>
      </c>
      <c r="E70" s="759"/>
      <c r="F70" s="759">
        <f>-D70-D69</f>
        <v>0</v>
      </c>
    </row>
    <row r="71" spans="2:16" ht="12.75" customHeight="1">
      <c r="B71" s="734">
        <f>SUM(B68:B70)</f>
        <v>219390052</v>
      </c>
      <c r="C71" s="75"/>
      <c r="D71" s="734">
        <f>SUM(D68:D70)</f>
        <v>1281528</v>
      </c>
      <c r="E71" s="734">
        <f>SUM(E68:E70)</f>
        <v>-12261806</v>
      </c>
      <c r="F71" s="734">
        <f>SUM(F68:F70)</f>
        <v>230370330</v>
      </c>
    </row>
    <row r="72" spans="2:16" ht="12.75" customHeight="1">
      <c r="B72" s="734"/>
      <c r="C72" s="75"/>
      <c r="D72" s="734"/>
      <c r="E72" s="734"/>
      <c r="F72" s="734"/>
    </row>
    <row r="73" spans="2:16" ht="12.75" customHeight="1">
      <c r="B73" s="512">
        <f>B61-B71</f>
        <v>0</v>
      </c>
      <c r="C73" s="75"/>
      <c r="D73" s="512">
        <f>D61-D71</f>
        <v>0</v>
      </c>
      <c r="E73" s="512">
        <f>E61-E71</f>
        <v>0</v>
      </c>
      <c r="F73" s="512">
        <f>F61-F71</f>
        <v>0</v>
      </c>
    </row>
    <row r="74" spans="2:16" ht="12.75" customHeight="1">
      <c r="B74" s="75"/>
      <c r="C74" s="75"/>
      <c r="F74" s="617" t="str">
        <f>IF(F73=0,"Balanced","Error")</f>
        <v>Balanced</v>
      </c>
    </row>
    <row r="76" spans="2:16" s="25" customFormat="1">
      <c r="D76" s="337"/>
      <c r="E76" s="337"/>
      <c r="F76" s="337"/>
      <c r="G76" s="337"/>
      <c r="H76" s="337"/>
      <c r="I76" s="337"/>
      <c r="J76" s="337"/>
      <c r="K76" s="337"/>
      <c r="L76" s="337"/>
      <c r="M76" s="337"/>
      <c r="N76" s="337"/>
      <c r="O76" s="337"/>
      <c r="P76" s="337"/>
    </row>
    <row r="77" spans="2:16" s="25" customFormat="1">
      <c r="D77" s="337"/>
      <c r="E77" s="337"/>
      <c r="F77" s="337"/>
      <c r="G77" s="337"/>
      <c r="H77" s="337"/>
      <c r="I77" s="337"/>
      <c r="J77" s="337"/>
      <c r="K77" s="337"/>
      <c r="L77" s="337"/>
      <c r="M77" s="337"/>
      <c r="N77" s="337"/>
      <c r="O77" s="337"/>
      <c r="P77" s="337"/>
    </row>
    <row r="79" spans="2:16" s="25" customFormat="1">
      <c r="D79" s="337"/>
      <c r="E79" s="337"/>
      <c r="F79" s="337"/>
      <c r="G79" s="337"/>
      <c r="H79" s="337"/>
      <c r="I79" s="337"/>
      <c r="J79" s="337"/>
      <c r="K79" s="337"/>
      <c r="L79" s="337"/>
      <c r="M79" s="337"/>
      <c r="N79" s="337"/>
      <c r="O79" s="337"/>
      <c r="P79" s="337"/>
    </row>
  </sheetData>
  <mergeCells count="16">
    <mergeCell ref="G47:H50"/>
    <mergeCell ref="K30:O30"/>
    <mergeCell ref="M31:M34"/>
    <mergeCell ref="G32:H32"/>
    <mergeCell ref="G33:H33"/>
    <mergeCell ref="L31:L34"/>
    <mergeCell ref="K31:K34"/>
    <mergeCell ref="N31:N34"/>
    <mergeCell ref="O31:O34"/>
    <mergeCell ref="J48:J49"/>
    <mergeCell ref="F1:I1"/>
    <mergeCell ref="J1:O1"/>
    <mergeCell ref="D1:E1"/>
    <mergeCell ref="K29:O29"/>
    <mergeCell ref="D4:D5"/>
    <mergeCell ref="E4:E5"/>
  </mergeCells>
  <phoneticPr fontId="0" type="noConversion"/>
  <hyperlinks>
    <hyperlink ref="D1:E1" location="Index!A1" display="Return to Index" xr:uid="{00000000-0004-0000-1A00-000000000000}"/>
  </hyperlinks>
  <printOptions horizontalCentered="1"/>
  <pageMargins left="0.5" right="0.5" top="0.25" bottom="0.25" header="0" footer="0.25"/>
  <pageSetup scale="92" orientation="portrait" r:id="rId1"/>
  <headerFooter alignWithMargins="0"/>
  <rowBreaks count="1" manualBreakCount="1">
    <brk id="62" max="1" man="1"/>
  </rowBreaks>
  <ignoredErrors>
    <ignoredError sqref="B59 B54:B56 B57:B58 B60:B61 B50:B53" unlockedFormula="1"/>
    <ignoredError sqref="C38" formula="1"/>
  </ignoredError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5">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3.7109375" style="166" customWidth="1"/>
    <col min="2" max="2" width="60.140625" style="160" customWidth="1"/>
    <col min="3" max="3" width="9.140625" style="160" hidden="1" customWidth="1"/>
    <col min="4" max="4" width="15.5703125" style="160" customWidth="1"/>
    <col min="5" max="5" width="14.7109375" style="160" customWidth="1"/>
    <col min="6" max="6" width="15.140625" style="160" customWidth="1"/>
    <col min="7" max="7" width="16" style="160" customWidth="1"/>
    <col min="8" max="8" width="12.7109375" style="160" customWidth="1"/>
    <col min="9" max="9" width="17.42578125" style="160" customWidth="1"/>
    <col min="10" max="10" width="15.5703125" style="160" customWidth="1"/>
    <col min="11" max="11" width="16" style="160" customWidth="1"/>
    <col min="12" max="12" width="15.5703125" style="160" customWidth="1"/>
    <col min="13" max="13" width="21.140625" style="160" customWidth="1"/>
    <col min="14" max="14" width="3.7109375" style="160" customWidth="1"/>
    <col min="15" max="15" width="15.42578125" style="261" customWidth="1"/>
    <col min="16" max="16" width="25.7109375" style="264" customWidth="1"/>
    <col min="17" max="17" width="16.42578125" style="264" customWidth="1"/>
    <col min="18" max="18" width="18.5703125" style="264" customWidth="1"/>
    <col min="19" max="19" width="1.7109375" style="264" customWidth="1"/>
    <col min="20" max="20" width="17.140625" style="264" customWidth="1"/>
    <col min="21" max="21" width="16.85546875" style="264" customWidth="1"/>
    <col min="22" max="23" width="19.28515625" style="264" customWidth="1"/>
    <col min="24" max="24" width="18.42578125" style="264" customWidth="1"/>
    <col min="25" max="25" width="1.85546875" style="264" customWidth="1"/>
    <col min="26" max="26" width="26.42578125" style="264" customWidth="1"/>
    <col min="27" max="27" width="19.85546875" style="264" customWidth="1"/>
    <col min="28" max="28" width="16.7109375" style="264" customWidth="1"/>
    <col min="29" max="29" width="19.140625" style="160" customWidth="1"/>
    <col min="30" max="34" width="9.140625" style="160"/>
    <col min="35" max="35" width="9.140625" style="160" customWidth="1"/>
    <col min="36" max="16384" width="9.140625" style="160"/>
  </cols>
  <sheetData>
    <row r="1" spans="1:28" s="166" customFormat="1" hidden="1">
      <c r="A1" s="166">
        <v>0</v>
      </c>
      <c r="B1" s="166">
        <v>1</v>
      </c>
      <c r="D1" s="166">
        <v>2</v>
      </c>
      <c r="E1" s="166">
        <v>3</v>
      </c>
      <c r="F1" s="166">
        <v>4</v>
      </c>
      <c r="G1" s="166">
        <v>5</v>
      </c>
      <c r="H1" s="166">
        <v>6</v>
      </c>
      <c r="I1" s="166">
        <v>7</v>
      </c>
      <c r="J1" s="166">
        <v>8</v>
      </c>
      <c r="K1" s="166">
        <v>9</v>
      </c>
      <c r="L1" s="166">
        <v>10</v>
      </c>
      <c r="M1" s="166">
        <v>11</v>
      </c>
      <c r="N1" s="166">
        <v>12</v>
      </c>
      <c r="O1" s="262"/>
      <c r="P1" s="263"/>
      <c r="Q1" s="263"/>
      <c r="R1" s="263"/>
      <c r="S1" s="263"/>
      <c r="T1" s="263"/>
      <c r="U1" s="263"/>
      <c r="V1" s="263"/>
      <c r="W1" s="263"/>
      <c r="X1" s="263"/>
      <c r="Y1" s="263"/>
      <c r="Z1" s="263"/>
      <c r="AA1" s="263"/>
      <c r="AB1" s="263"/>
    </row>
    <row r="2" spans="1:28" ht="21" thickBot="1">
      <c r="A2" s="166">
        <v>1</v>
      </c>
      <c r="B2" s="1713" t="str">
        <f>'ARL Chrts'!$A$1</f>
        <v>The University of Texas at Arlington</v>
      </c>
      <c r="C2" s="1713"/>
      <c r="D2" s="1713"/>
      <c r="E2" s="1713"/>
      <c r="F2" s="1742"/>
      <c r="H2" s="161"/>
      <c r="I2" s="320" t="str">
        <f>IF($B$2&lt;&gt;Input!$B$6,"Name Mismatch","")</f>
        <v/>
      </c>
      <c r="J2" s="168"/>
      <c r="K2" s="169"/>
      <c r="L2" s="169"/>
      <c r="M2" s="170"/>
      <c r="O2" s="835" t="s">
        <v>1200</v>
      </c>
      <c r="P2" s="36"/>
      <c r="Z2" s="335"/>
    </row>
    <row r="3" spans="1:28" ht="20.25">
      <c r="A3" s="166">
        <v>2</v>
      </c>
      <c r="B3" s="1713" t="str">
        <f>'Smmy Chrts'!$A$2</f>
        <v>For the Year Ended August 31, 2021</v>
      </c>
      <c r="C3" s="1713"/>
      <c r="D3" s="1713"/>
      <c r="E3" s="1713"/>
      <c r="F3" s="1742"/>
      <c r="G3" s="161"/>
      <c r="H3" s="161"/>
      <c r="I3" s="169"/>
      <c r="J3" s="168"/>
      <c r="K3" s="169"/>
      <c r="L3" s="169"/>
      <c r="M3" s="170"/>
      <c r="O3" s="74"/>
    </row>
    <row r="4" spans="1:28" ht="20.25">
      <c r="A4" s="166">
        <v>3</v>
      </c>
      <c r="B4" s="1713" t="str">
        <f>'Smmy Chrts'!$A$3</f>
        <v>Source: FY 2021 Annual Financial Report</v>
      </c>
      <c r="C4" s="1713"/>
      <c r="D4" s="1713"/>
      <c r="E4" s="1713"/>
      <c r="F4" s="1742"/>
      <c r="G4" s="161"/>
      <c r="H4" s="161"/>
      <c r="I4" s="169"/>
      <c r="J4" s="168"/>
      <c r="K4" s="169"/>
      <c r="L4" s="169"/>
      <c r="M4" s="170"/>
      <c r="O4" s="74"/>
      <c r="P4" s="1744" t="s">
        <v>93</v>
      </c>
      <c r="Q4" s="1745"/>
      <c r="T4" s="36" t="s">
        <v>250</v>
      </c>
    </row>
    <row r="5" spans="1:28">
      <c r="A5" s="166">
        <v>4</v>
      </c>
      <c r="M5" s="166"/>
      <c r="O5" s="262"/>
    </row>
    <row r="6" spans="1:28">
      <c r="A6" s="166">
        <v>5</v>
      </c>
      <c r="B6" s="1715" t="str">
        <f>'Smmy Chrts'!$C$32</f>
        <v>Detail Worksheet FY 2021</v>
      </c>
      <c r="C6" s="1715"/>
      <c r="D6" s="1743"/>
      <c r="E6" s="1743"/>
      <c r="F6" s="1743"/>
      <c r="G6" s="1743"/>
      <c r="H6" s="1743"/>
      <c r="I6" s="1743"/>
      <c r="J6" s="1743"/>
      <c r="K6" s="1743"/>
      <c r="L6" s="1743"/>
      <c r="M6" s="1743"/>
      <c r="O6" s="265"/>
      <c r="W6" s="264" t="str">
        <f>CONCATENATE('ARL Chrts'!A5,'ARL Chrts'!A6,'ARL Chrts'!A7)</f>
        <v/>
      </c>
    </row>
    <row r="7" spans="1:28">
      <c r="A7" s="166">
        <v>6</v>
      </c>
      <c r="B7" s="172"/>
      <c r="C7" s="172"/>
      <c r="M7" s="173" t="str">
        <f>'Smmy Chrts'!$C$33</f>
        <v>FY 2021</v>
      </c>
      <c r="O7" s="266"/>
      <c r="P7" s="267"/>
      <c r="Q7" s="268"/>
      <c r="R7" s="268"/>
      <c r="S7" s="268"/>
      <c r="T7" s="268"/>
      <c r="U7" s="268"/>
    </row>
    <row r="8" spans="1:28" ht="38.25">
      <c r="A8" s="166">
        <v>7</v>
      </c>
      <c r="B8" s="174" t="s">
        <v>71</v>
      </c>
      <c r="C8" s="174"/>
      <c r="D8" s="175" t="s">
        <v>30</v>
      </c>
      <c r="E8" s="175" t="s">
        <v>31</v>
      </c>
      <c r="F8" s="175" t="s">
        <v>22</v>
      </c>
      <c r="G8" s="175" t="s">
        <v>32</v>
      </c>
      <c r="H8" s="175" t="s">
        <v>33</v>
      </c>
      <c r="I8" s="175" t="s">
        <v>34</v>
      </c>
      <c r="J8" s="175" t="s">
        <v>35</v>
      </c>
      <c r="K8" s="175" t="s">
        <v>36</v>
      </c>
      <c r="L8" s="175" t="s">
        <v>37</v>
      </c>
      <c r="M8" s="175" t="s">
        <v>38</v>
      </c>
      <c r="O8" s="266"/>
      <c r="P8" s="269"/>
      <c r="Q8" s="268"/>
      <c r="R8" s="268"/>
      <c r="S8" s="268"/>
      <c r="T8" s="268"/>
      <c r="U8" s="268"/>
    </row>
    <row r="9" spans="1:28">
      <c r="A9" s="166">
        <v>8</v>
      </c>
      <c r="B9" s="172" t="s">
        <v>0</v>
      </c>
      <c r="C9" s="172"/>
      <c r="D9" s="379"/>
      <c r="E9" s="379"/>
      <c r="F9" s="379"/>
      <c r="G9" s="379"/>
      <c r="H9" s="379"/>
      <c r="I9" s="379"/>
      <c r="J9" s="379"/>
      <c r="K9" s="379"/>
      <c r="L9" s="379"/>
      <c r="M9" s="379"/>
      <c r="O9" s="266"/>
      <c r="P9" s="269"/>
      <c r="U9" s="268"/>
    </row>
    <row r="10" spans="1:28" ht="12.75" customHeight="1">
      <c r="A10" s="166">
        <v>9</v>
      </c>
      <c r="B10" s="160" t="s">
        <v>1</v>
      </c>
      <c r="D10" s="372">
        <f>Input!$M$6</f>
        <v>144637415</v>
      </c>
      <c r="E10" s="372">
        <f>Input!$N$6</f>
        <v>0</v>
      </c>
      <c r="F10" s="372">
        <f>Input!$O$6</f>
        <v>0</v>
      </c>
      <c r="G10" s="372">
        <f>Input!$P$6</f>
        <v>0</v>
      </c>
      <c r="H10" s="372">
        <f>Input!$Q$6</f>
        <v>0</v>
      </c>
      <c r="I10" s="372">
        <f>Input!$R$6</f>
        <v>0</v>
      </c>
      <c r="J10" s="372">
        <f>Input!$S$6</f>
        <v>0</v>
      </c>
      <c r="K10" s="372">
        <f>Input!$T$6</f>
        <v>0</v>
      </c>
      <c r="L10" s="372">
        <f>Input!$U$6</f>
        <v>0</v>
      </c>
      <c r="M10" s="373">
        <f t="shared" ref="M10:M15" si="0">D10+E10+F10+G10+H10+I10+J10+K10+L10</f>
        <v>144637415</v>
      </c>
      <c r="O10" s="271"/>
      <c r="P10" s="1718" t="s">
        <v>575</v>
      </c>
      <c r="U10" s="268"/>
    </row>
    <row r="11" spans="1:28">
      <c r="A11" s="166">
        <v>10</v>
      </c>
      <c r="B11" s="160" t="s">
        <v>2</v>
      </c>
      <c r="D11" s="372">
        <f>Input!$V$6</f>
        <v>11741498</v>
      </c>
      <c r="E11" s="372">
        <f>Input!$W$6</f>
        <v>275000</v>
      </c>
      <c r="F11" s="372">
        <f>Input!$X$6</f>
        <v>0</v>
      </c>
      <c r="G11" s="372">
        <f>Input!$Y$6</f>
        <v>4117271</v>
      </c>
      <c r="H11" s="372">
        <f>Input!$Z$6</f>
        <v>0</v>
      </c>
      <c r="I11" s="372">
        <f>Input!$AA$6</f>
        <v>0</v>
      </c>
      <c r="J11" s="372">
        <f>Input!$AB$6</f>
        <v>0</v>
      </c>
      <c r="K11" s="372">
        <f>Input!$AC$6</f>
        <v>0</v>
      </c>
      <c r="L11" s="372">
        <f>Input!$AD$6</f>
        <v>0</v>
      </c>
      <c r="M11" s="373">
        <f t="shared" si="0"/>
        <v>16133769</v>
      </c>
      <c r="O11" s="482"/>
      <c r="P11" s="1719"/>
      <c r="U11" s="268"/>
    </row>
    <row r="12" spans="1:28" ht="12.75" hidden="1" customHeight="1">
      <c r="B12" s="160" t="s">
        <v>1410</v>
      </c>
      <c r="D12" s="372"/>
      <c r="E12" s="372"/>
      <c r="F12" s="372"/>
      <c r="G12" s="372"/>
      <c r="H12" s="372"/>
      <c r="I12" s="372"/>
      <c r="J12" s="372"/>
      <c r="K12" s="372"/>
      <c r="L12" s="372"/>
      <c r="M12" s="373"/>
      <c r="N12" s="171"/>
      <c r="O12" s="482"/>
      <c r="P12" s="483"/>
      <c r="U12" s="272"/>
    </row>
    <row r="13" spans="1:28">
      <c r="A13" s="166">
        <v>12</v>
      </c>
      <c r="B13" s="160" t="s">
        <v>1368</v>
      </c>
      <c r="D13" s="372">
        <f>Input!$AN$6</f>
        <v>0</v>
      </c>
      <c r="E13" s="372">
        <f>Input!$AO$6</f>
        <v>0</v>
      </c>
      <c r="F13" s="372">
        <f>Input!$AP$6</f>
        <v>0</v>
      </c>
      <c r="G13" s="372">
        <f>Input!$AQ$6</f>
        <v>0</v>
      </c>
      <c r="H13" s="372">
        <f>Input!$AR$6</f>
        <v>0</v>
      </c>
      <c r="I13" s="372">
        <f>Input!$AS$6</f>
        <v>0</v>
      </c>
      <c r="J13" s="372">
        <f>Input!$AT$6</f>
        <v>0</v>
      </c>
      <c r="K13" s="372">
        <f>Input!$AU$6</f>
        <v>0</v>
      </c>
      <c r="L13" s="372">
        <f>Input!$AV$6</f>
        <v>0</v>
      </c>
      <c r="M13" s="373">
        <f t="shared" si="0"/>
        <v>0</v>
      </c>
      <c r="O13" s="482" t="str">
        <f>IF(P13&lt;&gt;M13,"Out of Balance","Balanced")</f>
        <v>Balanced</v>
      </c>
      <c r="P13" s="484">
        <f>IFERROR(VLOOKUP($B$2,AMTLU,6,FALSE),0)</f>
        <v>0</v>
      </c>
      <c r="U13" s="268"/>
    </row>
    <row r="14" spans="1:28">
      <c r="A14" s="166">
        <v>13</v>
      </c>
      <c r="B14" s="160" t="s">
        <v>49</v>
      </c>
      <c r="D14" s="372">
        <f>Input!$AW$6</f>
        <v>0</v>
      </c>
      <c r="E14" s="372">
        <f>Input!$AX$6</f>
        <v>0</v>
      </c>
      <c r="F14" s="372">
        <f>Input!$AY$6</f>
        <v>0</v>
      </c>
      <c r="G14" s="372">
        <f>Input!$AZ$6</f>
        <v>0</v>
      </c>
      <c r="H14" s="372">
        <f>Input!$BA$6</f>
        <v>0</v>
      </c>
      <c r="I14" s="372">
        <f>Input!$BB$6</f>
        <v>0</v>
      </c>
      <c r="J14" s="372">
        <f>Input!$BC$6</f>
        <v>0</v>
      </c>
      <c r="K14" s="372">
        <f>Input!$BD$6</f>
        <v>0</v>
      </c>
      <c r="L14" s="372">
        <f>Input!$BE$6</f>
        <v>0</v>
      </c>
      <c r="M14" s="373">
        <f t="shared" si="0"/>
        <v>0</v>
      </c>
      <c r="O14" s="482"/>
      <c r="P14" s="485"/>
    </row>
    <row r="15" spans="1:28" ht="15">
      <c r="A15" s="166">
        <v>14</v>
      </c>
      <c r="B15" s="176" t="s">
        <v>3</v>
      </c>
      <c r="C15" s="176"/>
      <c r="D15" s="374">
        <f t="shared" ref="D15:L15" si="1">SUM(D10:D14)</f>
        <v>156378913</v>
      </c>
      <c r="E15" s="374">
        <f t="shared" si="1"/>
        <v>275000</v>
      </c>
      <c r="F15" s="374">
        <f t="shared" si="1"/>
        <v>0</v>
      </c>
      <c r="G15" s="374">
        <f t="shared" si="1"/>
        <v>4117271</v>
      </c>
      <c r="H15" s="374">
        <f t="shared" si="1"/>
        <v>0</v>
      </c>
      <c r="I15" s="374">
        <f t="shared" si="1"/>
        <v>0</v>
      </c>
      <c r="J15" s="374">
        <f t="shared" si="1"/>
        <v>0</v>
      </c>
      <c r="K15" s="374">
        <f t="shared" si="1"/>
        <v>0</v>
      </c>
      <c r="L15" s="374">
        <f t="shared" si="1"/>
        <v>0</v>
      </c>
      <c r="M15" s="374">
        <f t="shared" si="0"/>
        <v>160771184</v>
      </c>
      <c r="O15" s="270"/>
      <c r="P15" s="36"/>
    </row>
    <row r="16" spans="1:28" ht="15.75">
      <c r="A16" s="166">
        <v>15</v>
      </c>
      <c r="D16" s="373"/>
      <c r="E16" s="373"/>
      <c r="F16" s="373"/>
      <c r="G16" s="373"/>
      <c r="H16" s="373"/>
      <c r="I16" s="373"/>
      <c r="J16" s="373"/>
      <c r="K16" s="373"/>
      <c r="L16" s="373"/>
      <c r="M16" s="373"/>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58" t="s">
        <v>1042</v>
      </c>
      <c r="C18" s="558"/>
      <c r="D18" s="374">
        <f t="shared" ref="D18:L18" si="2">D23-SUM(D19:D22)</f>
        <v>105876342</v>
      </c>
      <c r="E18" s="374">
        <f t="shared" si="2"/>
        <v>241122730</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346999072</v>
      </c>
      <c r="V18" s="327"/>
      <c r="X18" s="330"/>
    </row>
    <row r="19" spans="1:26" s="264" customFormat="1" ht="12.75" customHeight="1" thickTop="1" thickBot="1">
      <c r="A19" s="263"/>
      <c r="B19" s="261" t="s">
        <v>722</v>
      </c>
      <c r="C19" s="261"/>
      <c r="D19" s="372">
        <f>Input!$BF$6</f>
        <v>-23766991</v>
      </c>
      <c r="E19" s="372">
        <f>Input!$BG$6</f>
        <v>-4291292</v>
      </c>
      <c r="F19" s="372">
        <f>Input!$BH$6</f>
        <v>0</v>
      </c>
      <c r="G19" s="372">
        <f>Input!$BI$6</f>
        <v>0</v>
      </c>
      <c r="H19" s="372">
        <f>Input!$BJ$6</f>
        <v>0</v>
      </c>
      <c r="I19" s="372">
        <f>Input!$BK$6</f>
        <v>0</v>
      </c>
      <c r="J19" s="372">
        <f>Input!$BL$6</f>
        <v>0</v>
      </c>
      <c r="K19" s="372">
        <f>Input!$BM$6</f>
        <v>0</v>
      </c>
      <c r="L19" s="372">
        <f>Input!$BN$6</f>
        <v>0</v>
      </c>
      <c r="M19" s="373">
        <f t="shared" si="3"/>
        <v>-28058283</v>
      </c>
      <c r="O19" s="1732" t="s">
        <v>1294</v>
      </c>
      <c r="P19" s="1733"/>
      <c r="Q19" s="1733"/>
      <c r="R19" s="1734"/>
      <c r="T19" s="1735" t="s">
        <v>1043</v>
      </c>
      <c r="U19" s="1736"/>
      <c r="V19" s="1736"/>
      <c r="W19" s="1736"/>
      <c r="X19" s="1737"/>
    </row>
    <row r="20" spans="1:26" s="264" customFormat="1" ht="12.75" customHeight="1" thickTop="1">
      <c r="A20" s="263"/>
      <c r="B20" s="261" t="s">
        <v>723</v>
      </c>
      <c r="C20" s="261"/>
      <c r="D20" s="372">
        <f>Input!$BO$6</f>
        <v>0</v>
      </c>
      <c r="E20" s="372">
        <f>Input!$BP$6</f>
        <v>0</v>
      </c>
      <c r="F20" s="372">
        <f>Input!$BQ$6</f>
        <v>0</v>
      </c>
      <c r="G20" s="372">
        <f>Input!$BR$6</f>
        <v>0</v>
      </c>
      <c r="H20" s="372">
        <f>Input!$BS$6</f>
        <v>0</v>
      </c>
      <c r="I20" s="372">
        <f>Input!$BT$6</f>
        <v>0</v>
      </c>
      <c r="J20" s="372">
        <f>Input!$BU$6</f>
        <v>0</v>
      </c>
      <c r="K20" s="372">
        <f>Input!$BV$6</f>
        <v>0</v>
      </c>
      <c r="L20" s="372">
        <f>Input!$BW$6</f>
        <v>0</v>
      </c>
      <c r="M20" s="373">
        <f t="shared" si="3"/>
        <v>0</v>
      </c>
      <c r="O20" s="421" t="s">
        <v>288</v>
      </c>
      <c r="P20" s="422"/>
      <c r="Q20" s="414"/>
      <c r="R20" s="559"/>
      <c r="T20" s="560" t="s">
        <v>1044</v>
      </c>
      <c r="U20" s="266"/>
      <c r="V20" s="266"/>
      <c r="X20" s="425"/>
    </row>
    <row r="21" spans="1:26" s="264" customFormat="1">
      <c r="A21" s="263"/>
      <c r="B21" s="261" t="s">
        <v>724</v>
      </c>
      <c r="C21" s="261"/>
      <c r="D21" s="372">
        <f>Input!$BX$6</f>
        <v>0</v>
      </c>
      <c r="E21" s="372">
        <f>Input!$BY$6</f>
        <v>0</v>
      </c>
      <c r="F21" s="372">
        <f>Input!$BZ$6</f>
        <v>0</v>
      </c>
      <c r="G21" s="372">
        <f>Input!$CA$6</f>
        <v>0</v>
      </c>
      <c r="H21" s="372">
        <f>Input!$CB$6</f>
        <v>0</v>
      </c>
      <c r="I21" s="372">
        <f>Input!$CC$6</f>
        <v>0</v>
      </c>
      <c r="J21" s="372">
        <f>Input!$CD$6</f>
        <v>0</v>
      </c>
      <c r="K21" s="372">
        <f>Input!$CE$6</f>
        <v>0</v>
      </c>
      <c r="L21" s="372">
        <f>Input!$CF$6</f>
        <v>0</v>
      </c>
      <c r="M21" s="373">
        <f t="shared" si="3"/>
        <v>0</v>
      </c>
      <c r="O21" s="434"/>
      <c r="R21" s="561"/>
      <c r="T21" s="650" t="s">
        <v>1045</v>
      </c>
      <c r="U21" s="266"/>
      <c r="V21" s="266"/>
      <c r="W21" s="651">
        <f>M44</f>
        <v>348479934</v>
      </c>
      <c r="X21" s="425"/>
      <c r="Z21" s="330"/>
    </row>
    <row r="22" spans="1:26" s="264" customFormat="1">
      <c r="A22" s="263"/>
      <c r="B22" s="261" t="s">
        <v>725</v>
      </c>
      <c r="C22" s="261"/>
      <c r="D22" s="372">
        <f>Input!$CG$6</f>
        <v>0</v>
      </c>
      <c r="E22" s="372">
        <f>Input!$CH$6</f>
        <v>0</v>
      </c>
      <c r="F22" s="372">
        <f>Input!$CI$6</f>
        <v>0</v>
      </c>
      <c r="G22" s="372">
        <f>Input!$CJ$6</f>
        <v>0</v>
      </c>
      <c r="H22" s="372">
        <f>Input!$CK$6</f>
        <v>0</v>
      </c>
      <c r="I22" s="372">
        <f>Input!$CL$6</f>
        <v>0</v>
      </c>
      <c r="J22" s="372">
        <f>Input!$CM$6</f>
        <v>0</v>
      </c>
      <c r="K22" s="372">
        <f>Input!$CN$6</f>
        <v>0</v>
      </c>
      <c r="L22" s="372">
        <f>Input!$CO$6</f>
        <v>0</v>
      </c>
      <c r="M22" s="373">
        <f t="shared" si="3"/>
        <v>0</v>
      </c>
      <c r="N22" s="270"/>
      <c r="O22" s="434" t="s">
        <v>1046</v>
      </c>
      <c r="P22" s="276"/>
      <c r="Q22" s="424">
        <f>M23</f>
        <v>318940789</v>
      </c>
      <c r="R22" s="562"/>
      <c r="T22" s="650" t="s">
        <v>1047</v>
      </c>
      <c r="U22" s="266"/>
      <c r="V22" s="266"/>
      <c r="W22" s="652">
        <f>R30*-1</f>
        <v>115642532</v>
      </c>
      <c r="X22" s="425"/>
    </row>
    <row r="23" spans="1:26" s="264" customFormat="1" ht="12.75" customHeight="1">
      <c r="A23" s="263"/>
      <c r="B23" s="558" t="s">
        <v>726</v>
      </c>
      <c r="C23" s="563"/>
      <c r="D23" s="564">
        <f>Input!$CP$6</f>
        <v>82109351</v>
      </c>
      <c r="E23" s="564">
        <f>Input!$CQ$6</f>
        <v>236831438</v>
      </c>
      <c r="F23" s="564">
        <f>Input!$CR$6</f>
        <v>0</v>
      </c>
      <c r="G23" s="564">
        <f>Input!$CS$6</f>
        <v>0</v>
      </c>
      <c r="H23" s="564">
        <f>Input!$CT$6</f>
        <v>0</v>
      </c>
      <c r="I23" s="564">
        <f>Input!$CU$6</f>
        <v>0</v>
      </c>
      <c r="J23" s="564">
        <f>Input!$CV$6</f>
        <v>0</v>
      </c>
      <c r="K23" s="564">
        <f>Input!$CW$6</f>
        <v>0</v>
      </c>
      <c r="L23" s="564">
        <f>Input!$CX$6</f>
        <v>0</v>
      </c>
      <c r="M23" s="565">
        <f t="shared" si="3"/>
        <v>318940789</v>
      </c>
      <c r="O23" s="434"/>
      <c r="P23" s="276"/>
      <c r="Q23" s="424"/>
      <c r="R23" s="562"/>
      <c r="T23" s="560" t="s">
        <v>1230</v>
      </c>
      <c r="U23" s="266"/>
      <c r="V23" s="266"/>
      <c r="W23" s="276"/>
      <c r="X23" s="425">
        <f>SUM(W21:W22)</f>
        <v>464122466</v>
      </c>
      <c r="Z23" s="330"/>
    </row>
    <row r="24" spans="1:26" s="264" customFormat="1" ht="12.75" customHeight="1">
      <c r="A24" s="263"/>
      <c r="B24" s="261" t="s">
        <v>727</v>
      </c>
      <c r="C24" s="566"/>
      <c r="D24" s="372">
        <f>Input!$CY$6</f>
        <v>0</v>
      </c>
      <c r="E24" s="372">
        <f>Input!$CZ$6</f>
        <v>0</v>
      </c>
      <c r="F24" s="372">
        <f>Input!$DA$6</f>
        <v>0</v>
      </c>
      <c r="G24" s="372">
        <f>Input!$DB$6</f>
        <v>0</v>
      </c>
      <c r="H24" s="372">
        <f>Input!$DC$6</f>
        <v>0</v>
      </c>
      <c r="I24" s="372">
        <f>Input!$DD$6</f>
        <v>0</v>
      </c>
      <c r="J24" s="372">
        <f>Input!$DE$6</f>
        <v>0</v>
      </c>
      <c r="K24" s="372">
        <f>Input!$DF$6</f>
        <v>0</v>
      </c>
      <c r="L24" s="372">
        <f>Input!$DG$6</f>
        <v>0</v>
      </c>
      <c r="M24" s="567">
        <f t="shared" si="3"/>
        <v>0</v>
      </c>
      <c r="O24" s="417" t="s">
        <v>1048</v>
      </c>
      <c r="P24" s="276"/>
      <c r="Q24" s="327"/>
      <c r="R24" s="646">
        <f>SUM(M24:M28)</f>
        <v>-79652036</v>
      </c>
      <c r="T24" s="560"/>
      <c r="U24" s="266"/>
      <c r="V24" s="266"/>
      <c r="X24" s="425"/>
      <c r="Z24" s="330"/>
    </row>
    <row r="25" spans="1:26" s="264" customFormat="1" ht="12.75" customHeight="1">
      <c r="A25" s="263"/>
      <c r="B25" s="261" t="s">
        <v>728</v>
      </c>
      <c r="C25" s="566"/>
      <c r="D25" s="372">
        <f>Input!DH6</f>
        <v>0</v>
      </c>
      <c r="E25" s="372">
        <f>Input!$DI$6</f>
        <v>0</v>
      </c>
      <c r="F25" s="372">
        <f>Input!$DJ$6</f>
        <v>0</v>
      </c>
      <c r="G25" s="372">
        <f>Input!$DK$6</f>
        <v>0</v>
      </c>
      <c r="H25" s="372">
        <f>Input!$DL$6</f>
        <v>0</v>
      </c>
      <c r="I25" s="372">
        <f>Input!$DM$6</f>
        <v>0</v>
      </c>
      <c r="J25" s="372">
        <f>Input!$DN$6</f>
        <v>0</v>
      </c>
      <c r="K25" s="372">
        <f>Input!$DO$6</f>
        <v>0</v>
      </c>
      <c r="L25" s="372">
        <f>Input!$DP$6</f>
        <v>0</v>
      </c>
      <c r="M25" s="567">
        <f t="shared" si="3"/>
        <v>0</v>
      </c>
      <c r="O25" s="434"/>
      <c r="P25" s="276"/>
      <c r="Q25" s="327"/>
      <c r="R25" s="646"/>
      <c r="T25" s="568" t="s">
        <v>1103</v>
      </c>
      <c r="U25" s="569"/>
      <c r="V25" s="569"/>
      <c r="W25" s="653">
        <f>(M26+M39)*-1</f>
        <v>14272686</v>
      </c>
      <c r="X25" s="425"/>
      <c r="Z25" s="330"/>
    </row>
    <row r="26" spans="1:26" s="264" customFormat="1" ht="12.75" customHeight="1">
      <c r="A26" s="263"/>
      <c r="B26" s="261" t="s">
        <v>729</v>
      </c>
      <c r="C26" s="566"/>
      <c r="D26" s="372">
        <f>Input!$DQ$6</f>
        <v>-10276334</v>
      </c>
      <c r="E26" s="372">
        <f>Input!$DR$6</f>
        <v>-1855449</v>
      </c>
      <c r="F26" s="372">
        <f>Input!$DS$6</f>
        <v>0</v>
      </c>
      <c r="G26" s="372">
        <f>Input!$DT$6</f>
        <v>0</v>
      </c>
      <c r="H26" s="372">
        <f>Input!$DU$6</f>
        <v>0</v>
      </c>
      <c r="I26" s="372">
        <f>Input!$DV$6</f>
        <v>0</v>
      </c>
      <c r="J26" s="372">
        <f>Input!$DW$6</f>
        <v>0</v>
      </c>
      <c r="K26" s="372">
        <f>Input!$DX$6</f>
        <v>0</v>
      </c>
      <c r="L26" s="372">
        <f>Input!$DY$6</f>
        <v>0</v>
      </c>
      <c r="M26" s="567">
        <f t="shared" si="3"/>
        <v>-12131783</v>
      </c>
      <c r="O26" s="434" t="s">
        <v>1049</v>
      </c>
      <c r="P26" s="276"/>
      <c r="Q26" s="427">
        <f>M36</f>
        <v>145181677</v>
      </c>
      <c r="R26" s="570"/>
      <c r="T26" s="560" t="s">
        <v>1104</v>
      </c>
      <c r="U26" s="266"/>
      <c r="V26" s="266"/>
      <c r="W26" s="571">
        <f>(M21+M34)*-1</f>
        <v>0</v>
      </c>
      <c r="X26" s="425"/>
      <c r="Z26" s="330"/>
    </row>
    <row r="27" spans="1:26" s="264" customFormat="1">
      <c r="A27" s="263"/>
      <c r="B27" s="261" t="s">
        <v>730</v>
      </c>
      <c r="C27" s="566"/>
      <c r="D27" s="372">
        <f>Input!$DZ$6</f>
        <v>0</v>
      </c>
      <c r="E27" s="372">
        <f>Input!$EA$6</f>
        <v>0</v>
      </c>
      <c r="F27" s="372">
        <f>Input!$EB$6</f>
        <v>0</v>
      </c>
      <c r="G27" s="372">
        <f>Input!$EC$6</f>
        <v>0</v>
      </c>
      <c r="H27" s="372">
        <f>Input!$ED$6</f>
        <v>0</v>
      </c>
      <c r="I27" s="372">
        <f>Input!$EE$6</f>
        <v>0</v>
      </c>
      <c r="J27" s="372">
        <f>Input!$EF$6</f>
        <v>0</v>
      </c>
      <c r="K27" s="372">
        <f>Input!$EG$6</f>
        <v>0</v>
      </c>
      <c r="L27" s="372">
        <f>Input!EH6</f>
        <v>0</v>
      </c>
      <c r="M27" s="567">
        <f t="shared" si="3"/>
        <v>0</v>
      </c>
      <c r="O27" s="434"/>
      <c r="P27" s="276"/>
      <c r="Q27" s="427"/>
      <c r="R27" s="570"/>
      <c r="T27" s="650" t="s">
        <v>1105</v>
      </c>
      <c r="U27" s="584"/>
      <c r="V27" s="584"/>
      <c r="W27" s="654">
        <f>SUM(W25:W26)</f>
        <v>14272686</v>
      </c>
      <c r="X27" s="655"/>
    </row>
    <row r="28" spans="1:26" s="264" customFormat="1">
      <c r="A28" s="263"/>
      <c r="B28" s="261" t="s">
        <v>2133</v>
      </c>
      <c r="C28" s="566"/>
      <c r="D28" s="372">
        <f>Input!EI6</f>
        <v>-10625726</v>
      </c>
      <c r="E28" s="372">
        <f>Input!$EJ$6</f>
        <v>-56894527</v>
      </c>
      <c r="F28" s="372">
        <f>Input!$EK$6</f>
        <v>0</v>
      </c>
      <c r="G28" s="372">
        <f>Input!$EL$6</f>
        <v>0</v>
      </c>
      <c r="H28" s="372">
        <f>Input!$EM$6</f>
        <v>0</v>
      </c>
      <c r="I28" s="372">
        <f>Input!$EN$6</f>
        <v>0</v>
      </c>
      <c r="J28" s="372">
        <f>Input!$EO$6</f>
        <v>0</v>
      </c>
      <c r="K28" s="372">
        <f>Input!$EP$6</f>
        <v>0</v>
      </c>
      <c r="L28" s="372">
        <f>Input!$EQ$6</f>
        <v>0</v>
      </c>
      <c r="M28" s="567">
        <f t="shared" si="3"/>
        <v>-67520253</v>
      </c>
      <c r="O28" s="417" t="s">
        <v>1050</v>
      </c>
      <c r="Q28" s="429"/>
      <c r="R28" s="646">
        <f>SUM(M37:M41)</f>
        <v>-35990496</v>
      </c>
      <c r="T28" s="560" t="s">
        <v>1106</v>
      </c>
      <c r="U28" s="266"/>
      <c r="V28" s="266"/>
      <c r="W28" s="425">
        <f>(M27+M40)*-1</f>
        <v>0</v>
      </c>
      <c r="X28" s="655"/>
      <c r="Z28" s="330"/>
    </row>
    <row r="29" spans="1:26" s="264" customFormat="1" ht="12" customHeight="1">
      <c r="A29" s="263"/>
      <c r="B29" s="575" t="s">
        <v>39</v>
      </c>
      <c r="C29" s="563"/>
      <c r="D29" s="374">
        <f t="shared" ref="D29:L29" si="4">SUM(D23:D28)</f>
        <v>61207291</v>
      </c>
      <c r="E29" s="374">
        <f t="shared" si="4"/>
        <v>178081462</v>
      </c>
      <c r="F29" s="374">
        <f t="shared" si="4"/>
        <v>0</v>
      </c>
      <c r="G29" s="374">
        <f t="shared" si="4"/>
        <v>0</v>
      </c>
      <c r="H29" s="374">
        <f t="shared" si="4"/>
        <v>0</v>
      </c>
      <c r="I29" s="374">
        <f t="shared" si="4"/>
        <v>0</v>
      </c>
      <c r="J29" s="374">
        <f t="shared" si="4"/>
        <v>0</v>
      </c>
      <c r="K29" s="374">
        <f t="shared" si="4"/>
        <v>0</v>
      </c>
      <c r="L29" s="374">
        <f t="shared" si="4"/>
        <v>0</v>
      </c>
      <c r="M29" s="374">
        <f t="shared" si="3"/>
        <v>239288753</v>
      </c>
      <c r="O29" s="417"/>
      <c r="Q29" s="429"/>
      <c r="R29" s="576"/>
      <c r="T29" s="560" t="s">
        <v>1107</v>
      </c>
      <c r="U29" s="266"/>
      <c r="V29" s="266"/>
      <c r="W29" s="571">
        <f>(M22+M35)*-1</f>
        <v>0</v>
      </c>
      <c r="X29" s="655"/>
    </row>
    <row r="30" spans="1:26" s="264" customFormat="1" ht="16.5" customHeight="1">
      <c r="A30" s="263"/>
      <c r="B30" s="261"/>
      <c r="C30" s="566"/>
      <c r="D30" s="566"/>
      <c r="E30" s="566"/>
      <c r="F30" s="566"/>
      <c r="G30" s="566"/>
      <c r="H30" s="566"/>
      <c r="I30" s="566"/>
      <c r="J30" s="566"/>
      <c r="K30" s="566"/>
      <c r="L30" s="566"/>
      <c r="M30" s="567"/>
      <c r="O30" s="431" t="s">
        <v>289</v>
      </c>
      <c r="P30" s="432"/>
      <c r="Q30" s="433">
        <f>Q26+Q22</f>
        <v>464122466</v>
      </c>
      <c r="R30" s="647">
        <f>R28+R24</f>
        <v>-115642532</v>
      </c>
      <c r="T30" s="650" t="s">
        <v>1108</v>
      </c>
      <c r="U30" s="584"/>
      <c r="V30" s="584"/>
      <c r="W30" s="654">
        <f>SUM(W28:W29)</f>
        <v>0</v>
      </c>
      <c r="X30" s="655"/>
    </row>
    <row r="31" spans="1:26" s="264" customFormat="1" ht="12.75" customHeight="1">
      <c r="A31" s="263"/>
      <c r="B31" s="558" t="s">
        <v>1052</v>
      </c>
      <c r="C31" s="558"/>
      <c r="D31" s="374">
        <f t="shared" ref="D31:L31" si="5">D36-SUM(D32:D35)</f>
        <v>673</v>
      </c>
      <c r="E31" s="374">
        <f t="shared" si="5"/>
        <v>126604325</v>
      </c>
      <c r="F31" s="374">
        <f t="shared" si="5"/>
        <v>23528282</v>
      </c>
      <c r="G31" s="374">
        <f t="shared" si="5"/>
        <v>0</v>
      </c>
      <c r="H31" s="374">
        <f t="shared" si="5"/>
        <v>0</v>
      </c>
      <c r="I31" s="374">
        <f t="shared" si="5"/>
        <v>0</v>
      </c>
      <c r="J31" s="374">
        <f t="shared" si="5"/>
        <v>0</v>
      </c>
      <c r="K31" s="374">
        <f t="shared" si="5"/>
        <v>0</v>
      </c>
      <c r="L31" s="374">
        <f t="shared" si="5"/>
        <v>0</v>
      </c>
      <c r="M31" s="374">
        <f t="shared" ref="M31:M42" si="6">D31+E31+F31+G31+H31+I31+J31+K31+L31</f>
        <v>150133280</v>
      </c>
      <c r="O31" s="434" t="s">
        <v>290</v>
      </c>
      <c r="P31" s="276"/>
      <c r="Q31" s="335"/>
      <c r="R31" s="562"/>
      <c r="T31" s="572" t="s">
        <v>1109</v>
      </c>
      <c r="U31" s="573"/>
      <c r="V31" s="573"/>
      <c r="W31" s="574">
        <f>W27+W30</f>
        <v>14272686</v>
      </c>
      <c r="X31" s="425"/>
      <c r="Z31" s="330"/>
    </row>
    <row r="32" spans="1:26" s="264" customFormat="1" ht="12.75" customHeight="1">
      <c r="A32" s="263"/>
      <c r="B32" s="261" t="s">
        <v>722</v>
      </c>
      <c r="C32" s="261"/>
      <c r="D32" s="372">
        <f>Input!$ER$6</f>
        <v>-113</v>
      </c>
      <c r="E32" s="372">
        <f>Input!$ES$6</f>
        <v>-1320397</v>
      </c>
      <c r="F32" s="372">
        <f>Input!$ET$6</f>
        <v>-3631093</v>
      </c>
      <c r="G32" s="372">
        <f>Input!$EU$6</f>
        <v>0</v>
      </c>
      <c r="H32" s="372">
        <f>Input!$EV$6</f>
        <v>0</v>
      </c>
      <c r="I32" s="372">
        <f>Input!$EW$6</f>
        <v>0</v>
      </c>
      <c r="J32" s="372">
        <f>Input!$EX$6</f>
        <v>0</v>
      </c>
      <c r="K32" s="372">
        <f>Input!$EY$6</f>
        <v>0</v>
      </c>
      <c r="L32" s="372">
        <f>Input!$EZ$6</f>
        <v>0</v>
      </c>
      <c r="M32" s="567">
        <f t="shared" si="6"/>
        <v>-4951603</v>
      </c>
      <c r="O32" s="415" t="s">
        <v>1295</v>
      </c>
      <c r="P32" s="416"/>
      <c r="Q32" s="577">
        <f>Input!$SQ$6</f>
        <v>464122466</v>
      </c>
      <c r="R32" s="578"/>
      <c r="T32" s="560"/>
      <c r="U32" s="266"/>
      <c r="V32" s="266"/>
      <c r="X32" s="425"/>
      <c r="Z32" s="330"/>
    </row>
    <row r="33" spans="1:24" s="264" customFormat="1">
      <c r="A33" s="263"/>
      <c r="B33" s="261" t="s">
        <v>723</v>
      </c>
      <c r="C33" s="261"/>
      <c r="D33" s="372">
        <f>Input!$FA$6</f>
        <v>0</v>
      </c>
      <c r="E33" s="372">
        <f>Input!$FB$6</f>
        <v>0</v>
      </c>
      <c r="F33" s="372">
        <f>Input!$FC$6</f>
        <v>0</v>
      </c>
      <c r="G33" s="372">
        <f>Input!$FD$6</f>
        <v>0</v>
      </c>
      <c r="H33" s="372">
        <f>Input!$FE$6</f>
        <v>0</v>
      </c>
      <c r="I33" s="372">
        <f>Input!$FF$6</f>
        <v>0</v>
      </c>
      <c r="J33" s="372">
        <f>Input!$FG$6</f>
        <v>0</v>
      </c>
      <c r="K33" s="372">
        <f>Input!$FH$6</f>
        <v>0</v>
      </c>
      <c r="L33" s="372">
        <f>Input!$FI$6</f>
        <v>0</v>
      </c>
      <c r="M33" s="567">
        <f t="shared" si="6"/>
        <v>0</v>
      </c>
      <c r="O33" s="415"/>
      <c r="P33" s="416"/>
      <c r="Q33" s="327"/>
      <c r="R33" s="578"/>
      <c r="T33" s="560" t="s">
        <v>1051</v>
      </c>
      <c r="U33" s="266"/>
      <c r="V33" s="266"/>
      <c r="W33" s="334">
        <f>(M19+M32)*-1</f>
        <v>33009886</v>
      </c>
      <c r="X33" s="425"/>
    </row>
    <row r="34" spans="1:24" s="264" customFormat="1">
      <c r="A34" s="263"/>
      <c r="B34" s="261" t="s">
        <v>724</v>
      </c>
      <c r="C34" s="261"/>
      <c r="D34" s="372">
        <f>Input!$FJ$6</f>
        <v>0</v>
      </c>
      <c r="E34" s="372">
        <f>Input!$FK$6</f>
        <v>0</v>
      </c>
      <c r="F34" s="372">
        <f>Input!$FL$6</f>
        <v>0</v>
      </c>
      <c r="G34" s="372">
        <f>Input!$FM$6</f>
        <v>0</v>
      </c>
      <c r="H34" s="372">
        <f>Input!$FN$6</f>
        <v>0</v>
      </c>
      <c r="I34" s="372">
        <f>Input!$FO$6</f>
        <v>0</v>
      </c>
      <c r="J34" s="372">
        <f>Input!$FP$6</f>
        <v>0</v>
      </c>
      <c r="K34" s="372">
        <f>Input!$FQ$6</f>
        <v>0</v>
      </c>
      <c r="L34" s="372">
        <f>Input!$FR$6</f>
        <v>0</v>
      </c>
      <c r="M34" s="567">
        <f t="shared" si="6"/>
        <v>0</v>
      </c>
      <c r="O34" s="435" t="s">
        <v>1296</v>
      </c>
      <c r="P34" s="436"/>
      <c r="Q34" s="264" t="s">
        <v>291</v>
      </c>
      <c r="R34" s="648">
        <f>Input!$SR$6</f>
        <v>-115642532</v>
      </c>
      <c r="T34" s="560" t="s">
        <v>1110</v>
      </c>
      <c r="U34" s="266"/>
      <c r="V34" s="266"/>
      <c r="W34" s="430">
        <f>(M24+M37)*-1</f>
        <v>0</v>
      </c>
      <c r="X34" s="425"/>
    </row>
    <row r="35" spans="1:24" s="264" customFormat="1" ht="13.5" thickBot="1">
      <c r="A35" s="263"/>
      <c r="B35" s="261" t="s">
        <v>725</v>
      </c>
      <c r="C35" s="261"/>
      <c r="D35" s="372">
        <f>Input!$FS$6</f>
        <v>0</v>
      </c>
      <c r="E35" s="372">
        <f>Input!$FT$6</f>
        <v>0</v>
      </c>
      <c r="F35" s="372">
        <f>Input!$FU$6</f>
        <v>0</v>
      </c>
      <c r="G35" s="372">
        <f>Input!$FV$6</f>
        <v>0</v>
      </c>
      <c r="H35" s="372">
        <f>Input!$FW$6</f>
        <v>0</v>
      </c>
      <c r="I35" s="372">
        <f>Input!$FX$6</f>
        <v>0</v>
      </c>
      <c r="J35" s="372">
        <f>Input!$FY$6</f>
        <v>0</v>
      </c>
      <c r="K35" s="372">
        <f>Input!$FZ$6</f>
        <v>0</v>
      </c>
      <c r="L35" s="372">
        <f>Input!$GA$6</f>
        <v>0</v>
      </c>
      <c r="M35" s="567">
        <f t="shared" si="6"/>
        <v>0</v>
      </c>
      <c r="O35" s="418" t="s">
        <v>286</v>
      </c>
      <c r="P35" s="419"/>
      <c r="Q35" s="420">
        <f>Q30-Q32</f>
        <v>0</v>
      </c>
      <c r="R35" s="649">
        <f>R30-R34</f>
        <v>0</v>
      </c>
      <c r="T35" s="650" t="s">
        <v>1111</v>
      </c>
      <c r="U35" s="584"/>
      <c r="V35" s="584"/>
      <c r="W35" s="656">
        <f>SUM(W33:W34)</f>
        <v>33009886</v>
      </c>
      <c r="X35" s="655"/>
    </row>
    <row r="36" spans="1:24" s="264" customFormat="1" ht="13.5" thickTop="1">
      <c r="A36" s="263"/>
      <c r="B36" s="558" t="s">
        <v>732</v>
      </c>
      <c r="C36" s="563"/>
      <c r="D36" s="564">
        <f>Input!$GB$6</f>
        <v>560</v>
      </c>
      <c r="E36" s="564">
        <f>Input!$GC$6</f>
        <v>125283928</v>
      </c>
      <c r="F36" s="564">
        <f>Input!$GD$6</f>
        <v>19897189</v>
      </c>
      <c r="G36" s="564">
        <f>Input!$GE$6</f>
        <v>0</v>
      </c>
      <c r="H36" s="564">
        <f>Input!$GF$6</f>
        <v>0</v>
      </c>
      <c r="I36" s="564">
        <f>Input!$GG$6</f>
        <v>0</v>
      </c>
      <c r="J36" s="564">
        <f>Input!$GH$6</f>
        <v>0</v>
      </c>
      <c r="K36" s="564">
        <f>Input!$GI$6</f>
        <v>0</v>
      </c>
      <c r="L36" s="564">
        <f>Input!$GJ$6</f>
        <v>0</v>
      </c>
      <c r="M36" s="565">
        <f t="shared" si="6"/>
        <v>145181677</v>
      </c>
      <c r="O36" s="261"/>
      <c r="Q36" s="412" t="str">
        <f>IF(Q30&lt;&gt;Q32,"Out of Balance","Balanced")</f>
        <v>Balanced</v>
      </c>
      <c r="R36" s="412" t="str">
        <f>IF(R30&lt;&gt;R34,"Out of Balance","Balanced")</f>
        <v>Balanced</v>
      </c>
      <c r="T36" s="560" t="s">
        <v>1053</v>
      </c>
      <c r="U36" s="266"/>
      <c r="V36" s="266"/>
      <c r="W36" s="334">
        <f>(M20+M33)*-1</f>
        <v>0</v>
      </c>
      <c r="X36" s="425"/>
    </row>
    <row r="37" spans="1:24" s="264" customFormat="1">
      <c r="A37" s="263"/>
      <c r="B37" s="261" t="s">
        <v>727</v>
      </c>
      <c r="C37" s="566"/>
      <c r="D37" s="372">
        <f>Input!$GK$6</f>
        <v>0</v>
      </c>
      <c r="E37" s="372">
        <f>Input!$GL$6</f>
        <v>0</v>
      </c>
      <c r="F37" s="372">
        <f>Input!$GM$6</f>
        <v>0</v>
      </c>
      <c r="G37" s="372">
        <f>Input!$GN$6</f>
        <v>0</v>
      </c>
      <c r="H37" s="372">
        <f>Input!$GO$6</f>
        <v>0</v>
      </c>
      <c r="I37" s="372">
        <f>Input!$GP$6</f>
        <v>0</v>
      </c>
      <c r="J37" s="372">
        <f>Input!$GQ$6</f>
        <v>0</v>
      </c>
      <c r="K37" s="372">
        <f>Input!$GR$6</f>
        <v>0</v>
      </c>
      <c r="L37" s="372">
        <f>Input!$GS$6</f>
        <v>0</v>
      </c>
      <c r="M37" s="567">
        <f t="shared" si="6"/>
        <v>0</v>
      </c>
      <c r="O37" s="261"/>
      <c r="T37" s="560" t="s">
        <v>1112</v>
      </c>
      <c r="U37" s="266"/>
      <c r="V37" s="266"/>
      <c r="W37" s="430">
        <f>(M25+M38)*-1</f>
        <v>0</v>
      </c>
      <c r="X37" s="655"/>
    </row>
    <row r="38" spans="1:24" s="264" customFormat="1">
      <c r="A38" s="263"/>
      <c r="B38" s="261" t="s">
        <v>728</v>
      </c>
      <c r="C38" s="566"/>
      <c r="D38" s="372">
        <f>Input!$GT$6</f>
        <v>0</v>
      </c>
      <c r="E38" s="372">
        <f>Input!$GU$6</f>
        <v>0</v>
      </c>
      <c r="F38" s="372">
        <f>Input!$GV$6</f>
        <v>0</v>
      </c>
      <c r="G38" s="372">
        <f>Input!$GW$6</f>
        <v>0</v>
      </c>
      <c r="H38" s="372">
        <f>Input!$GX$6</f>
        <v>0</v>
      </c>
      <c r="I38" s="372">
        <f>Input!$GY$6</f>
        <v>0</v>
      </c>
      <c r="J38" s="372">
        <f>Input!$GZ$6</f>
        <v>0</v>
      </c>
      <c r="K38" s="372">
        <f>Input!$HA$6</f>
        <v>0</v>
      </c>
      <c r="L38" s="372">
        <f>Input!$HB$6</f>
        <v>0</v>
      </c>
      <c r="M38" s="567">
        <f t="shared" si="6"/>
        <v>0</v>
      </c>
      <c r="O38" s="261"/>
      <c r="T38" s="650" t="s">
        <v>1113</v>
      </c>
      <c r="U38" s="584"/>
      <c r="V38" s="584"/>
      <c r="W38" s="656">
        <f>SUM(W36:W37)</f>
        <v>0</v>
      </c>
      <c r="X38" s="425"/>
    </row>
    <row r="39" spans="1:24" s="264" customFormat="1">
      <c r="A39" s="263"/>
      <c r="B39" s="261" t="s">
        <v>729</v>
      </c>
      <c r="C39" s="566"/>
      <c r="D39" s="372">
        <f>Input!$HC$6</f>
        <v>0</v>
      </c>
      <c r="E39" s="372">
        <f>Input!$HD$6</f>
        <v>-570907</v>
      </c>
      <c r="F39" s="372">
        <f>Input!$HE$6</f>
        <v>-1569996</v>
      </c>
      <c r="G39" s="372">
        <f>Input!$HF$6</f>
        <v>0</v>
      </c>
      <c r="H39" s="372">
        <f>Input!$HG$6</f>
        <v>0</v>
      </c>
      <c r="I39" s="372">
        <f>Input!$HH$6</f>
        <v>0</v>
      </c>
      <c r="J39" s="372">
        <f>Input!$HI$6</f>
        <v>0</v>
      </c>
      <c r="K39" s="372">
        <f>Input!$HJ$6</f>
        <v>0</v>
      </c>
      <c r="L39" s="372">
        <f>Input!$HK$6</f>
        <v>0</v>
      </c>
      <c r="M39" s="567">
        <f t="shared" si="6"/>
        <v>-2140903</v>
      </c>
      <c r="O39" s="261"/>
      <c r="T39" s="560" t="s">
        <v>1054</v>
      </c>
      <c r="U39" s="266"/>
      <c r="V39" s="266"/>
      <c r="W39" s="334"/>
      <c r="X39" s="425">
        <f>W38+W35</f>
        <v>33009886</v>
      </c>
    </row>
    <row r="40" spans="1:24" s="264" customFormat="1">
      <c r="A40" s="263"/>
      <c r="B40" s="261" t="s">
        <v>730</v>
      </c>
      <c r="C40" s="566"/>
      <c r="D40" s="372">
        <f>Input!$HL$6</f>
        <v>0</v>
      </c>
      <c r="E40" s="372">
        <f>Input!$HM$6</f>
        <v>0</v>
      </c>
      <c r="F40" s="372">
        <f>Input!$HN$6</f>
        <v>0</v>
      </c>
      <c r="G40" s="372">
        <f>Input!$HO$6</f>
        <v>0</v>
      </c>
      <c r="H40" s="372">
        <f>Input!$HP$6</f>
        <v>0</v>
      </c>
      <c r="I40" s="372">
        <f>Input!$HQ$6</f>
        <v>0</v>
      </c>
      <c r="J40" s="372">
        <f>Input!$HR$6</f>
        <v>0</v>
      </c>
      <c r="K40" s="372">
        <f>Input!$HS$6</f>
        <v>0</v>
      </c>
      <c r="L40" s="372">
        <f>Input!$HT$6</f>
        <v>0</v>
      </c>
      <c r="M40" s="567">
        <f t="shared" si="6"/>
        <v>0</v>
      </c>
      <c r="O40" s="261"/>
      <c r="T40" s="560"/>
      <c r="U40" s="261"/>
      <c r="V40" s="261"/>
      <c r="W40" s="261"/>
      <c r="X40" s="655"/>
    </row>
    <row r="41" spans="1:24" s="264" customFormat="1">
      <c r="A41" s="263"/>
      <c r="B41" s="261" t="s">
        <v>2133</v>
      </c>
      <c r="C41" s="566"/>
      <c r="D41" s="372">
        <f>Input!$HU$6</f>
        <v>-143</v>
      </c>
      <c r="E41" s="372">
        <f>Input!$HV$6</f>
        <v>-30507854</v>
      </c>
      <c r="F41" s="372">
        <f>Input!$HW$6</f>
        <v>-3341596</v>
      </c>
      <c r="G41" s="372">
        <f>Input!$HX$6</f>
        <v>0</v>
      </c>
      <c r="H41" s="372">
        <f>Input!$HY$6</f>
        <v>0</v>
      </c>
      <c r="I41" s="372">
        <f>Input!$HZ$6</f>
        <v>0</v>
      </c>
      <c r="J41" s="372">
        <f>Input!$IA$6</f>
        <v>0</v>
      </c>
      <c r="K41" s="372">
        <f>Input!$IB$6</f>
        <v>0</v>
      </c>
      <c r="L41" s="372">
        <f>Input!$IC$6</f>
        <v>0</v>
      </c>
      <c r="M41" s="567">
        <f t="shared" si="6"/>
        <v>-33849593</v>
      </c>
      <c r="O41"/>
      <c r="P41"/>
      <c r="Q41"/>
      <c r="R41"/>
      <c r="S41"/>
      <c r="T41" s="560" t="s">
        <v>1104</v>
      </c>
      <c r="U41" s="266"/>
      <c r="V41" s="266"/>
      <c r="W41" s="330">
        <f>(M21+M34)*-1</f>
        <v>0</v>
      </c>
      <c r="X41" s="425"/>
    </row>
    <row r="42" spans="1:24" s="264" customFormat="1">
      <c r="A42" s="263"/>
      <c r="B42" s="575" t="s">
        <v>40</v>
      </c>
      <c r="C42" s="563"/>
      <c r="D42" s="374">
        <f t="shared" ref="D42:L42" si="7">SUM(D36:D41)</f>
        <v>417</v>
      </c>
      <c r="E42" s="374">
        <f t="shared" si="7"/>
        <v>94205167</v>
      </c>
      <c r="F42" s="374">
        <f t="shared" si="7"/>
        <v>14985597</v>
      </c>
      <c r="G42" s="374">
        <f t="shared" si="7"/>
        <v>0</v>
      </c>
      <c r="H42" s="374">
        <f t="shared" si="7"/>
        <v>0</v>
      </c>
      <c r="I42" s="374">
        <f t="shared" si="7"/>
        <v>0</v>
      </c>
      <c r="J42" s="374">
        <f t="shared" si="7"/>
        <v>0</v>
      </c>
      <c r="K42" s="374">
        <f t="shared" si="7"/>
        <v>0</v>
      </c>
      <c r="L42" s="374">
        <f t="shared" si="7"/>
        <v>0</v>
      </c>
      <c r="M42" s="374">
        <f t="shared" si="6"/>
        <v>109191181</v>
      </c>
      <c r="O42"/>
      <c r="P42"/>
      <c r="Q42"/>
      <c r="R42"/>
      <c r="S42"/>
      <c r="T42" s="560" t="s">
        <v>1107</v>
      </c>
      <c r="U42" s="266"/>
      <c r="V42" s="266"/>
      <c r="W42" s="430">
        <f>(M22+M35)*-1</f>
        <v>0</v>
      </c>
      <c r="X42" s="425"/>
    </row>
    <row r="43" spans="1:24" s="264" customFormat="1">
      <c r="A43" s="263"/>
      <c r="B43" s="261"/>
      <c r="C43" s="566"/>
      <c r="D43" s="566"/>
      <c r="E43" s="566"/>
      <c r="F43" s="566"/>
      <c r="G43" s="566"/>
      <c r="H43" s="566"/>
      <c r="I43" s="566"/>
      <c r="J43" s="566"/>
      <c r="K43" s="566"/>
      <c r="L43" s="566"/>
      <c r="M43" s="567"/>
      <c r="O43"/>
      <c r="P43"/>
      <c r="Q43"/>
      <c r="R43"/>
      <c r="S43"/>
      <c r="T43" s="650" t="s">
        <v>1114</v>
      </c>
      <c r="U43" s="584"/>
      <c r="V43" s="584"/>
      <c r="W43" s="656">
        <f>SUM(W41:W42)</f>
        <v>0</v>
      </c>
      <c r="X43" s="655"/>
    </row>
    <row r="44" spans="1:24" s="264" customFormat="1" ht="13.5" customHeight="1">
      <c r="A44" s="263"/>
      <c r="B44" s="575" t="s">
        <v>1055</v>
      </c>
      <c r="C44" s="563"/>
      <c r="D44" s="374">
        <f t="shared" ref="D44:L44" si="8">D42+D29</f>
        <v>61207708</v>
      </c>
      <c r="E44" s="374">
        <f t="shared" si="8"/>
        <v>272286629</v>
      </c>
      <c r="F44" s="374">
        <f t="shared" si="8"/>
        <v>14985597</v>
      </c>
      <c r="G44" s="374">
        <f t="shared" si="8"/>
        <v>0</v>
      </c>
      <c r="H44" s="374">
        <f t="shared" si="8"/>
        <v>0</v>
      </c>
      <c r="I44" s="374">
        <f t="shared" si="8"/>
        <v>0</v>
      </c>
      <c r="J44" s="374">
        <f t="shared" si="8"/>
        <v>0</v>
      </c>
      <c r="K44" s="374">
        <f t="shared" si="8"/>
        <v>0</v>
      </c>
      <c r="L44" s="374">
        <f t="shared" si="8"/>
        <v>0</v>
      </c>
      <c r="M44" s="374">
        <f>D44+E44+F44+G44+H44+I44+J44+K44+L44</f>
        <v>348479934</v>
      </c>
      <c r="O44"/>
      <c r="P44"/>
      <c r="Q44"/>
      <c r="R44"/>
      <c r="S44"/>
      <c r="T44" s="560"/>
      <c r="U44" s="266"/>
      <c r="V44" s="266"/>
      <c r="W44" s="276"/>
      <c r="X44" s="425"/>
    </row>
    <row r="45" spans="1:24">
      <c r="A45" s="166">
        <v>28</v>
      </c>
      <c r="D45" s="373"/>
      <c r="E45" s="373"/>
      <c r="F45" s="373"/>
      <c r="G45" s="373"/>
      <c r="H45" s="373"/>
      <c r="I45" s="373"/>
      <c r="J45" s="373"/>
      <c r="K45" s="373"/>
      <c r="L45" s="373"/>
      <c r="M45" s="373"/>
      <c r="O45"/>
      <c r="P45"/>
      <c r="Q45"/>
      <c r="R45"/>
      <c r="S45"/>
      <c r="T45" s="560" t="s">
        <v>1110</v>
      </c>
      <c r="U45" s="266"/>
      <c r="V45" s="266"/>
      <c r="W45" s="334">
        <f>(M24+M37)*-1</f>
        <v>0</v>
      </c>
      <c r="X45" s="425"/>
    </row>
    <row r="46" spans="1:24">
      <c r="A46" s="166">
        <v>29</v>
      </c>
      <c r="B46" s="172" t="s">
        <v>6</v>
      </c>
      <c r="C46" s="172"/>
      <c r="D46" s="373"/>
      <c r="E46" s="373"/>
      <c r="F46" s="373"/>
      <c r="G46" s="373"/>
      <c r="H46" s="373"/>
      <c r="I46" s="373"/>
      <c r="J46" s="373"/>
      <c r="K46" s="373"/>
      <c r="L46" s="373"/>
      <c r="M46" s="373"/>
      <c r="O46"/>
      <c r="P46"/>
      <c r="Q46"/>
      <c r="R46"/>
      <c r="S46"/>
      <c r="T46" s="560" t="s">
        <v>1112</v>
      </c>
      <c r="U46" s="266"/>
      <c r="V46" s="266"/>
      <c r="W46" s="430">
        <f>(M25+M38)*-1</f>
        <v>0</v>
      </c>
      <c r="X46" s="425"/>
    </row>
    <row r="47" spans="1:24">
      <c r="A47" s="166">
        <v>30</v>
      </c>
      <c r="B47" s="176" t="s">
        <v>7</v>
      </c>
      <c r="C47" s="176"/>
      <c r="D47" s="375">
        <f>Input!$ID$6</f>
        <v>3106162</v>
      </c>
      <c r="E47" s="375">
        <f>Input!$IE$6</f>
        <v>13521496</v>
      </c>
      <c r="F47" s="375">
        <f>Input!$IF$6</f>
        <v>0</v>
      </c>
      <c r="G47" s="375">
        <f>Input!$IG$6</f>
        <v>159736902</v>
      </c>
      <c r="H47" s="375">
        <f>Input!$IH$6</f>
        <v>0</v>
      </c>
      <c r="I47" s="375">
        <f>Input!$II$6</f>
        <v>0</v>
      </c>
      <c r="J47" s="375">
        <f>Input!$IJ$6</f>
        <v>0</v>
      </c>
      <c r="K47" s="375">
        <f>Input!$IK$6</f>
        <v>0</v>
      </c>
      <c r="L47" s="375">
        <f>Input!$IL$6</f>
        <v>0</v>
      </c>
      <c r="M47" s="374">
        <f>D47+E47+F47+G47+H47+I47+J47+K47+L47</f>
        <v>176364560</v>
      </c>
      <c r="O47"/>
      <c r="P47"/>
      <c r="Q47"/>
      <c r="R47"/>
      <c r="S47"/>
      <c r="T47" s="657" t="s">
        <v>1115</v>
      </c>
      <c r="U47" s="27"/>
      <c r="V47" s="27"/>
      <c r="W47" s="656">
        <f>SUM(W45:W46)</f>
        <v>0</v>
      </c>
      <c r="X47" s="655"/>
    </row>
    <row r="48" spans="1:24">
      <c r="A48" s="166">
        <v>31</v>
      </c>
      <c r="D48" s="373"/>
      <c r="E48" s="373"/>
      <c r="F48" s="373"/>
      <c r="G48" s="373"/>
      <c r="H48" s="373"/>
      <c r="I48" s="373"/>
      <c r="J48" s="373"/>
      <c r="K48" s="373"/>
      <c r="L48" s="373"/>
      <c r="M48" s="373"/>
      <c r="O48"/>
      <c r="P48"/>
      <c r="Q48"/>
      <c r="R48"/>
      <c r="S48"/>
      <c r="T48" s="560"/>
      <c r="U48" s="261"/>
      <c r="V48" s="261"/>
      <c r="W48" s="261"/>
      <c r="X48" s="658">
        <f>W43-W47</f>
        <v>0</v>
      </c>
    </row>
    <row r="49" spans="1:28">
      <c r="A49" s="166">
        <v>32</v>
      </c>
      <c r="B49" s="172" t="s">
        <v>8</v>
      </c>
      <c r="C49" s="172"/>
      <c r="D49" s="373"/>
      <c r="E49" s="373"/>
      <c r="F49" s="373"/>
      <c r="G49" s="373"/>
      <c r="H49" s="373"/>
      <c r="I49" s="373"/>
      <c r="J49" s="373"/>
      <c r="K49" s="373"/>
      <c r="L49" s="373"/>
      <c r="M49" s="373"/>
      <c r="O49" s="273"/>
      <c r="T49" s="579" t="s">
        <v>287</v>
      </c>
      <c r="U49" s="511"/>
      <c r="V49" s="580"/>
      <c r="W49" s="580"/>
      <c r="X49" s="574">
        <f>SUM(X23:X48)</f>
        <v>497132352</v>
      </c>
    </row>
    <row r="50" spans="1:28">
      <c r="A50" s="166">
        <v>33</v>
      </c>
      <c r="B50" s="160" t="s">
        <v>42</v>
      </c>
      <c r="D50" s="372">
        <f>Input!$IM$6</f>
        <v>2936978</v>
      </c>
      <c r="E50" s="372">
        <f>Input!$IN$6</f>
        <v>19904010</v>
      </c>
      <c r="F50" s="372">
        <f>Input!$IO$6</f>
        <v>901051</v>
      </c>
      <c r="G50" s="372">
        <f>Input!$IP$6</f>
        <v>8298728</v>
      </c>
      <c r="H50" s="372">
        <f>Input!$IQ$6</f>
        <v>6407</v>
      </c>
      <c r="I50" s="372">
        <f>Input!$IR$6</f>
        <v>8586</v>
      </c>
      <c r="J50" s="372">
        <f>Input!$IS$6</f>
        <v>1620131</v>
      </c>
      <c r="K50" s="372">
        <f>Input!$IT$6</f>
        <v>0</v>
      </c>
      <c r="L50" s="372">
        <f>Input!$IU$6</f>
        <v>0</v>
      </c>
      <c r="M50" s="373">
        <f t="shared" ref="M50:M57" si="9">D50+E50+F50+G50+H50+I50+J50+K50+L50</f>
        <v>33675891</v>
      </c>
      <c r="O50" s="273"/>
      <c r="U50" s="275"/>
    </row>
    <row r="51" spans="1:28">
      <c r="A51" s="166">
        <v>34</v>
      </c>
      <c r="B51" s="160" t="s">
        <v>9</v>
      </c>
      <c r="D51" s="372">
        <f>Input!$IV$6</f>
        <v>0</v>
      </c>
      <c r="E51" s="372">
        <f>Input!$IW$6</f>
        <v>127339</v>
      </c>
      <c r="F51" s="372">
        <f>Input!$IX$6</f>
        <v>0</v>
      </c>
      <c r="G51" s="372">
        <f>Input!$IY$6</f>
        <v>962842</v>
      </c>
      <c r="H51" s="372">
        <f>Input!$IZ$6</f>
        <v>0</v>
      </c>
      <c r="I51" s="372">
        <f>Input!$JA$6</f>
        <v>0</v>
      </c>
      <c r="J51" s="372">
        <f>Input!$JB$6</f>
        <v>0</v>
      </c>
      <c r="K51" s="372">
        <f>Input!$JC$6</f>
        <v>0</v>
      </c>
      <c r="L51" s="372">
        <f>Input!$JD$6</f>
        <v>0</v>
      </c>
      <c r="M51" s="376">
        <f t="shared" si="9"/>
        <v>1090181</v>
      </c>
      <c r="Y51" s="277"/>
    </row>
    <row r="52" spans="1:28">
      <c r="A52" s="166">
        <v>35</v>
      </c>
      <c r="B52" s="160" t="s">
        <v>10</v>
      </c>
      <c r="D52" s="372">
        <f>Input!$JE$6</f>
        <v>0</v>
      </c>
      <c r="E52" s="372">
        <f>Input!$JF$6</f>
        <v>4386488</v>
      </c>
      <c r="F52" s="372">
        <f>Input!$JG$6</f>
        <v>0</v>
      </c>
      <c r="G52" s="372">
        <f>Input!$JH$6</f>
        <v>13094214</v>
      </c>
      <c r="H52" s="372">
        <f>Input!$JI$6</f>
        <v>0</v>
      </c>
      <c r="I52" s="372">
        <f>Input!$JJ$6</f>
        <v>0</v>
      </c>
      <c r="J52" s="372">
        <f>Input!$JK$6</f>
        <v>627883</v>
      </c>
      <c r="K52" s="372">
        <f>Input!$JL$6</f>
        <v>0</v>
      </c>
      <c r="L52" s="372">
        <f>Input!$JM$6</f>
        <v>0</v>
      </c>
      <c r="M52" s="373">
        <f t="shared" si="9"/>
        <v>18108585</v>
      </c>
      <c r="O52" s="273"/>
      <c r="P52" s="278"/>
    </row>
    <row r="53" spans="1:28">
      <c r="A53" s="166">
        <v>36</v>
      </c>
      <c r="B53" s="160" t="s">
        <v>11</v>
      </c>
      <c r="D53" s="372">
        <f>Input!$JN$6</f>
        <v>12978</v>
      </c>
      <c r="E53" s="372">
        <f>Input!$JO$6</f>
        <v>26001039</v>
      </c>
      <c r="F53" s="372">
        <f>Input!$JP$6</f>
        <v>0</v>
      </c>
      <c r="G53" s="372">
        <f>Input!$JQ$6</f>
        <v>2238055</v>
      </c>
      <c r="H53" s="372">
        <f>Input!$JR$6</f>
        <v>0</v>
      </c>
      <c r="I53" s="372">
        <f>Input!$JS$6</f>
        <v>0</v>
      </c>
      <c r="J53" s="372">
        <f>Input!$JT$6</f>
        <v>0</v>
      </c>
      <c r="K53" s="372">
        <f>Input!$JU$6</f>
        <v>0</v>
      </c>
      <c r="L53" s="372">
        <f>Input!$JV$6</f>
        <v>0</v>
      </c>
      <c r="M53" s="373">
        <f t="shared" si="9"/>
        <v>28252072</v>
      </c>
      <c r="O53" s="273"/>
    </row>
    <row r="54" spans="1:28" ht="13.5" thickBot="1">
      <c r="A54" s="166">
        <v>37</v>
      </c>
      <c r="B54" s="177" t="s">
        <v>2134</v>
      </c>
      <c r="C54" s="177"/>
      <c r="D54" s="372">
        <f>Input!$JW$6</f>
        <v>0</v>
      </c>
      <c r="E54" s="372">
        <f>Input!$JX$6</f>
        <v>0</v>
      </c>
      <c r="F54" s="372">
        <f>Input!$JY$6</f>
        <v>31718698</v>
      </c>
      <c r="G54" s="372">
        <f>Input!$JZ$6</f>
        <v>0</v>
      </c>
      <c r="H54" s="372">
        <f>Input!$KA$6</f>
        <v>0</v>
      </c>
      <c r="I54" s="372">
        <f>Input!$KB$6</f>
        <v>0</v>
      </c>
      <c r="J54" s="372">
        <f>Input!$KC$6</f>
        <v>0</v>
      </c>
      <c r="K54" s="372">
        <f>Input!$KD$6</f>
        <v>0</v>
      </c>
      <c r="L54" s="372">
        <f>Input!$KE$6</f>
        <v>0</v>
      </c>
      <c r="M54" s="373">
        <f t="shared" si="9"/>
        <v>31718698</v>
      </c>
      <c r="O54" s="273"/>
    </row>
    <row r="55" spans="1:28" ht="14.25" thickTop="1" thickBot="1">
      <c r="A55" s="166">
        <v>38</v>
      </c>
      <c r="B55" s="160" t="s">
        <v>43</v>
      </c>
      <c r="D55" s="372">
        <f>Input!$KF$6</f>
        <v>33926</v>
      </c>
      <c r="E55" s="372">
        <f>Input!$KG$6</f>
        <v>4270066</v>
      </c>
      <c r="F55" s="372">
        <f>Input!$KH$6</f>
        <v>0</v>
      </c>
      <c r="G55" s="372">
        <f>Input!$KI$6</f>
        <v>1678426</v>
      </c>
      <c r="H55" s="372">
        <f>Input!$KJ$6</f>
        <v>230125</v>
      </c>
      <c r="I55" s="372">
        <f>Input!$KK$6</f>
        <v>0</v>
      </c>
      <c r="J55" s="372">
        <f>Input!$KL$6</f>
        <v>700000</v>
      </c>
      <c r="K55" s="372">
        <f>Input!$KM$6</f>
        <v>0</v>
      </c>
      <c r="L55" s="372">
        <f>Input!$KN$6</f>
        <v>624351</v>
      </c>
      <c r="M55" s="373">
        <f t="shared" si="9"/>
        <v>7536894</v>
      </c>
      <c r="O55" s="1616" t="s">
        <v>251</v>
      </c>
      <c r="P55" s="1617"/>
      <c r="Q55" s="1617"/>
      <c r="R55" s="1618"/>
      <c r="S55" s="437"/>
      <c r="T55" s="1619" t="s">
        <v>252</v>
      </c>
      <c r="U55" s="1620"/>
      <c r="V55" s="1620"/>
      <c r="W55" s="1620"/>
      <c r="X55" s="1621"/>
      <c r="Y55" s="320"/>
      <c r="Z55" s="1749" t="s">
        <v>1301</v>
      </c>
      <c r="AA55" s="1750"/>
      <c r="AB55" s="1751"/>
    </row>
    <row r="56" spans="1:28" ht="13.5" customHeight="1" thickTop="1">
      <c r="A56" s="166">
        <v>39</v>
      </c>
      <c r="B56" s="176" t="s">
        <v>3</v>
      </c>
      <c r="C56" s="176"/>
      <c r="D56" s="374">
        <f>SUM(D50:D55)</f>
        <v>2983882</v>
      </c>
      <c r="E56" s="374">
        <f t="shared" ref="E56:L56" si="10">SUM(E50:E55)</f>
        <v>54688942</v>
      </c>
      <c r="F56" s="374">
        <f t="shared" si="10"/>
        <v>32619749</v>
      </c>
      <c r="G56" s="374">
        <f t="shared" si="10"/>
        <v>26272265</v>
      </c>
      <c r="H56" s="374">
        <f t="shared" si="10"/>
        <v>236532</v>
      </c>
      <c r="I56" s="374">
        <f t="shared" si="10"/>
        <v>8586</v>
      </c>
      <c r="J56" s="374">
        <f t="shared" si="10"/>
        <v>2948014</v>
      </c>
      <c r="K56" s="374">
        <f t="shared" si="10"/>
        <v>0</v>
      </c>
      <c r="L56" s="374">
        <f t="shared" si="10"/>
        <v>624351</v>
      </c>
      <c r="M56" s="374">
        <f t="shared" si="9"/>
        <v>120382321</v>
      </c>
      <c r="O56" s="1622" t="s">
        <v>1135</v>
      </c>
      <c r="P56" s="1625" t="s">
        <v>254</v>
      </c>
      <c r="Q56" s="1625" t="s">
        <v>292</v>
      </c>
      <c r="R56" s="1628" t="s">
        <v>1063</v>
      </c>
      <c r="S56" s="280"/>
      <c r="T56" s="1739" t="s">
        <v>1136</v>
      </c>
      <c r="U56" s="1637" t="s">
        <v>254</v>
      </c>
      <c r="V56" s="1634" t="s">
        <v>256</v>
      </c>
      <c r="W56" s="1637" t="s">
        <v>257</v>
      </c>
      <c r="X56" s="1638" t="s">
        <v>1064</v>
      </c>
      <c r="Z56" s="1754" t="s">
        <v>1302</v>
      </c>
      <c r="AA56" s="1747" t="s">
        <v>1303</v>
      </c>
      <c r="AB56" s="1752" t="s">
        <v>238</v>
      </c>
    </row>
    <row r="57" spans="1:28">
      <c r="A57" s="166">
        <v>40</v>
      </c>
      <c r="B57" s="162" t="s">
        <v>68</v>
      </c>
      <c r="C57" s="162"/>
      <c r="D57" s="374">
        <f>D15+D44+D47+D56</f>
        <v>223676665</v>
      </c>
      <c r="E57" s="374">
        <f t="shared" ref="E57:L57" si="11">E15+E44+E47+E56</f>
        <v>340772067</v>
      </c>
      <c r="F57" s="374">
        <f t="shared" si="11"/>
        <v>47605346</v>
      </c>
      <c r="G57" s="374">
        <f t="shared" si="11"/>
        <v>190126438</v>
      </c>
      <c r="H57" s="374">
        <f t="shared" si="11"/>
        <v>236532</v>
      </c>
      <c r="I57" s="374">
        <f t="shared" si="11"/>
        <v>8586</v>
      </c>
      <c r="J57" s="374">
        <f t="shared" si="11"/>
        <v>2948014</v>
      </c>
      <c r="K57" s="374">
        <f t="shared" si="11"/>
        <v>0</v>
      </c>
      <c r="L57" s="374">
        <f t="shared" si="11"/>
        <v>624351</v>
      </c>
      <c r="M57" s="374">
        <f t="shared" si="9"/>
        <v>805997999</v>
      </c>
      <c r="O57" s="1623"/>
      <c r="P57" s="1626"/>
      <c r="Q57" s="1626"/>
      <c r="R57" s="1629"/>
      <c r="S57" s="280"/>
      <c r="T57" s="1740"/>
      <c r="U57" s="1626"/>
      <c r="V57" s="1635"/>
      <c r="W57" s="1626"/>
      <c r="X57" s="1639"/>
      <c r="Z57" s="1755"/>
      <c r="AA57" s="1747"/>
      <c r="AB57" s="1752"/>
    </row>
    <row r="58" spans="1:28">
      <c r="A58" s="166">
        <v>41</v>
      </c>
      <c r="D58" s="373"/>
      <c r="E58" s="373"/>
      <c r="F58" s="373"/>
      <c r="G58" s="373"/>
      <c r="H58" s="373"/>
      <c r="I58" s="373"/>
      <c r="J58" s="373"/>
      <c r="K58" s="373"/>
      <c r="L58" s="373"/>
      <c r="M58" s="373"/>
      <c r="O58" s="1623"/>
      <c r="P58" s="1626"/>
      <c r="Q58" s="1626"/>
      <c r="R58" s="1629"/>
      <c r="S58" s="280"/>
      <c r="T58" s="1740"/>
      <c r="U58" s="1626"/>
      <c r="V58" s="1635"/>
      <c r="W58" s="1626"/>
      <c r="X58" s="1639"/>
      <c r="Z58" s="1755"/>
      <c r="AA58" s="1747"/>
      <c r="AB58" s="1752"/>
    </row>
    <row r="59" spans="1:28" ht="15.75" customHeight="1">
      <c r="A59" s="166">
        <v>42</v>
      </c>
      <c r="B59" s="174" t="s">
        <v>72</v>
      </c>
      <c r="C59" s="174"/>
      <c r="D59" s="377"/>
      <c r="E59" s="377"/>
      <c r="F59" s="377"/>
      <c r="G59" s="1746" t="str">
        <f>IF(OR(P105&gt;0,P106&lt;&gt;0,P107&lt;&gt;0),"Do not Enter Cents - Whole Dollars Only","")</f>
        <v/>
      </c>
      <c r="H59" s="1746"/>
      <c r="I59" s="1746"/>
      <c r="J59" s="1746"/>
      <c r="K59" s="1746"/>
      <c r="L59" s="377"/>
      <c r="M59" s="377"/>
      <c r="O59" s="1624"/>
      <c r="P59" s="1627"/>
      <c r="Q59" s="1627"/>
      <c r="R59" s="1630"/>
      <c r="S59" s="280"/>
      <c r="T59" s="1741"/>
      <c r="U59" s="1627"/>
      <c r="V59" s="1636"/>
      <c r="W59" s="1627"/>
      <c r="X59" s="1640"/>
      <c r="Z59" s="1756"/>
      <c r="AA59" s="1748"/>
      <c r="AB59" s="1753"/>
    </row>
    <row r="60" spans="1:28" ht="13.5" thickBot="1">
      <c r="A60" s="166">
        <v>43</v>
      </c>
      <c r="B60" s="160" t="s">
        <v>14</v>
      </c>
      <c r="D60" s="372">
        <f>Input!$KO$6</f>
        <v>123807581</v>
      </c>
      <c r="E60" s="372">
        <f>Input!$KP$6</f>
        <v>70964119</v>
      </c>
      <c r="F60" s="372">
        <f>Input!$KQ$6</f>
        <v>0</v>
      </c>
      <c r="G60" s="372">
        <f>Input!$KR$6</f>
        <v>3313411</v>
      </c>
      <c r="H60" s="372">
        <f>Input!$KS$6</f>
        <v>0</v>
      </c>
      <c r="I60" s="372">
        <f>Input!$KT$6</f>
        <v>0</v>
      </c>
      <c r="J60" s="372">
        <f>Input!$KU$6</f>
        <v>0</v>
      </c>
      <c r="K60" s="372">
        <f>Input!$KV$6</f>
        <v>0</v>
      </c>
      <c r="L60" s="372">
        <f>Input!$KW$6</f>
        <v>0</v>
      </c>
      <c r="M60" s="373">
        <f t="shared" ref="M60:M71" si="12">D60+E60+F60+G60+H60+I60+J60+K60+L60</f>
        <v>198085111</v>
      </c>
      <c r="O60" s="282">
        <f>D60+E60+G60+J60</f>
        <v>198085111</v>
      </c>
      <c r="P60" s="518">
        <f>Input!$SS$6</f>
        <v>62650</v>
      </c>
      <c r="Q60" s="438" t="s">
        <v>259</v>
      </c>
      <c r="R60" s="284">
        <f>SUM(O60:P60)</f>
        <v>198147761</v>
      </c>
      <c r="S60" s="439"/>
      <c r="T60" s="286">
        <f t="shared" ref="T60:T67" si="13">D60+E60+G60</f>
        <v>198085111</v>
      </c>
      <c r="U60" s="287">
        <f t="shared" ref="U60:U67" si="14">P60</f>
        <v>62650</v>
      </c>
      <c r="V60" s="289">
        <f>Input!$TC$6</f>
        <v>50162</v>
      </c>
      <c r="W60" s="289">
        <f>Input!$TK$6</f>
        <v>0</v>
      </c>
      <c r="X60" s="290">
        <f t="shared" ref="X60:X66" si="15">T60+U60-V60-W60</f>
        <v>198097599</v>
      </c>
      <c r="Z60" s="292" t="s">
        <v>14</v>
      </c>
      <c r="AA60" s="520">
        <f>Input!$TS$6</f>
        <v>198085111</v>
      </c>
      <c r="AB60" s="293">
        <f t="shared" ref="AB60:AB68" si="16">AA60-M60</f>
        <v>0</v>
      </c>
    </row>
    <row r="61" spans="1:28" ht="14.25" thickTop="1" thickBot="1">
      <c r="A61" s="166">
        <v>44</v>
      </c>
      <c r="B61" s="160" t="s">
        <v>15</v>
      </c>
      <c r="D61" s="372">
        <f>Input!$KX$6</f>
        <v>13784048</v>
      </c>
      <c r="E61" s="372">
        <f>Input!$KY$6</f>
        <v>43807801</v>
      </c>
      <c r="F61" s="372">
        <f>Input!$KZ$6</f>
        <v>0</v>
      </c>
      <c r="G61" s="372">
        <f>Input!$LA$6</f>
        <v>45807116</v>
      </c>
      <c r="H61" s="372">
        <f>Input!$LB$6</f>
        <v>0</v>
      </c>
      <c r="I61" s="372">
        <f>Input!$LC$6</f>
        <v>0</v>
      </c>
      <c r="J61" s="372">
        <f>Input!$LD$6</f>
        <v>0</v>
      </c>
      <c r="K61" s="372">
        <f>Input!$LE$6</f>
        <v>0</v>
      </c>
      <c r="L61" s="372">
        <f>Input!$LF$6</f>
        <v>0</v>
      </c>
      <c r="M61" s="373">
        <f t="shared" si="12"/>
        <v>103398965</v>
      </c>
      <c r="O61" s="440">
        <f t="shared" ref="O61:O67" si="17">D61+E61+G61+J61</f>
        <v>103398965</v>
      </c>
      <c r="P61" s="518">
        <f>Input!$ST$6</f>
        <v>2257334</v>
      </c>
      <c r="Q61" s="441" t="s">
        <v>259</v>
      </c>
      <c r="R61" s="295">
        <f>SUM(O61:P61)</f>
        <v>105656299</v>
      </c>
      <c r="S61" s="442"/>
      <c r="T61" s="296">
        <f t="shared" si="13"/>
        <v>103398965</v>
      </c>
      <c r="U61" s="297">
        <f t="shared" si="14"/>
        <v>2257334</v>
      </c>
      <c r="V61" s="299">
        <f>Input!$TD$6</f>
        <v>2595007</v>
      </c>
      <c r="W61" s="299">
        <f>Input!$TL$6</f>
        <v>97242</v>
      </c>
      <c r="X61" s="300">
        <f t="shared" si="15"/>
        <v>102964050</v>
      </c>
      <c r="Z61" s="292" t="s">
        <v>15</v>
      </c>
      <c r="AA61" s="518">
        <f>Input!$TT$6</f>
        <v>103398965</v>
      </c>
      <c r="AB61" s="301">
        <f t="shared" si="16"/>
        <v>0</v>
      </c>
    </row>
    <row r="62" spans="1:28" ht="13.5" thickTop="1">
      <c r="A62" s="166">
        <v>45</v>
      </c>
      <c r="B62" s="160" t="s">
        <v>16</v>
      </c>
      <c r="D62" s="372">
        <f>Input!$LG$6</f>
        <v>305716</v>
      </c>
      <c r="E62" s="372">
        <f>Input!$LH$6</f>
        <v>1123621</v>
      </c>
      <c r="F62" s="372">
        <f>Input!$LI$6</f>
        <v>0</v>
      </c>
      <c r="G62" s="372">
        <f>Input!$LJ$6</f>
        <v>10832469</v>
      </c>
      <c r="H62" s="372">
        <f>Input!$LK$6</f>
        <v>0</v>
      </c>
      <c r="I62" s="372">
        <f>Input!$LL$6</f>
        <v>0</v>
      </c>
      <c r="J62" s="372">
        <f>Input!$LM$6</f>
        <v>0</v>
      </c>
      <c r="K62" s="372">
        <f>Input!$LN$6</f>
        <v>0</v>
      </c>
      <c r="L62" s="372">
        <f>Input!$LO$6</f>
        <v>0</v>
      </c>
      <c r="M62" s="373">
        <f t="shared" si="12"/>
        <v>12261806</v>
      </c>
      <c r="O62" s="440">
        <f t="shared" si="17"/>
        <v>12261806</v>
      </c>
      <c r="P62" s="518">
        <f>Input!$SU$6</f>
        <v>0</v>
      </c>
      <c r="Q62" s="441" t="s">
        <v>259</v>
      </c>
      <c r="R62" s="302" t="s">
        <v>259</v>
      </c>
      <c r="S62" s="442"/>
      <c r="T62" s="296">
        <f t="shared" si="13"/>
        <v>12261806</v>
      </c>
      <c r="U62" s="297">
        <f t="shared" si="14"/>
        <v>0</v>
      </c>
      <c r="V62" s="299">
        <f>Input!$TE$6</f>
        <v>9637</v>
      </c>
      <c r="W62" s="299">
        <f>Input!$TM$6</f>
        <v>0</v>
      </c>
      <c r="X62" s="303">
        <f t="shared" si="15"/>
        <v>12252169</v>
      </c>
      <c r="Z62" s="292" t="s">
        <v>16</v>
      </c>
      <c r="AA62" s="518">
        <f>Input!$TU$6</f>
        <v>12261806</v>
      </c>
      <c r="AB62" s="301">
        <f t="shared" si="16"/>
        <v>0</v>
      </c>
    </row>
    <row r="63" spans="1:28">
      <c r="A63" s="166">
        <v>46</v>
      </c>
      <c r="B63" s="160" t="s">
        <v>17</v>
      </c>
      <c r="D63" s="372">
        <f>Input!$LP$6</f>
        <v>21705754</v>
      </c>
      <c r="E63" s="372">
        <f>Input!$LQ$6</f>
        <v>31121605</v>
      </c>
      <c r="F63" s="372">
        <f>Input!$LR$6</f>
        <v>0</v>
      </c>
      <c r="G63" s="372">
        <f>Input!$LS$6</f>
        <v>8675299</v>
      </c>
      <c r="H63" s="372">
        <f>Input!$LT$6</f>
        <v>0</v>
      </c>
      <c r="I63" s="372">
        <f>Input!$LU$6</f>
        <v>0</v>
      </c>
      <c r="J63" s="372">
        <f>Input!$LV$6</f>
        <v>0</v>
      </c>
      <c r="K63" s="372">
        <f>Input!$LW$6</f>
        <v>0</v>
      </c>
      <c r="L63" s="372">
        <f>Input!$LX$6</f>
        <v>0</v>
      </c>
      <c r="M63" s="373">
        <f t="shared" si="12"/>
        <v>61502658</v>
      </c>
      <c r="O63" s="440">
        <f t="shared" si="17"/>
        <v>61502658</v>
      </c>
      <c r="P63" s="518">
        <f>Input!$SV$6</f>
        <v>532003</v>
      </c>
      <c r="Q63" s="441" t="s">
        <v>259</v>
      </c>
      <c r="R63" s="295">
        <f t="shared" ref="R63:R65" si="18">SUM(O63:P63)</f>
        <v>62034661</v>
      </c>
      <c r="S63" s="442"/>
      <c r="T63" s="296">
        <f t="shared" si="13"/>
        <v>61502658</v>
      </c>
      <c r="U63" s="297">
        <f t="shared" si="14"/>
        <v>532003</v>
      </c>
      <c r="V63" s="299">
        <f>Input!$TF$6</f>
        <v>0</v>
      </c>
      <c r="W63" s="299">
        <f>Input!$TN$6</f>
        <v>0</v>
      </c>
      <c r="X63" s="303">
        <f t="shared" si="15"/>
        <v>62034661</v>
      </c>
      <c r="Z63" s="292" t="s">
        <v>17</v>
      </c>
      <c r="AA63" s="518">
        <f>Input!$TV$6</f>
        <v>61502658</v>
      </c>
      <c r="AB63" s="301">
        <f t="shared" si="16"/>
        <v>0</v>
      </c>
    </row>
    <row r="64" spans="1:28">
      <c r="A64" s="166">
        <v>47</v>
      </c>
      <c r="B64" s="160" t="s">
        <v>18</v>
      </c>
      <c r="D64" s="372">
        <f>Input!$LY$6</f>
        <v>9151611</v>
      </c>
      <c r="E64" s="372">
        <f>Input!$LZ$6</f>
        <v>78079274</v>
      </c>
      <c r="F64" s="372">
        <f>Input!$MA$6</f>
        <v>0</v>
      </c>
      <c r="G64" s="372">
        <f>Input!$MB$6</f>
        <v>379634</v>
      </c>
      <c r="H64" s="372">
        <f>Input!$MC$6</f>
        <v>-903687</v>
      </c>
      <c r="I64" s="372">
        <f>Input!$MD$6</f>
        <v>0</v>
      </c>
      <c r="J64" s="372">
        <f>Input!$ME$6</f>
        <v>0</v>
      </c>
      <c r="K64" s="372">
        <f>Input!$MF$6</f>
        <v>0</v>
      </c>
      <c r="L64" s="372">
        <f>Input!$MG$6</f>
        <v>0</v>
      </c>
      <c r="M64" s="373">
        <f t="shared" si="12"/>
        <v>86706832</v>
      </c>
      <c r="O64" s="440">
        <f t="shared" si="17"/>
        <v>87610519</v>
      </c>
      <c r="P64" s="518">
        <f>Input!$SW$6</f>
        <v>72695</v>
      </c>
      <c r="Q64" s="518">
        <f>Input!$TB$6</f>
        <v>0</v>
      </c>
      <c r="R64" s="295">
        <f>SUM(O64:P64)-Q64</f>
        <v>87683214</v>
      </c>
      <c r="S64" s="442"/>
      <c r="T64" s="296">
        <f t="shared" si="13"/>
        <v>87610519</v>
      </c>
      <c r="U64" s="297">
        <f t="shared" si="14"/>
        <v>72695</v>
      </c>
      <c r="V64" s="299">
        <f>Input!$TG$6</f>
        <v>0</v>
      </c>
      <c r="W64" s="299">
        <f>Input!$TO$6</f>
        <v>0</v>
      </c>
      <c r="X64" s="303">
        <f t="shared" si="15"/>
        <v>87683214</v>
      </c>
      <c r="Z64" s="292" t="s">
        <v>18</v>
      </c>
      <c r="AA64" s="518">
        <f>Input!$TW$6</f>
        <v>86706832</v>
      </c>
      <c r="AB64" s="301">
        <f t="shared" si="16"/>
        <v>0</v>
      </c>
    </row>
    <row r="65" spans="1:28">
      <c r="A65" s="166">
        <v>48</v>
      </c>
      <c r="B65" s="160" t="s">
        <v>19</v>
      </c>
      <c r="D65" s="372">
        <f>Input!$MH$6</f>
        <v>23055173</v>
      </c>
      <c r="E65" s="372">
        <f>Input!$MI$6</f>
        <v>26262069</v>
      </c>
      <c r="F65" s="372">
        <f>Input!$MJ$6</f>
        <v>0</v>
      </c>
      <c r="G65" s="372">
        <f>Input!$MK$6</f>
        <v>171881</v>
      </c>
      <c r="H65" s="372">
        <f>Input!$ML$6</f>
        <v>0</v>
      </c>
      <c r="I65" s="372">
        <f>Input!$MM$6</f>
        <v>0</v>
      </c>
      <c r="J65" s="372">
        <f>Input!$MN$6</f>
        <v>0</v>
      </c>
      <c r="K65" s="372">
        <f>Input!$MO$6</f>
        <v>0</v>
      </c>
      <c r="L65" s="372">
        <f>Input!$MP$6</f>
        <v>0</v>
      </c>
      <c r="M65" s="373">
        <f t="shared" si="12"/>
        <v>49489123</v>
      </c>
      <c r="O65" s="440">
        <f t="shared" si="17"/>
        <v>49489123</v>
      </c>
      <c r="P65" s="518">
        <f>Input!$SX$6</f>
        <v>172594</v>
      </c>
      <c r="Q65" s="441" t="s">
        <v>259</v>
      </c>
      <c r="R65" s="295">
        <f t="shared" si="18"/>
        <v>49661717</v>
      </c>
      <c r="S65" s="442"/>
      <c r="T65" s="296">
        <f t="shared" si="13"/>
        <v>49489123</v>
      </c>
      <c r="U65" s="297">
        <f t="shared" si="14"/>
        <v>172594</v>
      </c>
      <c r="V65" s="299">
        <f>Input!$TH$6</f>
        <v>0</v>
      </c>
      <c r="W65" s="299">
        <f>Input!$TP$6</f>
        <v>0</v>
      </c>
      <c r="X65" s="303">
        <f t="shared" si="15"/>
        <v>49661717</v>
      </c>
      <c r="Z65" s="292" t="s">
        <v>19</v>
      </c>
      <c r="AA65" s="518">
        <f>Input!$TX$6</f>
        <v>49489123</v>
      </c>
      <c r="AB65" s="301">
        <f t="shared" si="16"/>
        <v>0</v>
      </c>
    </row>
    <row r="66" spans="1:28">
      <c r="A66" s="166">
        <v>49</v>
      </c>
      <c r="B66" s="160" t="s">
        <v>20</v>
      </c>
      <c r="D66" s="372">
        <f>Input!$MQ$6</f>
        <v>24542929</v>
      </c>
      <c r="E66" s="372">
        <f>Input!$MR$6</f>
        <v>9473454</v>
      </c>
      <c r="F66" s="372">
        <f>Input!$MS$6</f>
        <v>0</v>
      </c>
      <c r="G66" s="372">
        <f>Input!$MT$6</f>
        <v>768581</v>
      </c>
      <c r="H66" s="372">
        <f>Input!$MU$6</f>
        <v>0</v>
      </c>
      <c r="I66" s="372">
        <f>Input!$MV$6</f>
        <v>0</v>
      </c>
      <c r="J66" s="372">
        <f>Input!$MW$6</f>
        <v>7141610</v>
      </c>
      <c r="K66" s="372">
        <f>Input!$MX$6</f>
        <v>0</v>
      </c>
      <c r="L66" s="372">
        <f>Input!$MY$6</f>
        <v>0</v>
      </c>
      <c r="M66" s="373">
        <f t="shared" si="12"/>
        <v>41926574</v>
      </c>
      <c r="O66" s="440">
        <f t="shared" si="17"/>
        <v>41926574</v>
      </c>
      <c r="P66" s="518">
        <f>Input!$SY$6</f>
        <v>507821</v>
      </c>
      <c r="Q66" s="441" t="s">
        <v>259</v>
      </c>
      <c r="R66" s="304" t="s">
        <v>259</v>
      </c>
      <c r="S66" s="442"/>
      <c r="T66" s="296">
        <f t="shared" si="13"/>
        <v>34784964</v>
      </c>
      <c r="U66" s="297">
        <f t="shared" si="14"/>
        <v>507821</v>
      </c>
      <c r="V66" s="299">
        <f>Input!$TI$6</f>
        <v>0</v>
      </c>
      <c r="W66" s="299">
        <f>Input!$TQ$6</f>
        <v>0</v>
      </c>
      <c r="X66" s="303">
        <f t="shared" si="15"/>
        <v>35292785</v>
      </c>
      <c r="Z66" s="292" t="s">
        <v>260</v>
      </c>
      <c r="AA66" s="518">
        <f>Input!$TY$6</f>
        <v>41926574</v>
      </c>
      <c r="AB66" s="301">
        <f t="shared" si="16"/>
        <v>0</v>
      </c>
    </row>
    <row r="67" spans="1:28" ht="13.5" thickBot="1">
      <c r="A67" s="166">
        <v>50</v>
      </c>
      <c r="B67" s="160" t="s">
        <v>21</v>
      </c>
      <c r="D67" s="372">
        <f>Input!$MZ$6</f>
        <v>8477554</v>
      </c>
      <c r="E67" s="372">
        <f>Input!$NA$6</f>
        <v>17482910</v>
      </c>
      <c r="F67" s="372">
        <f>Input!$NB$6</f>
        <v>0</v>
      </c>
      <c r="G67" s="372">
        <f>Input!$NC$6</f>
        <v>60919982</v>
      </c>
      <c r="H67" s="372">
        <f>Input!$ND$6</f>
        <v>0</v>
      </c>
      <c r="I67" s="372">
        <f>Input!$NE$6</f>
        <v>0</v>
      </c>
      <c r="J67" s="372">
        <f>Input!$NF$6</f>
        <v>0</v>
      </c>
      <c r="K67" s="372">
        <f>Input!$NG$6</f>
        <v>0</v>
      </c>
      <c r="L67" s="372">
        <f>Input!$NH$6</f>
        <v>0</v>
      </c>
      <c r="M67" s="373">
        <f t="shared" si="12"/>
        <v>86880446</v>
      </c>
      <c r="O67" s="440">
        <f t="shared" si="17"/>
        <v>86880446</v>
      </c>
      <c r="P67" s="518">
        <f>Input!$SZ$6</f>
        <v>0</v>
      </c>
      <c r="Q67" s="441" t="s">
        <v>259</v>
      </c>
      <c r="R67" s="304" t="s">
        <v>259</v>
      </c>
      <c r="S67" s="442"/>
      <c r="T67" s="306">
        <f t="shared" si="13"/>
        <v>86880446</v>
      </c>
      <c r="U67" s="307">
        <f t="shared" si="14"/>
        <v>0</v>
      </c>
      <c r="V67" s="308">
        <f>Input!$TJ$6</f>
        <v>0</v>
      </c>
      <c r="W67" s="308">
        <f>Input!$TR$6</f>
        <v>0</v>
      </c>
      <c r="X67" s="303">
        <f>U67+T67-V67-W67</f>
        <v>86880446</v>
      </c>
      <c r="Z67" s="292" t="s">
        <v>21</v>
      </c>
      <c r="AA67" s="518">
        <f>Input!$TZ$6</f>
        <v>86880446</v>
      </c>
      <c r="AB67" s="301">
        <f t="shared" si="16"/>
        <v>0</v>
      </c>
    </row>
    <row r="68" spans="1:28" ht="14.25" thickTop="1" thickBot="1">
      <c r="A68" s="166">
        <v>51</v>
      </c>
      <c r="B68" s="160" t="s">
        <v>2135</v>
      </c>
      <c r="D68" s="372">
        <f>Input!$NI$6</f>
        <v>0</v>
      </c>
      <c r="E68" s="372">
        <f>Input!$NJ$6</f>
        <v>179</v>
      </c>
      <c r="F68" s="372">
        <f>Input!$NK$6</f>
        <v>49139466</v>
      </c>
      <c r="G68" s="372">
        <f>Input!$NL$6</f>
        <v>1745420</v>
      </c>
      <c r="H68" s="372">
        <f>Input!$NM$6</f>
        <v>0</v>
      </c>
      <c r="I68" s="372">
        <f>Input!$NN$6</f>
        <v>0</v>
      </c>
      <c r="J68" s="372">
        <f>Input!$NO$6</f>
        <v>0</v>
      </c>
      <c r="K68" s="372">
        <f>Input!$NP$6</f>
        <v>0</v>
      </c>
      <c r="L68" s="372">
        <f>Input!$NQ$6</f>
        <v>0</v>
      </c>
      <c r="M68" s="373">
        <f t="shared" si="12"/>
        <v>50885065</v>
      </c>
      <c r="O68" s="309" t="s">
        <v>259</v>
      </c>
      <c r="P68" s="519">
        <f>Input!$TA$6</f>
        <v>163539</v>
      </c>
      <c r="Q68" s="444" t="s">
        <v>259</v>
      </c>
      <c r="R68" s="311" t="s">
        <v>259</v>
      </c>
      <c r="S68" s="442"/>
      <c r="T68" s="305"/>
      <c r="U68" s="305"/>
      <c r="V68" s="312" t="s">
        <v>261</v>
      </c>
      <c r="W68" s="313"/>
      <c r="X68" s="314">
        <f>SUM(X60:X67)</f>
        <v>634866641</v>
      </c>
      <c r="Z68" s="292" t="s">
        <v>22</v>
      </c>
      <c r="AA68" s="518">
        <f>Input!$UA$6</f>
        <v>50885065</v>
      </c>
      <c r="AB68" s="301">
        <f t="shared" si="16"/>
        <v>0</v>
      </c>
    </row>
    <row r="69" spans="1:28" ht="14.25" thickTop="1" thickBot="1">
      <c r="A69" s="166">
        <v>52</v>
      </c>
      <c r="B69" s="161" t="s">
        <v>59</v>
      </c>
      <c r="C69" s="161"/>
      <c r="D69" s="372">
        <f>Input!$NR$6</f>
        <v>15829</v>
      </c>
      <c r="E69" s="372">
        <f>Input!$NS$6</f>
        <v>273517</v>
      </c>
      <c r="F69" s="372">
        <f>Input!$NT$6</f>
        <v>163539</v>
      </c>
      <c r="G69" s="372">
        <f>Input!$NU$6</f>
        <v>3315751</v>
      </c>
      <c r="H69" s="372">
        <f>Input!$NV$6</f>
        <v>0</v>
      </c>
      <c r="I69" s="372">
        <f>Input!$NW$6</f>
        <v>0</v>
      </c>
      <c r="J69" s="372">
        <f>Input!$NX$6</f>
        <v>0</v>
      </c>
      <c r="K69" s="372">
        <f>Input!$NY$6</f>
        <v>0</v>
      </c>
      <c r="L69" s="372">
        <f>Input!$NZ$6</f>
        <v>0</v>
      </c>
      <c r="M69" s="373">
        <f t="shared" si="12"/>
        <v>3768636</v>
      </c>
      <c r="O69" s="315"/>
      <c r="P69" s="316">
        <f>SUM(P60:P68)</f>
        <v>3768636</v>
      </c>
      <c r="Q69" s="316">
        <f>SUM(Q64:Q68)</f>
        <v>0</v>
      </c>
      <c r="R69" s="317">
        <f>SUM(R60:R65)</f>
        <v>503183652</v>
      </c>
      <c r="S69" s="316"/>
      <c r="T69" s="305"/>
      <c r="U69" s="305"/>
      <c r="V69" s="305"/>
      <c r="W69" s="277"/>
      <c r="X69" s="277"/>
      <c r="Y69" s="277"/>
      <c r="Z69" s="292" t="s">
        <v>285</v>
      </c>
      <c r="AA69" s="445">
        <f>M88*-1</f>
        <v>56108157</v>
      </c>
      <c r="AB69" s="301">
        <f>AA69+M88</f>
        <v>0</v>
      </c>
    </row>
    <row r="70" spans="1:28" ht="14.25" thickTop="1" thickBot="1">
      <c r="A70" s="166">
        <v>53</v>
      </c>
      <c r="B70" s="178" t="s">
        <v>44</v>
      </c>
      <c r="C70" s="178"/>
      <c r="D70" s="378">
        <f>Input!$OA$6</f>
        <v>475</v>
      </c>
      <c r="E70" s="378">
        <f>Input!$OB$6</f>
        <v>24413</v>
      </c>
      <c r="F70" s="378">
        <f>Input!$OC$6</f>
        <v>0</v>
      </c>
      <c r="G70" s="378">
        <f>Input!$OD$6</f>
        <v>0</v>
      </c>
      <c r="H70" s="378">
        <f>Input!$OE$6</f>
        <v>40677</v>
      </c>
      <c r="I70" s="378">
        <f>Input!$OF$6</f>
        <v>0</v>
      </c>
      <c r="J70" s="378">
        <f>Input!$OG$6</f>
        <v>0</v>
      </c>
      <c r="K70" s="378">
        <f>Input!$OH$6</f>
        <v>0</v>
      </c>
      <c r="L70" s="378">
        <f>Input!$OI$6</f>
        <v>662812</v>
      </c>
      <c r="M70" s="373">
        <f t="shared" si="12"/>
        <v>728377</v>
      </c>
      <c r="O70" s="320"/>
      <c r="P70" s="516" t="str">
        <f>IF(P69&lt;&gt;M69,"Out of Balance","Balanced")</f>
        <v>Balanced</v>
      </c>
      <c r="Q70" s="318"/>
      <c r="R70" s="305"/>
      <c r="S70" s="305"/>
      <c r="T70" s="305"/>
      <c r="U70" s="277"/>
      <c r="V70" s="1738" t="str">
        <f>IF(X68-INT(X68)&lt;&gt;0,"Whole Dollars Only","")</f>
        <v/>
      </c>
      <c r="W70" s="1738"/>
      <c r="X70" s="413"/>
      <c r="Y70" s="319"/>
      <c r="Z70" s="410" t="s">
        <v>262</v>
      </c>
      <c r="AA70" s="446" t="s">
        <v>259</v>
      </c>
      <c r="AB70" s="411">
        <f>M90</f>
        <v>0</v>
      </c>
    </row>
    <row r="71" spans="1:28" ht="13.5" thickTop="1">
      <c r="A71" s="166">
        <v>54</v>
      </c>
      <c r="B71" s="162" t="s">
        <v>69</v>
      </c>
      <c r="C71" s="162"/>
      <c r="D71" s="374">
        <f>SUM(D60:D70)</f>
        <v>224846670</v>
      </c>
      <c r="E71" s="374">
        <f>SUM(E60:E70)</f>
        <v>278612962</v>
      </c>
      <c r="F71" s="374">
        <f t="shared" ref="F71:L71" si="19">SUM(F60:F70)</f>
        <v>49303005</v>
      </c>
      <c r="G71" s="374">
        <f t="shared" si="19"/>
        <v>135929544</v>
      </c>
      <c r="H71" s="374">
        <f t="shared" si="19"/>
        <v>-863010</v>
      </c>
      <c r="I71" s="374">
        <f t="shared" si="19"/>
        <v>0</v>
      </c>
      <c r="J71" s="374">
        <f t="shared" si="19"/>
        <v>7141610</v>
      </c>
      <c r="K71" s="374">
        <f t="shared" si="19"/>
        <v>0</v>
      </c>
      <c r="L71" s="374">
        <f t="shared" si="19"/>
        <v>662812</v>
      </c>
      <c r="M71" s="374">
        <f t="shared" si="12"/>
        <v>695633593</v>
      </c>
      <c r="O71" s="322"/>
      <c r="P71" s="1738" t="str">
        <f>IF(P69-INT(P69)&lt;&gt;0,"Whole Dollars Only","")</f>
        <v/>
      </c>
      <c r="Q71" s="1738"/>
      <c r="R71" s="323"/>
      <c r="S71" s="323"/>
      <c r="T71" s="323"/>
      <c r="U71" s="291"/>
      <c r="V71" s="324"/>
      <c r="W71" s="321"/>
      <c r="X71" s="321"/>
      <c r="Y71" s="321"/>
      <c r="Z71" s="318"/>
      <c r="AA71" s="325">
        <f>SUM(AA60:AA70)</f>
        <v>747244737</v>
      </c>
      <c r="AB71" s="326">
        <f>SUM(AB60:AB70)</f>
        <v>0</v>
      </c>
    </row>
    <row r="72" spans="1:28">
      <c r="A72" s="166">
        <v>55</v>
      </c>
      <c r="D72" s="373"/>
      <c r="E72" s="373"/>
      <c r="F72" s="373"/>
      <c r="G72" s="373"/>
      <c r="H72" s="373"/>
      <c r="I72" s="373"/>
      <c r="J72" s="373"/>
      <c r="K72" s="373"/>
      <c r="L72" s="373"/>
      <c r="M72" s="373"/>
      <c r="O72" s="285"/>
      <c r="P72" s="318"/>
      <c r="Q72" s="321"/>
      <c r="R72" s="318"/>
      <c r="S72" s="318"/>
      <c r="T72" s="318"/>
      <c r="U72" s="327"/>
      <c r="V72" s="276"/>
      <c r="W72" s="328"/>
      <c r="X72" s="328"/>
      <c r="Y72" s="318"/>
      <c r="Z72" s="318"/>
      <c r="AA72" s="318"/>
      <c r="AB72" s="412" t="str">
        <f>IF(AB71&lt;&gt;0,"Out of Balance","Balanced")</f>
        <v>Balanced</v>
      </c>
    </row>
    <row r="73" spans="1:28">
      <c r="A73" s="166">
        <v>56</v>
      </c>
      <c r="B73" s="172" t="s">
        <v>23</v>
      </c>
      <c r="C73" s="172"/>
      <c r="D73" s="373"/>
      <c r="E73" s="373"/>
      <c r="F73" s="373"/>
      <c r="G73" s="373"/>
      <c r="H73" s="373"/>
      <c r="I73" s="373"/>
      <c r="J73" s="373"/>
      <c r="K73" s="373"/>
      <c r="L73" s="373"/>
      <c r="M73" s="373"/>
      <c r="O73" s="329"/>
      <c r="Q73" s="330"/>
      <c r="R73" s="321"/>
      <c r="S73" s="321"/>
      <c r="T73" s="321"/>
      <c r="U73" s="327"/>
      <c r="V73" s="276"/>
      <c r="W73" s="331"/>
      <c r="X73" s="331"/>
      <c r="Y73" s="321"/>
      <c r="Z73" s="321"/>
      <c r="AA73" s="318"/>
      <c r="AB73" s="332"/>
    </row>
    <row r="74" spans="1:28" ht="13.5" thickBot="1">
      <c r="A74" s="166">
        <v>57</v>
      </c>
      <c r="B74" s="160" t="s">
        <v>60</v>
      </c>
      <c r="D74" s="372">
        <f>Input!$OJ$6</f>
        <v>0</v>
      </c>
      <c r="E74" s="372">
        <f>Input!$OK$6</f>
        <v>0</v>
      </c>
      <c r="F74" s="372">
        <f>Input!$OL$6</f>
        <v>0</v>
      </c>
      <c r="G74" s="372">
        <f>Input!$OM$6</f>
        <v>0</v>
      </c>
      <c r="H74" s="372">
        <f>Input!$ON$6</f>
        <v>0</v>
      </c>
      <c r="I74" s="372">
        <f>Input!$OO$6</f>
        <v>0</v>
      </c>
      <c r="J74" s="372">
        <f>Input!$OP$6</f>
        <v>-35588085</v>
      </c>
      <c r="K74" s="372">
        <f>Input!$OQ$6</f>
        <v>0</v>
      </c>
      <c r="L74" s="372">
        <f>Input!$OR$6</f>
        <v>0</v>
      </c>
      <c r="M74" s="373">
        <f>D74+E74+F74+G74+H74+I74+J74+K74+L74</f>
        <v>-35588085</v>
      </c>
      <c r="O74" s="329"/>
      <c r="Q74" s="330"/>
      <c r="R74" s="321"/>
      <c r="S74" s="321"/>
      <c r="T74" s="321"/>
      <c r="U74" s="327"/>
      <c r="V74" s="276"/>
      <c r="W74" s="331"/>
      <c r="X74" s="331"/>
      <c r="Y74" s="321"/>
      <c r="Z74" s="333"/>
      <c r="AA74" s="318"/>
      <c r="AB74" s="332"/>
    </row>
    <row r="75" spans="1:28" ht="14.25" thickTop="1" thickBot="1">
      <c r="A75" s="166">
        <v>58</v>
      </c>
      <c r="B75" s="171" t="s">
        <v>572</v>
      </c>
      <c r="C75" s="171"/>
      <c r="D75" s="372">
        <f>Input!$OS$6</f>
        <v>13998005</v>
      </c>
      <c r="E75" s="372">
        <f>Input!$OT$6</f>
        <v>21541201</v>
      </c>
      <c r="F75" s="372">
        <f>Input!$OU$6</f>
        <v>10134725</v>
      </c>
      <c r="G75" s="372">
        <f>Input!$OV$6</f>
        <v>-50589446</v>
      </c>
      <c r="H75" s="372">
        <f>Input!$OW$6</f>
        <v>0</v>
      </c>
      <c r="I75" s="372">
        <f>Input!$OX$6</f>
        <v>866411</v>
      </c>
      <c r="J75" s="372">
        <f>Input!$OY$6</f>
        <v>11577806</v>
      </c>
      <c r="K75" s="372">
        <f>Input!$OZ$6</f>
        <v>0</v>
      </c>
      <c r="L75" s="372">
        <f>Input!$PA$6</f>
        <v>4534</v>
      </c>
      <c r="M75" s="373">
        <f>D75+E75+F75+G75+H75+I75+J75+K75+L75</f>
        <v>7533236</v>
      </c>
      <c r="O75" s="1723" t="str">
        <f>IF(M85&lt;0,"Footnote 11 is N/A - No Data Entry Required","Footnote 11")</f>
        <v>Footnote 11</v>
      </c>
      <c r="P75" s="1724"/>
      <c r="Q75" s="1724"/>
      <c r="R75" s="1725"/>
      <c r="S75" s="330"/>
      <c r="T75" s="330"/>
      <c r="U75" s="327"/>
      <c r="V75" s="276"/>
      <c r="W75" s="331"/>
      <c r="X75" s="331"/>
      <c r="Y75" s="328"/>
      <c r="Z75" s="328"/>
      <c r="AA75" s="276"/>
      <c r="AB75" s="276" t="s">
        <v>293</v>
      </c>
    </row>
    <row r="76" spans="1:28" ht="13.5" thickTop="1">
      <c r="A76" s="166">
        <v>59</v>
      </c>
      <c r="B76" s="160" t="s">
        <v>45</v>
      </c>
      <c r="D76" s="372">
        <f>Input!$PB$6</f>
        <v>0</v>
      </c>
      <c r="E76" s="372">
        <f>Input!$PC$6</f>
        <v>0</v>
      </c>
      <c r="F76" s="372">
        <f>Input!$PD$6</f>
        <v>0</v>
      </c>
      <c r="G76" s="372">
        <f>Input!$PE$6</f>
        <v>0</v>
      </c>
      <c r="H76" s="372">
        <f>Input!$PF$6</f>
        <v>0</v>
      </c>
      <c r="I76" s="372">
        <f>Input!$PG$6</f>
        <v>0</v>
      </c>
      <c r="J76" s="372">
        <f>Input!$PH$6</f>
        <v>35870062</v>
      </c>
      <c r="K76" s="372">
        <f>Input!$PI$6</f>
        <v>0</v>
      </c>
      <c r="L76" s="372">
        <f>Input!$PJ$6</f>
        <v>0</v>
      </c>
      <c r="M76" s="373">
        <f>D76+E76+F76+G76+H76+I76+J76+K76+L76</f>
        <v>35870062</v>
      </c>
      <c r="O76" s="487" t="s">
        <v>583</v>
      </c>
      <c r="P76" s="488"/>
      <c r="Q76" s="489"/>
      <c r="R76" s="490">
        <f>IF($M$85&lt;0,"N/A",$M$85)</f>
        <v>219390052</v>
      </c>
      <c r="S76" s="330"/>
      <c r="T76" s="330"/>
      <c r="U76" s="327"/>
      <c r="V76" s="276"/>
      <c r="W76" s="331"/>
      <c r="X76" s="331"/>
      <c r="Y76" s="331"/>
      <c r="Z76" s="331"/>
      <c r="AA76" s="276"/>
      <c r="AB76" s="276"/>
    </row>
    <row r="77" spans="1:28">
      <c r="A77" s="166">
        <v>60</v>
      </c>
      <c r="B77" s="160" t="s">
        <v>46</v>
      </c>
      <c r="D77" s="372">
        <f>Input!$PK$6</f>
        <v>-12828000</v>
      </c>
      <c r="E77" s="372">
        <f>Input!$PL$6</f>
        <v>-1860379</v>
      </c>
      <c r="F77" s="372">
        <f>Input!$PM$6</f>
        <v>-8127827</v>
      </c>
      <c r="G77" s="372">
        <f>Input!$PN$6</f>
        <v>0</v>
      </c>
      <c r="H77" s="372">
        <f>Input!$PO$6</f>
        <v>0</v>
      </c>
      <c r="I77" s="372">
        <f>Input!$PP$6</f>
        <v>0</v>
      </c>
      <c r="J77" s="372">
        <f>Input!$PQ$6</f>
        <v>0</v>
      </c>
      <c r="K77" s="372">
        <f>Input!$PR$6</f>
        <v>0</v>
      </c>
      <c r="L77" s="372">
        <f>Input!$PS$6</f>
        <v>0</v>
      </c>
      <c r="M77" s="373">
        <f>D77+E77+F77+G77+H77+I77+J77+K77+L77</f>
        <v>-22816206</v>
      </c>
      <c r="O77" s="491" t="s">
        <v>584</v>
      </c>
      <c r="P77" s="334"/>
      <c r="Q77" s="334"/>
      <c r="R77" s="521">
        <f>Input!$UB$6</f>
        <v>95363413</v>
      </c>
      <c r="S77" s="330"/>
      <c r="T77" s="330"/>
      <c r="U77" s="327"/>
      <c r="V77" s="276"/>
      <c r="W77" s="331"/>
      <c r="X77" s="331"/>
      <c r="Y77" s="331"/>
      <c r="Z77" s="331"/>
      <c r="AA77" s="276"/>
      <c r="AB77" s="276"/>
    </row>
    <row r="78" spans="1:28">
      <c r="A78" s="166">
        <v>61</v>
      </c>
      <c r="B78" s="162" t="s">
        <v>3</v>
      </c>
      <c r="C78" s="162"/>
      <c r="D78" s="374">
        <f t="shared" ref="D78:L78" si="20">SUM(D74:D77)</f>
        <v>1170005</v>
      </c>
      <c r="E78" s="374">
        <f t="shared" si="20"/>
        <v>19680822</v>
      </c>
      <c r="F78" s="374">
        <f t="shared" si="20"/>
        <v>2006898</v>
      </c>
      <c r="G78" s="374">
        <f t="shared" si="20"/>
        <v>-50589446</v>
      </c>
      <c r="H78" s="374">
        <f t="shared" si="20"/>
        <v>0</v>
      </c>
      <c r="I78" s="374">
        <f t="shared" si="20"/>
        <v>866411</v>
      </c>
      <c r="J78" s="374">
        <f t="shared" si="20"/>
        <v>11859783</v>
      </c>
      <c r="K78" s="374">
        <f t="shared" si="20"/>
        <v>0</v>
      </c>
      <c r="L78" s="374">
        <f t="shared" si="20"/>
        <v>4534</v>
      </c>
      <c r="M78" s="374">
        <f>D78+E78+F78+G78+H78+I78+J78+K78+L78</f>
        <v>-15000993</v>
      </c>
      <c r="O78" s="491" t="s">
        <v>585</v>
      </c>
      <c r="P78" s="276"/>
      <c r="Q78" s="334"/>
      <c r="R78" s="492">
        <f>IF($M$85&lt;0,"",$R$76-$R$77)</f>
        <v>124026639</v>
      </c>
      <c r="S78" s="330"/>
      <c r="T78" s="330"/>
      <c r="U78" s="327"/>
      <c r="V78" s="276"/>
      <c r="W78" s="331"/>
      <c r="X78" s="331"/>
      <c r="Y78" s="331"/>
      <c r="Z78" s="331"/>
      <c r="AA78" s="276"/>
      <c r="AB78" s="276"/>
    </row>
    <row r="79" spans="1:28">
      <c r="A79" s="166">
        <v>62</v>
      </c>
      <c r="D79" s="373"/>
      <c r="E79" s="373"/>
      <c r="F79" s="373"/>
      <c r="G79" s="373"/>
      <c r="H79" s="373"/>
      <c r="I79" s="373"/>
      <c r="J79" s="373"/>
      <c r="K79" s="373"/>
      <c r="L79" s="373"/>
      <c r="M79" s="373"/>
      <c r="O79" s="493"/>
      <c r="P79" s="276"/>
      <c r="Q79" s="334"/>
      <c r="R79" s="494"/>
      <c r="S79" s="330"/>
      <c r="T79" s="330"/>
      <c r="U79" s="327"/>
      <c r="V79" s="276"/>
      <c r="W79" s="331"/>
      <c r="X79" s="331"/>
      <c r="Y79" s="331"/>
      <c r="Z79" s="331"/>
      <c r="AA79" s="276"/>
      <c r="AB79" s="276"/>
    </row>
    <row r="80" spans="1:28">
      <c r="A80" s="166">
        <v>63</v>
      </c>
      <c r="B80" s="172" t="s">
        <v>24</v>
      </c>
      <c r="C80" s="172"/>
      <c r="D80" s="373"/>
      <c r="E80" s="373"/>
      <c r="F80" s="373"/>
      <c r="G80" s="373"/>
      <c r="H80" s="373"/>
      <c r="I80" s="373"/>
      <c r="J80" s="373"/>
      <c r="K80" s="373"/>
      <c r="L80" s="373"/>
      <c r="M80" s="373"/>
      <c r="O80" s="495" t="s">
        <v>586</v>
      </c>
      <c r="P80" s="276"/>
      <c r="Q80" s="334"/>
      <c r="R80" s="521">
        <f>Input!$UC$6</f>
        <v>122629647</v>
      </c>
      <c r="S80" s="330"/>
      <c r="T80" s="330"/>
      <c r="U80" s="334"/>
      <c r="V80" s="276"/>
      <c r="W80" s="328"/>
      <c r="X80" s="328"/>
      <c r="Y80" s="331"/>
      <c r="Z80" s="331"/>
      <c r="AA80" s="276"/>
      <c r="AB80" s="276"/>
    </row>
    <row r="81" spans="1:28">
      <c r="A81" s="166">
        <v>64</v>
      </c>
      <c r="B81" s="160" t="s">
        <v>47</v>
      </c>
      <c r="D81" s="372">
        <f>Input!PT6</f>
        <v>0</v>
      </c>
      <c r="E81" s="372">
        <f>Input!$PU$6</f>
        <v>64916118</v>
      </c>
      <c r="F81" s="372">
        <f>Input!$PV$6</f>
        <v>2717888</v>
      </c>
      <c r="G81" s="372">
        <f>Input!$PW$6</f>
        <v>4160681</v>
      </c>
      <c r="H81" s="372">
        <f>Input!$PX$6</f>
        <v>-23312</v>
      </c>
      <c r="I81" s="372">
        <f>Input!$PY$6</f>
        <v>44959355</v>
      </c>
      <c r="J81" s="372">
        <f>Input!$PZ$6</f>
        <v>5898917</v>
      </c>
      <c r="K81" s="372">
        <f>Input!$QA$6</f>
        <v>0</v>
      </c>
      <c r="L81" s="372">
        <f>Input!$QB$6</f>
        <v>0</v>
      </c>
      <c r="M81" s="373">
        <f>D81+E81+F81+G81+H81+I81+J81+K81+L81</f>
        <v>122629647</v>
      </c>
      <c r="O81" s="496" t="s">
        <v>587</v>
      </c>
      <c r="P81" s="276"/>
      <c r="Q81" s="276"/>
      <c r="R81" s="497"/>
      <c r="S81" s="330"/>
      <c r="T81" s="330"/>
      <c r="W81" s="276"/>
      <c r="X81" s="276"/>
      <c r="Y81" s="331"/>
      <c r="Z81" s="331"/>
      <c r="AA81" s="276"/>
      <c r="AB81" s="276"/>
    </row>
    <row r="82" spans="1:28">
      <c r="A82" s="166">
        <v>65</v>
      </c>
      <c r="B82" s="160" t="s">
        <v>48</v>
      </c>
      <c r="D82" s="372">
        <f>Input!$QC$6</f>
        <v>0</v>
      </c>
      <c r="E82" s="372">
        <f>Input!$QD$6</f>
        <v>0</v>
      </c>
      <c r="F82" s="372">
        <f>Input!$QE$6</f>
        <v>0</v>
      </c>
      <c r="G82" s="372">
        <f>Input!$QF$6</f>
        <v>0</v>
      </c>
      <c r="H82" s="372">
        <f>Input!$QG$6</f>
        <v>0</v>
      </c>
      <c r="I82" s="372">
        <f>Input!$QH$6</f>
        <v>1396992</v>
      </c>
      <c r="J82" s="372">
        <f>Input!$QI$6</f>
        <v>0</v>
      </c>
      <c r="K82" s="372">
        <f>Input!$QJ$6</f>
        <v>0</v>
      </c>
      <c r="L82" s="372">
        <f>Input!$QK$6</f>
        <v>0</v>
      </c>
      <c r="M82" s="373">
        <f>D82+E82+F82+G82+H82+I82+J82+K82+L82</f>
        <v>1396992</v>
      </c>
      <c r="O82" s="498" t="s">
        <v>588</v>
      </c>
      <c r="P82" s="276"/>
      <c r="Q82" s="276"/>
      <c r="R82" s="492">
        <f>IFERROR($R$78-$R$80,"")</f>
        <v>1396992</v>
      </c>
      <c r="Y82" s="331"/>
      <c r="Z82" s="401"/>
      <c r="AA82" s="268"/>
      <c r="AB82" s="268"/>
    </row>
    <row r="83" spans="1:28">
      <c r="A83" s="166">
        <v>66</v>
      </c>
      <c r="B83" s="162" t="s">
        <v>3</v>
      </c>
      <c r="C83" s="162"/>
      <c r="D83" s="374">
        <f t="shared" ref="D83:L83" si="21">SUM(D81:D82)</f>
        <v>0</v>
      </c>
      <c r="E83" s="374">
        <f t="shared" si="21"/>
        <v>64916118</v>
      </c>
      <c r="F83" s="374">
        <f t="shared" si="21"/>
        <v>2717888</v>
      </c>
      <c r="G83" s="374">
        <f t="shared" si="21"/>
        <v>4160681</v>
      </c>
      <c r="H83" s="374">
        <f t="shared" si="21"/>
        <v>-23312</v>
      </c>
      <c r="I83" s="374">
        <f t="shared" si="21"/>
        <v>46356347</v>
      </c>
      <c r="J83" s="374">
        <f t="shared" si="21"/>
        <v>5898917</v>
      </c>
      <c r="K83" s="374">
        <f t="shared" si="21"/>
        <v>0</v>
      </c>
      <c r="L83" s="374">
        <f t="shared" si="21"/>
        <v>0</v>
      </c>
      <c r="M83" s="374">
        <f>D83+E83+F83+G83+H83+I83+J83+K83+L83</f>
        <v>124026639</v>
      </c>
      <c r="O83" s="493"/>
      <c r="P83" s="276"/>
      <c r="Q83" s="276"/>
      <c r="R83" s="497"/>
      <c r="Y83" s="163"/>
      <c r="Z83" s="447"/>
      <c r="AA83" s="439"/>
      <c r="AB83" s="448"/>
    </row>
    <row r="84" spans="1:28" ht="13.5" thickBot="1">
      <c r="A84" s="166">
        <v>67</v>
      </c>
      <c r="D84" s="373"/>
      <c r="E84" s="373"/>
      <c r="F84" s="373"/>
      <c r="G84" s="373"/>
      <c r="H84" s="373"/>
      <c r="I84" s="373"/>
      <c r="J84" s="373"/>
      <c r="K84" s="373"/>
      <c r="L84" s="373"/>
      <c r="M84" s="373"/>
      <c r="O84" s="499" t="s">
        <v>589</v>
      </c>
      <c r="P84" s="500"/>
      <c r="Q84" s="500"/>
      <c r="R84" s="501">
        <f>IFERROR((R82+R80)-R78,"")</f>
        <v>0</v>
      </c>
      <c r="Y84" s="268"/>
      <c r="Z84" s="447"/>
      <c r="AA84" s="439"/>
      <c r="AB84" s="449"/>
    </row>
    <row r="85" spans="1:28" ht="13.5" thickTop="1">
      <c r="A85" s="166">
        <v>68</v>
      </c>
      <c r="B85" s="162" t="s">
        <v>574</v>
      </c>
      <c r="C85" s="162"/>
      <c r="D85" s="374">
        <f t="shared" ref="D85:L85" si="22">D57-D71+D78+D83</f>
        <v>0</v>
      </c>
      <c r="E85" s="374">
        <f t="shared" si="22"/>
        <v>146756045</v>
      </c>
      <c r="F85" s="374">
        <f t="shared" si="22"/>
        <v>3027127</v>
      </c>
      <c r="G85" s="374">
        <f t="shared" si="22"/>
        <v>7768129</v>
      </c>
      <c r="H85" s="374">
        <f t="shared" si="22"/>
        <v>1076230</v>
      </c>
      <c r="I85" s="374">
        <f t="shared" si="22"/>
        <v>47231344</v>
      </c>
      <c r="J85" s="374">
        <f t="shared" si="22"/>
        <v>13565104</v>
      </c>
      <c r="K85" s="374">
        <f t="shared" si="22"/>
        <v>0</v>
      </c>
      <c r="L85" s="374">
        <f t="shared" si="22"/>
        <v>-33927</v>
      </c>
      <c r="M85" s="374">
        <f>D85+E85+F85+G85+H85+I85+J85+K85+L85</f>
        <v>219390052</v>
      </c>
      <c r="Y85" s="268"/>
      <c r="Z85" s="447"/>
      <c r="AA85" s="439"/>
      <c r="AB85" s="449"/>
    </row>
    <row r="86" spans="1:28">
      <c r="A86" s="166">
        <v>69</v>
      </c>
      <c r="B86" s="163"/>
      <c r="C86" s="163"/>
      <c r="D86" s="329"/>
      <c r="E86" s="329"/>
      <c r="F86" s="329"/>
      <c r="G86" s="329"/>
      <c r="H86" s="329"/>
      <c r="I86" s="329"/>
      <c r="J86" s="329"/>
      <c r="K86" s="329"/>
      <c r="L86" s="329"/>
      <c r="M86" s="329"/>
      <c r="Y86" s="268"/>
      <c r="Z86" s="447"/>
      <c r="AA86" s="439"/>
      <c r="AB86" s="449"/>
    </row>
    <row r="87" spans="1:28">
      <c r="A87" s="166">
        <v>70</v>
      </c>
      <c r="B87" s="161" t="s">
        <v>65</v>
      </c>
      <c r="C87" s="161"/>
      <c r="D87" s="372">
        <f>Input!$QL$6</f>
        <v>0</v>
      </c>
      <c r="E87" s="372">
        <f>Input!$QM$6</f>
        <v>0</v>
      </c>
      <c r="F87" s="372">
        <f>Input!$QN$6</f>
        <v>0</v>
      </c>
      <c r="G87" s="372">
        <f>Input!$QO$6</f>
        <v>0</v>
      </c>
      <c r="H87" s="372">
        <f>Input!$QP$6</f>
        <v>0</v>
      </c>
      <c r="I87" s="372">
        <f>Input!$QQ$6</f>
        <v>0</v>
      </c>
      <c r="J87" s="372">
        <f>Input!$QR$6</f>
        <v>0</v>
      </c>
      <c r="K87" s="372">
        <f>Input!$QS$6</f>
        <v>0</v>
      </c>
      <c r="L87" s="372">
        <f>Input!$QT$6</f>
        <v>0</v>
      </c>
      <c r="M87" s="329">
        <f>D87+E87+F87+G87+H87+I87+J87+K87+L87</f>
        <v>0</v>
      </c>
      <c r="Y87" s="268"/>
      <c r="Z87" s="447"/>
      <c r="AA87" s="439"/>
      <c r="AB87" s="449"/>
    </row>
    <row r="88" spans="1:28">
      <c r="A88" s="166">
        <v>72</v>
      </c>
      <c r="B88" s="160" t="s">
        <v>66</v>
      </c>
      <c r="D88" s="372">
        <f>Input!$QU$6</f>
        <v>0</v>
      </c>
      <c r="E88" s="372">
        <f>Input!$QV$6</f>
        <v>0</v>
      </c>
      <c r="F88" s="372">
        <f>Input!$QW$6</f>
        <v>0</v>
      </c>
      <c r="G88" s="372">
        <f>Input!$QX$6</f>
        <v>0</v>
      </c>
      <c r="H88" s="372">
        <f>Input!$QY$6</f>
        <v>0</v>
      </c>
      <c r="I88" s="372">
        <f>Input!$QZ$6</f>
        <v>0</v>
      </c>
      <c r="J88" s="372">
        <f>Input!$RA$6</f>
        <v>0</v>
      </c>
      <c r="K88" s="372">
        <f>Input!$RB$6</f>
        <v>0</v>
      </c>
      <c r="L88" s="372">
        <f>Input!$RC$6</f>
        <v>-56108157</v>
      </c>
      <c r="M88" s="373">
        <f>D88+E88+F88+G88+H88+I88+J88+K88+L88</f>
        <v>-56108157</v>
      </c>
      <c r="O88" s="270"/>
      <c r="P88" s="335"/>
      <c r="Y88" s="268"/>
      <c r="Z88" s="447"/>
      <c r="AA88" s="439"/>
      <c r="AB88" s="449"/>
    </row>
    <row r="89" spans="1:28">
      <c r="B89" s="171" t="s">
        <v>216</v>
      </c>
      <c r="C89" s="171"/>
      <c r="D89" s="372">
        <f>Input!$RD$6</f>
        <v>0</v>
      </c>
      <c r="E89" s="372">
        <f>Input!$RE$6</f>
        <v>0</v>
      </c>
      <c r="F89" s="372">
        <f>Input!$RF$6</f>
        <v>0</v>
      </c>
      <c r="G89" s="372">
        <f>Input!$RG$6</f>
        <v>0</v>
      </c>
      <c r="H89" s="372">
        <f>Input!$RH$6</f>
        <v>0</v>
      </c>
      <c r="I89" s="372">
        <f>Input!$RI$6</f>
        <v>0</v>
      </c>
      <c r="J89" s="372">
        <f>Input!$RJ$6</f>
        <v>0</v>
      </c>
      <c r="K89" s="372">
        <f>Input!$RK$6</f>
        <v>0</v>
      </c>
      <c r="L89" s="372">
        <f>Input!$RL$6</f>
        <v>0</v>
      </c>
      <c r="M89" s="373">
        <f t="shared" ref="M89:M91" si="23">D89+E89+F89+G89+H89+I89+J89+K89+L89</f>
        <v>0</v>
      </c>
      <c r="O89" s="1726" t="s">
        <v>1355</v>
      </c>
      <c r="P89" s="1727"/>
      <c r="Q89" s="1727"/>
      <c r="R89" s="1727"/>
      <c r="S89" s="1727"/>
      <c r="T89" s="1727"/>
      <c r="U89" s="1728"/>
      <c r="Y89" s="268"/>
      <c r="Z89" s="447"/>
      <c r="AA89" s="439"/>
      <c r="AB89" s="449"/>
    </row>
    <row r="90" spans="1:28">
      <c r="B90" s="171" t="s">
        <v>105</v>
      </c>
      <c r="C90" s="171"/>
      <c r="D90" s="372">
        <f>Input!$RM$6</f>
        <v>0</v>
      </c>
      <c r="E90" s="372">
        <f>Input!$RN$6</f>
        <v>0</v>
      </c>
      <c r="F90" s="372">
        <f>Input!$RO$6</f>
        <v>0</v>
      </c>
      <c r="G90" s="372">
        <f>Input!$RP$6</f>
        <v>0</v>
      </c>
      <c r="H90" s="372">
        <f>Input!$RQ$6</f>
        <v>0</v>
      </c>
      <c r="I90" s="372">
        <f>Input!$RR$6</f>
        <v>0</v>
      </c>
      <c r="J90" s="372">
        <f>Input!$RS$6</f>
        <v>0</v>
      </c>
      <c r="K90" s="372">
        <f>Input!$RT$6</f>
        <v>0</v>
      </c>
      <c r="L90" s="372">
        <f>Input!$RU$6</f>
        <v>0</v>
      </c>
      <c r="M90" s="373">
        <f t="shared" si="23"/>
        <v>0</v>
      </c>
      <c r="O90" s="502" t="s">
        <v>590</v>
      </c>
      <c r="P90" s="423"/>
      <c r="Q90" s="502" t="s">
        <v>591</v>
      </c>
      <c r="R90" s="423"/>
      <c r="S90" s="503"/>
      <c r="T90" s="502" t="s">
        <v>592</v>
      </c>
      <c r="U90" s="423"/>
      <c r="Y90" s="268"/>
      <c r="Z90" s="447"/>
      <c r="AA90" s="439"/>
      <c r="AB90" s="449"/>
    </row>
    <row r="91" spans="1:28">
      <c r="B91" s="171" t="s">
        <v>128</v>
      </c>
      <c r="C91" s="171"/>
      <c r="D91" s="372">
        <f>Input!$RV$6</f>
        <v>0</v>
      </c>
      <c r="E91" s="372">
        <f>Input!$RW$6</f>
        <v>0</v>
      </c>
      <c r="F91" s="372">
        <f>Input!$RX$6</f>
        <v>0</v>
      </c>
      <c r="G91" s="372">
        <f>Input!$RY$6</f>
        <v>0</v>
      </c>
      <c r="H91" s="372">
        <f>Input!$RZ$6</f>
        <v>0</v>
      </c>
      <c r="I91" s="372">
        <f>Input!$SA$6</f>
        <v>0</v>
      </c>
      <c r="J91" s="372">
        <f>Input!$SB$6</f>
        <v>0</v>
      </c>
      <c r="K91" s="372">
        <f>Input!$SC$6</f>
        <v>0</v>
      </c>
      <c r="L91" s="372">
        <f>Input!$SD$6</f>
        <v>2346</v>
      </c>
      <c r="M91" s="373">
        <f t="shared" si="23"/>
        <v>2346</v>
      </c>
      <c r="O91" s="504"/>
      <c r="P91" s="505"/>
      <c r="Q91" s="504"/>
      <c r="R91" s="426"/>
      <c r="S91" s="276"/>
      <c r="T91" s="506"/>
      <c r="U91" s="426"/>
      <c r="Y91" s="268"/>
      <c r="Z91" s="447"/>
      <c r="AA91" s="439"/>
      <c r="AB91" s="449"/>
    </row>
    <row r="92" spans="1:28">
      <c r="A92" s="166">
        <v>73</v>
      </c>
      <c r="B92" s="160" t="s">
        <v>67</v>
      </c>
      <c r="D92" s="372">
        <f>Input!$SE$6</f>
        <v>0</v>
      </c>
      <c r="E92" s="372">
        <f>Input!$SF$6</f>
        <v>0</v>
      </c>
      <c r="F92" s="372">
        <f>Input!$SG$6</f>
        <v>0</v>
      </c>
      <c r="G92" s="372">
        <f>Input!$SH$6</f>
        <v>0</v>
      </c>
      <c r="H92" s="372">
        <f>Input!$SI$6</f>
        <v>0</v>
      </c>
      <c r="I92" s="372">
        <f>Input!$SJ$6</f>
        <v>0</v>
      </c>
      <c r="J92" s="372">
        <f>Input!$SK$6</f>
        <v>0</v>
      </c>
      <c r="K92" s="372">
        <f>Input!$SL$6</f>
        <v>0</v>
      </c>
      <c r="L92" s="372">
        <f>Input!$SM$6</f>
        <v>39356721</v>
      </c>
      <c r="M92" s="373">
        <f>D92+E92+F92+G92+H92+I92+J92+K92+L92</f>
        <v>39356721</v>
      </c>
      <c r="O92" s="1729" t="str">
        <f>Input!UF$6</f>
        <v>Ting Chen</v>
      </c>
      <c r="P92" s="1730"/>
      <c r="Q92" s="1729" t="str">
        <f>Input!$UG$6</f>
        <v>817-272-7489</v>
      </c>
      <c r="R92" s="1730"/>
      <c r="S92" s="276"/>
      <c r="T92" s="1731" t="str">
        <f>HYPERLINK("Mailto:"&amp;Input!$UH$6,Input!$UH$6)</f>
        <v>ting.chen@uta.edu</v>
      </c>
      <c r="U92" s="1730"/>
      <c r="Y92" s="268"/>
      <c r="Z92" s="447"/>
      <c r="AA92" s="442"/>
      <c r="AB92" s="449"/>
    </row>
    <row r="93" spans="1:28" ht="13.5" thickBot="1">
      <c r="A93" s="166">
        <v>74</v>
      </c>
      <c r="B93" s="179" t="s">
        <v>58</v>
      </c>
      <c r="C93" s="179"/>
      <c r="D93" s="380">
        <f t="shared" ref="D93:K93" si="24">SUM(D85:D92)</f>
        <v>0</v>
      </c>
      <c r="E93" s="380">
        <f t="shared" si="24"/>
        <v>146756045</v>
      </c>
      <c r="F93" s="380">
        <f t="shared" si="24"/>
        <v>3027127</v>
      </c>
      <c r="G93" s="380">
        <f t="shared" si="24"/>
        <v>7768129</v>
      </c>
      <c r="H93" s="380">
        <f t="shared" si="24"/>
        <v>1076230</v>
      </c>
      <c r="I93" s="380">
        <f t="shared" si="24"/>
        <v>47231344</v>
      </c>
      <c r="J93" s="380">
        <f t="shared" si="24"/>
        <v>13565104</v>
      </c>
      <c r="K93" s="380">
        <f t="shared" si="24"/>
        <v>0</v>
      </c>
      <c r="L93" s="380">
        <f>SUM(L85:L92)</f>
        <v>-16783017</v>
      </c>
      <c r="M93" s="380">
        <f>D93+E93+F93+G93+H93+I93+J93+K93+L93</f>
        <v>202640962</v>
      </c>
      <c r="O93" s="506"/>
      <c r="P93" s="507"/>
      <c r="Q93" s="276"/>
      <c r="R93" s="276"/>
      <c r="S93" s="276"/>
      <c r="T93" s="507"/>
      <c r="U93" s="508"/>
      <c r="Y93" s="268"/>
      <c r="Z93" s="447"/>
      <c r="AA93" s="442"/>
      <c r="AB93" s="449"/>
    </row>
    <row r="94" spans="1:28" ht="13.5" thickTop="1">
      <c r="A94" s="166">
        <v>75</v>
      </c>
      <c r="B94" s="164"/>
      <c r="D94" s="165"/>
      <c r="E94" s="165"/>
      <c r="F94" s="165"/>
      <c r="G94" s="165"/>
      <c r="H94" s="165"/>
      <c r="I94" s="165"/>
      <c r="J94" s="165"/>
      <c r="K94" s="165"/>
      <c r="L94" s="165"/>
      <c r="M94" s="180"/>
      <c r="O94" s="1720" t="s">
        <v>593</v>
      </c>
      <c r="P94" s="1721"/>
      <c r="Q94" s="1721"/>
      <c r="R94" s="1721"/>
      <c r="S94" s="1721"/>
      <c r="T94" s="1721"/>
      <c r="U94" s="1722"/>
      <c r="Y94" s="268"/>
      <c r="Z94" s="451"/>
      <c r="AA94" s="442"/>
      <c r="AB94" s="449"/>
    </row>
    <row r="95" spans="1:28">
      <c r="A95" s="166">
        <v>76</v>
      </c>
      <c r="B95" s="171" t="s">
        <v>1369</v>
      </c>
      <c r="C95" s="169"/>
      <c r="D95" s="165"/>
      <c r="E95" s="165"/>
      <c r="F95" s="165"/>
      <c r="G95" s="165"/>
      <c r="H95" s="165"/>
      <c r="I95" s="165"/>
      <c r="J95" s="165"/>
      <c r="K95" s="165"/>
      <c r="L95" s="165"/>
      <c r="M95" s="180"/>
      <c r="O95" s="1720"/>
      <c r="P95" s="1721"/>
      <c r="Q95" s="1721"/>
      <c r="R95" s="1721"/>
      <c r="S95" s="1721"/>
      <c r="T95" s="1721"/>
      <c r="U95" s="1722"/>
      <c r="Y95" s="268"/>
      <c r="Z95" s="452"/>
      <c r="AA95" s="453"/>
      <c r="AB95" s="454"/>
    </row>
    <row r="96" spans="1:28">
      <c r="A96" s="166">
        <v>77</v>
      </c>
      <c r="B96" s="169" t="s">
        <v>80</v>
      </c>
      <c r="D96" s="165"/>
      <c r="E96" s="165"/>
      <c r="F96" s="165"/>
      <c r="G96" s="165"/>
      <c r="H96" s="165"/>
      <c r="I96" s="165"/>
      <c r="J96" s="165"/>
      <c r="K96" s="165"/>
      <c r="L96" s="165"/>
      <c r="M96" s="180"/>
      <c r="O96" s="509"/>
      <c r="P96" s="510"/>
      <c r="Q96" s="511"/>
      <c r="R96" s="511"/>
      <c r="S96" s="511"/>
      <c r="T96" s="510"/>
      <c r="U96" s="428"/>
      <c r="V96" s="336"/>
      <c r="W96" s="336"/>
      <c r="X96" s="336"/>
      <c r="Y96" s="268"/>
      <c r="Z96" s="268"/>
      <c r="AA96" s="268"/>
      <c r="AB96" s="268"/>
    </row>
    <row r="97" spans="1:28">
      <c r="B97" s="261" t="s">
        <v>1297</v>
      </c>
      <c r="D97" s="165"/>
      <c r="E97" s="165"/>
      <c r="F97" s="165"/>
      <c r="G97" s="165"/>
      <c r="H97" s="165"/>
      <c r="I97" s="165"/>
      <c r="J97" s="165"/>
      <c r="K97" s="165"/>
      <c r="L97" s="165"/>
      <c r="M97" s="180"/>
      <c r="O97" s="337"/>
      <c r="P97" s="336"/>
      <c r="Q97" s="336"/>
      <c r="U97" s="336"/>
      <c r="V97" s="336"/>
      <c r="W97" s="336"/>
      <c r="X97" s="336"/>
      <c r="Y97" s="268"/>
    </row>
    <row r="98" spans="1:28">
      <c r="D98" s="165"/>
      <c r="E98" s="165"/>
      <c r="F98" s="165"/>
      <c r="G98" s="165"/>
      <c r="H98" s="165"/>
      <c r="I98" s="165"/>
      <c r="J98" s="165"/>
      <c r="K98" s="165"/>
      <c r="L98" s="165"/>
      <c r="M98" s="180"/>
      <c r="O98" s="75"/>
      <c r="P98" s="336"/>
      <c r="Q98" s="336"/>
    </row>
    <row r="99" spans="1:28">
      <c r="A99" s="166">
        <v>78</v>
      </c>
      <c r="M99" s="181" t="s">
        <v>93</v>
      </c>
      <c r="O99" s="338"/>
      <c r="R99" s="336"/>
      <c r="S99" s="336"/>
      <c r="Y99" s="336"/>
      <c r="Z99" s="336"/>
      <c r="AA99" s="336"/>
      <c r="AB99" s="336"/>
    </row>
    <row r="100" spans="1:28">
      <c r="B100" s="261" t="s">
        <v>1298</v>
      </c>
      <c r="M100" s="372">
        <f>Input!$SN$6</f>
        <v>202640962</v>
      </c>
      <c r="O100" s="338"/>
      <c r="R100" s="336"/>
      <c r="S100" s="336"/>
      <c r="T100" s="336"/>
      <c r="Y100" s="336"/>
      <c r="Z100" s="336"/>
      <c r="AA100" s="336"/>
      <c r="AB100" s="336"/>
    </row>
    <row r="101" spans="1:28">
      <c r="B101" s="160" t="s">
        <v>92</v>
      </c>
      <c r="D101" s="182"/>
      <c r="E101" s="182"/>
      <c r="F101" s="182"/>
      <c r="G101" s="182"/>
      <c r="H101" s="182"/>
      <c r="I101" s="182"/>
      <c r="J101" s="182"/>
      <c r="K101" s="182"/>
      <c r="L101" s="183"/>
      <c r="M101" s="342">
        <f>M93-M100</f>
        <v>0</v>
      </c>
      <c r="O101" s="339"/>
    </row>
    <row r="102" spans="1:28">
      <c r="D102" s="182"/>
      <c r="E102" s="182"/>
      <c r="F102" s="182"/>
      <c r="G102" s="182"/>
      <c r="H102" s="182"/>
      <c r="I102" s="182"/>
      <c r="J102" s="182"/>
      <c r="K102" s="182"/>
      <c r="L102" s="513" t="str">
        <f>IF($L$118&lt;&gt;Input!$F$6,"Out of Balance","Balanced")</f>
        <v>Balanced</v>
      </c>
      <c r="M102" s="517" t="str">
        <f>IF(M100&lt;&gt;M93,"Out of Balance","Balanced")</f>
        <v>Balanced</v>
      </c>
      <c r="O102" s="339"/>
    </row>
    <row r="103" spans="1:28">
      <c r="O103" s="75"/>
    </row>
    <row r="104" spans="1:28">
      <c r="O104" s="75"/>
    </row>
    <row r="105" spans="1:28" s="264" customFormat="1">
      <c r="A105" s="263"/>
      <c r="B105" s="261"/>
      <c r="C105" s="261"/>
      <c r="D105" s="373">
        <f>SUM($D$10:$D$14)+SUM($D$19:$D$28)+SUM($D$32:$D$41)+$D$47+SUM($D$50:$D$55)+SUM($D$60:$D$70)+SUM($D$74:$D$77)+SUM($D$81:$D$82)+SUM($D$87:$D$92)</f>
        <v>425926236</v>
      </c>
      <c r="E105" s="373">
        <f>SUM($E$10:$E$14)+SUM($E$19:$E$28)+SUM($E$32:$E$41)+$E$47+SUM($E$50:$E$55)+SUM($E$60:$E$70)+SUM($E$74:$E$77)+SUM($E$81:$E$82)+SUM($E$87:$E$92)</f>
        <v>698370280</v>
      </c>
      <c r="F105" s="373">
        <f>SUM($F$10:$F$14)+SUM($F$19:$F$28)+SUM($F$32:$F$41)+$F$47+SUM($F$50:$F$55)+SUM($F$60:$F$70)+SUM($F$74:$F$77)+SUM($F$81:$F$82)+SUM($F$87:$F$92)</f>
        <v>98002044</v>
      </c>
      <c r="G105" s="373">
        <f>SUM($G$10:$G$14)+SUM($G$19:$G$28)+SUM($G$32:$G$41)+$G$47+SUM($G$50:$G$55)+SUM($G$60:$G$70)+SUM($G$74:$G$77)+SUM($G$81:$G$82)+SUM($G$87:$G$92)</f>
        <v>279627217</v>
      </c>
      <c r="H105" s="373">
        <f>SUM($H$10:$H$14)+SUM($H$19:$H$28)+SUM($H$32:$H$41)+$H$47+SUM($H$50:$H$55)+SUM($H$60:$H$70)+SUM($H$74:$H$77)+SUM($H$81:$H$82)+SUM($H$87:$H$92)</f>
        <v>-649790</v>
      </c>
      <c r="I105" s="373">
        <f>SUM($I$10:$I$14)+SUM($I$19:$I$28)+SUM($I$32:$I$41)+$I$47+SUM($I$50:$I$55)+SUM($I$60:$I$70)+SUM($I$74:$I$77)+SUM($I$81:$I$82)+SUM($I$87:$I$92)</f>
        <v>47231344</v>
      </c>
      <c r="J105" s="373">
        <f>SUM($J$10:$J$14)+SUM($J$19:$J$28)+SUM($J$32:$J$41)+$J$47+SUM($J$50:$J$55)+SUM($J$60:$J$70)+SUM($J$74:$J$77)+SUM($J$81:$J$82)+SUM($J$87:$J$92)</f>
        <v>27848324</v>
      </c>
      <c r="K105" s="373">
        <f>SUM($K$10:$K$14)+SUM($K$19:$K$28)+SUM($K$32:$K$41)+$K$47+SUM($K$50:$K$55)+SUM($K$60:$K$70)+SUM($K$74:$K$77)+SUM($K$81:$K$82)+SUM($K$87:$K$92)</f>
        <v>0</v>
      </c>
      <c r="L105" s="373">
        <f>SUM($L$10:$L$14)+SUM($L$19:$L$28)+SUM($L$32:$L$41)+$L$47+SUM($L$50:$L$55)+SUM($L$60:$L$70)+SUM($L$74:$L$77)+SUM($L$81:$L$82)+SUM($L$87:$L$92)</f>
        <v>-15457393</v>
      </c>
      <c r="M105" s="373"/>
      <c r="O105" s="261"/>
      <c r="P105" s="450">
        <f>M18-INT(M18)</f>
        <v>0</v>
      </c>
    </row>
    <row r="106" spans="1:28" s="264" customFormat="1">
      <c r="A106" s="263"/>
      <c r="B106" s="261"/>
      <c r="C106" s="261"/>
      <c r="D106" s="261"/>
      <c r="E106" s="261"/>
      <c r="F106" s="261"/>
      <c r="G106" s="261"/>
      <c r="H106" s="261"/>
      <c r="I106" s="261"/>
      <c r="J106" s="261"/>
      <c r="K106" s="261"/>
      <c r="L106" s="373">
        <f>SUM($D$105:$L$105)</f>
        <v>1560898262</v>
      </c>
      <c r="M106" s="261"/>
      <c r="O106" s="261"/>
      <c r="P106" s="450">
        <f>M31-INT(M31)</f>
        <v>0</v>
      </c>
    </row>
    <row r="107" spans="1:28" s="264" customFormat="1">
      <c r="A107" s="263"/>
      <c r="B107" s="261"/>
      <c r="C107" s="261"/>
      <c r="D107" s="261"/>
      <c r="E107" s="261"/>
      <c r="F107" s="261"/>
      <c r="G107" s="261"/>
      <c r="H107" s="261"/>
      <c r="I107" s="261"/>
      <c r="J107" s="261" t="s">
        <v>1299</v>
      </c>
      <c r="K107" s="261"/>
      <c r="L107" s="373">
        <f>$M$100</f>
        <v>202640962</v>
      </c>
      <c r="M107" s="261"/>
      <c r="O107" s="261"/>
      <c r="P107" s="450">
        <f>M93-INT(M93)</f>
        <v>0</v>
      </c>
    </row>
    <row r="108" spans="1:28" s="264" customFormat="1">
      <c r="A108" s="263"/>
      <c r="B108" s="261"/>
      <c r="C108" s="261"/>
      <c r="D108" s="261"/>
      <c r="E108" s="261"/>
      <c r="F108" s="261"/>
      <c r="G108" s="261"/>
      <c r="H108" s="261"/>
      <c r="I108" s="261"/>
      <c r="J108" s="261" t="s">
        <v>1305</v>
      </c>
      <c r="K108" s="261"/>
      <c r="L108" s="512">
        <f>$Q$32</f>
        <v>464122466</v>
      </c>
      <c r="M108" s="261"/>
      <c r="O108" s="261"/>
    </row>
    <row r="109" spans="1:28" s="264" customFormat="1">
      <c r="A109" s="263"/>
      <c r="B109" s="261"/>
      <c r="C109" s="261"/>
      <c r="D109" s="261"/>
      <c r="E109" s="261"/>
      <c r="F109" s="261"/>
      <c r="G109" s="261"/>
      <c r="H109" s="261"/>
      <c r="I109" s="261"/>
      <c r="J109" s="261" t="s">
        <v>1300</v>
      </c>
      <c r="K109" s="261"/>
      <c r="L109" s="512">
        <f>$R$34</f>
        <v>-115642532</v>
      </c>
      <c r="M109" s="261"/>
      <c r="O109" s="261"/>
    </row>
    <row r="110" spans="1:28" s="264" customFormat="1">
      <c r="A110" s="263"/>
      <c r="B110" s="261"/>
      <c r="C110" s="261"/>
      <c r="D110" s="261"/>
      <c r="E110" s="261"/>
      <c r="F110" s="261"/>
      <c r="G110" s="261"/>
      <c r="H110" s="261"/>
      <c r="I110" s="261"/>
      <c r="J110" s="261" t="s">
        <v>29</v>
      </c>
      <c r="K110" s="261"/>
      <c r="L110" s="512">
        <f>SUM($P$60:$P$68)</f>
        <v>3768636</v>
      </c>
      <c r="M110" s="261"/>
      <c r="O110" s="261"/>
    </row>
    <row r="111" spans="1:28" s="264" customFormat="1">
      <c r="A111" s="263"/>
      <c r="B111" s="261"/>
      <c r="C111" s="261"/>
      <c r="D111" s="261"/>
      <c r="E111" s="261"/>
      <c r="F111" s="261"/>
      <c r="G111" s="261"/>
      <c r="H111" s="261"/>
      <c r="I111" s="261"/>
      <c r="J111" s="261" t="s">
        <v>594</v>
      </c>
      <c r="K111" s="261"/>
      <c r="L111" s="373">
        <f>$Q$64</f>
        <v>0</v>
      </c>
      <c r="M111" s="261"/>
      <c r="O111" s="261"/>
    </row>
    <row r="112" spans="1:28" s="264" customFormat="1">
      <c r="A112" s="263"/>
      <c r="B112" s="261"/>
      <c r="C112" s="261"/>
      <c r="D112" s="261"/>
      <c r="E112" s="261"/>
      <c r="F112" s="261"/>
      <c r="G112" s="261"/>
      <c r="H112" s="261"/>
      <c r="I112" s="261"/>
      <c r="J112" s="261" t="s">
        <v>595</v>
      </c>
      <c r="K112" s="261"/>
      <c r="L112" s="512">
        <f>SUM($V$60:$V$67)</f>
        <v>2654806</v>
      </c>
      <c r="M112" s="261"/>
      <c r="O112" s="261"/>
    </row>
    <row r="113" spans="1:15" s="264" customFormat="1">
      <c r="A113" s="263"/>
      <c r="B113" s="261"/>
      <c r="C113" s="261"/>
      <c r="D113" s="261"/>
      <c r="E113" s="261"/>
      <c r="F113" s="261"/>
      <c r="G113" s="261"/>
      <c r="H113" s="261"/>
      <c r="I113" s="261"/>
      <c r="J113" s="261" t="s">
        <v>596</v>
      </c>
      <c r="K113" s="261"/>
      <c r="L113" s="512">
        <f>SUM($W$60:$W$67)</f>
        <v>97242</v>
      </c>
      <c r="M113" s="261"/>
      <c r="O113" s="261"/>
    </row>
    <row r="114" spans="1:15" s="264" customFormat="1">
      <c r="A114" s="263"/>
      <c r="B114" s="261"/>
      <c r="C114" s="261"/>
      <c r="D114" s="261"/>
      <c r="E114" s="261"/>
      <c r="F114" s="261"/>
      <c r="G114" s="261"/>
      <c r="H114" s="261"/>
      <c r="I114" s="261"/>
      <c r="J114" s="261" t="s">
        <v>258</v>
      </c>
      <c r="K114" s="261"/>
      <c r="L114" s="512">
        <f>SUM($AA$60:$AA$68)</f>
        <v>691136580</v>
      </c>
      <c r="M114" s="261"/>
      <c r="O114" s="261"/>
    </row>
    <row r="115" spans="1:15" s="264" customFormat="1">
      <c r="A115" s="263"/>
      <c r="B115" s="261"/>
      <c r="C115" s="261"/>
      <c r="D115" s="261"/>
      <c r="E115" s="261"/>
      <c r="F115" s="261"/>
      <c r="G115" s="261"/>
      <c r="H115" s="261"/>
      <c r="I115" s="261"/>
      <c r="J115" s="261" t="s">
        <v>597</v>
      </c>
      <c r="K115" s="261"/>
      <c r="L115" s="512">
        <f>$R$77</f>
        <v>95363413</v>
      </c>
      <c r="M115" s="261"/>
      <c r="O115" s="261"/>
    </row>
    <row r="116" spans="1:15" s="264" customFormat="1">
      <c r="A116" s="263"/>
      <c r="B116" s="261"/>
      <c r="C116" s="261"/>
      <c r="D116" s="261"/>
      <c r="E116" s="261"/>
      <c r="F116" s="261"/>
      <c r="G116" s="261"/>
      <c r="H116" s="261"/>
      <c r="I116" s="261"/>
      <c r="J116" s="261" t="s">
        <v>597</v>
      </c>
      <c r="K116" s="261"/>
      <c r="L116" s="512">
        <f>$R$80</f>
        <v>122629647</v>
      </c>
      <c r="M116" s="261"/>
      <c r="O116" s="261"/>
    </row>
    <row r="117" spans="1:15" s="264" customFormat="1">
      <c r="A117" s="263"/>
      <c r="B117" s="261"/>
      <c r="C117" s="261"/>
      <c r="D117" s="261"/>
      <c r="E117" s="261"/>
      <c r="F117" s="261"/>
      <c r="G117" s="261"/>
      <c r="H117" s="261"/>
      <c r="I117" s="261"/>
      <c r="J117" s="261" t="s">
        <v>1231</v>
      </c>
      <c r="K117" s="261"/>
      <c r="L117" s="1008">
        <f>VLOOKUP(B2,Names!B5:$C$87,2,FALSE)</f>
        <v>3656</v>
      </c>
      <c r="M117" s="261"/>
      <c r="O117" s="261"/>
    </row>
    <row r="118" spans="1:15" s="264" customFormat="1">
      <c r="A118" s="263"/>
      <c r="B118" s="261"/>
      <c r="C118" s="261"/>
      <c r="D118" s="261"/>
      <c r="E118" s="261"/>
      <c r="F118" s="261"/>
      <c r="G118" s="261"/>
      <c r="H118" s="261"/>
      <c r="I118" s="261"/>
      <c r="J118" s="261"/>
      <c r="K118" s="261"/>
      <c r="L118" s="373">
        <f>SUM(L106:L117)</f>
        <v>3027673138</v>
      </c>
      <c r="M118" s="261"/>
      <c r="O118" s="261"/>
    </row>
    <row r="119" spans="1:15" s="264" customFormat="1">
      <c r="A119" s="263"/>
      <c r="B119" s="261"/>
      <c r="C119" s="261"/>
      <c r="D119" s="261"/>
      <c r="E119" s="261"/>
      <c r="F119" s="261"/>
      <c r="G119" s="261"/>
      <c r="H119" s="261"/>
      <c r="I119" s="261"/>
      <c r="J119" s="261"/>
      <c r="K119" s="261"/>
      <c r="L119" s="261"/>
      <c r="M119" s="261"/>
      <c r="O119" s="261"/>
    </row>
    <row r="120" spans="1:15" s="264" customFormat="1">
      <c r="A120" s="263"/>
      <c r="B120" s="261"/>
      <c r="C120" s="261"/>
      <c r="D120" s="261"/>
      <c r="E120" s="261"/>
      <c r="F120" s="261"/>
      <c r="G120" s="261"/>
      <c r="H120" s="261"/>
      <c r="I120" s="261"/>
      <c r="J120" s="160"/>
      <c r="K120" s="160"/>
      <c r="L120" s="160"/>
      <c r="M120" s="261"/>
      <c r="O120" s="261"/>
    </row>
    <row r="121" spans="1:15" s="264" customFormat="1">
      <c r="A121" s="263"/>
      <c r="B121" s="261"/>
      <c r="C121" s="261"/>
      <c r="D121" s="261"/>
      <c r="E121" s="261"/>
      <c r="F121" s="261"/>
      <c r="G121" s="261"/>
      <c r="H121" s="261"/>
      <c r="I121" s="261"/>
      <c r="J121" s="160"/>
      <c r="K121" s="160"/>
      <c r="L121" s="160"/>
      <c r="M121" s="261"/>
      <c r="O121" s="261"/>
    </row>
    <row r="122" spans="1:15" s="264" customFormat="1">
      <c r="A122" s="263"/>
      <c r="B122" s="261"/>
      <c r="C122" s="261"/>
      <c r="D122" s="261"/>
      <c r="E122" s="261"/>
      <c r="F122" s="261"/>
      <c r="G122" s="261"/>
      <c r="H122" s="261"/>
      <c r="I122" s="261"/>
      <c r="J122" s="160"/>
      <c r="K122" s="160"/>
      <c r="L122" s="160"/>
      <c r="M122" s="261"/>
      <c r="O122" s="261"/>
    </row>
  </sheetData>
  <mergeCells count="32">
    <mergeCell ref="V56:V59"/>
    <mergeCell ref="W56:W59"/>
    <mergeCell ref="G59:K59"/>
    <mergeCell ref="AA56:AA59"/>
    <mergeCell ref="Z55:AB55"/>
    <mergeCell ref="R56:R59"/>
    <mergeCell ref="O55:R55"/>
    <mergeCell ref="T55:X55"/>
    <mergeCell ref="X56:X59"/>
    <mergeCell ref="AB56:AB59"/>
    <mergeCell ref="Z56:Z59"/>
    <mergeCell ref="B2:F2"/>
    <mergeCell ref="B3:F3"/>
    <mergeCell ref="B4:F4"/>
    <mergeCell ref="B6:M6"/>
    <mergeCell ref="P4:Q4"/>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s>
  <phoneticPr fontId="0" type="noConversion"/>
  <conditionalFormatting sqref="D93:M98 T94:T95 R90:S95 U87:X93 T90:T92 Y90:Y95 O88:O92 P88:Q93">
    <cfRule type="cellIs" dxfId="1396" priority="317" stopIfTrue="1" operator="notEqual">
      <formula>#REF!</formula>
    </cfRule>
  </conditionalFormatting>
  <conditionalFormatting sqref="P70">
    <cfRule type="expression" dxfId="1395" priority="298">
      <formula>$P$69&lt;&gt;$M$69</formula>
    </cfRule>
  </conditionalFormatting>
  <conditionalFormatting sqref="AB72">
    <cfRule type="expression" dxfId="1394" priority="297">
      <formula>$AB$71&lt;&gt;0</formula>
    </cfRule>
  </conditionalFormatting>
  <conditionalFormatting sqref="P71">
    <cfRule type="expression" dxfId="1393" priority="296">
      <formula>P69-INT(P69)</formula>
    </cfRule>
  </conditionalFormatting>
  <conditionalFormatting sqref="V70">
    <cfRule type="expression" dxfId="1392" priority="294">
      <formula>X68-INT(X68)</formula>
    </cfRule>
  </conditionalFormatting>
  <conditionalFormatting sqref="O12">
    <cfRule type="expression" dxfId="1391" priority="285">
      <formula>$P$12&lt;&gt;$M$12</formula>
    </cfRule>
  </conditionalFormatting>
  <conditionalFormatting sqref="T94:T95 R90:S95 U87:U93 T90:T92 O88:O92 P88:Q93">
    <cfRule type="cellIs" dxfId="1390" priority="278" stopIfTrue="1" operator="notEqual">
      <formula>#REF!</formula>
    </cfRule>
  </conditionalFormatting>
  <conditionalFormatting sqref="R84">
    <cfRule type="expression" priority="276" stopIfTrue="1">
      <formula>$M$85&lt;0</formula>
    </cfRule>
    <cfRule type="expression" dxfId="1389" priority="277">
      <formula>$S$85&lt;&gt;0</formula>
    </cfRule>
  </conditionalFormatting>
  <conditionalFormatting sqref="R80 R77">
    <cfRule type="expression" dxfId="1388" priority="274" stopIfTrue="1">
      <formula>$M$85&gt;=0</formula>
    </cfRule>
    <cfRule type="expression" priority="275">
      <formula>$M$85&lt;0</formula>
    </cfRule>
  </conditionalFormatting>
  <conditionalFormatting sqref="T89:U89 R89:S91 U87:U92 O90:U92 O88:Q92">
    <cfRule type="cellIs" dxfId="1387" priority="273" stopIfTrue="1" operator="notEqual">
      <formula>#REF!</formula>
    </cfRule>
  </conditionalFormatting>
  <conditionalFormatting sqref="M101">
    <cfRule type="expression" dxfId="1386" priority="259">
      <formula>$M$101&lt;&gt;0</formula>
    </cfRule>
  </conditionalFormatting>
  <conditionalFormatting sqref="M102">
    <cfRule type="expression" dxfId="1385" priority="258">
      <formula>$M$93&lt;&gt;$M$100</formula>
    </cfRule>
  </conditionalFormatting>
  <conditionalFormatting sqref="U87:U92 R90:T92 O88:Q92">
    <cfRule type="cellIs" dxfId="1384" priority="257" stopIfTrue="1" operator="notEqual">
      <formula>#REF!</formula>
    </cfRule>
  </conditionalFormatting>
  <conditionalFormatting sqref="T89:U89 Q91 T90 O89:O90 P89:Q89 R89:S91">
    <cfRule type="cellIs" dxfId="1383" priority="6" stopIfTrue="1" operator="notEqual">
      <formula>#REF!</formula>
    </cfRule>
  </conditionalFormatting>
  <conditionalFormatting sqref="Q36">
    <cfRule type="expression" dxfId="1382" priority="5">
      <formula>#REF!&lt;&gt;#REF!</formula>
    </cfRule>
  </conditionalFormatting>
  <conditionalFormatting sqref="R35">
    <cfRule type="expression" dxfId="1381" priority="4">
      <formula>#REF!&lt;&gt;0</formula>
    </cfRule>
  </conditionalFormatting>
  <conditionalFormatting sqref="Q35">
    <cfRule type="expression" dxfId="1380" priority="3">
      <formula>#REF!&lt;&gt;0</formula>
    </cfRule>
  </conditionalFormatting>
  <conditionalFormatting sqref="R36">
    <cfRule type="expression" dxfId="1379" priority="2">
      <formula>#REF!&lt;&gt;#REF!</formula>
    </cfRule>
  </conditionalFormatting>
  <conditionalFormatting sqref="G59:K59">
    <cfRule type="expression" dxfId="1378" priority="1">
      <formula>OR($P$105&gt;0,$P$106&lt;&gt;0,$P$107&lt;&gt;0)</formula>
    </cfRule>
  </conditionalFormatting>
  <hyperlinks>
    <hyperlink ref="O2" location="Index!A1" display="Return to Index" xr:uid="{00000000-0004-0000-1B00-000000000000}"/>
  </hyperlinks>
  <printOptions horizontalCentered="1"/>
  <pageMargins left="0.5" right="0.5" top="0.25" bottom="0.25" header="0" footer="0.25"/>
  <pageSetup scale="1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
  <dimension ref="A1:G30"/>
  <sheetViews>
    <sheetView showGridLines="0" zoomScale="80" zoomScaleNormal="80" workbookViewId="0">
      <selection activeCell="E74" sqref="E74:F74"/>
    </sheetView>
  </sheetViews>
  <sheetFormatPr defaultRowHeight="12.75"/>
  <cols>
    <col min="1" max="1" width="7" customWidth="1"/>
    <col min="2" max="2" width="93.140625" customWidth="1"/>
    <col min="3" max="3" width="21.7109375" customWidth="1"/>
    <col min="10" max="10" width="14.7109375" customWidth="1"/>
  </cols>
  <sheetData>
    <row r="1" spans="2:6" ht="18.75" thickBot="1">
      <c r="B1" s="393" t="str">
        <f>'ARL Chrts'!$A$1</f>
        <v>The University of Texas at Arlington</v>
      </c>
      <c r="C1" s="835" t="s">
        <v>1200</v>
      </c>
    </row>
    <row r="2" spans="2:6">
      <c r="B2" s="393" t="str">
        <f>'Smmy Chrts'!$A$2</f>
        <v>For the Year Ended August 31, 2021</v>
      </c>
    </row>
    <row r="3" spans="2:6">
      <c r="B3" s="393" t="str">
        <f>'Smmy Chrts'!$A$3</f>
        <v>Source: FY 2021 Annual Financial Report</v>
      </c>
    </row>
    <row r="5" spans="2:6">
      <c r="B5" s="529" t="s">
        <v>705</v>
      </c>
    </row>
    <row r="6" spans="2:6">
      <c r="B6" s="530"/>
    </row>
    <row r="7" spans="2:6" ht="226.5" customHeight="1">
      <c r="B7" s="531" t="s">
        <v>706</v>
      </c>
      <c r="C7" s="532"/>
    </row>
    <row r="8" spans="2:6" ht="263.25" customHeight="1">
      <c r="B8" s="531" t="s">
        <v>707</v>
      </c>
    </row>
    <row r="9" spans="2:6" s="53" customFormat="1" ht="64.5" customHeight="1">
      <c r="B9" s="533" t="str">
        <f>IF('ARL FGD'!$R$76="N/A","FN11.  N/A",$B$20&amp;$B$21&amp;$B$22&amp;$B$23&amp;$B$24&amp;$B$25&amp;$B$26&amp;$B$27&amp;$B$28&amp;$B$29&amp;$B$30)</f>
        <v>FN11: Of the net increase of $219,390,052 approximately $95.4 million represents revenues received but not yet expended. This income is fully committed to program expenditures and capital disbursements. The remaining $124.0 million represents non-expendable funds from unrealized gains and additions to permanent endowments of approximately $122.6 million and $1.4 million respectively. Unrealized gains and additions to permanent endowments do not contribute to the availability of the institution's operating cash as discussed in FN6 and FN7.</v>
      </c>
      <c r="E9" s="131"/>
      <c r="F9" s="105"/>
    </row>
    <row r="20" spans="1:7" s="53" customFormat="1">
      <c r="B20" s="105" t="s">
        <v>681</v>
      </c>
      <c r="G20" s="105"/>
    </row>
    <row r="21" spans="1:7" s="53" customFormat="1">
      <c r="A21" s="53">
        <v>69</v>
      </c>
      <c r="B21" s="131" t="str">
        <f>TEXT(IF('ARL FGD'!$M$85&lt;0,"N/A",'ARL FGD'!$M$85),"$* #,##0;$* (#,##0)")</f>
        <v>$219,390,052</v>
      </c>
      <c r="C21" s="480"/>
      <c r="D21" s="480"/>
      <c r="E21" s="480"/>
      <c r="G21" s="105"/>
    </row>
    <row r="22" spans="1:7" s="53" customFormat="1">
      <c r="B22" s="105" t="s">
        <v>682</v>
      </c>
    </row>
    <row r="23" spans="1:7" s="53" customFormat="1">
      <c r="A23" s="53">
        <v>61</v>
      </c>
      <c r="B23" s="515" t="str">
        <f>IF(ABS('ARL FGD'!$R$77)&gt;=1000000,TEXT('ARL FGD'!$R$77/1000000,"$* #,##0.0;$* (#,##0.0)")&amp;" million",IF(ABS('ARL FGD'!$R$77)&lt;1000,TEXT('ARL FGD'!$R$77,"$* #,##0;$* (#,##0)"),TEXT('ARL FGD'!$R$77/1000,"$* #,##0;$* (#,##0)")&amp;" thousand"))</f>
        <v>$95.4 million</v>
      </c>
      <c r="C23" s="515"/>
      <c r="E23" s="515"/>
    </row>
    <row r="24" spans="1:7" s="53" customFormat="1">
      <c r="B24" s="105" t="s">
        <v>708</v>
      </c>
    </row>
    <row r="25" spans="1:7" s="53" customFormat="1">
      <c r="A25" s="53">
        <v>62</v>
      </c>
      <c r="B25" s="515" t="str">
        <f>IF(ABS('ARL FGD'!$R$78)&gt;=1000000,TEXT('ARL FGD'!$R$78/1000000,"$* #,##0.0;$* (#,##0.0)")&amp;" million",IF(ABS('ARL FGD'!$R$78)&lt;1000,TEXT('ARL FGD'!$R$78,"$* #,##0;$* (#,##0)"),TEXT('ARL FGD'!$R$78/1000,"$* #,##0;$* (#,##0)")&amp;" thousand"))</f>
        <v>$124.0 million</v>
      </c>
      <c r="C25" s="515"/>
      <c r="E25" s="515"/>
    </row>
    <row r="26" spans="1:7" s="53" customFormat="1">
      <c r="B26" s="105" t="s">
        <v>683</v>
      </c>
    </row>
    <row r="27" spans="1:7" s="53" customFormat="1">
      <c r="A27" s="53">
        <v>64</v>
      </c>
      <c r="B27" s="515" t="str">
        <f>IF(ABS('ARL FGD'!$R$80)&gt;=1000000,TEXT('ARL FGD'!$R$80/1000000,"$* #,##0.0;$* (#,##0.0)")&amp;" million",IF(ABS('ARL FGD'!$R$80)&lt;1000,TEXT('ARL FGD'!$R$80,"$* #,##0;$* (#,##0)"),TEXT('ARL FGD'!$R$80/1000,"$* #,##0;$* (#,##0)")&amp;" thousand"))</f>
        <v>$122.6 million</v>
      </c>
      <c r="C27" s="515"/>
      <c r="E27" s="515"/>
    </row>
    <row r="28" spans="1:7" s="53" customFormat="1">
      <c r="B28" s="105" t="s">
        <v>684</v>
      </c>
    </row>
    <row r="29" spans="1:7" s="53" customFormat="1">
      <c r="A29" s="53">
        <v>66</v>
      </c>
      <c r="B29" s="515" t="str">
        <f>IF(ABS('ARL FGD'!$R$82)&gt;=1000000,TEXT('ARL FGD'!$R$82/1000000,"$* #,##0.0;$* (#,##0.0)")&amp;" million",IF(ABS('ARL FGD'!$R$82)&lt;1000,TEXT('ARL FGD'!$R$82,"$* #,##0;$* (#,##0)"),TEXT('ARL FGD'!$R$82/1000,"$* #,##0;$* (#,##0)")&amp;" thousand"))</f>
        <v>$1.4 million</v>
      </c>
      <c r="C29" s="515"/>
      <c r="E29" s="515"/>
    </row>
    <row r="30" spans="1:7" s="53" customFormat="1">
      <c r="B30" s="105" t="s">
        <v>709</v>
      </c>
    </row>
  </sheetData>
  <phoneticPr fontId="15" type="noConversion"/>
  <hyperlinks>
    <hyperlink ref="C1" location="Index!A1" display="Return to Index" xr:uid="{00000000-0004-0000-1C00-000000000000}"/>
  </hyperlinks>
  <pageMargins left="0.25" right="0.25" top="0.25" bottom="0.25" header="0" footer="0.25"/>
  <pageSetup orientation="portrait" r:id="rId1"/>
  <headerFooter alignWithMargins="0"/>
  <colBreaks count="1" manualBreakCount="1">
    <brk id="11" max="59"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63"/>
  <sheetViews>
    <sheetView showGridLines="0" workbookViewId="0">
      <pane ySplit="5" topLeftCell="A19" activePane="bottomLeft" state="frozen"/>
      <selection pane="bottomLeft" activeCell="E47" sqref="E47"/>
    </sheetView>
  </sheetViews>
  <sheetFormatPr defaultRowHeight="12.75"/>
  <cols>
    <col min="2" max="2" width="5.140625" customWidth="1"/>
    <col min="3" max="3" width="44.28515625" customWidth="1"/>
    <col min="4" max="4" width="16.5703125" customWidth="1"/>
    <col min="5" max="5" width="18" customWidth="1"/>
  </cols>
  <sheetData>
    <row r="1" spans="1:8" ht="13.5" thickBot="1">
      <c r="D1" s="355" t="s">
        <v>131</v>
      </c>
      <c r="H1" s="855" t="s">
        <v>1200</v>
      </c>
    </row>
    <row r="2" spans="1:8">
      <c r="D2" s="536" t="s">
        <v>1260</v>
      </c>
    </row>
    <row r="3" spans="1:8">
      <c r="D3" s="536"/>
    </row>
    <row r="4" spans="1:8">
      <c r="A4" s="960" t="s">
        <v>1261</v>
      </c>
      <c r="D4" s="814"/>
    </row>
    <row r="5" spans="1:8" ht="25.5">
      <c r="A5" s="263" t="s">
        <v>1231</v>
      </c>
      <c r="C5" s="263" t="s">
        <v>217</v>
      </c>
      <c r="D5" s="357" t="s">
        <v>263</v>
      </c>
      <c r="E5" s="357" t="s">
        <v>261</v>
      </c>
      <c r="G5" t="s">
        <v>710</v>
      </c>
    </row>
    <row r="6" spans="1:8">
      <c r="A6" s="124" t="s">
        <v>139</v>
      </c>
      <c r="B6" s="358">
        <v>320</v>
      </c>
      <c r="C6" s="408" t="str">
        <f>'ASU Sum'!$A$1</f>
        <v>Angelo State University</v>
      </c>
      <c r="D6" s="360">
        <f>'ASU FGD'!$X$61</f>
        <v>902658</v>
      </c>
      <c r="E6" s="360">
        <f>'ASU FGD'!$X$68</f>
        <v>106068483</v>
      </c>
    </row>
    <row r="7" spans="1:8">
      <c r="A7" s="124" t="s">
        <v>141</v>
      </c>
      <c r="B7" s="358">
        <v>210</v>
      </c>
      <c r="C7" s="408" t="str">
        <f>'TAMUC Sum'!$A$1</f>
        <v>Texas A&amp;M University - Commerce</v>
      </c>
      <c r="D7" s="360">
        <f>'TAMUC FGD'!$X$61</f>
        <v>3025591</v>
      </c>
      <c r="E7" s="360">
        <f>'TAMUC FGD'!$X$68</f>
        <v>146173898</v>
      </c>
    </row>
    <row r="8" spans="1:8">
      <c r="A8" s="124" t="s">
        <v>143</v>
      </c>
      <c r="B8" s="358">
        <v>270</v>
      </c>
      <c r="C8" s="408" t="str">
        <f>'LU Sum'!$A$1</f>
        <v xml:space="preserve">Lamar University </v>
      </c>
      <c r="D8" s="360">
        <f>'LU FGD'!$X$61</f>
        <v>4820120</v>
      </c>
      <c r="E8" s="360">
        <f>'LU FGD'!$X$68</f>
        <v>213512849</v>
      </c>
    </row>
    <row r="9" spans="1:8">
      <c r="A9" s="124" t="s">
        <v>145</v>
      </c>
      <c r="B9" s="358">
        <v>340</v>
      </c>
      <c r="C9" s="408" t="str">
        <f>'MidWST Sum'!$A$1</f>
        <v>Midwestern State University</v>
      </c>
      <c r="D9" s="360">
        <f>'MidWST FGD'!$X$61</f>
        <v>909672</v>
      </c>
      <c r="E9" s="360">
        <f>'MidWST FGD'!$X$68</f>
        <v>102315194</v>
      </c>
    </row>
    <row r="10" spans="1:8">
      <c r="A10" s="124" t="s">
        <v>147</v>
      </c>
      <c r="B10" s="358">
        <v>330</v>
      </c>
      <c r="C10" s="408" t="str">
        <f>'UNT Sum'!$A$1</f>
        <v>University of North Texas</v>
      </c>
      <c r="D10" s="360">
        <f>'UNT FGD'!$X$61</f>
        <v>75075222</v>
      </c>
      <c r="E10" s="360">
        <f>'UNT FGD'!$X$68</f>
        <v>642573474</v>
      </c>
    </row>
    <row r="11" spans="1:8">
      <c r="A11" s="124" t="s">
        <v>149</v>
      </c>
      <c r="B11" s="358">
        <v>80</v>
      </c>
      <c r="C11" s="408" t="str">
        <f>'AUS Sum'!$A$1</f>
        <v>The University of Texas at Austin -  All Disciplines (A+H+M)</v>
      </c>
      <c r="D11" s="360">
        <f>'AUS FGD'!$X$67</f>
        <v>603342812</v>
      </c>
      <c r="E11" s="360">
        <f>'AUS FGD'!$X$75</f>
        <v>2478184218</v>
      </c>
    </row>
    <row r="12" spans="1:8">
      <c r="A12" s="124" t="s">
        <v>151</v>
      </c>
      <c r="B12" s="358">
        <v>280</v>
      </c>
      <c r="C12" s="408" t="str">
        <f>'shsu1 Sum'!$A$1</f>
        <v>Sam Houston State University - Academic &amp; Health (A+H)</v>
      </c>
      <c r="D12" s="360">
        <f>'shsu1 FGD'!$X$61</f>
        <v>10768814</v>
      </c>
      <c r="E12" s="360">
        <f>'shsu1 FGD'!$X$68</f>
        <v>305482849</v>
      </c>
    </row>
    <row r="13" spans="1:8">
      <c r="A13" s="124" t="s">
        <v>153</v>
      </c>
      <c r="B13" s="358">
        <v>290</v>
      </c>
      <c r="C13" s="408" t="str">
        <f>'TXST Sum'!$A$1</f>
        <v>Texas State University</v>
      </c>
      <c r="D13" s="360">
        <f>'TXST FGD'!$X$61</f>
        <v>65785650</v>
      </c>
      <c r="E13" s="360">
        <f>'TXST FGD'!$X$68</f>
        <v>505218552</v>
      </c>
    </row>
    <row r="14" spans="1:8">
      <c r="A14" s="124" t="s">
        <v>155</v>
      </c>
      <c r="B14" s="358">
        <v>350</v>
      </c>
      <c r="C14" s="408" t="str">
        <f>'SFA Sum'!$A$1</f>
        <v>Stephen F. Austin State University</v>
      </c>
      <c r="D14" s="360">
        <f>'SFA FGD'!$X$61</f>
        <v>3835542</v>
      </c>
      <c r="E14" s="360">
        <f>'SFA FGD'!$X$68</f>
        <v>186770647</v>
      </c>
    </row>
    <row r="15" spans="1:8">
      <c r="A15" s="124" t="s">
        <v>157</v>
      </c>
      <c r="B15" s="358">
        <v>300</v>
      </c>
      <c r="C15" s="408" t="str">
        <f>'SRSU Sum'!$A$1</f>
        <v>Sul Ross State University</v>
      </c>
      <c r="D15" s="360">
        <f>'SRSU FGD'!$X$61</f>
        <v>1775780</v>
      </c>
      <c r="E15" s="360">
        <f>'SRSU FGD'!$X$68</f>
        <v>44919347</v>
      </c>
    </row>
    <row r="16" spans="1:8">
      <c r="A16" s="124" t="s">
        <v>159</v>
      </c>
      <c r="B16" s="358">
        <v>150</v>
      </c>
      <c r="C16" s="408" t="str">
        <f>'PVAMU Sum'!$A$1</f>
        <v>Prairie View A&amp;M University</v>
      </c>
      <c r="D16" s="360">
        <f>'PVAMU FGD'!$X$61</f>
        <v>17875845</v>
      </c>
      <c r="E16" s="360">
        <f>'PVAMU FGD'!$X$68</f>
        <v>234745767</v>
      </c>
    </row>
    <row r="17" spans="1:5">
      <c r="A17" s="124" t="s">
        <v>161</v>
      </c>
      <c r="B17" s="358">
        <v>160</v>
      </c>
      <c r="C17" s="408" t="str">
        <f>'TARLST Sum'!$A$1</f>
        <v>Tarleton State University</v>
      </c>
      <c r="D17" s="360">
        <f>'TARLST FGD'!$X$61</f>
        <v>15704870</v>
      </c>
      <c r="E17" s="360">
        <f>'TARLST FGD'!$X$68</f>
        <v>168004369</v>
      </c>
    </row>
    <row r="18" spans="1:5">
      <c r="A18" s="124" t="s">
        <v>163</v>
      </c>
      <c r="B18" s="358">
        <v>130</v>
      </c>
      <c r="C18" s="408" t="str">
        <f>'TAMU Sum'!$A$1</f>
        <v>Texas A&amp;M University</v>
      </c>
      <c r="D18" s="360">
        <f>'TAMU FGD'!$X$61</f>
        <v>246981179</v>
      </c>
      <c r="E18" s="360">
        <f>'TAMU FGD'!$X$68</f>
        <v>1587106721</v>
      </c>
    </row>
    <row r="19" spans="1:5">
      <c r="A19" s="124" t="s">
        <v>165</v>
      </c>
      <c r="B19" s="358">
        <v>180</v>
      </c>
      <c r="C19" s="408" t="str">
        <f>'TAMUK Sum'!$A$1</f>
        <v>Texas A&amp;M University - Kingsville</v>
      </c>
      <c r="D19" s="360">
        <f>'TAMUK FGD'!$X$61</f>
        <v>19263508</v>
      </c>
      <c r="E19" s="360">
        <f>'TAMUK FGD'!$X$68</f>
        <v>128141322</v>
      </c>
    </row>
    <row r="20" spans="1:5">
      <c r="A20" s="124" t="s">
        <v>167</v>
      </c>
      <c r="B20" s="358">
        <v>360</v>
      </c>
      <c r="C20" s="408" t="str">
        <f>'TSU Sum'!$A$1</f>
        <v>Texas Southern University</v>
      </c>
      <c r="D20" s="360">
        <f>'TSU FGD'!$X$61</f>
        <v>5270462</v>
      </c>
      <c r="E20" s="360">
        <f>'TSU FGD'!$X$68</f>
        <v>216139252</v>
      </c>
    </row>
    <row r="21" spans="1:5">
      <c r="A21" s="124" t="s">
        <v>169</v>
      </c>
      <c r="B21" s="358">
        <v>310</v>
      </c>
      <c r="C21" s="408" t="str">
        <f>'TTU Sum'!$A$1</f>
        <v>Texas Tech University</v>
      </c>
      <c r="D21" s="360">
        <f>'TTU FGD'!$X$61</f>
        <v>181634999</v>
      </c>
      <c r="E21" s="360">
        <f>'TTU FGD'!$X$68</f>
        <v>709822248</v>
      </c>
    </row>
    <row r="22" spans="1:5">
      <c r="A22" s="669" t="s">
        <v>171</v>
      </c>
      <c r="B22" s="358">
        <v>370</v>
      </c>
      <c r="C22" s="408" t="str">
        <f>'TWU Sum'!$A$1</f>
        <v>Texas Woman's University</v>
      </c>
      <c r="D22" s="961">
        <f>'TWU FGD'!$X$61</f>
        <v>4458898</v>
      </c>
      <c r="E22" s="961">
        <f>'TWU FGD'!$X$68</f>
        <v>183701563</v>
      </c>
    </row>
    <row r="23" spans="1:5">
      <c r="A23" s="124" t="s">
        <v>173</v>
      </c>
      <c r="B23" s="358">
        <v>230</v>
      </c>
      <c r="C23" s="408" t="str">
        <f>'UH1 Sum'!$A$1</f>
        <v>University of Houston - Academic &amp; Health (A+H)</v>
      </c>
      <c r="D23" s="360">
        <f>'UH1 FGD'!$X$61</f>
        <v>178753192</v>
      </c>
      <c r="E23" s="360">
        <f>'UH1 FGD'!$X$68</f>
        <v>913547285</v>
      </c>
    </row>
    <row r="24" spans="1:5">
      <c r="A24" s="124" t="s">
        <v>175</v>
      </c>
      <c r="B24" s="358">
        <v>40</v>
      </c>
      <c r="C24" s="358" t="str">
        <f>'ARL Sum'!$A$1</f>
        <v>The University of Texas at Arlington</v>
      </c>
      <c r="D24" s="352">
        <f>'ARL FGD'!$X$61</f>
        <v>102964050</v>
      </c>
      <c r="E24" s="352">
        <f>'ARL FGD'!$X$68</f>
        <v>634866641</v>
      </c>
    </row>
    <row r="25" spans="1:5">
      <c r="A25" s="124" t="s">
        <v>177</v>
      </c>
      <c r="B25" s="358">
        <v>50</v>
      </c>
      <c r="C25" s="408" t="str">
        <f>'AUS1 Sum'!$A$1</f>
        <v>The University of Texas at Austin - Academic &amp; Health (A+H)</v>
      </c>
      <c r="D25" s="360">
        <f>'AUS1 FGD'!$X$61</f>
        <v>573755470</v>
      </c>
      <c r="E25" s="360">
        <f>'AUS1 FGD'!$X$68</f>
        <v>2256971436</v>
      </c>
    </row>
    <row r="26" spans="1:5">
      <c r="A26" s="124" t="s">
        <v>179</v>
      </c>
      <c r="B26" s="358">
        <v>70</v>
      </c>
      <c r="C26" s="408" t="str">
        <f>'E-P Sum'!$A$1</f>
        <v>The University of Texas at El Paso</v>
      </c>
      <c r="D26" s="360">
        <f>'E-P FGD'!$X$61</f>
        <v>96700170</v>
      </c>
      <c r="E26" s="360">
        <f>'E-P FGD'!$X$68</f>
        <v>445730444</v>
      </c>
    </row>
    <row r="27" spans="1:5">
      <c r="A27" s="124" t="s">
        <v>181</v>
      </c>
      <c r="B27" s="358">
        <v>200</v>
      </c>
      <c r="C27" s="408" t="str">
        <f>'WTAMU Sum'!$A$1</f>
        <v>West Texas A&amp;M University</v>
      </c>
      <c r="D27" s="360">
        <f>'WTAMU FGD'!$X$61</f>
        <v>9068331</v>
      </c>
      <c r="E27" s="360">
        <f>'WTAMU FGD'!$X$68</f>
        <v>131175772</v>
      </c>
    </row>
    <row r="28" spans="1:5">
      <c r="A28" s="124" t="s">
        <v>183</v>
      </c>
      <c r="B28" s="358">
        <v>190</v>
      </c>
      <c r="C28" s="408" t="str">
        <f>'TAMIU Sum'!$A$1</f>
        <v>Texas A&amp;M International University</v>
      </c>
      <c r="D28" s="360">
        <f>'TAMIU FGD'!$X$61</f>
        <v>3071938</v>
      </c>
      <c r="E28" s="360">
        <f>'TAMIU FGD'!$X$68</f>
        <v>118931750</v>
      </c>
    </row>
    <row r="29" spans="1:5">
      <c r="A29" s="124" t="s">
        <v>185</v>
      </c>
      <c r="B29" s="358">
        <v>60</v>
      </c>
      <c r="C29" s="408" t="str">
        <f>'DAL Sum'!$A$1</f>
        <v>The University of Texas at Dallas</v>
      </c>
      <c r="D29" s="360">
        <f>'DAL FGD'!$X$61</f>
        <v>103089624</v>
      </c>
      <c r="E29" s="360">
        <f>'DAL FGD'!$X$68</f>
        <v>546492362</v>
      </c>
    </row>
    <row r="30" spans="1:5">
      <c r="A30" s="124" t="s">
        <v>187</v>
      </c>
      <c r="B30" s="358">
        <v>100</v>
      </c>
      <c r="C30" s="408" t="str">
        <f>'P-B Sum'!$A$1</f>
        <v>The University of Texas of the Permian Basin</v>
      </c>
      <c r="D30" s="360">
        <f>'P-B FGD'!$X$61</f>
        <v>3104379</v>
      </c>
      <c r="E30" s="360">
        <f>'P-B FGD'!$X$68</f>
        <v>88229704</v>
      </c>
    </row>
    <row r="31" spans="1:5">
      <c r="A31" s="124" t="s">
        <v>189</v>
      </c>
      <c r="B31" s="358">
        <v>110</v>
      </c>
      <c r="C31" s="408" t="str">
        <f>'S-A Sum'!$A$1</f>
        <v>The University of Texas at San Antonio</v>
      </c>
      <c r="D31" s="360">
        <f>'S-A FGD'!$X$61</f>
        <v>128958065</v>
      </c>
      <c r="E31" s="360">
        <f>'S-A FGD'!$X$68</f>
        <v>539741356</v>
      </c>
    </row>
    <row r="32" spans="1:5">
      <c r="A32" s="124" t="s">
        <v>191</v>
      </c>
      <c r="B32" s="358">
        <v>140</v>
      </c>
      <c r="C32" s="408" t="str">
        <f>'TAMUG Sum'!$A$1</f>
        <v>Texas A&amp;M University at Galveston</v>
      </c>
      <c r="D32" s="360">
        <f>'TAMUG FGD'!$X$61</f>
        <v>6904962</v>
      </c>
      <c r="E32" s="360">
        <f>'TAMUG FGD'!$X$68</f>
        <v>53642730</v>
      </c>
    </row>
    <row r="33" spans="1:7">
      <c r="A33" s="124" t="s">
        <v>193</v>
      </c>
      <c r="B33" s="358">
        <v>170</v>
      </c>
      <c r="C33" s="408" t="str">
        <f>'TAMUCC Sum'!$A$1</f>
        <v>Texas A&amp;M University - Corpus Christi</v>
      </c>
      <c r="D33" s="360">
        <f>'TAMUCC FGD'!$X$61</f>
        <v>26604629</v>
      </c>
      <c r="E33" s="360">
        <f>'TAMUCC FGD'!$X$68</f>
        <v>205893572</v>
      </c>
    </row>
    <row r="34" spans="1:7">
      <c r="A34" s="124" t="s">
        <v>195</v>
      </c>
      <c r="B34" s="358">
        <v>120</v>
      </c>
      <c r="C34" s="408" t="str">
        <f>'TYL Sum'!$A$1</f>
        <v>The University of Texas at Tyler</v>
      </c>
      <c r="D34" s="360">
        <f>'TYL FGD'!$X$61</f>
        <v>2144158</v>
      </c>
      <c r="E34" s="360">
        <f>'TYL FGD'!$X$68</f>
        <v>132844546</v>
      </c>
    </row>
    <row r="35" spans="1:7">
      <c r="A35" s="124" t="s">
        <v>197</v>
      </c>
      <c r="B35" s="358">
        <v>240</v>
      </c>
      <c r="C35" s="408" t="str">
        <f>'UHCL Sum'!$A$1</f>
        <v>University of Houston - Clear Lake</v>
      </c>
      <c r="D35" s="360">
        <f>'UHCL FGD'!$X$61</f>
        <v>1740704</v>
      </c>
      <c r="E35" s="360">
        <f>'UHCL FGD'!$X$68</f>
        <v>133100554</v>
      </c>
      <c r="G35" s="960" t="s">
        <v>1261</v>
      </c>
    </row>
    <row r="36" spans="1:7">
      <c r="A36" s="124" t="s">
        <v>199</v>
      </c>
      <c r="B36" s="358">
        <v>250</v>
      </c>
      <c r="C36" s="408" t="str">
        <f>'UHD Sum'!$A$1</f>
        <v>University of Houston - Downtown</v>
      </c>
      <c r="D36" s="360">
        <f>'UHD FGD'!$X$61</f>
        <v>2022727</v>
      </c>
      <c r="E36" s="360">
        <f>'UHD FGD'!$X$68</f>
        <v>166761011</v>
      </c>
    </row>
    <row r="37" spans="1:7">
      <c r="A37" s="124" t="s">
        <v>201</v>
      </c>
      <c r="B37" s="358">
        <v>260</v>
      </c>
      <c r="C37" s="408" t="str">
        <f>'UHV Sum'!$A$1</f>
        <v>University of Houston - Victoria</v>
      </c>
      <c r="D37" s="360">
        <f>'UHV FGD'!$X$61</f>
        <v>416867</v>
      </c>
      <c r="E37" s="360">
        <f>'UHV FGD'!$X$68</f>
        <v>59039382</v>
      </c>
    </row>
    <row r="38" spans="1:7">
      <c r="A38" s="124" t="s">
        <v>203</v>
      </c>
      <c r="B38" s="358">
        <v>220</v>
      </c>
      <c r="C38" s="408" t="str">
        <f>'TAMUT Sum'!$A$1</f>
        <v>Texas A&amp;M University - Texarkana</v>
      </c>
      <c r="D38" s="360">
        <f>'TAMUT FGD'!$X$61</f>
        <v>36898</v>
      </c>
      <c r="E38" s="360">
        <f>'TAMUT FGD'!$X$68</f>
        <v>36919477</v>
      </c>
    </row>
    <row r="39" spans="1:7">
      <c r="A39" s="124" t="s">
        <v>205</v>
      </c>
      <c r="B39" s="358">
        <v>90</v>
      </c>
      <c r="C39" s="408" t="str">
        <f>'RGV1 Sum'!$A$1</f>
        <v>The University of Texas RGV - Academic &amp; Health (A+H)</v>
      </c>
      <c r="D39" s="973">
        <f>'RGV1 FGD'!$X116</f>
        <v>0</v>
      </c>
      <c r="E39" s="974">
        <f>'RGV1 FGD'!$X123</f>
        <v>0</v>
      </c>
    </row>
    <row r="40" spans="1:7">
      <c r="A40" s="124" t="s">
        <v>280</v>
      </c>
      <c r="B40" s="358">
        <v>223</v>
      </c>
      <c r="C40" s="408" t="str">
        <f>'TAMUCT Sum'!$A$1</f>
        <v>Texas A&amp;M University - Central Texas</v>
      </c>
      <c r="D40" s="360">
        <f>'TAMUCT FGD'!$X$61</f>
        <v>912163</v>
      </c>
      <c r="E40" s="360">
        <f>'TAMUCT FGD'!$X$68</f>
        <v>33862889</v>
      </c>
    </row>
    <row r="41" spans="1:7">
      <c r="A41" s="124" t="s">
        <v>281</v>
      </c>
      <c r="B41" s="358">
        <v>226</v>
      </c>
      <c r="C41" s="408" t="str">
        <f>'TAMUSA Sum'!$A$1</f>
        <v>Texas A&amp;M University - San Antonio</v>
      </c>
      <c r="D41" s="360">
        <f>'TAMUSA FGD'!$X$61</f>
        <v>1305825</v>
      </c>
      <c r="E41" s="360">
        <f>'TAMUSA FGD'!$X$68</f>
        <v>98109307</v>
      </c>
    </row>
    <row r="42" spans="1:7">
      <c r="A42" s="669" t="s">
        <v>277</v>
      </c>
      <c r="B42" s="358">
        <v>333</v>
      </c>
      <c r="C42" s="408" t="str">
        <f>'UNTD Sum'!$A$1</f>
        <v>University of North Texas at Dallas</v>
      </c>
      <c r="D42" s="361">
        <f>'UNTD FGD'!$X$61</f>
        <v>113533</v>
      </c>
      <c r="E42" s="361">
        <f>'UNTD FGD'!$X$68</f>
        <v>66075530</v>
      </c>
    </row>
    <row r="43" spans="1:7" ht="13.5" thickBot="1">
      <c r="C43" s="359" t="s">
        <v>227</v>
      </c>
      <c r="D43" s="362">
        <f>SUM(D6:D42)</f>
        <v>2503099307</v>
      </c>
      <c r="E43" s="362">
        <f>SUM(E6:E42)</f>
        <v>14620816501</v>
      </c>
    </row>
    <row r="44" spans="1:7" ht="13.5" thickTop="1">
      <c r="B44">
        <f>COUNT(B6:B42)</f>
        <v>37</v>
      </c>
    </row>
    <row r="45" spans="1:7">
      <c r="D45" s="352"/>
    </row>
    <row r="47" spans="1:7">
      <c r="B47" s="264" t="s">
        <v>284</v>
      </c>
      <c r="D47" s="535" t="str">
        <f>IF($D$43&lt;&gt;'CS &amp; SP Smmy'!$L$83,"Error","")</f>
        <v>Error</v>
      </c>
      <c r="E47" s="535" t="str">
        <f>IF($E$43&lt;&gt;'CS &amp; SP Smmy'!$L$342,"Error","")</f>
        <v>Error</v>
      </c>
    </row>
    <row r="51" spans="1:5">
      <c r="E51" s="591"/>
    </row>
    <row r="52" spans="1:5" ht="28.5" customHeight="1">
      <c r="A52" s="264" t="s">
        <v>1259</v>
      </c>
      <c r="D52" s="1614"/>
      <c r="E52" s="1615"/>
    </row>
    <row r="62" spans="1:5" ht="13.5" thickBot="1">
      <c r="D62" s="362">
        <v>1254900082</v>
      </c>
      <c r="E62" s="362">
        <v>8625215612</v>
      </c>
    </row>
    <row r="63" spans="1:5" ht="13.5" thickTop="1"/>
  </sheetData>
  <sortState xmlns:xlrd2="http://schemas.microsoft.com/office/spreadsheetml/2017/richdata2" ref="A6:H42">
    <sortCondition ref="A6:A42"/>
  </sortState>
  <mergeCells count="1">
    <mergeCell ref="D52:E52"/>
  </mergeCells>
  <hyperlinks>
    <hyperlink ref="H1" location="Index!A1" display="Return to Index" xr:uid="{00000000-0004-0000-0200-000000000000}"/>
  </hyperlinks>
  <pageMargins left="0.7" right="0.7" top="0.75" bottom="0.75" header="0.3" footer="0.3"/>
  <pageSetup orientation="portrait" horizontalDpi="1200" verticalDpi="1200" r:id="rId1"/>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1">
    <tabColor indexed="47"/>
    <pageSetUpPr fitToPage="1"/>
  </sheetPr>
  <dimension ref="A1:E165"/>
  <sheetViews>
    <sheetView showGridLines="0" zoomScale="65" zoomScaleNormal="65" zoomScaleSheetLayoutView="65" workbookViewId="0">
      <selection activeCell="C40" sqref="C40"/>
    </sheetView>
  </sheetViews>
  <sheetFormatPr defaultColWidth="9.140625" defaultRowHeight="12.75" customHeight="1"/>
  <cols>
    <col min="1" max="1" width="158.7109375" style="53" customWidth="1"/>
    <col min="2" max="2" width="19.28515625" style="53" customWidth="1"/>
    <col min="3" max="3" width="54.7109375" style="53" customWidth="1"/>
    <col min="4" max="4" width="20.7109375" style="53" customWidth="1"/>
    <col min="5" max="5" width="9.140625" style="679"/>
    <col min="6" max="16384" width="9.140625" style="53"/>
  </cols>
  <sheetData>
    <row r="1" spans="1:5" ht="28.5" thickBot="1">
      <c r="A1" s="159" t="s">
        <v>1373</v>
      </c>
      <c r="B1" s="835" t="s">
        <v>1200</v>
      </c>
      <c r="C1" s="53" t="s">
        <v>1329</v>
      </c>
    </row>
    <row r="2" spans="1:5" ht="18">
      <c r="A2" s="1345" t="s">
        <v>2132</v>
      </c>
      <c r="C2" s="55" t="s">
        <v>63</v>
      </c>
    </row>
    <row r="3" spans="1:5" ht="27.75">
      <c r="A3" s="54" t="str">
        <f>'Smmy Chrts'!$A$2</f>
        <v>For the Year Ended August 31, 2021</v>
      </c>
      <c r="C3" s="53" t="s">
        <v>64</v>
      </c>
    </row>
    <row r="4" spans="1:5" ht="31.5" customHeight="1">
      <c r="A4" s="54" t="str">
        <f>'Smmy Chrts'!$A$3</f>
        <v>Source: FY 2021 Annual Financial Report</v>
      </c>
      <c r="C4" s="53" t="s">
        <v>267</v>
      </c>
    </row>
    <row r="5" spans="1:5" ht="31.5" customHeight="1">
      <c r="C5" s="53" t="s">
        <v>268</v>
      </c>
    </row>
    <row r="7" spans="1:5" ht="12.75" customHeight="1">
      <c r="C7" s="1687" t="s">
        <v>25</v>
      </c>
      <c r="D7" s="1687"/>
    </row>
    <row r="8" spans="1:5" ht="12.75" customHeight="1">
      <c r="C8" s="57"/>
      <c r="D8" s="58"/>
    </row>
    <row r="9" spans="1:5" ht="12.75" customHeight="1">
      <c r="C9" s="59" t="str">
        <f>'AUS1 Sum'!A9</f>
        <v>State of Texas</v>
      </c>
      <c r="D9" s="60">
        <f>'AUS1 Sum'!B15</f>
        <v>779759446</v>
      </c>
      <c r="E9" s="680">
        <f>ROUND(D9/$D$14,3)</f>
        <v>0.24099999999999999</v>
      </c>
    </row>
    <row r="10" spans="1:5" ht="12.75" customHeight="1">
      <c r="C10" s="59" t="str">
        <f>'AUS1 Sum'!A17</f>
        <v>Student &amp; Parent</v>
      </c>
      <c r="D10" s="60">
        <f>'AUS1 Sum'!B20</f>
        <v>521364736</v>
      </c>
      <c r="E10" s="680">
        <f t="shared" ref="E10:E12" si="0">ROUND(D10/$D$14,3)</f>
        <v>0.161</v>
      </c>
    </row>
    <row r="11" spans="1:5" ht="12.75" customHeight="1">
      <c r="C11" s="59" t="str">
        <f>'AUS1 Sum'!A22</f>
        <v>Federal Government</v>
      </c>
      <c r="D11" s="60">
        <f>'AUS1 Sum'!B23</f>
        <v>599352881</v>
      </c>
      <c r="E11" s="680">
        <f t="shared" si="0"/>
        <v>0.185</v>
      </c>
    </row>
    <row r="12" spans="1:5" ht="12.75" customHeight="1">
      <c r="C12" s="59" t="str">
        <f>'AUS1 Sum'!A25</f>
        <v>Institutional Resources</v>
      </c>
      <c r="D12" s="60">
        <f>'AUS1 Sum'!B32</f>
        <v>1336140297</v>
      </c>
      <c r="E12" s="680">
        <f t="shared" si="0"/>
        <v>0.41299999999999998</v>
      </c>
    </row>
    <row r="13" spans="1:5" ht="12.75" customHeight="1">
      <c r="C13" s="57"/>
      <c r="D13" s="58"/>
      <c r="E13" s="680"/>
    </row>
    <row r="14" spans="1:5" ht="12.75" customHeight="1">
      <c r="C14" s="61" t="s">
        <v>68</v>
      </c>
      <c r="D14" s="62">
        <f>SUM(D9:D13)</f>
        <v>3236617360</v>
      </c>
      <c r="E14" s="680">
        <f>SUM(E9:E13)</f>
        <v>1</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86" t="str">
        <f>C14&amp;" "&amp;TEXT(D14,"$#,###")</f>
        <v>Total Operating Sources $3,236,617,360</v>
      </c>
    </row>
    <row r="48" spans="1:1" ht="12.75" customHeight="1">
      <c r="A48" s="1686"/>
    </row>
    <row r="49" spans="1:5" ht="12.75" customHeight="1">
      <c r="A49" s="56"/>
    </row>
    <row r="52" spans="1:5" ht="12.75" customHeight="1">
      <c r="C52" s="63" t="s">
        <v>25</v>
      </c>
      <c r="D52" s="58"/>
    </row>
    <row r="54" spans="1:5" ht="12.75" customHeight="1">
      <c r="C54" s="59" t="s">
        <v>1</v>
      </c>
      <c r="D54" s="60">
        <f>'AUS1 Sum'!B10</f>
        <v>327739839</v>
      </c>
      <c r="E54" s="680">
        <f>ROUND(D54/$D$67,3)</f>
        <v>0.10100000000000001</v>
      </c>
    </row>
    <row r="55" spans="1:5" ht="12.75" customHeight="1">
      <c r="C55" s="59" t="s">
        <v>221</v>
      </c>
      <c r="D55" s="60">
        <f>'AUS1 Sum'!B11</f>
        <v>59642797</v>
      </c>
      <c r="E55" s="680">
        <f t="shared" ref="E55:E66" si="1">ROUND(D55/$D$67,3)</f>
        <v>1.7999999999999999E-2</v>
      </c>
    </row>
    <row r="56" spans="1:5" ht="12.75" customHeight="1">
      <c r="C56" s="59"/>
      <c r="D56" s="60"/>
      <c r="E56" s="680"/>
    </row>
    <row r="57" spans="1:5" ht="12.75" customHeight="1">
      <c r="C57" s="1069" t="str">
        <f>'AUS1 Sum'!A13</f>
        <v>Higher Education Fund</v>
      </c>
      <c r="D57" s="60">
        <f>'AUS1 Sum'!B13</f>
        <v>0</v>
      </c>
      <c r="E57" s="680">
        <f t="shared" si="1"/>
        <v>0</v>
      </c>
    </row>
    <row r="58" spans="1:5" ht="12.75" customHeight="1">
      <c r="C58" s="59" t="s">
        <v>41</v>
      </c>
      <c r="D58" s="60">
        <f>'AUS1 Sum'!B14</f>
        <v>392376810</v>
      </c>
      <c r="E58" s="680">
        <f t="shared" si="1"/>
        <v>0.121</v>
      </c>
    </row>
    <row r="59" spans="1:5" ht="12.75" customHeight="1">
      <c r="C59" s="59" t="s">
        <v>87</v>
      </c>
      <c r="D59" s="60">
        <f>'AUS1 Sum'!B20</f>
        <v>521364736</v>
      </c>
      <c r="E59" s="680">
        <f t="shared" si="1"/>
        <v>0.161</v>
      </c>
    </row>
    <row r="60" spans="1:5" ht="12.75" customHeight="1">
      <c r="C60" s="64" t="s">
        <v>74</v>
      </c>
      <c r="D60" s="60">
        <f>'AUS1 Sum'!B23</f>
        <v>599352881</v>
      </c>
      <c r="E60" s="680">
        <f t="shared" si="1"/>
        <v>0.185</v>
      </c>
    </row>
    <row r="61" spans="1:5" ht="12.75" customHeight="1">
      <c r="C61" s="59" t="s">
        <v>75</v>
      </c>
      <c r="D61" s="60">
        <f>'AUS1 Sum'!B26</f>
        <v>554260906</v>
      </c>
      <c r="E61" s="680">
        <f t="shared" si="1"/>
        <v>0.17100000000000001</v>
      </c>
    </row>
    <row r="62" spans="1:5" ht="12.75" customHeight="1">
      <c r="C62" s="59" t="s">
        <v>27</v>
      </c>
      <c r="D62" s="60">
        <f>'AUS1 Sum'!B27</f>
        <v>3356329</v>
      </c>
      <c r="E62" s="680">
        <f t="shared" si="1"/>
        <v>1E-3</v>
      </c>
    </row>
    <row r="63" spans="1:5" ht="12.75" customHeight="1">
      <c r="C63" s="59" t="s">
        <v>76</v>
      </c>
      <c r="D63" s="60">
        <f>'AUS1 Sum'!B28</f>
        <v>331777246</v>
      </c>
      <c r="E63" s="680">
        <f t="shared" si="1"/>
        <v>0.10299999999999999</v>
      </c>
    </row>
    <row r="64" spans="1:5" ht="12.75" customHeight="1">
      <c r="C64" s="59" t="s">
        <v>77</v>
      </c>
      <c r="D64" s="60">
        <f>'AUS1 Sum'!B29</f>
        <v>270574450</v>
      </c>
      <c r="E64" s="680">
        <f t="shared" si="1"/>
        <v>8.4000000000000005E-2</v>
      </c>
    </row>
    <row r="65" spans="1:5" ht="12.75" customHeight="1">
      <c r="C65" s="59" t="s">
        <v>220</v>
      </c>
      <c r="D65" s="60">
        <f>'AUS1 Sum'!B30</f>
        <v>164236378</v>
      </c>
      <c r="E65" s="680">
        <f t="shared" si="1"/>
        <v>5.0999999999999997E-2</v>
      </c>
    </row>
    <row r="66" spans="1:5" ht="12.75" customHeight="1">
      <c r="C66" s="64" t="s">
        <v>52</v>
      </c>
      <c r="D66" s="967">
        <f>'AUS1 Sum'!B31</f>
        <v>11934988</v>
      </c>
      <c r="E66" s="680">
        <f t="shared" si="1"/>
        <v>4.0000000000000001E-3</v>
      </c>
    </row>
    <row r="67" spans="1:5" ht="12.75" customHeight="1">
      <c r="C67" s="61" t="s">
        <v>68</v>
      </c>
      <c r="D67" s="62">
        <f>SUM(D54:D66)</f>
        <v>3236617360</v>
      </c>
      <c r="E67" s="681">
        <f>SUM(E54:E66)</f>
        <v>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86" t="str">
        <f>C67&amp;" "&amp;TEXT(D67,"$#,###")</f>
        <v>Total Operating Sources $3,236,617,360</v>
      </c>
    </row>
    <row r="93" spans="1:5" ht="12.75" customHeight="1">
      <c r="A93" s="1686"/>
    </row>
    <row r="94" spans="1:5" ht="12.75" customHeight="1">
      <c r="A94" s="65"/>
    </row>
    <row r="95" spans="1:5" s="68" customFormat="1" ht="12.75" customHeight="1">
      <c r="A95" s="66"/>
      <c r="E95" s="682"/>
    </row>
    <row r="96" spans="1:5" ht="12.75" customHeight="1">
      <c r="A96" s="65"/>
    </row>
    <row r="97" spans="1:5" ht="12.75" customHeight="1">
      <c r="A97" s="65"/>
    </row>
    <row r="98" spans="1:5" ht="12.75" customHeight="1">
      <c r="A98" s="65"/>
    </row>
    <row r="100" spans="1:5" ht="12.75" customHeight="1">
      <c r="C100" s="1687" t="s">
        <v>13</v>
      </c>
      <c r="D100" s="1687"/>
    </row>
    <row r="101" spans="1:5" ht="12.75" customHeight="1">
      <c r="C101" s="1687"/>
      <c r="D101" s="1687"/>
    </row>
    <row r="102" spans="1:5" ht="12.75" customHeight="1">
      <c r="C102" s="69" t="s">
        <v>14</v>
      </c>
      <c r="D102" s="60">
        <f>'AUS1 Sum'!B36</f>
        <v>676280825</v>
      </c>
      <c r="E102" s="680">
        <f>ROUND(D102/$D$114,3)</f>
        <v>0.26100000000000001</v>
      </c>
    </row>
    <row r="103" spans="1:5" ht="12.75" customHeight="1">
      <c r="C103" s="69" t="s">
        <v>15</v>
      </c>
      <c r="D103" s="60">
        <f>'AUS1 Sum'!B37</f>
        <v>523576229</v>
      </c>
      <c r="E103" s="680">
        <f t="shared" ref="E103:E112" si="2">ROUND(D103/$D$114,3)</f>
        <v>0.20200000000000001</v>
      </c>
    </row>
    <row r="104" spans="1:5" ht="12.75" customHeight="1">
      <c r="C104" s="69" t="s">
        <v>16</v>
      </c>
      <c r="D104" s="60">
        <f>'AUS1 Sum'!B38</f>
        <v>94066053</v>
      </c>
      <c r="E104" s="680">
        <f t="shared" si="2"/>
        <v>3.5999999999999997E-2</v>
      </c>
    </row>
    <row r="105" spans="1:5" ht="12.75" customHeight="1">
      <c r="C105" s="69" t="s">
        <v>17</v>
      </c>
      <c r="D105" s="60">
        <f>'AUS1 Sum'!B39</f>
        <v>309781831</v>
      </c>
      <c r="E105" s="680">
        <f t="shared" si="2"/>
        <v>0.11899999999999999</v>
      </c>
    </row>
    <row r="106" spans="1:5" ht="12.75" customHeight="1">
      <c r="C106" s="69" t="s">
        <v>18</v>
      </c>
      <c r="D106" s="60">
        <f>'AUS1 Sum'!B40</f>
        <v>41791895</v>
      </c>
      <c r="E106" s="680">
        <f t="shared" si="2"/>
        <v>1.6E-2</v>
      </c>
    </row>
    <row r="107" spans="1:5" ht="12.75" customHeight="1">
      <c r="C107" s="69" t="s">
        <v>19</v>
      </c>
      <c r="D107" s="60">
        <f>'AUS1 Sum'!B41</f>
        <v>212882791</v>
      </c>
      <c r="E107" s="680">
        <f t="shared" si="2"/>
        <v>8.2000000000000003E-2</v>
      </c>
    </row>
    <row r="108" spans="1:5" ht="12.75" customHeight="1">
      <c r="C108" s="69" t="s">
        <v>78</v>
      </c>
      <c r="D108" s="60">
        <f>'AUS1 Sum'!B42</f>
        <v>198273240</v>
      </c>
      <c r="E108" s="680">
        <f t="shared" si="2"/>
        <v>7.5999999999999998E-2</v>
      </c>
    </row>
    <row r="109" spans="1:5" ht="12.75" customHeight="1">
      <c r="C109" s="69" t="s">
        <v>79</v>
      </c>
      <c r="D109" s="60">
        <f>'AUS1 Sum'!B43</f>
        <v>169315589</v>
      </c>
      <c r="E109" s="680">
        <f t="shared" si="2"/>
        <v>6.5000000000000002E-2</v>
      </c>
    </row>
    <row r="110" spans="1:5" ht="12.75" customHeight="1">
      <c r="C110" s="69" t="s">
        <v>22</v>
      </c>
      <c r="D110" s="60">
        <f>'AUS1 Sum'!B44</f>
        <v>282234421</v>
      </c>
      <c r="E110" s="680">
        <f t="shared" si="2"/>
        <v>0.109</v>
      </c>
    </row>
    <row r="111" spans="1:5" ht="12.75" customHeight="1">
      <c r="C111" s="64" t="s">
        <v>29</v>
      </c>
      <c r="D111" s="60">
        <f>'AUS1 Sum'!B45</f>
        <v>85209491</v>
      </c>
      <c r="E111" s="680">
        <f t="shared" si="2"/>
        <v>3.3000000000000002E-2</v>
      </c>
    </row>
    <row r="112" spans="1:5" ht="12.75" customHeight="1">
      <c r="C112" s="64" t="s">
        <v>53</v>
      </c>
      <c r="D112" s="60">
        <f>'AUS1 Sum'!B46</f>
        <v>1729858</v>
      </c>
      <c r="E112" s="680">
        <f t="shared" si="2"/>
        <v>1E-3</v>
      </c>
    </row>
    <row r="113" spans="3:5" ht="12.75" customHeight="1">
      <c r="C113" s="57"/>
      <c r="D113" s="57"/>
    </row>
    <row r="114" spans="3:5" ht="12.75" customHeight="1">
      <c r="C114" s="70" t="s">
        <v>69</v>
      </c>
      <c r="D114" s="62">
        <f>SUM(D102:D113)</f>
        <v>2595142223</v>
      </c>
      <c r="E114" s="681">
        <f>SUM(E102:E113)</f>
        <v>1</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86" t="str">
        <f>C114&amp;" "&amp;TEXT(D114,"$#,###")</f>
        <v>Total Operating Uses $2,595,142,223</v>
      </c>
    </row>
    <row r="137" spans="1:1" ht="12.75" customHeight="1">
      <c r="A137" s="1686"/>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1D00-000000000000}"/>
  </hyperlinks>
  <printOptions horizontalCentered="1"/>
  <pageMargins left="0.5" right="0.5" top="0.25" bottom="0.25" header="0.25" footer="0.25"/>
  <pageSetup scale="41" orientation="portrait" r:id="rId1"/>
  <headerFooter alignWithMargins="0"/>
  <rowBreaks count="1" manualBreakCount="1">
    <brk id="118" max="16383" man="1"/>
  </rowBreaks>
  <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ransitionEvaluation="1" transitionEntry="1" codeName="Sheet12">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61.7109375" style="75" customWidth="1"/>
    <col min="2" max="2" width="17.85546875" style="75" customWidth="1"/>
    <col min="3" max="3" width="14.7109375" style="2" customWidth="1"/>
    <col min="4" max="4" width="14" style="261" customWidth="1"/>
    <col min="5" max="5" width="14.8554687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'AUS1 Chrts'!A1</f>
        <v>The University of Texas at Austin - Academic &amp; Health (A+H)</v>
      </c>
      <c r="B1" s="74"/>
      <c r="C1" s="1"/>
      <c r="D1" s="1704" t="s">
        <v>1200</v>
      </c>
      <c r="E1" s="1705"/>
      <c r="F1" s="1757" t="s">
        <v>1196</v>
      </c>
      <c r="G1" s="1706"/>
      <c r="H1" s="1706"/>
      <c r="I1" s="1706"/>
      <c r="J1" s="1707" t="s">
        <v>1197</v>
      </c>
      <c r="K1" s="1695"/>
      <c r="L1" s="1695"/>
      <c r="M1" s="1695"/>
      <c r="N1" s="1695"/>
      <c r="O1" s="1696"/>
    </row>
    <row r="2" spans="1:15">
      <c r="A2" s="78" t="s">
        <v>2132</v>
      </c>
      <c r="B2" s="74"/>
      <c r="C2" s="1"/>
      <c r="D2" s="37"/>
      <c r="E2" s="37"/>
      <c r="F2" s="37"/>
      <c r="J2" s="37"/>
      <c r="K2" s="37"/>
      <c r="L2" s="37"/>
      <c r="M2" s="37"/>
    </row>
    <row r="3" spans="1:15" ht="15.75">
      <c r="A3" s="76" t="str">
        <f>'Smmy Chrts'!$A$2</f>
        <v>For the Year Ended August 31, 2021</v>
      </c>
      <c r="B3" s="74"/>
      <c r="C3" s="1"/>
    </row>
    <row r="4" spans="1:15" ht="13.5" customHeight="1">
      <c r="A4" s="76" t="str">
        <f>'Smmy Chrts'!$A$3</f>
        <v>Source: FY 2021 Annual Financial Report</v>
      </c>
      <c r="B4" s="77"/>
      <c r="C4" s="4"/>
      <c r="D4" s="1711" t="s">
        <v>1142</v>
      </c>
      <c r="E4" s="1711" t="s">
        <v>1143</v>
      </c>
      <c r="F4" s="266"/>
    </row>
    <row r="5" spans="1:15" ht="18">
      <c r="A5" s="39" t="str">
        <f>'Smmy Chrts'!$C$35</f>
        <v>Summary Worksheet FY 2021</v>
      </c>
      <c r="B5" s="40" t="s">
        <v>86</v>
      </c>
      <c r="C5" s="40" t="s">
        <v>129</v>
      </c>
      <c r="D5" s="1712"/>
      <c r="E5" s="1712"/>
      <c r="F5" s="266"/>
      <c r="G5" s="799" t="s">
        <v>1198</v>
      </c>
      <c r="I5" s="822" t="s">
        <v>2157</v>
      </c>
      <c r="J5" s="792" t="s">
        <v>1144</v>
      </c>
    </row>
    <row r="6" spans="1:15" ht="13.5" customHeight="1">
      <c r="A6" s="78" t="s">
        <v>266</v>
      </c>
      <c r="B6" s="41"/>
      <c r="C6" s="42">
        <f>VLOOKUP($A$1,FTSELU,12,FALSE)</f>
        <v>47534.87</v>
      </c>
      <c r="J6" s="712"/>
    </row>
    <row r="7" spans="1:15" ht="15" customHeight="1">
      <c r="I7" s="824" t="s">
        <v>1162</v>
      </c>
      <c r="J7" s="827"/>
    </row>
    <row r="8" spans="1:15">
      <c r="A8" s="81" t="s">
        <v>71</v>
      </c>
      <c r="B8" s="81"/>
      <c r="C8" s="24"/>
      <c r="I8" s="896">
        <f>VLOOKUP(A1,FTSELU,14,FALSE)</f>
        <v>5350.62</v>
      </c>
      <c r="J8" s="712"/>
    </row>
    <row r="9" spans="1:15" ht="12.75" customHeight="1" thickBot="1">
      <c r="A9" s="78" t="s">
        <v>0</v>
      </c>
      <c r="B9" s="82"/>
      <c r="C9" s="7"/>
      <c r="J9" s="712"/>
    </row>
    <row r="10" spans="1:15" ht="12.75" customHeight="1" thickTop="1">
      <c r="A10" s="75" t="s">
        <v>1</v>
      </c>
      <c r="B10" s="83">
        <f>'AUS1 FGD'!M10</f>
        <v>327739839</v>
      </c>
      <c r="C10" s="83">
        <f>ROUND(B10/$C$6,0)</f>
        <v>6895</v>
      </c>
      <c r="D10" s="512">
        <f>'AUS1 FGD'!F10</f>
        <v>0</v>
      </c>
      <c r="E10" s="512"/>
      <c r="F10" s="84">
        <f>B10-(SUM(D10:E10))</f>
        <v>327739839</v>
      </c>
      <c r="G10" s="1143" t="s">
        <v>1</v>
      </c>
      <c r="H10" s="1144"/>
      <c r="I10" s="825" t="s">
        <v>1161</v>
      </c>
      <c r="J10" s="713">
        <f>ROUND(F10/$C$6,0)</f>
        <v>6895</v>
      </c>
    </row>
    <row r="11" spans="1:15" ht="12.75" customHeight="1" thickBot="1">
      <c r="A11" s="75" t="s">
        <v>2</v>
      </c>
      <c r="B11" s="86">
        <f>'AUS1 FGD'!M11</f>
        <v>59642797</v>
      </c>
      <c r="C11" s="87">
        <f t="shared" ref="C11:C14" si="0">ROUND(B11/$C$6,0)</f>
        <v>1255</v>
      </c>
      <c r="D11" s="86">
        <f>'AUS1 FGD'!F11</f>
        <v>0</v>
      </c>
      <c r="E11" s="74"/>
      <c r="F11" s="606">
        <f t="shared" ref="F11:F14" si="1">B11-(SUM(D11:E11))</f>
        <v>59642797</v>
      </c>
      <c r="G11" s="1148">
        <f>SUM(F10:F11)</f>
        <v>387382636</v>
      </c>
      <c r="H11" s="715"/>
      <c r="I11" s="1373">
        <f>ROUND($G$11/$C$6,0)</f>
        <v>8149</v>
      </c>
      <c r="J11" s="716">
        <f t="shared" ref="J11:J14" si="2">ROUND(F11/$C$6,0)</f>
        <v>1255</v>
      </c>
    </row>
    <row r="12" spans="1:15" ht="12.75" hidden="1" customHeight="1" thickTop="1" thickBot="1">
      <c r="A12" s="75" t="s">
        <v>1410</v>
      </c>
      <c r="B12" s="86"/>
      <c r="C12" s="87"/>
      <c r="D12" s="86"/>
      <c r="E12" s="74"/>
      <c r="F12" s="607"/>
      <c r="J12" s="716"/>
      <c r="O12" s="608"/>
    </row>
    <row r="13" spans="1:15" ht="12.75" customHeight="1" thickTop="1">
      <c r="A13" s="75" t="s">
        <v>1368</v>
      </c>
      <c r="B13" s="86">
        <f>'AUS1 FGD'!M13</f>
        <v>0</v>
      </c>
      <c r="C13" s="87">
        <f t="shared" si="0"/>
        <v>0</v>
      </c>
      <c r="D13" s="86">
        <f>'AUS1 FGD'!F13</f>
        <v>0</v>
      </c>
      <c r="E13" s="74"/>
      <c r="F13" s="893">
        <f t="shared" si="1"/>
        <v>0</v>
      </c>
      <c r="G13" s="883" t="s">
        <v>81</v>
      </c>
      <c r="H13" s="894"/>
      <c r="I13" s="826" t="s">
        <v>1163</v>
      </c>
      <c r="J13" s="716">
        <f t="shared" si="2"/>
        <v>0</v>
      </c>
    </row>
    <row r="14" spans="1:15" ht="12.75" customHeight="1" thickBot="1">
      <c r="A14" s="75" t="s">
        <v>49</v>
      </c>
      <c r="B14" s="86">
        <f>'AUS1 FGD'!M14</f>
        <v>392376810</v>
      </c>
      <c r="C14" s="87">
        <f t="shared" si="0"/>
        <v>8255</v>
      </c>
      <c r="D14" s="86">
        <f>'AUS1 FGD'!F14</f>
        <v>0</v>
      </c>
      <c r="E14" s="74"/>
      <c r="F14" s="607">
        <f t="shared" si="1"/>
        <v>392376810</v>
      </c>
      <c r="G14" s="800">
        <f>SUM(F13:F14)</f>
        <v>392376810</v>
      </c>
      <c r="H14" s="895"/>
      <c r="I14" s="1374">
        <f>ROUND($G$11/$I$8,0)</f>
        <v>72400</v>
      </c>
      <c r="J14" s="828">
        <f t="shared" si="2"/>
        <v>8255</v>
      </c>
    </row>
    <row r="15" spans="1:15" ht="12.75" customHeight="1" thickTop="1">
      <c r="A15" s="88" t="s">
        <v>3</v>
      </c>
      <c r="B15" s="89">
        <f>SUM(B10:B14)</f>
        <v>779759446</v>
      </c>
      <c r="C15" s="89">
        <f>SUM(C10:C14)</f>
        <v>16405</v>
      </c>
      <c r="D15" s="89">
        <f>SUM(D10:D14)</f>
        <v>0</v>
      </c>
      <c r="E15" s="89">
        <f>SUM(E10:E14)</f>
        <v>0</v>
      </c>
      <c r="F15" s="216">
        <f>SUM(F10:F14)</f>
        <v>779759446</v>
      </c>
      <c r="I15" s="1372"/>
      <c r="J15" s="757">
        <f>SUM(J10:J14)</f>
        <v>16405</v>
      </c>
    </row>
    <row r="16" spans="1:15">
      <c r="B16" s="48"/>
      <c r="C16" s="75"/>
      <c r="J16" s="712"/>
    </row>
    <row r="17" spans="1:31" ht="12.75" customHeight="1">
      <c r="A17" s="78" t="s">
        <v>4</v>
      </c>
      <c r="B17" s="86"/>
      <c r="C17" s="75"/>
      <c r="J17" s="712"/>
    </row>
    <row r="18" spans="1:31">
      <c r="A18" s="75" t="s">
        <v>39</v>
      </c>
      <c r="B18" s="83">
        <f>'AUS1 FGD'!M29</f>
        <v>451713988</v>
      </c>
      <c r="C18" s="83">
        <f t="shared" ref="C18:C19" si="3">ROUND(B18/$C$6,0)</f>
        <v>9503</v>
      </c>
      <c r="D18" s="512">
        <f>'AUS1 FGD'!$F$29</f>
        <v>0</v>
      </c>
      <c r="E18" s="512"/>
      <c r="F18" s="512">
        <f t="shared" ref="F18:F19" si="4">B18-(SUM(D18:E18))</f>
        <v>451713988</v>
      </c>
      <c r="G18" s="337"/>
      <c r="H18" s="337"/>
      <c r="I18" s="337"/>
      <c r="J18" s="713">
        <f>ROUND(F18/$C$6,0)</f>
        <v>9503</v>
      </c>
    </row>
    <row r="19" spans="1:31" ht="13.5" thickBot="1">
      <c r="A19" s="75" t="s">
        <v>40</v>
      </c>
      <c r="B19" s="86">
        <f>'AUS1 FGD'!M42</f>
        <v>69650748</v>
      </c>
      <c r="C19" s="87">
        <f t="shared" si="3"/>
        <v>1465</v>
      </c>
      <c r="D19" s="74">
        <f>'AUS1 FGD'!$F$42</f>
        <v>34360358</v>
      </c>
      <c r="E19" s="74"/>
      <c r="F19" s="74">
        <f t="shared" si="4"/>
        <v>35290390</v>
      </c>
      <c r="G19" s="337"/>
      <c r="H19" s="337"/>
      <c r="I19" s="337"/>
      <c r="J19" s="716">
        <f>ROUND(F19/$C$6,0)</f>
        <v>742</v>
      </c>
    </row>
    <row r="20" spans="1:31" ht="14.25" thickTop="1" thickBot="1">
      <c r="A20" s="88" t="s">
        <v>5</v>
      </c>
      <c r="B20" s="89">
        <f>SUM(B18:B19)</f>
        <v>521364736</v>
      </c>
      <c r="C20" s="89">
        <f>SUM(C18:C19)</f>
        <v>10968</v>
      </c>
      <c r="D20" s="717">
        <f>SUM(D18:D19)</f>
        <v>34360358</v>
      </c>
      <c r="E20" s="718">
        <f>SUM(E18:E19)</f>
        <v>0</v>
      </c>
      <c r="F20" s="801">
        <f>SUM(F18:F19)</f>
        <v>487004378</v>
      </c>
      <c r="G20" s="720" t="s">
        <v>26</v>
      </c>
      <c r="H20" s="366"/>
      <c r="I20" s="367"/>
      <c r="J20" s="721">
        <f>SUM(J18:J19)</f>
        <v>10245</v>
      </c>
    </row>
    <row r="21" spans="1:31" ht="12.75" customHeight="1" thickTop="1">
      <c r="B21" s="91"/>
      <c r="C21" s="75"/>
      <c r="F21" s="804"/>
      <c r="J21" s="712"/>
    </row>
    <row r="22" spans="1:31" ht="14.25" customHeight="1" thickBot="1">
      <c r="A22" s="78" t="s">
        <v>6</v>
      </c>
      <c r="B22" s="91"/>
      <c r="C22" s="75"/>
      <c r="J22" s="712"/>
    </row>
    <row r="23" spans="1:31" ht="14.25" thickTop="1" thickBot="1">
      <c r="A23" s="88" t="s">
        <v>7</v>
      </c>
      <c r="B23" s="92">
        <f>'AUS1 FGD'!M47</f>
        <v>599352881</v>
      </c>
      <c r="C23" s="89">
        <f t="shared" ref="C23" si="5">ROUND(B23/$C$6,0)</f>
        <v>12609</v>
      </c>
      <c r="D23" s="717">
        <f>'AUS1 FGD'!F47</f>
        <v>0</v>
      </c>
      <c r="E23" s="718"/>
      <c r="F23" s="801">
        <f>B23-(SUM(D23:E23))</f>
        <v>599352881</v>
      </c>
      <c r="G23" s="722" t="s">
        <v>74</v>
      </c>
      <c r="H23" s="366"/>
      <c r="I23" s="367"/>
      <c r="J23" s="756">
        <f>ROUND(F23/$C$6,0)</f>
        <v>12609</v>
      </c>
    </row>
    <row r="24" spans="1:31" ht="13.5" thickTop="1">
      <c r="B24" s="91"/>
      <c r="C24" s="75"/>
      <c r="J24" s="712"/>
    </row>
    <row r="25" spans="1:31">
      <c r="A25" s="78" t="s">
        <v>8</v>
      </c>
      <c r="B25" s="91"/>
      <c r="C25" s="75"/>
      <c r="J25" s="712"/>
    </row>
    <row r="26" spans="1:31">
      <c r="A26" s="75" t="s">
        <v>42</v>
      </c>
      <c r="B26" s="83">
        <f>'AUS1 FGD'!M50</f>
        <v>554260906</v>
      </c>
      <c r="C26" s="83">
        <f t="shared" ref="C26:C31" si="6">ROUND(B26/$C$6,0)</f>
        <v>11660</v>
      </c>
      <c r="D26" s="512">
        <f>'AUS1 FGD'!F50</f>
        <v>29517692</v>
      </c>
      <c r="E26" s="512"/>
      <c r="F26" s="512">
        <f t="shared" ref="F26:F31" si="7">B26-(SUM(D26:E26))</f>
        <v>524743214</v>
      </c>
      <c r="G26" s="337"/>
      <c r="H26" s="337"/>
      <c r="I26" s="337"/>
      <c r="J26" s="713">
        <f>ROUND(F26/$C$6,0)</f>
        <v>11039</v>
      </c>
    </row>
    <row r="27" spans="1:31">
      <c r="A27" s="75" t="s">
        <v>9</v>
      </c>
      <c r="B27" s="86">
        <f>'AUS1 FGD'!M51</f>
        <v>3356329</v>
      </c>
      <c r="C27" s="87">
        <f t="shared" si="6"/>
        <v>71</v>
      </c>
      <c r="D27" s="86">
        <f>'AUS1 FGD'!F51</f>
        <v>0</v>
      </c>
      <c r="E27" s="74"/>
      <c r="F27" s="74">
        <f t="shared" si="7"/>
        <v>3356329</v>
      </c>
      <c r="G27" s="337"/>
      <c r="H27" s="337"/>
      <c r="I27" s="337"/>
      <c r="J27" s="716">
        <f t="shared" ref="J27:J31" si="8">ROUND(F27/$C$6,0)</f>
        <v>71</v>
      </c>
    </row>
    <row r="28" spans="1:31" ht="13.5" thickBot="1">
      <c r="A28" s="75" t="s">
        <v>10</v>
      </c>
      <c r="B28" s="86">
        <f>'AUS1 FGD'!M52</f>
        <v>331777246</v>
      </c>
      <c r="C28" s="87">
        <f t="shared" si="6"/>
        <v>6980</v>
      </c>
      <c r="D28" s="86">
        <f>'AUS1 FGD'!F52</f>
        <v>0</v>
      </c>
      <c r="E28" s="74"/>
      <c r="F28" s="74">
        <f t="shared" si="7"/>
        <v>331777246</v>
      </c>
      <c r="G28" s="337"/>
      <c r="H28" s="337"/>
      <c r="I28" s="337"/>
      <c r="J28" s="716">
        <f t="shared" si="8"/>
        <v>6980</v>
      </c>
    </row>
    <row r="29" spans="1:31" ht="13.5" thickBot="1">
      <c r="A29" s="75" t="s">
        <v>11</v>
      </c>
      <c r="B29" s="86">
        <f>'AUS1 FGD'!M53</f>
        <v>270574450</v>
      </c>
      <c r="C29" s="87">
        <f t="shared" si="6"/>
        <v>5692</v>
      </c>
      <c r="D29" s="86">
        <f>'AUS1 FGD'!F53</f>
        <v>0</v>
      </c>
      <c r="E29" s="74"/>
      <c r="F29" s="74">
        <f t="shared" si="7"/>
        <v>270574450</v>
      </c>
      <c r="G29" s="337"/>
      <c r="H29" s="337"/>
      <c r="I29" s="337"/>
      <c r="J29" s="716">
        <f t="shared" si="8"/>
        <v>5692</v>
      </c>
      <c r="K29" s="1694" t="s">
        <v>1065</v>
      </c>
      <c r="L29" s="1695"/>
      <c r="M29" s="1695"/>
      <c r="N29" s="1695"/>
      <c r="O29" s="1696"/>
    </row>
    <row r="30" spans="1:31" ht="13.5" thickBot="1">
      <c r="A30" s="93" t="s">
        <v>2134</v>
      </c>
      <c r="B30" s="94">
        <f>'AUS1 FGD'!M54</f>
        <v>164236378</v>
      </c>
      <c r="C30" s="87">
        <f t="shared" si="6"/>
        <v>3455</v>
      </c>
      <c r="D30" s="729">
        <f>B30</f>
        <v>164236378</v>
      </c>
      <c r="E30" s="74"/>
      <c r="F30" s="74">
        <f t="shared" si="7"/>
        <v>0</v>
      </c>
      <c r="G30" s="337"/>
      <c r="H30" s="337"/>
      <c r="I30" s="337"/>
      <c r="J30" s="716">
        <f t="shared" si="8"/>
        <v>0</v>
      </c>
      <c r="K30" s="1694" t="s">
        <v>1070</v>
      </c>
      <c r="L30" s="1695"/>
      <c r="M30" s="1695"/>
      <c r="N30" s="1695"/>
      <c r="O30" s="1696"/>
    </row>
    <row r="31" spans="1:31" ht="13.5" customHeight="1" thickBot="1">
      <c r="A31" s="95" t="s">
        <v>43</v>
      </c>
      <c r="B31" s="86">
        <f>'AUS1 FGD'!M55</f>
        <v>11934988</v>
      </c>
      <c r="C31" s="87">
        <f t="shared" si="6"/>
        <v>251</v>
      </c>
      <c r="D31" s="86">
        <f>'AUS1 FGD'!F55</f>
        <v>0</v>
      </c>
      <c r="E31" s="74"/>
      <c r="F31" s="74">
        <f t="shared" si="7"/>
        <v>11934988</v>
      </c>
      <c r="G31" s="35"/>
      <c r="H31" s="35"/>
      <c r="I31" s="38"/>
      <c r="J31" s="716">
        <f t="shared" si="8"/>
        <v>251</v>
      </c>
      <c r="K31" s="1697" t="s">
        <v>1073</v>
      </c>
      <c r="L31" s="1697" t="s">
        <v>1071</v>
      </c>
      <c r="M31" s="1697" t="s">
        <v>1072</v>
      </c>
      <c r="N31" s="1697" t="s">
        <v>1240</v>
      </c>
      <c r="O31" s="1697"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1336140297</v>
      </c>
      <c r="C32" s="89">
        <f>SUM(C26:C31)</f>
        <v>28109</v>
      </c>
      <c r="D32" s="723">
        <f>SUM(D26:D31)</f>
        <v>193754070</v>
      </c>
      <c r="E32" s="723">
        <f>SUM(E26:E31)</f>
        <v>0</v>
      </c>
      <c r="F32" s="802">
        <f>SUM(F26:F31)</f>
        <v>1142386227</v>
      </c>
      <c r="G32" s="1708" t="s">
        <v>8</v>
      </c>
      <c r="H32" s="1709"/>
      <c r="I32" s="783" t="s">
        <v>1166</v>
      </c>
      <c r="J32" s="725">
        <f>SUM(J26:J31)</f>
        <v>24033</v>
      </c>
      <c r="K32" s="1698"/>
      <c r="L32" s="1698"/>
      <c r="M32" s="1698"/>
      <c r="N32" s="1698" t="s">
        <v>1074</v>
      </c>
      <c r="O32" s="1698" t="s">
        <v>1075</v>
      </c>
    </row>
    <row r="33" spans="1:31" ht="14.25" thickTop="1" thickBot="1">
      <c r="A33" s="97" t="s">
        <v>68</v>
      </c>
      <c r="B33" s="52">
        <f>B15+B20+B23+B32</f>
        <v>3236617360</v>
      </c>
      <c r="C33" s="45">
        <f>C15+C20+C23+C32</f>
        <v>68091</v>
      </c>
      <c r="D33" s="52">
        <f>D15+D20+D23+D32</f>
        <v>228114428</v>
      </c>
      <c r="E33" s="52">
        <f>E15+E20+E23+E32</f>
        <v>0</v>
      </c>
      <c r="F33" s="724">
        <f>F15+F20+F23+F32</f>
        <v>3008502932</v>
      </c>
      <c r="G33" s="1758" t="s">
        <v>84</v>
      </c>
      <c r="H33" s="1759"/>
      <c r="I33" s="1375">
        <f>ROUND($G$35/$C$6,0)</f>
        <v>55036</v>
      </c>
      <c r="J33" s="726">
        <f>J15+J20+J23+J32</f>
        <v>63292</v>
      </c>
      <c r="K33" s="1698"/>
      <c r="L33" s="1698"/>
      <c r="M33" s="1698"/>
      <c r="N33" s="1698"/>
      <c r="O33" s="1698"/>
    </row>
    <row r="34" spans="1:31" ht="14.25" thickTop="1" thickBot="1">
      <c r="B34" s="98"/>
      <c r="C34" s="75"/>
      <c r="D34" s="337"/>
      <c r="E34" s="337"/>
      <c r="F34" s="337" t="s">
        <v>1199</v>
      </c>
      <c r="G34" s="787">
        <f>G14*-1</f>
        <v>-392376810</v>
      </c>
      <c r="H34" s="337"/>
      <c r="I34" s="783" t="s">
        <v>1167</v>
      </c>
      <c r="J34" s="789"/>
      <c r="K34" s="1699"/>
      <c r="L34" s="1699"/>
      <c r="M34" s="1699"/>
      <c r="N34" s="1699"/>
      <c r="O34" s="1699"/>
    </row>
    <row r="35" spans="1:31" ht="14.25" thickTop="1" thickBot="1">
      <c r="A35" s="81" t="s">
        <v>72</v>
      </c>
      <c r="B35" s="81"/>
      <c r="C35" s="81"/>
      <c r="D35" s="728"/>
      <c r="E35" s="728"/>
      <c r="F35" s="788" t="s">
        <v>1165</v>
      </c>
      <c r="G35" s="803">
        <f>F33+G34</f>
        <v>2616126122</v>
      </c>
      <c r="I35" s="1376">
        <f>ROUND($G$35/$I$8,0)</f>
        <v>488939</v>
      </c>
      <c r="K35" s="609"/>
      <c r="L35" s="609"/>
      <c r="M35" s="609"/>
      <c r="N35" s="609"/>
      <c r="O35" s="609"/>
    </row>
    <row r="36" spans="1:31" ht="13.5" thickTop="1">
      <c r="A36" s="99" t="s">
        <v>14</v>
      </c>
      <c r="B36" s="83">
        <f>'AUS1 FGD'!M60</f>
        <v>676280825</v>
      </c>
      <c r="C36" s="83">
        <f t="shared" ref="C36:C46" si="9">ROUND(B36/$C$6,0)</f>
        <v>14227</v>
      </c>
      <c r="D36" s="512">
        <f>'AUS1 FGD'!F60</f>
        <v>0</v>
      </c>
      <c r="E36" s="512"/>
      <c r="F36" s="512">
        <f t="shared" ref="F36:F46" si="10">B36-(SUM(D36:E36))</f>
        <v>676280825</v>
      </c>
      <c r="G36" s="337"/>
      <c r="H36" s="1378" t="s">
        <v>2158</v>
      </c>
      <c r="I36" s="1379">
        <f>ROUND(F36/$C$6,0)</f>
        <v>14227</v>
      </c>
      <c r="J36" s="337" t="s">
        <v>752</v>
      </c>
      <c r="K36" s="512">
        <f>F36</f>
        <v>676280825</v>
      </c>
      <c r="L36" s="512">
        <f>K36</f>
        <v>676280825</v>
      </c>
      <c r="M36" s="512"/>
      <c r="N36" s="512"/>
      <c r="O36" s="512"/>
    </row>
    <row r="37" spans="1:31">
      <c r="A37" s="99" t="s">
        <v>15</v>
      </c>
      <c r="B37" s="86">
        <f>'AUS1 FGD'!M61</f>
        <v>523576229</v>
      </c>
      <c r="C37" s="87">
        <f t="shared" si="9"/>
        <v>11015</v>
      </c>
      <c r="D37" s="86">
        <f>'AUS1 FGD'!F61</f>
        <v>0</v>
      </c>
      <c r="E37" s="74"/>
      <c r="F37" s="74">
        <f t="shared" si="10"/>
        <v>523576229</v>
      </c>
      <c r="G37" s="337"/>
      <c r="H37" s="337"/>
      <c r="J37" s="337" t="s">
        <v>1076</v>
      </c>
      <c r="K37" s="373">
        <f>F37</f>
        <v>523576229</v>
      </c>
      <c r="L37" s="373">
        <f>K37</f>
        <v>523576229</v>
      </c>
      <c r="M37" s="373"/>
      <c r="N37" s="373"/>
      <c r="O37" s="373"/>
    </row>
    <row r="38" spans="1:31">
      <c r="A38" s="99" t="s">
        <v>16</v>
      </c>
      <c r="B38" s="86">
        <f>'AUS1 FGD'!M62</f>
        <v>94066053</v>
      </c>
      <c r="C38" s="87">
        <f t="shared" si="9"/>
        <v>1979</v>
      </c>
      <c r="D38" s="86">
        <f>'AUS1 FGD'!F62</f>
        <v>0</v>
      </c>
      <c r="E38" s="86">
        <f>B38-D38</f>
        <v>94066053</v>
      </c>
      <c r="F38" s="74">
        <f t="shared" si="10"/>
        <v>0</v>
      </c>
      <c r="G38" s="337"/>
      <c r="H38" s="337"/>
      <c r="I38" s="337"/>
      <c r="J38" s="337" t="s">
        <v>1077</v>
      </c>
      <c r="K38" s="736"/>
      <c r="L38" s="737"/>
      <c r="M38" s="737" t="s">
        <v>1152</v>
      </c>
      <c r="N38" s="737"/>
      <c r="O38" s="738"/>
    </row>
    <row r="39" spans="1:31">
      <c r="A39" s="99" t="s">
        <v>17</v>
      </c>
      <c r="B39" s="86">
        <f>'AUS1 FGD'!M63</f>
        <v>309781831</v>
      </c>
      <c r="C39" s="87">
        <f t="shared" si="9"/>
        <v>6517</v>
      </c>
      <c r="D39" s="86">
        <f>'AUS1 FGD'!F63</f>
        <v>0</v>
      </c>
      <c r="E39" s="74"/>
      <c r="F39" s="74">
        <f t="shared" si="10"/>
        <v>309781831</v>
      </c>
      <c r="G39" s="337"/>
      <c r="H39" s="1378" t="s">
        <v>2159</v>
      </c>
      <c r="I39" s="1379">
        <f>ROUND(F39/$C$6,0)</f>
        <v>6517</v>
      </c>
      <c r="J39" s="337" t="s">
        <v>1078</v>
      </c>
      <c r="K39" s="373">
        <f t="shared" ref="K39:K43" si="11">F39</f>
        <v>309781831</v>
      </c>
      <c r="L39" s="373">
        <f>K39</f>
        <v>309781831</v>
      </c>
      <c r="M39" s="373"/>
      <c r="N39" s="373"/>
      <c r="O39" s="373"/>
    </row>
    <row r="40" spans="1:31">
      <c r="A40" s="99" t="s">
        <v>18</v>
      </c>
      <c r="B40" s="86">
        <f>'AUS1 FGD'!M64</f>
        <v>41791895</v>
      </c>
      <c r="C40" s="87">
        <f t="shared" si="9"/>
        <v>879</v>
      </c>
      <c r="D40" s="86">
        <f>'AUS1 FGD'!F64</f>
        <v>0</v>
      </c>
      <c r="E40" s="74"/>
      <c r="F40" s="74">
        <f t="shared" si="10"/>
        <v>41791895</v>
      </c>
      <c r="G40" s="337"/>
      <c r="J40" s="337" t="s">
        <v>1079</v>
      </c>
      <c r="K40" s="373">
        <f t="shared" si="11"/>
        <v>41791895</v>
      </c>
      <c r="L40" s="373"/>
      <c r="M40" s="373">
        <f>K40</f>
        <v>41791895</v>
      </c>
      <c r="N40" s="373"/>
      <c r="O40" s="373"/>
    </row>
    <row r="41" spans="1:31">
      <c r="A41" s="99" t="s">
        <v>19</v>
      </c>
      <c r="B41" s="86">
        <f>'AUS1 FGD'!M65</f>
        <v>212882791</v>
      </c>
      <c r="C41" s="87">
        <f t="shared" si="9"/>
        <v>4478</v>
      </c>
      <c r="D41" s="86">
        <f>'AUS1 FGD'!F65</f>
        <v>0</v>
      </c>
      <c r="E41" s="74"/>
      <c r="F41" s="74">
        <f t="shared" si="10"/>
        <v>212882791</v>
      </c>
      <c r="G41" s="337"/>
      <c r="H41" s="1378" t="s">
        <v>2160</v>
      </c>
      <c r="I41" s="1379">
        <f>ROUND(F41/$C$6,0)</f>
        <v>4478</v>
      </c>
      <c r="J41" s="337" t="s">
        <v>757</v>
      </c>
      <c r="K41" s="373">
        <f t="shared" si="11"/>
        <v>212882791</v>
      </c>
      <c r="L41" s="373"/>
      <c r="M41" s="373"/>
      <c r="N41" s="373">
        <f>K41</f>
        <v>212882791</v>
      </c>
      <c r="O41" s="373"/>
    </row>
    <row r="42" spans="1:31">
      <c r="A42" s="99" t="s">
        <v>20</v>
      </c>
      <c r="B42" s="86">
        <f>'AUS1 FGD'!M66</f>
        <v>198273240</v>
      </c>
      <c r="C42" s="87">
        <f t="shared" si="9"/>
        <v>4171</v>
      </c>
      <c r="D42" s="86">
        <f>'AUS1 FGD'!F66</f>
        <v>0</v>
      </c>
      <c r="E42" s="74"/>
      <c r="F42" s="74">
        <f t="shared" si="10"/>
        <v>198273240</v>
      </c>
      <c r="G42" s="337"/>
      <c r="J42" s="337" t="s">
        <v>758</v>
      </c>
      <c r="K42" s="373">
        <f t="shared" si="11"/>
        <v>198273240</v>
      </c>
      <c r="L42" s="373"/>
      <c r="M42" s="373"/>
      <c r="N42" s="373">
        <f>K42</f>
        <v>198273240</v>
      </c>
      <c r="O42" s="373"/>
    </row>
    <row r="43" spans="1:31">
      <c r="A43" s="99" t="s">
        <v>21</v>
      </c>
      <c r="B43" s="86">
        <f>'AUS1 FGD'!M67</f>
        <v>169315589</v>
      </c>
      <c r="C43" s="87">
        <f t="shared" si="9"/>
        <v>3562</v>
      </c>
      <c r="D43" s="86">
        <f>'AUS1 FGD'!F67</f>
        <v>0</v>
      </c>
      <c r="E43" s="74"/>
      <c r="F43" s="74">
        <f t="shared" si="10"/>
        <v>169315589</v>
      </c>
      <c r="G43" s="337"/>
      <c r="H43" s="337"/>
      <c r="I43" s="337"/>
      <c r="J43" s="337" t="s">
        <v>1145</v>
      </c>
      <c r="K43" s="373">
        <f t="shared" si="11"/>
        <v>169315589</v>
      </c>
      <c r="L43" s="373"/>
      <c r="M43" s="373">
        <f>K43</f>
        <v>169315589</v>
      </c>
      <c r="N43" s="373"/>
      <c r="O43" s="373"/>
    </row>
    <row r="44" spans="1:31">
      <c r="A44" s="99" t="s">
        <v>2135</v>
      </c>
      <c r="B44" s="86">
        <f>'AUS1 FGD'!M68</f>
        <v>282234421</v>
      </c>
      <c r="C44" s="87">
        <f t="shared" si="9"/>
        <v>5937</v>
      </c>
      <c r="D44" s="729">
        <f>B44</f>
        <v>282234421</v>
      </c>
      <c r="E44" s="74"/>
      <c r="F44" s="74">
        <f t="shared" si="10"/>
        <v>0</v>
      </c>
      <c r="G44" s="337"/>
      <c r="H44" s="337"/>
      <c r="I44" s="337"/>
      <c r="J44" s="337" t="s">
        <v>743</v>
      </c>
      <c r="K44" s="736"/>
      <c r="L44" s="737"/>
      <c r="M44" s="737" t="s">
        <v>1152</v>
      </c>
      <c r="N44" s="737"/>
      <c r="O44" s="738"/>
    </row>
    <row r="45" spans="1:31">
      <c r="A45" s="99" t="s">
        <v>61</v>
      </c>
      <c r="B45" s="86">
        <f>'AUS1 FGD'!M69</f>
        <v>85209491</v>
      </c>
      <c r="C45" s="87">
        <f t="shared" si="9"/>
        <v>1793</v>
      </c>
      <c r="D45" s="86">
        <f>'AUS1 FGD'!F69</f>
        <v>758669</v>
      </c>
      <c r="E45" s="74"/>
      <c r="F45" s="74">
        <f t="shared" si="10"/>
        <v>84450822</v>
      </c>
      <c r="G45" s="337"/>
      <c r="H45" s="337"/>
      <c r="I45" s="337"/>
      <c r="J45" s="337" t="s">
        <v>1080</v>
      </c>
      <c r="K45" s="373">
        <f t="shared" ref="K45:K46" si="12">F45</f>
        <v>84450822</v>
      </c>
      <c r="L45" s="373"/>
      <c r="M45" s="373"/>
      <c r="N45" s="373"/>
      <c r="O45" s="373">
        <f>K45</f>
        <v>84450822</v>
      </c>
    </row>
    <row r="46" spans="1:31" ht="13.5" thickBot="1">
      <c r="A46" s="75" t="s">
        <v>50</v>
      </c>
      <c r="B46" s="86">
        <f>'AUS1 FGD'!M70</f>
        <v>1729858</v>
      </c>
      <c r="C46" s="87">
        <f t="shared" si="9"/>
        <v>36</v>
      </c>
      <c r="D46" s="86">
        <f>'AUS1 FGD'!F70</f>
        <v>165</v>
      </c>
      <c r="E46" s="74"/>
      <c r="F46" s="74">
        <f t="shared" si="10"/>
        <v>1729693</v>
      </c>
      <c r="G46" s="35"/>
      <c r="H46" s="1378" t="s">
        <v>2161</v>
      </c>
      <c r="I46" s="1379">
        <f>ROUND(SUM(F37+F40+F42+F43+F45+F46)/$C$6,0)</f>
        <v>21440</v>
      </c>
      <c r="J46" s="610" t="s">
        <v>1075</v>
      </c>
      <c r="K46" s="373">
        <f t="shared" si="12"/>
        <v>1729693</v>
      </c>
      <c r="L46" s="611"/>
      <c r="M46" s="611"/>
      <c r="N46" s="611"/>
      <c r="O46" s="373">
        <f>K46</f>
        <v>1729693</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2595142223</v>
      </c>
      <c r="C47" s="45">
        <f>SUM(C36:C46)</f>
        <v>54594</v>
      </c>
      <c r="D47" s="730">
        <f>SUM(D36:D46)</f>
        <v>282993255</v>
      </c>
      <c r="E47" s="731">
        <f>SUM(E36:E46)</f>
        <v>94066053</v>
      </c>
      <c r="F47" s="719">
        <f>SUM(F36:F46)</f>
        <v>2218082915</v>
      </c>
      <c r="G47" s="1688" t="s">
        <v>1176</v>
      </c>
      <c r="H47" s="1689"/>
      <c r="I47" s="785" t="s">
        <v>1164</v>
      </c>
      <c r="J47" s="610" t="s">
        <v>1081</v>
      </c>
      <c r="K47" s="612">
        <f>SUM(K36:K46)</f>
        <v>2218082915</v>
      </c>
      <c r="L47" s="612">
        <f>SUM(L36:L46)</f>
        <v>1509638885</v>
      </c>
      <c r="M47" s="612">
        <f>SUM(M36:M46)</f>
        <v>211107484</v>
      </c>
      <c r="N47" s="612">
        <f>SUM(N36:N46)</f>
        <v>411156031</v>
      </c>
      <c r="O47" s="612">
        <f>SUM(O36:O46)</f>
        <v>86180515</v>
      </c>
    </row>
    <row r="48" spans="1:31" ht="14.25" thickTop="1" thickBot="1">
      <c r="A48" s="93"/>
      <c r="B48" s="98"/>
      <c r="C48" s="75"/>
      <c r="F48" s="613"/>
      <c r="G48" s="1690"/>
      <c r="H48" s="1691"/>
      <c r="I48" s="823">
        <f>ROUND(F47/C6,0)</f>
        <v>46662</v>
      </c>
      <c r="J48" s="1700" t="s">
        <v>1082</v>
      </c>
      <c r="K48" s="611"/>
      <c r="L48" s="611"/>
      <c r="M48" s="611"/>
      <c r="N48" s="611"/>
      <c r="O48" s="611"/>
    </row>
    <row r="49" spans="1:31" ht="13.5" thickBot="1">
      <c r="A49" s="78" t="s">
        <v>23</v>
      </c>
      <c r="B49" s="82"/>
      <c r="C49" s="75"/>
      <c r="F49" s="614"/>
      <c r="G49" s="1690"/>
      <c r="H49" s="1691"/>
      <c r="I49" s="811"/>
      <c r="J49" s="1700"/>
      <c r="K49" s="615">
        <f>ROUND(K47/$C$6,2)</f>
        <v>46662.23</v>
      </c>
      <c r="L49" s="615">
        <f t="shared" ref="L49:O49" si="13">ROUND(L47/$C$6,2)</f>
        <v>31758.560000000001</v>
      </c>
      <c r="M49" s="615">
        <f t="shared" si="13"/>
        <v>4441.1099999999997</v>
      </c>
      <c r="N49" s="615">
        <f t="shared" si="13"/>
        <v>8649.57</v>
      </c>
      <c r="O49" s="615">
        <f t="shared" si="13"/>
        <v>1813</v>
      </c>
      <c r="P49" s="35"/>
      <c r="Q49" s="96"/>
      <c r="R49" s="96"/>
      <c r="S49" s="96"/>
      <c r="T49" s="96"/>
      <c r="U49" s="96"/>
      <c r="V49" s="96"/>
      <c r="W49" s="96"/>
      <c r="X49" s="96"/>
      <c r="Y49" s="96"/>
      <c r="Z49" s="96"/>
      <c r="AA49" s="96"/>
      <c r="AB49" s="96"/>
      <c r="AC49" s="96"/>
      <c r="AD49" s="96"/>
      <c r="AE49" s="96"/>
    </row>
    <row r="50" spans="1:31" ht="13.5" thickBot="1">
      <c r="A50" s="75" t="s">
        <v>62</v>
      </c>
      <c r="B50" s="86">
        <f>'AUS1 FGD'!M74</f>
        <v>-360098588</v>
      </c>
      <c r="C50" s="83">
        <f t="shared" ref="C50:C53" si="14">ROUND(B50/$C$6,0)</f>
        <v>-7575</v>
      </c>
      <c r="D50" s="512">
        <f>'AUS1 FGD'!F74</f>
        <v>0</v>
      </c>
      <c r="E50" s="512"/>
      <c r="F50" s="732">
        <f t="shared" ref="F50:F53" si="15">B50-(SUM(D50:E50))</f>
        <v>-360098588</v>
      </c>
      <c r="G50" s="1692"/>
      <c r="H50" s="1693"/>
      <c r="I50" s="778"/>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'AUS1 FGD'!M75</f>
        <v>22706743</v>
      </c>
      <c r="C51" s="87">
        <f t="shared" si="14"/>
        <v>478</v>
      </c>
      <c r="D51" s="91">
        <f>'AUS1 FGD'!F75</f>
        <v>9652482</v>
      </c>
      <c r="E51" s="82"/>
      <c r="F51" s="74">
        <f t="shared" si="15"/>
        <v>13054261</v>
      </c>
      <c r="G51" s="337"/>
      <c r="J51" s="337"/>
      <c r="K51" s="616"/>
      <c r="L51" s="616"/>
      <c r="M51" s="616"/>
      <c r="N51" s="616"/>
      <c r="O51" s="616"/>
    </row>
    <row r="52" spans="1:31">
      <c r="A52" s="75" t="s">
        <v>51</v>
      </c>
      <c r="B52" s="86">
        <f>'AUS1 FGD'!M76</f>
        <v>221797095</v>
      </c>
      <c r="C52" s="87">
        <f t="shared" si="14"/>
        <v>4666</v>
      </c>
      <c r="D52" s="91">
        <f>'AUS1 FGD'!F76</f>
        <v>0</v>
      </c>
      <c r="E52" s="82"/>
      <c r="F52" s="74">
        <f t="shared" si="15"/>
        <v>221797095</v>
      </c>
      <c r="G52" s="337"/>
      <c r="J52" s="733"/>
      <c r="K52" s="733"/>
      <c r="L52" s="733"/>
      <c r="M52" s="733"/>
      <c r="N52" s="733"/>
      <c r="O52" s="733"/>
    </row>
    <row r="53" spans="1:31" ht="12" customHeight="1">
      <c r="A53" s="75" t="s">
        <v>46</v>
      </c>
      <c r="B53" s="86">
        <f>'AUS1 FGD'!M77</f>
        <v>-96420973</v>
      </c>
      <c r="C53" s="87">
        <f t="shared" si="14"/>
        <v>-2028</v>
      </c>
      <c r="D53" s="91">
        <f>'AUS1 FGD'!F77</f>
        <v>-25929154</v>
      </c>
      <c r="E53" s="82"/>
      <c r="F53" s="74">
        <f t="shared" si="15"/>
        <v>-70491819</v>
      </c>
      <c r="G53" s="35"/>
      <c r="J53" s="733"/>
      <c r="K53" s="733"/>
      <c r="L53" s="733"/>
      <c r="M53" s="733"/>
      <c r="N53" s="733"/>
      <c r="O53" s="733"/>
      <c r="P53" s="35"/>
      <c r="Q53" s="96"/>
      <c r="R53" s="96"/>
      <c r="S53" s="96"/>
      <c r="T53" s="96"/>
      <c r="U53" s="96"/>
      <c r="V53" s="96"/>
      <c r="W53" s="96"/>
      <c r="X53" s="96"/>
      <c r="Y53" s="96"/>
      <c r="Z53" s="96"/>
      <c r="AA53" s="96"/>
      <c r="AB53" s="96"/>
      <c r="AC53" s="96"/>
      <c r="AD53" s="96"/>
      <c r="AE53" s="96"/>
    </row>
    <row r="54" spans="1:31">
      <c r="A54" s="88" t="s">
        <v>3</v>
      </c>
      <c r="B54" s="89">
        <f>SUM(B50:B53)</f>
        <v>-212015723</v>
      </c>
      <c r="C54" s="89">
        <f>SUM(C50:C53)</f>
        <v>-4459</v>
      </c>
      <c r="D54" s="89">
        <f>SUM(D50:D53)</f>
        <v>-16276672</v>
      </c>
      <c r="E54" s="89">
        <f>SUM(E50:E53)</f>
        <v>0</v>
      </c>
      <c r="F54" s="102">
        <f>SUM(F50:F53)</f>
        <v>-195739051</v>
      </c>
      <c r="G54" s="337"/>
      <c r="H54" s="337"/>
      <c r="I54" s="337"/>
      <c r="J54" s="733"/>
      <c r="K54" s="733"/>
      <c r="L54" s="733"/>
      <c r="M54" s="733"/>
      <c r="N54" s="733"/>
      <c r="O54" s="733"/>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'AUS1 FGD'!M81</f>
        <v>1275134692</v>
      </c>
      <c r="C57" s="83">
        <f>ROUND(B57/$C$6,0)</f>
        <v>26825</v>
      </c>
      <c r="D57" s="512">
        <f>'AUS1 FGD'!F81</f>
        <v>-5452872</v>
      </c>
      <c r="E57" s="512"/>
      <c r="F57" s="512">
        <f t="shared" ref="F57:F58" si="16">B57-(SUM(D57:E57))</f>
        <v>1280587564</v>
      </c>
      <c r="G57" s="337"/>
      <c r="H57" s="337"/>
      <c r="I57" s="337"/>
      <c r="J57" s="337"/>
    </row>
    <row r="58" spans="1:31">
      <c r="A58" s="75" t="s">
        <v>48</v>
      </c>
      <c r="B58" s="86">
        <f>'AUS1 FGD'!M82</f>
        <v>72883827</v>
      </c>
      <c r="C58" s="87">
        <f>ROUND(B58/$C$6,0)</f>
        <v>1533</v>
      </c>
      <c r="D58" s="91">
        <f>'AUS1 FGD'!F82</f>
        <v>0</v>
      </c>
      <c r="E58" s="82"/>
      <c r="F58" s="74">
        <f t="shared" si="16"/>
        <v>72883827</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1348018519</v>
      </c>
      <c r="C59" s="89">
        <f>SUM(C57:C58)</f>
        <v>28358</v>
      </c>
      <c r="D59" s="89">
        <f>SUM(D57:D58)</f>
        <v>-5452872</v>
      </c>
      <c r="E59" s="89">
        <f>SUM(E57:E58)</f>
        <v>0</v>
      </c>
      <c r="F59" s="89">
        <f>SUM(F57:F58)</f>
        <v>1353471391</v>
      </c>
      <c r="G59" s="367"/>
      <c r="H59" s="367"/>
      <c r="I59" s="367"/>
      <c r="J59" s="367"/>
      <c r="K59" s="266"/>
      <c r="L59" s="266"/>
      <c r="M59" s="266"/>
      <c r="N59" s="266"/>
      <c r="O59" s="266"/>
      <c r="P59" s="266"/>
    </row>
    <row r="60" spans="1:31">
      <c r="B60" s="82"/>
      <c r="C60" s="75"/>
    </row>
    <row r="61" spans="1:31" ht="13.5" thickBot="1">
      <c r="A61" s="103" t="s">
        <v>573</v>
      </c>
      <c r="B61" s="46">
        <f>B33-B47+B54+B59</f>
        <v>1777477933</v>
      </c>
      <c r="C61" s="46">
        <f>C33-C47+C54+C59</f>
        <v>37396</v>
      </c>
      <c r="D61" s="46">
        <f>D33-D47+D54+D59</f>
        <v>-76608371</v>
      </c>
      <c r="E61" s="46">
        <f>E33-E47+E54+E59</f>
        <v>-94066053</v>
      </c>
      <c r="F61" s="46">
        <f>F33-F47+F54+F59</f>
        <v>1948152357</v>
      </c>
    </row>
    <row r="62" spans="1:31" ht="13.5" thickTop="1"/>
    <row r="63" spans="1:31">
      <c r="D63" s="512"/>
    </row>
    <row r="65" spans="2:16">
      <c r="B65" s="734">
        <f>'AUS1 FGD'!$M$85</f>
        <v>1777477933</v>
      </c>
      <c r="C65" s="75"/>
      <c r="D65" s="734">
        <f>'AUS1 FGD'!$F$85</f>
        <v>-9214834</v>
      </c>
      <c r="E65" s="734">
        <f>'AUS1 FGD'!$M$62*-1</f>
        <v>-94066053</v>
      </c>
      <c r="F65" s="75"/>
    </row>
    <row r="66" spans="2:16">
      <c r="B66" s="734"/>
      <c r="C66" s="75"/>
      <c r="D66" s="734">
        <f>'AUS1 FGD'!$F$68</f>
        <v>214840884</v>
      </c>
      <c r="E66" s="734">
        <f>+$D$38</f>
        <v>0</v>
      </c>
      <c r="F66" s="734"/>
    </row>
    <row r="67" spans="2:16">
      <c r="B67" s="759"/>
      <c r="C67" s="75"/>
      <c r="D67" s="759">
        <f>-'AUS1 FGD'!$M$68</f>
        <v>-282234421</v>
      </c>
      <c r="E67" s="759"/>
      <c r="F67" s="734"/>
    </row>
    <row r="68" spans="2:16">
      <c r="B68" s="734">
        <f>SUM(B65:B67)</f>
        <v>1777477933</v>
      </c>
      <c r="C68" s="75"/>
      <c r="D68" s="734">
        <f>SUM(D65:D67)</f>
        <v>-76608371</v>
      </c>
      <c r="E68" s="734">
        <f>SUM(E65:E67)</f>
        <v>-94066053</v>
      </c>
      <c r="F68" s="734">
        <f>B68-D68-E68</f>
        <v>1948152357</v>
      </c>
    </row>
    <row r="69" spans="2:16">
      <c r="B69" s="734"/>
      <c r="C69" s="75"/>
      <c r="D69" s="734">
        <f>'AUS1 FGD'!F54*-1</f>
        <v>-164236378</v>
      </c>
      <c r="E69" s="734"/>
      <c r="F69" s="734"/>
    </row>
    <row r="70" spans="2:16" ht="12.75" customHeight="1">
      <c r="B70" s="759"/>
      <c r="C70" s="95"/>
      <c r="D70" s="759">
        <f>'AUS1 FGD'!M54</f>
        <v>164236378</v>
      </c>
      <c r="E70" s="759"/>
      <c r="F70" s="759">
        <f>-D70-D69</f>
        <v>0</v>
      </c>
    </row>
    <row r="71" spans="2:16" ht="12.75" customHeight="1">
      <c r="B71" s="734">
        <f>SUM(B68:B70)</f>
        <v>1777477933</v>
      </c>
      <c r="C71" s="75"/>
      <c r="D71" s="734">
        <f>SUM(D68:D70)</f>
        <v>-76608371</v>
      </c>
      <c r="E71" s="734">
        <f>SUM(E68:E70)</f>
        <v>-94066053</v>
      </c>
      <c r="F71" s="734">
        <f>SUM(F68:F70)</f>
        <v>1948152357</v>
      </c>
    </row>
    <row r="72" spans="2:16" ht="12.75" customHeight="1">
      <c r="B72" s="734"/>
      <c r="C72" s="75"/>
      <c r="D72" s="734"/>
      <c r="E72" s="734"/>
      <c r="F72" s="734"/>
    </row>
    <row r="73" spans="2:16" ht="12.75" customHeight="1">
      <c r="B73" s="512">
        <f>B61-B71</f>
        <v>0</v>
      </c>
      <c r="C73" s="75"/>
      <c r="D73" s="512">
        <f>D61-D71</f>
        <v>0</v>
      </c>
      <c r="E73" s="512">
        <f>E61-E71</f>
        <v>0</v>
      </c>
      <c r="F73" s="512">
        <f>F61-F71</f>
        <v>0</v>
      </c>
    </row>
    <row r="74" spans="2:16" ht="12.75" customHeight="1">
      <c r="C74" s="75"/>
      <c r="F74" s="617"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B79" s="75"/>
      <c r="C79" s="25"/>
      <c r="D79" s="337"/>
      <c r="E79" s="337"/>
      <c r="F79" s="337"/>
      <c r="G79" s="337"/>
      <c r="H79" s="337"/>
      <c r="I79" s="337"/>
      <c r="J79" s="337"/>
      <c r="K79" s="337"/>
      <c r="L79" s="337"/>
      <c r="M79" s="337"/>
      <c r="N79" s="337"/>
      <c r="O79" s="337"/>
      <c r="P79" s="337"/>
    </row>
  </sheetData>
  <mergeCells count="16">
    <mergeCell ref="G47:H50"/>
    <mergeCell ref="K30:O30"/>
    <mergeCell ref="M31:M34"/>
    <mergeCell ref="G32:H32"/>
    <mergeCell ref="G33:H33"/>
    <mergeCell ref="L31:L34"/>
    <mergeCell ref="K31:K34"/>
    <mergeCell ref="N31:N34"/>
    <mergeCell ref="O31:O34"/>
    <mergeCell ref="J48:J49"/>
    <mergeCell ref="F1:I1"/>
    <mergeCell ref="J1:O1"/>
    <mergeCell ref="D1:E1"/>
    <mergeCell ref="K29:O29"/>
    <mergeCell ref="D4:D5"/>
    <mergeCell ref="E4:E5"/>
  </mergeCells>
  <hyperlinks>
    <hyperlink ref="D1:E1" location="Index!A1" display="Return to Index" xr:uid="{00000000-0004-0000-1E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3">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6.85546875" style="164" customWidth="1"/>
    <col min="13" max="13" width="21.140625" style="164" customWidth="1"/>
    <col min="14" max="14" width="5.42578125" style="259" customWidth="1"/>
    <col min="15" max="15" width="16.85546875" style="261" customWidth="1"/>
    <col min="16" max="16" width="25.7109375" style="264" customWidth="1"/>
    <col min="17" max="17" width="16.42578125" style="264" customWidth="1"/>
    <col min="18" max="18" width="20.140625" style="264" customWidth="1"/>
    <col min="19" max="19" width="1.7109375" style="264" customWidth="1"/>
    <col min="20" max="20" width="17.140625" style="264" customWidth="1"/>
    <col min="21" max="21" width="16.85546875" style="264" customWidth="1"/>
    <col min="22" max="23" width="19.28515625" style="264" customWidth="1"/>
    <col min="24" max="24" width="21.42578125" style="264" customWidth="1"/>
    <col min="25" max="25" width="1.85546875" style="264" customWidth="1"/>
    <col min="26" max="26" width="26.42578125" style="264" customWidth="1"/>
    <col min="27" max="27" width="19.85546875" style="264" customWidth="1"/>
    <col min="28" max="28" width="16.7109375" style="264" customWidth="1"/>
    <col min="29" max="16384" width="9.140625" style="164"/>
  </cols>
  <sheetData>
    <row r="1" spans="1:28" s="184" customFormat="1" ht="13.5" hidden="1" thickBot="1">
      <c r="A1" s="184">
        <v>0</v>
      </c>
      <c r="B1" s="184">
        <v>1</v>
      </c>
      <c r="D1" s="184">
        <v>2</v>
      </c>
      <c r="E1" s="184">
        <v>3</v>
      </c>
      <c r="F1" s="184">
        <v>4</v>
      </c>
      <c r="G1" s="184">
        <v>5</v>
      </c>
      <c r="H1" s="184">
        <v>6</v>
      </c>
      <c r="I1" s="184">
        <v>7</v>
      </c>
      <c r="J1" s="184">
        <v>8</v>
      </c>
      <c r="K1" s="184">
        <v>9</v>
      </c>
      <c r="L1" s="184">
        <v>10</v>
      </c>
      <c r="M1" s="184">
        <v>11</v>
      </c>
      <c r="N1" s="258"/>
      <c r="O1" s="262"/>
      <c r="P1" s="263"/>
      <c r="Q1" s="263"/>
      <c r="R1" s="263"/>
      <c r="S1" s="263"/>
      <c r="T1" s="263"/>
      <c r="U1" s="263"/>
      <c r="V1" s="263"/>
      <c r="W1" s="263"/>
      <c r="X1" s="263"/>
      <c r="Y1" s="263"/>
      <c r="Z1" s="263"/>
      <c r="AA1" s="263"/>
      <c r="AB1" s="263"/>
    </row>
    <row r="2" spans="1:28" ht="21" thickBot="1">
      <c r="A2" s="184">
        <v>1</v>
      </c>
      <c r="B2" s="1713" t="str">
        <f>'AUS1 Chrts'!$A$1</f>
        <v>The University of Texas at Austin - Academic &amp; Health (A+H)</v>
      </c>
      <c r="C2" s="1713"/>
      <c r="D2" s="1713"/>
      <c r="E2" s="1713"/>
      <c r="F2" s="1742"/>
      <c r="H2" s="161"/>
      <c r="I2" s="320" t="str">
        <f>IF($B$2&lt;&gt;Input!$B$7,"Name Mismatch","")</f>
        <v/>
      </c>
      <c r="K2" s="169"/>
      <c r="L2" s="169"/>
      <c r="M2" s="170"/>
      <c r="O2" s="835" t="s">
        <v>1200</v>
      </c>
      <c r="P2" s="36"/>
    </row>
    <row r="3" spans="1:28" ht="18" customHeight="1">
      <c r="A3" s="184">
        <v>2</v>
      </c>
      <c r="B3" s="1345" t="s">
        <v>2132</v>
      </c>
      <c r="C3" s="1347"/>
      <c r="D3" s="1347"/>
      <c r="E3" s="1347"/>
      <c r="F3" s="1347"/>
      <c r="G3" s="161"/>
      <c r="H3" s="161"/>
      <c r="I3" s="169"/>
      <c r="J3" s="168"/>
      <c r="K3" s="169"/>
      <c r="L3" s="169"/>
      <c r="M3" s="170"/>
      <c r="O3" s="74"/>
    </row>
    <row r="4" spans="1:28" ht="20.25">
      <c r="A4" s="184">
        <v>3</v>
      </c>
      <c r="B4" s="1347" t="str">
        <f>'Smmy Chrts'!$A$2</f>
        <v>For the Year Ended August 31, 2021</v>
      </c>
      <c r="C4" s="1347"/>
      <c r="D4" s="1347"/>
      <c r="E4" s="1347"/>
      <c r="F4" s="1347"/>
      <c r="G4" s="161"/>
      <c r="H4" s="161"/>
      <c r="I4" s="169"/>
      <c r="J4" s="168"/>
      <c r="K4" s="169"/>
      <c r="L4" s="169"/>
      <c r="M4" s="170"/>
      <c r="O4" s="74"/>
      <c r="P4" s="1744" t="s">
        <v>93</v>
      </c>
      <c r="Q4" s="1745"/>
      <c r="T4" s="36" t="s">
        <v>250</v>
      </c>
    </row>
    <row r="5" spans="1:28" ht="20.25">
      <c r="A5" s="184">
        <v>4</v>
      </c>
      <c r="B5" s="1347" t="str">
        <f>'Smmy Chrts'!$A$3</f>
        <v>Source: FY 2021 Annual Financial Report</v>
      </c>
      <c r="C5" s="160"/>
      <c r="D5" s="160"/>
      <c r="E5" s="160"/>
      <c r="F5" s="160"/>
      <c r="G5" s="160"/>
      <c r="H5" s="160"/>
      <c r="I5" s="160"/>
      <c r="J5" s="160"/>
      <c r="K5" s="160"/>
      <c r="L5" s="160"/>
      <c r="M5" s="166"/>
      <c r="O5" s="262"/>
    </row>
    <row r="6" spans="1:28">
      <c r="A6" s="184">
        <v>5</v>
      </c>
      <c r="B6" s="1348" t="str">
        <f>'Smmy Chrts'!$C$32</f>
        <v>Detail Worksheet FY 2021</v>
      </c>
      <c r="C6" s="1348"/>
      <c r="D6" s="1348"/>
      <c r="E6" s="1348"/>
      <c r="F6" s="1348"/>
      <c r="G6" s="1348"/>
      <c r="H6" s="1348"/>
      <c r="I6" s="1348"/>
      <c r="J6" s="1348"/>
      <c r="K6" s="1348"/>
      <c r="L6" s="1348"/>
      <c r="M6" s="1348"/>
      <c r="O6" s="265"/>
    </row>
    <row r="7" spans="1:28">
      <c r="A7" s="184">
        <v>6</v>
      </c>
      <c r="B7" s="172"/>
      <c r="C7" s="172"/>
      <c r="D7" s="160"/>
      <c r="E7" s="160"/>
      <c r="F7" s="160"/>
      <c r="G7" s="160"/>
      <c r="H7" s="160"/>
      <c r="I7" s="160"/>
      <c r="J7" s="160"/>
      <c r="K7" s="160"/>
      <c r="L7" s="160"/>
      <c r="M7" s="173" t="str">
        <f>'Smmy Chrts'!$C$33</f>
        <v>FY 2021</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Input!$M$7</f>
        <v>327739839</v>
      </c>
      <c r="E10" s="372">
        <f>Input!$N$7</f>
        <v>0</v>
      </c>
      <c r="F10" s="372">
        <f>Input!$O$7</f>
        <v>0</v>
      </c>
      <c r="G10" s="372">
        <f>Input!$P$7</f>
        <v>0</v>
      </c>
      <c r="H10" s="372">
        <f>Input!$Q$7</f>
        <v>0</v>
      </c>
      <c r="I10" s="372">
        <f>Input!$R$7</f>
        <v>0</v>
      </c>
      <c r="J10" s="372">
        <f>Input!$S$7</f>
        <v>0</v>
      </c>
      <c r="K10" s="372">
        <f>Input!$T$7</f>
        <v>0</v>
      </c>
      <c r="L10" s="372">
        <f>Input!$U$7</f>
        <v>0</v>
      </c>
      <c r="M10" s="373">
        <f t="shared" ref="M10:M15" si="0">D10+E10+F10+G10+H10+I10+J10+K10+L10</f>
        <v>327739839</v>
      </c>
      <c r="N10" s="160"/>
      <c r="O10" s="271"/>
      <c r="P10" s="1718" t="s">
        <v>575</v>
      </c>
      <c r="U10" s="268"/>
    </row>
    <row r="11" spans="1:28">
      <c r="A11" s="184">
        <v>10</v>
      </c>
      <c r="B11" s="160" t="s">
        <v>2</v>
      </c>
      <c r="C11" s="160"/>
      <c r="D11" s="372">
        <f>Input!$V$7</f>
        <v>33668871</v>
      </c>
      <c r="E11" s="372">
        <f>Input!$W$7</f>
        <v>16236531</v>
      </c>
      <c r="F11" s="372">
        <f>Input!$X$7</f>
        <v>0</v>
      </c>
      <c r="G11" s="372">
        <f>Input!$Y$7</f>
        <v>9737395</v>
      </c>
      <c r="H11" s="372">
        <f>Input!$Z$7</f>
        <v>0</v>
      </c>
      <c r="I11" s="372">
        <f>Input!$AA$7</f>
        <v>0</v>
      </c>
      <c r="J11" s="372">
        <f>Input!$AB$7</f>
        <v>0</v>
      </c>
      <c r="K11" s="372">
        <f>Input!$AC$7</f>
        <v>0</v>
      </c>
      <c r="L11" s="372">
        <f>Input!$AD$7</f>
        <v>0</v>
      </c>
      <c r="M11" s="373">
        <f t="shared" si="0"/>
        <v>59642797</v>
      </c>
      <c r="N11" s="160"/>
      <c r="O11" s="482"/>
      <c r="P11" s="1719"/>
      <c r="U11" s="268"/>
    </row>
    <row r="12" spans="1:28" ht="12.75" hidden="1" customHeight="1">
      <c r="B12" s="160" t="s">
        <v>1410</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Input!$AN$7</f>
        <v>0</v>
      </c>
      <c r="E13" s="372">
        <f>Input!$AO$7</f>
        <v>0</v>
      </c>
      <c r="F13" s="372">
        <f>Input!$AP$7</f>
        <v>0</v>
      </c>
      <c r="G13" s="372">
        <f>Input!$AQ$7</f>
        <v>0</v>
      </c>
      <c r="H13" s="372">
        <f>Input!$AR$7</f>
        <v>0</v>
      </c>
      <c r="I13" s="372">
        <f>Input!$AS$7</f>
        <v>0</v>
      </c>
      <c r="J13" s="372">
        <f>Input!$AT$7</f>
        <v>0</v>
      </c>
      <c r="K13" s="372">
        <f>Input!$AU$7</f>
        <v>0</v>
      </c>
      <c r="L13" s="372">
        <f>Input!$AV$7</f>
        <v>0</v>
      </c>
      <c r="M13" s="373">
        <f t="shared" si="0"/>
        <v>0</v>
      </c>
      <c r="N13" s="160"/>
      <c r="O13" s="482" t="str">
        <f>IF(P13&lt;&gt;M13,"Out of Balance","Balanced")</f>
        <v>Balanced</v>
      </c>
      <c r="P13" s="484">
        <f>IFERROR(VLOOKUP($B$2,AMTLU,6,FALSE),0)</f>
        <v>0</v>
      </c>
      <c r="U13" s="268"/>
    </row>
    <row r="14" spans="1:28">
      <c r="A14" s="184">
        <v>13</v>
      </c>
      <c r="B14" s="160" t="s">
        <v>49</v>
      </c>
      <c r="C14" s="160"/>
      <c r="D14" s="372">
        <f>Input!$AW$7</f>
        <v>392376810</v>
      </c>
      <c r="E14" s="372">
        <f>Input!$AX$7</f>
        <v>0</v>
      </c>
      <c r="F14" s="372">
        <f>Input!$AY$7</f>
        <v>0</v>
      </c>
      <c r="G14" s="372">
        <f>Input!$AZ$7</f>
        <v>0</v>
      </c>
      <c r="H14" s="372">
        <f>Input!$BA$7</f>
        <v>0</v>
      </c>
      <c r="I14" s="372">
        <f>Input!$BB$7</f>
        <v>0</v>
      </c>
      <c r="J14" s="372">
        <f>Input!$BC$7</f>
        <v>0</v>
      </c>
      <c r="K14" s="372">
        <f>Input!$BD$7</f>
        <v>0</v>
      </c>
      <c r="L14" s="372">
        <f>Input!$BE$7</f>
        <v>0</v>
      </c>
      <c r="M14" s="373">
        <f t="shared" si="0"/>
        <v>392376810</v>
      </c>
      <c r="N14" s="160"/>
      <c r="O14" s="1004"/>
      <c r="P14" s="485"/>
    </row>
    <row r="15" spans="1:28" ht="15">
      <c r="A15" s="184">
        <v>14</v>
      </c>
      <c r="B15" s="176" t="s">
        <v>3</v>
      </c>
      <c r="C15" s="176"/>
      <c r="D15" s="374">
        <f t="shared" ref="D15:L15" si="1">SUM(D10:D14)</f>
        <v>753785520</v>
      </c>
      <c r="E15" s="374">
        <f t="shared" si="1"/>
        <v>16236531</v>
      </c>
      <c r="F15" s="374">
        <f t="shared" si="1"/>
        <v>0</v>
      </c>
      <c r="G15" s="374">
        <f t="shared" si="1"/>
        <v>9737395</v>
      </c>
      <c r="H15" s="374">
        <f t="shared" si="1"/>
        <v>0</v>
      </c>
      <c r="I15" s="374">
        <f t="shared" si="1"/>
        <v>0</v>
      </c>
      <c r="J15" s="374">
        <f t="shared" si="1"/>
        <v>0</v>
      </c>
      <c r="K15" s="374">
        <f t="shared" si="1"/>
        <v>0</v>
      </c>
      <c r="L15" s="374">
        <f t="shared" si="1"/>
        <v>0</v>
      </c>
      <c r="M15" s="374">
        <f t="shared" si="0"/>
        <v>779759446</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8" ht="14.25" customHeight="1">
      <c r="A17" s="184">
        <v>16</v>
      </c>
      <c r="B17" s="5" t="s">
        <v>4</v>
      </c>
      <c r="C17" s="5"/>
      <c r="D17" s="373"/>
      <c r="E17" s="373"/>
      <c r="F17" s="373"/>
      <c r="G17" s="373"/>
      <c r="H17" s="373"/>
      <c r="I17" s="373"/>
      <c r="J17" s="373"/>
      <c r="K17" s="373"/>
      <c r="L17" s="373"/>
      <c r="M17" s="373"/>
      <c r="N17" s="264"/>
      <c r="O17" s="707"/>
      <c r="P17" s="708"/>
      <c r="Q17" s="35"/>
      <c r="R17" s="35"/>
      <c r="S17" s="35"/>
      <c r="T17" s="268" t="s">
        <v>1102</v>
      </c>
    </row>
    <row r="18" spans="1:28" ht="13.5" customHeight="1" thickBot="1">
      <c r="A18" s="184">
        <v>17</v>
      </c>
      <c r="B18" s="558" t="s">
        <v>1042</v>
      </c>
      <c r="C18" s="558"/>
      <c r="D18" s="374">
        <f t="shared" ref="D18:L18" si="2">D23-SUM(D19:D22)</f>
        <v>160166835</v>
      </c>
      <c r="E18" s="374">
        <f t="shared" si="2"/>
        <v>523088607</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683255442</v>
      </c>
      <c r="N18" s="264"/>
      <c r="O18" s="264"/>
      <c r="V18" s="327"/>
      <c r="X18" s="330"/>
    </row>
    <row r="19" spans="1:28" ht="14.25" customHeight="1" thickTop="1" thickBot="1">
      <c r="A19" s="184">
        <v>18</v>
      </c>
      <c r="B19" s="261" t="s">
        <v>722</v>
      </c>
      <c r="C19" s="261"/>
      <c r="D19" s="372">
        <f>Input!$BF$7</f>
        <v>-47589478</v>
      </c>
      <c r="E19" s="372">
        <f>Input!$BG$7</f>
        <v>-14919675</v>
      </c>
      <c r="F19" s="372">
        <f>Input!$BH$7</f>
        <v>0</v>
      </c>
      <c r="G19" s="372">
        <f>Input!$BI$7</f>
        <v>0</v>
      </c>
      <c r="H19" s="372">
        <f>Input!$BJ$7</f>
        <v>0</v>
      </c>
      <c r="I19" s="372">
        <f>Input!$BK$7</f>
        <v>0</v>
      </c>
      <c r="J19" s="372">
        <f>Input!$BL$7</f>
        <v>0</v>
      </c>
      <c r="K19" s="372">
        <f>Input!$BM$7</f>
        <v>0</v>
      </c>
      <c r="L19" s="372">
        <f>Input!$BN$7</f>
        <v>0</v>
      </c>
      <c r="M19" s="373">
        <f t="shared" si="3"/>
        <v>-62509153</v>
      </c>
      <c r="N19" s="264"/>
      <c r="O19" s="1732" t="s">
        <v>1294</v>
      </c>
      <c r="P19" s="1733"/>
      <c r="Q19" s="1733"/>
      <c r="R19" s="1734"/>
      <c r="T19" s="1735" t="s">
        <v>1043</v>
      </c>
      <c r="U19" s="1736"/>
      <c r="V19" s="1736"/>
      <c r="W19" s="1736"/>
      <c r="X19" s="1737"/>
    </row>
    <row r="20" spans="1:28" ht="13.5" thickTop="1">
      <c r="A20" s="184">
        <v>19</v>
      </c>
      <c r="B20" s="261" t="s">
        <v>723</v>
      </c>
      <c r="C20" s="261"/>
      <c r="D20" s="372">
        <f>Input!$BO$7</f>
        <v>0</v>
      </c>
      <c r="E20" s="372">
        <f>Input!$BP$7</f>
        <v>0</v>
      </c>
      <c r="F20" s="372">
        <f>Input!$BQ$7</f>
        <v>0</v>
      </c>
      <c r="G20" s="372">
        <f>Input!$BR$7</f>
        <v>0</v>
      </c>
      <c r="H20" s="372">
        <f>Input!$BS$7</f>
        <v>0</v>
      </c>
      <c r="I20" s="372">
        <f>Input!$BT$7</f>
        <v>0</v>
      </c>
      <c r="J20" s="372">
        <f>Input!$BU$7</f>
        <v>0</v>
      </c>
      <c r="K20" s="372">
        <f>Input!$BV$7</f>
        <v>0</v>
      </c>
      <c r="L20" s="372">
        <f>Input!$BW$7</f>
        <v>0</v>
      </c>
      <c r="M20" s="373">
        <f t="shared" si="3"/>
        <v>0</v>
      </c>
      <c r="N20" s="264"/>
      <c r="O20" s="421" t="s">
        <v>288</v>
      </c>
      <c r="P20" s="422"/>
      <c r="Q20" s="414"/>
      <c r="R20" s="559"/>
      <c r="T20" s="560" t="s">
        <v>1044</v>
      </c>
      <c r="U20" s="266"/>
      <c r="V20" s="266"/>
      <c r="X20" s="425"/>
    </row>
    <row r="21" spans="1:28">
      <c r="A21" s="184">
        <v>20</v>
      </c>
      <c r="B21" s="261" t="s">
        <v>724</v>
      </c>
      <c r="C21" s="261"/>
      <c r="D21" s="372">
        <f>Input!$BX$7</f>
        <v>0</v>
      </c>
      <c r="E21" s="372">
        <f>Input!$BY$7</f>
        <v>0</v>
      </c>
      <c r="F21" s="372">
        <f>Input!$BZ$7</f>
        <v>0</v>
      </c>
      <c r="G21" s="372">
        <f>Input!$CA$7</f>
        <v>0</v>
      </c>
      <c r="H21" s="372">
        <f>Input!$CB$7</f>
        <v>0</v>
      </c>
      <c r="I21" s="372">
        <f>Input!$CC$7</f>
        <v>0</v>
      </c>
      <c r="J21" s="372">
        <f>Input!$CD$7</f>
        <v>0</v>
      </c>
      <c r="K21" s="372">
        <f>Input!$CE$7</f>
        <v>0</v>
      </c>
      <c r="L21" s="372">
        <f>Input!$CF$7</f>
        <v>0</v>
      </c>
      <c r="M21" s="373">
        <f t="shared" si="3"/>
        <v>0</v>
      </c>
      <c r="N21" s="264"/>
      <c r="O21" s="434"/>
      <c r="R21" s="561"/>
      <c r="T21" s="650" t="s">
        <v>1045</v>
      </c>
      <c r="U21" s="266"/>
      <c r="V21" s="266"/>
      <c r="W21" s="651">
        <f>M44</f>
        <v>521364736</v>
      </c>
      <c r="X21" s="425"/>
      <c r="Z21" s="330"/>
      <c r="AB21" s="270"/>
    </row>
    <row r="22" spans="1:28" ht="12.75" customHeight="1">
      <c r="A22" s="184">
        <v>21</v>
      </c>
      <c r="B22" s="261" t="s">
        <v>725</v>
      </c>
      <c r="C22" s="261"/>
      <c r="D22" s="372">
        <f>Input!$CG$7</f>
        <v>0</v>
      </c>
      <c r="E22" s="372">
        <f>Input!$CH$7</f>
        <v>0</v>
      </c>
      <c r="F22" s="372">
        <f>Input!$CI$7</f>
        <v>0</v>
      </c>
      <c r="G22" s="372">
        <f>Input!$CJ$7</f>
        <v>0</v>
      </c>
      <c r="H22" s="372">
        <f>Input!$CK$7</f>
        <v>0</v>
      </c>
      <c r="I22" s="372">
        <f>Input!$CL$7</f>
        <v>0</v>
      </c>
      <c r="J22" s="372">
        <f>Input!$CM$7</f>
        <v>0</v>
      </c>
      <c r="K22" s="372">
        <f>Input!$CN$7</f>
        <v>0</v>
      </c>
      <c r="L22" s="372">
        <f>Input!$CO$7</f>
        <v>0</v>
      </c>
      <c r="M22" s="373">
        <f t="shared" si="3"/>
        <v>0</v>
      </c>
      <c r="N22" s="270"/>
      <c r="O22" s="434" t="s">
        <v>1046</v>
      </c>
      <c r="P22" s="276"/>
      <c r="Q22" s="424">
        <f>M23</f>
        <v>620746289</v>
      </c>
      <c r="R22" s="562"/>
      <c r="T22" s="650" t="s">
        <v>1047</v>
      </c>
      <c r="U22" s="266"/>
      <c r="V22" s="266"/>
      <c r="W22" s="652">
        <f>R30*-1</f>
        <v>191843729</v>
      </c>
      <c r="X22" s="425"/>
    </row>
    <row r="23" spans="1:28">
      <c r="A23" s="184">
        <v>22</v>
      </c>
      <c r="B23" s="558" t="s">
        <v>726</v>
      </c>
      <c r="C23" s="563"/>
      <c r="D23" s="564">
        <f>Input!$CP$7</f>
        <v>112577357</v>
      </c>
      <c r="E23" s="564">
        <f>Input!$CQ$7</f>
        <v>508168932</v>
      </c>
      <c r="F23" s="564">
        <f>Input!$CR$7</f>
        <v>0</v>
      </c>
      <c r="G23" s="564">
        <f>Input!$CS$7</f>
        <v>0</v>
      </c>
      <c r="H23" s="564">
        <f>Input!$CT$7</f>
        <v>0</v>
      </c>
      <c r="I23" s="564">
        <f>Input!$CU$7</f>
        <v>0</v>
      </c>
      <c r="J23" s="564">
        <f>Input!$CV$7</f>
        <v>0</v>
      </c>
      <c r="K23" s="564">
        <f>Input!$CW$7</f>
        <v>0</v>
      </c>
      <c r="L23" s="564">
        <f>Input!$CX$7</f>
        <v>0</v>
      </c>
      <c r="M23" s="565">
        <f t="shared" si="3"/>
        <v>620746289</v>
      </c>
      <c r="N23" s="264"/>
      <c r="O23" s="434"/>
      <c r="P23" s="276"/>
      <c r="Q23" s="424"/>
      <c r="R23" s="562"/>
      <c r="T23" s="560" t="s">
        <v>1230</v>
      </c>
      <c r="U23" s="266"/>
      <c r="V23" s="266"/>
      <c r="W23" s="276"/>
      <c r="X23" s="425">
        <f>SUM(W21:W22)</f>
        <v>713208465</v>
      </c>
      <c r="Z23" s="330"/>
    </row>
    <row r="24" spans="1:28">
      <c r="A24" s="184">
        <v>23</v>
      </c>
      <c r="B24" s="261" t="s">
        <v>727</v>
      </c>
      <c r="C24" s="566"/>
      <c r="D24" s="372">
        <f>Input!$CY$7</f>
        <v>0</v>
      </c>
      <c r="E24" s="372">
        <f>Input!$CZ$7</f>
        <v>0</v>
      </c>
      <c r="F24" s="372">
        <f>Input!$DA$7</f>
        <v>0</v>
      </c>
      <c r="G24" s="372">
        <f>Input!$DB$7</f>
        <v>0</v>
      </c>
      <c r="H24" s="372">
        <f>Input!$DC$7</f>
        <v>0</v>
      </c>
      <c r="I24" s="372">
        <f>Input!$DD$7</f>
        <v>0</v>
      </c>
      <c r="J24" s="372">
        <f>Input!$DE$7</f>
        <v>0</v>
      </c>
      <c r="K24" s="372">
        <f>Input!$DF$7</f>
        <v>0</v>
      </c>
      <c r="L24" s="372">
        <f>Input!$DG$7</f>
        <v>0</v>
      </c>
      <c r="M24" s="567">
        <f t="shared" si="3"/>
        <v>0</v>
      </c>
      <c r="N24" s="264"/>
      <c r="O24" s="417" t="s">
        <v>1048</v>
      </c>
      <c r="P24" s="276"/>
      <c r="Q24" s="327"/>
      <c r="R24" s="646">
        <f>SUM(M24:M28)</f>
        <v>-169032301</v>
      </c>
      <c r="T24" s="560"/>
      <c r="U24" s="266"/>
      <c r="V24" s="266"/>
      <c r="X24" s="425"/>
      <c r="Z24" s="330"/>
    </row>
    <row r="25" spans="1:28" ht="12.75" customHeight="1">
      <c r="A25" s="184">
        <v>24</v>
      </c>
      <c r="B25" s="261" t="s">
        <v>728</v>
      </c>
      <c r="C25" s="566"/>
      <c r="D25" s="372">
        <f>Input!DH6</f>
        <v>0</v>
      </c>
      <c r="E25" s="372">
        <f>Input!$DI$7</f>
        <v>0</v>
      </c>
      <c r="F25" s="372">
        <f>Input!$DJ$7</f>
        <v>0</v>
      </c>
      <c r="G25" s="372">
        <f>Input!$DK$7</f>
        <v>0</v>
      </c>
      <c r="H25" s="372">
        <f>Input!$DL$7</f>
        <v>0</v>
      </c>
      <c r="I25" s="372">
        <f>Input!$DM$7</f>
        <v>0</v>
      </c>
      <c r="J25" s="372">
        <f>Input!$DN$7</f>
        <v>0</v>
      </c>
      <c r="K25" s="372">
        <f>Input!$DO$7</f>
        <v>0</v>
      </c>
      <c r="L25" s="372">
        <f>Input!$DP$7</f>
        <v>0</v>
      </c>
      <c r="M25" s="567">
        <f t="shared" si="3"/>
        <v>0</v>
      </c>
      <c r="N25" s="264"/>
      <c r="O25" s="434"/>
      <c r="P25" s="276"/>
      <c r="Q25" s="327"/>
      <c r="R25" s="646"/>
      <c r="T25" s="568" t="s">
        <v>1103</v>
      </c>
      <c r="U25" s="569"/>
      <c r="V25" s="569"/>
      <c r="W25" s="653">
        <f>(M26+M39)*-1</f>
        <v>19782424</v>
      </c>
      <c r="X25" s="425"/>
      <c r="Z25" s="330"/>
    </row>
    <row r="26" spans="1:28">
      <c r="A26" s="184">
        <v>25</v>
      </c>
      <c r="B26" s="261" t="s">
        <v>729</v>
      </c>
      <c r="C26" s="566"/>
      <c r="D26" s="372">
        <f>Input!$DQ$7</f>
        <v>-2153425</v>
      </c>
      <c r="E26" s="372">
        <f>Input!$DR$7</f>
        <v>-16439042</v>
      </c>
      <c r="F26" s="372">
        <f>Input!$DS$7</f>
        <v>0</v>
      </c>
      <c r="G26" s="372">
        <f>Input!$DT$7</f>
        <v>0</v>
      </c>
      <c r="H26" s="372">
        <f>Input!$DU$7</f>
        <v>0</v>
      </c>
      <c r="I26" s="372">
        <f>Input!$DV$7</f>
        <v>0</v>
      </c>
      <c r="J26" s="372">
        <f>Input!$DW$7</f>
        <v>0</v>
      </c>
      <c r="K26" s="372">
        <f>Input!$DX$7</f>
        <v>0</v>
      </c>
      <c r="L26" s="372">
        <f>Input!$DY$7</f>
        <v>0</v>
      </c>
      <c r="M26" s="567">
        <f t="shared" si="3"/>
        <v>-18592467</v>
      </c>
      <c r="N26" s="264"/>
      <c r="O26" s="434" t="s">
        <v>1049</v>
      </c>
      <c r="P26" s="276"/>
      <c r="Q26" s="427">
        <f>M36</f>
        <v>92462176</v>
      </c>
      <c r="R26" s="570"/>
      <c r="T26" s="560" t="s">
        <v>1104</v>
      </c>
      <c r="U26" s="266"/>
      <c r="V26" s="266"/>
      <c r="W26" s="571">
        <f>(M21+M34)*-1</f>
        <v>0</v>
      </c>
      <c r="X26" s="425"/>
      <c r="Z26" s="330"/>
    </row>
    <row r="27" spans="1:28" ht="12.75" customHeight="1">
      <c r="A27" s="184">
        <v>26</v>
      </c>
      <c r="B27" s="261" t="s">
        <v>730</v>
      </c>
      <c r="C27" s="566"/>
      <c r="D27" s="372">
        <f>Input!$DZ$7</f>
        <v>0</v>
      </c>
      <c r="E27" s="372">
        <f>Input!$EA$7</f>
        <v>0</v>
      </c>
      <c r="F27" s="372">
        <f>Input!$EB$7</f>
        <v>0</v>
      </c>
      <c r="G27" s="372">
        <f>Input!$EC$7</f>
        <v>0</v>
      </c>
      <c r="H27" s="372">
        <f>Input!$ED$7</f>
        <v>0</v>
      </c>
      <c r="I27" s="372">
        <f>Input!$EE$7</f>
        <v>0</v>
      </c>
      <c r="J27" s="372">
        <f>Input!$EF$7</f>
        <v>0</v>
      </c>
      <c r="K27" s="372">
        <f>Input!$EG$7</f>
        <v>0</v>
      </c>
      <c r="L27" s="372">
        <f>Input!EH6</f>
        <v>0</v>
      </c>
      <c r="M27" s="567">
        <f t="shared" si="3"/>
        <v>0</v>
      </c>
      <c r="N27" s="264"/>
      <c r="O27" s="434"/>
      <c r="P27" s="276"/>
      <c r="Q27" s="427"/>
      <c r="R27" s="570"/>
      <c r="T27" s="650" t="s">
        <v>1105</v>
      </c>
      <c r="U27" s="584"/>
      <c r="V27" s="584"/>
      <c r="W27" s="654">
        <f>SUM(W25:W26)</f>
        <v>19782424</v>
      </c>
      <c r="X27" s="655"/>
    </row>
    <row r="28" spans="1:28">
      <c r="A28" s="184">
        <v>27</v>
      </c>
      <c r="B28" s="261" t="s">
        <v>2133</v>
      </c>
      <c r="C28" s="566"/>
      <c r="D28" s="372">
        <f>Input!$EI$7</f>
        <v>-28784005</v>
      </c>
      <c r="E28" s="372">
        <f>Input!$EJ$7</f>
        <v>-121655829</v>
      </c>
      <c r="F28" s="372">
        <f>Input!$EK$7</f>
        <v>0</v>
      </c>
      <c r="G28" s="372">
        <f>Input!$EL$7</f>
        <v>0</v>
      </c>
      <c r="H28" s="372">
        <f>Input!$EM$7</f>
        <v>0</v>
      </c>
      <c r="I28" s="372">
        <f>Input!$EN$7</f>
        <v>0</v>
      </c>
      <c r="J28" s="372">
        <f>Input!$EO$7</f>
        <v>0</v>
      </c>
      <c r="K28" s="372">
        <f>Input!$EP$7</f>
        <v>0</v>
      </c>
      <c r="L28" s="372">
        <f>Input!$EQ$7</f>
        <v>0</v>
      </c>
      <c r="M28" s="567">
        <f t="shared" si="3"/>
        <v>-150439834</v>
      </c>
      <c r="N28" s="264"/>
      <c r="O28" s="417" t="s">
        <v>1050</v>
      </c>
      <c r="Q28" s="429"/>
      <c r="R28" s="646">
        <f>SUM(M37:M41)</f>
        <v>-22811428</v>
      </c>
      <c r="T28" s="560" t="s">
        <v>1106</v>
      </c>
      <c r="U28" s="266"/>
      <c r="V28" s="266"/>
      <c r="W28" s="425">
        <f>(M27+M40)*-1</f>
        <v>0</v>
      </c>
      <c r="X28" s="655"/>
      <c r="Z28" s="330"/>
    </row>
    <row r="29" spans="1:28">
      <c r="A29" s="184">
        <v>28</v>
      </c>
      <c r="B29" s="575" t="s">
        <v>39</v>
      </c>
      <c r="C29" s="563"/>
      <c r="D29" s="374">
        <f t="shared" ref="D29:L29" si="4">SUM(D23:D28)</f>
        <v>81639927</v>
      </c>
      <c r="E29" s="374">
        <f t="shared" si="4"/>
        <v>370074061</v>
      </c>
      <c r="F29" s="374">
        <f t="shared" si="4"/>
        <v>0</v>
      </c>
      <c r="G29" s="374">
        <f t="shared" si="4"/>
        <v>0</v>
      </c>
      <c r="H29" s="374">
        <f t="shared" si="4"/>
        <v>0</v>
      </c>
      <c r="I29" s="374">
        <f t="shared" si="4"/>
        <v>0</v>
      </c>
      <c r="J29" s="374">
        <f t="shared" si="4"/>
        <v>0</v>
      </c>
      <c r="K29" s="374">
        <f t="shared" si="4"/>
        <v>0</v>
      </c>
      <c r="L29" s="374">
        <f t="shared" si="4"/>
        <v>0</v>
      </c>
      <c r="M29" s="374">
        <f t="shared" si="3"/>
        <v>451713988</v>
      </c>
      <c r="N29" s="264"/>
      <c r="O29" s="417"/>
      <c r="Q29" s="429"/>
      <c r="R29" s="576"/>
      <c r="T29" s="560" t="s">
        <v>1107</v>
      </c>
      <c r="U29" s="266"/>
      <c r="V29" s="266"/>
      <c r="W29" s="571">
        <f>(M22+M35)*-1</f>
        <v>0</v>
      </c>
      <c r="X29" s="655"/>
    </row>
    <row r="30" spans="1:28">
      <c r="A30" s="184">
        <v>29</v>
      </c>
      <c r="B30" s="261"/>
      <c r="C30" s="566"/>
      <c r="D30" s="566"/>
      <c r="E30" s="566"/>
      <c r="F30" s="566"/>
      <c r="G30" s="566"/>
      <c r="H30" s="566"/>
      <c r="I30" s="566"/>
      <c r="J30" s="566"/>
      <c r="K30" s="566"/>
      <c r="L30" s="566"/>
      <c r="M30" s="567"/>
      <c r="N30" s="264"/>
      <c r="O30" s="431" t="s">
        <v>289</v>
      </c>
      <c r="P30" s="432"/>
      <c r="Q30" s="433">
        <f>Q26+Q22</f>
        <v>713208465</v>
      </c>
      <c r="R30" s="647">
        <f>R28+R24</f>
        <v>-191843729</v>
      </c>
      <c r="T30" s="650" t="s">
        <v>1108</v>
      </c>
      <c r="U30" s="584"/>
      <c r="V30" s="584"/>
      <c r="W30" s="654">
        <f>SUM(W28:W29)</f>
        <v>0</v>
      </c>
      <c r="X30" s="655"/>
    </row>
    <row r="31" spans="1:28">
      <c r="A31" s="184">
        <v>30</v>
      </c>
      <c r="B31" s="558" t="s">
        <v>1052</v>
      </c>
      <c r="C31" s="558"/>
      <c r="D31" s="374">
        <f t="shared" ref="D31:L31" si="5">D36-SUM(D32:D35)</f>
        <v>137021</v>
      </c>
      <c r="E31" s="374">
        <f t="shared" si="5"/>
        <v>47758957</v>
      </c>
      <c r="F31" s="374">
        <f t="shared" si="5"/>
        <v>44566198</v>
      </c>
      <c r="G31" s="374">
        <f t="shared" si="5"/>
        <v>0</v>
      </c>
      <c r="H31" s="374">
        <f t="shared" si="5"/>
        <v>0</v>
      </c>
      <c r="I31" s="374">
        <f t="shared" si="5"/>
        <v>0</v>
      </c>
      <c r="J31" s="374">
        <f t="shared" si="5"/>
        <v>0</v>
      </c>
      <c r="K31" s="374">
        <f t="shared" si="5"/>
        <v>0</v>
      </c>
      <c r="L31" s="374">
        <f t="shared" si="5"/>
        <v>0</v>
      </c>
      <c r="M31" s="374">
        <f t="shared" ref="M31:M42" si="6">D31+E31+F31+G31+H31+I31+J31+K31+L31</f>
        <v>92462176</v>
      </c>
      <c r="N31" s="264"/>
      <c r="O31" s="434" t="s">
        <v>290</v>
      </c>
      <c r="P31" s="276"/>
      <c r="Q31" s="335"/>
      <c r="R31" s="562"/>
      <c r="T31" s="572" t="s">
        <v>1109</v>
      </c>
      <c r="U31" s="573"/>
      <c r="V31" s="573"/>
      <c r="W31" s="574">
        <f>W27+W30</f>
        <v>19782424</v>
      </c>
      <c r="X31" s="425"/>
      <c r="Z31" s="330"/>
    </row>
    <row r="32" spans="1:28">
      <c r="A32" s="184">
        <v>31</v>
      </c>
      <c r="B32" s="261" t="s">
        <v>722</v>
      </c>
      <c r="C32" s="261"/>
      <c r="D32" s="372">
        <f>Input!$ER$7</f>
        <v>0</v>
      </c>
      <c r="E32" s="372">
        <f>Input!$ES$7</f>
        <v>0</v>
      </c>
      <c r="F32" s="372">
        <f>Input!$ET$7</f>
        <v>0</v>
      </c>
      <c r="G32" s="372">
        <f>Input!$EU$7</f>
        <v>0</v>
      </c>
      <c r="H32" s="372">
        <f>Input!$EV$7</f>
        <v>0</v>
      </c>
      <c r="I32" s="372">
        <f>Input!$EW$7</f>
        <v>0</v>
      </c>
      <c r="J32" s="372">
        <f>Input!$EX$7</f>
        <v>0</v>
      </c>
      <c r="K32" s="372">
        <f>Input!$EY$7</f>
        <v>0</v>
      </c>
      <c r="L32" s="372">
        <f>Input!$EZ$7</f>
        <v>0</v>
      </c>
      <c r="M32" s="567">
        <f t="shared" si="6"/>
        <v>0</v>
      </c>
      <c r="N32" s="264"/>
      <c r="O32" s="415" t="s">
        <v>1295</v>
      </c>
      <c r="P32" s="416"/>
      <c r="Q32" s="577">
        <f>Input!$SQ$7</f>
        <v>713208465</v>
      </c>
      <c r="R32" s="578"/>
      <c r="T32" s="560"/>
      <c r="U32" s="266"/>
      <c r="V32" s="266"/>
      <c r="X32" s="425"/>
      <c r="Z32" s="330"/>
    </row>
    <row r="33" spans="1:24">
      <c r="A33" s="184">
        <v>32</v>
      </c>
      <c r="B33" s="261" t="s">
        <v>723</v>
      </c>
      <c r="C33" s="261"/>
      <c r="D33" s="372">
        <f>Input!$FA$7</f>
        <v>0</v>
      </c>
      <c r="E33" s="372">
        <f>Input!$FB$7</f>
        <v>0</v>
      </c>
      <c r="F33" s="372">
        <f>Input!$FC$7</f>
        <v>0</v>
      </c>
      <c r="G33" s="372">
        <f>Input!$FD$7</f>
        <v>0</v>
      </c>
      <c r="H33" s="372">
        <f>Input!$FE$7</f>
        <v>0</v>
      </c>
      <c r="I33" s="372">
        <f>Input!$FF$7</f>
        <v>0</v>
      </c>
      <c r="J33" s="372">
        <f>Input!$FG$7</f>
        <v>0</v>
      </c>
      <c r="K33" s="372">
        <f>Input!$FH$7</f>
        <v>0</v>
      </c>
      <c r="L33" s="372">
        <f>Input!$FI$7</f>
        <v>0</v>
      </c>
      <c r="M33" s="567">
        <f t="shared" si="6"/>
        <v>0</v>
      </c>
      <c r="N33" s="264"/>
      <c r="O33" s="415"/>
      <c r="P33" s="416"/>
      <c r="Q33" s="327"/>
      <c r="R33" s="578"/>
      <c r="T33" s="560" t="s">
        <v>1051</v>
      </c>
      <c r="U33" s="266"/>
      <c r="V33" s="266"/>
      <c r="W33" s="334">
        <f>(M19+M32)*-1</f>
        <v>62509153</v>
      </c>
      <c r="X33" s="425"/>
    </row>
    <row r="34" spans="1:24">
      <c r="A34" s="184">
        <v>33</v>
      </c>
      <c r="B34" s="261" t="s">
        <v>724</v>
      </c>
      <c r="C34" s="261"/>
      <c r="D34" s="372">
        <f>Input!$FJ$7</f>
        <v>0</v>
      </c>
      <c r="E34" s="372">
        <f>Input!$FK$7</f>
        <v>0</v>
      </c>
      <c r="F34" s="372">
        <f>Input!$FL$7</f>
        <v>0</v>
      </c>
      <c r="G34" s="372">
        <f>Input!$FM$7</f>
        <v>0</v>
      </c>
      <c r="H34" s="372">
        <f>Input!$FN$7</f>
        <v>0</v>
      </c>
      <c r="I34" s="372">
        <f>Input!$FO$7</f>
        <v>0</v>
      </c>
      <c r="J34" s="372">
        <f>Input!$FP$7</f>
        <v>0</v>
      </c>
      <c r="K34" s="372">
        <f>Input!$FQ$7</f>
        <v>0</v>
      </c>
      <c r="L34" s="372">
        <f>Input!$FR$7</f>
        <v>0</v>
      </c>
      <c r="M34" s="567">
        <f t="shared" si="6"/>
        <v>0</v>
      </c>
      <c r="N34" s="264"/>
      <c r="O34" s="435" t="s">
        <v>1296</v>
      </c>
      <c r="P34" s="436"/>
      <c r="Q34" s="264" t="s">
        <v>291</v>
      </c>
      <c r="R34" s="648">
        <f>Input!$SR$7</f>
        <v>-191843729</v>
      </c>
      <c r="T34" s="560" t="s">
        <v>1110</v>
      </c>
      <c r="U34" s="266"/>
      <c r="V34" s="266"/>
      <c r="W34" s="430">
        <f>(M24+M37)*-1</f>
        <v>0</v>
      </c>
      <c r="X34" s="425"/>
    </row>
    <row r="35" spans="1:24" ht="13.5" thickBot="1">
      <c r="A35" s="184">
        <v>34</v>
      </c>
      <c r="B35" s="261" t="s">
        <v>725</v>
      </c>
      <c r="C35" s="261"/>
      <c r="D35" s="372">
        <f>Input!$FS$7</f>
        <v>0</v>
      </c>
      <c r="E35" s="372">
        <f>Input!$FT$7</f>
        <v>0</v>
      </c>
      <c r="F35" s="372">
        <f>Input!$FU$7</f>
        <v>0</v>
      </c>
      <c r="G35" s="372">
        <f>Input!$FV$7</f>
        <v>0</v>
      </c>
      <c r="H35" s="372">
        <f>Input!$FW$7</f>
        <v>0</v>
      </c>
      <c r="I35" s="372">
        <f>Input!$FX$7</f>
        <v>0</v>
      </c>
      <c r="J35" s="372">
        <f>Input!$FY$7</f>
        <v>0</v>
      </c>
      <c r="K35" s="372">
        <f>Input!$FZ$7</f>
        <v>0</v>
      </c>
      <c r="L35" s="372">
        <f>Input!$GA$7</f>
        <v>0</v>
      </c>
      <c r="M35" s="567">
        <f t="shared" si="6"/>
        <v>0</v>
      </c>
      <c r="N35" s="264"/>
      <c r="O35" s="418" t="s">
        <v>286</v>
      </c>
      <c r="P35" s="419"/>
      <c r="Q35" s="420">
        <f>Q30-Q32</f>
        <v>0</v>
      </c>
      <c r="R35" s="649">
        <f>R30-R34</f>
        <v>0</v>
      </c>
      <c r="T35" s="650" t="s">
        <v>1111</v>
      </c>
      <c r="U35" s="584"/>
      <c r="V35" s="584"/>
      <c r="W35" s="656">
        <f>SUM(W33:W34)</f>
        <v>62509153</v>
      </c>
      <c r="X35" s="655"/>
    </row>
    <row r="36" spans="1:24" ht="13.5" thickTop="1">
      <c r="A36" s="184">
        <v>35</v>
      </c>
      <c r="B36" s="558" t="s">
        <v>732</v>
      </c>
      <c r="C36" s="563"/>
      <c r="D36" s="564">
        <f>Input!$GB$7</f>
        <v>137021</v>
      </c>
      <c r="E36" s="564">
        <f>Input!$GC$7</f>
        <v>47758957</v>
      </c>
      <c r="F36" s="564">
        <f>Input!$GD$7</f>
        <v>44566198</v>
      </c>
      <c r="G36" s="564">
        <f>Input!$GE$7</f>
        <v>0</v>
      </c>
      <c r="H36" s="564">
        <f>Input!$GF$7</f>
        <v>0</v>
      </c>
      <c r="I36" s="564">
        <f>Input!$GG$7</f>
        <v>0</v>
      </c>
      <c r="J36" s="564">
        <f>Input!$GH$7</f>
        <v>0</v>
      </c>
      <c r="K36" s="564">
        <f>Input!$GI$7</f>
        <v>0</v>
      </c>
      <c r="L36" s="564">
        <f>Input!$GJ$7</f>
        <v>0</v>
      </c>
      <c r="M36" s="565">
        <f t="shared" si="6"/>
        <v>92462176</v>
      </c>
      <c r="N36" s="264"/>
      <c r="Q36" s="412" t="str">
        <f>IF(Q30&lt;&gt;Q32,"Out of Balance","Balanced")</f>
        <v>Balanced</v>
      </c>
      <c r="R36" s="412" t="str">
        <f>IF(R30&lt;&gt;R34,"Out of Balance","Balanced")</f>
        <v>Balanced</v>
      </c>
      <c r="T36" s="560" t="s">
        <v>1053</v>
      </c>
      <c r="U36" s="266"/>
      <c r="V36" s="266"/>
      <c r="W36" s="334">
        <f>(M20+M33)*-1</f>
        <v>0</v>
      </c>
      <c r="X36" s="425"/>
    </row>
    <row r="37" spans="1:24">
      <c r="A37" s="184">
        <v>36</v>
      </c>
      <c r="B37" s="261" t="s">
        <v>727</v>
      </c>
      <c r="C37" s="566"/>
      <c r="D37" s="372">
        <f>Input!$GK$7</f>
        <v>0</v>
      </c>
      <c r="E37" s="372">
        <f>Input!$GL$7</f>
        <v>0</v>
      </c>
      <c r="F37" s="372">
        <f>Input!$GM$7</f>
        <v>0</v>
      </c>
      <c r="G37" s="372">
        <f>Input!$GN$7</f>
        <v>0</v>
      </c>
      <c r="H37" s="372">
        <f>Input!$GO$7</f>
        <v>0</v>
      </c>
      <c r="I37" s="372">
        <f>Input!$GP$7</f>
        <v>0</v>
      </c>
      <c r="J37" s="372">
        <f>Input!$GQ$7</f>
        <v>0</v>
      </c>
      <c r="K37" s="372">
        <f>Input!$GR$7</f>
        <v>0</v>
      </c>
      <c r="L37" s="372">
        <f>Input!$GS$7</f>
        <v>0</v>
      </c>
      <c r="M37" s="567">
        <f t="shared" si="6"/>
        <v>0</v>
      </c>
      <c r="N37" s="264"/>
      <c r="T37" s="560" t="s">
        <v>1112</v>
      </c>
      <c r="U37" s="266"/>
      <c r="V37" s="266"/>
      <c r="W37" s="430">
        <f>(M25+M38)*-1</f>
        <v>0</v>
      </c>
      <c r="X37" s="655"/>
    </row>
    <row r="38" spans="1:24">
      <c r="A38" s="184">
        <v>37</v>
      </c>
      <c r="B38" s="261" t="s">
        <v>728</v>
      </c>
      <c r="C38" s="566"/>
      <c r="D38" s="372">
        <f>Input!$GT$7</f>
        <v>0</v>
      </c>
      <c r="E38" s="372">
        <f>Input!$GU$7</f>
        <v>0</v>
      </c>
      <c r="F38" s="372">
        <f>Input!$GV$7</f>
        <v>0</v>
      </c>
      <c r="G38" s="372">
        <f>Input!$GW$7</f>
        <v>0</v>
      </c>
      <c r="H38" s="372">
        <f>Input!$GX$7</f>
        <v>0</v>
      </c>
      <c r="I38" s="372">
        <f>Input!$GY$7</f>
        <v>0</v>
      </c>
      <c r="J38" s="372">
        <f>Input!$GZ$7</f>
        <v>0</v>
      </c>
      <c r="K38" s="372">
        <f>Input!$HA$7</f>
        <v>0</v>
      </c>
      <c r="L38" s="372">
        <f>Input!$HB$7</f>
        <v>0</v>
      </c>
      <c r="M38" s="567">
        <f t="shared" si="6"/>
        <v>0</v>
      </c>
      <c r="N38" s="264"/>
      <c r="T38" s="650" t="s">
        <v>1113</v>
      </c>
      <c r="U38" s="584"/>
      <c r="V38" s="584"/>
      <c r="W38" s="656">
        <f>SUM(W36:W37)</f>
        <v>0</v>
      </c>
      <c r="X38" s="425"/>
    </row>
    <row r="39" spans="1:24">
      <c r="A39" s="184">
        <v>38</v>
      </c>
      <c r="B39" s="261" t="s">
        <v>729</v>
      </c>
      <c r="C39" s="566"/>
      <c r="D39" s="372">
        <f>Input!$HC$7</f>
        <v>0</v>
      </c>
      <c r="E39" s="372">
        <f>Input!$HD$7</f>
        <v>-1189957</v>
      </c>
      <c r="F39" s="372">
        <f>Input!$HE$7</f>
        <v>0</v>
      </c>
      <c r="G39" s="372">
        <f>Input!$HF$7</f>
        <v>0</v>
      </c>
      <c r="H39" s="372">
        <f>Input!$HG$7</f>
        <v>0</v>
      </c>
      <c r="I39" s="372">
        <f>Input!$HH$7</f>
        <v>0</v>
      </c>
      <c r="J39" s="372">
        <f>Input!$HI$7</f>
        <v>0</v>
      </c>
      <c r="K39" s="372">
        <f>Input!$HJ$7</f>
        <v>0</v>
      </c>
      <c r="L39" s="372">
        <f>Input!$HK$7</f>
        <v>0</v>
      </c>
      <c r="M39" s="567">
        <f t="shared" si="6"/>
        <v>-1189957</v>
      </c>
      <c r="N39" s="264"/>
      <c r="T39" s="560" t="s">
        <v>1054</v>
      </c>
      <c r="U39" s="266"/>
      <c r="V39" s="266"/>
      <c r="W39" s="334"/>
      <c r="X39" s="425">
        <f>W38+W35</f>
        <v>62509153</v>
      </c>
    </row>
    <row r="40" spans="1:24" ht="13.5" customHeight="1">
      <c r="A40" s="184">
        <v>39</v>
      </c>
      <c r="B40" s="261" t="s">
        <v>730</v>
      </c>
      <c r="C40" s="566"/>
      <c r="D40" s="372">
        <f>Input!$HL$7</f>
        <v>0</v>
      </c>
      <c r="E40" s="372">
        <f>Input!$HM$7</f>
        <v>0</v>
      </c>
      <c r="F40" s="372">
        <f>Input!$HN$7</f>
        <v>0</v>
      </c>
      <c r="G40" s="372">
        <f>Input!$HO$7</f>
        <v>0</v>
      </c>
      <c r="H40" s="372">
        <f>Input!$HP$7</f>
        <v>0</v>
      </c>
      <c r="I40" s="372">
        <f>Input!$HQ$7</f>
        <v>0</v>
      </c>
      <c r="J40" s="372">
        <f>Input!$HR$7</f>
        <v>0</v>
      </c>
      <c r="K40" s="372">
        <f>Input!$HS$7</f>
        <v>0</v>
      </c>
      <c r="L40" s="372">
        <f>Input!$HT$7</f>
        <v>0</v>
      </c>
      <c r="M40" s="567">
        <f t="shared" si="6"/>
        <v>0</v>
      </c>
      <c r="N40" s="264"/>
      <c r="T40" s="560"/>
      <c r="U40" s="261"/>
      <c r="V40" s="261"/>
      <c r="W40" s="261"/>
      <c r="X40" s="655"/>
    </row>
    <row r="41" spans="1:24">
      <c r="A41" s="184">
        <v>40</v>
      </c>
      <c r="B41" s="261" t="s">
        <v>2133</v>
      </c>
      <c r="C41" s="566"/>
      <c r="D41" s="372">
        <f>Input!$HU$7</f>
        <v>-35035</v>
      </c>
      <c r="E41" s="372">
        <f>Input!$HV$7</f>
        <v>-11380596</v>
      </c>
      <c r="F41" s="372">
        <f>Input!$HW$7</f>
        <v>-10205840</v>
      </c>
      <c r="G41" s="372">
        <f>Input!$HX$7</f>
        <v>0</v>
      </c>
      <c r="H41" s="372">
        <f>Input!$HY$7</f>
        <v>0</v>
      </c>
      <c r="I41" s="372">
        <f>Input!$HZ$7</f>
        <v>0</v>
      </c>
      <c r="J41" s="372">
        <f>Input!$IA$7</f>
        <v>0</v>
      </c>
      <c r="K41" s="372">
        <f>Input!$IB$7</f>
        <v>0</v>
      </c>
      <c r="L41" s="372">
        <f>Input!$IC$7</f>
        <v>0</v>
      </c>
      <c r="M41" s="567">
        <f t="shared" si="6"/>
        <v>-21621471</v>
      </c>
      <c r="N41" s="264"/>
      <c r="O41"/>
      <c r="P41"/>
      <c r="Q41"/>
      <c r="R41"/>
      <c r="S41"/>
      <c r="T41" s="560" t="s">
        <v>1104</v>
      </c>
      <c r="U41" s="266"/>
      <c r="V41" s="266"/>
      <c r="W41" s="330">
        <f>(M21+M34)*-1</f>
        <v>0</v>
      </c>
      <c r="X41" s="425"/>
    </row>
    <row r="42" spans="1:24">
      <c r="A42" s="184">
        <v>41</v>
      </c>
      <c r="B42" s="575" t="s">
        <v>40</v>
      </c>
      <c r="C42" s="563"/>
      <c r="D42" s="374">
        <f t="shared" ref="D42:L42" si="7">SUM(D36:D41)</f>
        <v>101986</v>
      </c>
      <c r="E42" s="374">
        <f t="shared" si="7"/>
        <v>35188404</v>
      </c>
      <c r="F42" s="374">
        <f t="shared" si="7"/>
        <v>34360358</v>
      </c>
      <c r="G42" s="374">
        <f t="shared" si="7"/>
        <v>0</v>
      </c>
      <c r="H42" s="374">
        <f t="shared" si="7"/>
        <v>0</v>
      </c>
      <c r="I42" s="374">
        <f t="shared" si="7"/>
        <v>0</v>
      </c>
      <c r="J42" s="374">
        <f t="shared" si="7"/>
        <v>0</v>
      </c>
      <c r="K42" s="374">
        <f t="shared" si="7"/>
        <v>0</v>
      </c>
      <c r="L42" s="374">
        <f t="shared" si="7"/>
        <v>0</v>
      </c>
      <c r="M42" s="374">
        <f t="shared" si="6"/>
        <v>69650748</v>
      </c>
      <c r="N42" s="264"/>
      <c r="O42"/>
      <c r="P42"/>
      <c r="Q42"/>
      <c r="R42"/>
      <c r="S42"/>
      <c r="T42" s="560" t="s">
        <v>1107</v>
      </c>
      <c r="U42" s="266"/>
      <c r="V42" s="266"/>
      <c r="W42" s="430">
        <f>(M22+M35)*-1</f>
        <v>0</v>
      </c>
      <c r="X42" s="425"/>
    </row>
    <row r="43" spans="1:24" ht="18.75" customHeight="1">
      <c r="A43" s="184">
        <v>42</v>
      </c>
      <c r="B43" s="261"/>
      <c r="C43" s="566"/>
      <c r="D43" s="566"/>
      <c r="E43" s="566"/>
      <c r="F43" s="566"/>
      <c r="G43" s="566"/>
      <c r="H43" s="566"/>
      <c r="I43" s="566"/>
      <c r="J43" s="566"/>
      <c r="K43" s="566"/>
      <c r="L43" s="566"/>
      <c r="M43" s="567"/>
      <c r="N43" s="264"/>
      <c r="O43"/>
      <c r="P43"/>
      <c r="Q43"/>
      <c r="R43"/>
      <c r="S43"/>
      <c r="T43" s="650" t="s">
        <v>1114</v>
      </c>
      <c r="U43" s="584"/>
      <c r="V43" s="584"/>
      <c r="W43" s="656">
        <f>SUM(W41:W42)</f>
        <v>0</v>
      </c>
      <c r="X43" s="655"/>
    </row>
    <row r="44" spans="1:24">
      <c r="A44" s="184">
        <v>43</v>
      </c>
      <c r="B44" s="575" t="s">
        <v>1055</v>
      </c>
      <c r="C44" s="563"/>
      <c r="D44" s="374">
        <f t="shared" ref="D44:L44" si="8">D42+D29</f>
        <v>81741913</v>
      </c>
      <c r="E44" s="374">
        <f t="shared" si="8"/>
        <v>405262465</v>
      </c>
      <c r="F44" s="374">
        <f t="shared" si="8"/>
        <v>34360358</v>
      </c>
      <c r="G44" s="374">
        <f t="shared" si="8"/>
        <v>0</v>
      </c>
      <c r="H44" s="374">
        <f t="shared" si="8"/>
        <v>0</v>
      </c>
      <c r="I44" s="374">
        <f t="shared" si="8"/>
        <v>0</v>
      </c>
      <c r="J44" s="374">
        <f t="shared" si="8"/>
        <v>0</v>
      </c>
      <c r="K44" s="374">
        <f t="shared" si="8"/>
        <v>0</v>
      </c>
      <c r="L44" s="374">
        <f t="shared" si="8"/>
        <v>0</v>
      </c>
      <c r="M44" s="374">
        <f>D44+E44+F44+G44+H44+I44+J44+K44+L44</f>
        <v>521364736</v>
      </c>
      <c r="N44" s="264"/>
      <c r="O44"/>
      <c r="P44"/>
      <c r="Q44"/>
      <c r="R44"/>
      <c r="S44"/>
      <c r="T44" s="560"/>
      <c r="U44" s="266"/>
      <c r="V44" s="266"/>
      <c r="W44" s="276"/>
      <c r="X44" s="425"/>
    </row>
    <row r="45" spans="1:24">
      <c r="A45" s="184">
        <v>44</v>
      </c>
      <c r="B45" s="160"/>
      <c r="C45" s="160"/>
      <c r="D45" s="373"/>
      <c r="E45" s="373"/>
      <c r="F45" s="373"/>
      <c r="G45" s="373"/>
      <c r="H45" s="373"/>
      <c r="I45" s="373"/>
      <c r="J45" s="373"/>
      <c r="K45" s="373"/>
      <c r="L45" s="373"/>
      <c r="M45" s="373"/>
      <c r="N45" s="160"/>
      <c r="O45"/>
      <c r="P45"/>
      <c r="Q45"/>
      <c r="R45"/>
      <c r="S45"/>
      <c r="T45" s="560" t="s">
        <v>1110</v>
      </c>
      <c r="U45" s="266"/>
      <c r="V45" s="266"/>
      <c r="W45" s="334">
        <f>(M24+M37)*-1</f>
        <v>0</v>
      </c>
      <c r="X45" s="425"/>
    </row>
    <row r="46" spans="1:24">
      <c r="A46" s="184">
        <v>45</v>
      </c>
      <c r="B46" s="172" t="s">
        <v>6</v>
      </c>
      <c r="C46" s="172"/>
      <c r="D46" s="373"/>
      <c r="E46" s="373"/>
      <c r="F46" s="373"/>
      <c r="G46" s="373"/>
      <c r="H46" s="373"/>
      <c r="I46" s="373"/>
      <c r="J46" s="373"/>
      <c r="K46" s="373"/>
      <c r="L46" s="373"/>
      <c r="M46" s="373"/>
      <c r="N46" s="160"/>
      <c r="O46"/>
      <c r="P46"/>
      <c r="Q46"/>
      <c r="R46"/>
      <c r="S46"/>
      <c r="T46" s="560" t="s">
        <v>1112</v>
      </c>
      <c r="U46" s="266"/>
      <c r="V46" s="266"/>
      <c r="W46" s="430">
        <f>(M25+M38)*-1</f>
        <v>0</v>
      </c>
      <c r="X46" s="425"/>
    </row>
    <row r="47" spans="1:24">
      <c r="A47" s="184">
        <v>46</v>
      </c>
      <c r="B47" s="176" t="s">
        <v>7</v>
      </c>
      <c r="C47" s="176"/>
      <c r="D47" s="375">
        <f>Input!$ID$7</f>
        <v>3582075</v>
      </c>
      <c r="E47" s="375">
        <f>Input!$IE$7</f>
        <v>116427262</v>
      </c>
      <c r="F47" s="375">
        <f>Input!$IF$7</f>
        <v>0</v>
      </c>
      <c r="G47" s="375">
        <f>Input!$IG$7</f>
        <v>479343544</v>
      </c>
      <c r="H47" s="375">
        <f>Input!$IH$7</f>
        <v>0</v>
      </c>
      <c r="I47" s="375">
        <f>Input!$II$7</f>
        <v>0</v>
      </c>
      <c r="J47" s="375">
        <f>Input!$IJ$7</f>
        <v>0</v>
      </c>
      <c r="K47" s="375">
        <f>Input!$IK$7</f>
        <v>0</v>
      </c>
      <c r="L47" s="375">
        <f>Input!$IL$7</f>
        <v>0</v>
      </c>
      <c r="M47" s="374">
        <f>D47+E47+F47+G47+H47+I47+J47+K47+L47</f>
        <v>599352881</v>
      </c>
      <c r="N47" s="160"/>
      <c r="O47"/>
      <c r="P47"/>
      <c r="Q47"/>
      <c r="R47"/>
      <c r="S47"/>
      <c r="T47" s="657" t="s">
        <v>1115</v>
      </c>
      <c r="U47" s="27"/>
      <c r="V47" s="27"/>
      <c r="W47" s="656">
        <f>SUM(W45:W46)</f>
        <v>0</v>
      </c>
      <c r="X47" s="655"/>
    </row>
    <row r="48" spans="1:24">
      <c r="A48" s="184">
        <v>47</v>
      </c>
      <c r="B48" s="160"/>
      <c r="C48" s="160"/>
      <c r="D48" s="373"/>
      <c r="E48" s="373"/>
      <c r="F48" s="373"/>
      <c r="G48" s="373"/>
      <c r="H48" s="373"/>
      <c r="I48" s="373"/>
      <c r="J48" s="373"/>
      <c r="K48" s="373"/>
      <c r="L48" s="373"/>
      <c r="M48" s="373"/>
      <c r="N48" s="160"/>
      <c r="O48"/>
      <c r="P48"/>
      <c r="Q48"/>
      <c r="R48"/>
      <c r="S48"/>
      <c r="T48" s="560"/>
      <c r="U48" s="261"/>
      <c r="V48" s="261"/>
      <c r="W48" s="261"/>
      <c r="X48" s="658">
        <f>W43-W47</f>
        <v>0</v>
      </c>
    </row>
    <row r="49" spans="1:28">
      <c r="A49" s="184">
        <v>48</v>
      </c>
      <c r="B49" s="172" t="s">
        <v>8</v>
      </c>
      <c r="C49" s="172"/>
      <c r="D49" s="373"/>
      <c r="E49" s="373"/>
      <c r="F49" s="373"/>
      <c r="G49" s="373"/>
      <c r="H49" s="373"/>
      <c r="I49" s="373"/>
      <c r="J49" s="373"/>
      <c r="K49" s="373"/>
      <c r="L49" s="373"/>
      <c r="M49" s="373"/>
      <c r="N49" s="160"/>
      <c r="O49" s="273"/>
      <c r="T49" s="579" t="s">
        <v>287</v>
      </c>
      <c r="U49" s="511"/>
      <c r="V49" s="580"/>
      <c r="W49" s="580"/>
      <c r="X49" s="574">
        <f>SUM(X23:X48)</f>
        <v>775717618</v>
      </c>
    </row>
    <row r="50" spans="1:28">
      <c r="A50" s="184">
        <v>49</v>
      </c>
      <c r="B50" s="160" t="s">
        <v>42</v>
      </c>
      <c r="C50" s="160"/>
      <c r="D50" s="372">
        <f>Input!$IM$7</f>
        <v>13498767</v>
      </c>
      <c r="E50" s="372">
        <f>Input!$IN$7</f>
        <v>193889082</v>
      </c>
      <c r="F50" s="372">
        <f>Input!$IO$7</f>
        <v>29517692</v>
      </c>
      <c r="G50" s="372">
        <f>Input!$IP$7</f>
        <v>259908637</v>
      </c>
      <c r="H50" s="372">
        <f>Input!$IQ$7</f>
        <v>4304168</v>
      </c>
      <c r="I50" s="372">
        <f>Input!$IR$7</f>
        <v>361099</v>
      </c>
      <c r="J50" s="372">
        <f>Input!$IS$7</f>
        <v>52781461</v>
      </c>
      <c r="K50" s="372">
        <f>Input!$IT$7</f>
        <v>0</v>
      </c>
      <c r="L50" s="372">
        <f>Input!$IU$7</f>
        <v>0</v>
      </c>
      <c r="M50" s="373">
        <f t="shared" ref="M50:M57" si="9">D50+E50+F50+G50+H50+I50+J50+K50+L50</f>
        <v>554260906</v>
      </c>
      <c r="N50" s="160"/>
      <c r="O50" s="273"/>
      <c r="U50" s="275"/>
    </row>
    <row r="51" spans="1:28">
      <c r="A51" s="184">
        <v>50</v>
      </c>
      <c r="B51" s="160" t="s">
        <v>9</v>
      </c>
      <c r="C51" s="160"/>
      <c r="D51" s="372">
        <f>Input!$IV$7</f>
        <v>0</v>
      </c>
      <c r="E51" s="372">
        <f>Input!$IW$7</f>
        <v>296418</v>
      </c>
      <c r="F51" s="372">
        <f>Input!$IX$7</f>
        <v>0</v>
      </c>
      <c r="G51" s="372">
        <f>Input!$IY$7</f>
        <v>3059911</v>
      </c>
      <c r="H51" s="372">
        <f>Input!$IZ$7</f>
        <v>0</v>
      </c>
      <c r="I51" s="372">
        <f>Input!$JA$7</f>
        <v>0</v>
      </c>
      <c r="J51" s="372">
        <f>Input!$JB$7</f>
        <v>0</v>
      </c>
      <c r="K51" s="372">
        <f>Input!$JC$7</f>
        <v>0</v>
      </c>
      <c r="L51" s="372">
        <f>Input!$JD$7</f>
        <v>0</v>
      </c>
      <c r="M51" s="376">
        <f t="shared" si="9"/>
        <v>3356329</v>
      </c>
      <c r="N51" s="160"/>
      <c r="Y51" s="277"/>
    </row>
    <row r="52" spans="1:28">
      <c r="A52" s="184">
        <v>51</v>
      </c>
      <c r="B52" s="160" t="s">
        <v>10</v>
      </c>
      <c r="C52" s="160"/>
      <c r="D52" s="372">
        <f>Input!$JE$7</f>
        <v>0</v>
      </c>
      <c r="E52" s="372">
        <f>Input!$JF$7</f>
        <v>13348449</v>
      </c>
      <c r="F52" s="372">
        <f>Input!$JG$7</f>
        <v>0</v>
      </c>
      <c r="G52" s="372">
        <f>Input!$JH$7</f>
        <v>318428797</v>
      </c>
      <c r="H52" s="372">
        <f>Input!$JI$7</f>
        <v>0</v>
      </c>
      <c r="I52" s="372">
        <f>Input!$JJ$7</f>
        <v>0</v>
      </c>
      <c r="J52" s="372">
        <f>Input!$JK$7</f>
        <v>0</v>
      </c>
      <c r="K52" s="372">
        <f>Input!$JL$7</f>
        <v>0</v>
      </c>
      <c r="L52" s="372">
        <f>Input!$JM$7</f>
        <v>0</v>
      </c>
      <c r="M52" s="373">
        <f t="shared" si="9"/>
        <v>331777246</v>
      </c>
      <c r="N52" s="160"/>
      <c r="O52" s="273"/>
      <c r="P52" s="278"/>
    </row>
    <row r="53" spans="1:28">
      <c r="A53" s="184">
        <v>52</v>
      </c>
      <c r="B53" s="160" t="s">
        <v>11</v>
      </c>
      <c r="C53" s="160"/>
      <c r="D53" s="372">
        <f>Input!$JN$7</f>
        <v>1600</v>
      </c>
      <c r="E53" s="372">
        <f>Input!$JO$7</f>
        <v>243918147</v>
      </c>
      <c r="F53" s="372">
        <f>Input!$JP$7</f>
        <v>0</v>
      </c>
      <c r="G53" s="372">
        <f>Input!$JQ$7</f>
        <v>26654703</v>
      </c>
      <c r="H53" s="372">
        <f>Input!$JR$7</f>
        <v>0</v>
      </c>
      <c r="I53" s="372">
        <f>Input!$JS$7</f>
        <v>0</v>
      </c>
      <c r="J53" s="372">
        <f>Input!$JT$7</f>
        <v>0</v>
      </c>
      <c r="K53" s="372">
        <f>Input!$JU$7</f>
        <v>0</v>
      </c>
      <c r="L53" s="372">
        <f>Input!$JV$7</f>
        <v>0</v>
      </c>
      <c r="M53" s="373">
        <f t="shared" si="9"/>
        <v>270574450</v>
      </c>
      <c r="N53" s="160"/>
      <c r="O53" s="273"/>
    </row>
    <row r="54" spans="1:28" ht="13.5" thickBot="1">
      <c r="A54" s="184">
        <v>53</v>
      </c>
      <c r="B54" s="177" t="s">
        <v>2134</v>
      </c>
      <c r="C54" s="177"/>
      <c r="D54" s="372">
        <f>Input!$JW$7</f>
        <v>0</v>
      </c>
      <c r="E54" s="372">
        <f>Input!$JX$7</f>
        <v>0</v>
      </c>
      <c r="F54" s="372">
        <f>Input!$JY$7</f>
        <v>164236378</v>
      </c>
      <c r="G54" s="372">
        <f>Input!$JZ$7</f>
        <v>0</v>
      </c>
      <c r="H54" s="372">
        <f>Input!$KA$7</f>
        <v>0</v>
      </c>
      <c r="I54" s="372">
        <f>Input!$KB$7</f>
        <v>0</v>
      </c>
      <c r="J54" s="372">
        <f>Input!$KC$7</f>
        <v>0</v>
      </c>
      <c r="K54" s="372">
        <f>Input!$KD$7</f>
        <v>0</v>
      </c>
      <c r="L54" s="372">
        <f>Input!$KE$7</f>
        <v>0</v>
      </c>
      <c r="M54" s="373">
        <f t="shared" si="9"/>
        <v>164236378</v>
      </c>
      <c r="N54" s="160"/>
      <c r="O54" s="273"/>
    </row>
    <row r="55" spans="1:28" ht="14.25" thickTop="1" thickBot="1">
      <c r="A55" s="184">
        <v>54</v>
      </c>
      <c r="B55" s="160" t="s">
        <v>43</v>
      </c>
      <c r="C55" s="160"/>
      <c r="D55" s="372">
        <f>Input!$KF$7</f>
        <v>185748</v>
      </c>
      <c r="E55" s="372">
        <f>Input!$KG$7</f>
        <v>16231137</v>
      </c>
      <c r="F55" s="372">
        <f>Input!$KH$7</f>
        <v>0</v>
      </c>
      <c r="G55" s="372">
        <f>Input!$KI$7</f>
        <v>0</v>
      </c>
      <c r="H55" s="372">
        <f>Input!$KJ$7</f>
        <v>1244118</v>
      </c>
      <c r="I55" s="372">
        <f>Input!$KK$7</f>
        <v>0</v>
      </c>
      <c r="J55" s="372">
        <f>Input!$KL$7</f>
        <v>0</v>
      </c>
      <c r="K55" s="372">
        <f>Input!$KM$7</f>
        <v>0</v>
      </c>
      <c r="L55" s="372">
        <f>Input!$KN$7</f>
        <v>-5726015</v>
      </c>
      <c r="M55" s="373">
        <f t="shared" si="9"/>
        <v>11934988</v>
      </c>
      <c r="N55" s="160"/>
      <c r="O55" s="1616" t="s">
        <v>251</v>
      </c>
      <c r="P55" s="1617"/>
      <c r="Q55" s="1617"/>
      <c r="R55" s="1618"/>
      <c r="S55" s="437"/>
      <c r="T55" s="1619" t="s">
        <v>252</v>
      </c>
      <c r="U55" s="1620"/>
      <c r="V55" s="1620"/>
      <c r="W55" s="1620"/>
      <c r="X55" s="1621"/>
      <c r="Y55" s="320"/>
      <c r="Z55" s="1749" t="s">
        <v>1301</v>
      </c>
      <c r="AA55" s="1750"/>
      <c r="AB55" s="1751"/>
    </row>
    <row r="56" spans="1:28" ht="13.5" customHeight="1" thickTop="1">
      <c r="A56" s="184">
        <v>55</v>
      </c>
      <c r="B56" s="176" t="s">
        <v>3</v>
      </c>
      <c r="C56" s="176"/>
      <c r="D56" s="374">
        <f>SUM(D50:D55)</f>
        <v>13686115</v>
      </c>
      <c r="E56" s="374">
        <f t="shared" ref="E56:L56" si="10">SUM(E50:E55)</f>
        <v>467683233</v>
      </c>
      <c r="F56" s="374">
        <f t="shared" si="10"/>
        <v>193754070</v>
      </c>
      <c r="G56" s="374">
        <f t="shared" si="10"/>
        <v>608052048</v>
      </c>
      <c r="H56" s="374">
        <f t="shared" si="10"/>
        <v>5548286</v>
      </c>
      <c r="I56" s="374">
        <f t="shared" si="10"/>
        <v>361099</v>
      </c>
      <c r="J56" s="374">
        <f t="shared" si="10"/>
        <v>52781461</v>
      </c>
      <c r="K56" s="374">
        <f t="shared" si="10"/>
        <v>0</v>
      </c>
      <c r="L56" s="374">
        <f t="shared" si="10"/>
        <v>-5726015</v>
      </c>
      <c r="M56" s="374">
        <f t="shared" si="9"/>
        <v>1336140297</v>
      </c>
      <c r="N56" s="160"/>
      <c r="O56" s="1622" t="s">
        <v>1135</v>
      </c>
      <c r="P56" s="1625" t="s">
        <v>254</v>
      </c>
      <c r="Q56" s="1625" t="s">
        <v>292</v>
      </c>
      <c r="R56" s="1628" t="s">
        <v>1063</v>
      </c>
      <c r="S56" s="280"/>
      <c r="T56" s="1739" t="s">
        <v>1136</v>
      </c>
      <c r="U56" s="1637" t="s">
        <v>254</v>
      </c>
      <c r="V56" s="1634" t="s">
        <v>256</v>
      </c>
      <c r="W56" s="1637" t="s">
        <v>257</v>
      </c>
      <c r="X56" s="1638" t="s">
        <v>1064</v>
      </c>
      <c r="Z56" s="1754" t="s">
        <v>1302</v>
      </c>
      <c r="AA56" s="1747" t="s">
        <v>1303</v>
      </c>
      <c r="AB56" s="1752" t="s">
        <v>238</v>
      </c>
    </row>
    <row r="57" spans="1:28">
      <c r="A57" s="184">
        <v>56</v>
      </c>
      <c r="B57" s="162" t="s">
        <v>68</v>
      </c>
      <c r="C57" s="162"/>
      <c r="D57" s="374">
        <f>D15+D44+D47+D56</f>
        <v>852795623</v>
      </c>
      <c r="E57" s="374">
        <f t="shared" ref="E57:L57" si="11">E15+E44+E47+E56</f>
        <v>1005609491</v>
      </c>
      <c r="F57" s="374">
        <f t="shared" si="11"/>
        <v>228114428</v>
      </c>
      <c r="G57" s="374">
        <f t="shared" si="11"/>
        <v>1097132987</v>
      </c>
      <c r="H57" s="374">
        <f t="shared" si="11"/>
        <v>5548286</v>
      </c>
      <c r="I57" s="374">
        <f t="shared" si="11"/>
        <v>361099</v>
      </c>
      <c r="J57" s="374">
        <f t="shared" si="11"/>
        <v>52781461</v>
      </c>
      <c r="K57" s="374">
        <f t="shared" si="11"/>
        <v>0</v>
      </c>
      <c r="L57" s="374">
        <f t="shared" si="11"/>
        <v>-5726015</v>
      </c>
      <c r="M57" s="374">
        <f t="shared" si="9"/>
        <v>3236617360</v>
      </c>
      <c r="N57" s="160"/>
      <c r="O57" s="1623"/>
      <c r="P57" s="1626"/>
      <c r="Q57" s="1626"/>
      <c r="R57" s="1629"/>
      <c r="S57" s="280"/>
      <c r="T57" s="1740"/>
      <c r="U57" s="1626"/>
      <c r="V57" s="1635"/>
      <c r="W57" s="1626"/>
      <c r="X57" s="1639"/>
      <c r="Z57" s="1755"/>
      <c r="AA57" s="1747"/>
      <c r="AB57" s="1752"/>
    </row>
    <row r="58" spans="1:28">
      <c r="A58" s="184">
        <v>57</v>
      </c>
      <c r="B58" s="160"/>
      <c r="C58" s="160"/>
      <c r="D58" s="373"/>
      <c r="E58" s="373"/>
      <c r="F58" s="373"/>
      <c r="G58" s="373"/>
      <c r="H58" s="373"/>
      <c r="I58" s="373"/>
      <c r="J58" s="373"/>
      <c r="K58" s="373"/>
      <c r="L58" s="373"/>
      <c r="M58" s="373"/>
      <c r="N58" s="160"/>
      <c r="O58" s="1623"/>
      <c r="P58" s="1626"/>
      <c r="Q58" s="1626"/>
      <c r="R58" s="1629"/>
      <c r="S58" s="280"/>
      <c r="T58" s="1740"/>
      <c r="U58" s="1626"/>
      <c r="V58" s="1635"/>
      <c r="W58" s="1626"/>
      <c r="X58" s="1639"/>
      <c r="Z58" s="1755"/>
      <c r="AA58" s="1747"/>
      <c r="AB58" s="1752"/>
    </row>
    <row r="59" spans="1:28" ht="15">
      <c r="A59" s="184">
        <v>58</v>
      </c>
      <c r="B59" s="174" t="s">
        <v>72</v>
      </c>
      <c r="C59" s="174"/>
      <c r="D59" s="377"/>
      <c r="E59" s="377"/>
      <c r="F59" s="377"/>
      <c r="G59" s="1746" t="str">
        <f>IF(OR(P105&gt;0,P106&lt;&gt;0,P107&lt;&gt;0),"Do not Enter Cents - Whole Dollars Only","")</f>
        <v/>
      </c>
      <c r="H59" s="1746"/>
      <c r="I59" s="1746"/>
      <c r="J59" s="1746"/>
      <c r="K59" s="1746"/>
      <c r="L59" s="377"/>
      <c r="M59" s="377"/>
      <c r="N59" s="160"/>
      <c r="O59" s="1624"/>
      <c r="P59" s="1627"/>
      <c r="Q59" s="1627"/>
      <c r="R59" s="1630"/>
      <c r="S59" s="280"/>
      <c r="T59" s="1741"/>
      <c r="U59" s="1627"/>
      <c r="V59" s="1636"/>
      <c r="W59" s="1627"/>
      <c r="X59" s="1640"/>
      <c r="Z59" s="1756"/>
      <c r="AA59" s="1748"/>
      <c r="AB59" s="1753"/>
    </row>
    <row r="60" spans="1:28" ht="13.5" thickBot="1">
      <c r="A60" s="184">
        <v>59</v>
      </c>
      <c r="B60" s="160" t="s">
        <v>14</v>
      </c>
      <c r="C60" s="160"/>
      <c r="D60" s="372">
        <f>Input!$KO$7</f>
        <v>487388032</v>
      </c>
      <c r="E60" s="372">
        <f>Input!$KP$7</f>
        <v>128503397</v>
      </c>
      <c r="F60" s="372">
        <f>Input!$KQ$7</f>
        <v>0</v>
      </c>
      <c r="G60" s="372">
        <f>Input!$KR$7</f>
        <v>60389396</v>
      </c>
      <c r="H60" s="372">
        <f>Input!$KS$7</f>
        <v>0</v>
      </c>
      <c r="I60" s="372">
        <f>Input!$KT$7</f>
        <v>0</v>
      </c>
      <c r="J60" s="372">
        <f>Input!$KU$7</f>
        <v>0</v>
      </c>
      <c r="K60" s="372">
        <f>Input!$KV$7</f>
        <v>0</v>
      </c>
      <c r="L60" s="372">
        <f>Input!$KW$7</f>
        <v>0</v>
      </c>
      <c r="M60" s="373">
        <f t="shared" ref="M60:M71" si="12">D60+E60+F60+G60+H60+I60+J60+K60+L60</f>
        <v>676280825</v>
      </c>
      <c r="N60" s="160"/>
      <c r="O60" s="282">
        <f>D60+E60+G60+J60</f>
        <v>676280825</v>
      </c>
      <c r="P60" s="518">
        <f>Input!$SS$7</f>
        <v>4337985</v>
      </c>
      <c r="Q60" s="438" t="s">
        <v>259</v>
      </c>
      <c r="R60" s="284">
        <f>SUM(O60:P60)</f>
        <v>680618810</v>
      </c>
      <c r="S60" s="439"/>
      <c r="T60" s="286">
        <f t="shared" ref="T60:T67" si="13">D60+E60+G60</f>
        <v>676280825</v>
      </c>
      <c r="U60" s="287">
        <f t="shared" ref="U60:U67" si="14">P60</f>
        <v>4337985</v>
      </c>
      <c r="V60" s="289">
        <f>Input!$TC$7</f>
        <v>542497</v>
      </c>
      <c r="W60" s="289">
        <f>Input!$TK$7</f>
        <v>1501173</v>
      </c>
      <c r="X60" s="290">
        <f t="shared" ref="X60:X66" si="15">T60+U60-V60-W60</f>
        <v>678575140</v>
      </c>
      <c r="Z60" s="292" t="s">
        <v>14</v>
      </c>
      <c r="AA60" s="520">
        <f>Input!$TS$7</f>
        <v>676280825</v>
      </c>
      <c r="AB60" s="293">
        <f t="shared" ref="AB60:AB68" si="16">AA60-M60</f>
        <v>0</v>
      </c>
    </row>
    <row r="61" spans="1:28" ht="14.25" thickTop="1" thickBot="1">
      <c r="A61" s="184">
        <v>60</v>
      </c>
      <c r="B61" s="160" t="s">
        <v>15</v>
      </c>
      <c r="C61" s="160"/>
      <c r="D61" s="372">
        <f>Input!$KX$7</f>
        <v>46235207</v>
      </c>
      <c r="E61" s="372">
        <f>Input!$KY$7</f>
        <v>42304203</v>
      </c>
      <c r="F61" s="372">
        <f>Input!$KZ$7</f>
        <v>0</v>
      </c>
      <c r="G61" s="372">
        <f>Input!$LA$7</f>
        <v>435036819</v>
      </c>
      <c r="H61" s="372">
        <f>Input!$LB$7</f>
        <v>0</v>
      </c>
      <c r="I61" s="372">
        <f>Input!$LC$7</f>
        <v>0</v>
      </c>
      <c r="J61" s="372">
        <f>Input!$LD$7</f>
        <v>0</v>
      </c>
      <c r="K61" s="372">
        <f>Input!$LE$7</f>
        <v>0</v>
      </c>
      <c r="L61" s="372">
        <f>Input!$LF$7</f>
        <v>0</v>
      </c>
      <c r="M61" s="373">
        <f t="shared" si="12"/>
        <v>523576229</v>
      </c>
      <c r="N61" s="160"/>
      <c r="O61" s="440">
        <f t="shared" ref="O61:O67" si="17">D61+E61+G61+J61</f>
        <v>523576229</v>
      </c>
      <c r="P61" s="518">
        <f>Input!$ST$7</f>
        <v>49905370</v>
      </c>
      <c r="Q61" s="441" t="s">
        <v>259</v>
      </c>
      <c r="R61" s="295">
        <f>SUM(O61:P61)</f>
        <v>573481599</v>
      </c>
      <c r="S61" s="442"/>
      <c r="T61" s="296">
        <f t="shared" si="13"/>
        <v>523576229</v>
      </c>
      <c r="U61" s="297">
        <f t="shared" si="14"/>
        <v>49905370</v>
      </c>
      <c r="V61" s="299">
        <f>Input!$TD$7</f>
        <v>-841172</v>
      </c>
      <c r="W61" s="299">
        <f>Input!$TL$7</f>
        <v>567301</v>
      </c>
      <c r="X61" s="300">
        <f t="shared" si="15"/>
        <v>573755470</v>
      </c>
      <c r="Z61" s="292" t="s">
        <v>15</v>
      </c>
      <c r="AA61" s="518">
        <f>Input!$TT$7</f>
        <v>523576229</v>
      </c>
      <c r="AB61" s="301">
        <f t="shared" si="16"/>
        <v>0</v>
      </c>
    </row>
    <row r="62" spans="1:28" ht="13.5" thickTop="1">
      <c r="A62" s="184">
        <v>61</v>
      </c>
      <c r="B62" s="160" t="s">
        <v>16</v>
      </c>
      <c r="C62" s="160"/>
      <c r="D62" s="372">
        <f>Input!$LG$7</f>
        <v>2997007</v>
      </c>
      <c r="E62" s="372">
        <f>Input!$LH$7</f>
        <v>44175101</v>
      </c>
      <c r="F62" s="372">
        <f>Input!$LI$7</f>
        <v>0</v>
      </c>
      <c r="G62" s="372">
        <f>Input!$LJ$7</f>
        <v>46893945</v>
      </c>
      <c r="H62" s="372">
        <f>Input!$LK$7</f>
        <v>0</v>
      </c>
      <c r="I62" s="372">
        <f>Input!$LL$7</f>
        <v>0</v>
      </c>
      <c r="J62" s="372">
        <f>Input!$LM$7</f>
        <v>0</v>
      </c>
      <c r="K62" s="372">
        <f>Input!$LN$7</f>
        <v>0</v>
      </c>
      <c r="L62" s="372">
        <f>Input!$LO$7</f>
        <v>0</v>
      </c>
      <c r="M62" s="373">
        <f t="shared" si="12"/>
        <v>94066053</v>
      </c>
      <c r="N62" s="160"/>
      <c r="O62" s="440">
        <f t="shared" si="17"/>
        <v>94066053</v>
      </c>
      <c r="P62" s="518">
        <f>Input!$SU$7</f>
        <v>2966447</v>
      </c>
      <c r="Q62" s="441" t="s">
        <v>259</v>
      </c>
      <c r="R62" s="302" t="s">
        <v>259</v>
      </c>
      <c r="S62" s="442"/>
      <c r="T62" s="296">
        <f t="shared" si="13"/>
        <v>94066053</v>
      </c>
      <c r="U62" s="297">
        <f t="shared" si="14"/>
        <v>2966447</v>
      </c>
      <c r="V62" s="299">
        <f>Input!$TE$7</f>
        <v>413479</v>
      </c>
      <c r="W62" s="299">
        <f>Input!$TM$7</f>
        <v>582410</v>
      </c>
      <c r="X62" s="303">
        <f t="shared" si="15"/>
        <v>96036611</v>
      </c>
      <c r="Z62" s="292" t="s">
        <v>16</v>
      </c>
      <c r="AA62" s="518">
        <f>Input!$TU$7</f>
        <v>94066053</v>
      </c>
      <c r="AB62" s="301">
        <f t="shared" si="16"/>
        <v>0</v>
      </c>
    </row>
    <row r="63" spans="1:28">
      <c r="A63" s="184">
        <v>62</v>
      </c>
      <c r="B63" s="160" t="s">
        <v>17</v>
      </c>
      <c r="C63" s="160"/>
      <c r="D63" s="372">
        <f>Input!$LP$7</f>
        <v>97151456</v>
      </c>
      <c r="E63" s="372">
        <f>Input!$LQ$7</f>
        <v>161444205</v>
      </c>
      <c r="F63" s="372">
        <f>Input!$LR$7</f>
        <v>0</v>
      </c>
      <c r="G63" s="372">
        <f>Input!$LS$7</f>
        <v>51186170</v>
      </c>
      <c r="H63" s="372">
        <f>Input!$LT$7</f>
        <v>0</v>
      </c>
      <c r="I63" s="372">
        <f>Input!$LU$7</f>
        <v>0</v>
      </c>
      <c r="J63" s="372">
        <f>Input!$LV$7</f>
        <v>0</v>
      </c>
      <c r="K63" s="372">
        <f>Input!$LW$7</f>
        <v>0</v>
      </c>
      <c r="L63" s="372">
        <f>Input!$LX$7</f>
        <v>0</v>
      </c>
      <c r="M63" s="373">
        <f t="shared" si="12"/>
        <v>309781831</v>
      </c>
      <c r="N63" s="160"/>
      <c r="O63" s="440">
        <f t="shared" si="17"/>
        <v>309781831</v>
      </c>
      <c r="P63" s="518">
        <f>Input!$SV$7</f>
        <v>20220542</v>
      </c>
      <c r="Q63" s="441" t="s">
        <v>259</v>
      </c>
      <c r="R63" s="295">
        <f t="shared" ref="R63:R65" si="18">SUM(O63:P63)</f>
        <v>330002373</v>
      </c>
      <c r="S63" s="442"/>
      <c r="T63" s="296">
        <f t="shared" si="13"/>
        <v>309781831</v>
      </c>
      <c r="U63" s="297">
        <f t="shared" si="14"/>
        <v>20220542</v>
      </c>
      <c r="V63" s="299">
        <f>Input!$TF$7</f>
        <v>0</v>
      </c>
      <c r="W63" s="299">
        <f>Input!$TN$7</f>
        <v>0</v>
      </c>
      <c r="X63" s="303">
        <f t="shared" si="15"/>
        <v>330002373</v>
      </c>
      <c r="Z63" s="292" t="s">
        <v>17</v>
      </c>
      <c r="AA63" s="518">
        <f>Input!$TV$7</f>
        <v>309781831</v>
      </c>
      <c r="AB63" s="301">
        <f t="shared" si="16"/>
        <v>0</v>
      </c>
    </row>
    <row r="64" spans="1:28">
      <c r="A64" s="184">
        <v>63</v>
      </c>
      <c r="B64" s="160" t="s">
        <v>18</v>
      </c>
      <c r="C64" s="160"/>
      <c r="D64" s="372">
        <f>Input!$LY$7</f>
        <v>15136139</v>
      </c>
      <c r="E64" s="372">
        <f>Input!$LZ$7</f>
        <v>26494555</v>
      </c>
      <c r="F64" s="372">
        <f>Input!$MA$7</f>
        <v>0</v>
      </c>
      <c r="G64" s="372">
        <f>Input!$MB$7</f>
        <v>1062128</v>
      </c>
      <c r="H64" s="372">
        <f>Input!$MC$7</f>
        <v>-900927</v>
      </c>
      <c r="I64" s="372">
        <f>Input!$MD$7</f>
        <v>0</v>
      </c>
      <c r="J64" s="372">
        <f>Input!$ME$7</f>
        <v>0</v>
      </c>
      <c r="K64" s="372">
        <f>Input!$MF$7</f>
        <v>0</v>
      </c>
      <c r="L64" s="372">
        <f>Input!$MG$7</f>
        <v>0</v>
      </c>
      <c r="M64" s="373">
        <f t="shared" si="12"/>
        <v>41791895</v>
      </c>
      <c r="N64" s="160"/>
      <c r="O64" s="440">
        <f t="shared" si="17"/>
        <v>42692822</v>
      </c>
      <c r="P64" s="518">
        <f>Input!$SW$7</f>
        <v>24455</v>
      </c>
      <c r="Q64" s="518">
        <f>Input!$TB$7</f>
        <v>-598</v>
      </c>
      <c r="R64" s="295">
        <f>SUM(O64:P64)-Q64</f>
        <v>42717875</v>
      </c>
      <c r="S64" s="442"/>
      <c r="T64" s="296">
        <f t="shared" si="13"/>
        <v>42692822</v>
      </c>
      <c r="U64" s="297">
        <f t="shared" si="14"/>
        <v>24455</v>
      </c>
      <c r="V64" s="299">
        <f>Input!$TG$7</f>
        <v>0</v>
      </c>
      <c r="W64" s="299">
        <f>Input!$TO$7</f>
        <v>0</v>
      </c>
      <c r="X64" s="303">
        <f t="shared" si="15"/>
        <v>42717277</v>
      </c>
      <c r="Z64" s="292" t="s">
        <v>18</v>
      </c>
      <c r="AA64" s="518">
        <f>Input!$TW$7</f>
        <v>41791895</v>
      </c>
      <c r="AB64" s="301">
        <f t="shared" si="16"/>
        <v>0</v>
      </c>
    </row>
    <row r="65" spans="1:28">
      <c r="A65" s="184">
        <v>64</v>
      </c>
      <c r="B65" s="160" t="s">
        <v>19</v>
      </c>
      <c r="C65" s="160"/>
      <c r="D65" s="372">
        <f>Input!$MH$7</f>
        <v>79165203</v>
      </c>
      <c r="E65" s="372">
        <f>Input!$MI$7</f>
        <v>106484125</v>
      </c>
      <c r="F65" s="372">
        <f>Input!$MJ$7</f>
        <v>0</v>
      </c>
      <c r="G65" s="372">
        <f>Input!$MK$7</f>
        <v>27233463</v>
      </c>
      <c r="H65" s="372">
        <f>Input!$ML$7</f>
        <v>0</v>
      </c>
      <c r="I65" s="372">
        <f>Input!$MM$7</f>
        <v>0</v>
      </c>
      <c r="J65" s="372">
        <f>Input!$MN$7</f>
        <v>0</v>
      </c>
      <c r="K65" s="372">
        <f>Input!$MO$7</f>
        <v>0</v>
      </c>
      <c r="L65" s="372">
        <f>Input!$MP$7</f>
        <v>0</v>
      </c>
      <c r="M65" s="373">
        <f t="shared" si="12"/>
        <v>212882791</v>
      </c>
      <c r="N65" s="160"/>
      <c r="O65" s="440">
        <f t="shared" si="17"/>
        <v>212882791</v>
      </c>
      <c r="P65" s="518">
        <f>Input!$SX$7</f>
        <v>6451681</v>
      </c>
      <c r="Q65" s="441" t="s">
        <v>259</v>
      </c>
      <c r="R65" s="295">
        <f t="shared" si="18"/>
        <v>219334472</v>
      </c>
      <c r="S65" s="442"/>
      <c r="T65" s="296">
        <f t="shared" si="13"/>
        <v>212882791</v>
      </c>
      <c r="U65" s="297">
        <f t="shared" si="14"/>
        <v>6451681</v>
      </c>
      <c r="V65" s="299">
        <f>Input!$TH$7</f>
        <v>0</v>
      </c>
      <c r="W65" s="299">
        <f>Input!$TP$7</f>
        <v>0</v>
      </c>
      <c r="X65" s="303">
        <f t="shared" si="15"/>
        <v>219334472</v>
      </c>
      <c r="Z65" s="292" t="s">
        <v>19</v>
      </c>
      <c r="AA65" s="518">
        <f>Input!$TX$7</f>
        <v>212882791</v>
      </c>
      <c r="AB65" s="301">
        <f t="shared" si="16"/>
        <v>0</v>
      </c>
    </row>
    <row r="66" spans="1:28">
      <c r="A66" s="184">
        <v>65</v>
      </c>
      <c r="B66" s="160" t="s">
        <v>20</v>
      </c>
      <c r="C66" s="160"/>
      <c r="D66" s="372">
        <f>Input!$MQ$7</f>
        <v>1145292</v>
      </c>
      <c r="E66" s="372">
        <f>Input!$MR$7</f>
        <v>145564045</v>
      </c>
      <c r="F66" s="372">
        <f>Input!$MS$7</f>
        <v>0</v>
      </c>
      <c r="G66" s="372">
        <f>Input!$MT$7</f>
        <v>1820</v>
      </c>
      <c r="H66" s="372">
        <f>Input!$MU$7</f>
        <v>0</v>
      </c>
      <c r="I66" s="372">
        <f>Input!$MV$7</f>
        <v>0</v>
      </c>
      <c r="J66" s="372">
        <f>Input!$MW$7</f>
        <v>51562083</v>
      </c>
      <c r="K66" s="372">
        <f>Input!$MX$7</f>
        <v>0</v>
      </c>
      <c r="L66" s="372">
        <f>Input!$MY$7</f>
        <v>0</v>
      </c>
      <c r="M66" s="373">
        <f t="shared" si="12"/>
        <v>198273240</v>
      </c>
      <c r="N66" s="160"/>
      <c r="O66" s="440">
        <f t="shared" si="17"/>
        <v>198273240</v>
      </c>
      <c r="P66" s="518">
        <f>Input!$SY$7</f>
        <v>523347</v>
      </c>
      <c r="Q66" s="441" t="s">
        <v>259</v>
      </c>
      <c r="R66" s="304" t="s">
        <v>259</v>
      </c>
      <c r="S66" s="442"/>
      <c r="T66" s="296">
        <f t="shared" si="13"/>
        <v>146711157</v>
      </c>
      <c r="U66" s="297">
        <f t="shared" si="14"/>
        <v>523347</v>
      </c>
      <c r="V66" s="299">
        <f>Input!$TI$7</f>
        <v>0</v>
      </c>
      <c r="W66" s="299">
        <f>Input!$TQ$7</f>
        <v>0</v>
      </c>
      <c r="X66" s="303">
        <f t="shared" si="15"/>
        <v>147234504</v>
      </c>
      <c r="Z66" s="292" t="s">
        <v>260</v>
      </c>
      <c r="AA66" s="518">
        <f>Input!$TY$7</f>
        <v>198273240</v>
      </c>
      <c r="AB66" s="301">
        <f t="shared" si="16"/>
        <v>0</v>
      </c>
    </row>
    <row r="67" spans="1:28" ht="13.5" thickBot="1">
      <c r="A67" s="184">
        <v>66</v>
      </c>
      <c r="B67" s="160" t="s">
        <v>21</v>
      </c>
      <c r="C67" s="160"/>
      <c r="D67" s="372">
        <f>Input!$MZ$7</f>
        <v>56018007</v>
      </c>
      <c r="E67" s="372">
        <f>Input!$NA$7</f>
        <v>48629351</v>
      </c>
      <c r="F67" s="372">
        <f>Input!$NB$7</f>
        <v>0</v>
      </c>
      <c r="G67" s="372">
        <f>Input!$NC$7</f>
        <v>64668231</v>
      </c>
      <c r="H67" s="372">
        <f>Input!$ND$7</f>
        <v>0</v>
      </c>
      <c r="I67" s="372">
        <f>Input!$NE$7</f>
        <v>0</v>
      </c>
      <c r="J67" s="372">
        <f>Input!$NF$7</f>
        <v>0</v>
      </c>
      <c r="K67" s="372">
        <f>Input!$NG$7</f>
        <v>0</v>
      </c>
      <c r="L67" s="372">
        <f>Input!$NH$7</f>
        <v>0</v>
      </c>
      <c r="M67" s="373">
        <f t="shared" si="12"/>
        <v>169315589</v>
      </c>
      <c r="N67" s="160"/>
      <c r="O67" s="440">
        <f t="shared" si="17"/>
        <v>169315589</v>
      </c>
      <c r="P67" s="518">
        <f>Input!$SZ$7</f>
        <v>0</v>
      </c>
      <c r="Q67" s="441" t="s">
        <v>259</v>
      </c>
      <c r="R67" s="304" t="s">
        <v>259</v>
      </c>
      <c r="S67" s="442"/>
      <c r="T67" s="306">
        <f t="shared" si="13"/>
        <v>169315589</v>
      </c>
      <c r="U67" s="307">
        <f t="shared" si="14"/>
        <v>0</v>
      </c>
      <c r="V67" s="308">
        <f>Input!$TJ$7</f>
        <v>0</v>
      </c>
      <c r="W67" s="308">
        <f>Input!$TR$7</f>
        <v>0</v>
      </c>
      <c r="X67" s="303">
        <f>U67+T67-V67-W67</f>
        <v>169315589</v>
      </c>
      <c r="Z67" s="292" t="s">
        <v>21</v>
      </c>
      <c r="AA67" s="518">
        <f>Input!$TZ$7</f>
        <v>169315589</v>
      </c>
      <c r="AB67" s="301">
        <f t="shared" si="16"/>
        <v>0</v>
      </c>
    </row>
    <row r="68" spans="1:28" ht="14.25" thickTop="1" thickBot="1">
      <c r="A68" s="184">
        <v>67</v>
      </c>
      <c r="B68" s="160" t="s">
        <v>2135</v>
      </c>
      <c r="C68" s="160"/>
      <c r="D68" s="372">
        <f>Input!$NI$7</f>
        <v>0</v>
      </c>
      <c r="E68" s="372">
        <f>Input!$NJ$7</f>
        <v>0</v>
      </c>
      <c r="F68" s="372">
        <f>Input!$NK$7</f>
        <v>214840884</v>
      </c>
      <c r="G68" s="372">
        <f>Input!$NL$7</f>
        <v>67393537</v>
      </c>
      <c r="H68" s="372">
        <f>Input!$NM$7</f>
        <v>0</v>
      </c>
      <c r="I68" s="372">
        <f>Input!$NN$7</f>
        <v>0</v>
      </c>
      <c r="J68" s="372">
        <f>Input!$NO$7</f>
        <v>0</v>
      </c>
      <c r="K68" s="372">
        <f>Input!$NP$7</f>
        <v>0</v>
      </c>
      <c r="L68" s="372">
        <f>Input!$NQ$7</f>
        <v>0</v>
      </c>
      <c r="M68" s="373">
        <f t="shared" si="12"/>
        <v>282234421</v>
      </c>
      <c r="N68" s="160"/>
      <c r="O68" s="309" t="s">
        <v>259</v>
      </c>
      <c r="P68" s="519">
        <f>Input!$TA$7</f>
        <v>779664</v>
      </c>
      <c r="Q68" s="444" t="s">
        <v>259</v>
      </c>
      <c r="R68" s="311" t="s">
        <v>259</v>
      </c>
      <c r="S68" s="442"/>
      <c r="T68" s="305"/>
      <c r="U68" s="305"/>
      <c r="V68" s="312" t="s">
        <v>261</v>
      </c>
      <c r="W68" s="313"/>
      <c r="X68" s="314">
        <f>SUM(X60:X67)</f>
        <v>2256971436</v>
      </c>
      <c r="Z68" s="292" t="s">
        <v>22</v>
      </c>
      <c r="AA68" s="518">
        <f>Input!$UA$7</f>
        <v>282234421</v>
      </c>
      <c r="AB68" s="301">
        <f t="shared" si="16"/>
        <v>0</v>
      </c>
    </row>
    <row r="69" spans="1:28" ht="14.25" thickTop="1" thickBot="1">
      <c r="A69" s="184">
        <v>68</v>
      </c>
      <c r="B69" s="161" t="s">
        <v>59</v>
      </c>
      <c r="C69" s="161"/>
      <c r="D69" s="372">
        <f>Input!$NR$7</f>
        <v>9743764</v>
      </c>
      <c r="E69" s="372">
        <f>Input!$NS$7</f>
        <v>23048683</v>
      </c>
      <c r="F69" s="372">
        <f>Input!$NT$7</f>
        <v>758669</v>
      </c>
      <c r="G69" s="372">
        <f>Input!$NU$7</f>
        <v>51658375</v>
      </c>
      <c r="H69" s="372">
        <f>Input!$NV$7</f>
        <v>0</v>
      </c>
      <c r="I69" s="372">
        <f>Input!$NW$7</f>
        <v>0</v>
      </c>
      <c r="J69" s="372">
        <f>Input!$NX$7</f>
        <v>0</v>
      </c>
      <c r="K69" s="372">
        <f>Input!$NY$7</f>
        <v>0</v>
      </c>
      <c r="L69" s="372">
        <f>Input!$NZ$7</f>
        <v>0</v>
      </c>
      <c r="M69" s="373">
        <f t="shared" si="12"/>
        <v>85209491</v>
      </c>
      <c r="N69" s="160"/>
      <c r="O69" s="315"/>
      <c r="P69" s="316">
        <f>SUM(P60:P68)</f>
        <v>85209491</v>
      </c>
      <c r="Q69" s="316">
        <f>SUM(Q64:Q68)</f>
        <v>-598</v>
      </c>
      <c r="R69" s="317">
        <f>SUM(R60:R65)</f>
        <v>1846155129</v>
      </c>
      <c r="S69" s="316"/>
      <c r="T69" s="305"/>
      <c r="U69" s="305"/>
      <c r="V69" s="305"/>
      <c r="W69" s="277"/>
      <c r="X69" s="277"/>
      <c r="Y69" s="277"/>
      <c r="Z69" s="292" t="s">
        <v>285</v>
      </c>
      <c r="AA69" s="445">
        <f>M88*-1</f>
        <v>324807006</v>
      </c>
      <c r="AB69" s="301">
        <f>AA69+M88</f>
        <v>0</v>
      </c>
    </row>
    <row r="70" spans="1:28" ht="14.25" thickTop="1" thickBot="1">
      <c r="A70" s="184">
        <v>69</v>
      </c>
      <c r="B70" s="178" t="s">
        <v>44</v>
      </c>
      <c r="C70" s="178"/>
      <c r="D70" s="378">
        <f>Input!$OA$7</f>
        <v>0</v>
      </c>
      <c r="E70" s="378">
        <f>Input!$OB$7</f>
        <v>786955</v>
      </c>
      <c r="F70" s="378">
        <f>Input!$OC$7</f>
        <v>165</v>
      </c>
      <c r="G70" s="378">
        <f>Input!$OD$7</f>
        <v>17775</v>
      </c>
      <c r="H70" s="378">
        <f>Input!$OE$7</f>
        <v>21853</v>
      </c>
      <c r="I70" s="378">
        <f>Input!$OF$7</f>
        <v>0</v>
      </c>
      <c r="J70" s="378">
        <f>Input!$OG$7</f>
        <v>0</v>
      </c>
      <c r="K70" s="378">
        <f>Input!$OH$7</f>
        <v>0</v>
      </c>
      <c r="L70" s="378">
        <f>Input!$OI$7</f>
        <v>903110</v>
      </c>
      <c r="M70" s="373">
        <f t="shared" si="12"/>
        <v>1729858</v>
      </c>
      <c r="N70" s="160"/>
      <c r="O70" s="320"/>
      <c r="P70" s="516" t="str">
        <f>IF(P69&lt;&gt;M69,"Out of Balance","Balanced")</f>
        <v>Balanced</v>
      </c>
      <c r="Q70" s="318"/>
      <c r="R70" s="305"/>
      <c r="S70" s="305"/>
      <c r="T70" s="305"/>
      <c r="U70" s="277"/>
      <c r="V70" s="1738" t="str">
        <f>IF(X68-INT(X68)&lt;&gt;0,"Whole Dollars Only","")</f>
        <v/>
      </c>
      <c r="W70" s="1738"/>
      <c r="X70" s="537"/>
      <c r="Y70" s="319"/>
      <c r="Z70" s="410" t="s">
        <v>262</v>
      </c>
      <c r="AA70" s="446" t="s">
        <v>259</v>
      </c>
      <c r="AB70" s="411">
        <f>M90</f>
        <v>0</v>
      </c>
    </row>
    <row r="71" spans="1:28" ht="13.5" thickTop="1">
      <c r="A71" s="184">
        <v>70</v>
      </c>
      <c r="B71" s="162" t="s">
        <v>69</v>
      </c>
      <c r="C71" s="162"/>
      <c r="D71" s="374">
        <f>SUM(D60:D70)</f>
        <v>794980107</v>
      </c>
      <c r="E71" s="374">
        <f>SUM(E60:E70)</f>
        <v>727434620</v>
      </c>
      <c r="F71" s="374">
        <f t="shared" ref="F71:L71" si="19">SUM(F60:F70)</f>
        <v>215599718</v>
      </c>
      <c r="G71" s="374">
        <f t="shared" si="19"/>
        <v>805541659</v>
      </c>
      <c r="H71" s="374">
        <f t="shared" si="19"/>
        <v>-879074</v>
      </c>
      <c r="I71" s="374">
        <f t="shared" si="19"/>
        <v>0</v>
      </c>
      <c r="J71" s="374">
        <f t="shared" si="19"/>
        <v>51562083</v>
      </c>
      <c r="K71" s="374">
        <f t="shared" si="19"/>
        <v>0</v>
      </c>
      <c r="L71" s="374">
        <f t="shared" si="19"/>
        <v>903110</v>
      </c>
      <c r="M71" s="374">
        <f t="shared" si="12"/>
        <v>2595142223</v>
      </c>
      <c r="N71" s="160"/>
      <c r="O71" s="322"/>
      <c r="P71" s="1738" t="str">
        <f>IF(P69-INT(P69)&lt;&gt;0,"Whole Dollars Only","")</f>
        <v/>
      </c>
      <c r="Q71" s="1738"/>
      <c r="R71" s="323"/>
      <c r="S71" s="323"/>
      <c r="T71" s="323"/>
      <c r="U71" s="291"/>
      <c r="V71" s="324"/>
      <c r="W71" s="321"/>
      <c r="X71" s="321"/>
      <c r="Y71" s="321"/>
      <c r="Z71" s="318"/>
      <c r="AA71" s="325">
        <f>SUM(AA60:AA70)</f>
        <v>2833009880</v>
      </c>
      <c r="AB71" s="326">
        <f>SUM(AB60:AB70)</f>
        <v>0</v>
      </c>
    </row>
    <row r="72" spans="1:28">
      <c r="A72" s="184">
        <v>72</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B74" s="160" t="s">
        <v>60</v>
      </c>
      <c r="C74" s="160"/>
      <c r="D74" s="372">
        <f>Input!$OJ$7</f>
        <v>0</v>
      </c>
      <c r="E74" s="372">
        <f>Input!$OK$7</f>
        <v>0</v>
      </c>
      <c r="F74" s="372">
        <f>Input!$OL$7</f>
        <v>0</v>
      </c>
      <c r="G74" s="372">
        <f>Input!$OM$7</f>
        <v>0</v>
      </c>
      <c r="H74" s="372">
        <f>Input!$ON$7</f>
        <v>0</v>
      </c>
      <c r="I74" s="372">
        <f>Input!$OO$7</f>
        <v>0</v>
      </c>
      <c r="J74" s="372">
        <f>Input!$OP$7</f>
        <v>-360098588</v>
      </c>
      <c r="K74" s="372">
        <f>Input!$OQ$7</f>
        <v>0</v>
      </c>
      <c r="L74" s="372">
        <f>Input!$OR$7</f>
        <v>0</v>
      </c>
      <c r="M74" s="373">
        <f>D74+E74+F74+G74+H74+I74+J74+K74+L74</f>
        <v>-360098588</v>
      </c>
      <c r="N74" s="160"/>
      <c r="O74" s="329"/>
      <c r="Q74" s="330"/>
      <c r="R74" s="321"/>
      <c r="S74" s="321"/>
      <c r="T74" s="321"/>
      <c r="U74" s="327"/>
      <c r="V74" s="276"/>
      <c r="W74" s="331"/>
      <c r="X74" s="331"/>
      <c r="Y74" s="321"/>
      <c r="Z74" s="333"/>
      <c r="AA74" s="318"/>
      <c r="AB74" s="332"/>
    </row>
    <row r="75" spans="1:28" ht="14.25" thickTop="1" thickBot="1">
      <c r="B75" s="171" t="s">
        <v>572</v>
      </c>
      <c r="C75" s="171"/>
      <c r="D75" s="372">
        <f>Input!$OS$7</f>
        <v>20978223</v>
      </c>
      <c r="E75" s="372">
        <f>Input!$OT$7</f>
        <v>-50476323</v>
      </c>
      <c r="F75" s="372">
        <f>Input!$OU$7</f>
        <v>9652482</v>
      </c>
      <c r="G75" s="372">
        <f>Input!$OV$7</f>
        <v>-71563812</v>
      </c>
      <c r="H75" s="372">
        <f>Input!$OW$7</f>
        <v>-1538052</v>
      </c>
      <c r="I75" s="372">
        <f>Input!$OX$7</f>
        <v>20538508</v>
      </c>
      <c r="J75" s="372">
        <f>Input!$OY$7</f>
        <v>95739968</v>
      </c>
      <c r="K75" s="372">
        <f>Input!$OZ$7</f>
        <v>0</v>
      </c>
      <c r="L75" s="372">
        <f>Input!$PA$7</f>
        <v>-624251</v>
      </c>
      <c r="M75" s="373">
        <f>D75+E75+F75+G75+H75+I75+J75+K75+L75</f>
        <v>22706743</v>
      </c>
      <c r="N75" s="160"/>
      <c r="O75" s="1723" t="str">
        <f>IF(M85&lt;0,"Footnote 11 is N/A - No Data Entry Required","Footnote 11")</f>
        <v>Footnote 11</v>
      </c>
      <c r="P75" s="1724"/>
      <c r="Q75" s="1724"/>
      <c r="R75" s="1725"/>
      <c r="S75" s="330"/>
      <c r="T75" s="330"/>
      <c r="U75" s="327"/>
      <c r="V75" s="276"/>
      <c r="W75" s="331"/>
      <c r="X75" s="331"/>
      <c r="Y75" s="328"/>
      <c r="Z75" s="328"/>
      <c r="AA75" s="276"/>
      <c r="AB75" s="276" t="s">
        <v>293</v>
      </c>
    </row>
    <row r="76" spans="1:28" ht="13.5" thickTop="1">
      <c r="A76" s="184">
        <v>73</v>
      </c>
      <c r="B76" s="160" t="s">
        <v>45</v>
      </c>
      <c r="C76" s="160"/>
      <c r="D76" s="372">
        <f>Input!$PB$7</f>
        <v>0</v>
      </c>
      <c r="E76" s="372">
        <f>Input!$PC$7</f>
        <v>0</v>
      </c>
      <c r="F76" s="372">
        <f>Input!$PD$7</f>
        <v>0</v>
      </c>
      <c r="G76" s="372">
        <f>Input!$PE$7</f>
        <v>0</v>
      </c>
      <c r="H76" s="372">
        <f>Input!$PF$7</f>
        <v>0</v>
      </c>
      <c r="I76" s="372">
        <f>Input!$PG$7</f>
        <v>0</v>
      </c>
      <c r="J76" s="372">
        <f>Input!$PH$7</f>
        <v>221797095</v>
      </c>
      <c r="K76" s="372">
        <f>Input!$PI$7</f>
        <v>0</v>
      </c>
      <c r="L76" s="372">
        <f>Input!$PJ$7</f>
        <v>0</v>
      </c>
      <c r="M76" s="373">
        <f>D76+E76+F76+G76+H76+I76+J76+K76+L76</f>
        <v>221797095</v>
      </c>
      <c r="N76" s="160"/>
      <c r="O76" s="487" t="s">
        <v>583</v>
      </c>
      <c r="P76" s="488"/>
      <c r="Q76" s="489"/>
      <c r="R76" s="490">
        <f>IF($M$85&lt;0,"N/A",$M$85)</f>
        <v>1777477933</v>
      </c>
      <c r="S76" s="330"/>
      <c r="T76" s="330"/>
      <c r="U76" s="327"/>
      <c r="V76" s="276"/>
      <c r="W76" s="331"/>
      <c r="X76" s="331"/>
      <c r="Y76" s="331"/>
      <c r="Z76" s="331"/>
      <c r="AA76" s="276"/>
      <c r="AB76" s="276"/>
    </row>
    <row r="77" spans="1:28">
      <c r="A77" s="184">
        <v>74</v>
      </c>
      <c r="B77" s="160" t="s">
        <v>46</v>
      </c>
      <c r="C77" s="160"/>
      <c r="D77" s="372">
        <f>Input!$PK$7</f>
        <v>-26557020</v>
      </c>
      <c r="E77" s="372">
        <f>Input!$PL$7</f>
        <v>-36227182</v>
      </c>
      <c r="F77" s="372">
        <f>Input!$PM$7</f>
        <v>-25929154</v>
      </c>
      <c r="G77" s="372">
        <f>Input!$PN$7</f>
        <v>-7516922</v>
      </c>
      <c r="H77" s="372">
        <f>Input!$PO$7</f>
        <v>0</v>
      </c>
      <c r="I77" s="372">
        <f>Input!$PP$7</f>
        <v>0</v>
      </c>
      <c r="J77" s="372">
        <f>Input!$PQ$7</f>
        <v>-190695</v>
      </c>
      <c r="K77" s="372">
        <f>Input!$PR$7</f>
        <v>0</v>
      </c>
      <c r="L77" s="372">
        <f>Input!$PS$7</f>
        <v>0</v>
      </c>
      <c r="M77" s="373">
        <f>D77+E77+F77+G77+H77+I77+J77+K77+L77</f>
        <v>-96420973</v>
      </c>
      <c r="N77" s="160"/>
      <c r="O77" s="491" t="s">
        <v>584</v>
      </c>
      <c r="P77" s="334"/>
      <c r="Q77" s="334"/>
      <c r="R77" s="521">
        <f>Input!$UB$7</f>
        <v>429459412</v>
      </c>
      <c r="S77" s="330"/>
      <c r="T77" s="330"/>
      <c r="U77" s="327"/>
      <c r="V77" s="276"/>
      <c r="W77" s="331"/>
      <c r="X77" s="331"/>
      <c r="Y77" s="331"/>
      <c r="Z77" s="331"/>
      <c r="AA77" s="276"/>
      <c r="AB77" s="276"/>
    </row>
    <row r="78" spans="1:28" ht="13.5" customHeight="1">
      <c r="A78" s="184">
        <v>75</v>
      </c>
      <c r="B78" s="162" t="s">
        <v>3</v>
      </c>
      <c r="C78" s="162"/>
      <c r="D78" s="374">
        <f t="shared" ref="D78:L78" si="20">SUM(D74:D77)</f>
        <v>-5578797</v>
      </c>
      <c r="E78" s="374">
        <f t="shared" si="20"/>
        <v>-86703505</v>
      </c>
      <c r="F78" s="374">
        <f t="shared" si="20"/>
        <v>-16276672</v>
      </c>
      <c r="G78" s="374">
        <f t="shared" si="20"/>
        <v>-79080734</v>
      </c>
      <c r="H78" s="374">
        <f t="shared" si="20"/>
        <v>-1538052</v>
      </c>
      <c r="I78" s="374">
        <f t="shared" si="20"/>
        <v>20538508</v>
      </c>
      <c r="J78" s="374">
        <f t="shared" si="20"/>
        <v>-42752220</v>
      </c>
      <c r="K78" s="374">
        <f t="shared" si="20"/>
        <v>0</v>
      </c>
      <c r="L78" s="374">
        <f t="shared" si="20"/>
        <v>-624251</v>
      </c>
      <c r="M78" s="374">
        <f>D78+E78+F78+G78+H78+I78+J78+K78+L78</f>
        <v>-212015723</v>
      </c>
      <c r="N78" s="160"/>
      <c r="O78" s="491" t="s">
        <v>585</v>
      </c>
      <c r="P78" s="276"/>
      <c r="Q78" s="334"/>
      <c r="R78" s="492">
        <f>IF($M$85&lt;0,"",$R$76-$R$77)</f>
        <v>1348018521</v>
      </c>
      <c r="S78" s="330"/>
      <c r="T78" s="330"/>
      <c r="U78" s="327"/>
      <c r="V78" s="276"/>
      <c r="W78" s="331"/>
      <c r="X78" s="331"/>
      <c r="Y78" s="331"/>
      <c r="Z78" s="331"/>
      <c r="AA78" s="276"/>
      <c r="AB78" s="276"/>
    </row>
    <row r="79" spans="1:28" ht="12.75" customHeight="1">
      <c r="A79" s="184">
        <v>76</v>
      </c>
      <c r="B79" s="160"/>
      <c r="C79" s="160"/>
      <c r="D79" s="373"/>
      <c r="E79" s="373"/>
      <c r="F79" s="373"/>
      <c r="G79" s="373"/>
      <c r="H79" s="373"/>
      <c r="I79" s="373"/>
      <c r="J79" s="373"/>
      <c r="K79" s="373"/>
      <c r="L79" s="373"/>
      <c r="M79" s="373"/>
      <c r="N79" s="160"/>
      <c r="O79" s="493"/>
      <c r="P79" s="276"/>
      <c r="Q79" s="334"/>
      <c r="R79" s="494"/>
      <c r="S79" s="330"/>
      <c r="T79" s="330"/>
      <c r="U79" s="327"/>
      <c r="V79" s="276"/>
      <c r="W79" s="331"/>
      <c r="X79" s="331"/>
      <c r="Y79" s="331"/>
      <c r="Z79" s="331"/>
      <c r="AA79" s="276"/>
      <c r="AB79" s="276"/>
    </row>
    <row r="80" spans="1:28">
      <c r="A80" s="184">
        <v>77</v>
      </c>
      <c r="B80" s="172" t="s">
        <v>24</v>
      </c>
      <c r="C80" s="172"/>
      <c r="D80" s="373"/>
      <c r="E80" s="373"/>
      <c r="F80" s="373"/>
      <c r="G80" s="373"/>
      <c r="H80" s="373"/>
      <c r="I80" s="373"/>
      <c r="J80" s="373"/>
      <c r="K80" s="373"/>
      <c r="L80" s="373"/>
      <c r="M80" s="373"/>
      <c r="N80" s="160"/>
      <c r="O80" s="495" t="s">
        <v>586</v>
      </c>
      <c r="P80" s="276"/>
      <c r="Q80" s="334"/>
      <c r="R80" s="521">
        <f>Input!$UC$7</f>
        <v>1275134692</v>
      </c>
      <c r="S80" s="330"/>
      <c r="T80" s="330"/>
      <c r="U80" s="334"/>
      <c r="V80" s="276"/>
      <c r="W80" s="328"/>
      <c r="X80" s="328"/>
      <c r="Y80" s="331"/>
      <c r="Z80" s="331"/>
      <c r="AA80" s="276"/>
      <c r="AB80" s="276"/>
    </row>
    <row r="81" spans="1:28">
      <c r="B81" s="160" t="s">
        <v>47</v>
      </c>
      <c r="C81" s="160"/>
      <c r="D81" s="372">
        <f>Input!$PT$7</f>
        <v>8841424</v>
      </c>
      <c r="E81" s="372">
        <f>Input!$PU$7</f>
        <v>33878254</v>
      </c>
      <c r="F81" s="372">
        <f>Input!$PV$7</f>
        <v>-5452872</v>
      </c>
      <c r="G81" s="372">
        <f>Input!$PW$7</f>
        <v>15449162</v>
      </c>
      <c r="H81" s="372">
        <f>Input!$PX$7</f>
        <v>602215</v>
      </c>
      <c r="I81" s="372">
        <f>Input!$PY$7</f>
        <v>1212216533</v>
      </c>
      <c r="J81" s="372">
        <f>Input!$PZ$7</f>
        <v>9599976</v>
      </c>
      <c r="K81" s="372">
        <f>Input!$QA$7</f>
        <v>0</v>
      </c>
      <c r="L81" s="372">
        <f>Input!$QB$7</f>
        <v>0</v>
      </c>
      <c r="M81" s="373">
        <f>D81+E81+F81+G81+H81+I81+J81+K81+L81</f>
        <v>1275134692</v>
      </c>
      <c r="N81" s="160"/>
      <c r="O81" s="496" t="s">
        <v>587</v>
      </c>
      <c r="P81" s="276"/>
      <c r="Q81" s="276"/>
      <c r="R81" s="497"/>
      <c r="S81" s="330"/>
      <c r="T81" s="330"/>
      <c r="W81" s="276"/>
      <c r="X81" s="276"/>
      <c r="Y81" s="331"/>
      <c r="Z81" s="331"/>
      <c r="AA81" s="276"/>
      <c r="AB81" s="276"/>
    </row>
    <row r="82" spans="1:28">
      <c r="B82" s="160" t="s">
        <v>48</v>
      </c>
      <c r="C82" s="160"/>
      <c r="D82" s="372">
        <f>Input!$QC$7</f>
        <v>0</v>
      </c>
      <c r="E82" s="372">
        <f>Input!$QD$7</f>
        <v>0</v>
      </c>
      <c r="F82" s="372">
        <f>Input!$QE$7</f>
        <v>0</v>
      </c>
      <c r="G82" s="372">
        <f>Input!$QF$7</f>
        <v>0</v>
      </c>
      <c r="H82" s="372">
        <f>Input!$QG$7</f>
        <v>0</v>
      </c>
      <c r="I82" s="372">
        <f>Input!$QH$7</f>
        <v>72883827</v>
      </c>
      <c r="J82" s="372">
        <f>Input!$QI$7</f>
        <v>0</v>
      </c>
      <c r="K82" s="372">
        <f>Input!$QJ$7</f>
        <v>0</v>
      </c>
      <c r="L82" s="372">
        <f>Input!$QK$7</f>
        <v>0</v>
      </c>
      <c r="M82" s="373">
        <f>D82+E82+F82+G82+H82+I82+J82+K82+L82</f>
        <v>72883827</v>
      </c>
      <c r="N82" s="160"/>
      <c r="O82" s="498" t="s">
        <v>588</v>
      </c>
      <c r="P82" s="276"/>
      <c r="Q82" s="276"/>
      <c r="R82" s="492">
        <f>IFERROR($R$78-$R$80,"")</f>
        <v>72883829</v>
      </c>
      <c r="Y82" s="331"/>
      <c r="Z82" s="401"/>
      <c r="AA82" s="268"/>
      <c r="AB82" s="268"/>
    </row>
    <row r="83" spans="1:28">
      <c r="A83" s="184">
        <v>78</v>
      </c>
      <c r="B83" s="162" t="s">
        <v>3</v>
      </c>
      <c r="C83" s="162"/>
      <c r="D83" s="374">
        <f t="shared" ref="D83:L83" si="21">SUM(D81:D82)</f>
        <v>8841424</v>
      </c>
      <c r="E83" s="374">
        <f t="shared" si="21"/>
        <v>33878254</v>
      </c>
      <c r="F83" s="374">
        <f t="shared" si="21"/>
        <v>-5452872</v>
      </c>
      <c r="G83" s="374">
        <f t="shared" si="21"/>
        <v>15449162</v>
      </c>
      <c r="H83" s="374">
        <f t="shared" si="21"/>
        <v>602215</v>
      </c>
      <c r="I83" s="374">
        <f t="shared" si="21"/>
        <v>1285100360</v>
      </c>
      <c r="J83" s="374">
        <f t="shared" si="21"/>
        <v>9599976</v>
      </c>
      <c r="K83" s="374">
        <f t="shared" si="21"/>
        <v>0</v>
      </c>
      <c r="L83" s="374">
        <f t="shared" si="21"/>
        <v>0</v>
      </c>
      <c r="M83" s="374">
        <f>D83+E83+F83+G83+H83+I83+J83+K83+L83</f>
        <v>1348018519</v>
      </c>
      <c r="N83" s="160"/>
      <c r="O83" s="493"/>
      <c r="P83" s="276"/>
      <c r="Q83" s="276"/>
      <c r="R83" s="497"/>
      <c r="Y83" s="163"/>
      <c r="Z83" s="447"/>
      <c r="AA83" s="439"/>
      <c r="AB83" s="448"/>
    </row>
    <row r="84" spans="1:28" ht="13.5" thickBot="1">
      <c r="B84" s="160"/>
      <c r="C84" s="160"/>
      <c r="D84" s="373"/>
      <c r="E84" s="373"/>
      <c r="F84" s="373"/>
      <c r="G84" s="373"/>
      <c r="H84" s="373"/>
      <c r="I84" s="373"/>
      <c r="J84" s="373"/>
      <c r="K84" s="373"/>
      <c r="L84" s="373"/>
      <c r="M84" s="373"/>
      <c r="N84" s="160"/>
      <c r="O84" s="499" t="s">
        <v>589</v>
      </c>
      <c r="P84" s="500"/>
      <c r="Q84" s="500"/>
      <c r="R84" s="501">
        <f>IFERROR((R82+R80)-R78,"")</f>
        <v>0</v>
      </c>
      <c r="Y84" s="268"/>
      <c r="Z84" s="447"/>
      <c r="AA84" s="439"/>
      <c r="AB84" s="449"/>
    </row>
    <row r="85" spans="1:28" ht="13.5" thickTop="1">
      <c r="B85" s="162" t="s">
        <v>574</v>
      </c>
      <c r="C85" s="162"/>
      <c r="D85" s="374">
        <f t="shared" ref="D85:L85" si="22">D57-D71+D78+D83</f>
        <v>61078143</v>
      </c>
      <c r="E85" s="374">
        <f t="shared" si="22"/>
        <v>225349620</v>
      </c>
      <c r="F85" s="374">
        <f t="shared" si="22"/>
        <v>-9214834</v>
      </c>
      <c r="G85" s="374">
        <f t="shared" si="22"/>
        <v>227959756</v>
      </c>
      <c r="H85" s="374">
        <f t="shared" si="22"/>
        <v>5491523</v>
      </c>
      <c r="I85" s="374">
        <f t="shared" si="22"/>
        <v>1305999967</v>
      </c>
      <c r="J85" s="374">
        <f t="shared" si="22"/>
        <v>-31932866</v>
      </c>
      <c r="K85" s="374">
        <f t="shared" si="22"/>
        <v>0</v>
      </c>
      <c r="L85" s="374">
        <f t="shared" si="22"/>
        <v>-7253376</v>
      </c>
      <c r="M85" s="374">
        <f>D85+E85+F85+G85+H85+I85+J85+K85+L85</f>
        <v>1777477933</v>
      </c>
      <c r="N85" s="160"/>
      <c r="Y85" s="268"/>
      <c r="Z85" s="447"/>
      <c r="AA85" s="439"/>
      <c r="AB85" s="449"/>
    </row>
    <row r="86" spans="1:28">
      <c r="B86" s="163"/>
      <c r="C86" s="163"/>
      <c r="D86" s="329"/>
      <c r="E86" s="329"/>
      <c r="F86" s="329"/>
      <c r="G86" s="329"/>
      <c r="H86" s="329"/>
      <c r="I86" s="329"/>
      <c r="J86" s="329"/>
      <c r="K86" s="329"/>
      <c r="L86" s="329"/>
      <c r="M86" s="329"/>
      <c r="N86" s="160"/>
      <c r="Y86" s="268"/>
      <c r="Z86" s="447"/>
      <c r="AA86" s="439"/>
      <c r="AB86" s="449"/>
    </row>
    <row r="87" spans="1:28">
      <c r="B87" s="161" t="s">
        <v>65</v>
      </c>
      <c r="C87" s="161"/>
      <c r="D87" s="372">
        <f>Input!$QL$7</f>
        <v>0</v>
      </c>
      <c r="E87" s="372">
        <f>Input!$QM$7</f>
        <v>0</v>
      </c>
      <c r="F87" s="372">
        <f>Input!$QN$7</f>
        <v>0</v>
      </c>
      <c r="G87" s="372">
        <f>Input!$QO$7</f>
        <v>0</v>
      </c>
      <c r="H87" s="372">
        <f>Input!$QP$7</f>
        <v>0</v>
      </c>
      <c r="I87" s="372">
        <f>Input!$QQ$7</f>
        <v>0</v>
      </c>
      <c r="J87" s="372">
        <f>Input!$QR$7</f>
        <v>0</v>
      </c>
      <c r="K87" s="372">
        <f>Input!$QS$7</f>
        <v>0</v>
      </c>
      <c r="L87" s="372">
        <f>Input!$QT$7</f>
        <v>0</v>
      </c>
      <c r="M87" s="329">
        <f>D87+E87+F87+G87+H87+I87+J87+K87+L87</f>
        <v>0</v>
      </c>
      <c r="N87" s="160"/>
      <c r="Y87" s="268"/>
      <c r="Z87" s="447"/>
      <c r="AA87" s="439"/>
      <c r="AB87" s="449"/>
    </row>
    <row r="88" spans="1:28">
      <c r="B88" s="160" t="s">
        <v>66</v>
      </c>
      <c r="C88" s="160"/>
      <c r="D88" s="372">
        <f>Input!$QU$7</f>
        <v>0</v>
      </c>
      <c r="E88" s="372">
        <f>Input!$QV$7</f>
        <v>0</v>
      </c>
      <c r="F88" s="372">
        <f>Input!$QW$7</f>
        <v>0</v>
      </c>
      <c r="G88" s="372">
        <f>Input!$QX$7</f>
        <v>0</v>
      </c>
      <c r="H88" s="372">
        <f>Input!$QY$7</f>
        <v>0</v>
      </c>
      <c r="I88" s="372">
        <f>Input!$QZ$7</f>
        <v>0</v>
      </c>
      <c r="J88" s="372">
        <f>Input!$RA$7</f>
        <v>0</v>
      </c>
      <c r="K88" s="372">
        <f>Input!$RB$7</f>
        <v>0</v>
      </c>
      <c r="L88" s="372">
        <f>Input!$RC$7</f>
        <v>-324807006</v>
      </c>
      <c r="M88" s="373">
        <f>D88+E88+F88+G88+H88+I88+J88+K88+L88</f>
        <v>-324807006</v>
      </c>
      <c r="N88" s="160"/>
      <c r="O88" s="270"/>
      <c r="P88" s="335"/>
      <c r="Y88" s="268"/>
      <c r="Z88" s="447"/>
      <c r="AA88" s="439"/>
      <c r="AB88" s="449"/>
    </row>
    <row r="89" spans="1:28">
      <c r="B89" s="171" t="s">
        <v>216</v>
      </c>
      <c r="C89" s="171"/>
      <c r="D89" s="372">
        <f>Input!$RD$7</f>
        <v>0</v>
      </c>
      <c r="E89" s="372">
        <f>Input!$RE$7</f>
        <v>0</v>
      </c>
      <c r="F89" s="372">
        <f>Input!$RF$7</f>
        <v>0</v>
      </c>
      <c r="G89" s="372">
        <f>Input!$RG$7</f>
        <v>0</v>
      </c>
      <c r="H89" s="372">
        <f>Input!$RH$7</f>
        <v>0</v>
      </c>
      <c r="I89" s="372">
        <f>Input!$RI$7</f>
        <v>0</v>
      </c>
      <c r="J89" s="372">
        <f>Input!$RJ$7</f>
        <v>0</v>
      </c>
      <c r="K89" s="372">
        <f>Input!$RK$7</f>
        <v>0</v>
      </c>
      <c r="L89" s="372">
        <f>Input!$RL$7</f>
        <v>0</v>
      </c>
      <c r="M89" s="373">
        <f t="shared" ref="M89:M91" si="23">D89+E89+F89+G89+H89+I89+J89+K89+L89</f>
        <v>0</v>
      </c>
      <c r="N89" s="160"/>
      <c r="O89" s="1726" t="s">
        <v>1355</v>
      </c>
      <c r="P89" s="1727"/>
      <c r="Q89" s="1727"/>
      <c r="R89" s="1727"/>
      <c r="S89" s="1727"/>
      <c r="T89" s="1727"/>
      <c r="U89" s="1728"/>
      <c r="Y89" s="268"/>
      <c r="Z89" s="447"/>
      <c r="AA89" s="439"/>
      <c r="AB89" s="449"/>
    </row>
    <row r="90" spans="1:28">
      <c r="B90" s="171" t="s">
        <v>105</v>
      </c>
      <c r="C90" s="171"/>
      <c r="D90" s="372">
        <f>Input!$RM$7</f>
        <v>0</v>
      </c>
      <c r="E90" s="372">
        <f>Input!$RN$7</f>
        <v>0</v>
      </c>
      <c r="F90" s="372">
        <f>Input!$RO$7</f>
        <v>0</v>
      </c>
      <c r="G90" s="372">
        <f>Input!$RP$7</f>
        <v>0</v>
      </c>
      <c r="H90" s="372">
        <f>Input!$RQ$7</f>
        <v>0</v>
      </c>
      <c r="I90" s="372">
        <f>Input!$RR$7</f>
        <v>0</v>
      </c>
      <c r="J90" s="372">
        <f>Input!$RS$7</f>
        <v>0</v>
      </c>
      <c r="K90" s="372">
        <f>Input!$RT$7</f>
        <v>0</v>
      </c>
      <c r="L90" s="372">
        <f>Input!$RU$7</f>
        <v>0</v>
      </c>
      <c r="M90" s="373">
        <f t="shared" si="23"/>
        <v>0</v>
      </c>
      <c r="N90" s="160"/>
      <c r="O90" s="502" t="s">
        <v>590</v>
      </c>
      <c r="P90" s="423"/>
      <c r="Q90" s="502" t="s">
        <v>591</v>
      </c>
      <c r="R90" s="423"/>
      <c r="S90" s="503"/>
      <c r="T90" s="502" t="s">
        <v>592</v>
      </c>
      <c r="U90" s="423"/>
      <c r="Y90" s="268"/>
      <c r="Z90" s="447"/>
      <c r="AA90" s="439"/>
      <c r="AB90" s="449"/>
    </row>
    <row r="91" spans="1:28">
      <c r="B91" s="171" t="s">
        <v>128</v>
      </c>
      <c r="C91" s="171"/>
      <c r="D91" s="372">
        <f>Input!$RV$7</f>
        <v>0</v>
      </c>
      <c r="E91" s="372">
        <f>Input!$RW$7</f>
        <v>0</v>
      </c>
      <c r="F91" s="372">
        <f>Input!$RX$7</f>
        <v>0</v>
      </c>
      <c r="G91" s="372">
        <f>Input!$RY$7</f>
        <v>0</v>
      </c>
      <c r="H91" s="372">
        <f>Input!$RZ$7</f>
        <v>0</v>
      </c>
      <c r="I91" s="372">
        <f>Input!$SA$7</f>
        <v>0</v>
      </c>
      <c r="J91" s="372">
        <f>Input!$SB$7</f>
        <v>0</v>
      </c>
      <c r="K91" s="372">
        <f>Input!$SC$7</f>
        <v>0</v>
      </c>
      <c r="L91" s="372">
        <f>Input!$SD$7</f>
        <v>13671247</v>
      </c>
      <c r="M91" s="373">
        <f t="shared" si="23"/>
        <v>13671247</v>
      </c>
      <c r="N91" s="160"/>
      <c r="O91" s="504"/>
      <c r="P91" s="505"/>
      <c r="Q91" s="504"/>
      <c r="R91" s="426"/>
      <c r="S91" s="276"/>
      <c r="T91" s="506"/>
      <c r="U91" s="426"/>
      <c r="Y91" s="268"/>
      <c r="Z91" s="447"/>
      <c r="AA91" s="439"/>
      <c r="AB91" s="449"/>
    </row>
    <row r="92" spans="1:28">
      <c r="B92" s="160" t="s">
        <v>67</v>
      </c>
      <c r="C92" s="160"/>
      <c r="D92" s="372">
        <f>Input!$SE$7</f>
        <v>0</v>
      </c>
      <c r="E92" s="372">
        <f>Input!$SF$7</f>
        <v>0</v>
      </c>
      <c r="F92" s="372">
        <f>Input!$SG$7</f>
        <v>0</v>
      </c>
      <c r="G92" s="372">
        <f>Input!$SH$7</f>
        <v>0</v>
      </c>
      <c r="H92" s="372">
        <f>Input!$SI$7</f>
        <v>0</v>
      </c>
      <c r="I92" s="372">
        <f>Input!$SJ$7</f>
        <v>0</v>
      </c>
      <c r="J92" s="372">
        <f>Input!$SK$7</f>
        <v>0</v>
      </c>
      <c r="K92" s="372">
        <f>Input!$SL$7</f>
        <v>0</v>
      </c>
      <c r="L92" s="372">
        <f>Input!$SM$7</f>
        <v>445308080</v>
      </c>
      <c r="M92" s="373">
        <f>D92+E92+F92+G92+H92+I92+J92+K92+L92</f>
        <v>445308080</v>
      </c>
      <c r="N92" s="160"/>
      <c r="O92" s="1729" t="str">
        <f>Input!UF$7</f>
        <v>Marcy Lowther</v>
      </c>
      <c r="P92" s="1730"/>
      <c r="Q92" s="1729" t="str">
        <f>Input!$UG$7</f>
        <v>512-471-2808</v>
      </c>
      <c r="R92" s="1730"/>
      <c r="S92" s="276"/>
      <c r="T92" s="1731" t="str">
        <f>HYPERLINK("Mailto:"&amp;Input!$UH$7,Input!$UH$7)</f>
        <v>mlowther@austin.utexas.edu</v>
      </c>
      <c r="U92" s="1730"/>
      <c r="Y92" s="268"/>
      <c r="Z92" s="447"/>
      <c r="AA92" s="442"/>
      <c r="AB92" s="449"/>
    </row>
    <row r="93" spans="1:28" ht="13.5" thickBot="1">
      <c r="B93" s="179" t="s">
        <v>58</v>
      </c>
      <c r="C93" s="179"/>
      <c r="D93" s="380">
        <f t="shared" ref="D93:K93" si="24">SUM(D85:D92)</f>
        <v>61078143</v>
      </c>
      <c r="E93" s="380">
        <f t="shared" si="24"/>
        <v>225349620</v>
      </c>
      <c r="F93" s="380">
        <f t="shared" si="24"/>
        <v>-9214834</v>
      </c>
      <c r="G93" s="380">
        <f t="shared" si="24"/>
        <v>227959756</v>
      </c>
      <c r="H93" s="380">
        <f t="shared" si="24"/>
        <v>5491523</v>
      </c>
      <c r="I93" s="380">
        <f t="shared" si="24"/>
        <v>1305999967</v>
      </c>
      <c r="J93" s="380">
        <f t="shared" si="24"/>
        <v>-31932866</v>
      </c>
      <c r="K93" s="380">
        <f t="shared" si="24"/>
        <v>0</v>
      </c>
      <c r="L93" s="380">
        <f>SUM(L85:L92)</f>
        <v>126918945</v>
      </c>
      <c r="M93" s="380">
        <f>D93+E93+F93+G93+H93+I93+J93+K93+L93</f>
        <v>1911650254</v>
      </c>
      <c r="N93" s="160"/>
      <c r="O93" s="506"/>
      <c r="P93" s="507"/>
      <c r="Q93" s="276"/>
      <c r="R93" s="276"/>
      <c r="S93" s="276"/>
      <c r="T93" s="507"/>
      <c r="U93" s="508"/>
      <c r="Y93" s="268"/>
      <c r="Z93" s="447"/>
      <c r="AA93" s="442"/>
      <c r="AB93" s="449"/>
    </row>
    <row r="94" spans="1:28" ht="13.5" customHeight="1" thickTop="1">
      <c r="C94" s="160"/>
      <c r="D94" s="165"/>
      <c r="E94" s="165"/>
      <c r="F94" s="165"/>
      <c r="G94" s="165"/>
      <c r="H94" s="165"/>
      <c r="I94" s="165"/>
      <c r="J94" s="165"/>
      <c r="K94" s="165"/>
      <c r="L94" s="165"/>
      <c r="M94" s="180"/>
      <c r="N94" s="160"/>
      <c r="O94" s="1720" t="s">
        <v>593</v>
      </c>
      <c r="P94" s="1721"/>
      <c r="Q94" s="1721"/>
      <c r="R94" s="1721"/>
      <c r="S94" s="1721"/>
      <c r="T94" s="1721"/>
      <c r="U94" s="1722"/>
      <c r="Y94" s="268"/>
      <c r="Z94" s="451"/>
      <c r="AA94" s="442"/>
      <c r="AB94" s="449"/>
    </row>
    <row r="95" spans="1:28" ht="12.75" customHeight="1">
      <c r="B95" s="171" t="s">
        <v>1369</v>
      </c>
      <c r="C95" s="169"/>
      <c r="D95" s="165"/>
      <c r="E95" s="165"/>
      <c r="F95" s="165"/>
      <c r="G95" s="165"/>
      <c r="H95" s="165"/>
      <c r="I95" s="165"/>
      <c r="J95" s="165"/>
      <c r="K95" s="165"/>
      <c r="L95" s="165"/>
      <c r="M95" s="180"/>
      <c r="N95" s="160"/>
      <c r="O95" s="1720"/>
      <c r="P95" s="1721"/>
      <c r="Q95" s="1721"/>
      <c r="R95" s="1721"/>
      <c r="S95" s="1721"/>
      <c r="T95" s="1721"/>
      <c r="U95" s="1722"/>
      <c r="Y95" s="268"/>
      <c r="Z95" s="452"/>
      <c r="AA95" s="453"/>
      <c r="AB95" s="454"/>
    </row>
    <row r="96" spans="1:28">
      <c r="B96" s="169" t="s">
        <v>80</v>
      </c>
      <c r="C96" s="160"/>
      <c r="D96" s="165"/>
      <c r="E96" s="165"/>
      <c r="F96" s="165"/>
      <c r="G96" s="165"/>
      <c r="H96" s="165"/>
      <c r="I96" s="165"/>
      <c r="J96" s="165"/>
      <c r="K96" s="165"/>
      <c r="L96" s="165"/>
      <c r="M96" s="180"/>
      <c r="N96" s="160"/>
      <c r="O96" s="509"/>
      <c r="P96" s="510"/>
      <c r="Q96" s="511"/>
      <c r="R96" s="511"/>
      <c r="S96" s="511"/>
      <c r="T96" s="510"/>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Input!$SN$7</f>
        <v>1911650254</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3" t="str">
        <f>IF($L$118&lt;&gt;Input!$F$7,"Out of Balance","Balanced")</f>
        <v>Balanced</v>
      </c>
      <c r="M102" s="517"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1603448879</v>
      </c>
      <c r="E105" s="373">
        <f>SUM($E$10:$E$14)+SUM($E$19:$E$28)+SUM($E$32:$E$41)+$E$47+SUM($E$50:$E$55)+SUM($E$60:$E$70)+SUM($E$74:$E$77)+SUM($E$81:$E$82)+SUM($E$87:$E$92)</f>
        <v>1665299185</v>
      </c>
      <c r="F105" s="373">
        <f>SUM($F$10:$F$14)+SUM($F$19:$F$28)+SUM($F$32:$F$41)+$F$47+SUM($F$50:$F$55)+SUM($F$60:$F$70)+SUM($F$74:$F$77)+SUM($F$81:$F$82)+SUM($F$87:$F$92)</f>
        <v>421984602</v>
      </c>
      <c r="G105" s="373">
        <f>SUM($G$10:$G$14)+SUM($G$19:$G$28)+SUM($G$32:$G$41)+$G$47+SUM($G$50:$G$55)+SUM($G$60:$G$70)+SUM($G$74:$G$77)+SUM($G$81:$G$82)+SUM($G$87:$G$92)</f>
        <v>1839043074</v>
      </c>
      <c r="H105" s="373">
        <f>SUM($H$10:$H$14)+SUM($H$19:$H$28)+SUM($H$32:$H$41)+$H$47+SUM($H$50:$H$55)+SUM($H$60:$H$70)+SUM($H$74:$H$77)+SUM($H$81:$H$82)+SUM($H$87:$H$92)</f>
        <v>3733375</v>
      </c>
      <c r="I105" s="373">
        <f>SUM($I$10:$I$14)+SUM($I$19:$I$28)+SUM($I$32:$I$41)+$I$47+SUM($I$50:$I$55)+SUM($I$60:$I$70)+SUM($I$74:$I$77)+SUM($I$81:$I$82)+SUM($I$87:$I$92)</f>
        <v>1305999967</v>
      </c>
      <c r="J105" s="373">
        <f>SUM($J$10:$J$14)+SUM($J$19:$J$28)+SUM($J$32:$J$41)+$J$47+SUM($J$50:$J$55)+SUM($J$60:$J$70)+SUM($J$74:$J$77)+SUM($J$81:$J$82)+SUM($J$87:$J$92)</f>
        <v>71191300</v>
      </c>
      <c r="K105" s="373">
        <f>SUM($K$10:$K$14)+SUM($K$19:$K$28)+SUM($K$32:$K$41)+$K$47+SUM($K$50:$K$55)+SUM($K$60:$K$70)+SUM($K$74:$K$77)+SUM($K$81:$K$82)+SUM($K$87:$K$92)</f>
        <v>0</v>
      </c>
      <c r="L105" s="373">
        <f>SUM($L$10:$L$14)+SUM($L$19:$L$28)+SUM($L$32:$L$41)+$L$47+SUM($L$50:$L$55)+SUM($L$60:$L$70)+SUM($L$74:$L$77)+SUM($L$81:$L$82)+SUM($L$87:$L$92)</f>
        <v>128725165</v>
      </c>
      <c r="M105" s="373"/>
      <c r="N105" s="264"/>
      <c r="P105" s="450">
        <f>M18-INT(M18)</f>
        <v>0</v>
      </c>
    </row>
    <row r="106" spans="2:28">
      <c r="B106" s="261"/>
      <c r="C106" s="261"/>
      <c r="D106" s="261"/>
      <c r="E106" s="261"/>
      <c r="F106" s="261"/>
      <c r="G106" s="261"/>
      <c r="H106" s="261"/>
      <c r="I106" s="261"/>
      <c r="J106" s="261"/>
      <c r="K106" s="261"/>
      <c r="L106" s="373">
        <f>SUM($D$105:$L$105)</f>
        <v>7039425547</v>
      </c>
      <c r="M106" s="261"/>
      <c r="N106" s="264"/>
      <c r="P106" s="450">
        <f>M31-INT(M31)</f>
        <v>0</v>
      </c>
    </row>
    <row r="107" spans="2:28">
      <c r="B107" s="261"/>
      <c r="C107" s="261"/>
      <c r="D107" s="261"/>
      <c r="E107" s="261"/>
      <c r="F107" s="261"/>
      <c r="G107" s="261"/>
      <c r="H107" s="261"/>
      <c r="I107" s="261"/>
      <c r="J107" s="261" t="s">
        <v>1299</v>
      </c>
      <c r="K107" s="261"/>
      <c r="L107" s="373">
        <f>$M$100</f>
        <v>1911650254</v>
      </c>
      <c r="M107" s="261"/>
      <c r="N107" s="264"/>
      <c r="P107" s="450">
        <f>M93-INT(M93)</f>
        <v>0</v>
      </c>
    </row>
    <row r="108" spans="2:28">
      <c r="B108" s="261"/>
      <c r="C108" s="261"/>
      <c r="D108" s="261"/>
      <c r="E108" s="261"/>
      <c r="F108" s="261"/>
      <c r="G108" s="261"/>
      <c r="H108" s="261"/>
      <c r="I108" s="261"/>
      <c r="J108" s="261" t="s">
        <v>1300</v>
      </c>
      <c r="K108" s="261"/>
      <c r="L108" s="512">
        <f>$Q$32</f>
        <v>713208465</v>
      </c>
      <c r="M108" s="261"/>
      <c r="N108" s="264"/>
    </row>
    <row r="109" spans="2:28">
      <c r="B109" s="261"/>
      <c r="C109" s="261"/>
      <c r="D109" s="261"/>
      <c r="E109" s="261"/>
      <c r="F109" s="261"/>
      <c r="G109" s="261"/>
      <c r="H109" s="261"/>
      <c r="I109" s="261"/>
      <c r="J109" s="261" t="s">
        <v>1300</v>
      </c>
      <c r="K109" s="261"/>
      <c r="L109" s="512">
        <f>$R$34</f>
        <v>-191843729</v>
      </c>
      <c r="M109" s="261"/>
      <c r="N109" s="264"/>
    </row>
    <row r="110" spans="2:28">
      <c r="B110" s="261"/>
      <c r="C110" s="261"/>
      <c r="D110" s="261"/>
      <c r="E110" s="261"/>
      <c r="F110" s="261"/>
      <c r="G110" s="261"/>
      <c r="H110" s="261"/>
      <c r="I110" s="261"/>
      <c r="J110" s="261" t="s">
        <v>29</v>
      </c>
      <c r="K110" s="261"/>
      <c r="L110" s="512">
        <f>SUM($P$60:$P$68)</f>
        <v>85209491</v>
      </c>
      <c r="M110" s="261"/>
      <c r="N110" s="264"/>
    </row>
    <row r="111" spans="2:28">
      <c r="B111" s="261"/>
      <c r="C111" s="261"/>
      <c r="D111" s="261"/>
      <c r="E111" s="261"/>
      <c r="F111" s="261"/>
      <c r="G111" s="261"/>
      <c r="H111" s="261"/>
      <c r="I111" s="261"/>
      <c r="J111" s="261" t="s">
        <v>594</v>
      </c>
      <c r="K111" s="261"/>
      <c r="L111" s="373">
        <f>$Q$64</f>
        <v>-598</v>
      </c>
      <c r="M111" s="261"/>
      <c r="N111" s="264"/>
    </row>
    <row r="112" spans="2:28">
      <c r="B112" s="261"/>
      <c r="C112" s="261"/>
      <c r="D112" s="261"/>
      <c r="E112" s="261"/>
      <c r="F112" s="261"/>
      <c r="G112" s="261"/>
      <c r="H112" s="261"/>
      <c r="I112" s="261"/>
      <c r="J112" s="261" t="s">
        <v>595</v>
      </c>
      <c r="K112" s="261"/>
      <c r="L112" s="512">
        <f>SUM($V$60:$V$67)</f>
        <v>114804</v>
      </c>
      <c r="M112" s="261"/>
      <c r="N112" s="264"/>
    </row>
    <row r="113" spans="2:14">
      <c r="B113" s="261"/>
      <c r="C113" s="261"/>
      <c r="D113" s="261"/>
      <c r="E113" s="261"/>
      <c r="F113" s="261"/>
      <c r="G113" s="261"/>
      <c r="H113" s="261"/>
      <c r="I113" s="261"/>
      <c r="J113" s="261" t="s">
        <v>596</v>
      </c>
      <c r="K113" s="261"/>
      <c r="L113" s="512">
        <f>SUM($W$60:$W$67)</f>
        <v>2650884</v>
      </c>
      <c r="M113" s="261"/>
      <c r="N113" s="264"/>
    </row>
    <row r="114" spans="2:14">
      <c r="B114" s="261"/>
      <c r="C114" s="261"/>
      <c r="D114" s="261"/>
      <c r="E114" s="261"/>
      <c r="F114" s="261"/>
      <c r="G114" s="261"/>
      <c r="H114" s="261"/>
      <c r="I114" s="261"/>
      <c r="J114" s="261" t="s">
        <v>258</v>
      </c>
      <c r="K114" s="261"/>
      <c r="L114" s="512">
        <f>SUM($AA$60:$AA$68)</f>
        <v>2508202874</v>
      </c>
      <c r="M114" s="261"/>
      <c r="N114" s="264"/>
    </row>
    <row r="115" spans="2:14">
      <c r="B115" s="261"/>
      <c r="C115" s="261"/>
      <c r="D115" s="261"/>
      <c r="E115" s="261"/>
      <c r="F115" s="261"/>
      <c r="G115" s="261"/>
      <c r="H115" s="261"/>
      <c r="I115" s="261"/>
      <c r="J115" s="261" t="s">
        <v>597</v>
      </c>
      <c r="K115" s="261"/>
      <c r="L115" s="512">
        <f>$R$77</f>
        <v>429459412</v>
      </c>
      <c r="M115" s="261"/>
      <c r="N115" s="264"/>
    </row>
    <row r="116" spans="2:14">
      <c r="B116" s="261"/>
      <c r="C116" s="261"/>
      <c r="D116" s="261"/>
      <c r="E116" s="261"/>
      <c r="F116" s="261"/>
      <c r="G116" s="261"/>
      <c r="H116" s="261"/>
      <c r="I116" s="261"/>
      <c r="J116" s="261" t="s">
        <v>597</v>
      </c>
      <c r="K116" s="261"/>
      <c r="L116" s="512">
        <f>$R$80</f>
        <v>1275134692</v>
      </c>
      <c r="M116" s="261"/>
      <c r="N116" s="264"/>
    </row>
    <row r="117" spans="2:14">
      <c r="B117" s="261"/>
      <c r="C117" s="261"/>
      <c r="D117" s="261"/>
      <c r="E117" s="261"/>
      <c r="F117" s="261"/>
      <c r="G117" s="261"/>
      <c r="H117" s="261"/>
      <c r="I117" s="261"/>
      <c r="J117" s="261" t="s">
        <v>1231</v>
      </c>
      <c r="K117" s="261"/>
      <c r="L117" s="1008">
        <f>VLOOKUP(B2,Names!B5:$C$87,2,FALSE)</f>
        <v>3658</v>
      </c>
      <c r="M117" s="261"/>
      <c r="N117" s="264"/>
    </row>
    <row r="118" spans="2:14">
      <c r="B118" s="261"/>
      <c r="C118" s="261"/>
      <c r="D118" s="261"/>
      <c r="E118" s="261"/>
      <c r="F118" s="261"/>
      <c r="G118" s="261"/>
      <c r="H118" s="261"/>
      <c r="I118" s="261"/>
      <c r="J118" s="261"/>
      <c r="K118" s="261"/>
      <c r="L118" s="373">
        <f>SUM(L106:L117)</f>
        <v>13773215754</v>
      </c>
      <c r="M118" s="261"/>
      <c r="N118" s="264"/>
    </row>
    <row r="119" spans="2:14">
      <c r="B119" s="261"/>
      <c r="C119" s="261"/>
      <c r="D119" s="261"/>
      <c r="E119" s="261"/>
      <c r="F119" s="261"/>
      <c r="G119" s="261"/>
      <c r="H119" s="261"/>
      <c r="I119" s="261"/>
      <c r="J119" s="261"/>
      <c r="K119" s="261"/>
      <c r="L119" s="261"/>
      <c r="M119" s="261"/>
      <c r="N119" s="264"/>
    </row>
    <row r="120" spans="2:14">
      <c r="B120" s="261"/>
      <c r="C120" s="261"/>
      <c r="D120" s="261"/>
      <c r="E120" s="261"/>
      <c r="F120" s="261"/>
      <c r="G120" s="261"/>
      <c r="H120" s="261"/>
      <c r="I120" s="261"/>
      <c r="J120" s="160"/>
      <c r="K120" s="160"/>
      <c r="L120" s="160"/>
      <c r="M120" s="261"/>
      <c r="N120" s="264"/>
    </row>
    <row r="121" spans="2:14">
      <c r="B121" s="261"/>
      <c r="C121" s="261"/>
      <c r="D121" s="261"/>
      <c r="E121" s="261"/>
      <c r="F121" s="261"/>
      <c r="G121" s="261"/>
      <c r="H121" s="261"/>
      <c r="I121" s="261"/>
      <c r="J121" s="160"/>
      <c r="K121" s="160"/>
      <c r="L121" s="160"/>
      <c r="M121" s="261"/>
      <c r="N121" s="264"/>
    </row>
    <row r="122" spans="2:14">
      <c r="B122" s="261"/>
      <c r="C122" s="261"/>
      <c r="D122" s="261"/>
      <c r="E122" s="261"/>
      <c r="F122" s="261"/>
      <c r="G122" s="261"/>
      <c r="H122" s="261"/>
      <c r="I122" s="261"/>
      <c r="J122" s="160"/>
      <c r="K122" s="160"/>
      <c r="L122" s="160"/>
      <c r="M122" s="261"/>
      <c r="N122" s="264"/>
    </row>
  </sheetData>
  <mergeCells count="29">
    <mergeCell ref="B2:F2"/>
    <mergeCell ref="P4:Q4"/>
    <mergeCell ref="O55:R55"/>
    <mergeCell ref="T55:X55"/>
    <mergeCell ref="Z55:AB55"/>
    <mergeCell ref="P10:P11"/>
    <mergeCell ref="O19:R19"/>
    <mergeCell ref="T19:X19"/>
    <mergeCell ref="X56:X59"/>
    <mergeCell ref="AA56:AA59"/>
    <mergeCell ref="AB56:AB59"/>
    <mergeCell ref="Q56:Q59"/>
    <mergeCell ref="R56:R59"/>
    <mergeCell ref="T56:T59"/>
    <mergeCell ref="U56:U59"/>
    <mergeCell ref="V56:V59"/>
    <mergeCell ref="Z56:Z59"/>
    <mergeCell ref="V70:W70"/>
    <mergeCell ref="P71:Q71"/>
    <mergeCell ref="O75:R75"/>
    <mergeCell ref="O89:U89"/>
    <mergeCell ref="W56:W59"/>
    <mergeCell ref="O56:O59"/>
    <mergeCell ref="P56:P59"/>
    <mergeCell ref="O92:P92"/>
    <mergeCell ref="Q92:R92"/>
    <mergeCell ref="T92:U92"/>
    <mergeCell ref="O94:U95"/>
    <mergeCell ref="G59:K59"/>
  </mergeCells>
  <conditionalFormatting sqref="D77:M82 U77 T74:T76 Y74:Y79 O72:O76 V71:X77 Q74:Q77 U74:U75 R74:R75 P74:P75 P77 P72:Q72 U71:U72 S74:S77 R77">
    <cfRule type="cellIs" dxfId="1377" priority="333" stopIfTrue="1" operator="notEqual">
      <formula>#REF!</formula>
    </cfRule>
  </conditionalFormatting>
  <conditionalFormatting sqref="AB56">
    <cfRule type="expression" dxfId="1376" priority="311">
      <formula>$AB$55&lt;&gt;0</formula>
    </cfRule>
  </conditionalFormatting>
  <conditionalFormatting sqref="P55">
    <cfRule type="expression" dxfId="1375" priority="310">
      <formula>P53-INT(P53)</formula>
    </cfRule>
  </conditionalFormatting>
  <conditionalFormatting sqref="V54">
    <cfRule type="expression" dxfId="1374" priority="308">
      <formula>X52-INT(X52)</formula>
    </cfRule>
  </conditionalFormatting>
  <conditionalFormatting sqref="S31">
    <cfRule type="expression" dxfId="1373" priority="306">
      <formula>$S$26&lt;&gt;$S$29</formula>
    </cfRule>
  </conditionalFormatting>
  <conditionalFormatting sqref="S30">
    <cfRule type="expression" dxfId="1372" priority="305">
      <formula>$S$30&lt;&gt;0</formula>
    </cfRule>
  </conditionalFormatting>
  <conditionalFormatting sqref="O13">
    <cfRule type="expression" dxfId="1371" priority="299">
      <formula>$P$13&lt;&gt;$M$13</formula>
    </cfRule>
  </conditionalFormatting>
  <conditionalFormatting sqref="G43:K43">
    <cfRule type="expression" dxfId="1370" priority="352">
      <formula>$T$83&gt;0</formula>
    </cfRule>
  </conditionalFormatting>
  <conditionalFormatting sqref="U77 T74:T76 O72:O76 Q74:Q77 U74:U75 R74:R75 P74:P75 P77 P72:Q72 U71:U72 S74:S77 R77">
    <cfRule type="cellIs" dxfId="1369" priority="292" stopIfTrue="1" operator="notEqual">
      <formula>#REF!</formula>
    </cfRule>
  </conditionalFormatting>
  <conditionalFormatting sqref="R68">
    <cfRule type="expression" priority="290" stopIfTrue="1">
      <formula>$M$69&lt;0</formula>
    </cfRule>
    <cfRule type="expression" dxfId="1368" priority="291">
      <formula>$S$69&lt;&gt;0</formula>
    </cfRule>
  </conditionalFormatting>
  <conditionalFormatting sqref="R61 R64">
    <cfRule type="expression" dxfId="1367" priority="288" stopIfTrue="1">
      <formula>$M$69&gt;=0</formula>
    </cfRule>
    <cfRule type="expression" priority="289">
      <formula>$M$69&lt;0</formula>
    </cfRule>
  </conditionalFormatting>
  <conditionalFormatting sqref="U74:U75 R74:S75 Q74:Q76 S74:T76 O72:O76 P74:P75 P72:Q72 U71:U72">
    <cfRule type="cellIs" dxfId="1366" priority="287" stopIfTrue="1" operator="notEqual">
      <formula>#REF!</formula>
    </cfRule>
  </conditionalFormatting>
  <conditionalFormatting sqref="O12">
    <cfRule type="expression" dxfId="1365" priority="271">
      <formula>$P$12&lt;&gt;$M$12</formula>
    </cfRule>
  </conditionalFormatting>
  <conditionalFormatting sqref="U74:U75 R74:S75 Q74:Q76 S74:T76 O72:O76 P74:P75 P72:Q72 U71:U72">
    <cfRule type="cellIs" dxfId="1364" priority="270" stopIfTrue="1" operator="notEqual">
      <formula>#REF!</formula>
    </cfRule>
  </conditionalFormatting>
  <conditionalFormatting sqref="D93:M98 T94:T95 R90:S95 U87:X93 T90:T92 Y90:Y95 O88:O92 P88:Q93">
    <cfRule type="cellIs" dxfId="1363" priority="23" stopIfTrue="1" operator="notEqual">
      <formula>#REF!</formula>
    </cfRule>
  </conditionalFormatting>
  <conditionalFormatting sqref="P70">
    <cfRule type="expression" dxfId="1362" priority="22">
      <formula>$P$69&lt;&gt;$M$69</formula>
    </cfRule>
  </conditionalFormatting>
  <conditionalFormatting sqref="AB72">
    <cfRule type="expression" dxfId="1361" priority="21">
      <formula>$AB$71&lt;&gt;0</formula>
    </cfRule>
  </conditionalFormatting>
  <conditionalFormatting sqref="P71">
    <cfRule type="expression" dxfId="1360" priority="20">
      <formula>P69-INT(P69)</formula>
    </cfRule>
  </conditionalFormatting>
  <conditionalFormatting sqref="V70">
    <cfRule type="expression" dxfId="1359" priority="19">
      <formula>X68-INT(X68)</formula>
    </cfRule>
  </conditionalFormatting>
  <conditionalFormatting sqref="O12">
    <cfRule type="expression" dxfId="1358" priority="18">
      <formula>$P$12&lt;&gt;$M$12</formula>
    </cfRule>
  </conditionalFormatting>
  <conditionalFormatting sqref="T94:T95 R90:S95 U87:U93 T90:T92 O88:O92 P88:Q93">
    <cfRule type="cellIs" dxfId="1357" priority="16" stopIfTrue="1" operator="notEqual">
      <formula>#REF!</formula>
    </cfRule>
  </conditionalFormatting>
  <conditionalFormatting sqref="R84">
    <cfRule type="expression" priority="14" stopIfTrue="1">
      <formula>$M$85&lt;0</formula>
    </cfRule>
    <cfRule type="expression" dxfId="1356" priority="15">
      <formula>$S$85&lt;&gt;0</formula>
    </cfRule>
  </conditionalFormatting>
  <conditionalFormatting sqref="R80 R77">
    <cfRule type="expression" dxfId="1355" priority="12" stopIfTrue="1">
      <formula>$M$85&gt;=0</formula>
    </cfRule>
    <cfRule type="expression" priority="13">
      <formula>$M$85&lt;0</formula>
    </cfRule>
  </conditionalFormatting>
  <conditionalFormatting sqref="U87:U88 R89:U92 O88:Q92">
    <cfRule type="cellIs" dxfId="1354" priority="11" stopIfTrue="1" operator="notEqual">
      <formula>#REF!</formula>
    </cfRule>
  </conditionalFormatting>
  <conditionalFormatting sqref="M101">
    <cfRule type="expression" dxfId="1353" priority="10">
      <formula>$M$93-$M$100&lt;&gt;0</formula>
    </cfRule>
  </conditionalFormatting>
  <conditionalFormatting sqref="M102">
    <cfRule type="expression" dxfId="1352" priority="25">
      <formula>$M$101&lt;&gt;0</formula>
    </cfRule>
  </conditionalFormatting>
  <conditionalFormatting sqref="U87:U92 R90:T92 O88:Q92">
    <cfRule type="cellIs" dxfId="1351" priority="8" stopIfTrue="1" operator="notEqual">
      <formula>#REF!</formula>
    </cfRule>
  </conditionalFormatting>
  <conditionalFormatting sqref="T89:U89 Q91 T90 O89:O90 P89:Q89 R89:S91">
    <cfRule type="cellIs" dxfId="1350" priority="7" stopIfTrue="1" operator="notEqual">
      <formula>#REF!</formula>
    </cfRule>
  </conditionalFormatting>
  <conditionalFormatting sqref="Q36">
    <cfRule type="expression" dxfId="1349" priority="6">
      <formula>#REF!&lt;&gt;#REF!</formula>
    </cfRule>
  </conditionalFormatting>
  <conditionalFormatting sqref="R35">
    <cfRule type="expression" dxfId="1348" priority="5">
      <formula>#REF!&lt;&gt;0</formula>
    </cfRule>
  </conditionalFormatting>
  <conditionalFormatting sqref="Q35">
    <cfRule type="expression" dxfId="1347" priority="4">
      <formula>#REF!&lt;&gt;0</formula>
    </cfRule>
  </conditionalFormatting>
  <conditionalFormatting sqref="R36">
    <cfRule type="expression" dxfId="1346" priority="3">
      <formula>#REF!&lt;&gt;#REF!</formula>
    </cfRule>
  </conditionalFormatting>
  <conditionalFormatting sqref="G59:K59">
    <cfRule type="expression" dxfId="1345" priority="1">
      <formula>OR($P$105&gt;0,$P$106&lt;&gt;0,$P$107&lt;&gt;0)</formula>
    </cfRule>
  </conditionalFormatting>
  <hyperlinks>
    <hyperlink ref="O2" location="Index!A1" display="Return to Index" xr:uid="{00000000-0004-0000-1F00-000000000000}"/>
  </hyperlinks>
  <printOptions horizontalCentered="1"/>
  <pageMargins left="0.5" right="0.5" top="0.25" bottom="0.25" header="0" footer="0.25"/>
  <pageSetup scale="1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dimension ref="A1:G30"/>
  <sheetViews>
    <sheetView showGridLines="0" zoomScale="80" zoomScaleNormal="80" workbookViewId="0">
      <selection activeCell="E74" sqref="E74:F74"/>
    </sheetView>
  </sheetViews>
  <sheetFormatPr defaultColWidth="9.140625" defaultRowHeight="12.75"/>
  <cols>
    <col min="1" max="1" width="7" style="53" customWidth="1"/>
    <col min="2" max="2" width="93.140625" style="53" customWidth="1"/>
    <col min="3" max="3" width="20.28515625" style="53" customWidth="1"/>
    <col min="4" max="9" width="9.140625" style="53"/>
    <col min="10" max="10" width="13.85546875" style="53" customWidth="1"/>
    <col min="11" max="16384" width="9.140625" style="53"/>
  </cols>
  <sheetData>
    <row r="1" spans="2:6" ht="18.75" thickBot="1">
      <c r="B1" s="465" t="str">
        <f>'AUS1 Chrts'!$A$1</f>
        <v>The University of Texas at Austin - Academic &amp; Health (A+H)</v>
      </c>
      <c r="C1" s="835" t="s">
        <v>1200</v>
      </c>
    </row>
    <row r="2" spans="2:6">
      <c r="B2" s="1346" t="s">
        <v>2132</v>
      </c>
    </row>
    <row r="3" spans="2:6">
      <c r="B3" s="393" t="str">
        <f>'Smmy Chrts'!$A$2</f>
        <v>For the Year Ended August 31, 2021</v>
      </c>
    </row>
    <row r="4" spans="2:6">
      <c r="B4" s="393" t="str">
        <f>'Smmy Chrts'!$A$3</f>
        <v>Source: FY 2021 Annual Financial Report</v>
      </c>
    </row>
    <row r="5" spans="2:6" customFormat="1">
      <c r="B5" s="529" t="s">
        <v>705</v>
      </c>
    </row>
    <row r="6" spans="2:6" customFormat="1">
      <c r="B6" s="530"/>
    </row>
    <row r="7" spans="2:6" customFormat="1" ht="226.5" customHeight="1">
      <c r="B7" s="531" t="s">
        <v>706</v>
      </c>
      <c r="C7" s="532"/>
    </row>
    <row r="8" spans="2:6" customFormat="1" ht="263.25" customHeight="1">
      <c r="B8" s="531" t="s">
        <v>707</v>
      </c>
    </row>
    <row r="9" spans="2:6" ht="64.5" customHeight="1">
      <c r="B9" s="533" t="str">
        <f>IF('AUS1 FGD'!$R$76="N/A","FN11.  N/A",$B$20&amp;$B$21&amp;$B$22&amp;$B$23&amp;$B$24&amp;$B$25&amp;$B$26&amp;$B$27&amp;$B$28&amp;$B$29&amp;$B$30)</f>
        <v>FN11: Of the net increase of $1,777,477,933 approximately $429.5 million represents revenues received but not yet expended. This income is fully committed to program expenditures and capital disbursements. The remaining $1,348.0 million represents non-expendable funds from unrealized gains and additions to permanent endowments of approximately $1,275.1 million and $72.9 million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TEXT(IF('AUS1 FGD'!$M$85&lt;0,"N/A",'AUS1 FGD'!$M$85),"$* #,##0;$* (#,##0)")</f>
        <v>$1,777,477,933</v>
      </c>
      <c r="C21" s="480"/>
      <c r="D21" s="480"/>
      <c r="E21" s="480"/>
      <c r="G21" s="105"/>
    </row>
    <row r="22" spans="1:7">
      <c r="B22" s="105" t="s">
        <v>682</v>
      </c>
    </row>
    <row r="23" spans="1:7">
      <c r="A23" s="53">
        <v>61</v>
      </c>
      <c r="B23" s="515" t="str">
        <f>IF(ABS('AUS1 FGD'!$R$77)&gt;=1000000,TEXT('AUS1 FGD'!$R$77/1000000,"$* #,##0.0;$* (#,##0.0)")&amp;" million",IF(ABS('AUS1 FGD'!$R$77)&lt;1000,TEXT('AUS1 FGD'!$R$77,"$* #,##0;$* (#,##0)"),TEXT('AUS1 FGD'!$R$77/1000,"$* #,##0;$* (#,##0)")&amp;" thousand"))</f>
        <v>$429.5 million</v>
      </c>
      <c r="C23" s="515"/>
      <c r="E23" s="515"/>
    </row>
    <row r="24" spans="1:7">
      <c r="B24" s="105" t="s">
        <v>708</v>
      </c>
    </row>
    <row r="25" spans="1:7">
      <c r="A25" s="53">
        <v>62</v>
      </c>
      <c r="B25" s="515" t="str">
        <f>IF(ABS('AUS1 FGD'!$R$78)&gt;=1000000,TEXT('AUS1 FGD'!$R$78/1000000,"$* #,##0.0;$* (#,##0.0)")&amp;" million",IF(ABS('AUS1 FGD'!$R$78)&lt;1000,TEXT('AUS1 FGD'!$R$78,"$* #,##0;$* (#,##0)"),TEXT('AUS1 FGD'!$R$78/1000,"$* #,##0;$* (#,##0)")&amp;" thousand"))</f>
        <v>$1,348.0 million</v>
      </c>
      <c r="C25" s="515"/>
      <c r="E25" s="515"/>
    </row>
    <row r="26" spans="1:7">
      <c r="B26" s="105" t="s">
        <v>683</v>
      </c>
    </row>
    <row r="27" spans="1:7">
      <c r="A27" s="53">
        <v>64</v>
      </c>
      <c r="B27" s="515" t="str">
        <f>IF(ABS('AUS1 FGD'!$R$80)&gt;=1000000,TEXT('AUS1 FGD'!$R$80/1000000,"$* #,##0.0;$* (#,##0.0)")&amp;" million",IF(ABS('AUS1 FGD'!$R$80)&lt;1000,TEXT('AUS1 FGD'!$R$80,"$* #,##0;$* (#,##0)"),TEXT('AUS1 FGD'!$R$80/1000,"$* #,##0;$* (#,##0)")&amp;" thousand"))</f>
        <v>$1,275.1 million</v>
      </c>
      <c r="C27" s="515"/>
      <c r="E27" s="515"/>
    </row>
    <row r="28" spans="1:7">
      <c r="B28" s="105" t="s">
        <v>684</v>
      </c>
    </row>
    <row r="29" spans="1:7">
      <c r="A29" s="53">
        <v>66</v>
      </c>
      <c r="B29" s="515" t="str">
        <f>IF(ABS('AUS1 FGD'!$R$82)&gt;=1000000,TEXT('AUS1 FGD'!$R$82/1000000,"$* #,##0.0;$* (#,##0.0)")&amp;" million",IF(ABS('AUS1 FGD'!$R$82)&lt;1000,TEXT('AUS1 FGD'!$R$82,"$* #,##0;$* (#,##0)"),TEXT('AUS1 FGD'!$R$82/1000,"$* #,##0;$* (#,##0)")&amp;" thousand"))</f>
        <v>$72.9 million</v>
      </c>
      <c r="C29" s="515"/>
      <c r="E29" s="515"/>
    </row>
    <row r="30" spans="1:7">
      <c r="B30" s="105" t="s">
        <v>709</v>
      </c>
    </row>
  </sheetData>
  <hyperlinks>
    <hyperlink ref="C1" location="Index!A1" display="Return to Index" xr:uid="{00000000-0004-0000-2000-000000000000}"/>
  </hyperlinks>
  <pageMargins left="0.25" right="0.25" top="0.25" bottom="0.25" header="0" footer="0.25"/>
  <pageSetup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5">
    <tabColor indexed="47"/>
    <pageSetUpPr fitToPage="1"/>
  </sheetPr>
  <dimension ref="A1:E165"/>
  <sheetViews>
    <sheetView showGridLines="0" zoomScale="65" zoomScaleNormal="65" zoomScaleSheetLayoutView="65" workbookViewId="0">
      <selection activeCell="C32" sqref="C32"/>
    </sheetView>
  </sheetViews>
  <sheetFormatPr defaultColWidth="9.140625" defaultRowHeight="12.75" customHeight="1"/>
  <cols>
    <col min="1" max="1" width="158.7109375" style="53" customWidth="1"/>
    <col min="2" max="2" width="18.42578125" style="53" customWidth="1"/>
    <col min="3" max="3" width="54.7109375" style="53" customWidth="1"/>
    <col min="4" max="4" width="20.7109375" style="53" customWidth="1"/>
    <col min="5" max="5" width="9.140625" style="679"/>
    <col min="6" max="16384" width="9.140625" style="53"/>
  </cols>
  <sheetData>
    <row r="1" spans="1:5" ht="28.5" thickBot="1">
      <c r="A1" s="159" t="s">
        <v>96</v>
      </c>
      <c r="B1" s="835" t="s">
        <v>1200</v>
      </c>
      <c r="C1" s="53" t="s">
        <v>1329</v>
      </c>
    </row>
    <row r="2" spans="1:5" ht="27.75">
      <c r="A2" s="54" t="str">
        <f>'Smmy Chrts'!$A$2</f>
        <v>For the Year Ended August 31, 2021</v>
      </c>
      <c r="C2" s="55" t="s">
        <v>63</v>
      </c>
    </row>
    <row r="3" spans="1:5" ht="27.75">
      <c r="A3" s="54" t="str">
        <f>'Smmy Chrts'!$A$3</f>
        <v>Source: FY 2021 Annual Financial Report</v>
      </c>
      <c r="C3" s="53" t="s">
        <v>64</v>
      </c>
    </row>
    <row r="4" spans="1:5" ht="12.75" customHeight="1">
      <c r="C4" s="53" t="s">
        <v>267</v>
      </c>
    </row>
    <row r="5" spans="1:5" ht="12.75" customHeight="1">
      <c r="C5" s="53" t="s">
        <v>268</v>
      </c>
    </row>
    <row r="7" spans="1:5" ht="12.75" customHeight="1">
      <c r="C7" s="1687" t="s">
        <v>25</v>
      </c>
      <c r="D7" s="1687"/>
    </row>
    <row r="8" spans="1:5" ht="12.75" customHeight="1">
      <c r="C8" s="57"/>
      <c r="D8" s="58"/>
    </row>
    <row r="9" spans="1:5" ht="12.75" customHeight="1">
      <c r="C9" s="59" t="str">
        <f>'DAL Sum'!A9</f>
        <v>State of Texas</v>
      </c>
      <c r="D9" s="60">
        <f>'DAL Sum'!B15</f>
        <v>129433047</v>
      </c>
      <c r="E9" s="680">
        <f>ROUND(D9/$D$14,3)</f>
        <v>0.183</v>
      </c>
    </row>
    <row r="10" spans="1:5" ht="12.75" customHeight="1">
      <c r="C10" s="59" t="str">
        <f>'DAL Sum'!A17</f>
        <v>Student &amp; Parent</v>
      </c>
      <c r="D10" s="60">
        <f>'DAL Sum'!B20</f>
        <v>299924258</v>
      </c>
      <c r="E10" s="680">
        <f t="shared" ref="E10:E12" si="0">ROUND(D10/$D$14,3)</f>
        <v>0.42399999999999999</v>
      </c>
    </row>
    <row r="11" spans="1:5" ht="12.75" customHeight="1">
      <c r="C11" s="59" t="str">
        <f>'DAL Sum'!A22</f>
        <v>Federal Government</v>
      </c>
      <c r="D11" s="60">
        <f>'DAL Sum'!B23</f>
        <v>143175656</v>
      </c>
      <c r="E11" s="680">
        <f t="shared" si="0"/>
        <v>0.20300000000000001</v>
      </c>
    </row>
    <row r="12" spans="1:5" ht="12.75" customHeight="1">
      <c r="C12" s="59" t="str">
        <f>'DAL Sum'!A25</f>
        <v>Institutional Resources</v>
      </c>
      <c r="D12" s="60">
        <f>'DAL Sum'!B32</f>
        <v>134232894</v>
      </c>
      <c r="E12" s="680">
        <f t="shared" si="0"/>
        <v>0.19</v>
      </c>
    </row>
    <row r="13" spans="1:5" ht="12.75" customHeight="1">
      <c r="C13" s="57"/>
      <c r="D13" s="58"/>
      <c r="E13" s="680"/>
    </row>
    <row r="14" spans="1:5" ht="12.75" customHeight="1">
      <c r="C14" s="61" t="s">
        <v>68</v>
      </c>
      <c r="D14" s="62">
        <f>SUM(D9:D13)</f>
        <v>706765855</v>
      </c>
      <c r="E14" s="680">
        <f>SUM(E9:E13)</f>
        <v>1</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86" t="str">
        <f>C14&amp;" "&amp;TEXT(D14,"$#,###")</f>
        <v>Total Operating Sources $706,765,855</v>
      </c>
    </row>
    <row r="48" spans="1:1" ht="12.75" customHeight="1">
      <c r="A48" s="1686"/>
    </row>
    <row r="49" spans="1:5" ht="12.75" customHeight="1">
      <c r="A49" s="56"/>
    </row>
    <row r="52" spans="1:5" ht="12.75" customHeight="1">
      <c r="C52" s="63" t="s">
        <v>25</v>
      </c>
      <c r="D52" s="58"/>
    </row>
    <row r="54" spans="1:5" ht="12.75" customHeight="1">
      <c r="C54" s="59" t="s">
        <v>1</v>
      </c>
      <c r="D54" s="60">
        <f>'DAL Sum'!B10</f>
        <v>109811580</v>
      </c>
      <c r="E54" s="680">
        <f>ROUND(D54/$D$67,3)</f>
        <v>0.155</v>
      </c>
    </row>
    <row r="55" spans="1:5" ht="12.75" customHeight="1">
      <c r="C55" s="59" t="s">
        <v>221</v>
      </c>
      <c r="D55" s="60">
        <f>'DAL Sum'!B11</f>
        <v>19621467</v>
      </c>
      <c r="E55" s="680">
        <f t="shared" ref="E55:E66" si="1">ROUND(D55/$D$67,3)</f>
        <v>2.8000000000000001E-2</v>
      </c>
    </row>
    <row r="56" spans="1:5" ht="12.75" customHeight="1">
      <c r="C56" s="59"/>
      <c r="D56" s="60"/>
      <c r="E56" s="680"/>
    </row>
    <row r="57" spans="1:5" ht="12.75" customHeight="1">
      <c r="C57" s="1069" t="str">
        <f>'DAL Sum'!A13</f>
        <v>Higher Education Fund</v>
      </c>
      <c r="D57" s="60">
        <f>'DAL Sum'!B13</f>
        <v>0</v>
      </c>
      <c r="E57" s="680">
        <f t="shared" si="1"/>
        <v>0</v>
      </c>
    </row>
    <row r="58" spans="1:5" ht="12.75" customHeight="1">
      <c r="C58" s="1069" t="s">
        <v>41</v>
      </c>
      <c r="D58" s="60">
        <f>'DAL Sum'!B14</f>
        <v>0</v>
      </c>
      <c r="E58" s="680">
        <f t="shared" si="1"/>
        <v>0</v>
      </c>
    </row>
    <row r="59" spans="1:5" ht="12.75" customHeight="1">
      <c r="C59" s="59" t="s">
        <v>87</v>
      </c>
      <c r="D59" s="60">
        <f>'DAL Sum'!B20</f>
        <v>299924258</v>
      </c>
      <c r="E59" s="680">
        <f t="shared" si="1"/>
        <v>0.42399999999999999</v>
      </c>
    </row>
    <row r="60" spans="1:5" ht="12.75" customHeight="1">
      <c r="C60" s="64" t="s">
        <v>74</v>
      </c>
      <c r="D60" s="60">
        <f>'DAL Sum'!B23</f>
        <v>143175656</v>
      </c>
      <c r="E60" s="680">
        <f t="shared" si="1"/>
        <v>0.20300000000000001</v>
      </c>
    </row>
    <row r="61" spans="1:5" ht="12.75" customHeight="1">
      <c r="C61" s="59" t="s">
        <v>75</v>
      </c>
      <c r="D61" s="60">
        <f>'DAL Sum'!B26</f>
        <v>39576095</v>
      </c>
      <c r="E61" s="680">
        <f t="shared" si="1"/>
        <v>5.6000000000000001E-2</v>
      </c>
    </row>
    <row r="62" spans="1:5" ht="12.75" customHeight="1">
      <c r="C62" s="59" t="s">
        <v>27</v>
      </c>
      <c r="D62" s="60">
        <f>'DAL Sum'!B27</f>
        <v>249002</v>
      </c>
      <c r="E62" s="680">
        <f t="shared" si="1"/>
        <v>0</v>
      </c>
    </row>
    <row r="63" spans="1:5" ht="12.75" customHeight="1">
      <c r="C63" s="59" t="s">
        <v>76</v>
      </c>
      <c r="D63" s="60">
        <f>'DAL Sum'!B28</f>
        <v>24914444</v>
      </c>
      <c r="E63" s="680">
        <f t="shared" si="1"/>
        <v>3.5000000000000003E-2</v>
      </c>
    </row>
    <row r="64" spans="1:5" ht="12.75" customHeight="1">
      <c r="C64" s="59" t="s">
        <v>77</v>
      </c>
      <c r="D64" s="60">
        <f>'DAL Sum'!B29</f>
        <v>31776617</v>
      </c>
      <c r="E64" s="680">
        <f t="shared" si="1"/>
        <v>4.4999999999999998E-2</v>
      </c>
    </row>
    <row r="65" spans="1:5" ht="12.75" customHeight="1">
      <c r="C65" s="59" t="s">
        <v>220</v>
      </c>
      <c r="D65" s="60">
        <f>'DAL Sum'!B30</f>
        <v>28944491</v>
      </c>
      <c r="E65" s="680">
        <f t="shared" si="1"/>
        <v>4.1000000000000002E-2</v>
      </c>
    </row>
    <row r="66" spans="1:5" ht="12.75" customHeight="1">
      <c r="C66" s="64" t="s">
        <v>52</v>
      </c>
      <c r="D66" s="60">
        <f>'DAL Sum'!B31</f>
        <v>8772245</v>
      </c>
      <c r="E66" s="680">
        <f t="shared" si="1"/>
        <v>1.2E-2</v>
      </c>
    </row>
    <row r="67" spans="1:5" ht="12.75" customHeight="1">
      <c r="C67" s="61" t="s">
        <v>68</v>
      </c>
      <c r="D67" s="62">
        <f>SUM(D54:D66)</f>
        <v>706765855</v>
      </c>
      <c r="E67" s="681">
        <f>SUM(E54:E66)</f>
        <v>0.99900000000000022</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86" t="str">
        <f>C67&amp;" "&amp;TEXT(D67,"$#,###")</f>
        <v>Total Operating Sources $706,765,855</v>
      </c>
    </row>
    <row r="93" spans="1:5" ht="12.75" customHeight="1">
      <c r="A93" s="1686"/>
    </row>
    <row r="94" spans="1:5" ht="12.75" customHeight="1">
      <c r="A94" s="65"/>
    </row>
    <row r="95" spans="1:5" s="68" customFormat="1" ht="12.75" customHeight="1">
      <c r="A95" s="66"/>
      <c r="E95" s="682"/>
    </row>
    <row r="96" spans="1:5" ht="12.75" customHeight="1">
      <c r="A96" s="65"/>
    </row>
    <row r="97" spans="1:5" ht="12.75" customHeight="1">
      <c r="A97" s="65"/>
    </row>
    <row r="98" spans="1:5" ht="12.75" customHeight="1">
      <c r="A98" s="65"/>
    </row>
    <row r="100" spans="1:5" ht="12.75" customHeight="1">
      <c r="C100" s="1687" t="s">
        <v>13</v>
      </c>
      <c r="D100" s="1687"/>
    </row>
    <row r="101" spans="1:5" ht="12.75" customHeight="1">
      <c r="C101" s="1687"/>
      <c r="D101" s="1687"/>
    </row>
    <row r="102" spans="1:5" ht="12.75" customHeight="1">
      <c r="C102" s="69" t="s">
        <v>14</v>
      </c>
      <c r="D102" s="60">
        <f>'DAL Sum'!B36</f>
        <v>197677095</v>
      </c>
      <c r="E102" s="680">
        <f>ROUND(D102/$D$114,3)</f>
        <v>0.33600000000000002</v>
      </c>
    </row>
    <row r="103" spans="1:5" ht="12.75" customHeight="1">
      <c r="C103" s="69" t="s">
        <v>15</v>
      </c>
      <c r="D103" s="60">
        <f>'DAL Sum'!B37</f>
        <v>98702141</v>
      </c>
      <c r="E103" s="680">
        <f t="shared" ref="E103:E112" si="2">ROUND(D103/$D$114,3)</f>
        <v>0.16800000000000001</v>
      </c>
    </row>
    <row r="104" spans="1:5" ht="12.75" customHeight="1">
      <c r="C104" s="69" t="s">
        <v>16</v>
      </c>
      <c r="D104" s="60">
        <f>'DAL Sum'!B38</f>
        <v>9035089</v>
      </c>
      <c r="E104" s="680">
        <f t="shared" si="2"/>
        <v>1.4999999999999999E-2</v>
      </c>
    </row>
    <row r="105" spans="1:5" ht="12.75" customHeight="1">
      <c r="C105" s="69" t="s">
        <v>17</v>
      </c>
      <c r="D105" s="60">
        <f>'DAL Sum'!B39</f>
        <v>63009599</v>
      </c>
      <c r="E105" s="680">
        <f t="shared" si="2"/>
        <v>0.107</v>
      </c>
    </row>
    <row r="106" spans="1:5" ht="12.75" customHeight="1">
      <c r="C106" s="69" t="s">
        <v>18</v>
      </c>
      <c r="D106" s="60">
        <f>'DAL Sum'!B40</f>
        <v>17966833</v>
      </c>
      <c r="E106" s="680">
        <f t="shared" si="2"/>
        <v>3.1E-2</v>
      </c>
    </row>
    <row r="107" spans="1:5" ht="12.75" customHeight="1">
      <c r="C107" s="69" t="s">
        <v>19</v>
      </c>
      <c r="D107" s="60">
        <f>'DAL Sum'!B41</f>
        <v>34647797</v>
      </c>
      <c r="E107" s="680">
        <f t="shared" si="2"/>
        <v>5.8999999999999997E-2</v>
      </c>
    </row>
    <row r="108" spans="1:5" ht="12.75" customHeight="1">
      <c r="C108" s="69" t="s">
        <v>78</v>
      </c>
      <c r="D108" s="60">
        <f>'DAL Sum'!B42</f>
        <v>54577186</v>
      </c>
      <c r="E108" s="680">
        <f t="shared" si="2"/>
        <v>9.2999999999999999E-2</v>
      </c>
    </row>
    <row r="109" spans="1:5" ht="12.75" customHeight="1">
      <c r="C109" s="69" t="s">
        <v>79</v>
      </c>
      <c r="D109" s="60">
        <f>'DAL Sum'!B43</f>
        <v>60963339</v>
      </c>
      <c r="E109" s="680">
        <f t="shared" si="2"/>
        <v>0.104</v>
      </c>
    </row>
    <row r="110" spans="1:5" ht="12.75" customHeight="1">
      <c r="C110" s="69" t="s">
        <v>22</v>
      </c>
      <c r="D110" s="60">
        <f>'DAL Sum'!B44</f>
        <v>39253057</v>
      </c>
      <c r="E110" s="680">
        <f t="shared" si="2"/>
        <v>6.7000000000000004E-2</v>
      </c>
    </row>
    <row r="111" spans="1:5" ht="12.75" customHeight="1">
      <c r="C111" s="64" t="s">
        <v>29</v>
      </c>
      <c r="D111" s="60">
        <f>'DAL Sum'!B45</f>
        <v>12825288</v>
      </c>
      <c r="E111" s="680">
        <f t="shared" si="2"/>
        <v>2.1999999999999999E-2</v>
      </c>
    </row>
    <row r="112" spans="1:5" ht="12.75" customHeight="1">
      <c r="C112" s="1069" t="s">
        <v>53</v>
      </c>
      <c r="D112" s="60">
        <f>'DAL Sum'!B46</f>
        <v>0</v>
      </c>
      <c r="E112" s="680">
        <f t="shared" si="2"/>
        <v>0</v>
      </c>
    </row>
    <row r="113" spans="3:5" ht="12.75" customHeight="1">
      <c r="C113" s="57"/>
      <c r="D113" s="57"/>
    </row>
    <row r="114" spans="3:5" ht="12.75" customHeight="1">
      <c r="C114" s="70" t="s">
        <v>69</v>
      </c>
      <c r="D114" s="62">
        <f>SUM(D102:D113)</f>
        <v>588657424</v>
      </c>
      <c r="E114" s="681">
        <f>SUM(E102:E113)</f>
        <v>1.002</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86" t="str">
        <f>C114&amp;" "&amp;TEXT(D114,"$#,###")</f>
        <v>Total Operating Uses $588,657,424</v>
      </c>
    </row>
    <row r="137" spans="1:1" ht="12.75" customHeight="1">
      <c r="A137" s="1686"/>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21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ransitionEvaluation="1" transitionEntry="1" codeName="Sheet16">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'DAL Chrts'!A1</f>
        <v>The University of Texas at Dallas</v>
      </c>
      <c r="B1" s="74"/>
      <c r="C1" s="1"/>
      <c r="D1" s="1704" t="s">
        <v>1200</v>
      </c>
      <c r="E1" s="1705"/>
      <c r="F1" s="1757" t="s">
        <v>1196</v>
      </c>
      <c r="G1" s="1706"/>
      <c r="H1" s="1706"/>
      <c r="I1" s="1706"/>
      <c r="J1" s="1707" t="s">
        <v>1197</v>
      </c>
      <c r="K1" s="1695"/>
      <c r="L1" s="1695"/>
      <c r="M1" s="1695"/>
      <c r="N1" s="1695"/>
      <c r="O1" s="1696"/>
    </row>
    <row r="2" spans="1:15" ht="15.75">
      <c r="A2" s="76" t="str">
        <f>'Smmy Chrts'!$A$2</f>
        <v>For the Year Ended August 31, 2021</v>
      </c>
      <c r="B2" s="74"/>
      <c r="C2" s="1"/>
      <c r="D2" s="37"/>
      <c r="E2" s="37"/>
      <c r="F2" s="37"/>
      <c r="J2" s="37"/>
      <c r="K2" s="37"/>
      <c r="L2" s="37"/>
      <c r="M2" s="37"/>
    </row>
    <row r="3" spans="1:15" ht="15.75">
      <c r="A3" s="76" t="str">
        <f>'Smmy Chrts'!$A$3</f>
        <v>Source: FY 2021 Annual Financial Report</v>
      </c>
      <c r="B3" s="74"/>
      <c r="C3" s="1"/>
    </row>
    <row r="4" spans="1:15" ht="13.5" customHeight="1">
      <c r="B4" s="77"/>
      <c r="C4" s="4"/>
      <c r="D4" s="1711" t="s">
        <v>1142</v>
      </c>
      <c r="E4" s="1711" t="s">
        <v>1143</v>
      </c>
      <c r="F4" s="266"/>
    </row>
    <row r="5" spans="1:15" ht="18">
      <c r="A5" s="39" t="str">
        <f>'Smmy Chrts'!$C$35</f>
        <v>Summary Worksheet FY 2021</v>
      </c>
      <c r="B5" s="40" t="s">
        <v>86</v>
      </c>
      <c r="C5" s="40" t="s">
        <v>129</v>
      </c>
      <c r="D5" s="1712"/>
      <c r="E5" s="1712"/>
      <c r="F5" s="266"/>
      <c r="G5" s="799" t="s">
        <v>1198</v>
      </c>
      <c r="I5" s="822" t="s">
        <v>2157</v>
      </c>
      <c r="J5" s="792" t="s">
        <v>1144</v>
      </c>
    </row>
    <row r="6" spans="1:15" ht="13.5" customHeight="1">
      <c r="A6" s="78" t="s">
        <v>266</v>
      </c>
      <c r="B6" s="41"/>
      <c r="C6" s="42">
        <f>VLOOKUP($A$1,FTSELU,12,FALSE)</f>
        <v>24167.85</v>
      </c>
      <c r="J6" s="712"/>
    </row>
    <row r="7" spans="1:15">
      <c r="I7" s="824" t="s">
        <v>1162</v>
      </c>
      <c r="J7" s="827"/>
    </row>
    <row r="8" spans="1:15">
      <c r="A8" s="81" t="s">
        <v>71</v>
      </c>
      <c r="B8" s="81"/>
      <c r="C8" s="24"/>
      <c r="I8" s="896">
        <f>VLOOKUP(A1,FTSELU,14,FALSE)</f>
        <v>2224.7799999999997</v>
      </c>
      <c r="J8" s="712"/>
    </row>
    <row r="9" spans="1:15" ht="12.75" customHeight="1" thickBot="1">
      <c r="A9" s="78" t="s">
        <v>0</v>
      </c>
      <c r="B9" s="82"/>
      <c r="C9" s="7"/>
      <c r="J9" s="712"/>
    </row>
    <row r="10" spans="1:15" ht="12.75" customHeight="1" thickTop="1">
      <c r="A10" s="75" t="s">
        <v>1</v>
      </c>
      <c r="B10" s="83">
        <f>'DAL FGD'!M10</f>
        <v>109811580</v>
      </c>
      <c r="C10" s="83">
        <f>ROUND(B10/$C$6,0)</f>
        <v>4544</v>
      </c>
      <c r="D10" s="512">
        <f>'DAL FGD'!F10</f>
        <v>0</v>
      </c>
      <c r="E10" s="512"/>
      <c r="F10" s="84">
        <f>B10-(SUM(D10:E10))</f>
        <v>109811580</v>
      </c>
      <c r="G10" s="1143" t="s">
        <v>1</v>
      </c>
      <c r="H10" s="1144"/>
      <c r="I10" s="825" t="s">
        <v>1161</v>
      </c>
      <c r="J10" s="713">
        <f>ROUND(F10/$C$6,0)</f>
        <v>4544</v>
      </c>
    </row>
    <row r="11" spans="1:15" ht="12.75" customHeight="1" thickBot="1">
      <c r="A11" s="75" t="s">
        <v>2</v>
      </c>
      <c r="B11" s="86">
        <f>'DAL FGD'!M11</f>
        <v>19621467</v>
      </c>
      <c r="C11" s="87">
        <f t="shared" ref="C11:C14" si="0">ROUND(B11/$C$6,0)</f>
        <v>812</v>
      </c>
      <c r="D11" s="86">
        <f>'DAL FGD'!F11</f>
        <v>0</v>
      </c>
      <c r="E11" s="74"/>
      <c r="F11" s="606">
        <f t="shared" ref="F11:F14" si="1">B11-(SUM(D11:E11))</f>
        <v>19621467</v>
      </c>
      <c r="G11" s="1148">
        <f>SUM(F10:F11)</f>
        <v>129433047</v>
      </c>
      <c r="H11" s="715"/>
      <c r="I11" s="1373">
        <f>ROUND($G$11/$C$6,0)</f>
        <v>5356</v>
      </c>
      <c r="J11" s="716">
        <f t="shared" ref="J11:J14" si="2">ROUND(F11/$C$6,0)</f>
        <v>812</v>
      </c>
    </row>
    <row r="12" spans="1:15" ht="12.75" hidden="1" customHeight="1" thickTop="1" thickBot="1">
      <c r="A12" s="75" t="s">
        <v>1410</v>
      </c>
      <c r="B12" s="86"/>
      <c r="C12" s="87"/>
      <c r="D12" s="86"/>
      <c r="E12" s="74"/>
      <c r="F12" s="607"/>
      <c r="J12" s="716"/>
      <c r="O12" s="608"/>
    </row>
    <row r="13" spans="1:15" ht="12.75" customHeight="1" thickTop="1">
      <c r="A13" s="75" t="s">
        <v>1368</v>
      </c>
      <c r="B13" s="86">
        <f>'DAL FGD'!M13</f>
        <v>0</v>
      </c>
      <c r="C13" s="87">
        <f t="shared" si="0"/>
        <v>0</v>
      </c>
      <c r="D13" s="86">
        <f>'DAL FGD'!F13</f>
        <v>0</v>
      </c>
      <c r="E13" s="74"/>
      <c r="F13" s="893">
        <f t="shared" si="1"/>
        <v>0</v>
      </c>
      <c r="G13" s="882" t="s">
        <v>81</v>
      </c>
      <c r="H13" s="894"/>
      <c r="I13" s="826" t="s">
        <v>1163</v>
      </c>
      <c r="J13" s="716">
        <f t="shared" si="2"/>
        <v>0</v>
      </c>
    </row>
    <row r="14" spans="1:15" ht="12.75" customHeight="1" thickBot="1">
      <c r="A14" s="75" t="s">
        <v>49</v>
      </c>
      <c r="B14" s="86">
        <f>'DAL FGD'!M14</f>
        <v>0</v>
      </c>
      <c r="C14" s="87">
        <f t="shared" si="0"/>
        <v>0</v>
      </c>
      <c r="D14" s="86">
        <f>'DAL FGD'!F14</f>
        <v>0</v>
      </c>
      <c r="E14" s="74"/>
      <c r="F14" s="607">
        <f t="shared" si="1"/>
        <v>0</v>
      </c>
      <c r="G14" s="800">
        <f>SUM(F13:F14)</f>
        <v>0</v>
      </c>
      <c r="H14" s="895"/>
      <c r="I14" s="1377">
        <f>ROUND($G$11/$I$8,0)</f>
        <v>58178</v>
      </c>
      <c r="J14" s="828">
        <f t="shared" si="2"/>
        <v>0</v>
      </c>
    </row>
    <row r="15" spans="1:15" ht="12.75" customHeight="1" thickTop="1">
      <c r="A15" s="88" t="s">
        <v>3</v>
      </c>
      <c r="B15" s="89">
        <f>SUM(B10:B14)</f>
        <v>129433047</v>
      </c>
      <c r="C15" s="89">
        <f>SUM(C10:C14)</f>
        <v>5356</v>
      </c>
      <c r="D15" s="89">
        <f>SUM(D10:D14)</f>
        <v>0</v>
      </c>
      <c r="E15" s="89">
        <f>SUM(E10:E14)</f>
        <v>0</v>
      </c>
      <c r="F15" s="216">
        <f>SUM(F10:F14)</f>
        <v>129433047</v>
      </c>
      <c r="I15" s="1372"/>
      <c r="J15" s="757">
        <f>SUM(J10:J14)</f>
        <v>5356</v>
      </c>
    </row>
    <row r="16" spans="1:15">
      <c r="B16" s="48"/>
      <c r="C16" s="75"/>
      <c r="J16" s="712"/>
    </row>
    <row r="17" spans="1:31" ht="12.75" customHeight="1">
      <c r="A17" s="78" t="s">
        <v>4</v>
      </c>
      <c r="B17" s="86"/>
      <c r="C17" s="75"/>
      <c r="J17" s="712"/>
    </row>
    <row r="18" spans="1:31">
      <c r="A18" s="75" t="s">
        <v>39</v>
      </c>
      <c r="B18" s="83">
        <f>'DAL FGD'!M29</f>
        <v>197208498</v>
      </c>
      <c r="C18" s="83">
        <f t="shared" ref="C18:C19" si="3">ROUND(B18/$C$6,0)</f>
        <v>8160</v>
      </c>
      <c r="D18" s="512">
        <f>'DAL FGD'!$F$29</f>
        <v>0</v>
      </c>
      <c r="E18" s="512"/>
      <c r="F18" s="512">
        <f t="shared" ref="F18:F19" si="4">B18-(SUM(D18:E18))</f>
        <v>197208498</v>
      </c>
      <c r="G18" s="337"/>
      <c r="H18" s="337"/>
      <c r="I18" s="337"/>
      <c r="J18" s="713">
        <f>ROUND(F18/$C$6,0)</f>
        <v>8160</v>
      </c>
    </row>
    <row r="19" spans="1:31" ht="13.5" thickBot="1">
      <c r="A19" s="75" t="s">
        <v>40</v>
      </c>
      <c r="B19" s="86">
        <f>'DAL FGD'!M42</f>
        <v>102715760</v>
      </c>
      <c r="C19" s="87">
        <f t="shared" si="3"/>
        <v>4250</v>
      </c>
      <c r="D19" s="74">
        <f>'DAL FGD'!$F$42</f>
        <v>20852348</v>
      </c>
      <c r="E19" s="74"/>
      <c r="F19" s="74">
        <f t="shared" si="4"/>
        <v>81863412</v>
      </c>
      <c r="G19" s="337"/>
      <c r="H19" s="337"/>
      <c r="I19" s="337"/>
      <c r="J19" s="716">
        <f>ROUND(F19/$C$6,0)</f>
        <v>3387</v>
      </c>
    </row>
    <row r="20" spans="1:31" ht="14.25" thickTop="1" thickBot="1">
      <c r="A20" s="88" t="s">
        <v>5</v>
      </c>
      <c r="B20" s="89">
        <f>SUM(B18:B19)</f>
        <v>299924258</v>
      </c>
      <c r="C20" s="89">
        <f>SUM(C18:C19)</f>
        <v>12410</v>
      </c>
      <c r="D20" s="717">
        <f>SUM(D18:D19)</f>
        <v>20852348</v>
      </c>
      <c r="E20" s="718">
        <f>SUM(E18:E19)</f>
        <v>0</v>
      </c>
      <c r="F20" s="801">
        <f>SUM(F18:F19)</f>
        <v>279071910</v>
      </c>
      <c r="G20" s="720" t="s">
        <v>26</v>
      </c>
      <c r="H20" s="366"/>
      <c r="I20" s="367"/>
      <c r="J20" s="721">
        <f>SUM(J18:J19)</f>
        <v>11547</v>
      </c>
    </row>
    <row r="21" spans="1:31" ht="12.75" customHeight="1" thickTop="1">
      <c r="B21" s="91"/>
      <c r="C21" s="75"/>
      <c r="F21" s="804"/>
      <c r="J21" s="712"/>
    </row>
    <row r="22" spans="1:31" ht="14.25" customHeight="1" thickBot="1">
      <c r="A22" s="78" t="s">
        <v>6</v>
      </c>
      <c r="B22" s="91"/>
      <c r="C22" s="75"/>
      <c r="J22" s="712"/>
    </row>
    <row r="23" spans="1:31" ht="14.25" thickTop="1" thickBot="1">
      <c r="A23" s="88" t="s">
        <v>7</v>
      </c>
      <c r="B23" s="92">
        <f>'DAL FGD'!M47</f>
        <v>143175656</v>
      </c>
      <c r="C23" s="89">
        <f t="shared" ref="C23" si="5">ROUND(B23/$C$6,0)</f>
        <v>5924</v>
      </c>
      <c r="D23" s="717">
        <f>'DAL FGD'!F47</f>
        <v>0</v>
      </c>
      <c r="E23" s="718"/>
      <c r="F23" s="801">
        <f>B23-(SUM(D23:E23))</f>
        <v>143175656</v>
      </c>
      <c r="G23" s="722" t="s">
        <v>74</v>
      </c>
      <c r="H23" s="366"/>
      <c r="I23" s="367"/>
      <c r="J23" s="756">
        <f>ROUND(F23/$C$6,0)</f>
        <v>5924</v>
      </c>
    </row>
    <row r="24" spans="1:31" ht="13.5" thickTop="1">
      <c r="B24" s="91"/>
      <c r="C24" s="75"/>
      <c r="J24" s="712"/>
    </row>
    <row r="25" spans="1:31">
      <c r="A25" s="78" t="s">
        <v>8</v>
      </c>
      <c r="B25" s="91"/>
      <c r="C25" s="75"/>
      <c r="J25" s="712"/>
    </row>
    <row r="26" spans="1:31">
      <c r="A26" s="75" t="s">
        <v>42</v>
      </c>
      <c r="B26" s="83">
        <f>'DAL FGD'!M50</f>
        <v>39576095</v>
      </c>
      <c r="C26" s="83">
        <f t="shared" ref="C26:C31" si="6">ROUND(B26/$C$6,0)</f>
        <v>1638</v>
      </c>
      <c r="D26" s="512">
        <f>'DAL FGD'!F50</f>
        <v>0</v>
      </c>
      <c r="E26" s="512"/>
      <c r="F26" s="512">
        <f t="shared" ref="F26:F31" si="7">B26-(SUM(D26:E26))</f>
        <v>39576095</v>
      </c>
      <c r="G26" s="337"/>
      <c r="H26" s="337"/>
      <c r="I26" s="337"/>
      <c r="J26" s="713">
        <f>ROUND(F26/$C$6,0)</f>
        <v>1638</v>
      </c>
    </row>
    <row r="27" spans="1:31">
      <c r="A27" s="75" t="s">
        <v>9</v>
      </c>
      <c r="B27" s="86">
        <f>'DAL FGD'!M51</f>
        <v>249002</v>
      </c>
      <c r="C27" s="87">
        <f t="shared" si="6"/>
        <v>10</v>
      </c>
      <c r="D27" s="86">
        <f>'DAL FGD'!F51</f>
        <v>0</v>
      </c>
      <c r="E27" s="74"/>
      <c r="F27" s="74">
        <f t="shared" si="7"/>
        <v>249002</v>
      </c>
      <c r="G27" s="337"/>
      <c r="H27" s="337"/>
      <c r="I27" s="337"/>
      <c r="J27" s="716">
        <f t="shared" ref="J27:J31" si="8">ROUND(F27/$C$6,0)</f>
        <v>10</v>
      </c>
    </row>
    <row r="28" spans="1:31" ht="13.5" thickBot="1">
      <c r="A28" s="75" t="s">
        <v>10</v>
      </c>
      <c r="B28" s="86">
        <f>'DAL FGD'!M52</f>
        <v>24914444</v>
      </c>
      <c r="C28" s="87">
        <f t="shared" si="6"/>
        <v>1031</v>
      </c>
      <c r="D28" s="86">
        <f>'DAL FGD'!F52</f>
        <v>0</v>
      </c>
      <c r="E28" s="74"/>
      <c r="F28" s="74">
        <f t="shared" si="7"/>
        <v>24914444</v>
      </c>
      <c r="G28" s="337"/>
      <c r="H28" s="337"/>
      <c r="I28" s="337"/>
      <c r="J28" s="716">
        <f t="shared" si="8"/>
        <v>1031</v>
      </c>
    </row>
    <row r="29" spans="1:31" ht="13.5" thickBot="1">
      <c r="A29" s="75" t="s">
        <v>11</v>
      </c>
      <c r="B29" s="86">
        <f>'DAL FGD'!M53</f>
        <v>31776617</v>
      </c>
      <c r="C29" s="87">
        <f t="shared" si="6"/>
        <v>1315</v>
      </c>
      <c r="D29" s="86">
        <f>'DAL FGD'!F53</f>
        <v>0</v>
      </c>
      <c r="E29" s="74"/>
      <c r="F29" s="74">
        <f t="shared" si="7"/>
        <v>31776617</v>
      </c>
      <c r="G29" s="337"/>
      <c r="H29" s="337"/>
      <c r="I29" s="337"/>
      <c r="J29" s="716">
        <f t="shared" si="8"/>
        <v>1315</v>
      </c>
      <c r="K29" s="1694" t="s">
        <v>1065</v>
      </c>
      <c r="L29" s="1695"/>
      <c r="M29" s="1695"/>
      <c r="N29" s="1695"/>
      <c r="O29" s="1696"/>
    </row>
    <row r="30" spans="1:31" ht="13.5" thickBot="1">
      <c r="A30" s="93" t="s">
        <v>2134</v>
      </c>
      <c r="B30" s="94">
        <f>'DAL FGD'!M54</f>
        <v>28944491</v>
      </c>
      <c r="C30" s="87">
        <f t="shared" si="6"/>
        <v>1198</v>
      </c>
      <c r="D30" s="729">
        <f>B30</f>
        <v>28944491</v>
      </c>
      <c r="E30" s="74"/>
      <c r="F30" s="74">
        <f t="shared" si="7"/>
        <v>0</v>
      </c>
      <c r="G30" s="337"/>
      <c r="H30" s="337"/>
      <c r="I30" s="337"/>
      <c r="J30" s="716">
        <f t="shared" si="8"/>
        <v>0</v>
      </c>
      <c r="K30" s="1694" t="s">
        <v>1070</v>
      </c>
      <c r="L30" s="1695"/>
      <c r="M30" s="1695"/>
      <c r="N30" s="1695"/>
      <c r="O30" s="1696"/>
    </row>
    <row r="31" spans="1:31" ht="13.5" customHeight="1" thickBot="1">
      <c r="A31" s="95" t="s">
        <v>43</v>
      </c>
      <c r="B31" s="86">
        <f>'DAL FGD'!M55</f>
        <v>8772245</v>
      </c>
      <c r="C31" s="87">
        <f t="shared" si="6"/>
        <v>363</v>
      </c>
      <c r="D31" s="86">
        <f>'DAL FGD'!F55</f>
        <v>5800</v>
      </c>
      <c r="E31" s="74"/>
      <c r="F31" s="74">
        <f t="shared" si="7"/>
        <v>8766445</v>
      </c>
      <c r="G31" s="35"/>
      <c r="H31" s="35"/>
      <c r="I31" s="38"/>
      <c r="J31" s="716">
        <f t="shared" si="8"/>
        <v>363</v>
      </c>
      <c r="K31" s="1697" t="s">
        <v>1073</v>
      </c>
      <c r="L31" s="1697" t="s">
        <v>1071</v>
      </c>
      <c r="M31" s="1697" t="s">
        <v>1072</v>
      </c>
      <c r="N31" s="1697" t="s">
        <v>1240</v>
      </c>
      <c r="O31" s="1697"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134232894</v>
      </c>
      <c r="C32" s="89">
        <f>SUM(C26:C31)</f>
        <v>5555</v>
      </c>
      <c r="D32" s="723">
        <f>SUM(D26:D31)</f>
        <v>28950291</v>
      </c>
      <c r="E32" s="723">
        <f>SUM(E26:E31)</f>
        <v>0</v>
      </c>
      <c r="F32" s="802">
        <f>SUM(F26:F31)</f>
        <v>105282603</v>
      </c>
      <c r="G32" s="1708" t="s">
        <v>8</v>
      </c>
      <c r="H32" s="1709"/>
      <c r="I32" s="783" t="s">
        <v>1166</v>
      </c>
      <c r="J32" s="725">
        <f>SUM(J26:J31)</f>
        <v>4357</v>
      </c>
      <c r="K32" s="1698"/>
      <c r="L32" s="1698"/>
      <c r="M32" s="1698"/>
      <c r="N32" s="1698" t="s">
        <v>1074</v>
      </c>
      <c r="O32" s="1698" t="s">
        <v>1075</v>
      </c>
    </row>
    <row r="33" spans="1:31" ht="14.25" thickTop="1" thickBot="1">
      <c r="A33" s="97" t="s">
        <v>68</v>
      </c>
      <c r="B33" s="52">
        <f>B15+B20+B23+B32</f>
        <v>706765855</v>
      </c>
      <c r="C33" s="45">
        <f>C15+C20+C23+C32</f>
        <v>29245</v>
      </c>
      <c r="D33" s="52">
        <f>D15+D20+D23+D32</f>
        <v>49802639</v>
      </c>
      <c r="E33" s="52">
        <f>E15+E20+E23+E32</f>
        <v>0</v>
      </c>
      <c r="F33" s="724">
        <f>F15+F20+F23+F32</f>
        <v>656963216</v>
      </c>
      <c r="G33" s="1758" t="s">
        <v>84</v>
      </c>
      <c r="H33" s="1759"/>
      <c r="I33" s="1375">
        <f>ROUND($G$35/$C$6,0)</f>
        <v>27183</v>
      </c>
      <c r="J33" s="726">
        <f>J15+J20+J23+J32</f>
        <v>27184</v>
      </c>
      <c r="K33" s="1698"/>
      <c r="L33" s="1698"/>
      <c r="M33" s="1698"/>
      <c r="N33" s="1698"/>
      <c r="O33" s="1698"/>
    </row>
    <row r="34" spans="1:31" ht="14.25" thickTop="1" thickBot="1">
      <c r="B34" s="98"/>
      <c r="C34" s="75"/>
      <c r="D34" s="337"/>
      <c r="E34" s="337"/>
      <c r="F34" s="337" t="s">
        <v>1199</v>
      </c>
      <c r="G34" s="787">
        <f>G14*-1</f>
        <v>0</v>
      </c>
      <c r="H34" s="337"/>
      <c r="I34" s="783" t="s">
        <v>1167</v>
      </c>
      <c r="J34" s="727"/>
      <c r="K34" s="1699"/>
      <c r="L34" s="1699"/>
      <c r="M34" s="1699"/>
      <c r="N34" s="1699"/>
      <c r="O34" s="1699"/>
    </row>
    <row r="35" spans="1:31" ht="14.25" thickTop="1" thickBot="1">
      <c r="A35" s="81" t="s">
        <v>72</v>
      </c>
      <c r="B35" s="81"/>
      <c r="C35" s="81"/>
      <c r="D35" s="728"/>
      <c r="E35" s="728"/>
      <c r="F35" s="788" t="s">
        <v>1165</v>
      </c>
      <c r="G35" s="803">
        <f>F33+G34</f>
        <v>656963216</v>
      </c>
      <c r="I35" s="1376">
        <f>ROUND($G$35/$I$8,0)</f>
        <v>295294</v>
      </c>
      <c r="K35" s="609"/>
      <c r="L35" s="609"/>
      <c r="M35" s="609"/>
      <c r="N35" s="609"/>
      <c r="O35" s="609"/>
    </row>
    <row r="36" spans="1:31" ht="13.5" thickTop="1">
      <c r="A36" s="99" t="s">
        <v>14</v>
      </c>
      <c r="B36" s="83">
        <f>'DAL FGD'!M60</f>
        <v>197677095</v>
      </c>
      <c r="C36" s="83">
        <f t="shared" ref="C36:C46" si="9">ROUND(B36/$C$6,0)</f>
        <v>8179</v>
      </c>
      <c r="D36" s="512">
        <f>'DAL FGD'!F60</f>
        <v>0</v>
      </c>
      <c r="E36" s="512"/>
      <c r="F36" s="512">
        <f t="shared" ref="F36:F46" si="10">B36-(SUM(D36:E36))</f>
        <v>197677095</v>
      </c>
      <c r="G36" s="337"/>
      <c r="H36" s="1378" t="s">
        <v>2158</v>
      </c>
      <c r="I36" s="1379">
        <f>ROUND(F36/$C$6,0)</f>
        <v>8179</v>
      </c>
      <c r="J36" s="337" t="s">
        <v>752</v>
      </c>
      <c r="K36" s="512">
        <f>F36</f>
        <v>197677095</v>
      </c>
      <c r="L36" s="512">
        <f>K36</f>
        <v>197677095</v>
      </c>
      <c r="M36" s="512"/>
      <c r="N36" s="512"/>
      <c r="O36" s="512"/>
    </row>
    <row r="37" spans="1:31">
      <c r="A37" s="99" t="s">
        <v>15</v>
      </c>
      <c r="B37" s="86">
        <f>'DAL FGD'!M61</f>
        <v>98702141</v>
      </c>
      <c r="C37" s="87">
        <f t="shared" si="9"/>
        <v>4084</v>
      </c>
      <c r="D37" s="86">
        <f>'DAL FGD'!F61</f>
        <v>0</v>
      </c>
      <c r="E37" s="74"/>
      <c r="F37" s="74">
        <f t="shared" si="10"/>
        <v>98702141</v>
      </c>
      <c r="G37" s="337"/>
      <c r="H37" s="337"/>
      <c r="J37" s="337" t="s">
        <v>1076</v>
      </c>
      <c r="K37" s="373">
        <f>F37</f>
        <v>98702141</v>
      </c>
      <c r="L37" s="373">
        <f>K37</f>
        <v>98702141</v>
      </c>
      <c r="M37" s="373"/>
      <c r="N37" s="373"/>
      <c r="O37" s="373"/>
    </row>
    <row r="38" spans="1:31">
      <c r="A38" s="99" t="s">
        <v>16</v>
      </c>
      <c r="B38" s="86">
        <f>'DAL FGD'!M62</f>
        <v>9035089</v>
      </c>
      <c r="C38" s="87">
        <f t="shared" si="9"/>
        <v>374</v>
      </c>
      <c r="D38" s="86">
        <f>'DAL FGD'!F62</f>
        <v>0</v>
      </c>
      <c r="E38" s="86">
        <f>B38-D38</f>
        <v>9035089</v>
      </c>
      <c r="F38" s="74">
        <f t="shared" si="10"/>
        <v>0</v>
      </c>
      <c r="G38" s="337"/>
      <c r="H38" s="337"/>
      <c r="I38" s="337"/>
      <c r="J38" s="337" t="s">
        <v>1077</v>
      </c>
      <c r="K38" s="736"/>
      <c r="L38" s="737"/>
      <c r="M38" s="737" t="s">
        <v>1152</v>
      </c>
      <c r="N38" s="737"/>
      <c r="O38" s="738"/>
    </row>
    <row r="39" spans="1:31">
      <c r="A39" s="99" t="s">
        <v>17</v>
      </c>
      <c r="B39" s="86">
        <f>'DAL FGD'!M63</f>
        <v>63009599</v>
      </c>
      <c r="C39" s="87">
        <f t="shared" si="9"/>
        <v>2607</v>
      </c>
      <c r="D39" s="86">
        <f>'DAL FGD'!F63</f>
        <v>0</v>
      </c>
      <c r="E39" s="74"/>
      <c r="F39" s="74">
        <f t="shared" si="10"/>
        <v>63009599</v>
      </c>
      <c r="G39" s="337"/>
      <c r="H39" s="1378" t="s">
        <v>2159</v>
      </c>
      <c r="I39" s="1379">
        <f>ROUND(F39/$C$6,0)</f>
        <v>2607</v>
      </c>
      <c r="J39" s="337" t="s">
        <v>1078</v>
      </c>
      <c r="K39" s="373">
        <f t="shared" ref="K39:K43" si="11">F39</f>
        <v>63009599</v>
      </c>
      <c r="L39" s="373">
        <f>K39</f>
        <v>63009599</v>
      </c>
      <c r="M39" s="373"/>
      <c r="N39" s="373"/>
      <c r="O39" s="373"/>
    </row>
    <row r="40" spans="1:31">
      <c r="A40" s="99" t="s">
        <v>18</v>
      </c>
      <c r="B40" s="86">
        <f>'DAL FGD'!M64</f>
        <v>17966833</v>
      </c>
      <c r="C40" s="87">
        <f t="shared" si="9"/>
        <v>743</v>
      </c>
      <c r="D40" s="86">
        <f>'DAL FGD'!F64</f>
        <v>0</v>
      </c>
      <c r="E40" s="74"/>
      <c r="F40" s="74">
        <f t="shared" si="10"/>
        <v>17966833</v>
      </c>
      <c r="G40" s="337"/>
      <c r="J40" s="337" t="s">
        <v>1079</v>
      </c>
      <c r="K40" s="373">
        <f t="shared" si="11"/>
        <v>17966833</v>
      </c>
      <c r="L40" s="373"/>
      <c r="M40" s="373">
        <f>K40</f>
        <v>17966833</v>
      </c>
      <c r="N40" s="373"/>
      <c r="O40" s="373"/>
    </row>
    <row r="41" spans="1:31">
      <c r="A41" s="99" t="s">
        <v>19</v>
      </c>
      <c r="B41" s="86">
        <f>'DAL FGD'!M65</f>
        <v>34647797</v>
      </c>
      <c r="C41" s="87">
        <f t="shared" si="9"/>
        <v>1434</v>
      </c>
      <c r="D41" s="86">
        <f>'DAL FGD'!F65</f>
        <v>0</v>
      </c>
      <c r="E41" s="74"/>
      <c r="F41" s="74">
        <f t="shared" si="10"/>
        <v>34647797</v>
      </c>
      <c r="G41" s="337"/>
      <c r="H41" s="1378" t="s">
        <v>2160</v>
      </c>
      <c r="I41" s="1379">
        <f>ROUND(F41/$C$6,0)</f>
        <v>1434</v>
      </c>
      <c r="J41" s="337" t="s">
        <v>757</v>
      </c>
      <c r="K41" s="373">
        <f t="shared" si="11"/>
        <v>34647797</v>
      </c>
      <c r="L41" s="373"/>
      <c r="M41" s="373"/>
      <c r="N41" s="373">
        <f>K41</f>
        <v>34647797</v>
      </c>
      <c r="O41" s="373"/>
    </row>
    <row r="42" spans="1:31">
      <c r="A42" s="99" t="s">
        <v>20</v>
      </c>
      <c r="B42" s="86">
        <f>'DAL FGD'!M66</f>
        <v>54577186</v>
      </c>
      <c r="C42" s="87">
        <f t="shared" si="9"/>
        <v>2258</v>
      </c>
      <c r="D42" s="86">
        <f>'DAL FGD'!F66</f>
        <v>0</v>
      </c>
      <c r="E42" s="74"/>
      <c r="F42" s="74">
        <f t="shared" si="10"/>
        <v>54577186</v>
      </c>
      <c r="G42" s="337"/>
      <c r="J42" s="337" t="s">
        <v>758</v>
      </c>
      <c r="K42" s="373">
        <f t="shared" si="11"/>
        <v>54577186</v>
      </c>
      <c r="L42" s="373"/>
      <c r="M42" s="373"/>
      <c r="N42" s="373">
        <f>K42</f>
        <v>54577186</v>
      </c>
      <c r="O42" s="373"/>
    </row>
    <row r="43" spans="1:31">
      <c r="A43" s="99" t="s">
        <v>21</v>
      </c>
      <c r="B43" s="86">
        <f>'DAL FGD'!M67</f>
        <v>60963339</v>
      </c>
      <c r="C43" s="87">
        <f t="shared" si="9"/>
        <v>2522</v>
      </c>
      <c r="D43" s="86">
        <f>'DAL FGD'!F67</f>
        <v>0</v>
      </c>
      <c r="E43" s="74"/>
      <c r="F43" s="74">
        <f t="shared" si="10"/>
        <v>60963339</v>
      </c>
      <c r="G43" s="337"/>
      <c r="H43" s="337"/>
      <c r="I43" s="337"/>
      <c r="J43" s="337" t="s">
        <v>1145</v>
      </c>
      <c r="K43" s="373">
        <f t="shared" si="11"/>
        <v>60963339</v>
      </c>
      <c r="L43" s="373"/>
      <c r="M43" s="373">
        <f>K43</f>
        <v>60963339</v>
      </c>
      <c r="N43" s="373"/>
      <c r="O43" s="373"/>
    </row>
    <row r="44" spans="1:31">
      <c r="A44" s="99" t="s">
        <v>2135</v>
      </c>
      <c r="B44" s="86">
        <f>'DAL FGD'!M68</f>
        <v>39253057</v>
      </c>
      <c r="C44" s="87">
        <f t="shared" si="9"/>
        <v>1624</v>
      </c>
      <c r="D44" s="729">
        <f>B44</f>
        <v>39253057</v>
      </c>
      <c r="E44" s="74"/>
      <c r="F44" s="74">
        <f t="shared" si="10"/>
        <v>0</v>
      </c>
      <c r="G44" s="337"/>
      <c r="H44" s="337"/>
      <c r="I44" s="337"/>
      <c r="J44" s="337" t="s">
        <v>743</v>
      </c>
      <c r="K44" s="736"/>
      <c r="L44" s="737"/>
      <c r="M44" s="737" t="s">
        <v>1152</v>
      </c>
      <c r="N44" s="737"/>
      <c r="O44" s="738"/>
    </row>
    <row r="45" spans="1:31">
      <c r="A45" s="99" t="s">
        <v>61</v>
      </c>
      <c r="B45" s="86">
        <f>'DAL FGD'!M69</f>
        <v>12825288</v>
      </c>
      <c r="C45" s="87">
        <f t="shared" si="9"/>
        <v>531</v>
      </c>
      <c r="D45" s="86">
        <f>'DAL FGD'!F69</f>
        <v>91150</v>
      </c>
      <c r="E45" s="74"/>
      <c r="F45" s="74">
        <f t="shared" si="10"/>
        <v>12734138</v>
      </c>
      <c r="G45" s="337"/>
      <c r="H45" s="337"/>
      <c r="I45" s="337"/>
      <c r="J45" s="337" t="s">
        <v>1080</v>
      </c>
      <c r="K45" s="373">
        <f t="shared" ref="K45:K46" si="12">F45</f>
        <v>12734138</v>
      </c>
      <c r="L45" s="373"/>
      <c r="M45" s="373"/>
      <c r="N45" s="373"/>
      <c r="O45" s="373">
        <f>K45</f>
        <v>12734138</v>
      </c>
    </row>
    <row r="46" spans="1:31" ht="13.5" thickBot="1">
      <c r="A46" s="75" t="s">
        <v>50</v>
      </c>
      <c r="B46" s="86">
        <f>'DAL FGD'!M70</f>
        <v>0</v>
      </c>
      <c r="C46" s="87">
        <f t="shared" si="9"/>
        <v>0</v>
      </c>
      <c r="D46" s="86">
        <f>'DAL FGD'!F70</f>
        <v>0</v>
      </c>
      <c r="E46" s="74"/>
      <c r="F46" s="74">
        <f t="shared" si="10"/>
        <v>0</v>
      </c>
      <c r="G46" s="35"/>
      <c r="H46" s="1378" t="s">
        <v>2161</v>
      </c>
      <c r="I46" s="1379">
        <f>ROUND(SUM(F37+F40+F42+F43+F45+F46)/$C$6,0)</f>
        <v>10135</v>
      </c>
      <c r="J46" s="610" t="s">
        <v>1075</v>
      </c>
      <c r="K46" s="373">
        <f t="shared" si="12"/>
        <v>0</v>
      </c>
      <c r="L46" s="611"/>
      <c r="M46" s="611"/>
      <c r="N46" s="611"/>
      <c r="O46" s="373">
        <f>K46</f>
        <v>0</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588657424</v>
      </c>
      <c r="C47" s="45">
        <f>SUM(C36:C46)</f>
        <v>24356</v>
      </c>
      <c r="D47" s="730">
        <f>SUM(D36:D46)</f>
        <v>39344207</v>
      </c>
      <c r="E47" s="731">
        <f>SUM(E36:E46)</f>
        <v>9035089</v>
      </c>
      <c r="F47" s="719">
        <f>SUM(F36:F46)</f>
        <v>540278128</v>
      </c>
      <c r="G47" s="1688" t="s">
        <v>1176</v>
      </c>
      <c r="H47" s="1689"/>
      <c r="I47" s="785" t="s">
        <v>1164</v>
      </c>
      <c r="J47" s="610" t="s">
        <v>1081</v>
      </c>
      <c r="K47" s="612">
        <f>SUM(K36:K46)</f>
        <v>540278128</v>
      </c>
      <c r="L47" s="612">
        <f>SUM(L36:L46)</f>
        <v>359388835</v>
      </c>
      <c r="M47" s="612">
        <f>SUM(M36:M46)</f>
        <v>78930172</v>
      </c>
      <c r="N47" s="612">
        <f>SUM(N36:N46)</f>
        <v>89224983</v>
      </c>
      <c r="O47" s="612">
        <f>SUM(O36:O46)</f>
        <v>12734138</v>
      </c>
    </row>
    <row r="48" spans="1:31" ht="14.25" thickTop="1" thickBot="1">
      <c r="A48" s="93"/>
      <c r="B48" s="98"/>
      <c r="C48" s="75"/>
      <c r="F48" s="613"/>
      <c r="G48" s="1690"/>
      <c r="H48" s="1691"/>
      <c r="I48" s="823">
        <f>ROUND(F47/C6,0)</f>
        <v>22355</v>
      </c>
      <c r="J48" s="1700" t="s">
        <v>1082</v>
      </c>
      <c r="K48" s="611"/>
      <c r="L48" s="611"/>
      <c r="M48" s="611"/>
      <c r="N48" s="611"/>
      <c r="O48" s="611"/>
    </row>
    <row r="49" spans="1:31" ht="13.5" thickBot="1">
      <c r="A49" s="78" t="s">
        <v>23</v>
      </c>
      <c r="B49" s="82"/>
      <c r="C49" s="75"/>
      <c r="F49" s="614"/>
      <c r="G49" s="1690"/>
      <c r="H49" s="1691"/>
      <c r="I49" s="811"/>
      <c r="J49" s="1700"/>
      <c r="K49" s="615">
        <f>ROUND(K47/$C$6,2)</f>
        <v>22355.24</v>
      </c>
      <c r="L49" s="615">
        <f t="shared" ref="L49:O49" si="13">ROUND(L47/$C$6,2)</f>
        <v>14870.53</v>
      </c>
      <c r="M49" s="615">
        <f t="shared" si="13"/>
        <v>3265.92</v>
      </c>
      <c r="N49" s="615">
        <f t="shared" si="13"/>
        <v>3691.89</v>
      </c>
      <c r="O49" s="615">
        <f t="shared" si="13"/>
        <v>526.9</v>
      </c>
      <c r="P49" s="35"/>
      <c r="Q49" s="96"/>
      <c r="R49" s="96"/>
      <c r="S49" s="96"/>
      <c r="T49" s="96"/>
      <c r="U49" s="96"/>
      <c r="V49" s="96"/>
      <c r="W49" s="96"/>
      <c r="X49" s="96"/>
      <c r="Y49" s="96"/>
      <c r="Z49" s="96"/>
      <c r="AA49" s="96"/>
      <c r="AB49" s="96"/>
      <c r="AC49" s="96"/>
      <c r="AD49" s="96"/>
      <c r="AE49" s="96"/>
    </row>
    <row r="50" spans="1:31" ht="13.5" thickBot="1">
      <c r="A50" s="75" t="s">
        <v>62</v>
      </c>
      <c r="B50" s="86">
        <f>'DAL FGD'!M74</f>
        <v>-22875223</v>
      </c>
      <c r="C50" s="83">
        <f t="shared" ref="C50:C53" si="14">ROUND(B50/$C$6,0)</f>
        <v>-947</v>
      </c>
      <c r="D50" s="512">
        <f>'DAL FGD'!F74</f>
        <v>0</v>
      </c>
      <c r="E50" s="512"/>
      <c r="F50" s="732">
        <f t="shared" ref="F50:F53" si="15">B50-(SUM(D50:E50))</f>
        <v>-22875223</v>
      </c>
      <c r="G50" s="1692"/>
      <c r="H50" s="1693"/>
      <c r="I50" s="808"/>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'DAL FGD'!M75</f>
        <v>12580797</v>
      </c>
      <c r="C51" s="87">
        <f t="shared" si="14"/>
        <v>521</v>
      </c>
      <c r="D51" s="91">
        <f>'DAL FGD'!F75</f>
        <v>17688994</v>
      </c>
      <c r="E51" s="82"/>
      <c r="F51" s="74">
        <f t="shared" si="15"/>
        <v>-5108197</v>
      </c>
      <c r="G51" s="337"/>
      <c r="J51" s="337"/>
      <c r="K51" s="616"/>
      <c r="L51" s="616"/>
      <c r="M51" s="616"/>
      <c r="N51" s="616"/>
      <c r="O51" s="616"/>
    </row>
    <row r="52" spans="1:31">
      <c r="A52" s="75" t="s">
        <v>51</v>
      </c>
      <c r="B52" s="86">
        <f>'DAL FGD'!M76</f>
        <v>8984486</v>
      </c>
      <c r="C52" s="87">
        <f t="shared" si="14"/>
        <v>372</v>
      </c>
      <c r="D52" s="91">
        <f>'DAL FGD'!F76</f>
        <v>0</v>
      </c>
      <c r="E52" s="82"/>
      <c r="F52" s="74">
        <f t="shared" si="15"/>
        <v>8984486</v>
      </c>
      <c r="G52" s="337"/>
      <c r="J52" s="733"/>
      <c r="K52" s="733"/>
      <c r="L52" s="733"/>
      <c r="M52" s="733"/>
      <c r="N52" s="733"/>
      <c r="O52" s="733"/>
    </row>
    <row r="53" spans="1:31" ht="12" customHeight="1">
      <c r="A53" s="75" t="s">
        <v>46</v>
      </c>
      <c r="B53" s="86">
        <f>'DAL FGD'!M77</f>
        <v>-36850971</v>
      </c>
      <c r="C53" s="87">
        <f t="shared" si="14"/>
        <v>-1525</v>
      </c>
      <c r="D53" s="91">
        <f>'DAL FGD'!F77</f>
        <v>-15700129</v>
      </c>
      <c r="E53" s="82"/>
      <c r="F53" s="74">
        <f t="shared" si="15"/>
        <v>-21150842</v>
      </c>
      <c r="G53" s="35"/>
      <c r="J53" s="733"/>
      <c r="K53" s="733"/>
      <c r="L53" s="733"/>
      <c r="M53" s="733"/>
      <c r="N53" s="733"/>
      <c r="O53" s="733"/>
      <c r="P53" s="35"/>
      <c r="Q53" s="96"/>
      <c r="R53" s="96"/>
      <c r="S53" s="96"/>
      <c r="T53" s="96"/>
      <c r="U53" s="96"/>
      <c r="V53" s="96"/>
      <c r="W53" s="96"/>
      <c r="X53" s="96"/>
      <c r="Y53" s="96"/>
      <c r="Z53" s="96"/>
      <c r="AA53" s="96"/>
      <c r="AB53" s="96"/>
      <c r="AC53" s="96"/>
      <c r="AD53" s="96"/>
      <c r="AE53" s="96"/>
    </row>
    <row r="54" spans="1:31">
      <c r="A54" s="88" t="s">
        <v>3</v>
      </c>
      <c r="B54" s="89">
        <f>SUM(B50:B53)</f>
        <v>-38160911</v>
      </c>
      <c r="C54" s="89">
        <f>SUM(C50:C53)</f>
        <v>-1579</v>
      </c>
      <c r="D54" s="89">
        <f>SUM(D50:D53)</f>
        <v>1988865</v>
      </c>
      <c r="E54" s="89">
        <f>SUM(E50:E53)</f>
        <v>0</v>
      </c>
      <c r="F54" s="102">
        <f>SUM(F50:F53)</f>
        <v>-40149776</v>
      </c>
      <c r="G54" s="337"/>
      <c r="H54" s="337"/>
      <c r="I54" s="337"/>
      <c r="J54" s="733"/>
      <c r="K54" s="733"/>
      <c r="L54" s="733"/>
      <c r="M54" s="733"/>
      <c r="N54" s="733"/>
      <c r="O54" s="733"/>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'DAL FGD'!M81</f>
        <v>173501069</v>
      </c>
      <c r="C57" s="83">
        <f>ROUND(B57/$C$6,0)</f>
        <v>7179</v>
      </c>
      <c r="D57" s="512">
        <f>'DAL FGD'!F81</f>
        <v>0</v>
      </c>
      <c r="E57" s="512"/>
      <c r="F57" s="512">
        <f t="shared" ref="F57:F58" si="16">B57-(SUM(D57:E57))</f>
        <v>173501069</v>
      </c>
      <c r="G57" s="337"/>
      <c r="H57" s="337"/>
      <c r="I57" s="337"/>
      <c r="J57" s="337"/>
    </row>
    <row r="58" spans="1:31">
      <c r="A58" s="75" t="s">
        <v>48</v>
      </c>
      <c r="B58" s="86">
        <f>'DAL FGD'!M82</f>
        <v>7464414</v>
      </c>
      <c r="C58" s="87">
        <f>ROUND(B58/$C$6,0)</f>
        <v>309</v>
      </c>
      <c r="D58" s="91">
        <f>'DAL FGD'!F82</f>
        <v>0</v>
      </c>
      <c r="E58" s="82"/>
      <c r="F58" s="74">
        <f t="shared" si="16"/>
        <v>7464414</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180965483</v>
      </c>
      <c r="C59" s="89">
        <f>SUM(C57:C58)</f>
        <v>7488</v>
      </c>
      <c r="D59" s="89">
        <f>SUM(D57:D58)</f>
        <v>0</v>
      </c>
      <c r="E59" s="89">
        <f>SUM(E57:E58)</f>
        <v>0</v>
      </c>
      <c r="F59" s="89">
        <f>SUM(F57:F58)</f>
        <v>180965483</v>
      </c>
      <c r="G59" s="367"/>
      <c r="H59" s="367"/>
      <c r="I59" s="367"/>
      <c r="J59" s="367"/>
      <c r="K59" s="266"/>
      <c r="L59" s="266"/>
      <c r="M59" s="266"/>
      <c r="N59" s="266"/>
      <c r="O59" s="266"/>
      <c r="P59" s="266"/>
    </row>
    <row r="60" spans="1:31">
      <c r="B60" s="82"/>
      <c r="C60" s="75"/>
    </row>
    <row r="61" spans="1:31" ht="13.5" thickBot="1">
      <c r="A61" s="103" t="s">
        <v>573</v>
      </c>
      <c r="B61" s="46">
        <f>B33-B47+B54+B59</f>
        <v>260913003</v>
      </c>
      <c r="C61" s="46">
        <f>C33-C47+C54+C59</f>
        <v>10798</v>
      </c>
      <c r="D61" s="46">
        <f>D33-D47+D54+D59</f>
        <v>12447297</v>
      </c>
      <c r="E61" s="46">
        <f>E33-E47+E54+E59</f>
        <v>-9035089</v>
      </c>
      <c r="F61" s="46">
        <f>F33-F47+F54+F59</f>
        <v>257500795</v>
      </c>
    </row>
    <row r="62" spans="1:31" ht="13.5" thickTop="1"/>
    <row r="63" spans="1:31">
      <c r="D63" s="512"/>
    </row>
    <row r="65" spans="2:16">
      <c r="B65" s="734">
        <f>'DAL FGD'!$M$85</f>
        <v>260913003</v>
      </c>
      <c r="C65" s="75"/>
      <c r="D65" s="734">
        <f>'DAL FGD'!$F$85</f>
        <v>12447297</v>
      </c>
      <c r="E65" s="734">
        <f>'DAL FGD'!$M$62*-1</f>
        <v>-9035089</v>
      </c>
      <c r="F65" s="75"/>
    </row>
    <row r="66" spans="2:16">
      <c r="B66" s="734"/>
      <c r="C66" s="75"/>
      <c r="D66" s="734">
        <f>'DAL FGD'!$F$68</f>
        <v>39253057</v>
      </c>
      <c r="E66" s="734">
        <f>+$D$38</f>
        <v>0</v>
      </c>
      <c r="F66" s="734"/>
    </row>
    <row r="67" spans="2:16">
      <c r="B67" s="759"/>
      <c r="C67" s="75"/>
      <c r="D67" s="759">
        <f>-'DAL FGD'!$M$68</f>
        <v>-39253057</v>
      </c>
      <c r="E67" s="759"/>
      <c r="F67" s="734"/>
    </row>
    <row r="68" spans="2:16">
      <c r="B68" s="734">
        <f>SUM(B65:B67)</f>
        <v>260913003</v>
      </c>
      <c r="C68" s="75"/>
      <c r="D68" s="734">
        <f>SUM(D65:D67)</f>
        <v>12447297</v>
      </c>
      <c r="E68" s="734">
        <f>SUM(E65:E67)</f>
        <v>-9035089</v>
      </c>
      <c r="F68" s="734">
        <f>B68-D68-E68</f>
        <v>257500795</v>
      </c>
    </row>
    <row r="69" spans="2:16">
      <c r="B69" s="734"/>
      <c r="C69" s="75"/>
      <c r="D69" s="734">
        <f>'DAL FGD'!F54*-1</f>
        <v>-28944491</v>
      </c>
      <c r="E69" s="734"/>
      <c r="F69" s="734"/>
    </row>
    <row r="70" spans="2:16" ht="12.75" customHeight="1">
      <c r="B70" s="759"/>
      <c r="C70" s="95"/>
      <c r="D70" s="759">
        <f>'DAL FGD'!M54</f>
        <v>28944491</v>
      </c>
      <c r="E70" s="759"/>
      <c r="F70" s="759">
        <f>-D70-D69</f>
        <v>0</v>
      </c>
    </row>
    <row r="71" spans="2:16" ht="12.75" customHeight="1">
      <c r="B71" s="734">
        <f>SUM(B68:B70)</f>
        <v>260913003</v>
      </c>
      <c r="C71" s="75"/>
      <c r="D71" s="734">
        <f>SUM(D68:D70)</f>
        <v>12447297</v>
      </c>
      <c r="E71" s="734">
        <f>SUM(E68:E70)</f>
        <v>-9035089</v>
      </c>
      <c r="F71" s="734">
        <f>SUM(F68:F70)</f>
        <v>257500795</v>
      </c>
    </row>
    <row r="72" spans="2:16" ht="12.75" customHeight="1">
      <c r="B72" s="734"/>
      <c r="C72" s="75"/>
      <c r="D72" s="734"/>
      <c r="E72" s="734"/>
      <c r="F72" s="734"/>
    </row>
    <row r="73" spans="2:16" ht="12.75" customHeight="1">
      <c r="B73" s="512">
        <f>B61-B71</f>
        <v>0</v>
      </c>
      <c r="C73" s="75"/>
      <c r="D73" s="512">
        <f>D61-D71</f>
        <v>0</v>
      </c>
      <c r="E73" s="512">
        <f>E61-E71</f>
        <v>0</v>
      </c>
      <c r="F73" s="512">
        <f>F61-F71</f>
        <v>0</v>
      </c>
    </row>
    <row r="74" spans="2:16" ht="12.75" customHeight="1">
      <c r="C74" s="75"/>
      <c r="F74" s="617"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G47:H50"/>
    <mergeCell ref="K30:O30"/>
    <mergeCell ref="M31:M34"/>
    <mergeCell ref="G32:H32"/>
    <mergeCell ref="G33:H33"/>
    <mergeCell ref="L31:L34"/>
    <mergeCell ref="K31:K34"/>
    <mergeCell ref="N31:N34"/>
    <mergeCell ref="O31:O34"/>
    <mergeCell ref="J48:J49"/>
    <mergeCell ref="F1:I1"/>
    <mergeCell ref="J1:O1"/>
    <mergeCell ref="D1:E1"/>
    <mergeCell ref="K29:O29"/>
    <mergeCell ref="D4:D5"/>
    <mergeCell ref="E4:E5"/>
  </mergeCells>
  <hyperlinks>
    <hyperlink ref="D1:E1" location="Index!A1" display="Return to Index" xr:uid="{00000000-0004-0000-22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7">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5.42578125" style="164" customWidth="1"/>
    <col min="15" max="15" width="14.42578125" style="261" customWidth="1"/>
    <col min="16" max="16" width="25.7109375" style="264" customWidth="1"/>
    <col min="17" max="17" width="16.42578125" style="264" customWidth="1"/>
    <col min="18" max="18" width="19.28515625" style="264" customWidth="1"/>
    <col min="19" max="19" width="1.7109375" style="264" customWidth="1"/>
    <col min="20" max="20" width="17.140625" style="264" customWidth="1"/>
    <col min="21" max="21" width="16.85546875" style="264" customWidth="1"/>
    <col min="22" max="23" width="19.28515625" style="264" customWidth="1"/>
    <col min="24" max="24" width="19.570312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13" t="str">
        <f>'DAL Chrts'!$A$1</f>
        <v>The University of Texas at Dallas</v>
      </c>
      <c r="C2" s="1713"/>
      <c r="D2" s="1713"/>
      <c r="E2" s="1713"/>
      <c r="F2" s="1742"/>
      <c r="G2" s="160"/>
      <c r="H2" s="161"/>
      <c r="I2" s="320" t="str">
        <f>IF($B$2&lt;&gt;Input!$B$8,"Name Mismatch","")</f>
        <v/>
      </c>
      <c r="J2" s="168"/>
      <c r="K2" s="169"/>
      <c r="L2" s="169"/>
      <c r="M2" s="170"/>
      <c r="O2" s="835" t="s">
        <v>1200</v>
      </c>
      <c r="P2" s="36"/>
    </row>
    <row r="3" spans="1:28" ht="20.25">
      <c r="A3" s="184">
        <v>2</v>
      </c>
      <c r="B3" s="1713" t="str">
        <f>'Smmy Chrts'!$A$2</f>
        <v>For the Year Ended August 31, 2021</v>
      </c>
      <c r="C3" s="1713"/>
      <c r="D3" s="1713"/>
      <c r="E3" s="1713"/>
      <c r="F3" s="1742"/>
      <c r="G3" s="161"/>
      <c r="H3" s="161"/>
      <c r="I3" s="169"/>
      <c r="J3" s="168"/>
      <c r="K3" s="169"/>
      <c r="L3" s="169"/>
      <c r="M3" s="170"/>
      <c r="O3" s="74"/>
    </row>
    <row r="4" spans="1:28" ht="20.25">
      <c r="A4" s="184">
        <v>3</v>
      </c>
      <c r="B4" s="1713" t="str">
        <f>'Smmy Chrts'!$A$3</f>
        <v>Source: FY 2021 Annual Financial Report</v>
      </c>
      <c r="C4" s="1713"/>
      <c r="D4" s="1713"/>
      <c r="E4" s="1713"/>
      <c r="F4" s="1742"/>
      <c r="G4" s="161"/>
      <c r="H4" s="161"/>
      <c r="I4" s="169"/>
      <c r="J4" s="168"/>
      <c r="K4" s="169"/>
      <c r="L4" s="169"/>
      <c r="M4" s="170"/>
      <c r="O4" s="74"/>
      <c r="P4" s="1744" t="s">
        <v>93</v>
      </c>
      <c r="Q4" s="1745"/>
      <c r="T4" s="36" t="s">
        <v>250</v>
      </c>
    </row>
    <row r="5" spans="1:28">
      <c r="A5" s="184">
        <v>4</v>
      </c>
      <c r="B5" s="160"/>
      <c r="C5" s="160"/>
      <c r="D5" s="160"/>
      <c r="E5" s="160"/>
      <c r="F5" s="160"/>
      <c r="G5" s="160"/>
      <c r="H5" s="160"/>
      <c r="I5" s="160"/>
      <c r="J5" s="160"/>
      <c r="K5" s="160"/>
      <c r="L5" s="160"/>
      <c r="M5" s="166"/>
      <c r="O5" s="262"/>
    </row>
    <row r="6" spans="1:28">
      <c r="A6" s="184">
        <v>5</v>
      </c>
      <c r="B6" s="1715" t="str">
        <f>'Smmy Chrts'!$C$32</f>
        <v>Detail Worksheet FY 2021</v>
      </c>
      <c r="C6" s="1715"/>
      <c r="D6" s="1743"/>
      <c r="E6" s="1743"/>
      <c r="F6" s="1743"/>
      <c r="G6" s="1743"/>
      <c r="H6" s="1743"/>
      <c r="I6" s="1743"/>
      <c r="J6" s="1743"/>
      <c r="K6" s="1743"/>
      <c r="L6" s="1743"/>
      <c r="M6" s="1743"/>
      <c r="O6" s="265"/>
    </row>
    <row r="7" spans="1:28">
      <c r="A7" s="184">
        <v>6</v>
      </c>
      <c r="B7" s="172"/>
      <c r="C7" s="172"/>
      <c r="D7" s="160"/>
      <c r="E7" s="160"/>
      <c r="F7" s="160"/>
      <c r="G7" s="160"/>
      <c r="H7" s="160"/>
      <c r="I7" s="160"/>
      <c r="J7" s="160"/>
      <c r="K7" s="160"/>
      <c r="L7" s="160"/>
      <c r="M7" s="173" t="str">
        <f>'Smmy Chrts'!$C$33</f>
        <v>FY 2021</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Input!$M$8</f>
        <v>109811580</v>
      </c>
      <c r="E10" s="372">
        <f>Input!$N$8</f>
        <v>0</v>
      </c>
      <c r="F10" s="372">
        <f>Input!$O$8</f>
        <v>0</v>
      </c>
      <c r="G10" s="372">
        <f>Input!$P$8</f>
        <v>0</v>
      </c>
      <c r="H10" s="372">
        <f>Input!$Q$8</f>
        <v>0</v>
      </c>
      <c r="I10" s="372">
        <f>Input!$R$8</f>
        <v>0</v>
      </c>
      <c r="J10" s="372">
        <f>Input!$S$8</f>
        <v>0</v>
      </c>
      <c r="K10" s="372">
        <f>Input!$T$8</f>
        <v>0</v>
      </c>
      <c r="L10" s="372">
        <f>Input!$U$8</f>
        <v>0</v>
      </c>
      <c r="M10" s="373">
        <f t="shared" ref="M10:M15" si="0">D10+E10+F10+G10+H10+I10+J10+K10+L10</f>
        <v>109811580</v>
      </c>
      <c r="N10" s="160"/>
      <c r="O10" s="271"/>
      <c r="P10" s="1718" t="s">
        <v>575</v>
      </c>
      <c r="U10" s="268"/>
    </row>
    <row r="11" spans="1:28">
      <c r="A11" s="184">
        <v>10</v>
      </c>
      <c r="B11" s="160" t="s">
        <v>2</v>
      </c>
      <c r="C11" s="160"/>
      <c r="D11" s="372">
        <f>Input!$V$8</f>
        <v>13626987</v>
      </c>
      <c r="E11" s="372">
        <f>Input!$W$8</f>
        <v>3885819</v>
      </c>
      <c r="F11" s="372">
        <f>Input!$X$8</f>
        <v>0</v>
      </c>
      <c r="G11" s="372">
        <f>Input!$Y$8</f>
        <v>2108661</v>
      </c>
      <c r="H11" s="372">
        <f>Input!$Z$8</f>
        <v>0</v>
      </c>
      <c r="I11" s="372">
        <f>Input!$AA$8</f>
        <v>0</v>
      </c>
      <c r="J11" s="372">
        <f>Input!$AB$8</f>
        <v>0</v>
      </c>
      <c r="K11" s="372">
        <f>Input!$AC$8</f>
        <v>0</v>
      </c>
      <c r="L11" s="372">
        <f>Input!$AD$8</f>
        <v>0</v>
      </c>
      <c r="M11" s="373">
        <f t="shared" si="0"/>
        <v>19621467</v>
      </c>
      <c r="N11" s="160"/>
      <c r="O11" s="482"/>
      <c r="P11" s="1719"/>
      <c r="U11" s="268"/>
    </row>
    <row r="12" spans="1:28" ht="12.75" hidden="1" customHeight="1">
      <c r="B12" s="160" t="s">
        <v>1410</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Input!$AN$8</f>
        <v>0</v>
      </c>
      <c r="E13" s="372">
        <f>Input!$AO$8</f>
        <v>0</v>
      </c>
      <c r="F13" s="372">
        <f>Input!$AP$8</f>
        <v>0</v>
      </c>
      <c r="G13" s="372">
        <f>Input!$AQ$8</f>
        <v>0</v>
      </c>
      <c r="H13" s="372">
        <f>Input!$AR$8</f>
        <v>0</v>
      </c>
      <c r="I13" s="372">
        <f>Input!$AS$8</f>
        <v>0</v>
      </c>
      <c r="J13" s="372">
        <f>Input!$AT$8</f>
        <v>0</v>
      </c>
      <c r="K13" s="372">
        <f>Input!$AU$8</f>
        <v>0</v>
      </c>
      <c r="L13" s="372">
        <f>Input!$AV$8</f>
        <v>0</v>
      </c>
      <c r="M13" s="373">
        <f t="shared" si="0"/>
        <v>0</v>
      </c>
      <c r="N13" s="160"/>
      <c r="O13" s="482" t="str">
        <f>IF(P13&lt;&gt;M13,"Out of Balance","Balanced")</f>
        <v>Balanced</v>
      </c>
      <c r="P13" s="484">
        <f>IFERROR(VLOOKUP($B$2,AMTLU,6,FALSE),0)</f>
        <v>0</v>
      </c>
      <c r="U13" s="268"/>
    </row>
    <row r="14" spans="1:28">
      <c r="A14" s="184">
        <v>13</v>
      </c>
      <c r="B14" s="160" t="s">
        <v>49</v>
      </c>
      <c r="C14" s="160"/>
      <c r="D14" s="372">
        <f>Input!$AW$8</f>
        <v>0</v>
      </c>
      <c r="E14" s="372">
        <f>Input!$AX$8</f>
        <v>0</v>
      </c>
      <c r="F14" s="372">
        <f>Input!$AY$8</f>
        <v>0</v>
      </c>
      <c r="G14" s="372">
        <f>Input!$AZ$8</f>
        <v>0</v>
      </c>
      <c r="H14" s="372">
        <f>Input!$BA$8</f>
        <v>0</v>
      </c>
      <c r="I14" s="372">
        <f>Input!$BB$8</f>
        <v>0</v>
      </c>
      <c r="J14" s="372">
        <f>Input!$BC$8</f>
        <v>0</v>
      </c>
      <c r="K14" s="372">
        <f>Input!$BD$8</f>
        <v>0</v>
      </c>
      <c r="L14" s="372">
        <f>Input!$BE$8</f>
        <v>0</v>
      </c>
      <c r="M14" s="373">
        <f t="shared" si="0"/>
        <v>0</v>
      </c>
      <c r="N14" s="160"/>
      <c r="O14" s="482"/>
      <c r="P14" s="485"/>
    </row>
    <row r="15" spans="1:28" ht="15">
      <c r="A15" s="184">
        <v>14</v>
      </c>
      <c r="B15" s="176" t="s">
        <v>3</v>
      </c>
      <c r="C15" s="176"/>
      <c r="D15" s="374">
        <f t="shared" ref="D15:L15" si="1">SUM(D10:D14)</f>
        <v>123438567</v>
      </c>
      <c r="E15" s="374">
        <f t="shared" si="1"/>
        <v>3885819</v>
      </c>
      <c r="F15" s="374">
        <f t="shared" si="1"/>
        <v>0</v>
      </c>
      <c r="G15" s="374">
        <f t="shared" si="1"/>
        <v>2108661</v>
      </c>
      <c r="H15" s="374">
        <f t="shared" si="1"/>
        <v>0</v>
      </c>
      <c r="I15" s="374">
        <f t="shared" si="1"/>
        <v>0</v>
      </c>
      <c r="J15" s="374">
        <f t="shared" si="1"/>
        <v>0</v>
      </c>
      <c r="K15" s="374">
        <f t="shared" si="1"/>
        <v>0</v>
      </c>
      <c r="L15" s="374">
        <f t="shared" si="1"/>
        <v>0</v>
      </c>
      <c r="M15" s="374">
        <f t="shared" si="0"/>
        <v>129433047</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58" t="s">
        <v>1042</v>
      </c>
      <c r="C18" s="558"/>
      <c r="D18" s="374">
        <f t="shared" ref="D18:L18" si="2">D23-SUM(D19:D22)</f>
        <v>81321381</v>
      </c>
      <c r="E18" s="374">
        <f t="shared" si="2"/>
        <v>289757846</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371079227</v>
      </c>
      <c r="V18" s="327"/>
      <c r="X18" s="330"/>
    </row>
    <row r="19" spans="1:26" s="264" customFormat="1" ht="12.75" customHeight="1" thickTop="1" thickBot="1">
      <c r="A19" s="263"/>
      <c r="B19" s="261" t="s">
        <v>722</v>
      </c>
      <c r="C19" s="261"/>
      <c r="D19" s="372">
        <f>Input!$BF$8</f>
        <v>-23425097</v>
      </c>
      <c r="E19" s="372">
        <f>Input!$BG$8</f>
        <v>-20731031</v>
      </c>
      <c r="F19" s="372">
        <f>Input!$BH$8</f>
        <v>0</v>
      </c>
      <c r="G19" s="372">
        <f>Input!$BI$8</f>
        <v>0</v>
      </c>
      <c r="H19" s="372">
        <f>Input!$BJ$8</f>
        <v>0</v>
      </c>
      <c r="I19" s="372">
        <f>Input!$BK$8</f>
        <v>0</v>
      </c>
      <c r="J19" s="372">
        <f>Input!$BL$8</f>
        <v>0</v>
      </c>
      <c r="K19" s="372">
        <f>Input!$BM$8</f>
        <v>0</v>
      </c>
      <c r="L19" s="372">
        <f>Input!$BN$8</f>
        <v>0</v>
      </c>
      <c r="M19" s="373">
        <f t="shared" si="3"/>
        <v>-44156128</v>
      </c>
      <c r="O19" s="1732" t="s">
        <v>1294</v>
      </c>
      <c r="P19" s="1733"/>
      <c r="Q19" s="1733"/>
      <c r="R19" s="1734"/>
      <c r="T19" s="1735" t="s">
        <v>1043</v>
      </c>
      <c r="U19" s="1736"/>
      <c r="V19" s="1736"/>
      <c r="W19" s="1736"/>
      <c r="X19" s="1737"/>
    </row>
    <row r="20" spans="1:26" s="264" customFormat="1" ht="12.75" customHeight="1" thickTop="1">
      <c r="A20" s="263"/>
      <c r="B20" s="261" t="s">
        <v>723</v>
      </c>
      <c r="C20" s="261"/>
      <c r="D20" s="372">
        <f>Input!$BO$8</f>
        <v>0</v>
      </c>
      <c r="E20" s="372">
        <f>Input!$BP$8</f>
        <v>0</v>
      </c>
      <c r="F20" s="372">
        <f>Input!$BQ$8</f>
        <v>0</v>
      </c>
      <c r="G20" s="372">
        <f>Input!$BR$8</f>
        <v>0</v>
      </c>
      <c r="H20" s="372">
        <f>Input!$BS$8</f>
        <v>0</v>
      </c>
      <c r="I20" s="372">
        <f>Input!$BT$8</f>
        <v>0</v>
      </c>
      <c r="J20" s="372">
        <f>Input!$BU$8</f>
        <v>0</v>
      </c>
      <c r="K20" s="372">
        <f>Input!$BV$8</f>
        <v>0</v>
      </c>
      <c r="L20" s="372">
        <f>Input!$BW$8</f>
        <v>0</v>
      </c>
      <c r="M20" s="373">
        <f t="shared" si="3"/>
        <v>0</v>
      </c>
      <c r="O20" s="421" t="s">
        <v>288</v>
      </c>
      <c r="P20" s="422"/>
      <c r="Q20" s="414"/>
      <c r="R20" s="559"/>
      <c r="T20" s="560" t="s">
        <v>1044</v>
      </c>
      <c r="U20" s="266"/>
      <c r="V20" s="266"/>
      <c r="X20" s="425"/>
    </row>
    <row r="21" spans="1:26" s="264" customFormat="1">
      <c r="A21" s="263"/>
      <c r="B21" s="261" t="s">
        <v>724</v>
      </c>
      <c r="C21" s="261"/>
      <c r="D21" s="372">
        <f>Input!$BX$8</f>
        <v>0</v>
      </c>
      <c r="E21" s="372">
        <f>Input!$BY$8</f>
        <v>0</v>
      </c>
      <c r="F21" s="372">
        <f>Input!$BZ$8</f>
        <v>0</v>
      </c>
      <c r="G21" s="372">
        <f>Input!$CA$8</f>
        <v>0</v>
      </c>
      <c r="H21" s="372">
        <f>Input!$CB$8</f>
        <v>0</v>
      </c>
      <c r="I21" s="372">
        <f>Input!$CC$8</f>
        <v>0</v>
      </c>
      <c r="J21" s="372">
        <f>Input!$CD$8</f>
        <v>0</v>
      </c>
      <c r="K21" s="372">
        <f>Input!$CE$8</f>
        <v>0</v>
      </c>
      <c r="L21" s="372">
        <f>Input!$CF$8</f>
        <v>0</v>
      </c>
      <c r="M21" s="373">
        <f t="shared" si="3"/>
        <v>0</v>
      </c>
      <c r="O21" s="434"/>
      <c r="R21" s="561"/>
      <c r="T21" s="650" t="s">
        <v>1045</v>
      </c>
      <c r="U21" s="266"/>
      <c r="V21" s="266"/>
      <c r="W21" s="651">
        <f>M44</f>
        <v>299924258</v>
      </c>
      <c r="X21" s="425"/>
      <c r="Z21" s="330"/>
    </row>
    <row r="22" spans="1:26" s="264" customFormat="1">
      <c r="A22" s="263"/>
      <c r="B22" s="261" t="s">
        <v>725</v>
      </c>
      <c r="C22" s="261"/>
      <c r="D22" s="372">
        <f>Input!$CG$8</f>
        <v>0</v>
      </c>
      <c r="E22" s="372">
        <f>Input!$CH$8</f>
        <v>0</v>
      </c>
      <c r="F22" s="372">
        <f>Input!$CI$8</f>
        <v>0</v>
      </c>
      <c r="G22" s="372">
        <f>Input!$CJ$8</f>
        <v>0</v>
      </c>
      <c r="H22" s="372">
        <f>Input!$CK$8</f>
        <v>0</v>
      </c>
      <c r="I22" s="372">
        <f>Input!$CL$8</f>
        <v>0</v>
      </c>
      <c r="J22" s="372">
        <f>Input!$CM$8</f>
        <v>0</v>
      </c>
      <c r="K22" s="372">
        <f>Input!$CN$8</f>
        <v>0</v>
      </c>
      <c r="L22" s="372">
        <f>Input!$CO$8</f>
        <v>0</v>
      </c>
      <c r="M22" s="373">
        <f t="shared" si="3"/>
        <v>0</v>
      </c>
      <c r="N22" s="270"/>
      <c r="O22" s="434" t="s">
        <v>1046</v>
      </c>
      <c r="P22" s="276"/>
      <c r="Q22" s="424">
        <f>M23</f>
        <v>326923099</v>
      </c>
      <c r="R22" s="562"/>
      <c r="T22" s="650" t="s">
        <v>1047</v>
      </c>
      <c r="U22" s="266"/>
      <c r="V22" s="266"/>
      <c r="W22" s="652">
        <f>R30*-1</f>
        <v>139406920</v>
      </c>
      <c r="X22" s="425"/>
    </row>
    <row r="23" spans="1:26" s="264" customFormat="1" ht="12.75" customHeight="1">
      <c r="A23" s="263"/>
      <c r="B23" s="558" t="s">
        <v>726</v>
      </c>
      <c r="C23" s="563"/>
      <c r="D23" s="564">
        <f>Input!$CP$8</f>
        <v>57896284</v>
      </c>
      <c r="E23" s="564">
        <f>Input!$CQ$8</f>
        <v>269026815</v>
      </c>
      <c r="F23" s="564">
        <f>Input!$CR$8</f>
        <v>0</v>
      </c>
      <c r="G23" s="564">
        <f>Input!$CS$8</f>
        <v>0</v>
      </c>
      <c r="H23" s="564">
        <f>Input!$CT$8</f>
        <v>0</v>
      </c>
      <c r="I23" s="564">
        <f>Input!$CU$8</f>
        <v>0</v>
      </c>
      <c r="J23" s="564">
        <f>Input!$CV$8</f>
        <v>0</v>
      </c>
      <c r="K23" s="564">
        <f>Input!$CW$8</f>
        <v>0</v>
      </c>
      <c r="L23" s="564">
        <f>Input!$CX$8</f>
        <v>0</v>
      </c>
      <c r="M23" s="565">
        <f t="shared" si="3"/>
        <v>326923099</v>
      </c>
      <c r="O23" s="434"/>
      <c r="P23" s="276"/>
      <c r="Q23" s="424"/>
      <c r="R23" s="562"/>
      <c r="T23" s="560" t="s">
        <v>1230</v>
      </c>
      <c r="U23" s="266"/>
      <c r="V23" s="266"/>
      <c r="W23" s="276"/>
      <c r="X23" s="425">
        <f>SUM(W21:W22)</f>
        <v>439331178</v>
      </c>
      <c r="Z23" s="330"/>
    </row>
    <row r="24" spans="1:26" s="264" customFormat="1" ht="12.75" customHeight="1">
      <c r="A24" s="263"/>
      <c r="B24" s="261" t="s">
        <v>727</v>
      </c>
      <c r="C24" s="566"/>
      <c r="D24" s="372">
        <f>Input!$CY$8</f>
        <v>0</v>
      </c>
      <c r="E24" s="372">
        <f>Input!$CZ$8</f>
        <v>0</v>
      </c>
      <c r="F24" s="372">
        <f>Input!$DA$8</f>
        <v>0</v>
      </c>
      <c r="G24" s="372">
        <f>Input!$DB$8</f>
        <v>0</v>
      </c>
      <c r="H24" s="372">
        <f>Input!$DC$8</f>
        <v>0</v>
      </c>
      <c r="I24" s="372">
        <f>Input!$DD$8</f>
        <v>0</v>
      </c>
      <c r="J24" s="372">
        <f>Input!$DE$8</f>
        <v>0</v>
      </c>
      <c r="K24" s="372">
        <f>Input!$DF$8</f>
        <v>0</v>
      </c>
      <c r="L24" s="372">
        <f>Input!$DG$8</f>
        <v>0</v>
      </c>
      <c r="M24" s="567">
        <f t="shared" si="3"/>
        <v>0</v>
      </c>
      <c r="O24" s="417" t="s">
        <v>1048</v>
      </c>
      <c r="P24" s="276"/>
      <c r="Q24" s="327"/>
      <c r="R24" s="646">
        <f>SUM(M24:M28)</f>
        <v>-129714601</v>
      </c>
      <c r="T24" s="560"/>
      <c r="U24" s="266"/>
      <c r="V24" s="266"/>
      <c r="X24" s="425"/>
      <c r="Z24" s="330"/>
    </row>
    <row r="25" spans="1:26" s="264" customFormat="1" ht="12.75" customHeight="1">
      <c r="A25" s="263"/>
      <c r="B25" s="261" t="s">
        <v>728</v>
      </c>
      <c r="C25" s="566"/>
      <c r="D25" s="372">
        <f>Input!DH6</f>
        <v>0</v>
      </c>
      <c r="E25" s="372">
        <f>Input!$DI$8</f>
        <v>0</v>
      </c>
      <c r="F25" s="372">
        <f>Input!$DJ$8</f>
        <v>0</v>
      </c>
      <c r="G25" s="372">
        <f>Input!$DK$8</f>
        <v>0</v>
      </c>
      <c r="H25" s="372">
        <f>Input!$DL$8</f>
        <v>0</v>
      </c>
      <c r="I25" s="372">
        <f>Input!$DM$8</f>
        <v>0</v>
      </c>
      <c r="J25" s="372">
        <f>Input!$DN$8</f>
        <v>0</v>
      </c>
      <c r="K25" s="372">
        <f>Input!$DO$8</f>
        <v>0</v>
      </c>
      <c r="L25" s="372">
        <f>Input!$DP$8</f>
        <v>0</v>
      </c>
      <c r="M25" s="567">
        <f t="shared" si="3"/>
        <v>0</v>
      </c>
      <c r="O25" s="434"/>
      <c r="P25" s="276"/>
      <c r="Q25" s="327"/>
      <c r="R25" s="646"/>
      <c r="T25" s="568" t="s">
        <v>1103</v>
      </c>
      <c r="U25" s="569"/>
      <c r="V25" s="569"/>
      <c r="W25" s="653">
        <f>(M26+M39)*-1</f>
        <v>8750104</v>
      </c>
      <c r="X25" s="425"/>
      <c r="Z25" s="330"/>
    </row>
    <row r="26" spans="1:26" s="264" customFormat="1" ht="12.75" customHeight="1">
      <c r="A26" s="263"/>
      <c r="B26" s="261" t="s">
        <v>729</v>
      </c>
      <c r="C26" s="566"/>
      <c r="D26" s="372">
        <f>Input!$DQ$8</f>
        <v>-809660</v>
      </c>
      <c r="E26" s="372">
        <f>Input!$DR$8</f>
        <v>-7278847</v>
      </c>
      <c r="F26" s="372">
        <f>Input!$DS$8</f>
        <v>0</v>
      </c>
      <c r="G26" s="372">
        <f>Input!$DT$8</f>
        <v>0</v>
      </c>
      <c r="H26" s="372">
        <f>Input!$DU$8</f>
        <v>0</v>
      </c>
      <c r="I26" s="372">
        <f>Input!$DV$8</f>
        <v>0</v>
      </c>
      <c r="J26" s="372">
        <f>Input!$DW$8</f>
        <v>0</v>
      </c>
      <c r="K26" s="372">
        <f>Input!$DX$8</f>
        <v>0</v>
      </c>
      <c r="L26" s="372">
        <f>Input!$DY$8</f>
        <v>0</v>
      </c>
      <c r="M26" s="567">
        <f t="shared" si="3"/>
        <v>-8088507</v>
      </c>
      <c r="O26" s="434" t="s">
        <v>1049</v>
      </c>
      <c r="P26" s="276"/>
      <c r="Q26" s="427">
        <f>M36</f>
        <v>112408079</v>
      </c>
      <c r="R26" s="570"/>
      <c r="T26" s="560" t="s">
        <v>1104</v>
      </c>
      <c r="U26" s="266"/>
      <c r="V26" s="266"/>
      <c r="W26" s="571">
        <f>(M21+M34)*-1</f>
        <v>-1157</v>
      </c>
      <c r="X26" s="425"/>
      <c r="Z26" s="330"/>
    </row>
    <row r="27" spans="1:26" s="264" customFormat="1">
      <c r="A27" s="263"/>
      <c r="B27" s="261" t="s">
        <v>730</v>
      </c>
      <c r="C27" s="566"/>
      <c r="D27" s="372">
        <f>Input!$DZ$8</f>
        <v>0</v>
      </c>
      <c r="E27" s="372">
        <f>Input!$EA$8</f>
        <v>0</v>
      </c>
      <c r="F27" s="372">
        <f>Input!$EB$8</f>
        <v>0</v>
      </c>
      <c r="G27" s="372">
        <f>Input!$EC$8</f>
        <v>0</v>
      </c>
      <c r="H27" s="372">
        <f>Input!$ED$8</f>
        <v>0</v>
      </c>
      <c r="I27" s="372">
        <f>Input!$EE$8</f>
        <v>0</v>
      </c>
      <c r="J27" s="372">
        <f>Input!$EF$8</f>
        <v>0</v>
      </c>
      <c r="K27" s="372">
        <f>Input!$EG$8</f>
        <v>0</v>
      </c>
      <c r="L27" s="372">
        <f>Input!EH6</f>
        <v>0</v>
      </c>
      <c r="M27" s="567">
        <f t="shared" si="3"/>
        <v>0</v>
      </c>
      <c r="O27" s="434"/>
      <c r="P27" s="276"/>
      <c r="Q27" s="427"/>
      <c r="R27" s="570"/>
      <c r="T27" s="650" t="s">
        <v>1105</v>
      </c>
      <c r="U27" s="584"/>
      <c r="V27" s="584"/>
      <c r="W27" s="654">
        <f>SUM(W25:W26)</f>
        <v>8748947</v>
      </c>
      <c r="X27" s="655"/>
    </row>
    <row r="28" spans="1:26" s="264" customFormat="1">
      <c r="A28" s="263"/>
      <c r="B28" s="261" t="s">
        <v>2133</v>
      </c>
      <c r="C28" s="566"/>
      <c r="D28" s="372">
        <f>Input!$EI$8</f>
        <v>-17747863</v>
      </c>
      <c r="E28" s="372">
        <f>Input!$EJ$8</f>
        <v>-103878231</v>
      </c>
      <c r="F28" s="372">
        <f>Input!$EK$8</f>
        <v>0</v>
      </c>
      <c r="G28" s="372">
        <f>Input!$EL$8</f>
        <v>0</v>
      </c>
      <c r="H28" s="372">
        <f>Input!$EM$8</f>
        <v>0</v>
      </c>
      <c r="I28" s="372">
        <f>Input!$EN$8</f>
        <v>0</v>
      </c>
      <c r="J28" s="372">
        <f>Input!$EO$8</f>
        <v>0</v>
      </c>
      <c r="K28" s="372">
        <f>Input!$EP$8</f>
        <v>0</v>
      </c>
      <c r="L28" s="372">
        <f>Input!$EQ$8</f>
        <v>0</v>
      </c>
      <c r="M28" s="567">
        <f t="shared" si="3"/>
        <v>-121626094</v>
      </c>
      <c r="O28" s="417" t="s">
        <v>1050</v>
      </c>
      <c r="Q28" s="429"/>
      <c r="R28" s="646">
        <f>SUM(M37:M41)</f>
        <v>-9692319</v>
      </c>
      <c r="T28" s="560" t="s">
        <v>1106</v>
      </c>
      <c r="U28" s="266"/>
      <c r="V28" s="266"/>
      <c r="W28" s="425">
        <f>(M27+M40)*-1</f>
        <v>0</v>
      </c>
      <c r="X28" s="655"/>
      <c r="Z28" s="330"/>
    </row>
    <row r="29" spans="1:26" s="264" customFormat="1" ht="12" customHeight="1">
      <c r="A29" s="263"/>
      <c r="B29" s="575" t="s">
        <v>39</v>
      </c>
      <c r="C29" s="563"/>
      <c r="D29" s="374">
        <f t="shared" ref="D29:L29" si="4">SUM(D23:D28)</f>
        <v>39338761</v>
      </c>
      <c r="E29" s="374">
        <f t="shared" si="4"/>
        <v>157869737</v>
      </c>
      <c r="F29" s="374">
        <f t="shared" si="4"/>
        <v>0</v>
      </c>
      <c r="G29" s="374">
        <f t="shared" si="4"/>
        <v>0</v>
      </c>
      <c r="H29" s="374">
        <f t="shared" si="4"/>
        <v>0</v>
      </c>
      <c r="I29" s="374">
        <f t="shared" si="4"/>
        <v>0</v>
      </c>
      <c r="J29" s="374">
        <f t="shared" si="4"/>
        <v>0</v>
      </c>
      <c r="K29" s="374">
        <f t="shared" si="4"/>
        <v>0</v>
      </c>
      <c r="L29" s="374">
        <f t="shared" si="4"/>
        <v>0</v>
      </c>
      <c r="M29" s="374">
        <f t="shared" si="3"/>
        <v>197208498</v>
      </c>
      <c r="O29" s="417"/>
      <c r="Q29" s="429"/>
      <c r="R29" s="576"/>
      <c r="T29" s="560" t="s">
        <v>1107</v>
      </c>
      <c r="U29" s="266"/>
      <c r="V29" s="266"/>
      <c r="W29" s="571">
        <f>(M22+M35)*-1</f>
        <v>0</v>
      </c>
      <c r="X29" s="655"/>
    </row>
    <row r="30" spans="1:26" s="264" customFormat="1" ht="16.5" customHeight="1">
      <c r="A30" s="263"/>
      <c r="B30" s="261"/>
      <c r="C30" s="566"/>
      <c r="D30" s="566"/>
      <c r="E30" s="566"/>
      <c r="F30" s="566"/>
      <c r="G30" s="566"/>
      <c r="H30" s="566"/>
      <c r="I30" s="566"/>
      <c r="J30" s="566"/>
      <c r="K30" s="566"/>
      <c r="L30" s="566"/>
      <c r="M30" s="567"/>
      <c r="O30" s="431" t="s">
        <v>289</v>
      </c>
      <c r="P30" s="432"/>
      <c r="Q30" s="433">
        <f>Q26+Q22</f>
        <v>439331178</v>
      </c>
      <c r="R30" s="647">
        <f>R28+R24</f>
        <v>-139406920</v>
      </c>
      <c r="T30" s="650" t="s">
        <v>1108</v>
      </c>
      <c r="U30" s="584"/>
      <c r="V30" s="584"/>
      <c r="W30" s="654">
        <f>SUM(W28:W29)</f>
        <v>0</v>
      </c>
      <c r="X30" s="655"/>
    </row>
    <row r="31" spans="1:26" s="264" customFormat="1" ht="12.75" customHeight="1">
      <c r="A31" s="263"/>
      <c r="B31" s="558" t="s">
        <v>1052</v>
      </c>
      <c r="C31" s="558"/>
      <c r="D31" s="374">
        <f t="shared" ref="D31:L31" si="5">D36-SUM(D32:D35)</f>
        <v>586454</v>
      </c>
      <c r="E31" s="374">
        <f t="shared" si="5"/>
        <v>81331885</v>
      </c>
      <c r="F31" s="374">
        <f t="shared" si="5"/>
        <v>30564043</v>
      </c>
      <c r="G31" s="374">
        <f t="shared" si="5"/>
        <v>0</v>
      </c>
      <c r="H31" s="374">
        <f t="shared" si="5"/>
        <v>0</v>
      </c>
      <c r="I31" s="374">
        <f t="shared" si="5"/>
        <v>0</v>
      </c>
      <c r="J31" s="374">
        <f t="shared" si="5"/>
        <v>0</v>
      </c>
      <c r="K31" s="374">
        <f t="shared" si="5"/>
        <v>0</v>
      </c>
      <c r="L31" s="374">
        <f t="shared" si="5"/>
        <v>0</v>
      </c>
      <c r="M31" s="374">
        <f t="shared" ref="M31:M42" si="6">D31+E31+F31+G31+H31+I31+J31+K31+L31</f>
        <v>112482382</v>
      </c>
      <c r="O31" s="434" t="s">
        <v>290</v>
      </c>
      <c r="P31" s="276"/>
      <c r="Q31" s="335"/>
      <c r="R31" s="562"/>
      <c r="T31" s="572" t="s">
        <v>1109</v>
      </c>
      <c r="U31" s="573"/>
      <c r="V31" s="573"/>
      <c r="W31" s="574">
        <f>W27+W30</f>
        <v>8748947</v>
      </c>
      <c r="X31" s="425"/>
      <c r="Z31" s="330"/>
    </row>
    <row r="32" spans="1:26" s="264" customFormat="1" ht="12.75" customHeight="1">
      <c r="A32" s="263"/>
      <c r="B32" s="261" t="s">
        <v>722</v>
      </c>
      <c r="C32" s="261"/>
      <c r="D32" s="372">
        <f>Input!$ER$8</f>
        <v>0</v>
      </c>
      <c r="E32" s="372">
        <f>Input!$ES$8</f>
        <v>-54927</v>
      </c>
      <c r="F32" s="372">
        <f>Input!$ET$8</f>
        <v>-20533</v>
      </c>
      <c r="G32" s="372">
        <f>Input!$EU$8</f>
        <v>0</v>
      </c>
      <c r="H32" s="372">
        <f>Input!$EV$8</f>
        <v>0</v>
      </c>
      <c r="I32" s="372">
        <f>Input!$EW$8</f>
        <v>0</v>
      </c>
      <c r="J32" s="372">
        <f>Input!$EX$8</f>
        <v>0</v>
      </c>
      <c r="K32" s="372">
        <f>Input!$EY$8</f>
        <v>0</v>
      </c>
      <c r="L32" s="372">
        <f>Input!$EZ$8</f>
        <v>0</v>
      </c>
      <c r="M32" s="567">
        <f t="shared" si="6"/>
        <v>-75460</v>
      </c>
      <c r="O32" s="415" t="s">
        <v>1295</v>
      </c>
      <c r="P32" s="416"/>
      <c r="Q32" s="577">
        <f>Input!$SQ$8</f>
        <v>439331178</v>
      </c>
      <c r="R32" s="578"/>
      <c r="T32" s="560"/>
      <c r="U32" s="266"/>
      <c r="V32" s="266"/>
      <c r="X32" s="425"/>
      <c r="Z32" s="330"/>
    </row>
    <row r="33" spans="1:24" s="264" customFormat="1">
      <c r="A33" s="263"/>
      <c r="B33" s="261" t="s">
        <v>723</v>
      </c>
      <c r="C33" s="261"/>
      <c r="D33" s="372">
        <f>Input!$FA$8</f>
        <v>0</v>
      </c>
      <c r="E33" s="372">
        <f>Input!$FB$8</f>
        <v>0</v>
      </c>
      <c r="F33" s="372">
        <f>Input!$FC$8</f>
        <v>0</v>
      </c>
      <c r="G33" s="372">
        <f>Input!$FD$8</f>
        <v>0</v>
      </c>
      <c r="H33" s="372">
        <f>Input!$FE$8</f>
        <v>0</v>
      </c>
      <c r="I33" s="372">
        <f>Input!$FF$8</f>
        <v>0</v>
      </c>
      <c r="J33" s="372">
        <f>Input!$FG$8</f>
        <v>0</v>
      </c>
      <c r="K33" s="372">
        <f>Input!$FH$8</f>
        <v>0</v>
      </c>
      <c r="L33" s="372">
        <f>Input!$FI$8</f>
        <v>0</v>
      </c>
      <c r="M33" s="567">
        <f t="shared" si="6"/>
        <v>0</v>
      </c>
      <c r="O33" s="415"/>
      <c r="P33" s="416"/>
      <c r="Q33" s="327"/>
      <c r="R33" s="578"/>
      <c r="T33" s="560" t="s">
        <v>1051</v>
      </c>
      <c r="U33" s="266"/>
      <c r="V33" s="266"/>
      <c r="W33" s="334">
        <f>(M19+M32)*-1</f>
        <v>44231588</v>
      </c>
      <c r="X33" s="425"/>
    </row>
    <row r="34" spans="1:24" s="264" customFormat="1">
      <c r="A34" s="263"/>
      <c r="B34" s="261" t="s">
        <v>724</v>
      </c>
      <c r="C34" s="261"/>
      <c r="D34" s="372">
        <f>Input!$FJ$8</f>
        <v>0</v>
      </c>
      <c r="E34" s="372">
        <f>Input!$FK$8</f>
        <v>0</v>
      </c>
      <c r="F34" s="372">
        <f>Input!$FL$8</f>
        <v>1157</v>
      </c>
      <c r="G34" s="372">
        <f>Input!$FM$8</f>
        <v>0</v>
      </c>
      <c r="H34" s="372">
        <f>Input!$FN$8</f>
        <v>0</v>
      </c>
      <c r="I34" s="372">
        <f>Input!$FO$8</f>
        <v>0</v>
      </c>
      <c r="J34" s="372">
        <f>Input!$FP$8</f>
        <v>0</v>
      </c>
      <c r="K34" s="372">
        <f>Input!$FQ$8</f>
        <v>0</v>
      </c>
      <c r="L34" s="372">
        <f>Input!$FR$8</f>
        <v>0</v>
      </c>
      <c r="M34" s="567">
        <f t="shared" si="6"/>
        <v>1157</v>
      </c>
      <c r="O34" s="435" t="s">
        <v>1296</v>
      </c>
      <c r="P34" s="436"/>
      <c r="Q34" s="264" t="s">
        <v>291</v>
      </c>
      <c r="R34" s="648">
        <f>Input!$SR$8</f>
        <v>-139406920</v>
      </c>
      <c r="T34" s="560" t="s">
        <v>1110</v>
      </c>
      <c r="U34" s="266"/>
      <c r="V34" s="266"/>
      <c r="W34" s="430">
        <f>(M24+M37)*-1</f>
        <v>0</v>
      </c>
      <c r="X34" s="425"/>
    </row>
    <row r="35" spans="1:24" s="264" customFormat="1" ht="13.5" thickBot="1">
      <c r="A35" s="263"/>
      <c r="B35" s="261" t="s">
        <v>725</v>
      </c>
      <c r="C35" s="261"/>
      <c r="D35" s="372">
        <f>Input!$FS$8</f>
        <v>0</v>
      </c>
      <c r="E35" s="372">
        <f>Input!$FT$8</f>
        <v>0</v>
      </c>
      <c r="F35" s="372">
        <f>Input!$FU$8</f>
        <v>0</v>
      </c>
      <c r="G35" s="372">
        <f>Input!$FV$8</f>
        <v>0</v>
      </c>
      <c r="H35" s="372">
        <f>Input!$FW$8</f>
        <v>0</v>
      </c>
      <c r="I35" s="372">
        <f>Input!$FX$8</f>
        <v>0</v>
      </c>
      <c r="J35" s="372">
        <f>Input!$FY$8</f>
        <v>0</v>
      </c>
      <c r="K35" s="372">
        <f>Input!$FZ$8</f>
        <v>0</v>
      </c>
      <c r="L35" s="372">
        <f>Input!$GA$8</f>
        <v>0</v>
      </c>
      <c r="M35" s="567">
        <f t="shared" si="6"/>
        <v>0</v>
      </c>
      <c r="O35" s="418" t="s">
        <v>286</v>
      </c>
      <c r="P35" s="419"/>
      <c r="Q35" s="420">
        <f>Q30-Q32</f>
        <v>0</v>
      </c>
      <c r="R35" s="649">
        <f>R30-R34</f>
        <v>0</v>
      </c>
      <c r="T35" s="650" t="s">
        <v>1111</v>
      </c>
      <c r="U35" s="584"/>
      <c r="V35" s="584"/>
      <c r="W35" s="656">
        <f>SUM(W33:W34)</f>
        <v>44231588</v>
      </c>
      <c r="X35" s="655"/>
    </row>
    <row r="36" spans="1:24" s="264" customFormat="1" ht="13.5" thickTop="1">
      <c r="A36" s="263"/>
      <c r="B36" s="558" t="s">
        <v>732</v>
      </c>
      <c r="C36" s="563"/>
      <c r="D36" s="564">
        <f>Input!$GB$8</f>
        <v>586454</v>
      </c>
      <c r="E36" s="564">
        <f>Input!$GC$8</f>
        <v>81276958</v>
      </c>
      <c r="F36" s="564">
        <f>Input!$GD$8</f>
        <v>30544667</v>
      </c>
      <c r="G36" s="564">
        <f>Input!$GE$8</f>
        <v>0</v>
      </c>
      <c r="H36" s="564">
        <f>Input!$GF$8</f>
        <v>0</v>
      </c>
      <c r="I36" s="564">
        <f>Input!$GG$8</f>
        <v>0</v>
      </c>
      <c r="J36" s="564">
        <f>Input!$GH$8</f>
        <v>0</v>
      </c>
      <c r="K36" s="564">
        <f>Input!$GI$8</f>
        <v>0</v>
      </c>
      <c r="L36" s="564">
        <f>Input!$GJ$8</f>
        <v>0</v>
      </c>
      <c r="M36" s="565">
        <f t="shared" si="6"/>
        <v>112408079</v>
      </c>
      <c r="O36" s="261"/>
      <c r="Q36" s="412" t="str">
        <f>IF(Q30&lt;&gt;Q32,"Out of Balance","Balanced")</f>
        <v>Balanced</v>
      </c>
      <c r="R36" s="412" t="str">
        <f>IF(R30&lt;&gt;R34,"Out of Balance","Balanced")</f>
        <v>Balanced</v>
      </c>
      <c r="T36" s="560" t="s">
        <v>1053</v>
      </c>
      <c r="U36" s="266"/>
      <c r="V36" s="266"/>
      <c r="W36" s="334">
        <f>(M20+M33)*-1</f>
        <v>0</v>
      </c>
      <c r="X36" s="425"/>
    </row>
    <row r="37" spans="1:24" s="264" customFormat="1">
      <c r="A37" s="263"/>
      <c r="B37" s="261" t="s">
        <v>727</v>
      </c>
      <c r="C37" s="566"/>
      <c r="D37" s="372">
        <f>Input!$GK$8</f>
        <v>0</v>
      </c>
      <c r="E37" s="372">
        <f>Input!$GL$8</f>
        <v>0</v>
      </c>
      <c r="F37" s="372">
        <f>Input!$GM$8</f>
        <v>0</v>
      </c>
      <c r="G37" s="372">
        <f>Input!$GN$8</f>
        <v>0</v>
      </c>
      <c r="H37" s="372">
        <f>Input!$GO$8</f>
        <v>0</v>
      </c>
      <c r="I37" s="372">
        <f>Input!$GP$8</f>
        <v>0</v>
      </c>
      <c r="J37" s="372">
        <f>Input!$GQ$8</f>
        <v>0</v>
      </c>
      <c r="K37" s="372">
        <f>Input!$GR$8</f>
        <v>0</v>
      </c>
      <c r="L37" s="372">
        <f>Input!$GS$8</f>
        <v>0</v>
      </c>
      <c r="M37" s="567">
        <f t="shared" si="6"/>
        <v>0</v>
      </c>
      <c r="O37" s="261"/>
      <c r="T37" s="560" t="s">
        <v>1112</v>
      </c>
      <c r="U37" s="266"/>
      <c r="V37" s="266"/>
      <c r="W37" s="430">
        <f>(M25+M38)*-1</f>
        <v>0</v>
      </c>
      <c r="X37" s="655"/>
    </row>
    <row r="38" spans="1:24" s="264" customFormat="1">
      <c r="A38" s="263"/>
      <c r="B38" s="261" t="s">
        <v>728</v>
      </c>
      <c r="C38" s="566"/>
      <c r="D38" s="372">
        <f>Input!$GT$8</f>
        <v>0</v>
      </c>
      <c r="E38" s="372">
        <f>Input!$GU$8</f>
        <v>0</v>
      </c>
      <c r="F38" s="372">
        <f>Input!$GV$8</f>
        <v>0</v>
      </c>
      <c r="G38" s="372">
        <f>Input!$GW$8</f>
        <v>0</v>
      </c>
      <c r="H38" s="372">
        <f>Input!$GX$8</f>
        <v>0</v>
      </c>
      <c r="I38" s="372">
        <f>Input!$GY$8</f>
        <v>0</v>
      </c>
      <c r="J38" s="372">
        <f>Input!$GZ$8</f>
        <v>0</v>
      </c>
      <c r="K38" s="372">
        <f>Input!$HA$8</f>
        <v>0</v>
      </c>
      <c r="L38" s="372">
        <f>Input!$HB$8</f>
        <v>0</v>
      </c>
      <c r="M38" s="567">
        <f t="shared" si="6"/>
        <v>0</v>
      </c>
      <c r="O38" s="261"/>
      <c r="T38" s="650" t="s">
        <v>1113</v>
      </c>
      <c r="U38" s="584"/>
      <c r="V38" s="584"/>
      <c r="W38" s="656">
        <f>SUM(W36:W37)</f>
        <v>0</v>
      </c>
      <c r="X38" s="425"/>
    </row>
    <row r="39" spans="1:24" s="264" customFormat="1">
      <c r="A39" s="263"/>
      <c r="B39" s="261" t="s">
        <v>729</v>
      </c>
      <c r="C39" s="566"/>
      <c r="D39" s="372">
        <f>Input!$HC$8</f>
        <v>0</v>
      </c>
      <c r="E39" s="372">
        <f>Input!$HD$8</f>
        <v>0</v>
      </c>
      <c r="F39" s="372">
        <f>Input!$HE$8</f>
        <v>-661597</v>
      </c>
      <c r="G39" s="372">
        <f>Input!$HF$8</f>
        <v>0</v>
      </c>
      <c r="H39" s="372">
        <f>Input!$HG$8</f>
        <v>0</v>
      </c>
      <c r="I39" s="372">
        <f>Input!$HH$8</f>
        <v>0</v>
      </c>
      <c r="J39" s="372">
        <f>Input!$HI$8</f>
        <v>0</v>
      </c>
      <c r="K39" s="372">
        <f>Input!$HJ$8</f>
        <v>0</v>
      </c>
      <c r="L39" s="372">
        <f>Input!$HK$8</f>
        <v>0</v>
      </c>
      <c r="M39" s="567">
        <f t="shared" si="6"/>
        <v>-661597</v>
      </c>
      <c r="O39" s="261"/>
      <c r="T39" s="560" t="s">
        <v>1054</v>
      </c>
      <c r="U39" s="266"/>
      <c r="V39" s="266"/>
      <c r="W39" s="334"/>
      <c r="X39" s="425">
        <f>W38+W35</f>
        <v>44231588</v>
      </c>
    </row>
    <row r="40" spans="1:24" s="264" customFormat="1">
      <c r="A40" s="263"/>
      <c r="B40" s="261" t="s">
        <v>730</v>
      </c>
      <c r="C40" s="566"/>
      <c r="D40" s="372">
        <f>Input!$HL$8</f>
        <v>0</v>
      </c>
      <c r="E40" s="372">
        <f>Input!$HM$8</f>
        <v>0</v>
      </c>
      <c r="F40" s="372">
        <f>Input!$HN$8</f>
        <v>0</v>
      </c>
      <c r="G40" s="372">
        <f>Input!$HO$8</f>
        <v>0</v>
      </c>
      <c r="H40" s="372">
        <f>Input!$HP$8</f>
        <v>0</v>
      </c>
      <c r="I40" s="372">
        <f>Input!$HQ$8</f>
        <v>0</v>
      </c>
      <c r="J40" s="372">
        <f>Input!$HR$8</f>
        <v>0</v>
      </c>
      <c r="K40" s="372">
        <f>Input!$HS$8</f>
        <v>0</v>
      </c>
      <c r="L40" s="372">
        <f>Input!$HT$8</f>
        <v>0</v>
      </c>
      <c r="M40" s="567">
        <f t="shared" si="6"/>
        <v>0</v>
      </c>
      <c r="O40" s="261"/>
      <c r="T40" s="560"/>
      <c r="U40" s="261"/>
      <c r="V40" s="261"/>
      <c r="W40" s="261"/>
      <c r="X40" s="655"/>
    </row>
    <row r="41" spans="1:24" s="264" customFormat="1">
      <c r="A41" s="263"/>
      <c r="B41" s="261" t="s">
        <v>2133</v>
      </c>
      <c r="C41" s="566"/>
      <c r="D41" s="372">
        <f>Input!$HU$8</f>
        <v>0</v>
      </c>
      <c r="E41" s="372">
        <f>Input!$HV$8</f>
        <v>0</v>
      </c>
      <c r="F41" s="372">
        <f>Input!$HW$8</f>
        <v>-9030722</v>
      </c>
      <c r="G41" s="372">
        <f>Input!$HX$8</f>
        <v>0</v>
      </c>
      <c r="H41" s="372">
        <f>Input!$HY$8</f>
        <v>0</v>
      </c>
      <c r="I41" s="372">
        <f>Input!$HZ$8</f>
        <v>0</v>
      </c>
      <c r="J41" s="372">
        <f>Input!$IA$8</f>
        <v>0</v>
      </c>
      <c r="K41" s="372">
        <f>Input!$IB$8</f>
        <v>0</v>
      </c>
      <c r="L41" s="372">
        <f>Input!$IC$8</f>
        <v>0</v>
      </c>
      <c r="M41" s="567">
        <f t="shared" si="6"/>
        <v>-9030722</v>
      </c>
      <c r="O41"/>
      <c r="P41"/>
      <c r="Q41"/>
      <c r="R41"/>
      <c r="S41"/>
      <c r="T41" s="560" t="s">
        <v>1104</v>
      </c>
      <c r="U41" s="266"/>
      <c r="V41" s="266"/>
      <c r="W41" s="330">
        <f>(M21+M34)*-1</f>
        <v>-1157</v>
      </c>
      <c r="X41" s="425"/>
    </row>
    <row r="42" spans="1:24" s="264" customFormat="1">
      <c r="A42" s="263"/>
      <c r="B42" s="575" t="s">
        <v>40</v>
      </c>
      <c r="C42" s="563"/>
      <c r="D42" s="374">
        <f t="shared" ref="D42:L42" si="7">SUM(D36:D41)</f>
        <v>586454</v>
      </c>
      <c r="E42" s="374">
        <f t="shared" si="7"/>
        <v>81276958</v>
      </c>
      <c r="F42" s="374">
        <f t="shared" si="7"/>
        <v>20852348</v>
      </c>
      <c r="G42" s="374">
        <f t="shared" si="7"/>
        <v>0</v>
      </c>
      <c r="H42" s="374">
        <f t="shared" si="7"/>
        <v>0</v>
      </c>
      <c r="I42" s="374">
        <f t="shared" si="7"/>
        <v>0</v>
      </c>
      <c r="J42" s="374">
        <f t="shared" si="7"/>
        <v>0</v>
      </c>
      <c r="K42" s="374">
        <f t="shared" si="7"/>
        <v>0</v>
      </c>
      <c r="L42" s="374">
        <f t="shared" si="7"/>
        <v>0</v>
      </c>
      <c r="M42" s="374">
        <f t="shared" si="6"/>
        <v>102715760</v>
      </c>
      <c r="O42"/>
      <c r="P42"/>
      <c r="Q42"/>
      <c r="R42"/>
      <c r="S42"/>
      <c r="T42" s="560" t="s">
        <v>1107</v>
      </c>
      <c r="U42" s="266"/>
      <c r="V42" s="266"/>
      <c r="W42" s="430">
        <f>(M22+M35)*-1</f>
        <v>0</v>
      </c>
      <c r="X42" s="425"/>
    </row>
    <row r="43" spans="1:24" s="264" customFormat="1">
      <c r="A43" s="263"/>
      <c r="B43" s="261"/>
      <c r="C43" s="566"/>
      <c r="D43" s="566"/>
      <c r="E43" s="566"/>
      <c r="F43" s="566"/>
      <c r="G43" s="566"/>
      <c r="H43" s="566"/>
      <c r="I43" s="566"/>
      <c r="J43" s="566"/>
      <c r="K43" s="566"/>
      <c r="L43" s="566"/>
      <c r="M43" s="567"/>
      <c r="O43"/>
      <c r="P43"/>
      <c r="Q43"/>
      <c r="R43"/>
      <c r="S43"/>
      <c r="T43" s="650" t="s">
        <v>1114</v>
      </c>
      <c r="U43" s="584"/>
      <c r="V43" s="584"/>
      <c r="W43" s="656">
        <f>SUM(W41:W42)</f>
        <v>-1157</v>
      </c>
      <c r="X43" s="655"/>
    </row>
    <row r="44" spans="1:24" s="264" customFormat="1" ht="13.5" customHeight="1">
      <c r="A44" s="263"/>
      <c r="B44" s="575" t="s">
        <v>1055</v>
      </c>
      <c r="C44" s="563"/>
      <c r="D44" s="374">
        <f t="shared" ref="D44:L44" si="8">D42+D29</f>
        <v>39925215</v>
      </c>
      <c r="E44" s="374">
        <f t="shared" si="8"/>
        <v>239146695</v>
      </c>
      <c r="F44" s="374">
        <f t="shared" si="8"/>
        <v>20852348</v>
      </c>
      <c r="G44" s="374">
        <f t="shared" si="8"/>
        <v>0</v>
      </c>
      <c r="H44" s="374">
        <f t="shared" si="8"/>
        <v>0</v>
      </c>
      <c r="I44" s="374">
        <f t="shared" si="8"/>
        <v>0</v>
      </c>
      <c r="J44" s="374">
        <f t="shared" si="8"/>
        <v>0</v>
      </c>
      <c r="K44" s="374">
        <f t="shared" si="8"/>
        <v>0</v>
      </c>
      <c r="L44" s="374">
        <f t="shared" si="8"/>
        <v>0</v>
      </c>
      <c r="M44" s="374">
        <f>D44+E44+F44+G44+H44+I44+J44+K44+L44</f>
        <v>299924258</v>
      </c>
      <c r="O44"/>
      <c r="P44"/>
      <c r="Q44"/>
      <c r="R44"/>
      <c r="S44"/>
      <c r="T44" s="560"/>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0"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0" t="s">
        <v>1112</v>
      </c>
      <c r="U46" s="266"/>
      <c r="V46" s="266"/>
      <c r="W46" s="430">
        <f>(M25+M38)*-1</f>
        <v>0</v>
      </c>
      <c r="X46" s="425"/>
    </row>
    <row r="47" spans="1:24">
      <c r="A47" s="184">
        <v>30</v>
      </c>
      <c r="B47" s="176" t="s">
        <v>7</v>
      </c>
      <c r="C47" s="176"/>
      <c r="D47" s="375">
        <f>Input!$ID$8</f>
        <v>2739410</v>
      </c>
      <c r="E47" s="375">
        <f>Input!$IE$8</f>
        <v>17242239</v>
      </c>
      <c r="F47" s="375">
        <f>Input!$IF$8</f>
        <v>0</v>
      </c>
      <c r="G47" s="375">
        <f>Input!$IG$8</f>
        <v>123194007</v>
      </c>
      <c r="H47" s="375">
        <f>Input!$IH$8</f>
        <v>0</v>
      </c>
      <c r="I47" s="375">
        <f>Input!$II$8</f>
        <v>0</v>
      </c>
      <c r="J47" s="375">
        <f>Input!$IJ$8</f>
        <v>0</v>
      </c>
      <c r="K47" s="375">
        <f>Input!$IK$8</f>
        <v>0</v>
      </c>
      <c r="L47" s="375">
        <f>Input!$IL$8</f>
        <v>0</v>
      </c>
      <c r="M47" s="374">
        <f>D47+E47+F47+G47+H47+I47+J47+K47+L47</f>
        <v>143175656</v>
      </c>
      <c r="N47" s="160"/>
      <c r="O47"/>
      <c r="P47"/>
      <c r="Q47"/>
      <c r="R47"/>
      <c r="S47"/>
      <c r="T47" s="657" t="s">
        <v>1115</v>
      </c>
      <c r="U47" s="27"/>
      <c r="V47" s="27"/>
      <c r="W47" s="656">
        <f>SUM(W45:W46)</f>
        <v>0</v>
      </c>
      <c r="X47" s="655"/>
    </row>
    <row r="48" spans="1:24">
      <c r="A48" s="184">
        <v>31</v>
      </c>
      <c r="B48" s="160"/>
      <c r="C48" s="160"/>
      <c r="D48" s="373"/>
      <c r="E48" s="373"/>
      <c r="F48" s="373"/>
      <c r="G48" s="373"/>
      <c r="H48" s="373"/>
      <c r="I48" s="373"/>
      <c r="J48" s="373"/>
      <c r="K48" s="373"/>
      <c r="L48" s="373"/>
      <c r="M48" s="373"/>
      <c r="N48" s="160"/>
      <c r="O48"/>
      <c r="P48"/>
      <c r="Q48"/>
      <c r="R48"/>
      <c r="S48"/>
      <c r="T48" s="560"/>
      <c r="U48" s="261"/>
      <c r="V48" s="261"/>
      <c r="W48" s="261"/>
      <c r="X48" s="658">
        <f>W43-W47</f>
        <v>-1157</v>
      </c>
    </row>
    <row r="49" spans="1:28">
      <c r="A49" s="184">
        <v>32</v>
      </c>
      <c r="B49" s="172" t="s">
        <v>8</v>
      </c>
      <c r="C49" s="172"/>
      <c r="D49" s="373"/>
      <c r="E49" s="373"/>
      <c r="F49" s="373"/>
      <c r="G49" s="373"/>
      <c r="H49" s="373"/>
      <c r="I49" s="373"/>
      <c r="J49" s="373"/>
      <c r="K49" s="373"/>
      <c r="L49" s="373"/>
      <c r="M49" s="373"/>
      <c r="N49" s="160"/>
      <c r="O49" s="273"/>
      <c r="T49" s="579" t="s">
        <v>287</v>
      </c>
      <c r="U49" s="511"/>
      <c r="V49" s="580"/>
      <c r="W49" s="580"/>
      <c r="X49" s="574">
        <f>SUM(X23:X48)</f>
        <v>483561609</v>
      </c>
    </row>
    <row r="50" spans="1:28">
      <c r="A50" s="184">
        <v>33</v>
      </c>
      <c r="B50" s="160" t="s">
        <v>42</v>
      </c>
      <c r="C50" s="160"/>
      <c r="D50" s="372">
        <f>Input!$IM$8</f>
        <v>166754</v>
      </c>
      <c r="E50" s="372">
        <f>Input!$IN$8</f>
        <v>16354688</v>
      </c>
      <c r="F50" s="372">
        <f>Input!$IO$8</f>
        <v>0</v>
      </c>
      <c r="G50" s="372">
        <f>Input!$IP$8</f>
        <v>21007348</v>
      </c>
      <c r="H50" s="372">
        <f>Input!$IQ$8</f>
        <v>3967</v>
      </c>
      <c r="I50" s="372">
        <f>Input!$IR$8</f>
        <v>2044172</v>
      </c>
      <c r="J50" s="372">
        <f>Input!$IS$8</f>
        <v>-834</v>
      </c>
      <c r="K50" s="372">
        <f>Input!$IT$8</f>
        <v>0</v>
      </c>
      <c r="L50" s="372">
        <f>Input!$IU$8</f>
        <v>0</v>
      </c>
      <c r="M50" s="373">
        <f t="shared" ref="M50:M57" si="9">D50+E50+F50+G50+H50+I50+J50+K50+L50</f>
        <v>39576095</v>
      </c>
      <c r="N50" s="160"/>
      <c r="O50" s="273"/>
      <c r="U50" s="275"/>
    </row>
    <row r="51" spans="1:28">
      <c r="A51" s="184">
        <v>34</v>
      </c>
      <c r="B51" s="160" t="s">
        <v>9</v>
      </c>
      <c r="C51" s="160"/>
      <c r="D51" s="372">
        <f>Input!$IV$8</f>
        <v>0</v>
      </c>
      <c r="E51" s="372">
        <f>Input!$IW$8</f>
        <v>20014</v>
      </c>
      <c r="F51" s="372">
        <f>Input!$IX$8</f>
        <v>0</v>
      </c>
      <c r="G51" s="372">
        <f>Input!$IY$8</f>
        <v>228988</v>
      </c>
      <c r="H51" s="372">
        <f>Input!$IZ$8</f>
        <v>0</v>
      </c>
      <c r="I51" s="372">
        <f>Input!$JA$8</f>
        <v>0</v>
      </c>
      <c r="J51" s="372">
        <f>Input!$JB$8</f>
        <v>0</v>
      </c>
      <c r="K51" s="372">
        <f>Input!$JC$8</f>
        <v>0</v>
      </c>
      <c r="L51" s="372">
        <f>Input!$JD$8</f>
        <v>0</v>
      </c>
      <c r="M51" s="376">
        <f t="shared" si="9"/>
        <v>249002</v>
      </c>
      <c r="N51" s="160"/>
      <c r="Y51" s="277"/>
    </row>
    <row r="52" spans="1:28">
      <c r="A52" s="184">
        <v>35</v>
      </c>
      <c r="B52" s="160" t="s">
        <v>10</v>
      </c>
      <c r="C52" s="160"/>
      <c r="D52" s="372">
        <f>Input!$JE$8</f>
        <v>0</v>
      </c>
      <c r="E52" s="372">
        <f>Input!$JF$8</f>
        <v>1892789</v>
      </c>
      <c r="F52" s="372">
        <f>Input!$JG$8</f>
        <v>0</v>
      </c>
      <c r="G52" s="372">
        <f>Input!$JH$8</f>
        <v>21898666</v>
      </c>
      <c r="H52" s="372">
        <f>Input!$JI$8</f>
        <v>0</v>
      </c>
      <c r="I52" s="372">
        <f>Input!$JJ$8</f>
        <v>0</v>
      </c>
      <c r="J52" s="372">
        <f>Input!$JK$8</f>
        <v>1122989</v>
      </c>
      <c r="K52" s="372">
        <f>Input!$JL$8</f>
        <v>0</v>
      </c>
      <c r="L52" s="372">
        <f>Input!$JM$8</f>
        <v>0</v>
      </c>
      <c r="M52" s="373">
        <f t="shared" si="9"/>
        <v>24914444</v>
      </c>
      <c r="N52" s="160"/>
      <c r="O52" s="273"/>
      <c r="P52" s="278"/>
    </row>
    <row r="53" spans="1:28">
      <c r="A53" s="184">
        <v>36</v>
      </c>
      <c r="B53" s="160" t="s">
        <v>11</v>
      </c>
      <c r="C53" s="160"/>
      <c r="D53" s="372">
        <f>Input!$JN$8</f>
        <v>6718514</v>
      </c>
      <c r="E53" s="372">
        <f>Input!$JO$8</f>
        <v>24720140</v>
      </c>
      <c r="F53" s="372">
        <f>Input!$JP$8</f>
        <v>0</v>
      </c>
      <c r="G53" s="372">
        <f>Input!$JQ$8</f>
        <v>337963</v>
      </c>
      <c r="H53" s="372">
        <f>Input!$JR$8</f>
        <v>0</v>
      </c>
      <c r="I53" s="372">
        <f>Input!$JS$8</f>
        <v>0</v>
      </c>
      <c r="J53" s="372">
        <f>Input!$JT$8</f>
        <v>0</v>
      </c>
      <c r="K53" s="372">
        <f>Input!$JU$8</f>
        <v>0</v>
      </c>
      <c r="L53" s="372">
        <f>Input!$JV$8</f>
        <v>0</v>
      </c>
      <c r="M53" s="373">
        <f t="shared" si="9"/>
        <v>31776617</v>
      </c>
      <c r="N53" s="160"/>
      <c r="O53" s="273"/>
    </row>
    <row r="54" spans="1:28" ht="13.5" thickBot="1">
      <c r="A54" s="184">
        <v>37</v>
      </c>
      <c r="B54" s="177" t="s">
        <v>2134</v>
      </c>
      <c r="C54" s="177"/>
      <c r="D54" s="372">
        <f>Input!$JW$8</f>
        <v>0</v>
      </c>
      <c r="E54" s="372">
        <f>Input!$JX$8</f>
        <v>0</v>
      </c>
      <c r="F54" s="372">
        <f>Input!$JY$8</f>
        <v>28944491</v>
      </c>
      <c r="G54" s="372">
        <f>Input!$JZ$8</f>
        <v>0</v>
      </c>
      <c r="H54" s="372">
        <f>Input!$KA$8</f>
        <v>0</v>
      </c>
      <c r="I54" s="372">
        <f>Input!$KB$8</f>
        <v>0</v>
      </c>
      <c r="J54" s="372">
        <f>Input!$KC$8</f>
        <v>0</v>
      </c>
      <c r="K54" s="372">
        <f>Input!$KD$8</f>
        <v>0</v>
      </c>
      <c r="L54" s="372">
        <f>Input!$KE$8</f>
        <v>0</v>
      </c>
      <c r="M54" s="373">
        <f t="shared" si="9"/>
        <v>28944491</v>
      </c>
      <c r="N54" s="160"/>
      <c r="O54" s="273"/>
    </row>
    <row r="55" spans="1:28" ht="14.25" thickTop="1" thickBot="1">
      <c r="A55" s="184">
        <v>38</v>
      </c>
      <c r="B55" s="160" t="s">
        <v>43</v>
      </c>
      <c r="C55" s="160"/>
      <c r="D55" s="372">
        <f>Input!$KF$8</f>
        <v>1761</v>
      </c>
      <c r="E55" s="372">
        <f>Input!$KG$8</f>
        <v>8319631</v>
      </c>
      <c r="F55" s="372">
        <f>Input!$KH$8</f>
        <v>5800</v>
      </c>
      <c r="G55" s="372">
        <f>Input!$KI$8</f>
        <v>1033239</v>
      </c>
      <c r="H55" s="372">
        <f>Input!$KJ$8</f>
        <v>17748</v>
      </c>
      <c r="I55" s="372">
        <f>Input!$KK$8</f>
        <v>0</v>
      </c>
      <c r="J55" s="372">
        <f>Input!$KL$8</f>
        <v>810969</v>
      </c>
      <c r="K55" s="372">
        <f>Input!$KM$8</f>
        <v>0</v>
      </c>
      <c r="L55" s="372">
        <f>Input!$KN$8</f>
        <v>-1416903</v>
      </c>
      <c r="M55" s="373">
        <f t="shared" si="9"/>
        <v>8772245</v>
      </c>
      <c r="N55" s="160"/>
      <c r="O55" s="1616" t="s">
        <v>251</v>
      </c>
      <c r="P55" s="1617"/>
      <c r="Q55" s="1617"/>
      <c r="R55" s="1618"/>
      <c r="S55" s="437"/>
      <c r="T55" s="1619" t="s">
        <v>252</v>
      </c>
      <c r="U55" s="1620"/>
      <c r="V55" s="1620"/>
      <c r="W55" s="1620"/>
      <c r="X55" s="1621"/>
      <c r="Y55" s="320"/>
      <c r="Z55" s="1749" t="s">
        <v>1301</v>
      </c>
      <c r="AA55" s="1750"/>
      <c r="AB55" s="1751"/>
    </row>
    <row r="56" spans="1:28" ht="13.5" customHeight="1" thickTop="1">
      <c r="A56" s="184">
        <v>39</v>
      </c>
      <c r="B56" s="176" t="s">
        <v>3</v>
      </c>
      <c r="C56" s="176"/>
      <c r="D56" s="374">
        <f>SUM(D50:D55)</f>
        <v>6887029</v>
      </c>
      <c r="E56" s="374">
        <f t="shared" ref="E56:L56" si="10">SUM(E50:E55)</f>
        <v>51307262</v>
      </c>
      <c r="F56" s="374">
        <f t="shared" si="10"/>
        <v>28950291</v>
      </c>
      <c r="G56" s="374">
        <f t="shared" si="10"/>
        <v>44506204</v>
      </c>
      <c r="H56" s="374">
        <f t="shared" si="10"/>
        <v>21715</v>
      </c>
      <c r="I56" s="374">
        <f t="shared" si="10"/>
        <v>2044172</v>
      </c>
      <c r="J56" s="374">
        <f t="shared" si="10"/>
        <v>1933124</v>
      </c>
      <c r="K56" s="374">
        <f t="shared" si="10"/>
        <v>0</v>
      </c>
      <c r="L56" s="374">
        <f t="shared" si="10"/>
        <v>-1416903</v>
      </c>
      <c r="M56" s="374">
        <f t="shared" si="9"/>
        <v>134232894</v>
      </c>
      <c r="N56" s="160"/>
      <c r="O56" s="1622" t="s">
        <v>1135</v>
      </c>
      <c r="P56" s="1625" t="s">
        <v>254</v>
      </c>
      <c r="Q56" s="1625" t="s">
        <v>292</v>
      </c>
      <c r="R56" s="1628" t="s">
        <v>1063</v>
      </c>
      <c r="S56" s="280"/>
      <c r="T56" s="1739" t="s">
        <v>1136</v>
      </c>
      <c r="U56" s="1637" t="s">
        <v>254</v>
      </c>
      <c r="V56" s="1634" t="s">
        <v>256</v>
      </c>
      <c r="W56" s="1637" t="s">
        <v>257</v>
      </c>
      <c r="X56" s="1638" t="s">
        <v>1064</v>
      </c>
      <c r="Z56" s="1754" t="s">
        <v>1302</v>
      </c>
      <c r="AA56" s="1747" t="s">
        <v>1303</v>
      </c>
      <c r="AB56" s="1752" t="s">
        <v>238</v>
      </c>
    </row>
    <row r="57" spans="1:28">
      <c r="A57" s="184">
        <v>40</v>
      </c>
      <c r="B57" s="162" t="s">
        <v>68</v>
      </c>
      <c r="C57" s="162"/>
      <c r="D57" s="374">
        <f>D15+D44+D47+D56</f>
        <v>172990221</v>
      </c>
      <c r="E57" s="374">
        <f t="shared" ref="E57:L57" si="11">E15+E44+E47+E56</f>
        <v>311582015</v>
      </c>
      <c r="F57" s="374">
        <f t="shared" si="11"/>
        <v>49802639</v>
      </c>
      <c r="G57" s="374">
        <f t="shared" si="11"/>
        <v>169808872</v>
      </c>
      <c r="H57" s="374">
        <f t="shared" si="11"/>
        <v>21715</v>
      </c>
      <c r="I57" s="374">
        <f t="shared" si="11"/>
        <v>2044172</v>
      </c>
      <c r="J57" s="374">
        <f t="shared" si="11"/>
        <v>1933124</v>
      </c>
      <c r="K57" s="374">
        <f t="shared" si="11"/>
        <v>0</v>
      </c>
      <c r="L57" s="374">
        <f t="shared" si="11"/>
        <v>-1416903</v>
      </c>
      <c r="M57" s="374">
        <f t="shared" si="9"/>
        <v>706765855</v>
      </c>
      <c r="N57" s="160"/>
      <c r="O57" s="1623"/>
      <c r="P57" s="1626"/>
      <c r="Q57" s="1626"/>
      <c r="R57" s="1629"/>
      <c r="S57" s="280"/>
      <c r="T57" s="1740"/>
      <c r="U57" s="1626"/>
      <c r="V57" s="1635"/>
      <c r="W57" s="1626"/>
      <c r="X57" s="1639"/>
      <c r="Z57" s="1755"/>
      <c r="AA57" s="1747"/>
      <c r="AB57" s="1752"/>
    </row>
    <row r="58" spans="1:28">
      <c r="A58" s="184">
        <v>41</v>
      </c>
      <c r="B58" s="160"/>
      <c r="C58" s="160"/>
      <c r="D58" s="373"/>
      <c r="E58" s="373"/>
      <c r="F58" s="373"/>
      <c r="G58" s="373"/>
      <c r="H58" s="373"/>
      <c r="I58" s="373"/>
      <c r="J58" s="373"/>
      <c r="K58" s="373"/>
      <c r="L58" s="373"/>
      <c r="M58" s="373"/>
      <c r="N58" s="160"/>
      <c r="O58" s="1623"/>
      <c r="P58" s="1626"/>
      <c r="Q58" s="1626"/>
      <c r="R58" s="1629"/>
      <c r="S58" s="280"/>
      <c r="T58" s="1740"/>
      <c r="U58" s="1626"/>
      <c r="V58" s="1635"/>
      <c r="W58" s="1626"/>
      <c r="X58" s="1639"/>
      <c r="Z58" s="1755"/>
      <c r="AA58" s="1747"/>
      <c r="AB58" s="1752"/>
    </row>
    <row r="59" spans="1:28" ht="15.75" customHeight="1">
      <c r="A59" s="184">
        <v>42</v>
      </c>
      <c r="B59" s="174" t="s">
        <v>72</v>
      </c>
      <c r="C59" s="174"/>
      <c r="D59" s="377"/>
      <c r="E59" s="377"/>
      <c r="F59" s="377"/>
      <c r="G59" s="1746" t="str">
        <f>IF(OR(P105&gt;0,P106&lt;&gt;0,P107&lt;&gt;0),"Do not Enter Cents - Whole Dollars Only","")</f>
        <v/>
      </c>
      <c r="H59" s="1746"/>
      <c r="I59" s="1746"/>
      <c r="J59" s="1746"/>
      <c r="K59" s="1746"/>
      <c r="L59" s="377"/>
      <c r="M59" s="377"/>
      <c r="N59" s="160"/>
      <c r="O59" s="1624"/>
      <c r="P59" s="1627"/>
      <c r="Q59" s="1627"/>
      <c r="R59" s="1630"/>
      <c r="S59" s="280"/>
      <c r="T59" s="1741"/>
      <c r="U59" s="1627"/>
      <c r="V59" s="1636"/>
      <c r="W59" s="1627"/>
      <c r="X59" s="1640"/>
      <c r="Z59" s="1756"/>
      <c r="AA59" s="1748"/>
      <c r="AB59" s="1753"/>
    </row>
    <row r="60" spans="1:28" ht="13.5" thickBot="1">
      <c r="A60" s="184">
        <v>43</v>
      </c>
      <c r="B60" s="160" t="s">
        <v>14</v>
      </c>
      <c r="C60" s="160"/>
      <c r="D60" s="372">
        <f>Input!$KO$8</f>
        <v>111160566</v>
      </c>
      <c r="E60" s="372">
        <f>Input!$KP$8</f>
        <v>85277937</v>
      </c>
      <c r="F60" s="372">
        <f>Input!$KQ$8</f>
        <v>0</v>
      </c>
      <c r="G60" s="372">
        <f>Input!$KR$8</f>
        <v>1238592</v>
      </c>
      <c r="H60" s="372">
        <f>Input!$KS$8</f>
        <v>0</v>
      </c>
      <c r="I60" s="372">
        <f>Input!$KT$8</f>
        <v>0</v>
      </c>
      <c r="J60" s="372">
        <f>Input!$KU$8</f>
        <v>0</v>
      </c>
      <c r="K60" s="372">
        <f>Input!$KV$8</f>
        <v>0</v>
      </c>
      <c r="L60" s="372">
        <f>Input!$KW$8</f>
        <v>0</v>
      </c>
      <c r="M60" s="373">
        <f t="shared" ref="M60:M71" si="12">D60+E60+F60+G60+H60+I60+J60+K60+L60</f>
        <v>197677095</v>
      </c>
      <c r="N60" s="160"/>
      <c r="O60" s="282">
        <f>D60+E60+G60+J60</f>
        <v>197677095</v>
      </c>
      <c r="P60" s="518">
        <f>Input!$SS$8</f>
        <v>685434</v>
      </c>
      <c r="Q60" s="438" t="s">
        <v>259</v>
      </c>
      <c r="R60" s="284">
        <f>SUM(O60:P60)</f>
        <v>198362529</v>
      </c>
      <c r="S60" s="439"/>
      <c r="T60" s="286">
        <f t="shared" ref="T60:T67" si="13">D60+E60+G60</f>
        <v>197677095</v>
      </c>
      <c r="U60" s="287">
        <f t="shared" ref="U60:U67" si="14">P60</f>
        <v>685434</v>
      </c>
      <c r="V60" s="289">
        <f>Input!$TC$8</f>
        <v>0</v>
      </c>
      <c r="W60" s="289">
        <f>Input!$TK$8</f>
        <v>0</v>
      </c>
      <c r="X60" s="290">
        <f t="shared" ref="X60:X66" si="15">T60+U60-V60-W60</f>
        <v>198362529</v>
      </c>
      <c r="Z60" s="292" t="s">
        <v>14</v>
      </c>
      <c r="AA60" s="520">
        <f>Input!$TS$8</f>
        <v>197677095</v>
      </c>
      <c r="AB60" s="293">
        <f t="shared" ref="AB60:AB68" si="16">AA60-M60</f>
        <v>0</v>
      </c>
    </row>
    <row r="61" spans="1:28" ht="14.25" thickTop="1" thickBot="1">
      <c r="A61" s="184">
        <v>44</v>
      </c>
      <c r="B61" s="160" t="s">
        <v>15</v>
      </c>
      <c r="C61" s="160"/>
      <c r="D61" s="372">
        <f>Input!$KX$8</f>
        <v>10979270</v>
      </c>
      <c r="E61" s="372">
        <f>Input!$KY$8</f>
        <v>23469001</v>
      </c>
      <c r="F61" s="372">
        <f>Input!$KZ$8</f>
        <v>0</v>
      </c>
      <c r="G61" s="372">
        <f>Input!$LA$8</f>
        <v>64253870</v>
      </c>
      <c r="H61" s="372">
        <f>Input!$LB$8</f>
        <v>0</v>
      </c>
      <c r="I61" s="372">
        <f>Input!$LC$8</f>
        <v>0</v>
      </c>
      <c r="J61" s="372">
        <f>Input!$LD$8</f>
        <v>0</v>
      </c>
      <c r="K61" s="372">
        <f>Input!$LE$8</f>
        <v>0</v>
      </c>
      <c r="L61" s="372">
        <f>Input!$LF$8</f>
        <v>0</v>
      </c>
      <c r="M61" s="373">
        <f t="shared" si="12"/>
        <v>98702141</v>
      </c>
      <c r="N61" s="160"/>
      <c r="O61" s="440">
        <f t="shared" ref="O61:O67" si="17">D61+E61+G61+J61</f>
        <v>98702141</v>
      </c>
      <c r="P61" s="518">
        <f>Input!$ST$8</f>
        <v>6214498</v>
      </c>
      <c r="Q61" s="441" t="s">
        <v>259</v>
      </c>
      <c r="R61" s="295">
        <f>SUM(O61:P61)</f>
        <v>104916639</v>
      </c>
      <c r="S61" s="442"/>
      <c r="T61" s="296">
        <f t="shared" si="13"/>
        <v>98702141</v>
      </c>
      <c r="U61" s="297">
        <f t="shared" si="14"/>
        <v>6214498</v>
      </c>
      <c r="V61" s="299">
        <f>Input!$TD$8</f>
        <v>1410653</v>
      </c>
      <c r="W61" s="299">
        <f>Input!$TL$8</f>
        <v>416362</v>
      </c>
      <c r="X61" s="300">
        <f t="shared" si="15"/>
        <v>103089624</v>
      </c>
      <c r="Z61" s="292" t="s">
        <v>15</v>
      </c>
      <c r="AA61" s="518">
        <f>Input!$TT$8</f>
        <v>98702141</v>
      </c>
      <c r="AB61" s="301">
        <f t="shared" si="16"/>
        <v>0</v>
      </c>
    </row>
    <row r="62" spans="1:28" ht="13.5" thickTop="1">
      <c r="A62" s="184">
        <v>45</v>
      </c>
      <c r="B62" s="160" t="s">
        <v>16</v>
      </c>
      <c r="C62" s="160"/>
      <c r="D62" s="372">
        <f>Input!$LG$8</f>
        <v>3440681</v>
      </c>
      <c r="E62" s="372">
        <f>Input!$LH$8</f>
        <v>3249392</v>
      </c>
      <c r="F62" s="372">
        <f>Input!$LI$8</f>
        <v>0</v>
      </c>
      <c r="G62" s="372">
        <f>Input!$LJ$8</f>
        <v>2345016</v>
      </c>
      <c r="H62" s="372">
        <f>Input!$LK$8</f>
        <v>0</v>
      </c>
      <c r="I62" s="372">
        <f>Input!$LL$8</f>
        <v>0</v>
      </c>
      <c r="J62" s="372">
        <f>Input!$LM$8</f>
        <v>0</v>
      </c>
      <c r="K62" s="372">
        <f>Input!$LN$8</f>
        <v>0</v>
      </c>
      <c r="L62" s="372">
        <f>Input!$LO$8</f>
        <v>0</v>
      </c>
      <c r="M62" s="373">
        <f t="shared" si="12"/>
        <v>9035089</v>
      </c>
      <c r="N62" s="160"/>
      <c r="O62" s="440">
        <f t="shared" si="17"/>
        <v>9035089</v>
      </c>
      <c r="P62" s="518">
        <f>Input!$SU$8</f>
        <v>99652</v>
      </c>
      <c r="Q62" s="441" t="s">
        <v>259</v>
      </c>
      <c r="R62" s="302" t="s">
        <v>259</v>
      </c>
      <c r="S62" s="442"/>
      <c r="T62" s="296">
        <f t="shared" si="13"/>
        <v>9035089</v>
      </c>
      <c r="U62" s="297">
        <f t="shared" si="14"/>
        <v>99652</v>
      </c>
      <c r="V62" s="299">
        <f>Input!$TE$8</f>
        <v>0</v>
      </c>
      <c r="W62" s="299">
        <f>Input!$TM$8</f>
        <v>0</v>
      </c>
      <c r="X62" s="303">
        <f t="shared" si="15"/>
        <v>9134741</v>
      </c>
      <c r="Z62" s="292" t="s">
        <v>16</v>
      </c>
      <c r="AA62" s="518">
        <f>Input!$TU$8</f>
        <v>9035089</v>
      </c>
      <c r="AB62" s="301">
        <f t="shared" si="16"/>
        <v>0</v>
      </c>
    </row>
    <row r="63" spans="1:28">
      <c r="A63" s="184">
        <v>46</v>
      </c>
      <c r="B63" s="160" t="s">
        <v>17</v>
      </c>
      <c r="C63" s="160"/>
      <c r="D63" s="372">
        <f>Input!$LP$8</f>
        <v>14017275</v>
      </c>
      <c r="E63" s="372">
        <f>Input!$LQ$8</f>
        <v>45017518</v>
      </c>
      <c r="F63" s="372">
        <f>Input!$LR$8</f>
        <v>0</v>
      </c>
      <c r="G63" s="372">
        <f>Input!$LS$8</f>
        <v>3974806</v>
      </c>
      <c r="H63" s="372">
        <f>Input!$LT$8</f>
        <v>0</v>
      </c>
      <c r="I63" s="372">
        <f>Input!$LU$8</f>
        <v>0</v>
      </c>
      <c r="J63" s="372">
        <f>Input!$LV$8</f>
        <v>0</v>
      </c>
      <c r="K63" s="372">
        <f>Input!$LW$8</f>
        <v>0</v>
      </c>
      <c r="L63" s="372">
        <f>Input!$LX$8</f>
        <v>0</v>
      </c>
      <c r="M63" s="373">
        <f t="shared" si="12"/>
        <v>63009599</v>
      </c>
      <c r="N63" s="160"/>
      <c r="O63" s="440">
        <f t="shared" si="17"/>
        <v>63009599</v>
      </c>
      <c r="P63" s="518">
        <f>Input!$SV$8</f>
        <v>2855270</v>
      </c>
      <c r="Q63" s="441" t="s">
        <v>259</v>
      </c>
      <c r="R63" s="295">
        <f t="shared" ref="R63:R65" si="18">SUM(O63:P63)</f>
        <v>65864869</v>
      </c>
      <c r="S63" s="442"/>
      <c r="T63" s="296">
        <f t="shared" si="13"/>
        <v>63009599</v>
      </c>
      <c r="U63" s="297">
        <f t="shared" si="14"/>
        <v>2855270</v>
      </c>
      <c r="V63" s="299">
        <f>Input!$TF$8</f>
        <v>0</v>
      </c>
      <c r="W63" s="299">
        <f>Input!$TN$8</f>
        <v>0</v>
      </c>
      <c r="X63" s="303">
        <f t="shared" si="15"/>
        <v>65864869</v>
      </c>
      <c r="Z63" s="292" t="s">
        <v>17</v>
      </c>
      <c r="AA63" s="518">
        <f>Input!$TV$8</f>
        <v>63009599</v>
      </c>
      <c r="AB63" s="301">
        <f t="shared" si="16"/>
        <v>0</v>
      </c>
    </row>
    <row r="64" spans="1:28">
      <c r="A64" s="184">
        <v>47</v>
      </c>
      <c r="B64" s="160" t="s">
        <v>18</v>
      </c>
      <c r="C64" s="160"/>
      <c r="D64" s="372">
        <f>Input!$LY$8</f>
        <v>237603</v>
      </c>
      <c r="E64" s="372">
        <f>Input!$LZ$8</f>
        <v>17400036</v>
      </c>
      <c r="F64" s="372">
        <f>Input!$MA$8</f>
        <v>0</v>
      </c>
      <c r="G64" s="372">
        <f>Input!$MB$8</f>
        <v>323855</v>
      </c>
      <c r="H64" s="372">
        <f>Input!$MC$8</f>
        <v>5339</v>
      </c>
      <c r="I64" s="372">
        <f>Input!$MD$8</f>
        <v>0</v>
      </c>
      <c r="J64" s="372">
        <f>Input!$ME$8</f>
        <v>0</v>
      </c>
      <c r="K64" s="372">
        <f>Input!$MF$8</f>
        <v>0</v>
      </c>
      <c r="L64" s="372">
        <f>Input!$MG$8</f>
        <v>0</v>
      </c>
      <c r="M64" s="373">
        <f t="shared" si="12"/>
        <v>17966833</v>
      </c>
      <c r="N64" s="160"/>
      <c r="O64" s="440">
        <f t="shared" si="17"/>
        <v>17961494</v>
      </c>
      <c r="P64" s="518">
        <f>Input!$SW$8</f>
        <v>0</v>
      </c>
      <c r="Q64" s="518">
        <f>Input!$TB$8</f>
        <v>37083</v>
      </c>
      <c r="R64" s="295">
        <f>SUM(O64:P64)-Q64</f>
        <v>17924411</v>
      </c>
      <c r="S64" s="442"/>
      <c r="T64" s="296">
        <f t="shared" si="13"/>
        <v>17961494</v>
      </c>
      <c r="U64" s="297">
        <f t="shared" si="14"/>
        <v>0</v>
      </c>
      <c r="V64" s="299">
        <f>Input!$TG$8</f>
        <v>0</v>
      </c>
      <c r="W64" s="299">
        <f>Input!$TO$8</f>
        <v>0</v>
      </c>
      <c r="X64" s="303">
        <f t="shared" si="15"/>
        <v>17961494</v>
      </c>
      <c r="Z64" s="292" t="s">
        <v>18</v>
      </c>
      <c r="AA64" s="518">
        <f>Input!$TW$8</f>
        <v>17966833</v>
      </c>
      <c r="AB64" s="301">
        <f t="shared" si="16"/>
        <v>0</v>
      </c>
    </row>
    <row r="65" spans="1:28">
      <c r="A65" s="184">
        <v>48</v>
      </c>
      <c r="B65" s="160" t="s">
        <v>19</v>
      </c>
      <c r="C65" s="160"/>
      <c r="D65" s="372">
        <f>Input!$MH$8</f>
        <v>11034045</v>
      </c>
      <c r="E65" s="372">
        <f>Input!$MI$8</f>
        <v>21828784</v>
      </c>
      <c r="F65" s="372">
        <f>Input!$MJ$8</f>
        <v>0</v>
      </c>
      <c r="G65" s="372">
        <f>Input!$MK$8</f>
        <v>1784968</v>
      </c>
      <c r="H65" s="372">
        <f>Input!$ML$8</f>
        <v>0</v>
      </c>
      <c r="I65" s="372">
        <f>Input!$MM$8</f>
        <v>0</v>
      </c>
      <c r="J65" s="372">
        <f>Input!$MN$8</f>
        <v>0</v>
      </c>
      <c r="K65" s="372">
        <f>Input!$MO$8</f>
        <v>0</v>
      </c>
      <c r="L65" s="372">
        <f>Input!$MP$8</f>
        <v>0</v>
      </c>
      <c r="M65" s="373">
        <f t="shared" si="12"/>
        <v>34647797</v>
      </c>
      <c r="N65" s="160"/>
      <c r="O65" s="440">
        <f t="shared" si="17"/>
        <v>34647797</v>
      </c>
      <c r="P65" s="518">
        <f>Input!$SX$8</f>
        <v>2252724</v>
      </c>
      <c r="Q65" s="441" t="s">
        <v>259</v>
      </c>
      <c r="R65" s="295">
        <f t="shared" si="18"/>
        <v>36900521</v>
      </c>
      <c r="S65" s="442"/>
      <c r="T65" s="296">
        <f t="shared" si="13"/>
        <v>34647797</v>
      </c>
      <c r="U65" s="297">
        <f t="shared" si="14"/>
        <v>2252724</v>
      </c>
      <c r="V65" s="299">
        <f>Input!$TH$8</f>
        <v>0</v>
      </c>
      <c r="W65" s="299">
        <f>Input!$TP$8</f>
        <v>0</v>
      </c>
      <c r="X65" s="303">
        <f t="shared" si="15"/>
        <v>36900521</v>
      </c>
      <c r="Z65" s="292" t="s">
        <v>19</v>
      </c>
      <c r="AA65" s="518">
        <f>Input!$TX$8</f>
        <v>34647797</v>
      </c>
      <c r="AB65" s="301">
        <f t="shared" si="16"/>
        <v>0</v>
      </c>
    </row>
    <row r="66" spans="1:28">
      <c r="A66" s="184">
        <v>49</v>
      </c>
      <c r="B66" s="160" t="s">
        <v>20</v>
      </c>
      <c r="C66" s="160"/>
      <c r="D66" s="372">
        <f>Input!$MQ$8</f>
        <v>11162318</v>
      </c>
      <c r="E66" s="372">
        <f>Input!$MR$8</f>
        <v>38020136</v>
      </c>
      <c r="F66" s="372">
        <f>Input!$MS$8</f>
        <v>0</v>
      </c>
      <c r="G66" s="372">
        <f>Input!$MT$8</f>
        <v>4406231</v>
      </c>
      <c r="H66" s="372">
        <f>Input!$MU$8</f>
        <v>0</v>
      </c>
      <c r="I66" s="372">
        <f>Input!$MV$8</f>
        <v>0</v>
      </c>
      <c r="J66" s="372">
        <f>Input!$MW$8</f>
        <v>988501</v>
      </c>
      <c r="K66" s="372">
        <f>Input!$MX$8</f>
        <v>0</v>
      </c>
      <c r="L66" s="372">
        <f>Input!$MY$8</f>
        <v>0</v>
      </c>
      <c r="M66" s="373">
        <f t="shared" si="12"/>
        <v>54577186</v>
      </c>
      <c r="N66" s="160"/>
      <c r="O66" s="440">
        <f t="shared" si="17"/>
        <v>54577186</v>
      </c>
      <c r="P66" s="518">
        <f>Input!$SY$8</f>
        <v>626560</v>
      </c>
      <c r="Q66" s="441" t="s">
        <v>259</v>
      </c>
      <c r="R66" s="304" t="s">
        <v>259</v>
      </c>
      <c r="S66" s="442"/>
      <c r="T66" s="296">
        <f t="shared" si="13"/>
        <v>53588685</v>
      </c>
      <c r="U66" s="297">
        <f t="shared" si="14"/>
        <v>626560</v>
      </c>
      <c r="V66" s="299">
        <f>Input!$TI$8</f>
        <v>0</v>
      </c>
      <c r="W66" s="299">
        <f>Input!$TQ$8</f>
        <v>0</v>
      </c>
      <c r="X66" s="303">
        <f t="shared" si="15"/>
        <v>54215245</v>
      </c>
      <c r="Z66" s="292" t="s">
        <v>260</v>
      </c>
      <c r="AA66" s="518">
        <f>Input!$TY$8</f>
        <v>54577186</v>
      </c>
      <c r="AB66" s="301">
        <f t="shared" si="16"/>
        <v>0</v>
      </c>
    </row>
    <row r="67" spans="1:28" ht="13.5" thickBot="1">
      <c r="A67" s="184">
        <v>50</v>
      </c>
      <c r="B67" s="160" t="s">
        <v>21</v>
      </c>
      <c r="C67" s="160"/>
      <c r="D67" s="372">
        <f>Input!$MZ$8</f>
        <v>4161548</v>
      </c>
      <c r="E67" s="372">
        <f>Input!$NA$8</f>
        <v>30167317</v>
      </c>
      <c r="F67" s="372">
        <f>Input!$NB$8</f>
        <v>0</v>
      </c>
      <c r="G67" s="372">
        <f>Input!$NC$8</f>
        <v>26634474</v>
      </c>
      <c r="H67" s="372">
        <f>Input!$ND$8</f>
        <v>0</v>
      </c>
      <c r="I67" s="372">
        <f>Input!$NE$8</f>
        <v>0</v>
      </c>
      <c r="J67" s="372">
        <f>Input!$NF$8</f>
        <v>0</v>
      </c>
      <c r="K67" s="372">
        <f>Input!$NG$8</f>
        <v>0</v>
      </c>
      <c r="L67" s="372">
        <f>Input!$NH$8</f>
        <v>0</v>
      </c>
      <c r="M67" s="373">
        <f t="shared" si="12"/>
        <v>60963339</v>
      </c>
      <c r="N67" s="160"/>
      <c r="O67" s="440">
        <f t="shared" si="17"/>
        <v>60963339</v>
      </c>
      <c r="P67" s="518">
        <f>Input!$SZ$8</f>
        <v>0</v>
      </c>
      <c r="Q67" s="441" t="s">
        <v>259</v>
      </c>
      <c r="R67" s="304" t="s">
        <v>259</v>
      </c>
      <c r="S67" s="442"/>
      <c r="T67" s="306">
        <f t="shared" si="13"/>
        <v>60963339</v>
      </c>
      <c r="U67" s="307">
        <f t="shared" si="14"/>
        <v>0</v>
      </c>
      <c r="V67" s="308">
        <f>Input!$TJ$8</f>
        <v>0</v>
      </c>
      <c r="W67" s="308">
        <f>Input!$TR$8</f>
        <v>0</v>
      </c>
      <c r="X67" s="303">
        <f>U67+T67-V67-W67</f>
        <v>60963339</v>
      </c>
      <c r="Z67" s="292" t="s">
        <v>21</v>
      </c>
      <c r="AA67" s="518">
        <f>Input!$TZ$8</f>
        <v>60963339</v>
      </c>
      <c r="AB67" s="301">
        <f t="shared" si="16"/>
        <v>0</v>
      </c>
    </row>
    <row r="68" spans="1:28" ht="14.25" thickTop="1" thickBot="1">
      <c r="A68" s="184">
        <v>51</v>
      </c>
      <c r="B68" s="160" t="s">
        <v>2135</v>
      </c>
      <c r="C68" s="160"/>
      <c r="D68" s="372">
        <f>Input!$NI$8</f>
        <v>0</v>
      </c>
      <c r="E68" s="372">
        <f>Input!$NJ$8</f>
        <v>0</v>
      </c>
      <c r="F68" s="372">
        <f>Input!$NK$8</f>
        <v>39253057</v>
      </c>
      <c r="G68" s="372">
        <f>Input!$NL$8</f>
        <v>0</v>
      </c>
      <c r="H68" s="372">
        <f>Input!$NM$8</f>
        <v>0</v>
      </c>
      <c r="I68" s="372">
        <f>Input!$NN$8</f>
        <v>0</v>
      </c>
      <c r="J68" s="372">
        <f>Input!$NO$8</f>
        <v>0</v>
      </c>
      <c r="K68" s="372">
        <f>Input!$NP$8</f>
        <v>0</v>
      </c>
      <c r="L68" s="372">
        <f>Input!$NQ$8</f>
        <v>0</v>
      </c>
      <c r="M68" s="373">
        <f t="shared" si="12"/>
        <v>39253057</v>
      </c>
      <c r="N68" s="160"/>
      <c r="O68" s="309" t="s">
        <v>259</v>
      </c>
      <c r="P68" s="519">
        <f>Input!$TA$8</f>
        <v>91150</v>
      </c>
      <c r="Q68" s="444" t="s">
        <v>259</v>
      </c>
      <c r="R68" s="311" t="s">
        <v>259</v>
      </c>
      <c r="S68" s="442"/>
      <c r="T68" s="305"/>
      <c r="U68" s="305"/>
      <c r="V68" s="312" t="s">
        <v>261</v>
      </c>
      <c r="W68" s="313"/>
      <c r="X68" s="314">
        <f>SUM(X60:X67)</f>
        <v>546492362</v>
      </c>
      <c r="Z68" s="292" t="s">
        <v>22</v>
      </c>
      <c r="AA68" s="518">
        <f>Input!$UA$8</f>
        <v>39253057</v>
      </c>
      <c r="AB68" s="301">
        <f t="shared" si="16"/>
        <v>0</v>
      </c>
    </row>
    <row r="69" spans="1:28" ht="14.25" thickTop="1" thickBot="1">
      <c r="A69" s="184">
        <v>52</v>
      </c>
      <c r="B69" s="161" t="s">
        <v>59</v>
      </c>
      <c r="C69" s="161"/>
      <c r="D69" s="372">
        <f>Input!$NR$8</f>
        <v>22109</v>
      </c>
      <c r="E69" s="372">
        <f>Input!$NS$8</f>
        <v>8925223</v>
      </c>
      <c r="F69" s="372">
        <f>Input!$NT$8</f>
        <v>91150</v>
      </c>
      <c r="G69" s="372">
        <f>Input!$NU$8</f>
        <v>3786806</v>
      </c>
      <c r="H69" s="372">
        <f>Input!$NV$8</f>
        <v>0</v>
      </c>
      <c r="I69" s="372">
        <f>Input!$NW$8</f>
        <v>0</v>
      </c>
      <c r="J69" s="372">
        <f>Input!$NX$8</f>
        <v>0</v>
      </c>
      <c r="K69" s="372">
        <f>Input!$NY$8</f>
        <v>0</v>
      </c>
      <c r="L69" s="372">
        <f>Input!$NZ$8</f>
        <v>0</v>
      </c>
      <c r="M69" s="373">
        <f t="shared" si="12"/>
        <v>12825288</v>
      </c>
      <c r="N69" s="160"/>
      <c r="O69" s="315"/>
      <c r="P69" s="316">
        <f>SUM(P60:P68)</f>
        <v>12825288</v>
      </c>
      <c r="Q69" s="316">
        <f>SUM(Q64:Q68)</f>
        <v>37083</v>
      </c>
      <c r="R69" s="317">
        <f>SUM(R60:R65)</f>
        <v>423968969</v>
      </c>
      <c r="S69" s="316"/>
      <c r="T69" s="305"/>
      <c r="U69" s="305"/>
      <c r="V69" s="305"/>
      <c r="W69" s="277"/>
      <c r="X69" s="277"/>
      <c r="Y69" s="277"/>
      <c r="Z69" s="292" t="s">
        <v>285</v>
      </c>
      <c r="AA69" s="445">
        <f>M88*-1</f>
        <v>90383879</v>
      </c>
      <c r="AB69" s="301">
        <f>AA69+M88</f>
        <v>0</v>
      </c>
    </row>
    <row r="70" spans="1:28" ht="14.25" thickTop="1" thickBot="1">
      <c r="A70" s="184">
        <v>53</v>
      </c>
      <c r="B70" s="178" t="s">
        <v>44</v>
      </c>
      <c r="C70" s="178"/>
      <c r="D70" s="378">
        <f>Input!$OA$8</f>
        <v>0</v>
      </c>
      <c r="E70" s="378">
        <f>Input!$OB$8</f>
        <v>0</v>
      </c>
      <c r="F70" s="378">
        <f>Input!$OC$8</f>
        <v>0</v>
      </c>
      <c r="G70" s="378">
        <f>Input!$OD$8</f>
        <v>0</v>
      </c>
      <c r="H70" s="378">
        <f>Input!$OE$8</f>
        <v>0</v>
      </c>
      <c r="I70" s="378">
        <f>Input!$OF$8</f>
        <v>0</v>
      </c>
      <c r="J70" s="378">
        <f>Input!$OG$8</f>
        <v>0</v>
      </c>
      <c r="K70" s="378">
        <f>Input!$OH$8</f>
        <v>0</v>
      </c>
      <c r="L70" s="378">
        <f>Input!$OI$8</f>
        <v>0</v>
      </c>
      <c r="M70" s="373">
        <f t="shared" si="12"/>
        <v>0</v>
      </c>
      <c r="N70" s="160"/>
      <c r="O70" s="320"/>
      <c r="P70" s="516" t="str">
        <f>IF(P69&lt;&gt;M69,"Out of Balance","Balanced")</f>
        <v>Balanced</v>
      </c>
      <c r="Q70" s="318"/>
      <c r="R70" s="305"/>
      <c r="S70" s="305"/>
      <c r="T70" s="305"/>
      <c r="U70" s="277"/>
      <c r="V70" s="1738" t="str">
        <f>IF(X68-INT(X68)&lt;&gt;0,"Whole Dollars Only","")</f>
        <v/>
      </c>
      <c r="W70" s="1738"/>
      <c r="X70" s="537"/>
      <c r="Y70" s="319"/>
      <c r="Z70" s="410" t="s">
        <v>262</v>
      </c>
      <c r="AA70" s="446" t="s">
        <v>259</v>
      </c>
      <c r="AB70" s="411">
        <f>M90</f>
        <v>0</v>
      </c>
    </row>
    <row r="71" spans="1:28" ht="13.5" thickTop="1">
      <c r="A71" s="184">
        <v>54</v>
      </c>
      <c r="B71" s="162" t="s">
        <v>69</v>
      </c>
      <c r="C71" s="162"/>
      <c r="D71" s="374">
        <f>SUM(D60:D70)</f>
        <v>166215415</v>
      </c>
      <c r="E71" s="374">
        <f>SUM(E60:E70)</f>
        <v>273355344</v>
      </c>
      <c r="F71" s="374">
        <f t="shared" ref="F71:L71" si="19">SUM(F60:F70)</f>
        <v>39344207</v>
      </c>
      <c r="G71" s="374">
        <f t="shared" si="19"/>
        <v>108748618</v>
      </c>
      <c r="H71" s="374">
        <f t="shared" si="19"/>
        <v>5339</v>
      </c>
      <c r="I71" s="374">
        <f t="shared" si="19"/>
        <v>0</v>
      </c>
      <c r="J71" s="374">
        <f t="shared" si="19"/>
        <v>988501</v>
      </c>
      <c r="K71" s="374">
        <f t="shared" si="19"/>
        <v>0</v>
      </c>
      <c r="L71" s="374">
        <f t="shared" si="19"/>
        <v>0</v>
      </c>
      <c r="M71" s="374">
        <f t="shared" si="12"/>
        <v>588657424</v>
      </c>
      <c r="N71" s="160"/>
      <c r="O71" s="322"/>
      <c r="P71" s="1738" t="str">
        <f>IF(P69-INT(P69)&lt;&gt;0,"Whole Dollars Only","")</f>
        <v/>
      </c>
      <c r="Q71" s="1738"/>
      <c r="R71" s="323"/>
      <c r="S71" s="323"/>
      <c r="T71" s="323"/>
      <c r="U71" s="291"/>
      <c r="V71" s="324"/>
      <c r="W71" s="321"/>
      <c r="X71" s="321"/>
      <c r="Y71" s="321"/>
      <c r="Z71" s="318"/>
      <c r="AA71" s="325">
        <f>SUM(AA60:AA70)</f>
        <v>666216015</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Input!$OJ$8</f>
        <v>0</v>
      </c>
      <c r="E74" s="372">
        <f>Input!$OK$8</f>
        <v>0</v>
      </c>
      <c r="F74" s="372">
        <f>Input!$OL$8</f>
        <v>0</v>
      </c>
      <c r="G74" s="372">
        <f>Input!$OM$8</f>
        <v>0</v>
      </c>
      <c r="H74" s="372">
        <f>Input!$ON$8</f>
        <v>0</v>
      </c>
      <c r="I74" s="372">
        <f>Input!$OO$8</f>
        <v>0</v>
      </c>
      <c r="J74" s="372">
        <f>Input!$OP$8</f>
        <v>-22875223</v>
      </c>
      <c r="K74" s="372">
        <f>Input!$OQ$8</f>
        <v>0</v>
      </c>
      <c r="L74" s="372">
        <f>Input!$OR$8</f>
        <v>0</v>
      </c>
      <c r="M74" s="373">
        <f>D74+E74+F74+G74+H74+I74+J74+K74+L74</f>
        <v>-22875223</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Input!$OS$8</f>
        <v>5097454</v>
      </c>
      <c r="E75" s="372">
        <f>Input!$OT$8</f>
        <v>23698548</v>
      </c>
      <c r="F75" s="372">
        <f>Input!$OU$8</f>
        <v>17688994</v>
      </c>
      <c r="G75" s="372">
        <f>Input!$OV$8</f>
        <v>-56754325</v>
      </c>
      <c r="H75" s="372">
        <f>Input!$OW$8</f>
        <v>499530</v>
      </c>
      <c r="I75" s="372">
        <f>Input!$OX$8</f>
        <v>12006007</v>
      </c>
      <c r="J75" s="372">
        <f>Input!$OY$8</f>
        <v>11799416</v>
      </c>
      <c r="K75" s="372">
        <f>Input!$OZ$8</f>
        <v>0</v>
      </c>
      <c r="L75" s="372">
        <f>Input!$PA$8</f>
        <v>-1454827</v>
      </c>
      <c r="M75" s="373">
        <f>D75+E75+F75+G75+H75+I75+J75+K75+L75</f>
        <v>12580797</v>
      </c>
      <c r="N75" s="160"/>
      <c r="O75" s="1723" t="str">
        <f>IF(M85&lt;0,"Footnote 11 is N/A - No Data Entry Required","Footnote 11")</f>
        <v>Footnote 11</v>
      </c>
      <c r="P75" s="1724"/>
      <c r="Q75" s="1724"/>
      <c r="R75" s="1725"/>
      <c r="S75" s="330"/>
      <c r="T75" s="330"/>
      <c r="U75" s="327"/>
      <c r="V75" s="276"/>
      <c r="W75" s="331"/>
      <c r="X75" s="331"/>
      <c r="Y75" s="328"/>
      <c r="Z75" s="328"/>
      <c r="AA75" s="276"/>
      <c r="AB75" s="276" t="s">
        <v>293</v>
      </c>
    </row>
    <row r="76" spans="1:28" ht="13.5" thickTop="1">
      <c r="A76" s="184">
        <v>59</v>
      </c>
      <c r="B76" s="160" t="s">
        <v>45</v>
      </c>
      <c r="C76" s="160"/>
      <c r="D76" s="372">
        <f>Input!$PB$8</f>
        <v>0</v>
      </c>
      <c r="E76" s="372">
        <f>Input!$PC$8</f>
        <v>0</v>
      </c>
      <c r="F76" s="372">
        <f>Input!$PD$8</f>
        <v>0</v>
      </c>
      <c r="G76" s="372">
        <f>Input!$PE$8</f>
        <v>0</v>
      </c>
      <c r="H76" s="372">
        <f>Input!$PF$8</f>
        <v>0</v>
      </c>
      <c r="I76" s="372">
        <f>Input!$PG$8</f>
        <v>0</v>
      </c>
      <c r="J76" s="372">
        <f>Input!$PH$8</f>
        <v>8984486</v>
      </c>
      <c r="K76" s="372">
        <f>Input!$PI$8</f>
        <v>0</v>
      </c>
      <c r="L76" s="372">
        <f>Input!$PJ$8</f>
        <v>0</v>
      </c>
      <c r="M76" s="373">
        <f>D76+E76+F76+G76+H76+I76+J76+K76+L76</f>
        <v>8984486</v>
      </c>
      <c r="N76" s="160"/>
      <c r="O76" s="487" t="s">
        <v>583</v>
      </c>
      <c r="P76" s="488"/>
      <c r="Q76" s="489"/>
      <c r="R76" s="490">
        <f>IF($M$85&lt;0,"N/A",$M$85)</f>
        <v>260913003</v>
      </c>
      <c r="S76" s="330"/>
      <c r="T76" s="330"/>
      <c r="U76" s="327"/>
      <c r="V76" s="276"/>
      <c r="W76" s="331"/>
      <c r="X76" s="331"/>
      <c r="Y76" s="331"/>
      <c r="Z76" s="331"/>
      <c r="AA76" s="276"/>
      <c r="AB76" s="276"/>
    </row>
    <row r="77" spans="1:28">
      <c r="A77" s="184">
        <v>60</v>
      </c>
      <c r="B77" s="160" t="s">
        <v>46</v>
      </c>
      <c r="C77" s="160"/>
      <c r="D77" s="372">
        <f>Input!$PK$8</f>
        <v>-11934428</v>
      </c>
      <c r="E77" s="372">
        <f>Input!$PL$8</f>
        <v>-6879583</v>
      </c>
      <c r="F77" s="372">
        <f>Input!$PM$8</f>
        <v>-15700129</v>
      </c>
      <c r="G77" s="372">
        <f>Input!$PN$8</f>
        <v>-25127</v>
      </c>
      <c r="H77" s="372">
        <f>Input!$PO$8</f>
        <v>0</v>
      </c>
      <c r="I77" s="372">
        <f>Input!$PP$8</f>
        <v>0</v>
      </c>
      <c r="J77" s="372">
        <f>Input!$PQ$8</f>
        <v>-2311704</v>
      </c>
      <c r="K77" s="372">
        <f>Input!$PR$8</f>
        <v>0</v>
      </c>
      <c r="L77" s="372">
        <f>Input!$PS$8</f>
        <v>0</v>
      </c>
      <c r="M77" s="373">
        <f>D77+E77+F77+G77+H77+I77+J77+K77+L77</f>
        <v>-36850971</v>
      </c>
      <c r="N77" s="160"/>
      <c r="O77" s="491" t="s">
        <v>584</v>
      </c>
      <c r="P77" s="334"/>
      <c r="Q77" s="334"/>
      <c r="R77" s="521">
        <f>Input!$UB$8</f>
        <v>79947520</v>
      </c>
      <c r="S77" s="330"/>
      <c r="T77" s="330"/>
      <c r="U77" s="327"/>
      <c r="V77" s="276"/>
      <c r="W77" s="331"/>
      <c r="X77" s="331"/>
      <c r="Y77" s="331"/>
      <c r="Z77" s="331"/>
      <c r="AA77" s="276"/>
      <c r="AB77" s="276"/>
    </row>
    <row r="78" spans="1:28">
      <c r="A78" s="184">
        <v>61</v>
      </c>
      <c r="B78" s="162" t="s">
        <v>3</v>
      </c>
      <c r="C78" s="162"/>
      <c r="D78" s="374">
        <f t="shared" ref="D78:L78" si="20">SUM(D74:D77)</f>
        <v>-6836974</v>
      </c>
      <c r="E78" s="374">
        <f t="shared" si="20"/>
        <v>16818965</v>
      </c>
      <c r="F78" s="374">
        <f t="shared" si="20"/>
        <v>1988865</v>
      </c>
      <c r="G78" s="374">
        <f t="shared" si="20"/>
        <v>-56779452</v>
      </c>
      <c r="H78" s="374">
        <f t="shared" si="20"/>
        <v>499530</v>
      </c>
      <c r="I78" s="374">
        <f t="shared" si="20"/>
        <v>12006007</v>
      </c>
      <c r="J78" s="374">
        <f t="shared" si="20"/>
        <v>-4403025</v>
      </c>
      <c r="K78" s="374">
        <f t="shared" si="20"/>
        <v>0</v>
      </c>
      <c r="L78" s="374">
        <f t="shared" si="20"/>
        <v>-1454827</v>
      </c>
      <c r="M78" s="374">
        <f>D78+E78+F78+G78+H78+I78+J78+K78+L78</f>
        <v>-38160911</v>
      </c>
      <c r="N78" s="160"/>
      <c r="O78" s="491" t="s">
        <v>585</v>
      </c>
      <c r="P78" s="276"/>
      <c r="Q78" s="334"/>
      <c r="R78" s="492">
        <f>IF($M$85&lt;0,"",$R$76-$R$77)</f>
        <v>180965483</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3"/>
      <c r="P79" s="276"/>
      <c r="Q79" s="334"/>
      <c r="R79" s="494"/>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5" t="s">
        <v>586</v>
      </c>
      <c r="P80" s="276"/>
      <c r="Q80" s="334"/>
      <c r="R80" s="521">
        <f>Input!$UC$8</f>
        <v>173501069</v>
      </c>
      <c r="S80" s="330"/>
      <c r="T80" s="330"/>
      <c r="U80" s="334"/>
      <c r="V80" s="276"/>
      <c r="W80" s="328"/>
      <c r="X80" s="328"/>
      <c r="Y80" s="331"/>
      <c r="Z80" s="331"/>
      <c r="AA80" s="276"/>
      <c r="AB80" s="276"/>
    </row>
    <row r="81" spans="1:28">
      <c r="A81" s="184">
        <v>64</v>
      </c>
      <c r="B81" s="160" t="s">
        <v>47</v>
      </c>
      <c r="C81" s="160"/>
      <c r="D81" s="372">
        <f>Input!PT6</f>
        <v>0</v>
      </c>
      <c r="E81" s="372">
        <f>Input!$PU$8</f>
        <v>29441463</v>
      </c>
      <c r="F81" s="372">
        <f>Input!$PV$8</f>
        <v>0</v>
      </c>
      <c r="G81" s="372">
        <f>Input!$PW$8</f>
        <v>-431452</v>
      </c>
      <c r="H81" s="372">
        <f>Input!$PX$8</f>
        <v>0</v>
      </c>
      <c r="I81" s="372">
        <f>Input!$PY$8</f>
        <v>144491058</v>
      </c>
      <c r="J81" s="372">
        <f>Input!$PZ$8</f>
        <v>0</v>
      </c>
      <c r="K81" s="372">
        <f>Input!$QA$8</f>
        <v>0</v>
      </c>
      <c r="L81" s="372">
        <f>Input!$QB$8</f>
        <v>0</v>
      </c>
      <c r="M81" s="373">
        <f>D81+E81+F81+G81+H81+I81+J81+K81+L81</f>
        <v>173501069</v>
      </c>
      <c r="N81" s="160"/>
      <c r="O81" s="496" t="s">
        <v>587</v>
      </c>
      <c r="P81" s="276"/>
      <c r="Q81" s="276"/>
      <c r="R81" s="497"/>
      <c r="S81" s="330"/>
      <c r="T81" s="330"/>
      <c r="W81" s="276"/>
      <c r="X81" s="276"/>
      <c r="Y81" s="331"/>
      <c r="Z81" s="331"/>
      <c r="AA81" s="276"/>
      <c r="AB81" s="276"/>
    </row>
    <row r="82" spans="1:28">
      <c r="A82" s="184">
        <v>65</v>
      </c>
      <c r="B82" s="160" t="s">
        <v>48</v>
      </c>
      <c r="C82" s="160"/>
      <c r="D82" s="372">
        <f>Input!$QC$8</f>
        <v>0</v>
      </c>
      <c r="E82" s="372">
        <f>Input!$QD$8</f>
        <v>0</v>
      </c>
      <c r="F82" s="372">
        <f>Input!$QE$8</f>
        <v>0</v>
      </c>
      <c r="G82" s="372">
        <f>Input!$QF$8</f>
        <v>0</v>
      </c>
      <c r="H82" s="372">
        <f>Input!$QG$8</f>
        <v>0</v>
      </c>
      <c r="I82" s="372">
        <f>Input!$QH$8</f>
        <v>7464414</v>
      </c>
      <c r="J82" s="372">
        <f>Input!$QI$8</f>
        <v>0</v>
      </c>
      <c r="K82" s="372">
        <f>Input!$QJ$8</f>
        <v>0</v>
      </c>
      <c r="L82" s="372">
        <f>Input!$QK$8</f>
        <v>0</v>
      </c>
      <c r="M82" s="373">
        <f>D82+E82+F82+G82+H82+I82+J82+K82+L82</f>
        <v>7464414</v>
      </c>
      <c r="N82" s="160"/>
      <c r="O82" s="498" t="s">
        <v>588</v>
      </c>
      <c r="P82" s="276"/>
      <c r="Q82" s="276"/>
      <c r="R82" s="492">
        <f>IFERROR($R$78-$R$80,"")</f>
        <v>7464414</v>
      </c>
      <c r="Y82" s="331"/>
      <c r="Z82" s="401"/>
      <c r="AA82" s="268"/>
      <c r="AB82" s="268"/>
    </row>
    <row r="83" spans="1:28">
      <c r="A83" s="184">
        <v>66</v>
      </c>
      <c r="B83" s="162" t="s">
        <v>3</v>
      </c>
      <c r="C83" s="162"/>
      <c r="D83" s="374">
        <f t="shared" ref="D83:L83" si="21">SUM(D81:D82)</f>
        <v>0</v>
      </c>
      <c r="E83" s="374">
        <f t="shared" si="21"/>
        <v>29441463</v>
      </c>
      <c r="F83" s="374">
        <f t="shared" si="21"/>
        <v>0</v>
      </c>
      <c r="G83" s="374">
        <f t="shared" si="21"/>
        <v>-431452</v>
      </c>
      <c r="H83" s="374">
        <f t="shared" si="21"/>
        <v>0</v>
      </c>
      <c r="I83" s="374">
        <f t="shared" si="21"/>
        <v>151955472</v>
      </c>
      <c r="J83" s="374">
        <f t="shared" si="21"/>
        <v>0</v>
      </c>
      <c r="K83" s="374">
        <f t="shared" si="21"/>
        <v>0</v>
      </c>
      <c r="L83" s="374">
        <f t="shared" si="21"/>
        <v>0</v>
      </c>
      <c r="M83" s="374">
        <f>D83+E83+F83+G83+H83+I83+J83+K83+L83</f>
        <v>180965483</v>
      </c>
      <c r="N83" s="160"/>
      <c r="O83" s="493"/>
      <c r="P83" s="276"/>
      <c r="Q83" s="276"/>
      <c r="R83" s="497"/>
      <c r="Y83" s="163"/>
      <c r="Z83" s="447"/>
      <c r="AA83" s="439"/>
      <c r="AB83" s="448"/>
    </row>
    <row r="84" spans="1:28" ht="13.5" thickBot="1">
      <c r="A84" s="184">
        <v>67</v>
      </c>
      <c r="B84" s="160"/>
      <c r="C84" s="160"/>
      <c r="D84" s="373"/>
      <c r="E84" s="373"/>
      <c r="F84" s="373"/>
      <c r="G84" s="373"/>
      <c r="H84" s="373"/>
      <c r="I84" s="373"/>
      <c r="J84" s="373"/>
      <c r="K84" s="373"/>
      <c r="L84" s="373"/>
      <c r="M84" s="373"/>
      <c r="N84" s="160"/>
      <c r="O84" s="499" t="s">
        <v>589</v>
      </c>
      <c r="P84" s="500"/>
      <c r="Q84" s="500"/>
      <c r="R84" s="501">
        <f>IFERROR((R82+R80)-R78,"")</f>
        <v>0</v>
      </c>
      <c r="Y84" s="268"/>
      <c r="Z84" s="447"/>
      <c r="AA84" s="439"/>
      <c r="AB84" s="449"/>
    </row>
    <row r="85" spans="1:28" ht="13.5" thickTop="1">
      <c r="A85" s="184">
        <v>68</v>
      </c>
      <c r="B85" s="162" t="s">
        <v>574</v>
      </c>
      <c r="C85" s="162"/>
      <c r="D85" s="374">
        <f t="shared" ref="D85:L85" si="22">D57-D71+D78+D83</f>
        <v>-62168</v>
      </c>
      <c r="E85" s="374">
        <f t="shared" si="22"/>
        <v>84487099</v>
      </c>
      <c r="F85" s="374">
        <f t="shared" si="22"/>
        <v>12447297</v>
      </c>
      <c r="G85" s="374">
        <f t="shared" si="22"/>
        <v>3849350</v>
      </c>
      <c r="H85" s="374">
        <f t="shared" si="22"/>
        <v>515906</v>
      </c>
      <c r="I85" s="374">
        <f t="shared" si="22"/>
        <v>166005651</v>
      </c>
      <c r="J85" s="374">
        <f t="shared" si="22"/>
        <v>-3458402</v>
      </c>
      <c r="K85" s="374">
        <f t="shared" si="22"/>
        <v>0</v>
      </c>
      <c r="L85" s="374">
        <f t="shared" si="22"/>
        <v>-2871730</v>
      </c>
      <c r="M85" s="374">
        <f>D85+E85+F85+G85+H85+I85+J85+K85+L85</f>
        <v>260913003</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Input!$QL$8</f>
        <v>0</v>
      </c>
      <c r="E87" s="372">
        <f>Input!$QM$8</f>
        <v>0</v>
      </c>
      <c r="F87" s="372">
        <f>Input!$QN$8</f>
        <v>0</v>
      </c>
      <c r="G87" s="372">
        <f>Input!$QO$8</f>
        <v>0</v>
      </c>
      <c r="H87" s="372">
        <f>Input!$QP$8</f>
        <v>0</v>
      </c>
      <c r="I87" s="372">
        <f>Input!$QQ$8</f>
        <v>0</v>
      </c>
      <c r="J87" s="372">
        <f>Input!$QR$8</f>
        <v>0</v>
      </c>
      <c r="K87" s="372">
        <f>Input!$QS$8</f>
        <v>0</v>
      </c>
      <c r="L87" s="372">
        <f>Input!$QT$8</f>
        <v>0</v>
      </c>
      <c r="M87" s="329">
        <f>D87+E87+F87+G87+H87+I87+J87+K87+L87</f>
        <v>0</v>
      </c>
      <c r="N87" s="160"/>
      <c r="Y87" s="268"/>
      <c r="Z87" s="447"/>
      <c r="AA87" s="439"/>
      <c r="AB87" s="449"/>
    </row>
    <row r="88" spans="1:28">
      <c r="A88" s="184">
        <v>72</v>
      </c>
      <c r="B88" s="160" t="s">
        <v>66</v>
      </c>
      <c r="C88" s="160"/>
      <c r="D88" s="372">
        <f>Input!$QU$8</f>
        <v>0</v>
      </c>
      <c r="E88" s="372">
        <f>Input!$QV$8</f>
        <v>0</v>
      </c>
      <c r="F88" s="372">
        <f>Input!$QW$8</f>
        <v>0</v>
      </c>
      <c r="G88" s="372">
        <f>Input!$QX$8</f>
        <v>0</v>
      </c>
      <c r="H88" s="372">
        <f>Input!$QY$8</f>
        <v>0</v>
      </c>
      <c r="I88" s="372">
        <f>Input!$QZ$8</f>
        <v>0</v>
      </c>
      <c r="J88" s="372">
        <f>Input!$RA$8</f>
        <v>0</v>
      </c>
      <c r="K88" s="372">
        <f>Input!$RB$8</f>
        <v>0</v>
      </c>
      <c r="L88" s="372">
        <f>Input!$RC$8</f>
        <v>-90383879</v>
      </c>
      <c r="M88" s="373">
        <f>D88+E88+F88+G88+H88+I88+J88+K88+L88</f>
        <v>-90383879</v>
      </c>
      <c r="N88" s="160"/>
      <c r="O88" s="270"/>
      <c r="P88" s="335"/>
      <c r="Y88" s="268"/>
      <c r="Z88" s="447"/>
      <c r="AA88" s="439"/>
      <c r="AB88" s="449"/>
    </row>
    <row r="89" spans="1:28" s="264" customFormat="1">
      <c r="A89" s="263"/>
      <c r="B89" s="171" t="s">
        <v>216</v>
      </c>
      <c r="C89" s="171"/>
      <c r="D89" s="372">
        <f>Input!$RD$8</f>
        <v>0</v>
      </c>
      <c r="E89" s="372">
        <f>Input!$RE$8</f>
        <v>0</v>
      </c>
      <c r="F89" s="372">
        <f>Input!$RF$8</f>
        <v>0</v>
      </c>
      <c r="G89" s="372">
        <f>Input!$RG$8</f>
        <v>0</v>
      </c>
      <c r="H89" s="372">
        <f>Input!$RH$8</f>
        <v>0</v>
      </c>
      <c r="I89" s="372">
        <f>Input!$RI$8</f>
        <v>0</v>
      </c>
      <c r="J89" s="372">
        <f>Input!$RJ$8</f>
        <v>0</v>
      </c>
      <c r="K89" s="372">
        <f>Input!$RK$8</f>
        <v>0</v>
      </c>
      <c r="L89" s="372">
        <f>Input!$RL$8</f>
        <v>0</v>
      </c>
      <c r="M89" s="373">
        <f t="shared" ref="M89:M91" si="23">D89+E89+F89+G89+H89+I89+J89+K89+L89</f>
        <v>0</v>
      </c>
      <c r="N89" s="160"/>
      <c r="O89" s="1726" t="s">
        <v>1355</v>
      </c>
      <c r="P89" s="1727"/>
      <c r="Q89" s="1727"/>
      <c r="R89" s="1727"/>
      <c r="S89" s="1727"/>
      <c r="T89" s="1727"/>
      <c r="U89" s="1728"/>
      <c r="Y89" s="268"/>
      <c r="Z89" s="447"/>
      <c r="AA89" s="439"/>
      <c r="AB89" s="449"/>
    </row>
    <row r="90" spans="1:28" s="264" customFormat="1">
      <c r="A90" s="263"/>
      <c r="B90" s="171" t="s">
        <v>105</v>
      </c>
      <c r="C90" s="171"/>
      <c r="D90" s="372">
        <f>Input!$RM$8</f>
        <v>0</v>
      </c>
      <c r="E90" s="372">
        <f>Input!$RN$8</f>
        <v>0</v>
      </c>
      <c r="F90" s="372">
        <f>Input!$RO$8</f>
        <v>0</v>
      </c>
      <c r="G90" s="372">
        <f>Input!$RP$8</f>
        <v>0</v>
      </c>
      <c r="H90" s="372">
        <f>Input!$RQ$8</f>
        <v>0</v>
      </c>
      <c r="I90" s="372">
        <f>Input!$RR$8</f>
        <v>0</v>
      </c>
      <c r="J90" s="372">
        <f>Input!$RS$8</f>
        <v>0</v>
      </c>
      <c r="K90" s="372">
        <f>Input!$RT$8</f>
        <v>0</v>
      </c>
      <c r="L90" s="372">
        <f>Input!$RU$8</f>
        <v>0</v>
      </c>
      <c r="M90" s="373">
        <f t="shared" si="23"/>
        <v>0</v>
      </c>
      <c r="N90" s="160"/>
      <c r="O90" s="502" t="s">
        <v>590</v>
      </c>
      <c r="P90" s="423"/>
      <c r="Q90" s="502" t="s">
        <v>591</v>
      </c>
      <c r="R90" s="423"/>
      <c r="S90" s="503"/>
      <c r="T90" s="502" t="s">
        <v>592</v>
      </c>
      <c r="U90" s="423"/>
      <c r="Y90" s="268"/>
      <c r="Z90" s="447"/>
      <c r="AA90" s="439"/>
      <c r="AB90" s="449"/>
    </row>
    <row r="91" spans="1:28" s="264" customFormat="1">
      <c r="A91" s="263"/>
      <c r="B91" s="171" t="s">
        <v>128</v>
      </c>
      <c r="C91" s="171"/>
      <c r="D91" s="372">
        <f>Input!$RV$8</f>
        <v>0</v>
      </c>
      <c r="E91" s="372">
        <f>Input!$RW$8</f>
        <v>0</v>
      </c>
      <c r="F91" s="372">
        <f>Input!$RX$8</f>
        <v>0</v>
      </c>
      <c r="G91" s="372">
        <f>Input!$RY$8</f>
        <v>0</v>
      </c>
      <c r="H91" s="372">
        <f>Input!$RZ$8</f>
        <v>0</v>
      </c>
      <c r="I91" s="372">
        <f>Input!$SA$8</f>
        <v>0</v>
      </c>
      <c r="J91" s="372">
        <f>Input!$SB$8</f>
        <v>0</v>
      </c>
      <c r="K91" s="372">
        <f>Input!$SC$8</f>
        <v>0</v>
      </c>
      <c r="L91" s="372">
        <f>Input!$SD$8</f>
        <v>0</v>
      </c>
      <c r="M91" s="373">
        <f t="shared" si="23"/>
        <v>0</v>
      </c>
      <c r="N91" s="160"/>
      <c r="O91" s="504"/>
      <c r="P91" s="505"/>
      <c r="Q91" s="504"/>
      <c r="R91" s="426"/>
      <c r="S91" s="276"/>
      <c r="T91" s="506"/>
      <c r="U91" s="426"/>
      <c r="Y91" s="268"/>
      <c r="Z91" s="447"/>
      <c r="AA91" s="439"/>
      <c r="AB91" s="449"/>
    </row>
    <row r="92" spans="1:28" s="264" customFormat="1">
      <c r="A92" s="263"/>
      <c r="B92" s="160" t="s">
        <v>67</v>
      </c>
      <c r="C92" s="160"/>
      <c r="D92" s="372">
        <f>Input!$SE$8</f>
        <v>0</v>
      </c>
      <c r="E92" s="372">
        <f>Input!$SF$8</f>
        <v>0</v>
      </c>
      <c r="F92" s="372">
        <f>Input!$SG$8</f>
        <v>0</v>
      </c>
      <c r="G92" s="372">
        <f>Input!$SH$8</f>
        <v>0</v>
      </c>
      <c r="H92" s="372">
        <f>Input!$SI$8</f>
        <v>0</v>
      </c>
      <c r="I92" s="372">
        <f>Input!$SJ$8</f>
        <v>0</v>
      </c>
      <c r="J92" s="372">
        <f>Input!$SK$8</f>
        <v>0</v>
      </c>
      <c r="K92" s="372">
        <f>Input!$SL$8</f>
        <v>0</v>
      </c>
      <c r="L92" s="372">
        <f>Input!$SM$8</f>
        <v>35700511</v>
      </c>
      <c r="M92" s="373">
        <f>D92+E92+F92+G92+H92+I92+J92+K92+L92</f>
        <v>35700511</v>
      </c>
      <c r="N92" s="160"/>
      <c r="O92" s="1729" t="str">
        <f>Input!UF$8</f>
        <v>Cindy Milligan</v>
      </c>
      <c r="P92" s="1730"/>
      <c r="Q92" s="1729" t="str">
        <f>Input!$UG$8</f>
        <v>(972) 883-2632</v>
      </c>
      <c r="R92" s="1730"/>
      <c r="S92" s="276"/>
      <c r="T92" s="1731" t="str">
        <f>HYPERLINK("Mailto:"&amp;Input!$UH$8,Input!$UH$8)</f>
        <v>cxm133830@utdallas.edu</v>
      </c>
      <c r="U92" s="1730"/>
      <c r="Y92" s="268"/>
      <c r="Z92" s="447"/>
      <c r="AA92" s="442"/>
      <c r="AB92" s="449"/>
    </row>
    <row r="93" spans="1:28" ht="13.5" thickBot="1">
      <c r="B93" s="179" t="s">
        <v>58</v>
      </c>
      <c r="C93" s="179"/>
      <c r="D93" s="380">
        <f t="shared" ref="D93:K93" si="24">SUM(D85:D92)</f>
        <v>-62168</v>
      </c>
      <c r="E93" s="380">
        <f t="shared" si="24"/>
        <v>84487099</v>
      </c>
      <c r="F93" s="380">
        <f t="shared" si="24"/>
        <v>12447297</v>
      </c>
      <c r="G93" s="380">
        <f t="shared" si="24"/>
        <v>3849350</v>
      </c>
      <c r="H93" s="380">
        <f t="shared" si="24"/>
        <v>515906</v>
      </c>
      <c r="I93" s="380">
        <f t="shared" si="24"/>
        <v>166005651</v>
      </c>
      <c r="J93" s="380">
        <f t="shared" si="24"/>
        <v>-3458402</v>
      </c>
      <c r="K93" s="380">
        <f t="shared" si="24"/>
        <v>0</v>
      </c>
      <c r="L93" s="380">
        <f>SUM(L85:L92)</f>
        <v>-57555098</v>
      </c>
      <c r="M93" s="380">
        <f>D93+E93+F93+G93+H93+I93+J93+K93+L93</f>
        <v>206229635</v>
      </c>
      <c r="N93" s="160"/>
      <c r="O93" s="506"/>
      <c r="P93" s="507"/>
      <c r="Q93" s="276"/>
      <c r="R93" s="276"/>
      <c r="S93" s="276"/>
      <c r="T93" s="507"/>
      <c r="U93" s="508"/>
      <c r="Y93" s="268"/>
      <c r="Z93" s="447"/>
      <c r="AA93" s="442"/>
      <c r="AB93" s="449"/>
    </row>
    <row r="94" spans="1:28" ht="13.5" thickTop="1">
      <c r="C94" s="160"/>
      <c r="D94" s="165"/>
      <c r="E94" s="165"/>
      <c r="F94" s="165"/>
      <c r="G94" s="165"/>
      <c r="H94" s="165"/>
      <c r="I94" s="165"/>
      <c r="J94" s="165"/>
      <c r="K94" s="165"/>
      <c r="L94" s="165"/>
      <c r="M94" s="180"/>
      <c r="N94" s="160"/>
      <c r="O94" s="1720" t="s">
        <v>593</v>
      </c>
      <c r="P94" s="1721"/>
      <c r="Q94" s="1721"/>
      <c r="R94" s="1721"/>
      <c r="S94" s="1721"/>
      <c r="T94" s="1721"/>
      <c r="U94" s="1722"/>
      <c r="Y94" s="268"/>
      <c r="Z94" s="451"/>
      <c r="AA94" s="442"/>
      <c r="AB94" s="449"/>
    </row>
    <row r="95" spans="1:28">
      <c r="B95" s="171" t="s">
        <v>1369</v>
      </c>
      <c r="C95" s="169"/>
      <c r="D95" s="165"/>
      <c r="E95" s="165"/>
      <c r="F95" s="165"/>
      <c r="G95" s="165"/>
      <c r="H95" s="165"/>
      <c r="I95" s="165"/>
      <c r="J95" s="165"/>
      <c r="K95" s="165"/>
      <c r="L95" s="165"/>
      <c r="M95" s="180"/>
      <c r="N95" s="160"/>
      <c r="O95" s="1720"/>
      <c r="P95" s="1721"/>
      <c r="Q95" s="1721"/>
      <c r="R95" s="1721"/>
      <c r="S95" s="1721"/>
      <c r="T95" s="1721"/>
      <c r="U95" s="1722"/>
      <c r="Y95" s="268"/>
      <c r="Z95" s="452"/>
      <c r="AA95" s="453"/>
      <c r="AB95" s="454"/>
    </row>
    <row r="96" spans="1:28">
      <c r="B96" s="169" t="s">
        <v>80</v>
      </c>
      <c r="C96" s="160"/>
      <c r="D96" s="165"/>
      <c r="E96" s="165"/>
      <c r="F96" s="165"/>
      <c r="G96" s="165"/>
      <c r="H96" s="165"/>
      <c r="I96" s="165"/>
      <c r="J96" s="165"/>
      <c r="K96" s="165"/>
      <c r="L96" s="165"/>
      <c r="M96" s="180"/>
      <c r="N96" s="160"/>
      <c r="O96" s="509"/>
      <c r="P96" s="510"/>
      <c r="Q96" s="511"/>
      <c r="R96" s="511"/>
      <c r="S96" s="511"/>
      <c r="T96" s="510"/>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Input!$SN$8</f>
        <v>206229635</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3" t="str">
        <f>IF($L$118&lt;&gt;Input!$F$8,"Out of Balance","Balanced")</f>
        <v>Balanced</v>
      </c>
      <c r="M102" s="517"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308943565</v>
      </c>
      <c r="E105" s="373">
        <f>SUM($E$10:$E$14)+SUM($E$19:$E$28)+SUM($E$32:$E$41)+$E$47+SUM($E$50:$E$55)+SUM($E$60:$E$70)+SUM($E$74:$E$77)+SUM($E$81:$E$82)+SUM($E$87:$E$92)</f>
        <v>610411829</v>
      </c>
      <c r="F105" s="373">
        <f>SUM($F$10:$F$14)+SUM($F$19:$F$28)+SUM($F$32:$F$41)+$F$47+SUM($F$50:$F$55)+SUM($F$60:$F$70)+SUM($F$74:$F$77)+SUM($F$81:$F$82)+SUM($F$87:$F$92)</f>
        <v>91116335</v>
      </c>
      <c r="G105" s="373">
        <f>SUM($G$10:$G$14)+SUM($G$19:$G$28)+SUM($G$32:$G$41)+$G$47+SUM($G$50:$G$55)+SUM($G$60:$G$70)+SUM($G$74:$G$77)+SUM($G$81:$G$82)+SUM($G$87:$G$92)</f>
        <v>221346586</v>
      </c>
      <c r="H105" s="373">
        <f>SUM($H$10:$H$14)+SUM($H$19:$H$28)+SUM($H$32:$H$41)+$H$47+SUM($H$50:$H$55)+SUM($H$60:$H$70)+SUM($H$74:$H$77)+SUM($H$81:$H$82)+SUM($H$87:$H$92)</f>
        <v>526584</v>
      </c>
      <c r="I105" s="373">
        <f>SUM($I$10:$I$14)+SUM($I$19:$I$28)+SUM($I$32:$I$41)+$I$47+SUM($I$50:$I$55)+SUM($I$60:$I$70)+SUM($I$74:$I$77)+SUM($I$81:$I$82)+SUM($I$87:$I$92)</f>
        <v>166005651</v>
      </c>
      <c r="J105" s="373">
        <f>SUM($J$10:$J$14)+SUM($J$19:$J$28)+SUM($J$32:$J$41)+$J$47+SUM($J$50:$J$55)+SUM($J$60:$J$70)+SUM($J$74:$J$77)+SUM($J$81:$J$82)+SUM($J$87:$J$92)</f>
        <v>-1481400</v>
      </c>
      <c r="K105" s="373">
        <f>SUM($K$10:$K$14)+SUM($K$19:$K$28)+SUM($K$32:$K$41)+$K$47+SUM($K$50:$K$55)+SUM($K$60:$K$70)+SUM($K$74:$K$77)+SUM($K$81:$K$82)+SUM($K$87:$K$92)</f>
        <v>0</v>
      </c>
      <c r="L105" s="373">
        <f>SUM($L$10:$L$14)+SUM($L$19:$L$28)+SUM($L$32:$L$41)+$L$47+SUM($L$50:$L$55)+SUM($L$60:$L$70)+SUM($L$74:$L$77)+SUM($L$81:$L$82)+SUM($L$87:$L$92)</f>
        <v>-57555098</v>
      </c>
      <c r="M105" s="373"/>
      <c r="N105" s="264"/>
      <c r="O105" s="373"/>
      <c r="P105" s="450">
        <f>M18-INT(M18)</f>
        <v>0</v>
      </c>
    </row>
    <row r="106" spans="2:28">
      <c r="B106" s="261"/>
      <c r="C106" s="261"/>
      <c r="D106" s="261"/>
      <c r="E106" s="261"/>
      <c r="F106" s="261"/>
      <c r="G106" s="261"/>
      <c r="H106" s="261"/>
      <c r="I106" s="261"/>
      <c r="J106" s="261"/>
      <c r="K106" s="261"/>
      <c r="L106" s="373">
        <f>SUM($D$105:$L$105)</f>
        <v>1339314052</v>
      </c>
      <c r="M106" s="261"/>
      <c r="N106" s="264"/>
      <c r="O106" s="373"/>
      <c r="P106" s="450">
        <f>M31-INT(M31)</f>
        <v>0</v>
      </c>
    </row>
    <row r="107" spans="2:28">
      <c r="B107" s="261"/>
      <c r="C107" s="261"/>
      <c r="D107" s="261"/>
      <c r="E107" s="261"/>
      <c r="F107" s="261"/>
      <c r="G107" s="261"/>
      <c r="H107" s="261"/>
      <c r="I107" s="261"/>
      <c r="J107" s="261" t="s">
        <v>1299</v>
      </c>
      <c r="K107" s="261"/>
      <c r="L107" s="373">
        <f>$M$100</f>
        <v>206229635</v>
      </c>
      <c r="M107" s="261"/>
      <c r="N107" s="264"/>
      <c r="O107" s="373"/>
      <c r="P107" s="450">
        <f>M93-INT(M93)</f>
        <v>0</v>
      </c>
    </row>
    <row r="108" spans="2:28">
      <c r="B108" s="261"/>
      <c r="C108" s="261"/>
      <c r="D108" s="261"/>
      <c r="E108" s="261"/>
      <c r="F108" s="261"/>
      <c r="G108" s="261"/>
      <c r="H108" s="261"/>
      <c r="I108" s="261"/>
      <c r="J108" s="261" t="s">
        <v>1300</v>
      </c>
      <c r="K108" s="261"/>
      <c r="L108" s="512">
        <f>$Q$32</f>
        <v>439331178</v>
      </c>
      <c r="M108" s="261"/>
      <c r="N108" s="264"/>
      <c r="O108" s="373"/>
    </row>
    <row r="109" spans="2:28">
      <c r="B109" s="261"/>
      <c r="C109" s="261"/>
      <c r="D109" s="261"/>
      <c r="E109" s="261"/>
      <c r="F109" s="261"/>
      <c r="G109" s="261"/>
      <c r="H109" s="261"/>
      <c r="I109" s="261"/>
      <c r="J109" s="261" t="s">
        <v>1300</v>
      </c>
      <c r="K109" s="261"/>
      <c r="L109" s="512">
        <f>$R$34</f>
        <v>-139406920</v>
      </c>
      <c r="M109" s="261"/>
      <c r="N109" s="264"/>
      <c r="O109" s="373"/>
    </row>
    <row r="110" spans="2:28">
      <c r="B110" s="261"/>
      <c r="C110" s="261"/>
      <c r="D110" s="261"/>
      <c r="E110" s="261"/>
      <c r="F110" s="261"/>
      <c r="G110" s="261"/>
      <c r="H110" s="261"/>
      <c r="I110" s="261"/>
      <c r="J110" s="261" t="s">
        <v>29</v>
      </c>
      <c r="K110" s="261"/>
      <c r="L110" s="512">
        <f>SUM($P$60:$P$68)</f>
        <v>12825288</v>
      </c>
      <c r="M110" s="261"/>
      <c r="N110" s="264"/>
      <c r="O110" s="373"/>
    </row>
    <row r="111" spans="2:28">
      <c r="B111" s="261"/>
      <c r="C111" s="261"/>
      <c r="D111" s="261"/>
      <c r="E111" s="261"/>
      <c r="F111" s="261"/>
      <c r="G111" s="261"/>
      <c r="H111" s="261"/>
      <c r="I111" s="261"/>
      <c r="J111" s="261" t="s">
        <v>594</v>
      </c>
      <c r="K111" s="261"/>
      <c r="L111" s="373">
        <f>$Q$64</f>
        <v>37083</v>
      </c>
      <c r="M111" s="261"/>
      <c r="N111" s="264"/>
      <c r="O111" s="373"/>
    </row>
    <row r="112" spans="2:28">
      <c r="B112" s="261"/>
      <c r="C112" s="261"/>
      <c r="D112" s="261"/>
      <c r="E112" s="261"/>
      <c r="F112" s="261"/>
      <c r="G112" s="261"/>
      <c r="H112" s="261"/>
      <c r="I112" s="261"/>
      <c r="J112" s="261" t="s">
        <v>595</v>
      </c>
      <c r="K112" s="261"/>
      <c r="L112" s="512">
        <f>SUM($V$60:$V$67)</f>
        <v>1410653</v>
      </c>
      <c r="M112" s="261"/>
      <c r="N112" s="264"/>
      <c r="O112" s="373"/>
    </row>
    <row r="113" spans="2:15">
      <c r="B113" s="261"/>
      <c r="C113" s="261"/>
      <c r="D113" s="261"/>
      <c r="E113" s="261"/>
      <c r="F113" s="261"/>
      <c r="G113" s="261"/>
      <c r="H113" s="261"/>
      <c r="I113" s="261"/>
      <c r="J113" s="261" t="s">
        <v>596</v>
      </c>
      <c r="K113" s="261"/>
      <c r="L113" s="512">
        <f>SUM($W$60:$W$67)</f>
        <v>416362</v>
      </c>
      <c r="M113" s="261"/>
      <c r="N113" s="264"/>
      <c r="O113" s="373"/>
    </row>
    <row r="114" spans="2:15">
      <c r="B114" s="261"/>
      <c r="C114" s="261"/>
      <c r="D114" s="261"/>
      <c r="E114" s="261"/>
      <c r="F114" s="261"/>
      <c r="G114" s="261"/>
      <c r="H114" s="261"/>
      <c r="I114" s="261"/>
      <c r="J114" s="261" t="s">
        <v>258</v>
      </c>
      <c r="K114" s="261"/>
      <c r="L114" s="512">
        <f>SUM($AA$60:$AA$68)</f>
        <v>575832136</v>
      </c>
      <c r="M114" s="261"/>
      <c r="N114" s="264"/>
      <c r="O114" s="373"/>
    </row>
    <row r="115" spans="2:15">
      <c r="B115" s="261"/>
      <c r="C115" s="261"/>
      <c r="D115" s="261"/>
      <c r="E115" s="261"/>
      <c r="F115" s="261"/>
      <c r="G115" s="261"/>
      <c r="H115" s="261"/>
      <c r="I115" s="261"/>
      <c r="J115" s="261" t="s">
        <v>597</v>
      </c>
      <c r="K115" s="261"/>
      <c r="L115" s="512">
        <f>$R$77</f>
        <v>79947520</v>
      </c>
      <c r="M115" s="261"/>
      <c r="N115" s="264"/>
      <c r="O115" s="373"/>
    </row>
    <row r="116" spans="2:15">
      <c r="B116" s="261"/>
      <c r="C116" s="261"/>
      <c r="D116" s="261"/>
      <c r="E116" s="261"/>
      <c r="F116" s="261"/>
      <c r="G116" s="261"/>
      <c r="H116" s="261"/>
      <c r="I116" s="261"/>
      <c r="J116" s="261" t="s">
        <v>597</v>
      </c>
      <c r="K116" s="261"/>
      <c r="L116" s="512">
        <f>$R$80</f>
        <v>173501069</v>
      </c>
      <c r="M116" s="261"/>
      <c r="N116" s="264"/>
      <c r="O116" s="373"/>
    </row>
    <row r="117" spans="2:15">
      <c r="B117" s="261"/>
      <c r="C117" s="261"/>
      <c r="D117" s="261"/>
      <c r="E117" s="261"/>
      <c r="F117" s="261"/>
      <c r="G117" s="261"/>
      <c r="H117" s="261"/>
      <c r="I117" s="261"/>
      <c r="J117" s="261" t="s">
        <v>1231</v>
      </c>
      <c r="K117" s="261"/>
      <c r="L117" s="1008">
        <f>VLOOKUP(B2,Names!B5:$C$87,2,FALSE)</f>
        <v>9741</v>
      </c>
      <c r="M117" s="261"/>
      <c r="N117" s="264"/>
      <c r="O117" s="373"/>
    </row>
    <row r="118" spans="2:15">
      <c r="B118" s="261"/>
      <c r="C118" s="261"/>
      <c r="D118" s="261"/>
      <c r="E118" s="261"/>
      <c r="F118" s="261"/>
      <c r="G118" s="261"/>
      <c r="H118" s="261"/>
      <c r="I118" s="261"/>
      <c r="J118" s="261"/>
      <c r="K118" s="261"/>
      <c r="L118" s="373">
        <f>SUM(L106:L117)</f>
        <v>2689447797</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AB56:AB59"/>
    <mergeCell ref="T55:X55"/>
    <mergeCell ref="Z55:AB55"/>
    <mergeCell ref="V70:W70"/>
    <mergeCell ref="AA56:AA59"/>
    <mergeCell ref="V56:V59"/>
    <mergeCell ref="W56:W59"/>
    <mergeCell ref="X56:X59"/>
    <mergeCell ref="Z56:Z59"/>
    <mergeCell ref="T56:T59"/>
    <mergeCell ref="U56:U59"/>
    <mergeCell ref="B2:F2"/>
    <mergeCell ref="B3:F3"/>
    <mergeCell ref="B4:F4"/>
    <mergeCell ref="B6:M6"/>
    <mergeCell ref="P71:Q71"/>
    <mergeCell ref="P4:Q4"/>
    <mergeCell ref="O55:R55"/>
    <mergeCell ref="G59:K59"/>
    <mergeCell ref="P10:P11"/>
    <mergeCell ref="O56:O59"/>
    <mergeCell ref="P56:P59"/>
    <mergeCell ref="Q56:Q59"/>
    <mergeCell ref="R56:R59"/>
    <mergeCell ref="O19:R19"/>
    <mergeCell ref="T19:X19"/>
    <mergeCell ref="O94:U95"/>
    <mergeCell ref="O75:R75"/>
    <mergeCell ref="O89:U89"/>
    <mergeCell ref="O92:P92"/>
    <mergeCell ref="Q92:R92"/>
    <mergeCell ref="T92:U92"/>
  </mergeCells>
  <conditionalFormatting sqref="U87:X88 O88:Q88">
    <cfRule type="cellIs" dxfId="1344" priority="330" stopIfTrue="1" operator="notEqual">
      <formula>#REF!</formula>
    </cfRule>
  </conditionalFormatting>
  <conditionalFormatting sqref="P70">
    <cfRule type="expression" dxfId="1343" priority="309">
      <formula>$P$69&lt;&gt;$M$69</formula>
    </cfRule>
  </conditionalFormatting>
  <conditionalFormatting sqref="AB72">
    <cfRule type="expression" dxfId="1342" priority="308">
      <formula>$AB$71&lt;&gt;0</formula>
    </cfRule>
  </conditionalFormatting>
  <conditionalFormatting sqref="P71">
    <cfRule type="expression" dxfId="1341" priority="307">
      <formula>P69-INT(P69)</formula>
    </cfRule>
  </conditionalFormatting>
  <conditionalFormatting sqref="V70">
    <cfRule type="expression" dxfId="1340" priority="305">
      <formula>X68-INT(X68)</formula>
    </cfRule>
  </conditionalFormatting>
  <conditionalFormatting sqref="O13">
    <cfRule type="expression" dxfId="1339" priority="296">
      <formula>$P$13&lt;&gt;$M$13</formula>
    </cfRule>
  </conditionalFormatting>
  <conditionalFormatting sqref="U87:U88 O88:Q88">
    <cfRule type="cellIs" dxfId="1338" priority="289" stopIfTrue="1" operator="notEqual">
      <formula>#REF!</formula>
    </cfRule>
  </conditionalFormatting>
  <conditionalFormatting sqref="R84">
    <cfRule type="expression" priority="287" stopIfTrue="1">
      <formula>$M$85&lt;0</formula>
    </cfRule>
    <cfRule type="expression" dxfId="1337" priority="288">
      <formula>$S$85&lt;&gt;0</formula>
    </cfRule>
  </conditionalFormatting>
  <conditionalFormatting sqref="R80 R77">
    <cfRule type="expression" dxfId="1336" priority="285" stopIfTrue="1">
      <formula>$M$85&gt;=0</formula>
    </cfRule>
    <cfRule type="expression" priority="286">
      <formula>$M$85&lt;0</formula>
    </cfRule>
  </conditionalFormatting>
  <conditionalFormatting sqref="U87:U88 O88:Q88">
    <cfRule type="cellIs" dxfId="1335" priority="284" stopIfTrue="1" operator="notEqual">
      <formula>#REF!</formula>
    </cfRule>
  </conditionalFormatting>
  <conditionalFormatting sqref="O12">
    <cfRule type="expression" dxfId="1334" priority="268">
      <formula>$P$12&lt;&gt;$M$12</formula>
    </cfRule>
  </conditionalFormatting>
  <conditionalFormatting sqref="U87:U88 O88:Q88">
    <cfRule type="cellIs" dxfId="1333" priority="267" stopIfTrue="1" operator="notEqual">
      <formula>#REF!</formula>
    </cfRule>
  </conditionalFormatting>
  <conditionalFormatting sqref="Q36">
    <cfRule type="expression" dxfId="1332" priority="27">
      <formula>#REF!&lt;&gt;#REF!</formula>
    </cfRule>
  </conditionalFormatting>
  <conditionalFormatting sqref="R35">
    <cfRule type="expression" dxfId="1331" priority="26">
      <formula>#REF!&lt;&gt;0</formula>
    </cfRule>
  </conditionalFormatting>
  <conditionalFormatting sqref="Q35">
    <cfRule type="expression" dxfId="1330" priority="25">
      <formula>#REF!&lt;&gt;0</formula>
    </cfRule>
  </conditionalFormatting>
  <conditionalFormatting sqref="R36">
    <cfRule type="expression" dxfId="1329" priority="24">
      <formula>#REF!&lt;&gt;#REF!</formula>
    </cfRule>
  </conditionalFormatting>
  <conditionalFormatting sqref="D93:M98 T94:T95 R90:S95 U87:X93 T90:T92 Y90:Y95 O88:O92 P88:Q93">
    <cfRule type="cellIs" dxfId="1328" priority="23" stopIfTrue="1" operator="notEqual">
      <formula>#REF!</formula>
    </cfRule>
  </conditionalFormatting>
  <conditionalFormatting sqref="P70">
    <cfRule type="expression" dxfId="1327" priority="22">
      <formula>$P$69&lt;&gt;$M$69</formula>
    </cfRule>
  </conditionalFormatting>
  <conditionalFormatting sqref="AB72">
    <cfRule type="expression" dxfId="1326" priority="21">
      <formula>$AB$71&lt;&gt;0</formula>
    </cfRule>
  </conditionalFormatting>
  <conditionalFormatting sqref="P71">
    <cfRule type="expression" dxfId="1325" priority="20">
      <formula>P69-INT(P69)</formula>
    </cfRule>
  </conditionalFormatting>
  <conditionalFormatting sqref="V70">
    <cfRule type="expression" dxfId="1324" priority="19">
      <formula>X68-INT(X68)</formula>
    </cfRule>
  </conditionalFormatting>
  <conditionalFormatting sqref="O12">
    <cfRule type="expression" dxfId="1323" priority="18">
      <formula>$P$12&lt;&gt;$M$12</formula>
    </cfRule>
  </conditionalFormatting>
  <conditionalFormatting sqref="T94:T95 R90:S95 U87:U93 T90:T92 O88:O92 P88:Q93">
    <cfRule type="cellIs" dxfId="1322" priority="16" stopIfTrue="1" operator="notEqual">
      <formula>#REF!</formula>
    </cfRule>
  </conditionalFormatting>
  <conditionalFormatting sqref="R84">
    <cfRule type="expression" priority="14" stopIfTrue="1">
      <formula>$M$85&lt;0</formula>
    </cfRule>
    <cfRule type="expression" dxfId="1321" priority="15">
      <formula>$S$85&lt;&gt;0</formula>
    </cfRule>
  </conditionalFormatting>
  <conditionalFormatting sqref="R80 R77">
    <cfRule type="expression" dxfId="1320" priority="12" stopIfTrue="1">
      <formula>$M$85&gt;=0</formula>
    </cfRule>
    <cfRule type="expression" priority="13">
      <formula>$M$85&lt;0</formula>
    </cfRule>
  </conditionalFormatting>
  <conditionalFormatting sqref="U87:U88 R89:U92 O88:Q92">
    <cfRule type="cellIs" dxfId="1319" priority="11" stopIfTrue="1" operator="notEqual">
      <formula>#REF!</formula>
    </cfRule>
  </conditionalFormatting>
  <conditionalFormatting sqref="M101">
    <cfRule type="expression" dxfId="1318" priority="10">
      <formula>$M$101&lt;&gt;0</formula>
    </cfRule>
  </conditionalFormatting>
  <conditionalFormatting sqref="M102">
    <cfRule type="expression" dxfId="1317" priority="9">
      <formula>$M$93&lt;&gt;$M$100</formula>
    </cfRule>
  </conditionalFormatting>
  <conditionalFormatting sqref="U87:U92 R90:T92 O88:Q92">
    <cfRule type="cellIs" dxfId="1316" priority="8" stopIfTrue="1" operator="notEqual">
      <formula>#REF!</formula>
    </cfRule>
  </conditionalFormatting>
  <conditionalFormatting sqref="T89:U89 Q91 T90 O89:O90 P89:Q89 R89:S91">
    <cfRule type="cellIs" dxfId="1315" priority="7" stopIfTrue="1" operator="notEqual">
      <formula>#REF!</formula>
    </cfRule>
  </conditionalFormatting>
  <conditionalFormatting sqref="Q36">
    <cfRule type="expression" dxfId="1314" priority="6">
      <formula>#REF!&lt;&gt;#REF!</formula>
    </cfRule>
  </conditionalFormatting>
  <conditionalFormatting sqref="R35">
    <cfRule type="expression" dxfId="1313" priority="5">
      <formula>#REF!&lt;&gt;0</formula>
    </cfRule>
  </conditionalFormatting>
  <conditionalFormatting sqref="Q35">
    <cfRule type="expression" dxfId="1312" priority="4">
      <formula>#REF!&lt;&gt;0</formula>
    </cfRule>
  </conditionalFormatting>
  <conditionalFormatting sqref="R36">
    <cfRule type="expression" dxfId="1311" priority="3">
      <formula>#REF!&lt;&gt;#REF!</formula>
    </cfRule>
  </conditionalFormatting>
  <conditionalFormatting sqref="G59:K59">
    <cfRule type="expression" dxfId="1310" priority="1">
      <formula>OR($P$105&gt;0,$P$106&lt;&gt;0,$P$107&lt;&gt;0)</formula>
    </cfRule>
  </conditionalFormatting>
  <hyperlinks>
    <hyperlink ref="O2" location="Index!A1" display="Return to Index" xr:uid="{00000000-0004-0000-2300-000000000000}"/>
  </hyperlinks>
  <printOptions horizontalCentered="1"/>
  <pageMargins left="0.5" right="0.5" top="0.25" bottom="0.25" header="0" footer="0.25"/>
  <pageSetup scale="1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8"/>
  <dimension ref="A1:G30"/>
  <sheetViews>
    <sheetView showGridLines="0" zoomScale="80" zoomScaleNormal="80" workbookViewId="0">
      <selection activeCell="E74" sqref="E74:F74"/>
    </sheetView>
  </sheetViews>
  <sheetFormatPr defaultColWidth="9.140625" defaultRowHeight="12.75"/>
  <cols>
    <col min="1" max="1" width="7" style="53" customWidth="1"/>
    <col min="2" max="2" width="93.140625" style="53" customWidth="1"/>
    <col min="3" max="3" width="22.5703125" style="53" customWidth="1"/>
    <col min="4" max="9" width="9.140625" style="53"/>
    <col min="10" max="10" width="12.28515625" style="53" customWidth="1"/>
    <col min="11" max="16384" width="9.140625" style="53"/>
  </cols>
  <sheetData>
    <row r="1" spans="2:6" ht="18.75" thickBot="1">
      <c r="B1" s="466" t="str">
        <f>'DAL Chrts'!$A$1</f>
        <v>The University of Texas at Dallas</v>
      </c>
      <c r="C1" s="835" t="s">
        <v>1200</v>
      </c>
    </row>
    <row r="2" spans="2:6">
      <c r="B2" s="393" t="str">
        <f>'Smmy Chrts'!$A$2</f>
        <v>For the Year Ended August 31, 2021</v>
      </c>
    </row>
    <row r="3" spans="2:6">
      <c r="B3" s="393" t="str">
        <f>'Smmy Chrts'!$A$3</f>
        <v>Source: FY 2021 Annual Financial Report</v>
      </c>
    </row>
    <row r="5" spans="2:6" customFormat="1">
      <c r="B5" s="529" t="s">
        <v>705</v>
      </c>
    </row>
    <row r="6" spans="2:6" customFormat="1">
      <c r="B6" s="530"/>
    </row>
    <row r="7" spans="2:6" customFormat="1" ht="226.5" customHeight="1">
      <c r="B7" s="531" t="s">
        <v>706</v>
      </c>
      <c r="C7" s="532"/>
    </row>
    <row r="8" spans="2:6" customFormat="1" ht="263.25" customHeight="1">
      <c r="B8" s="531" t="s">
        <v>707</v>
      </c>
    </row>
    <row r="9" spans="2:6" ht="64.5" customHeight="1">
      <c r="B9" s="533" t="str">
        <f>IF('DAL FGD'!$R$76="N/A","FN11.  N/A",$B$20&amp;$B$21&amp;$B$22&amp;$B$23&amp;$B$24&amp;$B$25&amp;$B$26&amp;$B$27&amp;$B$28&amp;$B$29&amp;$B$30)</f>
        <v>FN11: Of the net increase of $260,913,003 approximately $79.9 million represents revenues received but not yet expended. This income is fully committed to program expenditures and capital disbursements. The remaining $181.0 million represents non-expendable funds from unrealized gains and additions to permanent endowments of approximately $173.5 million and $7.5 million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TEXT(IF('DAL FGD'!$M$85&lt;0,"N/A",'DAL FGD'!$M$85),"$* #,##0;$* (#,##0)")</f>
        <v>$260,913,003</v>
      </c>
      <c r="C21" s="480"/>
      <c r="D21" s="480"/>
      <c r="E21" s="480"/>
      <c r="G21" s="105"/>
    </row>
    <row r="22" spans="1:7">
      <c r="B22" s="105" t="s">
        <v>682</v>
      </c>
    </row>
    <row r="23" spans="1:7">
      <c r="A23" s="53">
        <v>61</v>
      </c>
      <c r="B23" s="515" t="str">
        <f>IF(ABS('DAL FGD'!$R$77)&gt;=1000000,TEXT('DAL FGD'!$R$77/1000000,"$* #,##0.0;$* (#,##0.0)")&amp;" million",IF(ABS('DAL FGD'!$R$77)&lt;1000,TEXT('DAL FGD'!$R$77,"$* #,##0;$* (#,##0)"),TEXT('DAL FGD'!$R$77/1000,"$* #,##0;$* (#,##0)")&amp;" thousand"))</f>
        <v>$79.9 million</v>
      </c>
      <c r="C23" s="515"/>
      <c r="E23" s="515"/>
    </row>
    <row r="24" spans="1:7">
      <c r="B24" s="105" t="s">
        <v>708</v>
      </c>
    </row>
    <row r="25" spans="1:7">
      <c r="A25" s="53">
        <v>62</v>
      </c>
      <c r="B25" s="515" t="str">
        <f>IF(ABS('DAL FGD'!$R$78)&gt;=1000000,TEXT('DAL FGD'!$R$78/1000000,"$* #,##0.0;$* (#,##0.0)")&amp;" million",IF(ABS('DAL FGD'!$R$78)&lt;1000,TEXT('DAL FGD'!$R$78,"$* #,##0;$* (#,##0)"),TEXT('DAL FGD'!$R$78/1000,"$* #,##0;$* (#,##0)")&amp;" thousand"))</f>
        <v>$181.0 million</v>
      </c>
      <c r="C25" s="515"/>
      <c r="E25" s="515"/>
    </row>
    <row r="26" spans="1:7">
      <c r="B26" s="105" t="s">
        <v>683</v>
      </c>
    </row>
    <row r="27" spans="1:7">
      <c r="A27" s="53">
        <v>64</v>
      </c>
      <c r="B27" s="515" t="str">
        <f>IF(ABS('DAL FGD'!$R$80)&gt;=1000000,TEXT('DAL FGD'!$R$80/1000000,"$* #,##0.0;$* (#,##0.0)")&amp;" million",IF(ABS('DAL FGD'!$R$80)&lt;1000,TEXT('DAL FGD'!$R$80,"$* #,##0;$* (#,##0)"),TEXT('DAL FGD'!$R$80/1000,"$* #,##0;$* (#,##0)")&amp;" thousand"))</f>
        <v>$173.5 million</v>
      </c>
      <c r="C27" s="515"/>
      <c r="E27" s="515"/>
    </row>
    <row r="28" spans="1:7">
      <c r="B28" s="105" t="s">
        <v>684</v>
      </c>
    </row>
    <row r="29" spans="1:7">
      <c r="A29" s="53">
        <v>66</v>
      </c>
      <c r="B29" s="515" t="str">
        <f>IF(ABS('DAL FGD'!$R$82)&gt;=1000000,TEXT('DAL FGD'!$R$82/1000000,"$* #,##0.0;$* (#,##0.0)")&amp;" million",IF(ABS('DAL FGD'!$R$82)&lt;1000,TEXT('DAL FGD'!$R$82,"$* #,##0;$* (#,##0)"),TEXT('DAL FGD'!$R$82/1000,"$* #,##0;$* (#,##0)")&amp;" thousand"))</f>
        <v>$7.5 million</v>
      </c>
      <c r="C29" s="515"/>
      <c r="E29" s="515"/>
    </row>
    <row r="30" spans="1:7">
      <c r="B30" s="105" t="s">
        <v>709</v>
      </c>
    </row>
  </sheetData>
  <hyperlinks>
    <hyperlink ref="C1" location="Index!A1" display="Return to Index" xr:uid="{00000000-0004-0000-2400-000000000000}"/>
  </hyperlinks>
  <pageMargins left="0.25" right="0.25" top="0.25" bottom="0.25" header="0" footer="0.25"/>
  <pageSetup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19">
    <tabColor indexed="47"/>
    <pageSetUpPr fitToPage="1"/>
  </sheetPr>
  <dimension ref="A1:E165"/>
  <sheetViews>
    <sheetView showGridLines="0" zoomScale="65" zoomScaleNormal="65" zoomScaleSheetLayoutView="65" workbookViewId="0">
      <selection activeCell="E74" sqref="E74:F74"/>
    </sheetView>
  </sheetViews>
  <sheetFormatPr defaultColWidth="9.140625" defaultRowHeight="12.75" customHeight="1"/>
  <cols>
    <col min="1" max="1" width="158.7109375" style="53" customWidth="1"/>
    <col min="2" max="2" width="20.85546875" style="53" customWidth="1"/>
    <col min="3" max="3" width="54.7109375" style="53" customWidth="1"/>
    <col min="4" max="4" width="20.7109375" style="53" customWidth="1"/>
    <col min="5" max="5" width="9.140625" style="679"/>
    <col min="6" max="16384" width="9.140625" style="53"/>
  </cols>
  <sheetData>
    <row r="1" spans="1:5" ht="28.5" thickBot="1">
      <c r="A1" s="159" t="s">
        <v>97</v>
      </c>
      <c r="B1" s="835" t="s">
        <v>1200</v>
      </c>
      <c r="C1" s="53" t="s">
        <v>1329</v>
      </c>
    </row>
    <row r="2" spans="1:5" ht="27.75">
      <c r="A2" s="54" t="str">
        <f>'Smmy Chrts'!$A$2</f>
        <v>For the Year Ended August 31, 2021</v>
      </c>
      <c r="C2" s="55" t="s">
        <v>63</v>
      </c>
    </row>
    <row r="3" spans="1:5" ht="27.75">
      <c r="A3" s="54" t="str">
        <f>'Smmy Chrts'!$A$3</f>
        <v>Source: FY 2021 Annual Financial Report</v>
      </c>
      <c r="C3" s="53" t="s">
        <v>64</v>
      </c>
    </row>
    <row r="4" spans="1:5" ht="12.75" customHeight="1">
      <c r="C4" s="53" t="s">
        <v>267</v>
      </c>
    </row>
    <row r="5" spans="1:5" ht="12.75" customHeight="1">
      <c r="C5" s="53" t="s">
        <v>268</v>
      </c>
    </row>
    <row r="7" spans="1:5" ht="12.75" customHeight="1">
      <c r="C7" s="1687" t="s">
        <v>25</v>
      </c>
      <c r="D7" s="1687"/>
    </row>
    <row r="8" spans="1:5" ht="12.75" customHeight="1">
      <c r="C8" s="57"/>
      <c r="D8" s="58"/>
    </row>
    <row r="9" spans="1:5" ht="12.75" customHeight="1">
      <c r="C9" s="59" t="str">
        <f>'E-P Sum'!A9</f>
        <v>State of Texas</v>
      </c>
      <c r="D9" s="60">
        <f>'E-P Sum'!B15</f>
        <v>133335593</v>
      </c>
      <c r="E9" s="680">
        <f>ROUND(D9/$D$14,3)</f>
        <v>0.245</v>
      </c>
    </row>
    <row r="10" spans="1:5" ht="12.75" customHeight="1">
      <c r="C10" s="59" t="str">
        <f>'E-P Sum'!A17</f>
        <v>Student &amp; Parent</v>
      </c>
      <c r="D10" s="60">
        <f>'E-P Sum'!B20</f>
        <v>148988894</v>
      </c>
      <c r="E10" s="680">
        <f t="shared" ref="E10:E12" si="0">ROUND(D10/$D$14,3)</f>
        <v>0.27300000000000002</v>
      </c>
    </row>
    <row r="11" spans="1:5" ht="12.75" customHeight="1">
      <c r="C11" s="59" t="str">
        <f>'E-P Sum'!A22</f>
        <v>Federal Government</v>
      </c>
      <c r="D11" s="60">
        <f>'E-P Sum'!B23</f>
        <v>206524165</v>
      </c>
      <c r="E11" s="680">
        <f t="shared" si="0"/>
        <v>0.379</v>
      </c>
    </row>
    <row r="12" spans="1:5" ht="12.75" customHeight="1">
      <c r="C12" s="59" t="str">
        <f>'E-P Sum'!A25</f>
        <v>Institutional Resources</v>
      </c>
      <c r="D12" s="60">
        <f>'E-P Sum'!B32</f>
        <v>56177993</v>
      </c>
      <c r="E12" s="680">
        <f t="shared" si="0"/>
        <v>0.10299999999999999</v>
      </c>
    </row>
    <row r="13" spans="1:5" ht="12.75" customHeight="1">
      <c r="C13" s="57"/>
      <c r="D13" s="58"/>
      <c r="E13" s="680"/>
    </row>
    <row r="14" spans="1:5" ht="12.75" customHeight="1">
      <c r="C14" s="61" t="s">
        <v>68</v>
      </c>
      <c r="D14" s="62">
        <f>SUM(D9:D13)</f>
        <v>545026645</v>
      </c>
      <c r="E14" s="680">
        <f>SUM(E9:E13)</f>
        <v>1</v>
      </c>
    </row>
    <row r="18" spans="1:3" ht="12.75" customHeight="1">
      <c r="B18" s="270"/>
    </row>
    <row r="19" spans="1:3" ht="12.75" customHeight="1">
      <c r="B19" s="270"/>
    </row>
    <row r="20" spans="1:3" ht="12.75" customHeight="1">
      <c r="B20" s="270"/>
      <c r="C20" s="53" t="s">
        <v>88</v>
      </c>
    </row>
    <row r="21" spans="1:3" ht="12.75" customHeight="1">
      <c r="B21" s="270"/>
      <c r="C21" s="53" t="s">
        <v>89</v>
      </c>
    </row>
    <row r="22" spans="1:3" ht="12.75" customHeight="1">
      <c r="B22" s="270"/>
      <c r="C22" s="53" t="s">
        <v>90</v>
      </c>
    </row>
    <row r="23" spans="1:3" ht="12.75" customHeight="1">
      <c r="A23" s="56"/>
      <c r="B23" s="270"/>
      <c r="C23" s="53" t="s">
        <v>91</v>
      </c>
    </row>
    <row r="24" spans="1:3" ht="12.75" customHeight="1">
      <c r="A24" s="56"/>
      <c r="B24" s="270"/>
    </row>
    <row r="25" spans="1:3" ht="12.75" customHeight="1">
      <c r="A25" s="56"/>
      <c r="B25" s="270"/>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86" t="str">
        <f>C14&amp;" "&amp;TEXT(D14,"$#,###")</f>
        <v>Total Operating Sources $545,026,645</v>
      </c>
    </row>
    <row r="48" spans="1:1" ht="12.75" customHeight="1">
      <c r="A48" s="1686"/>
    </row>
    <row r="49" spans="1:5" ht="12.75" customHeight="1">
      <c r="A49" s="56"/>
    </row>
    <row r="52" spans="1:5" ht="12.75" customHeight="1">
      <c r="C52" s="63" t="s">
        <v>25</v>
      </c>
      <c r="D52" s="58"/>
    </row>
    <row r="54" spans="1:5" ht="12.75" customHeight="1">
      <c r="C54" s="59" t="s">
        <v>1</v>
      </c>
      <c r="D54" s="60">
        <f>'E-P Sum'!B10</f>
        <v>109854473</v>
      </c>
      <c r="E54" s="680">
        <f>ROUND(D54/$D$67,3)</f>
        <v>0.20200000000000001</v>
      </c>
    </row>
    <row r="55" spans="1:5" ht="12.75" customHeight="1">
      <c r="C55" s="59" t="s">
        <v>221</v>
      </c>
      <c r="D55" s="60">
        <f>'E-P Sum'!B11</f>
        <v>23481120</v>
      </c>
      <c r="E55" s="680">
        <f t="shared" ref="E55:E66" si="1">ROUND(D55/$D$67,3)</f>
        <v>4.2999999999999997E-2</v>
      </c>
    </row>
    <row r="56" spans="1:5" ht="12.75" customHeight="1">
      <c r="C56" s="59"/>
      <c r="D56" s="60"/>
      <c r="E56" s="680"/>
    </row>
    <row r="57" spans="1:5" ht="12.75" customHeight="1">
      <c r="C57" s="1069" t="str">
        <f>'E-P Sum'!A13</f>
        <v>Higher Education Fund</v>
      </c>
      <c r="D57" s="60">
        <f>'E-P Sum'!B13</f>
        <v>0</v>
      </c>
      <c r="E57" s="680">
        <f t="shared" si="1"/>
        <v>0</v>
      </c>
    </row>
    <row r="58" spans="1:5" ht="12.75" customHeight="1">
      <c r="C58" s="1069" t="s">
        <v>41</v>
      </c>
      <c r="D58" s="60">
        <f>'E-P Sum'!B14</f>
        <v>0</v>
      </c>
      <c r="E58" s="680">
        <f t="shared" si="1"/>
        <v>0</v>
      </c>
    </row>
    <row r="59" spans="1:5" ht="12.75" customHeight="1">
      <c r="C59" s="59" t="s">
        <v>87</v>
      </c>
      <c r="D59" s="60">
        <f>'E-P Sum'!B20</f>
        <v>148988894</v>
      </c>
      <c r="E59" s="680">
        <f t="shared" si="1"/>
        <v>0.27300000000000002</v>
      </c>
    </row>
    <row r="60" spans="1:5" ht="12.75" customHeight="1">
      <c r="C60" s="64" t="s">
        <v>74</v>
      </c>
      <c r="D60" s="60">
        <f>'E-P Sum'!B23</f>
        <v>206524165</v>
      </c>
      <c r="E60" s="680">
        <f t="shared" si="1"/>
        <v>0.379</v>
      </c>
    </row>
    <row r="61" spans="1:5" ht="12.75" customHeight="1">
      <c r="C61" s="59" t="s">
        <v>75</v>
      </c>
      <c r="D61" s="60">
        <f>'E-P Sum'!B26</f>
        <v>17201351</v>
      </c>
      <c r="E61" s="680">
        <f t="shared" si="1"/>
        <v>3.2000000000000001E-2</v>
      </c>
    </row>
    <row r="62" spans="1:5" ht="12.75" customHeight="1">
      <c r="C62" s="59" t="s">
        <v>27</v>
      </c>
      <c r="D62" s="60">
        <f>'E-P Sum'!B27</f>
        <v>770814</v>
      </c>
      <c r="E62" s="680">
        <f t="shared" si="1"/>
        <v>1E-3</v>
      </c>
    </row>
    <row r="63" spans="1:5" ht="12.75" customHeight="1">
      <c r="C63" s="59" t="s">
        <v>76</v>
      </c>
      <c r="D63" s="60">
        <f>'E-P Sum'!B28</f>
        <v>13772953</v>
      </c>
      <c r="E63" s="680">
        <f t="shared" si="1"/>
        <v>2.5000000000000001E-2</v>
      </c>
    </row>
    <row r="64" spans="1:5" ht="12.75" customHeight="1">
      <c r="C64" s="59" t="s">
        <v>77</v>
      </c>
      <c r="D64" s="60">
        <f>'E-P Sum'!B29</f>
        <v>7474281</v>
      </c>
      <c r="E64" s="680">
        <f t="shared" si="1"/>
        <v>1.4E-2</v>
      </c>
    </row>
    <row r="65" spans="1:5" ht="12.75" customHeight="1">
      <c r="C65" s="59" t="s">
        <v>220</v>
      </c>
      <c r="D65" s="60">
        <f>'E-P Sum'!B30</f>
        <v>16537887</v>
      </c>
      <c r="E65" s="680">
        <f t="shared" si="1"/>
        <v>0.03</v>
      </c>
    </row>
    <row r="66" spans="1:5" ht="12.75" customHeight="1">
      <c r="C66" s="64" t="s">
        <v>52</v>
      </c>
      <c r="D66" s="60">
        <f>'E-P Sum'!B31</f>
        <v>420707</v>
      </c>
      <c r="E66" s="680">
        <f t="shared" si="1"/>
        <v>1E-3</v>
      </c>
    </row>
    <row r="67" spans="1:5" ht="12.75" customHeight="1">
      <c r="C67" s="61" t="s">
        <v>68</v>
      </c>
      <c r="D67" s="62">
        <f>SUM(D54:D66)</f>
        <v>545026645</v>
      </c>
      <c r="E67" s="681">
        <f>SUM(E54:E66)</f>
        <v>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86" t="str">
        <f>C67&amp;" "&amp;TEXT(D67,"$#,###")</f>
        <v>Total Operating Sources $545,026,645</v>
      </c>
    </row>
    <row r="93" spans="1:5" ht="12.75" customHeight="1">
      <c r="A93" s="1686"/>
    </row>
    <row r="94" spans="1:5" ht="12.75" customHeight="1">
      <c r="A94" s="65"/>
    </row>
    <row r="95" spans="1:5" s="68" customFormat="1" ht="12.75" customHeight="1">
      <c r="A95" s="66"/>
      <c r="E95" s="682"/>
    </row>
    <row r="96" spans="1:5" ht="12.75" customHeight="1">
      <c r="A96" s="65"/>
    </row>
    <row r="97" spans="1:5" ht="12.75" customHeight="1">
      <c r="A97" s="65"/>
    </row>
    <row r="98" spans="1:5" ht="12.75" customHeight="1">
      <c r="A98" s="65"/>
    </row>
    <row r="100" spans="1:5" ht="12.75" customHeight="1">
      <c r="C100" s="1687" t="s">
        <v>13</v>
      </c>
      <c r="D100" s="1687"/>
    </row>
    <row r="101" spans="1:5" ht="12.75" customHeight="1">
      <c r="C101" s="1687"/>
      <c r="D101" s="1687"/>
    </row>
    <row r="102" spans="1:5" ht="12.75" customHeight="1">
      <c r="C102" s="69" t="s">
        <v>14</v>
      </c>
      <c r="D102" s="60">
        <f>'E-P Sum'!B36</f>
        <v>111347256</v>
      </c>
      <c r="E102" s="680">
        <f>ROUND(D102/$D$114,3)</f>
        <v>0.23100000000000001</v>
      </c>
    </row>
    <row r="103" spans="1:5" ht="12.75" customHeight="1">
      <c r="C103" s="69" t="s">
        <v>15</v>
      </c>
      <c r="D103" s="60">
        <f>'E-P Sum'!B37</f>
        <v>89423609</v>
      </c>
      <c r="E103" s="680">
        <f t="shared" ref="E103:E112" si="2">ROUND(D103/$D$114,3)</f>
        <v>0.186</v>
      </c>
    </row>
    <row r="104" spans="1:5" ht="12.75" customHeight="1">
      <c r="C104" s="69" t="s">
        <v>16</v>
      </c>
      <c r="D104" s="60">
        <f>'E-P Sum'!B38</f>
        <v>11373956</v>
      </c>
      <c r="E104" s="680">
        <f t="shared" si="2"/>
        <v>2.4E-2</v>
      </c>
    </row>
    <row r="105" spans="1:5" ht="12.75" customHeight="1">
      <c r="C105" s="69" t="s">
        <v>17</v>
      </c>
      <c r="D105" s="60">
        <f>'E-P Sum'!B39</f>
        <v>26993271</v>
      </c>
      <c r="E105" s="680">
        <f t="shared" si="2"/>
        <v>5.6000000000000001E-2</v>
      </c>
    </row>
    <row r="106" spans="1:5" ht="12.75" customHeight="1">
      <c r="C106" s="69" t="s">
        <v>18</v>
      </c>
      <c r="D106" s="60">
        <f>'E-P Sum'!B40</f>
        <v>28270762</v>
      </c>
      <c r="E106" s="680">
        <f t="shared" si="2"/>
        <v>5.8999999999999997E-2</v>
      </c>
    </row>
    <row r="107" spans="1:5" ht="12.75" customHeight="1">
      <c r="C107" s="69" t="s">
        <v>19</v>
      </c>
      <c r="D107" s="60">
        <f>'E-P Sum'!B41</f>
        <v>31762240</v>
      </c>
      <c r="E107" s="680">
        <f t="shared" si="2"/>
        <v>6.6000000000000003E-2</v>
      </c>
    </row>
    <row r="108" spans="1:5" ht="12.75" customHeight="1">
      <c r="C108" s="69" t="s">
        <v>78</v>
      </c>
      <c r="D108" s="60">
        <f>'E-P Sum'!B42</f>
        <v>28976151</v>
      </c>
      <c r="E108" s="680">
        <f t="shared" si="2"/>
        <v>0.06</v>
      </c>
    </row>
    <row r="109" spans="1:5" ht="12.75" customHeight="1">
      <c r="C109" s="69" t="s">
        <v>79</v>
      </c>
      <c r="D109" s="60">
        <f>'E-P Sum'!B43</f>
        <v>108022906</v>
      </c>
      <c r="E109" s="680">
        <f t="shared" si="2"/>
        <v>0.224</v>
      </c>
    </row>
    <row r="110" spans="1:5" ht="12.75" customHeight="1">
      <c r="C110" s="69" t="s">
        <v>22</v>
      </c>
      <c r="D110" s="60">
        <f>'E-P Sum'!B44</f>
        <v>35721794</v>
      </c>
      <c r="E110" s="680">
        <f t="shared" si="2"/>
        <v>7.3999999999999996E-2</v>
      </c>
    </row>
    <row r="111" spans="1:5" ht="12.75" customHeight="1">
      <c r="C111" s="64" t="s">
        <v>29</v>
      </c>
      <c r="D111" s="60">
        <f>'E-P Sum'!B45</f>
        <v>10125461</v>
      </c>
      <c r="E111" s="680">
        <f t="shared" si="2"/>
        <v>2.1000000000000001E-2</v>
      </c>
    </row>
    <row r="112" spans="1:5" ht="12.75" customHeight="1">
      <c r="C112" s="64" t="s">
        <v>53</v>
      </c>
      <c r="D112" s="60">
        <f>'E-P Sum'!B46</f>
        <v>0</v>
      </c>
      <c r="E112" s="680">
        <f t="shared" si="2"/>
        <v>0</v>
      </c>
    </row>
    <row r="113" spans="3:5" ht="12.75" customHeight="1">
      <c r="C113" s="57"/>
      <c r="D113" s="57"/>
    </row>
    <row r="114" spans="3:5" ht="12.75" customHeight="1">
      <c r="C114" s="70" t="s">
        <v>69</v>
      </c>
      <c r="D114" s="62">
        <f>SUM(D102:D113)</f>
        <v>482017406</v>
      </c>
      <c r="E114" s="681">
        <f>SUM(E102:E113)</f>
        <v>1.0010000000000001</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86" t="str">
        <f>C114&amp;" "&amp;TEXT(D114,"$#,###")</f>
        <v>Total Operating Uses $482,017,406</v>
      </c>
    </row>
    <row r="137" spans="1:1" ht="12.75" customHeight="1">
      <c r="A137" s="1686"/>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25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ransitionEvaluation="1" transitionEntry="1" codeName="Sheet20">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'E-P Chrts'!$A$1</f>
        <v>The University of Texas at El Paso</v>
      </c>
      <c r="B1" s="74"/>
      <c r="C1" s="1"/>
      <c r="D1" s="1704" t="s">
        <v>1200</v>
      </c>
      <c r="E1" s="1705"/>
      <c r="F1" s="1757" t="s">
        <v>1196</v>
      </c>
      <c r="G1" s="1706"/>
      <c r="H1" s="1706"/>
      <c r="I1" s="1706"/>
      <c r="J1" s="1707" t="s">
        <v>1197</v>
      </c>
      <c r="K1" s="1695"/>
      <c r="L1" s="1695"/>
      <c r="M1" s="1695"/>
      <c r="N1" s="1695"/>
      <c r="O1" s="1696"/>
    </row>
    <row r="2" spans="1:15" ht="15.75">
      <c r="A2" s="76" t="str">
        <f>'Smmy Chrts'!$A$2</f>
        <v>For the Year Ended August 31, 2021</v>
      </c>
      <c r="B2" s="74"/>
      <c r="C2" s="1"/>
      <c r="D2" s="37"/>
      <c r="E2" s="37"/>
      <c r="F2" s="37"/>
      <c r="J2" s="37"/>
      <c r="K2" s="37"/>
      <c r="L2" s="37"/>
      <c r="M2" s="37"/>
    </row>
    <row r="3" spans="1:15" ht="15.75">
      <c r="A3" s="76" t="str">
        <f>'Smmy Chrts'!$A$3</f>
        <v>Source: FY 2021 Annual Financial Report</v>
      </c>
      <c r="B3" s="74"/>
      <c r="C3" s="1"/>
    </row>
    <row r="4" spans="1:15" ht="13.5" customHeight="1">
      <c r="B4" s="77"/>
      <c r="C4" s="4"/>
      <c r="D4" s="1711" t="s">
        <v>1142</v>
      </c>
      <c r="E4" s="1711" t="s">
        <v>1143</v>
      </c>
      <c r="F4" s="266"/>
    </row>
    <row r="5" spans="1:15" ht="19.5" customHeight="1">
      <c r="A5" s="39" t="str">
        <f>'Smmy Chrts'!$C$35</f>
        <v>Summary Worksheet FY 2021</v>
      </c>
      <c r="B5" s="40" t="s">
        <v>86</v>
      </c>
      <c r="C5" s="40" t="s">
        <v>129</v>
      </c>
      <c r="D5" s="1712"/>
      <c r="E5" s="1712"/>
      <c r="F5" s="266"/>
      <c r="G5" s="799" t="s">
        <v>1198</v>
      </c>
      <c r="I5" s="822" t="s">
        <v>2157</v>
      </c>
      <c r="J5" s="792" t="s">
        <v>1144</v>
      </c>
    </row>
    <row r="6" spans="1:15" ht="13.5" customHeight="1">
      <c r="A6" s="78" t="s">
        <v>266</v>
      </c>
      <c r="B6" s="41"/>
      <c r="C6" s="42">
        <f>VLOOKUP($A$1,FTSELU,12,FALSE)</f>
        <v>19488.8</v>
      </c>
      <c r="J6" s="712"/>
    </row>
    <row r="7" spans="1:15">
      <c r="I7" s="824" t="s">
        <v>1162</v>
      </c>
      <c r="J7" s="827"/>
    </row>
    <row r="8" spans="1:15">
      <c r="A8" s="81" t="s">
        <v>71</v>
      </c>
      <c r="B8" s="81"/>
      <c r="C8" s="24"/>
      <c r="I8" s="896">
        <f>VLOOKUP(A1,FTSELU,14,FALSE)</f>
        <v>1425.6999999999998</v>
      </c>
      <c r="J8" s="712"/>
    </row>
    <row r="9" spans="1:15" ht="12.75" customHeight="1" thickBot="1">
      <c r="A9" s="78" t="s">
        <v>0</v>
      </c>
      <c r="B9" s="82"/>
      <c r="C9" s="7"/>
      <c r="J9" s="712"/>
    </row>
    <row r="10" spans="1:15" ht="12.75" customHeight="1" thickTop="1">
      <c r="A10" s="75" t="s">
        <v>1</v>
      </c>
      <c r="B10" s="83">
        <f>'E-P FGD'!M10</f>
        <v>109854473</v>
      </c>
      <c r="C10" s="83">
        <f>ROUND(B10/$C$6,0)</f>
        <v>5637</v>
      </c>
      <c r="D10" s="512">
        <f>'E-P FGD'!F10</f>
        <v>0</v>
      </c>
      <c r="E10" s="512"/>
      <c r="F10" s="84">
        <f>B10-(SUM(D10:E10))</f>
        <v>109854473</v>
      </c>
      <c r="G10" s="1143" t="s">
        <v>1</v>
      </c>
      <c r="H10" s="1144"/>
      <c r="I10" s="825" t="s">
        <v>1161</v>
      </c>
      <c r="J10" s="713">
        <f>ROUND(F10/$C$6,0)</f>
        <v>5637</v>
      </c>
    </row>
    <row r="11" spans="1:15" ht="12.75" customHeight="1" thickBot="1">
      <c r="A11" s="75" t="s">
        <v>2</v>
      </c>
      <c r="B11" s="86">
        <f>'E-P FGD'!M11</f>
        <v>23481120</v>
      </c>
      <c r="C11" s="87">
        <f t="shared" ref="C11:C14" si="0">ROUND(B11/$C$6,0)</f>
        <v>1205</v>
      </c>
      <c r="D11" s="86">
        <f>'E-P FGD'!F11</f>
        <v>0</v>
      </c>
      <c r="E11" s="74"/>
      <c r="F11" s="606">
        <f t="shared" ref="F11:F14" si="1">B11-(SUM(D11:E11))</f>
        <v>23481120</v>
      </c>
      <c r="G11" s="1148">
        <f>SUM(F10:F11)</f>
        <v>133335593</v>
      </c>
      <c r="H11" s="715"/>
      <c r="I11" s="1373">
        <f>ROUND($G$11/$C$6,0)</f>
        <v>6842</v>
      </c>
      <c r="J11" s="716">
        <f t="shared" ref="J11:J14" si="2">ROUND(F11/$C$6,0)</f>
        <v>1205</v>
      </c>
    </row>
    <row r="12" spans="1:15" ht="12.75" hidden="1" customHeight="1" thickTop="1" thickBot="1">
      <c r="A12" s="75" t="s">
        <v>1410</v>
      </c>
      <c r="B12" s="86"/>
      <c r="C12" s="87"/>
      <c r="D12" s="86"/>
      <c r="E12" s="74"/>
      <c r="F12" s="607"/>
      <c r="J12" s="716"/>
      <c r="O12" s="608"/>
    </row>
    <row r="13" spans="1:15" ht="12.75" customHeight="1" thickTop="1">
      <c r="A13" s="75" t="s">
        <v>1368</v>
      </c>
      <c r="B13" s="86">
        <f>'E-P FGD'!M13</f>
        <v>0</v>
      </c>
      <c r="C13" s="87">
        <f t="shared" si="0"/>
        <v>0</v>
      </c>
      <c r="D13" s="86">
        <f>'E-P FGD'!F13</f>
        <v>0</v>
      </c>
      <c r="E13" s="74"/>
      <c r="F13" s="893">
        <f t="shared" si="1"/>
        <v>0</v>
      </c>
      <c r="G13" s="882" t="s">
        <v>81</v>
      </c>
      <c r="H13" s="894"/>
      <c r="I13" s="826" t="s">
        <v>1163</v>
      </c>
      <c r="J13" s="716">
        <f t="shared" si="2"/>
        <v>0</v>
      </c>
    </row>
    <row r="14" spans="1:15" ht="12.75" customHeight="1" thickBot="1">
      <c r="A14" s="75" t="s">
        <v>49</v>
      </c>
      <c r="B14" s="86">
        <f>'E-P FGD'!M14</f>
        <v>0</v>
      </c>
      <c r="C14" s="87">
        <f t="shared" si="0"/>
        <v>0</v>
      </c>
      <c r="D14" s="86">
        <f>'E-P FGD'!F14</f>
        <v>0</v>
      </c>
      <c r="E14" s="74"/>
      <c r="F14" s="607">
        <f t="shared" si="1"/>
        <v>0</v>
      </c>
      <c r="G14" s="800">
        <f>SUM(F13:F14)</f>
        <v>0</v>
      </c>
      <c r="H14" s="895"/>
      <c r="I14" s="1377">
        <f>ROUND($G$11/$I$8,0)</f>
        <v>93523</v>
      </c>
      <c r="J14" s="828">
        <f t="shared" si="2"/>
        <v>0</v>
      </c>
    </row>
    <row r="15" spans="1:15" ht="12.75" customHeight="1" thickTop="1">
      <c r="A15" s="88" t="s">
        <v>3</v>
      </c>
      <c r="B15" s="89">
        <f>SUM(B10:B14)</f>
        <v>133335593</v>
      </c>
      <c r="C15" s="89">
        <f>SUM(C10:C14)</f>
        <v>6842</v>
      </c>
      <c r="D15" s="89">
        <f>SUM(D10:D14)</f>
        <v>0</v>
      </c>
      <c r="E15" s="89">
        <f>SUM(E10:E14)</f>
        <v>0</v>
      </c>
      <c r="F15" s="216">
        <f>SUM(F10:F14)</f>
        <v>133335593</v>
      </c>
      <c r="I15" s="1372"/>
      <c r="J15" s="757">
        <f>SUM(J10:J14)</f>
        <v>6842</v>
      </c>
    </row>
    <row r="16" spans="1:15">
      <c r="B16" s="48"/>
      <c r="C16" s="75"/>
      <c r="J16" s="712"/>
    </row>
    <row r="17" spans="1:31" ht="12.75" customHeight="1">
      <c r="A17" s="78" t="s">
        <v>4</v>
      </c>
      <c r="B17" s="86"/>
      <c r="C17" s="75"/>
      <c r="J17" s="712"/>
    </row>
    <row r="18" spans="1:31">
      <c r="A18" s="75" t="s">
        <v>39</v>
      </c>
      <c r="B18" s="83">
        <f>'E-P FGD'!M29</f>
        <v>109685605</v>
      </c>
      <c r="C18" s="83">
        <f t="shared" ref="C18:C19" si="3">ROUND(B18/$C$6,0)</f>
        <v>5628</v>
      </c>
      <c r="D18" s="512">
        <f>'E-P FGD'!$F$29</f>
        <v>0</v>
      </c>
      <c r="E18" s="512"/>
      <c r="F18" s="512">
        <f t="shared" ref="F18:F19" si="4">B18-(SUM(D18:E18))</f>
        <v>109685605</v>
      </c>
      <c r="G18" s="337"/>
      <c r="H18" s="337"/>
      <c r="I18" s="337"/>
      <c r="J18" s="713">
        <f>ROUND(F18/$C$6,0)</f>
        <v>5628</v>
      </c>
    </row>
    <row r="19" spans="1:31" ht="13.5" thickBot="1">
      <c r="A19" s="75" t="s">
        <v>40</v>
      </c>
      <c r="B19" s="86">
        <f>'E-P FGD'!M42</f>
        <v>39303289</v>
      </c>
      <c r="C19" s="87">
        <f t="shared" si="3"/>
        <v>2017</v>
      </c>
      <c r="D19" s="74">
        <f>'E-P FGD'!$F$42</f>
        <v>8719211</v>
      </c>
      <c r="E19" s="74"/>
      <c r="F19" s="74">
        <f t="shared" si="4"/>
        <v>30584078</v>
      </c>
      <c r="G19" s="337"/>
      <c r="H19" s="337"/>
      <c r="I19" s="337"/>
      <c r="J19" s="716">
        <f>ROUND(F19/$C$6,0)</f>
        <v>1569</v>
      </c>
    </row>
    <row r="20" spans="1:31" ht="14.25" thickTop="1" thickBot="1">
      <c r="A20" s="88" t="s">
        <v>5</v>
      </c>
      <c r="B20" s="89">
        <f>SUM(B18:B19)</f>
        <v>148988894</v>
      </c>
      <c r="C20" s="89">
        <f>SUM(C18:C19)</f>
        <v>7645</v>
      </c>
      <c r="D20" s="717">
        <f>SUM(D18:D19)</f>
        <v>8719211</v>
      </c>
      <c r="E20" s="718">
        <f>SUM(E18:E19)</f>
        <v>0</v>
      </c>
      <c r="F20" s="801">
        <f>SUM(F18:F19)</f>
        <v>140269683</v>
      </c>
      <c r="G20" s="720" t="s">
        <v>26</v>
      </c>
      <c r="H20" s="366"/>
      <c r="I20" s="367"/>
      <c r="J20" s="721">
        <f>SUM(J18:J19)</f>
        <v>7197</v>
      </c>
    </row>
    <row r="21" spans="1:31" ht="12.75" customHeight="1" thickTop="1">
      <c r="B21" s="91"/>
      <c r="C21" s="75"/>
      <c r="F21" s="804"/>
      <c r="J21" s="712"/>
    </row>
    <row r="22" spans="1:31" ht="14.25" customHeight="1" thickBot="1">
      <c r="A22" s="78" t="s">
        <v>6</v>
      </c>
      <c r="B22" s="91"/>
      <c r="C22" s="75"/>
      <c r="J22" s="712"/>
    </row>
    <row r="23" spans="1:31" ht="14.25" thickTop="1" thickBot="1">
      <c r="A23" s="88" t="s">
        <v>7</v>
      </c>
      <c r="B23" s="92">
        <f>'E-P FGD'!M47</f>
        <v>206524165</v>
      </c>
      <c r="C23" s="89">
        <f t="shared" ref="C23" si="5">ROUND(B23/$C$6,0)</f>
        <v>10597</v>
      </c>
      <c r="D23" s="717">
        <f>'E-P FGD'!F47</f>
        <v>0</v>
      </c>
      <c r="E23" s="718"/>
      <c r="F23" s="801">
        <f>B23-(SUM(D23:E23))</f>
        <v>206524165</v>
      </c>
      <c r="G23" s="722" t="s">
        <v>74</v>
      </c>
      <c r="H23" s="366"/>
      <c r="I23" s="367"/>
      <c r="J23" s="756">
        <f>ROUND(F23/$C$6,0)</f>
        <v>10597</v>
      </c>
    </row>
    <row r="24" spans="1:31" ht="13.5" thickTop="1">
      <c r="B24" s="91"/>
      <c r="C24" s="75"/>
      <c r="J24" s="712"/>
    </row>
    <row r="25" spans="1:31">
      <c r="A25" s="78" t="s">
        <v>8</v>
      </c>
      <c r="B25" s="91"/>
      <c r="C25" s="75"/>
      <c r="J25" s="712"/>
    </row>
    <row r="26" spans="1:31">
      <c r="A26" s="75" t="s">
        <v>42</v>
      </c>
      <c r="B26" s="83">
        <f>'E-P FGD'!M50</f>
        <v>17201351</v>
      </c>
      <c r="C26" s="83">
        <f t="shared" ref="C26:C31" si="6">ROUND(B26/$C$6,0)</f>
        <v>883</v>
      </c>
      <c r="D26" s="512">
        <f>'E-P FGD'!F50</f>
        <v>4423</v>
      </c>
      <c r="E26" s="512"/>
      <c r="F26" s="512">
        <f t="shared" ref="F26:F31" si="7">B26-(SUM(D26:E26))</f>
        <v>17196928</v>
      </c>
      <c r="G26" s="337"/>
      <c r="H26" s="337"/>
      <c r="I26" s="337"/>
      <c r="J26" s="713">
        <f>ROUND(F26/$C$6,0)</f>
        <v>882</v>
      </c>
    </row>
    <row r="27" spans="1:31">
      <c r="A27" s="75" t="s">
        <v>9</v>
      </c>
      <c r="B27" s="86">
        <f>'E-P FGD'!M51</f>
        <v>770814</v>
      </c>
      <c r="C27" s="87">
        <f t="shared" si="6"/>
        <v>40</v>
      </c>
      <c r="D27" s="86">
        <f>'E-P FGD'!F51</f>
        <v>0</v>
      </c>
      <c r="E27" s="74"/>
      <c r="F27" s="74">
        <f t="shared" si="7"/>
        <v>770814</v>
      </c>
      <c r="G27" s="337"/>
      <c r="H27" s="337"/>
      <c r="I27" s="337"/>
      <c r="J27" s="716">
        <f t="shared" ref="J27:J31" si="8">ROUND(F27/$C$6,0)</f>
        <v>40</v>
      </c>
    </row>
    <row r="28" spans="1:31" ht="13.5" thickBot="1">
      <c r="A28" s="75" t="s">
        <v>10</v>
      </c>
      <c r="B28" s="86">
        <f>'E-P FGD'!M52</f>
        <v>13772953</v>
      </c>
      <c r="C28" s="87">
        <f t="shared" si="6"/>
        <v>707</v>
      </c>
      <c r="D28" s="86">
        <f>'E-P FGD'!F52</f>
        <v>0</v>
      </c>
      <c r="E28" s="74"/>
      <c r="F28" s="74">
        <f t="shared" si="7"/>
        <v>13772953</v>
      </c>
      <c r="G28" s="337"/>
      <c r="H28" s="337"/>
      <c r="I28" s="337"/>
      <c r="J28" s="716">
        <f t="shared" si="8"/>
        <v>707</v>
      </c>
    </row>
    <row r="29" spans="1:31" ht="13.5" thickBot="1">
      <c r="A29" s="75" t="s">
        <v>11</v>
      </c>
      <c r="B29" s="86">
        <f>'E-P FGD'!M53</f>
        <v>7474281</v>
      </c>
      <c r="C29" s="87">
        <f t="shared" si="6"/>
        <v>384</v>
      </c>
      <c r="D29" s="86">
        <f>'E-P FGD'!F53</f>
        <v>0</v>
      </c>
      <c r="E29" s="74"/>
      <c r="F29" s="74">
        <f t="shared" si="7"/>
        <v>7474281</v>
      </c>
      <c r="G29" s="337"/>
      <c r="H29" s="337"/>
      <c r="I29" s="337"/>
      <c r="J29" s="716">
        <f t="shared" si="8"/>
        <v>384</v>
      </c>
      <c r="K29" s="1694" t="s">
        <v>1065</v>
      </c>
      <c r="L29" s="1695"/>
      <c r="M29" s="1695"/>
      <c r="N29" s="1695"/>
      <c r="O29" s="1696"/>
    </row>
    <row r="30" spans="1:31" ht="13.5" thickBot="1">
      <c r="A30" s="93" t="s">
        <v>2134</v>
      </c>
      <c r="B30" s="94">
        <f>'E-P FGD'!M54</f>
        <v>16537887</v>
      </c>
      <c r="C30" s="87">
        <f t="shared" si="6"/>
        <v>849</v>
      </c>
      <c r="D30" s="729">
        <f>B30</f>
        <v>16537887</v>
      </c>
      <c r="E30" s="74"/>
      <c r="F30" s="74">
        <f t="shared" si="7"/>
        <v>0</v>
      </c>
      <c r="G30" s="337"/>
      <c r="H30" s="337"/>
      <c r="I30" s="337"/>
      <c r="J30" s="716">
        <f t="shared" si="8"/>
        <v>0</v>
      </c>
      <c r="K30" s="1694" t="s">
        <v>1070</v>
      </c>
      <c r="L30" s="1695"/>
      <c r="M30" s="1695"/>
      <c r="N30" s="1695"/>
      <c r="O30" s="1696"/>
    </row>
    <row r="31" spans="1:31" ht="13.5" customHeight="1" thickBot="1">
      <c r="A31" s="95" t="s">
        <v>43</v>
      </c>
      <c r="B31" s="86">
        <f>'E-P FGD'!M55</f>
        <v>420707</v>
      </c>
      <c r="C31" s="87">
        <f t="shared" si="6"/>
        <v>22</v>
      </c>
      <c r="D31" s="86">
        <f>'E-P FGD'!F55</f>
        <v>0</v>
      </c>
      <c r="E31" s="74"/>
      <c r="F31" s="74">
        <f t="shared" si="7"/>
        <v>420707</v>
      </c>
      <c r="G31" s="35"/>
      <c r="H31" s="35"/>
      <c r="I31" s="38"/>
      <c r="J31" s="716">
        <f t="shared" si="8"/>
        <v>22</v>
      </c>
      <c r="K31" s="1697" t="s">
        <v>1073</v>
      </c>
      <c r="L31" s="1697" t="s">
        <v>1071</v>
      </c>
      <c r="M31" s="1697" t="s">
        <v>1072</v>
      </c>
      <c r="N31" s="1697" t="s">
        <v>1240</v>
      </c>
      <c r="O31" s="1697"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56177993</v>
      </c>
      <c r="C32" s="89">
        <f>SUM(C26:C31)</f>
        <v>2885</v>
      </c>
      <c r="D32" s="723">
        <f>SUM(D26:D31)</f>
        <v>16542310</v>
      </c>
      <c r="E32" s="723">
        <f>SUM(E26:E31)</f>
        <v>0</v>
      </c>
      <c r="F32" s="802">
        <f>SUM(F26:F31)</f>
        <v>39635683</v>
      </c>
      <c r="G32" s="1708" t="s">
        <v>8</v>
      </c>
      <c r="H32" s="1709"/>
      <c r="I32" s="783" t="s">
        <v>1166</v>
      </c>
      <c r="J32" s="725">
        <f>SUM(J26:J31)</f>
        <v>2035</v>
      </c>
      <c r="K32" s="1698"/>
      <c r="L32" s="1698"/>
      <c r="M32" s="1698"/>
      <c r="N32" s="1698" t="s">
        <v>1074</v>
      </c>
      <c r="O32" s="1698" t="s">
        <v>1075</v>
      </c>
    </row>
    <row r="33" spans="1:31" ht="14.25" thickTop="1" thickBot="1">
      <c r="A33" s="97" t="s">
        <v>68</v>
      </c>
      <c r="B33" s="52">
        <f>B15+B20+B23+B32</f>
        <v>545026645</v>
      </c>
      <c r="C33" s="45">
        <f>C15+C20+C23+C32</f>
        <v>27969</v>
      </c>
      <c r="D33" s="52">
        <f>D15+D20+D23+D32</f>
        <v>25261521</v>
      </c>
      <c r="E33" s="52">
        <f>E15+E20+E23+E32</f>
        <v>0</v>
      </c>
      <c r="F33" s="724">
        <f>F15+F20+F23+F32</f>
        <v>519765124</v>
      </c>
      <c r="G33" s="1758" t="s">
        <v>84</v>
      </c>
      <c r="H33" s="1759"/>
      <c r="I33" s="1375">
        <f>ROUND($G$35/$C$6,0)</f>
        <v>26670</v>
      </c>
      <c r="J33" s="726">
        <f>J15+J20+J23+J32</f>
        <v>26671</v>
      </c>
      <c r="K33" s="1698"/>
      <c r="L33" s="1698"/>
      <c r="M33" s="1698"/>
      <c r="N33" s="1698"/>
      <c r="O33" s="1698"/>
    </row>
    <row r="34" spans="1:31" ht="14.25" thickTop="1" thickBot="1">
      <c r="B34" s="98"/>
      <c r="C34" s="75"/>
      <c r="D34" s="337"/>
      <c r="E34" s="337"/>
      <c r="F34" s="337" t="s">
        <v>1199</v>
      </c>
      <c r="G34" s="787">
        <f>G14*-1</f>
        <v>0</v>
      </c>
      <c r="H34" s="337"/>
      <c r="I34" s="783" t="s">
        <v>1167</v>
      </c>
      <c r="J34" s="727"/>
      <c r="K34" s="1699"/>
      <c r="L34" s="1699"/>
      <c r="M34" s="1699"/>
      <c r="N34" s="1699"/>
      <c r="O34" s="1699"/>
    </row>
    <row r="35" spans="1:31" ht="14.25" thickTop="1" thickBot="1">
      <c r="A35" s="81" t="s">
        <v>72</v>
      </c>
      <c r="B35" s="81"/>
      <c r="C35" s="81"/>
      <c r="D35" s="728"/>
      <c r="E35" s="728"/>
      <c r="F35" s="788" t="s">
        <v>1165</v>
      </c>
      <c r="G35" s="803">
        <f>F33+G34</f>
        <v>519765124</v>
      </c>
      <c r="I35" s="1376">
        <f>ROUND($G$35/$I$8,0)</f>
        <v>364568</v>
      </c>
      <c r="K35" s="609"/>
      <c r="L35" s="609"/>
      <c r="M35" s="609"/>
      <c r="N35" s="609"/>
      <c r="O35" s="609"/>
    </row>
    <row r="36" spans="1:31" ht="13.5" thickTop="1">
      <c r="A36" s="99" t="s">
        <v>14</v>
      </c>
      <c r="B36" s="83">
        <f>'E-P FGD'!M60</f>
        <v>111347256</v>
      </c>
      <c r="C36" s="83">
        <f t="shared" ref="C36:C46" si="9">ROUND(B36/$C$6,0)</f>
        <v>5713</v>
      </c>
      <c r="D36" s="512">
        <f>'E-P FGD'!F60</f>
        <v>0</v>
      </c>
      <c r="E36" s="512"/>
      <c r="F36" s="512">
        <f t="shared" ref="F36:F46" si="10">B36-(SUM(D36:E36))</f>
        <v>111347256</v>
      </c>
      <c r="G36" s="337"/>
      <c r="H36" s="1378" t="s">
        <v>2158</v>
      </c>
      <c r="I36" s="1379">
        <f>ROUND(F36/$C$6,0)</f>
        <v>5713</v>
      </c>
      <c r="J36" s="337" t="s">
        <v>752</v>
      </c>
      <c r="K36" s="512">
        <f>F36</f>
        <v>111347256</v>
      </c>
      <c r="L36" s="512">
        <f>K36</f>
        <v>111347256</v>
      </c>
      <c r="M36" s="512"/>
      <c r="N36" s="512"/>
      <c r="O36" s="512"/>
    </row>
    <row r="37" spans="1:31">
      <c r="A37" s="99" t="s">
        <v>15</v>
      </c>
      <c r="B37" s="86">
        <f>'E-P FGD'!M61</f>
        <v>89423609</v>
      </c>
      <c r="C37" s="87">
        <f t="shared" si="9"/>
        <v>4588</v>
      </c>
      <c r="D37" s="86">
        <f>'E-P FGD'!F61</f>
        <v>0</v>
      </c>
      <c r="E37" s="74"/>
      <c r="F37" s="74">
        <f t="shared" si="10"/>
        <v>89423609</v>
      </c>
      <c r="G37" s="337"/>
      <c r="H37" s="337"/>
      <c r="J37" s="337" t="s">
        <v>1076</v>
      </c>
      <c r="K37" s="373">
        <f>F37</f>
        <v>89423609</v>
      </c>
      <c r="L37" s="373">
        <f>K37</f>
        <v>89423609</v>
      </c>
      <c r="M37" s="373"/>
      <c r="N37" s="373"/>
      <c r="O37" s="373"/>
    </row>
    <row r="38" spans="1:31">
      <c r="A38" s="99" t="s">
        <v>16</v>
      </c>
      <c r="B38" s="86">
        <f>'E-P FGD'!M62</f>
        <v>11373956</v>
      </c>
      <c r="C38" s="87">
        <f t="shared" si="9"/>
        <v>584</v>
      </c>
      <c r="D38" s="86">
        <f>'E-P FGD'!F62</f>
        <v>0</v>
      </c>
      <c r="E38" s="86">
        <f>B38-D38</f>
        <v>11373956</v>
      </c>
      <c r="F38" s="74">
        <f t="shared" si="10"/>
        <v>0</v>
      </c>
      <c r="G38" s="337"/>
      <c r="H38" s="337"/>
      <c r="I38" s="337"/>
      <c r="J38" s="337" t="s">
        <v>1077</v>
      </c>
      <c r="K38" s="736"/>
      <c r="L38" s="737"/>
      <c r="M38" s="737" t="s">
        <v>1152</v>
      </c>
      <c r="N38" s="737"/>
      <c r="O38" s="738"/>
    </row>
    <row r="39" spans="1:31">
      <c r="A39" s="99" t="s">
        <v>17</v>
      </c>
      <c r="B39" s="86">
        <f>'E-P FGD'!M63</f>
        <v>26993271</v>
      </c>
      <c r="C39" s="87">
        <f t="shared" si="9"/>
        <v>1385</v>
      </c>
      <c r="D39" s="86">
        <f>'E-P FGD'!F63</f>
        <v>0</v>
      </c>
      <c r="E39" s="74"/>
      <c r="F39" s="74">
        <f t="shared" si="10"/>
        <v>26993271</v>
      </c>
      <c r="G39" s="337"/>
      <c r="H39" s="1378" t="s">
        <v>2159</v>
      </c>
      <c r="I39" s="1379">
        <f>ROUND(F39/$C$6,0)</f>
        <v>1385</v>
      </c>
      <c r="J39" s="337" t="s">
        <v>1078</v>
      </c>
      <c r="K39" s="373">
        <f t="shared" ref="K39:K43" si="11">F39</f>
        <v>26993271</v>
      </c>
      <c r="L39" s="373">
        <f>K39</f>
        <v>26993271</v>
      </c>
      <c r="M39" s="373"/>
      <c r="N39" s="373"/>
      <c r="O39" s="373"/>
    </row>
    <row r="40" spans="1:31">
      <c r="A40" s="99" t="s">
        <v>18</v>
      </c>
      <c r="B40" s="86">
        <f>'E-P FGD'!M64</f>
        <v>28270762</v>
      </c>
      <c r="C40" s="87">
        <f t="shared" si="9"/>
        <v>1451</v>
      </c>
      <c r="D40" s="86">
        <f>'E-P FGD'!F64</f>
        <v>0</v>
      </c>
      <c r="E40" s="74"/>
      <c r="F40" s="74">
        <f t="shared" si="10"/>
        <v>28270762</v>
      </c>
      <c r="G40" s="337"/>
      <c r="J40" s="337" t="s">
        <v>1079</v>
      </c>
      <c r="K40" s="373">
        <f t="shared" si="11"/>
        <v>28270762</v>
      </c>
      <c r="L40" s="373"/>
      <c r="M40" s="373">
        <f>K40</f>
        <v>28270762</v>
      </c>
      <c r="N40" s="373"/>
      <c r="O40" s="373"/>
    </row>
    <row r="41" spans="1:31">
      <c r="A41" s="99" t="s">
        <v>19</v>
      </c>
      <c r="B41" s="86">
        <f>'E-P FGD'!M65</f>
        <v>31762240</v>
      </c>
      <c r="C41" s="87">
        <f t="shared" si="9"/>
        <v>1630</v>
      </c>
      <c r="D41" s="86">
        <f>'E-P FGD'!F65</f>
        <v>0</v>
      </c>
      <c r="E41" s="74"/>
      <c r="F41" s="74">
        <f t="shared" si="10"/>
        <v>31762240</v>
      </c>
      <c r="G41" s="337"/>
      <c r="H41" s="1378" t="s">
        <v>2160</v>
      </c>
      <c r="I41" s="1379">
        <f>ROUND(F41/$C$6,0)</f>
        <v>1630</v>
      </c>
      <c r="J41" s="337" t="s">
        <v>757</v>
      </c>
      <c r="K41" s="373">
        <f t="shared" si="11"/>
        <v>31762240</v>
      </c>
      <c r="L41" s="373"/>
      <c r="M41" s="373"/>
      <c r="N41" s="373">
        <f>K41</f>
        <v>31762240</v>
      </c>
      <c r="O41" s="373"/>
    </row>
    <row r="42" spans="1:31">
      <c r="A42" s="99" t="s">
        <v>20</v>
      </c>
      <c r="B42" s="86">
        <f>'E-P FGD'!M66</f>
        <v>28976151</v>
      </c>
      <c r="C42" s="87">
        <f t="shared" si="9"/>
        <v>1487</v>
      </c>
      <c r="D42" s="86">
        <f>'E-P FGD'!F66</f>
        <v>0</v>
      </c>
      <c r="E42" s="74"/>
      <c r="F42" s="74">
        <f t="shared" si="10"/>
        <v>28976151</v>
      </c>
      <c r="G42" s="337"/>
      <c r="J42" s="337" t="s">
        <v>758</v>
      </c>
      <c r="K42" s="373">
        <f t="shared" si="11"/>
        <v>28976151</v>
      </c>
      <c r="L42" s="373"/>
      <c r="M42" s="373"/>
      <c r="N42" s="373">
        <f>K42</f>
        <v>28976151</v>
      </c>
      <c r="O42" s="373"/>
    </row>
    <row r="43" spans="1:31">
      <c r="A43" s="99" t="s">
        <v>21</v>
      </c>
      <c r="B43" s="86">
        <f>'E-P FGD'!M67</f>
        <v>108022906</v>
      </c>
      <c r="C43" s="87">
        <f t="shared" si="9"/>
        <v>5543</v>
      </c>
      <c r="D43" s="86">
        <f>'E-P FGD'!F67</f>
        <v>0</v>
      </c>
      <c r="E43" s="74"/>
      <c r="F43" s="74">
        <f t="shared" si="10"/>
        <v>108022906</v>
      </c>
      <c r="G43" s="337"/>
      <c r="H43" s="337"/>
      <c r="I43" s="337"/>
      <c r="J43" s="337" t="s">
        <v>1145</v>
      </c>
      <c r="K43" s="373">
        <f t="shared" si="11"/>
        <v>108022906</v>
      </c>
      <c r="L43" s="373"/>
      <c r="M43" s="373">
        <f>K43</f>
        <v>108022906</v>
      </c>
      <c r="N43" s="373"/>
      <c r="O43" s="373"/>
    </row>
    <row r="44" spans="1:31">
      <c r="A44" s="99" t="s">
        <v>2135</v>
      </c>
      <c r="B44" s="86">
        <f>'E-P FGD'!M68</f>
        <v>35721794</v>
      </c>
      <c r="C44" s="87">
        <f t="shared" si="9"/>
        <v>1833</v>
      </c>
      <c r="D44" s="729">
        <f>B44</f>
        <v>35721794</v>
      </c>
      <c r="E44" s="74"/>
      <c r="F44" s="74">
        <f t="shared" si="10"/>
        <v>0</v>
      </c>
      <c r="G44" s="337"/>
      <c r="H44" s="337"/>
      <c r="I44" s="337"/>
      <c r="J44" s="337" t="s">
        <v>743</v>
      </c>
      <c r="K44" s="736"/>
      <c r="L44" s="737"/>
      <c r="M44" s="737" t="s">
        <v>1152</v>
      </c>
      <c r="N44" s="737"/>
      <c r="O44" s="738"/>
    </row>
    <row r="45" spans="1:31">
      <c r="A45" s="99" t="s">
        <v>61</v>
      </c>
      <c r="B45" s="86">
        <f>'E-P FGD'!M69</f>
        <v>10125461</v>
      </c>
      <c r="C45" s="87">
        <f t="shared" si="9"/>
        <v>520</v>
      </c>
      <c r="D45" s="86">
        <f>'E-P FGD'!F69</f>
        <v>407027</v>
      </c>
      <c r="E45" s="74"/>
      <c r="F45" s="74">
        <f t="shared" si="10"/>
        <v>9718434</v>
      </c>
      <c r="G45" s="337"/>
      <c r="H45" s="337"/>
      <c r="I45" s="337"/>
      <c r="J45" s="337" t="s">
        <v>1080</v>
      </c>
      <c r="K45" s="373">
        <f t="shared" ref="K45:K46" si="12">F45</f>
        <v>9718434</v>
      </c>
      <c r="L45" s="373"/>
      <c r="M45" s="373"/>
      <c r="N45" s="373"/>
      <c r="O45" s="373">
        <f>K45</f>
        <v>9718434</v>
      </c>
    </row>
    <row r="46" spans="1:31" ht="13.5" thickBot="1">
      <c r="A46" s="75" t="s">
        <v>50</v>
      </c>
      <c r="B46" s="86">
        <f>'E-P FGD'!M70</f>
        <v>0</v>
      </c>
      <c r="C46" s="87">
        <f t="shared" si="9"/>
        <v>0</v>
      </c>
      <c r="D46" s="86">
        <f>'E-P FGD'!F70</f>
        <v>0</v>
      </c>
      <c r="E46" s="74"/>
      <c r="F46" s="74">
        <f t="shared" si="10"/>
        <v>0</v>
      </c>
      <c r="G46" s="35"/>
      <c r="H46" s="1378" t="s">
        <v>2161</v>
      </c>
      <c r="I46" s="1379">
        <f>ROUND(SUM(F37+F40+F42+F43+F45+F46)/$C$6,0)</f>
        <v>13567</v>
      </c>
      <c r="J46" s="610" t="s">
        <v>1075</v>
      </c>
      <c r="K46" s="373">
        <f t="shared" si="12"/>
        <v>0</v>
      </c>
      <c r="L46" s="611"/>
      <c r="M46" s="611"/>
      <c r="N46" s="611"/>
      <c r="O46" s="373">
        <f>K46</f>
        <v>0</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482017406</v>
      </c>
      <c r="C47" s="45">
        <f>SUM(C36:C46)</f>
        <v>24734</v>
      </c>
      <c r="D47" s="730">
        <f>SUM(D36:D46)</f>
        <v>36128821</v>
      </c>
      <c r="E47" s="731">
        <f>SUM(E36:E46)</f>
        <v>11373956</v>
      </c>
      <c r="F47" s="719">
        <f>SUM(F36:F46)</f>
        <v>434514629</v>
      </c>
      <c r="G47" s="1688" t="s">
        <v>1176</v>
      </c>
      <c r="H47" s="1689"/>
      <c r="I47" s="785" t="s">
        <v>1164</v>
      </c>
      <c r="J47" s="610" t="s">
        <v>1081</v>
      </c>
      <c r="K47" s="612">
        <f>SUM(K36:K46)</f>
        <v>434514629</v>
      </c>
      <c r="L47" s="612">
        <f>SUM(L36:L46)</f>
        <v>227764136</v>
      </c>
      <c r="M47" s="612">
        <f>SUM(M36:M46)</f>
        <v>136293668</v>
      </c>
      <c r="N47" s="612">
        <f>SUM(N36:N46)</f>
        <v>60738391</v>
      </c>
      <c r="O47" s="612">
        <f>SUM(O36:O46)</f>
        <v>9718434</v>
      </c>
    </row>
    <row r="48" spans="1:31" ht="14.25" thickTop="1" thickBot="1">
      <c r="A48" s="93"/>
      <c r="B48" s="98"/>
      <c r="C48" s="75"/>
      <c r="F48" s="613"/>
      <c r="G48" s="1690"/>
      <c r="H48" s="1691"/>
      <c r="I48" s="823">
        <f>ROUND(F47/C6,0)</f>
        <v>22296</v>
      </c>
      <c r="J48" s="1700" t="s">
        <v>1082</v>
      </c>
      <c r="K48" s="611"/>
      <c r="L48" s="611"/>
      <c r="M48" s="611"/>
      <c r="N48" s="611"/>
      <c r="O48" s="611"/>
    </row>
    <row r="49" spans="1:31" ht="13.5" thickBot="1">
      <c r="A49" s="78" t="s">
        <v>23</v>
      </c>
      <c r="B49" s="82"/>
      <c r="C49" s="75"/>
      <c r="F49" s="614"/>
      <c r="G49" s="1690"/>
      <c r="H49" s="1691"/>
      <c r="I49" s="811"/>
      <c r="J49" s="1700"/>
      <c r="K49" s="615">
        <f>ROUND(K47/$C$6,2)</f>
        <v>22295.61</v>
      </c>
      <c r="L49" s="615">
        <f t="shared" ref="L49:O49" si="13">ROUND(L47/$C$6,2)</f>
        <v>11686.92</v>
      </c>
      <c r="M49" s="615">
        <f t="shared" si="13"/>
        <v>6993.44</v>
      </c>
      <c r="N49" s="615">
        <f t="shared" si="13"/>
        <v>3116.58</v>
      </c>
      <c r="O49" s="615">
        <f t="shared" si="13"/>
        <v>498.67</v>
      </c>
      <c r="P49" s="35"/>
      <c r="Q49" s="96"/>
      <c r="R49" s="96"/>
      <c r="S49" s="96"/>
      <c r="T49" s="96"/>
      <c r="U49" s="96"/>
      <c r="V49" s="96"/>
      <c r="W49" s="96"/>
      <c r="X49" s="96"/>
      <c r="Y49" s="96"/>
      <c r="Z49" s="96"/>
      <c r="AA49" s="96"/>
      <c r="AB49" s="96"/>
      <c r="AC49" s="96"/>
      <c r="AD49" s="96"/>
      <c r="AE49" s="96"/>
    </row>
    <row r="50" spans="1:31" ht="13.5" thickBot="1">
      <c r="A50" s="75" t="s">
        <v>62</v>
      </c>
      <c r="B50" s="86">
        <f>'E-P FGD'!M74</f>
        <v>-8316845</v>
      </c>
      <c r="C50" s="83">
        <f t="shared" ref="C50:C53" si="14">ROUND(B50/$C$6,0)</f>
        <v>-427</v>
      </c>
      <c r="D50" s="512">
        <f>'E-P FGD'!F74</f>
        <v>0</v>
      </c>
      <c r="E50" s="512"/>
      <c r="F50" s="732">
        <f t="shared" ref="F50:F53" si="15">B50-(SUM(D50:E50))</f>
        <v>-8316845</v>
      </c>
      <c r="G50" s="1692"/>
      <c r="H50" s="1693"/>
      <c r="I50" s="808"/>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'E-P FGD'!M75</f>
        <v>-2026750</v>
      </c>
      <c r="C51" s="87">
        <f t="shared" si="14"/>
        <v>-104</v>
      </c>
      <c r="D51" s="91">
        <f>'E-P FGD'!F75</f>
        <v>21676525</v>
      </c>
      <c r="E51" s="82"/>
      <c r="F51" s="74">
        <f t="shared" si="15"/>
        <v>-23703275</v>
      </c>
      <c r="G51" s="337"/>
      <c r="J51" s="337"/>
      <c r="K51" s="616"/>
      <c r="L51" s="616"/>
      <c r="M51" s="616"/>
      <c r="N51" s="616"/>
      <c r="O51" s="616"/>
    </row>
    <row r="52" spans="1:31">
      <c r="A52" s="75" t="s">
        <v>51</v>
      </c>
      <c r="B52" s="86">
        <f>'E-P FGD'!M76</f>
        <v>13287671</v>
      </c>
      <c r="C52" s="87">
        <f t="shared" si="14"/>
        <v>682</v>
      </c>
      <c r="D52" s="91">
        <f>'E-P FGD'!F76</f>
        <v>0</v>
      </c>
      <c r="E52" s="82"/>
      <c r="F52" s="74">
        <f t="shared" si="15"/>
        <v>13287671</v>
      </c>
      <c r="G52" s="337"/>
      <c r="J52" s="733"/>
      <c r="K52" s="733"/>
      <c r="L52" s="733"/>
      <c r="M52" s="733"/>
      <c r="N52" s="733"/>
      <c r="O52" s="733"/>
    </row>
    <row r="53" spans="1:31" ht="12" customHeight="1">
      <c r="A53" s="75" t="s">
        <v>46</v>
      </c>
      <c r="B53" s="86">
        <f>'E-P FGD'!M77</f>
        <v>-18455392</v>
      </c>
      <c r="C53" s="87">
        <f t="shared" si="14"/>
        <v>-947</v>
      </c>
      <c r="D53" s="91">
        <f>'E-P FGD'!F77</f>
        <v>-2353549</v>
      </c>
      <c r="E53" s="82"/>
      <c r="F53" s="74">
        <f t="shared" si="15"/>
        <v>-16101843</v>
      </c>
      <c r="G53" s="35"/>
      <c r="J53" s="733"/>
      <c r="K53" s="733"/>
      <c r="L53" s="733"/>
      <c r="M53" s="733"/>
      <c r="N53" s="733"/>
      <c r="O53" s="733"/>
      <c r="P53" s="35"/>
      <c r="Q53" s="96"/>
      <c r="R53" s="96"/>
      <c r="S53" s="96"/>
      <c r="T53" s="96"/>
      <c r="U53" s="96"/>
      <c r="V53" s="96"/>
      <c r="W53" s="96"/>
      <c r="X53" s="96"/>
      <c r="Y53" s="96"/>
      <c r="Z53" s="96"/>
      <c r="AA53" s="96"/>
      <c r="AB53" s="96"/>
      <c r="AC53" s="96"/>
      <c r="AD53" s="96"/>
      <c r="AE53" s="96"/>
    </row>
    <row r="54" spans="1:31">
      <c r="A54" s="88" t="s">
        <v>3</v>
      </c>
      <c r="B54" s="89">
        <f>SUM(B50:B53)</f>
        <v>-15511316</v>
      </c>
      <c r="C54" s="89">
        <f>SUM(C50:C53)</f>
        <v>-796</v>
      </c>
      <c r="D54" s="89">
        <f>SUM(D50:D53)</f>
        <v>19322976</v>
      </c>
      <c r="E54" s="89">
        <f>SUM(E50:E53)</f>
        <v>0</v>
      </c>
      <c r="F54" s="102">
        <f>SUM(F50:F53)</f>
        <v>-34834292</v>
      </c>
      <c r="G54" s="337"/>
      <c r="H54" s="337"/>
      <c r="I54" s="337"/>
      <c r="J54" s="733"/>
      <c r="K54" s="733"/>
      <c r="L54" s="733"/>
      <c r="M54" s="733"/>
      <c r="N54" s="733"/>
      <c r="O54" s="733"/>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'E-P FGD'!M81</f>
        <v>84328398</v>
      </c>
      <c r="C57" s="83">
        <f>ROUND(B57/$C$6,0)</f>
        <v>4327</v>
      </c>
      <c r="D57" s="512">
        <f>'E-P FGD'!F81</f>
        <v>0</v>
      </c>
      <c r="E57" s="512"/>
      <c r="F57" s="512">
        <f t="shared" ref="F57:F58" si="16">B57-(SUM(D57:E57))</f>
        <v>84328398</v>
      </c>
      <c r="G57" s="337"/>
      <c r="H57" s="337"/>
      <c r="I57" s="337"/>
      <c r="J57" s="337"/>
    </row>
    <row r="58" spans="1:31">
      <c r="A58" s="75" t="s">
        <v>48</v>
      </c>
      <c r="B58" s="86">
        <f>'E-P FGD'!M82</f>
        <v>9111883</v>
      </c>
      <c r="C58" s="87">
        <f>ROUND(B58/$C$6,0)</f>
        <v>468</v>
      </c>
      <c r="D58" s="91">
        <f>'E-P FGD'!F82</f>
        <v>0</v>
      </c>
      <c r="E58" s="82"/>
      <c r="F58" s="74">
        <f t="shared" si="16"/>
        <v>9111883</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93440281</v>
      </c>
      <c r="C59" s="89">
        <f>SUM(C57:C58)</f>
        <v>4795</v>
      </c>
      <c r="D59" s="89">
        <f>SUM(D57:D58)</f>
        <v>0</v>
      </c>
      <c r="E59" s="89">
        <f>SUM(E57:E58)</f>
        <v>0</v>
      </c>
      <c r="F59" s="89">
        <f>SUM(F57:F58)</f>
        <v>93440281</v>
      </c>
      <c r="G59" s="367"/>
      <c r="H59" s="367"/>
      <c r="I59" s="367"/>
      <c r="J59" s="367"/>
      <c r="K59" s="266"/>
      <c r="L59" s="266"/>
      <c r="M59" s="266"/>
      <c r="N59" s="266"/>
      <c r="O59" s="266"/>
      <c r="P59" s="266"/>
    </row>
    <row r="60" spans="1:31">
      <c r="B60" s="82"/>
      <c r="C60" s="75"/>
    </row>
    <row r="61" spans="1:31" ht="13.5" thickBot="1">
      <c r="A61" s="103" t="s">
        <v>573</v>
      </c>
      <c r="B61" s="46">
        <f>B33-B47+B54+B59</f>
        <v>140938204</v>
      </c>
      <c r="C61" s="46">
        <f>C33-C47+C54+C59</f>
        <v>7234</v>
      </c>
      <c r="D61" s="46">
        <f>D33-D47+D54+D59</f>
        <v>8455676</v>
      </c>
      <c r="E61" s="46">
        <f>E33-E47+E54+E59</f>
        <v>-11373956</v>
      </c>
      <c r="F61" s="46">
        <f>F33-F47+F54+F59</f>
        <v>143856484</v>
      </c>
    </row>
    <row r="62" spans="1:31" ht="13.5" thickTop="1"/>
    <row r="63" spans="1:31">
      <c r="D63" s="512"/>
    </row>
    <row r="65" spans="2:16">
      <c r="B65" s="734">
        <f>'E-P FGD'!$M$85</f>
        <v>140938204</v>
      </c>
      <c r="C65" s="75"/>
      <c r="D65" s="734">
        <f>'E-P FGD'!$F$85</f>
        <v>8957216</v>
      </c>
      <c r="E65" s="734">
        <f>'E-P FGD'!$M$62*-1</f>
        <v>-11373956</v>
      </c>
      <c r="F65" s="75"/>
    </row>
    <row r="66" spans="2:16">
      <c r="B66" s="734"/>
      <c r="C66" s="75"/>
      <c r="D66" s="734">
        <f>'E-P FGD'!$F$68</f>
        <v>35220254</v>
      </c>
      <c r="E66" s="734">
        <f>+$D$38</f>
        <v>0</v>
      </c>
      <c r="F66" s="734"/>
    </row>
    <row r="67" spans="2:16">
      <c r="B67" s="759"/>
      <c r="C67" s="75"/>
      <c r="D67" s="759">
        <f>-'E-P FGD'!$M$68</f>
        <v>-35721794</v>
      </c>
      <c r="E67" s="759"/>
      <c r="F67" s="734"/>
    </row>
    <row r="68" spans="2:16">
      <c r="B68" s="734">
        <f>SUM(B65:B67)</f>
        <v>140938204</v>
      </c>
      <c r="C68" s="75"/>
      <c r="D68" s="734">
        <f>SUM(D65:D67)</f>
        <v>8455676</v>
      </c>
      <c r="E68" s="734">
        <f>SUM(E65:E67)</f>
        <v>-11373956</v>
      </c>
      <c r="F68" s="734">
        <f>B68-D68-E68</f>
        <v>143856484</v>
      </c>
    </row>
    <row r="69" spans="2:16">
      <c r="B69" s="734"/>
      <c r="C69" s="75"/>
      <c r="D69" s="734">
        <f>'E-P FGD'!F54*-1</f>
        <v>-16537887</v>
      </c>
      <c r="E69" s="734"/>
      <c r="F69" s="734"/>
    </row>
    <row r="70" spans="2:16" ht="12.75" customHeight="1">
      <c r="B70" s="759"/>
      <c r="C70" s="95"/>
      <c r="D70" s="759">
        <f>'E-P FGD'!M54</f>
        <v>16537887</v>
      </c>
      <c r="E70" s="759"/>
      <c r="F70" s="759">
        <f>-D70-D69</f>
        <v>0</v>
      </c>
    </row>
    <row r="71" spans="2:16" ht="12.75" customHeight="1">
      <c r="B71" s="734">
        <f>SUM(B68:B70)</f>
        <v>140938204</v>
      </c>
      <c r="C71" s="75"/>
      <c r="D71" s="734">
        <f>SUM(D68:D70)</f>
        <v>8455676</v>
      </c>
      <c r="E71" s="734">
        <f>SUM(E68:E70)</f>
        <v>-11373956</v>
      </c>
      <c r="F71" s="734">
        <f>SUM(F68:F70)</f>
        <v>143856484</v>
      </c>
    </row>
    <row r="72" spans="2:16" ht="12.75" customHeight="1">
      <c r="B72" s="734"/>
      <c r="C72" s="75"/>
      <c r="D72" s="734"/>
      <c r="E72" s="734"/>
      <c r="F72" s="734"/>
    </row>
    <row r="73" spans="2:16" ht="12.75" customHeight="1">
      <c r="B73" s="512">
        <f>B61-B71</f>
        <v>0</v>
      </c>
      <c r="C73" s="75"/>
      <c r="D73" s="512">
        <f>D61-D71</f>
        <v>0</v>
      </c>
      <c r="E73" s="512">
        <f>E61-E71</f>
        <v>0</v>
      </c>
      <c r="F73" s="512">
        <f>F61-F71</f>
        <v>0</v>
      </c>
    </row>
    <row r="74" spans="2:16" ht="12.75" customHeight="1">
      <c r="C74" s="75"/>
      <c r="F74" s="617"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G47:H50"/>
    <mergeCell ref="K30:O30"/>
    <mergeCell ref="M31:M34"/>
    <mergeCell ref="G32:H32"/>
    <mergeCell ref="G33:H33"/>
    <mergeCell ref="L31:L34"/>
    <mergeCell ref="K31:K34"/>
    <mergeCell ref="N31:N34"/>
    <mergeCell ref="O31:O34"/>
    <mergeCell ref="J48:J49"/>
    <mergeCell ref="F1:I1"/>
    <mergeCell ref="J1:O1"/>
    <mergeCell ref="D1:E1"/>
    <mergeCell ref="K29:O29"/>
    <mergeCell ref="D4:D5"/>
    <mergeCell ref="E4:E5"/>
  </mergeCells>
  <hyperlinks>
    <hyperlink ref="D1:E1" location="Index!A1" display="Return to Index" xr:uid="{00000000-0004-0000-26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63"/>
  <sheetViews>
    <sheetView showGridLines="0" zoomScale="90" zoomScaleNormal="90" workbookViewId="0">
      <pane ySplit="5" topLeftCell="A6" activePane="bottomLeft" state="frozen"/>
      <selection activeCell="F74" sqref="E74:F74"/>
      <selection pane="bottomLeft" activeCell="L34" sqref="L34"/>
    </sheetView>
  </sheetViews>
  <sheetFormatPr defaultRowHeight="12.75"/>
  <cols>
    <col min="1" max="1" width="5.140625" customWidth="1"/>
    <col min="3" max="3" width="52.5703125" customWidth="1"/>
    <col min="4" max="4" width="16.5703125" customWidth="1"/>
    <col min="5" max="5" width="18" customWidth="1"/>
    <col min="6" max="6" width="17.42578125" customWidth="1"/>
    <col min="7" max="7" width="15.42578125" customWidth="1"/>
    <col min="8" max="8" width="16.42578125" customWidth="1"/>
    <col min="9" max="9" width="18" customWidth="1"/>
    <col min="12" max="12" width="13.28515625" customWidth="1"/>
  </cols>
  <sheetData>
    <row r="1" spans="1:12" ht="13.5" thickBot="1">
      <c r="D1" s="814" t="s">
        <v>131</v>
      </c>
      <c r="H1" s="855" t="s">
        <v>1200</v>
      </c>
    </row>
    <row r="2" spans="1:12">
      <c r="D2" s="814" t="s">
        <v>2382</v>
      </c>
    </row>
    <row r="3" spans="1:12">
      <c r="D3" s="908" t="s">
        <v>2476</v>
      </c>
    </row>
    <row r="4" spans="1:12">
      <c r="L4" s="264" t="s">
        <v>2477</v>
      </c>
    </row>
    <row r="5" spans="1:12" ht="31.5" customHeight="1">
      <c r="A5" s="263" t="s">
        <v>1232</v>
      </c>
      <c r="B5" s="263" t="s">
        <v>1231</v>
      </c>
      <c r="C5" s="263" t="s">
        <v>217</v>
      </c>
      <c r="D5" s="357" t="s">
        <v>14</v>
      </c>
      <c r="E5" s="357" t="s">
        <v>263</v>
      </c>
      <c r="F5" s="357" t="s">
        <v>17</v>
      </c>
      <c r="G5" s="357" t="s">
        <v>18</v>
      </c>
      <c r="H5" s="357" t="s">
        <v>19</v>
      </c>
    </row>
    <row r="6" spans="1:12">
      <c r="A6" s="358">
        <v>40</v>
      </c>
      <c r="B6" s="1000">
        <v>3656</v>
      </c>
      <c r="C6" s="358" t="str">
        <f>'ARL Sum'!$A$1</f>
        <v>The University of Texas at Arlington</v>
      </c>
      <c r="D6" s="352">
        <f>'ARL FGD'!$R$60</f>
        <v>198147761</v>
      </c>
      <c r="E6" s="352">
        <f>'ARL FGD'!$R$61</f>
        <v>105656299</v>
      </c>
      <c r="F6" s="352">
        <f>'ARL FGD'!$R$63</f>
        <v>62034661</v>
      </c>
      <c r="G6" s="352">
        <f>'ARL FGD'!$R$64</f>
        <v>87683214</v>
      </c>
      <c r="H6" s="352">
        <f>'ARL FGD'!$R$65</f>
        <v>49661717</v>
      </c>
    </row>
    <row r="7" spans="1:12">
      <c r="A7" s="358">
        <v>51</v>
      </c>
      <c r="B7" s="1000">
        <v>3658</v>
      </c>
      <c r="C7" s="1525" t="str">
        <f>'AUS1 Sum'!$A$1</f>
        <v>The University of Texas at Austin - Academic &amp; Health (A+H)</v>
      </c>
      <c r="D7" s="900">
        <f>'AUS1 FGD'!$R$60</f>
        <v>680618810</v>
      </c>
      <c r="E7" s="900">
        <f>'AUS1 FGD'!$R$61</f>
        <v>573481599</v>
      </c>
      <c r="F7" s="900">
        <f>'AUS1 FGD'!$R$63</f>
        <v>330002373</v>
      </c>
      <c r="G7" s="900">
        <f>'AUS1 FGD'!$R$64</f>
        <v>42717875</v>
      </c>
      <c r="H7" s="900">
        <f>'AUS1 FGD'!$R$65</f>
        <v>219334472</v>
      </c>
      <c r="I7" t="s">
        <v>1372</v>
      </c>
    </row>
    <row r="8" spans="1:12">
      <c r="A8" s="358">
        <v>60</v>
      </c>
      <c r="B8" s="1000">
        <v>9741</v>
      </c>
      <c r="C8" s="408" t="str">
        <f>'DAL Sum'!$A$1</f>
        <v>The University of Texas at Dallas</v>
      </c>
      <c r="D8" s="900">
        <f>'DAL FGD'!$R$60</f>
        <v>198362529</v>
      </c>
      <c r="E8" s="900">
        <f>'DAL FGD'!$R$61</f>
        <v>104916639</v>
      </c>
      <c r="F8" s="900">
        <f>'DAL FGD'!$R$63</f>
        <v>65864869</v>
      </c>
      <c r="G8" s="900">
        <f>'DAL FGD'!$R$64</f>
        <v>17924411</v>
      </c>
      <c r="H8" s="900">
        <f>'DAL FGD'!$R$65</f>
        <v>36900521</v>
      </c>
    </row>
    <row r="9" spans="1:12">
      <c r="A9" s="358">
        <v>70</v>
      </c>
      <c r="B9" s="1000">
        <v>3661</v>
      </c>
      <c r="C9" s="408" t="str">
        <f>'E-P Sum'!$A$1</f>
        <v>The University of Texas at El Paso</v>
      </c>
      <c r="D9" s="900">
        <f>'E-P FGD'!$R$60</f>
        <v>111650892</v>
      </c>
      <c r="E9" s="900">
        <f>'E-P FGD'!$R$61</f>
        <v>97102943</v>
      </c>
      <c r="F9" s="900">
        <f>'E-P FGD'!$R$63</f>
        <v>27940841</v>
      </c>
      <c r="G9" s="900">
        <f>'E-P FGD'!$R$64</f>
        <v>28641525</v>
      </c>
      <c r="H9" s="900">
        <f>'E-P FGD'!$R$65</f>
        <v>32400937</v>
      </c>
    </row>
    <row r="10" spans="1:12">
      <c r="A10" s="358">
        <v>91</v>
      </c>
      <c r="B10" s="1000">
        <v>3599</v>
      </c>
      <c r="C10" s="1525" t="str">
        <f>'RGV1 Sum'!$A$1</f>
        <v>The University of Texas RGV - Academic &amp; Health (A+H)</v>
      </c>
      <c r="D10" s="900">
        <f>'RGV1 FGD'!$R$60</f>
        <v>142631498</v>
      </c>
      <c r="E10" s="900">
        <f>'RGV1 FGD'!$R$61</f>
        <v>29969070</v>
      </c>
      <c r="F10" s="900">
        <f>'RGV1 FGD'!$R$63</f>
        <v>53061625</v>
      </c>
      <c r="G10" s="900">
        <f>'RGV1 FGD'!$R$64</f>
        <v>39800780</v>
      </c>
      <c r="H10" s="900">
        <f>'RGV1 FGD'!$R$65</f>
        <v>37842344</v>
      </c>
      <c r="I10" t="s">
        <v>1372</v>
      </c>
      <c r="J10" s="264"/>
    </row>
    <row r="11" spans="1:12">
      <c r="A11" s="358">
        <v>100</v>
      </c>
      <c r="B11" s="1000">
        <v>9930</v>
      </c>
      <c r="C11" s="408" t="str">
        <f>'P-B Sum'!$A$1</f>
        <v>The University of Texas of the Permian Basin</v>
      </c>
      <c r="D11" s="900">
        <f>'P-B FGD'!$R$60</f>
        <v>35397147</v>
      </c>
      <c r="E11" s="900">
        <f>'P-B FGD'!$R$61</f>
        <v>3104379</v>
      </c>
      <c r="F11" s="900">
        <f>'P-B FGD'!$R$63</f>
        <v>7539007</v>
      </c>
      <c r="G11" s="900">
        <f>'P-B FGD'!$R$64</f>
        <v>3444460</v>
      </c>
      <c r="H11" s="900">
        <f>'P-B FGD'!$R$65</f>
        <v>14667735</v>
      </c>
    </row>
    <row r="12" spans="1:12">
      <c r="A12" s="358">
        <v>110</v>
      </c>
      <c r="B12" s="1000">
        <v>10115</v>
      </c>
      <c r="C12" s="408" t="str">
        <f>'S-A Sum'!$A$1</f>
        <v>The University of Texas at San Antonio</v>
      </c>
      <c r="D12" s="900">
        <f>'S-A FGD'!$R$60</f>
        <v>116743613</v>
      </c>
      <c r="E12" s="900">
        <f>'S-A FGD'!$R$61</f>
        <v>130184387</v>
      </c>
      <c r="F12" s="900">
        <f>'S-A FGD'!$R$63</f>
        <v>86248031</v>
      </c>
      <c r="G12" s="900">
        <f>'S-A FGD'!$R$64</f>
        <v>29515644</v>
      </c>
      <c r="H12" s="900">
        <f>'S-A FGD'!$R$65</f>
        <v>43291624</v>
      </c>
    </row>
    <row r="13" spans="1:12">
      <c r="A13" s="358">
        <v>120</v>
      </c>
      <c r="B13" s="1000">
        <v>11163</v>
      </c>
      <c r="C13" s="408" t="str">
        <f>'TYL Sum'!$A$1</f>
        <v>The University of Texas at Tyler</v>
      </c>
      <c r="D13" s="900">
        <f>'TYL FGD'!$R$60</f>
        <v>62083865</v>
      </c>
      <c r="E13" s="900">
        <f>'TYL FGD'!$R$61</f>
        <v>2211473</v>
      </c>
      <c r="F13" s="900">
        <f>'TYL FGD'!$R$63</f>
        <v>15553842</v>
      </c>
      <c r="G13" s="900">
        <f>'TYL FGD'!$R$64</f>
        <v>13293929</v>
      </c>
      <c r="H13" s="900">
        <f>'TYL FGD'!$R$65</f>
        <v>14098803</v>
      </c>
    </row>
    <row r="14" spans="1:12">
      <c r="A14" s="358">
        <v>130</v>
      </c>
      <c r="B14" s="1000">
        <v>3632</v>
      </c>
      <c r="C14" s="408" t="str">
        <f>'TAMU Sum'!$A$1</f>
        <v>Texas A&amp;M University</v>
      </c>
      <c r="D14" s="900">
        <f>'TAMU FGD'!$R$60</f>
        <v>609471872</v>
      </c>
      <c r="E14" s="900">
        <f>'TAMU FGD'!$R$61</f>
        <v>251110978</v>
      </c>
      <c r="F14" s="900">
        <f>'TAMU FGD'!$R$63</f>
        <v>266420024</v>
      </c>
      <c r="G14" s="900">
        <f>'TAMU FGD'!$R$64</f>
        <v>78341948</v>
      </c>
      <c r="H14" s="900">
        <f>'TAMU FGD'!$R$65</f>
        <v>89050565</v>
      </c>
    </row>
    <row r="15" spans="1:12">
      <c r="A15" s="358">
        <v>140</v>
      </c>
      <c r="B15" s="1000">
        <v>10298</v>
      </c>
      <c r="C15" s="408" t="str">
        <f>'TAMUG Sum'!$A$1</f>
        <v>Texas A&amp;M University at Galveston</v>
      </c>
      <c r="D15" s="900">
        <f>'TAMUG FGD'!$R$60</f>
        <v>20340276</v>
      </c>
      <c r="E15" s="900">
        <f>'TAMUG FGD'!$R$61</f>
        <v>7005780</v>
      </c>
      <c r="F15" s="900">
        <f>'TAMUG FGD'!$R$63</f>
        <v>6373365</v>
      </c>
      <c r="G15" s="900">
        <f>'TAMUG FGD'!$R$64</f>
        <v>3185210</v>
      </c>
      <c r="H15" s="900">
        <f>'TAMUG FGD'!$R$65</f>
        <v>6809864</v>
      </c>
    </row>
    <row r="16" spans="1:12">
      <c r="A16" s="358">
        <v>150</v>
      </c>
      <c r="B16" s="1000">
        <v>3630</v>
      </c>
      <c r="C16" s="408" t="str">
        <f>'PVAMU Sum'!$A$1</f>
        <v>Prairie View A&amp;M University</v>
      </c>
      <c r="D16" s="900">
        <f>'PVAMU FGD'!$R$60</f>
        <v>52387699</v>
      </c>
      <c r="E16" s="900">
        <f>'PVAMU FGD'!$R$61</f>
        <v>17993582</v>
      </c>
      <c r="F16" s="900">
        <f>'PVAMU FGD'!$R$63</f>
        <v>23927400</v>
      </c>
      <c r="G16" s="900">
        <f>'PVAMU FGD'!$R$64</f>
        <v>19708891</v>
      </c>
      <c r="H16" s="900">
        <f>'PVAMU FGD'!$R$65</f>
        <v>19236733</v>
      </c>
    </row>
    <row r="17" spans="1:9">
      <c r="A17" s="358">
        <v>160</v>
      </c>
      <c r="B17" s="1000">
        <v>3631</v>
      </c>
      <c r="C17" s="408" t="str">
        <f>'TARLST Sum'!$A$1</f>
        <v>Tarleton State University</v>
      </c>
      <c r="D17" s="900">
        <f>'TARLST FGD'!$R$60</f>
        <v>51691716</v>
      </c>
      <c r="E17" s="900">
        <f>'TARLST FGD'!$R$61</f>
        <v>15810007</v>
      </c>
      <c r="F17" s="900">
        <f>'TARLST FGD'!$R$63</f>
        <v>22475075</v>
      </c>
      <c r="G17" s="900">
        <f>'TARLST FGD'!$R$64</f>
        <v>12635146</v>
      </c>
      <c r="H17" s="900">
        <f>'TARLST FGD'!$R$65</f>
        <v>18146913</v>
      </c>
    </row>
    <row r="18" spans="1:9">
      <c r="A18" s="358">
        <v>170</v>
      </c>
      <c r="B18" s="1000">
        <v>11161</v>
      </c>
      <c r="C18" s="408" t="str">
        <f>'TAMUCC Sum'!$A$1</f>
        <v>Texas A&amp;M University - Corpus Christi</v>
      </c>
      <c r="D18" s="900">
        <f>'TAMUCC FGD'!$R$60</f>
        <v>64914661</v>
      </c>
      <c r="E18" s="900">
        <f>'TAMUCC FGD'!$R$61</f>
        <v>26927309</v>
      </c>
      <c r="F18" s="900">
        <f>'TAMUCC FGD'!$R$63</f>
        <v>33170614</v>
      </c>
      <c r="G18" s="900">
        <f>'TAMUCC FGD'!$R$64</f>
        <v>13477927</v>
      </c>
      <c r="H18" s="900">
        <f>'TAMUCC FGD'!$R$65</f>
        <v>15669747</v>
      </c>
    </row>
    <row r="19" spans="1:9">
      <c r="A19" s="358">
        <v>180</v>
      </c>
      <c r="B19" s="1000">
        <v>3639</v>
      </c>
      <c r="C19" s="408" t="str">
        <f>'TAMUK Sum'!$A$1</f>
        <v>Texas A&amp;M University - Kingsville</v>
      </c>
      <c r="D19" s="900">
        <f>'TAMUK FGD'!$R$60</f>
        <v>42347298</v>
      </c>
      <c r="E19" s="900">
        <f>'TAMUK FGD'!$R$61</f>
        <v>19625718</v>
      </c>
      <c r="F19" s="900">
        <f>'TAMUK FGD'!$R$63</f>
        <v>12662491</v>
      </c>
      <c r="G19" s="900">
        <f>'TAMUK FGD'!$R$64</f>
        <v>13268502</v>
      </c>
      <c r="H19" s="900">
        <f>'TAMUK FGD'!$R$65</f>
        <v>11482967</v>
      </c>
    </row>
    <row r="20" spans="1:9">
      <c r="A20" s="358">
        <v>190</v>
      </c>
      <c r="B20" s="1000">
        <v>9651</v>
      </c>
      <c r="C20" s="408" t="str">
        <f>'TAMIU Sum'!$A$1</f>
        <v>Texas A&amp;M International University</v>
      </c>
      <c r="D20" s="900">
        <f>'TAMIU FGD'!$R$60</f>
        <v>34403125</v>
      </c>
      <c r="E20" s="900">
        <f>'TAMIU FGD'!$R$61</f>
        <v>3071938</v>
      </c>
      <c r="F20" s="900">
        <f>'TAMIU FGD'!$R$63</f>
        <v>19661899</v>
      </c>
      <c r="G20" s="900">
        <f>'TAMIU FGD'!$R$64</f>
        <v>8129550</v>
      </c>
      <c r="H20" s="900">
        <f>'TAMIU FGD'!$R$65</f>
        <v>7069203</v>
      </c>
    </row>
    <row r="21" spans="1:9">
      <c r="A21" s="358">
        <v>200</v>
      </c>
      <c r="B21" s="1001">
        <v>3665</v>
      </c>
      <c r="C21" s="408" t="str">
        <f>'WTAMU Sum'!$A$1</f>
        <v>West Texas A&amp;M University</v>
      </c>
      <c r="D21" s="900">
        <f>'WTAMU FGD'!$R$60</f>
        <v>42734290</v>
      </c>
      <c r="E21" s="900">
        <f>'WTAMU FGD'!$R$61</f>
        <v>9086522</v>
      </c>
      <c r="F21" s="900">
        <f>'WTAMU FGD'!$R$63</f>
        <v>17218637</v>
      </c>
      <c r="G21" s="900">
        <f>'WTAMU FGD'!$R$64</f>
        <v>11121315</v>
      </c>
      <c r="H21" s="900">
        <f>'WTAMU FGD'!$R$65</f>
        <v>13564015</v>
      </c>
    </row>
    <row r="22" spans="1:9">
      <c r="A22" s="358">
        <v>210</v>
      </c>
      <c r="B22" s="1000">
        <v>3565</v>
      </c>
      <c r="C22" s="408" t="str">
        <f>'TAMUC Sum'!$A$1</f>
        <v>Texas A&amp;M University - Commerce</v>
      </c>
      <c r="D22" s="900">
        <f>'TAMUC FGD'!$R$60</f>
        <v>57820430</v>
      </c>
      <c r="E22" s="900">
        <f>'TAMUC FGD'!$R$61</f>
        <v>3082486</v>
      </c>
      <c r="F22" s="900">
        <f>'TAMUC FGD'!$R$63</f>
        <v>16425525</v>
      </c>
      <c r="G22" s="900">
        <f>'TAMUC FGD'!$R$64</f>
        <v>16067396</v>
      </c>
      <c r="H22" s="900">
        <f>'TAMUC FGD'!$R$65</f>
        <v>12685083</v>
      </c>
    </row>
    <row r="23" spans="1:9">
      <c r="A23" s="358">
        <v>220</v>
      </c>
      <c r="B23" s="1000">
        <v>29269</v>
      </c>
      <c r="C23" s="408" t="str">
        <f>'TAMUT Sum'!$A$1</f>
        <v>Texas A&amp;M University - Texarkana</v>
      </c>
      <c r="D23" s="900">
        <f>'TAMUT FGD'!$R$60</f>
        <v>16145211</v>
      </c>
      <c r="E23" s="900">
        <f>'TAMUT FGD'!$R$61</f>
        <v>36898</v>
      </c>
      <c r="F23" s="900">
        <f>'TAMUT FGD'!$R$63</f>
        <v>4413410</v>
      </c>
      <c r="G23" s="900">
        <f>'TAMUT FGD'!$R$64</f>
        <v>4400596</v>
      </c>
      <c r="H23" s="900">
        <f>'TAMUT FGD'!$R$65</f>
        <v>4818785</v>
      </c>
    </row>
    <row r="24" spans="1:9">
      <c r="A24" s="358">
        <v>223</v>
      </c>
      <c r="B24" s="1000">
        <v>42295</v>
      </c>
      <c r="C24" s="408" t="str">
        <f>'TAMUCT Sum'!$A$1</f>
        <v>Texas A&amp;M University - Central Texas</v>
      </c>
      <c r="D24" s="900">
        <f>'TAMUCT FGD'!$R$60</f>
        <v>10853453</v>
      </c>
      <c r="E24" s="900">
        <f>'TAMUCT FGD'!$R$61</f>
        <v>1169094</v>
      </c>
      <c r="F24" s="900">
        <f>'TAMUCT FGD'!$R$63</f>
        <v>5907708</v>
      </c>
      <c r="G24" s="900">
        <f>'TAMUCT FGD'!$R$64</f>
        <v>5751758</v>
      </c>
      <c r="H24" s="900">
        <f>'TAMUCT FGD'!$R$65</f>
        <v>4256667</v>
      </c>
    </row>
    <row r="25" spans="1:9">
      <c r="A25" s="358">
        <v>226</v>
      </c>
      <c r="B25" s="1000">
        <v>42485</v>
      </c>
      <c r="C25" s="408" t="str">
        <f>'TAMUSA Sum'!$A$1</f>
        <v>Texas A&amp;M University - San Antonio</v>
      </c>
      <c r="D25" s="900">
        <f>'TAMUSA FGD'!$R$60</f>
        <v>29538053</v>
      </c>
      <c r="E25" s="900">
        <f>'TAMUSA FGD'!$R$61</f>
        <v>1305825</v>
      </c>
      <c r="F25" s="900">
        <f>'TAMUSA FGD'!$R$63</f>
        <v>6219762</v>
      </c>
      <c r="G25" s="900">
        <f>'TAMUSA FGD'!$R$64</f>
        <v>18164198</v>
      </c>
      <c r="H25" s="900">
        <f>'TAMUSA FGD'!$R$65</f>
        <v>13775236</v>
      </c>
    </row>
    <row r="26" spans="1:9">
      <c r="A26" s="358">
        <v>231</v>
      </c>
      <c r="B26" s="1000">
        <v>3652</v>
      </c>
      <c r="C26" s="1525" t="str">
        <f>'UH1 Sum'!$A$1</f>
        <v>University of Houston - Academic &amp; Health (A+H)</v>
      </c>
      <c r="D26" s="900">
        <f>'UH1 FGD'!$R$60</f>
        <v>255212581</v>
      </c>
      <c r="E26" s="900">
        <f>'UH1 FGD'!$R$61</f>
        <v>178873584</v>
      </c>
      <c r="F26" s="900">
        <f>'UH1 FGD'!$R$63</f>
        <v>182532377</v>
      </c>
      <c r="G26" s="900">
        <f>'UH1 FGD'!$R$64</f>
        <v>37901344</v>
      </c>
      <c r="H26" s="900">
        <f>'UH1 FGD'!$R$65</f>
        <v>85603394</v>
      </c>
      <c r="I26" t="s">
        <v>1372</v>
      </c>
    </row>
    <row r="27" spans="1:9">
      <c r="A27" s="358">
        <v>240</v>
      </c>
      <c r="B27" s="1000">
        <v>11711</v>
      </c>
      <c r="C27" s="408" t="str">
        <f>'UHCL Sum'!$A$1</f>
        <v>University of Houston - Clear Lake</v>
      </c>
      <c r="D27" s="900">
        <f>'UHCL FGD'!$R$60</f>
        <v>43137652</v>
      </c>
      <c r="E27" s="900">
        <f>'UHCL FGD'!$R$61</f>
        <v>1740704</v>
      </c>
      <c r="F27" s="900">
        <f>'UHCL FGD'!$R$63</f>
        <v>32999822</v>
      </c>
      <c r="G27" s="900">
        <f>'UHCL FGD'!$R$64</f>
        <v>8138828</v>
      </c>
      <c r="H27" s="900">
        <f>'UHCL FGD'!$R$65</f>
        <v>18111378</v>
      </c>
    </row>
    <row r="28" spans="1:9">
      <c r="A28" s="358">
        <v>250</v>
      </c>
      <c r="B28" s="1000">
        <v>12826</v>
      </c>
      <c r="C28" s="408" t="str">
        <f>'UHD Sum'!$A$1</f>
        <v>University of Houston - Downtown</v>
      </c>
      <c r="D28" s="900">
        <f>'UHD FGD'!$R$60</f>
        <v>50972152</v>
      </c>
      <c r="E28" s="900">
        <f>'UHD FGD'!$R$61</f>
        <v>2040315</v>
      </c>
      <c r="F28" s="900">
        <f>'UHD FGD'!$R$63</f>
        <v>37326701</v>
      </c>
      <c r="G28" s="900">
        <f>'UHD FGD'!$R$64</f>
        <v>7209730</v>
      </c>
      <c r="H28" s="900">
        <f>'UHD FGD'!$R$65</f>
        <v>24050108</v>
      </c>
    </row>
    <row r="29" spans="1:9">
      <c r="A29" s="358">
        <v>260</v>
      </c>
      <c r="B29" s="1000">
        <v>13231</v>
      </c>
      <c r="C29" s="408" t="str">
        <f>'UHV Sum'!$A$1</f>
        <v>University of Houston - Victoria</v>
      </c>
      <c r="D29" s="900">
        <f>'UHV FGD'!$R$60</f>
        <v>20881756</v>
      </c>
      <c r="E29" s="900">
        <f>'UHV FGD'!$R$61</f>
        <v>416867</v>
      </c>
      <c r="F29" s="900">
        <f>'UHV FGD'!$R$63</f>
        <v>13956764</v>
      </c>
      <c r="G29" s="900">
        <f>'UHV FGD'!$R$64</f>
        <v>3604469</v>
      </c>
      <c r="H29" s="900">
        <f>'UHV FGD'!$R$65</f>
        <v>6024113</v>
      </c>
    </row>
    <row r="30" spans="1:9">
      <c r="A30" s="358">
        <v>270</v>
      </c>
      <c r="B30" s="1000">
        <v>3581</v>
      </c>
      <c r="C30" s="408" t="str">
        <f>'LU Sum'!$A$1</f>
        <v xml:space="preserve">Lamar University </v>
      </c>
      <c r="D30" s="900">
        <f>'LU FGD'!$R$60</f>
        <v>63656290</v>
      </c>
      <c r="E30" s="900">
        <f>'LU FGD'!$R$61</f>
        <v>4968792</v>
      </c>
      <c r="F30" s="900">
        <f>'LU FGD'!$R$63</f>
        <v>47621749</v>
      </c>
      <c r="G30" s="900">
        <f>'LU FGD'!$R$64</f>
        <v>9181241</v>
      </c>
      <c r="H30" s="900">
        <f>'LU FGD'!$R$65</f>
        <v>32777238</v>
      </c>
    </row>
    <row r="31" spans="1:9">
      <c r="A31" s="358">
        <v>281</v>
      </c>
      <c r="B31" s="1000">
        <v>3606</v>
      </c>
      <c r="C31" s="1525" t="str">
        <f>'shsu1 Sum'!$A$1</f>
        <v>Sam Houston State University - Academic &amp; Health (A+H)</v>
      </c>
      <c r="D31" s="900">
        <f>'shsu1 FGD'!$R$60</f>
        <v>102310447</v>
      </c>
      <c r="E31" s="900">
        <f>'shsu1 FGD'!$R$61</f>
        <v>10768814</v>
      </c>
      <c r="F31" s="900">
        <f>'shsu1 FGD'!$R$63</f>
        <v>48610672</v>
      </c>
      <c r="G31" s="900">
        <f>'shsu1 FGD'!$R$64</f>
        <v>28008844</v>
      </c>
      <c r="H31" s="900">
        <f>'shsu1 FGD'!$R$65</f>
        <v>24673188</v>
      </c>
      <c r="I31" t="s">
        <v>1372</v>
      </c>
    </row>
    <row r="32" spans="1:9">
      <c r="A32" s="358">
        <v>290</v>
      </c>
      <c r="B32" s="1000">
        <v>3615</v>
      </c>
      <c r="C32" s="408" t="str">
        <f>'TXST Sum'!$A$1</f>
        <v>Texas State University</v>
      </c>
      <c r="D32" s="900">
        <f>'TXST FGD'!$R$60</f>
        <v>205741845</v>
      </c>
      <c r="E32" s="900">
        <f>'TXST FGD'!$R$61</f>
        <v>66558246</v>
      </c>
      <c r="F32" s="900">
        <f>'TXST FGD'!$R$63</f>
        <v>45882304</v>
      </c>
      <c r="G32" s="900">
        <f>'TXST FGD'!$R$64</f>
        <v>18541136</v>
      </c>
      <c r="H32" s="900">
        <f>'TXST FGD'!$R$65</f>
        <v>39746797</v>
      </c>
    </row>
    <row r="33" spans="1:9">
      <c r="A33" s="358">
        <v>300</v>
      </c>
      <c r="B33" s="1000">
        <v>3625</v>
      </c>
      <c r="C33" s="408" t="str">
        <f>'SRSU Sum'!$A$1</f>
        <v>Sul Ross State University</v>
      </c>
      <c r="D33" s="900">
        <f>'SRSU FGD'!$R$60</f>
        <v>9919558</v>
      </c>
      <c r="E33" s="900">
        <f>'SRSU FGD'!$R$61</f>
        <v>1775780</v>
      </c>
      <c r="F33" s="900">
        <f>'SRSU FGD'!$R$63</f>
        <v>4137042</v>
      </c>
      <c r="G33" s="900">
        <f>'SRSU FGD'!$R$64</f>
        <v>3880113</v>
      </c>
      <c r="H33" s="900">
        <f>'SRSU FGD'!$R$65</f>
        <v>14088000</v>
      </c>
    </row>
    <row r="34" spans="1:9">
      <c r="A34" s="358">
        <v>310</v>
      </c>
      <c r="B34" s="1000">
        <v>3644</v>
      </c>
      <c r="C34" s="408" t="str">
        <f>'TTU Sum'!$A$1</f>
        <v>Texas Tech University</v>
      </c>
      <c r="D34" s="900">
        <f>'TTU FGD'!$R$60</f>
        <v>207997533</v>
      </c>
      <c r="E34" s="900">
        <f>'TTU FGD'!$R$61</f>
        <v>181762815</v>
      </c>
      <c r="F34" s="900">
        <f>'TTU FGD'!$R$63</f>
        <v>89324474</v>
      </c>
      <c r="G34" s="900">
        <f>'TTU FGD'!$R$64</f>
        <v>50841156</v>
      </c>
      <c r="H34" s="900">
        <f>'TTU FGD'!$R$65</f>
        <v>48722908</v>
      </c>
    </row>
    <row r="35" spans="1:9">
      <c r="A35" s="358">
        <v>320</v>
      </c>
      <c r="B35" s="1000">
        <v>3541</v>
      </c>
      <c r="C35" s="408" t="str">
        <f>'ASU Sum'!$A$1</f>
        <v>Angelo State University</v>
      </c>
      <c r="D35" s="900">
        <f>'ASU FGD'!$R$60</f>
        <v>45288632</v>
      </c>
      <c r="E35" s="900">
        <f>'ASU FGD'!$R$61</f>
        <v>902658</v>
      </c>
      <c r="F35" s="900">
        <f>'ASU FGD'!$R$63</f>
        <v>7057091</v>
      </c>
      <c r="G35" s="900">
        <f>'ASU FGD'!$R$64</f>
        <v>9051053</v>
      </c>
      <c r="H35" s="900">
        <f>'ASU FGD'!$R$65</f>
        <v>18085384</v>
      </c>
    </row>
    <row r="36" spans="1:9">
      <c r="A36" s="358">
        <v>330</v>
      </c>
      <c r="B36" s="1000">
        <v>3594</v>
      </c>
      <c r="C36" s="408" t="str">
        <f>'UNT Sum'!$A$1</f>
        <v>University of North Texas</v>
      </c>
      <c r="D36" s="900">
        <f>'UNT FGD'!$R$60</f>
        <v>181006202</v>
      </c>
      <c r="E36" s="900">
        <f>'UNT FGD'!$R$61</f>
        <v>75098700</v>
      </c>
      <c r="F36" s="900">
        <f>'UNT FGD'!$R$63</f>
        <v>61846362</v>
      </c>
      <c r="G36" s="900">
        <f>'UNT FGD'!$R$64</f>
        <v>53836942</v>
      </c>
      <c r="H36" s="900">
        <f>'UNT FGD'!$R$65</f>
        <v>52617359</v>
      </c>
    </row>
    <row r="37" spans="1:9">
      <c r="A37" s="358">
        <v>333</v>
      </c>
      <c r="B37" s="1001">
        <v>42421</v>
      </c>
      <c r="C37" s="408" t="str">
        <f>'UNTD Sum'!$A$1</f>
        <v>University of North Texas at Dallas</v>
      </c>
      <c r="D37" s="900">
        <f>'UNTD FGD'!$R$60</f>
        <v>18068894</v>
      </c>
      <c r="E37" s="900">
        <f>'UNTD FGD'!$R$61</f>
        <v>113533</v>
      </c>
      <c r="F37" s="900">
        <f>'UNTD FGD'!$R$63</f>
        <v>4583084</v>
      </c>
      <c r="G37" s="900">
        <f>'UNTD FGD'!$R$64</f>
        <v>8869650</v>
      </c>
      <c r="H37" s="900">
        <f>'UNTD FGD'!$R$65</f>
        <v>7774946</v>
      </c>
    </row>
    <row r="38" spans="1:9">
      <c r="A38" s="358">
        <v>340</v>
      </c>
      <c r="B38" s="1000">
        <v>3592</v>
      </c>
      <c r="C38" s="408" t="str">
        <f>'MidWST Sum'!$A$1</f>
        <v>Midwestern State University</v>
      </c>
      <c r="D38" s="900">
        <f>'MidWST FGD'!$R$60</f>
        <v>38016597</v>
      </c>
      <c r="E38" s="900">
        <f>'MidWST FGD'!$R$61</f>
        <v>909672</v>
      </c>
      <c r="F38" s="900">
        <f>'MidWST FGD'!$R$63</f>
        <v>15184574</v>
      </c>
      <c r="G38" s="900">
        <f>'MidWST FGD'!$R$64</f>
        <v>13184641</v>
      </c>
      <c r="H38" s="900">
        <f>'MidWST FGD'!$R$65</f>
        <v>8720070</v>
      </c>
    </row>
    <row r="39" spans="1:9">
      <c r="A39" s="358">
        <v>350</v>
      </c>
      <c r="B39" s="1000">
        <v>3624</v>
      </c>
      <c r="C39" s="408" t="str">
        <f>'SFA Sum'!$A$1</f>
        <v>Stephen F. Austin State University</v>
      </c>
      <c r="D39" s="900">
        <f>'SFA FGD'!$R$60</f>
        <v>76487115</v>
      </c>
      <c r="E39" s="900">
        <f>'SFA FGD'!$R$61</f>
        <v>3835542</v>
      </c>
      <c r="F39" s="900">
        <f>'SFA FGD'!$R$63</f>
        <v>16563612</v>
      </c>
      <c r="G39" s="900">
        <f>'SFA FGD'!$R$64</f>
        <v>10386471</v>
      </c>
      <c r="H39" s="900">
        <f>'SFA FGD'!$R$65</f>
        <v>35013930</v>
      </c>
    </row>
    <row r="40" spans="1:9">
      <c r="A40" s="358">
        <v>360</v>
      </c>
      <c r="B40" s="1000">
        <v>3642</v>
      </c>
      <c r="C40" s="408" t="str">
        <f>'TSU Sum'!$A$1</f>
        <v>Texas Southern University</v>
      </c>
      <c r="D40" s="900">
        <f>'TSU FGD'!$R$60</f>
        <v>78968378</v>
      </c>
      <c r="E40" s="900">
        <f>'TSU FGD'!$R$61</f>
        <v>5270462</v>
      </c>
      <c r="F40" s="900">
        <f>'TSU FGD'!$R$63</f>
        <v>16720842</v>
      </c>
      <c r="G40" s="900">
        <f>'TSU FGD'!$R$64</f>
        <v>15490084</v>
      </c>
      <c r="H40" s="900">
        <f>'TSU FGD'!$R$65</f>
        <v>58132006</v>
      </c>
    </row>
    <row r="41" spans="1:9">
      <c r="A41" s="358">
        <v>370</v>
      </c>
      <c r="B41" s="1002">
        <v>3646</v>
      </c>
      <c r="C41" s="408" t="str">
        <f>'TWU Sum'!$A$1</f>
        <v>Texas Woman's University</v>
      </c>
      <c r="D41" s="901">
        <f>'TWU FGD'!$R$60</f>
        <v>85470934</v>
      </c>
      <c r="E41" s="901">
        <f>'TWU FGD'!$R$61</f>
        <v>4458898</v>
      </c>
      <c r="F41" s="900">
        <f>'TWU FGD'!$R$63</f>
        <v>29770430</v>
      </c>
      <c r="G41" s="900">
        <f>'TWU FGD'!$R$64</f>
        <v>12424731</v>
      </c>
      <c r="H41" s="900">
        <f>'TWU FGD'!$R$65</f>
        <v>31495960</v>
      </c>
    </row>
    <row r="42" spans="1:9" ht="13.5" thickBot="1">
      <c r="C42" s="903" t="s">
        <v>227</v>
      </c>
      <c r="D42" s="362">
        <f>SUM(D6:D41)</f>
        <v>4061420765</v>
      </c>
      <c r="E42" s="362">
        <f>SUM(E6:E41)</f>
        <v>1942348308</v>
      </c>
      <c r="F42" s="362">
        <f>SUM(F6:F41)</f>
        <v>1737239059</v>
      </c>
      <c r="G42" s="362">
        <f>SUM(G6:G41)</f>
        <v>757824708</v>
      </c>
      <c r="H42" s="362">
        <f>SUM(H6:H41)</f>
        <v>1170400710</v>
      </c>
      <c r="I42" s="362">
        <f>SUM(D42:H42)</f>
        <v>9669233550</v>
      </c>
    </row>
    <row r="43" spans="1:9" ht="13.5" thickTop="1">
      <c r="A43">
        <f>COUNT(A6:A41)</f>
        <v>36</v>
      </c>
      <c r="B43" s="1369">
        <f>SUM(B6:B41)</f>
        <v>345995</v>
      </c>
    </row>
    <row r="44" spans="1:9">
      <c r="B44">
        <f>Names!$I$74</f>
        <v>0</v>
      </c>
      <c r="D44" s="352"/>
    </row>
    <row r="45" spans="1:9">
      <c r="B45" s="1369">
        <f>B43-B44</f>
        <v>345995</v>
      </c>
    </row>
    <row r="46" spans="1:9">
      <c r="A46" s="264" t="s">
        <v>1397</v>
      </c>
      <c r="D46" s="902" t="str">
        <f>IF(D$42&lt;&gt;'CS &amp; SP Smmy'!$F$46,"Error","")</f>
        <v/>
      </c>
      <c r="E46" s="902" t="str">
        <f>IF(E$42&lt;&gt;'CS &amp; SP Smmy'!$F$83,"Error","")</f>
        <v/>
      </c>
      <c r="F46" s="902" t="str">
        <f>IF(F$42&lt;&gt;'CS &amp; SP Smmy'!$F$157,"Error","")</f>
        <v/>
      </c>
      <c r="G46" s="902" t="str">
        <f>IF(G$42&lt;&gt;'CS &amp; SP Smmy'!$F$194,"Error","")</f>
        <v/>
      </c>
      <c r="H46" s="902" t="str">
        <f>IF(H$42&lt;&gt;'CS &amp; SP Smmy'!$F$231,"Error","")</f>
        <v/>
      </c>
    </row>
    <row r="48" spans="1:9">
      <c r="D48" s="900"/>
      <c r="F48" s="264"/>
      <c r="G48" s="264"/>
      <c r="H48" s="264"/>
    </row>
    <row r="50" spans="3:10">
      <c r="C50" s="408" t="s">
        <v>1377</v>
      </c>
      <c r="D50" s="900">
        <f>'AUS1 FGD'!$R$60</f>
        <v>680618810</v>
      </c>
      <c r="E50" s="900">
        <f>'AUS1 FGD'!$R$61</f>
        <v>573481599</v>
      </c>
      <c r="F50" s="900">
        <f>'AUS1 FGD'!$R$63</f>
        <v>330002373</v>
      </c>
      <c r="G50" s="900">
        <f>'AUS1 FGD'!$R$64</f>
        <v>42717875</v>
      </c>
      <c r="H50" s="900">
        <f>'AUS1 FGD'!$R$65</f>
        <v>219334472</v>
      </c>
    </row>
    <row r="52" spans="3:10">
      <c r="C52" s="408" t="s">
        <v>1378</v>
      </c>
      <c r="D52" s="900">
        <f>'RGV FGD'!$R$66</f>
        <v>178120205</v>
      </c>
      <c r="E52" s="900">
        <f>'RGV FGD'!$R$67</f>
        <v>51117740</v>
      </c>
      <c r="F52" s="900">
        <f>'RGV FGD'!$R$70</f>
        <v>69972278</v>
      </c>
      <c r="G52" s="900">
        <f>'RGV FGD'!$R$71</f>
        <v>43267109</v>
      </c>
      <c r="H52" s="900">
        <f>'RGV FGD'!$R$72</f>
        <v>37842344</v>
      </c>
      <c r="J52" s="960"/>
    </row>
    <row r="54" spans="3:10">
      <c r="C54" s="1548" t="s">
        <v>2270</v>
      </c>
      <c r="D54" s="900">
        <f>'UH FGD'!$R$66</f>
        <v>262453053</v>
      </c>
      <c r="E54" s="900">
        <f>'UH FGD'!$R$67</f>
        <v>179588945</v>
      </c>
      <c r="F54" s="900">
        <f>'UH FGD'!$R$70</f>
        <v>187312950</v>
      </c>
      <c r="G54" s="900">
        <f>'UH FGD'!$R$71</f>
        <v>37901344</v>
      </c>
      <c r="H54" s="900">
        <f>'UH FGD'!$R$72</f>
        <v>85903655</v>
      </c>
    </row>
    <row r="55" spans="3:10">
      <c r="C55" s="264"/>
    </row>
    <row r="56" spans="3:10">
      <c r="C56" s="1548" t="s">
        <v>2271</v>
      </c>
      <c r="D56" s="900">
        <f>'Shsu FGD'!$R$66</f>
        <v>110691870</v>
      </c>
      <c r="E56" s="900">
        <f>'Shsu FGD'!$R$67</f>
        <v>11089849</v>
      </c>
      <c r="F56" s="900">
        <f>'Shsu FGD'!$R$70</f>
        <v>52200444</v>
      </c>
      <c r="G56" s="900">
        <f>'Shsu FGD'!$R$71</f>
        <v>29369380</v>
      </c>
      <c r="H56" s="900">
        <f>'Shsu FGD'!$R$72</f>
        <v>24673188</v>
      </c>
    </row>
    <row r="60" spans="3:10" ht="13.5" thickBot="1">
      <c r="C60" s="264" t="s">
        <v>1348</v>
      </c>
      <c r="D60" s="362">
        <v>4102021512</v>
      </c>
      <c r="E60" s="362">
        <v>1973856978</v>
      </c>
      <c r="F60" s="362">
        <v>1761405852</v>
      </c>
      <c r="G60" s="362">
        <v>753359888</v>
      </c>
      <c r="H60" s="362">
        <v>1101930299</v>
      </c>
    </row>
    <row r="61" spans="3:10" ht="13.5" thickTop="1">
      <c r="C61" s="1564">
        <v>44545</v>
      </c>
    </row>
    <row r="63" spans="3:10">
      <c r="D63" s="352">
        <v>4102021512</v>
      </c>
      <c r="E63" s="352">
        <v>1973856978</v>
      </c>
      <c r="F63" s="352">
        <v>1761405852</v>
      </c>
      <c r="G63" s="352">
        <v>753359888</v>
      </c>
      <c r="H63" s="352">
        <v>1101930299</v>
      </c>
    </row>
  </sheetData>
  <hyperlinks>
    <hyperlink ref="H1" location="Index!A1" display="Return to Index" xr:uid="{00000000-0004-0000-0300-000000000000}"/>
  </hyperlinks>
  <pageMargins left="0.7" right="0.7" top="0.75" bottom="0.75" header="0.3" footer="0.3"/>
  <pageSetup orientation="portrait" horizontalDpi="1200" verticalDpi="1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21">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4.5703125" style="164" customWidth="1"/>
    <col min="15" max="15" width="14.42578125" style="261" customWidth="1"/>
    <col min="16" max="16" width="25.7109375" style="264" customWidth="1"/>
    <col min="17" max="17" width="17.42578125" style="264" customWidth="1"/>
    <col min="18" max="18" width="18" style="264" customWidth="1"/>
    <col min="19" max="19" width="1.7109375" style="264" customWidth="1"/>
    <col min="20" max="20" width="17.140625" style="264" customWidth="1"/>
    <col min="21" max="21" width="16.85546875" style="264" customWidth="1"/>
    <col min="22" max="23" width="19.28515625" style="264" customWidth="1"/>
    <col min="24" max="24" width="17.855468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13" t="str">
        <f>'E-P Chrts'!$A$1</f>
        <v>The University of Texas at El Paso</v>
      </c>
      <c r="C2" s="1713"/>
      <c r="D2" s="1713"/>
      <c r="E2" s="1713"/>
      <c r="F2" s="1742"/>
      <c r="G2" s="160"/>
      <c r="H2" s="161"/>
      <c r="I2" s="320" t="str">
        <f>IF($B$2&lt;&gt;Input!$B$9,"Name Mismatch","")</f>
        <v/>
      </c>
      <c r="J2" s="168"/>
      <c r="K2" s="169"/>
      <c r="L2" s="169"/>
      <c r="M2" s="170"/>
      <c r="O2" s="835" t="s">
        <v>1200</v>
      </c>
      <c r="P2" s="36"/>
    </row>
    <row r="3" spans="1:28" ht="20.25">
      <c r="A3" s="184">
        <v>2</v>
      </c>
      <c r="B3" s="1713" t="str">
        <f>'Smmy Chrts'!$A$2</f>
        <v>For the Year Ended August 31, 2021</v>
      </c>
      <c r="C3" s="1713"/>
      <c r="D3" s="1713"/>
      <c r="E3" s="1713"/>
      <c r="F3" s="1742"/>
      <c r="G3" s="161"/>
      <c r="H3" s="161"/>
      <c r="I3" s="169"/>
      <c r="J3" s="168"/>
      <c r="K3" s="169"/>
      <c r="L3" s="169"/>
      <c r="M3" s="170"/>
      <c r="O3" s="74"/>
    </row>
    <row r="4" spans="1:28" ht="20.25">
      <c r="A4" s="184">
        <v>3</v>
      </c>
      <c r="B4" s="1713" t="str">
        <f>'Smmy Chrts'!$A$3</f>
        <v>Source: FY 2021 Annual Financial Report</v>
      </c>
      <c r="C4" s="1713"/>
      <c r="D4" s="1713"/>
      <c r="E4" s="1713"/>
      <c r="F4" s="1742"/>
      <c r="G4" s="161"/>
      <c r="H4" s="161"/>
      <c r="I4" s="169"/>
      <c r="J4" s="168"/>
      <c r="K4" s="169"/>
      <c r="L4" s="169"/>
      <c r="M4" s="170"/>
      <c r="O4" s="74"/>
      <c r="P4" s="1744" t="s">
        <v>93</v>
      </c>
      <c r="Q4" s="1745"/>
      <c r="T4" s="36" t="s">
        <v>250</v>
      </c>
    </row>
    <row r="5" spans="1:28">
      <c r="A5" s="184">
        <v>4</v>
      </c>
      <c r="B5" s="160"/>
      <c r="C5" s="160"/>
      <c r="D5" s="160"/>
      <c r="E5" s="160"/>
      <c r="F5" s="160"/>
      <c r="G5" s="160"/>
      <c r="H5" s="160"/>
      <c r="I5" s="160"/>
      <c r="J5" s="160"/>
      <c r="K5" s="160"/>
      <c r="L5" s="160"/>
      <c r="M5" s="166"/>
      <c r="O5" s="262"/>
    </row>
    <row r="6" spans="1:28">
      <c r="A6" s="184">
        <v>5</v>
      </c>
      <c r="B6" s="1715" t="str">
        <f>'Smmy Chrts'!$C$32</f>
        <v>Detail Worksheet FY 2021</v>
      </c>
      <c r="C6" s="1715"/>
      <c r="D6" s="1743"/>
      <c r="E6" s="1743"/>
      <c r="F6" s="1743"/>
      <c r="G6" s="1743"/>
      <c r="H6" s="1743"/>
      <c r="I6" s="1743"/>
      <c r="J6" s="1743"/>
      <c r="K6" s="1743"/>
      <c r="L6" s="1743"/>
      <c r="M6" s="1743"/>
      <c r="O6" s="265"/>
    </row>
    <row r="7" spans="1:28">
      <c r="A7" s="184">
        <v>6</v>
      </c>
      <c r="B7" s="172"/>
      <c r="C7" s="172"/>
      <c r="D7" s="160"/>
      <c r="E7" s="160"/>
      <c r="F7" s="160"/>
      <c r="G7" s="160"/>
      <c r="H7" s="160"/>
      <c r="I7" s="160"/>
      <c r="J7" s="160"/>
      <c r="K7" s="160"/>
      <c r="L7" s="160"/>
      <c r="M7" s="173" t="str">
        <f>'Smmy Chrts'!$C$33</f>
        <v>FY 2021</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Input!$M$9</f>
        <v>109854473</v>
      </c>
      <c r="E10" s="372">
        <f>Input!$N$9</f>
        <v>0</v>
      </c>
      <c r="F10" s="372">
        <f>Input!$O$9</f>
        <v>0</v>
      </c>
      <c r="G10" s="372">
        <f>Input!$P$9</f>
        <v>0</v>
      </c>
      <c r="H10" s="372">
        <f>Input!$Q$9</f>
        <v>0</v>
      </c>
      <c r="I10" s="372">
        <f>Input!$R$9</f>
        <v>0</v>
      </c>
      <c r="J10" s="372">
        <f>Input!$S$9</f>
        <v>0</v>
      </c>
      <c r="K10" s="372">
        <f>Input!$T$9</f>
        <v>0</v>
      </c>
      <c r="L10" s="372">
        <f>Input!$U$9</f>
        <v>0</v>
      </c>
      <c r="M10" s="373">
        <f t="shared" ref="M10:M15" si="0">D10+E10+F10+G10+H10+I10+J10+K10+L10</f>
        <v>109854473</v>
      </c>
      <c r="N10" s="160"/>
      <c r="O10" s="271"/>
      <c r="P10" s="1718" t="s">
        <v>575</v>
      </c>
      <c r="U10" s="268"/>
    </row>
    <row r="11" spans="1:28">
      <c r="A11" s="184">
        <v>10</v>
      </c>
      <c r="B11" s="160" t="s">
        <v>2</v>
      </c>
      <c r="C11" s="160"/>
      <c r="D11" s="372">
        <f>Input!$V$9</f>
        <v>22696980</v>
      </c>
      <c r="E11" s="372">
        <f>Input!$W$9</f>
        <v>444201</v>
      </c>
      <c r="F11" s="372">
        <f>Input!$X$9</f>
        <v>0</v>
      </c>
      <c r="G11" s="372">
        <f>Input!$Y$9</f>
        <v>339939</v>
      </c>
      <c r="H11" s="372">
        <f>Input!$Z$9</f>
        <v>0</v>
      </c>
      <c r="I11" s="372">
        <f>Input!$AA$9</f>
        <v>0</v>
      </c>
      <c r="J11" s="372">
        <f>Input!$AB$9</f>
        <v>0</v>
      </c>
      <c r="K11" s="372">
        <f>Input!$AC$9</f>
        <v>0</v>
      </c>
      <c r="L11" s="372">
        <f>Input!$AD$9</f>
        <v>0</v>
      </c>
      <c r="M11" s="373">
        <f t="shared" si="0"/>
        <v>23481120</v>
      </c>
      <c r="N11" s="160"/>
      <c r="O11" s="482"/>
      <c r="P11" s="1719"/>
      <c r="U11" s="268"/>
    </row>
    <row r="12" spans="1:28" ht="12.75" hidden="1" customHeight="1">
      <c r="B12" s="160" t="s">
        <v>1410</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Input!$AN$9</f>
        <v>0</v>
      </c>
      <c r="E13" s="372">
        <f>Input!$AO$9</f>
        <v>0</v>
      </c>
      <c r="F13" s="372">
        <f>Input!$AP$9</f>
        <v>0</v>
      </c>
      <c r="G13" s="372">
        <f>Input!$AQ$9</f>
        <v>0</v>
      </c>
      <c r="H13" s="372">
        <f>Input!$AR$9</f>
        <v>0</v>
      </c>
      <c r="I13" s="372">
        <f>Input!$AS$9</f>
        <v>0</v>
      </c>
      <c r="J13" s="372">
        <f>Input!$AT$9</f>
        <v>0</v>
      </c>
      <c r="K13" s="372">
        <f>Input!$AU$9</f>
        <v>0</v>
      </c>
      <c r="L13" s="372">
        <f>Input!$AV$9</f>
        <v>0</v>
      </c>
      <c r="M13" s="373">
        <f t="shared" si="0"/>
        <v>0</v>
      </c>
      <c r="N13" s="160"/>
      <c r="O13" s="482" t="str">
        <f>IF(P13&lt;&gt;M13,"Out of Balance","Balanced")</f>
        <v>Balanced</v>
      </c>
      <c r="P13" s="484">
        <f>IFERROR(VLOOKUP($B$2,AMTLU,6,FALSE),0)</f>
        <v>0</v>
      </c>
      <c r="U13" s="268"/>
    </row>
    <row r="14" spans="1:28">
      <c r="A14" s="184">
        <v>13</v>
      </c>
      <c r="B14" s="160" t="s">
        <v>49</v>
      </c>
      <c r="C14" s="160"/>
      <c r="D14" s="372">
        <f>Input!$AW$9</f>
        <v>0</v>
      </c>
      <c r="E14" s="372">
        <f>Input!$AX$9</f>
        <v>0</v>
      </c>
      <c r="F14" s="372">
        <f>Input!$AY$9</f>
        <v>0</v>
      </c>
      <c r="G14" s="372">
        <f>Input!$AZ$9</f>
        <v>0</v>
      </c>
      <c r="H14" s="372">
        <f>Input!$BA$9</f>
        <v>0</v>
      </c>
      <c r="I14" s="372">
        <f>Input!$BB$9</f>
        <v>0</v>
      </c>
      <c r="J14" s="372">
        <f>Input!$BC$9</f>
        <v>0</v>
      </c>
      <c r="K14" s="372">
        <f>Input!$BD$9</f>
        <v>0</v>
      </c>
      <c r="L14" s="372">
        <f>Input!$BE$9</f>
        <v>0</v>
      </c>
      <c r="M14" s="373">
        <f t="shared" si="0"/>
        <v>0</v>
      </c>
      <c r="N14" s="160"/>
      <c r="O14" s="482"/>
      <c r="P14" s="485"/>
    </row>
    <row r="15" spans="1:28" ht="15">
      <c r="A15" s="184">
        <v>14</v>
      </c>
      <c r="B15" s="176" t="s">
        <v>3</v>
      </c>
      <c r="C15" s="176"/>
      <c r="D15" s="374">
        <f t="shared" ref="D15:L15" si="1">SUM(D10:D14)</f>
        <v>132551453</v>
      </c>
      <c r="E15" s="374">
        <f t="shared" si="1"/>
        <v>444201</v>
      </c>
      <c r="F15" s="374">
        <f t="shared" si="1"/>
        <v>0</v>
      </c>
      <c r="G15" s="374">
        <f t="shared" si="1"/>
        <v>339939</v>
      </c>
      <c r="H15" s="374">
        <f t="shared" si="1"/>
        <v>0</v>
      </c>
      <c r="I15" s="374">
        <f t="shared" si="1"/>
        <v>0</v>
      </c>
      <c r="J15" s="374">
        <f t="shared" si="1"/>
        <v>0</v>
      </c>
      <c r="K15" s="374">
        <f t="shared" si="1"/>
        <v>0</v>
      </c>
      <c r="L15" s="374">
        <f t="shared" si="1"/>
        <v>0</v>
      </c>
      <c r="M15" s="374">
        <f t="shared" si="0"/>
        <v>133335593</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58" t="s">
        <v>1042</v>
      </c>
      <c r="C18" s="558"/>
      <c r="D18" s="374">
        <f t="shared" ref="D18:L18" si="2">D23-SUM(D19:D22)</f>
        <v>56290231</v>
      </c>
      <c r="E18" s="374">
        <f t="shared" si="2"/>
        <v>114496870</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170787101</v>
      </c>
      <c r="V18" s="327"/>
      <c r="X18" s="330"/>
    </row>
    <row r="19" spans="1:26" s="264" customFormat="1" ht="12.75" customHeight="1" thickTop="1" thickBot="1">
      <c r="A19" s="263"/>
      <c r="B19" s="261" t="s">
        <v>722</v>
      </c>
      <c r="C19" s="261"/>
      <c r="D19" s="372">
        <f>Input!$BF$9</f>
        <v>-20405045</v>
      </c>
      <c r="E19" s="372">
        <f>Input!$BG$9</f>
        <v>-18272</v>
      </c>
      <c r="F19" s="372">
        <f>Input!$BH$9</f>
        <v>0</v>
      </c>
      <c r="G19" s="372">
        <f>Input!$BI$9</f>
        <v>0</v>
      </c>
      <c r="H19" s="372">
        <f>Input!$BJ$9</f>
        <v>0</v>
      </c>
      <c r="I19" s="372">
        <f>Input!$BK$9</f>
        <v>0</v>
      </c>
      <c r="J19" s="372">
        <f>Input!$BL$9</f>
        <v>0</v>
      </c>
      <c r="K19" s="372">
        <f>Input!$BM$9</f>
        <v>0</v>
      </c>
      <c r="L19" s="372">
        <f>Input!$BN$9</f>
        <v>0</v>
      </c>
      <c r="M19" s="373">
        <f t="shared" si="3"/>
        <v>-20423317</v>
      </c>
      <c r="O19" s="1732" t="s">
        <v>1294</v>
      </c>
      <c r="P19" s="1733"/>
      <c r="Q19" s="1733"/>
      <c r="R19" s="1734"/>
      <c r="T19" s="1735" t="s">
        <v>1043</v>
      </c>
      <c r="U19" s="1736"/>
      <c r="V19" s="1736"/>
      <c r="W19" s="1736"/>
      <c r="X19" s="1737"/>
    </row>
    <row r="20" spans="1:26" s="264" customFormat="1" ht="12.75" customHeight="1" thickTop="1">
      <c r="A20" s="263"/>
      <c r="B20" s="261" t="s">
        <v>723</v>
      </c>
      <c r="C20" s="261"/>
      <c r="D20" s="372">
        <f>Input!$BO$9</f>
        <v>0</v>
      </c>
      <c r="E20" s="372">
        <f>Input!$BP$9</f>
        <v>0</v>
      </c>
      <c r="F20" s="372">
        <f>Input!$BQ$9</f>
        <v>0</v>
      </c>
      <c r="G20" s="372">
        <f>Input!$BR$9</f>
        <v>0</v>
      </c>
      <c r="H20" s="372">
        <f>Input!$BS$9</f>
        <v>0</v>
      </c>
      <c r="I20" s="372">
        <f>Input!$BT$9</f>
        <v>0</v>
      </c>
      <c r="J20" s="372">
        <f>Input!$BU$9</f>
        <v>0</v>
      </c>
      <c r="K20" s="372">
        <f>Input!$BV$9</f>
        <v>0</v>
      </c>
      <c r="L20" s="372">
        <f>Input!$BW$9</f>
        <v>0</v>
      </c>
      <c r="M20" s="373">
        <f t="shared" si="3"/>
        <v>0</v>
      </c>
      <c r="O20" s="421" t="s">
        <v>288</v>
      </c>
      <c r="P20" s="422"/>
      <c r="Q20" s="414"/>
      <c r="R20" s="559"/>
      <c r="T20" s="560" t="s">
        <v>1044</v>
      </c>
      <c r="U20" s="266"/>
      <c r="V20" s="266"/>
      <c r="X20" s="425"/>
    </row>
    <row r="21" spans="1:26" s="264" customFormat="1">
      <c r="A21" s="263"/>
      <c r="B21" s="261" t="s">
        <v>724</v>
      </c>
      <c r="C21" s="261"/>
      <c r="D21" s="372">
        <f>Input!$BX$9</f>
        <v>0</v>
      </c>
      <c r="E21" s="372">
        <f>Input!$BY$9</f>
        <v>0</v>
      </c>
      <c r="F21" s="372">
        <f>Input!$BZ$9</f>
        <v>0</v>
      </c>
      <c r="G21" s="372">
        <f>Input!$CA$9</f>
        <v>0</v>
      </c>
      <c r="H21" s="372">
        <f>Input!$CB$9</f>
        <v>0</v>
      </c>
      <c r="I21" s="372">
        <f>Input!$CC$9</f>
        <v>0</v>
      </c>
      <c r="J21" s="372">
        <f>Input!$CD$9</f>
        <v>0</v>
      </c>
      <c r="K21" s="372">
        <f>Input!$CE$9</f>
        <v>0</v>
      </c>
      <c r="L21" s="372">
        <f>Input!$CF$9</f>
        <v>0</v>
      </c>
      <c r="M21" s="373">
        <f t="shared" si="3"/>
        <v>0</v>
      </c>
      <c r="O21" s="434"/>
      <c r="R21" s="561"/>
      <c r="T21" s="650" t="s">
        <v>1045</v>
      </c>
      <c r="U21" s="266"/>
      <c r="V21" s="266"/>
      <c r="W21" s="651">
        <f>M44</f>
        <v>148988894</v>
      </c>
      <c r="X21" s="425"/>
      <c r="Z21" s="330"/>
    </row>
    <row r="22" spans="1:26" s="264" customFormat="1">
      <c r="A22" s="263"/>
      <c r="B22" s="261" t="s">
        <v>725</v>
      </c>
      <c r="C22" s="261"/>
      <c r="D22" s="372">
        <f>Input!$CG$9</f>
        <v>0</v>
      </c>
      <c r="E22" s="372">
        <f>Input!$CH$9</f>
        <v>0</v>
      </c>
      <c r="F22" s="372">
        <f>Input!$CI$9</f>
        <v>0</v>
      </c>
      <c r="G22" s="372">
        <f>Input!$CJ$9</f>
        <v>0</v>
      </c>
      <c r="H22" s="372">
        <f>Input!$CK$9</f>
        <v>0</v>
      </c>
      <c r="I22" s="372">
        <f>Input!$CL$9</f>
        <v>0</v>
      </c>
      <c r="J22" s="372">
        <f>Input!$CM$9</f>
        <v>0</v>
      </c>
      <c r="K22" s="372">
        <f>Input!$CN$9</f>
        <v>0</v>
      </c>
      <c r="L22" s="372">
        <f>Input!$CO$9</f>
        <v>0</v>
      </c>
      <c r="M22" s="373">
        <f t="shared" si="3"/>
        <v>0</v>
      </c>
      <c r="N22" s="270"/>
      <c r="O22" s="434" t="s">
        <v>1046</v>
      </c>
      <c r="P22" s="276"/>
      <c r="Q22" s="424">
        <f>M23</f>
        <v>150363784</v>
      </c>
      <c r="R22" s="562"/>
      <c r="T22" s="650" t="s">
        <v>1047</v>
      </c>
      <c r="U22" s="266"/>
      <c r="V22" s="266"/>
      <c r="W22" s="652">
        <f>R30*-1</f>
        <v>55242741</v>
      </c>
      <c r="X22" s="425"/>
    </row>
    <row r="23" spans="1:26" s="264" customFormat="1" ht="12.75" customHeight="1">
      <c r="A23" s="263"/>
      <c r="B23" s="558" t="s">
        <v>726</v>
      </c>
      <c r="C23" s="563"/>
      <c r="D23" s="564">
        <f>Input!$CP$9</f>
        <v>35885186</v>
      </c>
      <c r="E23" s="564">
        <f>Input!$CQ$9</f>
        <v>114478598</v>
      </c>
      <c r="F23" s="564">
        <f>Input!$CR$9</f>
        <v>0</v>
      </c>
      <c r="G23" s="564">
        <f>Input!$CS$9</f>
        <v>0</v>
      </c>
      <c r="H23" s="564">
        <f>Input!$CT$9</f>
        <v>0</v>
      </c>
      <c r="I23" s="564">
        <f>Input!$CU$9</f>
        <v>0</v>
      </c>
      <c r="J23" s="564">
        <f>Input!$CV$9</f>
        <v>0</v>
      </c>
      <c r="K23" s="564">
        <f>Input!$CW$9</f>
        <v>0</v>
      </c>
      <c r="L23" s="564">
        <f>Input!$CX$9</f>
        <v>0</v>
      </c>
      <c r="M23" s="565">
        <f t="shared" si="3"/>
        <v>150363784</v>
      </c>
      <c r="O23" s="434"/>
      <c r="P23" s="276"/>
      <c r="Q23" s="424"/>
      <c r="R23" s="562"/>
      <c r="T23" s="560" t="s">
        <v>1230</v>
      </c>
      <c r="U23" s="266"/>
      <c r="V23" s="266"/>
      <c r="W23" s="276"/>
      <c r="X23" s="425">
        <f>SUM(W21:W22)</f>
        <v>204231635</v>
      </c>
      <c r="Z23" s="330"/>
    </row>
    <row r="24" spans="1:26" s="264" customFormat="1" ht="12.75" customHeight="1">
      <c r="A24" s="263"/>
      <c r="B24" s="261" t="s">
        <v>727</v>
      </c>
      <c r="C24" s="566"/>
      <c r="D24" s="372">
        <f>Input!$CY$9</f>
        <v>0</v>
      </c>
      <c r="E24" s="372">
        <f>Input!$CZ$9</f>
        <v>0</v>
      </c>
      <c r="F24" s="372">
        <f>Input!$DA$9</f>
        <v>0</v>
      </c>
      <c r="G24" s="372">
        <f>Input!$DB$9</f>
        <v>0</v>
      </c>
      <c r="H24" s="372">
        <f>Input!$DC$9</f>
        <v>0</v>
      </c>
      <c r="I24" s="372">
        <f>Input!$DD$9</f>
        <v>0</v>
      </c>
      <c r="J24" s="372">
        <f>Input!$DE$9</f>
        <v>0</v>
      </c>
      <c r="K24" s="372">
        <f>Input!$DF$9</f>
        <v>0</v>
      </c>
      <c r="L24" s="372">
        <f>Input!$DG$9</f>
        <v>0</v>
      </c>
      <c r="M24" s="567">
        <f t="shared" si="3"/>
        <v>0</v>
      </c>
      <c r="O24" s="417" t="s">
        <v>1048</v>
      </c>
      <c r="P24" s="276"/>
      <c r="Q24" s="327"/>
      <c r="R24" s="646">
        <f>SUM(M24:M28)</f>
        <v>-40678179</v>
      </c>
      <c r="T24" s="560"/>
      <c r="U24" s="266"/>
      <c r="V24" s="266"/>
      <c r="X24" s="425"/>
      <c r="Z24" s="330"/>
    </row>
    <row r="25" spans="1:26" s="264" customFormat="1" ht="12.75" customHeight="1">
      <c r="A25" s="263"/>
      <c r="B25" s="261" t="s">
        <v>728</v>
      </c>
      <c r="C25" s="566"/>
      <c r="D25" s="372">
        <f>Input!DH6</f>
        <v>0</v>
      </c>
      <c r="E25" s="372">
        <f>Input!$DI$9</f>
        <v>0</v>
      </c>
      <c r="F25" s="372">
        <f>Input!$DJ$9</f>
        <v>0</v>
      </c>
      <c r="G25" s="372">
        <f>Input!$DK$9</f>
        <v>0</v>
      </c>
      <c r="H25" s="372">
        <f>Input!$DL$9</f>
        <v>0</v>
      </c>
      <c r="I25" s="372">
        <f>Input!$DM$9</f>
        <v>0</v>
      </c>
      <c r="J25" s="372">
        <f>Input!$DN$9</f>
        <v>0</v>
      </c>
      <c r="K25" s="372">
        <f>Input!$DO$9</f>
        <v>0</v>
      </c>
      <c r="L25" s="372">
        <f>Input!$DP$9</f>
        <v>0</v>
      </c>
      <c r="M25" s="567">
        <f t="shared" si="3"/>
        <v>0</v>
      </c>
      <c r="O25" s="434"/>
      <c r="P25" s="276"/>
      <c r="Q25" s="327"/>
      <c r="R25" s="646"/>
      <c r="T25" s="568" t="s">
        <v>1103</v>
      </c>
      <c r="U25" s="569"/>
      <c r="V25" s="569"/>
      <c r="W25" s="653">
        <f>(M26+M39)*-1</f>
        <v>6922249</v>
      </c>
      <c r="X25" s="425"/>
      <c r="Z25" s="330"/>
    </row>
    <row r="26" spans="1:26" s="264" customFormat="1" ht="12.75" customHeight="1">
      <c r="A26" s="263"/>
      <c r="B26" s="261" t="s">
        <v>729</v>
      </c>
      <c r="C26" s="566"/>
      <c r="D26" s="372">
        <f>Input!$DQ$9</f>
        <v>-1205632</v>
      </c>
      <c r="E26" s="372">
        <f>Input!$DR$9</f>
        <v>-4362762</v>
      </c>
      <c r="F26" s="372">
        <f>Input!$DS$9</f>
        <v>0</v>
      </c>
      <c r="G26" s="372">
        <f>Input!$DT$9</f>
        <v>0</v>
      </c>
      <c r="H26" s="372">
        <f>Input!$DU$9</f>
        <v>0</v>
      </c>
      <c r="I26" s="372">
        <f>Input!$DV$9</f>
        <v>0</v>
      </c>
      <c r="J26" s="372">
        <f>Input!$DW$9</f>
        <v>0</v>
      </c>
      <c r="K26" s="372">
        <f>Input!$DX$9</f>
        <v>0</v>
      </c>
      <c r="L26" s="372">
        <f>Input!$DY$9</f>
        <v>0</v>
      </c>
      <c r="M26" s="567">
        <f t="shared" si="3"/>
        <v>-5568394</v>
      </c>
      <c r="O26" s="434" t="s">
        <v>1049</v>
      </c>
      <c r="P26" s="276"/>
      <c r="Q26" s="427">
        <f>M36</f>
        <v>53867851</v>
      </c>
      <c r="R26" s="570"/>
      <c r="T26" s="560" t="s">
        <v>1104</v>
      </c>
      <c r="U26" s="266"/>
      <c r="V26" s="266"/>
      <c r="W26" s="571">
        <f>(M21+M34)*-1</f>
        <v>0</v>
      </c>
      <c r="X26" s="425"/>
      <c r="Z26" s="330"/>
    </row>
    <row r="27" spans="1:26" s="264" customFormat="1">
      <c r="A27" s="263"/>
      <c r="B27" s="261" t="s">
        <v>730</v>
      </c>
      <c r="C27" s="566"/>
      <c r="D27" s="372">
        <f>Input!$DZ$9</f>
        <v>0</v>
      </c>
      <c r="E27" s="372">
        <f>Input!$EA$9</f>
        <v>0</v>
      </c>
      <c r="F27" s="372">
        <f>Input!$EB$9</f>
        <v>0</v>
      </c>
      <c r="G27" s="372">
        <f>Input!$EC$9</f>
        <v>0</v>
      </c>
      <c r="H27" s="372">
        <f>Input!$ED$9</f>
        <v>0</v>
      </c>
      <c r="I27" s="372">
        <f>Input!$EE$9</f>
        <v>0</v>
      </c>
      <c r="J27" s="372">
        <f>Input!$EF$9</f>
        <v>0</v>
      </c>
      <c r="K27" s="372">
        <f>Input!$EG$9</f>
        <v>0</v>
      </c>
      <c r="L27" s="372">
        <f>Input!EH6</f>
        <v>0</v>
      </c>
      <c r="M27" s="567">
        <f t="shared" si="3"/>
        <v>0</v>
      </c>
      <c r="O27" s="434"/>
      <c r="P27" s="276"/>
      <c r="Q27" s="427"/>
      <c r="R27" s="570"/>
      <c r="T27" s="650" t="s">
        <v>1105</v>
      </c>
      <c r="U27" s="584"/>
      <c r="V27" s="584"/>
      <c r="W27" s="654">
        <f>SUM(W25:W26)</f>
        <v>6922249</v>
      </c>
      <c r="X27" s="655"/>
    </row>
    <row r="28" spans="1:26" s="264" customFormat="1">
      <c r="A28" s="263"/>
      <c r="B28" s="261" t="s">
        <v>2133</v>
      </c>
      <c r="C28" s="566"/>
      <c r="D28" s="372">
        <f>Input!$EI$9</f>
        <v>-8511425</v>
      </c>
      <c r="E28" s="372">
        <f>Input!$EJ$9</f>
        <v>-26598360</v>
      </c>
      <c r="F28" s="372">
        <f>Input!$EK$9</f>
        <v>0</v>
      </c>
      <c r="G28" s="372">
        <f>Input!$EL$9</f>
        <v>0</v>
      </c>
      <c r="H28" s="372">
        <f>Input!$EM$9</f>
        <v>0</v>
      </c>
      <c r="I28" s="372">
        <f>Input!$EN$9</f>
        <v>0</v>
      </c>
      <c r="J28" s="372">
        <f>Input!$EO$9</f>
        <v>0</v>
      </c>
      <c r="K28" s="372">
        <f>Input!$EP$9</f>
        <v>0</v>
      </c>
      <c r="L28" s="372">
        <f>Input!$EQ$9</f>
        <v>0</v>
      </c>
      <c r="M28" s="567">
        <f t="shared" si="3"/>
        <v>-35109785</v>
      </c>
      <c r="O28" s="417" t="s">
        <v>1050</v>
      </c>
      <c r="Q28" s="429"/>
      <c r="R28" s="646">
        <f>SUM(M37:M41)</f>
        <v>-14564562</v>
      </c>
      <c r="T28" s="560" t="s">
        <v>1106</v>
      </c>
      <c r="U28" s="266"/>
      <c r="V28" s="266"/>
      <c r="W28" s="425">
        <f>(M27+M40)*-1</f>
        <v>0</v>
      </c>
      <c r="X28" s="655"/>
      <c r="Z28" s="330"/>
    </row>
    <row r="29" spans="1:26" s="264" customFormat="1" ht="12" customHeight="1">
      <c r="A29" s="263"/>
      <c r="B29" s="575" t="s">
        <v>39</v>
      </c>
      <c r="C29" s="563"/>
      <c r="D29" s="374">
        <f t="shared" ref="D29:L29" si="4">SUM(D23:D28)</f>
        <v>26168129</v>
      </c>
      <c r="E29" s="374">
        <f t="shared" si="4"/>
        <v>83517476</v>
      </c>
      <c r="F29" s="374">
        <f t="shared" si="4"/>
        <v>0</v>
      </c>
      <c r="G29" s="374">
        <f t="shared" si="4"/>
        <v>0</v>
      </c>
      <c r="H29" s="374">
        <f t="shared" si="4"/>
        <v>0</v>
      </c>
      <c r="I29" s="374">
        <f t="shared" si="4"/>
        <v>0</v>
      </c>
      <c r="J29" s="374">
        <f t="shared" si="4"/>
        <v>0</v>
      </c>
      <c r="K29" s="374">
        <f t="shared" si="4"/>
        <v>0</v>
      </c>
      <c r="L29" s="374">
        <f t="shared" si="4"/>
        <v>0</v>
      </c>
      <c r="M29" s="374">
        <f t="shared" si="3"/>
        <v>109685605</v>
      </c>
      <c r="O29" s="417"/>
      <c r="Q29" s="429"/>
      <c r="R29" s="576"/>
      <c r="T29" s="560" t="s">
        <v>1107</v>
      </c>
      <c r="U29" s="266"/>
      <c r="V29" s="266"/>
      <c r="W29" s="571">
        <f>(M22+M35)*-1</f>
        <v>0</v>
      </c>
      <c r="X29" s="655"/>
    </row>
    <row r="30" spans="1:26" s="264" customFormat="1" ht="16.5" customHeight="1">
      <c r="A30" s="263"/>
      <c r="B30" s="261"/>
      <c r="C30" s="566"/>
      <c r="D30" s="566"/>
      <c r="E30" s="566"/>
      <c r="F30" s="566"/>
      <c r="G30" s="566"/>
      <c r="H30" s="566"/>
      <c r="I30" s="566"/>
      <c r="J30" s="566"/>
      <c r="K30" s="566"/>
      <c r="L30" s="566"/>
      <c r="M30" s="567"/>
      <c r="O30" s="431" t="s">
        <v>289</v>
      </c>
      <c r="P30" s="432"/>
      <c r="Q30" s="433">
        <f>Q26+Q22</f>
        <v>204231635</v>
      </c>
      <c r="R30" s="647">
        <f>R28+R24</f>
        <v>-55242741</v>
      </c>
      <c r="T30" s="650" t="s">
        <v>1108</v>
      </c>
      <c r="U30" s="584"/>
      <c r="V30" s="584"/>
      <c r="W30" s="654">
        <f>SUM(W28:W29)</f>
        <v>0</v>
      </c>
      <c r="X30" s="655"/>
    </row>
    <row r="31" spans="1:26" s="264" customFormat="1" ht="12.75" customHeight="1">
      <c r="A31" s="263"/>
      <c r="B31" s="558" t="s">
        <v>1052</v>
      </c>
      <c r="C31" s="558"/>
      <c r="D31" s="374">
        <f t="shared" ref="D31:L31" si="5">D36-SUM(D32:D35)</f>
        <v>0</v>
      </c>
      <c r="E31" s="374">
        <f t="shared" si="5"/>
        <v>41928689</v>
      </c>
      <c r="F31" s="374">
        <f t="shared" si="5"/>
        <v>11946404</v>
      </c>
      <c r="G31" s="374">
        <f t="shared" si="5"/>
        <v>0</v>
      </c>
      <c r="H31" s="374">
        <f t="shared" si="5"/>
        <v>0</v>
      </c>
      <c r="I31" s="374">
        <f t="shared" si="5"/>
        <v>0</v>
      </c>
      <c r="J31" s="374">
        <f t="shared" si="5"/>
        <v>0</v>
      </c>
      <c r="K31" s="374">
        <f t="shared" si="5"/>
        <v>0</v>
      </c>
      <c r="L31" s="374">
        <f t="shared" si="5"/>
        <v>0</v>
      </c>
      <c r="M31" s="374">
        <f t="shared" ref="M31:M42" si="6">D31+E31+F31+G31+H31+I31+J31+K31+L31</f>
        <v>53875093</v>
      </c>
      <c r="O31" s="434" t="s">
        <v>290</v>
      </c>
      <c r="P31" s="276"/>
      <c r="Q31" s="335"/>
      <c r="R31" s="562"/>
      <c r="T31" s="572" t="s">
        <v>1109</v>
      </c>
      <c r="U31" s="573"/>
      <c r="V31" s="573"/>
      <c r="W31" s="574">
        <f>W27+W30</f>
        <v>6922249</v>
      </c>
      <c r="X31" s="425"/>
      <c r="Z31" s="330"/>
    </row>
    <row r="32" spans="1:26" s="264" customFormat="1" ht="12.75" customHeight="1">
      <c r="A32" s="263"/>
      <c r="B32" s="261" t="s">
        <v>722</v>
      </c>
      <c r="C32" s="261"/>
      <c r="D32" s="372">
        <f>Input!$ER$9</f>
        <v>0</v>
      </c>
      <c r="E32" s="372">
        <f>Input!$ES$9</f>
        <v>-6690</v>
      </c>
      <c r="F32" s="372">
        <f>Input!$ET$9</f>
        <v>-552</v>
      </c>
      <c r="G32" s="372">
        <f>Input!$EU$9</f>
        <v>0</v>
      </c>
      <c r="H32" s="372">
        <f>Input!$EV$9</f>
        <v>0</v>
      </c>
      <c r="I32" s="372">
        <f>Input!$EW$9</f>
        <v>0</v>
      </c>
      <c r="J32" s="372">
        <f>Input!$EX$9</f>
        <v>0</v>
      </c>
      <c r="K32" s="372">
        <f>Input!$EY$9</f>
        <v>0</v>
      </c>
      <c r="L32" s="372">
        <f>Input!$EZ$9</f>
        <v>0</v>
      </c>
      <c r="M32" s="567">
        <f t="shared" si="6"/>
        <v>-7242</v>
      </c>
      <c r="O32" s="415" t="s">
        <v>1295</v>
      </c>
      <c r="P32" s="416"/>
      <c r="Q32" s="577">
        <f>Input!$SQ$9</f>
        <v>204231635</v>
      </c>
      <c r="R32" s="578"/>
      <c r="T32" s="560"/>
      <c r="U32" s="266"/>
      <c r="V32" s="266"/>
      <c r="X32" s="425"/>
      <c r="Z32" s="330"/>
    </row>
    <row r="33" spans="1:24" s="264" customFormat="1">
      <c r="A33" s="263"/>
      <c r="B33" s="261" t="s">
        <v>723</v>
      </c>
      <c r="C33" s="261"/>
      <c r="D33" s="372">
        <f>Input!$FA$9</f>
        <v>0</v>
      </c>
      <c r="E33" s="372">
        <f>Input!$FB$9</f>
        <v>0</v>
      </c>
      <c r="F33" s="372">
        <f>Input!$FC$9</f>
        <v>0</v>
      </c>
      <c r="G33" s="372">
        <f>Input!$FD$9</f>
        <v>0</v>
      </c>
      <c r="H33" s="372">
        <f>Input!$FE$9</f>
        <v>0</v>
      </c>
      <c r="I33" s="372">
        <f>Input!$FF$9</f>
        <v>0</v>
      </c>
      <c r="J33" s="372">
        <f>Input!$FG$9</f>
        <v>0</v>
      </c>
      <c r="K33" s="372">
        <f>Input!$FH$9</f>
        <v>0</v>
      </c>
      <c r="L33" s="372">
        <f>Input!$FI$9</f>
        <v>0</v>
      </c>
      <c r="M33" s="567">
        <f t="shared" si="6"/>
        <v>0</v>
      </c>
      <c r="O33" s="415"/>
      <c r="P33" s="416"/>
      <c r="Q33" s="327"/>
      <c r="R33" s="578"/>
      <c r="T33" s="560" t="s">
        <v>1051</v>
      </c>
      <c r="U33" s="266"/>
      <c r="V33" s="266"/>
      <c r="W33" s="334">
        <f>(M19+M32)*-1</f>
        <v>20430559</v>
      </c>
      <c r="X33" s="425"/>
    </row>
    <row r="34" spans="1:24" s="264" customFormat="1">
      <c r="A34" s="263"/>
      <c r="B34" s="261" t="s">
        <v>724</v>
      </c>
      <c r="C34" s="261"/>
      <c r="D34" s="372">
        <f>Input!$FJ$9</f>
        <v>0</v>
      </c>
      <c r="E34" s="372">
        <f>Input!$FK$9</f>
        <v>0</v>
      </c>
      <c r="F34" s="372">
        <f>Input!$FL$9</f>
        <v>0</v>
      </c>
      <c r="G34" s="372">
        <f>Input!$FM$9</f>
        <v>0</v>
      </c>
      <c r="H34" s="372">
        <f>Input!$FN$9</f>
        <v>0</v>
      </c>
      <c r="I34" s="372">
        <f>Input!$FO$9</f>
        <v>0</v>
      </c>
      <c r="J34" s="372">
        <f>Input!$FP$9</f>
        <v>0</v>
      </c>
      <c r="K34" s="372">
        <f>Input!$FQ$9</f>
        <v>0</v>
      </c>
      <c r="L34" s="372">
        <f>Input!$FR$9</f>
        <v>0</v>
      </c>
      <c r="M34" s="567">
        <f t="shared" si="6"/>
        <v>0</v>
      </c>
      <c r="O34" s="435" t="s">
        <v>1296</v>
      </c>
      <c r="P34" s="436"/>
      <c r="Q34" s="264" t="s">
        <v>291</v>
      </c>
      <c r="R34" s="648">
        <f>Input!$SR$9</f>
        <v>-55242741</v>
      </c>
      <c r="T34" s="560" t="s">
        <v>1110</v>
      </c>
      <c r="U34" s="266"/>
      <c r="V34" s="266"/>
      <c r="W34" s="430">
        <f>(M24+M37)*-1</f>
        <v>0</v>
      </c>
      <c r="X34" s="425"/>
    </row>
    <row r="35" spans="1:24" s="264" customFormat="1" ht="13.5" thickBot="1">
      <c r="A35" s="263"/>
      <c r="B35" s="261" t="s">
        <v>725</v>
      </c>
      <c r="C35" s="261"/>
      <c r="D35" s="372">
        <f>Input!$FS$9</f>
        <v>0</v>
      </c>
      <c r="E35" s="372">
        <f>Input!$FT$9</f>
        <v>0</v>
      </c>
      <c r="F35" s="372">
        <f>Input!$FU$9</f>
        <v>0</v>
      </c>
      <c r="G35" s="372">
        <f>Input!$FV$9</f>
        <v>0</v>
      </c>
      <c r="H35" s="372">
        <f>Input!$FW$9</f>
        <v>0</v>
      </c>
      <c r="I35" s="372">
        <f>Input!$FX$9</f>
        <v>0</v>
      </c>
      <c r="J35" s="372">
        <f>Input!$FY$9</f>
        <v>0</v>
      </c>
      <c r="K35" s="372">
        <f>Input!$FZ$9</f>
        <v>0</v>
      </c>
      <c r="L35" s="372">
        <f>Input!$GA$9</f>
        <v>0</v>
      </c>
      <c r="M35" s="567">
        <f t="shared" si="6"/>
        <v>0</v>
      </c>
      <c r="O35" s="418" t="s">
        <v>286</v>
      </c>
      <c r="P35" s="419"/>
      <c r="Q35" s="420">
        <f>Q30-Q32</f>
        <v>0</v>
      </c>
      <c r="R35" s="649">
        <f>R30-R34</f>
        <v>0</v>
      </c>
      <c r="T35" s="650" t="s">
        <v>1111</v>
      </c>
      <c r="U35" s="584"/>
      <c r="V35" s="584"/>
      <c r="W35" s="656">
        <f>SUM(W33:W34)</f>
        <v>20430559</v>
      </c>
      <c r="X35" s="655"/>
    </row>
    <row r="36" spans="1:24" s="264" customFormat="1" ht="13.5" thickTop="1">
      <c r="A36" s="263"/>
      <c r="B36" s="558" t="s">
        <v>732</v>
      </c>
      <c r="C36" s="563"/>
      <c r="D36" s="564">
        <f>Input!$GB$9</f>
        <v>0</v>
      </c>
      <c r="E36" s="564">
        <f>Input!$GC$9</f>
        <v>41921999</v>
      </c>
      <c r="F36" s="564">
        <f>Input!$GD$9</f>
        <v>11945852</v>
      </c>
      <c r="G36" s="564">
        <f>Input!$GE$9</f>
        <v>0</v>
      </c>
      <c r="H36" s="564">
        <f>Input!$GF$9</f>
        <v>0</v>
      </c>
      <c r="I36" s="564">
        <f>Input!$GG$9</f>
        <v>0</v>
      </c>
      <c r="J36" s="564">
        <f>Input!$GH$9</f>
        <v>0</v>
      </c>
      <c r="K36" s="564">
        <f>Input!$GI$9</f>
        <v>0</v>
      </c>
      <c r="L36" s="564">
        <f>Input!$GJ$9</f>
        <v>0</v>
      </c>
      <c r="M36" s="565">
        <f t="shared" si="6"/>
        <v>53867851</v>
      </c>
      <c r="O36" s="261"/>
      <c r="Q36" s="412" t="str">
        <f>IF(Q30&lt;&gt;Q32,"Out of Balance","Balanced")</f>
        <v>Balanced</v>
      </c>
      <c r="R36" s="412" t="str">
        <f>IF(R30&lt;&gt;R34,"Out of Balance","Balanced")</f>
        <v>Balanced</v>
      </c>
      <c r="T36" s="560" t="s">
        <v>1053</v>
      </c>
      <c r="U36" s="266"/>
      <c r="V36" s="266"/>
      <c r="W36" s="334">
        <f>(M20+M33)*-1</f>
        <v>0</v>
      </c>
      <c r="X36" s="425"/>
    </row>
    <row r="37" spans="1:24" s="264" customFormat="1">
      <c r="A37" s="263"/>
      <c r="B37" s="261" t="s">
        <v>727</v>
      </c>
      <c r="C37" s="566"/>
      <c r="D37" s="372">
        <f>Input!$GK$9</f>
        <v>0</v>
      </c>
      <c r="E37" s="372">
        <f>Input!$GL$9</f>
        <v>0</v>
      </c>
      <c r="F37" s="372">
        <f>Input!$GM$9</f>
        <v>0</v>
      </c>
      <c r="G37" s="372">
        <f>Input!$GN$9</f>
        <v>0</v>
      </c>
      <c r="H37" s="372">
        <f>Input!$GO$9</f>
        <v>0</v>
      </c>
      <c r="I37" s="372">
        <f>Input!$GP$9</f>
        <v>0</v>
      </c>
      <c r="J37" s="372">
        <f>Input!$GQ$9</f>
        <v>0</v>
      </c>
      <c r="K37" s="372">
        <f>Input!$GR$9</f>
        <v>0</v>
      </c>
      <c r="L37" s="372">
        <f>Input!$GS$9</f>
        <v>0</v>
      </c>
      <c r="M37" s="567">
        <f t="shared" si="6"/>
        <v>0</v>
      </c>
      <c r="O37" s="261"/>
      <c r="T37" s="560" t="s">
        <v>1112</v>
      </c>
      <c r="U37" s="266"/>
      <c r="V37" s="266"/>
      <c r="W37" s="430">
        <f>(M25+M38)*-1</f>
        <v>0</v>
      </c>
      <c r="X37" s="655"/>
    </row>
    <row r="38" spans="1:24" s="264" customFormat="1">
      <c r="A38" s="263"/>
      <c r="B38" s="261" t="s">
        <v>728</v>
      </c>
      <c r="C38" s="566"/>
      <c r="D38" s="372">
        <f>Input!$GT$9</f>
        <v>0</v>
      </c>
      <c r="E38" s="372">
        <f>Input!$GU$9</f>
        <v>0</v>
      </c>
      <c r="F38" s="372">
        <f>Input!$GV$9</f>
        <v>0</v>
      </c>
      <c r="G38" s="372">
        <f>Input!$GW$9</f>
        <v>0</v>
      </c>
      <c r="H38" s="372">
        <f>Input!$GX$9</f>
        <v>0</v>
      </c>
      <c r="I38" s="372">
        <f>Input!$GY$9</f>
        <v>0</v>
      </c>
      <c r="J38" s="372">
        <f>Input!$GZ$9</f>
        <v>0</v>
      </c>
      <c r="K38" s="372">
        <f>Input!$HA$9</f>
        <v>0</v>
      </c>
      <c r="L38" s="372">
        <f>Input!$HB$9</f>
        <v>0</v>
      </c>
      <c r="M38" s="567">
        <f t="shared" si="6"/>
        <v>0</v>
      </c>
      <c r="O38" s="261"/>
      <c r="T38" s="650" t="s">
        <v>1113</v>
      </c>
      <c r="U38" s="584"/>
      <c r="V38" s="584"/>
      <c r="W38" s="656">
        <f>SUM(W36:W37)</f>
        <v>0</v>
      </c>
      <c r="X38" s="425"/>
    </row>
    <row r="39" spans="1:24" s="264" customFormat="1">
      <c r="A39" s="263"/>
      <c r="B39" s="261" t="s">
        <v>729</v>
      </c>
      <c r="C39" s="566"/>
      <c r="D39" s="372">
        <f>Input!$HC$9</f>
        <v>0</v>
      </c>
      <c r="E39" s="372">
        <f>Input!$HD$9</f>
        <v>-1230141</v>
      </c>
      <c r="F39" s="372">
        <f>Input!$HE$9</f>
        <v>-123714</v>
      </c>
      <c r="G39" s="372">
        <f>Input!$HF$9</f>
        <v>0</v>
      </c>
      <c r="H39" s="372">
        <f>Input!$HG$9</f>
        <v>0</v>
      </c>
      <c r="I39" s="372">
        <f>Input!$HH$9</f>
        <v>0</v>
      </c>
      <c r="J39" s="372">
        <f>Input!$HI$9</f>
        <v>0</v>
      </c>
      <c r="K39" s="372">
        <f>Input!$HJ$9</f>
        <v>0</v>
      </c>
      <c r="L39" s="372">
        <f>Input!$HK$9</f>
        <v>0</v>
      </c>
      <c r="M39" s="567">
        <f t="shared" si="6"/>
        <v>-1353855</v>
      </c>
      <c r="O39" s="261"/>
      <c r="T39" s="560" t="s">
        <v>1054</v>
      </c>
      <c r="U39" s="266"/>
      <c r="V39" s="266"/>
      <c r="W39" s="334"/>
      <c r="X39" s="425">
        <f>W38+W35</f>
        <v>20430559</v>
      </c>
    </row>
    <row r="40" spans="1:24" s="264" customFormat="1">
      <c r="A40" s="263"/>
      <c r="B40" s="261" t="s">
        <v>730</v>
      </c>
      <c r="C40" s="566"/>
      <c r="D40" s="372">
        <f>Input!$HL$9</f>
        <v>0</v>
      </c>
      <c r="E40" s="372">
        <f>Input!$HM$9</f>
        <v>0</v>
      </c>
      <c r="F40" s="372">
        <f>Input!$HN$9</f>
        <v>0</v>
      </c>
      <c r="G40" s="372">
        <f>Input!$HO$9</f>
        <v>0</v>
      </c>
      <c r="H40" s="372">
        <f>Input!$HP$9</f>
        <v>0</v>
      </c>
      <c r="I40" s="372">
        <f>Input!$HQ$9</f>
        <v>0</v>
      </c>
      <c r="J40" s="372">
        <f>Input!$HR$9</f>
        <v>0</v>
      </c>
      <c r="K40" s="372">
        <f>Input!$HS$9</f>
        <v>0</v>
      </c>
      <c r="L40" s="372">
        <f>Input!$HT$9</f>
        <v>0</v>
      </c>
      <c r="M40" s="567">
        <f t="shared" si="6"/>
        <v>0</v>
      </c>
      <c r="O40" s="261"/>
      <c r="T40" s="560"/>
      <c r="U40" s="261"/>
      <c r="V40" s="261"/>
      <c r="W40" s="261"/>
      <c r="X40" s="655"/>
    </row>
    <row r="41" spans="1:24" s="264" customFormat="1">
      <c r="A41" s="263"/>
      <c r="B41" s="261" t="s">
        <v>2133</v>
      </c>
      <c r="C41" s="566"/>
      <c r="D41" s="372">
        <f>Input!$HU$9</f>
        <v>0</v>
      </c>
      <c r="E41" s="372">
        <f>Input!$HV$9</f>
        <v>-10107780</v>
      </c>
      <c r="F41" s="372">
        <f>Input!$HW$9</f>
        <v>-3102927</v>
      </c>
      <c r="G41" s="372">
        <f>Input!$HX$9</f>
        <v>0</v>
      </c>
      <c r="H41" s="372">
        <f>Input!$HY$9</f>
        <v>0</v>
      </c>
      <c r="I41" s="372">
        <f>Input!$HZ$9</f>
        <v>0</v>
      </c>
      <c r="J41" s="372">
        <f>Input!$IA$9</f>
        <v>0</v>
      </c>
      <c r="K41" s="372">
        <f>Input!$IB$9</f>
        <v>0</v>
      </c>
      <c r="L41" s="372">
        <f>Input!$IC$9</f>
        <v>0</v>
      </c>
      <c r="M41" s="567">
        <f t="shared" si="6"/>
        <v>-13210707</v>
      </c>
      <c r="O41"/>
      <c r="P41"/>
      <c r="Q41"/>
      <c r="R41"/>
      <c r="S41"/>
      <c r="T41" s="560" t="s">
        <v>1104</v>
      </c>
      <c r="U41" s="266"/>
      <c r="V41" s="266"/>
      <c r="W41" s="330">
        <f>(M21+M34)*-1</f>
        <v>0</v>
      </c>
      <c r="X41" s="425"/>
    </row>
    <row r="42" spans="1:24" s="264" customFormat="1">
      <c r="A42" s="263"/>
      <c r="B42" s="575" t="s">
        <v>40</v>
      </c>
      <c r="C42" s="563"/>
      <c r="D42" s="374">
        <f t="shared" ref="D42:L42" si="7">SUM(D36:D41)</f>
        <v>0</v>
      </c>
      <c r="E42" s="374">
        <f t="shared" si="7"/>
        <v>30584078</v>
      </c>
      <c r="F42" s="374">
        <f t="shared" si="7"/>
        <v>8719211</v>
      </c>
      <c r="G42" s="374">
        <f t="shared" si="7"/>
        <v>0</v>
      </c>
      <c r="H42" s="374">
        <f t="shared" si="7"/>
        <v>0</v>
      </c>
      <c r="I42" s="374">
        <f t="shared" si="7"/>
        <v>0</v>
      </c>
      <c r="J42" s="374">
        <f t="shared" si="7"/>
        <v>0</v>
      </c>
      <c r="K42" s="374">
        <f t="shared" si="7"/>
        <v>0</v>
      </c>
      <c r="L42" s="374">
        <f t="shared" si="7"/>
        <v>0</v>
      </c>
      <c r="M42" s="374">
        <f t="shared" si="6"/>
        <v>39303289</v>
      </c>
      <c r="O42"/>
      <c r="P42"/>
      <c r="Q42"/>
      <c r="R42"/>
      <c r="S42"/>
      <c r="T42" s="560" t="s">
        <v>1107</v>
      </c>
      <c r="U42" s="266"/>
      <c r="V42" s="266"/>
      <c r="W42" s="430">
        <f>(M22+M35)*-1</f>
        <v>0</v>
      </c>
      <c r="X42" s="425"/>
    </row>
    <row r="43" spans="1:24" s="264" customFormat="1">
      <c r="A43" s="263"/>
      <c r="B43" s="261"/>
      <c r="C43" s="566"/>
      <c r="D43" s="566"/>
      <c r="E43" s="566"/>
      <c r="F43" s="566"/>
      <c r="G43" s="566"/>
      <c r="H43" s="566"/>
      <c r="I43" s="566"/>
      <c r="J43" s="566"/>
      <c r="K43" s="566"/>
      <c r="L43" s="566"/>
      <c r="M43" s="567"/>
      <c r="O43"/>
      <c r="P43"/>
      <c r="Q43"/>
      <c r="R43"/>
      <c r="S43"/>
      <c r="T43" s="650" t="s">
        <v>1114</v>
      </c>
      <c r="U43" s="584"/>
      <c r="V43" s="584"/>
      <c r="W43" s="656">
        <f>SUM(W41:W42)</f>
        <v>0</v>
      </c>
      <c r="X43" s="655"/>
    </row>
    <row r="44" spans="1:24" s="264" customFormat="1" ht="13.5" customHeight="1">
      <c r="A44" s="263"/>
      <c r="B44" s="575" t="s">
        <v>1055</v>
      </c>
      <c r="C44" s="563"/>
      <c r="D44" s="374">
        <f t="shared" ref="D44:L44" si="8">D42+D29</f>
        <v>26168129</v>
      </c>
      <c r="E44" s="374">
        <f t="shared" si="8"/>
        <v>114101554</v>
      </c>
      <c r="F44" s="374">
        <f t="shared" si="8"/>
        <v>8719211</v>
      </c>
      <c r="G44" s="374">
        <f t="shared" si="8"/>
        <v>0</v>
      </c>
      <c r="H44" s="374">
        <f t="shared" si="8"/>
        <v>0</v>
      </c>
      <c r="I44" s="374">
        <f t="shared" si="8"/>
        <v>0</v>
      </c>
      <c r="J44" s="374">
        <f t="shared" si="8"/>
        <v>0</v>
      </c>
      <c r="K44" s="374">
        <f t="shared" si="8"/>
        <v>0</v>
      </c>
      <c r="L44" s="374">
        <f t="shared" si="8"/>
        <v>0</v>
      </c>
      <c r="M44" s="374">
        <f>D44+E44+F44+G44+H44+I44+J44+K44+L44</f>
        <v>148988894</v>
      </c>
      <c r="O44"/>
      <c r="P44"/>
      <c r="Q44"/>
      <c r="R44"/>
      <c r="S44"/>
      <c r="T44" s="560"/>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0"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0" t="s">
        <v>1112</v>
      </c>
      <c r="U46" s="266"/>
      <c r="V46" s="266"/>
      <c r="W46" s="430">
        <f>(M25+M38)*-1</f>
        <v>0</v>
      </c>
      <c r="X46" s="425"/>
    </row>
    <row r="47" spans="1:24">
      <c r="A47" s="184">
        <v>30</v>
      </c>
      <c r="B47" s="176" t="s">
        <v>7</v>
      </c>
      <c r="C47" s="176"/>
      <c r="D47" s="375">
        <f>Input!$ID$9</f>
        <v>4449828</v>
      </c>
      <c r="E47" s="375">
        <f>Input!$IE$9</f>
        <v>12551152</v>
      </c>
      <c r="F47" s="375">
        <f>Input!$IF$9</f>
        <v>0</v>
      </c>
      <c r="G47" s="375">
        <f>Input!$IG$9</f>
        <v>189523185</v>
      </c>
      <c r="H47" s="375">
        <f>Input!$IH$9</f>
        <v>0</v>
      </c>
      <c r="I47" s="375">
        <f>Input!$II$9</f>
        <v>0</v>
      </c>
      <c r="J47" s="375">
        <f>Input!$IJ$9</f>
        <v>0</v>
      </c>
      <c r="K47" s="375">
        <f>Input!$IK$9</f>
        <v>0</v>
      </c>
      <c r="L47" s="375">
        <f>Input!$IL$9</f>
        <v>0</v>
      </c>
      <c r="M47" s="374">
        <f>D47+E47+F47+G47+H47+I47+J47+K47+L47</f>
        <v>206524165</v>
      </c>
      <c r="N47" s="160"/>
      <c r="O47"/>
      <c r="P47"/>
      <c r="Q47"/>
      <c r="R47"/>
      <c r="S47"/>
      <c r="T47" s="657" t="s">
        <v>1115</v>
      </c>
      <c r="U47" s="27"/>
      <c r="V47" s="27"/>
      <c r="W47" s="656">
        <f>SUM(W45:W46)</f>
        <v>0</v>
      </c>
      <c r="X47" s="655"/>
    </row>
    <row r="48" spans="1:24">
      <c r="A48" s="184">
        <v>31</v>
      </c>
      <c r="B48" s="160"/>
      <c r="C48" s="160"/>
      <c r="D48" s="373"/>
      <c r="E48" s="373"/>
      <c r="F48" s="373"/>
      <c r="G48" s="373"/>
      <c r="H48" s="373"/>
      <c r="I48" s="373"/>
      <c r="J48" s="373"/>
      <c r="K48" s="373"/>
      <c r="L48" s="373"/>
      <c r="M48" s="373"/>
      <c r="N48" s="160"/>
      <c r="O48"/>
      <c r="P48"/>
      <c r="Q48"/>
      <c r="R48"/>
      <c r="S48"/>
      <c r="T48" s="560"/>
      <c r="U48" s="261"/>
      <c r="V48" s="261"/>
      <c r="W48" s="261"/>
      <c r="X48" s="658">
        <f>W43-W47</f>
        <v>0</v>
      </c>
    </row>
    <row r="49" spans="1:28">
      <c r="A49" s="184">
        <v>32</v>
      </c>
      <c r="B49" s="172" t="s">
        <v>8</v>
      </c>
      <c r="C49" s="172"/>
      <c r="D49" s="373"/>
      <c r="E49" s="373"/>
      <c r="F49" s="373"/>
      <c r="G49" s="373"/>
      <c r="H49" s="373"/>
      <c r="I49" s="373"/>
      <c r="J49" s="373"/>
      <c r="K49" s="373"/>
      <c r="L49" s="373"/>
      <c r="M49" s="373"/>
      <c r="N49" s="160"/>
      <c r="O49" s="273"/>
      <c r="T49" s="579" t="s">
        <v>287</v>
      </c>
      <c r="U49" s="511"/>
      <c r="V49" s="580"/>
      <c r="W49" s="580"/>
      <c r="X49" s="574">
        <f>SUM(X23:X48)</f>
        <v>224662194</v>
      </c>
    </row>
    <row r="50" spans="1:28">
      <c r="A50" s="184">
        <v>33</v>
      </c>
      <c r="B50" s="160" t="s">
        <v>42</v>
      </c>
      <c r="C50" s="160"/>
      <c r="D50" s="372">
        <f>Input!$IM$9</f>
        <v>52491</v>
      </c>
      <c r="E50" s="372">
        <f>Input!$IN$9</f>
        <v>6530613</v>
      </c>
      <c r="F50" s="372">
        <f>Input!$IO$9</f>
        <v>4423</v>
      </c>
      <c r="G50" s="372">
        <f>Input!$IP$9</f>
        <v>10418709</v>
      </c>
      <c r="H50" s="372">
        <f>Input!$IQ$9</f>
        <v>244</v>
      </c>
      <c r="I50" s="372">
        <f>Input!$IR$9</f>
        <v>192269</v>
      </c>
      <c r="J50" s="372">
        <f>Input!$IS$9</f>
        <v>2602</v>
      </c>
      <c r="K50" s="372">
        <f>Input!$IT$9</f>
        <v>0</v>
      </c>
      <c r="L50" s="372">
        <f>Input!$IU$9</f>
        <v>0</v>
      </c>
      <c r="M50" s="373">
        <f t="shared" ref="M50:M57" si="9">D50+E50+F50+G50+H50+I50+J50+K50+L50</f>
        <v>17201351</v>
      </c>
      <c r="N50" s="160"/>
      <c r="O50" s="273"/>
      <c r="U50" s="275"/>
    </row>
    <row r="51" spans="1:28">
      <c r="A51" s="184">
        <v>34</v>
      </c>
      <c r="B51" s="160" t="s">
        <v>9</v>
      </c>
      <c r="C51" s="160"/>
      <c r="D51" s="372">
        <f>Input!$IV$9</f>
        <v>0</v>
      </c>
      <c r="E51" s="372">
        <f>Input!$IW$9</f>
        <v>89526</v>
      </c>
      <c r="F51" s="372">
        <f>Input!$IX$9</f>
        <v>0</v>
      </c>
      <c r="G51" s="372">
        <f>Input!$IY$9</f>
        <v>681288</v>
      </c>
      <c r="H51" s="372">
        <f>Input!$IZ$9</f>
        <v>0</v>
      </c>
      <c r="I51" s="372">
        <f>Input!$JA$9</f>
        <v>0</v>
      </c>
      <c r="J51" s="372">
        <f>Input!$JB$9</f>
        <v>0</v>
      </c>
      <c r="K51" s="372">
        <f>Input!$JC$9</f>
        <v>0</v>
      </c>
      <c r="L51" s="372">
        <f>Input!$JD$9</f>
        <v>0</v>
      </c>
      <c r="M51" s="376">
        <f t="shared" si="9"/>
        <v>770814</v>
      </c>
      <c r="N51" s="160"/>
      <c r="Y51" s="277"/>
    </row>
    <row r="52" spans="1:28">
      <c r="A52" s="184">
        <v>35</v>
      </c>
      <c r="B52" s="160" t="s">
        <v>10</v>
      </c>
      <c r="C52" s="160"/>
      <c r="D52" s="372">
        <f>Input!$JE$9</f>
        <v>0</v>
      </c>
      <c r="E52" s="372">
        <f>Input!$JF$9</f>
        <v>205156</v>
      </c>
      <c r="F52" s="372">
        <f>Input!$JG$9</f>
        <v>0</v>
      </c>
      <c r="G52" s="372">
        <f>Input!$JH$9</f>
        <v>13567797</v>
      </c>
      <c r="H52" s="372">
        <f>Input!$JI$9</f>
        <v>0</v>
      </c>
      <c r="I52" s="372">
        <f>Input!$JJ$9</f>
        <v>0</v>
      </c>
      <c r="J52" s="372">
        <f>Input!$JK$9</f>
        <v>0</v>
      </c>
      <c r="K52" s="372">
        <f>Input!$JL$9</f>
        <v>0</v>
      </c>
      <c r="L52" s="372">
        <f>Input!$JM$9</f>
        <v>0</v>
      </c>
      <c r="M52" s="373">
        <f t="shared" si="9"/>
        <v>13772953</v>
      </c>
      <c r="N52" s="160"/>
      <c r="O52" s="273"/>
      <c r="P52" s="278"/>
    </row>
    <row r="53" spans="1:28">
      <c r="A53" s="184">
        <v>36</v>
      </c>
      <c r="B53" s="160" t="s">
        <v>11</v>
      </c>
      <c r="C53" s="160"/>
      <c r="D53" s="372">
        <f>Input!$JN$9</f>
        <v>0</v>
      </c>
      <c r="E53" s="372">
        <f>Input!$JO$9</f>
        <v>6467590</v>
      </c>
      <c r="F53" s="372">
        <f>Input!$JP$9</f>
        <v>0</v>
      </c>
      <c r="G53" s="372">
        <f>Input!$JQ$9</f>
        <v>1006691</v>
      </c>
      <c r="H53" s="372">
        <f>Input!$JR$9</f>
        <v>0</v>
      </c>
      <c r="I53" s="372">
        <f>Input!$JS$9</f>
        <v>0</v>
      </c>
      <c r="J53" s="372">
        <f>Input!$JT$9</f>
        <v>0</v>
      </c>
      <c r="K53" s="372">
        <f>Input!$JU$9</f>
        <v>0</v>
      </c>
      <c r="L53" s="372">
        <f>Input!$JV$9</f>
        <v>0</v>
      </c>
      <c r="M53" s="373">
        <f t="shared" si="9"/>
        <v>7474281</v>
      </c>
      <c r="N53" s="160"/>
      <c r="O53" s="273"/>
    </row>
    <row r="54" spans="1:28" ht="13.5" thickBot="1">
      <c r="A54" s="184">
        <v>37</v>
      </c>
      <c r="B54" s="177" t="s">
        <v>2134</v>
      </c>
      <c r="C54" s="177"/>
      <c r="D54" s="372">
        <f>Input!$JW$9</f>
        <v>0</v>
      </c>
      <c r="E54" s="372">
        <f>Input!$JX$9</f>
        <v>0</v>
      </c>
      <c r="F54" s="372">
        <f>Input!$JY$9</f>
        <v>16537887</v>
      </c>
      <c r="G54" s="372">
        <f>Input!$JZ$9</f>
        <v>0</v>
      </c>
      <c r="H54" s="372">
        <f>Input!$KA$9</f>
        <v>0</v>
      </c>
      <c r="I54" s="372">
        <f>Input!$KB$9</f>
        <v>0</v>
      </c>
      <c r="J54" s="372">
        <f>Input!$KC$9</f>
        <v>0</v>
      </c>
      <c r="K54" s="372">
        <f>Input!$KD$9</f>
        <v>0</v>
      </c>
      <c r="L54" s="372">
        <f>Input!$KE$9</f>
        <v>0</v>
      </c>
      <c r="M54" s="373">
        <f t="shared" si="9"/>
        <v>16537887</v>
      </c>
      <c r="N54" s="160"/>
      <c r="O54" s="273"/>
    </row>
    <row r="55" spans="1:28" ht="14.25" thickTop="1" thickBot="1">
      <c r="A55" s="184">
        <v>38</v>
      </c>
      <c r="B55" s="160" t="s">
        <v>43</v>
      </c>
      <c r="C55" s="160"/>
      <c r="D55" s="372">
        <f>Input!$KF$9</f>
        <v>22428</v>
      </c>
      <c r="E55" s="372">
        <f>Input!$KG$9</f>
        <v>42008</v>
      </c>
      <c r="F55" s="372">
        <f>Input!$KH$9</f>
        <v>0</v>
      </c>
      <c r="G55" s="372">
        <f>Input!$KI$9</f>
        <v>0</v>
      </c>
      <c r="H55" s="372">
        <f>Input!$KJ$9</f>
        <v>20705</v>
      </c>
      <c r="I55" s="372">
        <f>Input!$KK$9</f>
        <v>0</v>
      </c>
      <c r="J55" s="372">
        <f>Input!$KL$9</f>
        <v>0</v>
      </c>
      <c r="K55" s="372">
        <f>Input!$KM$9</f>
        <v>0</v>
      </c>
      <c r="L55" s="372">
        <f>Input!$KN$9</f>
        <v>335566</v>
      </c>
      <c r="M55" s="373">
        <f t="shared" si="9"/>
        <v>420707</v>
      </c>
      <c r="N55" s="160"/>
      <c r="O55" s="1616" t="s">
        <v>251</v>
      </c>
      <c r="P55" s="1617"/>
      <c r="Q55" s="1617"/>
      <c r="R55" s="1618"/>
      <c r="S55" s="437"/>
      <c r="T55" s="1619" t="s">
        <v>252</v>
      </c>
      <c r="U55" s="1620"/>
      <c r="V55" s="1620"/>
      <c r="W55" s="1620"/>
      <c r="X55" s="1621"/>
      <c r="Y55" s="320"/>
      <c r="Z55" s="1749" t="s">
        <v>1301</v>
      </c>
      <c r="AA55" s="1750"/>
      <c r="AB55" s="1751"/>
    </row>
    <row r="56" spans="1:28" ht="13.5" customHeight="1" thickTop="1">
      <c r="A56" s="184">
        <v>39</v>
      </c>
      <c r="B56" s="176" t="s">
        <v>3</v>
      </c>
      <c r="C56" s="176"/>
      <c r="D56" s="374">
        <f>SUM(D50:D55)</f>
        <v>74919</v>
      </c>
      <c r="E56" s="374">
        <f t="shared" ref="E56:L56" si="10">SUM(E50:E55)</f>
        <v>13334893</v>
      </c>
      <c r="F56" s="374">
        <f t="shared" si="10"/>
        <v>16542310</v>
      </c>
      <c r="G56" s="374">
        <f t="shared" si="10"/>
        <v>25674485</v>
      </c>
      <c r="H56" s="374">
        <f t="shared" si="10"/>
        <v>20949</v>
      </c>
      <c r="I56" s="374">
        <f t="shared" si="10"/>
        <v>192269</v>
      </c>
      <c r="J56" s="374">
        <f t="shared" si="10"/>
        <v>2602</v>
      </c>
      <c r="K56" s="374">
        <f t="shared" si="10"/>
        <v>0</v>
      </c>
      <c r="L56" s="374">
        <f t="shared" si="10"/>
        <v>335566</v>
      </c>
      <c r="M56" s="374">
        <f t="shared" si="9"/>
        <v>56177993</v>
      </c>
      <c r="N56" s="160"/>
      <c r="O56" s="1622" t="s">
        <v>1135</v>
      </c>
      <c r="P56" s="1625" t="s">
        <v>254</v>
      </c>
      <c r="Q56" s="1625" t="s">
        <v>292</v>
      </c>
      <c r="R56" s="1628" t="s">
        <v>1063</v>
      </c>
      <c r="S56" s="280"/>
      <c r="T56" s="1739" t="s">
        <v>1136</v>
      </c>
      <c r="U56" s="1637" t="s">
        <v>254</v>
      </c>
      <c r="V56" s="1634" t="s">
        <v>256</v>
      </c>
      <c r="W56" s="1637" t="s">
        <v>257</v>
      </c>
      <c r="X56" s="1638" t="s">
        <v>1064</v>
      </c>
      <c r="Z56" s="1754" t="s">
        <v>1302</v>
      </c>
      <c r="AA56" s="1747" t="s">
        <v>1303</v>
      </c>
      <c r="AB56" s="1752" t="s">
        <v>238</v>
      </c>
    </row>
    <row r="57" spans="1:28">
      <c r="A57" s="184">
        <v>40</v>
      </c>
      <c r="B57" s="162" t="s">
        <v>68</v>
      </c>
      <c r="C57" s="162"/>
      <c r="D57" s="374">
        <f>D15+D44+D47+D56</f>
        <v>163244329</v>
      </c>
      <c r="E57" s="374">
        <f t="shared" ref="E57:L57" si="11">E15+E44+E47+E56</f>
        <v>140431800</v>
      </c>
      <c r="F57" s="374">
        <f t="shared" si="11"/>
        <v>25261521</v>
      </c>
      <c r="G57" s="374">
        <f t="shared" si="11"/>
        <v>215537609</v>
      </c>
      <c r="H57" s="374">
        <f t="shared" si="11"/>
        <v>20949</v>
      </c>
      <c r="I57" s="374">
        <f t="shared" si="11"/>
        <v>192269</v>
      </c>
      <c r="J57" s="374">
        <f t="shared" si="11"/>
        <v>2602</v>
      </c>
      <c r="K57" s="374">
        <f t="shared" si="11"/>
        <v>0</v>
      </c>
      <c r="L57" s="374">
        <f t="shared" si="11"/>
        <v>335566</v>
      </c>
      <c r="M57" s="374">
        <f t="shared" si="9"/>
        <v>545026645</v>
      </c>
      <c r="N57" s="160"/>
      <c r="O57" s="1623"/>
      <c r="P57" s="1626"/>
      <c r="Q57" s="1626"/>
      <c r="R57" s="1629"/>
      <c r="S57" s="280"/>
      <c r="T57" s="1740"/>
      <c r="U57" s="1626"/>
      <c r="V57" s="1635"/>
      <c r="W57" s="1626"/>
      <c r="X57" s="1639"/>
      <c r="Z57" s="1755"/>
      <c r="AA57" s="1747"/>
      <c r="AB57" s="1752"/>
    </row>
    <row r="58" spans="1:28">
      <c r="A58" s="184">
        <v>41</v>
      </c>
      <c r="B58" s="160"/>
      <c r="C58" s="160"/>
      <c r="D58" s="373"/>
      <c r="E58" s="373"/>
      <c r="F58" s="373"/>
      <c r="G58" s="373"/>
      <c r="H58" s="373"/>
      <c r="I58" s="373"/>
      <c r="J58" s="373"/>
      <c r="K58" s="373"/>
      <c r="L58" s="373"/>
      <c r="M58" s="373"/>
      <c r="N58" s="160"/>
      <c r="O58" s="1623"/>
      <c r="P58" s="1626"/>
      <c r="Q58" s="1626"/>
      <c r="R58" s="1629"/>
      <c r="S58" s="280"/>
      <c r="T58" s="1740"/>
      <c r="U58" s="1626"/>
      <c r="V58" s="1635"/>
      <c r="W58" s="1626"/>
      <c r="X58" s="1639"/>
      <c r="Z58" s="1755"/>
      <c r="AA58" s="1747"/>
      <c r="AB58" s="1752"/>
    </row>
    <row r="59" spans="1:28" ht="16.5" customHeight="1">
      <c r="A59" s="184">
        <v>42</v>
      </c>
      <c r="B59" s="174" t="s">
        <v>72</v>
      </c>
      <c r="C59" s="174"/>
      <c r="D59" s="377"/>
      <c r="E59" s="377"/>
      <c r="F59" s="377"/>
      <c r="G59" s="1746" t="str">
        <f>IF(OR(P105&gt;0,P106&lt;&gt;0,P107&lt;&gt;0),"Do not Enter Cents - Whole Dollars Only","")</f>
        <v/>
      </c>
      <c r="H59" s="1746"/>
      <c r="I59" s="1746"/>
      <c r="J59" s="1746"/>
      <c r="K59" s="1746"/>
      <c r="L59" s="377"/>
      <c r="M59" s="377"/>
      <c r="N59" s="160"/>
      <c r="O59" s="1624"/>
      <c r="P59" s="1627"/>
      <c r="Q59" s="1627"/>
      <c r="R59" s="1630"/>
      <c r="S59" s="280"/>
      <c r="T59" s="1741"/>
      <c r="U59" s="1627"/>
      <c r="V59" s="1636"/>
      <c r="W59" s="1627"/>
      <c r="X59" s="1640"/>
      <c r="Z59" s="1756"/>
      <c r="AA59" s="1748"/>
      <c r="AB59" s="1753"/>
    </row>
    <row r="60" spans="1:28" ht="13.5" thickBot="1">
      <c r="A60" s="184">
        <v>43</v>
      </c>
      <c r="B60" s="160" t="s">
        <v>14</v>
      </c>
      <c r="C60" s="160"/>
      <c r="D60" s="372">
        <f>Input!$KO$9</f>
        <v>90599232</v>
      </c>
      <c r="E60" s="372">
        <f>Input!$KP$9</f>
        <v>17794081</v>
      </c>
      <c r="F60" s="372">
        <f>Input!$KQ$9</f>
        <v>0</v>
      </c>
      <c r="G60" s="372">
        <f>Input!$KR$9</f>
        <v>2953943</v>
      </c>
      <c r="H60" s="372">
        <f>Input!$KS$9</f>
        <v>0</v>
      </c>
      <c r="I60" s="372">
        <f>Input!$KT$9</f>
        <v>0</v>
      </c>
      <c r="J60" s="372">
        <f>Input!$KU$9</f>
        <v>0</v>
      </c>
      <c r="K60" s="372">
        <f>Input!$KV$9</f>
        <v>0</v>
      </c>
      <c r="L60" s="372">
        <f>Input!$KW$9</f>
        <v>0</v>
      </c>
      <c r="M60" s="373">
        <f t="shared" ref="M60:M71" si="12">D60+E60+F60+G60+H60+I60+J60+K60+L60</f>
        <v>111347256</v>
      </c>
      <c r="N60" s="160"/>
      <c r="O60" s="282">
        <f>D60+E60+G60+J60</f>
        <v>111347256</v>
      </c>
      <c r="P60" s="518">
        <f>Input!$SS$9</f>
        <v>303636</v>
      </c>
      <c r="Q60" s="438" t="s">
        <v>259</v>
      </c>
      <c r="R60" s="284">
        <f>SUM(O60:P60)</f>
        <v>111650892</v>
      </c>
      <c r="S60" s="439"/>
      <c r="T60" s="286">
        <f t="shared" ref="T60:T67" si="13">D60+E60+G60</f>
        <v>111347256</v>
      </c>
      <c r="U60" s="287">
        <f t="shared" ref="U60:U67" si="14">P60</f>
        <v>303636</v>
      </c>
      <c r="V60" s="289">
        <f>Input!$TC$9</f>
        <v>0</v>
      </c>
      <c r="W60" s="289">
        <f>Input!$TK$9</f>
        <v>0</v>
      </c>
      <c r="X60" s="290">
        <f t="shared" ref="X60:X66" si="15">T60+U60-V60-W60</f>
        <v>111650892</v>
      </c>
      <c r="Z60" s="292" t="s">
        <v>14</v>
      </c>
      <c r="AA60" s="520">
        <f>Input!$TS$9</f>
        <v>111347256</v>
      </c>
      <c r="AB60" s="293">
        <f t="shared" ref="AB60:AB68" si="16">AA60-M60</f>
        <v>0</v>
      </c>
    </row>
    <row r="61" spans="1:28" ht="14.25" thickTop="1" thickBot="1">
      <c r="A61" s="184">
        <v>44</v>
      </c>
      <c r="B61" s="160" t="s">
        <v>15</v>
      </c>
      <c r="C61" s="160"/>
      <c r="D61" s="372">
        <f>Input!$KX$9</f>
        <v>34255819</v>
      </c>
      <c r="E61" s="372">
        <f>Input!$KY$9</f>
        <v>8933823</v>
      </c>
      <c r="F61" s="372">
        <f>Input!$KZ$9</f>
        <v>0</v>
      </c>
      <c r="G61" s="372">
        <f>Input!$LA$9</f>
        <v>46233967</v>
      </c>
      <c r="H61" s="372">
        <f>Input!$LB$9</f>
        <v>0</v>
      </c>
      <c r="I61" s="372">
        <f>Input!$LC$9</f>
        <v>0</v>
      </c>
      <c r="J61" s="372">
        <f>Input!$LD$9</f>
        <v>0</v>
      </c>
      <c r="K61" s="372">
        <f>Input!$LE$9</f>
        <v>0</v>
      </c>
      <c r="L61" s="372">
        <f>Input!$LF$9</f>
        <v>0</v>
      </c>
      <c r="M61" s="373">
        <f t="shared" si="12"/>
        <v>89423609</v>
      </c>
      <c r="N61" s="160"/>
      <c r="O61" s="440">
        <f t="shared" ref="O61:O67" si="17">D61+E61+G61+J61</f>
        <v>89423609</v>
      </c>
      <c r="P61" s="518">
        <f>Input!$ST$9</f>
        <v>7679334</v>
      </c>
      <c r="Q61" s="441" t="s">
        <v>259</v>
      </c>
      <c r="R61" s="295">
        <f>SUM(O61:P61)</f>
        <v>97102943</v>
      </c>
      <c r="S61" s="442"/>
      <c r="T61" s="296">
        <f t="shared" si="13"/>
        <v>89423609</v>
      </c>
      <c r="U61" s="297">
        <f t="shared" si="14"/>
        <v>7679334</v>
      </c>
      <c r="V61" s="299">
        <f>Input!$TD$9</f>
        <v>402773</v>
      </c>
      <c r="W61" s="299">
        <f>Input!$TL$9</f>
        <v>0</v>
      </c>
      <c r="X61" s="300">
        <f t="shared" si="15"/>
        <v>96700170</v>
      </c>
      <c r="Z61" s="292" t="s">
        <v>15</v>
      </c>
      <c r="AA61" s="518">
        <f>Input!$TT$9</f>
        <v>89423609</v>
      </c>
      <c r="AB61" s="301">
        <f t="shared" si="16"/>
        <v>0</v>
      </c>
    </row>
    <row r="62" spans="1:28" ht="13.5" thickTop="1">
      <c r="A62" s="184">
        <v>45</v>
      </c>
      <c r="B62" s="160" t="s">
        <v>16</v>
      </c>
      <c r="C62" s="160"/>
      <c r="D62" s="372">
        <f>Input!$LG$9</f>
        <v>919555</v>
      </c>
      <c r="E62" s="372">
        <f>Input!$LH$9</f>
        <v>2870295</v>
      </c>
      <c r="F62" s="372">
        <f>Input!$LI$9</f>
        <v>0</v>
      </c>
      <c r="G62" s="372">
        <f>Input!$LJ$9</f>
        <v>7584106</v>
      </c>
      <c r="H62" s="372">
        <f>Input!$LK$9</f>
        <v>0</v>
      </c>
      <c r="I62" s="372">
        <f>Input!$LL$9</f>
        <v>0</v>
      </c>
      <c r="J62" s="372">
        <f>Input!$LM$9</f>
        <v>0</v>
      </c>
      <c r="K62" s="372">
        <f>Input!$LN$9</f>
        <v>0</v>
      </c>
      <c r="L62" s="372">
        <f>Input!$LO$9</f>
        <v>0</v>
      </c>
      <c r="M62" s="373">
        <f t="shared" si="12"/>
        <v>11373956</v>
      </c>
      <c r="N62" s="160"/>
      <c r="O62" s="440">
        <f t="shared" si="17"/>
        <v>11373956</v>
      </c>
      <c r="P62" s="518">
        <f>Input!$SU$9</f>
        <v>74028</v>
      </c>
      <c r="Q62" s="441" t="s">
        <v>259</v>
      </c>
      <c r="R62" s="302" t="s">
        <v>259</v>
      </c>
      <c r="S62" s="442"/>
      <c r="T62" s="296">
        <f t="shared" si="13"/>
        <v>11373956</v>
      </c>
      <c r="U62" s="297">
        <f t="shared" si="14"/>
        <v>74028</v>
      </c>
      <c r="V62" s="299">
        <f>Input!$TE$9</f>
        <v>0</v>
      </c>
      <c r="W62" s="299">
        <f>Input!$TM$9</f>
        <v>0</v>
      </c>
      <c r="X62" s="303">
        <f t="shared" si="15"/>
        <v>11447984</v>
      </c>
      <c r="Z62" s="292" t="s">
        <v>16</v>
      </c>
      <c r="AA62" s="518">
        <f>Input!$TU$9</f>
        <v>11373956</v>
      </c>
      <c r="AB62" s="301">
        <f t="shared" si="16"/>
        <v>0</v>
      </c>
    </row>
    <row r="63" spans="1:28">
      <c r="A63" s="184">
        <v>46</v>
      </c>
      <c r="B63" s="160" t="s">
        <v>17</v>
      </c>
      <c r="C63" s="160"/>
      <c r="D63" s="372">
        <f>Input!$LP$9</f>
        <v>11912499</v>
      </c>
      <c r="E63" s="372">
        <f>Input!$LQ$9</f>
        <v>10544913</v>
      </c>
      <c r="F63" s="372">
        <f>Input!$LR$9</f>
        <v>0</v>
      </c>
      <c r="G63" s="372">
        <f>Input!$LS$9</f>
        <v>4535859</v>
      </c>
      <c r="H63" s="372">
        <f>Input!$LT$9</f>
        <v>0</v>
      </c>
      <c r="I63" s="372">
        <f>Input!$LU$9</f>
        <v>0</v>
      </c>
      <c r="J63" s="372">
        <f>Input!$LV$9</f>
        <v>0</v>
      </c>
      <c r="K63" s="372">
        <f>Input!$LW$9</f>
        <v>0</v>
      </c>
      <c r="L63" s="372">
        <f>Input!$LX$9</f>
        <v>0</v>
      </c>
      <c r="M63" s="373">
        <f t="shared" si="12"/>
        <v>26993271</v>
      </c>
      <c r="N63" s="160"/>
      <c r="O63" s="440">
        <f t="shared" si="17"/>
        <v>26993271</v>
      </c>
      <c r="P63" s="518">
        <f>Input!$SV$9</f>
        <v>947570</v>
      </c>
      <c r="Q63" s="441" t="s">
        <v>259</v>
      </c>
      <c r="R63" s="295">
        <f t="shared" ref="R63:R65" si="18">SUM(O63:P63)</f>
        <v>27940841</v>
      </c>
      <c r="S63" s="442"/>
      <c r="T63" s="296">
        <f t="shared" si="13"/>
        <v>26993271</v>
      </c>
      <c r="U63" s="297">
        <f t="shared" si="14"/>
        <v>947570</v>
      </c>
      <c r="V63" s="299">
        <f>Input!$TF$9</f>
        <v>0</v>
      </c>
      <c r="W63" s="299">
        <f>Input!$TN$9</f>
        <v>0</v>
      </c>
      <c r="X63" s="303">
        <f t="shared" si="15"/>
        <v>27940841</v>
      </c>
      <c r="Z63" s="292" t="s">
        <v>17</v>
      </c>
      <c r="AA63" s="518">
        <f>Input!$TV$9</f>
        <v>26993271</v>
      </c>
      <c r="AB63" s="301">
        <f t="shared" si="16"/>
        <v>0</v>
      </c>
    </row>
    <row r="64" spans="1:28">
      <c r="A64" s="184">
        <v>47</v>
      </c>
      <c r="B64" s="160" t="s">
        <v>18</v>
      </c>
      <c r="C64" s="160"/>
      <c r="D64" s="372">
        <f>Input!$LY$9</f>
        <v>6338040</v>
      </c>
      <c r="E64" s="372">
        <f>Input!$LZ$9</f>
        <v>12793969</v>
      </c>
      <c r="F64" s="372">
        <f>Input!$MA$9</f>
        <v>0</v>
      </c>
      <c r="G64" s="372">
        <f>Input!$MB$9</f>
        <v>9509516</v>
      </c>
      <c r="H64" s="372">
        <f>Input!$MC$9</f>
        <v>-370763</v>
      </c>
      <c r="I64" s="372">
        <f>Input!$MD$9</f>
        <v>0</v>
      </c>
      <c r="J64" s="372">
        <f>Input!$ME$9</f>
        <v>0</v>
      </c>
      <c r="K64" s="372">
        <f>Input!$MF$9</f>
        <v>0</v>
      </c>
      <c r="L64" s="372">
        <f>Input!$MG$9</f>
        <v>0</v>
      </c>
      <c r="M64" s="373">
        <f t="shared" si="12"/>
        <v>28270762</v>
      </c>
      <c r="N64" s="160"/>
      <c r="O64" s="440">
        <f t="shared" si="17"/>
        <v>28641525</v>
      </c>
      <c r="P64" s="518">
        <f>Input!$SW$9</f>
        <v>0</v>
      </c>
      <c r="Q64" s="518">
        <f>Input!$TB$9</f>
        <v>0</v>
      </c>
      <c r="R64" s="295">
        <f>SUM(O64:P64)-Q64</f>
        <v>28641525</v>
      </c>
      <c r="S64" s="442"/>
      <c r="T64" s="296">
        <f t="shared" si="13"/>
        <v>28641525</v>
      </c>
      <c r="U64" s="297">
        <f t="shared" si="14"/>
        <v>0</v>
      </c>
      <c r="V64" s="299">
        <f>Input!$TG$9</f>
        <v>0</v>
      </c>
      <c r="W64" s="299">
        <f>Input!$TO$9</f>
        <v>0</v>
      </c>
      <c r="X64" s="303">
        <f t="shared" si="15"/>
        <v>28641525</v>
      </c>
      <c r="Z64" s="292" t="s">
        <v>18</v>
      </c>
      <c r="AA64" s="518">
        <f>Input!$TW$9</f>
        <v>28270762</v>
      </c>
      <c r="AB64" s="301">
        <f t="shared" si="16"/>
        <v>0</v>
      </c>
    </row>
    <row r="65" spans="1:28">
      <c r="A65" s="184">
        <v>48</v>
      </c>
      <c r="B65" s="160" t="s">
        <v>19</v>
      </c>
      <c r="C65" s="160"/>
      <c r="D65" s="372">
        <f>Input!$MH$9</f>
        <v>19104415</v>
      </c>
      <c r="E65" s="372">
        <f>Input!$MI$9</f>
        <v>10219605</v>
      </c>
      <c r="F65" s="372">
        <f>Input!$MJ$9</f>
        <v>0</v>
      </c>
      <c r="G65" s="372">
        <f>Input!$MK$9</f>
        <v>2438220</v>
      </c>
      <c r="H65" s="372">
        <f>Input!$ML$9</f>
        <v>0</v>
      </c>
      <c r="I65" s="372">
        <f>Input!$MM$9</f>
        <v>0</v>
      </c>
      <c r="J65" s="372">
        <f>Input!$MN$9</f>
        <v>0</v>
      </c>
      <c r="K65" s="372">
        <f>Input!$MO$9</f>
        <v>0</v>
      </c>
      <c r="L65" s="372">
        <f>Input!$MP$9</f>
        <v>0</v>
      </c>
      <c r="M65" s="373">
        <f t="shared" si="12"/>
        <v>31762240</v>
      </c>
      <c r="N65" s="160"/>
      <c r="O65" s="440">
        <f t="shared" si="17"/>
        <v>31762240</v>
      </c>
      <c r="P65" s="518">
        <f>Input!$SX$9</f>
        <v>638697</v>
      </c>
      <c r="Q65" s="441" t="s">
        <v>259</v>
      </c>
      <c r="R65" s="295">
        <f t="shared" si="18"/>
        <v>32400937</v>
      </c>
      <c r="S65" s="442"/>
      <c r="T65" s="296">
        <f t="shared" si="13"/>
        <v>31762240</v>
      </c>
      <c r="U65" s="297">
        <f t="shared" si="14"/>
        <v>638697</v>
      </c>
      <c r="V65" s="299">
        <f>Input!$TH$9</f>
        <v>0</v>
      </c>
      <c r="W65" s="299">
        <f>Input!$TP$9</f>
        <v>0</v>
      </c>
      <c r="X65" s="303">
        <f t="shared" si="15"/>
        <v>32400937</v>
      </c>
      <c r="Z65" s="292" t="s">
        <v>19</v>
      </c>
      <c r="AA65" s="518">
        <f>Input!$TX$9</f>
        <v>31762240</v>
      </c>
      <c r="AB65" s="301">
        <f t="shared" si="16"/>
        <v>0</v>
      </c>
    </row>
    <row r="66" spans="1:28">
      <c r="A66" s="184">
        <v>49</v>
      </c>
      <c r="B66" s="160" t="s">
        <v>20</v>
      </c>
      <c r="C66" s="160"/>
      <c r="D66" s="372">
        <f>Input!$MQ$9</f>
        <v>15732483</v>
      </c>
      <c r="E66" s="372">
        <f>Input!$MR$9</f>
        <v>13093326</v>
      </c>
      <c r="F66" s="372">
        <f>Input!$MS$9</f>
        <v>0</v>
      </c>
      <c r="G66" s="372">
        <f>Input!$MT$9</f>
        <v>24211</v>
      </c>
      <c r="H66" s="372">
        <f>Input!$MU$9</f>
        <v>0</v>
      </c>
      <c r="I66" s="372">
        <f>Input!$MV$9</f>
        <v>0</v>
      </c>
      <c r="J66" s="372">
        <f>Input!$MW$9</f>
        <v>126131</v>
      </c>
      <c r="K66" s="372">
        <f>Input!$MX$9</f>
        <v>0</v>
      </c>
      <c r="L66" s="372">
        <f>Input!$MY$9</f>
        <v>0</v>
      </c>
      <c r="M66" s="373">
        <f t="shared" si="12"/>
        <v>28976151</v>
      </c>
      <c r="N66" s="160"/>
      <c r="O66" s="440">
        <f t="shared" si="17"/>
        <v>28976151</v>
      </c>
      <c r="P66" s="518">
        <f>Input!$SY$9</f>
        <v>75169</v>
      </c>
      <c r="Q66" s="441" t="s">
        <v>259</v>
      </c>
      <c r="R66" s="304" t="s">
        <v>259</v>
      </c>
      <c r="S66" s="442"/>
      <c r="T66" s="296">
        <f t="shared" si="13"/>
        <v>28850020</v>
      </c>
      <c r="U66" s="297">
        <f t="shared" si="14"/>
        <v>75169</v>
      </c>
      <c r="V66" s="299">
        <f>Input!$TI$9</f>
        <v>0</v>
      </c>
      <c r="W66" s="299">
        <f>Input!$TQ$9</f>
        <v>0</v>
      </c>
      <c r="X66" s="303">
        <f t="shared" si="15"/>
        <v>28925189</v>
      </c>
      <c r="Z66" s="292" t="s">
        <v>260</v>
      </c>
      <c r="AA66" s="518">
        <f>Input!$TY$9</f>
        <v>28976151</v>
      </c>
      <c r="AB66" s="301">
        <f t="shared" si="16"/>
        <v>0</v>
      </c>
    </row>
    <row r="67" spans="1:28" ht="13.5" thickBot="1">
      <c r="A67" s="184">
        <v>50</v>
      </c>
      <c r="B67" s="160" t="s">
        <v>21</v>
      </c>
      <c r="C67" s="160"/>
      <c r="D67" s="372">
        <f>Input!$MZ$9</f>
        <v>13716166</v>
      </c>
      <c r="E67" s="372">
        <f>Input!$NA$9</f>
        <v>18644176</v>
      </c>
      <c r="F67" s="372">
        <f>Input!$NB$9</f>
        <v>0</v>
      </c>
      <c r="G67" s="372">
        <f>Input!$NC$9</f>
        <v>75662564</v>
      </c>
      <c r="H67" s="372">
        <f>Input!$ND$9</f>
        <v>0</v>
      </c>
      <c r="I67" s="372">
        <f>Input!$NE$9</f>
        <v>0</v>
      </c>
      <c r="J67" s="372">
        <f>Input!$NF$9</f>
        <v>0</v>
      </c>
      <c r="K67" s="372">
        <f>Input!$NG$9</f>
        <v>0</v>
      </c>
      <c r="L67" s="372">
        <f>Input!$NH$9</f>
        <v>0</v>
      </c>
      <c r="M67" s="373">
        <f t="shared" si="12"/>
        <v>108022906</v>
      </c>
      <c r="N67" s="160"/>
      <c r="O67" s="440">
        <f t="shared" si="17"/>
        <v>108022906</v>
      </c>
      <c r="P67" s="518">
        <f>Input!$SZ$9</f>
        <v>0</v>
      </c>
      <c r="Q67" s="441" t="s">
        <v>259</v>
      </c>
      <c r="R67" s="304" t="s">
        <v>259</v>
      </c>
      <c r="S67" s="442"/>
      <c r="T67" s="306">
        <f t="shared" si="13"/>
        <v>108022906</v>
      </c>
      <c r="U67" s="307">
        <f t="shared" si="14"/>
        <v>0</v>
      </c>
      <c r="V67" s="308">
        <f>Input!$TJ$9</f>
        <v>0</v>
      </c>
      <c r="W67" s="308">
        <f>Input!$TR$9</f>
        <v>0</v>
      </c>
      <c r="X67" s="303">
        <f>U67+T67-V67-W67</f>
        <v>108022906</v>
      </c>
      <c r="Z67" s="292" t="s">
        <v>21</v>
      </c>
      <c r="AA67" s="518">
        <f>Input!$TZ$9</f>
        <v>108022906</v>
      </c>
      <c r="AB67" s="301">
        <f t="shared" si="16"/>
        <v>0</v>
      </c>
    </row>
    <row r="68" spans="1:28" ht="14.25" thickTop="1" thickBot="1">
      <c r="A68" s="184">
        <v>51</v>
      </c>
      <c r="B68" s="160" t="s">
        <v>2135</v>
      </c>
      <c r="C68" s="160"/>
      <c r="D68" s="372">
        <f>Input!$NI$9</f>
        <v>0</v>
      </c>
      <c r="E68" s="372">
        <f>Input!$NJ$9</f>
        <v>0</v>
      </c>
      <c r="F68" s="372">
        <f>Input!$NK$9</f>
        <v>35220254</v>
      </c>
      <c r="G68" s="372">
        <f>Input!$NL$9</f>
        <v>501540</v>
      </c>
      <c r="H68" s="372">
        <f>Input!$NM$9</f>
        <v>0</v>
      </c>
      <c r="I68" s="372">
        <f>Input!$NN$9</f>
        <v>0</v>
      </c>
      <c r="J68" s="372">
        <f>Input!$NO$9</f>
        <v>0</v>
      </c>
      <c r="K68" s="372">
        <f>Input!$NP$9</f>
        <v>0</v>
      </c>
      <c r="L68" s="372">
        <f>Input!$NQ$9</f>
        <v>0</v>
      </c>
      <c r="M68" s="373">
        <f t="shared" si="12"/>
        <v>35721794</v>
      </c>
      <c r="N68" s="160"/>
      <c r="O68" s="309" t="s">
        <v>259</v>
      </c>
      <c r="P68" s="519">
        <f>Input!$TA$9</f>
        <v>407027</v>
      </c>
      <c r="Q68" s="444" t="s">
        <v>259</v>
      </c>
      <c r="R68" s="311" t="s">
        <v>259</v>
      </c>
      <c r="S68" s="442"/>
      <c r="T68" s="305"/>
      <c r="U68" s="305"/>
      <c r="V68" s="312" t="s">
        <v>261</v>
      </c>
      <c r="W68" s="313"/>
      <c r="X68" s="314">
        <f>SUM(X60:X67)</f>
        <v>445730444</v>
      </c>
      <c r="Z68" s="292" t="s">
        <v>22</v>
      </c>
      <c r="AA68" s="518">
        <f>Input!$UA$9</f>
        <v>35721794</v>
      </c>
      <c r="AB68" s="301">
        <f t="shared" si="16"/>
        <v>0</v>
      </c>
    </row>
    <row r="69" spans="1:28" ht="14.25" thickTop="1" thickBot="1">
      <c r="A69" s="184">
        <v>52</v>
      </c>
      <c r="B69" s="161" t="s">
        <v>59</v>
      </c>
      <c r="C69" s="161"/>
      <c r="D69" s="372">
        <f>Input!$NR$9</f>
        <v>175708</v>
      </c>
      <c r="E69" s="372">
        <f>Input!$NS$9</f>
        <v>4288811</v>
      </c>
      <c r="F69" s="372">
        <f>Input!$NT$9</f>
        <v>407027</v>
      </c>
      <c r="G69" s="372">
        <f>Input!$NU$9</f>
        <v>5253915</v>
      </c>
      <c r="H69" s="372">
        <f>Input!$NV$9</f>
        <v>0</v>
      </c>
      <c r="I69" s="372">
        <f>Input!$NW$9</f>
        <v>0</v>
      </c>
      <c r="J69" s="372">
        <f>Input!$NX$9</f>
        <v>0</v>
      </c>
      <c r="K69" s="372">
        <f>Input!$NY$9</f>
        <v>0</v>
      </c>
      <c r="L69" s="372">
        <f>Input!$NZ$9</f>
        <v>0</v>
      </c>
      <c r="M69" s="373">
        <f t="shared" si="12"/>
        <v>10125461</v>
      </c>
      <c r="N69" s="160"/>
      <c r="O69" s="315"/>
      <c r="P69" s="316">
        <f>SUM(P60:P68)</f>
        <v>10125461</v>
      </c>
      <c r="Q69" s="316">
        <f>SUM(Q64:Q68)</f>
        <v>0</v>
      </c>
      <c r="R69" s="317">
        <f>SUM(R60:R65)</f>
        <v>297737138</v>
      </c>
      <c r="S69" s="316"/>
      <c r="T69" s="305"/>
      <c r="U69" s="305"/>
      <c r="V69" s="305"/>
      <c r="W69" s="277"/>
      <c r="X69" s="277"/>
      <c r="Y69" s="277"/>
      <c r="Z69" s="292" t="s">
        <v>285</v>
      </c>
      <c r="AA69" s="445">
        <f>M88*-1</f>
        <v>33734963</v>
      </c>
      <c r="AB69" s="301">
        <f>AA69+M88</f>
        <v>0</v>
      </c>
    </row>
    <row r="70" spans="1:28" ht="14.25" thickTop="1" thickBot="1">
      <c r="A70" s="184">
        <v>53</v>
      </c>
      <c r="B70" s="178" t="s">
        <v>44</v>
      </c>
      <c r="C70" s="178"/>
      <c r="D70" s="378">
        <f>Input!$OA$9</f>
        <v>0</v>
      </c>
      <c r="E70" s="378">
        <f>Input!$OB$9</f>
        <v>0</v>
      </c>
      <c r="F70" s="378">
        <f>Input!$OC$9</f>
        <v>0</v>
      </c>
      <c r="G70" s="378">
        <f>Input!$OD$9</f>
        <v>0</v>
      </c>
      <c r="H70" s="378">
        <f>Input!$OE$9</f>
        <v>0</v>
      </c>
      <c r="I70" s="378">
        <f>Input!$OF$9</f>
        <v>0</v>
      </c>
      <c r="J70" s="378">
        <f>Input!$OG$9</f>
        <v>0</v>
      </c>
      <c r="K70" s="378">
        <f>Input!$OH$9</f>
        <v>0</v>
      </c>
      <c r="L70" s="378">
        <f>Input!$OI$9</f>
        <v>0</v>
      </c>
      <c r="M70" s="373">
        <f t="shared" si="12"/>
        <v>0</v>
      </c>
      <c r="N70" s="160"/>
      <c r="O70" s="320"/>
      <c r="P70" s="516" t="str">
        <f>IF(P69&lt;&gt;M69,"Out of Balance","Balanced")</f>
        <v>Balanced</v>
      </c>
      <c r="Q70" s="318"/>
      <c r="R70" s="305"/>
      <c r="S70" s="305"/>
      <c r="T70" s="305"/>
      <c r="U70" s="277"/>
      <c r="V70" s="1738" t="str">
        <f>IF(X68-INT(X68)&lt;&gt;0,"Whole Dollars Only","")</f>
        <v/>
      </c>
      <c r="W70" s="1738"/>
      <c r="X70" s="537"/>
      <c r="Y70" s="319"/>
      <c r="Z70" s="410" t="s">
        <v>262</v>
      </c>
      <c r="AA70" s="446" t="s">
        <v>259</v>
      </c>
      <c r="AB70" s="411">
        <f>M90</f>
        <v>0</v>
      </c>
    </row>
    <row r="71" spans="1:28" ht="13.5" thickTop="1">
      <c r="A71" s="184">
        <v>54</v>
      </c>
      <c r="B71" s="162" t="s">
        <v>69</v>
      </c>
      <c r="C71" s="162"/>
      <c r="D71" s="374">
        <f>SUM(D60:D70)</f>
        <v>192753917</v>
      </c>
      <c r="E71" s="374">
        <f>SUM(E60:E70)</f>
        <v>99182999</v>
      </c>
      <c r="F71" s="374">
        <f t="shared" ref="F71:L71" si="19">SUM(F60:F70)</f>
        <v>35627281</v>
      </c>
      <c r="G71" s="374">
        <f t="shared" si="19"/>
        <v>154697841</v>
      </c>
      <c r="H71" s="374">
        <f t="shared" si="19"/>
        <v>-370763</v>
      </c>
      <c r="I71" s="374">
        <f t="shared" si="19"/>
        <v>0</v>
      </c>
      <c r="J71" s="374">
        <f t="shared" si="19"/>
        <v>126131</v>
      </c>
      <c r="K71" s="374">
        <f t="shared" si="19"/>
        <v>0</v>
      </c>
      <c r="L71" s="374">
        <f t="shared" si="19"/>
        <v>0</v>
      </c>
      <c r="M71" s="374">
        <f t="shared" si="12"/>
        <v>482017406</v>
      </c>
      <c r="N71" s="160"/>
      <c r="O71" s="322"/>
      <c r="P71" s="1738" t="str">
        <f>IF(P69-INT(P69)&lt;&gt;0,"Whole Dollars Only","")</f>
        <v/>
      </c>
      <c r="Q71" s="1738"/>
      <c r="R71" s="323"/>
      <c r="S71" s="323"/>
      <c r="T71" s="323"/>
      <c r="U71" s="291"/>
      <c r="V71" s="324"/>
      <c r="W71" s="321"/>
      <c r="X71" s="321"/>
      <c r="Y71" s="321"/>
      <c r="Z71" s="318"/>
      <c r="AA71" s="325">
        <f>SUM(AA60:AA70)</f>
        <v>505626908</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Input!$OJ$9</f>
        <v>0</v>
      </c>
      <c r="E74" s="372">
        <f>Input!$OK$9</f>
        <v>0</v>
      </c>
      <c r="F74" s="372">
        <f>Input!$OL$9</f>
        <v>0</v>
      </c>
      <c r="G74" s="372">
        <f>Input!$OM$9</f>
        <v>0</v>
      </c>
      <c r="H74" s="372">
        <f>Input!$ON$9</f>
        <v>0</v>
      </c>
      <c r="I74" s="372">
        <f>Input!$OO$9</f>
        <v>0</v>
      </c>
      <c r="J74" s="372">
        <f>Input!$OP$9</f>
        <v>-8316845</v>
      </c>
      <c r="K74" s="372">
        <f>Input!$OQ$9</f>
        <v>0</v>
      </c>
      <c r="L74" s="372">
        <f>Input!$OR$9</f>
        <v>0</v>
      </c>
      <c r="M74" s="373">
        <f>D74+E74+F74+G74+H74+I74+J74+K74+L74</f>
        <v>-8316845</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Input!$OS$9</f>
        <v>42216938</v>
      </c>
      <c r="E75" s="372">
        <f>Input!$OT$9</f>
        <v>-14615625</v>
      </c>
      <c r="F75" s="372">
        <f>Input!$OU$9</f>
        <v>21676525</v>
      </c>
      <c r="G75" s="372">
        <f>Input!$OV$9</f>
        <v>-55820010</v>
      </c>
      <c r="H75" s="372">
        <f>Input!$OW$9</f>
        <v>220260</v>
      </c>
      <c r="I75" s="372">
        <f>Input!$OX$9</f>
        <v>3378042</v>
      </c>
      <c r="J75" s="372">
        <f>Input!$OY$9</f>
        <v>917120</v>
      </c>
      <c r="K75" s="372">
        <f>Input!$OZ$9</f>
        <v>0</v>
      </c>
      <c r="L75" s="372">
        <f>Input!$PA$9</f>
        <v>0</v>
      </c>
      <c r="M75" s="373">
        <f>D75+E75+F75+G75+H75+I75+J75+K75+L75</f>
        <v>-2026750</v>
      </c>
      <c r="N75" s="160"/>
      <c r="O75" s="1723" t="str">
        <f>IF(M85&lt;0,"Footnote 11 is N/A - No Data Entry Required","Footnote 11")</f>
        <v>Footnote 11</v>
      </c>
      <c r="P75" s="1724"/>
      <c r="Q75" s="1724"/>
      <c r="R75" s="1725"/>
      <c r="S75" s="330"/>
      <c r="T75" s="330"/>
      <c r="U75" s="327"/>
      <c r="V75" s="276"/>
      <c r="W75" s="331"/>
      <c r="X75" s="331"/>
      <c r="Y75" s="328"/>
      <c r="Z75" s="328"/>
      <c r="AA75" s="276"/>
      <c r="AB75" s="276" t="s">
        <v>293</v>
      </c>
    </row>
    <row r="76" spans="1:28" ht="13.5" thickTop="1">
      <c r="A76" s="184">
        <v>59</v>
      </c>
      <c r="B76" s="160" t="s">
        <v>45</v>
      </c>
      <c r="C76" s="160"/>
      <c r="D76" s="372">
        <f>Input!$PB$9</f>
        <v>0</v>
      </c>
      <c r="E76" s="372">
        <f>Input!$PC$9</f>
        <v>0</v>
      </c>
      <c r="F76" s="372">
        <f>Input!$PD$9</f>
        <v>0</v>
      </c>
      <c r="G76" s="372">
        <f>Input!$PE$9</f>
        <v>0</v>
      </c>
      <c r="H76" s="372">
        <f>Input!$PF$9</f>
        <v>0</v>
      </c>
      <c r="I76" s="372">
        <f>Input!$PG$9</f>
        <v>0</v>
      </c>
      <c r="J76" s="372">
        <f>Input!$PH$9</f>
        <v>13287671</v>
      </c>
      <c r="K76" s="372">
        <f>Input!$PI$9</f>
        <v>0</v>
      </c>
      <c r="L76" s="372">
        <f>Input!$PJ$9</f>
        <v>0</v>
      </c>
      <c r="M76" s="373">
        <f>D76+E76+F76+G76+H76+I76+J76+K76+L76</f>
        <v>13287671</v>
      </c>
      <c r="N76" s="160"/>
      <c r="O76" s="487" t="s">
        <v>583</v>
      </c>
      <c r="P76" s="488"/>
      <c r="Q76" s="489"/>
      <c r="R76" s="490">
        <f>IF($M$85&lt;0,"N/A",$M$85)</f>
        <v>140938204</v>
      </c>
      <c r="S76" s="330"/>
      <c r="T76" s="330"/>
      <c r="U76" s="327"/>
      <c r="V76" s="276"/>
      <c r="W76" s="331"/>
      <c r="X76" s="331"/>
      <c r="Y76" s="331"/>
      <c r="Z76" s="331"/>
      <c r="AA76" s="276"/>
      <c r="AB76" s="276"/>
    </row>
    <row r="77" spans="1:28">
      <c r="A77" s="184">
        <v>60</v>
      </c>
      <c r="B77" s="160" t="s">
        <v>46</v>
      </c>
      <c r="C77" s="160"/>
      <c r="D77" s="372">
        <f>Input!$PK$9</f>
        <v>-12707350</v>
      </c>
      <c r="E77" s="372">
        <f>Input!$PL$9</f>
        <v>-2922747</v>
      </c>
      <c r="F77" s="372">
        <f>Input!$PM$9</f>
        <v>-2353549</v>
      </c>
      <c r="G77" s="372">
        <f>Input!$PN$9</f>
        <v>-471746</v>
      </c>
      <c r="H77" s="372">
        <f>Input!$PO$9</f>
        <v>0</v>
      </c>
      <c r="I77" s="372">
        <f>Input!$PP$9</f>
        <v>0</v>
      </c>
      <c r="J77" s="372">
        <f>Input!$PQ$9</f>
        <v>0</v>
      </c>
      <c r="K77" s="372">
        <f>Input!$PR$9</f>
        <v>0</v>
      </c>
      <c r="L77" s="372">
        <f>Input!$PS$9</f>
        <v>0</v>
      </c>
      <c r="M77" s="373">
        <f>D77+E77+F77+G77+H77+I77+J77+K77+L77</f>
        <v>-18455392</v>
      </c>
      <c r="N77" s="160"/>
      <c r="O77" s="491" t="s">
        <v>584</v>
      </c>
      <c r="P77" s="334"/>
      <c r="Q77" s="334"/>
      <c r="R77" s="521">
        <f>Input!$UB$9</f>
        <v>47497923</v>
      </c>
      <c r="S77" s="330"/>
      <c r="T77" s="330"/>
      <c r="U77" s="327"/>
      <c r="V77" s="276"/>
      <c r="W77" s="331"/>
      <c r="X77" s="331"/>
      <c r="Y77" s="331"/>
      <c r="Z77" s="331"/>
      <c r="AA77" s="276"/>
      <c r="AB77" s="276"/>
    </row>
    <row r="78" spans="1:28">
      <c r="A78" s="184">
        <v>61</v>
      </c>
      <c r="B78" s="162" t="s">
        <v>3</v>
      </c>
      <c r="C78" s="162"/>
      <c r="D78" s="374">
        <f t="shared" ref="D78:L78" si="20">SUM(D74:D77)</f>
        <v>29509588</v>
      </c>
      <c r="E78" s="374">
        <f t="shared" si="20"/>
        <v>-17538372</v>
      </c>
      <c r="F78" s="374">
        <f t="shared" si="20"/>
        <v>19322976</v>
      </c>
      <c r="G78" s="374">
        <f t="shared" si="20"/>
        <v>-56291756</v>
      </c>
      <c r="H78" s="374">
        <f t="shared" si="20"/>
        <v>220260</v>
      </c>
      <c r="I78" s="374">
        <f t="shared" si="20"/>
        <v>3378042</v>
      </c>
      <c r="J78" s="374">
        <f t="shared" si="20"/>
        <v>5887946</v>
      </c>
      <c r="K78" s="374">
        <f t="shared" si="20"/>
        <v>0</v>
      </c>
      <c r="L78" s="374">
        <f t="shared" si="20"/>
        <v>0</v>
      </c>
      <c r="M78" s="374">
        <f>D78+E78+F78+G78+H78+I78+J78+K78+L78</f>
        <v>-15511316</v>
      </c>
      <c r="N78" s="160"/>
      <c r="O78" s="491" t="s">
        <v>585</v>
      </c>
      <c r="P78" s="276"/>
      <c r="Q78" s="334"/>
      <c r="R78" s="492">
        <f>IF($M$85&lt;0,"",$R$76-$R$77)</f>
        <v>93440281</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3"/>
      <c r="P79" s="276"/>
      <c r="Q79" s="334"/>
      <c r="R79" s="494"/>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5" t="s">
        <v>586</v>
      </c>
      <c r="P80" s="276"/>
      <c r="Q80" s="334"/>
      <c r="R80" s="521">
        <f>Input!$UC$9</f>
        <v>84328398</v>
      </c>
      <c r="S80" s="330"/>
      <c r="T80" s="330"/>
      <c r="U80" s="334"/>
      <c r="V80" s="276"/>
      <c r="W80" s="328"/>
      <c r="X80" s="328"/>
      <c r="Y80" s="331"/>
      <c r="Z80" s="331"/>
      <c r="AA80" s="276"/>
      <c r="AB80" s="276"/>
    </row>
    <row r="81" spans="1:28">
      <c r="A81" s="184">
        <v>64</v>
      </c>
      <c r="B81" s="160" t="s">
        <v>47</v>
      </c>
      <c r="C81" s="160"/>
      <c r="D81" s="372">
        <f>Input!PT6</f>
        <v>0</v>
      </c>
      <c r="E81" s="372">
        <f>Input!$PU$9</f>
        <v>10599159</v>
      </c>
      <c r="F81" s="372">
        <f>Input!$PV$9</f>
        <v>0</v>
      </c>
      <c r="G81" s="372">
        <f>Input!$PW$9</f>
        <v>0</v>
      </c>
      <c r="H81" s="372">
        <f>Input!$PX$9</f>
        <v>0</v>
      </c>
      <c r="I81" s="372">
        <f>Input!$PY$9</f>
        <v>73729239</v>
      </c>
      <c r="J81" s="372">
        <f>Input!$PZ$9</f>
        <v>0</v>
      </c>
      <c r="K81" s="372">
        <f>Input!$QA$9</f>
        <v>0</v>
      </c>
      <c r="L81" s="372">
        <f>Input!$QB$9</f>
        <v>0</v>
      </c>
      <c r="M81" s="373">
        <f>D81+E81+F81+G81+H81+I81+J81+K81+L81</f>
        <v>84328398</v>
      </c>
      <c r="N81" s="160"/>
      <c r="O81" s="496" t="s">
        <v>587</v>
      </c>
      <c r="P81" s="276"/>
      <c r="Q81" s="276"/>
      <c r="R81" s="497"/>
      <c r="S81" s="330"/>
      <c r="T81" s="330"/>
      <c r="W81" s="276"/>
      <c r="X81" s="276"/>
      <c r="Y81" s="331"/>
      <c r="Z81" s="331"/>
      <c r="AA81" s="276"/>
      <c r="AB81" s="276"/>
    </row>
    <row r="82" spans="1:28">
      <c r="A82" s="184">
        <v>65</v>
      </c>
      <c r="B82" s="160" t="s">
        <v>48</v>
      </c>
      <c r="C82" s="160"/>
      <c r="D82" s="372">
        <f>Input!$QC$9</f>
        <v>0</v>
      </c>
      <c r="E82" s="372">
        <f>Input!$QD$9</f>
        <v>0</v>
      </c>
      <c r="F82" s="372">
        <f>Input!$QE$9</f>
        <v>0</v>
      </c>
      <c r="G82" s="372">
        <f>Input!$QF$9</f>
        <v>0</v>
      </c>
      <c r="H82" s="372">
        <f>Input!$QG$9</f>
        <v>0</v>
      </c>
      <c r="I82" s="372">
        <f>Input!$QH$9</f>
        <v>9111883</v>
      </c>
      <c r="J82" s="372">
        <f>Input!$QI$9</f>
        <v>0</v>
      </c>
      <c r="K82" s="372">
        <f>Input!$QJ$9</f>
        <v>0</v>
      </c>
      <c r="L82" s="372">
        <f>Input!$QK$9</f>
        <v>0</v>
      </c>
      <c r="M82" s="373">
        <f>D82+E82+F82+G82+H82+I82+J82+K82+L82</f>
        <v>9111883</v>
      </c>
      <c r="N82" s="160"/>
      <c r="O82" s="498" t="s">
        <v>588</v>
      </c>
      <c r="P82" s="276"/>
      <c r="Q82" s="276"/>
      <c r="R82" s="492">
        <f>IFERROR($R$78-$R$80,"")</f>
        <v>9111883</v>
      </c>
      <c r="Y82" s="331"/>
      <c r="Z82" s="401"/>
      <c r="AA82" s="268"/>
      <c r="AB82" s="268"/>
    </row>
    <row r="83" spans="1:28">
      <c r="A83" s="184">
        <v>66</v>
      </c>
      <c r="B83" s="162" t="s">
        <v>3</v>
      </c>
      <c r="C83" s="162"/>
      <c r="D83" s="374">
        <f t="shared" ref="D83:L83" si="21">SUM(D81:D82)</f>
        <v>0</v>
      </c>
      <c r="E83" s="374">
        <f t="shared" si="21"/>
        <v>10599159</v>
      </c>
      <c r="F83" s="374">
        <f t="shared" si="21"/>
        <v>0</v>
      </c>
      <c r="G83" s="374">
        <f t="shared" si="21"/>
        <v>0</v>
      </c>
      <c r="H83" s="374">
        <f t="shared" si="21"/>
        <v>0</v>
      </c>
      <c r="I83" s="374">
        <f t="shared" si="21"/>
        <v>82841122</v>
      </c>
      <c r="J83" s="374">
        <f t="shared" si="21"/>
        <v>0</v>
      </c>
      <c r="K83" s="374">
        <f t="shared" si="21"/>
        <v>0</v>
      </c>
      <c r="L83" s="374">
        <f t="shared" si="21"/>
        <v>0</v>
      </c>
      <c r="M83" s="374">
        <f>D83+E83+F83+G83+H83+I83+J83+K83+L83</f>
        <v>93440281</v>
      </c>
      <c r="N83" s="160"/>
      <c r="O83" s="493"/>
      <c r="P83" s="276"/>
      <c r="Q83" s="276"/>
      <c r="R83" s="497"/>
      <c r="Y83" s="163"/>
      <c r="Z83" s="447"/>
      <c r="AA83" s="439"/>
      <c r="AB83" s="448"/>
    </row>
    <row r="84" spans="1:28" ht="13.5" thickBot="1">
      <c r="A84" s="184">
        <v>67</v>
      </c>
      <c r="B84" s="160"/>
      <c r="C84" s="160"/>
      <c r="D84" s="373"/>
      <c r="E84" s="373"/>
      <c r="F84" s="373"/>
      <c r="G84" s="373"/>
      <c r="H84" s="373"/>
      <c r="I84" s="373"/>
      <c r="J84" s="373"/>
      <c r="K84" s="373"/>
      <c r="L84" s="373"/>
      <c r="M84" s="373"/>
      <c r="N84" s="160"/>
      <c r="O84" s="499" t="s">
        <v>589</v>
      </c>
      <c r="P84" s="500"/>
      <c r="Q84" s="500"/>
      <c r="R84" s="501">
        <f>IFERROR((R82+R80)-R78,"")</f>
        <v>0</v>
      </c>
      <c r="Y84" s="268"/>
      <c r="Z84" s="447"/>
      <c r="AA84" s="439"/>
      <c r="AB84" s="449"/>
    </row>
    <row r="85" spans="1:28" ht="13.5" thickTop="1">
      <c r="A85" s="184">
        <v>68</v>
      </c>
      <c r="B85" s="162" t="s">
        <v>574</v>
      </c>
      <c r="C85" s="162"/>
      <c r="D85" s="374">
        <f t="shared" ref="D85:L85" si="22">D57-D71+D78+D83</f>
        <v>0</v>
      </c>
      <c r="E85" s="374">
        <f t="shared" si="22"/>
        <v>34309588</v>
      </c>
      <c r="F85" s="374">
        <f t="shared" si="22"/>
        <v>8957216</v>
      </c>
      <c r="G85" s="374">
        <f t="shared" si="22"/>
        <v>4548012</v>
      </c>
      <c r="H85" s="374">
        <f t="shared" si="22"/>
        <v>611972</v>
      </c>
      <c r="I85" s="374">
        <f t="shared" si="22"/>
        <v>86411433</v>
      </c>
      <c r="J85" s="374">
        <f t="shared" si="22"/>
        <v>5764417</v>
      </c>
      <c r="K85" s="374">
        <f t="shared" si="22"/>
        <v>0</v>
      </c>
      <c r="L85" s="374">
        <f t="shared" si="22"/>
        <v>335566</v>
      </c>
      <c r="M85" s="374">
        <f>D85+E85+F85+G85+H85+I85+J85+K85+L85</f>
        <v>140938204</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Input!$QL$9</f>
        <v>0</v>
      </c>
      <c r="E87" s="372">
        <f>Input!$QM$9</f>
        <v>0</v>
      </c>
      <c r="F87" s="372">
        <f>Input!$QN$9</f>
        <v>0</v>
      </c>
      <c r="G87" s="372">
        <f>Input!$QO$9</f>
        <v>0</v>
      </c>
      <c r="H87" s="372">
        <f>Input!$QP$9</f>
        <v>0</v>
      </c>
      <c r="I87" s="372">
        <f>Input!$QQ$9</f>
        <v>0</v>
      </c>
      <c r="J87" s="372">
        <f>Input!$QR$9</f>
        <v>0</v>
      </c>
      <c r="K87" s="372">
        <f>Input!$QS$9</f>
        <v>0</v>
      </c>
      <c r="L87" s="372">
        <f>Input!$QT$9</f>
        <v>0</v>
      </c>
      <c r="M87" s="329">
        <f>D87+E87+F87+G87+H87+I87+J87+K87+L87</f>
        <v>0</v>
      </c>
      <c r="N87" s="160"/>
      <c r="Y87" s="268"/>
      <c r="Z87" s="447"/>
      <c r="AA87" s="439"/>
      <c r="AB87" s="449"/>
    </row>
    <row r="88" spans="1:28">
      <c r="A88" s="184">
        <v>72</v>
      </c>
      <c r="B88" s="160" t="s">
        <v>66</v>
      </c>
      <c r="C88" s="160"/>
      <c r="D88" s="372">
        <f>Input!$QU$9</f>
        <v>0</v>
      </c>
      <c r="E88" s="372">
        <f>Input!$QV$9</f>
        <v>0</v>
      </c>
      <c r="F88" s="372">
        <f>Input!$QW$9</f>
        <v>0</v>
      </c>
      <c r="G88" s="372">
        <f>Input!$QX$9</f>
        <v>0</v>
      </c>
      <c r="H88" s="372">
        <f>Input!$QY$9</f>
        <v>0</v>
      </c>
      <c r="I88" s="372">
        <f>Input!$QZ$9</f>
        <v>0</v>
      </c>
      <c r="J88" s="372">
        <f>Input!$RA$9</f>
        <v>0</v>
      </c>
      <c r="K88" s="372">
        <f>Input!$RB$9</f>
        <v>0</v>
      </c>
      <c r="L88" s="372">
        <f>Input!$RC$9</f>
        <v>-33734963</v>
      </c>
      <c r="M88" s="373">
        <f>D88+E88+F88+G88+H88+I88+J88+K88+L88</f>
        <v>-33734963</v>
      </c>
      <c r="N88" s="160"/>
      <c r="O88" s="270"/>
      <c r="P88" s="335"/>
      <c r="Y88" s="268"/>
      <c r="Z88" s="447"/>
      <c r="AA88" s="439"/>
      <c r="AB88" s="449"/>
    </row>
    <row r="89" spans="1:28" s="264" customFormat="1">
      <c r="A89" s="263"/>
      <c r="B89" s="171" t="s">
        <v>216</v>
      </c>
      <c r="C89" s="171"/>
      <c r="D89" s="372">
        <f>Input!$RD$9</f>
        <v>0</v>
      </c>
      <c r="E89" s="372">
        <f>Input!$RE$9</f>
        <v>0</v>
      </c>
      <c r="F89" s="372">
        <f>Input!$RF$9</f>
        <v>0</v>
      </c>
      <c r="G89" s="372">
        <f>Input!$RG$9</f>
        <v>0</v>
      </c>
      <c r="H89" s="372">
        <f>Input!$RH$9</f>
        <v>0</v>
      </c>
      <c r="I89" s="372">
        <f>Input!$RI$9</f>
        <v>0</v>
      </c>
      <c r="J89" s="372">
        <f>Input!$RJ$9</f>
        <v>0</v>
      </c>
      <c r="K89" s="372">
        <f>Input!$RK$9</f>
        <v>0</v>
      </c>
      <c r="L89" s="372">
        <f>Input!$RL$9</f>
        <v>0</v>
      </c>
      <c r="M89" s="373">
        <f t="shared" ref="M89:M91" si="23">D89+E89+F89+G89+H89+I89+J89+K89+L89</f>
        <v>0</v>
      </c>
      <c r="N89" s="160"/>
      <c r="O89" s="1726" t="s">
        <v>1355</v>
      </c>
      <c r="P89" s="1727"/>
      <c r="Q89" s="1727"/>
      <c r="R89" s="1727"/>
      <c r="S89" s="1727"/>
      <c r="T89" s="1727"/>
      <c r="U89" s="1728"/>
      <c r="Y89" s="268"/>
      <c r="Z89" s="447"/>
      <c r="AA89" s="439"/>
      <c r="AB89" s="449"/>
    </row>
    <row r="90" spans="1:28" s="264" customFormat="1">
      <c r="A90" s="263"/>
      <c r="B90" s="171" t="s">
        <v>105</v>
      </c>
      <c r="C90" s="171"/>
      <c r="D90" s="372">
        <f>Input!$RM$9</f>
        <v>0</v>
      </c>
      <c r="E90" s="372">
        <f>Input!$RN$9</f>
        <v>0</v>
      </c>
      <c r="F90" s="372">
        <f>Input!$RO$9</f>
        <v>0</v>
      </c>
      <c r="G90" s="372">
        <f>Input!$RP$9</f>
        <v>0</v>
      </c>
      <c r="H90" s="372">
        <f>Input!$RQ$9</f>
        <v>0</v>
      </c>
      <c r="I90" s="372">
        <f>Input!$RR$9</f>
        <v>0</v>
      </c>
      <c r="J90" s="372">
        <f>Input!$RS$9</f>
        <v>0</v>
      </c>
      <c r="K90" s="372">
        <f>Input!$RT$9</f>
        <v>0</v>
      </c>
      <c r="L90" s="372">
        <f>Input!$RU$9</f>
        <v>0</v>
      </c>
      <c r="M90" s="373">
        <f t="shared" si="23"/>
        <v>0</v>
      </c>
      <c r="N90" s="160"/>
      <c r="O90" s="502" t="s">
        <v>590</v>
      </c>
      <c r="P90" s="423"/>
      <c r="Q90" s="502" t="s">
        <v>591</v>
      </c>
      <c r="R90" s="423"/>
      <c r="S90" s="503"/>
      <c r="T90" s="502" t="s">
        <v>592</v>
      </c>
      <c r="U90" s="423"/>
      <c r="Y90" s="268"/>
      <c r="Z90" s="447"/>
      <c r="AA90" s="439"/>
      <c r="AB90" s="449"/>
    </row>
    <row r="91" spans="1:28" s="264" customFormat="1">
      <c r="A91" s="263"/>
      <c r="B91" s="171" t="s">
        <v>128</v>
      </c>
      <c r="C91" s="171"/>
      <c r="D91" s="372">
        <f>Input!$RV$9</f>
        <v>0</v>
      </c>
      <c r="E91" s="372">
        <f>Input!$RW$9</f>
        <v>0</v>
      </c>
      <c r="F91" s="372">
        <f>Input!$RX$9</f>
        <v>0</v>
      </c>
      <c r="G91" s="372">
        <f>Input!$RY$9</f>
        <v>0</v>
      </c>
      <c r="H91" s="372">
        <f>Input!$RZ$9</f>
        <v>0</v>
      </c>
      <c r="I91" s="372">
        <f>Input!$SA$9</f>
        <v>0</v>
      </c>
      <c r="J91" s="372">
        <f>Input!$SB$9</f>
        <v>0</v>
      </c>
      <c r="K91" s="372">
        <f>Input!$SC$9</f>
        <v>0</v>
      </c>
      <c r="L91" s="372">
        <f>Input!$SD$9</f>
        <v>313559</v>
      </c>
      <c r="M91" s="373">
        <f t="shared" si="23"/>
        <v>313559</v>
      </c>
      <c r="N91" s="160"/>
      <c r="O91" s="504"/>
      <c r="P91" s="505"/>
      <c r="Q91" s="504"/>
      <c r="R91" s="426"/>
      <c r="S91" s="276"/>
      <c r="T91" s="506"/>
      <c r="U91" s="426"/>
      <c r="Y91" s="268"/>
      <c r="Z91" s="447"/>
      <c r="AA91" s="439"/>
      <c r="AB91" s="449"/>
    </row>
    <row r="92" spans="1:28" s="264" customFormat="1">
      <c r="A92" s="263"/>
      <c r="B92" s="160" t="s">
        <v>67</v>
      </c>
      <c r="C92" s="160"/>
      <c r="D92" s="372">
        <f>Input!$SE$9</f>
        <v>0</v>
      </c>
      <c r="E92" s="372">
        <f>Input!$SF$9</f>
        <v>0</v>
      </c>
      <c r="F92" s="372">
        <f>Input!$SG$9</f>
        <v>0</v>
      </c>
      <c r="G92" s="372">
        <f>Input!$SH$9</f>
        <v>0</v>
      </c>
      <c r="H92" s="372">
        <f>Input!$SI$9</f>
        <v>0</v>
      </c>
      <c r="I92" s="372">
        <f>Input!$SJ$9</f>
        <v>0</v>
      </c>
      <c r="J92" s="372">
        <f>Input!$SK$9</f>
        <v>0</v>
      </c>
      <c r="K92" s="372">
        <f>Input!$SL$9</f>
        <v>0</v>
      </c>
      <c r="L92" s="372">
        <f>Input!$SM$9</f>
        <v>18442307</v>
      </c>
      <c r="M92" s="373">
        <f>D92+E92+F92+G92+H92+I92+J92+K92+L92</f>
        <v>18442307</v>
      </c>
      <c r="N92" s="160"/>
      <c r="O92" s="1729" t="str">
        <f>Input!UF$9</f>
        <v>Daniel Dominguez</v>
      </c>
      <c r="P92" s="1730"/>
      <c r="Q92" s="1729" t="str">
        <f>Input!$UG$9</f>
        <v>(915)747-5083</v>
      </c>
      <c r="R92" s="1730"/>
      <c r="S92" s="276"/>
      <c r="T92" s="1731" t="str">
        <f>HYPERLINK("Mailto:"&amp;Input!$UH$9,Input!$UH$9)</f>
        <v>drdominguez@utep.edu</v>
      </c>
      <c r="U92" s="1730"/>
      <c r="Y92" s="268"/>
      <c r="Z92" s="447"/>
      <c r="AA92" s="442"/>
      <c r="AB92" s="449"/>
    </row>
    <row r="93" spans="1:28" ht="13.5" thickBot="1">
      <c r="B93" s="179" t="s">
        <v>58</v>
      </c>
      <c r="C93" s="179"/>
      <c r="D93" s="380">
        <f t="shared" ref="D93:K93" si="24">SUM(D85:D92)</f>
        <v>0</v>
      </c>
      <c r="E93" s="380">
        <f t="shared" si="24"/>
        <v>34309588</v>
      </c>
      <c r="F93" s="380">
        <f t="shared" si="24"/>
        <v>8957216</v>
      </c>
      <c r="G93" s="380">
        <f t="shared" si="24"/>
        <v>4548012</v>
      </c>
      <c r="H93" s="380">
        <f t="shared" si="24"/>
        <v>611972</v>
      </c>
      <c r="I93" s="380">
        <f t="shared" si="24"/>
        <v>86411433</v>
      </c>
      <c r="J93" s="380">
        <f t="shared" si="24"/>
        <v>5764417</v>
      </c>
      <c r="K93" s="380">
        <f t="shared" si="24"/>
        <v>0</v>
      </c>
      <c r="L93" s="380">
        <f>SUM(L85:L92)</f>
        <v>-14643531</v>
      </c>
      <c r="M93" s="380">
        <f>D93+E93+F93+G93+H93+I93+J93+K93+L93</f>
        <v>125959107</v>
      </c>
      <c r="N93" s="160"/>
      <c r="O93" s="506"/>
      <c r="P93" s="507"/>
      <c r="Q93" s="276"/>
      <c r="R93" s="276"/>
      <c r="S93" s="276"/>
      <c r="T93" s="507"/>
      <c r="U93" s="508"/>
      <c r="Y93" s="268"/>
      <c r="Z93" s="447"/>
      <c r="AA93" s="442"/>
      <c r="AB93" s="449"/>
    </row>
    <row r="94" spans="1:28" ht="13.5" thickTop="1">
      <c r="C94" s="160"/>
      <c r="D94" s="165"/>
      <c r="E94" s="165"/>
      <c r="F94" s="165"/>
      <c r="G94" s="165"/>
      <c r="H94" s="165"/>
      <c r="I94" s="165"/>
      <c r="J94" s="165"/>
      <c r="K94" s="165"/>
      <c r="L94" s="165"/>
      <c r="M94" s="180"/>
      <c r="N94" s="160"/>
      <c r="O94" s="1720" t="s">
        <v>593</v>
      </c>
      <c r="P94" s="1721"/>
      <c r="Q94" s="1721"/>
      <c r="R94" s="1721"/>
      <c r="S94" s="1721"/>
      <c r="T94" s="1721"/>
      <c r="U94" s="1722"/>
      <c r="Y94" s="268"/>
      <c r="Z94" s="451"/>
      <c r="AA94" s="442"/>
      <c r="AB94" s="449"/>
    </row>
    <row r="95" spans="1:28">
      <c r="B95" s="171" t="s">
        <v>1369</v>
      </c>
      <c r="C95" s="169"/>
      <c r="D95" s="165"/>
      <c r="E95" s="165"/>
      <c r="F95" s="165"/>
      <c r="G95" s="165"/>
      <c r="H95" s="165"/>
      <c r="I95" s="165"/>
      <c r="J95" s="165"/>
      <c r="K95" s="165"/>
      <c r="L95" s="165"/>
      <c r="M95" s="180"/>
      <c r="N95" s="160"/>
      <c r="O95" s="1720"/>
      <c r="P95" s="1721"/>
      <c r="Q95" s="1721"/>
      <c r="R95" s="1721"/>
      <c r="S95" s="1721"/>
      <c r="T95" s="1721"/>
      <c r="U95" s="1722"/>
      <c r="Y95" s="268"/>
      <c r="Z95" s="452"/>
      <c r="AA95" s="453"/>
      <c r="AB95" s="454"/>
    </row>
    <row r="96" spans="1:28">
      <c r="B96" s="169" t="s">
        <v>80</v>
      </c>
      <c r="C96" s="160"/>
      <c r="D96" s="165"/>
      <c r="E96" s="165"/>
      <c r="F96" s="165"/>
      <c r="G96" s="165"/>
      <c r="H96" s="165"/>
      <c r="I96" s="165"/>
      <c r="J96" s="165"/>
      <c r="K96" s="165"/>
      <c r="L96" s="165"/>
      <c r="M96" s="180"/>
      <c r="N96" s="160"/>
      <c r="O96" s="509"/>
      <c r="P96" s="510"/>
      <c r="Q96" s="511"/>
      <c r="R96" s="511"/>
      <c r="S96" s="511"/>
      <c r="T96" s="510"/>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Input!$SN$9</f>
        <v>125959107</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3" t="str">
        <f>IF($L$118&lt;&gt;Input!$F$9,"Out of Balance","Balanced")</f>
        <v>Balanced</v>
      </c>
      <c r="M102" s="517"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365102789</v>
      </c>
      <c r="E105" s="373">
        <f>SUM($E$10:$E$14)+SUM($E$19:$E$28)+SUM($E$32:$E$41)+$E$47+SUM($E$50:$E$55)+SUM($E$60:$E$70)+SUM($E$74:$E$77)+SUM($E$81:$E$82)+SUM($E$87:$E$92)</f>
        <v>232650624</v>
      </c>
      <c r="F105" s="373">
        <f>SUM($F$10:$F$14)+SUM($F$19:$F$28)+SUM($F$32:$F$41)+$F$47+SUM($F$50:$F$55)+SUM($F$60:$F$70)+SUM($F$74:$F$77)+SUM($F$81:$F$82)+SUM($F$87:$F$92)</f>
        <v>80211226</v>
      </c>
      <c r="G105" s="373">
        <f>SUM($G$10:$G$14)+SUM($G$19:$G$28)+SUM($G$32:$G$41)+$G$47+SUM($G$50:$G$55)+SUM($G$60:$G$70)+SUM($G$74:$G$77)+SUM($G$81:$G$82)+SUM($G$87:$G$92)</f>
        <v>313943694</v>
      </c>
      <c r="H105" s="373">
        <f>SUM($H$10:$H$14)+SUM($H$19:$H$28)+SUM($H$32:$H$41)+$H$47+SUM($H$50:$H$55)+SUM($H$60:$H$70)+SUM($H$74:$H$77)+SUM($H$81:$H$82)+SUM($H$87:$H$92)</f>
        <v>-129554</v>
      </c>
      <c r="I105" s="373">
        <f>SUM($I$10:$I$14)+SUM($I$19:$I$28)+SUM($I$32:$I$41)+$I$47+SUM($I$50:$I$55)+SUM($I$60:$I$70)+SUM($I$74:$I$77)+SUM($I$81:$I$82)+SUM($I$87:$I$92)</f>
        <v>86411433</v>
      </c>
      <c r="J105" s="373">
        <f>SUM($J$10:$J$14)+SUM($J$19:$J$28)+SUM($J$32:$J$41)+$J$47+SUM($J$50:$J$55)+SUM($J$60:$J$70)+SUM($J$74:$J$77)+SUM($J$81:$J$82)+SUM($J$87:$J$92)</f>
        <v>6016679</v>
      </c>
      <c r="K105" s="373">
        <f>SUM($K$10:$K$14)+SUM($K$19:$K$28)+SUM($K$32:$K$41)+$K$47+SUM($K$50:$K$55)+SUM($K$60:$K$70)+SUM($K$74:$K$77)+SUM($K$81:$K$82)+SUM($K$87:$K$92)</f>
        <v>0</v>
      </c>
      <c r="L105" s="373">
        <f>SUM($L$10:$L$14)+SUM($L$19:$L$28)+SUM($L$32:$L$41)+$L$47+SUM($L$50:$L$55)+SUM($L$60:$L$70)+SUM($L$74:$L$77)+SUM($L$81:$L$82)+SUM($L$87:$L$92)</f>
        <v>-14643531</v>
      </c>
      <c r="M105" s="373"/>
      <c r="N105" s="264"/>
      <c r="O105" s="373"/>
      <c r="P105" s="450">
        <f>M18-INT(M18)</f>
        <v>0</v>
      </c>
    </row>
    <row r="106" spans="2:28">
      <c r="B106" s="261"/>
      <c r="C106" s="261"/>
      <c r="D106" s="261"/>
      <c r="E106" s="261"/>
      <c r="F106" s="261"/>
      <c r="G106" s="261"/>
      <c r="H106" s="261"/>
      <c r="I106" s="261"/>
      <c r="J106" s="261"/>
      <c r="K106" s="261"/>
      <c r="L106" s="373">
        <f>SUM($D$105:$L$105)</f>
        <v>1069563360</v>
      </c>
      <c r="M106" s="261"/>
      <c r="N106" s="264"/>
      <c r="O106" s="373"/>
      <c r="P106" s="450">
        <f>M31-INT(M31)</f>
        <v>0</v>
      </c>
    </row>
    <row r="107" spans="2:28">
      <c r="B107" s="261"/>
      <c r="C107" s="261"/>
      <c r="D107" s="261"/>
      <c r="E107" s="261"/>
      <c r="F107" s="261"/>
      <c r="G107" s="261"/>
      <c r="H107" s="261"/>
      <c r="I107" s="261"/>
      <c r="J107" s="261" t="s">
        <v>1299</v>
      </c>
      <c r="K107" s="261"/>
      <c r="L107" s="373">
        <f>$M$100</f>
        <v>125959107</v>
      </c>
      <c r="M107" s="261"/>
      <c r="N107" s="264"/>
      <c r="O107" s="373"/>
      <c r="P107" s="450">
        <f>M93-INT(M93)</f>
        <v>0</v>
      </c>
    </row>
    <row r="108" spans="2:28">
      <c r="B108" s="261"/>
      <c r="C108" s="261"/>
      <c r="D108" s="261"/>
      <c r="E108" s="261"/>
      <c r="F108" s="261"/>
      <c r="G108" s="261"/>
      <c r="H108" s="261"/>
      <c r="I108" s="261"/>
      <c r="J108" s="261" t="s">
        <v>1300</v>
      </c>
      <c r="K108" s="261"/>
      <c r="L108" s="512">
        <f>$Q$32</f>
        <v>204231635</v>
      </c>
      <c r="M108" s="261"/>
      <c r="N108" s="264"/>
      <c r="O108" s="373"/>
    </row>
    <row r="109" spans="2:28">
      <c r="B109" s="261"/>
      <c r="C109" s="261"/>
      <c r="D109" s="261"/>
      <c r="E109" s="261"/>
      <c r="F109" s="261"/>
      <c r="G109" s="261"/>
      <c r="H109" s="261"/>
      <c r="I109" s="261"/>
      <c r="J109" s="261" t="s">
        <v>1300</v>
      </c>
      <c r="K109" s="261"/>
      <c r="L109" s="512">
        <f>$R$34</f>
        <v>-55242741</v>
      </c>
      <c r="M109" s="261"/>
      <c r="N109" s="264"/>
      <c r="O109" s="373"/>
    </row>
    <row r="110" spans="2:28">
      <c r="B110" s="261"/>
      <c r="C110" s="261"/>
      <c r="D110" s="261"/>
      <c r="E110" s="261"/>
      <c r="F110" s="261"/>
      <c r="G110" s="261"/>
      <c r="H110" s="261"/>
      <c r="I110" s="261"/>
      <c r="J110" s="261" t="s">
        <v>29</v>
      </c>
      <c r="K110" s="261"/>
      <c r="L110" s="512">
        <f>SUM($P$60:$P$68)</f>
        <v>10125461</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2">
        <f>SUM($V$60:$V$67)</f>
        <v>402773</v>
      </c>
      <c r="M112" s="261"/>
      <c r="N112" s="264"/>
      <c r="O112" s="373"/>
    </row>
    <row r="113" spans="2:15">
      <c r="B113" s="261"/>
      <c r="C113" s="261"/>
      <c r="D113" s="261"/>
      <c r="E113" s="261"/>
      <c r="F113" s="261"/>
      <c r="G113" s="261"/>
      <c r="H113" s="261"/>
      <c r="I113" s="261"/>
      <c r="J113" s="261" t="s">
        <v>596</v>
      </c>
      <c r="K113" s="261"/>
      <c r="L113" s="512">
        <f>SUM($W$60:$W$67)</f>
        <v>0</v>
      </c>
      <c r="M113" s="261"/>
      <c r="N113" s="264"/>
      <c r="O113" s="373"/>
    </row>
    <row r="114" spans="2:15">
      <c r="B114" s="261"/>
      <c r="C114" s="261"/>
      <c r="D114" s="261"/>
      <c r="E114" s="261"/>
      <c r="F114" s="261"/>
      <c r="G114" s="261"/>
      <c r="H114" s="261"/>
      <c r="I114" s="261"/>
      <c r="J114" s="261" t="s">
        <v>258</v>
      </c>
      <c r="K114" s="261"/>
      <c r="L114" s="512">
        <f>SUM($AA$60:$AA$68)</f>
        <v>471891945</v>
      </c>
      <c r="M114" s="261"/>
      <c r="N114" s="264"/>
      <c r="O114" s="373"/>
    </row>
    <row r="115" spans="2:15">
      <c r="B115" s="261"/>
      <c r="C115" s="261"/>
      <c r="D115" s="261"/>
      <c r="E115" s="261"/>
      <c r="F115" s="261"/>
      <c r="G115" s="261"/>
      <c r="H115" s="261"/>
      <c r="I115" s="261"/>
      <c r="J115" s="261" t="s">
        <v>597</v>
      </c>
      <c r="K115" s="261"/>
      <c r="L115" s="512">
        <f>$R$77</f>
        <v>47497923</v>
      </c>
      <c r="M115" s="261"/>
      <c r="N115" s="264"/>
      <c r="O115" s="373"/>
    </row>
    <row r="116" spans="2:15">
      <c r="B116" s="261"/>
      <c r="C116" s="261"/>
      <c r="D116" s="261"/>
      <c r="E116" s="261"/>
      <c r="F116" s="261"/>
      <c r="G116" s="261"/>
      <c r="H116" s="261"/>
      <c r="I116" s="261"/>
      <c r="J116" s="261" t="s">
        <v>597</v>
      </c>
      <c r="K116" s="261"/>
      <c r="L116" s="512">
        <f>$R$80</f>
        <v>84328398</v>
      </c>
      <c r="M116" s="261"/>
      <c r="N116" s="264"/>
      <c r="O116" s="373"/>
    </row>
    <row r="117" spans="2:15">
      <c r="B117" s="261"/>
      <c r="C117" s="261"/>
      <c r="D117" s="261"/>
      <c r="E117" s="261"/>
      <c r="F117" s="261"/>
      <c r="G117" s="261"/>
      <c r="H117" s="261"/>
      <c r="I117" s="261"/>
      <c r="J117" s="261" t="s">
        <v>1231</v>
      </c>
      <c r="K117" s="261"/>
      <c r="L117" s="1008">
        <f>VLOOKUP(B2,Names!B5:$C$87,2,FALSE)</f>
        <v>3661</v>
      </c>
      <c r="M117" s="261"/>
      <c r="N117" s="264"/>
      <c r="O117" s="373"/>
    </row>
    <row r="118" spans="2:15">
      <c r="B118" s="261"/>
      <c r="C118" s="261"/>
      <c r="D118" s="261"/>
      <c r="E118" s="261"/>
      <c r="F118" s="261"/>
      <c r="G118" s="261"/>
      <c r="H118" s="261"/>
      <c r="I118" s="261"/>
      <c r="J118" s="261"/>
      <c r="K118" s="261"/>
      <c r="L118" s="373">
        <f>SUM(L106:L117)</f>
        <v>1958761522</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V56:V59"/>
    <mergeCell ref="W56:W59"/>
    <mergeCell ref="G59:K59"/>
    <mergeCell ref="AA56:AA59"/>
    <mergeCell ref="Z55:AB55"/>
    <mergeCell ref="R56:R59"/>
    <mergeCell ref="O55:R55"/>
    <mergeCell ref="T55:X55"/>
    <mergeCell ref="X56:X59"/>
    <mergeCell ref="AB56:AB59"/>
    <mergeCell ref="Z56:Z59"/>
    <mergeCell ref="B2:F2"/>
    <mergeCell ref="B3:F3"/>
    <mergeCell ref="B4:F4"/>
    <mergeCell ref="B6:M6"/>
    <mergeCell ref="P4:Q4"/>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s>
  <conditionalFormatting sqref="U87:X88 O88:Q88">
    <cfRule type="cellIs" dxfId="1309" priority="323" stopIfTrue="1" operator="notEqual">
      <formula>#REF!</formula>
    </cfRule>
  </conditionalFormatting>
  <conditionalFormatting sqref="P70">
    <cfRule type="expression" dxfId="1308" priority="302">
      <formula>$P$69&lt;&gt;$M$69</formula>
    </cfRule>
  </conditionalFormatting>
  <conditionalFormatting sqref="AB72">
    <cfRule type="expression" dxfId="1307" priority="301">
      <formula>$AB$71&lt;&gt;0</formula>
    </cfRule>
  </conditionalFormatting>
  <conditionalFormatting sqref="P71">
    <cfRule type="expression" dxfId="1306" priority="300">
      <formula>P69-INT(P69)</formula>
    </cfRule>
  </conditionalFormatting>
  <conditionalFormatting sqref="V70">
    <cfRule type="expression" dxfId="1305" priority="298">
      <formula>X68-INT(X68)</formula>
    </cfRule>
  </conditionalFormatting>
  <conditionalFormatting sqref="O12">
    <cfRule type="expression" dxfId="1304" priority="289">
      <formula>$P$12&lt;&gt;$M$12</formula>
    </cfRule>
  </conditionalFormatting>
  <conditionalFormatting sqref="U87:U88 O88:Q88">
    <cfRule type="cellIs" dxfId="1303" priority="282" stopIfTrue="1" operator="notEqual">
      <formula>#REF!</formula>
    </cfRule>
  </conditionalFormatting>
  <conditionalFormatting sqref="R84">
    <cfRule type="expression" priority="280" stopIfTrue="1">
      <formula>$M$85&lt;0</formula>
    </cfRule>
    <cfRule type="expression" dxfId="1302" priority="281">
      <formula>$S$85&lt;&gt;0</formula>
    </cfRule>
  </conditionalFormatting>
  <conditionalFormatting sqref="R80 R77">
    <cfRule type="expression" dxfId="1301" priority="278" stopIfTrue="1">
      <formula>$M$85&gt;=0</formula>
    </cfRule>
    <cfRule type="expression" priority="279">
      <formula>$M$85&lt;0</formula>
    </cfRule>
  </conditionalFormatting>
  <conditionalFormatting sqref="U87:U88 O88:Q88">
    <cfRule type="cellIs" dxfId="1300" priority="277" stopIfTrue="1" operator="notEqual">
      <formula>#REF!</formula>
    </cfRule>
  </conditionalFormatting>
  <conditionalFormatting sqref="O13">
    <cfRule type="expression" dxfId="1299" priority="261">
      <formula>$P$13&lt;&gt;$M$13</formula>
    </cfRule>
  </conditionalFormatting>
  <conditionalFormatting sqref="U87:U88 O88:Q88">
    <cfRule type="cellIs" dxfId="1298" priority="260" stopIfTrue="1" operator="notEqual">
      <formula>#REF!</formula>
    </cfRule>
  </conditionalFormatting>
  <conditionalFormatting sqref="Q36">
    <cfRule type="expression" dxfId="1297" priority="27">
      <formula>#REF!&lt;&gt;#REF!</formula>
    </cfRule>
  </conditionalFormatting>
  <conditionalFormatting sqref="R35">
    <cfRule type="expression" dxfId="1296" priority="26">
      <formula>#REF!&lt;&gt;0</formula>
    </cfRule>
  </conditionalFormatting>
  <conditionalFormatting sqref="Q35">
    <cfRule type="expression" dxfId="1295" priority="25">
      <formula>#REF!&lt;&gt;0</formula>
    </cfRule>
  </conditionalFormatting>
  <conditionalFormatting sqref="R36">
    <cfRule type="expression" dxfId="1294" priority="24">
      <formula>#REF!&lt;&gt;#REF!</formula>
    </cfRule>
  </conditionalFormatting>
  <conditionalFormatting sqref="D93:M98 T94:T95 R90:S95 U87:X93 T90:T92 Y90:Y95 O88:O92 P88:Q93">
    <cfRule type="cellIs" dxfId="1293" priority="23" stopIfTrue="1" operator="notEqual">
      <formula>#REF!</formula>
    </cfRule>
  </conditionalFormatting>
  <conditionalFormatting sqref="P70">
    <cfRule type="expression" dxfId="1292" priority="22">
      <formula>$P$69&lt;&gt;$M$69</formula>
    </cfRule>
  </conditionalFormatting>
  <conditionalFormatting sqref="AB72">
    <cfRule type="expression" dxfId="1291" priority="21">
      <formula>$AB$71&lt;&gt;0</formula>
    </cfRule>
  </conditionalFormatting>
  <conditionalFormatting sqref="P71">
    <cfRule type="expression" dxfId="1290" priority="20">
      <formula>P69-INT(P69)</formula>
    </cfRule>
  </conditionalFormatting>
  <conditionalFormatting sqref="V70">
    <cfRule type="expression" dxfId="1289" priority="19">
      <formula>X68-INT(X68)</formula>
    </cfRule>
  </conditionalFormatting>
  <conditionalFormatting sqref="O12">
    <cfRule type="expression" dxfId="1288" priority="18">
      <formula>$P$12&lt;&gt;$M$12</formula>
    </cfRule>
  </conditionalFormatting>
  <conditionalFormatting sqref="T94:T95 R90:S95 U87:U93 T90:T92 O88:O92 P88:Q93">
    <cfRule type="cellIs" dxfId="1287" priority="16" stopIfTrue="1" operator="notEqual">
      <formula>#REF!</formula>
    </cfRule>
  </conditionalFormatting>
  <conditionalFormatting sqref="R84">
    <cfRule type="expression" priority="14" stopIfTrue="1">
      <formula>$M$85&lt;0</formula>
    </cfRule>
    <cfRule type="expression" dxfId="1286" priority="15">
      <formula>$S$85&lt;&gt;0</formula>
    </cfRule>
  </conditionalFormatting>
  <conditionalFormatting sqref="R80 R77">
    <cfRule type="expression" dxfId="1285" priority="12" stopIfTrue="1">
      <formula>$M$85&gt;=0</formula>
    </cfRule>
    <cfRule type="expression" priority="13">
      <formula>$M$85&lt;0</formula>
    </cfRule>
  </conditionalFormatting>
  <conditionalFormatting sqref="U87:U88 R89:U92 O88:Q92">
    <cfRule type="cellIs" dxfId="1284" priority="11" stopIfTrue="1" operator="notEqual">
      <formula>#REF!</formula>
    </cfRule>
  </conditionalFormatting>
  <conditionalFormatting sqref="M101">
    <cfRule type="expression" dxfId="1283" priority="10">
      <formula>$M$101&lt;&gt;0</formula>
    </cfRule>
  </conditionalFormatting>
  <conditionalFormatting sqref="M102">
    <cfRule type="expression" dxfId="1282" priority="9">
      <formula>$M$93&lt;&gt;$M$100</formula>
    </cfRule>
  </conditionalFormatting>
  <conditionalFormatting sqref="U87:U92 R90:T92 O88:Q92">
    <cfRule type="cellIs" dxfId="1281" priority="8" stopIfTrue="1" operator="notEqual">
      <formula>#REF!</formula>
    </cfRule>
  </conditionalFormatting>
  <conditionalFormatting sqref="T89:U89 Q91 T90 O89:O90 P89:Q89 R89:S91">
    <cfRule type="cellIs" dxfId="1280" priority="7" stopIfTrue="1" operator="notEqual">
      <formula>#REF!</formula>
    </cfRule>
  </conditionalFormatting>
  <conditionalFormatting sqref="Q36">
    <cfRule type="expression" dxfId="1279" priority="6">
      <formula>#REF!&lt;&gt;#REF!</formula>
    </cfRule>
  </conditionalFormatting>
  <conditionalFormatting sqref="R35">
    <cfRule type="expression" dxfId="1278" priority="5">
      <formula>#REF!&lt;&gt;0</formula>
    </cfRule>
  </conditionalFormatting>
  <conditionalFormatting sqref="Q35">
    <cfRule type="expression" dxfId="1277" priority="4">
      <formula>#REF!&lt;&gt;0</formula>
    </cfRule>
  </conditionalFormatting>
  <conditionalFormatting sqref="R36">
    <cfRule type="expression" dxfId="1276" priority="3">
      <formula>#REF!&lt;&gt;#REF!</formula>
    </cfRule>
  </conditionalFormatting>
  <conditionalFormatting sqref="G59:K59">
    <cfRule type="expression" dxfId="1275" priority="1">
      <formula>OR($P$105&gt;0,$P$106&lt;&gt;0,$P$107&lt;&gt;0)</formula>
    </cfRule>
  </conditionalFormatting>
  <hyperlinks>
    <hyperlink ref="O2" location="Index!A1" display="Return to Index" xr:uid="{00000000-0004-0000-2700-000000000000}"/>
  </hyperlinks>
  <printOptions horizontalCentered="1"/>
  <pageMargins left="0.5" right="0.5" top="0.25" bottom="0.25" header="0" footer="0.25"/>
  <pageSetup scale="1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22"/>
  <dimension ref="A1:G30"/>
  <sheetViews>
    <sheetView showGridLines="0" zoomScale="80" zoomScaleNormal="80" workbookViewId="0">
      <selection activeCell="E74" sqref="E74:F74"/>
    </sheetView>
  </sheetViews>
  <sheetFormatPr defaultColWidth="9.140625" defaultRowHeight="12.75"/>
  <cols>
    <col min="1" max="1" width="7" style="53" customWidth="1"/>
    <col min="2" max="2" width="93.140625" style="53" customWidth="1"/>
    <col min="3" max="3" width="15.7109375" style="53" customWidth="1"/>
    <col min="4" max="8" width="9.140625" style="53"/>
    <col min="9" max="9" width="8" style="53" customWidth="1"/>
    <col min="10" max="10" width="15.140625" style="53" customWidth="1"/>
    <col min="11" max="16384" width="9.140625" style="53"/>
  </cols>
  <sheetData>
    <row r="1" spans="2:6" ht="18.75" thickBot="1">
      <c r="B1" s="466" t="str">
        <f>'E-P Chrts'!$A$1</f>
        <v>The University of Texas at El Paso</v>
      </c>
      <c r="C1" s="835" t="s">
        <v>1200</v>
      </c>
    </row>
    <row r="2" spans="2:6">
      <c r="B2" s="393" t="str">
        <f>'Smmy Chrts'!$A$2</f>
        <v>For the Year Ended August 31, 2021</v>
      </c>
    </row>
    <row r="3" spans="2:6">
      <c r="B3" s="393" t="str">
        <f>'Smmy Chrts'!$A$3</f>
        <v>Source: FY 2021 Annual Financial Report</v>
      </c>
    </row>
    <row r="5" spans="2:6" customFormat="1">
      <c r="B5" s="529" t="s">
        <v>705</v>
      </c>
    </row>
    <row r="6" spans="2:6" customFormat="1">
      <c r="B6" s="530"/>
    </row>
    <row r="7" spans="2:6" customFormat="1" ht="226.5" customHeight="1">
      <c r="B7" s="531" t="s">
        <v>706</v>
      </c>
      <c r="C7" s="532"/>
    </row>
    <row r="8" spans="2:6" customFormat="1" ht="263.25" customHeight="1">
      <c r="B8" s="531" t="s">
        <v>707</v>
      </c>
    </row>
    <row r="9" spans="2:6" ht="64.5" customHeight="1">
      <c r="B9" s="533" t="str">
        <f>IF('E-P FGD'!$R$76="N/A","FN11.  N/A",$B$20&amp;$B$21&amp;$B$22&amp;$B$23&amp;$B$24&amp;$B$25&amp;$B$26&amp;$B$27&amp;$B$28&amp;$B$29&amp;$B$30)</f>
        <v>FN11: Of the net increase of $140,938,204 approximately $47.5 million represents revenues received but not yet expended. This income is fully committed to program expenditures and capital disbursements. The remaining $93.4 million represents non-expendable funds from unrealized gains and additions to permanent endowments of approximately $84.3 million and $9.1 million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TEXT(IF('E-P FGD'!$M$85&lt;0,"N/A",'E-P FGD'!$M$85),"$* #,##0;$* (#,##0)")</f>
        <v>$140,938,204</v>
      </c>
      <c r="C21" s="480"/>
      <c r="D21" s="480"/>
      <c r="E21" s="480"/>
      <c r="G21" s="105"/>
    </row>
    <row r="22" spans="1:7">
      <c r="B22" s="105" t="s">
        <v>682</v>
      </c>
    </row>
    <row r="23" spans="1:7">
      <c r="A23" s="53">
        <v>61</v>
      </c>
      <c r="B23" s="515" t="str">
        <f>IF(ABS('E-P FGD'!$R$77)&gt;=1000000,TEXT('E-P FGD'!$R$77/1000000,"$* #,##0.0;$* (#,##0.0)")&amp;" million",IF(ABS('E-P FGD'!$R$77)&lt;1000,TEXT('E-P FGD'!$R$77,"$* #,##0;$* (#,##0)"),TEXT('E-P FGD'!$R$77/1000,"$* #,##0;$* (#,##0)")&amp;" thousand"))</f>
        <v>$47.5 million</v>
      </c>
      <c r="C23" s="515"/>
      <c r="E23" s="515"/>
    </row>
    <row r="24" spans="1:7">
      <c r="B24" s="105" t="s">
        <v>708</v>
      </c>
    </row>
    <row r="25" spans="1:7">
      <c r="A25" s="53">
        <v>62</v>
      </c>
      <c r="B25" s="515" t="str">
        <f>IF(ABS('E-P FGD'!$R$78)&gt;=1000000,TEXT('E-P FGD'!$R$78/1000000,"$* #,##0.0;$* (#,##0.0)")&amp;" million",IF(ABS('E-P FGD'!$R$78)&lt;1000,TEXT('E-P FGD'!$R$78,"$* #,##0;$* (#,##0)"),TEXT('E-P FGD'!$R$78/1000,"$* #,##0;$* (#,##0)")&amp;" thousand"))</f>
        <v>$93.4 million</v>
      </c>
      <c r="C25" s="515"/>
      <c r="E25" s="515"/>
    </row>
    <row r="26" spans="1:7">
      <c r="B26" s="105" t="s">
        <v>683</v>
      </c>
    </row>
    <row r="27" spans="1:7">
      <c r="A27" s="53">
        <v>64</v>
      </c>
      <c r="B27" s="515" t="str">
        <f>IF(ABS('E-P FGD'!$R$80)&gt;=1000000,TEXT('E-P FGD'!$R$80/1000000,"$* #,##0.0;$* (#,##0.0)")&amp;" million",IF(ABS('E-P FGD'!$R$80)&lt;1000,TEXT('E-P FGD'!$R$80,"$* #,##0;$* (#,##0)"),TEXT('E-P FGD'!$R$80/1000,"$* #,##0;$* (#,##0)")&amp;" thousand"))</f>
        <v>$84.3 million</v>
      </c>
      <c r="C27" s="515"/>
      <c r="E27" s="515"/>
    </row>
    <row r="28" spans="1:7">
      <c r="B28" s="105" t="s">
        <v>684</v>
      </c>
    </row>
    <row r="29" spans="1:7">
      <c r="A29" s="53">
        <v>66</v>
      </c>
      <c r="B29" s="515" t="str">
        <f>IF(ABS('E-P FGD'!$R$82)&gt;=1000000,TEXT('E-P FGD'!$R$82/1000000,"$* #,##0.0;$* (#,##0.0)")&amp;" million",IF(ABS('E-P FGD'!$R$82)&lt;1000,TEXT('E-P FGD'!$R$82,"$* #,##0;$* (#,##0)"),TEXT('E-P FGD'!$R$82/1000,"$* #,##0;$* (#,##0)")&amp;" thousand"))</f>
        <v>$9.1 million</v>
      </c>
      <c r="C29" s="515"/>
      <c r="E29" s="515"/>
    </row>
    <row r="30" spans="1:7">
      <c r="B30" s="105" t="s">
        <v>709</v>
      </c>
    </row>
  </sheetData>
  <hyperlinks>
    <hyperlink ref="C1" location="Index!A1" display="Return to Index" xr:uid="{00000000-0004-0000-2800-000000000000}"/>
  </hyperlinks>
  <pageMargins left="0.25" right="0.25" top="0.25" bottom="0.25" header="0" footer="0.25"/>
  <pageSetup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27">
    <tabColor indexed="47"/>
    <pageSetUpPr fitToPage="1"/>
  </sheetPr>
  <dimension ref="A1:E166"/>
  <sheetViews>
    <sheetView showGridLines="0" zoomScale="65" zoomScaleNormal="65" zoomScaleSheetLayoutView="65" workbookViewId="0">
      <selection activeCell="C78" sqref="C78"/>
    </sheetView>
  </sheetViews>
  <sheetFormatPr defaultColWidth="9.140625" defaultRowHeight="12.75" customHeight="1"/>
  <cols>
    <col min="1" max="1" width="158.7109375" style="53" customWidth="1"/>
    <col min="2" max="2" width="21.28515625" style="53" customWidth="1"/>
    <col min="3" max="3" width="54.7109375" style="53" customWidth="1"/>
    <col min="4" max="4" width="20.7109375" style="53" customWidth="1"/>
    <col min="5" max="5" width="9.140625" style="679"/>
    <col min="6" max="16384" width="9.140625" style="53"/>
  </cols>
  <sheetData>
    <row r="1" spans="1:5" ht="28.5" thickBot="1">
      <c r="A1" s="159" t="s">
        <v>1371</v>
      </c>
      <c r="B1" s="835" t="s">
        <v>1200</v>
      </c>
      <c r="C1" s="53" t="s">
        <v>1329</v>
      </c>
    </row>
    <row r="2" spans="1:5" ht="15.75" customHeight="1">
      <c r="A2" s="1350" t="s">
        <v>2132</v>
      </c>
      <c r="C2" s="55" t="s">
        <v>63</v>
      </c>
    </row>
    <row r="3" spans="1:5" ht="27.75">
      <c r="A3" s="54" t="str">
        <f>'Smmy Chrts'!$A$2</f>
        <v>For the Year Ended August 31, 2021</v>
      </c>
      <c r="C3" s="53" t="s">
        <v>64</v>
      </c>
    </row>
    <row r="4" spans="1:5" ht="25.5" customHeight="1">
      <c r="A4" s="54" t="str">
        <f>'Smmy Chrts'!$A$3</f>
        <v>Source: FY 2021 Annual Financial Report</v>
      </c>
      <c r="C4" s="53" t="s">
        <v>267</v>
      </c>
    </row>
    <row r="5" spans="1:5" ht="12.75" customHeight="1">
      <c r="C5" s="53" t="s">
        <v>268</v>
      </c>
    </row>
    <row r="7" spans="1:5" ht="12.75" customHeight="1">
      <c r="C7" s="1687" t="s">
        <v>25</v>
      </c>
      <c r="D7" s="1687"/>
    </row>
    <row r="8" spans="1:5" ht="12.75" customHeight="1">
      <c r="C8" s="57"/>
      <c r="D8" s="58"/>
    </row>
    <row r="9" spans="1:5" ht="12.75" customHeight="1">
      <c r="C9" s="59" t="str">
        <f>'RGV1 Sum'!A9</f>
        <v>State of Texas</v>
      </c>
      <c r="D9" s="60">
        <f>'RGV1 Sum'!B15</f>
        <v>152832944</v>
      </c>
      <c r="E9" s="680">
        <f>ROUND(D9/$D$14,3)</f>
        <v>0.248</v>
      </c>
    </row>
    <row r="10" spans="1:5" ht="12.75" customHeight="1">
      <c r="C10" s="59" t="str">
        <f>'RGV1 Sum'!A17</f>
        <v>Student &amp; Parent</v>
      </c>
      <c r="D10" s="60">
        <f>'RGV1 Sum'!B20</f>
        <v>139918937</v>
      </c>
      <c r="E10" s="680">
        <f t="shared" ref="E10:E12" si="0">ROUND(D10/$D$14,3)</f>
        <v>0.22700000000000001</v>
      </c>
    </row>
    <row r="11" spans="1:5" ht="12.75" customHeight="1">
      <c r="C11" s="59" t="str">
        <f>'RGV1 Sum'!A22</f>
        <v>Federal Government</v>
      </c>
      <c r="D11" s="60">
        <f>'RGV1 Sum'!B23</f>
        <v>246799186</v>
      </c>
      <c r="E11" s="680">
        <f t="shared" si="0"/>
        <v>0.4</v>
      </c>
    </row>
    <row r="12" spans="1:5" ht="12.75" customHeight="1">
      <c r="C12" s="59" t="str">
        <f>'RGV1 Sum'!A25</f>
        <v>Institutional Resources</v>
      </c>
      <c r="D12" s="60">
        <f>'RGV1 Sum'!B32</f>
        <v>77549856</v>
      </c>
      <c r="E12" s="680">
        <f t="shared" si="0"/>
        <v>0.126</v>
      </c>
    </row>
    <row r="13" spans="1:5" ht="12.75" customHeight="1">
      <c r="C13" s="57"/>
      <c r="D13" s="58"/>
      <c r="E13" s="680"/>
    </row>
    <row r="14" spans="1:5" ht="12.75" customHeight="1">
      <c r="C14" s="61" t="s">
        <v>68</v>
      </c>
      <c r="D14" s="62">
        <f>SUM(D9:D13)</f>
        <v>617100923</v>
      </c>
      <c r="E14" s="680">
        <f>SUM(E9:E13)</f>
        <v>1.0009999999999999</v>
      </c>
    </row>
    <row r="20" spans="1:3" ht="12.75" customHeight="1">
      <c r="C20" s="53" t="s">
        <v>88</v>
      </c>
    </row>
    <row r="21" spans="1:3" ht="12.75" customHeight="1">
      <c r="C21" s="53" t="s">
        <v>89</v>
      </c>
    </row>
    <row r="22" spans="1:3" ht="12.75" customHeight="1">
      <c r="C22" s="53" t="s">
        <v>90</v>
      </c>
    </row>
    <row r="23" spans="1:3" ht="12.75" customHeight="1">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56"/>
    </row>
    <row r="48" spans="1:1" ht="12.75" customHeight="1">
      <c r="A48" s="1686" t="str">
        <f>C14&amp;" "&amp;TEXT(D14,"$#,###")</f>
        <v>Total Operating Sources $617,100,923</v>
      </c>
    </row>
    <row r="49" spans="1:5" ht="12.75" customHeight="1">
      <c r="A49" s="1686"/>
    </row>
    <row r="50" spans="1:5" ht="12.75" customHeight="1">
      <c r="A50" s="56"/>
    </row>
    <row r="52" spans="1:5" ht="12.75" customHeight="1">
      <c r="C52" s="63" t="s">
        <v>25</v>
      </c>
      <c r="D52" s="58"/>
    </row>
    <row r="54" spans="1:5" ht="12.75" customHeight="1">
      <c r="C54" s="59" t="s">
        <v>1</v>
      </c>
      <c r="D54" s="60">
        <f>'RGV1 Sum'!B10</f>
        <v>111961783</v>
      </c>
      <c r="E54" s="680">
        <f>ROUND(D54/$D$67,3)</f>
        <v>0.18099999999999999</v>
      </c>
    </row>
    <row r="55" spans="1:5" ht="12.75" customHeight="1">
      <c r="C55" s="59" t="s">
        <v>221</v>
      </c>
      <c r="D55" s="60">
        <f>'RGV1 Sum'!B11</f>
        <v>40871161</v>
      </c>
      <c r="E55" s="680">
        <f t="shared" ref="E55:E66" si="1">ROUND(D55/$D$67,3)</f>
        <v>6.6000000000000003E-2</v>
      </c>
    </row>
    <row r="56" spans="1:5" ht="12.75" customHeight="1">
      <c r="C56" s="59"/>
      <c r="D56" s="60"/>
      <c r="E56" s="680"/>
    </row>
    <row r="57" spans="1:5" ht="12.75" customHeight="1">
      <c r="C57" s="59" t="str">
        <f>'RGV1 Sum'!A13</f>
        <v>Higher Education Fund</v>
      </c>
      <c r="D57" s="60">
        <f>'RGV1 Sum'!B13</f>
        <v>0</v>
      </c>
      <c r="E57" s="680">
        <f t="shared" si="1"/>
        <v>0</v>
      </c>
    </row>
    <row r="58" spans="1:5" ht="12.75" customHeight="1">
      <c r="C58" s="1069" t="s">
        <v>41</v>
      </c>
      <c r="D58" s="60">
        <f>'RGV1 Sum'!B14</f>
        <v>0</v>
      </c>
      <c r="E58" s="680">
        <f t="shared" si="1"/>
        <v>0</v>
      </c>
    </row>
    <row r="59" spans="1:5" ht="12.75" customHeight="1">
      <c r="C59" s="59" t="s">
        <v>87</v>
      </c>
      <c r="D59" s="60">
        <f>'RGV1 Sum'!B20</f>
        <v>139918937</v>
      </c>
      <c r="E59" s="680">
        <f t="shared" si="1"/>
        <v>0.22700000000000001</v>
      </c>
    </row>
    <row r="60" spans="1:5" ht="12.75" customHeight="1">
      <c r="C60" s="64" t="s">
        <v>74</v>
      </c>
      <c r="D60" s="60">
        <f>'RGV1 Sum'!B23</f>
        <v>246799186</v>
      </c>
      <c r="E60" s="680">
        <f t="shared" si="1"/>
        <v>0.4</v>
      </c>
    </row>
    <row r="61" spans="1:5" ht="12.75" customHeight="1">
      <c r="C61" s="59" t="s">
        <v>75</v>
      </c>
      <c r="D61" s="60">
        <f>'RGV1 Sum'!B26</f>
        <v>8251013</v>
      </c>
      <c r="E61" s="680">
        <f t="shared" si="1"/>
        <v>1.2999999999999999E-2</v>
      </c>
    </row>
    <row r="62" spans="1:5" ht="12.75" customHeight="1">
      <c r="C62" s="59" t="s">
        <v>27</v>
      </c>
      <c r="D62" s="60">
        <f>'RGV1 Sum'!B27</f>
        <v>250704</v>
      </c>
      <c r="E62" s="680">
        <f t="shared" si="1"/>
        <v>0</v>
      </c>
    </row>
    <row r="63" spans="1:5" ht="12.75" customHeight="1">
      <c r="C63" s="59" t="s">
        <v>76</v>
      </c>
      <c r="D63" s="60">
        <f>'RGV1 Sum'!B28</f>
        <v>48437496</v>
      </c>
      <c r="E63" s="680">
        <f t="shared" si="1"/>
        <v>7.8E-2</v>
      </c>
    </row>
    <row r="64" spans="1:5" ht="12.75" customHeight="1">
      <c r="C64" s="59" t="s">
        <v>77</v>
      </c>
      <c r="D64" s="60">
        <f>'RGV1 Sum'!B29</f>
        <v>6070296</v>
      </c>
      <c r="E64" s="680">
        <f t="shared" si="1"/>
        <v>0.01</v>
      </c>
    </row>
    <row r="65" spans="1:5" ht="12.75" customHeight="1">
      <c r="C65" s="59" t="s">
        <v>220</v>
      </c>
      <c r="D65" s="60">
        <f>'RGV1 Sum'!B30</f>
        <v>3925402</v>
      </c>
      <c r="E65" s="680">
        <f t="shared" si="1"/>
        <v>6.0000000000000001E-3</v>
      </c>
    </row>
    <row r="66" spans="1:5" ht="12.75" customHeight="1">
      <c r="C66" s="64" t="s">
        <v>52</v>
      </c>
      <c r="D66" s="60">
        <f>'RGV1 Sum'!B31</f>
        <v>10614945</v>
      </c>
      <c r="E66" s="680">
        <f t="shared" si="1"/>
        <v>1.7000000000000001E-2</v>
      </c>
    </row>
    <row r="67" spans="1:5" ht="12.75" customHeight="1">
      <c r="C67" s="61" t="s">
        <v>68</v>
      </c>
      <c r="D67" s="62">
        <f>SUM(D54:D66)</f>
        <v>617100923</v>
      </c>
      <c r="E67" s="681">
        <f>SUM(E54:E66)</f>
        <v>0.998</v>
      </c>
    </row>
    <row r="77" spans="1:5" ht="12.75" customHeight="1">
      <c r="A77" s="56"/>
    </row>
    <row r="78" spans="1:5" ht="12.75" customHeight="1">
      <c r="A78" s="56"/>
    </row>
    <row r="79" spans="1:5" ht="12.75" customHeight="1">
      <c r="A79" s="56"/>
    </row>
    <row r="80" spans="1:5" ht="12.75" customHeight="1">
      <c r="A80" s="56"/>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65"/>
    </row>
    <row r="93" spans="1:5" ht="12.75" customHeight="1">
      <c r="A93" s="1686" t="str">
        <f>C67&amp;" "&amp;TEXT(D67,"$#,###")</f>
        <v>Total Operating Sources $617,100,923</v>
      </c>
    </row>
    <row r="94" spans="1:5" ht="12.75" customHeight="1">
      <c r="A94" s="1686"/>
    </row>
    <row r="95" spans="1:5" s="68" customFormat="1" ht="12.75" customHeight="1">
      <c r="A95" s="65"/>
      <c r="E95" s="682"/>
    </row>
    <row r="96" spans="1:5" ht="12.75" customHeight="1">
      <c r="A96" s="66"/>
    </row>
    <row r="97" spans="1:5" ht="12.75" customHeight="1">
      <c r="A97" s="65"/>
    </row>
    <row r="98" spans="1:5" ht="12.75" customHeight="1">
      <c r="A98" s="65"/>
    </row>
    <row r="99" spans="1:5" ht="12.75" customHeight="1">
      <c r="A99" s="65"/>
    </row>
    <row r="100" spans="1:5" ht="12.75" customHeight="1">
      <c r="C100" s="1687" t="s">
        <v>13</v>
      </c>
      <c r="D100" s="1687"/>
    </row>
    <row r="101" spans="1:5" ht="12.75" customHeight="1">
      <c r="C101" s="1687"/>
      <c r="D101" s="1687"/>
    </row>
    <row r="102" spans="1:5" ht="12.75" customHeight="1">
      <c r="C102" s="69" t="s">
        <v>14</v>
      </c>
      <c r="D102" s="60">
        <f>'RGV1 Sum'!B36</f>
        <v>142384669</v>
      </c>
      <c r="E102" s="680">
        <f>ROUND(D102/$D$114,3)</f>
        <v>0.29299999999999998</v>
      </c>
    </row>
    <row r="103" spans="1:5" ht="12.75" customHeight="1">
      <c r="C103" s="69" t="s">
        <v>15</v>
      </c>
      <c r="D103" s="60">
        <f>'RGV1 Sum'!B37</f>
        <v>28259210</v>
      </c>
      <c r="E103" s="680">
        <f t="shared" ref="E103:E112" si="2">ROUND(D103/$D$114,3)</f>
        <v>5.8000000000000003E-2</v>
      </c>
    </row>
    <row r="104" spans="1:5" ht="12.75" customHeight="1">
      <c r="C104" s="69" t="s">
        <v>16</v>
      </c>
      <c r="D104" s="60">
        <f>'RGV1 Sum'!B38</f>
        <v>7278431</v>
      </c>
      <c r="E104" s="680">
        <f t="shared" si="2"/>
        <v>1.4999999999999999E-2</v>
      </c>
    </row>
    <row r="105" spans="1:5" ht="12.75" customHeight="1">
      <c r="C105" s="69" t="s">
        <v>17</v>
      </c>
      <c r="D105" s="60">
        <f>'RGV1 Sum'!B39</f>
        <v>47325576</v>
      </c>
      <c r="E105" s="680">
        <f t="shared" si="2"/>
        <v>9.7000000000000003E-2</v>
      </c>
    </row>
    <row r="106" spans="1:5" ht="12.75" customHeight="1">
      <c r="C106" s="69" t="s">
        <v>18</v>
      </c>
      <c r="D106" s="60">
        <f>'RGV1 Sum'!B40</f>
        <v>39240357</v>
      </c>
      <c r="E106" s="680">
        <f t="shared" si="2"/>
        <v>8.1000000000000003E-2</v>
      </c>
    </row>
    <row r="107" spans="1:5" ht="12.75" customHeight="1">
      <c r="C107" s="69" t="s">
        <v>19</v>
      </c>
      <c r="D107" s="60">
        <f>'RGV1 Sum'!B41</f>
        <v>37604861</v>
      </c>
      <c r="E107" s="680">
        <f t="shared" si="2"/>
        <v>7.6999999999999999E-2</v>
      </c>
    </row>
    <row r="108" spans="1:5" ht="12.75" customHeight="1">
      <c r="C108" s="69" t="s">
        <v>78</v>
      </c>
      <c r="D108" s="60">
        <f>'RGV1 Sum'!B42</f>
        <v>36438488</v>
      </c>
      <c r="E108" s="680">
        <f t="shared" si="2"/>
        <v>7.4999999999999997E-2</v>
      </c>
    </row>
    <row r="109" spans="1:5" ht="12.75" customHeight="1">
      <c r="C109" s="69" t="s">
        <v>79</v>
      </c>
      <c r="D109" s="60">
        <f>'RGV1 Sum'!B43</f>
        <v>115566705</v>
      </c>
      <c r="E109" s="680">
        <f t="shared" si="2"/>
        <v>0.23799999999999999</v>
      </c>
    </row>
    <row r="110" spans="1:5" ht="12.75" customHeight="1">
      <c r="C110" s="69" t="s">
        <v>22</v>
      </c>
      <c r="D110" s="60">
        <f>'RGV1 Sum'!B44</f>
        <v>23547593</v>
      </c>
      <c r="E110" s="680">
        <f t="shared" si="2"/>
        <v>4.8000000000000001E-2</v>
      </c>
    </row>
    <row r="111" spans="1:5" ht="12.75" customHeight="1">
      <c r="C111" s="64" t="s">
        <v>29</v>
      </c>
      <c r="D111" s="60">
        <f>'RGV1 Sum'!B45</f>
        <v>8415426</v>
      </c>
      <c r="E111" s="680">
        <f t="shared" si="2"/>
        <v>1.7000000000000001E-2</v>
      </c>
    </row>
    <row r="112" spans="1:5" ht="12.75" customHeight="1">
      <c r="C112" s="1069" t="s">
        <v>53</v>
      </c>
      <c r="D112" s="60">
        <f>'RGV1 Sum'!B46</f>
        <v>0</v>
      </c>
      <c r="E112" s="680">
        <f t="shared" si="2"/>
        <v>0</v>
      </c>
    </row>
    <row r="113" spans="3:5" ht="12.75" customHeight="1">
      <c r="C113" s="57"/>
      <c r="D113" s="57"/>
    </row>
    <row r="114" spans="3:5" ht="12.75" customHeight="1">
      <c r="C114" s="70" t="s">
        <v>69</v>
      </c>
      <c r="D114" s="62">
        <f>SUM(D102:D113)</f>
        <v>486061316</v>
      </c>
      <c r="E114" s="681">
        <f>SUM(E102:E113)</f>
        <v>0.99899999999999989</v>
      </c>
    </row>
    <row r="115" spans="3:5" ht="12.75" customHeight="1">
      <c r="D115" s="56"/>
    </row>
    <row r="116" spans="3:5" ht="12.75" customHeight="1">
      <c r="C116" s="71" t="s">
        <v>55</v>
      </c>
      <c r="D116" s="56"/>
    </row>
    <row r="132" spans="1:1" ht="12.75" customHeight="1">
      <c r="A132" s="64"/>
    </row>
    <row r="133" spans="1:1" ht="12.75" customHeight="1">
      <c r="A133" s="56"/>
    </row>
    <row r="134" spans="1:1" ht="12.75" customHeight="1">
      <c r="A134" s="56"/>
    </row>
    <row r="135" spans="1:1" ht="12.75" customHeight="1">
      <c r="A135" s="56"/>
    </row>
    <row r="136" spans="1:1" ht="12.75" customHeight="1">
      <c r="A136" s="56"/>
    </row>
    <row r="137" spans="1:1" ht="12.75" customHeight="1">
      <c r="A137" s="1686" t="str">
        <f>C114&amp;" "&amp;TEXT(D114,"$#,###")</f>
        <v>Total Operating Uses $486,061,316</v>
      </c>
    </row>
    <row r="138" spans="1:1" ht="12.75" customHeight="1">
      <c r="A138" s="1686"/>
    </row>
    <row r="139" spans="1:1" ht="16.5" customHeight="1">
      <c r="A139" s="56"/>
    </row>
    <row r="140" spans="1:1" ht="19.5" customHeight="1">
      <c r="A140" s="72" t="s">
        <v>70</v>
      </c>
    </row>
    <row r="141" spans="1:1" ht="13.5" customHeight="1">
      <c r="A141" s="59" t="s">
        <v>56</v>
      </c>
    </row>
    <row r="142" spans="1:1" ht="13.5" customHeight="1">
      <c r="A142" s="56"/>
    </row>
    <row r="143" spans="1:1" ht="13.5" customHeight="1">
      <c r="A143" s="56"/>
    </row>
    <row r="144" spans="1:1" ht="13.5" customHeight="1">
      <c r="A144" s="56"/>
    </row>
    <row r="145" spans="1:1" ht="13.5" customHeight="1">
      <c r="A145" s="56"/>
    </row>
    <row r="146" spans="1:1" ht="12.75" customHeight="1">
      <c r="A146" s="56"/>
    </row>
    <row r="147" spans="1:1" ht="12.75" customHeight="1">
      <c r="A147" s="73"/>
    </row>
    <row r="148" spans="1:1" ht="12.75" customHeight="1">
      <c r="A148" s="73"/>
    </row>
    <row r="149" spans="1:1" ht="12.75" customHeight="1">
      <c r="A149" s="73"/>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row r="166" spans="1:1" ht="12.75" customHeight="1">
      <c r="A166" s="67"/>
    </row>
  </sheetData>
  <mergeCells count="6">
    <mergeCell ref="A48:A49"/>
    <mergeCell ref="A93:A94"/>
    <mergeCell ref="C101:D101"/>
    <mergeCell ref="A137:A138"/>
    <mergeCell ref="C7:D7"/>
    <mergeCell ref="C100:D100"/>
  </mergeCells>
  <hyperlinks>
    <hyperlink ref="B1" location="Index!A1" display="Return to Index" xr:uid="{00000000-0004-0000-29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ransitionEvaluation="1" transitionEntry="1" codeName="Sheet28">
    <tabColor indexed="13"/>
  </sheetPr>
  <dimension ref="A1:AE79"/>
  <sheetViews>
    <sheetView showGridLines="0" zoomScale="85" zoomScaleNormal="85" workbookViewId="0">
      <pane ySplit="6" topLeftCell="A7" activePane="bottomLeft" state="frozen"/>
      <selection activeCell="E74" sqref="E74:F74"/>
      <selection pane="bottomLeft" activeCell="E74" sqref="E74:F74"/>
    </sheetView>
  </sheetViews>
  <sheetFormatPr defaultColWidth="9.140625"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'RGV1 Chrts'!$A$1</f>
        <v>The University of Texas RGV - Academic &amp; Health (A+H)</v>
      </c>
      <c r="B1" s="74"/>
      <c r="C1" s="1"/>
      <c r="D1" s="1704" t="s">
        <v>1200</v>
      </c>
      <c r="E1" s="1705"/>
      <c r="F1" s="1757" t="s">
        <v>1196</v>
      </c>
      <c r="G1" s="1706"/>
      <c r="H1" s="1706"/>
      <c r="I1" s="1706"/>
      <c r="J1" s="1707" t="s">
        <v>1197</v>
      </c>
      <c r="K1" s="1695"/>
      <c r="L1" s="1695"/>
      <c r="M1" s="1695"/>
      <c r="N1" s="1695"/>
      <c r="O1" s="1696"/>
    </row>
    <row r="2" spans="1:15">
      <c r="A2" s="78" t="s">
        <v>2132</v>
      </c>
      <c r="B2" s="74"/>
      <c r="C2" s="1"/>
      <c r="D2" s="37"/>
      <c r="E2" s="37"/>
      <c r="F2" s="37"/>
      <c r="J2" s="37"/>
      <c r="K2" s="37"/>
      <c r="L2" s="37"/>
      <c r="M2" s="37"/>
    </row>
    <row r="3" spans="1:15" ht="15.75">
      <c r="A3" s="76" t="str">
        <f>'Smmy Chrts'!$A$2</f>
        <v>For the Year Ended August 31, 2021</v>
      </c>
      <c r="B3" s="74"/>
      <c r="C3" s="1"/>
    </row>
    <row r="4" spans="1:15" ht="13.5" customHeight="1">
      <c r="A4" s="76" t="str">
        <f>'Smmy Chrts'!$A$3</f>
        <v>Source: FY 2021 Annual Financial Report</v>
      </c>
      <c r="B4" s="77"/>
      <c r="C4" s="4"/>
      <c r="D4" s="1711" t="s">
        <v>1142</v>
      </c>
      <c r="E4" s="1711" t="s">
        <v>1143</v>
      </c>
      <c r="F4" s="266"/>
      <c r="K4" s="80"/>
    </row>
    <row r="5" spans="1:15" ht="17.25" customHeight="1">
      <c r="A5" s="39" t="str">
        <f>'Smmy Chrts'!$C$35</f>
        <v>Summary Worksheet FY 2021</v>
      </c>
      <c r="B5" s="40" t="s">
        <v>86</v>
      </c>
      <c r="C5" s="40" t="s">
        <v>129</v>
      </c>
      <c r="D5" s="1712"/>
      <c r="E5" s="1712"/>
      <c r="F5" s="266"/>
      <c r="G5" s="799" t="s">
        <v>1198</v>
      </c>
      <c r="I5" s="822" t="s">
        <v>2157</v>
      </c>
      <c r="J5" s="792" t="s">
        <v>1144</v>
      </c>
    </row>
    <row r="6" spans="1:15" ht="13.5" customHeight="1">
      <c r="A6" s="78" t="s">
        <v>266</v>
      </c>
      <c r="B6" s="41"/>
      <c r="C6" s="42">
        <f>VLOOKUP($A$1,FTSELU,12,FALSE)</f>
        <v>28382.37</v>
      </c>
      <c r="D6" s="80"/>
      <c r="E6" s="80"/>
      <c r="J6" s="712"/>
    </row>
    <row r="7" spans="1:15">
      <c r="I7" s="824" t="s">
        <v>1162</v>
      </c>
      <c r="J7" s="827"/>
    </row>
    <row r="8" spans="1:15">
      <c r="A8" s="81" t="s">
        <v>71</v>
      </c>
      <c r="B8" s="81"/>
      <c r="C8" s="24"/>
      <c r="I8" s="896">
        <f>VLOOKUP(A1,FTSELU,14,FALSE)</f>
        <v>1837.9</v>
      </c>
      <c r="J8" s="712"/>
    </row>
    <row r="9" spans="1:15" ht="12.75" customHeight="1" thickBot="1">
      <c r="A9" s="78" t="s">
        <v>0</v>
      </c>
      <c r="B9" s="82"/>
      <c r="C9" s="7"/>
      <c r="J9" s="712"/>
    </row>
    <row r="10" spans="1:15" ht="12.75" customHeight="1" thickTop="1">
      <c r="A10" s="75" t="s">
        <v>1</v>
      </c>
      <c r="B10" s="83">
        <f>'RGV1 FGD'!M10</f>
        <v>111961783</v>
      </c>
      <c r="C10" s="83">
        <f>ROUND(B10/$C$6,0)</f>
        <v>3945</v>
      </c>
      <c r="D10" s="512">
        <f>'RGV1 FGD'!F10</f>
        <v>0</v>
      </c>
      <c r="E10" s="512"/>
      <c r="F10" s="84">
        <f>B10-(SUM(D10:E10))</f>
        <v>111961783</v>
      </c>
      <c r="G10" s="1143" t="s">
        <v>1</v>
      </c>
      <c r="H10" s="1144"/>
      <c r="I10" s="825" t="s">
        <v>1161</v>
      </c>
      <c r="J10" s="713">
        <f>ROUND(F10/$C$6,0)</f>
        <v>3945</v>
      </c>
    </row>
    <row r="11" spans="1:15" ht="12.75" customHeight="1" thickBot="1">
      <c r="A11" s="75" t="s">
        <v>2</v>
      </c>
      <c r="B11" s="86">
        <f>'RGV1 FGD'!M11</f>
        <v>40871161</v>
      </c>
      <c r="C11" s="87">
        <f t="shared" ref="C11:C14" si="0">ROUND(B11/$C$6,0)</f>
        <v>1440</v>
      </c>
      <c r="D11" s="86">
        <f>'RGV1 FGD'!F11</f>
        <v>0</v>
      </c>
      <c r="E11" s="74"/>
      <c r="F11" s="606">
        <f t="shared" ref="F11:F14" si="1">B11-(SUM(D11:E11))</f>
        <v>40871161</v>
      </c>
      <c r="G11" s="1148">
        <f>SUM(F10:F11)</f>
        <v>152832944</v>
      </c>
      <c r="H11" s="715"/>
      <c r="I11" s="1373">
        <f>ROUND($G$11/$C$6,0)</f>
        <v>5385</v>
      </c>
      <c r="J11" s="716">
        <f t="shared" ref="J11:J14" si="2">ROUND(F11/$C$6,0)</f>
        <v>1440</v>
      </c>
    </row>
    <row r="12" spans="1:15" ht="12.75" hidden="1" customHeight="1" thickTop="1" thickBot="1">
      <c r="A12" s="75" t="s">
        <v>1410</v>
      </c>
      <c r="B12" s="86"/>
      <c r="C12" s="87"/>
      <c r="D12" s="86"/>
      <c r="E12" s="74"/>
      <c r="F12" s="607"/>
      <c r="J12" s="716"/>
      <c r="O12" s="608"/>
    </row>
    <row r="13" spans="1:15" ht="12.75" customHeight="1" thickTop="1">
      <c r="A13" s="75" t="s">
        <v>1368</v>
      </c>
      <c r="B13" s="86">
        <f>'RGV1 FGD'!M13</f>
        <v>0</v>
      </c>
      <c r="C13" s="87">
        <f t="shared" si="0"/>
        <v>0</v>
      </c>
      <c r="D13" s="86">
        <f>'RGV1 FGD'!F13</f>
        <v>0</v>
      </c>
      <c r="E13" s="74"/>
      <c r="F13" s="893">
        <f t="shared" si="1"/>
        <v>0</v>
      </c>
      <c r="G13" s="882" t="s">
        <v>81</v>
      </c>
      <c r="H13" s="894"/>
      <c r="I13" s="826" t="s">
        <v>1163</v>
      </c>
      <c r="J13" s="716">
        <f t="shared" si="2"/>
        <v>0</v>
      </c>
    </row>
    <row r="14" spans="1:15" ht="12.75" customHeight="1" thickBot="1">
      <c r="A14" s="75" t="s">
        <v>49</v>
      </c>
      <c r="B14" s="86">
        <f>'RGV1 FGD'!M14</f>
        <v>0</v>
      </c>
      <c r="C14" s="87">
        <f t="shared" si="0"/>
        <v>0</v>
      </c>
      <c r="D14" s="86">
        <f>'RGV1 FGD'!F14</f>
        <v>0</v>
      </c>
      <c r="E14" s="74"/>
      <c r="F14" s="607">
        <f t="shared" si="1"/>
        <v>0</v>
      </c>
      <c r="G14" s="800">
        <f>SUM(F13:F14)</f>
        <v>0</v>
      </c>
      <c r="H14" s="895"/>
      <c r="I14" s="1377">
        <f>ROUND($G$11/$I$8,0)</f>
        <v>83156</v>
      </c>
      <c r="J14" s="828">
        <f t="shared" si="2"/>
        <v>0</v>
      </c>
    </row>
    <row r="15" spans="1:15" ht="12.75" customHeight="1" thickTop="1">
      <c r="A15" s="88" t="s">
        <v>3</v>
      </c>
      <c r="B15" s="89">
        <f>SUM(B10:B14)</f>
        <v>152832944</v>
      </c>
      <c r="C15" s="89">
        <f>SUM(C10:C14)</f>
        <v>5385</v>
      </c>
      <c r="D15" s="89">
        <f>SUM(D10:D14)</f>
        <v>0</v>
      </c>
      <c r="E15" s="89">
        <f>SUM(E10:E14)</f>
        <v>0</v>
      </c>
      <c r="F15" s="216">
        <f>SUM(F10:F14)</f>
        <v>152832944</v>
      </c>
      <c r="I15" s="1372"/>
      <c r="J15" s="757">
        <f>SUM(J10:J14)</f>
        <v>5385</v>
      </c>
    </row>
    <row r="16" spans="1:15">
      <c r="B16" s="48"/>
      <c r="C16" s="75"/>
      <c r="J16" s="712"/>
    </row>
    <row r="17" spans="1:31" ht="12.75" customHeight="1">
      <c r="A17" s="78" t="s">
        <v>4</v>
      </c>
      <c r="B17" s="86"/>
      <c r="C17" s="75"/>
      <c r="J17" s="712"/>
    </row>
    <row r="18" spans="1:31">
      <c r="A18" s="75" t="s">
        <v>39</v>
      </c>
      <c r="B18" s="83">
        <f>'RGV1 FGD'!M29</f>
        <v>97582415</v>
      </c>
      <c r="C18" s="83">
        <f t="shared" ref="C18:C19" si="3">ROUND(B18/$C$6,0)</f>
        <v>3438</v>
      </c>
      <c r="D18" s="512">
        <f>'RGV1 FGD'!$F$29</f>
        <v>0</v>
      </c>
      <c r="E18" s="512"/>
      <c r="F18" s="512">
        <f t="shared" ref="F18:F19" si="4">B18-(SUM(D18:E18))</f>
        <v>97582415</v>
      </c>
      <c r="G18" s="337"/>
      <c r="H18" s="337"/>
      <c r="I18" s="337"/>
      <c r="J18" s="713">
        <f>ROUND(F18/$C$6,0)</f>
        <v>3438</v>
      </c>
    </row>
    <row r="19" spans="1:31" ht="13.5" thickBot="1">
      <c r="A19" s="75" t="s">
        <v>40</v>
      </c>
      <c r="B19" s="86">
        <f>'RGV1 FGD'!M42</f>
        <v>42336522</v>
      </c>
      <c r="C19" s="87">
        <f t="shared" si="3"/>
        <v>1492</v>
      </c>
      <c r="D19" s="74">
        <f>'RGV1 FGD'!$F$42</f>
        <v>11924597</v>
      </c>
      <c r="E19" s="74"/>
      <c r="F19" s="74">
        <f t="shared" si="4"/>
        <v>30411925</v>
      </c>
      <c r="G19" s="337"/>
      <c r="H19" s="337"/>
      <c r="I19" s="337"/>
      <c r="J19" s="716">
        <f>ROUND(F19/$C$6,0)</f>
        <v>1072</v>
      </c>
    </row>
    <row r="20" spans="1:31" ht="14.25" thickTop="1" thickBot="1">
      <c r="A20" s="88" t="s">
        <v>5</v>
      </c>
      <c r="B20" s="89">
        <f>SUM(B18:B19)</f>
        <v>139918937</v>
      </c>
      <c r="C20" s="89">
        <f>SUM(C18:C19)</f>
        <v>4930</v>
      </c>
      <c r="D20" s="717">
        <f>SUM(D18:D19)</f>
        <v>11924597</v>
      </c>
      <c r="E20" s="718">
        <f>SUM(E18:E19)</f>
        <v>0</v>
      </c>
      <c r="F20" s="801">
        <f>SUM(F18:F19)</f>
        <v>127994340</v>
      </c>
      <c r="G20" s="720" t="s">
        <v>26</v>
      </c>
      <c r="H20" s="366"/>
      <c r="I20" s="367"/>
      <c r="J20" s="721">
        <f>SUM(J18:J19)</f>
        <v>4510</v>
      </c>
    </row>
    <row r="21" spans="1:31" ht="12.75" customHeight="1" thickTop="1">
      <c r="B21" s="91"/>
      <c r="C21" s="75"/>
      <c r="F21" s="804"/>
      <c r="J21" s="712"/>
    </row>
    <row r="22" spans="1:31" ht="14.25" customHeight="1" thickBot="1">
      <c r="A22" s="78" t="s">
        <v>6</v>
      </c>
      <c r="B22" s="91"/>
      <c r="C22" s="75"/>
      <c r="J22" s="712"/>
    </row>
    <row r="23" spans="1:31" ht="14.25" thickTop="1" thickBot="1">
      <c r="A23" s="88" t="s">
        <v>7</v>
      </c>
      <c r="B23" s="92">
        <f>'RGV1 FGD'!M47</f>
        <v>246799186</v>
      </c>
      <c r="C23" s="89">
        <f t="shared" ref="C23" si="5">ROUND(B23/$C$6,0)</f>
        <v>8696</v>
      </c>
      <c r="D23" s="717">
        <f>'RGV1 FGD'!F47</f>
        <v>0</v>
      </c>
      <c r="E23" s="718"/>
      <c r="F23" s="801">
        <f>B23-(SUM(D23:E23))</f>
        <v>246799186</v>
      </c>
      <c r="G23" s="722" t="s">
        <v>74</v>
      </c>
      <c r="H23" s="366"/>
      <c r="I23" s="367"/>
      <c r="J23" s="756">
        <f>ROUND(F23/$C$6,0)</f>
        <v>8696</v>
      </c>
    </row>
    <row r="24" spans="1:31" ht="13.5" thickTop="1">
      <c r="B24" s="91"/>
      <c r="C24" s="75"/>
      <c r="J24" s="712"/>
    </row>
    <row r="25" spans="1:31">
      <c r="A25" s="78" t="s">
        <v>8</v>
      </c>
      <c r="B25" s="91"/>
      <c r="C25" s="75"/>
      <c r="J25" s="712"/>
    </row>
    <row r="26" spans="1:31">
      <c r="A26" s="75" t="s">
        <v>42</v>
      </c>
      <c r="B26" s="83">
        <f>'RGV1 FGD'!M50</f>
        <v>8251013</v>
      </c>
      <c r="C26" s="83">
        <f t="shared" ref="C26:C31" si="6">ROUND(B26/$C$6,0)</f>
        <v>291</v>
      </c>
      <c r="D26" s="512">
        <f>'RGV1 FGD'!F50</f>
        <v>551986</v>
      </c>
      <c r="E26" s="512"/>
      <c r="F26" s="512">
        <f t="shared" ref="F26:F31" si="7">B26-(SUM(D26:E26))</f>
        <v>7699027</v>
      </c>
      <c r="G26" s="337"/>
      <c r="H26" s="337"/>
      <c r="I26" s="337"/>
      <c r="J26" s="713">
        <f>ROUND(F26/$C$6,0)</f>
        <v>271</v>
      </c>
    </row>
    <row r="27" spans="1:31">
      <c r="A27" s="75" t="s">
        <v>9</v>
      </c>
      <c r="B27" s="86">
        <f>'RGV1 FGD'!M51</f>
        <v>250704</v>
      </c>
      <c r="C27" s="87">
        <f t="shared" si="6"/>
        <v>9</v>
      </c>
      <c r="D27" s="86">
        <f>'RGV1 FGD'!F51</f>
        <v>0</v>
      </c>
      <c r="E27" s="74"/>
      <c r="F27" s="74">
        <f t="shared" si="7"/>
        <v>250704</v>
      </c>
      <c r="G27" s="337"/>
      <c r="H27" s="337"/>
      <c r="I27" s="337"/>
      <c r="J27" s="716">
        <f t="shared" ref="J27:J31" si="8">ROUND(F27/$C$6,0)</f>
        <v>9</v>
      </c>
    </row>
    <row r="28" spans="1:31" ht="13.5" thickBot="1">
      <c r="A28" s="75" t="s">
        <v>10</v>
      </c>
      <c r="B28" s="86">
        <f>'RGV1 FGD'!M52</f>
        <v>48437496</v>
      </c>
      <c r="C28" s="87">
        <f t="shared" si="6"/>
        <v>1707</v>
      </c>
      <c r="D28" s="86">
        <f>'RGV1 FGD'!F52</f>
        <v>100000</v>
      </c>
      <c r="E28" s="74"/>
      <c r="F28" s="74">
        <f t="shared" si="7"/>
        <v>48337496</v>
      </c>
      <c r="G28" s="337"/>
      <c r="H28" s="337"/>
      <c r="I28" s="337"/>
      <c r="J28" s="716">
        <f t="shared" si="8"/>
        <v>1703</v>
      </c>
    </row>
    <row r="29" spans="1:31" ht="13.5" thickBot="1">
      <c r="A29" s="75" t="s">
        <v>11</v>
      </c>
      <c r="B29" s="86">
        <f>'RGV1 FGD'!M53</f>
        <v>6070296</v>
      </c>
      <c r="C29" s="87">
        <f t="shared" si="6"/>
        <v>214</v>
      </c>
      <c r="D29" s="86">
        <f>'RGV1 FGD'!F53</f>
        <v>0</v>
      </c>
      <c r="E29" s="74"/>
      <c r="F29" s="74">
        <f t="shared" si="7"/>
        <v>6070296</v>
      </c>
      <c r="G29" s="337"/>
      <c r="H29" s="337"/>
      <c r="I29" s="337"/>
      <c r="J29" s="716">
        <f t="shared" si="8"/>
        <v>214</v>
      </c>
      <c r="K29" s="1694" t="s">
        <v>1065</v>
      </c>
      <c r="L29" s="1695"/>
      <c r="M29" s="1695"/>
      <c r="N29" s="1695"/>
      <c r="O29" s="1696"/>
    </row>
    <row r="30" spans="1:31" ht="13.5" thickBot="1">
      <c r="A30" s="93" t="s">
        <v>2134</v>
      </c>
      <c r="B30" s="94">
        <f>'RGV1 FGD'!M54</f>
        <v>3925402</v>
      </c>
      <c r="C30" s="87">
        <f t="shared" si="6"/>
        <v>138</v>
      </c>
      <c r="D30" s="729">
        <f>B30</f>
        <v>3925402</v>
      </c>
      <c r="E30" s="74"/>
      <c r="F30" s="74">
        <f t="shared" si="7"/>
        <v>0</v>
      </c>
      <c r="G30" s="337"/>
      <c r="H30" s="337"/>
      <c r="I30" s="337"/>
      <c r="J30" s="716">
        <f t="shared" si="8"/>
        <v>0</v>
      </c>
      <c r="K30" s="1694" t="s">
        <v>1070</v>
      </c>
      <c r="L30" s="1695"/>
      <c r="M30" s="1695"/>
      <c r="N30" s="1695"/>
      <c r="O30" s="1696"/>
    </row>
    <row r="31" spans="1:31" ht="13.5" customHeight="1" thickBot="1">
      <c r="A31" s="95" t="s">
        <v>43</v>
      </c>
      <c r="B31" s="86">
        <f>'RGV1 FGD'!M55</f>
        <v>10614945</v>
      </c>
      <c r="C31" s="87">
        <f t="shared" si="6"/>
        <v>374</v>
      </c>
      <c r="D31" s="86">
        <f>'RGV1 FGD'!F55</f>
        <v>0</v>
      </c>
      <c r="E31" s="74"/>
      <c r="F31" s="74">
        <f t="shared" si="7"/>
        <v>10614945</v>
      </c>
      <c r="G31" s="35"/>
      <c r="H31" s="35"/>
      <c r="I31" s="38"/>
      <c r="J31" s="716">
        <f t="shared" si="8"/>
        <v>374</v>
      </c>
      <c r="K31" s="1697" t="s">
        <v>1073</v>
      </c>
      <c r="L31" s="1697" t="s">
        <v>1071</v>
      </c>
      <c r="M31" s="1697" t="s">
        <v>1072</v>
      </c>
      <c r="N31" s="1697" t="s">
        <v>1240</v>
      </c>
      <c r="O31" s="1697"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77549856</v>
      </c>
      <c r="C32" s="89">
        <f>SUM(C26:C31)</f>
        <v>2733</v>
      </c>
      <c r="D32" s="723">
        <f>SUM(D26:D31)</f>
        <v>4577388</v>
      </c>
      <c r="E32" s="723">
        <f>SUM(E26:E31)</f>
        <v>0</v>
      </c>
      <c r="F32" s="802">
        <f>SUM(F26:F31)</f>
        <v>72972468</v>
      </c>
      <c r="G32" s="1708" t="s">
        <v>8</v>
      </c>
      <c r="H32" s="1709"/>
      <c r="I32" s="783" t="s">
        <v>1166</v>
      </c>
      <c r="J32" s="725">
        <f>SUM(J26:J31)</f>
        <v>2571</v>
      </c>
      <c r="K32" s="1698"/>
      <c r="L32" s="1698"/>
      <c r="M32" s="1698"/>
      <c r="N32" s="1698" t="s">
        <v>1074</v>
      </c>
      <c r="O32" s="1698" t="s">
        <v>1075</v>
      </c>
    </row>
    <row r="33" spans="1:31" ht="14.25" thickTop="1" thickBot="1">
      <c r="A33" s="97" t="s">
        <v>68</v>
      </c>
      <c r="B33" s="52">
        <f>B15+B20+B23+B32</f>
        <v>617100923</v>
      </c>
      <c r="C33" s="45">
        <f>C15+C20+C23+C32</f>
        <v>21744</v>
      </c>
      <c r="D33" s="52">
        <f>D15+D20+D23+D32</f>
        <v>16501985</v>
      </c>
      <c r="E33" s="52">
        <f>E15+E20+E23+E32</f>
        <v>0</v>
      </c>
      <c r="F33" s="724">
        <f>F15+F20+F23+F32</f>
        <v>600598938</v>
      </c>
      <c r="G33" s="1758" t="s">
        <v>84</v>
      </c>
      <c r="H33" s="1759"/>
      <c r="I33" s="1375">
        <f>ROUND($G$35/$C$6,0)</f>
        <v>21161</v>
      </c>
      <c r="J33" s="726">
        <f>J15+J20+J23+J32</f>
        <v>21162</v>
      </c>
      <c r="K33" s="1698"/>
      <c r="L33" s="1698"/>
      <c r="M33" s="1698"/>
      <c r="N33" s="1698"/>
      <c r="O33" s="1698"/>
    </row>
    <row r="34" spans="1:31" ht="14.25" thickTop="1" thickBot="1">
      <c r="B34" s="98"/>
      <c r="C34" s="75"/>
      <c r="D34" s="337"/>
      <c r="E34" s="337"/>
      <c r="F34" s="337" t="s">
        <v>1199</v>
      </c>
      <c r="G34" s="787">
        <f>G14*-1</f>
        <v>0</v>
      </c>
      <c r="H34" s="337"/>
      <c r="I34" s="783" t="s">
        <v>1167</v>
      </c>
      <c r="J34" s="727"/>
      <c r="K34" s="1699"/>
      <c r="L34" s="1699"/>
      <c r="M34" s="1699"/>
      <c r="N34" s="1699"/>
      <c r="O34" s="1699"/>
    </row>
    <row r="35" spans="1:31" ht="14.25" thickTop="1" thickBot="1">
      <c r="A35" s="81" t="s">
        <v>72</v>
      </c>
      <c r="B35" s="81"/>
      <c r="C35" s="81"/>
      <c r="D35" s="728"/>
      <c r="E35" s="728"/>
      <c r="F35" s="788" t="s">
        <v>1165</v>
      </c>
      <c r="G35" s="803">
        <f>F33+G34</f>
        <v>600598938</v>
      </c>
      <c r="I35" s="1376">
        <f>ROUND($G$35/$I$8,0)</f>
        <v>326785</v>
      </c>
      <c r="K35" s="609"/>
      <c r="L35" s="609"/>
      <c r="M35" s="609"/>
      <c r="N35" s="609"/>
      <c r="O35" s="609"/>
    </row>
    <row r="36" spans="1:31" ht="13.5" thickTop="1">
      <c r="A36" s="99" t="s">
        <v>14</v>
      </c>
      <c r="B36" s="83">
        <f>'RGV1 FGD'!M60</f>
        <v>142384669</v>
      </c>
      <c r="C36" s="83">
        <f t="shared" ref="C36:C46" si="9">ROUND(B36/$C$6,0)</f>
        <v>5017</v>
      </c>
      <c r="D36" s="512">
        <f>'RGV1 FGD'!F60</f>
        <v>0</v>
      </c>
      <c r="E36" s="512"/>
      <c r="F36" s="512">
        <f t="shared" ref="F36:F46" si="10">B36-(SUM(D36:E36))</f>
        <v>142384669</v>
      </c>
      <c r="G36" s="337"/>
      <c r="H36" s="1378" t="s">
        <v>2158</v>
      </c>
      <c r="I36" s="1379">
        <f>ROUND(F36/$C$6,0)</f>
        <v>5017</v>
      </c>
      <c r="J36" s="337" t="s">
        <v>752</v>
      </c>
      <c r="K36" s="512">
        <f>F36</f>
        <v>142384669</v>
      </c>
      <c r="L36" s="512">
        <f>K36</f>
        <v>142384669</v>
      </c>
      <c r="M36" s="512"/>
      <c r="N36" s="512"/>
      <c r="O36" s="512"/>
    </row>
    <row r="37" spans="1:31">
      <c r="A37" s="99" t="s">
        <v>15</v>
      </c>
      <c r="B37" s="86">
        <f>'RGV1 FGD'!M61</f>
        <v>28259210</v>
      </c>
      <c r="C37" s="87">
        <f t="shared" si="9"/>
        <v>996</v>
      </c>
      <c r="D37" s="86">
        <f>'RGV1 FGD'!F61</f>
        <v>0</v>
      </c>
      <c r="E37" s="74"/>
      <c r="F37" s="74">
        <f t="shared" si="10"/>
        <v>28259210</v>
      </c>
      <c r="G37" s="337"/>
      <c r="H37" s="337"/>
      <c r="J37" s="337" t="s">
        <v>1076</v>
      </c>
      <c r="K37" s="373">
        <f>F37</f>
        <v>28259210</v>
      </c>
      <c r="L37" s="373">
        <f>K37</f>
        <v>28259210</v>
      </c>
      <c r="M37" s="373"/>
      <c r="N37" s="373"/>
      <c r="O37" s="373"/>
    </row>
    <row r="38" spans="1:31">
      <c r="A38" s="99" t="s">
        <v>16</v>
      </c>
      <c r="B38" s="86">
        <f>'RGV1 FGD'!M62</f>
        <v>7278431</v>
      </c>
      <c r="C38" s="87">
        <f t="shared" si="9"/>
        <v>256</v>
      </c>
      <c r="D38" s="86">
        <f>'RGV1 FGD'!F62</f>
        <v>0</v>
      </c>
      <c r="E38" s="86">
        <f>B38-D38</f>
        <v>7278431</v>
      </c>
      <c r="F38" s="74">
        <f t="shared" si="10"/>
        <v>0</v>
      </c>
      <c r="G38" s="337"/>
      <c r="H38" s="337"/>
      <c r="I38" s="337"/>
      <c r="J38" s="337" t="s">
        <v>1077</v>
      </c>
      <c r="K38" s="736"/>
      <c r="L38" s="737"/>
      <c r="M38" s="737" t="s">
        <v>1152</v>
      </c>
      <c r="N38" s="737"/>
      <c r="O38" s="738"/>
    </row>
    <row r="39" spans="1:31">
      <c r="A39" s="99" t="s">
        <v>17</v>
      </c>
      <c r="B39" s="86">
        <f>'RGV1 FGD'!M63</f>
        <v>47325576</v>
      </c>
      <c r="C39" s="87">
        <f t="shared" si="9"/>
        <v>1667</v>
      </c>
      <c r="D39" s="86">
        <f>'RGV1 FGD'!F63</f>
        <v>0</v>
      </c>
      <c r="E39" s="74"/>
      <c r="F39" s="74">
        <f t="shared" si="10"/>
        <v>47325576</v>
      </c>
      <c r="G39" s="337"/>
      <c r="H39" s="1378" t="s">
        <v>2159</v>
      </c>
      <c r="I39" s="1379">
        <f>ROUND(F39/$C$6,0)</f>
        <v>1667</v>
      </c>
      <c r="J39" s="337" t="s">
        <v>1078</v>
      </c>
      <c r="K39" s="373">
        <f t="shared" ref="K39:K43" si="11">F39</f>
        <v>47325576</v>
      </c>
      <c r="L39" s="373">
        <f>K39</f>
        <v>47325576</v>
      </c>
      <c r="M39" s="373"/>
      <c r="N39" s="373"/>
      <c r="O39" s="373"/>
    </row>
    <row r="40" spans="1:31">
      <c r="A40" s="99" t="s">
        <v>18</v>
      </c>
      <c r="B40" s="86">
        <f>'RGV1 FGD'!M64</f>
        <v>39240357</v>
      </c>
      <c r="C40" s="87">
        <f t="shared" si="9"/>
        <v>1383</v>
      </c>
      <c r="D40" s="86">
        <f>'RGV1 FGD'!F64</f>
        <v>0</v>
      </c>
      <c r="E40" s="74"/>
      <c r="F40" s="74">
        <f t="shared" si="10"/>
        <v>39240357</v>
      </c>
      <c r="G40" s="337"/>
      <c r="J40" s="337" t="s">
        <v>1079</v>
      </c>
      <c r="K40" s="373">
        <f t="shared" si="11"/>
        <v>39240357</v>
      </c>
      <c r="L40" s="373"/>
      <c r="M40" s="373">
        <f>K40</f>
        <v>39240357</v>
      </c>
      <c r="N40" s="373"/>
      <c r="O40" s="373"/>
    </row>
    <row r="41" spans="1:31">
      <c r="A41" s="99" t="s">
        <v>19</v>
      </c>
      <c r="B41" s="86">
        <f>'RGV1 FGD'!M65</f>
        <v>37604861</v>
      </c>
      <c r="C41" s="87">
        <f t="shared" si="9"/>
        <v>1325</v>
      </c>
      <c r="D41" s="86">
        <f>'RGV1 FGD'!F65</f>
        <v>0</v>
      </c>
      <c r="E41" s="74"/>
      <c r="F41" s="74">
        <f t="shared" si="10"/>
        <v>37604861</v>
      </c>
      <c r="G41" s="337"/>
      <c r="H41" s="1378" t="s">
        <v>2160</v>
      </c>
      <c r="I41" s="1379">
        <f>ROUND(F41/$C$6,0)</f>
        <v>1325</v>
      </c>
      <c r="J41" s="337" t="s">
        <v>757</v>
      </c>
      <c r="K41" s="373">
        <f t="shared" si="11"/>
        <v>37604861</v>
      </c>
      <c r="L41" s="373"/>
      <c r="M41" s="373"/>
      <c r="N41" s="373">
        <f>K41</f>
        <v>37604861</v>
      </c>
      <c r="O41" s="373"/>
    </row>
    <row r="42" spans="1:31">
      <c r="A42" s="99" t="s">
        <v>20</v>
      </c>
      <c r="B42" s="86">
        <f>'RGV1 FGD'!M66</f>
        <v>36438488</v>
      </c>
      <c r="C42" s="87">
        <f t="shared" si="9"/>
        <v>1284</v>
      </c>
      <c r="D42" s="86">
        <f>'RGV1 FGD'!F66</f>
        <v>0</v>
      </c>
      <c r="E42" s="74"/>
      <c r="F42" s="74">
        <f t="shared" si="10"/>
        <v>36438488</v>
      </c>
      <c r="G42" s="337"/>
      <c r="J42" s="337" t="s">
        <v>758</v>
      </c>
      <c r="K42" s="373">
        <f t="shared" si="11"/>
        <v>36438488</v>
      </c>
      <c r="L42" s="373"/>
      <c r="M42" s="373"/>
      <c r="N42" s="373">
        <f>K42</f>
        <v>36438488</v>
      </c>
      <c r="O42" s="373"/>
    </row>
    <row r="43" spans="1:31">
      <c r="A43" s="99" t="s">
        <v>21</v>
      </c>
      <c r="B43" s="86">
        <f>'RGV1 FGD'!M67</f>
        <v>115566705</v>
      </c>
      <c r="C43" s="87">
        <f t="shared" si="9"/>
        <v>4072</v>
      </c>
      <c r="D43" s="86">
        <f>'RGV1 FGD'!F67</f>
        <v>0</v>
      </c>
      <c r="E43" s="74"/>
      <c r="F43" s="74">
        <f t="shared" si="10"/>
        <v>115566705</v>
      </c>
      <c r="G43" s="337"/>
      <c r="H43" s="337"/>
      <c r="I43" s="337"/>
      <c r="J43" s="337" t="s">
        <v>1145</v>
      </c>
      <c r="K43" s="373">
        <f t="shared" si="11"/>
        <v>115566705</v>
      </c>
      <c r="L43" s="373"/>
      <c r="M43" s="373">
        <f>K43</f>
        <v>115566705</v>
      </c>
      <c r="N43" s="373"/>
      <c r="O43" s="373"/>
    </row>
    <row r="44" spans="1:31">
      <c r="A44" s="99" t="s">
        <v>2135</v>
      </c>
      <c r="B44" s="86">
        <f>'RGV1 FGD'!M68</f>
        <v>23547593</v>
      </c>
      <c r="C44" s="87">
        <f t="shared" si="9"/>
        <v>830</v>
      </c>
      <c r="D44" s="729">
        <f>B44</f>
        <v>23547593</v>
      </c>
      <c r="E44" s="74"/>
      <c r="F44" s="74">
        <f t="shared" si="10"/>
        <v>0</v>
      </c>
      <c r="G44" s="337"/>
      <c r="H44" s="337"/>
      <c r="I44" s="337"/>
      <c r="J44" s="337" t="s">
        <v>743</v>
      </c>
      <c r="K44" s="736"/>
      <c r="L44" s="737"/>
      <c r="M44" s="737" t="s">
        <v>1152</v>
      </c>
      <c r="N44" s="737"/>
      <c r="O44" s="738"/>
    </row>
    <row r="45" spans="1:31">
      <c r="A45" s="99" t="s">
        <v>61</v>
      </c>
      <c r="B45" s="86">
        <f>'RGV1 FGD'!M69</f>
        <v>8415426</v>
      </c>
      <c r="C45" s="87">
        <f t="shared" si="9"/>
        <v>297</v>
      </c>
      <c r="D45" s="86">
        <f>'RGV1 FGD'!F69</f>
        <v>27998</v>
      </c>
      <c r="E45" s="74"/>
      <c r="F45" s="74">
        <f t="shared" si="10"/>
        <v>8387428</v>
      </c>
      <c r="G45" s="337"/>
      <c r="H45" s="337"/>
      <c r="I45" s="337"/>
      <c r="J45" s="337" t="s">
        <v>1080</v>
      </c>
      <c r="K45" s="373">
        <f t="shared" ref="K45:K46" si="12">F45</f>
        <v>8387428</v>
      </c>
      <c r="L45" s="373"/>
      <c r="M45" s="373"/>
      <c r="N45" s="373"/>
      <c r="O45" s="373">
        <f>K45</f>
        <v>8387428</v>
      </c>
    </row>
    <row r="46" spans="1:31" ht="13.5" thickBot="1">
      <c r="A46" s="75" t="s">
        <v>50</v>
      </c>
      <c r="B46" s="86">
        <f>'RGV1 FGD'!M70</f>
        <v>0</v>
      </c>
      <c r="C46" s="87">
        <f t="shared" si="9"/>
        <v>0</v>
      </c>
      <c r="D46" s="86">
        <f>'RGV1 FGD'!F70</f>
        <v>0</v>
      </c>
      <c r="E46" s="74"/>
      <c r="F46" s="74">
        <f t="shared" si="10"/>
        <v>0</v>
      </c>
      <c r="G46" s="35"/>
      <c r="H46" s="1378" t="s">
        <v>2161</v>
      </c>
      <c r="I46" s="1379">
        <f>ROUND(SUM(F37+F40+F42+F43+F45+F46)/$C$6,0)</f>
        <v>8029</v>
      </c>
      <c r="J46" s="610" t="s">
        <v>1075</v>
      </c>
      <c r="K46" s="373">
        <f t="shared" si="12"/>
        <v>0</v>
      </c>
      <c r="L46" s="611"/>
      <c r="M46" s="611"/>
      <c r="N46" s="611"/>
      <c r="O46" s="373">
        <f>K46</f>
        <v>0</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486061316</v>
      </c>
      <c r="C47" s="45">
        <f>SUM(C36:C46)</f>
        <v>17127</v>
      </c>
      <c r="D47" s="730">
        <f>SUM(D36:D46)</f>
        <v>23575591</v>
      </c>
      <c r="E47" s="731">
        <f>SUM(E36:E46)</f>
        <v>7278431</v>
      </c>
      <c r="F47" s="719">
        <f>SUM(F36:F46)</f>
        <v>455207294</v>
      </c>
      <c r="G47" s="1688" t="s">
        <v>1176</v>
      </c>
      <c r="H47" s="1689"/>
      <c r="I47" s="785" t="s">
        <v>1164</v>
      </c>
      <c r="J47" s="610" t="s">
        <v>1081</v>
      </c>
      <c r="K47" s="612">
        <f>SUM(K36:K46)</f>
        <v>455207294</v>
      </c>
      <c r="L47" s="612">
        <f>SUM(L36:L46)</f>
        <v>217969455</v>
      </c>
      <c r="M47" s="612">
        <f>SUM(M36:M46)</f>
        <v>154807062</v>
      </c>
      <c r="N47" s="612">
        <f>SUM(N36:N46)</f>
        <v>74043349</v>
      </c>
      <c r="O47" s="612">
        <f>SUM(O36:O46)</f>
        <v>8387428</v>
      </c>
    </row>
    <row r="48" spans="1:31" ht="14.25" thickTop="1" thickBot="1">
      <c r="A48" s="93"/>
      <c r="B48" s="98"/>
      <c r="C48" s="75"/>
      <c r="F48" s="613"/>
      <c r="G48" s="1690"/>
      <c r="H48" s="1691"/>
      <c r="I48" s="823">
        <f>ROUND(F47/C6,0)</f>
        <v>16038</v>
      </c>
      <c r="J48" s="1700" t="s">
        <v>1082</v>
      </c>
      <c r="K48" s="611"/>
      <c r="L48" s="611"/>
      <c r="M48" s="611"/>
      <c r="N48" s="611"/>
      <c r="O48" s="611"/>
    </row>
    <row r="49" spans="1:31" ht="13.5" thickBot="1">
      <c r="A49" s="78" t="s">
        <v>23</v>
      </c>
      <c r="B49" s="82"/>
      <c r="C49" s="75"/>
      <c r="F49" s="614"/>
      <c r="G49" s="1690"/>
      <c r="H49" s="1691"/>
      <c r="I49" s="811"/>
      <c r="J49" s="1700"/>
      <c r="K49" s="615">
        <f>ROUND(K47/$C$6,2)</f>
        <v>16038.38</v>
      </c>
      <c r="L49" s="615">
        <f t="shared" ref="L49:O49" si="13">ROUND(L47/$C$6,2)</f>
        <v>7679.75</v>
      </c>
      <c r="M49" s="615">
        <f t="shared" si="13"/>
        <v>5454.34</v>
      </c>
      <c r="N49" s="615">
        <f t="shared" si="13"/>
        <v>2608.7800000000002</v>
      </c>
      <c r="O49" s="615">
        <f t="shared" si="13"/>
        <v>295.52</v>
      </c>
      <c r="P49" s="35"/>
      <c r="Q49" s="96"/>
      <c r="R49" s="96"/>
      <c r="S49" s="96"/>
      <c r="T49" s="96"/>
      <c r="U49" s="96"/>
      <c r="V49" s="96"/>
      <c r="W49" s="96"/>
      <c r="X49" s="96"/>
      <c r="Y49" s="96"/>
      <c r="Z49" s="96"/>
      <c r="AA49" s="96"/>
      <c r="AB49" s="96"/>
      <c r="AC49" s="96"/>
      <c r="AD49" s="96"/>
      <c r="AE49" s="96"/>
    </row>
    <row r="50" spans="1:31" ht="13.5" thickBot="1">
      <c r="A50" s="75" t="s">
        <v>62</v>
      </c>
      <c r="B50" s="86">
        <f>'RGV1 FGD'!M74</f>
        <v>-23701910</v>
      </c>
      <c r="C50" s="83">
        <f t="shared" ref="C50:C53" si="14">ROUND(B50/$C$6,0)</f>
        <v>-835</v>
      </c>
      <c r="D50" s="512">
        <f>'RGV1 FGD'!F74</f>
        <v>0</v>
      </c>
      <c r="E50" s="512"/>
      <c r="F50" s="732">
        <f t="shared" ref="F50:F53" si="15">B50-(SUM(D50:E50))</f>
        <v>-23701910</v>
      </c>
      <c r="G50" s="1692"/>
      <c r="H50" s="1693"/>
      <c r="I50" s="808"/>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'RGV1 FGD'!M75</f>
        <v>-2211488</v>
      </c>
      <c r="C51" s="87">
        <f t="shared" si="14"/>
        <v>-78</v>
      </c>
      <c r="D51" s="91">
        <f>'RGV1 FGD'!F75</f>
        <v>10903166</v>
      </c>
      <c r="E51" s="82"/>
      <c r="F51" s="74">
        <f t="shared" si="15"/>
        <v>-13114654</v>
      </c>
      <c r="G51" s="337"/>
      <c r="J51" s="337"/>
      <c r="K51" s="616"/>
      <c r="L51" s="616"/>
      <c r="M51" s="616"/>
      <c r="N51" s="616"/>
      <c r="O51" s="616"/>
    </row>
    <row r="52" spans="1:31">
      <c r="A52" s="75" t="s">
        <v>51</v>
      </c>
      <c r="B52" s="86">
        <f>'RGV1 FGD'!M76</f>
        <v>34597718</v>
      </c>
      <c r="C52" s="87">
        <f t="shared" si="14"/>
        <v>1219</v>
      </c>
      <c r="D52" s="91">
        <f>'RGV1 FGD'!F76</f>
        <v>0</v>
      </c>
      <c r="E52" s="82"/>
      <c r="F52" s="74">
        <f t="shared" si="15"/>
        <v>34597718</v>
      </c>
      <c r="G52" s="337"/>
      <c r="J52" s="733"/>
      <c r="K52" s="733"/>
      <c r="L52" s="733"/>
      <c r="M52" s="733"/>
      <c r="N52" s="733"/>
      <c r="O52" s="733"/>
    </row>
    <row r="53" spans="1:31" ht="12" customHeight="1">
      <c r="A53" s="75" t="s">
        <v>46</v>
      </c>
      <c r="B53" s="86">
        <f>'RGV1 FGD'!M77</f>
        <v>-20173586</v>
      </c>
      <c r="C53" s="87">
        <f t="shared" si="14"/>
        <v>-711</v>
      </c>
      <c r="D53" s="91">
        <f>'RGV1 FGD'!F77</f>
        <v>-1408840</v>
      </c>
      <c r="E53" s="82"/>
      <c r="F53" s="74">
        <f t="shared" si="15"/>
        <v>-18764746</v>
      </c>
      <c r="G53" s="35"/>
      <c r="J53" s="733"/>
      <c r="K53" s="733"/>
      <c r="L53" s="733"/>
      <c r="M53" s="733"/>
      <c r="N53" s="733"/>
      <c r="O53" s="733"/>
      <c r="P53" s="35"/>
      <c r="Q53" s="96"/>
      <c r="R53" s="96"/>
      <c r="S53" s="96"/>
      <c r="T53" s="96"/>
      <c r="U53" s="96"/>
      <c r="V53" s="96"/>
      <c r="W53" s="96"/>
      <c r="X53" s="96"/>
      <c r="Y53" s="96"/>
      <c r="Z53" s="96"/>
      <c r="AA53" s="96"/>
      <c r="AB53" s="96"/>
      <c r="AC53" s="96"/>
      <c r="AD53" s="96"/>
      <c r="AE53" s="96"/>
    </row>
    <row r="54" spans="1:31">
      <c r="A54" s="88" t="s">
        <v>3</v>
      </c>
      <c r="B54" s="89">
        <f>SUM(B50:B53)</f>
        <v>-11489266</v>
      </c>
      <c r="C54" s="89">
        <f>SUM(C50:C53)</f>
        <v>-405</v>
      </c>
      <c r="D54" s="89">
        <f>SUM(D50:D53)</f>
        <v>9494326</v>
      </c>
      <c r="E54" s="89">
        <f>SUM(E50:E53)</f>
        <v>0</v>
      </c>
      <c r="F54" s="102">
        <f>SUM(F50:F53)</f>
        <v>-20983592</v>
      </c>
      <c r="G54" s="337"/>
      <c r="H54" s="337"/>
      <c r="I54" s="337"/>
      <c r="J54" s="733"/>
      <c r="K54" s="733"/>
      <c r="L54" s="733"/>
      <c r="M54" s="733"/>
      <c r="N54" s="733"/>
      <c r="O54" s="733"/>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'RGV1 FGD'!M81</f>
        <v>32231372</v>
      </c>
      <c r="C57" s="83">
        <f>ROUND(B57/$C$6,0)</f>
        <v>1136</v>
      </c>
      <c r="D57" s="512">
        <f>'RGV1 FGD'!F81</f>
        <v>1767447</v>
      </c>
      <c r="E57" s="512"/>
      <c r="F57" s="512">
        <f t="shared" ref="F57:F58" si="16">B57-(SUM(D57:E57))</f>
        <v>30463925</v>
      </c>
      <c r="G57" s="337"/>
      <c r="H57" s="337"/>
      <c r="I57" s="337"/>
      <c r="J57" s="337"/>
    </row>
    <row r="58" spans="1:31">
      <c r="A58" s="75" t="s">
        <v>48</v>
      </c>
      <c r="B58" s="86">
        <f>'RGV1 FGD'!M82</f>
        <v>4638362</v>
      </c>
      <c r="C58" s="87">
        <f>ROUND(B58/$C$6,0)</f>
        <v>163</v>
      </c>
      <c r="D58" s="91">
        <f>'RGV1 FGD'!F82</f>
        <v>0</v>
      </c>
      <c r="E58" s="82"/>
      <c r="F58" s="74">
        <f t="shared" si="16"/>
        <v>4638362</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36869734</v>
      </c>
      <c r="C59" s="89">
        <f>SUM(C57:C58)</f>
        <v>1299</v>
      </c>
      <c r="D59" s="89">
        <f>SUM(D57:D58)</f>
        <v>1767447</v>
      </c>
      <c r="E59" s="89">
        <f>SUM(E57:E58)</f>
        <v>0</v>
      </c>
      <c r="F59" s="89">
        <f>SUM(F57:F58)</f>
        <v>35102287</v>
      </c>
      <c r="G59" s="367"/>
      <c r="H59" s="367"/>
      <c r="I59" s="367"/>
      <c r="J59" s="367"/>
      <c r="K59" s="266"/>
      <c r="L59" s="266"/>
      <c r="M59" s="266"/>
      <c r="N59" s="266"/>
      <c r="O59" s="266"/>
      <c r="P59" s="266"/>
    </row>
    <row r="60" spans="1:31">
      <c r="B60" s="82"/>
      <c r="C60" s="75"/>
    </row>
    <row r="61" spans="1:31" ht="13.5" thickBot="1">
      <c r="A61" s="103" t="s">
        <v>573</v>
      </c>
      <c r="B61" s="46">
        <f>B33-B47+B54+B59</f>
        <v>156420075</v>
      </c>
      <c r="C61" s="46">
        <f>C33-C47+C54+C59</f>
        <v>5511</v>
      </c>
      <c r="D61" s="46">
        <f>D33-D47+D54+D59</f>
        <v>4188167</v>
      </c>
      <c r="E61" s="46">
        <f>E33-E47+E54+E59</f>
        <v>-7278431</v>
      </c>
      <c r="F61" s="46">
        <f>F33-F47+F54+F59</f>
        <v>159510339</v>
      </c>
    </row>
    <row r="62" spans="1:31" ht="13.5" thickTop="1"/>
    <row r="63" spans="1:31">
      <c r="D63" s="512"/>
    </row>
    <row r="65" spans="2:16">
      <c r="B65" s="734">
        <f>'RGV1 FGD'!$M$85</f>
        <v>156420075</v>
      </c>
      <c r="C65" s="75"/>
      <c r="D65" s="734">
        <f>'RGV1 FGD'!$F$85</f>
        <v>5851482</v>
      </c>
      <c r="E65" s="734">
        <f>'RGV1 FGD'!$M$62*-1</f>
        <v>-7278431</v>
      </c>
      <c r="F65" s="75"/>
    </row>
    <row r="66" spans="2:16">
      <c r="B66" s="734"/>
      <c r="C66" s="75"/>
      <c r="D66" s="734">
        <f>'RGV1 FGD'!$F$68</f>
        <v>21884278</v>
      </c>
      <c r="E66" s="734">
        <f>+$D$38</f>
        <v>0</v>
      </c>
      <c r="F66" s="734"/>
    </row>
    <row r="67" spans="2:16">
      <c r="B67" s="759"/>
      <c r="C67" s="75"/>
      <c r="D67" s="759">
        <f>-'RGV1 FGD'!$M$68</f>
        <v>-23547593</v>
      </c>
      <c r="E67" s="759"/>
      <c r="F67" s="734"/>
    </row>
    <row r="68" spans="2:16">
      <c r="B68" s="734">
        <f>SUM(B65:B67)</f>
        <v>156420075</v>
      </c>
      <c r="C68" s="75"/>
      <c r="D68" s="734">
        <f>SUM(D65:D67)</f>
        <v>4188167</v>
      </c>
      <c r="E68" s="734">
        <f>SUM(E65:E67)</f>
        <v>-7278431</v>
      </c>
      <c r="F68" s="734">
        <f>B68-D68-E68</f>
        <v>159510339</v>
      </c>
    </row>
    <row r="69" spans="2:16">
      <c r="B69" s="734"/>
      <c r="C69" s="75"/>
      <c r="D69" s="734">
        <f>'RGV1 FGD'!F54*-1</f>
        <v>-3925402</v>
      </c>
      <c r="E69" s="734"/>
      <c r="F69" s="734"/>
    </row>
    <row r="70" spans="2:16" ht="12.75" customHeight="1">
      <c r="B70" s="759"/>
      <c r="C70" s="95"/>
      <c r="D70" s="759">
        <f>'RGV1 FGD'!M54</f>
        <v>3925402</v>
      </c>
      <c r="E70" s="759"/>
      <c r="F70" s="759">
        <f>-D70-D69</f>
        <v>0</v>
      </c>
    </row>
    <row r="71" spans="2:16" ht="12.75" customHeight="1">
      <c r="B71" s="734">
        <f>SUM(B68:B70)</f>
        <v>156420075</v>
      </c>
      <c r="C71" s="75"/>
      <c r="D71" s="734">
        <f>SUM(D68:D70)</f>
        <v>4188167</v>
      </c>
      <c r="E71" s="734">
        <f>SUM(E68:E70)</f>
        <v>-7278431</v>
      </c>
      <c r="F71" s="734">
        <f>SUM(F68:F70)</f>
        <v>159510339</v>
      </c>
    </row>
    <row r="72" spans="2:16" ht="12.75" customHeight="1">
      <c r="B72" s="734"/>
      <c r="C72" s="75"/>
      <c r="D72" s="734"/>
      <c r="E72" s="734"/>
      <c r="F72" s="734"/>
    </row>
    <row r="73" spans="2:16" ht="12.75" customHeight="1">
      <c r="B73" s="512">
        <f>B61-B71</f>
        <v>0</v>
      </c>
      <c r="C73" s="75"/>
      <c r="D73" s="512">
        <f>D61-D71</f>
        <v>0</v>
      </c>
      <c r="E73" s="512">
        <f>E61-E71</f>
        <v>0</v>
      </c>
      <c r="F73" s="512">
        <f>F61-F71</f>
        <v>0</v>
      </c>
    </row>
    <row r="74" spans="2:16" ht="12.75" customHeight="1">
      <c r="C74" s="75"/>
      <c r="F74" s="617"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G47:H50"/>
    <mergeCell ref="K30:O30"/>
    <mergeCell ref="M31:M34"/>
    <mergeCell ref="G32:H32"/>
    <mergeCell ref="G33:H33"/>
    <mergeCell ref="L31:L34"/>
    <mergeCell ref="K31:K34"/>
    <mergeCell ref="N31:N34"/>
    <mergeCell ref="O31:O34"/>
    <mergeCell ref="J48:J49"/>
    <mergeCell ref="F1:I1"/>
    <mergeCell ref="J1:O1"/>
    <mergeCell ref="D1:E1"/>
    <mergeCell ref="K29:O29"/>
    <mergeCell ref="D4:D5"/>
    <mergeCell ref="E4:E5"/>
  </mergeCells>
  <hyperlinks>
    <hyperlink ref="D1:E1" location="Index!A1" display="Return to Index" xr:uid="{00000000-0004-0000-2A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29">
    <tabColor indexed="11"/>
    <pageSetUpPr fitToPage="1"/>
  </sheetPr>
  <dimension ref="A1:AB125"/>
  <sheetViews>
    <sheetView showGridLines="0" topLeftCell="B2" zoomScale="75" zoomScaleNormal="75" workbookViewId="0">
      <pane xSplit="1" ySplit="7" topLeftCell="C9"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3.7109375" style="164" customWidth="1"/>
    <col min="15" max="15" width="14.42578125" style="261" customWidth="1"/>
    <col min="16" max="16" width="25.7109375" style="264" customWidth="1"/>
    <col min="17" max="17" width="16.42578125" style="264" customWidth="1"/>
    <col min="18" max="18" width="18.28515625" style="264" customWidth="1"/>
    <col min="19" max="19" width="1.7109375" style="264" customWidth="1"/>
    <col min="20" max="20" width="17.140625" style="264" customWidth="1"/>
    <col min="21" max="21" width="16.85546875" style="264" customWidth="1"/>
    <col min="22" max="23" width="19.28515625" style="264" customWidth="1"/>
    <col min="24" max="24" width="19.71093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13" t="str">
        <f>'RGV1 Chrts'!$A$1</f>
        <v>The University of Texas RGV - Academic &amp; Health (A+H)</v>
      </c>
      <c r="C2" s="1713"/>
      <c r="D2" s="1713"/>
      <c r="E2" s="1713"/>
      <c r="F2" s="1742"/>
      <c r="G2" s="1345"/>
      <c r="H2" s="161"/>
      <c r="I2" s="320" t="str">
        <f>IF($B$2&lt;&gt;Input!$B$10,"Name Mismatch","")</f>
        <v/>
      </c>
      <c r="K2" s="169"/>
      <c r="L2" s="169"/>
      <c r="M2" s="170"/>
      <c r="O2" s="835" t="s">
        <v>1200</v>
      </c>
      <c r="P2" s="36"/>
    </row>
    <row r="3" spans="1:28" ht="18">
      <c r="A3" s="184">
        <v>2</v>
      </c>
      <c r="B3" s="1345" t="s">
        <v>2132</v>
      </c>
      <c r="C3" s="1345" t="s">
        <v>2132</v>
      </c>
      <c r="D3" s="1345"/>
      <c r="E3" s="1345"/>
      <c r="F3" s="1345"/>
      <c r="G3" s="161"/>
      <c r="H3" s="161"/>
      <c r="I3" s="169"/>
      <c r="J3" s="168"/>
      <c r="K3" s="169"/>
      <c r="L3" s="169"/>
      <c r="M3" s="170"/>
      <c r="O3" s="74"/>
    </row>
    <row r="4" spans="1:28" ht="20.25">
      <c r="A4" s="184">
        <v>3</v>
      </c>
      <c r="B4" s="1713" t="str">
        <f>'Smmy Chrts'!$A$2</f>
        <v>For the Year Ended August 31, 2021</v>
      </c>
      <c r="C4" s="1713"/>
      <c r="D4" s="1713"/>
      <c r="E4" s="1713"/>
      <c r="F4" s="1742"/>
      <c r="G4" s="161"/>
      <c r="H4" s="161"/>
      <c r="I4" s="169"/>
      <c r="J4" s="168"/>
      <c r="K4" s="169"/>
      <c r="L4" s="169"/>
      <c r="M4" s="170"/>
      <c r="O4" s="74"/>
      <c r="P4" s="1744" t="s">
        <v>93</v>
      </c>
      <c r="Q4" s="1745"/>
      <c r="T4" s="36" t="s">
        <v>250</v>
      </c>
    </row>
    <row r="5" spans="1:28" ht="20.25">
      <c r="A5" s="184">
        <v>4</v>
      </c>
      <c r="B5" s="1713" t="str">
        <f>'Smmy Chrts'!$A$3</f>
        <v>Source: FY 2021 Annual Financial Report</v>
      </c>
      <c r="C5" s="1713"/>
      <c r="D5" s="1713"/>
      <c r="E5" s="1713"/>
      <c r="F5" s="1742"/>
      <c r="G5" s="160"/>
      <c r="H5" s="160"/>
      <c r="I5" s="160"/>
      <c r="J5" s="160"/>
      <c r="K5" s="160"/>
      <c r="L5" s="160"/>
      <c r="M5" s="166"/>
      <c r="O5" s="262"/>
    </row>
    <row r="6" spans="1:28">
      <c r="A6" s="184">
        <v>5</v>
      </c>
      <c r="B6" s="1348" t="str">
        <f>'Smmy Chrts'!$C$32</f>
        <v>Detail Worksheet FY 2021</v>
      </c>
      <c r="C6" s="1348"/>
      <c r="D6" s="1349"/>
      <c r="E6" s="1349"/>
      <c r="F6" s="1349"/>
      <c r="G6" s="1349"/>
      <c r="H6" s="1349"/>
      <c r="I6" s="1349"/>
      <c r="J6" s="1349"/>
      <c r="K6" s="1349"/>
      <c r="L6" s="1349"/>
      <c r="M6" s="1349"/>
      <c r="O6" s="265"/>
    </row>
    <row r="7" spans="1:28">
      <c r="A7" s="184">
        <v>6</v>
      </c>
      <c r="B7" s="172"/>
      <c r="C7" s="172"/>
      <c r="D7" s="160"/>
      <c r="E7" s="160"/>
      <c r="F7" s="160"/>
      <c r="G7" s="160"/>
      <c r="H7" s="160"/>
      <c r="I7" s="160"/>
      <c r="J7" s="160"/>
      <c r="K7" s="160"/>
      <c r="L7" s="160"/>
      <c r="M7" s="173" t="str">
        <f>'Smmy Chrts'!$C$33</f>
        <v>FY 2021</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Input!$M$10</f>
        <v>111961783</v>
      </c>
      <c r="E10" s="372">
        <f>Input!$N$10</f>
        <v>0</v>
      </c>
      <c r="F10" s="372">
        <f>Input!$O$10</f>
        <v>0</v>
      </c>
      <c r="G10" s="372">
        <f>Input!$P$10</f>
        <v>0</v>
      </c>
      <c r="H10" s="372">
        <f>Input!$Q$10</f>
        <v>0</v>
      </c>
      <c r="I10" s="372">
        <f>Input!$R$10</f>
        <v>0</v>
      </c>
      <c r="J10" s="372">
        <f>Input!$S$10</f>
        <v>0</v>
      </c>
      <c r="K10" s="372">
        <f>Input!$T$10</f>
        <v>0</v>
      </c>
      <c r="L10" s="372">
        <f>Input!$U$10</f>
        <v>0</v>
      </c>
      <c r="M10" s="373">
        <f>D10+E10+F10+G10+H10+I10+J10+K10+L10</f>
        <v>111961783</v>
      </c>
      <c r="N10" s="160"/>
      <c r="O10" s="271"/>
      <c r="P10" s="1718" t="s">
        <v>575</v>
      </c>
      <c r="U10" s="268"/>
    </row>
    <row r="11" spans="1:28">
      <c r="A11" s="184">
        <v>10</v>
      </c>
      <c r="B11" s="160" t="s">
        <v>2</v>
      </c>
      <c r="C11" s="160"/>
      <c r="D11" s="372">
        <f>Input!$V$10</f>
        <v>37156402</v>
      </c>
      <c r="E11" s="372">
        <f>Input!$W$10</f>
        <v>2171900</v>
      </c>
      <c r="F11" s="372">
        <f>Input!$X$10</f>
        <v>0</v>
      </c>
      <c r="G11" s="372">
        <f>Input!$Y$10</f>
        <v>1542859</v>
      </c>
      <c r="H11" s="372">
        <f>Input!$Z$10</f>
        <v>0</v>
      </c>
      <c r="I11" s="372">
        <f>Input!$AA$10</f>
        <v>0</v>
      </c>
      <c r="J11" s="372">
        <f>Input!$AB$10</f>
        <v>0</v>
      </c>
      <c r="K11" s="372">
        <f>Input!$AC$10</f>
        <v>0</v>
      </c>
      <c r="L11" s="372">
        <f>Input!$AD$10</f>
        <v>0</v>
      </c>
      <c r="M11" s="373">
        <f>D11+E11+F11+G11+H11+I11+J11+K11+L11</f>
        <v>40871161</v>
      </c>
      <c r="N11" s="160"/>
      <c r="O11" s="482"/>
      <c r="P11" s="1719"/>
      <c r="U11" s="268"/>
    </row>
    <row r="12" spans="1:28" ht="12.75" hidden="1" customHeight="1">
      <c r="B12" s="160" t="s">
        <v>1410</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Input!$AN$10</f>
        <v>0</v>
      </c>
      <c r="E13" s="372">
        <f>Input!$AO$10</f>
        <v>0</v>
      </c>
      <c r="F13" s="372">
        <f>Input!$AP$10</f>
        <v>0</v>
      </c>
      <c r="G13" s="372">
        <f>Input!$AQ$10</f>
        <v>0</v>
      </c>
      <c r="H13" s="372">
        <f>Input!$AR$10</f>
        <v>0</v>
      </c>
      <c r="I13" s="372">
        <f>Input!$AS$10</f>
        <v>0</v>
      </c>
      <c r="J13" s="372">
        <f>Input!$AT$10</f>
        <v>0</v>
      </c>
      <c r="K13" s="372">
        <f>Input!$AU$10</f>
        <v>0</v>
      </c>
      <c r="L13" s="372">
        <f>Input!$AV$10</f>
        <v>0</v>
      </c>
      <c r="M13" s="373">
        <f>D13+E13+F13+G13+H13+I13+J13+K13+L13</f>
        <v>0</v>
      </c>
      <c r="N13" s="160"/>
      <c r="O13" s="482" t="str">
        <f>IF(P13&lt;&gt;M13,"Out of Balance","Balanced")</f>
        <v>Balanced</v>
      </c>
      <c r="P13" s="484">
        <f>IFERROR(VLOOKUP($B$2,AMTLU,6,FALSE),0)</f>
        <v>0</v>
      </c>
      <c r="U13" s="268"/>
    </row>
    <row r="14" spans="1:28">
      <c r="A14" s="184">
        <v>13</v>
      </c>
      <c r="B14" s="160" t="s">
        <v>49</v>
      </c>
      <c r="C14" s="160"/>
      <c r="D14" s="372">
        <f>Input!$AW$10</f>
        <v>0</v>
      </c>
      <c r="E14" s="372">
        <f>Input!$AX$10</f>
        <v>0</v>
      </c>
      <c r="F14" s="372">
        <f>Input!$AY$10</f>
        <v>0</v>
      </c>
      <c r="G14" s="372">
        <f>Input!$AZ$10</f>
        <v>0</v>
      </c>
      <c r="H14" s="372">
        <f>Input!$BA$10</f>
        <v>0</v>
      </c>
      <c r="I14" s="372">
        <f>Input!$BB$10</f>
        <v>0</v>
      </c>
      <c r="J14" s="372">
        <f>Input!$BC$10</f>
        <v>0</v>
      </c>
      <c r="K14" s="372">
        <f>Input!$BD$10</f>
        <v>0</v>
      </c>
      <c r="L14" s="372">
        <f>Input!$BE$10</f>
        <v>0</v>
      </c>
      <c r="M14" s="373">
        <f>D14+E14+F14+G14+H14+I14+J14+K14+L14</f>
        <v>0</v>
      </c>
      <c r="N14" s="160"/>
      <c r="O14" s="482"/>
      <c r="P14" s="485"/>
    </row>
    <row r="15" spans="1:28" ht="15">
      <c r="A15" s="184">
        <v>14</v>
      </c>
      <c r="B15" s="176" t="s">
        <v>3</v>
      </c>
      <c r="C15" s="176"/>
      <c r="D15" s="374">
        <f t="shared" ref="D15:L15" si="0">SUM(D10:D14)</f>
        <v>149118185</v>
      </c>
      <c r="E15" s="374">
        <f t="shared" si="0"/>
        <v>2171900</v>
      </c>
      <c r="F15" s="374">
        <f t="shared" si="0"/>
        <v>0</v>
      </c>
      <c r="G15" s="374">
        <f t="shared" si="0"/>
        <v>1542859</v>
      </c>
      <c r="H15" s="374">
        <f t="shared" si="0"/>
        <v>0</v>
      </c>
      <c r="I15" s="374">
        <f t="shared" si="0"/>
        <v>0</v>
      </c>
      <c r="J15" s="374">
        <f t="shared" si="0"/>
        <v>0</v>
      </c>
      <c r="K15" s="374">
        <f t="shared" si="0"/>
        <v>0</v>
      </c>
      <c r="L15" s="374">
        <f t="shared" si="0"/>
        <v>0</v>
      </c>
      <c r="M15" s="374">
        <f>D15+E15+F15+G15+H15+I15+J15+K15+L15</f>
        <v>152832944</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58" t="s">
        <v>1042</v>
      </c>
      <c r="C18" s="558"/>
      <c r="D18" s="374">
        <f t="shared" ref="D18:L18" si="1">D23-SUM(D19:D22)</f>
        <v>60202719</v>
      </c>
      <c r="E18" s="374">
        <f t="shared" si="1"/>
        <v>171065062</v>
      </c>
      <c r="F18" s="374">
        <f t="shared" si="1"/>
        <v>0</v>
      </c>
      <c r="G18" s="374">
        <f t="shared" si="1"/>
        <v>0</v>
      </c>
      <c r="H18" s="374">
        <f t="shared" si="1"/>
        <v>0</v>
      </c>
      <c r="I18" s="374">
        <f t="shared" si="1"/>
        <v>0</v>
      </c>
      <c r="J18" s="374">
        <f t="shared" si="1"/>
        <v>0</v>
      </c>
      <c r="K18" s="374">
        <f t="shared" si="1"/>
        <v>0</v>
      </c>
      <c r="L18" s="374">
        <f t="shared" si="1"/>
        <v>0</v>
      </c>
      <c r="M18" s="374">
        <f t="shared" ref="M18:M29" si="2">D18+E18+F18+G18+H18+I18+J18+K18+L18</f>
        <v>231267781</v>
      </c>
      <c r="V18" s="327"/>
      <c r="X18" s="330"/>
    </row>
    <row r="19" spans="1:26" s="264" customFormat="1" ht="12.75" customHeight="1" thickTop="1" thickBot="1">
      <c r="A19" s="263"/>
      <c r="B19" s="261" t="s">
        <v>722</v>
      </c>
      <c r="C19" s="261"/>
      <c r="D19" s="372">
        <f>Input!$BF$10</f>
        <v>-7967341</v>
      </c>
      <c r="E19" s="372">
        <f>Input!$BG$10</f>
        <v>0</v>
      </c>
      <c r="F19" s="372">
        <f>Input!$BH$10</f>
        <v>0</v>
      </c>
      <c r="G19" s="372">
        <f>Input!$BI$10</f>
        <v>0</v>
      </c>
      <c r="H19" s="372">
        <f>Input!$BJ$10</f>
        <v>0</v>
      </c>
      <c r="I19" s="372">
        <f>Input!$BK$10</f>
        <v>0</v>
      </c>
      <c r="J19" s="372">
        <f>Input!$BL$10</f>
        <v>0</v>
      </c>
      <c r="K19" s="372">
        <f>Input!$BM$10</f>
        <v>0</v>
      </c>
      <c r="L19" s="372">
        <f>Input!$BN$10</f>
        <v>0</v>
      </c>
      <c r="M19" s="373">
        <f t="shared" si="2"/>
        <v>-7967341</v>
      </c>
      <c r="O19" s="1732" t="s">
        <v>1294</v>
      </c>
      <c r="P19" s="1733"/>
      <c r="Q19" s="1733"/>
      <c r="R19" s="1734"/>
      <c r="T19" s="1735" t="s">
        <v>1043</v>
      </c>
      <c r="U19" s="1736"/>
      <c r="V19" s="1736"/>
      <c r="W19" s="1736"/>
      <c r="X19" s="1737"/>
    </row>
    <row r="20" spans="1:26" s="264" customFormat="1" ht="12.75" customHeight="1" thickTop="1">
      <c r="A20" s="263"/>
      <c r="B20" s="261" t="s">
        <v>723</v>
      </c>
      <c r="C20" s="261"/>
      <c r="D20" s="372">
        <f>Input!$BO$10</f>
        <v>0</v>
      </c>
      <c r="E20" s="372">
        <f>Input!$BP$10</f>
        <v>-5458</v>
      </c>
      <c r="F20" s="372">
        <f>Input!$BQ$10</f>
        <v>0</v>
      </c>
      <c r="G20" s="372">
        <f>Input!$BR$10</f>
        <v>0</v>
      </c>
      <c r="H20" s="372">
        <f>Input!$BS$10</f>
        <v>0</v>
      </c>
      <c r="I20" s="372">
        <f>Input!$BT$10</f>
        <v>0</v>
      </c>
      <c r="J20" s="372">
        <f>Input!$BU$10</f>
        <v>0</v>
      </c>
      <c r="K20" s="372">
        <f>Input!$BV$10</f>
        <v>0</v>
      </c>
      <c r="L20" s="372">
        <f>Input!$BW$10</f>
        <v>0</v>
      </c>
      <c r="M20" s="373">
        <f t="shared" si="2"/>
        <v>-5458</v>
      </c>
      <c r="O20" s="421" t="s">
        <v>288</v>
      </c>
      <c r="P20" s="422"/>
      <c r="Q20" s="414"/>
      <c r="R20" s="559"/>
      <c r="T20" s="560" t="s">
        <v>1044</v>
      </c>
      <c r="U20" s="266"/>
      <c r="V20" s="266"/>
      <c r="X20" s="425"/>
    </row>
    <row r="21" spans="1:26" s="264" customFormat="1">
      <c r="A21" s="263"/>
      <c r="B21" s="261" t="s">
        <v>724</v>
      </c>
      <c r="C21" s="261"/>
      <c r="D21" s="372">
        <f>Input!$BX$10</f>
        <v>0</v>
      </c>
      <c r="E21" s="372">
        <f>Input!$BY$10</f>
        <v>0</v>
      </c>
      <c r="F21" s="372">
        <f>Input!$BZ$10</f>
        <v>0</v>
      </c>
      <c r="G21" s="372">
        <f>Input!$CA$10</f>
        <v>0</v>
      </c>
      <c r="H21" s="372">
        <f>Input!$CB$10</f>
        <v>0</v>
      </c>
      <c r="I21" s="372">
        <f>Input!$CC$10</f>
        <v>0</v>
      </c>
      <c r="J21" s="372">
        <f>Input!$CD$10</f>
        <v>0</v>
      </c>
      <c r="K21" s="372">
        <f>Input!$CE$10</f>
        <v>0</v>
      </c>
      <c r="L21" s="372">
        <f>Input!$CF$10</f>
        <v>0</v>
      </c>
      <c r="M21" s="373">
        <f t="shared" si="2"/>
        <v>0</v>
      </c>
      <c r="O21" s="434"/>
      <c r="R21" s="561"/>
      <c r="T21" s="650" t="s">
        <v>1045</v>
      </c>
      <c r="U21" s="266"/>
      <c r="V21" s="266"/>
      <c r="W21" s="651">
        <f>M44</f>
        <v>139918937</v>
      </c>
      <c r="X21" s="425"/>
      <c r="Z21" s="330"/>
    </row>
    <row r="22" spans="1:26" s="264" customFormat="1">
      <c r="A22" s="263"/>
      <c r="B22" s="261" t="s">
        <v>725</v>
      </c>
      <c r="C22" s="261"/>
      <c r="D22" s="372">
        <f>Input!$CG$10</f>
        <v>0</v>
      </c>
      <c r="E22" s="372">
        <f>Input!$CH$10</f>
        <v>0</v>
      </c>
      <c r="F22" s="372">
        <f>Input!$CI$10</f>
        <v>0</v>
      </c>
      <c r="G22" s="372">
        <f>Input!$CJ$10</f>
        <v>0</v>
      </c>
      <c r="H22" s="372">
        <f>Input!$CK$10</f>
        <v>0</v>
      </c>
      <c r="I22" s="372">
        <f>Input!$CL$10</f>
        <v>0</v>
      </c>
      <c r="J22" s="372">
        <f>Input!$CM$10</f>
        <v>0</v>
      </c>
      <c r="K22" s="372">
        <f>Input!$CN$10</f>
        <v>0</v>
      </c>
      <c r="L22" s="372">
        <f>Input!$CO$10</f>
        <v>0</v>
      </c>
      <c r="M22" s="373">
        <f t="shared" si="2"/>
        <v>0</v>
      </c>
      <c r="N22" s="270"/>
      <c r="O22" s="434" t="s">
        <v>1046</v>
      </c>
      <c r="P22" s="276"/>
      <c r="Q22" s="424">
        <f>M23</f>
        <v>223294982</v>
      </c>
      <c r="R22" s="562"/>
      <c r="T22" s="650" t="s">
        <v>1047</v>
      </c>
      <c r="U22" s="266"/>
      <c r="V22" s="266"/>
      <c r="W22" s="652">
        <f>R30*-1</f>
        <v>137356154</v>
      </c>
      <c r="X22" s="425"/>
    </row>
    <row r="23" spans="1:26" s="264" customFormat="1" ht="12.75" customHeight="1">
      <c r="A23" s="263"/>
      <c r="B23" s="558" t="s">
        <v>726</v>
      </c>
      <c r="C23" s="563"/>
      <c r="D23" s="564">
        <f>Input!$CP$10</f>
        <v>52235378</v>
      </c>
      <c r="E23" s="564">
        <f>Input!$CQ$10</f>
        <v>171059604</v>
      </c>
      <c r="F23" s="564">
        <f>Input!$CR$10</f>
        <v>0</v>
      </c>
      <c r="G23" s="564">
        <f>Input!$CS$10</f>
        <v>0</v>
      </c>
      <c r="H23" s="564">
        <f>Input!$CT$10</f>
        <v>0</v>
      </c>
      <c r="I23" s="564">
        <f>Input!$CU$10</f>
        <v>0</v>
      </c>
      <c r="J23" s="564">
        <f>Input!$CV$10</f>
        <v>0</v>
      </c>
      <c r="K23" s="564">
        <f>Input!$CW$10</f>
        <v>0</v>
      </c>
      <c r="L23" s="564">
        <f>Input!$CX$10</f>
        <v>0</v>
      </c>
      <c r="M23" s="565">
        <f t="shared" si="2"/>
        <v>223294982</v>
      </c>
      <c r="O23" s="434"/>
      <c r="P23" s="276"/>
      <c r="Q23" s="424"/>
      <c r="R23" s="562"/>
      <c r="T23" s="560" t="s">
        <v>1230</v>
      </c>
      <c r="U23" s="266"/>
      <c r="V23" s="266"/>
      <c r="W23" s="276"/>
      <c r="X23" s="425">
        <f>SUM(W21:W22)</f>
        <v>277275091</v>
      </c>
      <c r="Z23" s="330"/>
    </row>
    <row r="24" spans="1:26" s="264" customFormat="1" ht="12.75" customHeight="1">
      <c r="A24" s="263"/>
      <c r="B24" s="261" t="s">
        <v>727</v>
      </c>
      <c r="C24" s="566"/>
      <c r="D24" s="372">
        <f>Input!$CY$10</f>
        <v>0</v>
      </c>
      <c r="E24" s="372">
        <f>Input!$CZ$10</f>
        <v>0</v>
      </c>
      <c r="F24" s="372">
        <f>Input!$DA$10</f>
        <v>0</v>
      </c>
      <c r="G24" s="372">
        <f>Input!$DB$10</f>
        <v>0</v>
      </c>
      <c r="H24" s="372">
        <f>Input!$DC$10</f>
        <v>0</v>
      </c>
      <c r="I24" s="372">
        <f>Input!$DD$10</f>
        <v>0</v>
      </c>
      <c r="J24" s="372">
        <f>Input!$DE$10</f>
        <v>0</v>
      </c>
      <c r="K24" s="372">
        <f>Input!$DF$10</f>
        <v>0</v>
      </c>
      <c r="L24" s="372">
        <f>Input!$DG$10</f>
        <v>0</v>
      </c>
      <c r="M24" s="567">
        <f t="shared" si="2"/>
        <v>0</v>
      </c>
      <c r="O24" s="417" t="s">
        <v>1048</v>
      </c>
      <c r="P24" s="276"/>
      <c r="Q24" s="327"/>
      <c r="R24" s="646">
        <f>SUM(M24:M28)</f>
        <v>-125712567</v>
      </c>
      <c r="T24" s="560"/>
      <c r="U24" s="266"/>
      <c r="V24" s="266"/>
      <c r="X24" s="425"/>
      <c r="Z24" s="330"/>
    </row>
    <row r="25" spans="1:26" s="264" customFormat="1" ht="12.75" customHeight="1">
      <c r="A25" s="263"/>
      <c r="B25" s="261" t="s">
        <v>728</v>
      </c>
      <c r="C25" s="566"/>
      <c r="D25" s="372">
        <f>Input!DH6</f>
        <v>0</v>
      </c>
      <c r="E25" s="372">
        <f>Input!$DI$10</f>
        <v>0</v>
      </c>
      <c r="F25" s="372">
        <f>Input!$DJ$10</f>
        <v>0</v>
      </c>
      <c r="G25" s="372">
        <f>Input!$DK$10</f>
        <v>0</v>
      </c>
      <c r="H25" s="372">
        <f>Input!$DL$10</f>
        <v>0</v>
      </c>
      <c r="I25" s="372">
        <f>Input!$DM$10</f>
        <v>0</v>
      </c>
      <c r="J25" s="372">
        <f>Input!$DN$10</f>
        <v>0</v>
      </c>
      <c r="K25" s="372">
        <f>Input!$DO$10</f>
        <v>0</v>
      </c>
      <c r="L25" s="372">
        <f>Input!$DP$10</f>
        <v>0</v>
      </c>
      <c r="M25" s="567">
        <f t="shared" si="2"/>
        <v>0</v>
      </c>
      <c r="O25" s="434"/>
      <c r="P25" s="276"/>
      <c r="Q25" s="327"/>
      <c r="R25" s="646"/>
      <c r="T25" s="568" t="s">
        <v>1103</v>
      </c>
      <c r="U25" s="569"/>
      <c r="V25" s="569"/>
      <c r="W25" s="653">
        <f>(M26+M39)*-1</f>
        <v>9064135</v>
      </c>
      <c r="X25" s="425"/>
      <c r="Z25" s="330"/>
    </row>
    <row r="26" spans="1:26" s="264" customFormat="1" ht="12.75" customHeight="1">
      <c r="A26" s="263"/>
      <c r="B26" s="261" t="s">
        <v>729</v>
      </c>
      <c r="C26" s="566"/>
      <c r="D26" s="372">
        <f>Input!$DQ$10</f>
        <v>-3102128</v>
      </c>
      <c r="E26" s="372">
        <f>Input!$DR$10</f>
        <v>-4969663</v>
      </c>
      <c r="F26" s="372">
        <f>Input!$DS$10</f>
        <v>0</v>
      </c>
      <c r="G26" s="372">
        <f>Input!$DT$10</f>
        <v>0</v>
      </c>
      <c r="H26" s="372">
        <f>Input!$DU$10</f>
        <v>0</v>
      </c>
      <c r="I26" s="372">
        <f>Input!$DV$10</f>
        <v>0</v>
      </c>
      <c r="J26" s="372">
        <f>Input!$DW$10</f>
        <v>0</v>
      </c>
      <c r="K26" s="372">
        <f>Input!$DX$10</f>
        <v>0</v>
      </c>
      <c r="L26" s="372">
        <f>Input!$DY$10</f>
        <v>0</v>
      </c>
      <c r="M26" s="567">
        <f t="shared" si="2"/>
        <v>-8071791</v>
      </c>
      <c r="O26" s="434" t="s">
        <v>1049</v>
      </c>
      <c r="P26" s="276"/>
      <c r="Q26" s="427">
        <f>M36</f>
        <v>53980109</v>
      </c>
      <c r="R26" s="570"/>
      <c r="T26" s="560" t="s">
        <v>1104</v>
      </c>
      <c r="U26" s="266"/>
      <c r="V26" s="266"/>
      <c r="W26" s="571">
        <f>(M21+M34)*-1</f>
        <v>0</v>
      </c>
      <c r="X26" s="425"/>
      <c r="Z26" s="330"/>
    </row>
    <row r="27" spans="1:26" s="264" customFormat="1">
      <c r="A27" s="263"/>
      <c r="B27" s="261" t="s">
        <v>730</v>
      </c>
      <c r="C27" s="566"/>
      <c r="D27" s="372">
        <f>Input!$DZ$10</f>
        <v>0</v>
      </c>
      <c r="E27" s="372">
        <f>Input!$EA$10</f>
        <v>0</v>
      </c>
      <c r="F27" s="372">
        <f>Input!$EB$10</f>
        <v>0</v>
      </c>
      <c r="G27" s="372">
        <f>Input!$EC$10</f>
        <v>0</v>
      </c>
      <c r="H27" s="372">
        <f>Input!$ED$10</f>
        <v>0</v>
      </c>
      <c r="I27" s="372">
        <f>Input!$EE$10</f>
        <v>0</v>
      </c>
      <c r="J27" s="372">
        <f>Input!$EF$10</f>
        <v>0</v>
      </c>
      <c r="K27" s="372">
        <f>Input!$EG$10</f>
        <v>0</v>
      </c>
      <c r="L27" s="372">
        <f>Input!EH6</f>
        <v>0</v>
      </c>
      <c r="M27" s="567">
        <f t="shared" si="2"/>
        <v>0</v>
      </c>
      <c r="O27" s="434"/>
      <c r="P27" s="276"/>
      <c r="Q27" s="427"/>
      <c r="R27" s="570"/>
      <c r="T27" s="650" t="s">
        <v>1105</v>
      </c>
      <c r="U27" s="584"/>
      <c r="V27" s="584"/>
      <c r="W27" s="654">
        <f>SUM(W25:W26)</f>
        <v>9064135</v>
      </c>
      <c r="X27" s="655"/>
    </row>
    <row r="28" spans="1:26" s="264" customFormat="1">
      <c r="A28" s="263"/>
      <c r="B28" s="261" t="s">
        <v>2133</v>
      </c>
      <c r="C28" s="566"/>
      <c r="D28" s="372">
        <f>Input!$EI$10</f>
        <v>-24287025</v>
      </c>
      <c r="E28" s="372">
        <f>Input!$EJ$10</f>
        <v>-93353751</v>
      </c>
      <c r="F28" s="372">
        <f>Input!$EK$10</f>
        <v>0</v>
      </c>
      <c r="G28" s="372">
        <f>Input!$EL$10</f>
        <v>0</v>
      </c>
      <c r="H28" s="372">
        <f>Input!$EM$10</f>
        <v>0</v>
      </c>
      <c r="I28" s="372">
        <f>Input!$EN$10</f>
        <v>0</v>
      </c>
      <c r="J28" s="372">
        <f>Input!$EO$10</f>
        <v>0</v>
      </c>
      <c r="K28" s="372">
        <f>Input!$EP$10</f>
        <v>0</v>
      </c>
      <c r="L28" s="372">
        <f>Input!$EQ$10</f>
        <v>0</v>
      </c>
      <c r="M28" s="567">
        <f t="shared" si="2"/>
        <v>-117640776</v>
      </c>
      <c r="O28" s="417" t="s">
        <v>1050</v>
      </c>
      <c r="Q28" s="429"/>
      <c r="R28" s="646">
        <f>SUM(M37:M41)</f>
        <v>-11643587</v>
      </c>
      <c r="T28" s="560" t="s">
        <v>1106</v>
      </c>
      <c r="U28" s="266"/>
      <c r="V28" s="266"/>
      <c r="W28" s="425">
        <f>(M27+M40)*-1</f>
        <v>0</v>
      </c>
      <c r="X28" s="655"/>
      <c r="Z28" s="330"/>
    </row>
    <row r="29" spans="1:26" s="264" customFormat="1" ht="12" customHeight="1">
      <c r="A29" s="263"/>
      <c r="B29" s="575" t="s">
        <v>39</v>
      </c>
      <c r="C29" s="563"/>
      <c r="D29" s="374">
        <f t="shared" ref="D29:L29" si="3">SUM(D23:D28)</f>
        <v>24846225</v>
      </c>
      <c r="E29" s="374">
        <f t="shared" si="3"/>
        <v>72736190</v>
      </c>
      <c r="F29" s="374">
        <f t="shared" si="3"/>
        <v>0</v>
      </c>
      <c r="G29" s="374">
        <f t="shared" si="3"/>
        <v>0</v>
      </c>
      <c r="H29" s="374">
        <f t="shared" si="3"/>
        <v>0</v>
      </c>
      <c r="I29" s="374">
        <f t="shared" si="3"/>
        <v>0</v>
      </c>
      <c r="J29" s="374">
        <f t="shared" si="3"/>
        <v>0</v>
      </c>
      <c r="K29" s="374">
        <f t="shared" si="3"/>
        <v>0</v>
      </c>
      <c r="L29" s="374">
        <f t="shared" si="3"/>
        <v>0</v>
      </c>
      <c r="M29" s="374">
        <f t="shared" si="2"/>
        <v>97582415</v>
      </c>
      <c r="O29" s="417"/>
      <c r="Q29" s="429"/>
      <c r="R29" s="576"/>
      <c r="T29" s="560" t="s">
        <v>1107</v>
      </c>
      <c r="U29" s="266"/>
      <c r="V29" s="266"/>
      <c r="W29" s="571">
        <f>(M22+M35)*-1</f>
        <v>0</v>
      </c>
      <c r="X29" s="655"/>
    </row>
    <row r="30" spans="1:26" s="264" customFormat="1" ht="16.5" customHeight="1">
      <c r="A30" s="263"/>
      <c r="B30" s="261"/>
      <c r="C30" s="566"/>
      <c r="D30" s="566"/>
      <c r="E30" s="566"/>
      <c r="F30" s="566"/>
      <c r="G30" s="566"/>
      <c r="H30" s="566"/>
      <c r="I30" s="566"/>
      <c r="J30" s="566"/>
      <c r="K30" s="566"/>
      <c r="L30" s="566"/>
      <c r="M30" s="567"/>
      <c r="O30" s="431" t="s">
        <v>289</v>
      </c>
      <c r="P30" s="432"/>
      <c r="Q30" s="433">
        <f>Q26+Q22</f>
        <v>277275091</v>
      </c>
      <c r="R30" s="647">
        <f>R28+R24</f>
        <v>-137356154</v>
      </c>
      <c r="T30" s="650" t="s">
        <v>1108</v>
      </c>
      <c r="U30" s="584"/>
      <c r="V30" s="584"/>
      <c r="W30" s="654">
        <f>SUM(W28:W29)</f>
        <v>0</v>
      </c>
      <c r="X30" s="655"/>
    </row>
    <row r="31" spans="1:26" s="264" customFormat="1" ht="12.75" customHeight="1">
      <c r="A31" s="263"/>
      <c r="B31" s="558" t="s">
        <v>1052</v>
      </c>
      <c r="C31" s="558"/>
      <c r="D31" s="374">
        <f t="shared" ref="D31:L31" si="4">D36-SUM(D32:D35)</f>
        <v>2731768</v>
      </c>
      <c r="E31" s="374">
        <f t="shared" si="4"/>
        <v>27680157</v>
      </c>
      <c r="F31" s="374">
        <f t="shared" si="4"/>
        <v>23568184</v>
      </c>
      <c r="G31" s="374">
        <f t="shared" si="4"/>
        <v>0</v>
      </c>
      <c r="H31" s="374">
        <f t="shared" si="4"/>
        <v>0</v>
      </c>
      <c r="I31" s="374">
        <f t="shared" si="4"/>
        <v>0</v>
      </c>
      <c r="J31" s="374">
        <f t="shared" si="4"/>
        <v>0</v>
      </c>
      <c r="K31" s="374">
        <f t="shared" si="4"/>
        <v>0</v>
      </c>
      <c r="L31" s="374">
        <f t="shared" si="4"/>
        <v>0</v>
      </c>
      <c r="M31" s="374">
        <f t="shared" ref="M31:M42" si="5">D31+E31+F31+G31+H31+I31+J31+K31+L31</f>
        <v>53980109</v>
      </c>
      <c r="O31" s="434" t="s">
        <v>290</v>
      </c>
      <c r="P31" s="276"/>
      <c r="Q31" s="335"/>
      <c r="R31" s="562"/>
      <c r="T31" s="572" t="s">
        <v>1109</v>
      </c>
      <c r="U31" s="573"/>
      <c r="V31" s="573"/>
      <c r="W31" s="574">
        <f>W27+W30</f>
        <v>9064135</v>
      </c>
      <c r="X31" s="425"/>
      <c r="Z31" s="330"/>
    </row>
    <row r="32" spans="1:26" s="264" customFormat="1" ht="12.75" customHeight="1">
      <c r="A32" s="263"/>
      <c r="B32" s="261" t="s">
        <v>722</v>
      </c>
      <c r="C32" s="261"/>
      <c r="D32" s="372">
        <f>Input!$ER$10</f>
        <v>0</v>
      </c>
      <c r="E32" s="372">
        <f>Input!$ES$10</f>
        <v>0</v>
      </c>
      <c r="F32" s="372">
        <f>Input!$ET$10</f>
        <v>0</v>
      </c>
      <c r="G32" s="372">
        <f>Input!$EU$10</f>
        <v>0</v>
      </c>
      <c r="H32" s="372">
        <f>Input!$EV$10</f>
        <v>0</v>
      </c>
      <c r="I32" s="372">
        <f>Input!$EW$10</f>
        <v>0</v>
      </c>
      <c r="J32" s="372">
        <f>Input!$EX$10</f>
        <v>0</v>
      </c>
      <c r="K32" s="372">
        <f>Input!$EY$10</f>
        <v>0</v>
      </c>
      <c r="L32" s="372">
        <f>Input!$EZ$10</f>
        <v>0</v>
      </c>
      <c r="M32" s="567">
        <f t="shared" si="5"/>
        <v>0</v>
      </c>
      <c r="O32" s="415" t="s">
        <v>1295</v>
      </c>
      <c r="P32" s="416"/>
      <c r="Q32" s="577">
        <f>Input!$SQ$10</f>
        <v>277275091</v>
      </c>
      <c r="R32" s="578"/>
      <c r="T32" s="560"/>
      <c r="U32" s="266"/>
      <c r="V32" s="266"/>
      <c r="X32" s="425"/>
      <c r="Z32" s="330"/>
    </row>
    <row r="33" spans="1:24" s="264" customFormat="1">
      <c r="A33" s="263"/>
      <c r="B33" s="261" t="s">
        <v>723</v>
      </c>
      <c r="C33" s="261"/>
      <c r="D33" s="372">
        <f>Input!$FA$10</f>
        <v>0</v>
      </c>
      <c r="E33" s="372">
        <f>Input!$FB$10</f>
        <v>0</v>
      </c>
      <c r="F33" s="372">
        <f>Input!$FC$10</f>
        <v>0</v>
      </c>
      <c r="G33" s="372">
        <f>Input!$FD$10</f>
        <v>0</v>
      </c>
      <c r="H33" s="372">
        <f>Input!$FE$10</f>
        <v>0</v>
      </c>
      <c r="I33" s="372">
        <f>Input!$FF$10</f>
        <v>0</v>
      </c>
      <c r="J33" s="372">
        <f>Input!$FG$10</f>
        <v>0</v>
      </c>
      <c r="K33" s="372">
        <f>Input!$FH$10</f>
        <v>0</v>
      </c>
      <c r="L33" s="372">
        <f>Input!$FI$10</f>
        <v>0</v>
      </c>
      <c r="M33" s="567">
        <f t="shared" si="5"/>
        <v>0</v>
      </c>
      <c r="O33" s="415"/>
      <c r="P33" s="416"/>
      <c r="Q33" s="327"/>
      <c r="R33" s="578"/>
      <c r="T33" s="560" t="s">
        <v>1051</v>
      </c>
      <c r="U33" s="266"/>
      <c r="V33" s="266"/>
      <c r="W33" s="334">
        <f>(M19+M32)*-1</f>
        <v>7967341</v>
      </c>
      <c r="X33" s="425"/>
    </row>
    <row r="34" spans="1:24" s="264" customFormat="1">
      <c r="A34" s="263"/>
      <c r="B34" s="261" t="s">
        <v>724</v>
      </c>
      <c r="C34" s="261"/>
      <c r="D34" s="372">
        <f>Input!$FJ$10</f>
        <v>0</v>
      </c>
      <c r="E34" s="372">
        <f>Input!$FK$10</f>
        <v>0</v>
      </c>
      <c r="F34" s="372">
        <f>Input!$FL$10</f>
        <v>0</v>
      </c>
      <c r="G34" s="372">
        <f>Input!$FM$10</f>
        <v>0</v>
      </c>
      <c r="H34" s="372">
        <f>Input!$FN$10</f>
        <v>0</v>
      </c>
      <c r="I34" s="372">
        <f>Input!$FO$10</f>
        <v>0</v>
      </c>
      <c r="J34" s="372">
        <f>Input!$FP$10</f>
        <v>0</v>
      </c>
      <c r="K34" s="372">
        <f>Input!$FQ$10</f>
        <v>0</v>
      </c>
      <c r="L34" s="372">
        <f>Input!$FR$10</f>
        <v>0</v>
      </c>
      <c r="M34" s="567">
        <f t="shared" si="5"/>
        <v>0</v>
      </c>
      <c r="O34" s="435" t="s">
        <v>1296</v>
      </c>
      <c r="P34" s="436"/>
      <c r="Q34" s="264" t="s">
        <v>291</v>
      </c>
      <c r="R34" s="648">
        <f>Input!$SR$10</f>
        <v>-137356154</v>
      </c>
      <c r="T34" s="560" t="s">
        <v>1110</v>
      </c>
      <c r="U34" s="266"/>
      <c r="V34" s="266"/>
      <c r="W34" s="430">
        <f>(M24+M37)*-1</f>
        <v>0</v>
      </c>
      <c r="X34" s="425"/>
    </row>
    <row r="35" spans="1:24" s="264" customFormat="1" ht="13.5" thickBot="1">
      <c r="A35" s="263"/>
      <c r="B35" s="261" t="s">
        <v>725</v>
      </c>
      <c r="C35" s="261"/>
      <c r="D35" s="372">
        <f>Input!$FS$10</f>
        <v>0</v>
      </c>
      <c r="E35" s="372">
        <f>Input!$FT$10</f>
        <v>0</v>
      </c>
      <c r="F35" s="372">
        <f>Input!$FU$10</f>
        <v>0</v>
      </c>
      <c r="G35" s="372">
        <f>Input!$FV$10</f>
        <v>0</v>
      </c>
      <c r="H35" s="372">
        <f>Input!$FW$10</f>
        <v>0</v>
      </c>
      <c r="I35" s="372">
        <f>Input!$FX$10</f>
        <v>0</v>
      </c>
      <c r="J35" s="372">
        <f>Input!$FY$10</f>
        <v>0</v>
      </c>
      <c r="K35" s="372">
        <f>Input!$FZ$10</f>
        <v>0</v>
      </c>
      <c r="L35" s="372">
        <f>Input!$GA$10</f>
        <v>0</v>
      </c>
      <c r="M35" s="567">
        <f t="shared" si="5"/>
        <v>0</v>
      </c>
      <c r="O35" s="418" t="s">
        <v>286</v>
      </c>
      <c r="P35" s="419"/>
      <c r="Q35" s="420">
        <f>Q30-Q32</f>
        <v>0</v>
      </c>
      <c r="R35" s="649">
        <f>R30-R34</f>
        <v>0</v>
      </c>
      <c r="T35" s="650" t="s">
        <v>1111</v>
      </c>
      <c r="U35" s="584"/>
      <c r="V35" s="584"/>
      <c r="W35" s="656">
        <f>SUM(W33:W34)</f>
        <v>7967341</v>
      </c>
      <c r="X35" s="655"/>
    </row>
    <row r="36" spans="1:24" s="264" customFormat="1" ht="13.5" thickTop="1">
      <c r="A36" s="263"/>
      <c r="B36" s="558" t="s">
        <v>732</v>
      </c>
      <c r="C36" s="563"/>
      <c r="D36" s="564">
        <f>Input!$GB$10</f>
        <v>2731768</v>
      </c>
      <c r="E36" s="564">
        <f>Input!$GC$10</f>
        <v>27680157</v>
      </c>
      <c r="F36" s="564">
        <f>Input!$GD$10</f>
        <v>23568184</v>
      </c>
      <c r="G36" s="564">
        <f>Input!$GE$10</f>
        <v>0</v>
      </c>
      <c r="H36" s="564">
        <f>Input!$GF$10</f>
        <v>0</v>
      </c>
      <c r="I36" s="564">
        <f>Input!$GG$10</f>
        <v>0</v>
      </c>
      <c r="J36" s="564">
        <f>Input!$GH$10</f>
        <v>0</v>
      </c>
      <c r="K36" s="564">
        <f>Input!$GI$10</f>
        <v>0</v>
      </c>
      <c r="L36" s="564">
        <f>Input!$GJ$10</f>
        <v>0</v>
      </c>
      <c r="M36" s="565">
        <f t="shared" si="5"/>
        <v>53980109</v>
      </c>
      <c r="O36" s="261"/>
      <c r="Q36" s="412" t="str">
        <f>IF(Q30&lt;&gt;Q32,"Out of Balance","Balanced")</f>
        <v>Balanced</v>
      </c>
      <c r="R36" s="412" t="str">
        <f>IF(R30&lt;&gt;R34,"Out of Balance","Balanced")</f>
        <v>Balanced</v>
      </c>
      <c r="T36" s="560" t="s">
        <v>1053</v>
      </c>
      <c r="U36" s="266"/>
      <c r="V36" s="266"/>
      <c r="W36" s="334">
        <f>(M20+M33)*-1</f>
        <v>5458</v>
      </c>
      <c r="X36" s="425"/>
    </row>
    <row r="37" spans="1:24" s="264" customFormat="1">
      <c r="A37" s="263"/>
      <c r="B37" s="261" t="s">
        <v>727</v>
      </c>
      <c r="C37" s="566"/>
      <c r="D37" s="372">
        <f>Input!$GK$10</f>
        <v>0</v>
      </c>
      <c r="E37" s="372">
        <f>Input!$GL$10</f>
        <v>0</v>
      </c>
      <c r="F37" s="372">
        <f>Input!$GM$10</f>
        <v>0</v>
      </c>
      <c r="G37" s="372">
        <f>Input!$GN$10</f>
        <v>0</v>
      </c>
      <c r="H37" s="372">
        <f>Input!$GO$10</f>
        <v>0</v>
      </c>
      <c r="I37" s="372">
        <f>Input!$GP$10</f>
        <v>0</v>
      </c>
      <c r="J37" s="372">
        <f>Input!$GQ$10</f>
        <v>0</v>
      </c>
      <c r="K37" s="372">
        <f>Input!$GR$10</f>
        <v>0</v>
      </c>
      <c r="L37" s="372">
        <f>Input!$GS$10</f>
        <v>0</v>
      </c>
      <c r="M37" s="567">
        <f t="shared" si="5"/>
        <v>0</v>
      </c>
      <c r="O37" s="261"/>
      <c r="T37" s="560" t="s">
        <v>1112</v>
      </c>
      <c r="U37" s="266"/>
      <c r="V37" s="266"/>
      <c r="W37" s="430">
        <f>(M25+M38)*-1</f>
        <v>0</v>
      </c>
      <c r="X37" s="655"/>
    </row>
    <row r="38" spans="1:24" s="264" customFormat="1">
      <c r="A38" s="263"/>
      <c r="B38" s="261" t="s">
        <v>728</v>
      </c>
      <c r="C38" s="566"/>
      <c r="D38" s="372">
        <f>Input!$GT$10</f>
        <v>0</v>
      </c>
      <c r="E38" s="372">
        <f>Input!$GU$10</f>
        <v>0</v>
      </c>
      <c r="F38" s="372">
        <f>Input!$GV$10</f>
        <v>0</v>
      </c>
      <c r="G38" s="372">
        <f>Input!$GW$10</f>
        <v>0</v>
      </c>
      <c r="H38" s="372">
        <f>Input!$GX$10</f>
        <v>0</v>
      </c>
      <c r="I38" s="372">
        <f>Input!$GY$10</f>
        <v>0</v>
      </c>
      <c r="J38" s="372">
        <f>Input!$GZ$10</f>
        <v>0</v>
      </c>
      <c r="K38" s="372">
        <f>Input!$HA$10</f>
        <v>0</v>
      </c>
      <c r="L38" s="372">
        <f>Input!$HB$10</f>
        <v>0</v>
      </c>
      <c r="M38" s="567">
        <f t="shared" si="5"/>
        <v>0</v>
      </c>
      <c r="O38" s="261"/>
      <c r="T38" s="650" t="s">
        <v>1113</v>
      </c>
      <c r="U38" s="584"/>
      <c r="V38" s="584"/>
      <c r="W38" s="656">
        <f>SUM(W36:W37)</f>
        <v>5458</v>
      </c>
      <c r="X38" s="425"/>
    </row>
    <row r="39" spans="1:24" s="264" customFormat="1">
      <c r="A39" s="263"/>
      <c r="B39" s="261" t="s">
        <v>729</v>
      </c>
      <c r="C39" s="566"/>
      <c r="D39" s="372">
        <f>Input!$HC$10</f>
        <v>0</v>
      </c>
      <c r="E39" s="372">
        <f>Input!$HD$10</f>
        <v>0</v>
      </c>
      <c r="F39" s="372">
        <f>Input!$HE$10</f>
        <v>-992344</v>
      </c>
      <c r="G39" s="372">
        <f>Input!$HF$10</f>
        <v>0</v>
      </c>
      <c r="H39" s="372">
        <f>Input!$HG$10</f>
        <v>0</v>
      </c>
      <c r="I39" s="372">
        <f>Input!$HH$10</f>
        <v>0</v>
      </c>
      <c r="J39" s="372">
        <f>Input!$HI$10</f>
        <v>0</v>
      </c>
      <c r="K39" s="372">
        <f>Input!$HJ$10</f>
        <v>0</v>
      </c>
      <c r="L39" s="372">
        <f>Input!$HK$10</f>
        <v>0</v>
      </c>
      <c r="M39" s="567">
        <f t="shared" si="5"/>
        <v>-992344</v>
      </c>
      <c r="O39" s="261"/>
      <c r="T39" s="560" t="s">
        <v>1054</v>
      </c>
      <c r="U39" s="266"/>
      <c r="V39" s="266"/>
      <c r="W39" s="334"/>
      <c r="X39" s="425">
        <f>W38+W35</f>
        <v>7972799</v>
      </c>
    </row>
    <row r="40" spans="1:24" s="264" customFormat="1">
      <c r="A40" s="263"/>
      <c r="B40" s="261" t="s">
        <v>730</v>
      </c>
      <c r="C40" s="566"/>
      <c r="D40" s="372">
        <f>Input!$HL$10</f>
        <v>0</v>
      </c>
      <c r="E40" s="372">
        <f>Input!$HM$10</f>
        <v>0</v>
      </c>
      <c r="F40" s="372">
        <f>Input!$HN$10</f>
        <v>0</v>
      </c>
      <c r="G40" s="372">
        <f>Input!$HO$10</f>
        <v>0</v>
      </c>
      <c r="H40" s="372">
        <f>Input!$HP$10</f>
        <v>0</v>
      </c>
      <c r="I40" s="372">
        <f>Input!$HQ$10</f>
        <v>0</v>
      </c>
      <c r="J40" s="372">
        <f>Input!$HR$10</f>
        <v>0</v>
      </c>
      <c r="K40" s="372">
        <f>Input!$HS$10</f>
        <v>0</v>
      </c>
      <c r="L40" s="372">
        <f>Input!$HT$10</f>
        <v>0</v>
      </c>
      <c r="M40" s="567">
        <f t="shared" si="5"/>
        <v>0</v>
      </c>
      <c r="O40" s="261"/>
      <c r="T40" s="560"/>
      <c r="U40" s="261"/>
      <c r="V40" s="261"/>
      <c r="W40" s="261"/>
      <c r="X40" s="655"/>
    </row>
    <row r="41" spans="1:24" s="264" customFormat="1">
      <c r="A41" s="263"/>
      <c r="B41" s="261" t="s">
        <v>2133</v>
      </c>
      <c r="C41" s="566"/>
      <c r="D41" s="372">
        <f>Input!$HU$10</f>
        <v>0</v>
      </c>
      <c r="E41" s="372">
        <f>Input!$HV$10</f>
        <v>0</v>
      </c>
      <c r="F41" s="372">
        <f>Input!$HW$10</f>
        <v>-10651243</v>
      </c>
      <c r="G41" s="372">
        <f>Input!$HX$10</f>
        <v>0</v>
      </c>
      <c r="H41" s="372">
        <f>Input!$HY$10</f>
        <v>0</v>
      </c>
      <c r="I41" s="372">
        <f>Input!$HZ$10</f>
        <v>0</v>
      </c>
      <c r="J41" s="372">
        <f>Input!$IA$10</f>
        <v>0</v>
      </c>
      <c r="K41" s="372">
        <f>Input!$IB$10</f>
        <v>0</v>
      </c>
      <c r="L41" s="372">
        <f>Input!$IC$10</f>
        <v>0</v>
      </c>
      <c r="M41" s="567">
        <f t="shared" si="5"/>
        <v>-10651243</v>
      </c>
      <c r="O41"/>
      <c r="P41"/>
      <c r="Q41"/>
      <c r="R41"/>
      <c r="S41"/>
      <c r="T41" s="560" t="s">
        <v>1104</v>
      </c>
      <c r="U41" s="266"/>
      <c r="V41" s="266"/>
      <c r="W41" s="330">
        <f>(M21+M34)*-1</f>
        <v>0</v>
      </c>
      <c r="X41" s="425"/>
    </row>
    <row r="42" spans="1:24" s="264" customFormat="1">
      <c r="A42" s="263"/>
      <c r="B42" s="575" t="s">
        <v>40</v>
      </c>
      <c r="C42" s="563"/>
      <c r="D42" s="374">
        <f t="shared" ref="D42:L42" si="6">SUM(D36:D41)</f>
        <v>2731768</v>
      </c>
      <c r="E42" s="374">
        <f t="shared" si="6"/>
        <v>27680157</v>
      </c>
      <c r="F42" s="374">
        <f t="shared" si="6"/>
        <v>11924597</v>
      </c>
      <c r="G42" s="374">
        <f t="shared" si="6"/>
        <v>0</v>
      </c>
      <c r="H42" s="374">
        <f t="shared" si="6"/>
        <v>0</v>
      </c>
      <c r="I42" s="374">
        <f t="shared" si="6"/>
        <v>0</v>
      </c>
      <c r="J42" s="374">
        <f t="shared" si="6"/>
        <v>0</v>
      </c>
      <c r="K42" s="374">
        <f t="shared" si="6"/>
        <v>0</v>
      </c>
      <c r="L42" s="374">
        <f t="shared" si="6"/>
        <v>0</v>
      </c>
      <c r="M42" s="374">
        <f t="shared" si="5"/>
        <v>42336522</v>
      </c>
      <c r="O42"/>
      <c r="P42"/>
      <c r="Q42"/>
      <c r="R42"/>
      <c r="S42"/>
      <c r="T42" s="560" t="s">
        <v>1107</v>
      </c>
      <c r="U42" s="266"/>
      <c r="V42" s="266"/>
      <c r="W42" s="430">
        <f>(M22+M35)*-1</f>
        <v>0</v>
      </c>
      <c r="X42" s="425"/>
    </row>
    <row r="43" spans="1:24" s="264" customFormat="1">
      <c r="A43" s="263"/>
      <c r="B43" s="261"/>
      <c r="C43" s="566"/>
      <c r="D43" s="566"/>
      <c r="E43" s="566"/>
      <c r="F43" s="566"/>
      <c r="G43" s="566"/>
      <c r="H43" s="566"/>
      <c r="I43" s="566"/>
      <c r="J43" s="566"/>
      <c r="K43" s="566"/>
      <c r="L43" s="566"/>
      <c r="M43" s="567"/>
      <c r="O43"/>
      <c r="P43"/>
      <c r="Q43"/>
      <c r="R43"/>
      <c r="S43"/>
      <c r="T43" s="650" t="s">
        <v>1114</v>
      </c>
      <c r="U43" s="584"/>
      <c r="V43" s="584"/>
      <c r="W43" s="656">
        <f>SUM(W41:W42)</f>
        <v>0</v>
      </c>
      <c r="X43" s="655"/>
    </row>
    <row r="44" spans="1:24" s="264" customFormat="1" ht="13.5" customHeight="1">
      <c r="A44" s="263"/>
      <c r="B44" s="575" t="s">
        <v>1055</v>
      </c>
      <c r="C44" s="563"/>
      <c r="D44" s="374">
        <f t="shared" ref="D44:L44" si="7">D42+D29</f>
        <v>27577993</v>
      </c>
      <c r="E44" s="374">
        <f t="shared" si="7"/>
        <v>100416347</v>
      </c>
      <c r="F44" s="374">
        <f t="shared" si="7"/>
        <v>11924597</v>
      </c>
      <c r="G44" s="374">
        <f t="shared" si="7"/>
        <v>0</v>
      </c>
      <c r="H44" s="374">
        <f t="shared" si="7"/>
        <v>0</v>
      </c>
      <c r="I44" s="374">
        <f t="shared" si="7"/>
        <v>0</v>
      </c>
      <c r="J44" s="374">
        <f t="shared" si="7"/>
        <v>0</v>
      </c>
      <c r="K44" s="374">
        <f t="shared" si="7"/>
        <v>0</v>
      </c>
      <c r="L44" s="374">
        <f t="shared" si="7"/>
        <v>0</v>
      </c>
      <c r="M44" s="374">
        <f>D44+E44+F44+G44+H44+I44+J44+K44+L44</f>
        <v>139918937</v>
      </c>
      <c r="O44"/>
      <c r="P44"/>
      <c r="Q44"/>
      <c r="R44"/>
      <c r="S44"/>
      <c r="T44" s="560"/>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0"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0" t="s">
        <v>1112</v>
      </c>
      <c r="U46" s="266"/>
      <c r="V46" s="266"/>
      <c r="W46" s="430">
        <f>(M25+M38)*-1</f>
        <v>0</v>
      </c>
      <c r="X46" s="425"/>
    </row>
    <row r="47" spans="1:24">
      <c r="A47" s="184">
        <v>30</v>
      </c>
      <c r="B47" s="176" t="s">
        <v>7</v>
      </c>
      <c r="C47" s="176"/>
      <c r="D47" s="375">
        <f>Input!$ID$10</f>
        <v>7698367</v>
      </c>
      <c r="E47" s="375">
        <f>Input!$IE$10</f>
        <v>5768186</v>
      </c>
      <c r="F47" s="375">
        <f>Input!$IF$10</f>
        <v>0</v>
      </c>
      <c r="G47" s="375">
        <f>Input!$IG$10</f>
        <v>233332633</v>
      </c>
      <c r="H47" s="375">
        <f>Input!$IH$10</f>
        <v>0</v>
      </c>
      <c r="I47" s="375">
        <f>Input!$II$10</f>
        <v>0</v>
      </c>
      <c r="J47" s="375">
        <f>Input!$IJ$10</f>
        <v>0</v>
      </c>
      <c r="K47" s="375">
        <f>Input!$IK$10</f>
        <v>0</v>
      </c>
      <c r="L47" s="375">
        <f>Input!$IL$10</f>
        <v>0</v>
      </c>
      <c r="M47" s="374">
        <f>D47+E47+F47+G47+H47+I47+J47+K47+L47</f>
        <v>246799186</v>
      </c>
      <c r="N47" s="160"/>
      <c r="O47"/>
      <c r="P47"/>
      <c r="Q47"/>
      <c r="R47"/>
      <c r="S47"/>
      <c r="T47" s="657" t="s">
        <v>1115</v>
      </c>
      <c r="U47" s="27"/>
      <c r="V47" s="27"/>
      <c r="W47" s="656">
        <f>SUM(W45:W46)</f>
        <v>0</v>
      </c>
      <c r="X47" s="655"/>
    </row>
    <row r="48" spans="1:24">
      <c r="A48" s="184">
        <v>31</v>
      </c>
      <c r="B48" s="160"/>
      <c r="C48" s="160"/>
      <c r="D48" s="373"/>
      <c r="E48" s="373"/>
      <c r="F48" s="373"/>
      <c r="G48" s="373"/>
      <c r="H48" s="373"/>
      <c r="I48" s="373"/>
      <c r="J48" s="373"/>
      <c r="K48" s="373"/>
      <c r="L48" s="373"/>
      <c r="M48" s="373"/>
      <c r="N48" s="160"/>
      <c r="O48"/>
      <c r="P48"/>
      <c r="Q48"/>
      <c r="R48"/>
      <c r="S48"/>
      <c r="T48" s="560"/>
      <c r="U48" s="261"/>
      <c r="V48" s="261"/>
      <c r="W48" s="261"/>
      <c r="X48" s="658">
        <f>W43-W47</f>
        <v>0</v>
      </c>
    </row>
    <row r="49" spans="1:28">
      <c r="A49" s="184">
        <v>32</v>
      </c>
      <c r="B49" s="172" t="s">
        <v>8</v>
      </c>
      <c r="C49" s="172"/>
      <c r="D49" s="373"/>
      <c r="E49" s="373"/>
      <c r="F49" s="373"/>
      <c r="G49" s="373"/>
      <c r="H49" s="373"/>
      <c r="I49" s="373"/>
      <c r="J49" s="373"/>
      <c r="K49" s="373"/>
      <c r="L49" s="373"/>
      <c r="M49" s="373"/>
      <c r="N49" s="160"/>
      <c r="O49" s="273"/>
      <c r="T49" s="579" t="s">
        <v>287</v>
      </c>
      <c r="U49" s="511"/>
      <c r="V49" s="580"/>
      <c r="W49" s="580"/>
      <c r="X49" s="574">
        <f>SUM(X23:X48)</f>
        <v>285247890</v>
      </c>
    </row>
    <row r="50" spans="1:28">
      <c r="A50" s="184">
        <v>33</v>
      </c>
      <c r="B50" s="160" t="s">
        <v>42</v>
      </c>
      <c r="C50" s="160"/>
      <c r="D50" s="372">
        <f>Input!$IM$10</f>
        <v>199759</v>
      </c>
      <c r="E50" s="372">
        <f>Input!$IN$10</f>
        <v>5112539</v>
      </c>
      <c r="F50" s="372">
        <f>Input!$IO$10</f>
        <v>551986</v>
      </c>
      <c r="G50" s="372">
        <f>Input!$IP$10</f>
        <v>2107940</v>
      </c>
      <c r="H50" s="372">
        <f>Input!$IQ$10</f>
        <v>28490</v>
      </c>
      <c r="I50" s="372">
        <f>Input!$IR$10</f>
        <v>38535</v>
      </c>
      <c r="J50" s="372">
        <f>Input!$IS$10</f>
        <v>211764</v>
      </c>
      <c r="K50" s="372">
        <f>Input!$IT$10</f>
        <v>0</v>
      </c>
      <c r="L50" s="372">
        <f>Input!$IU$10</f>
        <v>0</v>
      </c>
      <c r="M50" s="373">
        <f t="shared" ref="M50:M57" si="8">D50+E50+F50+G50+H50+I50+J50+K50+L50</f>
        <v>8251013</v>
      </c>
      <c r="N50" s="160"/>
      <c r="O50" s="273"/>
      <c r="U50" s="275"/>
    </row>
    <row r="51" spans="1:28">
      <c r="A51" s="184">
        <v>34</v>
      </c>
      <c r="B51" s="160" t="s">
        <v>9</v>
      </c>
      <c r="C51" s="160"/>
      <c r="D51" s="372">
        <f>Input!$IV$10</f>
        <v>0</v>
      </c>
      <c r="E51" s="372">
        <f>Input!$IW$10</f>
        <v>7785</v>
      </c>
      <c r="F51" s="372">
        <f>Input!$IX$10</f>
        <v>0</v>
      </c>
      <c r="G51" s="372">
        <f>Input!$IY$10</f>
        <v>242919</v>
      </c>
      <c r="H51" s="372">
        <f>Input!$IZ$10</f>
        <v>0</v>
      </c>
      <c r="I51" s="372">
        <f>Input!$JA$10</f>
        <v>0</v>
      </c>
      <c r="J51" s="372">
        <f>Input!$JB$10</f>
        <v>0</v>
      </c>
      <c r="K51" s="372">
        <f>Input!$JC$10</f>
        <v>0</v>
      </c>
      <c r="L51" s="372">
        <f>Input!$JD$10</f>
        <v>0</v>
      </c>
      <c r="M51" s="376">
        <f t="shared" si="8"/>
        <v>250704</v>
      </c>
      <c r="N51" s="160"/>
      <c r="Y51" s="277"/>
    </row>
    <row r="52" spans="1:28">
      <c r="A52" s="184">
        <v>35</v>
      </c>
      <c r="B52" s="160" t="s">
        <v>10</v>
      </c>
      <c r="C52" s="160"/>
      <c r="D52" s="372">
        <f>Input!$JE$10</f>
        <v>0</v>
      </c>
      <c r="E52" s="372">
        <f>Input!$JF$10</f>
        <v>42365710</v>
      </c>
      <c r="F52" s="372">
        <f>Input!$JG$10</f>
        <v>100000</v>
      </c>
      <c r="G52" s="372">
        <f>Input!$JH$10</f>
        <v>5971786</v>
      </c>
      <c r="H52" s="372">
        <f>Input!$JI$10</f>
        <v>0</v>
      </c>
      <c r="I52" s="372">
        <f>Input!$JJ$10</f>
        <v>0</v>
      </c>
      <c r="J52" s="372">
        <f>Input!$JK$10</f>
        <v>0</v>
      </c>
      <c r="K52" s="372">
        <f>Input!$JL$10</f>
        <v>0</v>
      </c>
      <c r="L52" s="372">
        <f>Input!$JM$10</f>
        <v>0</v>
      </c>
      <c r="M52" s="373">
        <f t="shared" si="8"/>
        <v>48437496</v>
      </c>
      <c r="N52" s="160"/>
      <c r="O52" s="273"/>
      <c r="P52" s="278"/>
    </row>
    <row r="53" spans="1:28">
      <c r="A53" s="184">
        <v>36</v>
      </c>
      <c r="B53" s="160" t="s">
        <v>11</v>
      </c>
      <c r="C53" s="160"/>
      <c r="D53" s="372">
        <f>Input!$JN$10</f>
        <v>0</v>
      </c>
      <c r="E53" s="372">
        <f>Input!$JO$10</f>
        <v>4929752</v>
      </c>
      <c r="F53" s="372">
        <f>Input!$JP$10</f>
        <v>0</v>
      </c>
      <c r="G53" s="372">
        <f>Input!$JQ$10</f>
        <v>1140544</v>
      </c>
      <c r="H53" s="372">
        <f>Input!$JR$10</f>
        <v>0</v>
      </c>
      <c r="I53" s="372">
        <f>Input!$JS$10</f>
        <v>0</v>
      </c>
      <c r="J53" s="372">
        <f>Input!$JT$10</f>
        <v>0</v>
      </c>
      <c r="K53" s="372">
        <f>Input!$JU$10</f>
        <v>0</v>
      </c>
      <c r="L53" s="372">
        <f>Input!$JV$10</f>
        <v>0</v>
      </c>
      <c r="M53" s="373">
        <f t="shared" si="8"/>
        <v>6070296</v>
      </c>
      <c r="N53" s="160"/>
      <c r="O53" s="273"/>
    </row>
    <row r="54" spans="1:28" ht="13.5" thickBot="1">
      <c r="A54" s="184">
        <v>37</v>
      </c>
      <c r="B54" s="177" t="s">
        <v>2134</v>
      </c>
      <c r="C54" s="177"/>
      <c r="D54" s="372">
        <f>Input!$JW$10</f>
        <v>0</v>
      </c>
      <c r="E54" s="372">
        <f>Input!$JX$10</f>
        <v>0</v>
      </c>
      <c r="F54" s="372">
        <f>Input!$JY$10</f>
        <v>3925402</v>
      </c>
      <c r="G54" s="372">
        <f>Input!$JZ$10</f>
        <v>0</v>
      </c>
      <c r="H54" s="372">
        <f>Input!$KA$10</f>
        <v>0</v>
      </c>
      <c r="I54" s="372">
        <f>Input!$KB$10</f>
        <v>0</v>
      </c>
      <c r="J54" s="372">
        <f>Input!$KC$10</f>
        <v>0</v>
      </c>
      <c r="K54" s="372">
        <f>Input!$KD$10</f>
        <v>0</v>
      </c>
      <c r="L54" s="372">
        <f>Input!$KE$10</f>
        <v>0</v>
      </c>
      <c r="M54" s="373">
        <f t="shared" si="8"/>
        <v>3925402</v>
      </c>
      <c r="N54" s="160"/>
      <c r="O54" s="273"/>
    </row>
    <row r="55" spans="1:28" ht="14.25" thickTop="1" thickBot="1">
      <c r="A55" s="184">
        <v>38</v>
      </c>
      <c r="B55" s="160" t="s">
        <v>43</v>
      </c>
      <c r="C55" s="160"/>
      <c r="D55" s="372">
        <f>Input!$KF$10</f>
        <v>332331</v>
      </c>
      <c r="E55" s="372">
        <f>Input!$KG$10</f>
        <v>9183360</v>
      </c>
      <c r="F55" s="372">
        <f>Input!$KH$10</f>
        <v>0</v>
      </c>
      <c r="G55" s="372">
        <f>Input!$KI$10</f>
        <v>641124</v>
      </c>
      <c r="H55" s="372">
        <f>Input!$KJ$10</f>
        <v>581801</v>
      </c>
      <c r="I55" s="372">
        <f>Input!$KK$10</f>
        <v>0</v>
      </c>
      <c r="J55" s="372">
        <f>Input!$KL$10</f>
        <v>0</v>
      </c>
      <c r="K55" s="372">
        <f>Input!$KM$10</f>
        <v>0</v>
      </c>
      <c r="L55" s="372">
        <f>Input!$KN$10</f>
        <v>-123671</v>
      </c>
      <c r="M55" s="373">
        <f t="shared" si="8"/>
        <v>10614945</v>
      </c>
      <c r="N55" s="160"/>
      <c r="O55" s="1616" t="s">
        <v>251</v>
      </c>
      <c r="P55" s="1617"/>
      <c r="Q55" s="1617"/>
      <c r="R55" s="1618"/>
      <c r="S55" s="437"/>
      <c r="T55" s="1619" t="s">
        <v>252</v>
      </c>
      <c r="U55" s="1620"/>
      <c r="V55" s="1620"/>
      <c r="W55" s="1620"/>
      <c r="X55" s="1621"/>
      <c r="Y55" s="320"/>
      <c r="Z55" s="1749" t="s">
        <v>1301</v>
      </c>
      <c r="AA55" s="1750"/>
      <c r="AB55" s="1751"/>
    </row>
    <row r="56" spans="1:28" ht="13.5" customHeight="1" thickTop="1">
      <c r="A56" s="184">
        <v>39</v>
      </c>
      <c r="B56" s="176" t="s">
        <v>3</v>
      </c>
      <c r="C56" s="176"/>
      <c r="D56" s="374">
        <f>SUM(D50:D55)</f>
        <v>532090</v>
      </c>
      <c r="E56" s="374">
        <f t="shared" ref="E56:L56" si="9">SUM(E50:E55)</f>
        <v>61599146</v>
      </c>
      <c r="F56" s="374">
        <f t="shared" si="9"/>
        <v>4577388</v>
      </c>
      <c r="G56" s="374">
        <f t="shared" si="9"/>
        <v>10104313</v>
      </c>
      <c r="H56" s="374">
        <f t="shared" si="9"/>
        <v>610291</v>
      </c>
      <c r="I56" s="374">
        <f t="shared" si="9"/>
        <v>38535</v>
      </c>
      <c r="J56" s="374">
        <f t="shared" si="9"/>
        <v>211764</v>
      </c>
      <c r="K56" s="374">
        <f t="shared" si="9"/>
        <v>0</v>
      </c>
      <c r="L56" s="374">
        <f t="shared" si="9"/>
        <v>-123671</v>
      </c>
      <c r="M56" s="374">
        <f t="shared" si="8"/>
        <v>77549856</v>
      </c>
      <c r="N56" s="160"/>
      <c r="O56" s="1622" t="s">
        <v>1135</v>
      </c>
      <c r="P56" s="1625" t="s">
        <v>254</v>
      </c>
      <c r="Q56" s="1625" t="s">
        <v>292</v>
      </c>
      <c r="R56" s="1628" t="s">
        <v>1063</v>
      </c>
      <c r="S56" s="280"/>
      <c r="T56" s="1739" t="s">
        <v>1136</v>
      </c>
      <c r="U56" s="1637" t="s">
        <v>254</v>
      </c>
      <c r="V56" s="1634" t="s">
        <v>256</v>
      </c>
      <c r="W56" s="1637" t="s">
        <v>257</v>
      </c>
      <c r="X56" s="1638" t="s">
        <v>1064</v>
      </c>
      <c r="Z56" s="1754" t="s">
        <v>1302</v>
      </c>
      <c r="AA56" s="1747" t="s">
        <v>1303</v>
      </c>
      <c r="AB56" s="1752" t="s">
        <v>238</v>
      </c>
    </row>
    <row r="57" spans="1:28">
      <c r="A57" s="184">
        <v>40</v>
      </c>
      <c r="B57" s="162" t="s">
        <v>68</v>
      </c>
      <c r="C57" s="162"/>
      <c r="D57" s="374">
        <f>D15+D44+D47+D56</f>
        <v>184926635</v>
      </c>
      <c r="E57" s="374">
        <f t="shared" ref="E57:L57" si="10">E15+E44+E47+E56</f>
        <v>169955579</v>
      </c>
      <c r="F57" s="374">
        <f t="shared" si="10"/>
        <v>16501985</v>
      </c>
      <c r="G57" s="374">
        <f t="shared" si="10"/>
        <v>244979805</v>
      </c>
      <c r="H57" s="374">
        <f t="shared" si="10"/>
        <v>610291</v>
      </c>
      <c r="I57" s="374">
        <f t="shared" si="10"/>
        <v>38535</v>
      </c>
      <c r="J57" s="374">
        <f t="shared" si="10"/>
        <v>211764</v>
      </c>
      <c r="K57" s="374">
        <f t="shared" si="10"/>
        <v>0</v>
      </c>
      <c r="L57" s="374">
        <f t="shared" si="10"/>
        <v>-123671</v>
      </c>
      <c r="M57" s="374">
        <f t="shared" si="8"/>
        <v>617100923</v>
      </c>
      <c r="N57" s="160"/>
      <c r="O57" s="1623"/>
      <c r="P57" s="1626"/>
      <c r="Q57" s="1626"/>
      <c r="R57" s="1629"/>
      <c r="S57" s="280"/>
      <c r="T57" s="1740"/>
      <c r="U57" s="1626"/>
      <c r="V57" s="1635"/>
      <c r="W57" s="1626"/>
      <c r="X57" s="1639"/>
      <c r="Z57" s="1755"/>
      <c r="AA57" s="1747"/>
      <c r="AB57" s="1752"/>
    </row>
    <row r="58" spans="1:28">
      <c r="A58" s="184">
        <v>41</v>
      </c>
      <c r="B58" s="160"/>
      <c r="C58" s="160"/>
      <c r="D58" s="373"/>
      <c r="E58" s="373"/>
      <c r="F58" s="373"/>
      <c r="G58" s="373"/>
      <c r="H58" s="373"/>
      <c r="I58" s="373"/>
      <c r="J58" s="373"/>
      <c r="K58" s="373"/>
      <c r="L58" s="373"/>
      <c r="M58" s="373"/>
      <c r="N58" s="160"/>
      <c r="O58" s="1623"/>
      <c r="P58" s="1626"/>
      <c r="Q58" s="1626"/>
      <c r="R58" s="1629"/>
      <c r="S58" s="280"/>
      <c r="T58" s="1740"/>
      <c r="U58" s="1626"/>
      <c r="V58" s="1635"/>
      <c r="W58" s="1626"/>
      <c r="X58" s="1639"/>
      <c r="Z58" s="1755"/>
      <c r="AA58" s="1747"/>
      <c r="AB58" s="1752"/>
    </row>
    <row r="59" spans="1:28" ht="14.25" customHeight="1">
      <c r="A59" s="184">
        <v>42</v>
      </c>
      <c r="B59" s="174" t="s">
        <v>72</v>
      </c>
      <c r="C59" s="174"/>
      <c r="D59" s="377"/>
      <c r="E59" s="377"/>
      <c r="F59" s="377"/>
      <c r="G59" s="1746" t="str">
        <f>IF(OR(P105&gt;0,P106&lt;&gt;0,P107&lt;&gt;0),"Do not Enter Cents - Whole Dollars Only","")</f>
        <v/>
      </c>
      <c r="H59" s="1746"/>
      <c r="I59" s="1746"/>
      <c r="J59" s="1746"/>
      <c r="K59" s="1746"/>
      <c r="L59" s="377"/>
      <c r="M59" s="377"/>
      <c r="N59" s="160"/>
      <c r="O59" s="1624"/>
      <c r="P59" s="1627"/>
      <c r="Q59" s="1627"/>
      <c r="R59" s="1630"/>
      <c r="S59" s="280"/>
      <c r="T59" s="1741"/>
      <c r="U59" s="1627"/>
      <c r="V59" s="1636"/>
      <c r="W59" s="1627"/>
      <c r="X59" s="1640"/>
      <c r="Z59" s="1756"/>
      <c r="AA59" s="1748"/>
      <c r="AB59" s="1753"/>
    </row>
    <row r="60" spans="1:28" ht="13.5" thickBot="1">
      <c r="A60" s="184">
        <v>43</v>
      </c>
      <c r="B60" s="160" t="s">
        <v>14</v>
      </c>
      <c r="C60" s="160"/>
      <c r="D60" s="372">
        <f>Input!$KO$10</f>
        <v>110212763</v>
      </c>
      <c r="E60" s="372">
        <f>Input!$KP$10</f>
        <v>20168249</v>
      </c>
      <c r="F60" s="372">
        <f>Input!$KQ$10</f>
        <v>0</v>
      </c>
      <c r="G60" s="372">
        <f>Input!$KR$10</f>
        <v>12003657</v>
      </c>
      <c r="H60" s="372">
        <f>Input!$KS$10</f>
        <v>0</v>
      </c>
      <c r="I60" s="372">
        <f>Input!$KT$10</f>
        <v>0</v>
      </c>
      <c r="J60" s="372">
        <f>Input!$KU$10</f>
        <v>0</v>
      </c>
      <c r="K60" s="372">
        <f>Input!$KV$10</f>
        <v>0</v>
      </c>
      <c r="L60" s="372">
        <f>Input!$KW$10</f>
        <v>0</v>
      </c>
      <c r="M60" s="373">
        <f t="shared" ref="M60:M71" si="11">D60+E60+F60+G60+H60+I60+J60+K60+L60</f>
        <v>142384669</v>
      </c>
      <c r="N60" s="160"/>
      <c r="O60" s="282">
        <f t="shared" ref="O60:O67" si="12">D60+E60+G60+J60</f>
        <v>142384669</v>
      </c>
      <c r="P60" s="518">
        <f>Input!$SS$10</f>
        <v>246829</v>
      </c>
      <c r="Q60" s="438" t="s">
        <v>259</v>
      </c>
      <c r="R60" s="284">
        <f>SUM(O60:P60)</f>
        <v>142631498</v>
      </c>
      <c r="S60" s="439"/>
      <c r="T60" s="286">
        <f t="shared" ref="T60:T67" si="13">D60+E60+G60</f>
        <v>142384669</v>
      </c>
      <c r="U60" s="287">
        <f t="shared" ref="U60:U67" si="14">P60</f>
        <v>246829</v>
      </c>
      <c r="V60" s="289">
        <f>Input!$TC$10</f>
        <v>3157</v>
      </c>
      <c r="W60" s="289">
        <f>Input!$TK$10</f>
        <v>0</v>
      </c>
      <c r="X60" s="290">
        <f t="shared" ref="X60:X66" si="15">T60+U60-V60-W60</f>
        <v>142628341</v>
      </c>
      <c r="Z60" s="292" t="s">
        <v>14</v>
      </c>
      <c r="AA60" s="520">
        <f>Input!$TS$10</f>
        <v>142384669</v>
      </c>
      <c r="AB60" s="293">
        <f t="shared" ref="AB60:AB68" si="16">AA60-M60</f>
        <v>0</v>
      </c>
    </row>
    <row r="61" spans="1:28" ht="14.25" thickTop="1" thickBot="1">
      <c r="A61" s="184">
        <v>44</v>
      </c>
      <c r="B61" s="160" t="s">
        <v>15</v>
      </c>
      <c r="C61" s="160"/>
      <c r="D61" s="372">
        <f>Input!$KX$10</f>
        <v>1010792</v>
      </c>
      <c r="E61" s="372">
        <f>Input!$KY$10</f>
        <v>19549694</v>
      </c>
      <c r="F61" s="372">
        <f>Input!$KZ$10</f>
        <v>0</v>
      </c>
      <c r="G61" s="372">
        <f>Input!$LA$10</f>
        <v>7698724</v>
      </c>
      <c r="H61" s="372">
        <f>Input!$LB$10</f>
        <v>0</v>
      </c>
      <c r="I61" s="372">
        <f>Input!$LC$10</f>
        <v>0</v>
      </c>
      <c r="J61" s="372">
        <f>Input!$LD$10</f>
        <v>0</v>
      </c>
      <c r="K61" s="372">
        <f>Input!$LE$10</f>
        <v>0</v>
      </c>
      <c r="L61" s="372">
        <f>Input!$LF$10</f>
        <v>0</v>
      </c>
      <c r="M61" s="373">
        <f t="shared" si="11"/>
        <v>28259210</v>
      </c>
      <c r="N61" s="160"/>
      <c r="O61" s="440">
        <f t="shared" si="12"/>
        <v>28259210</v>
      </c>
      <c r="P61" s="518">
        <f>Input!$ST$10</f>
        <v>1709860</v>
      </c>
      <c r="Q61" s="441" t="s">
        <v>259</v>
      </c>
      <c r="R61" s="295">
        <f>SUM(O61:P61)</f>
        <v>29969070</v>
      </c>
      <c r="S61" s="442"/>
      <c r="T61" s="296">
        <f t="shared" si="13"/>
        <v>28259210</v>
      </c>
      <c r="U61" s="297">
        <f t="shared" si="14"/>
        <v>1709860</v>
      </c>
      <c r="V61" s="299">
        <f>Input!$TD$10</f>
        <v>598618</v>
      </c>
      <c r="W61" s="299">
        <f>Input!$TL$10</f>
        <v>0</v>
      </c>
      <c r="X61" s="300">
        <f t="shared" si="15"/>
        <v>29370452</v>
      </c>
      <c r="Z61" s="292" t="s">
        <v>15</v>
      </c>
      <c r="AA61" s="518">
        <f>Input!$TT$10</f>
        <v>28259210</v>
      </c>
      <c r="AB61" s="301">
        <f t="shared" si="16"/>
        <v>0</v>
      </c>
    </row>
    <row r="62" spans="1:28" ht="13.5" thickTop="1">
      <c r="A62" s="184">
        <v>45</v>
      </c>
      <c r="B62" s="160" t="s">
        <v>16</v>
      </c>
      <c r="C62" s="160"/>
      <c r="D62" s="372">
        <f>Input!$LG$10</f>
        <v>2151444</v>
      </c>
      <c r="E62" s="372">
        <f>Input!$LH$10</f>
        <v>867935</v>
      </c>
      <c r="F62" s="372">
        <f>Input!$LI$10</f>
        <v>0</v>
      </c>
      <c r="G62" s="372">
        <f>Input!$LJ$10</f>
        <v>4259052</v>
      </c>
      <c r="H62" s="372">
        <f>Input!$LK$10</f>
        <v>0</v>
      </c>
      <c r="I62" s="372">
        <f>Input!$LL$10</f>
        <v>0</v>
      </c>
      <c r="J62" s="372">
        <f>Input!$LM$10</f>
        <v>0</v>
      </c>
      <c r="K62" s="372">
        <f>Input!$LN$10</f>
        <v>0</v>
      </c>
      <c r="L62" s="372">
        <f>Input!$LO$10</f>
        <v>0</v>
      </c>
      <c r="M62" s="373">
        <f t="shared" si="11"/>
        <v>7278431</v>
      </c>
      <c r="N62" s="160"/>
      <c r="O62" s="440">
        <f t="shared" si="12"/>
        <v>7278431</v>
      </c>
      <c r="P62" s="518">
        <f>Input!$SU$10</f>
        <v>29181</v>
      </c>
      <c r="Q62" s="441" t="s">
        <v>259</v>
      </c>
      <c r="R62" s="302" t="s">
        <v>259</v>
      </c>
      <c r="S62" s="442"/>
      <c r="T62" s="296">
        <f t="shared" si="13"/>
        <v>7278431</v>
      </c>
      <c r="U62" s="297">
        <f t="shared" si="14"/>
        <v>29181</v>
      </c>
      <c r="V62" s="299">
        <f>Input!$TE$10</f>
        <v>0</v>
      </c>
      <c r="W62" s="299">
        <f>Input!$TM$10</f>
        <v>0</v>
      </c>
      <c r="X62" s="303">
        <f t="shared" si="15"/>
        <v>7307612</v>
      </c>
      <c r="Z62" s="292" t="s">
        <v>16</v>
      </c>
      <c r="AA62" s="518">
        <f>Input!$TU$10</f>
        <v>7278431</v>
      </c>
      <c r="AB62" s="301">
        <f t="shared" si="16"/>
        <v>0</v>
      </c>
    </row>
    <row r="63" spans="1:28">
      <c r="A63" s="184">
        <v>46</v>
      </c>
      <c r="B63" s="160" t="s">
        <v>17</v>
      </c>
      <c r="C63" s="160"/>
      <c r="D63" s="372">
        <f>Input!$LP$10</f>
        <v>13376168</v>
      </c>
      <c r="E63" s="372">
        <f>Input!$LQ$10</f>
        <v>28780079</v>
      </c>
      <c r="F63" s="372">
        <f>Input!$LR$10</f>
        <v>0</v>
      </c>
      <c r="G63" s="372">
        <f>Input!$LS$10</f>
        <v>5169329</v>
      </c>
      <c r="H63" s="372">
        <f>Input!$LT$10</f>
        <v>0</v>
      </c>
      <c r="I63" s="372">
        <f>Input!$LU$10</f>
        <v>0</v>
      </c>
      <c r="J63" s="372">
        <f>Input!$LV$10</f>
        <v>0</v>
      </c>
      <c r="K63" s="372">
        <f>Input!$LW$10</f>
        <v>0</v>
      </c>
      <c r="L63" s="372">
        <f>Input!$LX$10</f>
        <v>0</v>
      </c>
      <c r="M63" s="373">
        <f t="shared" si="11"/>
        <v>47325576</v>
      </c>
      <c r="N63" s="160"/>
      <c r="O63" s="440">
        <f t="shared" si="12"/>
        <v>47325576</v>
      </c>
      <c r="P63" s="518">
        <f>Input!$SV$10</f>
        <v>5736049</v>
      </c>
      <c r="Q63" s="441" t="s">
        <v>259</v>
      </c>
      <c r="R63" s="295">
        <f t="shared" ref="R63:R65" si="17">SUM(O63:P63)</f>
        <v>53061625</v>
      </c>
      <c r="S63" s="442"/>
      <c r="T63" s="296">
        <f t="shared" si="13"/>
        <v>47325576</v>
      </c>
      <c r="U63" s="297">
        <f t="shared" si="14"/>
        <v>5736049</v>
      </c>
      <c r="V63" s="299">
        <f>Input!$TF$10</f>
        <v>0</v>
      </c>
      <c r="W63" s="299">
        <f>Input!$TN$10</f>
        <v>0</v>
      </c>
      <c r="X63" s="303">
        <f t="shared" si="15"/>
        <v>53061625</v>
      </c>
      <c r="Z63" s="292" t="s">
        <v>17</v>
      </c>
      <c r="AA63" s="518">
        <f>Input!$TV$10</f>
        <v>47325576</v>
      </c>
      <c r="AB63" s="301">
        <f t="shared" si="16"/>
        <v>0</v>
      </c>
    </row>
    <row r="64" spans="1:28">
      <c r="A64" s="184">
        <v>47</v>
      </c>
      <c r="B64" s="160" t="s">
        <v>18</v>
      </c>
      <c r="C64" s="160"/>
      <c r="D64" s="372">
        <f>Input!$LY$10</f>
        <v>7253361</v>
      </c>
      <c r="E64" s="372">
        <f>Input!$LZ$10</f>
        <v>12501876</v>
      </c>
      <c r="F64" s="372">
        <f>Input!$MA$10</f>
        <v>0</v>
      </c>
      <c r="G64" s="372">
        <f>Input!$MB$10</f>
        <v>20024783</v>
      </c>
      <c r="H64" s="372">
        <f>Input!$MC$10</f>
        <v>-539663</v>
      </c>
      <c r="I64" s="372">
        <f>Input!$MD$10</f>
        <v>0</v>
      </c>
      <c r="J64" s="372">
        <f>Input!$ME$10</f>
        <v>0</v>
      </c>
      <c r="K64" s="372">
        <f>Input!$MF$10</f>
        <v>0</v>
      </c>
      <c r="L64" s="372">
        <f>Input!$MG$10</f>
        <v>0</v>
      </c>
      <c r="M64" s="373">
        <f t="shared" si="11"/>
        <v>39240357</v>
      </c>
      <c r="N64" s="160"/>
      <c r="O64" s="440">
        <f t="shared" si="12"/>
        <v>39780020</v>
      </c>
      <c r="P64" s="518">
        <f>Input!$SW$10</f>
        <v>20760</v>
      </c>
      <c r="Q64" s="518">
        <f>Input!$TB$10</f>
        <v>0</v>
      </c>
      <c r="R64" s="295">
        <f>SUM(O64:P64)-Q64</f>
        <v>39800780</v>
      </c>
      <c r="S64" s="442"/>
      <c r="T64" s="296">
        <f t="shared" si="13"/>
        <v>39780020</v>
      </c>
      <c r="U64" s="297">
        <f t="shared" si="14"/>
        <v>20760</v>
      </c>
      <c r="V64" s="299">
        <f>Input!$TG$10</f>
        <v>0</v>
      </c>
      <c r="W64" s="299">
        <f>Input!$TO$10</f>
        <v>0</v>
      </c>
      <c r="X64" s="303">
        <f t="shared" si="15"/>
        <v>39800780</v>
      </c>
      <c r="Z64" s="292" t="s">
        <v>18</v>
      </c>
      <c r="AA64" s="518">
        <f>Input!$TW$10</f>
        <v>39240357</v>
      </c>
      <c r="AB64" s="301">
        <f t="shared" si="16"/>
        <v>0</v>
      </c>
    </row>
    <row r="65" spans="1:28">
      <c r="A65" s="184">
        <v>48</v>
      </c>
      <c r="B65" s="160" t="s">
        <v>19</v>
      </c>
      <c r="C65" s="160"/>
      <c r="D65" s="372">
        <f>Input!$MH$10</f>
        <v>14312885</v>
      </c>
      <c r="E65" s="372">
        <f>Input!$MI$10</f>
        <v>22658074</v>
      </c>
      <c r="F65" s="372">
        <f>Input!$MJ$10</f>
        <v>0</v>
      </c>
      <c r="G65" s="372">
        <f>Input!$MK$10</f>
        <v>633902</v>
      </c>
      <c r="H65" s="372">
        <f>Input!$ML$10</f>
        <v>0</v>
      </c>
      <c r="I65" s="372">
        <f>Input!$MM$10</f>
        <v>0</v>
      </c>
      <c r="J65" s="372">
        <f>Input!$MN$10</f>
        <v>0</v>
      </c>
      <c r="K65" s="372">
        <f>Input!$MO$10</f>
        <v>0</v>
      </c>
      <c r="L65" s="372">
        <f>Input!$MP$10</f>
        <v>0</v>
      </c>
      <c r="M65" s="373">
        <f t="shared" si="11"/>
        <v>37604861</v>
      </c>
      <c r="N65" s="160"/>
      <c r="O65" s="440">
        <f t="shared" si="12"/>
        <v>37604861</v>
      </c>
      <c r="P65" s="518">
        <f>Input!$SX$10</f>
        <v>237483</v>
      </c>
      <c r="Q65" s="441" t="s">
        <v>259</v>
      </c>
      <c r="R65" s="295">
        <f t="shared" si="17"/>
        <v>37842344</v>
      </c>
      <c r="S65" s="442"/>
      <c r="T65" s="296">
        <f t="shared" si="13"/>
        <v>37604861</v>
      </c>
      <c r="U65" s="297">
        <f t="shared" si="14"/>
        <v>237483</v>
      </c>
      <c r="V65" s="299">
        <f>Input!$TH$10</f>
        <v>0</v>
      </c>
      <c r="W65" s="299">
        <f>Input!$TP$10</f>
        <v>0</v>
      </c>
      <c r="X65" s="303">
        <f t="shared" si="15"/>
        <v>37842344</v>
      </c>
      <c r="Z65" s="292" t="s">
        <v>19</v>
      </c>
      <c r="AA65" s="518">
        <f>Input!$TX$10</f>
        <v>37604861</v>
      </c>
      <c r="AB65" s="301">
        <f t="shared" si="16"/>
        <v>0</v>
      </c>
    </row>
    <row r="66" spans="1:28">
      <c r="A66" s="184">
        <v>49</v>
      </c>
      <c r="B66" s="160" t="s">
        <v>20</v>
      </c>
      <c r="C66" s="160"/>
      <c r="D66" s="372">
        <f>Input!$MQ$10</f>
        <v>10200781</v>
      </c>
      <c r="E66" s="372">
        <f>Input!$MR$10</f>
        <v>23657679</v>
      </c>
      <c r="F66" s="372">
        <f>Input!$MS$10</f>
        <v>0</v>
      </c>
      <c r="G66" s="372">
        <f>Input!$MT$10</f>
        <v>62670</v>
      </c>
      <c r="H66" s="372">
        <f>Input!$MU$10</f>
        <v>0</v>
      </c>
      <c r="I66" s="372">
        <f>Input!$MV$10</f>
        <v>0</v>
      </c>
      <c r="J66" s="372">
        <f>Input!$MW$10</f>
        <v>2517358</v>
      </c>
      <c r="K66" s="372">
        <f>Input!$MX$10</f>
        <v>0</v>
      </c>
      <c r="L66" s="372">
        <f>Input!$MY$10</f>
        <v>0</v>
      </c>
      <c r="M66" s="373">
        <f t="shared" si="11"/>
        <v>36438488</v>
      </c>
      <c r="N66" s="160"/>
      <c r="O66" s="440">
        <f t="shared" si="12"/>
        <v>36438488</v>
      </c>
      <c r="P66" s="518">
        <f>Input!$SY$10</f>
        <v>400867</v>
      </c>
      <c r="Q66" s="441" t="s">
        <v>259</v>
      </c>
      <c r="R66" s="304" t="s">
        <v>259</v>
      </c>
      <c r="S66" s="442"/>
      <c r="T66" s="296">
        <f t="shared" si="13"/>
        <v>33921130</v>
      </c>
      <c r="U66" s="297">
        <f t="shared" si="14"/>
        <v>400867</v>
      </c>
      <c r="V66" s="299">
        <f>Input!$TI$10</f>
        <v>0</v>
      </c>
      <c r="W66" s="299">
        <f>Input!$TQ$10</f>
        <v>0</v>
      </c>
      <c r="X66" s="303">
        <f t="shared" si="15"/>
        <v>34321997</v>
      </c>
      <c r="Z66" s="292" t="s">
        <v>260</v>
      </c>
      <c r="AA66" s="518">
        <f>Input!$TY$10</f>
        <v>36438488</v>
      </c>
      <c r="AB66" s="301">
        <f t="shared" si="16"/>
        <v>0</v>
      </c>
    </row>
    <row r="67" spans="1:28" ht="13.5" thickBot="1">
      <c r="A67" s="184">
        <v>50</v>
      </c>
      <c r="B67" s="160" t="s">
        <v>21</v>
      </c>
      <c r="C67" s="160"/>
      <c r="D67" s="372">
        <f>Input!$MZ$10</f>
        <v>13574115</v>
      </c>
      <c r="E67" s="372">
        <f>Input!$NA$10</f>
        <v>952814</v>
      </c>
      <c r="F67" s="372">
        <f>Input!$NB$10</f>
        <v>0</v>
      </c>
      <c r="G67" s="372">
        <f>Input!$NC$10</f>
        <v>101039776</v>
      </c>
      <c r="H67" s="372">
        <f>Input!$ND$10</f>
        <v>0</v>
      </c>
      <c r="I67" s="372">
        <f>Input!$NE$10</f>
        <v>0</v>
      </c>
      <c r="J67" s="372">
        <f>Input!$NF$10</f>
        <v>0</v>
      </c>
      <c r="K67" s="372">
        <f>Input!$NG$10</f>
        <v>0</v>
      </c>
      <c r="L67" s="372">
        <f>Input!$NH$10</f>
        <v>0</v>
      </c>
      <c r="M67" s="373">
        <f t="shared" si="11"/>
        <v>115566705</v>
      </c>
      <c r="N67" s="160"/>
      <c r="O67" s="440">
        <f t="shared" si="12"/>
        <v>115566705</v>
      </c>
      <c r="P67" s="518">
        <f>Input!$SZ$10</f>
        <v>6399</v>
      </c>
      <c r="Q67" s="441" t="s">
        <v>259</v>
      </c>
      <c r="R67" s="304" t="s">
        <v>259</v>
      </c>
      <c r="S67" s="442"/>
      <c r="T67" s="306">
        <f t="shared" si="13"/>
        <v>115566705</v>
      </c>
      <c r="U67" s="307">
        <f t="shared" si="14"/>
        <v>6399</v>
      </c>
      <c r="V67" s="308">
        <f>Input!$TJ$10</f>
        <v>0</v>
      </c>
      <c r="W67" s="308">
        <f>Input!$TR$10</f>
        <v>0</v>
      </c>
      <c r="X67" s="303">
        <f>U67+T67-V67-W67</f>
        <v>115573104</v>
      </c>
      <c r="Z67" s="292" t="s">
        <v>21</v>
      </c>
      <c r="AA67" s="518">
        <f>Input!$TZ$10</f>
        <v>115566705</v>
      </c>
      <c r="AB67" s="301">
        <f t="shared" si="16"/>
        <v>0</v>
      </c>
    </row>
    <row r="68" spans="1:28" ht="14.25" thickTop="1" thickBot="1">
      <c r="A68" s="184">
        <v>51</v>
      </c>
      <c r="B68" s="160" t="s">
        <v>2135</v>
      </c>
      <c r="C68" s="160"/>
      <c r="D68" s="372">
        <f>Input!$NI$10</f>
        <v>0</v>
      </c>
      <c r="E68" s="372">
        <f>Input!$NJ$10</f>
        <v>1490634</v>
      </c>
      <c r="F68" s="372">
        <f>Input!$NK$10</f>
        <v>21884278</v>
      </c>
      <c r="G68" s="372">
        <f>Input!$NL$10</f>
        <v>172681</v>
      </c>
      <c r="H68" s="372">
        <f>Input!$NM$10</f>
        <v>0</v>
      </c>
      <c r="I68" s="372">
        <f>Input!$NN$10</f>
        <v>0</v>
      </c>
      <c r="J68" s="372">
        <f>Input!$NO$10</f>
        <v>0</v>
      </c>
      <c r="K68" s="372">
        <f>Input!$NP$10</f>
        <v>0</v>
      </c>
      <c r="L68" s="372">
        <f>Input!$NQ$10</f>
        <v>0</v>
      </c>
      <c r="M68" s="373">
        <f t="shared" si="11"/>
        <v>23547593</v>
      </c>
      <c r="N68" s="160"/>
      <c r="O68" s="309" t="s">
        <v>259</v>
      </c>
      <c r="P68" s="519">
        <f>Input!$TA$10</f>
        <v>27998</v>
      </c>
      <c r="Q68" s="444" t="s">
        <v>259</v>
      </c>
      <c r="R68" s="311" t="s">
        <v>259</v>
      </c>
      <c r="S68" s="442"/>
      <c r="T68" s="305"/>
      <c r="U68" s="305"/>
      <c r="V68" s="312" t="s">
        <v>261</v>
      </c>
      <c r="W68" s="313"/>
      <c r="X68" s="314">
        <f>SUM(X60:X67)</f>
        <v>459906255</v>
      </c>
      <c r="Z68" s="292" t="s">
        <v>22</v>
      </c>
      <c r="AA68" s="518">
        <f>Input!$UA$10</f>
        <v>23547593</v>
      </c>
      <c r="AB68" s="301">
        <f t="shared" si="16"/>
        <v>0</v>
      </c>
    </row>
    <row r="69" spans="1:28" ht="14.25" thickTop="1" thickBot="1">
      <c r="A69" s="184">
        <v>52</v>
      </c>
      <c r="B69" s="161" t="s">
        <v>59</v>
      </c>
      <c r="C69" s="161"/>
      <c r="D69" s="372">
        <f>Input!$NR$10</f>
        <v>161916</v>
      </c>
      <c r="E69" s="372">
        <f>Input!$NS$10</f>
        <v>4973006</v>
      </c>
      <c r="F69" s="372">
        <f>Input!$NT$10</f>
        <v>27998</v>
      </c>
      <c r="G69" s="372">
        <f>Input!$NU$10</f>
        <v>3252506</v>
      </c>
      <c r="H69" s="372">
        <f>Input!$NV$10</f>
        <v>0</v>
      </c>
      <c r="I69" s="372">
        <f>Input!$NW$10</f>
        <v>0</v>
      </c>
      <c r="J69" s="372">
        <f>Input!$NX$10</f>
        <v>0</v>
      </c>
      <c r="K69" s="372">
        <f>Input!$NY$10</f>
        <v>0</v>
      </c>
      <c r="L69" s="372">
        <f>Input!$NZ$10</f>
        <v>0</v>
      </c>
      <c r="M69" s="373">
        <f t="shared" si="11"/>
        <v>8415426</v>
      </c>
      <c r="N69" s="160"/>
      <c r="O69" s="315"/>
      <c r="P69" s="316">
        <f>SUM(P60:P68)</f>
        <v>8415426</v>
      </c>
      <c r="Q69" s="316">
        <f>SUM(Q64:Q68)</f>
        <v>0</v>
      </c>
      <c r="R69" s="317">
        <f>SUM(R60:R65)</f>
        <v>303305317</v>
      </c>
      <c r="S69" s="316"/>
      <c r="T69" s="305"/>
      <c r="U69" s="305"/>
      <c r="V69" s="305"/>
      <c r="W69" s="277"/>
      <c r="X69" s="277"/>
      <c r="Y69" s="277"/>
      <c r="Z69" s="292" t="s">
        <v>285</v>
      </c>
      <c r="AA69" s="445">
        <f>M88*-1</f>
        <v>42000621</v>
      </c>
      <c r="AB69" s="301">
        <f>AA69+M88</f>
        <v>0</v>
      </c>
    </row>
    <row r="70" spans="1:28" ht="14.25" thickTop="1" thickBot="1">
      <c r="A70" s="184">
        <v>53</v>
      </c>
      <c r="B70" s="178" t="s">
        <v>44</v>
      </c>
      <c r="C70" s="178"/>
      <c r="D70" s="378">
        <f>Input!$OA$10</f>
        <v>0</v>
      </c>
      <c r="E70" s="378">
        <f>Input!$OB$10</f>
        <v>0</v>
      </c>
      <c r="F70" s="378">
        <f>Input!$OC$10</f>
        <v>0</v>
      </c>
      <c r="G70" s="378">
        <f>Input!$OD$10</f>
        <v>0</v>
      </c>
      <c r="H70" s="378">
        <f>Input!$OE$10</f>
        <v>0</v>
      </c>
      <c r="I70" s="378">
        <f>Input!$OF$10</f>
        <v>0</v>
      </c>
      <c r="J70" s="378">
        <f>Input!$OG$10</f>
        <v>0</v>
      </c>
      <c r="K70" s="378">
        <f>Input!$OH$10</f>
        <v>0</v>
      </c>
      <c r="L70" s="378">
        <f>Input!$OI$10</f>
        <v>0</v>
      </c>
      <c r="M70" s="373">
        <f t="shared" si="11"/>
        <v>0</v>
      </c>
      <c r="N70" s="160"/>
      <c r="O70" s="320"/>
      <c r="P70" s="516" t="str">
        <f>IF(P69&lt;&gt;M69,"Out of Balance","Balanced")</f>
        <v>Balanced</v>
      </c>
      <c r="Q70" s="318"/>
      <c r="R70" s="305"/>
      <c r="S70" s="305"/>
      <c r="T70" s="305"/>
      <c r="U70" s="277"/>
      <c r="V70" s="1738" t="str">
        <f>IF(X68-INT(X68)&lt;&gt;0,"Whole Dollars Only","")</f>
        <v/>
      </c>
      <c r="W70" s="1738"/>
      <c r="X70" s="537"/>
      <c r="Y70" s="319"/>
      <c r="Z70" s="410" t="s">
        <v>262</v>
      </c>
      <c r="AA70" s="446" t="s">
        <v>259</v>
      </c>
      <c r="AB70" s="411">
        <f>M90</f>
        <v>0</v>
      </c>
    </row>
    <row r="71" spans="1:28" ht="13.5" thickTop="1">
      <c r="A71" s="184">
        <v>54</v>
      </c>
      <c r="B71" s="162" t="s">
        <v>69</v>
      </c>
      <c r="C71" s="162"/>
      <c r="D71" s="374">
        <f>SUM(D60:D70)</f>
        <v>172254225</v>
      </c>
      <c r="E71" s="374">
        <f>SUM(E60:E70)</f>
        <v>135600040</v>
      </c>
      <c r="F71" s="374">
        <f t="shared" ref="F71:L71" si="18">SUM(F60:F70)</f>
        <v>21912276</v>
      </c>
      <c r="G71" s="374">
        <f t="shared" si="18"/>
        <v>154317080</v>
      </c>
      <c r="H71" s="374">
        <f t="shared" si="18"/>
        <v>-539663</v>
      </c>
      <c r="I71" s="374">
        <f t="shared" si="18"/>
        <v>0</v>
      </c>
      <c r="J71" s="374">
        <f t="shared" si="18"/>
        <v>2517358</v>
      </c>
      <c r="K71" s="374">
        <f t="shared" si="18"/>
        <v>0</v>
      </c>
      <c r="L71" s="374">
        <f t="shared" si="18"/>
        <v>0</v>
      </c>
      <c r="M71" s="374">
        <f t="shared" si="11"/>
        <v>486061316</v>
      </c>
      <c r="N71" s="160"/>
      <c r="O71" s="322"/>
      <c r="P71" s="1738" t="str">
        <f>IF(P69-INT(P69)&lt;&gt;0,"Whole Dollars Only","")</f>
        <v/>
      </c>
      <c r="Q71" s="1738"/>
      <c r="R71" s="323"/>
      <c r="S71" s="323"/>
      <c r="T71" s="323"/>
      <c r="U71" s="291"/>
      <c r="V71" s="324"/>
      <c r="W71" s="321"/>
      <c r="X71" s="321"/>
      <c r="Y71" s="321"/>
      <c r="Z71" s="318"/>
      <c r="AA71" s="325">
        <f>SUM(AA60:AA70)</f>
        <v>519646511</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Input!$OJ$10</f>
        <v>0</v>
      </c>
      <c r="E74" s="372">
        <f>Input!$OK$10</f>
        <v>0</v>
      </c>
      <c r="F74" s="372">
        <f>Input!$OL$10</f>
        <v>0</v>
      </c>
      <c r="G74" s="372">
        <f>Input!$OM$10</f>
        <v>0</v>
      </c>
      <c r="H74" s="372">
        <f>Input!$ON$10</f>
        <v>0</v>
      </c>
      <c r="I74" s="372">
        <f>Input!$OO$10</f>
        <v>0</v>
      </c>
      <c r="J74" s="372">
        <f>Input!$OP$10</f>
        <v>-23701910</v>
      </c>
      <c r="K74" s="372">
        <f>Input!$OQ$10</f>
        <v>0</v>
      </c>
      <c r="L74" s="372">
        <f>Input!$OR$10</f>
        <v>0</v>
      </c>
      <c r="M74" s="373">
        <f>D74+E74+F74+G74+H74+I74+J74+K74+L74</f>
        <v>-23701910</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Input!$OS$10</f>
        <v>3036252</v>
      </c>
      <c r="E75" s="372">
        <f>Input!$OT$10</f>
        <v>20146579</v>
      </c>
      <c r="F75" s="372">
        <f>Input!$OU$10</f>
        <v>10903166</v>
      </c>
      <c r="G75" s="372">
        <f>Input!$OV$10</f>
        <v>-92463265</v>
      </c>
      <c r="H75" s="372">
        <f>Input!$OW$10</f>
        <v>753982</v>
      </c>
      <c r="I75" s="372">
        <f>Input!$OX$10</f>
        <v>40009940</v>
      </c>
      <c r="J75" s="372">
        <f>Input!$OY$10</f>
        <v>15387463</v>
      </c>
      <c r="K75" s="372">
        <f>Input!$OZ$10</f>
        <v>0</v>
      </c>
      <c r="L75" s="372">
        <f>Input!$PA$10</f>
        <v>14395</v>
      </c>
      <c r="M75" s="373">
        <f>D75+E75+F75+G75+H75+I75+J75+K75+L75</f>
        <v>-2211488</v>
      </c>
      <c r="N75" s="160"/>
      <c r="O75" s="1723" t="str">
        <f>IF(M85&lt;0,"Footnote 11 is N/A - No Data Entry Required","Footnote 11")</f>
        <v>Footnote 11</v>
      </c>
      <c r="P75" s="1724"/>
      <c r="Q75" s="1724"/>
      <c r="R75" s="1725"/>
      <c r="S75" s="330"/>
      <c r="T75" s="330"/>
      <c r="U75" s="327"/>
      <c r="V75" s="276"/>
      <c r="W75" s="331"/>
      <c r="X75" s="331"/>
      <c r="Y75" s="328"/>
      <c r="Z75" s="328"/>
      <c r="AA75" s="276"/>
      <c r="AB75" s="276" t="s">
        <v>293</v>
      </c>
    </row>
    <row r="76" spans="1:28" ht="13.5" thickTop="1">
      <c r="A76" s="184">
        <v>59</v>
      </c>
      <c r="B76" s="160" t="s">
        <v>45</v>
      </c>
      <c r="C76" s="160"/>
      <c r="D76" s="372">
        <f>Input!$PB$10</f>
        <v>0</v>
      </c>
      <c r="E76" s="372">
        <f>Input!$PC$10</f>
        <v>0</v>
      </c>
      <c r="F76" s="372">
        <f>Input!$PD$10</f>
        <v>0</v>
      </c>
      <c r="G76" s="372">
        <f>Input!$PE$10</f>
        <v>0</v>
      </c>
      <c r="H76" s="372">
        <f>Input!$PF$10</f>
        <v>0</v>
      </c>
      <c r="I76" s="372">
        <f>Input!$PG$10</f>
        <v>0</v>
      </c>
      <c r="J76" s="372">
        <f>Input!$PH$10</f>
        <v>34597718</v>
      </c>
      <c r="K76" s="372">
        <f>Input!$PI$10</f>
        <v>0</v>
      </c>
      <c r="L76" s="372">
        <f>Input!$PJ$10</f>
        <v>0</v>
      </c>
      <c r="M76" s="373">
        <f>D76+E76+F76+G76+H76+I76+J76+K76+L76</f>
        <v>34597718</v>
      </c>
      <c r="N76" s="160"/>
      <c r="O76" s="487" t="s">
        <v>583</v>
      </c>
      <c r="P76" s="488"/>
      <c r="Q76" s="489"/>
      <c r="R76" s="490">
        <f>IF($M$85&lt;0,"N/A",$M$85)</f>
        <v>156420075</v>
      </c>
      <c r="S76" s="330"/>
      <c r="T76" s="330"/>
      <c r="U76" s="327"/>
      <c r="V76" s="276"/>
      <c r="W76" s="331"/>
      <c r="X76" s="331"/>
      <c r="Y76" s="331"/>
      <c r="Z76" s="331"/>
      <c r="AA76" s="276"/>
      <c r="AB76" s="276"/>
    </row>
    <row r="77" spans="1:28">
      <c r="A77" s="184">
        <v>60</v>
      </c>
      <c r="B77" s="160" t="s">
        <v>46</v>
      </c>
      <c r="C77" s="160"/>
      <c r="D77" s="372">
        <f>Input!$PK$10</f>
        <v>-18020350</v>
      </c>
      <c r="E77" s="372">
        <f>Input!$PL$10</f>
        <v>-744396</v>
      </c>
      <c r="F77" s="372">
        <f>Input!$PM$10</f>
        <v>-1408840</v>
      </c>
      <c r="G77" s="372">
        <f>Input!$PN$10</f>
        <v>0</v>
      </c>
      <c r="H77" s="372">
        <f>Input!$PO$10</f>
        <v>0</v>
      </c>
      <c r="I77" s="372">
        <f>Input!$PP$10</f>
        <v>0</v>
      </c>
      <c r="J77" s="372">
        <f>Input!$PQ$10</f>
        <v>0</v>
      </c>
      <c r="K77" s="372">
        <f>Input!$PR$10</f>
        <v>0</v>
      </c>
      <c r="L77" s="372">
        <f>Input!$PS$10</f>
        <v>0</v>
      </c>
      <c r="M77" s="373">
        <f>D77+E77+F77+G77+H77+I77+J77+K77+L77</f>
        <v>-20173586</v>
      </c>
      <c r="N77" s="160"/>
      <c r="O77" s="491" t="s">
        <v>584</v>
      </c>
      <c r="P77" s="334"/>
      <c r="Q77" s="334"/>
      <c r="R77" s="521">
        <f>Input!$UB$10</f>
        <v>110797424</v>
      </c>
      <c r="S77" s="330"/>
      <c r="T77" s="330"/>
      <c r="U77" s="327"/>
      <c r="V77" s="276"/>
      <c r="W77" s="331"/>
      <c r="X77" s="331"/>
      <c r="Y77" s="331"/>
      <c r="Z77" s="331"/>
      <c r="AA77" s="276"/>
      <c r="AB77" s="276"/>
    </row>
    <row r="78" spans="1:28">
      <c r="A78" s="184">
        <v>61</v>
      </c>
      <c r="B78" s="162" t="s">
        <v>3</v>
      </c>
      <c r="C78" s="162"/>
      <c r="D78" s="374">
        <f t="shared" ref="D78:L78" si="19">SUM(D74:D77)</f>
        <v>-14984098</v>
      </c>
      <c r="E78" s="374">
        <f t="shared" si="19"/>
        <v>19402183</v>
      </c>
      <c r="F78" s="374">
        <f t="shared" si="19"/>
        <v>9494326</v>
      </c>
      <c r="G78" s="374">
        <f t="shared" si="19"/>
        <v>-92463265</v>
      </c>
      <c r="H78" s="374">
        <f t="shared" si="19"/>
        <v>753982</v>
      </c>
      <c r="I78" s="374">
        <f t="shared" si="19"/>
        <v>40009940</v>
      </c>
      <c r="J78" s="374">
        <f t="shared" si="19"/>
        <v>26283271</v>
      </c>
      <c r="K78" s="374">
        <f t="shared" si="19"/>
        <v>0</v>
      </c>
      <c r="L78" s="374">
        <f t="shared" si="19"/>
        <v>14395</v>
      </c>
      <c r="M78" s="374">
        <f>D78+E78+F78+G78+H78+I78+J78+K78+L78</f>
        <v>-11489266</v>
      </c>
      <c r="N78" s="160"/>
      <c r="O78" s="491" t="s">
        <v>585</v>
      </c>
      <c r="P78" s="276"/>
      <c r="Q78" s="334"/>
      <c r="R78" s="492">
        <f>IF($M$85&lt;0,"",$R$76-$R$77)</f>
        <v>45622651</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3"/>
      <c r="P79" s="276"/>
      <c r="Q79" s="334"/>
      <c r="R79" s="494"/>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5" t="s">
        <v>586</v>
      </c>
      <c r="P80" s="276"/>
      <c r="Q80" s="334"/>
      <c r="R80" s="521">
        <f>Input!$UC$10</f>
        <v>32231372</v>
      </c>
      <c r="S80" s="330"/>
      <c r="T80" s="330"/>
      <c r="U80" s="334"/>
      <c r="V80" s="276"/>
      <c r="W80" s="328"/>
      <c r="X80" s="328"/>
      <c r="Y80" s="331"/>
      <c r="Z80" s="331"/>
      <c r="AA80" s="276"/>
      <c r="AB80" s="276"/>
    </row>
    <row r="81" spans="1:28">
      <c r="A81" s="184">
        <v>64</v>
      </c>
      <c r="B81" s="160" t="s">
        <v>47</v>
      </c>
      <c r="C81" s="160"/>
      <c r="D81" s="372">
        <f>Input!$PT$10</f>
        <v>0</v>
      </c>
      <c r="E81" s="372">
        <f>Input!$PU$10</f>
        <v>10545330</v>
      </c>
      <c r="F81" s="372">
        <f>Input!$PV$10</f>
        <v>1767447</v>
      </c>
      <c r="G81" s="372">
        <f>Input!$PW$10</f>
        <v>257414</v>
      </c>
      <c r="H81" s="372">
        <f>Input!$PX$10</f>
        <v>91225</v>
      </c>
      <c r="I81" s="372">
        <f>Input!$PY$10</f>
        <v>18891890</v>
      </c>
      <c r="J81" s="372">
        <f>Input!$PZ$10</f>
        <v>678066</v>
      </c>
      <c r="K81" s="372">
        <f>Input!$QA$10</f>
        <v>0</v>
      </c>
      <c r="L81" s="372">
        <f>Input!$QB$10</f>
        <v>0</v>
      </c>
      <c r="M81" s="373">
        <f>D81+E81+F81+G81+H81+I81+J81+K81+L81</f>
        <v>32231372</v>
      </c>
      <c r="N81" s="160"/>
      <c r="O81" s="496" t="s">
        <v>587</v>
      </c>
      <c r="P81" s="276"/>
      <c r="Q81" s="276"/>
      <c r="R81" s="497"/>
      <c r="S81" s="330"/>
      <c r="T81" s="330"/>
      <c r="W81" s="276"/>
      <c r="X81" s="276"/>
      <c r="Y81" s="331"/>
      <c r="Z81" s="331"/>
      <c r="AA81" s="276"/>
      <c r="AB81" s="276"/>
    </row>
    <row r="82" spans="1:28">
      <c r="A82" s="184">
        <v>65</v>
      </c>
      <c r="B82" s="160" t="s">
        <v>48</v>
      </c>
      <c r="C82" s="160"/>
      <c r="D82" s="372">
        <f>Input!$QC$10</f>
        <v>0</v>
      </c>
      <c r="E82" s="372">
        <f>Input!$QD$10</f>
        <v>0</v>
      </c>
      <c r="F82" s="372">
        <f>Input!$QE$10</f>
        <v>0</v>
      </c>
      <c r="G82" s="372">
        <f>Input!$QF$10</f>
        <v>0</v>
      </c>
      <c r="H82" s="372">
        <f>Input!$QG$10</f>
        <v>0</v>
      </c>
      <c r="I82" s="372">
        <f>Input!$QH$10</f>
        <v>4638362</v>
      </c>
      <c r="J82" s="372">
        <f>Input!$QI$10</f>
        <v>0</v>
      </c>
      <c r="K82" s="372">
        <f>Input!$QJ$10</f>
        <v>0</v>
      </c>
      <c r="L82" s="372">
        <f>Input!$QK$10</f>
        <v>0</v>
      </c>
      <c r="M82" s="373">
        <f>D82+E82+F82+G82+H82+I82+J82+K82+L82</f>
        <v>4638362</v>
      </c>
      <c r="N82" s="160"/>
      <c r="O82" s="498" t="s">
        <v>588</v>
      </c>
      <c r="P82" s="276"/>
      <c r="Q82" s="276"/>
      <c r="R82" s="492">
        <f>IFERROR($R$78-$R$80,"")</f>
        <v>13391279</v>
      </c>
      <c r="Y82" s="331"/>
      <c r="Z82" s="401"/>
      <c r="AA82" s="268"/>
      <c r="AB82" s="268"/>
    </row>
    <row r="83" spans="1:28">
      <c r="A83" s="184">
        <v>66</v>
      </c>
      <c r="B83" s="162" t="s">
        <v>3</v>
      </c>
      <c r="C83" s="162"/>
      <c r="D83" s="374">
        <f t="shared" ref="D83:L83" si="20">SUM(D81:D82)</f>
        <v>0</v>
      </c>
      <c r="E83" s="374">
        <f t="shared" si="20"/>
        <v>10545330</v>
      </c>
      <c r="F83" s="374">
        <f t="shared" si="20"/>
        <v>1767447</v>
      </c>
      <c r="G83" s="374">
        <f t="shared" si="20"/>
        <v>257414</v>
      </c>
      <c r="H83" s="374">
        <f t="shared" si="20"/>
        <v>91225</v>
      </c>
      <c r="I83" s="374">
        <f t="shared" si="20"/>
        <v>23530252</v>
      </c>
      <c r="J83" s="374">
        <f t="shared" si="20"/>
        <v>678066</v>
      </c>
      <c r="K83" s="374">
        <f t="shared" si="20"/>
        <v>0</v>
      </c>
      <c r="L83" s="374">
        <f t="shared" si="20"/>
        <v>0</v>
      </c>
      <c r="M83" s="374">
        <f>D83+E83+F83+G83+H83+I83+J83+K83+L83</f>
        <v>36869734</v>
      </c>
      <c r="N83" s="160"/>
      <c r="O83" s="493"/>
      <c r="P83" s="276"/>
      <c r="Q83" s="276"/>
      <c r="R83" s="497"/>
      <c r="Y83" s="163"/>
      <c r="Z83" s="447"/>
      <c r="AA83" s="439"/>
      <c r="AB83" s="448"/>
    </row>
    <row r="84" spans="1:28" ht="13.5" thickBot="1">
      <c r="A84" s="184">
        <v>67</v>
      </c>
      <c r="B84" s="160"/>
      <c r="C84" s="160"/>
      <c r="D84" s="373"/>
      <c r="E84" s="373"/>
      <c r="F84" s="373"/>
      <c r="G84" s="373"/>
      <c r="H84" s="373"/>
      <c r="I84" s="373"/>
      <c r="J84" s="373"/>
      <c r="K84" s="373"/>
      <c r="L84" s="373"/>
      <c r="M84" s="373"/>
      <c r="N84" s="160"/>
      <c r="O84" s="499" t="s">
        <v>589</v>
      </c>
      <c r="P84" s="500"/>
      <c r="Q84" s="500"/>
      <c r="R84" s="501">
        <f>IFERROR((R82+R80)-R78,"")</f>
        <v>0</v>
      </c>
      <c r="Y84" s="268"/>
      <c r="Z84" s="447"/>
      <c r="AA84" s="439"/>
      <c r="AB84" s="449"/>
    </row>
    <row r="85" spans="1:28" ht="13.5" thickTop="1">
      <c r="A85" s="184">
        <v>68</v>
      </c>
      <c r="B85" s="162" t="s">
        <v>574</v>
      </c>
      <c r="C85" s="162"/>
      <c r="D85" s="374">
        <f t="shared" ref="D85:L85" si="21">D57-D71+D78+D83</f>
        <v>-2311688</v>
      </c>
      <c r="E85" s="374">
        <f t="shared" si="21"/>
        <v>64303052</v>
      </c>
      <c r="F85" s="374">
        <f t="shared" si="21"/>
        <v>5851482</v>
      </c>
      <c r="G85" s="374">
        <f t="shared" si="21"/>
        <v>-1543126</v>
      </c>
      <c r="H85" s="374">
        <f t="shared" si="21"/>
        <v>1995161</v>
      </c>
      <c r="I85" s="374">
        <f t="shared" si="21"/>
        <v>63578727</v>
      </c>
      <c r="J85" s="374">
        <f t="shared" si="21"/>
        <v>24655743</v>
      </c>
      <c r="K85" s="374">
        <f t="shared" si="21"/>
        <v>0</v>
      </c>
      <c r="L85" s="374">
        <f t="shared" si="21"/>
        <v>-109276</v>
      </c>
      <c r="M85" s="374">
        <f>D85+E85+F85+G85+H85+I85+J85+K85+L85</f>
        <v>156420075</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Input!$QL$10</f>
        <v>0</v>
      </c>
      <c r="E87" s="372">
        <f>Input!$QM$10</f>
        <v>0</v>
      </c>
      <c r="F87" s="372">
        <f>Input!$QN$10</f>
        <v>0</v>
      </c>
      <c r="G87" s="372">
        <f>Input!$QO$10</f>
        <v>0</v>
      </c>
      <c r="H87" s="372">
        <f>Input!$QP$10</f>
        <v>0</v>
      </c>
      <c r="I87" s="372">
        <f>Input!$QQ$10</f>
        <v>0</v>
      </c>
      <c r="J87" s="372">
        <f>Input!$QR$10</f>
        <v>0</v>
      </c>
      <c r="K87" s="372">
        <f>Input!$QS$10</f>
        <v>0</v>
      </c>
      <c r="L87" s="372">
        <f>Input!$QT$10</f>
        <v>0</v>
      </c>
      <c r="M87" s="329">
        <f t="shared" ref="M87:M93" si="22">D87+E87+F87+G87+H87+I87+J87+K87+L87</f>
        <v>0</v>
      </c>
      <c r="N87" s="160"/>
      <c r="Y87" s="268"/>
      <c r="Z87" s="447"/>
      <c r="AA87" s="439"/>
      <c r="AB87" s="449"/>
    </row>
    <row r="88" spans="1:28">
      <c r="A88" s="184">
        <v>72</v>
      </c>
      <c r="B88" s="160" t="s">
        <v>66</v>
      </c>
      <c r="C88" s="160"/>
      <c r="D88" s="372">
        <f>Input!$QU$10</f>
        <v>0</v>
      </c>
      <c r="E88" s="372">
        <f>Input!$QV$10</f>
        <v>0</v>
      </c>
      <c r="F88" s="372">
        <f>Input!$QW$10</f>
        <v>0</v>
      </c>
      <c r="G88" s="372">
        <f>Input!$QX$10</f>
        <v>0</v>
      </c>
      <c r="H88" s="372">
        <f>Input!$QY$10</f>
        <v>0</v>
      </c>
      <c r="I88" s="372">
        <f>Input!$QZ$10</f>
        <v>0</v>
      </c>
      <c r="J88" s="372">
        <f>Input!$RA$10</f>
        <v>0</v>
      </c>
      <c r="K88" s="372">
        <f>Input!$RB$10</f>
        <v>0</v>
      </c>
      <c r="L88" s="372">
        <f>Input!$RC$10</f>
        <v>-42000621</v>
      </c>
      <c r="M88" s="373">
        <f t="shared" si="22"/>
        <v>-42000621</v>
      </c>
      <c r="N88" s="160"/>
      <c r="O88" s="270"/>
      <c r="P88" s="335"/>
      <c r="Y88" s="268"/>
      <c r="Z88" s="447"/>
      <c r="AA88" s="439"/>
      <c r="AB88" s="449"/>
    </row>
    <row r="89" spans="1:28" s="264" customFormat="1">
      <c r="A89" s="263"/>
      <c r="B89" s="171" t="s">
        <v>216</v>
      </c>
      <c r="C89" s="171"/>
      <c r="D89" s="372">
        <f>Input!$RD$10</f>
        <v>0</v>
      </c>
      <c r="E89" s="372">
        <f>Input!$RE$10</f>
        <v>0</v>
      </c>
      <c r="F89" s="372">
        <f>Input!$RF$10</f>
        <v>0</v>
      </c>
      <c r="G89" s="372">
        <f>Input!$RG$10</f>
        <v>0</v>
      </c>
      <c r="H89" s="372">
        <f>Input!$RH$10</f>
        <v>0</v>
      </c>
      <c r="I89" s="372">
        <f>Input!$RI$10</f>
        <v>0</v>
      </c>
      <c r="J89" s="372">
        <f>Input!$RJ$10</f>
        <v>0</v>
      </c>
      <c r="K89" s="372">
        <f>Input!$RK$10</f>
        <v>0</v>
      </c>
      <c r="L89" s="372">
        <f>Input!$RL$10</f>
        <v>0</v>
      </c>
      <c r="M89" s="373">
        <f t="shared" si="22"/>
        <v>0</v>
      </c>
      <c r="N89" s="160"/>
      <c r="O89" s="1726" t="s">
        <v>1355</v>
      </c>
      <c r="P89" s="1727"/>
      <c r="Q89" s="1727"/>
      <c r="R89" s="1727"/>
      <c r="S89" s="1727"/>
      <c r="T89" s="1727"/>
      <c r="U89" s="1728"/>
      <c r="Y89" s="268"/>
      <c r="Z89" s="447"/>
      <c r="AA89" s="439"/>
      <c r="AB89" s="449"/>
    </row>
    <row r="90" spans="1:28" s="264" customFormat="1">
      <c r="A90" s="263"/>
      <c r="B90" s="171" t="s">
        <v>105</v>
      </c>
      <c r="C90" s="171"/>
      <c r="D90" s="372">
        <f>Input!$RM$10</f>
        <v>0</v>
      </c>
      <c r="E90" s="372">
        <f>Input!$RN$10</f>
        <v>0</v>
      </c>
      <c r="F90" s="372">
        <f>Input!$RO$10</f>
        <v>0</v>
      </c>
      <c r="G90" s="372">
        <f>Input!$RP$10</f>
        <v>0</v>
      </c>
      <c r="H90" s="372">
        <f>Input!$RQ$10</f>
        <v>0</v>
      </c>
      <c r="I90" s="372">
        <f>Input!$RR$10</f>
        <v>0</v>
      </c>
      <c r="J90" s="372">
        <f>Input!$RS$10</f>
        <v>0</v>
      </c>
      <c r="K90" s="372">
        <f>Input!$RT$10</f>
        <v>0</v>
      </c>
      <c r="L90" s="372">
        <f>Input!$RU$10</f>
        <v>0</v>
      </c>
      <c r="M90" s="373">
        <f t="shared" si="22"/>
        <v>0</v>
      </c>
      <c r="N90" s="160"/>
      <c r="O90" s="502" t="s">
        <v>590</v>
      </c>
      <c r="P90" s="423"/>
      <c r="Q90" s="502" t="s">
        <v>591</v>
      </c>
      <c r="R90" s="423"/>
      <c r="S90" s="503"/>
      <c r="T90" s="502" t="s">
        <v>592</v>
      </c>
      <c r="U90" s="423"/>
      <c r="Y90" s="268"/>
      <c r="Z90" s="447"/>
      <c r="AA90" s="439"/>
      <c r="AB90" s="449"/>
    </row>
    <row r="91" spans="1:28" s="264" customFormat="1">
      <c r="A91" s="263"/>
      <c r="B91" s="171" t="s">
        <v>128</v>
      </c>
      <c r="C91" s="171"/>
      <c r="D91" s="372">
        <f>Input!$RV$10</f>
        <v>0</v>
      </c>
      <c r="E91" s="372">
        <f>Input!$RW$10</f>
        <v>0</v>
      </c>
      <c r="F91" s="372">
        <f>Input!$RX$10</f>
        <v>0</v>
      </c>
      <c r="G91" s="372">
        <f>Input!$RY$10</f>
        <v>0</v>
      </c>
      <c r="H91" s="372">
        <f>Input!$RZ$10</f>
        <v>0</v>
      </c>
      <c r="I91" s="372">
        <f>Input!$SA$10</f>
        <v>0</v>
      </c>
      <c r="J91" s="372">
        <f>Input!$SB$10</f>
        <v>0</v>
      </c>
      <c r="K91" s="372">
        <f>Input!$SC$10</f>
        <v>0</v>
      </c>
      <c r="L91" s="372">
        <f>Input!$SD$10</f>
        <v>-54186</v>
      </c>
      <c r="M91" s="373">
        <f t="shared" si="22"/>
        <v>-54186</v>
      </c>
      <c r="N91" s="160"/>
      <c r="O91" s="504"/>
      <c r="P91" s="505"/>
      <c r="Q91" s="504"/>
      <c r="R91" s="426"/>
      <c r="S91" s="276"/>
      <c r="T91" s="506"/>
      <c r="U91" s="426"/>
      <c r="Y91" s="268"/>
      <c r="Z91" s="447"/>
      <c r="AA91" s="439"/>
      <c r="AB91" s="449"/>
    </row>
    <row r="92" spans="1:28" s="264" customFormat="1">
      <c r="A92" s="263"/>
      <c r="B92" s="160" t="s">
        <v>67</v>
      </c>
      <c r="C92" s="160"/>
      <c r="D92" s="372">
        <f>Input!$SE$10</f>
        <v>0</v>
      </c>
      <c r="E92" s="372">
        <f>Input!$SF$10</f>
        <v>0</v>
      </c>
      <c r="F92" s="372">
        <f>Input!$SG$10</f>
        <v>0</v>
      </c>
      <c r="G92" s="372">
        <f>Input!$SH$10</f>
        <v>0</v>
      </c>
      <c r="H92" s="372">
        <f>Input!$SI$10</f>
        <v>0</v>
      </c>
      <c r="I92" s="372">
        <f>Input!$SJ$10</f>
        <v>0</v>
      </c>
      <c r="J92" s="372">
        <f>Input!$SK$10</f>
        <v>0</v>
      </c>
      <c r="K92" s="372">
        <f>Input!$SL$10</f>
        <v>0</v>
      </c>
      <c r="L92" s="372">
        <f>Input!$SM$10</f>
        <v>32117337</v>
      </c>
      <c r="M92" s="373">
        <f t="shared" si="22"/>
        <v>32117337</v>
      </c>
      <c r="N92" s="160"/>
      <c r="O92" s="1729" t="str">
        <f>Input!UF$10</f>
        <v>Lilia M. St. Clair</v>
      </c>
      <c r="P92" s="1730"/>
      <c r="Q92" s="1729" t="str">
        <f>Input!$UG$10</f>
        <v>956-665-7906</v>
      </c>
      <c r="R92" s="1730"/>
      <c r="S92" s="276"/>
      <c r="T92" s="1731" t="str">
        <f>HYPERLINK("Mailto:"&amp;Input!$UH$10,Input!$UH$10)</f>
        <v>lilia.stclair@utrgv.edu</v>
      </c>
      <c r="U92" s="1730"/>
      <c r="Y92" s="268"/>
      <c r="Z92" s="447"/>
      <c r="AA92" s="442"/>
      <c r="AB92" s="449"/>
    </row>
    <row r="93" spans="1:28" ht="13.5" thickBot="1">
      <c r="B93" s="179" t="s">
        <v>58</v>
      </c>
      <c r="C93" s="179"/>
      <c r="D93" s="380">
        <f t="shared" ref="D93:K93" si="23">SUM(D85:D92)</f>
        <v>-2311688</v>
      </c>
      <c r="E93" s="380">
        <f t="shared" si="23"/>
        <v>64303052</v>
      </c>
      <c r="F93" s="380">
        <f t="shared" si="23"/>
        <v>5851482</v>
      </c>
      <c r="G93" s="380">
        <f t="shared" si="23"/>
        <v>-1543126</v>
      </c>
      <c r="H93" s="380">
        <f t="shared" si="23"/>
        <v>1995161</v>
      </c>
      <c r="I93" s="380">
        <f t="shared" si="23"/>
        <v>63578727</v>
      </c>
      <c r="J93" s="380">
        <f t="shared" si="23"/>
        <v>24655743</v>
      </c>
      <c r="K93" s="380">
        <f t="shared" si="23"/>
        <v>0</v>
      </c>
      <c r="L93" s="380">
        <f>SUM(L85:L92)</f>
        <v>-10046746</v>
      </c>
      <c r="M93" s="380">
        <f t="shared" si="22"/>
        <v>146482605</v>
      </c>
      <c r="N93" s="160"/>
      <c r="O93" s="506"/>
      <c r="P93" s="507"/>
      <c r="Q93" s="276"/>
      <c r="R93" s="276"/>
      <c r="S93" s="276"/>
      <c r="T93" s="507"/>
      <c r="U93" s="508"/>
      <c r="Y93" s="268"/>
      <c r="Z93" s="447"/>
      <c r="AA93" s="442"/>
      <c r="AB93" s="449"/>
    </row>
    <row r="94" spans="1:28" ht="13.5" thickTop="1">
      <c r="C94" s="160"/>
      <c r="D94" s="165"/>
      <c r="E94" s="165"/>
      <c r="F94" s="165"/>
      <c r="G94" s="165"/>
      <c r="H94" s="165"/>
      <c r="I94" s="165"/>
      <c r="J94" s="165"/>
      <c r="K94" s="165"/>
      <c r="L94" s="165"/>
      <c r="M94" s="180"/>
      <c r="N94" s="160"/>
      <c r="O94" s="1720" t="s">
        <v>593</v>
      </c>
      <c r="P94" s="1721"/>
      <c r="Q94" s="1721"/>
      <c r="R94" s="1721"/>
      <c r="S94" s="1721"/>
      <c r="T94" s="1721"/>
      <c r="U94" s="1722"/>
      <c r="Y94" s="268"/>
      <c r="Z94" s="451"/>
      <c r="AA94" s="442"/>
      <c r="AB94" s="449"/>
    </row>
    <row r="95" spans="1:28">
      <c r="B95" s="171" t="s">
        <v>1369</v>
      </c>
      <c r="C95" s="169"/>
      <c r="D95" s="165"/>
      <c r="E95" s="165"/>
      <c r="F95" s="165"/>
      <c r="G95" s="165"/>
      <c r="H95" s="165"/>
      <c r="I95" s="165"/>
      <c r="J95" s="165"/>
      <c r="K95" s="165"/>
      <c r="L95" s="165"/>
      <c r="M95" s="180"/>
      <c r="N95" s="160"/>
      <c r="O95" s="1720"/>
      <c r="P95" s="1721"/>
      <c r="Q95" s="1721"/>
      <c r="R95" s="1721"/>
      <c r="S95" s="1721"/>
      <c r="T95" s="1721"/>
      <c r="U95" s="1722"/>
      <c r="Y95" s="268"/>
      <c r="Z95" s="452"/>
      <c r="AA95" s="453"/>
      <c r="AB95" s="454"/>
    </row>
    <row r="96" spans="1:28">
      <c r="B96" s="169" t="s">
        <v>80</v>
      </c>
      <c r="C96" s="160"/>
      <c r="D96" s="165"/>
      <c r="E96" s="165"/>
      <c r="F96" s="165"/>
      <c r="G96" s="165"/>
      <c r="H96" s="165"/>
      <c r="I96" s="165"/>
      <c r="J96" s="165"/>
      <c r="K96" s="165"/>
      <c r="L96" s="165"/>
      <c r="M96" s="180"/>
      <c r="N96" s="160"/>
      <c r="O96" s="509"/>
      <c r="P96" s="510"/>
      <c r="Q96" s="511"/>
      <c r="R96" s="511"/>
      <c r="S96" s="511"/>
      <c r="T96" s="510"/>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Input!$SN$10</f>
        <v>146482605</v>
      </c>
      <c r="N100" s="160"/>
      <c r="Y100" s="336"/>
      <c r="Z100" s="336"/>
      <c r="AA100" s="336"/>
      <c r="AB100" s="336"/>
    </row>
    <row r="101" spans="2:28">
      <c r="B101" s="160" t="s">
        <v>92</v>
      </c>
      <c r="C101" s="160"/>
      <c r="D101" s="182"/>
      <c r="E101" s="182"/>
      <c r="F101" s="182"/>
      <c r="G101" s="182"/>
      <c r="H101" s="182"/>
      <c r="I101" s="182"/>
      <c r="J101" s="182"/>
      <c r="K101" s="182"/>
      <c r="L101" s="183"/>
      <c r="M101" s="342">
        <f>M93-M100</f>
        <v>0</v>
      </c>
      <c r="N101" s="160"/>
    </row>
    <row r="102" spans="2:28" ht="13.5" customHeight="1">
      <c r="B102" s="160"/>
      <c r="C102" s="160"/>
      <c r="D102" s="182"/>
      <c r="E102" s="182"/>
      <c r="F102" s="182"/>
      <c r="G102" s="182"/>
      <c r="H102" s="182"/>
      <c r="I102" s="182"/>
      <c r="J102" s="182"/>
      <c r="K102" s="182"/>
      <c r="L102" s="513" t="str">
        <f>IF($L$118&lt;&gt;Input!$F$10,"Out of Balance","Balanced")</f>
        <v>Balanced</v>
      </c>
      <c r="M102" s="517" t="str">
        <f>IF(M100&lt;&gt;M93,"Out of Balance","Balanced")</f>
        <v>Balanced</v>
      </c>
      <c r="N102" s="160"/>
    </row>
    <row r="103" spans="2:28">
      <c r="B103" s="160"/>
      <c r="C103" s="160"/>
      <c r="D103" s="160"/>
      <c r="E103" s="160"/>
      <c r="F103" s="160"/>
      <c r="G103" s="160"/>
      <c r="H103" s="160"/>
      <c r="I103" s="160"/>
      <c r="J103" s="160"/>
      <c r="K103" s="160"/>
      <c r="L103" s="160"/>
      <c r="M103" s="160"/>
      <c r="N103" s="160"/>
    </row>
    <row r="104" spans="2:28">
      <c r="B104" s="160"/>
      <c r="C104" s="160"/>
      <c r="D104" s="160"/>
      <c r="E104" s="160"/>
      <c r="F104" s="160"/>
      <c r="G104" s="160"/>
      <c r="H104" s="160"/>
      <c r="I104" s="160"/>
      <c r="J104" s="160"/>
      <c r="K104" s="160"/>
      <c r="L104" s="160"/>
      <c r="M104" s="160"/>
      <c r="N104" s="160"/>
    </row>
    <row r="105" spans="2:28">
      <c r="B105" s="261"/>
      <c r="C105" s="261"/>
      <c r="D105" s="373">
        <f>SUM($D$10:$D$14)+SUM($D$19:$D$28)+SUM($D$32:$D$41)+$D$47+SUM($D$50:$D$55)+SUM($D$60:$D$70)+SUM($D$74:$D$77)+SUM($D$81:$D$82)+SUM($D$87:$D$92)</f>
        <v>334229421</v>
      </c>
      <c r="E105" s="373">
        <f>SUM($E$10:$E$14)+SUM($E$19:$E$28)+SUM($E$32:$E$41)+$E$47+SUM($E$50:$E$55)+SUM($E$60:$E$70)+SUM($E$74:$E$77)+SUM($E$81:$E$82)+SUM($E$87:$E$92)</f>
        <v>335497674</v>
      </c>
      <c r="F105" s="373">
        <f>SUM($F$10:$F$14)+SUM($F$19:$F$28)+SUM($F$32:$F$41)+$F$47+SUM($F$50:$F$55)+SUM($F$60:$F$70)+SUM($F$74:$F$77)+SUM($F$81:$F$82)+SUM($F$87:$F$92)</f>
        <v>49676034</v>
      </c>
      <c r="G105" s="373">
        <f>SUM($G$10:$G$14)+SUM($G$19:$G$28)+SUM($G$32:$G$41)+$G$47+SUM($G$50:$G$55)+SUM($G$60:$G$70)+SUM($G$74:$G$77)+SUM($G$81:$G$82)+SUM($G$87:$G$92)</f>
        <v>307091034</v>
      </c>
      <c r="H105" s="373">
        <f>SUM($H$10:$H$14)+SUM($H$19:$H$28)+SUM($H$32:$H$41)+$H$47+SUM($H$50:$H$55)+SUM($H$60:$H$70)+SUM($H$74:$H$77)+SUM($H$81:$H$82)+SUM($H$87:$H$92)</f>
        <v>915835</v>
      </c>
      <c r="I105" s="373">
        <f>SUM($I$10:$I$14)+SUM($I$19:$I$28)+SUM($I$32:$I$41)+$I$47+SUM($I$50:$I$55)+SUM($I$60:$I$70)+SUM($I$74:$I$77)+SUM($I$81:$I$82)+SUM($I$87:$I$92)</f>
        <v>63578727</v>
      </c>
      <c r="J105" s="373">
        <f>SUM($J$10:$J$14)+SUM($J$19:$J$28)+SUM($J$32:$J$41)+$J$47+SUM($J$50:$J$55)+SUM($J$60:$J$70)+SUM($J$74:$J$77)+SUM($J$81:$J$82)+SUM($J$87:$J$92)</f>
        <v>29690459</v>
      </c>
      <c r="K105" s="373">
        <f>SUM($K$10:$K$14)+SUM($K$19:$K$28)+SUM($K$32:$K$41)+$K$47+SUM($K$50:$K$55)+SUM($K$60:$K$70)+SUM($K$74:$K$77)+SUM($K$81:$K$82)+SUM($K$87:$K$92)</f>
        <v>0</v>
      </c>
      <c r="L105" s="373">
        <f>SUM($L$10:$L$14)+SUM($L$19:$L$28)+SUM($L$32:$L$41)+$L$47+SUM($L$50:$L$55)+SUM($L$60:$L$70)+SUM($L$74:$L$77)+SUM($L$81:$L$82)+SUM($L$87:$L$92)</f>
        <v>-10046746</v>
      </c>
      <c r="M105" s="373"/>
      <c r="N105" s="264"/>
      <c r="P105" s="450">
        <f>M18-INT(M18)</f>
        <v>0</v>
      </c>
    </row>
    <row r="106" spans="2:28">
      <c r="B106" s="261"/>
      <c r="C106" s="261"/>
      <c r="D106" s="261"/>
      <c r="E106" s="261"/>
      <c r="F106" s="261"/>
      <c r="G106" s="261"/>
      <c r="H106" s="261"/>
      <c r="I106" s="261"/>
      <c r="J106" s="261"/>
      <c r="K106" s="261"/>
      <c r="L106" s="373">
        <f>SUM($D$105:$L$105)</f>
        <v>1110632438</v>
      </c>
      <c r="M106" s="373"/>
      <c r="N106" s="264"/>
      <c r="P106" s="450">
        <f>M31-INT(M31)</f>
        <v>0</v>
      </c>
    </row>
    <row r="107" spans="2:28">
      <c r="B107" s="261"/>
      <c r="C107" s="261"/>
      <c r="D107" s="261"/>
      <c r="E107" s="261"/>
      <c r="F107" s="261"/>
      <c r="G107" s="261"/>
      <c r="H107" s="261"/>
      <c r="I107" s="261"/>
      <c r="J107" s="261" t="s">
        <v>1299</v>
      </c>
      <c r="K107" s="261"/>
      <c r="L107" s="373">
        <f>$M$100</f>
        <v>146482605</v>
      </c>
      <c r="M107" s="373"/>
      <c r="N107" s="264"/>
      <c r="P107" s="450">
        <f>M93-INT(M93)</f>
        <v>0</v>
      </c>
    </row>
    <row r="108" spans="2:28">
      <c r="B108" s="261"/>
      <c r="C108" s="261"/>
      <c r="D108" s="261"/>
      <c r="E108" s="261"/>
      <c r="F108" s="261"/>
      <c r="G108" s="261"/>
      <c r="H108" s="261"/>
      <c r="I108" s="261"/>
      <c r="J108" s="261" t="s">
        <v>1300</v>
      </c>
      <c r="K108" s="261"/>
      <c r="L108" s="512">
        <f>$Q$32</f>
        <v>277275091</v>
      </c>
      <c r="M108" s="512"/>
      <c r="N108" s="264"/>
    </row>
    <row r="109" spans="2:28">
      <c r="B109" s="261" t="s">
        <v>1126</v>
      </c>
      <c r="C109" s="261"/>
      <c r="D109" s="261"/>
      <c r="E109" s="261"/>
      <c r="F109" s="261"/>
      <c r="G109" s="261"/>
      <c r="H109" s="261"/>
      <c r="I109" s="261"/>
      <c r="J109" s="261" t="s">
        <v>1300</v>
      </c>
      <c r="K109" s="261"/>
      <c r="L109" s="512">
        <f>$R$34</f>
        <v>-137356154</v>
      </c>
      <c r="M109" s="512"/>
      <c r="N109" s="264"/>
      <c r="P109" s="261"/>
      <c r="Q109" s="261"/>
      <c r="R109" s="261"/>
      <c r="S109" s="261"/>
      <c r="T109" s="261"/>
      <c r="U109" s="261"/>
      <c r="V109" s="261"/>
      <c r="W109" s="261"/>
      <c r="X109" s="261"/>
    </row>
    <row r="110" spans="2:28">
      <c r="B110" s="261"/>
      <c r="C110" s="261"/>
      <c r="D110" s="261"/>
      <c r="E110" s="261"/>
      <c r="F110" s="261"/>
      <c r="G110" s="261"/>
      <c r="H110" s="261"/>
      <c r="I110" s="261"/>
      <c r="J110" s="261" t="s">
        <v>29</v>
      </c>
      <c r="K110" s="261"/>
      <c r="L110" s="512">
        <f>SUM($P$60:$P$68)</f>
        <v>8415426</v>
      </c>
      <c r="M110" s="512"/>
      <c r="N110" s="264"/>
      <c r="P110" s="261"/>
      <c r="Q110" s="261"/>
      <c r="R110" s="261"/>
      <c r="S110" s="261"/>
      <c r="T110" s="261"/>
      <c r="U110" s="261"/>
      <c r="V110" s="261"/>
      <c r="W110" s="261"/>
      <c r="X110" s="261"/>
    </row>
    <row r="111" spans="2:28" ht="13.5" customHeight="1">
      <c r="B111" s="261"/>
      <c r="C111" s="261"/>
      <c r="D111" s="261"/>
      <c r="E111" s="261"/>
      <c r="F111" s="261"/>
      <c r="G111" s="261"/>
      <c r="H111" s="261"/>
      <c r="I111" s="261"/>
      <c r="J111" s="261" t="s">
        <v>594</v>
      </c>
      <c r="K111" s="261"/>
      <c r="L111" s="373">
        <f>$Q$64</f>
        <v>0</v>
      </c>
      <c r="M111" s="373"/>
      <c r="N111" s="264"/>
      <c r="P111" s="261"/>
      <c r="Q111" s="261"/>
      <c r="R111" s="261"/>
      <c r="S111" s="261"/>
      <c r="T111" s="261"/>
      <c r="U111" s="261"/>
      <c r="V111" s="261"/>
      <c r="W111" s="261"/>
      <c r="X111" s="261"/>
    </row>
    <row r="112" spans="2:28">
      <c r="B112" s="261"/>
      <c r="C112" s="261"/>
      <c r="D112" s="261"/>
      <c r="E112" s="261"/>
      <c r="F112" s="261"/>
      <c r="G112" s="261"/>
      <c r="H112" s="261"/>
      <c r="I112" s="261"/>
      <c r="J112" s="261" t="s">
        <v>595</v>
      </c>
      <c r="K112" s="261"/>
      <c r="L112" s="512">
        <f>SUM($V$60:$V$67)</f>
        <v>601775</v>
      </c>
      <c r="M112" s="512"/>
      <c r="N112" s="264"/>
      <c r="P112" s="261"/>
      <c r="Q112" s="261"/>
      <c r="R112" s="261"/>
      <c r="S112" s="261"/>
      <c r="T112" s="261"/>
      <c r="U112" s="261"/>
      <c r="V112" s="261"/>
      <c r="W112" s="261"/>
      <c r="X112" s="261"/>
    </row>
    <row r="113" spans="2:24">
      <c r="B113" s="261"/>
      <c r="C113" s="261"/>
      <c r="D113" s="261"/>
      <c r="E113" s="261"/>
      <c r="F113" s="261"/>
      <c r="G113" s="261"/>
      <c r="H113" s="261"/>
      <c r="I113" s="261"/>
      <c r="J113" s="261" t="s">
        <v>596</v>
      </c>
      <c r="K113" s="261"/>
      <c r="L113" s="512">
        <f>SUM($W$60:$W$67)</f>
        <v>0</v>
      </c>
      <c r="M113" s="512"/>
      <c r="N113" s="264"/>
      <c r="P113" s="261"/>
      <c r="Q113" s="261"/>
      <c r="R113" s="261"/>
      <c r="S113" s="261"/>
      <c r="T113" s="261"/>
      <c r="U113" s="261"/>
      <c r="V113" s="261"/>
      <c r="W113" s="261"/>
      <c r="X113" s="261"/>
    </row>
    <row r="114" spans="2:24">
      <c r="B114" s="261"/>
      <c r="C114" s="261"/>
      <c r="D114" s="261"/>
      <c r="E114" s="261"/>
      <c r="F114" s="261"/>
      <c r="G114" s="261"/>
      <c r="H114" s="261"/>
      <c r="I114" s="261"/>
      <c r="J114" s="261" t="s">
        <v>258</v>
      </c>
      <c r="K114" s="261"/>
      <c r="L114" s="512">
        <f>SUM($AA$60:$AA$68)</f>
        <v>477645890</v>
      </c>
      <c r="M114" s="512"/>
      <c r="N114" s="264"/>
      <c r="P114" s="261"/>
      <c r="Q114" s="261"/>
      <c r="R114" s="261"/>
      <c r="S114" s="261"/>
      <c r="T114" s="261"/>
      <c r="U114" s="261"/>
      <c r="V114" s="261"/>
      <c r="W114" s="261"/>
      <c r="X114" s="261"/>
    </row>
    <row r="115" spans="2:24">
      <c r="B115" s="261"/>
      <c r="C115" s="261"/>
      <c r="D115" s="261"/>
      <c r="E115" s="261"/>
      <c r="F115" s="261"/>
      <c r="G115" s="261"/>
      <c r="H115" s="261"/>
      <c r="I115" s="261"/>
      <c r="J115" s="261" t="s">
        <v>597</v>
      </c>
      <c r="K115" s="261"/>
      <c r="L115" s="512">
        <f>$R$77</f>
        <v>110797424</v>
      </c>
      <c r="M115" s="512"/>
      <c r="N115" s="264"/>
      <c r="P115" s="261"/>
      <c r="Q115" s="261"/>
      <c r="R115" s="261"/>
      <c r="S115" s="261"/>
      <c r="T115" s="261"/>
      <c r="U115" s="261"/>
      <c r="V115" s="261"/>
      <c r="W115" s="261"/>
      <c r="X115" s="261"/>
    </row>
    <row r="116" spans="2:24">
      <c r="B116" s="261"/>
      <c r="C116" s="261"/>
      <c r="D116" s="261"/>
      <c r="E116" s="261"/>
      <c r="F116" s="261"/>
      <c r="G116" s="261"/>
      <c r="H116" s="261"/>
      <c r="I116" s="261"/>
      <c r="J116" s="261" t="s">
        <v>597</v>
      </c>
      <c r="K116" s="261"/>
      <c r="L116" s="512">
        <f>$R$80</f>
        <v>32231372</v>
      </c>
      <c r="M116" s="512"/>
      <c r="N116" s="264"/>
      <c r="P116" s="261"/>
      <c r="Q116" s="261"/>
      <c r="R116" s="261"/>
      <c r="S116" s="261"/>
      <c r="T116" s="261"/>
      <c r="U116" s="261"/>
      <c r="V116" s="261"/>
      <c r="W116" s="261"/>
      <c r="X116" s="261"/>
    </row>
    <row r="117" spans="2:24">
      <c r="B117" s="261"/>
      <c r="C117" s="261"/>
      <c r="D117" s="261"/>
      <c r="E117" s="261"/>
      <c r="F117" s="261"/>
      <c r="G117" s="261"/>
      <c r="H117" s="261"/>
      <c r="I117" s="261"/>
      <c r="J117" s="261" t="s">
        <v>1231</v>
      </c>
      <c r="K117" s="261"/>
      <c r="L117" s="1008">
        <f>VLOOKUP(B2,Names!B5:$C$87,2,FALSE)</f>
        <v>3599</v>
      </c>
      <c r="M117" s="342"/>
      <c r="N117" s="264"/>
      <c r="P117" s="261"/>
      <c r="Q117" s="261"/>
      <c r="R117" s="261"/>
      <c r="S117" s="261"/>
      <c r="T117" s="261"/>
      <c r="U117" s="261"/>
      <c r="V117" s="261"/>
      <c r="W117" s="261"/>
      <c r="X117" s="261"/>
    </row>
    <row r="118" spans="2:24">
      <c r="B118" s="261"/>
      <c r="C118" s="261"/>
      <c r="D118" s="261"/>
      <c r="E118" s="261"/>
      <c r="F118" s="261"/>
      <c r="G118" s="261"/>
      <c r="H118" s="261"/>
      <c r="I118" s="261"/>
      <c r="J118" s="261"/>
      <c r="K118" s="261"/>
      <c r="L118" s="373">
        <f>SUM(L106:L117)</f>
        <v>2026729466</v>
      </c>
      <c r="M118" s="261"/>
      <c r="N118" s="264"/>
      <c r="P118" s="261"/>
      <c r="Q118" s="261"/>
      <c r="R118" s="261"/>
      <c r="S118" s="261"/>
      <c r="T118" s="261"/>
      <c r="U118" s="261"/>
      <c r="V118" s="261"/>
      <c r="W118" s="261"/>
      <c r="X118" s="261"/>
    </row>
    <row r="119" spans="2:24">
      <c r="B119" s="261"/>
      <c r="C119" s="261"/>
      <c r="D119" s="261"/>
      <c r="E119" s="261"/>
      <c r="F119" s="261"/>
      <c r="G119" s="261"/>
      <c r="H119" s="261"/>
      <c r="I119" s="261"/>
      <c r="J119" s="261"/>
      <c r="K119" s="261"/>
      <c r="L119" s="261"/>
      <c r="M119" s="261"/>
      <c r="N119" s="264"/>
      <c r="P119" s="261"/>
      <c r="Q119" s="261"/>
      <c r="R119" s="261"/>
      <c r="S119" s="261"/>
      <c r="T119" s="261"/>
      <c r="U119" s="261"/>
      <c r="V119" s="261"/>
      <c r="W119" s="261"/>
      <c r="X119" s="261"/>
    </row>
    <row r="120" spans="2:24">
      <c r="B120" s="261"/>
      <c r="C120" s="261"/>
      <c r="D120" s="261"/>
      <c r="E120" s="261"/>
      <c r="F120" s="261"/>
      <c r="G120" s="261"/>
      <c r="H120" s="261"/>
      <c r="I120" s="261"/>
      <c r="J120" s="160"/>
      <c r="K120" s="160"/>
      <c r="L120" s="160"/>
      <c r="M120" s="261"/>
      <c r="N120" s="264"/>
      <c r="P120" s="261"/>
      <c r="Q120" s="261"/>
      <c r="R120" s="261"/>
      <c r="S120" s="261"/>
      <c r="T120" s="261"/>
      <c r="U120" s="261"/>
      <c r="V120" s="261"/>
      <c r="W120" s="261"/>
      <c r="X120" s="261"/>
    </row>
    <row r="121" spans="2:24">
      <c r="B121" s="261"/>
      <c r="C121" s="261"/>
      <c r="D121" s="261"/>
      <c r="E121" s="261"/>
      <c r="F121" s="261"/>
      <c r="G121" s="261"/>
      <c r="H121" s="261"/>
      <c r="I121" s="261"/>
      <c r="J121" s="160"/>
      <c r="K121" s="160"/>
      <c r="L121" s="160"/>
      <c r="M121" s="261"/>
      <c r="N121" s="264"/>
      <c r="P121" s="261"/>
      <c r="Q121" s="261"/>
      <c r="R121" s="261"/>
      <c r="S121" s="261"/>
      <c r="T121" s="261"/>
      <c r="U121" s="261"/>
      <c r="V121" s="261"/>
      <c r="W121" s="261"/>
      <c r="X121" s="261"/>
    </row>
    <row r="122" spans="2:24">
      <c r="B122" s="261"/>
      <c r="C122" s="261"/>
      <c r="D122" s="261"/>
      <c r="E122" s="261"/>
      <c r="F122" s="261"/>
      <c r="G122" s="261"/>
      <c r="H122" s="261"/>
      <c r="I122" s="261"/>
      <c r="J122" s="160"/>
      <c r="K122" s="160"/>
      <c r="L122" s="160"/>
      <c r="M122" s="261"/>
      <c r="N122" s="264"/>
      <c r="P122" s="261"/>
      <c r="Q122" s="261"/>
      <c r="R122" s="261"/>
      <c r="S122" s="261"/>
      <c r="T122" s="261"/>
      <c r="U122" s="261"/>
      <c r="V122" s="261"/>
      <c r="W122" s="261"/>
      <c r="X122" s="261"/>
    </row>
    <row r="123" spans="2:24">
      <c r="P123" s="261"/>
      <c r="Q123" s="261"/>
      <c r="R123" s="261"/>
      <c r="S123" s="261"/>
      <c r="T123" s="261"/>
      <c r="U123" s="261"/>
      <c r="V123" s="261"/>
      <c r="W123" s="261"/>
      <c r="X123" s="261"/>
    </row>
    <row r="124" spans="2:24">
      <c r="P124" s="261"/>
      <c r="Q124" s="261"/>
      <c r="R124" s="261"/>
      <c r="S124" s="261"/>
      <c r="T124" s="261"/>
      <c r="U124" s="261"/>
      <c r="V124" s="261"/>
      <c r="W124" s="261"/>
      <c r="X124" s="261"/>
    </row>
    <row r="125" spans="2:24">
      <c r="P125" s="261"/>
      <c r="Q125" s="261"/>
      <c r="R125" s="261"/>
      <c r="S125" s="261"/>
      <c r="T125" s="261"/>
      <c r="U125" s="261"/>
      <c r="V125" s="261"/>
      <c r="W125" s="261"/>
      <c r="X125" s="261"/>
    </row>
  </sheetData>
  <mergeCells count="31">
    <mergeCell ref="B2:F2"/>
    <mergeCell ref="B4:F4"/>
    <mergeCell ref="B5:F5"/>
    <mergeCell ref="P4:Q4"/>
    <mergeCell ref="G59:K59"/>
    <mergeCell ref="AA56:AA59"/>
    <mergeCell ref="Z55:AB55"/>
    <mergeCell ref="R56:R59"/>
    <mergeCell ref="O55:R55"/>
    <mergeCell ref="T55:X55"/>
    <mergeCell ref="X56:X59"/>
    <mergeCell ref="AB56:AB59"/>
    <mergeCell ref="O56:O59"/>
    <mergeCell ref="P56:P59"/>
    <mergeCell ref="Q56:Q59"/>
    <mergeCell ref="T56:T59"/>
    <mergeCell ref="U56:U59"/>
    <mergeCell ref="Z56:Z59"/>
    <mergeCell ref="O94:U95"/>
    <mergeCell ref="P10:P11"/>
    <mergeCell ref="O89:U89"/>
    <mergeCell ref="O92:P92"/>
    <mergeCell ref="Q92:R92"/>
    <mergeCell ref="T92:U92"/>
    <mergeCell ref="O19:R19"/>
    <mergeCell ref="T19:X19"/>
    <mergeCell ref="O75:R75"/>
    <mergeCell ref="W56:W59"/>
    <mergeCell ref="P71:Q71"/>
    <mergeCell ref="V70:W70"/>
    <mergeCell ref="V56:V59"/>
  </mergeCells>
  <conditionalFormatting sqref="U87:X88 O88:Q88">
    <cfRule type="cellIs" dxfId="1274" priority="313" stopIfTrue="1" operator="notEqual">
      <formula>#REF!</formula>
    </cfRule>
  </conditionalFormatting>
  <conditionalFormatting sqref="P70">
    <cfRule type="expression" dxfId="1273" priority="292">
      <formula>$P$69&lt;&gt;$M$69</formula>
    </cfRule>
  </conditionalFormatting>
  <conditionalFormatting sqref="AB72">
    <cfRule type="expression" dxfId="1272" priority="291">
      <formula>$AB$71&lt;&gt;0</formula>
    </cfRule>
  </conditionalFormatting>
  <conditionalFormatting sqref="P71">
    <cfRule type="expression" dxfId="1271" priority="290">
      <formula>P69-INT(P69)</formula>
    </cfRule>
  </conditionalFormatting>
  <conditionalFormatting sqref="V70">
    <cfRule type="expression" dxfId="1270" priority="288">
      <formula>X68-INT(X68)</formula>
    </cfRule>
  </conditionalFormatting>
  <conditionalFormatting sqref="O12">
    <cfRule type="expression" dxfId="1269" priority="279">
      <formula>$P$12&lt;&gt;$M$12</formula>
    </cfRule>
  </conditionalFormatting>
  <conditionalFormatting sqref="U87:U88 O88:Q88">
    <cfRule type="cellIs" dxfId="1268" priority="272" stopIfTrue="1" operator="notEqual">
      <formula>#REF!</formula>
    </cfRule>
  </conditionalFormatting>
  <conditionalFormatting sqref="R84">
    <cfRule type="expression" priority="270" stopIfTrue="1">
      <formula>$M$85&lt;0</formula>
    </cfRule>
    <cfRule type="expression" dxfId="1267" priority="271">
      <formula>$S$85&lt;&gt;0</formula>
    </cfRule>
  </conditionalFormatting>
  <conditionalFormatting sqref="R80 R77">
    <cfRule type="expression" dxfId="1266" priority="268" stopIfTrue="1">
      <formula>$M$85&gt;=0</formula>
    </cfRule>
    <cfRule type="expression" priority="269">
      <formula>$M$85&lt;0</formula>
    </cfRule>
  </conditionalFormatting>
  <conditionalFormatting sqref="U87:U88 O88:Q88">
    <cfRule type="cellIs" dxfId="1265" priority="267" stopIfTrue="1" operator="notEqual">
      <formula>#REF!</formula>
    </cfRule>
  </conditionalFormatting>
  <conditionalFormatting sqref="O13">
    <cfRule type="expression" dxfId="1264" priority="251">
      <formula>$P$13&lt;&gt;$M$13</formula>
    </cfRule>
  </conditionalFormatting>
  <conditionalFormatting sqref="U87:U88 O88:Q88">
    <cfRule type="cellIs" dxfId="1263" priority="250" stopIfTrue="1" operator="notEqual">
      <formula>#REF!</formula>
    </cfRule>
  </conditionalFormatting>
  <conditionalFormatting sqref="Q36">
    <cfRule type="expression" dxfId="1262" priority="29">
      <formula>#REF!&lt;&gt;#REF!</formula>
    </cfRule>
  </conditionalFormatting>
  <conditionalFormatting sqref="R35">
    <cfRule type="expression" dxfId="1261" priority="28">
      <formula>#REF!&lt;&gt;0</formula>
    </cfRule>
  </conditionalFormatting>
  <conditionalFormatting sqref="Q35">
    <cfRule type="expression" dxfId="1260" priority="27">
      <formula>#REF!&lt;&gt;0</formula>
    </cfRule>
  </conditionalFormatting>
  <conditionalFormatting sqref="R36">
    <cfRule type="expression" dxfId="1259" priority="26">
      <formula>#REF!&lt;&gt;#REF!</formula>
    </cfRule>
  </conditionalFormatting>
  <conditionalFormatting sqref="T94:T95 R90:S95 U87:X93 T90:T92 Y90:Y95 O88:O92 P88:Q93 D93:M98">
    <cfRule type="cellIs" dxfId="1258" priority="25" stopIfTrue="1" operator="notEqual">
      <formula>#REF!</formula>
    </cfRule>
  </conditionalFormatting>
  <conditionalFormatting sqref="P70">
    <cfRule type="expression" dxfId="1257" priority="24">
      <formula>$P$69&lt;&gt;$M$69</formula>
    </cfRule>
  </conditionalFormatting>
  <conditionalFormatting sqref="AB72">
    <cfRule type="expression" dxfId="1256" priority="23">
      <formula>$AB$71&lt;&gt;0</formula>
    </cfRule>
  </conditionalFormatting>
  <conditionalFormatting sqref="P71">
    <cfRule type="expression" dxfId="1255" priority="22">
      <formula>P69-INT(P69)</formula>
    </cfRule>
  </conditionalFormatting>
  <conditionalFormatting sqref="V70">
    <cfRule type="expression" dxfId="1254" priority="21">
      <formula>X68-INT(X68)</formula>
    </cfRule>
  </conditionalFormatting>
  <conditionalFormatting sqref="O12">
    <cfRule type="expression" dxfId="1253" priority="20">
      <formula>$P$12&lt;&gt;$M$12</formula>
    </cfRule>
  </conditionalFormatting>
  <conditionalFormatting sqref="T94:T95 R90:S95 U87:U93 T90:T92 O88:O92 P88:Q93">
    <cfRule type="cellIs" dxfId="1252" priority="18" stopIfTrue="1" operator="notEqual">
      <formula>#REF!</formula>
    </cfRule>
  </conditionalFormatting>
  <conditionalFormatting sqref="R84">
    <cfRule type="expression" priority="16" stopIfTrue="1">
      <formula>$M$85&lt;0</formula>
    </cfRule>
    <cfRule type="expression" dxfId="1251" priority="17">
      <formula>$S$85&lt;&gt;0</formula>
    </cfRule>
  </conditionalFormatting>
  <conditionalFormatting sqref="R80 R77">
    <cfRule type="expression" dxfId="1250" priority="14" stopIfTrue="1">
      <formula>$M$85&gt;=0</formula>
    </cfRule>
    <cfRule type="expression" priority="15">
      <formula>$M$85&lt;0</formula>
    </cfRule>
  </conditionalFormatting>
  <conditionalFormatting sqref="U87:U88 R89:U92 O88:Q92">
    <cfRule type="cellIs" dxfId="1249" priority="13" stopIfTrue="1" operator="notEqual">
      <formula>#REF!</formula>
    </cfRule>
  </conditionalFormatting>
  <conditionalFormatting sqref="M101">
    <cfRule type="expression" dxfId="1248" priority="12">
      <formula>$M$101&lt;&gt;0</formula>
    </cfRule>
  </conditionalFormatting>
  <conditionalFormatting sqref="M102">
    <cfRule type="expression" dxfId="1247" priority="11">
      <formula>$M$93&lt;&gt;$M$100</formula>
    </cfRule>
  </conditionalFormatting>
  <conditionalFormatting sqref="U87:U92 R90:T92 O88:Q92">
    <cfRule type="cellIs" dxfId="1246" priority="10" stopIfTrue="1" operator="notEqual">
      <formula>#REF!</formula>
    </cfRule>
  </conditionalFormatting>
  <conditionalFormatting sqref="T89:U89 Q91 T90 O89:O90 P89:Q89 R89:S91">
    <cfRule type="cellIs" dxfId="1245" priority="9" stopIfTrue="1" operator="notEqual">
      <formula>#REF!</formula>
    </cfRule>
  </conditionalFormatting>
  <conditionalFormatting sqref="Q36">
    <cfRule type="expression" dxfId="1244" priority="8">
      <formula>#REF!&lt;&gt;#REF!</formula>
    </cfRule>
  </conditionalFormatting>
  <conditionalFormatting sqref="R35">
    <cfRule type="expression" dxfId="1243" priority="7">
      <formula>#REF!&lt;&gt;0</formula>
    </cfRule>
  </conditionalFormatting>
  <conditionalFormatting sqref="Q35">
    <cfRule type="expression" dxfId="1242" priority="6">
      <formula>#REF!&lt;&gt;0</formula>
    </cfRule>
  </conditionalFormatting>
  <conditionalFormatting sqref="R36">
    <cfRule type="expression" dxfId="1241" priority="5">
      <formula>#REF!&lt;&gt;#REF!</formula>
    </cfRule>
  </conditionalFormatting>
  <conditionalFormatting sqref="G59:K59">
    <cfRule type="expression" dxfId="1240" priority="354">
      <formula>OR($P$105&gt;0,$P$106&lt;&gt;0,$P$107&lt;&gt;0)</formula>
    </cfRule>
  </conditionalFormatting>
  <hyperlinks>
    <hyperlink ref="O2" location="Index!A1" display="Return to Index" xr:uid="{00000000-0004-0000-2B00-000000000000}"/>
  </hyperlinks>
  <printOptions horizontalCentered="1"/>
  <pageMargins left="0.5" right="0.5" top="0.25" bottom="0.25" header="0" footer="0.25"/>
  <pageSetup scale="1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30"/>
  <dimension ref="A1:G68"/>
  <sheetViews>
    <sheetView showGridLines="0" zoomScale="80" zoomScaleNormal="80" workbookViewId="0">
      <selection activeCell="E74" sqref="E74:F74"/>
    </sheetView>
  </sheetViews>
  <sheetFormatPr defaultColWidth="9.140625" defaultRowHeight="12.75"/>
  <cols>
    <col min="1" max="1" width="7" style="53" customWidth="1"/>
    <col min="2" max="2" width="93.140625" style="53" customWidth="1"/>
    <col min="3" max="3" width="20.140625" style="53" customWidth="1"/>
    <col min="4" max="9" width="9.140625" style="53"/>
    <col min="10" max="10" width="14.140625" style="53" customWidth="1"/>
    <col min="11" max="16384" width="9.140625" style="53"/>
  </cols>
  <sheetData>
    <row r="1" spans="2:6" ht="18.75" thickBot="1">
      <c r="B1" s="466" t="str">
        <f>'RGV1 Chrts'!$A$1</f>
        <v>The University of Texas RGV - Academic &amp; Health (A+H)</v>
      </c>
      <c r="C1" s="835" t="s">
        <v>1200</v>
      </c>
    </row>
    <row r="2" spans="2:6">
      <c r="B2" s="116" t="s">
        <v>2132</v>
      </c>
    </row>
    <row r="3" spans="2:6">
      <c r="B3" s="393" t="str">
        <f>'Smmy Chrts'!$A$2</f>
        <v>For the Year Ended August 31, 2021</v>
      </c>
    </row>
    <row r="4" spans="2:6">
      <c r="B4" s="393" t="str">
        <f>'Smmy Chrts'!$A$3</f>
        <v>Source: FY 2021 Annual Financial Report</v>
      </c>
    </row>
    <row r="5" spans="2:6" customFormat="1">
      <c r="B5" s="529" t="s">
        <v>705</v>
      </c>
    </row>
    <row r="6" spans="2:6" customFormat="1">
      <c r="B6" s="530"/>
    </row>
    <row r="7" spans="2:6" customFormat="1" ht="226.5" customHeight="1">
      <c r="B7" s="531" t="s">
        <v>706</v>
      </c>
      <c r="C7" s="532"/>
    </row>
    <row r="8" spans="2:6" customFormat="1" ht="263.25" customHeight="1">
      <c r="B8" s="531" t="s">
        <v>707</v>
      </c>
    </row>
    <row r="9" spans="2:6" ht="64.5" customHeight="1">
      <c r="B9" s="533" t="str">
        <f>IF('RGV1 FGD'!$R$76="N/A","FN11.  N/A",$B$20&amp;$B$21&amp;$B$22&amp;$B$23&amp;$B$24&amp;$B$25&amp;$B$26&amp;$B$27&amp;$B$28&amp;$B$29&amp;$B$30)</f>
        <v>FN11: Of the net increase of $156,420,075 approximately $110.8 million represents revenues received but not yet expended. This income is fully committed to program expenditures and capital disbursements. The remaining $45.6 million represents non-expendable funds from unrealized gains and additions to permanent endowments of approximately $32.2 million       All Other Scholarship Disc.&amp; Allow. (See FN1)$13.4 million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TEXT(IF('RGV1 FGD'!$M$85&lt;0,"N/A",'RGV1 FGD'!$M$85),"$* #,##0;$* (#,##0)")</f>
        <v>$156,420,075</v>
      </c>
      <c r="C21" s="480"/>
      <c r="D21" s="480"/>
      <c r="E21" s="480"/>
      <c r="G21" s="105"/>
    </row>
    <row r="22" spans="1:7">
      <c r="B22" s="105" t="s">
        <v>682</v>
      </c>
    </row>
    <row r="23" spans="1:7">
      <c r="A23" s="53">
        <v>61</v>
      </c>
      <c r="B23" s="515" t="str">
        <f>IF(ABS('RGV1 FGD'!$R$77)&gt;=1000000,TEXT('RGV1 FGD'!$R$77/1000000,"$* #,##0.0;$* (#,##0.0)")&amp;" million",IF(ABS('RGV1 FGD'!$R$77)&lt;1000,TEXT('RGV1 FGD'!$R$77,"$* #,##0;$* (#,##0)"),TEXT('RGV1 FGD'!$R$77/1000,"$* #,##0;$* (#,##0)")&amp;" thousand"))</f>
        <v>$110.8 million</v>
      </c>
      <c r="C23" s="515"/>
      <c r="E23" s="515"/>
    </row>
    <row r="24" spans="1:7">
      <c r="B24" s="105" t="s">
        <v>708</v>
      </c>
    </row>
    <row r="25" spans="1:7">
      <c r="A25" s="53">
        <v>62</v>
      </c>
      <c r="B25" s="515" t="str">
        <f>IF(ABS('RGV1 FGD'!$R$78)&gt;=1000000,TEXT('RGV1 FGD'!$R$78/1000000,"$* #,##0.0;$* (#,##0.0)")&amp;" million",IF(ABS('RGV1 FGD'!$R$78)&lt;1000,TEXT('RGV1 FGD'!$R$78,"$* #,##0;$* (#,##0)"),TEXT('RGV1 FGD'!$R$78/1000,"$* #,##0;$* (#,##0)")&amp;" thousand"))</f>
        <v>$45.6 million</v>
      </c>
      <c r="C25" s="515"/>
      <c r="E25" s="515"/>
    </row>
    <row r="26" spans="1:7">
      <c r="B26" s="105" t="s">
        <v>683</v>
      </c>
    </row>
    <row r="27" spans="1:7">
      <c r="A27" s="53">
        <v>64</v>
      </c>
      <c r="B27" s="515" t="str">
        <f>IF(ABS('RGV1 FGD'!$R$80)&gt;=1000000,TEXT('RGV1 FGD'!$R$80/1000000,"$* #,##0.0;$* (#,##0.0)")&amp;" million",IF(ABS('RGV1 FGD'!$R$80)&lt;1000,TEXT('RGV1 FGD'!$R$80,"$* #,##0;$* (#,##0)"),TEXT('RGV1 FGD'!$R$80/1000,"$* #,##0;$* (#,##0)")&amp;" thousand"))</f>
        <v>$32.2 million</v>
      </c>
      <c r="C27" s="515"/>
      <c r="E27" s="515"/>
    </row>
    <row r="28" spans="1:7">
      <c r="B28" s="105" t="s">
        <v>2133</v>
      </c>
    </row>
    <row r="29" spans="1:7">
      <c r="A29" s="53">
        <v>66</v>
      </c>
      <c r="B29" s="515" t="str">
        <f>IF(ABS('RGV1 FGD'!$R$82)&gt;=1000000,TEXT('RGV1 FGD'!$R$82/1000000,"$* #,##0.0;$* (#,##0.0)")&amp;" million",IF(ABS('RGV1 FGD'!$R$82)&lt;1000,TEXT('RGV1 FGD'!$R$82,"$* #,##0;$* (#,##0)"),TEXT('RGV1 FGD'!$R$82/1000,"$* #,##0;$* (#,##0)")&amp;" thousand"))</f>
        <v>$13.4 million</v>
      </c>
      <c r="C29" s="515"/>
      <c r="E29" s="515"/>
    </row>
    <row r="30" spans="1:7">
      <c r="B30" s="105" t="s">
        <v>709</v>
      </c>
    </row>
    <row r="41" spans="2:2">
      <c r="B41" s="105" t="s">
        <v>2133</v>
      </c>
    </row>
    <row r="54" spans="2:2">
      <c r="B54" s="53" t="s">
        <v>2134</v>
      </c>
    </row>
    <row r="68" spans="2:2">
      <c r="B68" s="53" t="s">
        <v>2135</v>
      </c>
    </row>
  </sheetData>
  <hyperlinks>
    <hyperlink ref="C1" location="Index!A1" display="Return to Index" xr:uid="{00000000-0004-0000-2C00-000000000000}"/>
  </hyperlinks>
  <pageMargins left="0.25" right="0.25" top="0.25" bottom="0.25" header="0" footer="0.25"/>
  <pageSetup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31">
    <tabColor indexed="47"/>
    <pageSetUpPr fitToPage="1"/>
  </sheetPr>
  <dimension ref="A1:E165"/>
  <sheetViews>
    <sheetView showGridLines="0" zoomScale="65" zoomScaleNormal="65" zoomScaleSheetLayoutView="65" workbookViewId="0">
      <selection activeCell="B39" sqref="B39"/>
    </sheetView>
  </sheetViews>
  <sheetFormatPr defaultColWidth="9.140625" defaultRowHeight="12.75" customHeight="1"/>
  <cols>
    <col min="1" max="1" width="158.7109375" style="53" customWidth="1"/>
    <col min="2" max="2" width="21.28515625" style="53" customWidth="1"/>
    <col min="3" max="3" width="54.7109375" style="53" customWidth="1"/>
    <col min="4" max="4" width="20.7109375" style="53" customWidth="1"/>
    <col min="5" max="5" width="9.140625" style="679"/>
    <col min="6" max="16384" width="9.140625" style="53"/>
  </cols>
  <sheetData>
    <row r="1" spans="1:5" ht="28.5" thickBot="1">
      <c r="A1" s="159" t="s">
        <v>100</v>
      </c>
      <c r="B1" s="835" t="s">
        <v>1200</v>
      </c>
      <c r="C1" s="53" t="s">
        <v>1329</v>
      </c>
    </row>
    <row r="2" spans="1:5" ht="27.75">
      <c r="A2" s="54" t="str">
        <f>'Smmy Chrts'!$A$2</f>
        <v>For the Year Ended August 31, 2021</v>
      </c>
      <c r="C2" s="55" t="s">
        <v>63</v>
      </c>
    </row>
    <row r="3" spans="1:5" ht="27.75">
      <c r="A3" s="54" t="str">
        <f>'Smmy Chrts'!$A$3</f>
        <v>Source: FY 2021 Annual Financial Report</v>
      </c>
      <c r="C3" s="53" t="s">
        <v>64</v>
      </c>
    </row>
    <row r="4" spans="1:5" ht="12.75" customHeight="1">
      <c r="C4" s="53" t="s">
        <v>267</v>
      </c>
    </row>
    <row r="5" spans="1:5" ht="12.75" customHeight="1">
      <c r="C5" s="53" t="s">
        <v>268</v>
      </c>
    </row>
    <row r="7" spans="1:5" ht="12.75" customHeight="1">
      <c r="C7" s="1687" t="s">
        <v>25</v>
      </c>
      <c r="D7" s="1687"/>
    </row>
    <row r="8" spans="1:5" ht="12.75" customHeight="1">
      <c r="C8" s="57"/>
      <c r="D8" s="58"/>
    </row>
    <row r="9" spans="1:5" ht="12.75" customHeight="1">
      <c r="C9" s="59" t="str">
        <f>'P-B Sum'!A9</f>
        <v>State of Texas</v>
      </c>
      <c r="D9" s="60">
        <f>'P-B Sum'!B15</f>
        <v>43016478</v>
      </c>
      <c r="E9" s="680">
        <f>ROUND(D9/$D$14,3)</f>
        <v>0.375</v>
      </c>
    </row>
    <row r="10" spans="1:5" ht="12.75" customHeight="1">
      <c r="C10" s="59" t="str">
        <f>'P-B Sum'!A17</f>
        <v>Student &amp; Parent</v>
      </c>
      <c r="D10" s="60">
        <f>'P-B Sum'!B20</f>
        <v>32513106</v>
      </c>
      <c r="E10" s="680">
        <f t="shared" ref="E10:E12" si="0">ROUND(D10/$D$14,3)</f>
        <v>0.28299999999999997</v>
      </c>
    </row>
    <row r="11" spans="1:5" ht="12.75" customHeight="1">
      <c r="C11" s="59" t="str">
        <f>'P-B Sum'!A22</f>
        <v>Federal Government</v>
      </c>
      <c r="D11" s="60">
        <f>'P-B Sum'!B23</f>
        <v>22084960</v>
      </c>
      <c r="E11" s="680">
        <f t="shared" si="0"/>
        <v>0.192</v>
      </c>
    </row>
    <row r="12" spans="1:5" ht="12.75" customHeight="1">
      <c r="C12" s="59" t="str">
        <f>'P-B Sum'!A25</f>
        <v>Institutional Resources</v>
      </c>
      <c r="D12" s="60">
        <f>'P-B Sum'!B32</f>
        <v>17218876</v>
      </c>
      <c r="E12" s="680">
        <f t="shared" si="0"/>
        <v>0.15</v>
      </c>
    </row>
    <row r="13" spans="1:5" ht="12.75" customHeight="1">
      <c r="C13" s="57"/>
      <c r="D13" s="58"/>
      <c r="E13" s="680"/>
    </row>
    <row r="14" spans="1:5" ht="12.75" customHeight="1">
      <c r="C14" s="61" t="s">
        <v>68</v>
      </c>
      <c r="D14" s="62">
        <f>SUM(D9:D13)</f>
        <v>114833420</v>
      </c>
      <c r="E14" s="680">
        <f>SUM(E9:E13)</f>
        <v>0.99999999999999989</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86" t="str">
        <f>C14&amp;" "&amp;TEXT(D14,"$#,###")</f>
        <v>Total Operating Sources $114,833,420</v>
      </c>
    </row>
    <row r="48" spans="1:1" ht="12.75" customHeight="1">
      <c r="A48" s="1686"/>
    </row>
    <row r="49" spans="1:5" ht="12.75" customHeight="1">
      <c r="A49" s="56"/>
    </row>
    <row r="52" spans="1:5" ht="12.75" customHeight="1">
      <c r="C52" s="63" t="s">
        <v>25</v>
      </c>
      <c r="D52" s="58"/>
    </row>
    <row r="54" spans="1:5" ht="12.75" customHeight="1">
      <c r="C54" s="59" t="s">
        <v>1</v>
      </c>
      <c r="D54" s="60">
        <f>'P-B Sum'!B10</f>
        <v>33419456</v>
      </c>
      <c r="E54" s="680">
        <f>ROUND(D54/$D$67,3)</f>
        <v>0.29099999999999998</v>
      </c>
    </row>
    <row r="55" spans="1:5" ht="12.75" customHeight="1">
      <c r="C55" s="59" t="s">
        <v>221</v>
      </c>
      <c r="D55" s="60">
        <f>'P-B Sum'!B11</f>
        <v>9597022</v>
      </c>
      <c r="E55" s="680">
        <f t="shared" ref="E55:E66" si="1">ROUND(D55/$D$67,3)</f>
        <v>8.4000000000000005E-2</v>
      </c>
    </row>
    <row r="56" spans="1:5" ht="12.75" customHeight="1">
      <c r="C56" s="59"/>
      <c r="D56" s="60"/>
      <c r="E56" s="680"/>
    </row>
    <row r="57" spans="1:5" ht="12.75" customHeight="1">
      <c r="C57" s="1069" t="str">
        <f>'P-B Sum'!A13</f>
        <v>Higher Education Fund</v>
      </c>
      <c r="D57" s="60">
        <f>'P-B Sum'!B13</f>
        <v>0</v>
      </c>
      <c r="E57" s="680">
        <f t="shared" si="1"/>
        <v>0</v>
      </c>
    </row>
    <row r="58" spans="1:5" ht="12.75" customHeight="1">
      <c r="C58" s="1069" t="s">
        <v>41</v>
      </c>
      <c r="D58" s="60">
        <f>'P-B Sum'!B14</f>
        <v>0</v>
      </c>
      <c r="E58" s="680">
        <f t="shared" si="1"/>
        <v>0</v>
      </c>
    </row>
    <row r="59" spans="1:5" ht="12.75" customHeight="1">
      <c r="C59" s="59" t="s">
        <v>87</v>
      </c>
      <c r="D59" s="60">
        <f>'P-B Sum'!B20</f>
        <v>32513106</v>
      </c>
      <c r="E59" s="680">
        <f t="shared" si="1"/>
        <v>0.28299999999999997</v>
      </c>
    </row>
    <row r="60" spans="1:5" ht="12.75" customHeight="1">
      <c r="C60" s="64" t="s">
        <v>74</v>
      </c>
      <c r="D60" s="60">
        <f>'P-B Sum'!B23</f>
        <v>22084960</v>
      </c>
      <c r="E60" s="680">
        <f t="shared" si="1"/>
        <v>0.192</v>
      </c>
    </row>
    <row r="61" spans="1:5" ht="12.75" customHeight="1">
      <c r="C61" s="59" t="s">
        <v>75</v>
      </c>
      <c r="D61" s="60">
        <f>'P-B Sum'!B26</f>
        <v>4315932</v>
      </c>
      <c r="E61" s="680">
        <f t="shared" si="1"/>
        <v>3.7999999999999999E-2</v>
      </c>
    </row>
    <row r="62" spans="1:5" ht="12.75" customHeight="1">
      <c r="C62" s="59" t="s">
        <v>27</v>
      </c>
      <c r="D62" s="60">
        <f>'P-B Sum'!B27</f>
        <v>2099047</v>
      </c>
      <c r="E62" s="680">
        <f t="shared" si="1"/>
        <v>1.7999999999999999E-2</v>
      </c>
    </row>
    <row r="63" spans="1:5" ht="12.75" customHeight="1">
      <c r="C63" s="59" t="s">
        <v>76</v>
      </c>
      <c r="D63" s="60">
        <f>'P-B Sum'!B28</f>
        <v>3276208</v>
      </c>
      <c r="E63" s="680">
        <f t="shared" si="1"/>
        <v>2.9000000000000001E-2</v>
      </c>
    </row>
    <row r="64" spans="1:5" ht="12.75" customHeight="1">
      <c r="C64" s="59" t="s">
        <v>77</v>
      </c>
      <c r="D64" s="60">
        <f>'P-B Sum'!B29</f>
        <v>1172678</v>
      </c>
      <c r="E64" s="680">
        <f t="shared" si="1"/>
        <v>0.01</v>
      </c>
    </row>
    <row r="65" spans="1:5" ht="12.75" customHeight="1">
      <c r="C65" s="59" t="s">
        <v>220</v>
      </c>
      <c r="D65" s="60">
        <f>'P-B Sum'!B30</f>
        <v>6063878</v>
      </c>
      <c r="E65" s="680">
        <f t="shared" si="1"/>
        <v>5.2999999999999999E-2</v>
      </c>
    </row>
    <row r="66" spans="1:5" ht="12.75" customHeight="1">
      <c r="C66" s="64" t="s">
        <v>52</v>
      </c>
      <c r="D66" s="60">
        <f>'P-B Sum'!B31</f>
        <v>291133</v>
      </c>
      <c r="E66" s="680">
        <f t="shared" si="1"/>
        <v>3.0000000000000001E-3</v>
      </c>
    </row>
    <row r="67" spans="1:5" ht="12.75" customHeight="1">
      <c r="C67" s="61" t="s">
        <v>68</v>
      </c>
      <c r="D67" s="62">
        <f>SUM(D54:D66)</f>
        <v>114833420</v>
      </c>
      <c r="E67" s="681">
        <f>SUM(E54:E66)</f>
        <v>1.0009999999999999</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86" t="str">
        <f>C67&amp;" "&amp;TEXT(D67,"$#,###")</f>
        <v>Total Operating Sources $114,833,420</v>
      </c>
    </row>
    <row r="93" spans="1:5" ht="12.75" customHeight="1">
      <c r="A93" s="1686"/>
    </row>
    <row r="94" spans="1:5" ht="12.75" customHeight="1">
      <c r="A94" s="65"/>
    </row>
    <row r="95" spans="1:5" s="68" customFormat="1" ht="12.75" customHeight="1">
      <c r="A95" s="66"/>
      <c r="E95" s="682"/>
    </row>
    <row r="96" spans="1:5" ht="12.75" customHeight="1">
      <c r="A96" s="65"/>
    </row>
    <row r="97" spans="1:5" ht="12.75" customHeight="1">
      <c r="A97" s="65"/>
    </row>
    <row r="98" spans="1:5" ht="12.75" customHeight="1">
      <c r="A98" s="65"/>
    </row>
    <row r="100" spans="1:5" ht="12.75" customHeight="1">
      <c r="C100" s="1687" t="s">
        <v>13</v>
      </c>
      <c r="D100" s="1687"/>
    </row>
    <row r="101" spans="1:5" ht="12.75" customHeight="1">
      <c r="C101" s="1687"/>
      <c r="D101" s="1687"/>
    </row>
    <row r="102" spans="1:5" ht="12.75" customHeight="1">
      <c r="C102" s="69" t="s">
        <v>14</v>
      </c>
      <c r="D102" s="60">
        <f>'P-B Sum'!B36</f>
        <v>35363099</v>
      </c>
      <c r="E102" s="680">
        <f>ROUND(D102/$D$114,3)</f>
        <v>0.35499999999999998</v>
      </c>
    </row>
    <row r="103" spans="1:5" ht="12.75" customHeight="1">
      <c r="C103" s="69" t="s">
        <v>15</v>
      </c>
      <c r="D103" s="60">
        <f>'P-B Sum'!B37</f>
        <v>2962585</v>
      </c>
      <c r="E103" s="680">
        <f t="shared" ref="E103:E112" si="2">ROUND(D103/$D$114,3)</f>
        <v>0.03</v>
      </c>
    </row>
    <row r="104" spans="1:5" ht="12.75" customHeight="1">
      <c r="C104" s="69" t="s">
        <v>16</v>
      </c>
      <c r="D104" s="60">
        <f>'P-B Sum'!B38</f>
        <v>3948406</v>
      </c>
      <c r="E104" s="680">
        <f t="shared" si="2"/>
        <v>0.04</v>
      </c>
    </row>
    <row r="105" spans="1:5" ht="12.75" customHeight="1">
      <c r="C105" s="69" t="s">
        <v>17</v>
      </c>
      <c r="D105" s="60">
        <f>'P-B Sum'!B39</f>
        <v>7304629</v>
      </c>
      <c r="E105" s="680">
        <f t="shared" si="2"/>
        <v>7.2999999999999995E-2</v>
      </c>
    </row>
    <row r="106" spans="1:5" ht="12.75" customHeight="1">
      <c r="C106" s="69" t="s">
        <v>18</v>
      </c>
      <c r="D106" s="60">
        <f>'P-B Sum'!B40</f>
        <v>3444460</v>
      </c>
      <c r="E106" s="680">
        <f t="shared" si="2"/>
        <v>3.5000000000000003E-2</v>
      </c>
    </row>
    <row r="107" spans="1:5" ht="12.75" customHeight="1">
      <c r="C107" s="69" t="s">
        <v>19</v>
      </c>
      <c r="D107" s="60">
        <f>'P-B Sum'!B41</f>
        <v>11662236</v>
      </c>
      <c r="E107" s="680">
        <f t="shared" si="2"/>
        <v>0.11700000000000001</v>
      </c>
    </row>
    <row r="108" spans="1:5" ht="12.75" customHeight="1">
      <c r="C108" s="69" t="s">
        <v>78</v>
      </c>
      <c r="D108" s="60">
        <f>'P-B Sum'!B42</f>
        <v>10219299</v>
      </c>
      <c r="E108" s="680">
        <f t="shared" si="2"/>
        <v>0.10299999999999999</v>
      </c>
    </row>
    <row r="109" spans="1:5" ht="12.75" customHeight="1">
      <c r="C109" s="69" t="s">
        <v>79</v>
      </c>
      <c r="D109" s="60">
        <f>'P-B Sum'!B43</f>
        <v>11621692</v>
      </c>
      <c r="E109" s="680">
        <f t="shared" si="2"/>
        <v>0.11700000000000001</v>
      </c>
    </row>
    <row r="110" spans="1:5" ht="12.75" customHeight="1">
      <c r="C110" s="69" t="s">
        <v>22</v>
      </c>
      <c r="D110" s="60">
        <f>'P-B Sum'!B44</f>
        <v>9498072</v>
      </c>
      <c r="E110" s="680">
        <f t="shared" si="2"/>
        <v>9.5000000000000001E-2</v>
      </c>
    </row>
    <row r="111" spans="1:5" ht="12.75" customHeight="1">
      <c r="C111" s="64" t="s">
        <v>29</v>
      </c>
      <c r="D111" s="60">
        <f>'P-B Sum'!B45</f>
        <v>3447006</v>
      </c>
      <c r="E111" s="680">
        <f t="shared" si="2"/>
        <v>3.5000000000000003E-2</v>
      </c>
    </row>
    <row r="112" spans="1:5" ht="12.75" customHeight="1">
      <c r="C112" s="64" t="s">
        <v>53</v>
      </c>
      <c r="D112" s="60">
        <f>'P-B Sum'!B46</f>
        <v>18266</v>
      </c>
      <c r="E112" s="680">
        <f t="shared" si="2"/>
        <v>0</v>
      </c>
    </row>
    <row r="113" spans="3:5" ht="12.75" customHeight="1">
      <c r="C113" s="57"/>
      <c r="D113" s="57"/>
    </row>
    <row r="114" spans="3:5" ht="12.75" customHeight="1">
      <c r="C114" s="70" t="s">
        <v>69</v>
      </c>
      <c r="D114" s="62">
        <f>SUM(D102:D113)</f>
        <v>99489750</v>
      </c>
      <c r="E114" s="681">
        <f>SUM(E102:E113)</f>
        <v>1</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86" t="str">
        <f>C114&amp;" "&amp;TEXT(D114,"$#,###")</f>
        <v>Total Operating Uses $99,489,750</v>
      </c>
    </row>
    <row r="137" spans="1:1" ht="12.75" customHeight="1">
      <c r="A137" s="1686"/>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2D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ransitionEvaluation="1" transitionEntry="1" codeName="Sheet32">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'P-B Chrts'!$A$1</f>
        <v>The University of Texas of the Permian Basin</v>
      </c>
      <c r="B1" s="74"/>
      <c r="C1" s="1"/>
      <c r="D1" s="1704" t="s">
        <v>1200</v>
      </c>
      <c r="E1" s="1705"/>
      <c r="F1" s="1757" t="s">
        <v>1196</v>
      </c>
      <c r="G1" s="1706"/>
      <c r="H1" s="1706"/>
      <c r="I1" s="1706"/>
      <c r="J1" s="1707" t="s">
        <v>1197</v>
      </c>
      <c r="K1" s="1695"/>
      <c r="L1" s="1695"/>
      <c r="M1" s="1695"/>
      <c r="N1" s="1695"/>
      <c r="O1" s="1696"/>
    </row>
    <row r="2" spans="1:15" ht="15.75">
      <c r="A2" s="76" t="str">
        <f>'Smmy Chrts'!$A$2</f>
        <v>For the Year Ended August 31, 2021</v>
      </c>
      <c r="B2" s="74"/>
      <c r="C2" s="1"/>
      <c r="D2" s="37"/>
      <c r="E2" s="37"/>
      <c r="F2" s="37"/>
      <c r="J2" s="37"/>
      <c r="K2" s="37"/>
      <c r="L2" s="37"/>
      <c r="M2" s="37"/>
    </row>
    <row r="3" spans="1:15" ht="15.75">
      <c r="A3" s="76" t="str">
        <f>'Smmy Chrts'!$A$3</f>
        <v>Source: FY 2021 Annual Financial Report</v>
      </c>
      <c r="B3" s="74"/>
      <c r="C3" s="1"/>
    </row>
    <row r="4" spans="1:15" ht="13.5" customHeight="1">
      <c r="B4" s="77"/>
      <c r="C4" s="4"/>
      <c r="D4" s="1711" t="s">
        <v>1142</v>
      </c>
      <c r="E4" s="1711" t="s">
        <v>1143</v>
      </c>
      <c r="F4" s="266"/>
    </row>
    <row r="5" spans="1:15" ht="18">
      <c r="A5" s="39" t="str">
        <f>'Smmy Chrts'!$C$35</f>
        <v>Summary Worksheet FY 2021</v>
      </c>
      <c r="B5" s="40" t="s">
        <v>86</v>
      </c>
      <c r="C5" s="40" t="s">
        <v>129</v>
      </c>
      <c r="D5" s="1712"/>
      <c r="E5" s="1712"/>
      <c r="F5" s="266"/>
      <c r="G5" s="799" t="s">
        <v>1198</v>
      </c>
      <c r="I5" s="822" t="s">
        <v>2157</v>
      </c>
      <c r="J5" s="792" t="s">
        <v>1144</v>
      </c>
    </row>
    <row r="6" spans="1:15" ht="13.5" customHeight="1">
      <c r="A6" s="78" t="s">
        <v>266</v>
      </c>
      <c r="B6" s="41"/>
      <c r="C6" s="42">
        <f>VLOOKUP($A$1,FTSELU,12,FALSE)</f>
        <v>4255.68</v>
      </c>
      <c r="J6" s="712"/>
    </row>
    <row r="7" spans="1:15">
      <c r="I7" s="824" t="s">
        <v>1162</v>
      </c>
      <c r="J7" s="827"/>
    </row>
    <row r="8" spans="1:15">
      <c r="A8" s="81" t="s">
        <v>71</v>
      </c>
      <c r="B8" s="81"/>
      <c r="C8" s="24"/>
      <c r="I8" s="896">
        <f>VLOOKUP(A1,FTSELU,14,FALSE)</f>
        <v>398.1</v>
      </c>
      <c r="J8" s="712"/>
    </row>
    <row r="9" spans="1:15" ht="12.75" customHeight="1" thickBot="1">
      <c r="A9" s="78" t="s">
        <v>0</v>
      </c>
      <c r="B9" s="82"/>
      <c r="C9" s="7"/>
      <c r="J9" s="712"/>
    </row>
    <row r="10" spans="1:15" ht="12.75" customHeight="1" thickTop="1">
      <c r="A10" s="75" t="s">
        <v>1</v>
      </c>
      <c r="B10" s="83">
        <f>'P-B FGD'!M10</f>
        <v>33419456</v>
      </c>
      <c r="C10" s="83">
        <f>ROUND(B10/$C$6,0)</f>
        <v>7853</v>
      </c>
      <c r="D10" s="512">
        <f>'P-B FGD'!F10</f>
        <v>0</v>
      </c>
      <c r="E10" s="512"/>
      <c r="F10" s="84">
        <f>B10-(SUM(D10:E10))</f>
        <v>33419456</v>
      </c>
      <c r="G10" s="1143" t="s">
        <v>1</v>
      </c>
      <c r="H10" s="1144"/>
      <c r="I10" s="825" t="s">
        <v>1161</v>
      </c>
      <c r="J10" s="713">
        <f>ROUND(F10/$C$6,0)</f>
        <v>7853</v>
      </c>
    </row>
    <row r="11" spans="1:15" ht="12.75" customHeight="1" thickBot="1">
      <c r="A11" s="75" t="s">
        <v>2</v>
      </c>
      <c r="B11" s="86">
        <f>'P-B FGD'!M11</f>
        <v>9597022</v>
      </c>
      <c r="C11" s="87">
        <f t="shared" ref="C11:C14" si="0">ROUND(B11/$C$6,0)</f>
        <v>2255</v>
      </c>
      <c r="D11" s="86">
        <f>'P-B FGD'!F11</f>
        <v>0</v>
      </c>
      <c r="E11" s="74"/>
      <c r="F11" s="606">
        <f t="shared" ref="F11:F14" si="1">B11-(SUM(D11:E11))</f>
        <v>9597022</v>
      </c>
      <c r="G11" s="1148">
        <f>SUM(F10:F11)</f>
        <v>43016478</v>
      </c>
      <c r="H11" s="715"/>
      <c r="I11" s="1373">
        <f>ROUND($G$11/$C$6,0)</f>
        <v>10108</v>
      </c>
      <c r="J11" s="716">
        <f t="shared" ref="J11:J14" si="2">ROUND(F11/$C$6,0)</f>
        <v>2255</v>
      </c>
    </row>
    <row r="12" spans="1:15" ht="12.75" hidden="1" customHeight="1" thickTop="1" thickBot="1">
      <c r="A12" s="75" t="s">
        <v>1410</v>
      </c>
      <c r="B12" s="86"/>
      <c r="C12" s="87"/>
      <c r="D12" s="86"/>
      <c r="E12" s="74"/>
      <c r="F12" s="607"/>
      <c r="J12" s="716"/>
      <c r="O12" s="608"/>
    </row>
    <row r="13" spans="1:15" ht="12.75" customHeight="1" thickTop="1">
      <c r="A13" s="75" t="s">
        <v>1368</v>
      </c>
      <c r="B13" s="86">
        <f>'P-B FGD'!M13</f>
        <v>0</v>
      </c>
      <c r="C13" s="87">
        <f t="shared" si="0"/>
        <v>0</v>
      </c>
      <c r="D13" s="86">
        <f>'P-B FGD'!F13</f>
        <v>0</v>
      </c>
      <c r="E13" s="74"/>
      <c r="F13" s="893">
        <f t="shared" si="1"/>
        <v>0</v>
      </c>
      <c r="G13" s="882" t="s">
        <v>81</v>
      </c>
      <c r="H13" s="894"/>
      <c r="I13" s="826" t="s">
        <v>1163</v>
      </c>
      <c r="J13" s="716">
        <f t="shared" si="2"/>
        <v>0</v>
      </c>
    </row>
    <row r="14" spans="1:15" ht="12.75" customHeight="1" thickBot="1">
      <c r="A14" s="75" t="s">
        <v>49</v>
      </c>
      <c r="B14" s="86">
        <f>'P-B FGD'!M14</f>
        <v>0</v>
      </c>
      <c r="C14" s="87">
        <f t="shared" si="0"/>
        <v>0</v>
      </c>
      <c r="D14" s="86">
        <f>'P-B FGD'!F14</f>
        <v>0</v>
      </c>
      <c r="E14" s="74"/>
      <c r="F14" s="607">
        <f t="shared" si="1"/>
        <v>0</v>
      </c>
      <c r="G14" s="800">
        <f>SUM(F13:F14)</f>
        <v>0</v>
      </c>
      <c r="H14" s="895"/>
      <c r="I14" s="1377">
        <f>ROUND($G$11/$I$8,0)</f>
        <v>108054</v>
      </c>
      <c r="J14" s="828">
        <f t="shared" si="2"/>
        <v>0</v>
      </c>
    </row>
    <row r="15" spans="1:15" ht="12.75" customHeight="1" thickTop="1">
      <c r="A15" s="88" t="s">
        <v>3</v>
      </c>
      <c r="B15" s="89">
        <f>SUM(B10:B14)</f>
        <v>43016478</v>
      </c>
      <c r="C15" s="89">
        <f>SUM(C10:C14)</f>
        <v>10108</v>
      </c>
      <c r="D15" s="89">
        <f>SUM(D10:D14)</f>
        <v>0</v>
      </c>
      <c r="E15" s="89">
        <f>SUM(E10:E14)</f>
        <v>0</v>
      </c>
      <c r="F15" s="216">
        <f>SUM(F10:F14)</f>
        <v>43016478</v>
      </c>
      <c r="I15" s="1372"/>
      <c r="J15" s="757">
        <f>SUM(J10:J14)</f>
        <v>10108</v>
      </c>
    </row>
    <row r="16" spans="1:15">
      <c r="B16" s="48"/>
      <c r="C16" s="75"/>
      <c r="J16" s="712"/>
    </row>
    <row r="17" spans="1:31" ht="12.75" customHeight="1">
      <c r="A17" s="78" t="s">
        <v>4</v>
      </c>
      <c r="B17" s="86"/>
      <c r="C17" s="75"/>
      <c r="J17" s="712"/>
    </row>
    <row r="18" spans="1:31">
      <c r="A18" s="75" t="s">
        <v>39</v>
      </c>
      <c r="B18" s="83">
        <f>'P-B FGD'!M29</f>
        <v>17367990</v>
      </c>
      <c r="C18" s="83">
        <f t="shared" ref="C18:C19" si="3">ROUND(B18/$C$6,0)</f>
        <v>4081</v>
      </c>
      <c r="D18" s="512">
        <f>'P-B FGD'!$F$29</f>
        <v>0</v>
      </c>
      <c r="E18" s="512"/>
      <c r="F18" s="512">
        <f t="shared" ref="F18:F19" si="4">B18-(SUM(D18:E18))</f>
        <v>17367990</v>
      </c>
      <c r="G18" s="337"/>
      <c r="H18" s="337"/>
      <c r="I18" s="337"/>
      <c r="J18" s="713">
        <f>ROUND(F18/$C$6,0)</f>
        <v>4081</v>
      </c>
    </row>
    <row r="19" spans="1:31" ht="13.5" thickBot="1">
      <c r="A19" s="75" t="s">
        <v>40</v>
      </c>
      <c r="B19" s="86">
        <f>'P-B FGD'!M42</f>
        <v>15145116</v>
      </c>
      <c r="C19" s="87">
        <f t="shared" si="3"/>
        <v>3559</v>
      </c>
      <c r="D19" s="74">
        <f>'P-B FGD'!$F$42</f>
        <v>2948771</v>
      </c>
      <c r="E19" s="74"/>
      <c r="F19" s="74">
        <f t="shared" si="4"/>
        <v>12196345</v>
      </c>
      <c r="G19" s="337"/>
      <c r="H19" s="337"/>
      <c r="I19" s="337"/>
      <c r="J19" s="716">
        <f>ROUND(F19/$C$6,0)</f>
        <v>2866</v>
      </c>
    </row>
    <row r="20" spans="1:31" ht="14.25" thickTop="1" thickBot="1">
      <c r="A20" s="88" t="s">
        <v>5</v>
      </c>
      <c r="B20" s="89">
        <f>SUM(B18:B19)</f>
        <v>32513106</v>
      </c>
      <c r="C20" s="89">
        <f>SUM(C18:C19)</f>
        <v>7640</v>
      </c>
      <c r="D20" s="717">
        <f>SUM(D18:D19)</f>
        <v>2948771</v>
      </c>
      <c r="E20" s="718">
        <f>SUM(E18:E19)</f>
        <v>0</v>
      </c>
      <c r="F20" s="801">
        <f>SUM(F18:F19)</f>
        <v>29564335</v>
      </c>
      <c r="G20" s="720" t="s">
        <v>26</v>
      </c>
      <c r="H20" s="366"/>
      <c r="I20" s="367"/>
      <c r="J20" s="721">
        <f>SUM(J18:J19)</f>
        <v>6947</v>
      </c>
    </row>
    <row r="21" spans="1:31" ht="12.75" customHeight="1" thickTop="1">
      <c r="B21" s="91"/>
      <c r="C21" s="75"/>
      <c r="F21" s="804"/>
      <c r="J21" s="712"/>
    </row>
    <row r="22" spans="1:31" ht="14.25" customHeight="1" thickBot="1">
      <c r="A22" s="78" t="s">
        <v>6</v>
      </c>
      <c r="B22" s="91"/>
      <c r="C22" s="75"/>
      <c r="J22" s="712"/>
    </row>
    <row r="23" spans="1:31" ht="14.25" thickTop="1" thickBot="1">
      <c r="A23" s="88" t="s">
        <v>7</v>
      </c>
      <c r="B23" s="92">
        <f>'P-B FGD'!M47</f>
        <v>22084960</v>
      </c>
      <c r="C23" s="89">
        <f t="shared" ref="C23" si="5">ROUND(B23/$C$6,0)</f>
        <v>5190</v>
      </c>
      <c r="D23" s="717">
        <f>'P-B FGD'!F47</f>
        <v>0</v>
      </c>
      <c r="E23" s="718"/>
      <c r="F23" s="801">
        <f>B23-(SUM(D23:E23))</f>
        <v>22084960</v>
      </c>
      <c r="G23" s="722" t="s">
        <v>74</v>
      </c>
      <c r="H23" s="366"/>
      <c r="I23" s="367"/>
      <c r="J23" s="756">
        <f>ROUND(F23/$C$6,0)</f>
        <v>5190</v>
      </c>
    </row>
    <row r="24" spans="1:31" ht="13.5" thickTop="1">
      <c r="B24" s="91"/>
      <c r="C24" s="75"/>
      <c r="J24" s="712"/>
    </row>
    <row r="25" spans="1:31">
      <c r="A25" s="78" t="s">
        <v>8</v>
      </c>
      <c r="B25" s="91"/>
      <c r="C25" s="75"/>
      <c r="J25" s="712"/>
    </row>
    <row r="26" spans="1:31">
      <c r="A26" s="75" t="s">
        <v>42</v>
      </c>
      <c r="B26" s="83">
        <f>'P-B FGD'!M50</f>
        <v>4315932</v>
      </c>
      <c r="C26" s="83">
        <f t="shared" ref="C26:C31" si="6">ROUND(B26/$C$6,0)</f>
        <v>1014</v>
      </c>
      <c r="D26" s="512">
        <f>'P-B FGD'!F50</f>
        <v>0</v>
      </c>
      <c r="E26" s="512"/>
      <c r="F26" s="512">
        <f t="shared" ref="F26:F31" si="7">B26-(SUM(D26:E26))</f>
        <v>4315932</v>
      </c>
      <c r="G26" s="337"/>
      <c r="H26" s="337"/>
      <c r="I26" s="337"/>
      <c r="J26" s="713">
        <f>ROUND(F26/$C$6,0)</f>
        <v>1014</v>
      </c>
    </row>
    <row r="27" spans="1:31">
      <c r="A27" s="75" t="s">
        <v>9</v>
      </c>
      <c r="B27" s="86">
        <f>'P-B FGD'!M51</f>
        <v>2099047</v>
      </c>
      <c r="C27" s="87">
        <f t="shared" si="6"/>
        <v>493</v>
      </c>
      <c r="D27" s="86">
        <f>'P-B FGD'!F51</f>
        <v>0</v>
      </c>
      <c r="E27" s="74"/>
      <c r="F27" s="74">
        <f t="shared" si="7"/>
        <v>2099047</v>
      </c>
      <c r="G27" s="337"/>
      <c r="H27" s="337"/>
      <c r="I27" s="337"/>
      <c r="J27" s="716">
        <f t="shared" ref="J27:J31" si="8">ROUND(F27/$C$6,0)</f>
        <v>493</v>
      </c>
    </row>
    <row r="28" spans="1:31" ht="13.5" thickBot="1">
      <c r="A28" s="75" t="s">
        <v>10</v>
      </c>
      <c r="B28" s="86">
        <f>'P-B FGD'!M52</f>
        <v>3276208</v>
      </c>
      <c r="C28" s="87">
        <f t="shared" si="6"/>
        <v>770</v>
      </c>
      <c r="D28" s="86">
        <f>'P-B FGD'!F52</f>
        <v>0</v>
      </c>
      <c r="E28" s="74"/>
      <c r="F28" s="74">
        <f t="shared" si="7"/>
        <v>3276208</v>
      </c>
      <c r="G28" s="337"/>
      <c r="H28" s="337"/>
      <c r="I28" s="337"/>
      <c r="J28" s="716">
        <f t="shared" si="8"/>
        <v>770</v>
      </c>
    </row>
    <row r="29" spans="1:31" ht="13.5" thickBot="1">
      <c r="A29" s="75" t="s">
        <v>11</v>
      </c>
      <c r="B29" s="86">
        <f>'P-B FGD'!M53</f>
        <v>1172678</v>
      </c>
      <c r="C29" s="87">
        <f t="shared" si="6"/>
        <v>276</v>
      </c>
      <c r="D29" s="86">
        <f>'P-B FGD'!F53</f>
        <v>0</v>
      </c>
      <c r="E29" s="74"/>
      <c r="F29" s="74">
        <f t="shared" si="7"/>
        <v>1172678</v>
      </c>
      <c r="G29" s="337"/>
      <c r="H29" s="337"/>
      <c r="I29" s="337"/>
      <c r="J29" s="716">
        <f t="shared" si="8"/>
        <v>276</v>
      </c>
      <c r="K29" s="1694" t="s">
        <v>1065</v>
      </c>
      <c r="L29" s="1695"/>
      <c r="M29" s="1695"/>
      <c r="N29" s="1695"/>
      <c r="O29" s="1696"/>
    </row>
    <row r="30" spans="1:31" ht="13.5" thickBot="1">
      <c r="A30" s="93" t="s">
        <v>2134</v>
      </c>
      <c r="B30" s="94">
        <f>'P-B FGD'!M54</f>
        <v>6063878</v>
      </c>
      <c r="C30" s="87">
        <f t="shared" si="6"/>
        <v>1425</v>
      </c>
      <c r="D30" s="729">
        <f>B30</f>
        <v>6063878</v>
      </c>
      <c r="E30" s="74"/>
      <c r="F30" s="74">
        <f t="shared" si="7"/>
        <v>0</v>
      </c>
      <c r="G30" s="337"/>
      <c r="H30" s="337"/>
      <c r="I30" s="337"/>
      <c r="J30" s="716">
        <f t="shared" si="8"/>
        <v>0</v>
      </c>
      <c r="K30" s="1694" t="s">
        <v>1070</v>
      </c>
      <c r="L30" s="1695"/>
      <c r="M30" s="1695"/>
      <c r="N30" s="1695"/>
      <c r="O30" s="1696"/>
    </row>
    <row r="31" spans="1:31" ht="13.5" customHeight="1" thickBot="1">
      <c r="A31" s="95" t="s">
        <v>43</v>
      </c>
      <c r="B31" s="86">
        <f>'P-B FGD'!M55</f>
        <v>291133</v>
      </c>
      <c r="C31" s="87">
        <f t="shared" si="6"/>
        <v>68</v>
      </c>
      <c r="D31" s="86">
        <f>'P-B FGD'!F55</f>
        <v>100</v>
      </c>
      <c r="E31" s="74"/>
      <c r="F31" s="74">
        <f t="shared" si="7"/>
        <v>291033</v>
      </c>
      <c r="G31" s="35"/>
      <c r="H31" s="35"/>
      <c r="I31" s="38"/>
      <c r="J31" s="716">
        <f t="shared" si="8"/>
        <v>68</v>
      </c>
      <c r="K31" s="1697" t="s">
        <v>1073</v>
      </c>
      <c r="L31" s="1697" t="s">
        <v>1071</v>
      </c>
      <c r="M31" s="1697" t="s">
        <v>1072</v>
      </c>
      <c r="N31" s="1697" t="s">
        <v>1240</v>
      </c>
      <c r="O31" s="1697"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17218876</v>
      </c>
      <c r="C32" s="89">
        <f>SUM(C26:C31)</f>
        <v>4046</v>
      </c>
      <c r="D32" s="723">
        <f>SUM(D26:D31)</f>
        <v>6063978</v>
      </c>
      <c r="E32" s="723">
        <f>SUM(E26:E31)</f>
        <v>0</v>
      </c>
      <c r="F32" s="802">
        <f>SUM(F26:F31)</f>
        <v>11154898</v>
      </c>
      <c r="G32" s="1708" t="s">
        <v>8</v>
      </c>
      <c r="H32" s="1709"/>
      <c r="I32" s="783" t="s">
        <v>1166</v>
      </c>
      <c r="J32" s="725">
        <f>SUM(J26:J31)</f>
        <v>2621</v>
      </c>
      <c r="K32" s="1698"/>
      <c r="L32" s="1698"/>
      <c r="M32" s="1698"/>
      <c r="N32" s="1698" t="s">
        <v>1074</v>
      </c>
      <c r="O32" s="1698" t="s">
        <v>1075</v>
      </c>
    </row>
    <row r="33" spans="1:31" ht="14.25" thickTop="1" thickBot="1">
      <c r="A33" s="97" t="s">
        <v>68</v>
      </c>
      <c r="B33" s="52">
        <f>B15+B20+B23+B32</f>
        <v>114833420</v>
      </c>
      <c r="C33" s="45">
        <f>C15+C20+C23+C32</f>
        <v>26984</v>
      </c>
      <c r="D33" s="52">
        <f>D15+D20+D23+D32</f>
        <v>9012749</v>
      </c>
      <c r="E33" s="52">
        <f>E15+E20+E23+E32</f>
        <v>0</v>
      </c>
      <c r="F33" s="724">
        <f>F15+F20+F23+F32</f>
        <v>105820671</v>
      </c>
      <c r="G33" s="1758" t="s">
        <v>84</v>
      </c>
      <c r="H33" s="1759"/>
      <c r="I33" s="1375">
        <f>ROUND($G$35/$C$6,0)</f>
        <v>24866</v>
      </c>
      <c r="J33" s="726">
        <f>J15+J20+J23+J32</f>
        <v>24866</v>
      </c>
      <c r="K33" s="1698"/>
      <c r="L33" s="1698"/>
      <c r="M33" s="1698"/>
      <c r="N33" s="1698"/>
      <c r="O33" s="1698"/>
    </row>
    <row r="34" spans="1:31" ht="14.25" thickTop="1" thickBot="1">
      <c r="B34" s="98"/>
      <c r="C34" s="75"/>
      <c r="D34" s="337"/>
      <c r="E34" s="337"/>
      <c r="F34" s="337" t="s">
        <v>1199</v>
      </c>
      <c r="G34" s="787">
        <f>G14*-1</f>
        <v>0</v>
      </c>
      <c r="H34" s="337"/>
      <c r="I34" s="783" t="s">
        <v>1167</v>
      </c>
      <c r="J34" s="727"/>
      <c r="K34" s="1699"/>
      <c r="L34" s="1699"/>
      <c r="M34" s="1699"/>
      <c r="N34" s="1699"/>
      <c r="O34" s="1699"/>
    </row>
    <row r="35" spans="1:31" ht="14.25" thickTop="1" thickBot="1">
      <c r="A35" s="81" t="s">
        <v>72</v>
      </c>
      <c r="B35" s="81"/>
      <c r="C35" s="81"/>
      <c r="D35" s="728"/>
      <c r="E35" s="728"/>
      <c r="F35" s="788" t="s">
        <v>1165</v>
      </c>
      <c r="G35" s="803">
        <f>F33+G34</f>
        <v>105820671</v>
      </c>
      <c r="I35" s="1376">
        <f>ROUND($G$35/$I$8,0)</f>
        <v>265814</v>
      </c>
      <c r="K35" s="609"/>
      <c r="L35" s="609"/>
      <c r="M35" s="609"/>
      <c r="N35" s="609"/>
      <c r="O35" s="609"/>
    </row>
    <row r="36" spans="1:31" ht="13.5" thickTop="1">
      <c r="A36" s="99" t="s">
        <v>14</v>
      </c>
      <c r="B36" s="83">
        <f>'P-B FGD'!M60</f>
        <v>35363099</v>
      </c>
      <c r="C36" s="83">
        <f t="shared" ref="C36:C46" si="9">ROUND(B36/$C$6,0)</f>
        <v>8310</v>
      </c>
      <c r="D36" s="512">
        <f>'P-B FGD'!F60</f>
        <v>0</v>
      </c>
      <c r="E36" s="512"/>
      <c r="F36" s="512">
        <f t="shared" ref="F36:F46" si="10">B36-(SUM(D36:E36))</f>
        <v>35363099</v>
      </c>
      <c r="G36" s="337"/>
      <c r="H36" s="1378" t="s">
        <v>2158</v>
      </c>
      <c r="I36" s="1379">
        <f>ROUND(F36/$C$6,0)</f>
        <v>8310</v>
      </c>
      <c r="J36" s="337" t="s">
        <v>752</v>
      </c>
      <c r="K36" s="512">
        <f>F36</f>
        <v>35363099</v>
      </c>
      <c r="L36" s="512">
        <f>K36</f>
        <v>35363099</v>
      </c>
      <c r="M36" s="512"/>
      <c r="N36" s="512"/>
      <c r="O36" s="512"/>
    </row>
    <row r="37" spans="1:31">
      <c r="A37" s="99" t="s">
        <v>15</v>
      </c>
      <c r="B37" s="86">
        <f>'P-B FGD'!M61</f>
        <v>2962585</v>
      </c>
      <c r="C37" s="87">
        <f t="shared" si="9"/>
        <v>696</v>
      </c>
      <c r="D37" s="86">
        <f>'P-B FGD'!F61</f>
        <v>0</v>
      </c>
      <c r="E37" s="74"/>
      <c r="F37" s="74">
        <f t="shared" si="10"/>
        <v>2962585</v>
      </c>
      <c r="G37" s="337"/>
      <c r="H37" s="337"/>
      <c r="J37" s="337" t="s">
        <v>1076</v>
      </c>
      <c r="K37" s="373">
        <f>F37</f>
        <v>2962585</v>
      </c>
      <c r="L37" s="373">
        <f>K37</f>
        <v>2962585</v>
      </c>
      <c r="M37" s="373"/>
      <c r="N37" s="373"/>
      <c r="O37" s="373"/>
    </row>
    <row r="38" spans="1:31">
      <c r="A38" s="99" t="s">
        <v>16</v>
      </c>
      <c r="B38" s="86">
        <f>'P-B FGD'!M62</f>
        <v>3948406</v>
      </c>
      <c r="C38" s="87">
        <f t="shared" si="9"/>
        <v>928</v>
      </c>
      <c r="D38" s="86">
        <f>'P-B FGD'!F62</f>
        <v>0</v>
      </c>
      <c r="E38" s="86">
        <f>B38-D38</f>
        <v>3948406</v>
      </c>
      <c r="F38" s="74">
        <f t="shared" si="10"/>
        <v>0</v>
      </c>
      <c r="G38" s="337"/>
      <c r="H38" s="337"/>
      <c r="I38" s="337"/>
      <c r="J38" s="337" t="s">
        <v>1077</v>
      </c>
      <c r="K38" s="736"/>
      <c r="L38" s="737"/>
      <c r="M38" s="737" t="s">
        <v>1152</v>
      </c>
      <c r="N38" s="737"/>
      <c r="O38" s="738"/>
    </row>
    <row r="39" spans="1:31">
      <c r="A39" s="99" t="s">
        <v>17</v>
      </c>
      <c r="B39" s="86">
        <f>'P-B FGD'!M63</f>
        <v>7304629</v>
      </c>
      <c r="C39" s="87">
        <f t="shared" si="9"/>
        <v>1716</v>
      </c>
      <c r="D39" s="86">
        <f>'P-B FGD'!F63</f>
        <v>0</v>
      </c>
      <c r="E39" s="74"/>
      <c r="F39" s="74">
        <f t="shared" si="10"/>
        <v>7304629</v>
      </c>
      <c r="G39" s="337"/>
      <c r="H39" s="1378" t="s">
        <v>2159</v>
      </c>
      <c r="I39" s="1379">
        <f>ROUND(F39/$C$6,0)</f>
        <v>1716</v>
      </c>
      <c r="J39" s="337" t="s">
        <v>1078</v>
      </c>
      <c r="K39" s="373">
        <f t="shared" ref="K39:K43" si="11">F39</f>
        <v>7304629</v>
      </c>
      <c r="L39" s="373">
        <f>K39</f>
        <v>7304629</v>
      </c>
      <c r="M39" s="373"/>
      <c r="N39" s="373"/>
      <c r="O39" s="373"/>
    </row>
    <row r="40" spans="1:31">
      <c r="A40" s="99" t="s">
        <v>18</v>
      </c>
      <c r="B40" s="86">
        <f>'P-B FGD'!M64</f>
        <v>3444460</v>
      </c>
      <c r="C40" s="87">
        <f t="shared" si="9"/>
        <v>809</v>
      </c>
      <c r="D40" s="86">
        <f>'P-B FGD'!F64</f>
        <v>0</v>
      </c>
      <c r="E40" s="74"/>
      <c r="F40" s="74">
        <f t="shared" si="10"/>
        <v>3444460</v>
      </c>
      <c r="G40" s="337"/>
      <c r="J40" s="337" t="s">
        <v>1079</v>
      </c>
      <c r="K40" s="373">
        <f t="shared" si="11"/>
        <v>3444460</v>
      </c>
      <c r="L40" s="373"/>
      <c r="M40" s="373">
        <f>K40</f>
        <v>3444460</v>
      </c>
      <c r="N40" s="373"/>
      <c r="O40" s="373"/>
    </row>
    <row r="41" spans="1:31">
      <c r="A41" s="99" t="s">
        <v>19</v>
      </c>
      <c r="B41" s="86">
        <f>'P-B FGD'!M65</f>
        <v>11662236</v>
      </c>
      <c r="C41" s="87">
        <f t="shared" si="9"/>
        <v>2740</v>
      </c>
      <c r="D41" s="86">
        <f>'P-B FGD'!F65</f>
        <v>0</v>
      </c>
      <c r="E41" s="74"/>
      <c r="F41" s="74">
        <f t="shared" si="10"/>
        <v>11662236</v>
      </c>
      <c r="G41" s="337"/>
      <c r="H41" s="1378" t="s">
        <v>2160</v>
      </c>
      <c r="I41" s="1379">
        <f>ROUND(F41/$C$6,0)</f>
        <v>2740</v>
      </c>
      <c r="J41" s="337" t="s">
        <v>757</v>
      </c>
      <c r="K41" s="373">
        <f t="shared" si="11"/>
        <v>11662236</v>
      </c>
      <c r="L41" s="373"/>
      <c r="M41" s="373"/>
      <c r="N41" s="373">
        <f>K41</f>
        <v>11662236</v>
      </c>
      <c r="O41" s="373"/>
    </row>
    <row r="42" spans="1:31">
      <c r="A42" s="99" t="s">
        <v>20</v>
      </c>
      <c r="B42" s="86">
        <f>'P-B FGD'!M66</f>
        <v>10219299</v>
      </c>
      <c r="C42" s="87">
        <f t="shared" si="9"/>
        <v>2401</v>
      </c>
      <c r="D42" s="86">
        <f>'P-B FGD'!F66</f>
        <v>0</v>
      </c>
      <c r="E42" s="74"/>
      <c r="F42" s="74">
        <f t="shared" si="10"/>
        <v>10219299</v>
      </c>
      <c r="G42" s="337"/>
      <c r="J42" s="337" t="s">
        <v>758</v>
      </c>
      <c r="K42" s="373">
        <f t="shared" si="11"/>
        <v>10219299</v>
      </c>
      <c r="L42" s="373"/>
      <c r="M42" s="373"/>
      <c r="N42" s="373">
        <f>K42</f>
        <v>10219299</v>
      </c>
      <c r="O42" s="373"/>
    </row>
    <row r="43" spans="1:31">
      <c r="A43" s="99" t="s">
        <v>21</v>
      </c>
      <c r="B43" s="86">
        <f>'P-B FGD'!M67</f>
        <v>11621692</v>
      </c>
      <c r="C43" s="87">
        <f t="shared" si="9"/>
        <v>2731</v>
      </c>
      <c r="D43" s="86">
        <f>'P-B FGD'!F67</f>
        <v>0</v>
      </c>
      <c r="E43" s="74"/>
      <c r="F43" s="74">
        <f t="shared" si="10"/>
        <v>11621692</v>
      </c>
      <c r="G43" s="337"/>
      <c r="H43" s="337"/>
      <c r="I43" s="337"/>
      <c r="J43" s="337" t="s">
        <v>1145</v>
      </c>
      <c r="K43" s="373">
        <f t="shared" si="11"/>
        <v>11621692</v>
      </c>
      <c r="L43" s="373"/>
      <c r="M43" s="373">
        <f>K43</f>
        <v>11621692</v>
      </c>
      <c r="N43" s="373"/>
      <c r="O43" s="373"/>
    </row>
    <row r="44" spans="1:31">
      <c r="A44" s="99" t="s">
        <v>2135</v>
      </c>
      <c r="B44" s="86">
        <f>'P-B FGD'!M68</f>
        <v>9498072</v>
      </c>
      <c r="C44" s="87">
        <f t="shared" si="9"/>
        <v>2232</v>
      </c>
      <c r="D44" s="729">
        <f>B44</f>
        <v>9498072</v>
      </c>
      <c r="E44" s="74"/>
      <c r="F44" s="74">
        <f t="shared" si="10"/>
        <v>0</v>
      </c>
      <c r="G44" s="337"/>
      <c r="H44" s="337"/>
      <c r="I44" s="337"/>
      <c r="J44" s="337" t="s">
        <v>743</v>
      </c>
      <c r="K44" s="736"/>
      <c r="L44" s="737"/>
      <c r="M44" s="737" t="s">
        <v>1152</v>
      </c>
      <c r="N44" s="737"/>
      <c r="O44" s="738"/>
    </row>
    <row r="45" spans="1:31">
      <c r="A45" s="99" t="s">
        <v>61</v>
      </c>
      <c r="B45" s="86">
        <f>'P-B FGD'!M69</f>
        <v>3447006</v>
      </c>
      <c r="C45" s="87">
        <f t="shared" si="9"/>
        <v>810</v>
      </c>
      <c r="D45" s="86">
        <f>'P-B FGD'!F69</f>
        <v>5726</v>
      </c>
      <c r="E45" s="74"/>
      <c r="F45" s="74">
        <f t="shared" si="10"/>
        <v>3441280</v>
      </c>
      <c r="G45" s="337"/>
      <c r="H45" s="337"/>
      <c r="I45" s="337"/>
      <c r="J45" s="337" t="s">
        <v>1080</v>
      </c>
      <c r="K45" s="373">
        <f t="shared" ref="K45:K46" si="12">F45</f>
        <v>3441280</v>
      </c>
      <c r="L45" s="373"/>
      <c r="M45" s="373"/>
      <c r="N45" s="373"/>
      <c r="O45" s="373">
        <f>K45</f>
        <v>3441280</v>
      </c>
    </row>
    <row r="46" spans="1:31" ht="13.5" thickBot="1">
      <c r="A46" s="75" t="s">
        <v>50</v>
      </c>
      <c r="B46" s="86">
        <f>'P-B FGD'!M70</f>
        <v>18266</v>
      </c>
      <c r="C46" s="87">
        <f t="shared" si="9"/>
        <v>4</v>
      </c>
      <c r="D46" s="86">
        <f>'P-B FGD'!F70</f>
        <v>0</v>
      </c>
      <c r="E46" s="74"/>
      <c r="F46" s="74">
        <f t="shared" si="10"/>
        <v>18266</v>
      </c>
      <c r="G46" s="35"/>
      <c r="H46" s="1378" t="s">
        <v>2161</v>
      </c>
      <c r="I46" s="1379">
        <f>ROUND(SUM(F37+F40+F42+F43+F45+F46)/$C$6,0)</f>
        <v>7451</v>
      </c>
      <c r="J46" s="610" t="s">
        <v>1075</v>
      </c>
      <c r="K46" s="373">
        <f t="shared" si="12"/>
        <v>18266</v>
      </c>
      <c r="L46" s="611"/>
      <c r="M46" s="611"/>
      <c r="N46" s="611"/>
      <c r="O46" s="373">
        <f>K46</f>
        <v>18266</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99489750</v>
      </c>
      <c r="C47" s="45">
        <f>SUM(C36:C46)</f>
        <v>23377</v>
      </c>
      <c r="D47" s="730">
        <f>SUM(D36:D46)</f>
        <v>9503798</v>
      </c>
      <c r="E47" s="731">
        <f>SUM(E36:E46)</f>
        <v>3948406</v>
      </c>
      <c r="F47" s="719">
        <f>SUM(F36:F46)</f>
        <v>86037546</v>
      </c>
      <c r="G47" s="1688" t="s">
        <v>1176</v>
      </c>
      <c r="H47" s="1689"/>
      <c r="I47" s="785" t="s">
        <v>1164</v>
      </c>
      <c r="J47" s="610" t="s">
        <v>1081</v>
      </c>
      <c r="K47" s="612">
        <f>SUM(K36:K46)</f>
        <v>86037546</v>
      </c>
      <c r="L47" s="612">
        <f>SUM(L36:L46)</f>
        <v>45630313</v>
      </c>
      <c r="M47" s="612">
        <f>SUM(M36:M46)</f>
        <v>15066152</v>
      </c>
      <c r="N47" s="612">
        <f>SUM(N36:N46)</f>
        <v>21881535</v>
      </c>
      <c r="O47" s="612">
        <f>SUM(O36:O46)</f>
        <v>3459546</v>
      </c>
    </row>
    <row r="48" spans="1:31" ht="14.25" thickTop="1" thickBot="1">
      <c r="A48" s="93"/>
      <c r="B48" s="98"/>
      <c r="C48" s="75"/>
      <c r="F48" s="613"/>
      <c r="G48" s="1690"/>
      <c r="H48" s="1691"/>
      <c r="I48" s="823">
        <f>ROUND(F47/C6,0)</f>
        <v>20217</v>
      </c>
      <c r="J48" s="1700" t="s">
        <v>1082</v>
      </c>
      <c r="K48" s="611"/>
      <c r="L48" s="611"/>
      <c r="M48" s="611"/>
      <c r="N48" s="611"/>
      <c r="O48" s="611"/>
    </row>
    <row r="49" spans="1:31" ht="13.5" thickBot="1">
      <c r="A49" s="78" t="s">
        <v>23</v>
      </c>
      <c r="B49" s="82"/>
      <c r="C49" s="75"/>
      <c r="F49" s="614"/>
      <c r="G49" s="1690"/>
      <c r="H49" s="1691"/>
      <c r="I49" s="811"/>
      <c r="J49" s="1700"/>
      <c r="K49" s="615">
        <f>ROUND(K47/$C$6,2)</f>
        <v>20217.11</v>
      </c>
      <c r="L49" s="615">
        <f t="shared" ref="L49:O49" si="13">ROUND(L47/$C$6,2)</f>
        <v>10722.21</v>
      </c>
      <c r="M49" s="615">
        <f t="shared" si="13"/>
        <v>3540.25</v>
      </c>
      <c r="N49" s="615">
        <f t="shared" si="13"/>
        <v>5141.72</v>
      </c>
      <c r="O49" s="615">
        <f t="shared" si="13"/>
        <v>812.92</v>
      </c>
      <c r="P49" s="35"/>
      <c r="Q49" s="96"/>
      <c r="R49" s="96"/>
      <c r="S49" s="96"/>
      <c r="T49" s="96"/>
      <c r="U49" s="96"/>
      <c r="V49" s="96"/>
      <c r="W49" s="96"/>
      <c r="X49" s="96"/>
      <c r="Y49" s="96"/>
      <c r="Z49" s="96"/>
      <c r="AA49" s="96"/>
      <c r="AB49" s="96"/>
      <c r="AC49" s="96"/>
      <c r="AD49" s="96"/>
      <c r="AE49" s="96"/>
    </row>
    <row r="50" spans="1:31" ht="13.5" thickBot="1">
      <c r="A50" s="75" t="s">
        <v>62</v>
      </c>
      <c r="B50" s="86">
        <f>'P-B FGD'!M74</f>
        <v>-8030225</v>
      </c>
      <c r="C50" s="83">
        <f t="shared" ref="C50:C53" si="14">ROUND(B50/$C$6,0)</f>
        <v>-1887</v>
      </c>
      <c r="D50" s="512">
        <f>'P-B FGD'!F74</f>
        <v>0</v>
      </c>
      <c r="E50" s="512"/>
      <c r="F50" s="732">
        <f t="shared" ref="F50:F53" si="15">B50-(SUM(D50:E50))</f>
        <v>-8030225</v>
      </c>
      <c r="G50" s="1692"/>
      <c r="H50" s="1693"/>
      <c r="I50" s="808"/>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'P-B FGD'!M75</f>
        <v>89184</v>
      </c>
      <c r="C51" s="87">
        <f t="shared" si="14"/>
        <v>21</v>
      </c>
      <c r="D51" s="91">
        <f>'P-B FGD'!F75</f>
        <v>3653431</v>
      </c>
      <c r="E51" s="82"/>
      <c r="F51" s="74">
        <f t="shared" si="15"/>
        <v>-3564247</v>
      </c>
      <c r="G51" s="337"/>
      <c r="J51" s="337"/>
      <c r="K51" s="616"/>
      <c r="L51" s="616"/>
      <c r="M51" s="616"/>
      <c r="N51" s="616"/>
      <c r="O51" s="616"/>
    </row>
    <row r="52" spans="1:31">
      <c r="A52" s="75" t="s">
        <v>51</v>
      </c>
      <c r="B52" s="86">
        <f>'P-B FGD'!M76</f>
        <v>8659975</v>
      </c>
      <c r="C52" s="87">
        <f t="shared" si="14"/>
        <v>2035</v>
      </c>
      <c r="D52" s="91">
        <f>'P-B FGD'!F76</f>
        <v>0</v>
      </c>
      <c r="E52" s="82"/>
      <c r="F52" s="74">
        <f t="shared" si="15"/>
        <v>8659975</v>
      </c>
      <c r="G52" s="337"/>
      <c r="J52" s="733"/>
      <c r="K52" s="733"/>
      <c r="L52" s="733"/>
      <c r="M52" s="733"/>
      <c r="N52" s="733"/>
      <c r="O52" s="733"/>
    </row>
    <row r="53" spans="1:31" ht="12" customHeight="1">
      <c r="A53" s="75" t="s">
        <v>46</v>
      </c>
      <c r="B53" s="86">
        <f>'P-B FGD'!M77</f>
        <v>-17255012</v>
      </c>
      <c r="C53" s="87">
        <f t="shared" si="14"/>
        <v>-4055</v>
      </c>
      <c r="D53" s="91">
        <f>'P-B FGD'!F77</f>
        <v>-3656026</v>
      </c>
      <c r="E53" s="82"/>
      <c r="F53" s="74">
        <f t="shared" si="15"/>
        <v>-13598986</v>
      </c>
      <c r="G53" s="35"/>
      <c r="J53" s="733"/>
      <c r="K53" s="733"/>
      <c r="L53" s="733"/>
      <c r="M53" s="733"/>
      <c r="N53" s="733"/>
      <c r="O53" s="733"/>
      <c r="P53" s="35"/>
      <c r="Q53" s="96"/>
      <c r="R53" s="96"/>
      <c r="S53" s="96"/>
      <c r="T53" s="96"/>
      <c r="U53" s="96"/>
      <c r="V53" s="96"/>
      <c r="W53" s="96"/>
      <c r="X53" s="96"/>
      <c r="Y53" s="96"/>
      <c r="Z53" s="96"/>
      <c r="AA53" s="96"/>
      <c r="AB53" s="96"/>
      <c r="AC53" s="96"/>
      <c r="AD53" s="96"/>
      <c r="AE53" s="96"/>
    </row>
    <row r="54" spans="1:31">
      <c r="A54" s="88" t="s">
        <v>3</v>
      </c>
      <c r="B54" s="89">
        <f>SUM(B50:B53)</f>
        <v>-16536078</v>
      </c>
      <c r="C54" s="89">
        <f>SUM(C50:C53)</f>
        <v>-3886</v>
      </c>
      <c r="D54" s="89">
        <f>SUM(D50:D53)</f>
        <v>-2595</v>
      </c>
      <c r="E54" s="89">
        <f>SUM(E50:E53)</f>
        <v>0</v>
      </c>
      <c r="F54" s="102">
        <f>SUM(F50:F53)</f>
        <v>-16533483</v>
      </c>
      <c r="G54" s="337"/>
      <c r="H54" s="337"/>
      <c r="I54" s="337"/>
      <c r="J54" s="733"/>
      <c r="K54" s="733"/>
      <c r="L54" s="733"/>
      <c r="M54" s="733"/>
      <c r="N54" s="733"/>
      <c r="O54" s="733"/>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'P-B FGD'!M81</f>
        <v>13155958</v>
      </c>
      <c r="C57" s="83">
        <f>ROUND(B57/$C$6,0)</f>
        <v>3091</v>
      </c>
      <c r="D57" s="512">
        <f>'P-B FGD'!F81</f>
        <v>0</v>
      </c>
      <c r="E57" s="512"/>
      <c r="F57" s="512">
        <f t="shared" ref="F57:F58" si="16">B57-(SUM(D57:E57))</f>
        <v>13155958</v>
      </c>
      <c r="G57" s="337"/>
      <c r="H57" s="337"/>
      <c r="I57" s="337"/>
      <c r="J57" s="337"/>
    </row>
    <row r="58" spans="1:31">
      <c r="A58" s="75" t="s">
        <v>48</v>
      </c>
      <c r="B58" s="86">
        <f>'P-B FGD'!M82</f>
        <v>3504810</v>
      </c>
      <c r="C58" s="87">
        <f>ROUND(B58/$C$6,0)</f>
        <v>824</v>
      </c>
      <c r="D58" s="91">
        <f>'P-B FGD'!F82</f>
        <v>0</v>
      </c>
      <c r="E58" s="82"/>
      <c r="F58" s="74">
        <f t="shared" si="16"/>
        <v>3504810</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16660768</v>
      </c>
      <c r="C59" s="89">
        <f>SUM(C57:C58)</f>
        <v>3915</v>
      </c>
      <c r="D59" s="89">
        <f>SUM(D57:D58)</f>
        <v>0</v>
      </c>
      <c r="E59" s="89">
        <f>SUM(E57:E58)</f>
        <v>0</v>
      </c>
      <c r="F59" s="89">
        <f>SUM(F57:F58)</f>
        <v>16660768</v>
      </c>
      <c r="G59" s="367"/>
      <c r="H59" s="367"/>
      <c r="I59" s="367"/>
      <c r="J59" s="367"/>
      <c r="K59" s="266"/>
      <c r="L59" s="266"/>
      <c r="M59" s="266"/>
      <c r="N59" s="266"/>
      <c r="O59" s="266"/>
      <c r="P59" s="266"/>
    </row>
    <row r="60" spans="1:31">
      <c r="B60" s="82"/>
      <c r="C60" s="75"/>
    </row>
    <row r="61" spans="1:31" ht="13.5" thickBot="1">
      <c r="A61" s="103" t="s">
        <v>573</v>
      </c>
      <c r="B61" s="46">
        <f>B33-B47+B54+B59</f>
        <v>15468360</v>
      </c>
      <c r="C61" s="46">
        <f>C33-C47+C54+C59</f>
        <v>3636</v>
      </c>
      <c r="D61" s="46">
        <f>D33-D47+D54+D59</f>
        <v>-493644</v>
      </c>
      <c r="E61" s="46">
        <f>E33-E47+E54+E59</f>
        <v>-3948406</v>
      </c>
      <c r="F61" s="46">
        <f>F33-F47+F54+F59</f>
        <v>19910410</v>
      </c>
    </row>
    <row r="62" spans="1:31" ht="13.5" thickTop="1"/>
    <row r="63" spans="1:31">
      <c r="D63" s="512"/>
    </row>
    <row r="65" spans="2:16">
      <c r="B65" s="734">
        <f>'P-B FGD'!$M$85</f>
        <v>15468360</v>
      </c>
      <c r="C65" s="75"/>
      <c r="D65" s="734">
        <f>'P-B FGD'!$F$85</f>
        <v>603262</v>
      </c>
      <c r="E65" s="734">
        <f>'P-B FGD'!$M$62*-1</f>
        <v>-3948406</v>
      </c>
      <c r="F65" s="75"/>
    </row>
    <row r="66" spans="2:16">
      <c r="B66" s="734"/>
      <c r="C66" s="75"/>
      <c r="D66" s="734">
        <f>'P-B FGD'!$F$68</f>
        <v>8401166</v>
      </c>
      <c r="E66" s="734">
        <f>+$D$38</f>
        <v>0</v>
      </c>
      <c r="F66" s="734"/>
    </row>
    <row r="67" spans="2:16">
      <c r="B67" s="759"/>
      <c r="C67" s="75"/>
      <c r="D67" s="759">
        <f>-'P-B FGD'!$M$68</f>
        <v>-9498072</v>
      </c>
      <c r="E67" s="759"/>
      <c r="F67" s="734"/>
    </row>
    <row r="68" spans="2:16">
      <c r="B68" s="734">
        <f>SUM(B65:B67)</f>
        <v>15468360</v>
      </c>
      <c r="C68" s="75"/>
      <c r="D68" s="734">
        <f>SUM(D65:D67)</f>
        <v>-493644</v>
      </c>
      <c r="E68" s="734">
        <f>SUM(E65:E67)</f>
        <v>-3948406</v>
      </c>
      <c r="F68" s="734">
        <f>B68-D68-E68</f>
        <v>19910410</v>
      </c>
    </row>
    <row r="69" spans="2:16">
      <c r="B69" s="734"/>
      <c r="C69" s="75"/>
      <c r="D69" s="734">
        <f>'P-B FGD'!F54*-1</f>
        <v>-6063878</v>
      </c>
      <c r="E69" s="734"/>
      <c r="F69" s="734"/>
    </row>
    <row r="70" spans="2:16" ht="12.75" customHeight="1">
      <c r="B70" s="759"/>
      <c r="C70" s="95"/>
      <c r="D70" s="759">
        <f>'P-B FGD'!M54</f>
        <v>6063878</v>
      </c>
      <c r="E70" s="759"/>
      <c r="F70" s="759">
        <f>-D70-D69</f>
        <v>0</v>
      </c>
    </row>
    <row r="71" spans="2:16" ht="12.75" customHeight="1">
      <c r="B71" s="734">
        <f>SUM(B68:B70)</f>
        <v>15468360</v>
      </c>
      <c r="C71" s="75"/>
      <c r="D71" s="734">
        <f>SUM(D68:D70)</f>
        <v>-493644</v>
      </c>
      <c r="E71" s="734">
        <f>SUM(E68:E70)</f>
        <v>-3948406</v>
      </c>
      <c r="F71" s="734">
        <f>SUM(F68:F70)</f>
        <v>19910410</v>
      </c>
    </row>
    <row r="72" spans="2:16" ht="12.75" customHeight="1">
      <c r="B72" s="734"/>
      <c r="C72" s="75"/>
      <c r="D72" s="734"/>
      <c r="E72" s="734"/>
      <c r="F72" s="734"/>
    </row>
    <row r="73" spans="2:16" ht="12.75" customHeight="1">
      <c r="B73" s="512">
        <f>B61-B71</f>
        <v>0</v>
      </c>
      <c r="C73" s="75"/>
      <c r="D73" s="512">
        <f>D61-D71</f>
        <v>0</v>
      </c>
      <c r="E73" s="512">
        <f>E61-E71</f>
        <v>0</v>
      </c>
      <c r="F73" s="512">
        <f>F61-F71</f>
        <v>0</v>
      </c>
    </row>
    <row r="74" spans="2:16" ht="12.75" customHeight="1">
      <c r="C74" s="75"/>
      <c r="F74" s="617"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G47:H50"/>
    <mergeCell ref="K30:O30"/>
    <mergeCell ref="M31:M34"/>
    <mergeCell ref="G32:H32"/>
    <mergeCell ref="G33:H33"/>
    <mergeCell ref="L31:L34"/>
    <mergeCell ref="K31:K34"/>
    <mergeCell ref="N31:N34"/>
    <mergeCell ref="O31:O34"/>
    <mergeCell ref="J48:J49"/>
    <mergeCell ref="F1:I1"/>
    <mergeCell ref="J1:O1"/>
    <mergeCell ref="D1:E1"/>
    <mergeCell ref="K29:O29"/>
    <mergeCell ref="D4:D5"/>
    <mergeCell ref="E4:E5"/>
  </mergeCells>
  <hyperlinks>
    <hyperlink ref="D1:E1" location="Index!A1" display="Return to Index" xr:uid="{00000000-0004-0000-2E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33">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5.140625" style="164" customWidth="1"/>
    <col min="15" max="15" width="14.42578125" style="261" customWidth="1"/>
    <col min="16" max="16" width="25.7109375" style="264" customWidth="1"/>
    <col min="17" max="17" width="16.42578125" style="264" customWidth="1"/>
    <col min="18" max="18" width="17.7109375" style="264" customWidth="1"/>
    <col min="19" max="19" width="1.7109375" style="264" customWidth="1"/>
    <col min="20" max="20" width="17.140625" style="264" customWidth="1"/>
    <col min="21" max="21" width="16.85546875" style="264" customWidth="1"/>
    <col min="22" max="23" width="19.28515625" style="264" customWidth="1"/>
    <col min="24" max="24" width="16.855468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13" t="str">
        <f>'P-B Chrts'!$A$1</f>
        <v>The University of Texas of the Permian Basin</v>
      </c>
      <c r="C2" s="1713"/>
      <c r="D2" s="1713"/>
      <c r="E2" s="1713"/>
      <c r="F2" s="1742"/>
      <c r="G2" s="160"/>
      <c r="H2" s="161"/>
      <c r="I2" s="320" t="str">
        <f>IF($B$2&lt;&gt;Input!$B$11,"Name Mismatch","")</f>
        <v/>
      </c>
      <c r="J2" s="168"/>
      <c r="K2" s="169"/>
      <c r="L2" s="169"/>
      <c r="M2" s="170"/>
      <c r="O2" s="835" t="s">
        <v>1200</v>
      </c>
      <c r="P2" s="36"/>
    </row>
    <row r="3" spans="1:28" ht="20.25">
      <c r="A3" s="184">
        <v>2</v>
      </c>
      <c r="B3" s="1713" t="str">
        <f>'Smmy Chrts'!$A$2</f>
        <v>For the Year Ended August 31, 2021</v>
      </c>
      <c r="C3" s="1713"/>
      <c r="D3" s="1713"/>
      <c r="E3" s="1713"/>
      <c r="F3" s="1742"/>
      <c r="G3" s="161"/>
      <c r="H3" s="161"/>
      <c r="I3" s="169"/>
      <c r="J3" s="168"/>
      <c r="K3" s="169"/>
      <c r="L3" s="169"/>
      <c r="M3" s="170"/>
      <c r="O3" s="74"/>
    </row>
    <row r="4" spans="1:28" ht="20.25">
      <c r="A4" s="184">
        <v>3</v>
      </c>
      <c r="B4" s="1713" t="str">
        <f>'Smmy Chrts'!$A$3</f>
        <v>Source: FY 2021 Annual Financial Report</v>
      </c>
      <c r="C4" s="1713"/>
      <c r="D4" s="1713"/>
      <c r="E4" s="1713"/>
      <c r="F4" s="1742"/>
      <c r="G4" s="161"/>
      <c r="H4" s="161"/>
      <c r="I4" s="169"/>
      <c r="J4" s="168"/>
      <c r="K4" s="169"/>
      <c r="L4" s="169"/>
      <c r="M4" s="170"/>
      <c r="O4" s="74"/>
      <c r="P4" s="1744" t="s">
        <v>93</v>
      </c>
      <c r="Q4" s="1745"/>
      <c r="T4" s="36" t="s">
        <v>250</v>
      </c>
    </row>
    <row r="5" spans="1:28">
      <c r="A5" s="184">
        <v>4</v>
      </c>
      <c r="B5" s="160"/>
      <c r="C5" s="160"/>
      <c r="D5" s="160"/>
      <c r="E5" s="160"/>
      <c r="F5" s="160"/>
      <c r="G5" s="160"/>
      <c r="H5" s="160"/>
      <c r="I5" s="160"/>
      <c r="J5" s="160"/>
      <c r="K5" s="160"/>
      <c r="L5" s="160"/>
      <c r="M5" s="166"/>
      <c r="O5" s="262"/>
    </row>
    <row r="6" spans="1:28">
      <c r="A6" s="184">
        <v>5</v>
      </c>
      <c r="B6" s="1715" t="str">
        <f>'Smmy Chrts'!$C$32</f>
        <v>Detail Worksheet FY 2021</v>
      </c>
      <c r="C6" s="1715"/>
      <c r="D6" s="1743"/>
      <c r="E6" s="1743"/>
      <c r="F6" s="1743"/>
      <c r="G6" s="1743"/>
      <c r="H6" s="1743"/>
      <c r="I6" s="1743"/>
      <c r="J6" s="1743"/>
      <c r="K6" s="1743"/>
      <c r="L6" s="1743"/>
      <c r="M6" s="1743"/>
      <c r="O6" s="265"/>
    </row>
    <row r="7" spans="1:28">
      <c r="A7" s="184">
        <v>6</v>
      </c>
      <c r="B7" s="172"/>
      <c r="C7" s="172"/>
      <c r="D7" s="160"/>
      <c r="E7" s="160"/>
      <c r="F7" s="160"/>
      <c r="G7" s="160"/>
      <c r="H7" s="160"/>
      <c r="I7" s="160"/>
      <c r="J7" s="160"/>
      <c r="K7" s="160"/>
      <c r="L7" s="160"/>
      <c r="M7" s="173" t="str">
        <f>'Smmy Chrts'!$C$33</f>
        <v>FY 2021</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Input!$M$11</f>
        <v>33419456</v>
      </c>
      <c r="E10" s="372">
        <f>Input!$N$11</f>
        <v>0</v>
      </c>
      <c r="F10" s="372">
        <f>Input!$O$11</f>
        <v>0</v>
      </c>
      <c r="G10" s="372">
        <f>Input!$P$11</f>
        <v>0</v>
      </c>
      <c r="H10" s="372">
        <f>Input!$Q$11</f>
        <v>0</v>
      </c>
      <c r="I10" s="372">
        <f>Input!$R$11</f>
        <v>0</v>
      </c>
      <c r="J10" s="372">
        <f>Input!$S$11</f>
        <v>0</v>
      </c>
      <c r="K10" s="372">
        <f>Input!$T$11</f>
        <v>0</v>
      </c>
      <c r="L10" s="372">
        <f>Input!$U$11</f>
        <v>0</v>
      </c>
      <c r="M10" s="373">
        <f t="shared" ref="M10:M15" si="0">D10+E10+F10+G10+H10+I10+J10+K10+L10</f>
        <v>33419456</v>
      </c>
      <c r="N10" s="160"/>
      <c r="O10" s="271"/>
      <c r="P10" s="1718" t="s">
        <v>575</v>
      </c>
      <c r="U10" s="268"/>
    </row>
    <row r="11" spans="1:28">
      <c r="A11" s="184">
        <v>10</v>
      </c>
      <c r="B11" s="160" t="s">
        <v>2</v>
      </c>
      <c r="C11" s="160"/>
      <c r="D11" s="372">
        <f>Input!$V$11</f>
        <v>39421</v>
      </c>
      <c r="E11" s="372">
        <f>Input!$W$11</f>
        <v>6970439</v>
      </c>
      <c r="F11" s="372">
        <f>Input!$X$11</f>
        <v>0</v>
      </c>
      <c r="G11" s="372">
        <f>Input!$Y$11</f>
        <v>2587162</v>
      </c>
      <c r="H11" s="372">
        <f>Input!$Z$11</f>
        <v>0</v>
      </c>
      <c r="I11" s="372">
        <f>Input!$AA$11</f>
        <v>0</v>
      </c>
      <c r="J11" s="372">
        <f>Input!$AB$11</f>
        <v>0</v>
      </c>
      <c r="K11" s="372">
        <f>Input!$AC$11</f>
        <v>0</v>
      </c>
      <c r="L11" s="372">
        <f>Input!$AD$11</f>
        <v>0</v>
      </c>
      <c r="M11" s="373">
        <f t="shared" si="0"/>
        <v>9597022</v>
      </c>
      <c r="N11" s="160"/>
      <c r="O11" s="482"/>
      <c r="P11" s="1719"/>
      <c r="U11" s="268"/>
    </row>
    <row r="12" spans="1:28" ht="12.75" hidden="1" customHeight="1">
      <c r="B12" s="160" t="s">
        <v>1410</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Input!$AN$11</f>
        <v>0</v>
      </c>
      <c r="E13" s="372">
        <f>Input!$AO$11</f>
        <v>0</v>
      </c>
      <c r="F13" s="372">
        <f>Input!$AP$11</f>
        <v>0</v>
      </c>
      <c r="G13" s="372">
        <f>Input!$AQ$11</f>
        <v>0</v>
      </c>
      <c r="H13" s="372">
        <f>Input!$AR$11</f>
        <v>0</v>
      </c>
      <c r="I13" s="372">
        <f>Input!$AS$11</f>
        <v>0</v>
      </c>
      <c r="J13" s="372">
        <f>Input!$AT$11</f>
        <v>0</v>
      </c>
      <c r="K13" s="372">
        <f>Input!$AU$11</f>
        <v>0</v>
      </c>
      <c r="L13" s="372">
        <f>Input!$AV$11</f>
        <v>0</v>
      </c>
      <c r="M13" s="373">
        <f t="shared" si="0"/>
        <v>0</v>
      </c>
      <c r="N13" s="160"/>
      <c r="O13" s="482" t="str">
        <f>IF(P13&lt;&gt;M13,"Out of Balance","Balanced")</f>
        <v>Balanced</v>
      </c>
      <c r="P13" s="484">
        <f>IFERROR(VLOOKUP($B$2,AMTLU,6,FALSE),0)</f>
        <v>0</v>
      </c>
      <c r="U13" s="268"/>
    </row>
    <row r="14" spans="1:28">
      <c r="A14" s="184">
        <v>13</v>
      </c>
      <c r="B14" s="160" t="s">
        <v>49</v>
      </c>
      <c r="C14" s="160"/>
      <c r="D14" s="372">
        <f>Input!$AW$11</f>
        <v>0</v>
      </c>
      <c r="E14" s="372">
        <f>Input!$AX$11</f>
        <v>0</v>
      </c>
      <c r="F14" s="372">
        <f>Input!$AY$11</f>
        <v>0</v>
      </c>
      <c r="G14" s="372">
        <f>Input!$AZ$11</f>
        <v>0</v>
      </c>
      <c r="H14" s="372">
        <f>Input!$BA$11</f>
        <v>0</v>
      </c>
      <c r="I14" s="372">
        <f>Input!$BB$11</f>
        <v>0</v>
      </c>
      <c r="J14" s="372">
        <f>Input!$BC$11</f>
        <v>0</v>
      </c>
      <c r="K14" s="372">
        <f>Input!$BD$11</f>
        <v>0</v>
      </c>
      <c r="L14" s="372">
        <f>Input!$BE$11</f>
        <v>0</v>
      </c>
      <c r="M14" s="373">
        <f t="shared" si="0"/>
        <v>0</v>
      </c>
      <c r="N14" s="160"/>
      <c r="O14" s="482"/>
      <c r="P14" s="485"/>
    </row>
    <row r="15" spans="1:28" ht="15">
      <c r="A15" s="184">
        <v>14</v>
      </c>
      <c r="B15" s="176" t="s">
        <v>3</v>
      </c>
      <c r="C15" s="176"/>
      <c r="D15" s="374">
        <f t="shared" ref="D15:L15" si="1">SUM(D10:D14)</f>
        <v>33458877</v>
      </c>
      <c r="E15" s="374">
        <f t="shared" si="1"/>
        <v>6970439</v>
      </c>
      <c r="F15" s="374">
        <f t="shared" si="1"/>
        <v>0</v>
      </c>
      <c r="G15" s="374">
        <f t="shared" si="1"/>
        <v>2587162</v>
      </c>
      <c r="H15" s="374">
        <f t="shared" si="1"/>
        <v>0</v>
      </c>
      <c r="I15" s="374">
        <f t="shared" si="1"/>
        <v>0</v>
      </c>
      <c r="J15" s="374">
        <f t="shared" si="1"/>
        <v>0</v>
      </c>
      <c r="K15" s="374">
        <f t="shared" si="1"/>
        <v>0</v>
      </c>
      <c r="L15" s="374">
        <f t="shared" si="1"/>
        <v>0</v>
      </c>
      <c r="M15" s="374">
        <f t="shared" si="0"/>
        <v>43016478</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58" t="s">
        <v>1042</v>
      </c>
      <c r="C18" s="558"/>
      <c r="D18" s="374">
        <f t="shared" ref="D18:L18" si="2">D23-SUM(D19:D22)</f>
        <v>8826188</v>
      </c>
      <c r="E18" s="374">
        <f t="shared" si="2"/>
        <v>21539498</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30365686</v>
      </c>
      <c r="V18" s="327"/>
      <c r="X18" s="330"/>
    </row>
    <row r="19" spans="1:26" s="264" customFormat="1" ht="12.75" customHeight="1" thickTop="1" thickBot="1">
      <c r="A19" s="263"/>
      <c r="B19" s="261" t="s">
        <v>722</v>
      </c>
      <c r="C19" s="261"/>
      <c r="D19" s="372">
        <f>Input!$BF$11</f>
        <v>-1862320</v>
      </c>
      <c r="E19" s="372">
        <f>Input!$BG$11</f>
        <v>-24942</v>
      </c>
      <c r="F19" s="372">
        <f>Input!$BH$11</f>
        <v>0</v>
      </c>
      <c r="G19" s="372">
        <f>Input!$BI$11</f>
        <v>0</v>
      </c>
      <c r="H19" s="372">
        <f>Input!$BJ$11</f>
        <v>0</v>
      </c>
      <c r="I19" s="372">
        <f>Input!$BK$11</f>
        <v>0</v>
      </c>
      <c r="J19" s="372">
        <f>Input!$BL$11</f>
        <v>0</v>
      </c>
      <c r="K19" s="372">
        <f>Input!$BM$11</f>
        <v>0</v>
      </c>
      <c r="L19" s="372">
        <f>Input!$BN$11</f>
        <v>0</v>
      </c>
      <c r="M19" s="373">
        <f t="shared" si="3"/>
        <v>-1887262</v>
      </c>
      <c r="O19" s="1732" t="s">
        <v>1294</v>
      </c>
      <c r="P19" s="1733"/>
      <c r="Q19" s="1733"/>
      <c r="R19" s="1734"/>
      <c r="T19" s="1735" t="s">
        <v>1043</v>
      </c>
      <c r="U19" s="1736"/>
      <c r="V19" s="1736"/>
      <c r="W19" s="1736"/>
      <c r="X19" s="1737"/>
    </row>
    <row r="20" spans="1:26" s="264" customFormat="1" ht="12.75" customHeight="1" thickTop="1">
      <c r="A20" s="263"/>
      <c r="B20" s="261" t="s">
        <v>723</v>
      </c>
      <c r="C20" s="261"/>
      <c r="D20" s="372">
        <f>Input!$BO$11</f>
        <v>0</v>
      </c>
      <c r="E20" s="372">
        <f>Input!$BP$11</f>
        <v>0</v>
      </c>
      <c r="F20" s="372">
        <f>Input!$BQ$11</f>
        <v>0</v>
      </c>
      <c r="G20" s="372">
        <f>Input!$BR$11</f>
        <v>0</v>
      </c>
      <c r="H20" s="372">
        <f>Input!$BS$11</f>
        <v>0</v>
      </c>
      <c r="I20" s="372">
        <f>Input!$BT$11</f>
        <v>0</v>
      </c>
      <c r="J20" s="372">
        <f>Input!$BU$11</f>
        <v>0</v>
      </c>
      <c r="K20" s="372">
        <f>Input!$BV$11</f>
        <v>0</v>
      </c>
      <c r="L20" s="372">
        <f>Input!$BW$11</f>
        <v>0</v>
      </c>
      <c r="M20" s="373">
        <f t="shared" si="3"/>
        <v>0</v>
      </c>
      <c r="O20" s="421" t="s">
        <v>288</v>
      </c>
      <c r="P20" s="422"/>
      <c r="Q20" s="414"/>
      <c r="R20" s="559"/>
      <c r="T20" s="560" t="s">
        <v>1044</v>
      </c>
      <c r="U20" s="266"/>
      <c r="V20" s="266"/>
      <c r="X20" s="425"/>
    </row>
    <row r="21" spans="1:26" s="264" customFormat="1">
      <c r="A21" s="263"/>
      <c r="B21" s="261" t="s">
        <v>724</v>
      </c>
      <c r="C21" s="261"/>
      <c r="D21" s="372">
        <f>Input!$BX$11</f>
        <v>0</v>
      </c>
      <c r="E21" s="372">
        <f>Input!$BY$11</f>
        <v>0</v>
      </c>
      <c r="F21" s="372">
        <f>Input!$BZ$11</f>
        <v>0</v>
      </c>
      <c r="G21" s="372">
        <f>Input!$CA$11</f>
        <v>0</v>
      </c>
      <c r="H21" s="372">
        <f>Input!$CB$11</f>
        <v>0</v>
      </c>
      <c r="I21" s="372">
        <f>Input!$CC$11</f>
        <v>0</v>
      </c>
      <c r="J21" s="372">
        <f>Input!$CD$11</f>
        <v>0</v>
      </c>
      <c r="K21" s="372">
        <f>Input!$CE$11</f>
        <v>0</v>
      </c>
      <c r="L21" s="372">
        <f>Input!$CF$11</f>
        <v>0</v>
      </c>
      <c r="M21" s="373">
        <f t="shared" si="3"/>
        <v>0</v>
      </c>
      <c r="O21" s="434"/>
      <c r="R21" s="561"/>
      <c r="T21" s="650" t="s">
        <v>1045</v>
      </c>
      <c r="U21" s="266"/>
      <c r="V21" s="266"/>
      <c r="W21" s="651">
        <f>M44</f>
        <v>32513106</v>
      </c>
      <c r="X21" s="425"/>
      <c r="Z21" s="330"/>
    </row>
    <row r="22" spans="1:26" s="264" customFormat="1">
      <c r="A22" s="263"/>
      <c r="B22" s="261" t="s">
        <v>725</v>
      </c>
      <c r="C22" s="261"/>
      <c r="D22" s="372">
        <f>Input!$CG$11</f>
        <v>0</v>
      </c>
      <c r="E22" s="372">
        <f>Input!$CH$11</f>
        <v>0</v>
      </c>
      <c r="F22" s="372">
        <f>Input!$CI$11</f>
        <v>0</v>
      </c>
      <c r="G22" s="372">
        <f>Input!$CJ$11</f>
        <v>0</v>
      </c>
      <c r="H22" s="372">
        <f>Input!$CK$11</f>
        <v>0</v>
      </c>
      <c r="I22" s="372">
        <f>Input!$CL$11</f>
        <v>0</v>
      </c>
      <c r="J22" s="372">
        <f>Input!$CM$11</f>
        <v>0</v>
      </c>
      <c r="K22" s="372">
        <f>Input!$CN$11</f>
        <v>0</v>
      </c>
      <c r="L22" s="372">
        <f>Input!$CO$11</f>
        <v>0</v>
      </c>
      <c r="M22" s="373">
        <f t="shared" si="3"/>
        <v>0</v>
      </c>
      <c r="N22" s="270"/>
      <c r="O22" s="434" t="s">
        <v>1046</v>
      </c>
      <c r="P22" s="276"/>
      <c r="Q22" s="424">
        <f>M23</f>
        <v>28478424</v>
      </c>
      <c r="R22" s="562"/>
      <c r="T22" s="650" t="s">
        <v>1047</v>
      </c>
      <c r="U22" s="266"/>
      <c r="V22" s="266"/>
      <c r="W22" s="652">
        <f>R30*-1</f>
        <v>11617046</v>
      </c>
      <c r="X22" s="425"/>
    </row>
    <row r="23" spans="1:26" s="264" customFormat="1" ht="12.75" customHeight="1">
      <c r="A23" s="263"/>
      <c r="B23" s="558" t="s">
        <v>726</v>
      </c>
      <c r="C23" s="563"/>
      <c r="D23" s="564">
        <f>Input!$CP$11</f>
        <v>6963868</v>
      </c>
      <c r="E23" s="564">
        <f>Input!$CQ$11</f>
        <v>21514556</v>
      </c>
      <c r="F23" s="564">
        <f>Input!$CR$11</f>
        <v>0</v>
      </c>
      <c r="G23" s="564">
        <f>Input!$CS$11</f>
        <v>0</v>
      </c>
      <c r="H23" s="564">
        <f>Input!$CT$11</f>
        <v>0</v>
      </c>
      <c r="I23" s="564">
        <f>Input!$CU$11</f>
        <v>0</v>
      </c>
      <c r="J23" s="564">
        <f>Input!$CV$11</f>
        <v>0</v>
      </c>
      <c r="K23" s="564">
        <f>Input!$CW$11</f>
        <v>0</v>
      </c>
      <c r="L23" s="564">
        <f>Input!$CX$11</f>
        <v>0</v>
      </c>
      <c r="M23" s="565">
        <f t="shared" si="3"/>
        <v>28478424</v>
      </c>
      <c r="O23" s="434"/>
      <c r="P23" s="276"/>
      <c r="Q23" s="424"/>
      <c r="R23" s="562"/>
      <c r="T23" s="560" t="s">
        <v>1230</v>
      </c>
      <c r="U23" s="266"/>
      <c r="V23" s="266"/>
      <c r="W23" s="276"/>
      <c r="X23" s="425">
        <f>SUM(W21:W22)</f>
        <v>44130152</v>
      </c>
      <c r="Z23" s="330"/>
    </row>
    <row r="24" spans="1:26" s="264" customFormat="1" ht="12.75" customHeight="1">
      <c r="A24" s="263"/>
      <c r="B24" s="261" t="s">
        <v>727</v>
      </c>
      <c r="C24" s="566"/>
      <c r="D24" s="372">
        <f>Input!$CY$11</f>
        <v>0</v>
      </c>
      <c r="E24" s="372">
        <f>Input!$CZ$11</f>
        <v>0</v>
      </c>
      <c r="F24" s="372">
        <f>Input!$DA$11</f>
        <v>0</v>
      </c>
      <c r="G24" s="372">
        <f>Input!$DB$11</f>
        <v>0</v>
      </c>
      <c r="H24" s="372">
        <f>Input!$DC$11</f>
        <v>0</v>
      </c>
      <c r="I24" s="372">
        <f>Input!$DD$11</f>
        <v>0</v>
      </c>
      <c r="J24" s="372">
        <f>Input!$DE$11</f>
        <v>0</v>
      </c>
      <c r="K24" s="372">
        <f>Input!$DF$11</f>
        <v>0</v>
      </c>
      <c r="L24" s="372">
        <f>Input!$DG$11</f>
        <v>0</v>
      </c>
      <c r="M24" s="567">
        <f t="shared" si="3"/>
        <v>0</v>
      </c>
      <c r="O24" s="417" t="s">
        <v>1048</v>
      </c>
      <c r="P24" s="276"/>
      <c r="Q24" s="327"/>
      <c r="R24" s="646">
        <f>SUM(M24:M28)</f>
        <v>-11110434</v>
      </c>
      <c r="T24" s="560"/>
      <c r="U24" s="266"/>
      <c r="V24" s="266"/>
      <c r="X24" s="425"/>
      <c r="Z24" s="330"/>
    </row>
    <row r="25" spans="1:26" s="264" customFormat="1" ht="12.75" customHeight="1">
      <c r="A25" s="263"/>
      <c r="B25" s="261" t="s">
        <v>728</v>
      </c>
      <c r="C25" s="566"/>
      <c r="D25" s="372">
        <f>Input!DH6</f>
        <v>0</v>
      </c>
      <c r="E25" s="372">
        <f>Input!$DI$11</f>
        <v>0</v>
      </c>
      <c r="F25" s="372">
        <f>Input!$DJ$11</f>
        <v>0</v>
      </c>
      <c r="G25" s="372">
        <f>Input!$DK$11</f>
        <v>0</v>
      </c>
      <c r="H25" s="372">
        <f>Input!$DL$11</f>
        <v>0</v>
      </c>
      <c r="I25" s="372">
        <f>Input!$DM$11</f>
        <v>0</v>
      </c>
      <c r="J25" s="372">
        <f>Input!$DN$11</f>
        <v>0</v>
      </c>
      <c r="K25" s="372">
        <f>Input!$DO$11</f>
        <v>0</v>
      </c>
      <c r="L25" s="372">
        <f>Input!$DP$11</f>
        <v>0</v>
      </c>
      <c r="M25" s="567">
        <f t="shared" si="3"/>
        <v>0</v>
      </c>
      <c r="O25" s="434"/>
      <c r="P25" s="276"/>
      <c r="Q25" s="327"/>
      <c r="R25" s="646"/>
      <c r="T25" s="568" t="s">
        <v>1103</v>
      </c>
      <c r="U25" s="569"/>
      <c r="V25" s="569"/>
      <c r="W25" s="653">
        <f>(M26+M39)*-1</f>
        <v>1747386</v>
      </c>
      <c r="X25" s="425"/>
      <c r="Z25" s="330"/>
    </row>
    <row r="26" spans="1:26" s="264" customFormat="1" ht="12.75" customHeight="1">
      <c r="A26" s="263"/>
      <c r="B26" s="261" t="s">
        <v>729</v>
      </c>
      <c r="C26" s="566"/>
      <c r="D26" s="372">
        <f>Input!$DQ$11</f>
        <v>-261585</v>
      </c>
      <c r="E26" s="372">
        <f>Input!$DR$11</f>
        <v>-1392843</v>
      </c>
      <c r="F26" s="372">
        <f>Input!$DS$11</f>
        <v>0</v>
      </c>
      <c r="G26" s="372">
        <f>Input!$DT$11</f>
        <v>0</v>
      </c>
      <c r="H26" s="372">
        <f>Input!$DU$11</f>
        <v>0</v>
      </c>
      <c r="I26" s="372">
        <f>Input!$DV$11</f>
        <v>0</v>
      </c>
      <c r="J26" s="372">
        <f>Input!$DW$11</f>
        <v>0</v>
      </c>
      <c r="K26" s="372">
        <f>Input!$DX$11</f>
        <v>0</v>
      </c>
      <c r="L26" s="372">
        <f>Input!$DY$11</f>
        <v>0</v>
      </c>
      <c r="M26" s="567">
        <f t="shared" si="3"/>
        <v>-1654428</v>
      </c>
      <c r="O26" s="434" t="s">
        <v>1049</v>
      </c>
      <c r="P26" s="276"/>
      <c r="Q26" s="427">
        <f>M36</f>
        <v>15651728</v>
      </c>
      <c r="R26" s="570"/>
      <c r="T26" s="560" t="s">
        <v>1104</v>
      </c>
      <c r="U26" s="266"/>
      <c r="V26" s="266"/>
      <c r="W26" s="571">
        <f>(M21+M34)*-1</f>
        <v>0</v>
      </c>
      <c r="X26" s="425"/>
      <c r="Z26" s="330"/>
    </row>
    <row r="27" spans="1:26" s="264" customFormat="1">
      <c r="A27" s="263"/>
      <c r="B27" s="261" t="s">
        <v>730</v>
      </c>
      <c r="C27" s="566"/>
      <c r="D27" s="372">
        <f>Input!$DZ$11</f>
        <v>0</v>
      </c>
      <c r="E27" s="372">
        <f>Input!$EA$11</f>
        <v>0</v>
      </c>
      <c r="F27" s="372">
        <f>Input!$EB$11</f>
        <v>0</v>
      </c>
      <c r="G27" s="372">
        <f>Input!$EC$11</f>
        <v>0</v>
      </c>
      <c r="H27" s="372">
        <f>Input!$ED$11</f>
        <v>0</v>
      </c>
      <c r="I27" s="372">
        <f>Input!$EE$11</f>
        <v>0</v>
      </c>
      <c r="J27" s="372">
        <f>Input!$EF$11</f>
        <v>0</v>
      </c>
      <c r="K27" s="372">
        <f>Input!$EG$11</f>
        <v>0</v>
      </c>
      <c r="L27" s="372">
        <f>Input!EH6</f>
        <v>0</v>
      </c>
      <c r="M27" s="567">
        <f t="shared" si="3"/>
        <v>0</v>
      </c>
      <c r="O27" s="434"/>
      <c r="P27" s="276"/>
      <c r="Q27" s="427"/>
      <c r="R27" s="570"/>
      <c r="T27" s="650" t="s">
        <v>1105</v>
      </c>
      <c r="U27" s="584"/>
      <c r="V27" s="584"/>
      <c r="W27" s="654">
        <f>SUM(W25:W26)</f>
        <v>1747386</v>
      </c>
      <c r="X27" s="655"/>
    </row>
    <row r="28" spans="1:26" s="264" customFormat="1">
      <c r="A28" s="263"/>
      <c r="B28" s="261" t="s">
        <v>2133</v>
      </c>
      <c r="C28" s="566"/>
      <c r="D28" s="372">
        <f>Input!$EI$11</f>
        <v>-1819972</v>
      </c>
      <c r="E28" s="372">
        <f>Input!$EJ$11</f>
        <v>-7636034</v>
      </c>
      <c r="F28" s="372">
        <f>Input!$EK$11</f>
        <v>0</v>
      </c>
      <c r="G28" s="372">
        <f>Input!$EL$11</f>
        <v>0</v>
      </c>
      <c r="H28" s="372">
        <f>Input!$EM$11</f>
        <v>0</v>
      </c>
      <c r="I28" s="372">
        <f>Input!$EN$11</f>
        <v>0</v>
      </c>
      <c r="J28" s="372">
        <f>Input!$EO$11</f>
        <v>0</v>
      </c>
      <c r="K28" s="372">
        <f>Input!$EP$11</f>
        <v>0</v>
      </c>
      <c r="L28" s="372">
        <f>Input!$EQ$11</f>
        <v>0</v>
      </c>
      <c r="M28" s="567">
        <f t="shared" si="3"/>
        <v>-9456006</v>
      </c>
      <c r="O28" s="417" t="s">
        <v>1050</v>
      </c>
      <c r="Q28" s="429"/>
      <c r="R28" s="646">
        <f>SUM(M37:M41)</f>
        <v>-506612</v>
      </c>
      <c r="T28" s="560" t="s">
        <v>1106</v>
      </c>
      <c r="U28" s="266"/>
      <c r="V28" s="266"/>
      <c r="W28" s="425">
        <f>(M27+M40)*-1</f>
        <v>0</v>
      </c>
      <c r="X28" s="655"/>
      <c r="Z28" s="330"/>
    </row>
    <row r="29" spans="1:26" s="264" customFormat="1" ht="12" customHeight="1">
      <c r="A29" s="263"/>
      <c r="B29" s="575" t="s">
        <v>39</v>
      </c>
      <c r="C29" s="563"/>
      <c r="D29" s="374">
        <f t="shared" ref="D29:L29" si="4">SUM(D23:D28)</f>
        <v>4882311</v>
      </c>
      <c r="E29" s="374">
        <f t="shared" si="4"/>
        <v>12485679</v>
      </c>
      <c r="F29" s="374">
        <f t="shared" si="4"/>
        <v>0</v>
      </c>
      <c r="G29" s="374">
        <f t="shared" si="4"/>
        <v>0</v>
      </c>
      <c r="H29" s="374">
        <f t="shared" si="4"/>
        <v>0</v>
      </c>
      <c r="I29" s="374">
        <f t="shared" si="4"/>
        <v>0</v>
      </c>
      <c r="J29" s="374">
        <f t="shared" si="4"/>
        <v>0</v>
      </c>
      <c r="K29" s="374">
        <f t="shared" si="4"/>
        <v>0</v>
      </c>
      <c r="L29" s="374">
        <f t="shared" si="4"/>
        <v>0</v>
      </c>
      <c r="M29" s="374">
        <f t="shared" si="3"/>
        <v>17367990</v>
      </c>
      <c r="O29" s="417"/>
      <c r="Q29" s="429"/>
      <c r="R29" s="576"/>
      <c r="T29" s="560" t="s">
        <v>1107</v>
      </c>
      <c r="U29" s="266"/>
      <c r="V29" s="266"/>
      <c r="W29" s="571">
        <f>(M22+M35)*-1</f>
        <v>0</v>
      </c>
      <c r="X29" s="655"/>
    </row>
    <row r="30" spans="1:26" s="264" customFormat="1" ht="16.5" customHeight="1">
      <c r="A30" s="263"/>
      <c r="B30" s="261"/>
      <c r="C30" s="566"/>
      <c r="D30" s="566"/>
      <c r="E30" s="566"/>
      <c r="F30" s="566"/>
      <c r="G30" s="566"/>
      <c r="H30" s="566"/>
      <c r="I30" s="566"/>
      <c r="J30" s="566"/>
      <c r="K30" s="566"/>
      <c r="L30" s="566"/>
      <c r="M30" s="567"/>
      <c r="O30" s="431" t="s">
        <v>289</v>
      </c>
      <c r="P30" s="432"/>
      <c r="Q30" s="433">
        <f>Q26+Q22</f>
        <v>44130152</v>
      </c>
      <c r="R30" s="647">
        <f>R28+R24</f>
        <v>-11617046</v>
      </c>
      <c r="T30" s="650" t="s">
        <v>1108</v>
      </c>
      <c r="U30" s="584"/>
      <c r="V30" s="584"/>
      <c r="W30" s="654">
        <f>SUM(W28:W29)</f>
        <v>0</v>
      </c>
      <c r="X30" s="655"/>
    </row>
    <row r="31" spans="1:26" s="264" customFormat="1" ht="12.75" customHeight="1">
      <c r="A31" s="263"/>
      <c r="B31" s="558" t="s">
        <v>1052</v>
      </c>
      <c r="C31" s="558"/>
      <c r="D31" s="374">
        <f t="shared" ref="D31:L31" si="5">D36-SUM(D32:D35)</f>
        <v>21983</v>
      </c>
      <c r="E31" s="374">
        <f t="shared" si="5"/>
        <v>12174362</v>
      </c>
      <c r="F31" s="374">
        <f t="shared" si="5"/>
        <v>3455383</v>
      </c>
      <c r="G31" s="374">
        <f t="shared" si="5"/>
        <v>0</v>
      </c>
      <c r="H31" s="374">
        <f t="shared" si="5"/>
        <v>0</v>
      </c>
      <c r="I31" s="374">
        <f t="shared" si="5"/>
        <v>0</v>
      </c>
      <c r="J31" s="374">
        <f t="shared" si="5"/>
        <v>0</v>
      </c>
      <c r="K31" s="374">
        <f t="shared" si="5"/>
        <v>0</v>
      </c>
      <c r="L31" s="374">
        <f t="shared" si="5"/>
        <v>0</v>
      </c>
      <c r="M31" s="374">
        <f t="shared" ref="M31:M42" si="6">D31+E31+F31+G31+H31+I31+J31+K31+L31</f>
        <v>15651728</v>
      </c>
      <c r="O31" s="434" t="s">
        <v>290</v>
      </c>
      <c r="P31" s="276"/>
      <c r="Q31" s="335"/>
      <c r="R31" s="562"/>
      <c r="T31" s="572" t="s">
        <v>1109</v>
      </c>
      <c r="U31" s="573"/>
      <c r="V31" s="573"/>
      <c r="W31" s="574">
        <f>W27+W30</f>
        <v>1747386</v>
      </c>
      <c r="X31" s="425"/>
      <c r="Z31" s="330"/>
    </row>
    <row r="32" spans="1:26" s="264" customFormat="1" ht="12.75" customHeight="1">
      <c r="A32" s="263"/>
      <c r="B32" s="261" t="s">
        <v>722</v>
      </c>
      <c r="C32" s="261"/>
      <c r="D32" s="372">
        <f>Input!$ER$11</f>
        <v>0</v>
      </c>
      <c r="E32" s="372">
        <f>Input!$ES$11</f>
        <v>0</v>
      </c>
      <c r="F32" s="372">
        <f>Input!$ET$11</f>
        <v>0</v>
      </c>
      <c r="G32" s="372">
        <f>Input!$EU$11</f>
        <v>0</v>
      </c>
      <c r="H32" s="372">
        <f>Input!$EV$11</f>
        <v>0</v>
      </c>
      <c r="I32" s="372">
        <f>Input!$EW$11</f>
        <v>0</v>
      </c>
      <c r="J32" s="372">
        <f>Input!$EX$11</f>
        <v>0</v>
      </c>
      <c r="K32" s="372">
        <f>Input!$EY$11</f>
        <v>0</v>
      </c>
      <c r="L32" s="372">
        <f>Input!$EZ$11</f>
        <v>0</v>
      </c>
      <c r="M32" s="567">
        <f t="shared" si="6"/>
        <v>0</v>
      </c>
      <c r="O32" s="415" t="s">
        <v>1295</v>
      </c>
      <c r="P32" s="416"/>
      <c r="Q32" s="577">
        <f>Input!$SQ$11</f>
        <v>44130152</v>
      </c>
      <c r="R32" s="578"/>
      <c r="T32" s="560"/>
      <c r="U32" s="266"/>
      <c r="V32" s="266"/>
      <c r="X32" s="425"/>
      <c r="Z32" s="330"/>
    </row>
    <row r="33" spans="1:24" s="264" customFormat="1">
      <c r="A33" s="263"/>
      <c r="B33" s="261" t="s">
        <v>723</v>
      </c>
      <c r="C33" s="261"/>
      <c r="D33" s="372">
        <f>Input!$FA$11</f>
        <v>0</v>
      </c>
      <c r="E33" s="372">
        <f>Input!$FB$11</f>
        <v>0</v>
      </c>
      <c r="F33" s="372">
        <f>Input!$FC$11</f>
        <v>0</v>
      </c>
      <c r="G33" s="372">
        <f>Input!$FD$11</f>
        <v>0</v>
      </c>
      <c r="H33" s="372">
        <f>Input!$FE$11</f>
        <v>0</v>
      </c>
      <c r="I33" s="372">
        <f>Input!$FF$11</f>
        <v>0</v>
      </c>
      <c r="J33" s="372">
        <f>Input!$FG$11</f>
        <v>0</v>
      </c>
      <c r="K33" s="372">
        <f>Input!$FH$11</f>
        <v>0</v>
      </c>
      <c r="L33" s="372">
        <f>Input!$FI$11</f>
        <v>0</v>
      </c>
      <c r="M33" s="567">
        <f t="shared" si="6"/>
        <v>0</v>
      </c>
      <c r="O33" s="415"/>
      <c r="P33" s="416"/>
      <c r="Q33" s="327"/>
      <c r="R33" s="578"/>
      <c r="T33" s="560" t="s">
        <v>1051</v>
      </c>
      <c r="U33" s="266"/>
      <c r="V33" s="266"/>
      <c r="W33" s="334">
        <f>(M19+M32)*-1</f>
        <v>1887262</v>
      </c>
      <c r="X33" s="425"/>
    </row>
    <row r="34" spans="1:24" s="264" customFormat="1">
      <c r="A34" s="263"/>
      <c r="B34" s="261" t="s">
        <v>724</v>
      </c>
      <c r="C34" s="261"/>
      <c r="D34" s="372">
        <f>Input!$FJ$11</f>
        <v>0</v>
      </c>
      <c r="E34" s="372">
        <f>Input!$FK$11</f>
        <v>0</v>
      </c>
      <c r="F34" s="372">
        <f>Input!$FL$11</f>
        <v>0</v>
      </c>
      <c r="G34" s="372">
        <f>Input!$FM$11</f>
        <v>0</v>
      </c>
      <c r="H34" s="372">
        <f>Input!$FN$11</f>
        <v>0</v>
      </c>
      <c r="I34" s="372">
        <f>Input!$FO$11</f>
        <v>0</v>
      </c>
      <c r="J34" s="372">
        <f>Input!$FP$11</f>
        <v>0</v>
      </c>
      <c r="K34" s="372">
        <f>Input!$FQ$11</f>
        <v>0</v>
      </c>
      <c r="L34" s="372">
        <f>Input!$FR$11</f>
        <v>0</v>
      </c>
      <c r="M34" s="567">
        <f t="shared" si="6"/>
        <v>0</v>
      </c>
      <c r="O34" s="435" t="s">
        <v>1296</v>
      </c>
      <c r="P34" s="436"/>
      <c r="Q34" s="264" t="s">
        <v>291</v>
      </c>
      <c r="R34" s="648">
        <f>Input!$SR$11</f>
        <v>-11617046</v>
      </c>
      <c r="T34" s="560" t="s">
        <v>1110</v>
      </c>
      <c r="U34" s="266"/>
      <c r="V34" s="266"/>
      <c r="W34" s="430">
        <f>(M24+M37)*-1</f>
        <v>0</v>
      </c>
      <c r="X34" s="425"/>
    </row>
    <row r="35" spans="1:24" s="264" customFormat="1" ht="13.5" thickBot="1">
      <c r="A35" s="263"/>
      <c r="B35" s="261" t="s">
        <v>725</v>
      </c>
      <c r="C35" s="261"/>
      <c r="D35" s="372">
        <f>Input!$FS$11</f>
        <v>0</v>
      </c>
      <c r="E35" s="372">
        <f>Input!$FT$11</f>
        <v>0</v>
      </c>
      <c r="F35" s="372">
        <f>Input!$FU$11</f>
        <v>0</v>
      </c>
      <c r="G35" s="372">
        <f>Input!$FV$11</f>
        <v>0</v>
      </c>
      <c r="H35" s="372">
        <f>Input!$FW$11</f>
        <v>0</v>
      </c>
      <c r="I35" s="372">
        <f>Input!$FX$11</f>
        <v>0</v>
      </c>
      <c r="J35" s="372">
        <f>Input!$FY$11</f>
        <v>0</v>
      </c>
      <c r="K35" s="372">
        <f>Input!$FZ$11</f>
        <v>0</v>
      </c>
      <c r="L35" s="372">
        <f>Input!$GA$11</f>
        <v>0</v>
      </c>
      <c r="M35" s="567">
        <f t="shared" si="6"/>
        <v>0</v>
      </c>
      <c r="O35" s="418" t="s">
        <v>286</v>
      </c>
      <c r="P35" s="419"/>
      <c r="Q35" s="420">
        <f>Q30-Q32</f>
        <v>0</v>
      </c>
      <c r="R35" s="649">
        <f>R30-R34</f>
        <v>0</v>
      </c>
      <c r="T35" s="650" t="s">
        <v>1111</v>
      </c>
      <c r="U35" s="584"/>
      <c r="V35" s="584"/>
      <c r="W35" s="656">
        <f>SUM(W33:W34)</f>
        <v>1887262</v>
      </c>
      <c r="X35" s="655"/>
    </row>
    <row r="36" spans="1:24" s="264" customFormat="1" ht="13.5" thickTop="1">
      <c r="A36" s="263"/>
      <c r="B36" s="558" t="s">
        <v>732</v>
      </c>
      <c r="C36" s="563"/>
      <c r="D36" s="564">
        <f>Input!$GB$11</f>
        <v>21983</v>
      </c>
      <c r="E36" s="564">
        <f>Input!$GC$11</f>
        <v>12174362</v>
      </c>
      <c r="F36" s="564">
        <f>Input!$GD$11</f>
        <v>3455383</v>
      </c>
      <c r="G36" s="564">
        <f>Input!$GE$11</f>
        <v>0</v>
      </c>
      <c r="H36" s="564">
        <f>Input!$GF$11</f>
        <v>0</v>
      </c>
      <c r="I36" s="564">
        <f>Input!$GG$11</f>
        <v>0</v>
      </c>
      <c r="J36" s="564">
        <f>Input!$GH$11</f>
        <v>0</v>
      </c>
      <c r="K36" s="564">
        <f>Input!$GI$11</f>
        <v>0</v>
      </c>
      <c r="L36" s="564">
        <f>Input!$GJ$11</f>
        <v>0</v>
      </c>
      <c r="M36" s="565">
        <f t="shared" si="6"/>
        <v>15651728</v>
      </c>
      <c r="O36" s="261"/>
      <c r="Q36" s="412" t="str">
        <f>IF(Q30&lt;&gt;Q32,"Out of Balance","Balanced")</f>
        <v>Balanced</v>
      </c>
      <c r="R36" s="412" t="str">
        <f>IF(R30&lt;&gt;R34,"Out of Balance","Balanced")</f>
        <v>Balanced</v>
      </c>
      <c r="T36" s="560" t="s">
        <v>1053</v>
      </c>
      <c r="U36" s="266"/>
      <c r="V36" s="266"/>
      <c r="W36" s="334">
        <f>(M20+M33)*-1</f>
        <v>0</v>
      </c>
      <c r="X36" s="425"/>
    </row>
    <row r="37" spans="1:24" s="264" customFormat="1">
      <c r="A37" s="263"/>
      <c r="B37" s="261" t="s">
        <v>727</v>
      </c>
      <c r="C37" s="566"/>
      <c r="D37" s="372">
        <f>Input!$GK$11</f>
        <v>0</v>
      </c>
      <c r="E37" s="372">
        <f>Input!$GL$11</f>
        <v>0</v>
      </c>
      <c r="F37" s="372">
        <f>Input!$GM$11</f>
        <v>0</v>
      </c>
      <c r="G37" s="372">
        <f>Input!$GN$11</f>
        <v>0</v>
      </c>
      <c r="H37" s="372">
        <f>Input!$GO$11</f>
        <v>0</v>
      </c>
      <c r="I37" s="372">
        <f>Input!$GP$11</f>
        <v>0</v>
      </c>
      <c r="J37" s="372">
        <f>Input!$GQ$11</f>
        <v>0</v>
      </c>
      <c r="K37" s="372">
        <f>Input!$GR$11</f>
        <v>0</v>
      </c>
      <c r="L37" s="372">
        <f>Input!$GS$11</f>
        <v>0</v>
      </c>
      <c r="M37" s="567">
        <f t="shared" si="6"/>
        <v>0</v>
      </c>
      <c r="O37" s="261"/>
      <c r="T37" s="560" t="s">
        <v>1112</v>
      </c>
      <c r="U37" s="266"/>
      <c r="V37" s="266"/>
      <c r="W37" s="430">
        <f>(M25+M38)*-1</f>
        <v>0</v>
      </c>
      <c r="X37" s="655"/>
    </row>
    <row r="38" spans="1:24" s="264" customFormat="1">
      <c r="A38" s="263"/>
      <c r="B38" s="261" t="s">
        <v>728</v>
      </c>
      <c r="C38" s="566"/>
      <c r="D38" s="372">
        <f>Input!$GT$11</f>
        <v>0</v>
      </c>
      <c r="E38" s="372">
        <f>Input!$GU$11</f>
        <v>0</v>
      </c>
      <c r="F38" s="372">
        <f>Input!$GV$11</f>
        <v>0</v>
      </c>
      <c r="G38" s="372">
        <f>Input!$GW$11</f>
        <v>0</v>
      </c>
      <c r="H38" s="372">
        <f>Input!$GX$11</f>
        <v>0</v>
      </c>
      <c r="I38" s="372">
        <f>Input!$GY$11</f>
        <v>0</v>
      </c>
      <c r="J38" s="372">
        <f>Input!$GZ$11</f>
        <v>0</v>
      </c>
      <c r="K38" s="372">
        <f>Input!$HA$11</f>
        <v>0</v>
      </c>
      <c r="L38" s="372">
        <f>Input!$HB$11</f>
        <v>0</v>
      </c>
      <c r="M38" s="567">
        <f t="shared" si="6"/>
        <v>0</v>
      </c>
      <c r="O38" s="261"/>
      <c r="T38" s="650" t="s">
        <v>1113</v>
      </c>
      <c r="U38" s="584"/>
      <c r="V38" s="584"/>
      <c r="W38" s="656">
        <f>SUM(W36:W37)</f>
        <v>0</v>
      </c>
      <c r="X38" s="425"/>
    </row>
    <row r="39" spans="1:24" s="264" customFormat="1">
      <c r="A39" s="263"/>
      <c r="B39" s="261" t="s">
        <v>729</v>
      </c>
      <c r="C39" s="566"/>
      <c r="D39" s="372">
        <f>Input!$HC$11</f>
        <v>0</v>
      </c>
      <c r="E39" s="372">
        <f>Input!$HD$11</f>
        <v>0</v>
      </c>
      <c r="F39" s="372">
        <f>Input!$HE$11</f>
        <v>-92958</v>
      </c>
      <c r="G39" s="372">
        <f>Input!$HF$11</f>
        <v>0</v>
      </c>
      <c r="H39" s="372">
        <f>Input!$HG$11</f>
        <v>0</v>
      </c>
      <c r="I39" s="372">
        <f>Input!$HH$11</f>
        <v>0</v>
      </c>
      <c r="J39" s="372">
        <f>Input!$HI$11</f>
        <v>0</v>
      </c>
      <c r="K39" s="372">
        <f>Input!$HJ$11</f>
        <v>0</v>
      </c>
      <c r="L39" s="372">
        <f>Input!$HK$11</f>
        <v>0</v>
      </c>
      <c r="M39" s="567">
        <f t="shared" si="6"/>
        <v>-92958</v>
      </c>
      <c r="O39" s="261"/>
      <c r="T39" s="560" t="s">
        <v>1054</v>
      </c>
      <c r="U39" s="266"/>
      <c r="V39" s="266"/>
      <c r="W39" s="334"/>
      <c r="X39" s="425">
        <f>W38+W35</f>
        <v>1887262</v>
      </c>
    </row>
    <row r="40" spans="1:24" s="264" customFormat="1">
      <c r="A40" s="263"/>
      <c r="B40" s="261" t="s">
        <v>730</v>
      </c>
      <c r="C40" s="566"/>
      <c r="D40" s="372">
        <f>Input!$HL$11</f>
        <v>0</v>
      </c>
      <c r="E40" s="372">
        <f>Input!$HM$11</f>
        <v>0</v>
      </c>
      <c r="F40" s="372">
        <f>Input!$HN$11</f>
        <v>0</v>
      </c>
      <c r="G40" s="372">
        <f>Input!$HO$11</f>
        <v>0</v>
      </c>
      <c r="H40" s="372">
        <f>Input!$HP$11</f>
        <v>0</v>
      </c>
      <c r="I40" s="372">
        <f>Input!$HQ$11</f>
        <v>0</v>
      </c>
      <c r="J40" s="372">
        <f>Input!$HR$11</f>
        <v>0</v>
      </c>
      <c r="K40" s="372">
        <f>Input!$HS$11</f>
        <v>0</v>
      </c>
      <c r="L40" s="372">
        <f>Input!$HT$11</f>
        <v>0</v>
      </c>
      <c r="M40" s="567">
        <f t="shared" si="6"/>
        <v>0</v>
      </c>
      <c r="O40" s="261"/>
      <c r="T40" s="560"/>
      <c r="U40" s="261"/>
      <c r="V40" s="261"/>
      <c r="W40" s="261"/>
      <c r="X40" s="655"/>
    </row>
    <row r="41" spans="1:24" s="264" customFormat="1">
      <c r="A41" s="263"/>
      <c r="B41" s="261" t="s">
        <v>2133</v>
      </c>
      <c r="C41" s="566"/>
      <c r="D41" s="372">
        <f>Input!$HU$11</f>
        <v>0</v>
      </c>
      <c r="E41" s="372">
        <f>Input!$HV$11</f>
        <v>0</v>
      </c>
      <c r="F41" s="372">
        <f>Input!$HW$11</f>
        <v>-413654</v>
      </c>
      <c r="G41" s="372">
        <f>Input!$HX$11</f>
        <v>0</v>
      </c>
      <c r="H41" s="372">
        <f>Input!$HY$11</f>
        <v>0</v>
      </c>
      <c r="I41" s="372">
        <f>Input!$HZ$11</f>
        <v>0</v>
      </c>
      <c r="J41" s="372">
        <f>Input!$IA$11</f>
        <v>0</v>
      </c>
      <c r="K41" s="372">
        <f>Input!$IB$11</f>
        <v>0</v>
      </c>
      <c r="L41" s="372">
        <f>Input!$IC$11</f>
        <v>0</v>
      </c>
      <c r="M41" s="567">
        <f t="shared" si="6"/>
        <v>-413654</v>
      </c>
      <c r="O41"/>
      <c r="P41"/>
      <c r="Q41"/>
      <c r="R41"/>
      <c r="S41"/>
      <c r="T41" s="560" t="s">
        <v>1104</v>
      </c>
      <c r="U41" s="266"/>
      <c r="V41" s="266"/>
      <c r="W41" s="330">
        <f>(M21+M34)*-1</f>
        <v>0</v>
      </c>
      <c r="X41" s="425"/>
    </row>
    <row r="42" spans="1:24" s="264" customFormat="1">
      <c r="A42" s="263"/>
      <c r="B42" s="575" t="s">
        <v>40</v>
      </c>
      <c r="C42" s="563"/>
      <c r="D42" s="374">
        <f t="shared" ref="D42:L42" si="7">SUM(D36:D41)</f>
        <v>21983</v>
      </c>
      <c r="E42" s="374">
        <f t="shared" si="7"/>
        <v>12174362</v>
      </c>
      <c r="F42" s="374">
        <f t="shared" si="7"/>
        <v>2948771</v>
      </c>
      <c r="G42" s="374">
        <f t="shared" si="7"/>
        <v>0</v>
      </c>
      <c r="H42" s="374">
        <f t="shared" si="7"/>
        <v>0</v>
      </c>
      <c r="I42" s="374">
        <f t="shared" si="7"/>
        <v>0</v>
      </c>
      <c r="J42" s="374">
        <f t="shared" si="7"/>
        <v>0</v>
      </c>
      <c r="K42" s="374">
        <f t="shared" si="7"/>
        <v>0</v>
      </c>
      <c r="L42" s="374">
        <f t="shared" si="7"/>
        <v>0</v>
      </c>
      <c r="M42" s="374">
        <f t="shared" si="6"/>
        <v>15145116</v>
      </c>
      <c r="O42"/>
      <c r="P42"/>
      <c r="Q42"/>
      <c r="R42"/>
      <c r="S42"/>
      <c r="T42" s="560" t="s">
        <v>1107</v>
      </c>
      <c r="U42" s="266"/>
      <c r="V42" s="266"/>
      <c r="W42" s="430">
        <f>(M22+M35)*-1</f>
        <v>0</v>
      </c>
      <c r="X42" s="425"/>
    </row>
    <row r="43" spans="1:24" s="264" customFormat="1">
      <c r="A43" s="263"/>
      <c r="B43" s="261"/>
      <c r="C43" s="566"/>
      <c r="D43" s="566"/>
      <c r="E43" s="566"/>
      <c r="F43" s="566"/>
      <c r="G43" s="566"/>
      <c r="H43" s="566"/>
      <c r="I43" s="566"/>
      <c r="J43" s="566"/>
      <c r="K43" s="566"/>
      <c r="L43" s="566"/>
      <c r="M43" s="567"/>
      <c r="O43"/>
      <c r="P43"/>
      <c r="Q43"/>
      <c r="R43"/>
      <c r="S43"/>
      <c r="T43" s="650" t="s">
        <v>1114</v>
      </c>
      <c r="U43" s="584"/>
      <c r="V43" s="584"/>
      <c r="W43" s="656">
        <f>SUM(W41:W42)</f>
        <v>0</v>
      </c>
      <c r="X43" s="655"/>
    </row>
    <row r="44" spans="1:24" s="264" customFormat="1" ht="13.5" customHeight="1">
      <c r="A44" s="263"/>
      <c r="B44" s="575" t="s">
        <v>1055</v>
      </c>
      <c r="C44" s="563"/>
      <c r="D44" s="374">
        <f t="shared" ref="D44:L44" si="8">D42+D29</f>
        <v>4904294</v>
      </c>
      <c r="E44" s="374">
        <f t="shared" si="8"/>
        <v>24660041</v>
      </c>
      <c r="F44" s="374">
        <f t="shared" si="8"/>
        <v>2948771</v>
      </c>
      <c r="G44" s="374">
        <f t="shared" si="8"/>
        <v>0</v>
      </c>
      <c r="H44" s="374">
        <f t="shared" si="8"/>
        <v>0</v>
      </c>
      <c r="I44" s="374">
        <f t="shared" si="8"/>
        <v>0</v>
      </c>
      <c r="J44" s="374">
        <f t="shared" si="8"/>
        <v>0</v>
      </c>
      <c r="K44" s="374">
        <f t="shared" si="8"/>
        <v>0</v>
      </c>
      <c r="L44" s="374">
        <f t="shared" si="8"/>
        <v>0</v>
      </c>
      <c r="M44" s="374">
        <f>D44+E44+F44+G44+H44+I44+J44+K44+L44</f>
        <v>32513106</v>
      </c>
      <c r="O44"/>
      <c r="P44"/>
      <c r="Q44"/>
      <c r="R44"/>
      <c r="S44"/>
      <c r="T44" s="560"/>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0"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0" t="s">
        <v>1112</v>
      </c>
      <c r="U46" s="266"/>
      <c r="V46" s="266"/>
      <c r="W46" s="430">
        <f>(M25+M38)*-1</f>
        <v>0</v>
      </c>
      <c r="X46" s="425"/>
    </row>
    <row r="47" spans="1:24">
      <c r="A47" s="184">
        <v>30</v>
      </c>
      <c r="B47" s="176" t="s">
        <v>7</v>
      </c>
      <c r="C47" s="176"/>
      <c r="D47" s="375">
        <f>Input!$ID$11</f>
        <v>548025</v>
      </c>
      <c r="E47" s="375">
        <f>Input!$IE$11</f>
        <v>582176</v>
      </c>
      <c r="F47" s="375">
        <f>Input!$IF$11</f>
        <v>0</v>
      </c>
      <c r="G47" s="375">
        <f>Input!$IG$11</f>
        <v>20954759</v>
      </c>
      <c r="H47" s="375">
        <f>Input!$IH$11</f>
        <v>0</v>
      </c>
      <c r="I47" s="375">
        <f>Input!$II$11</f>
        <v>0</v>
      </c>
      <c r="J47" s="375">
        <f>Input!$IJ$11</f>
        <v>0</v>
      </c>
      <c r="K47" s="375">
        <f>Input!$IK$11</f>
        <v>0</v>
      </c>
      <c r="L47" s="375">
        <f>Input!$IL$11</f>
        <v>0</v>
      </c>
      <c r="M47" s="374">
        <f>D47+E47+F47+G47+H47+I47+J47+K47+L47</f>
        <v>22084960</v>
      </c>
      <c r="N47" s="160"/>
      <c r="O47"/>
      <c r="P47"/>
      <c r="Q47"/>
      <c r="R47"/>
      <c r="S47"/>
      <c r="T47" s="657" t="s">
        <v>1115</v>
      </c>
      <c r="U47" s="27"/>
      <c r="V47" s="27"/>
      <c r="W47" s="656">
        <f>SUM(W45:W46)</f>
        <v>0</v>
      </c>
      <c r="X47" s="655"/>
    </row>
    <row r="48" spans="1:24">
      <c r="A48" s="184">
        <v>31</v>
      </c>
      <c r="B48" s="160"/>
      <c r="C48" s="160"/>
      <c r="D48" s="373"/>
      <c r="E48" s="373"/>
      <c r="F48" s="373"/>
      <c r="G48" s="373"/>
      <c r="H48" s="373"/>
      <c r="I48" s="373"/>
      <c r="J48" s="373"/>
      <c r="K48" s="373"/>
      <c r="L48" s="373"/>
      <c r="M48" s="373"/>
      <c r="N48" s="160"/>
      <c r="O48"/>
      <c r="P48"/>
      <c r="Q48"/>
      <c r="R48"/>
      <c r="S48"/>
      <c r="T48" s="560"/>
      <c r="U48" s="261"/>
      <c r="V48" s="261"/>
      <c r="W48" s="261"/>
      <c r="X48" s="658">
        <f>W43-W47</f>
        <v>0</v>
      </c>
    </row>
    <row r="49" spans="1:28">
      <c r="A49" s="184">
        <v>32</v>
      </c>
      <c r="B49" s="172" t="s">
        <v>8</v>
      </c>
      <c r="C49" s="172"/>
      <c r="D49" s="373"/>
      <c r="E49" s="373"/>
      <c r="F49" s="373"/>
      <c r="G49" s="373"/>
      <c r="H49" s="373"/>
      <c r="I49" s="373"/>
      <c r="J49" s="373"/>
      <c r="K49" s="373"/>
      <c r="L49" s="373"/>
      <c r="M49" s="373"/>
      <c r="N49" s="160"/>
      <c r="O49" s="273"/>
      <c r="T49" s="579" t="s">
        <v>287</v>
      </c>
      <c r="U49" s="511"/>
      <c r="V49" s="580"/>
      <c r="W49" s="580"/>
      <c r="X49" s="574">
        <f>SUM(X23:X48)</f>
        <v>46017414</v>
      </c>
    </row>
    <row r="50" spans="1:28">
      <c r="A50" s="184">
        <v>33</v>
      </c>
      <c r="B50" s="160" t="s">
        <v>42</v>
      </c>
      <c r="C50" s="160"/>
      <c r="D50" s="372">
        <f>Input!$IM$11</f>
        <v>68120</v>
      </c>
      <c r="E50" s="372">
        <f>Input!$IN$11</f>
        <v>386084</v>
      </c>
      <c r="F50" s="372">
        <f>Input!$IO$11</f>
        <v>0</v>
      </c>
      <c r="G50" s="372">
        <f>Input!$IP$11</f>
        <v>3827764</v>
      </c>
      <c r="H50" s="372">
        <f>Input!$IQ$11</f>
        <v>0</v>
      </c>
      <c r="I50" s="372">
        <f>Input!$IR$11</f>
        <v>33964</v>
      </c>
      <c r="J50" s="372">
        <f>Input!$IS$11</f>
        <v>0</v>
      </c>
      <c r="K50" s="372">
        <f>Input!$IT$11</f>
        <v>0</v>
      </c>
      <c r="L50" s="372">
        <f>Input!$IU$11</f>
        <v>0</v>
      </c>
      <c r="M50" s="373">
        <f t="shared" ref="M50:M57" si="9">D50+E50+F50+G50+H50+I50+J50+K50+L50</f>
        <v>4315932</v>
      </c>
      <c r="N50" s="160"/>
      <c r="O50" s="273"/>
      <c r="U50" s="275"/>
    </row>
    <row r="51" spans="1:28">
      <c r="A51" s="184">
        <v>34</v>
      </c>
      <c r="B51" s="160" t="s">
        <v>9</v>
      </c>
      <c r="C51" s="160"/>
      <c r="D51" s="372">
        <f>Input!$IV$11</f>
        <v>0</v>
      </c>
      <c r="E51" s="372">
        <f>Input!$IW$11</f>
        <v>0</v>
      </c>
      <c r="F51" s="372">
        <f>Input!$IX$11</f>
        <v>0</v>
      </c>
      <c r="G51" s="372">
        <f>Input!$IY$11</f>
        <v>2099047</v>
      </c>
      <c r="H51" s="372">
        <f>Input!$IZ$11</f>
        <v>0</v>
      </c>
      <c r="I51" s="372">
        <f>Input!$JA$11</f>
        <v>0</v>
      </c>
      <c r="J51" s="372">
        <f>Input!$JB$11</f>
        <v>0</v>
      </c>
      <c r="K51" s="372">
        <f>Input!$JC$11</f>
        <v>0</v>
      </c>
      <c r="L51" s="372">
        <f>Input!$JD$11</f>
        <v>0</v>
      </c>
      <c r="M51" s="376">
        <f t="shared" si="9"/>
        <v>2099047</v>
      </c>
      <c r="N51" s="160"/>
      <c r="Y51" s="277"/>
    </row>
    <row r="52" spans="1:28">
      <c r="A52" s="184">
        <v>35</v>
      </c>
      <c r="B52" s="160" t="s">
        <v>10</v>
      </c>
      <c r="C52" s="160"/>
      <c r="D52" s="372">
        <f>Input!$JE$11</f>
        <v>0</v>
      </c>
      <c r="E52" s="372">
        <f>Input!$JF$11</f>
        <v>28639</v>
      </c>
      <c r="F52" s="372">
        <f>Input!$JG$11</f>
        <v>0</v>
      </c>
      <c r="G52" s="372">
        <f>Input!$JH$11</f>
        <v>3247569</v>
      </c>
      <c r="H52" s="372">
        <f>Input!$JI$11</f>
        <v>0</v>
      </c>
      <c r="I52" s="372">
        <f>Input!$JJ$11</f>
        <v>0</v>
      </c>
      <c r="J52" s="372">
        <f>Input!$JK$11</f>
        <v>0</v>
      </c>
      <c r="K52" s="372">
        <f>Input!$JL$11</f>
        <v>0</v>
      </c>
      <c r="L52" s="372">
        <f>Input!$JM$11</f>
        <v>0</v>
      </c>
      <c r="M52" s="373">
        <f t="shared" si="9"/>
        <v>3276208</v>
      </c>
      <c r="N52" s="160"/>
      <c r="O52" s="273"/>
      <c r="P52" s="278"/>
    </row>
    <row r="53" spans="1:28">
      <c r="A53" s="184">
        <v>36</v>
      </c>
      <c r="B53" s="160" t="s">
        <v>11</v>
      </c>
      <c r="C53" s="160"/>
      <c r="D53" s="372">
        <f>Input!$JN$11</f>
        <v>0</v>
      </c>
      <c r="E53" s="372">
        <f>Input!$JO$11</f>
        <v>969727</v>
      </c>
      <c r="F53" s="372">
        <f>Input!$JP$11</f>
        <v>0</v>
      </c>
      <c r="G53" s="372">
        <f>Input!$JQ$11</f>
        <v>202951</v>
      </c>
      <c r="H53" s="372">
        <f>Input!$JR$11</f>
        <v>0</v>
      </c>
      <c r="I53" s="372">
        <f>Input!$JS$11</f>
        <v>0</v>
      </c>
      <c r="J53" s="372">
        <f>Input!$JT$11</f>
        <v>0</v>
      </c>
      <c r="K53" s="372">
        <f>Input!$JU$11</f>
        <v>0</v>
      </c>
      <c r="L53" s="372">
        <f>Input!$JV$11</f>
        <v>0</v>
      </c>
      <c r="M53" s="373">
        <f t="shared" si="9"/>
        <v>1172678</v>
      </c>
      <c r="N53" s="160"/>
      <c r="O53" s="273"/>
    </row>
    <row r="54" spans="1:28" ht="13.5" thickBot="1">
      <c r="A54" s="184">
        <v>37</v>
      </c>
      <c r="B54" s="177" t="s">
        <v>2134</v>
      </c>
      <c r="C54" s="177"/>
      <c r="D54" s="372">
        <f>Input!$JW$11</f>
        <v>0</v>
      </c>
      <c r="E54" s="372">
        <f>Input!$JX$11</f>
        <v>0</v>
      </c>
      <c r="F54" s="372">
        <f>Input!$JY$11</f>
        <v>6063878</v>
      </c>
      <c r="G54" s="372">
        <f>Input!$JZ$11</f>
        <v>0</v>
      </c>
      <c r="H54" s="372">
        <f>Input!$KA$11</f>
        <v>0</v>
      </c>
      <c r="I54" s="372">
        <f>Input!$KB$11</f>
        <v>0</v>
      </c>
      <c r="J54" s="372">
        <f>Input!$KC$11</f>
        <v>0</v>
      </c>
      <c r="K54" s="372">
        <f>Input!$KD$11</f>
        <v>0</v>
      </c>
      <c r="L54" s="372">
        <f>Input!$KE$11</f>
        <v>0</v>
      </c>
      <c r="M54" s="373">
        <f t="shared" si="9"/>
        <v>6063878</v>
      </c>
      <c r="N54" s="160"/>
      <c r="O54" s="273"/>
    </row>
    <row r="55" spans="1:28" ht="14.25" thickTop="1" thickBot="1">
      <c r="A55" s="184">
        <v>38</v>
      </c>
      <c r="B55" s="160" t="s">
        <v>43</v>
      </c>
      <c r="C55" s="160"/>
      <c r="D55" s="372">
        <f>Input!$KF$11</f>
        <v>10</v>
      </c>
      <c r="E55" s="372">
        <f>Input!$KG$11</f>
        <v>275207</v>
      </c>
      <c r="F55" s="372">
        <f>Input!$KH$11</f>
        <v>100</v>
      </c>
      <c r="G55" s="372">
        <f>Input!$KI$11</f>
        <v>15816</v>
      </c>
      <c r="H55" s="372">
        <f>Input!$KJ$11</f>
        <v>0</v>
      </c>
      <c r="I55" s="372">
        <f>Input!$KK$11</f>
        <v>0</v>
      </c>
      <c r="J55" s="372">
        <f>Input!$KL$11</f>
        <v>0</v>
      </c>
      <c r="K55" s="372">
        <f>Input!$KM$11</f>
        <v>0</v>
      </c>
      <c r="L55" s="372">
        <f>Input!$KN$11</f>
        <v>0</v>
      </c>
      <c r="M55" s="373">
        <f t="shared" si="9"/>
        <v>291133</v>
      </c>
      <c r="N55" s="160"/>
      <c r="O55" s="1616" t="s">
        <v>251</v>
      </c>
      <c r="P55" s="1617"/>
      <c r="Q55" s="1617"/>
      <c r="R55" s="1618"/>
      <c r="S55" s="437"/>
      <c r="T55" s="1619" t="s">
        <v>252</v>
      </c>
      <c r="U55" s="1620"/>
      <c r="V55" s="1620"/>
      <c r="W55" s="1620"/>
      <c r="X55" s="1621"/>
      <c r="Y55" s="320"/>
      <c r="Z55" s="1749" t="s">
        <v>1301</v>
      </c>
      <c r="AA55" s="1750"/>
      <c r="AB55" s="1751"/>
    </row>
    <row r="56" spans="1:28" ht="13.5" customHeight="1" thickTop="1">
      <c r="A56" s="184">
        <v>39</v>
      </c>
      <c r="B56" s="176" t="s">
        <v>3</v>
      </c>
      <c r="C56" s="176"/>
      <c r="D56" s="374">
        <f>SUM(D50:D55)</f>
        <v>68130</v>
      </c>
      <c r="E56" s="374">
        <f t="shared" ref="E56:L56" si="10">SUM(E50:E55)</f>
        <v>1659657</v>
      </c>
      <c r="F56" s="374">
        <f t="shared" si="10"/>
        <v>6063978</v>
      </c>
      <c r="G56" s="374">
        <f t="shared" si="10"/>
        <v>9393147</v>
      </c>
      <c r="H56" s="374">
        <f t="shared" si="10"/>
        <v>0</v>
      </c>
      <c r="I56" s="374">
        <f t="shared" si="10"/>
        <v>33964</v>
      </c>
      <c r="J56" s="374">
        <f t="shared" si="10"/>
        <v>0</v>
      </c>
      <c r="K56" s="374">
        <f t="shared" si="10"/>
        <v>0</v>
      </c>
      <c r="L56" s="374">
        <f t="shared" si="10"/>
        <v>0</v>
      </c>
      <c r="M56" s="374">
        <f t="shared" si="9"/>
        <v>17218876</v>
      </c>
      <c r="N56" s="160"/>
      <c r="O56" s="1622" t="s">
        <v>1135</v>
      </c>
      <c r="P56" s="1625" t="s">
        <v>254</v>
      </c>
      <c r="Q56" s="1625" t="s">
        <v>292</v>
      </c>
      <c r="R56" s="1628" t="s">
        <v>1063</v>
      </c>
      <c r="S56" s="280"/>
      <c r="T56" s="1739" t="s">
        <v>1136</v>
      </c>
      <c r="U56" s="1637" t="s">
        <v>254</v>
      </c>
      <c r="V56" s="1634" t="s">
        <v>256</v>
      </c>
      <c r="W56" s="1637" t="s">
        <v>257</v>
      </c>
      <c r="X56" s="1638" t="s">
        <v>1064</v>
      </c>
      <c r="Z56" s="1754" t="s">
        <v>1302</v>
      </c>
      <c r="AA56" s="1747" t="s">
        <v>1303</v>
      </c>
      <c r="AB56" s="1752" t="s">
        <v>238</v>
      </c>
    </row>
    <row r="57" spans="1:28">
      <c r="A57" s="184">
        <v>40</v>
      </c>
      <c r="B57" s="162" t="s">
        <v>68</v>
      </c>
      <c r="C57" s="162"/>
      <c r="D57" s="374">
        <f>D15+D44+D47+D56</f>
        <v>38979326</v>
      </c>
      <c r="E57" s="374">
        <f t="shared" ref="E57:L57" si="11">E15+E44+E47+E56</f>
        <v>33872313</v>
      </c>
      <c r="F57" s="374">
        <f t="shared" si="11"/>
        <v>9012749</v>
      </c>
      <c r="G57" s="374">
        <f t="shared" si="11"/>
        <v>32935068</v>
      </c>
      <c r="H57" s="374">
        <f t="shared" si="11"/>
        <v>0</v>
      </c>
      <c r="I57" s="374">
        <f t="shared" si="11"/>
        <v>33964</v>
      </c>
      <c r="J57" s="374">
        <f t="shared" si="11"/>
        <v>0</v>
      </c>
      <c r="K57" s="374">
        <f t="shared" si="11"/>
        <v>0</v>
      </c>
      <c r="L57" s="374">
        <f t="shared" si="11"/>
        <v>0</v>
      </c>
      <c r="M57" s="374">
        <f t="shared" si="9"/>
        <v>114833420</v>
      </c>
      <c r="N57" s="160"/>
      <c r="O57" s="1623"/>
      <c r="P57" s="1626"/>
      <c r="Q57" s="1626"/>
      <c r="R57" s="1629"/>
      <c r="S57" s="280"/>
      <c r="T57" s="1740"/>
      <c r="U57" s="1626"/>
      <c r="V57" s="1635"/>
      <c r="W57" s="1626"/>
      <c r="X57" s="1639"/>
      <c r="Z57" s="1755"/>
      <c r="AA57" s="1747"/>
      <c r="AB57" s="1752"/>
    </row>
    <row r="58" spans="1:28">
      <c r="A58" s="184">
        <v>41</v>
      </c>
      <c r="B58" s="160"/>
      <c r="C58" s="160"/>
      <c r="D58" s="373"/>
      <c r="E58" s="373"/>
      <c r="F58" s="373"/>
      <c r="G58" s="373"/>
      <c r="H58" s="373"/>
      <c r="I58" s="373"/>
      <c r="J58" s="373"/>
      <c r="K58" s="373"/>
      <c r="L58" s="373"/>
      <c r="M58" s="373"/>
      <c r="N58" s="160"/>
      <c r="O58" s="1623"/>
      <c r="P58" s="1626"/>
      <c r="Q58" s="1626"/>
      <c r="R58" s="1629"/>
      <c r="S58" s="280"/>
      <c r="T58" s="1740"/>
      <c r="U58" s="1626"/>
      <c r="V58" s="1635"/>
      <c r="W58" s="1626"/>
      <c r="X58" s="1639"/>
      <c r="Z58" s="1755"/>
      <c r="AA58" s="1747"/>
      <c r="AB58" s="1752"/>
    </row>
    <row r="59" spans="1:28" ht="14.25" customHeight="1">
      <c r="A59" s="184">
        <v>42</v>
      </c>
      <c r="B59" s="174" t="s">
        <v>72</v>
      </c>
      <c r="C59" s="174"/>
      <c r="D59" s="377"/>
      <c r="E59" s="377"/>
      <c r="F59" s="377"/>
      <c r="G59" s="1746" t="str">
        <f>IF(OR(P105&gt;0,P106&lt;&gt;0,P107&lt;&gt;0),"Do not Enter Cents - Whole Dollars Only","")</f>
        <v/>
      </c>
      <c r="H59" s="1746"/>
      <c r="I59" s="1746"/>
      <c r="J59" s="1746"/>
      <c r="K59" s="1746"/>
      <c r="L59" s="377"/>
      <c r="M59" s="377"/>
      <c r="N59" s="160"/>
      <c r="O59" s="1624"/>
      <c r="P59" s="1627"/>
      <c r="Q59" s="1627"/>
      <c r="R59" s="1630"/>
      <c r="S59" s="280"/>
      <c r="T59" s="1741"/>
      <c r="U59" s="1627"/>
      <c r="V59" s="1636"/>
      <c r="W59" s="1627"/>
      <c r="X59" s="1640"/>
      <c r="Z59" s="1756"/>
      <c r="AA59" s="1748"/>
      <c r="AB59" s="1753"/>
    </row>
    <row r="60" spans="1:28" ht="13.5" thickBot="1">
      <c r="A60" s="184">
        <v>43</v>
      </c>
      <c r="B60" s="160" t="s">
        <v>14</v>
      </c>
      <c r="C60" s="160"/>
      <c r="D60" s="372">
        <f>Input!$KO$11</f>
        <v>14679890</v>
      </c>
      <c r="E60" s="372">
        <f>Input!$KP$11</f>
        <v>17414827</v>
      </c>
      <c r="F60" s="372">
        <f>Input!$KQ$11</f>
        <v>0</v>
      </c>
      <c r="G60" s="372">
        <f>Input!$KR$11</f>
        <v>3268382</v>
      </c>
      <c r="H60" s="372">
        <f>Input!$KS$11</f>
        <v>0</v>
      </c>
      <c r="I60" s="372">
        <f>Input!$KT$11</f>
        <v>0</v>
      </c>
      <c r="J60" s="372">
        <f>Input!$KU$11</f>
        <v>0</v>
      </c>
      <c r="K60" s="372">
        <f>Input!$KV$11</f>
        <v>0</v>
      </c>
      <c r="L60" s="372">
        <f>Input!$KW$11</f>
        <v>0</v>
      </c>
      <c r="M60" s="373">
        <f t="shared" ref="M60:M71" si="12">D60+E60+F60+G60+H60+I60+J60+K60+L60</f>
        <v>35363099</v>
      </c>
      <c r="N60" s="160"/>
      <c r="O60" s="282">
        <f>D60+E60+G60+J60</f>
        <v>35363099</v>
      </c>
      <c r="P60" s="518">
        <f>Input!$SS$11</f>
        <v>34048</v>
      </c>
      <c r="Q60" s="438" t="s">
        <v>259</v>
      </c>
      <c r="R60" s="284">
        <f>SUM(O60:P60)</f>
        <v>35397147</v>
      </c>
      <c r="S60" s="439"/>
      <c r="T60" s="286">
        <f t="shared" ref="T60:T67" si="13">D60+E60+G60</f>
        <v>35363099</v>
      </c>
      <c r="U60" s="287">
        <f t="shared" ref="U60:U67" si="14">P60</f>
        <v>34048</v>
      </c>
      <c r="V60" s="289">
        <f>Input!$TC$11</f>
        <v>0</v>
      </c>
      <c r="W60" s="289">
        <f>Input!$TK$11</f>
        <v>0</v>
      </c>
      <c r="X60" s="290">
        <f t="shared" ref="X60:X66" si="15">T60+U60-V60-W60</f>
        <v>35397147</v>
      </c>
      <c r="Z60" s="292" t="s">
        <v>14</v>
      </c>
      <c r="AA60" s="520">
        <f>Input!$TS$11</f>
        <v>35363099</v>
      </c>
      <c r="AB60" s="293">
        <f t="shared" ref="AB60:AB68" si="16">AA60-M60</f>
        <v>0</v>
      </c>
    </row>
    <row r="61" spans="1:28" ht="14.25" thickTop="1" thickBot="1">
      <c r="A61" s="184">
        <v>44</v>
      </c>
      <c r="B61" s="160" t="s">
        <v>15</v>
      </c>
      <c r="C61" s="160"/>
      <c r="D61" s="372">
        <f>Input!$KX$11</f>
        <v>251547</v>
      </c>
      <c r="E61" s="372">
        <f>Input!$KY$11</f>
        <v>516329</v>
      </c>
      <c r="F61" s="372">
        <f>Input!$KZ$11</f>
        <v>0</v>
      </c>
      <c r="G61" s="372">
        <f>Input!$LA$11</f>
        <v>2194709</v>
      </c>
      <c r="H61" s="372">
        <f>Input!$LB$11</f>
        <v>0</v>
      </c>
      <c r="I61" s="372">
        <f>Input!$LC$11</f>
        <v>0</v>
      </c>
      <c r="J61" s="372">
        <f>Input!$LD$11</f>
        <v>0</v>
      </c>
      <c r="K61" s="372">
        <f>Input!$LE$11</f>
        <v>0</v>
      </c>
      <c r="L61" s="372">
        <f>Input!$LF$11</f>
        <v>0</v>
      </c>
      <c r="M61" s="373">
        <f t="shared" si="12"/>
        <v>2962585</v>
      </c>
      <c r="N61" s="160"/>
      <c r="O61" s="440">
        <f t="shared" ref="O61:O67" si="17">D61+E61+G61+J61</f>
        <v>2962585</v>
      </c>
      <c r="P61" s="518">
        <f>Input!$ST$11</f>
        <v>141794</v>
      </c>
      <c r="Q61" s="441" t="s">
        <v>259</v>
      </c>
      <c r="R61" s="295">
        <f>SUM(O61:P61)</f>
        <v>3104379</v>
      </c>
      <c r="S61" s="442"/>
      <c r="T61" s="296">
        <f t="shared" si="13"/>
        <v>2962585</v>
      </c>
      <c r="U61" s="297">
        <f t="shared" si="14"/>
        <v>141794</v>
      </c>
      <c r="V61" s="299">
        <f>Input!$TD$11</f>
        <v>0</v>
      </c>
      <c r="W61" s="299">
        <f>Input!$TL$11</f>
        <v>0</v>
      </c>
      <c r="X61" s="300">
        <f t="shared" si="15"/>
        <v>3104379</v>
      </c>
      <c r="Z61" s="292" t="s">
        <v>15</v>
      </c>
      <c r="AA61" s="518">
        <f>Input!$TT$11</f>
        <v>2962585</v>
      </c>
      <c r="AB61" s="301">
        <f t="shared" si="16"/>
        <v>0</v>
      </c>
    </row>
    <row r="62" spans="1:28" ht="13.5" thickTop="1">
      <c r="A62" s="184">
        <v>45</v>
      </c>
      <c r="B62" s="160" t="s">
        <v>16</v>
      </c>
      <c r="C62" s="160"/>
      <c r="D62" s="372">
        <f>Input!$LG$11</f>
        <v>414363</v>
      </c>
      <c r="E62" s="372">
        <f>Input!$LH$11</f>
        <v>695041</v>
      </c>
      <c r="F62" s="372">
        <f>Input!$LI$11</f>
        <v>0</v>
      </c>
      <c r="G62" s="372">
        <f>Input!$LJ$11</f>
        <v>2839002</v>
      </c>
      <c r="H62" s="372">
        <f>Input!$LK$11</f>
        <v>0</v>
      </c>
      <c r="I62" s="372">
        <f>Input!$LL$11</f>
        <v>0</v>
      </c>
      <c r="J62" s="372">
        <f>Input!$LM$11</f>
        <v>0</v>
      </c>
      <c r="K62" s="372">
        <f>Input!$LN$11</f>
        <v>0</v>
      </c>
      <c r="L62" s="372">
        <f>Input!$LO$11</f>
        <v>0</v>
      </c>
      <c r="M62" s="373">
        <f t="shared" si="12"/>
        <v>3948406</v>
      </c>
      <c r="N62" s="160"/>
      <c r="O62" s="440">
        <f t="shared" si="17"/>
        <v>3948406</v>
      </c>
      <c r="P62" s="518">
        <f>Input!$SU$11</f>
        <v>7238</v>
      </c>
      <c r="Q62" s="441" t="s">
        <v>259</v>
      </c>
      <c r="R62" s="302" t="s">
        <v>259</v>
      </c>
      <c r="S62" s="442"/>
      <c r="T62" s="296">
        <f t="shared" si="13"/>
        <v>3948406</v>
      </c>
      <c r="U62" s="297">
        <f t="shared" si="14"/>
        <v>7238</v>
      </c>
      <c r="V62" s="299">
        <f>Input!$TE$11</f>
        <v>0</v>
      </c>
      <c r="W62" s="299">
        <f>Input!$TM$11</f>
        <v>0</v>
      </c>
      <c r="X62" s="303">
        <f t="shared" si="15"/>
        <v>3955644</v>
      </c>
      <c r="Z62" s="292" t="s">
        <v>16</v>
      </c>
      <c r="AA62" s="518">
        <f>Input!$TU$11</f>
        <v>3948406</v>
      </c>
      <c r="AB62" s="301">
        <f t="shared" si="16"/>
        <v>0</v>
      </c>
    </row>
    <row r="63" spans="1:28">
      <c r="A63" s="184">
        <v>46</v>
      </c>
      <c r="B63" s="160" t="s">
        <v>17</v>
      </c>
      <c r="C63" s="160"/>
      <c r="D63" s="372">
        <f>Input!$LP$11</f>
        <v>3593731</v>
      </c>
      <c r="E63" s="372">
        <f>Input!$LQ$11</f>
        <v>3190101</v>
      </c>
      <c r="F63" s="372">
        <f>Input!$LR$11</f>
        <v>0</v>
      </c>
      <c r="G63" s="372">
        <f>Input!$LS$11</f>
        <v>520797</v>
      </c>
      <c r="H63" s="372">
        <f>Input!$LT$11</f>
        <v>0</v>
      </c>
      <c r="I63" s="372">
        <f>Input!$LU$11</f>
        <v>0</v>
      </c>
      <c r="J63" s="372">
        <f>Input!$LV$11</f>
        <v>0</v>
      </c>
      <c r="K63" s="372">
        <f>Input!$LW$11</f>
        <v>0</v>
      </c>
      <c r="L63" s="372">
        <f>Input!$LX$11</f>
        <v>0</v>
      </c>
      <c r="M63" s="373">
        <f t="shared" si="12"/>
        <v>7304629</v>
      </c>
      <c r="N63" s="160"/>
      <c r="O63" s="440">
        <f t="shared" si="17"/>
        <v>7304629</v>
      </c>
      <c r="P63" s="518">
        <f>Input!$SV$11</f>
        <v>234378</v>
      </c>
      <c r="Q63" s="441" t="s">
        <v>259</v>
      </c>
      <c r="R63" s="295">
        <f t="shared" ref="R63:R65" si="18">SUM(O63:P63)</f>
        <v>7539007</v>
      </c>
      <c r="S63" s="442"/>
      <c r="T63" s="296">
        <f t="shared" si="13"/>
        <v>7304629</v>
      </c>
      <c r="U63" s="297">
        <f t="shared" si="14"/>
        <v>234378</v>
      </c>
      <c r="V63" s="299">
        <f>Input!$TF$11</f>
        <v>0</v>
      </c>
      <c r="W63" s="299">
        <f>Input!$TN$11</f>
        <v>0</v>
      </c>
      <c r="X63" s="303">
        <f t="shared" si="15"/>
        <v>7539007</v>
      </c>
      <c r="Z63" s="292" t="s">
        <v>17</v>
      </c>
      <c r="AA63" s="518">
        <f>Input!$TV$11</f>
        <v>7304629</v>
      </c>
      <c r="AB63" s="301">
        <f t="shared" si="16"/>
        <v>0</v>
      </c>
    </row>
    <row r="64" spans="1:28">
      <c r="A64" s="184">
        <v>47</v>
      </c>
      <c r="B64" s="160" t="s">
        <v>18</v>
      </c>
      <c r="C64" s="160"/>
      <c r="D64" s="372">
        <f>Input!$LY$11</f>
        <v>2008798</v>
      </c>
      <c r="E64" s="372">
        <f>Input!$LZ$11</f>
        <v>1406501</v>
      </c>
      <c r="F64" s="372">
        <f>Input!$MA$11</f>
        <v>0</v>
      </c>
      <c r="G64" s="372">
        <f>Input!$MB$11</f>
        <v>29161</v>
      </c>
      <c r="H64" s="372">
        <f>Input!$MC$11</f>
        <v>0</v>
      </c>
      <c r="I64" s="372">
        <f>Input!$MD$11</f>
        <v>0</v>
      </c>
      <c r="J64" s="372">
        <f>Input!$ME$11</f>
        <v>0</v>
      </c>
      <c r="K64" s="372">
        <f>Input!$MF$11</f>
        <v>0</v>
      </c>
      <c r="L64" s="372">
        <f>Input!$MG$11</f>
        <v>0</v>
      </c>
      <c r="M64" s="373">
        <f t="shared" si="12"/>
        <v>3444460</v>
      </c>
      <c r="N64" s="160"/>
      <c r="O64" s="440">
        <f t="shared" si="17"/>
        <v>3444460</v>
      </c>
      <c r="P64" s="518">
        <f>Input!$SW$11</f>
        <v>0</v>
      </c>
      <c r="Q64" s="518">
        <f>Input!$TB$11</f>
        <v>0</v>
      </c>
      <c r="R64" s="295">
        <f>SUM(O64:P64)-Q64</f>
        <v>3444460</v>
      </c>
      <c r="S64" s="442"/>
      <c r="T64" s="296">
        <f t="shared" si="13"/>
        <v>3444460</v>
      </c>
      <c r="U64" s="297">
        <f t="shared" si="14"/>
        <v>0</v>
      </c>
      <c r="V64" s="299">
        <f>Input!$TG$11</f>
        <v>0</v>
      </c>
      <c r="W64" s="299">
        <f>Input!$TO$11</f>
        <v>0</v>
      </c>
      <c r="X64" s="303">
        <f t="shared" si="15"/>
        <v>3444460</v>
      </c>
      <c r="Z64" s="292" t="s">
        <v>18</v>
      </c>
      <c r="AA64" s="518">
        <f>Input!$TW$11</f>
        <v>3444460</v>
      </c>
      <c r="AB64" s="301">
        <f t="shared" si="16"/>
        <v>0</v>
      </c>
    </row>
    <row r="65" spans="1:28">
      <c r="A65" s="184">
        <v>48</v>
      </c>
      <c r="B65" s="160" t="s">
        <v>19</v>
      </c>
      <c r="C65" s="160"/>
      <c r="D65" s="372">
        <f>Input!$MH$11</f>
        <v>4090976</v>
      </c>
      <c r="E65" s="372">
        <f>Input!$MI$11</f>
        <v>4254525</v>
      </c>
      <c r="F65" s="372">
        <f>Input!$MJ$11</f>
        <v>0</v>
      </c>
      <c r="G65" s="372">
        <f>Input!$MK$11</f>
        <v>3316735</v>
      </c>
      <c r="H65" s="372">
        <f>Input!$ML$11</f>
        <v>0</v>
      </c>
      <c r="I65" s="372">
        <f>Input!$MM$11</f>
        <v>0</v>
      </c>
      <c r="J65" s="372">
        <f>Input!$MN$11</f>
        <v>0</v>
      </c>
      <c r="K65" s="372">
        <f>Input!$MO$11</f>
        <v>0</v>
      </c>
      <c r="L65" s="372">
        <f>Input!$MP$11</f>
        <v>0</v>
      </c>
      <c r="M65" s="373">
        <f t="shared" si="12"/>
        <v>11662236</v>
      </c>
      <c r="N65" s="160"/>
      <c r="O65" s="440">
        <f t="shared" si="17"/>
        <v>11662236</v>
      </c>
      <c r="P65" s="518">
        <f>Input!$SX$11</f>
        <v>3005499</v>
      </c>
      <c r="Q65" s="441" t="s">
        <v>259</v>
      </c>
      <c r="R65" s="295">
        <f t="shared" si="18"/>
        <v>14667735</v>
      </c>
      <c r="S65" s="442"/>
      <c r="T65" s="296">
        <f t="shared" si="13"/>
        <v>11662236</v>
      </c>
      <c r="U65" s="297">
        <f t="shared" si="14"/>
        <v>3005499</v>
      </c>
      <c r="V65" s="299">
        <f>Input!$TH$11</f>
        <v>0</v>
      </c>
      <c r="W65" s="299">
        <f>Input!$TP$11</f>
        <v>0</v>
      </c>
      <c r="X65" s="303">
        <f t="shared" si="15"/>
        <v>14667735</v>
      </c>
      <c r="Z65" s="292" t="s">
        <v>19</v>
      </c>
      <c r="AA65" s="518">
        <f>Input!$TX$11</f>
        <v>11662236</v>
      </c>
      <c r="AB65" s="301">
        <f t="shared" si="16"/>
        <v>0</v>
      </c>
    </row>
    <row r="66" spans="1:28">
      <c r="A66" s="184">
        <v>49</v>
      </c>
      <c r="B66" s="160" t="s">
        <v>20</v>
      </c>
      <c r="C66" s="160"/>
      <c r="D66" s="372">
        <f>Input!$MQ$11</f>
        <v>5186486</v>
      </c>
      <c r="E66" s="372">
        <f>Input!$MR$11</f>
        <v>3073441</v>
      </c>
      <c r="F66" s="372">
        <f>Input!$MS$11</f>
        <v>0</v>
      </c>
      <c r="G66" s="372">
        <f>Input!$MT$11</f>
        <v>221389</v>
      </c>
      <c r="H66" s="372">
        <f>Input!$MU$11</f>
        <v>0</v>
      </c>
      <c r="I66" s="372">
        <f>Input!$MV$11</f>
        <v>0</v>
      </c>
      <c r="J66" s="372">
        <f>Input!$MW$11</f>
        <v>1737983</v>
      </c>
      <c r="K66" s="372">
        <f>Input!$MX$11</f>
        <v>0</v>
      </c>
      <c r="L66" s="372">
        <f>Input!$MY$11</f>
        <v>0</v>
      </c>
      <c r="M66" s="373">
        <f t="shared" si="12"/>
        <v>10219299</v>
      </c>
      <c r="N66" s="160"/>
      <c r="O66" s="440">
        <f t="shared" si="17"/>
        <v>10219299</v>
      </c>
      <c r="P66" s="518">
        <f>Input!$SY$11</f>
        <v>18324</v>
      </c>
      <c r="Q66" s="441" t="s">
        <v>259</v>
      </c>
      <c r="R66" s="304" t="s">
        <v>259</v>
      </c>
      <c r="S66" s="442"/>
      <c r="T66" s="296">
        <f t="shared" si="13"/>
        <v>8481316</v>
      </c>
      <c r="U66" s="297">
        <f t="shared" si="14"/>
        <v>18324</v>
      </c>
      <c r="V66" s="299">
        <f>Input!$TI$11</f>
        <v>0</v>
      </c>
      <c r="W66" s="299">
        <f>Input!$TQ$11</f>
        <v>0</v>
      </c>
      <c r="X66" s="303">
        <f t="shared" si="15"/>
        <v>8499640</v>
      </c>
      <c r="Z66" s="292" t="s">
        <v>260</v>
      </c>
      <c r="AA66" s="518">
        <f>Input!$TY$11</f>
        <v>10219299</v>
      </c>
      <c r="AB66" s="301">
        <f t="shared" si="16"/>
        <v>0</v>
      </c>
    </row>
    <row r="67" spans="1:28" ht="13.5" thickBot="1">
      <c r="A67" s="184">
        <v>50</v>
      </c>
      <c r="B67" s="160" t="s">
        <v>21</v>
      </c>
      <c r="C67" s="160"/>
      <c r="D67" s="372">
        <f>Input!$MZ$11</f>
        <v>179824</v>
      </c>
      <c r="E67" s="372">
        <f>Input!$NA$11</f>
        <v>4828312</v>
      </c>
      <c r="F67" s="372">
        <f>Input!$NB$11</f>
        <v>0</v>
      </c>
      <c r="G67" s="372">
        <f>Input!$NC$11</f>
        <v>6613556</v>
      </c>
      <c r="H67" s="372">
        <f>Input!$ND$11</f>
        <v>0</v>
      </c>
      <c r="I67" s="372">
        <f>Input!$NE$11</f>
        <v>0</v>
      </c>
      <c r="J67" s="372">
        <f>Input!$NF$11</f>
        <v>0</v>
      </c>
      <c r="K67" s="372">
        <f>Input!$NG$11</f>
        <v>0</v>
      </c>
      <c r="L67" s="372">
        <f>Input!$NH$11</f>
        <v>0</v>
      </c>
      <c r="M67" s="373">
        <f t="shared" si="12"/>
        <v>11621692</v>
      </c>
      <c r="N67" s="160"/>
      <c r="O67" s="440">
        <f t="shared" si="17"/>
        <v>11621692</v>
      </c>
      <c r="P67" s="518">
        <f>Input!$SZ$11</f>
        <v>0</v>
      </c>
      <c r="Q67" s="441" t="s">
        <v>259</v>
      </c>
      <c r="R67" s="304" t="s">
        <v>259</v>
      </c>
      <c r="S67" s="442"/>
      <c r="T67" s="306">
        <f t="shared" si="13"/>
        <v>11621692</v>
      </c>
      <c r="U67" s="307">
        <f t="shared" si="14"/>
        <v>0</v>
      </c>
      <c r="V67" s="308">
        <f>Input!$TJ$11</f>
        <v>0</v>
      </c>
      <c r="W67" s="308">
        <f>Input!$TR$11</f>
        <v>0</v>
      </c>
      <c r="X67" s="303">
        <f>U67+T67-V67-W67</f>
        <v>11621692</v>
      </c>
      <c r="Z67" s="292" t="s">
        <v>21</v>
      </c>
      <c r="AA67" s="518">
        <f>Input!$TZ$11</f>
        <v>11621692</v>
      </c>
      <c r="AB67" s="301">
        <f t="shared" si="16"/>
        <v>0</v>
      </c>
    </row>
    <row r="68" spans="1:28" ht="14.25" thickTop="1" thickBot="1">
      <c r="A68" s="184">
        <v>51</v>
      </c>
      <c r="B68" s="160" t="s">
        <v>2135</v>
      </c>
      <c r="C68" s="160"/>
      <c r="D68" s="372">
        <f>Input!$NI$11</f>
        <v>0</v>
      </c>
      <c r="E68" s="372">
        <f>Input!$NJ$11</f>
        <v>31588</v>
      </c>
      <c r="F68" s="372">
        <f>Input!$NK$11</f>
        <v>8401166</v>
      </c>
      <c r="G68" s="372">
        <f>Input!$NL$11</f>
        <v>1065318</v>
      </c>
      <c r="H68" s="372">
        <f>Input!$NM$11</f>
        <v>0</v>
      </c>
      <c r="I68" s="372">
        <f>Input!$NN$11</f>
        <v>0</v>
      </c>
      <c r="J68" s="372">
        <f>Input!$NO$11</f>
        <v>0</v>
      </c>
      <c r="K68" s="372">
        <f>Input!$NP$11</f>
        <v>0</v>
      </c>
      <c r="L68" s="372">
        <f>Input!$NQ$11</f>
        <v>0</v>
      </c>
      <c r="M68" s="373">
        <f t="shared" si="12"/>
        <v>9498072</v>
      </c>
      <c r="N68" s="160"/>
      <c r="O68" s="309" t="s">
        <v>259</v>
      </c>
      <c r="P68" s="519">
        <f>Input!$TA$11</f>
        <v>5725</v>
      </c>
      <c r="Q68" s="444" t="s">
        <v>259</v>
      </c>
      <c r="R68" s="311" t="s">
        <v>259</v>
      </c>
      <c r="S68" s="442"/>
      <c r="T68" s="305"/>
      <c r="U68" s="305"/>
      <c r="V68" s="312" t="s">
        <v>261</v>
      </c>
      <c r="W68" s="313"/>
      <c r="X68" s="314">
        <f>SUM(X60:X67)</f>
        <v>88229704</v>
      </c>
      <c r="Z68" s="292" t="s">
        <v>22</v>
      </c>
      <c r="AA68" s="518">
        <f>Input!$UA$11</f>
        <v>9498072</v>
      </c>
      <c r="AB68" s="301">
        <f t="shared" si="16"/>
        <v>0</v>
      </c>
    </row>
    <row r="69" spans="1:28" ht="14.25" thickTop="1" thickBot="1">
      <c r="A69" s="184">
        <v>52</v>
      </c>
      <c r="B69" s="161" t="s">
        <v>59</v>
      </c>
      <c r="C69" s="161"/>
      <c r="D69" s="372">
        <f>Input!$NR$11</f>
        <v>0</v>
      </c>
      <c r="E69" s="372">
        <f>Input!$NS$11</f>
        <v>2952557</v>
      </c>
      <c r="F69" s="372">
        <f>Input!$NT$11</f>
        <v>5726</v>
      </c>
      <c r="G69" s="372">
        <f>Input!$NU$11</f>
        <v>488723</v>
      </c>
      <c r="H69" s="372">
        <f>Input!$NV$11</f>
        <v>0</v>
      </c>
      <c r="I69" s="372">
        <f>Input!$NW$11</f>
        <v>0</v>
      </c>
      <c r="J69" s="372">
        <f>Input!$NX$11</f>
        <v>0</v>
      </c>
      <c r="K69" s="372">
        <f>Input!$NY$11</f>
        <v>0</v>
      </c>
      <c r="L69" s="372">
        <f>Input!$NZ$11</f>
        <v>0</v>
      </c>
      <c r="M69" s="373">
        <f t="shared" si="12"/>
        <v>3447006</v>
      </c>
      <c r="N69" s="160"/>
      <c r="O69" s="315"/>
      <c r="P69" s="316">
        <f>SUM(P60:P68)</f>
        <v>3447006</v>
      </c>
      <c r="Q69" s="316">
        <f>SUM(Q64:Q68)</f>
        <v>0</v>
      </c>
      <c r="R69" s="317">
        <f>SUM(R60:R65)</f>
        <v>64152728</v>
      </c>
      <c r="S69" s="316"/>
      <c r="T69" s="305"/>
      <c r="U69" s="305"/>
      <c r="V69" s="305"/>
      <c r="W69" s="277"/>
      <c r="X69" s="277"/>
      <c r="Y69" s="277"/>
      <c r="Z69" s="292" t="s">
        <v>285</v>
      </c>
      <c r="AA69" s="445">
        <f>M88*-1</f>
        <v>20910893</v>
      </c>
      <c r="AB69" s="301">
        <f>AA69+M88</f>
        <v>0</v>
      </c>
    </row>
    <row r="70" spans="1:28" ht="14.25" thickTop="1" thickBot="1">
      <c r="A70" s="184">
        <v>53</v>
      </c>
      <c r="B70" s="178" t="s">
        <v>44</v>
      </c>
      <c r="C70" s="178"/>
      <c r="D70" s="378">
        <f>Input!$OA$11</f>
        <v>0</v>
      </c>
      <c r="E70" s="378">
        <f>Input!$OB$11</f>
        <v>0</v>
      </c>
      <c r="F70" s="378">
        <f>Input!$OC$11</f>
        <v>0</v>
      </c>
      <c r="G70" s="378">
        <f>Input!$OD$11</f>
        <v>0</v>
      </c>
      <c r="H70" s="378">
        <f>Input!$OE$11</f>
        <v>0</v>
      </c>
      <c r="I70" s="378">
        <f>Input!$OF$11</f>
        <v>0</v>
      </c>
      <c r="J70" s="378">
        <f>Input!$OG$11</f>
        <v>0</v>
      </c>
      <c r="K70" s="378">
        <f>Input!$OH$11</f>
        <v>0</v>
      </c>
      <c r="L70" s="378">
        <f>Input!$OI$11</f>
        <v>18266</v>
      </c>
      <c r="M70" s="373">
        <f t="shared" si="12"/>
        <v>18266</v>
      </c>
      <c r="N70" s="160"/>
      <c r="O70" s="320"/>
      <c r="P70" s="516" t="str">
        <f>IF(P69&lt;&gt;M69,"Out of Balance","Balanced")</f>
        <v>Balanced</v>
      </c>
      <c r="Q70" s="318"/>
      <c r="R70" s="305"/>
      <c r="S70" s="305"/>
      <c r="T70" s="305"/>
      <c r="U70" s="277"/>
      <c r="V70" s="1738" t="str">
        <f>IF(X68-INT(X68)&lt;&gt;0,"Whole Dollars Only","")</f>
        <v/>
      </c>
      <c r="W70" s="1738"/>
      <c r="X70" s="537"/>
      <c r="Y70" s="319"/>
      <c r="Z70" s="410" t="s">
        <v>262</v>
      </c>
      <c r="AA70" s="446" t="s">
        <v>259</v>
      </c>
      <c r="AB70" s="411">
        <f>M90</f>
        <v>0</v>
      </c>
    </row>
    <row r="71" spans="1:28" ht="13.5" thickTop="1">
      <c r="A71" s="184">
        <v>54</v>
      </c>
      <c r="B71" s="162" t="s">
        <v>69</v>
      </c>
      <c r="C71" s="162"/>
      <c r="D71" s="374">
        <f>SUM(D60:D70)</f>
        <v>30405615</v>
      </c>
      <c r="E71" s="374">
        <f>SUM(E60:E70)</f>
        <v>38363222</v>
      </c>
      <c r="F71" s="374">
        <f t="shared" ref="F71:L71" si="19">SUM(F60:F70)</f>
        <v>8406892</v>
      </c>
      <c r="G71" s="374">
        <f t="shared" si="19"/>
        <v>20557772</v>
      </c>
      <c r="H71" s="374">
        <f t="shared" si="19"/>
        <v>0</v>
      </c>
      <c r="I71" s="374">
        <f t="shared" si="19"/>
        <v>0</v>
      </c>
      <c r="J71" s="374">
        <f t="shared" si="19"/>
        <v>1737983</v>
      </c>
      <c r="K71" s="374">
        <f t="shared" si="19"/>
        <v>0</v>
      </c>
      <c r="L71" s="374">
        <f t="shared" si="19"/>
        <v>18266</v>
      </c>
      <c r="M71" s="374">
        <f t="shared" si="12"/>
        <v>99489750</v>
      </c>
      <c r="N71" s="160"/>
      <c r="O71" s="322"/>
      <c r="P71" s="1738" t="str">
        <f>IF(P69-INT(P69)&lt;&gt;0,"Whole Dollars Only","")</f>
        <v/>
      </c>
      <c r="Q71" s="1738"/>
      <c r="R71" s="323"/>
      <c r="S71" s="323"/>
      <c r="T71" s="323"/>
      <c r="U71" s="291"/>
      <c r="V71" s="324"/>
      <c r="W71" s="321"/>
      <c r="X71" s="321"/>
      <c r="Y71" s="321"/>
      <c r="Z71" s="318"/>
      <c r="AA71" s="325">
        <f>SUM(AA60:AA70)</f>
        <v>116935371</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Input!$OJ$11</f>
        <v>0</v>
      </c>
      <c r="E74" s="372">
        <f>Input!$OK$11</f>
        <v>0</v>
      </c>
      <c r="F74" s="372">
        <f>Input!$OL$11</f>
        <v>0</v>
      </c>
      <c r="G74" s="372">
        <f>Input!$OM$11</f>
        <v>0</v>
      </c>
      <c r="H74" s="372">
        <f>Input!$ON$11</f>
        <v>0</v>
      </c>
      <c r="I74" s="372">
        <f>Input!$OO$11</f>
        <v>0</v>
      </c>
      <c r="J74" s="372">
        <f>Input!$OP$11</f>
        <v>-8030225</v>
      </c>
      <c r="K74" s="372">
        <f>Input!$OQ$11</f>
        <v>0</v>
      </c>
      <c r="L74" s="372">
        <f>Input!$OR$11</f>
        <v>0</v>
      </c>
      <c r="M74" s="373">
        <f>D74+E74+F74+G74+H74+I74+J74+K74+L74</f>
        <v>-8030225</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Input!$OS$11</f>
        <v>537844</v>
      </c>
      <c r="E75" s="372">
        <f>Input!$OT$11</f>
        <v>4544481</v>
      </c>
      <c r="F75" s="372">
        <f>Input!$OU$11</f>
        <v>3653431</v>
      </c>
      <c r="G75" s="372">
        <f>Input!$OV$11</f>
        <v>-9649145</v>
      </c>
      <c r="H75" s="372">
        <f>Input!$OW$11</f>
        <v>0</v>
      </c>
      <c r="I75" s="372">
        <f>Input!$OX$11</f>
        <v>2573</v>
      </c>
      <c r="J75" s="372">
        <f>Input!$OY$11</f>
        <v>1000000</v>
      </c>
      <c r="K75" s="372">
        <f>Input!$OZ$11</f>
        <v>0</v>
      </c>
      <c r="L75" s="372">
        <f>Input!$PA$11</f>
        <v>0</v>
      </c>
      <c r="M75" s="373">
        <f>D75+E75+F75+G75+H75+I75+J75+K75+L75</f>
        <v>89184</v>
      </c>
      <c r="N75" s="160"/>
      <c r="O75" s="1723" t="str">
        <f>IF(M85&lt;0,"Footnote 11 is N/A - No Data Entry Required","Footnote 11")</f>
        <v>Footnote 11</v>
      </c>
      <c r="P75" s="1724"/>
      <c r="Q75" s="1724"/>
      <c r="R75" s="1725"/>
      <c r="S75" s="330"/>
      <c r="T75" s="330"/>
      <c r="U75" s="327"/>
      <c r="V75" s="276"/>
      <c r="W75" s="331"/>
      <c r="X75" s="331"/>
      <c r="Y75" s="328"/>
      <c r="Z75" s="328"/>
      <c r="AA75" s="276"/>
      <c r="AB75" s="276" t="s">
        <v>293</v>
      </c>
    </row>
    <row r="76" spans="1:28" ht="13.5" thickTop="1">
      <c r="A76" s="184">
        <v>59</v>
      </c>
      <c r="B76" s="160" t="s">
        <v>45</v>
      </c>
      <c r="C76" s="160"/>
      <c r="D76" s="372">
        <f>Input!$PB$11</f>
        <v>0</v>
      </c>
      <c r="E76" s="372">
        <f>Input!$PC$11</f>
        <v>0</v>
      </c>
      <c r="F76" s="372">
        <f>Input!$PD$11</f>
        <v>0</v>
      </c>
      <c r="G76" s="372">
        <f>Input!$PE$11</f>
        <v>0</v>
      </c>
      <c r="H76" s="372">
        <f>Input!$PF$11</f>
        <v>0</v>
      </c>
      <c r="I76" s="372">
        <f>Input!$PG$11</f>
        <v>0</v>
      </c>
      <c r="J76" s="372">
        <f>Input!$PH$11</f>
        <v>8659975</v>
      </c>
      <c r="K76" s="372">
        <f>Input!$PI$11</f>
        <v>0</v>
      </c>
      <c r="L76" s="372">
        <f>Input!$PJ$11</f>
        <v>0</v>
      </c>
      <c r="M76" s="373">
        <f>D76+E76+F76+G76+H76+I76+J76+K76+L76</f>
        <v>8659975</v>
      </c>
      <c r="N76" s="160"/>
      <c r="O76" s="487" t="s">
        <v>583</v>
      </c>
      <c r="P76" s="488"/>
      <c r="Q76" s="489"/>
      <c r="R76" s="490">
        <f>IF($M$85&lt;0,"N/A",$M$85)</f>
        <v>15468360</v>
      </c>
      <c r="S76" s="330"/>
      <c r="T76" s="330"/>
      <c r="U76" s="327"/>
      <c r="V76" s="276"/>
      <c r="W76" s="331"/>
      <c r="X76" s="331"/>
      <c r="Y76" s="331"/>
      <c r="Z76" s="331"/>
      <c r="AA76" s="276"/>
      <c r="AB76" s="276"/>
    </row>
    <row r="77" spans="1:28">
      <c r="A77" s="184">
        <v>60</v>
      </c>
      <c r="B77" s="160" t="s">
        <v>46</v>
      </c>
      <c r="C77" s="160"/>
      <c r="D77" s="372">
        <f>Input!$PK$11</f>
        <v>-12186051</v>
      </c>
      <c r="E77" s="372">
        <f>Input!$PL$11</f>
        <v>-1412935</v>
      </c>
      <c r="F77" s="372">
        <f>Input!$PM$11</f>
        <v>-3656026</v>
      </c>
      <c r="G77" s="372">
        <f>Input!$PN$11</f>
        <v>0</v>
      </c>
      <c r="H77" s="372">
        <f>Input!$PO$11</f>
        <v>0</v>
      </c>
      <c r="I77" s="372">
        <f>Input!$PP$11</f>
        <v>0</v>
      </c>
      <c r="J77" s="372">
        <f>Input!$PQ$11</f>
        <v>0</v>
      </c>
      <c r="K77" s="372">
        <f>Input!$PR$11</f>
        <v>0</v>
      </c>
      <c r="L77" s="372">
        <f>Input!$PS$11</f>
        <v>0</v>
      </c>
      <c r="M77" s="373">
        <f>D77+E77+F77+G77+H77+I77+J77+K77+L77</f>
        <v>-17255012</v>
      </c>
      <c r="N77" s="160"/>
      <c r="O77" s="491" t="s">
        <v>584</v>
      </c>
      <c r="P77" s="334"/>
      <c r="Q77" s="334"/>
      <c r="R77" s="521">
        <f>Input!$UB$11</f>
        <v>2312402</v>
      </c>
      <c r="S77" s="330"/>
      <c r="T77" s="330"/>
      <c r="U77" s="327"/>
      <c r="V77" s="276"/>
      <c r="W77" s="331"/>
      <c r="X77" s="331"/>
      <c r="Y77" s="331"/>
      <c r="Z77" s="331"/>
      <c r="AA77" s="276"/>
      <c r="AB77" s="276"/>
    </row>
    <row r="78" spans="1:28">
      <c r="A78" s="184">
        <v>61</v>
      </c>
      <c r="B78" s="162" t="s">
        <v>3</v>
      </c>
      <c r="C78" s="162"/>
      <c r="D78" s="374">
        <f t="shared" ref="D78:L78" si="20">SUM(D74:D77)</f>
        <v>-11648207</v>
      </c>
      <c r="E78" s="374">
        <f t="shared" si="20"/>
        <v>3131546</v>
      </c>
      <c r="F78" s="374">
        <f t="shared" si="20"/>
        <v>-2595</v>
      </c>
      <c r="G78" s="374">
        <f t="shared" si="20"/>
        <v>-9649145</v>
      </c>
      <c r="H78" s="374">
        <f t="shared" si="20"/>
        <v>0</v>
      </c>
      <c r="I78" s="374">
        <f t="shared" si="20"/>
        <v>2573</v>
      </c>
      <c r="J78" s="374">
        <f t="shared" si="20"/>
        <v>1629750</v>
      </c>
      <c r="K78" s="374">
        <f t="shared" si="20"/>
        <v>0</v>
      </c>
      <c r="L78" s="374">
        <f t="shared" si="20"/>
        <v>0</v>
      </c>
      <c r="M78" s="374">
        <f>D78+E78+F78+G78+H78+I78+J78+K78+L78</f>
        <v>-16536078</v>
      </c>
      <c r="N78" s="160"/>
      <c r="O78" s="491" t="s">
        <v>585</v>
      </c>
      <c r="P78" s="276"/>
      <c r="Q78" s="334"/>
      <c r="R78" s="492">
        <f>IF($M$85&lt;0,"",$R$76-$R$77)</f>
        <v>13155958</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3"/>
      <c r="P79" s="276"/>
      <c r="Q79" s="334"/>
      <c r="R79" s="494"/>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5" t="s">
        <v>586</v>
      </c>
      <c r="P80" s="276"/>
      <c r="Q80" s="334"/>
      <c r="R80" s="521">
        <f>Input!$UC$11</f>
        <v>13155958</v>
      </c>
      <c r="S80" s="330"/>
      <c r="T80" s="330"/>
      <c r="U80" s="334"/>
      <c r="V80" s="276"/>
      <c r="W80" s="328"/>
      <c r="X80" s="328"/>
      <c r="Y80" s="331"/>
      <c r="Z80" s="331"/>
      <c r="AA80" s="276"/>
      <c r="AB80" s="276"/>
    </row>
    <row r="81" spans="1:28">
      <c r="A81" s="184">
        <v>64</v>
      </c>
      <c r="B81" s="160" t="s">
        <v>47</v>
      </c>
      <c r="C81" s="160"/>
      <c r="D81" s="372">
        <f>Input!PT6</f>
        <v>0</v>
      </c>
      <c r="E81" s="372">
        <f>Input!$PU$11</f>
        <v>-701557</v>
      </c>
      <c r="F81" s="372">
        <f>Input!$PV$11</f>
        <v>0</v>
      </c>
      <c r="G81" s="372">
        <f>Input!$PW$11</f>
        <v>0</v>
      </c>
      <c r="H81" s="372">
        <f>Input!$PX$11</f>
        <v>0</v>
      </c>
      <c r="I81" s="372">
        <f>Input!$PY$11</f>
        <v>13857515</v>
      </c>
      <c r="J81" s="372">
        <f>Input!$PZ$11</f>
        <v>0</v>
      </c>
      <c r="K81" s="372">
        <f>Input!$QA$11</f>
        <v>0</v>
      </c>
      <c r="L81" s="372">
        <f>Input!$QB$11</f>
        <v>0</v>
      </c>
      <c r="M81" s="373">
        <f>D81+E81+F81+G81+H81+I81+J81+K81+L81</f>
        <v>13155958</v>
      </c>
      <c r="N81" s="160"/>
      <c r="O81" s="496" t="s">
        <v>587</v>
      </c>
      <c r="P81" s="276"/>
      <c r="Q81" s="276"/>
      <c r="R81" s="497"/>
      <c r="S81" s="330"/>
      <c r="T81" s="330"/>
      <c r="W81" s="276"/>
      <c r="X81" s="276"/>
      <c r="Y81" s="331"/>
      <c r="Z81" s="331"/>
      <c r="AA81" s="276"/>
      <c r="AB81" s="276"/>
    </row>
    <row r="82" spans="1:28">
      <c r="A82" s="184">
        <v>65</v>
      </c>
      <c r="B82" s="160" t="s">
        <v>48</v>
      </c>
      <c r="C82" s="160"/>
      <c r="D82" s="372">
        <f>Input!$QC$11</f>
        <v>0</v>
      </c>
      <c r="E82" s="372">
        <f>Input!$QD$11</f>
        <v>0</v>
      </c>
      <c r="F82" s="372">
        <f>Input!$QE$11</f>
        <v>0</v>
      </c>
      <c r="G82" s="372">
        <f>Input!$QF$11</f>
        <v>0</v>
      </c>
      <c r="H82" s="372">
        <f>Input!$QG$11</f>
        <v>0</v>
      </c>
      <c r="I82" s="372">
        <f>Input!$QH$11</f>
        <v>3504810</v>
      </c>
      <c r="J82" s="372">
        <f>Input!$QI$11</f>
        <v>0</v>
      </c>
      <c r="K82" s="372">
        <f>Input!$QJ$11</f>
        <v>0</v>
      </c>
      <c r="L82" s="372">
        <f>Input!$QK$11</f>
        <v>0</v>
      </c>
      <c r="M82" s="373">
        <f>D82+E82+F82+G82+H82+I82+J82+K82+L82</f>
        <v>3504810</v>
      </c>
      <c r="N82" s="160"/>
      <c r="O82" s="498" t="s">
        <v>588</v>
      </c>
      <c r="P82" s="276"/>
      <c r="Q82" s="276"/>
      <c r="R82" s="492">
        <f>IFERROR($R$78-$R$80,"")</f>
        <v>0</v>
      </c>
      <c r="Y82" s="331"/>
      <c r="Z82" s="401"/>
      <c r="AA82" s="268"/>
      <c r="AB82" s="268"/>
    </row>
    <row r="83" spans="1:28">
      <c r="A83" s="184">
        <v>66</v>
      </c>
      <c r="B83" s="162" t="s">
        <v>3</v>
      </c>
      <c r="C83" s="162"/>
      <c r="D83" s="374">
        <f t="shared" ref="D83:L83" si="21">SUM(D81:D82)</f>
        <v>0</v>
      </c>
      <c r="E83" s="374">
        <f t="shared" si="21"/>
        <v>-701557</v>
      </c>
      <c r="F83" s="374">
        <f t="shared" si="21"/>
        <v>0</v>
      </c>
      <c r="G83" s="374">
        <f t="shared" si="21"/>
        <v>0</v>
      </c>
      <c r="H83" s="374">
        <f t="shared" si="21"/>
        <v>0</v>
      </c>
      <c r="I83" s="374">
        <f t="shared" si="21"/>
        <v>17362325</v>
      </c>
      <c r="J83" s="374">
        <f t="shared" si="21"/>
        <v>0</v>
      </c>
      <c r="K83" s="374">
        <f t="shared" si="21"/>
        <v>0</v>
      </c>
      <c r="L83" s="374">
        <f t="shared" si="21"/>
        <v>0</v>
      </c>
      <c r="M83" s="374">
        <f>D83+E83+F83+G83+H83+I83+J83+K83+L83</f>
        <v>16660768</v>
      </c>
      <c r="N83" s="160"/>
      <c r="O83" s="493"/>
      <c r="P83" s="276"/>
      <c r="Q83" s="276"/>
      <c r="R83" s="497"/>
      <c r="Y83" s="163"/>
      <c r="Z83" s="447"/>
      <c r="AA83" s="439"/>
      <c r="AB83" s="448"/>
    </row>
    <row r="84" spans="1:28" ht="13.5" thickBot="1">
      <c r="A84" s="184">
        <v>67</v>
      </c>
      <c r="B84" s="160"/>
      <c r="C84" s="160"/>
      <c r="D84" s="373"/>
      <c r="E84" s="373"/>
      <c r="F84" s="373"/>
      <c r="G84" s="373"/>
      <c r="H84" s="373"/>
      <c r="I84" s="373"/>
      <c r="J84" s="373"/>
      <c r="K84" s="373"/>
      <c r="L84" s="373"/>
      <c r="M84" s="373"/>
      <c r="N84" s="160"/>
      <c r="O84" s="499" t="s">
        <v>589</v>
      </c>
      <c r="P84" s="500"/>
      <c r="Q84" s="500"/>
      <c r="R84" s="501">
        <f>IFERROR((R82+R80)-R78,"")</f>
        <v>0</v>
      </c>
      <c r="Y84" s="268"/>
      <c r="Z84" s="447"/>
      <c r="AA84" s="439"/>
      <c r="AB84" s="449"/>
    </row>
    <row r="85" spans="1:28" ht="13.5" thickTop="1">
      <c r="A85" s="184">
        <v>68</v>
      </c>
      <c r="B85" s="162" t="s">
        <v>574</v>
      </c>
      <c r="C85" s="162"/>
      <c r="D85" s="374">
        <f t="shared" ref="D85:L85" si="22">D57-D71+D78+D83</f>
        <v>-3074496</v>
      </c>
      <c r="E85" s="374">
        <f t="shared" si="22"/>
        <v>-2060920</v>
      </c>
      <c r="F85" s="374">
        <f t="shared" si="22"/>
        <v>603262</v>
      </c>
      <c r="G85" s="374">
        <f t="shared" si="22"/>
        <v>2728151</v>
      </c>
      <c r="H85" s="374">
        <f t="shared" si="22"/>
        <v>0</v>
      </c>
      <c r="I85" s="374">
        <f t="shared" si="22"/>
        <v>17398862</v>
      </c>
      <c r="J85" s="374">
        <f t="shared" si="22"/>
        <v>-108233</v>
      </c>
      <c r="K85" s="374">
        <f t="shared" si="22"/>
        <v>0</v>
      </c>
      <c r="L85" s="374">
        <f t="shared" si="22"/>
        <v>-18266</v>
      </c>
      <c r="M85" s="374">
        <f>D85+E85+F85+G85+H85+I85+J85+K85+L85</f>
        <v>15468360</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Input!$QL$11</f>
        <v>0</v>
      </c>
      <c r="E87" s="372">
        <f>Input!$QM$11</f>
        <v>0</v>
      </c>
      <c r="F87" s="372">
        <f>Input!$QN$11</f>
        <v>0</v>
      </c>
      <c r="G87" s="372">
        <f>Input!$QO$11</f>
        <v>0</v>
      </c>
      <c r="H87" s="372">
        <f>Input!$QP$11</f>
        <v>0</v>
      </c>
      <c r="I87" s="372">
        <f>Input!$QQ$11</f>
        <v>0</v>
      </c>
      <c r="J87" s="372">
        <f>Input!$QR$11</f>
        <v>0</v>
      </c>
      <c r="K87" s="372">
        <f>Input!$QS$11</f>
        <v>0</v>
      </c>
      <c r="L87" s="372">
        <f>Input!$QT$11</f>
        <v>0</v>
      </c>
      <c r="M87" s="329">
        <f>D87+E87+F87+G87+H87+I87+J87+K87+L87</f>
        <v>0</v>
      </c>
      <c r="N87" s="160"/>
      <c r="Y87" s="268"/>
      <c r="Z87" s="447"/>
      <c r="AA87" s="439"/>
      <c r="AB87" s="449"/>
    </row>
    <row r="88" spans="1:28">
      <c r="A88" s="184">
        <v>72</v>
      </c>
      <c r="B88" s="160" t="s">
        <v>66</v>
      </c>
      <c r="C88" s="160"/>
      <c r="D88" s="372">
        <f>Input!$QU$11</f>
        <v>0</v>
      </c>
      <c r="E88" s="372">
        <f>Input!$QV$11</f>
        <v>0</v>
      </c>
      <c r="F88" s="372">
        <f>Input!$QW$11</f>
        <v>0</v>
      </c>
      <c r="G88" s="372">
        <f>Input!$QX$11</f>
        <v>0</v>
      </c>
      <c r="H88" s="372">
        <f>Input!$QY$11</f>
        <v>0</v>
      </c>
      <c r="I88" s="372">
        <f>Input!$QZ$11</f>
        <v>0</v>
      </c>
      <c r="J88" s="372">
        <f>Input!$RA$11</f>
        <v>0</v>
      </c>
      <c r="K88" s="372">
        <f>Input!$RB$11</f>
        <v>0</v>
      </c>
      <c r="L88" s="372">
        <f>Input!$RC$11</f>
        <v>-20910893</v>
      </c>
      <c r="M88" s="373">
        <f>D88+E88+F88+G88+H88+I88+J88+K88+L88</f>
        <v>-20910893</v>
      </c>
      <c r="N88" s="160"/>
      <c r="O88" s="270"/>
      <c r="P88" s="335"/>
      <c r="Y88" s="268"/>
      <c r="Z88" s="447"/>
      <c r="AA88" s="439"/>
      <c r="AB88" s="449"/>
    </row>
    <row r="89" spans="1:28" s="264" customFormat="1">
      <c r="A89" s="263"/>
      <c r="B89" s="171" t="s">
        <v>216</v>
      </c>
      <c r="C89" s="171"/>
      <c r="D89" s="372">
        <f>Input!$RD$11</f>
        <v>0</v>
      </c>
      <c r="E89" s="372">
        <f>Input!$RE$11</f>
        <v>0</v>
      </c>
      <c r="F89" s="372">
        <f>Input!$RF$11</f>
        <v>0</v>
      </c>
      <c r="G89" s="372">
        <f>Input!$RG$11</f>
        <v>0</v>
      </c>
      <c r="H89" s="372">
        <f>Input!$RH$11</f>
        <v>0</v>
      </c>
      <c r="I89" s="372">
        <f>Input!$RI$11</f>
        <v>0</v>
      </c>
      <c r="J89" s="372">
        <f>Input!$RJ$11</f>
        <v>0</v>
      </c>
      <c r="K89" s="372">
        <f>Input!$RK$11</f>
        <v>0</v>
      </c>
      <c r="L89" s="372">
        <f>Input!$RL$11</f>
        <v>0</v>
      </c>
      <c r="M89" s="373">
        <f t="shared" ref="M89:M91" si="23">D89+E89+F89+G89+H89+I89+J89+K89+L89</f>
        <v>0</v>
      </c>
      <c r="N89" s="160"/>
      <c r="O89" s="1726" t="s">
        <v>1355</v>
      </c>
      <c r="P89" s="1727"/>
      <c r="Q89" s="1727"/>
      <c r="R89" s="1727"/>
      <c r="S89" s="1727"/>
      <c r="T89" s="1727"/>
      <c r="U89" s="1728"/>
      <c r="Y89" s="268"/>
      <c r="Z89" s="447"/>
      <c r="AA89" s="439"/>
      <c r="AB89" s="449"/>
    </row>
    <row r="90" spans="1:28" s="264" customFormat="1">
      <c r="A90" s="263"/>
      <c r="B90" s="171" t="s">
        <v>105</v>
      </c>
      <c r="C90" s="171"/>
      <c r="D90" s="372">
        <f>Input!$RM$11</f>
        <v>0</v>
      </c>
      <c r="E90" s="372">
        <f>Input!$RN$11</f>
        <v>0</v>
      </c>
      <c r="F90" s="372">
        <f>Input!$RO$11</f>
        <v>0</v>
      </c>
      <c r="G90" s="372">
        <f>Input!$RP$11</f>
        <v>0</v>
      </c>
      <c r="H90" s="372">
        <f>Input!$RQ$11</f>
        <v>0</v>
      </c>
      <c r="I90" s="372">
        <f>Input!$RR$11</f>
        <v>0</v>
      </c>
      <c r="J90" s="372">
        <f>Input!$RS$11</f>
        <v>0</v>
      </c>
      <c r="K90" s="372">
        <f>Input!$RT$11</f>
        <v>0</v>
      </c>
      <c r="L90" s="372">
        <f>Input!$RU$11</f>
        <v>0</v>
      </c>
      <c r="M90" s="373">
        <f t="shared" si="23"/>
        <v>0</v>
      </c>
      <c r="N90" s="160"/>
      <c r="O90" s="502" t="s">
        <v>590</v>
      </c>
      <c r="P90" s="423"/>
      <c r="Q90" s="502" t="s">
        <v>591</v>
      </c>
      <c r="R90" s="423"/>
      <c r="S90" s="503"/>
      <c r="T90" s="502" t="s">
        <v>592</v>
      </c>
      <c r="U90" s="423"/>
      <c r="Y90" s="268"/>
      <c r="Z90" s="447"/>
      <c r="AA90" s="439"/>
      <c r="AB90" s="449"/>
    </row>
    <row r="91" spans="1:28" s="264" customFormat="1">
      <c r="A91" s="263"/>
      <c r="B91" s="171" t="s">
        <v>128</v>
      </c>
      <c r="C91" s="171"/>
      <c r="D91" s="372">
        <f>Input!$RV$11</f>
        <v>0</v>
      </c>
      <c r="E91" s="372">
        <f>Input!$RW$11</f>
        <v>0</v>
      </c>
      <c r="F91" s="372">
        <f>Input!$RX$11</f>
        <v>0</v>
      </c>
      <c r="G91" s="372">
        <f>Input!$RY$11</f>
        <v>0</v>
      </c>
      <c r="H91" s="372">
        <f>Input!$RZ$11</f>
        <v>0</v>
      </c>
      <c r="I91" s="372">
        <f>Input!$SA$11</f>
        <v>0</v>
      </c>
      <c r="J91" s="372">
        <f>Input!$SB$11</f>
        <v>0</v>
      </c>
      <c r="K91" s="372">
        <f>Input!$SC$11</f>
        <v>0</v>
      </c>
      <c r="L91" s="372">
        <f>Input!$SD$11</f>
        <v>0</v>
      </c>
      <c r="M91" s="373">
        <f t="shared" si="23"/>
        <v>0</v>
      </c>
      <c r="N91" s="160"/>
      <c r="O91" s="504"/>
      <c r="P91" s="505"/>
      <c r="Q91" s="504"/>
      <c r="R91" s="426"/>
      <c r="S91" s="276"/>
      <c r="T91" s="506"/>
      <c r="U91" s="426"/>
      <c r="Y91" s="268"/>
      <c r="Z91" s="447"/>
      <c r="AA91" s="439"/>
      <c r="AB91" s="449"/>
    </row>
    <row r="92" spans="1:28" s="264" customFormat="1">
      <c r="A92" s="263"/>
      <c r="B92" s="160" t="s">
        <v>67</v>
      </c>
      <c r="C92" s="160"/>
      <c r="D92" s="372">
        <f>Input!$SE$11</f>
        <v>0</v>
      </c>
      <c r="E92" s="372">
        <f>Input!$SF$11</f>
        <v>0</v>
      </c>
      <c r="F92" s="372">
        <f>Input!$SG$11</f>
        <v>0</v>
      </c>
      <c r="G92" s="372">
        <f>Input!$SH$11</f>
        <v>0</v>
      </c>
      <c r="H92" s="372">
        <f>Input!$SI$11</f>
        <v>0</v>
      </c>
      <c r="I92" s="372">
        <f>Input!$SJ$11</f>
        <v>0</v>
      </c>
      <c r="J92" s="372">
        <f>Input!$SK$11</f>
        <v>0</v>
      </c>
      <c r="K92" s="372">
        <f>Input!$SL$11</f>
        <v>0</v>
      </c>
      <c r="L92" s="372">
        <f>Input!$SM$11</f>
        <v>11477231</v>
      </c>
      <c r="M92" s="373">
        <f>D92+E92+F92+G92+H92+I92+J92+K92+L92</f>
        <v>11477231</v>
      </c>
      <c r="N92" s="160"/>
      <c r="O92" s="1729" t="str">
        <f>Input!UF$11</f>
        <v>Jana Juarez</v>
      </c>
      <c r="P92" s="1730"/>
      <c r="Q92" s="1729" t="str">
        <f>Input!$UG$11</f>
        <v>432-552-2717</v>
      </c>
      <c r="R92" s="1730"/>
      <c r="S92" s="276"/>
      <c r="T92" s="1731" t="str">
        <f>HYPERLINK("Mailto:"&amp;Input!$UH$11,Input!$UH$11)</f>
        <v>juarez_j@utpb.edu</v>
      </c>
      <c r="U92" s="1730"/>
      <c r="Y92" s="268"/>
      <c r="Z92" s="447"/>
      <c r="AA92" s="442"/>
      <c r="AB92" s="449"/>
    </row>
    <row r="93" spans="1:28" ht="13.5" thickBot="1">
      <c r="B93" s="179" t="s">
        <v>58</v>
      </c>
      <c r="C93" s="179"/>
      <c r="D93" s="380">
        <f t="shared" ref="D93:K93" si="24">SUM(D85:D92)</f>
        <v>-3074496</v>
      </c>
      <c r="E93" s="380">
        <f t="shared" si="24"/>
        <v>-2060920</v>
      </c>
      <c r="F93" s="380">
        <f t="shared" si="24"/>
        <v>603262</v>
      </c>
      <c r="G93" s="380">
        <f t="shared" si="24"/>
        <v>2728151</v>
      </c>
      <c r="H93" s="380">
        <f t="shared" si="24"/>
        <v>0</v>
      </c>
      <c r="I93" s="380">
        <f t="shared" si="24"/>
        <v>17398862</v>
      </c>
      <c r="J93" s="380">
        <f t="shared" si="24"/>
        <v>-108233</v>
      </c>
      <c r="K93" s="380">
        <f t="shared" si="24"/>
        <v>0</v>
      </c>
      <c r="L93" s="380">
        <f>SUM(L85:L92)</f>
        <v>-9451928</v>
      </c>
      <c r="M93" s="380">
        <f>D93+E93+F93+G93+H93+I93+J93+K93+L93</f>
        <v>6034698</v>
      </c>
      <c r="N93" s="160"/>
      <c r="O93" s="506"/>
      <c r="P93" s="507"/>
      <c r="Q93" s="276"/>
      <c r="R93" s="276"/>
      <c r="S93" s="276"/>
      <c r="T93" s="507"/>
      <c r="U93" s="508"/>
      <c r="Y93" s="268"/>
      <c r="Z93" s="447"/>
      <c r="AA93" s="442"/>
      <c r="AB93" s="449"/>
    </row>
    <row r="94" spans="1:28" ht="13.5" thickTop="1">
      <c r="B94" s="160"/>
      <c r="C94" s="160"/>
      <c r="D94" s="165"/>
      <c r="E94" s="165"/>
      <c r="F94" s="165"/>
      <c r="G94" s="165"/>
      <c r="H94" s="165"/>
      <c r="I94" s="165"/>
      <c r="J94" s="165"/>
      <c r="K94" s="165"/>
      <c r="L94" s="165"/>
      <c r="M94" s="180"/>
      <c r="N94" s="160"/>
      <c r="O94" s="1720" t="s">
        <v>593</v>
      </c>
      <c r="P94" s="1721"/>
      <c r="Q94" s="1721"/>
      <c r="R94" s="1721"/>
      <c r="S94" s="1721"/>
      <c r="T94" s="1721"/>
      <c r="U94" s="1722"/>
      <c r="Y94" s="268"/>
      <c r="Z94" s="451"/>
      <c r="AA94" s="442"/>
      <c r="AB94" s="449"/>
    </row>
    <row r="95" spans="1:28">
      <c r="B95" s="169" t="s">
        <v>80</v>
      </c>
      <c r="C95" s="169"/>
      <c r="D95" s="165"/>
      <c r="E95" s="165"/>
      <c r="F95" s="165"/>
      <c r="G95" s="165"/>
      <c r="H95" s="165"/>
      <c r="I95" s="165"/>
      <c r="J95" s="165"/>
      <c r="K95" s="165"/>
      <c r="L95" s="165"/>
      <c r="M95" s="180"/>
      <c r="N95" s="160"/>
      <c r="O95" s="1720"/>
      <c r="P95" s="1721"/>
      <c r="Q95" s="1721"/>
      <c r="R95" s="1721"/>
      <c r="S95" s="1721"/>
      <c r="T95" s="1721"/>
      <c r="U95" s="1722"/>
      <c r="Y95" s="268"/>
      <c r="Z95" s="452"/>
      <c r="AA95" s="453"/>
      <c r="AB95" s="454"/>
    </row>
    <row r="96" spans="1:28">
      <c r="B96" s="261" t="s">
        <v>1297</v>
      </c>
      <c r="C96" s="160"/>
      <c r="D96" s="165"/>
      <c r="E96" s="165"/>
      <c r="F96" s="165"/>
      <c r="G96" s="165"/>
      <c r="H96" s="165"/>
      <c r="I96" s="165"/>
      <c r="J96" s="165"/>
      <c r="K96" s="165"/>
      <c r="L96" s="165"/>
      <c r="M96" s="180"/>
      <c r="N96" s="160"/>
      <c r="O96" s="509"/>
      <c r="P96" s="510"/>
      <c r="Q96" s="511"/>
      <c r="R96" s="511"/>
      <c r="S96" s="511"/>
      <c r="T96" s="510"/>
      <c r="U96" s="428"/>
      <c r="V96" s="336"/>
      <c r="W96" s="336"/>
      <c r="X96" s="336"/>
      <c r="Y96" s="268"/>
      <c r="Z96" s="268"/>
      <c r="AA96" s="268"/>
      <c r="AB96" s="268"/>
    </row>
    <row r="97" spans="2:28">
      <c r="B97" s="160"/>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Input!$SN$11</f>
        <v>6034698</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3" t="str">
        <f>IF($L$118&lt;&gt;Input!$F$11,"Out of Balance","Balanced")</f>
        <v>Balanced</v>
      </c>
      <c r="M102" s="517"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55874414</v>
      </c>
      <c r="E105" s="373">
        <f>SUM($E$10:$E$14)+SUM($E$19:$E$28)+SUM($E$32:$E$41)+$E$47+SUM($E$50:$E$55)+SUM($E$60:$E$70)+SUM($E$74:$E$77)+SUM($E$81:$E$82)+SUM($E$87:$E$92)</f>
        <v>74640582</v>
      </c>
      <c r="F105" s="373">
        <f>SUM($F$10:$F$14)+SUM($F$19:$F$28)+SUM($F$32:$F$41)+$F$47+SUM($F$50:$F$55)+SUM($F$60:$F$70)+SUM($F$74:$F$77)+SUM($F$81:$F$82)+SUM($F$87:$F$92)</f>
        <v>17417046</v>
      </c>
      <c r="G105" s="373">
        <f>SUM($G$10:$G$14)+SUM($G$19:$G$28)+SUM($G$32:$G$41)+$G$47+SUM($G$50:$G$55)+SUM($G$60:$G$70)+SUM($G$74:$G$77)+SUM($G$81:$G$82)+SUM($G$87:$G$92)</f>
        <v>43843695</v>
      </c>
      <c r="H105" s="373">
        <f>SUM($H$10:$H$14)+SUM($H$19:$H$28)+SUM($H$32:$H$41)+$H$47+SUM($H$50:$H$55)+SUM($H$60:$H$70)+SUM($H$74:$H$77)+SUM($H$81:$H$82)+SUM($H$87:$H$92)</f>
        <v>0</v>
      </c>
      <c r="I105" s="373">
        <f>SUM($I$10:$I$14)+SUM($I$19:$I$28)+SUM($I$32:$I$41)+$I$47+SUM($I$50:$I$55)+SUM($I$60:$I$70)+SUM($I$74:$I$77)+SUM($I$81:$I$82)+SUM($I$87:$I$92)</f>
        <v>17398862</v>
      </c>
      <c r="J105" s="373">
        <f>SUM($J$10:$J$14)+SUM($J$19:$J$28)+SUM($J$32:$J$41)+$J$47+SUM($J$50:$J$55)+SUM($J$60:$J$70)+SUM($J$74:$J$77)+SUM($J$81:$J$82)+SUM($J$87:$J$92)</f>
        <v>3367733</v>
      </c>
      <c r="K105" s="373">
        <f>SUM($K$10:$K$14)+SUM($K$19:$K$28)+SUM($K$32:$K$41)+$K$47+SUM($K$50:$K$55)+SUM($K$60:$K$70)+SUM($K$74:$K$77)+SUM($K$81:$K$82)+SUM($K$87:$K$92)</f>
        <v>0</v>
      </c>
      <c r="L105" s="373">
        <f>SUM($L$10:$L$14)+SUM($L$19:$L$28)+SUM($L$32:$L$41)+$L$47+SUM($L$50:$L$55)+SUM($L$60:$L$70)+SUM($L$74:$L$77)+SUM($L$81:$L$82)+SUM($L$87:$L$92)</f>
        <v>-9415396</v>
      </c>
      <c r="M105" s="373"/>
      <c r="N105" s="264"/>
      <c r="O105" s="373"/>
      <c r="P105" s="450">
        <f>M18-INT(M18)</f>
        <v>0</v>
      </c>
    </row>
    <row r="106" spans="2:28">
      <c r="B106" s="261"/>
      <c r="C106" s="261"/>
      <c r="D106" s="261"/>
      <c r="E106" s="261"/>
      <c r="F106" s="261"/>
      <c r="G106" s="261"/>
      <c r="H106" s="261"/>
      <c r="I106" s="261"/>
      <c r="J106" s="261"/>
      <c r="K106" s="261"/>
      <c r="L106" s="373">
        <f>SUM($D$105:$L$105)</f>
        <v>203126936</v>
      </c>
      <c r="M106" s="261"/>
      <c r="N106" s="264"/>
      <c r="O106" s="373"/>
      <c r="P106" s="450">
        <f>M31-INT(M31)</f>
        <v>0</v>
      </c>
    </row>
    <row r="107" spans="2:28">
      <c r="B107" s="261"/>
      <c r="C107" s="261"/>
      <c r="D107" s="261"/>
      <c r="E107" s="261"/>
      <c r="F107" s="261"/>
      <c r="G107" s="261"/>
      <c r="H107" s="261"/>
      <c r="I107" s="261"/>
      <c r="J107" s="261" t="s">
        <v>1299</v>
      </c>
      <c r="K107" s="261"/>
      <c r="L107" s="373">
        <f>$M$100</f>
        <v>6034698</v>
      </c>
      <c r="M107" s="261"/>
      <c r="N107" s="264"/>
      <c r="O107" s="373"/>
      <c r="P107" s="450">
        <f>M93-INT(M93)</f>
        <v>0</v>
      </c>
    </row>
    <row r="108" spans="2:28">
      <c r="B108" s="261"/>
      <c r="C108" s="261"/>
      <c r="D108" s="261"/>
      <c r="E108" s="261"/>
      <c r="F108" s="261"/>
      <c r="G108" s="261"/>
      <c r="H108" s="261"/>
      <c r="I108" s="261"/>
      <c r="J108" s="261" t="s">
        <v>1300</v>
      </c>
      <c r="K108" s="261"/>
      <c r="L108" s="512">
        <f>$Q$32</f>
        <v>44130152</v>
      </c>
      <c r="M108" s="261"/>
      <c r="N108" s="264"/>
      <c r="O108" s="373"/>
    </row>
    <row r="109" spans="2:28">
      <c r="B109" s="261"/>
      <c r="C109" s="261"/>
      <c r="D109" s="261"/>
      <c r="E109" s="261"/>
      <c r="F109" s="261"/>
      <c r="G109" s="261"/>
      <c r="H109" s="261"/>
      <c r="I109" s="261"/>
      <c r="J109" s="261" t="s">
        <v>1300</v>
      </c>
      <c r="K109" s="261"/>
      <c r="L109" s="512">
        <f>$R$34</f>
        <v>-11617046</v>
      </c>
      <c r="M109" s="261"/>
      <c r="N109" s="264"/>
      <c r="O109" s="373"/>
    </row>
    <row r="110" spans="2:28">
      <c r="B110" s="261"/>
      <c r="C110" s="261"/>
      <c r="D110" s="261"/>
      <c r="E110" s="261"/>
      <c r="F110" s="261"/>
      <c r="G110" s="261"/>
      <c r="H110" s="261"/>
      <c r="I110" s="261"/>
      <c r="J110" s="261" t="s">
        <v>29</v>
      </c>
      <c r="K110" s="261"/>
      <c r="L110" s="512">
        <f>SUM($P$60:$P$68)</f>
        <v>3447006</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2">
        <f>SUM($V$60:$V$67)</f>
        <v>0</v>
      </c>
      <c r="M112" s="261"/>
      <c r="N112" s="264"/>
      <c r="O112" s="373"/>
    </row>
    <row r="113" spans="2:15">
      <c r="B113" s="261"/>
      <c r="C113" s="261"/>
      <c r="D113" s="261"/>
      <c r="E113" s="261"/>
      <c r="F113" s="261"/>
      <c r="G113" s="261"/>
      <c r="H113" s="261"/>
      <c r="I113" s="261"/>
      <c r="J113" s="261" t="s">
        <v>596</v>
      </c>
      <c r="K113" s="261"/>
      <c r="L113" s="512">
        <f>SUM($W$60:$W$67)</f>
        <v>0</v>
      </c>
      <c r="M113" s="261"/>
      <c r="N113" s="264"/>
      <c r="O113" s="373"/>
    </row>
    <row r="114" spans="2:15">
      <c r="B114" s="261"/>
      <c r="C114" s="261"/>
      <c r="D114" s="261"/>
      <c r="E114" s="261"/>
      <c r="F114" s="261"/>
      <c r="G114" s="261"/>
      <c r="H114" s="261"/>
      <c r="I114" s="261"/>
      <c r="J114" s="261" t="s">
        <v>258</v>
      </c>
      <c r="K114" s="261"/>
      <c r="L114" s="512">
        <f>SUM($AA$60:$AA$68)</f>
        <v>96024478</v>
      </c>
      <c r="M114" s="261"/>
      <c r="N114" s="264"/>
      <c r="O114" s="373"/>
    </row>
    <row r="115" spans="2:15">
      <c r="B115" s="261"/>
      <c r="C115" s="261"/>
      <c r="D115" s="261"/>
      <c r="E115" s="261"/>
      <c r="F115" s="261"/>
      <c r="G115" s="261"/>
      <c r="H115" s="261"/>
      <c r="I115" s="261"/>
      <c r="J115" s="261" t="s">
        <v>597</v>
      </c>
      <c r="K115" s="261"/>
      <c r="L115" s="512">
        <f>$R$77</f>
        <v>2312402</v>
      </c>
      <c r="M115" s="261"/>
      <c r="N115" s="264"/>
      <c r="O115" s="373"/>
    </row>
    <row r="116" spans="2:15">
      <c r="B116" s="261"/>
      <c r="C116" s="261"/>
      <c r="D116" s="261"/>
      <c r="E116" s="261"/>
      <c r="F116" s="261"/>
      <c r="G116" s="261"/>
      <c r="H116" s="261"/>
      <c r="I116" s="261"/>
      <c r="J116" s="261" t="s">
        <v>597</v>
      </c>
      <c r="K116" s="261"/>
      <c r="L116" s="512">
        <f>$R$80</f>
        <v>13155958</v>
      </c>
      <c r="M116" s="261"/>
      <c r="N116" s="264"/>
      <c r="O116" s="373"/>
    </row>
    <row r="117" spans="2:15">
      <c r="B117" s="261"/>
      <c r="C117" s="261"/>
      <c r="D117" s="261"/>
      <c r="E117" s="261"/>
      <c r="F117" s="261"/>
      <c r="G117" s="261"/>
      <c r="H117" s="261"/>
      <c r="I117" s="261"/>
      <c r="J117" s="261" t="s">
        <v>1231</v>
      </c>
      <c r="K117" s="261"/>
      <c r="L117" s="1008">
        <f>VLOOKUP(B2,Names!B5:$C$87,2,FALSE)</f>
        <v>9930</v>
      </c>
      <c r="M117" s="261"/>
      <c r="N117" s="264"/>
      <c r="O117" s="373"/>
    </row>
    <row r="118" spans="2:15">
      <c r="B118" s="261"/>
      <c r="C118" s="261"/>
      <c r="D118" s="261"/>
      <c r="E118" s="261"/>
      <c r="F118" s="261"/>
      <c r="G118" s="261"/>
      <c r="H118" s="261"/>
      <c r="I118" s="261"/>
      <c r="J118" s="261"/>
      <c r="K118" s="261"/>
      <c r="L118" s="373">
        <f>SUM(L106:L117)</f>
        <v>356624514</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V56:V59"/>
    <mergeCell ref="W56:W59"/>
    <mergeCell ref="G59:K59"/>
    <mergeCell ref="AA56:AA59"/>
    <mergeCell ref="Z55:AB55"/>
    <mergeCell ref="R56:R59"/>
    <mergeCell ref="O55:R55"/>
    <mergeCell ref="T55:X55"/>
    <mergeCell ref="X56:X59"/>
    <mergeCell ref="AB56:AB59"/>
    <mergeCell ref="Z56:Z59"/>
    <mergeCell ref="B2:F2"/>
    <mergeCell ref="B3:F3"/>
    <mergeCell ref="B4:F4"/>
    <mergeCell ref="B6:M6"/>
    <mergeCell ref="P4:Q4"/>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s>
  <conditionalFormatting sqref="U87:X88 O88:Q88">
    <cfRule type="cellIs" dxfId="1239" priority="303" stopIfTrue="1" operator="notEqual">
      <formula>#REF!</formula>
    </cfRule>
  </conditionalFormatting>
  <conditionalFormatting sqref="P70">
    <cfRule type="expression" dxfId="1238" priority="281">
      <formula>$P$69&lt;&gt;$M$69</formula>
    </cfRule>
  </conditionalFormatting>
  <conditionalFormatting sqref="AB72">
    <cfRule type="expression" dxfId="1237" priority="280">
      <formula>$AB$71&lt;&gt;0</formula>
    </cfRule>
  </conditionalFormatting>
  <conditionalFormatting sqref="P71">
    <cfRule type="expression" dxfId="1236" priority="279">
      <formula>P69-INT(P69)</formula>
    </cfRule>
  </conditionalFormatting>
  <conditionalFormatting sqref="V70">
    <cfRule type="expression" dxfId="1235" priority="277">
      <formula>X68-INT(X68)</formula>
    </cfRule>
  </conditionalFormatting>
  <conditionalFormatting sqref="O12">
    <cfRule type="expression" dxfId="1234" priority="268">
      <formula>$P$12&lt;&gt;$M$12</formula>
    </cfRule>
  </conditionalFormatting>
  <conditionalFormatting sqref="U87:U88 O88:Q88">
    <cfRule type="cellIs" dxfId="1233" priority="261" stopIfTrue="1" operator="notEqual">
      <formula>#REF!</formula>
    </cfRule>
  </conditionalFormatting>
  <conditionalFormatting sqref="R84">
    <cfRule type="expression" priority="259" stopIfTrue="1">
      <formula>$M$85&lt;0</formula>
    </cfRule>
    <cfRule type="expression" dxfId="1232" priority="260">
      <formula>$S$85&lt;&gt;0</formula>
    </cfRule>
  </conditionalFormatting>
  <conditionalFormatting sqref="R80 R77">
    <cfRule type="expression" dxfId="1231" priority="257" stopIfTrue="1">
      <formula>$M$85&gt;=0</formula>
    </cfRule>
    <cfRule type="expression" priority="258">
      <formula>$M$85&lt;0</formula>
    </cfRule>
  </conditionalFormatting>
  <conditionalFormatting sqref="U87:U88 O88:Q88">
    <cfRule type="cellIs" dxfId="1230" priority="256" stopIfTrue="1" operator="notEqual">
      <formula>#REF!</formula>
    </cfRule>
  </conditionalFormatting>
  <conditionalFormatting sqref="O13">
    <cfRule type="expression" dxfId="1229" priority="240">
      <formula>$P$13&lt;&gt;$M$13</formula>
    </cfRule>
  </conditionalFormatting>
  <conditionalFormatting sqref="U87:U88 O88:Q88">
    <cfRule type="cellIs" dxfId="1228" priority="239" stopIfTrue="1" operator="notEqual">
      <formula>#REF!</formula>
    </cfRule>
  </conditionalFormatting>
  <conditionalFormatting sqref="Q36">
    <cfRule type="expression" dxfId="1227" priority="27">
      <formula>#REF!&lt;&gt;#REF!</formula>
    </cfRule>
  </conditionalFormatting>
  <conditionalFormatting sqref="R35">
    <cfRule type="expression" dxfId="1226" priority="26">
      <formula>#REF!&lt;&gt;0</formula>
    </cfRule>
  </conditionalFormatting>
  <conditionalFormatting sqref="Q35">
    <cfRule type="expression" dxfId="1225" priority="25">
      <formula>#REF!&lt;&gt;0</formula>
    </cfRule>
  </conditionalFormatting>
  <conditionalFormatting sqref="R36">
    <cfRule type="expression" dxfId="1224" priority="24">
      <formula>#REF!&lt;&gt;#REF!</formula>
    </cfRule>
  </conditionalFormatting>
  <conditionalFormatting sqref="D93:M98 T94:T95 R90:S95 U87:X93 T90:T92 Y90:Y95 O88:O92 P88:Q93">
    <cfRule type="cellIs" dxfId="1223" priority="23" stopIfTrue="1" operator="notEqual">
      <formula>#REF!</formula>
    </cfRule>
  </conditionalFormatting>
  <conditionalFormatting sqref="P70">
    <cfRule type="expression" dxfId="1222" priority="22">
      <formula>$P$69&lt;&gt;$M$69</formula>
    </cfRule>
  </conditionalFormatting>
  <conditionalFormatting sqref="AB72">
    <cfRule type="expression" dxfId="1221" priority="21">
      <formula>$AB$71&lt;&gt;0</formula>
    </cfRule>
  </conditionalFormatting>
  <conditionalFormatting sqref="P71">
    <cfRule type="expression" dxfId="1220" priority="20">
      <formula>P69-INT(P69)</formula>
    </cfRule>
  </conditionalFormatting>
  <conditionalFormatting sqref="V70">
    <cfRule type="expression" dxfId="1219" priority="19">
      <formula>X68-INT(X68)</formula>
    </cfRule>
  </conditionalFormatting>
  <conditionalFormatting sqref="O12">
    <cfRule type="expression" dxfId="1218" priority="18">
      <formula>$P$12&lt;&gt;$M$12</formula>
    </cfRule>
  </conditionalFormatting>
  <conditionalFormatting sqref="T94:T95 R90:S95 U87:U93 T90:T92 O88:O92 P88:Q93">
    <cfRule type="cellIs" dxfId="1217" priority="16" stopIfTrue="1" operator="notEqual">
      <formula>#REF!</formula>
    </cfRule>
  </conditionalFormatting>
  <conditionalFormatting sqref="R84">
    <cfRule type="expression" priority="14" stopIfTrue="1">
      <formula>$M$85&lt;0</formula>
    </cfRule>
    <cfRule type="expression" dxfId="1216" priority="15">
      <formula>$S$85&lt;&gt;0</formula>
    </cfRule>
  </conditionalFormatting>
  <conditionalFormatting sqref="R80 R77">
    <cfRule type="expression" dxfId="1215" priority="12" stopIfTrue="1">
      <formula>$M$85&gt;=0</formula>
    </cfRule>
    <cfRule type="expression" priority="13">
      <formula>$M$85&lt;0</formula>
    </cfRule>
  </conditionalFormatting>
  <conditionalFormatting sqref="U87:U88 R89:U92 O88:Q92">
    <cfRule type="cellIs" dxfId="1214" priority="11" stopIfTrue="1" operator="notEqual">
      <formula>#REF!</formula>
    </cfRule>
  </conditionalFormatting>
  <conditionalFormatting sqref="M101">
    <cfRule type="expression" dxfId="1213" priority="10">
      <formula>$M$101&lt;&gt;0</formula>
    </cfRule>
  </conditionalFormatting>
  <conditionalFormatting sqref="M102">
    <cfRule type="expression" dxfId="1212" priority="9">
      <formula>$M$93&lt;&gt;$M$100</formula>
    </cfRule>
  </conditionalFormatting>
  <conditionalFormatting sqref="U87:U92 R90:T92 O88:Q92">
    <cfRule type="cellIs" dxfId="1211" priority="8" stopIfTrue="1" operator="notEqual">
      <formula>#REF!</formula>
    </cfRule>
  </conditionalFormatting>
  <conditionalFormatting sqref="T89:U89 Q91 T90 O89:O90 P89:Q89 R89:S91">
    <cfRule type="cellIs" dxfId="1210" priority="7" stopIfTrue="1" operator="notEqual">
      <formula>#REF!</formula>
    </cfRule>
  </conditionalFormatting>
  <conditionalFormatting sqref="Q36">
    <cfRule type="expression" dxfId="1209" priority="6">
      <formula>#REF!&lt;&gt;#REF!</formula>
    </cfRule>
  </conditionalFormatting>
  <conditionalFormatting sqref="R35">
    <cfRule type="expression" dxfId="1208" priority="5">
      <formula>#REF!&lt;&gt;0</formula>
    </cfRule>
  </conditionalFormatting>
  <conditionalFormatting sqref="Q35">
    <cfRule type="expression" dxfId="1207" priority="4">
      <formula>#REF!&lt;&gt;0</formula>
    </cfRule>
  </conditionalFormatting>
  <conditionalFormatting sqref="R36">
    <cfRule type="expression" dxfId="1206" priority="3">
      <formula>#REF!&lt;&gt;#REF!</formula>
    </cfRule>
  </conditionalFormatting>
  <conditionalFormatting sqref="G59:K59">
    <cfRule type="expression" dxfId="1205" priority="1">
      <formula>OR($P$105&gt;0,$P$106&lt;&gt;0,$P$107&lt;&gt;0)</formula>
    </cfRule>
  </conditionalFormatting>
  <hyperlinks>
    <hyperlink ref="O2" location="Index!A1" display="Return to Index" xr:uid="{00000000-0004-0000-2F00-000000000000}"/>
  </hyperlinks>
  <printOptions horizontalCentered="1"/>
  <pageMargins left="0.5" right="0.5" top="0.25" bottom="0.25" header="0" footer="0.25"/>
  <pageSetup scale="1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34"/>
  <dimension ref="A1:G30"/>
  <sheetViews>
    <sheetView showGridLines="0" zoomScale="80" zoomScaleNormal="80" workbookViewId="0">
      <selection activeCell="E74" sqref="E74:F74"/>
    </sheetView>
  </sheetViews>
  <sheetFormatPr defaultColWidth="9.140625" defaultRowHeight="12.75"/>
  <cols>
    <col min="1" max="1" width="7" style="53" customWidth="1"/>
    <col min="2" max="2" width="93.140625" style="53" customWidth="1"/>
    <col min="3" max="3" width="19.7109375" style="53" customWidth="1"/>
    <col min="4" max="9" width="9.140625" style="53"/>
    <col min="10" max="10" width="14" style="53" customWidth="1"/>
    <col min="11" max="16384" width="9.140625" style="53"/>
  </cols>
  <sheetData>
    <row r="1" spans="2:6" ht="18.75" thickBot="1">
      <c r="B1" s="466" t="str">
        <f>'P-B Chrts'!$A$1</f>
        <v>The University of Texas of the Permian Basin</v>
      </c>
      <c r="C1" s="835" t="s">
        <v>1200</v>
      </c>
    </row>
    <row r="2" spans="2:6">
      <c r="B2" s="393" t="str">
        <f>'Smmy Chrts'!$A$2</f>
        <v>For the Year Ended August 31, 2021</v>
      </c>
    </row>
    <row r="3" spans="2:6">
      <c r="B3" s="393" t="str">
        <f>'Smmy Chrts'!$A$3</f>
        <v>Source: FY 2021 Annual Financial Report</v>
      </c>
    </row>
    <row r="5" spans="2:6" customFormat="1">
      <c r="B5" s="529" t="s">
        <v>705</v>
      </c>
    </row>
    <row r="6" spans="2:6" customFormat="1">
      <c r="B6" s="530"/>
    </row>
    <row r="7" spans="2:6" customFormat="1" ht="226.5" customHeight="1">
      <c r="B7" s="531" t="s">
        <v>706</v>
      </c>
      <c r="C7" s="532"/>
    </row>
    <row r="8" spans="2:6" customFormat="1" ht="263.25" customHeight="1">
      <c r="B8" s="531" t="s">
        <v>707</v>
      </c>
    </row>
    <row r="9" spans="2:6" ht="64.5" customHeight="1">
      <c r="B9" s="533" t="str">
        <f>IF('P-B FGD'!$R$76="N/A","FN11.  N/A",$B$20&amp;$B$21&amp;$B$22&amp;$B$23&amp;$B$24&amp;$B$25&amp;$B$26&amp;$B$27&amp;$B$28&amp;$B$29&amp;$B$30)</f>
        <v>FN11: Of the net increase of $15,468,360 approximately $2.3 million represents revenues received but not yet expended. This income is fully committed to program expenditures and capital disbursements. The remaining $13.2 million represents non-expendable funds from unrealized gains and additions to permanent endowments of approximately $13.2 million and $0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TEXT(IF('P-B FGD'!$M$85&lt;0,"N/A",'P-B FGD'!$M$85),"$* #,##0;$* (#,##0)")</f>
        <v>$15,468,360</v>
      </c>
      <c r="C21" s="480"/>
      <c r="D21" s="480"/>
      <c r="E21" s="480"/>
      <c r="G21" s="105"/>
    </row>
    <row r="22" spans="1:7">
      <c r="B22" s="105" t="s">
        <v>682</v>
      </c>
    </row>
    <row r="23" spans="1:7">
      <c r="A23" s="53">
        <v>61</v>
      </c>
      <c r="B23" s="515" t="str">
        <f>IF(ABS('P-B FGD'!$R$77)&gt;=1000000,TEXT('P-B FGD'!$R$77/1000000,"$* #,##0.0;$* (#,##0.0)")&amp;" million",IF(ABS('P-B FGD'!$R$77)&lt;1000,TEXT('P-B FGD'!$R$77,"$* #,##0;$* (#,##0)"),TEXT('P-B FGD'!$R$77/1000,"$* #,##0;$* (#,##0)")&amp;" thousand"))</f>
        <v>$2.3 million</v>
      </c>
      <c r="C23" s="515"/>
      <c r="E23" s="515"/>
    </row>
    <row r="24" spans="1:7">
      <c r="B24" s="105" t="s">
        <v>708</v>
      </c>
    </row>
    <row r="25" spans="1:7">
      <c r="A25" s="53">
        <v>62</v>
      </c>
      <c r="B25" s="515" t="str">
        <f>IF(ABS('P-B FGD'!$R$78)&gt;=1000000,TEXT('P-B FGD'!$R$78/1000000,"$* #,##0.0;$* (#,##0.0)")&amp;" million",IF(ABS('P-B FGD'!$R$78)&lt;1000,TEXT('P-B FGD'!$R$78,"$* #,##0;$* (#,##0)"),TEXT('P-B FGD'!$R$78/1000,"$* #,##0;$* (#,##0)")&amp;" thousand"))</f>
        <v>$13.2 million</v>
      </c>
      <c r="C25" s="515"/>
      <c r="E25" s="515"/>
    </row>
    <row r="26" spans="1:7">
      <c r="B26" s="105" t="s">
        <v>683</v>
      </c>
    </row>
    <row r="27" spans="1:7">
      <c r="A27" s="53">
        <v>64</v>
      </c>
      <c r="B27" s="515" t="str">
        <f>IF(ABS('P-B FGD'!$R$80)&gt;=1000000,TEXT('P-B FGD'!$R$80/1000000,"$* #,##0.0;$* (#,##0.0)")&amp;" million",IF(ABS('P-B FGD'!$R$80)&lt;1000,TEXT('P-B FGD'!$R$80,"$* #,##0;$* (#,##0)"),TEXT('P-B FGD'!$R$80/1000,"$* #,##0;$* (#,##0)")&amp;" thousand"))</f>
        <v>$13.2 million</v>
      </c>
      <c r="C27" s="515"/>
      <c r="E27" s="515"/>
    </row>
    <row r="28" spans="1:7">
      <c r="B28" s="105" t="s">
        <v>684</v>
      </c>
    </row>
    <row r="29" spans="1:7">
      <c r="A29" s="53">
        <v>66</v>
      </c>
      <c r="B29" s="515" t="str">
        <f>IF(ABS('P-B FGD'!$R$82)&gt;=1000000,TEXT('P-B FGD'!$R$82/1000000,"$* #,##0.0;$* (#,##0.0)")&amp;" million",IF(ABS('P-B FGD'!$R$82)&lt;1000,TEXT('P-B FGD'!$R$82,"$* #,##0;$* (#,##0)"),TEXT('P-B FGD'!$R$82/1000,"$* #,##0;$* (#,##0)")&amp;" thousand"))</f>
        <v>$0</v>
      </c>
      <c r="C29" s="515"/>
      <c r="E29" s="515"/>
    </row>
    <row r="30" spans="1:7">
      <c r="B30" s="105" t="s">
        <v>709</v>
      </c>
    </row>
  </sheetData>
  <hyperlinks>
    <hyperlink ref="C1" location="Index!A1" display="Return to Index" xr:uid="{00000000-0004-0000-3000-000000000000}"/>
  </hyperlinks>
  <pageMargins left="0.25" right="0.25" top="0.25" bottom="0.25" header="0" footer="0.2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418"/>
  <sheetViews>
    <sheetView showGridLines="0" workbookViewId="0">
      <pane xSplit="2" ySplit="9" topLeftCell="C10" activePane="bottomRight" state="frozen"/>
      <selection activeCell="A5" sqref="A5"/>
      <selection pane="topRight" activeCell="A5" sqref="A5"/>
      <selection pane="bottomLeft" activeCell="A5" sqref="A5"/>
      <selection pane="bottomRight" activeCell="A5" sqref="A5"/>
    </sheetView>
  </sheetViews>
  <sheetFormatPr defaultRowHeight="12.75" outlineLevelRow="1"/>
  <cols>
    <col min="1" max="1" width="3.28515625" customWidth="1"/>
    <col min="2" max="2" width="34.5703125" customWidth="1"/>
    <col min="3" max="3" width="16.42578125" customWidth="1"/>
    <col min="4" max="4" width="14" customWidth="1"/>
    <col min="5" max="5" width="12.28515625" customWidth="1"/>
    <col min="6" max="6" width="17.85546875" customWidth="1"/>
    <col min="7" max="7" width="6.140625" customWidth="1"/>
    <col min="8" max="8" width="16.140625" customWidth="1"/>
    <col min="9" max="9" width="13.42578125" customWidth="1"/>
    <col min="10" max="10" width="12.7109375" customWidth="1"/>
    <col min="11" max="11" width="11.85546875" customWidth="1"/>
    <col min="12" max="12" width="17.140625" customWidth="1"/>
    <col min="13" max="13" width="14.140625" customWidth="1"/>
    <col min="14" max="14" width="12" customWidth="1"/>
  </cols>
  <sheetData>
    <row r="1" spans="2:13" ht="13.5" thickBot="1">
      <c r="B1" s="395"/>
      <c r="C1" s="855" t="s">
        <v>1200</v>
      </c>
      <c r="H1" s="371" t="s">
        <v>131</v>
      </c>
    </row>
    <row r="2" spans="2:13">
      <c r="B2" s="395"/>
      <c r="H2" s="371" t="s">
        <v>2218</v>
      </c>
    </row>
    <row r="3" spans="2:13">
      <c r="B3" s="395"/>
      <c r="H3" s="371" t="s">
        <v>1363</v>
      </c>
    </row>
    <row r="4" spans="2:13" ht="13.5" thickBot="1"/>
    <row r="5" spans="2:13" ht="14.25" thickTop="1" thickBot="1">
      <c r="C5" s="1616" t="s">
        <v>251</v>
      </c>
      <c r="D5" s="1617"/>
      <c r="E5" s="1617"/>
      <c r="F5" s="1618"/>
      <c r="G5" s="279"/>
      <c r="H5" s="1619" t="s">
        <v>252</v>
      </c>
      <c r="I5" s="1620"/>
      <c r="J5" s="1620"/>
      <c r="K5" s="1620"/>
      <c r="L5" s="1621"/>
    </row>
    <row r="6" spans="2:13" ht="13.5" thickTop="1">
      <c r="C6" s="1622" t="s">
        <v>253</v>
      </c>
      <c r="D6" s="1625" t="s">
        <v>254</v>
      </c>
      <c r="E6" s="1625" t="s">
        <v>292</v>
      </c>
      <c r="F6" s="1628" t="s">
        <v>1063</v>
      </c>
      <c r="G6" s="281"/>
      <c r="H6" s="1631" t="s">
        <v>255</v>
      </c>
      <c r="I6" s="1625" t="s">
        <v>254</v>
      </c>
      <c r="J6" s="1634" t="s">
        <v>256</v>
      </c>
      <c r="K6" s="1637" t="s">
        <v>257</v>
      </c>
      <c r="L6" s="1638" t="s">
        <v>1064</v>
      </c>
    </row>
    <row r="7" spans="2:13">
      <c r="C7" s="1623"/>
      <c r="D7" s="1626"/>
      <c r="E7" s="1626"/>
      <c r="F7" s="1629"/>
      <c r="G7" s="281"/>
      <c r="H7" s="1632"/>
      <c r="I7" s="1626"/>
      <c r="J7" s="1635"/>
      <c r="K7" s="1626"/>
      <c r="L7" s="1639"/>
    </row>
    <row r="8" spans="2:13">
      <c r="C8" s="1623"/>
      <c r="D8" s="1626"/>
      <c r="E8" s="1626"/>
      <c r="F8" s="1629"/>
      <c r="G8" s="281"/>
      <c r="H8" s="1632"/>
      <c r="I8" s="1626"/>
      <c r="J8" s="1635"/>
      <c r="K8" s="1626"/>
      <c r="L8" s="1639"/>
    </row>
    <row r="9" spans="2:13">
      <c r="C9" s="1624"/>
      <c r="D9" s="1627"/>
      <c r="E9" s="1627"/>
      <c r="F9" s="1630"/>
      <c r="G9" s="281"/>
      <c r="H9" s="1633"/>
      <c r="I9" s="1627"/>
      <c r="J9" s="1636"/>
      <c r="K9" s="1627"/>
      <c r="L9" s="1640"/>
    </row>
    <row r="10" spans="2:13" hidden="1" outlineLevel="1">
      <c r="B10" s="395" t="str">
        <f>'ARL Sum'!$A$1</f>
        <v>The University of Texas at Arlington</v>
      </c>
      <c r="C10" s="346">
        <f>'ARL FGD'!$O$60</f>
        <v>198085111</v>
      </c>
      <c r="D10" s="347">
        <f>'ARL FGD'!$P$60</f>
        <v>62650</v>
      </c>
      <c r="E10" s="455"/>
      <c r="F10" s="348">
        <f>'ARL FGD'!$R$60</f>
        <v>198147761</v>
      </c>
      <c r="G10" s="603" t="str">
        <f>IF(SUM(C10:D10)-E10&lt;&gt;F10,"Error","")</f>
        <v/>
      </c>
      <c r="H10" s="349">
        <f>'ARL FGD'!$T$60</f>
        <v>198085111</v>
      </c>
      <c r="I10" s="347">
        <f>'ARL FGD'!$U$60</f>
        <v>62650</v>
      </c>
      <c r="J10" s="350">
        <f>'ARL FGD'!$V$60</f>
        <v>50162</v>
      </c>
      <c r="K10" s="347">
        <f>'ARL FGD'!$W$60</f>
        <v>0</v>
      </c>
      <c r="L10" s="351">
        <f>'ARL FGD'!$X$60</f>
        <v>198097599</v>
      </c>
      <c r="M10" s="605" t="str">
        <f>IF(H10+I10-J10-K10&lt;&gt;L10,"Error","")</f>
        <v/>
      </c>
    </row>
    <row r="11" spans="2:13" hidden="1" outlineLevel="1">
      <c r="B11" s="395" t="str">
        <f>'ASU Sum'!$A$1</f>
        <v>Angelo State University</v>
      </c>
      <c r="C11" s="346">
        <f>'ASU FGD'!$O$60</f>
        <v>44416353</v>
      </c>
      <c r="D11" s="347">
        <f>'ASU FGD'!$P$60</f>
        <v>872279</v>
      </c>
      <c r="E11" s="455"/>
      <c r="F11" s="348">
        <f>'ASU FGD'!$R$60</f>
        <v>45288632</v>
      </c>
      <c r="G11" s="603" t="str">
        <f t="shared" ref="G11:G72" si="0">IF(SUM(C11:D11)-E11&lt;&gt;F11,"Error","")</f>
        <v/>
      </c>
      <c r="H11" s="349">
        <f>'ASU FGD'!$T$60</f>
        <v>44416353</v>
      </c>
      <c r="I11" s="347">
        <f>'ASU FGD'!$U$60</f>
        <v>872279</v>
      </c>
      <c r="J11" s="350">
        <f>'ASU FGD'!$V$60</f>
        <v>0</v>
      </c>
      <c r="K11" s="347">
        <f>'ASU FGD'!$W$60</f>
        <v>0</v>
      </c>
      <c r="L11" s="351">
        <f>'ASU FGD'!$X$60</f>
        <v>45288632</v>
      </c>
      <c r="M11" s="605" t="str">
        <f t="shared" ref="M11:M72" si="1">IF(H11+I11-J11-K11&lt;&gt;L11,"Error","")</f>
        <v/>
      </c>
    </row>
    <row r="12" spans="2:13" ht="26.25" hidden="1" customHeight="1" outlineLevel="1">
      <c r="B12" s="395" t="str">
        <f>'AUS1 Sum'!$A$1</f>
        <v>The University of Texas at Austin - Academic &amp; Health (A+H)</v>
      </c>
      <c r="C12" s="346">
        <f>'AUS1 FGD'!$O$60</f>
        <v>676280825</v>
      </c>
      <c r="D12" s="347">
        <f>'AUS1 FGD'!$P$60</f>
        <v>4337985</v>
      </c>
      <c r="E12" s="455"/>
      <c r="F12" s="348">
        <f>'AUS1 FGD'!$R$60</f>
        <v>680618810</v>
      </c>
      <c r="G12" s="603" t="str">
        <f t="shared" si="0"/>
        <v/>
      </c>
      <c r="H12" s="349">
        <f>'AUS1 FGD'!$T$60</f>
        <v>676280825</v>
      </c>
      <c r="I12" s="347">
        <f>'AUS1 FGD'!$U$60</f>
        <v>4337985</v>
      </c>
      <c r="J12" s="350">
        <f>'AUS1 FGD'!$V$60</f>
        <v>542497</v>
      </c>
      <c r="K12" s="347">
        <f>'AUS1 FGD'!$W$60</f>
        <v>1501173</v>
      </c>
      <c r="L12" s="351">
        <f>'AUS1 FGD'!$X$60</f>
        <v>678575140</v>
      </c>
      <c r="M12" s="605" t="str">
        <f t="shared" si="1"/>
        <v/>
      </c>
    </row>
    <row r="13" spans="2:13" ht="27.75" hidden="1" customHeight="1" outlineLevel="1">
      <c r="B13" s="395" t="str">
        <f>'RGV1 Sum'!$A$1</f>
        <v>The University of Texas RGV - Academic &amp; Health (A+H)</v>
      </c>
      <c r="C13" s="346">
        <f>'RGV1 FGD'!$O$60</f>
        <v>142384669</v>
      </c>
      <c r="D13" s="347">
        <f>'RGV1 FGD'!$P$60</f>
        <v>246829</v>
      </c>
      <c r="E13" s="455"/>
      <c r="F13" s="348">
        <f>'RGV1 FGD'!$R$60</f>
        <v>142631498</v>
      </c>
      <c r="G13" s="603" t="str">
        <f t="shared" ref="G13" si="2">IF(SUM(C13:D13)-E13&lt;&gt;F13,"Error","")</f>
        <v/>
      </c>
      <c r="H13" s="349">
        <f>'RGV1 FGD'!$T$60</f>
        <v>142384669</v>
      </c>
      <c r="I13" s="347">
        <f>'RGV1 FGD'!$U$60</f>
        <v>246829</v>
      </c>
      <c r="J13" s="350">
        <f>'RGV1 FGD'!$V$60</f>
        <v>3157</v>
      </c>
      <c r="K13" s="347">
        <f>'RGV1 FGD'!$W$60</f>
        <v>0</v>
      </c>
      <c r="L13" s="351">
        <f>'RGV1 FGD'!$X$60</f>
        <v>142628341</v>
      </c>
      <c r="M13" s="605" t="str">
        <f t="shared" si="1"/>
        <v/>
      </c>
    </row>
    <row r="14" spans="2:13" hidden="1" outlineLevel="1">
      <c r="B14" s="395" t="str">
        <f>'DAL Sum'!$A$1</f>
        <v>The University of Texas at Dallas</v>
      </c>
      <c r="C14" s="346">
        <f>'DAL FGD'!$O$60</f>
        <v>197677095</v>
      </c>
      <c r="D14" s="347">
        <f>'DAL FGD'!$P$60</f>
        <v>685434</v>
      </c>
      <c r="E14" s="455"/>
      <c r="F14" s="348">
        <f>'DAL FGD'!$R$60</f>
        <v>198362529</v>
      </c>
      <c r="G14" s="603" t="str">
        <f t="shared" si="0"/>
        <v/>
      </c>
      <c r="H14" s="349">
        <f>'DAL FGD'!$T$60</f>
        <v>197677095</v>
      </c>
      <c r="I14" s="347">
        <f>'DAL FGD'!$U$60</f>
        <v>685434</v>
      </c>
      <c r="J14" s="350">
        <f>'DAL FGD'!$V$60</f>
        <v>0</v>
      </c>
      <c r="K14" s="347">
        <f>'DAL FGD'!$W$60</f>
        <v>0</v>
      </c>
      <c r="L14" s="351">
        <f>'DAL FGD'!$X$60</f>
        <v>198362529</v>
      </c>
      <c r="M14" s="605" t="str">
        <f t="shared" si="1"/>
        <v/>
      </c>
    </row>
    <row r="15" spans="2:13" hidden="1" outlineLevel="1">
      <c r="B15" s="395" t="str">
        <f>'E-P Sum'!$A$1</f>
        <v>The University of Texas at El Paso</v>
      </c>
      <c r="C15" s="346">
        <f>'E-P FGD'!$O$60</f>
        <v>111347256</v>
      </c>
      <c r="D15" s="347">
        <f>'E-P FGD'!$P$60</f>
        <v>303636</v>
      </c>
      <c r="E15" s="455"/>
      <c r="F15" s="348">
        <f>'E-P FGD'!$R$60</f>
        <v>111650892</v>
      </c>
      <c r="G15" s="603" t="str">
        <f t="shared" si="0"/>
        <v/>
      </c>
      <c r="H15" s="349">
        <f>'E-P FGD'!$T$60</f>
        <v>111347256</v>
      </c>
      <c r="I15" s="347">
        <f>'E-P FGD'!$U$60</f>
        <v>303636</v>
      </c>
      <c r="J15" s="350">
        <f>'E-P FGD'!$V$60</f>
        <v>0</v>
      </c>
      <c r="K15" s="347">
        <f>'E-P FGD'!$W$60</f>
        <v>0</v>
      </c>
      <c r="L15" s="351">
        <f>'E-P FGD'!$X$60</f>
        <v>111650892</v>
      </c>
      <c r="M15" s="605" t="str">
        <f t="shared" si="1"/>
        <v/>
      </c>
    </row>
    <row r="16" spans="2:13" hidden="1" outlineLevel="1">
      <c r="B16" s="395" t="str">
        <f>'LU Sum'!$A$1</f>
        <v xml:space="preserve">Lamar University </v>
      </c>
      <c r="C16" s="346">
        <f>'LU FGD'!$O$60</f>
        <v>63622119</v>
      </c>
      <c r="D16" s="347">
        <f>'LU FGD'!$P$60</f>
        <v>34171</v>
      </c>
      <c r="E16" s="455"/>
      <c r="F16" s="348">
        <f>'LU FGD'!$R$60</f>
        <v>63656290</v>
      </c>
      <c r="G16" s="603" t="str">
        <f t="shared" si="0"/>
        <v/>
      </c>
      <c r="H16" s="349">
        <f>'LU FGD'!$T$60</f>
        <v>63622119</v>
      </c>
      <c r="I16" s="347">
        <f>'LU FGD'!$U$60</f>
        <v>34171</v>
      </c>
      <c r="J16" s="350">
        <f>'LU FGD'!$V$60</f>
        <v>0</v>
      </c>
      <c r="K16" s="347">
        <f>'LU FGD'!$W$60</f>
        <v>0</v>
      </c>
      <c r="L16" s="351">
        <f>'LU FGD'!$X$60</f>
        <v>63656290</v>
      </c>
      <c r="M16" s="605" t="str">
        <f t="shared" si="1"/>
        <v/>
      </c>
    </row>
    <row r="17" spans="2:13" hidden="1" outlineLevel="1">
      <c r="B17" s="395" t="str">
        <f>'MidWST Sum'!$A$1</f>
        <v>Midwestern State University</v>
      </c>
      <c r="C17" s="346">
        <f>'MidWST FGD'!$O$60</f>
        <v>37934310</v>
      </c>
      <c r="D17" s="347">
        <f>'MidWST FGD'!$P$60</f>
        <v>82287</v>
      </c>
      <c r="E17" s="455"/>
      <c r="F17" s="348">
        <f>'MidWST FGD'!$R$60</f>
        <v>38016597</v>
      </c>
      <c r="G17" s="603" t="str">
        <f t="shared" si="0"/>
        <v/>
      </c>
      <c r="H17" s="349">
        <f>'MidWST FGD'!$T$60</f>
        <v>37934310</v>
      </c>
      <c r="I17" s="347">
        <f>'MidWST FGD'!$U$60</f>
        <v>82287</v>
      </c>
      <c r="J17" s="350">
        <f>'MidWST FGD'!$V$60</f>
        <v>0</v>
      </c>
      <c r="K17" s="347">
        <f>'MidWST FGD'!$W$60</f>
        <v>0</v>
      </c>
      <c r="L17" s="351">
        <f>'MidWST FGD'!$X$60</f>
        <v>38016597</v>
      </c>
      <c r="M17" s="605" t="str">
        <f t="shared" si="1"/>
        <v/>
      </c>
    </row>
    <row r="18" spans="2:13" ht="12.75" hidden="1" customHeight="1" outlineLevel="1">
      <c r="B18" s="395" t="str">
        <f>'P-B Sum'!$A$1</f>
        <v>The University of Texas of the Permian Basin</v>
      </c>
      <c r="C18" s="346">
        <f>'P-B FGD'!$O$60</f>
        <v>35363099</v>
      </c>
      <c r="D18" s="347">
        <f>'P-B FGD'!$P$60</f>
        <v>34048</v>
      </c>
      <c r="E18" s="455"/>
      <c r="F18" s="348">
        <f>'P-B FGD'!$R$60</f>
        <v>35397147</v>
      </c>
      <c r="G18" s="603" t="str">
        <f t="shared" si="0"/>
        <v/>
      </c>
      <c r="H18" s="349">
        <f>'P-B FGD'!$T$60</f>
        <v>35363099</v>
      </c>
      <c r="I18" s="347">
        <f>'P-B FGD'!$U$60</f>
        <v>34048</v>
      </c>
      <c r="J18" s="350">
        <f>'P-B FGD'!$V$60</f>
        <v>0</v>
      </c>
      <c r="K18" s="347">
        <f>'P-B FGD'!$W$60</f>
        <v>0</v>
      </c>
      <c r="L18" s="351">
        <f>'P-B FGD'!$X$60</f>
        <v>35397147</v>
      </c>
      <c r="M18" s="605" t="str">
        <f t="shared" si="1"/>
        <v/>
      </c>
    </row>
    <row r="19" spans="2:13" hidden="1" outlineLevel="1">
      <c r="B19" s="395" t="str">
        <f>'PVAMU Sum'!$A$1</f>
        <v>Prairie View A&amp;M University</v>
      </c>
      <c r="C19" s="346">
        <f>'PVAMU FGD'!$O$60</f>
        <v>52305594</v>
      </c>
      <c r="D19" s="347">
        <f>'PVAMU FGD'!$P$60</f>
        <v>82105</v>
      </c>
      <c r="E19" s="455"/>
      <c r="F19" s="348">
        <f>'PVAMU FGD'!$R$60</f>
        <v>52387699</v>
      </c>
      <c r="G19" s="603" t="str">
        <f t="shared" si="0"/>
        <v/>
      </c>
      <c r="H19" s="349">
        <f>'PVAMU FGD'!$T$60</f>
        <v>52305594</v>
      </c>
      <c r="I19" s="347">
        <f>'PVAMU FGD'!$U$60</f>
        <v>82105</v>
      </c>
      <c r="J19" s="350">
        <f>'PVAMU FGD'!$V$60</f>
        <v>0</v>
      </c>
      <c r="K19" s="347">
        <f>'PVAMU FGD'!$W$60</f>
        <v>0</v>
      </c>
      <c r="L19" s="351">
        <f>'PVAMU FGD'!$X$60</f>
        <v>52387699</v>
      </c>
      <c r="M19" s="605" t="str">
        <f t="shared" si="1"/>
        <v/>
      </c>
    </row>
    <row r="20" spans="2:13" hidden="1" outlineLevel="1">
      <c r="B20" s="395" t="str">
        <f>'S-A Sum'!$A$1</f>
        <v>The University of Texas at San Antonio</v>
      </c>
      <c r="C20" s="346">
        <f>'S-A FGD'!$O$60</f>
        <v>115902354</v>
      </c>
      <c r="D20" s="347">
        <f>'S-A FGD'!$P$60</f>
        <v>841259</v>
      </c>
      <c r="E20" s="455"/>
      <c r="F20" s="348">
        <f>'S-A FGD'!$R$60</f>
        <v>116743613</v>
      </c>
      <c r="G20" s="603" t="str">
        <f t="shared" si="0"/>
        <v/>
      </c>
      <c r="H20" s="349">
        <f>'S-A FGD'!$T$60</f>
        <v>115902354</v>
      </c>
      <c r="I20" s="347">
        <f>'S-A FGD'!$U$60</f>
        <v>841259</v>
      </c>
      <c r="J20" s="350">
        <f>'S-A FGD'!$V$60</f>
        <v>0</v>
      </c>
      <c r="K20" s="347">
        <f>'S-A FGD'!$W$60</f>
        <v>0</v>
      </c>
      <c r="L20" s="351">
        <f>'S-A FGD'!$X$60</f>
        <v>116743613</v>
      </c>
      <c r="M20" s="605" t="str">
        <f t="shared" si="1"/>
        <v/>
      </c>
    </row>
    <row r="21" spans="2:13" hidden="1" outlineLevel="1">
      <c r="B21" s="395" t="str">
        <f>'SFA Sum'!$A$1</f>
        <v>Stephen F. Austin State University</v>
      </c>
      <c r="C21" s="346">
        <f>'SFA FGD'!$O$60</f>
        <v>76284735</v>
      </c>
      <c r="D21" s="347">
        <f>'SFA FGD'!$P$60</f>
        <v>202380</v>
      </c>
      <c r="E21" s="455"/>
      <c r="F21" s="348">
        <f>'SFA FGD'!$R$60</f>
        <v>76487115</v>
      </c>
      <c r="G21" s="603" t="str">
        <f t="shared" si="0"/>
        <v/>
      </c>
      <c r="H21" s="349">
        <f>'SFA FGD'!$T$60</f>
        <v>76284735</v>
      </c>
      <c r="I21" s="347">
        <f>'SFA FGD'!$U$60</f>
        <v>202380</v>
      </c>
      <c r="J21" s="350">
        <f>'SFA FGD'!$V$60</f>
        <v>0</v>
      </c>
      <c r="K21" s="347">
        <f>'SFA FGD'!$W$60</f>
        <v>0</v>
      </c>
      <c r="L21" s="351">
        <f>'SFA FGD'!$X$60</f>
        <v>76487115</v>
      </c>
      <c r="M21" s="605" t="str">
        <f t="shared" si="1"/>
        <v/>
      </c>
    </row>
    <row r="22" spans="2:13" ht="25.5" hidden="1" outlineLevel="1">
      <c r="B22" s="395" t="str">
        <f>'shsu1 Sum'!$A$1</f>
        <v>Sam Houston State University - Academic &amp; Health (A+H)</v>
      </c>
      <c r="C22" s="346">
        <f>'shsu1 FGD'!$O$60</f>
        <v>102021253</v>
      </c>
      <c r="D22" s="347">
        <f>'shsu1 FGD'!$P$60</f>
        <v>289194</v>
      </c>
      <c r="E22" s="455"/>
      <c r="F22" s="348">
        <f>'shsu1 FGD'!$R$60</f>
        <v>102310447</v>
      </c>
      <c r="G22" s="603" t="str">
        <f t="shared" si="0"/>
        <v/>
      </c>
      <c r="H22" s="349">
        <f>'shsu1 FGD'!$T$60</f>
        <v>102021253</v>
      </c>
      <c r="I22" s="347">
        <f>'shsu1 FGD'!$U$60</f>
        <v>289194</v>
      </c>
      <c r="J22" s="350">
        <f>'shsu1 FGD'!$V$60</f>
        <v>0</v>
      </c>
      <c r="K22" s="347">
        <f>'shsu1 FGD'!$W$60</f>
        <v>0</v>
      </c>
      <c r="L22" s="351">
        <f>'shsu1 FGD'!$X$60</f>
        <v>102310447</v>
      </c>
      <c r="M22" s="605" t="str">
        <f t="shared" si="1"/>
        <v/>
      </c>
    </row>
    <row r="23" spans="2:13" hidden="1" outlineLevel="1">
      <c r="B23" s="395" t="str">
        <f>'SRSU Sum'!$A$1</f>
        <v>Sul Ross State University</v>
      </c>
      <c r="C23" s="346">
        <f>'SRSU FGD'!$O$60</f>
        <v>9919558</v>
      </c>
      <c r="D23" s="347">
        <f>'SRSU FGD'!$P$60</f>
        <v>0</v>
      </c>
      <c r="E23" s="455"/>
      <c r="F23" s="348">
        <f>'SRSU FGD'!$R$60</f>
        <v>9919558</v>
      </c>
      <c r="G23" s="603" t="str">
        <f t="shared" si="0"/>
        <v/>
      </c>
      <c r="H23" s="349">
        <f>'SRSU FGD'!$T$60</f>
        <v>9919558</v>
      </c>
      <c r="I23" s="347">
        <f>'SRSU FGD'!$U$60</f>
        <v>0</v>
      </c>
      <c r="J23" s="350">
        <f>'SRSU FGD'!$V$60</f>
        <v>0</v>
      </c>
      <c r="K23" s="347">
        <f>'SRSU FGD'!$W$60</f>
        <v>0</v>
      </c>
      <c r="L23" s="351">
        <f>'SRSU FGD'!$X$60</f>
        <v>9919558</v>
      </c>
      <c r="M23" s="605" t="str">
        <f t="shared" si="1"/>
        <v/>
      </c>
    </row>
    <row r="24" spans="2:13" hidden="1" outlineLevel="1">
      <c r="B24" s="395" t="str">
        <f>'TAMIU Sum'!$A$1</f>
        <v>Texas A&amp;M International University</v>
      </c>
      <c r="C24" s="346">
        <f>'TAMIU FGD'!$O$60</f>
        <v>33780408</v>
      </c>
      <c r="D24" s="347">
        <f>'TAMIU FGD'!$P$60</f>
        <v>622717</v>
      </c>
      <c r="E24" s="455"/>
      <c r="F24" s="348">
        <f>'TAMIU FGD'!$R$60</f>
        <v>34403125</v>
      </c>
      <c r="G24" s="603" t="str">
        <f t="shared" si="0"/>
        <v/>
      </c>
      <c r="H24" s="349">
        <f>'TAMIU FGD'!$T$60</f>
        <v>33780408</v>
      </c>
      <c r="I24" s="347">
        <f>'TAMIU FGD'!$U$60</f>
        <v>622717</v>
      </c>
      <c r="J24" s="350">
        <f>'TAMIU FGD'!$V$60</f>
        <v>0</v>
      </c>
      <c r="K24" s="347">
        <f>'TAMIU FGD'!$W$60</f>
        <v>0</v>
      </c>
      <c r="L24" s="351">
        <f>'TAMIU FGD'!$X$60</f>
        <v>34403125</v>
      </c>
      <c r="M24" s="605" t="str">
        <f t="shared" si="1"/>
        <v/>
      </c>
    </row>
    <row r="25" spans="2:13" hidden="1" outlineLevel="1">
      <c r="B25" s="395" t="str">
        <f>'TAMU Sum'!$A$1</f>
        <v>Texas A&amp;M University</v>
      </c>
      <c r="C25" s="346">
        <f>'TAMU FGD'!$O$60</f>
        <v>607752075</v>
      </c>
      <c r="D25" s="347">
        <f>'TAMU FGD'!$P$60</f>
        <v>1719797</v>
      </c>
      <c r="E25" s="455"/>
      <c r="F25" s="348">
        <f>'TAMU FGD'!$R$60</f>
        <v>609471872</v>
      </c>
      <c r="G25" s="603" t="str">
        <f t="shared" si="0"/>
        <v/>
      </c>
      <c r="H25" s="349">
        <f>'TAMU FGD'!$T$60</f>
        <v>607752075</v>
      </c>
      <c r="I25" s="347">
        <f>'TAMU FGD'!$U$60</f>
        <v>1719797</v>
      </c>
      <c r="J25" s="350">
        <f>'TAMU FGD'!$V$60</f>
        <v>0</v>
      </c>
      <c r="K25" s="347">
        <f>'TAMU FGD'!$W$60</f>
        <v>0</v>
      </c>
      <c r="L25" s="351">
        <f>'TAMU FGD'!$X$60</f>
        <v>609471872</v>
      </c>
      <c r="M25" s="605" t="str">
        <f t="shared" si="1"/>
        <v/>
      </c>
    </row>
    <row r="26" spans="2:13" hidden="1" outlineLevel="1">
      <c r="B26" s="395" t="str">
        <f>'TAMUC Sum'!$A$1</f>
        <v>Texas A&amp;M University - Commerce</v>
      </c>
      <c r="C26" s="346">
        <f>'TAMUC FGD'!$O$60</f>
        <v>57170362</v>
      </c>
      <c r="D26" s="347">
        <f>'TAMUC FGD'!$P$60</f>
        <v>650068</v>
      </c>
      <c r="E26" s="455"/>
      <c r="F26" s="348">
        <f>'TAMUC FGD'!$R$60</f>
        <v>57820430</v>
      </c>
      <c r="G26" s="603" t="str">
        <f t="shared" si="0"/>
        <v/>
      </c>
      <c r="H26" s="349">
        <f>'TAMUC FGD'!$T$60</f>
        <v>57170362</v>
      </c>
      <c r="I26" s="347">
        <f>'TAMUC FGD'!$U$60</f>
        <v>650068</v>
      </c>
      <c r="J26" s="350">
        <f>'TAMUC FGD'!$V$60</f>
        <v>0</v>
      </c>
      <c r="K26" s="347">
        <f>'TAMUC FGD'!$W$60</f>
        <v>0</v>
      </c>
      <c r="L26" s="351">
        <f>'TAMUC FGD'!$X$60</f>
        <v>57820430</v>
      </c>
      <c r="M26" s="605" t="str">
        <f t="shared" si="1"/>
        <v/>
      </c>
    </row>
    <row r="27" spans="2:13" hidden="1" outlineLevel="1">
      <c r="B27" s="395" t="str">
        <f>'TAMUCC Sum'!$A$1</f>
        <v>Texas A&amp;M University - Corpus Christi</v>
      </c>
      <c r="C27" s="346">
        <f>'TAMUCC FGD'!$O$60</f>
        <v>64301661</v>
      </c>
      <c r="D27" s="347">
        <f>'TAMUCC FGD'!$P$60</f>
        <v>613000</v>
      </c>
      <c r="E27" s="455"/>
      <c r="F27" s="348">
        <f>'TAMUCC FGD'!$R$60</f>
        <v>64914661</v>
      </c>
      <c r="G27" s="603" t="str">
        <f t="shared" si="0"/>
        <v/>
      </c>
      <c r="H27" s="349">
        <f>'TAMUCC FGD'!$T$60</f>
        <v>64301661</v>
      </c>
      <c r="I27" s="347">
        <f>'TAMUCC FGD'!$U$60</f>
        <v>613000</v>
      </c>
      <c r="J27" s="350">
        <f>'TAMUCC FGD'!$V$60</f>
        <v>81015</v>
      </c>
      <c r="K27" s="347">
        <f>'TAMUCC FGD'!$W$60</f>
        <v>0</v>
      </c>
      <c r="L27" s="351">
        <f>'TAMUCC FGD'!$X$60</f>
        <v>64833646</v>
      </c>
      <c r="M27" s="605" t="str">
        <f t="shared" si="1"/>
        <v/>
      </c>
    </row>
    <row r="28" spans="2:13" hidden="1" outlineLevel="1">
      <c r="B28" s="395" t="str">
        <f>'TAMUCT Sum'!$A$1</f>
        <v>Texas A&amp;M University - Central Texas</v>
      </c>
      <c r="C28" s="346">
        <f>'TAMUCT FGD'!$O$60</f>
        <v>10849521</v>
      </c>
      <c r="D28" s="347">
        <f>'TAMUCT FGD'!$P$60</f>
        <v>3932</v>
      </c>
      <c r="E28" s="455"/>
      <c r="F28" s="348">
        <f>'TAMUCT FGD'!$R$60</f>
        <v>10853453</v>
      </c>
      <c r="G28" s="603" t="str">
        <f t="shared" si="0"/>
        <v/>
      </c>
      <c r="H28" s="349">
        <f>'TAMUCT FGD'!$T$60</f>
        <v>10849521</v>
      </c>
      <c r="I28" s="347">
        <f>'TAMUCT FGD'!$U$60</f>
        <v>3932</v>
      </c>
      <c r="J28" s="350">
        <f>'TAMUCT FGD'!$V$60</f>
        <v>0</v>
      </c>
      <c r="K28" s="347">
        <f>'TAMUCT FGD'!$W$60</f>
        <v>0</v>
      </c>
      <c r="L28" s="351">
        <f>'TAMUCT FGD'!$X$60</f>
        <v>10853453</v>
      </c>
      <c r="M28" s="605" t="str">
        <f t="shared" si="1"/>
        <v/>
      </c>
    </row>
    <row r="29" spans="2:13" hidden="1" outlineLevel="1">
      <c r="B29" s="395" t="str">
        <f>'TAMUG Sum'!$A$1</f>
        <v>Texas A&amp;M University at Galveston</v>
      </c>
      <c r="C29" s="346">
        <f>'TAMUG FGD'!$O$60</f>
        <v>20218790</v>
      </c>
      <c r="D29" s="347">
        <f>'TAMUG FGD'!$P$60</f>
        <v>121486</v>
      </c>
      <c r="E29" s="455"/>
      <c r="F29" s="348">
        <f>'TAMUG FGD'!$R$60</f>
        <v>20340276</v>
      </c>
      <c r="G29" s="603" t="str">
        <f t="shared" si="0"/>
        <v/>
      </c>
      <c r="H29" s="349">
        <f>'TAMUG FGD'!$T$60</f>
        <v>20218790</v>
      </c>
      <c r="I29" s="347">
        <f>'TAMUG FGD'!$U$60</f>
        <v>121486</v>
      </c>
      <c r="J29" s="350">
        <f>'TAMUG FGD'!$V$60</f>
        <v>0</v>
      </c>
      <c r="K29" s="347">
        <f>'TAMUG FGD'!$W$60</f>
        <v>0</v>
      </c>
      <c r="L29" s="351">
        <f>'TAMUG FGD'!$X$60</f>
        <v>20340276</v>
      </c>
      <c r="M29" s="605" t="str">
        <f t="shared" si="1"/>
        <v/>
      </c>
    </row>
    <row r="30" spans="2:13" hidden="1" outlineLevel="1">
      <c r="B30" s="395" t="str">
        <f>'TAMUK Sum'!$A$1</f>
        <v>Texas A&amp;M University - Kingsville</v>
      </c>
      <c r="C30" s="346">
        <f>'TAMUK FGD'!$O$60</f>
        <v>42177217</v>
      </c>
      <c r="D30" s="347">
        <f>'TAMUK FGD'!$P$60</f>
        <v>170081</v>
      </c>
      <c r="E30" s="455"/>
      <c r="F30" s="348">
        <f>'TAMUK FGD'!$R$60</f>
        <v>42347298</v>
      </c>
      <c r="G30" s="603" t="str">
        <f t="shared" si="0"/>
        <v/>
      </c>
      <c r="H30" s="349">
        <f>'TAMUK FGD'!$T$60</f>
        <v>42177217</v>
      </c>
      <c r="I30" s="347">
        <f>'TAMUK FGD'!$U$60</f>
        <v>170081</v>
      </c>
      <c r="J30" s="350">
        <f>'TAMUK FGD'!$V$60</f>
        <v>0</v>
      </c>
      <c r="K30" s="347">
        <f>'TAMUK FGD'!$W$60</f>
        <v>0</v>
      </c>
      <c r="L30" s="351">
        <f>'TAMUK FGD'!$X$60</f>
        <v>42347298</v>
      </c>
      <c r="M30" s="605" t="str">
        <f t="shared" si="1"/>
        <v/>
      </c>
    </row>
    <row r="31" spans="2:13" hidden="1" outlineLevel="1">
      <c r="B31" s="395" t="str">
        <f>'TAMUSA Sum'!$A$1</f>
        <v>Texas A&amp;M University - San Antonio</v>
      </c>
      <c r="C31" s="346">
        <f>'TAMUSA FGD'!$O$60</f>
        <v>29356283</v>
      </c>
      <c r="D31" s="347">
        <f>'TAMUSA FGD'!$P$60</f>
        <v>181770</v>
      </c>
      <c r="E31" s="455"/>
      <c r="F31" s="348">
        <f>'TAMUSA FGD'!$R$60</f>
        <v>29538053</v>
      </c>
      <c r="G31" s="603" t="str">
        <f t="shared" si="0"/>
        <v/>
      </c>
      <c r="H31" s="349">
        <f>'TAMUSA FGD'!$T$60</f>
        <v>29356283</v>
      </c>
      <c r="I31" s="347">
        <f>'TAMUSA FGD'!$U$60</f>
        <v>181770</v>
      </c>
      <c r="J31" s="350">
        <f>'TAMUSA FGD'!$V$60</f>
        <v>0</v>
      </c>
      <c r="K31" s="347">
        <f>'TAMUSA FGD'!$W$60</f>
        <v>0</v>
      </c>
      <c r="L31" s="351">
        <f>'TAMUSA FGD'!$X$60</f>
        <v>29538053</v>
      </c>
      <c r="M31" s="605" t="str">
        <f t="shared" si="1"/>
        <v/>
      </c>
    </row>
    <row r="32" spans="2:13" hidden="1" outlineLevel="1">
      <c r="B32" s="395" t="str">
        <f>'TAMUT Sum'!$A$1</f>
        <v>Texas A&amp;M University - Texarkana</v>
      </c>
      <c r="C32" s="346">
        <f>'TAMUT FGD'!$O$60</f>
        <v>15713897</v>
      </c>
      <c r="D32" s="347">
        <f>'TAMUT FGD'!$P$60</f>
        <v>431314</v>
      </c>
      <c r="E32" s="455"/>
      <c r="F32" s="348">
        <f>'TAMUT FGD'!$R$60</f>
        <v>16145211</v>
      </c>
      <c r="G32" s="603" t="str">
        <f t="shared" si="0"/>
        <v/>
      </c>
      <c r="H32" s="349">
        <f>'TAMUT FGD'!$T$60</f>
        <v>15713897</v>
      </c>
      <c r="I32" s="347">
        <f>'TAMUT FGD'!$U$60</f>
        <v>431314</v>
      </c>
      <c r="J32" s="350">
        <f>'TAMUT FGD'!$V$60</f>
        <v>0</v>
      </c>
      <c r="K32" s="347">
        <f>'TAMUT FGD'!$W$60</f>
        <v>0</v>
      </c>
      <c r="L32" s="351">
        <f>'TAMUT FGD'!$X$60</f>
        <v>16145211</v>
      </c>
      <c r="M32" s="605" t="str">
        <f t="shared" si="1"/>
        <v/>
      </c>
    </row>
    <row r="33" spans="1:13" hidden="1" outlineLevel="1">
      <c r="B33" s="395" t="str">
        <f>'TARLST Sum'!$A$1</f>
        <v>Tarleton State University</v>
      </c>
      <c r="C33" s="346">
        <f>'TARLST FGD'!$O$60</f>
        <v>51226635</v>
      </c>
      <c r="D33" s="347">
        <f>'TARLST FGD'!$P$60</f>
        <v>465081</v>
      </c>
      <c r="E33" s="455"/>
      <c r="F33" s="348">
        <f>'TARLST FGD'!$R$60</f>
        <v>51691716</v>
      </c>
      <c r="G33" s="603" t="str">
        <f t="shared" si="0"/>
        <v/>
      </c>
      <c r="H33" s="349">
        <f>'TARLST FGD'!$T$60</f>
        <v>51226635</v>
      </c>
      <c r="I33" s="347">
        <f>'TARLST FGD'!$U$60</f>
        <v>465081</v>
      </c>
      <c r="J33" s="350">
        <f>'TARLST FGD'!$V$60</f>
        <v>0</v>
      </c>
      <c r="K33" s="347">
        <f>'TARLST FGD'!$W$60</f>
        <v>0</v>
      </c>
      <c r="L33" s="351">
        <f>'TARLST FGD'!$X$60</f>
        <v>51691716</v>
      </c>
      <c r="M33" s="605" t="str">
        <f t="shared" si="1"/>
        <v/>
      </c>
    </row>
    <row r="34" spans="1:13" hidden="1" outlineLevel="1">
      <c r="B34" s="395" t="str">
        <f>'TSU Sum'!$A$1</f>
        <v>Texas Southern University</v>
      </c>
      <c r="C34" s="346">
        <f>'TSU FGD'!$O$60</f>
        <v>78711394</v>
      </c>
      <c r="D34" s="347">
        <f>'TSU FGD'!$P$60</f>
        <v>256984</v>
      </c>
      <c r="E34" s="455"/>
      <c r="F34" s="348">
        <f>'TSU FGD'!$R$60</f>
        <v>78968378</v>
      </c>
      <c r="G34" s="603" t="str">
        <f t="shared" si="0"/>
        <v/>
      </c>
      <c r="H34" s="349">
        <f>'TSU FGD'!$T$60</f>
        <v>78711394</v>
      </c>
      <c r="I34" s="347">
        <f>'TSU FGD'!$U$60</f>
        <v>256984</v>
      </c>
      <c r="J34" s="350">
        <f>'TSU FGD'!$V$60</f>
        <v>0</v>
      </c>
      <c r="K34" s="347">
        <f>'TSU FGD'!$W$60</f>
        <v>0</v>
      </c>
      <c r="L34" s="351">
        <f>'TSU FGD'!$X$60</f>
        <v>78968378</v>
      </c>
      <c r="M34" s="605" t="str">
        <f t="shared" si="1"/>
        <v/>
      </c>
    </row>
    <row r="35" spans="1:13" hidden="1" outlineLevel="1">
      <c r="B35" s="395" t="str">
        <f>'TTU Sum'!$A$1</f>
        <v>Texas Tech University</v>
      </c>
      <c r="C35" s="346">
        <f>'TTU FGD'!$O$60</f>
        <v>205744864</v>
      </c>
      <c r="D35" s="347">
        <f>'TTU FGD'!$P$60</f>
        <v>2252669</v>
      </c>
      <c r="E35" s="455"/>
      <c r="F35" s="348">
        <f>'TTU FGD'!$R$60</f>
        <v>207997533</v>
      </c>
      <c r="G35" s="603" t="str">
        <f t="shared" si="0"/>
        <v/>
      </c>
      <c r="H35" s="349">
        <f>'TTU FGD'!$T$60</f>
        <v>205744864</v>
      </c>
      <c r="I35" s="347">
        <f>'TTU FGD'!$U$60</f>
        <v>2252669</v>
      </c>
      <c r="J35" s="350">
        <f>'TTU FGD'!$V$60</f>
        <v>91814</v>
      </c>
      <c r="K35" s="347">
        <f>'TTU FGD'!$W$60</f>
        <v>0</v>
      </c>
      <c r="L35" s="351">
        <f>'TTU FGD'!$X$60</f>
        <v>207905719</v>
      </c>
      <c r="M35" s="605" t="str">
        <f t="shared" si="1"/>
        <v/>
      </c>
    </row>
    <row r="36" spans="1:13" hidden="1" outlineLevel="1">
      <c r="B36" s="395" t="str">
        <f>'TWU Sum'!$A$1</f>
        <v>Texas Woman's University</v>
      </c>
      <c r="C36" s="346">
        <f>'TWU FGD'!$O$60</f>
        <v>85377136</v>
      </c>
      <c r="D36" s="347">
        <f>'TWU FGD'!$P$60</f>
        <v>93798</v>
      </c>
      <c r="E36" s="455"/>
      <c r="F36" s="348">
        <f>'TWU FGD'!$R$60</f>
        <v>85470934</v>
      </c>
      <c r="G36" s="603" t="str">
        <f t="shared" si="0"/>
        <v/>
      </c>
      <c r="H36" s="349">
        <f>'TWU FGD'!$T$60</f>
        <v>85377136</v>
      </c>
      <c r="I36" s="347">
        <f>'TWU FGD'!$U$60</f>
        <v>93798</v>
      </c>
      <c r="J36" s="350">
        <f>'TWU FGD'!$V$60</f>
        <v>0</v>
      </c>
      <c r="K36" s="347">
        <f>'TWU FGD'!$W$60</f>
        <v>0</v>
      </c>
      <c r="L36" s="351">
        <f>'TWU FGD'!$X$60</f>
        <v>85470934</v>
      </c>
      <c r="M36" s="605" t="str">
        <f t="shared" si="1"/>
        <v/>
      </c>
    </row>
    <row r="37" spans="1:13" hidden="1" outlineLevel="1">
      <c r="B37" s="395" t="str">
        <f>'TXST Sum'!$A$1</f>
        <v>Texas State University</v>
      </c>
      <c r="C37" s="346">
        <f>'TXST FGD'!$O$60</f>
        <v>204998973</v>
      </c>
      <c r="D37" s="347">
        <f>'TXST FGD'!$P$60</f>
        <v>742872</v>
      </c>
      <c r="E37" s="455"/>
      <c r="F37" s="348">
        <f>'TXST FGD'!$R$60</f>
        <v>205741845</v>
      </c>
      <c r="G37" s="603" t="str">
        <f t="shared" si="0"/>
        <v/>
      </c>
      <c r="H37" s="349">
        <f>'TXST FGD'!$T$60</f>
        <v>204998973</v>
      </c>
      <c r="I37" s="347">
        <f>'TXST FGD'!$U$60</f>
        <v>742872</v>
      </c>
      <c r="J37" s="350">
        <f>'TXST FGD'!$V$60</f>
        <v>0</v>
      </c>
      <c r="K37" s="347">
        <f>'TXST FGD'!$W$60</f>
        <v>0</v>
      </c>
      <c r="L37" s="351">
        <f>'TXST FGD'!$X$60</f>
        <v>205741845</v>
      </c>
      <c r="M37" s="605" t="str">
        <f t="shared" si="1"/>
        <v/>
      </c>
    </row>
    <row r="38" spans="1:13" hidden="1" outlineLevel="1">
      <c r="B38" s="395" t="str">
        <f>'TYL Sum'!$A$1</f>
        <v>The University of Texas at Tyler</v>
      </c>
      <c r="C38" s="346">
        <f>'TYL FGD'!$O$60</f>
        <v>61622088</v>
      </c>
      <c r="D38" s="347">
        <f>'TYL FGD'!$P$60</f>
        <v>461777</v>
      </c>
      <c r="E38" s="455"/>
      <c r="F38" s="348">
        <f>'TYL FGD'!$R$60</f>
        <v>62083865</v>
      </c>
      <c r="G38" s="603" t="str">
        <f t="shared" si="0"/>
        <v/>
      </c>
      <c r="H38" s="349">
        <f>'TYL FGD'!$T$60</f>
        <v>61622088</v>
      </c>
      <c r="I38" s="347">
        <f>'TYL FGD'!$U$60</f>
        <v>461777</v>
      </c>
      <c r="J38" s="350">
        <f>'TYL FGD'!$V$60</f>
        <v>0</v>
      </c>
      <c r="K38" s="347">
        <f>'TYL FGD'!$W$60</f>
        <v>0</v>
      </c>
      <c r="L38" s="351">
        <f>'TYL FGD'!$X$60</f>
        <v>62083865</v>
      </c>
      <c r="M38" s="605" t="str">
        <f t="shared" si="1"/>
        <v/>
      </c>
    </row>
    <row r="39" spans="1:13" ht="25.5" hidden="1" outlineLevel="1">
      <c r="B39" s="395" t="str">
        <f>'UH1 Sum'!$A$1</f>
        <v>University of Houston - Academic &amp; Health (A+H)</v>
      </c>
      <c r="C39" s="346">
        <f>'UH1 FGD'!$O$60</f>
        <v>255068753</v>
      </c>
      <c r="D39" s="347">
        <f>'UH1 FGD'!$P$60</f>
        <v>143828</v>
      </c>
      <c r="E39" s="455"/>
      <c r="F39" s="348">
        <f>'UH1 FGD'!$R$60</f>
        <v>255212581</v>
      </c>
      <c r="G39" s="603" t="str">
        <f t="shared" si="0"/>
        <v/>
      </c>
      <c r="H39" s="349">
        <f>'UH1 FGD'!$T$60</f>
        <v>255068753</v>
      </c>
      <c r="I39" s="347">
        <f>'UH1 FGD'!$U$60</f>
        <v>143828</v>
      </c>
      <c r="J39" s="350">
        <f>'UH1 FGD'!$V$60</f>
        <v>0</v>
      </c>
      <c r="K39" s="347">
        <f>'UH1 FGD'!$W$60</f>
        <v>0</v>
      </c>
      <c r="L39" s="351">
        <f>'UH1 FGD'!$X$60</f>
        <v>255212581</v>
      </c>
      <c r="M39" s="605" t="str">
        <f t="shared" si="1"/>
        <v/>
      </c>
    </row>
    <row r="40" spans="1:13" hidden="1" outlineLevel="1">
      <c r="B40" s="395" t="str">
        <f>'UHCL Sum'!$A$1</f>
        <v>University of Houston - Clear Lake</v>
      </c>
      <c r="C40" s="346">
        <f>'UHCL FGD'!$O$60</f>
        <v>43137652</v>
      </c>
      <c r="D40" s="347">
        <f>'UHCL FGD'!$P$60</f>
        <v>0</v>
      </c>
      <c r="E40" s="455"/>
      <c r="F40" s="348">
        <f>'UHCL FGD'!$R$60</f>
        <v>43137652</v>
      </c>
      <c r="G40" s="603" t="str">
        <f t="shared" si="0"/>
        <v/>
      </c>
      <c r="H40" s="349">
        <f>'UHCL FGD'!$T$60</f>
        <v>43137652</v>
      </c>
      <c r="I40" s="347">
        <f>'UHCL FGD'!$U$60</f>
        <v>0</v>
      </c>
      <c r="J40" s="350">
        <f>'UHCL FGD'!$V$60</f>
        <v>0</v>
      </c>
      <c r="K40" s="347">
        <f>'UHCL FGD'!$W$60</f>
        <v>0</v>
      </c>
      <c r="L40" s="351">
        <f>'UHCL FGD'!$X$60</f>
        <v>43137652</v>
      </c>
      <c r="M40" s="605" t="str">
        <f t="shared" si="1"/>
        <v/>
      </c>
    </row>
    <row r="41" spans="1:13" hidden="1" outlineLevel="1">
      <c r="B41" s="395" t="str">
        <f>'UHD Sum'!$A$1</f>
        <v>University of Houston - Downtown</v>
      </c>
      <c r="C41" s="346">
        <f>'UHD FGD'!$O$60</f>
        <v>50902870</v>
      </c>
      <c r="D41" s="347">
        <f>'UHD FGD'!$P$60</f>
        <v>69282</v>
      </c>
      <c r="E41" s="455"/>
      <c r="F41" s="348">
        <f>'UHD FGD'!$R$60</f>
        <v>50972152</v>
      </c>
      <c r="G41" s="603" t="str">
        <f t="shared" si="0"/>
        <v/>
      </c>
      <c r="H41" s="349">
        <f>'UHD FGD'!$T$60</f>
        <v>50902870</v>
      </c>
      <c r="I41" s="347">
        <f>'UHD FGD'!$U$60</f>
        <v>69282</v>
      </c>
      <c r="J41" s="350">
        <f>'UHD FGD'!$V$60</f>
        <v>0</v>
      </c>
      <c r="K41" s="347">
        <f>'UHD FGD'!$W$60</f>
        <v>0</v>
      </c>
      <c r="L41" s="351">
        <f>'UHD FGD'!$X$60</f>
        <v>50972152</v>
      </c>
      <c r="M41" s="605" t="str">
        <f t="shared" si="1"/>
        <v/>
      </c>
    </row>
    <row r="42" spans="1:13" hidden="1" outlineLevel="1">
      <c r="B42" s="395" t="str">
        <f>'UHV Sum'!$A$1</f>
        <v>University of Houston - Victoria</v>
      </c>
      <c r="C42" s="346">
        <f>'UHV FGD'!$O$60</f>
        <v>20599553</v>
      </c>
      <c r="D42" s="347">
        <f>'UHV FGD'!$P$60</f>
        <v>282203</v>
      </c>
      <c r="E42" s="455"/>
      <c r="F42" s="348">
        <f>'UHV FGD'!$R$60</f>
        <v>20881756</v>
      </c>
      <c r="G42" s="603" t="str">
        <f t="shared" si="0"/>
        <v/>
      </c>
      <c r="H42" s="349">
        <f>'UHV FGD'!$T$60</f>
        <v>20599553</v>
      </c>
      <c r="I42" s="347">
        <f>'UHV FGD'!$U$60</f>
        <v>282203</v>
      </c>
      <c r="J42" s="350">
        <f>'UHV FGD'!$V$60</f>
        <v>0</v>
      </c>
      <c r="K42" s="347">
        <f>'UHV FGD'!$W$60</f>
        <v>0</v>
      </c>
      <c r="L42" s="351">
        <f>'UHV FGD'!$X$60</f>
        <v>20881756</v>
      </c>
      <c r="M42" s="605" t="str">
        <f t="shared" si="1"/>
        <v/>
      </c>
    </row>
    <row r="43" spans="1:13" hidden="1" outlineLevel="1">
      <c r="B43" s="395" t="str">
        <f>'UNT Sum'!$A$1</f>
        <v>University of North Texas</v>
      </c>
      <c r="C43" s="346">
        <f>'UNT FGD'!$O$60</f>
        <v>174635353</v>
      </c>
      <c r="D43" s="347">
        <f>'UNT FGD'!$P$60</f>
        <v>6370849</v>
      </c>
      <c r="E43" s="455"/>
      <c r="F43" s="348">
        <f>'UNT FGD'!$R$60</f>
        <v>181006202</v>
      </c>
      <c r="G43" s="603" t="str">
        <f t="shared" si="0"/>
        <v/>
      </c>
      <c r="H43" s="349">
        <f>'UNT FGD'!$T$60</f>
        <v>174635353</v>
      </c>
      <c r="I43" s="347">
        <f>'UNT FGD'!$U$60</f>
        <v>6370849</v>
      </c>
      <c r="J43" s="350">
        <f>'UNT FGD'!$V$60</f>
        <v>0</v>
      </c>
      <c r="K43" s="347">
        <f>'UNT FGD'!$W$60</f>
        <v>0</v>
      </c>
      <c r="L43" s="351">
        <f>'UNT FGD'!$X$60</f>
        <v>181006202</v>
      </c>
      <c r="M43" s="605" t="str">
        <f t="shared" si="1"/>
        <v/>
      </c>
    </row>
    <row r="44" spans="1:13" hidden="1" outlineLevel="1">
      <c r="B44" s="395" t="str">
        <f>'UNTD Sum'!$A$1</f>
        <v>University of North Texas at Dallas</v>
      </c>
      <c r="C44" s="346">
        <f>'UNTD FGD'!$O$60</f>
        <v>18068894</v>
      </c>
      <c r="D44" s="347">
        <f>'UNTD FGD'!$P$60</f>
        <v>0</v>
      </c>
      <c r="E44" s="455"/>
      <c r="F44" s="348">
        <f>'UNTD FGD'!$R$60</f>
        <v>18068894</v>
      </c>
      <c r="G44" s="603" t="str">
        <f t="shared" si="0"/>
        <v/>
      </c>
      <c r="H44" s="349">
        <f>'UNTD FGD'!$T$60</f>
        <v>18068894</v>
      </c>
      <c r="I44" s="347">
        <f>'UNTD FGD'!$U$60</f>
        <v>0</v>
      </c>
      <c r="J44" s="350">
        <f>'UNTD FGD'!$V$60</f>
        <v>0</v>
      </c>
      <c r="K44" s="347">
        <f>'UNTD FGD'!$W$60</f>
        <v>0</v>
      </c>
      <c r="L44" s="351">
        <f>'UNTD FGD'!$X$60</f>
        <v>18068894</v>
      </c>
      <c r="M44" s="605" t="str">
        <f t="shared" si="1"/>
        <v/>
      </c>
    </row>
    <row r="45" spans="1:13" hidden="1" outlineLevel="1">
      <c r="B45" s="395" t="str">
        <f>'WTAMU Sum'!$A$1</f>
        <v>West Texas A&amp;M University</v>
      </c>
      <c r="C45" s="346">
        <f>'WTAMU FGD'!$O$60</f>
        <v>42446932</v>
      </c>
      <c r="D45" s="347">
        <f>'WTAMU FGD'!$P$60</f>
        <v>287358</v>
      </c>
      <c r="E45" s="455"/>
      <c r="F45" s="348">
        <f>'WTAMU FGD'!$R$60</f>
        <v>42734290</v>
      </c>
      <c r="G45" s="603" t="str">
        <f t="shared" si="0"/>
        <v/>
      </c>
      <c r="H45" s="349">
        <f>'WTAMU FGD'!$T$60</f>
        <v>42446932</v>
      </c>
      <c r="I45" s="347">
        <f>'WTAMU FGD'!$U$60</f>
        <v>287358</v>
      </c>
      <c r="J45" s="350">
        <f>'WTAMU FGD'!$V$60</f>
        <v>0</v>
      </c>
      <c r="K45" s="347">
        <f>'WTAMU FGD'!$W$60</f>
        <v>0</v>
      </c>
      <c r="L45" s="351">
        <f>'WTAMU FGD'!$X$60</f>
        <v>42734290</v>
      </c>
      <c r="M45" s="605" t="str">
        <f t="shared" si="1"/>
        <v/>
      </c>
    </row>
    <row r="46" spans="1:13" ht="13.5" collapsed="1" thickBot="1">
      <c r="A46">
        <f>COUNTA(B10:B45)</f>
        <v>36</v>
      </c>
      <c r="B46" s="160" t="s">
        <v>14</v>
      </c>
      <c r="C46" s="282">
        <f>SUM(C10:C45)</f>
        <v>4037405642</v>
      </c>
      <c r="D46" s="592">
        <f>SUM(D10:D45)</f>
        <v>24015123</v>
      </c>
      <c r="E46" s="599"/>
      <c r="F46" s="594">
        <f>SUM(F10:F45)</f>
        <v>4061420765</v>
      </c>
      <c r="G46" s="603" t="str">
        <f t="shared" si="0"/>
        <v/>
      </c>
      <c r="H46" s="286">
        <f>SUM(H10:H45)</f>
        <v>4037405642</v>
      </c>
      <c r="I46" s="287">
        <f>SUM(I10:I45)</f>
        <v>24015123</v>
      </c>
      <c r="J46" s="288">
        <f>SUM(J10:J45)</f>
        <v>768645</v>
      </c>
      <c r="K46" s="289">
        <f>SUM(K10:K45)</f>
        <v>1501173</v>
      </c>
      <c r="L46" s="290">
        <f>SUM(L10:L45)</f>
        <v>4059150947</v>
      </c>
      <c r="M46" s="605" t="str">
        <f t="shared" si="1"/>
        <v/>
      </c>
    </row>
    <row r="47" spans="1:13" hidden="1" outlineLevel="1">
      <c r="B47" s="395" t="str">
        <f>'ARL Sum'!$A$1</f>
        <v>The University of Texas at Arlington</v>
      </c>
      <c r="C47" s="440">
        <f>'ARL FGD'!$O$61</f>
        <v>103398965</v>
      </c>
      <c r="D47" s="443">
        <f>'ARL FGD'!$P$61</f>
        <v>2257334</v>
      </c>
      <c r="E47" s="600"/>
      <c r="F47" s="595">
        <f>'ARL FGD'!$R$61</f>
        <v>105656299</v>
      </c>
      <c r="G47" s="603" t="str">
        <f t="shared" si="0"/>
        <v/>
      </c>
      <c r="H47" s="296">
        <f>'ARL FGD'!$T$61</f>
        <v>103398965</v>
      </c>
      <c r="I47" s="297">
        <f>'ARL FGD'!$U$61</f>
        <v>2257334</v>
      </c>
      <c r="J47" s="298">
        <f>'ARL FGD'!$V$61</f>
        <v>2595007</v>
      </c>
      <c r="K47" s="299">
        <f>'ARL FGD'!$W$61</f>
        <v>97242</v>
      </c>
      <c r="L47" s="461">
        <f>'ARL FGD'!$X$61</f>
        <v>102964050</v>
      </c>
      <c r="M47" s="605" t="str">
        <f t="shared" si="1"/>
        <v/>
      </c>
    </row>
    <row r="48" spans="1:13" hidden="1" outlineLevel="1">
      <c r="B48" s="395" t="str">
        <f>'ASU Sum'!$A$1</f>
        <v>Angelo State University</v>
      </c>
      <c r="C48" s="440">
        <f>'ASU FGD'!$O$61</f>
        <v>902658</v>
      </c>
      <c r="D48" s="443">
        <f>'ASU FGD'!$P$61</f>
        <v>0</v>
      </c>
      <c r="E48" s="600"/>
      <c r="F48" s="595">
        <f>'ASU FGD'!$R$61</f>
        <v>902658</v>
      </c>
      <c r="G48" s="603" t="str">
        <f t="shared" si="0"/>
        <v/>
      </c>
      <c r="H48" s="296">
        <f>'ASU FGD'!$T$61</f>
        <v>902658</v>
      </c>
      <c r="I48" s="297">
        <f>'ASU FGD'!$U$61</f>
        <v>0</v>
      </c>
      <c r="J48" s="298">
        <f>'ASU FGD'!$V$61</f>
        <v>0</v>
      </c>
      <c r="K48" s="299">
        <f>'ASU FGD'!$W$61</f>
        <v>0</v>
      </c>
      <c r="L48" s="461">
        <f>'ASU FGD'!$X$61</f>
        <v>902658</v>
      </c>
      <c r="M48" s="605" t="str">
        <f t="shared" si="1"/>
        <v/>
      </c>
    </row>
    <row r="49" spans="2:13" ht="25.5" hidden="1" outlineLevel="1">
      <c r="B49" s="395" t="str">
        <f>'AUS1 Sum'!$A$1</f>
        <v>The University of Texas at Austin - Academic &amp; Health (A+H)</v>
      </c>
      <c r="C49" s="440">
        <f>'AUS1 FGD'!$O$61</f>
        <v>523576229</v>
      </c>
      <c r="D49" s="443">
        <f>'AUS1 FGD'!$P$61</f>
        <v>49905370</v>
      </c>
      <c r="E49" s="600"/>
      <c r="F49" s="595">
        <f>'AUS1 FGD'!$R$61</f>
        <v>573481599</v>
      </c>
      <c r="G49" s="603" t="str">
        <f t="shared" si="0"/>
        <v/>
      </c>
      <c r="H49" s="296">
        <f>'AUS1 FGD'!$T$61</f>
        <v>523576229</v>
      </c>
      <c r="I49" s="297">
        <f>'AUS1 FGD'!$U$61</f>
        <v>49905370</v>
      </c>
      <c r="J49" s="298">
        <f>'AUS1 FGD'!$V$61</f>
        <v>-841172</v>
      </c>
      <c r="K49" s="299">
        <f>'AUS1 FGD'!$W$61</f>
        <v>567301</v>
      </c>
      <c r="L49" s="461">
        <f>'AUS1 FGD'!$X$61</f>
        <v>573755470</v>
      </c>
      <c r="M49" s="605" t="str">
        <f t="shared" si="1"/>
        <v/>
      </c>
    </row>
    <row r="50" spans="2:13" ht="25.5" hidden="1" outlineLevel="1">
      <c r="B50" s="395" t="str">
        <f>'RGV1 Sum'!$A$1</f>
        <v>The University of Texas RGV - Academic &amp; Health (A+H)</v>
      </c>
      <c r="C50" s="440">
        <f>'RGV1 FGD'!$O$61</f>
        <v>28259210</v>
      </c>
      <c r="D50" s="443">
        <f>'RGV1 FGD'!$P$61</f>
        <v>1709860</v>
      </c>
      <c r="E50" s="600"/>
      <c r="F50" s="595">
        <f>'RGV1 FGD'!$R$61</f>
        <v>29969070</v>
      </c>
      <c r="G50" s="603" t="str">
        <f t="shared" ref="G50" si="3">IF(SUM(C50:D50)-E50&lt;&gt;F50,"Error","")</f>
        <v/>
      </c>
      <c r="H50" s="296">
        <f>'RGV1 FGD'!$T$61</f>
        <v>28259210</v>
      </c>
      <c r="I50" s="297">
        <f>'RGV1 FGD'!$U$61</f>
        <v>1709860</v>
      </c>
      <c r="J50" s="298">
        <f>'RGV1 FGD'!$V$61</f>
        <v>598618</v>
      </c>
      <c r="K50" s="299">
        <f>'RGV1 FGD'!$W$61</f>
        <v>0</v>
      </c>
      <c r="L50" s="461">
        <f>'RGV1 FGD'!$X$61</f>
        <v>29370452</v>
      </c>
      <c r="M50" s="605" t="str">
        <f t="shared" si="1"/>
        <v/>
      </c>
    </row>
    <row r="51" spans="2:13" hidden="1" outlineLevel="1">
      <c r="B51" s="395" t="str">
        <f>'DAL Sum'!$A$1</f>
        <v>The University of Texas at Dallas</v>
      </c>
      <c r="C51" s="440">
        <f>'DAL FGD'!$O$61</f>
        <v>98702141</v>
      </c>
      <c r="D51" s="443">
        <f>'DAL FGD'!$P$61</f>
        <v>6214498</v>
      </c>
      <c r="E51" s="600"/>
      <c r="F51" s="595">
        <f>'DAL FGD'!$R$61</f>
        <v>104916639</v>
      </c>
      <c r="G51" s="603" t="str">
        <f t="shared" si="0"/>
        <v/>
      </c>
      <c r="H51" s="296">
        <f>'DAL FGD'!$T$61</f>
        <v>98702141</v>
      </c>
      <c r="I51" s="297">
        <f>'DAL FGD'!$U$61</f>
        <v>6214498</v>
      </c>
      <c r="J51" s="298">
        <f>'DAL FGD'!$V$61</f>
        <v>1410653</v>
      </c>
      <c r="K51" s="299">
        <f>'DAL FGD'!$W$61</f>
        <v>416362</v>
      </c>
      <c r="L51" s="461">
        <f>'DAL FGD'!$X$61</f>
        <v>103089624</v>
      </c>
      <c r="M51" s="605" t="str">
        <f t="shared" si="1"/>
        <v/>
      </c>
    </row>
    <row r="52" spans="2:13" hidden="1" outlineLevel="1">
      <c r="B52" s="395" t="str">
        <f>'E-P Sum'!$A$1</f>
        <v>The University of Texas at El Paso</v>
      </c>
      <c r="C52" s="440">
        <f>'E-P FGD'!$O$61</f>
        <v>89423609</v>
      </c>
      <c r="D52" s="443">
        <f>'E-P FGD'!$P$61</f>
        <v>7679334</v>
      </c>
      <c r="E52" s="600"/>
      <c r="F52" s="595">
        <f>'E-P FGD'!$R$61</f>
        <v>97102943</v>
      </c>
      <c r="G52" s="603" t="str">
        <f t="shared" si="0"/>
        <v/>
      </c>
      <c r="H52" s="296">
        <f>'E-P FGD'!$T$61</f>
        <v>89423609</v>
      </c>
      <c r="I52" s="297">
        <f>'E-P FGD'!$U$61</f>
        <v>7679334</v>
      </c>
      <c r="J52" s="298">
        <f>'E-P FGD'!$V$61</f>
        <v>402773</v>
      </c>
      <c r="K52" s="299">
        <f>'E-P FGD'!$W$61</f>
        <v>0</v>
      </c>
      <c r="L52" s="461">
        <f>'E-P FGD'!$X$61</f>
        <v>96700170</v>
      </c>
      <c r="M52" s="605" t="str">
        <f t="shared" si="1"/>
        <v/>
      </c>
    </row>
    <row r="53" spans="2:13" hidden="1" outlineLevel="1">
      <c r="B53" s="395" t="str">
        <f>'LU Sum'!$A$1</f>
        <v xml:space="preserve">Lamar University </v>
      </c>
      <c r="C53" s="440">
        <f>'LU FGD'!$O$61</f>
        <v>4843833</v>
      </c>
      <c r="D53" s="443">
        <f>'LU FGD'!$P$61</f>
        <v>124959</v>
      </c>
      <c r="E53" s="600"/>
      <c r="F53" s="595">
        <f>'LU FGD'!$R$61</f>
        <v>4968792</v>
      </c>
      <c r="G53" s="603" t="str">
        <f t="shared" si="0"/>
        <v/>
      </c>
      <c r="H53" s="296">
        <f>'LU FGD'!$T$61</f>
        <v>4843833</v>
      </c>
      <c r="I53" s="297">
        <f>'LU FGD'!$U$61</f>
        <v>124959</v>
      </c>
      <c r="J53" s="298">
        <f>'LU FGD'!$V$61</f>
        <v>0</v>
      </c>
      <c r="K53" s="299">
        <f>'LU FGD'!$W$61</f>
        <v>148672</v>
      </c>
      <c r="L53" s="461">
        <f>'LU FGD'!$X$61</f>
        <v>4820120</v>
      </c>
      <c r="M53" s="605" t="str">
        <f t="shared" si="1"/>
        <v/>
      </c>
    </row>
    <row r="54" spans="2:13" hidden="1" outlineLevel="1">
      <c r="B54" s="395" t="str">
        <f>'MidWST Sum'!$A$1</f>
        <v>Midwestern State University</v>
      </c>
      <c r="C54" s="440">
        <f>'MidWST FGD'!$O$61</f>
        <v>882163</v>
      </c>
      <c r="D54" s="443">
        <f>'MidWST FGD'!$P$61</f>
        <v>27509</v>
      </c>
      <c r="E54" s="600"/>
      <c r="F54" s="595">
        <f>'MidWST FGD'!$R$61</f>
        <v>909672</v>
      </c>
      <c r="G54" s="603" t="str">
        <f t="shared" si="0"/>
        <v/>
      </c>
      <c r="H54" s="296">
        <f>'MidWST FGD'!$T$61</f>
        <v>882163</v>
      </c>
      <c r="I54" s="297">
        <f>'MidWST FGD'!$U$61</f>
        <v>27509</v>
      </c>
      <c r="J54" s="298">
        <f>'MidWST FGD'!$V$61</f>
        <v>0</v>
      </c>
      <c r="K54" s="299">
        <f>'MidWST FGD'!$W$61</f>
        <v>0</v>
      </c>
      <c r="L54" s="461">
        <f>'MidWST FGD'!$X$61</f>
        <v>909672</v>
      </c>
      <c r="M54" s="605" t="str">
        <f t="shared" si="1"/>
        <v/>
      </c>
    </row>
    <row r="55" spans="2:13" ht="27.75" hidden="1" customHeight="1" outlineLevel="1">
      <c r="B55" s="395" t="str">
        <f>'P-B Sum'!$A$1</f>
        <v>The University of Texas of the Permian Basin</v>
      </c>
      <c r="C55" s="440">
        <f>'P-B FGD'!$O$61</f>
        <v>2962585</v>
      </c>
      <c r="D55" s="443">
        <f>'P-B FGD'!$P$61</f>
        <v>141794</v>
      </c>
      <c r="E55" s="600"/>
      <c r="F55" s="595">
        <f>'P-B FGD'!$R$61</f>
        <v>3104379</v>
      </c>
      <c r="G55" s="603" t="str">
        <f t="shared" si="0"/>
        <v/>
      </c>
      <c r="H55" s="296">
        <f>'P-B FGD'!$T$61</f>
        <v>2962585</v>
      </c>
      <c r="I55" s="297">
        <f>'P-B FGD'!$U$61</f>
        <v>141794</v>
      </c>
      <c r="J55" s="298">
        <f>'P-B FGD'!$V$61</f>
        <v>0</v>
      </c>
      <c r="K55" s="299">
        <f>'P-B FGD'!$W$61</f>
        <v>0</v>
      </c>
      <c r="L55" s="461">
        <f>'P-B FGD'!$X$61</f>
        <v>3104379</v>
      </c>
      <c r="M55" s="605" t="str">
        <f t="shared" si="1"/>
        <v/>
      </c>
    </row>
    <row r="56" spans="2:13" hidden="1" outlineLevel="1">
      <c r="B56" s="395" t="str">
        <f>'PVAMU Sum'!$A$1</f>
        <v>Prairie View A&amp;M University</v>
      </c>
      <c r="C56" s="440">
        <f>'PVAMU FGD'!$O$61</f>
        <v>17548382</v>
      </c>
      <c r="D56" s="443">
        <f>'PVAMU FGD'!$P$61</f>
        <v>445200</v>
      </c>
      <c r="E56" s="600"/>
      <c r="F56" s="595">
        <f>'PVAMU FGD'!$R$61</f>
        <v>17993582</v>
      </c>
      <c r="G56" s="603" t="str">
        <f t="shared" si="0"/>
        <v/>
      </c>
      <c r="H56" s="296">
        <f>'PVAMU FGD'!$T$61</f>
        <v>17548382</v>
      </c>
      <c r="I56" s="297">
        <f>'PVAMU FGD'!$U$61</f>
        <v>445200</v>
      </c>
      <c r="J56" s="298">
        <f>'PVAMU FGD'!$V$61</f>
        <v>117737</v>
      </c>
      <c r="K56" s="299">
        <f>'PVAMU FGD'!$W$61</f>
        <v>0</v>
      </c>
      <c r="L56" s="461">
        <f>'PVAMU FGD'!$X$61</f>
        <v>17875845</v>
      </c>
      <c r="M56" s="605" t="str">
        <f t="shared" si="1"/>
        <v/>
      </c>
    </row>
    <row r="57" spans="2:13" hidden="1" outlineLevel="1">
      <c r="B57" s="395" t="str">
        <f>'S-A Sum'!$A$1</f>
        <v>The University of Texas at San Antonio</v>
      </c>
      <c r="C57" s="440">
        <f>'S-A FGD'!$O$61</f>
        <v>108189847</v>
      </c>
      <c r="D57" s="443">
        <f>'S-A FGD'!$P$61</f>
        <v>21994540</v>
      </c>
      <c r="E57" s="600"/>
      <c r="F57" s="595">
        <f>'S-A FGD'!$R$61</f>
        <v>130184387</v>
      </c>
      <c r="G57" s="603" t="str">
        <f t="shared" si="0"/>
        <v/>
      </c>
      <c r="H57" s="296">
        <f>'S-A FGD'!$T$61</f>
        <v>108189847</v>
      </c>
      <c r="I57" s="297">
        <f>'S-A FGD'!$U$61</f>
        <v>21994540</v>
      </c>
      <c r="J57" s="298">
        <f>'S-A FGD'!$V$61</f>
        <v>868075</v>
      </c>
      <c r="K57" s="299">
        <f>'S-A FGD'!$W$61</f>
        <v>358247</v>
      </c>
      <c r="L57" s="461">
        <f>'S-A FGD'!$X$61</f>
        <v>128958065</v>
      </c>
      <c r="M57" s="605" t="str">
        <f t="shared" si="1"/>
        <v/>
      </c>
    </row>
    <row r="58" spans="2:13" hidden="1" outlineLevel="1">
      <c r="B58" s="395" t="str">
        <f>'SFA Sum'!$A$1</f>
        <v>Stephen F. Austin State University</v>
      </c>
      <c r="C58" s="440">
        <f>'SFA FGD'!$O$61</f>
        <v>3688401</v>
      </c>
      <c r="D58" s="443">
        <f>'SFA FGD'!$P$61</f>
        <v>147141</v>
      </c>
      <c r="E58" s="600"/>
      <c r="F58" s="595">
        <f>'SFA FGD'!$R$61</f>
        <v>3835542</v>
      </c>
      <c r="G58" s="603" t="str">
        <f t="shared" si="0"/>
        <v/>
      </c>
      <c r="H58" s="296">
        <f>'SFA FGD'!$T$61</f>
        <v>3688401</v>
      </c>
      <c r="I58" s="297">
        <f>'SFA FGD'!$U$61</f>
        <v>147141</v>
      </c>
      <c r="J58" s="298">
        <f>'SFA FGD'!$V$61</f>
        <v>0</v>
      </c>
      <c r="K58" s="299">
        <f>'SFA FGD'!$W$61</f>
        <v>0</v>
      </c>
      <c r="L58" s="461">
        <f>'SFA FGD'!$X$61</f>
        <v>3835542</v>
      </c>
      <c r="M58" s="605" t="str">
        <f t="shared" si="1"/>
        <v/>
      </c>
    </row>
    <row r="59" spans="2:13" ht="25.5" hidden="1" outlineLevel="1">
      <c r="B59" s="395" t="str">
        <f>'shsu1 Sum'!$A$1</f>
        <v>Sam Houston State University - Academic &amp; Health (A+H)</v>
      </c>
      <c r="C59" s="440">
        <f>'shsu1 FGD'!$O$61</f>
        <v>10416913</v>
      </c>
      <c r="D59" s="443">
        <f>'shsu1 FGD'!$P$61</f>
        <v>351901</v>
      </c>
      <c r="E59" s="600"/>
      <c r="F59" s="595">
        <f>'shsu1 FGD'!$R$61</f>
        <v>10768814</v>
      </c>
      <c r="G59" s="603" t="str">
        <f t="shared" si="0"/>
        <v/>
      </c>
      <c r="H59" s="296">
        <f>'shsu1 FGD'!$T$61</f>
        <v>10416913</v>
      </c>
      <c r="I59" s="297">
        <f>'shsu1 FGD'!$U$61</f>
        <v>351901</v>
      </c>
      <c r="J59" s="298">
        <f>'shsu1 FGD'!$V$61</f>
        <v>0</v>
      </c>
      <c r="K59" s="299">
        <f>'shsu1 FGD'!$W$61</f>
        <v>0</v>
      </c>
      <c r="L59" s="461">
        <f>'shsu1 FGD'!$X$61</f>
        <v>10768814</v>
      </c>
      <c r="M59" s="605" t="str">
        <f t="shared" si="1"/>
        <v/>
      </c>
    </row>
    <row r="60" spans="2:13" hidden="1" outlineLevel="1">
      <c r="B60" s="395" t="str">
        <f>'SRSU Sum'!$A$1</f>
        <v>Sul Ross State University</v>
      </c>
      <c r="C60" s="440">
        <f>'SRSU FGD'!$O$61</f>
        <v>1775780</v>
      </c>
      <c r="D60" s="443">
        <f>'SRSU FGD'!$P$61</f>
        <v>0</v>
      </c>
      <c r="E60" s="600"/>
      <c r="F60" s="595">
        <f>'SRSU FGD'!$R$61</f>
        <v>1775780</v>
      </c>
      <c r="G60" s="603" t="str">
        <f t="shared" si="0"/>
        <v/>
      </c>
      <c r="H60" s="296">
        <f>'SRSU FGD'!$T$61</f>
        <v>1775780</v>
      </c>
      <c r="I60" s="297">
        <f>'SRSU FGD'!$U$61</f>
        <v>0</v>
      </c>
      <c r="J60" s="298">
        <f>'SRSU FGD'!$V$61</f>
        <v>0</v>
      </c>
      <c r="K60" s="299">
        <f>'SRSU FGD'!$W$61</f>
        <v>0</v>
      </c>
      <c r="L60" s="461">
        <f>'SRSU FGD'!$X$61</f>
        <v>1775780</v>
      </c>
      <c r="M60" s="605" t="str">
        <f t="shared" si="1"/>
        <v/>
      </c>
    </row>
    <row r="61" spans="2:13" hidden="1" outlineLevel="1">
      <c r="B61" s="395" t="str">
        <f>'TAMIU Sum'!$A$1</f>
        <v>Texas A&amp;M International University</v>
      </c>
      <c r="C61" s="440">
        <f>'TAMIU FGD'!$O$61</f>
        <v>2825306</v>
      </c>
      <c r="D61" s="443">
        <f>'TAMIU FGD'!$P$61</f>
        <v>246632</v>
      </c>
      <c r="E61" s="600"/>
      <c r="F61" s="595">
        <f>'TAMIU FGD'!$R$61</f>
        <v>3071938</v>
      </c>
      <c r="G61" s="603" t="str">
        <f t="shared" si="0"/>
        <v/>
      </c>
      <c r="H61" s="296">
        <f>'TAMIU FGD'!$T$61</f>
        <v>2825306</v>
      </c>
      <c r="I61" s="297">
        <f>'TAMIU FGD'!$U$61</f>
        <v>246632</v>
      </c>
      <c r="J61" s="298">
        <f>'TAMIU FGD'!$V$61</f>
        <v>0</v>
      </c>
      <c r="K61" s="299">
        <f>'TAMIU FGD'!$W$61</f>
        <v>0</v>
      </c>
      <c r="L61" s="461">
        <f>'TAMIU FGD'!$X$61</f>
        <v>3071938</v>
      </c>
      <c r="M61" s="605" t="str">
        <f t="shared" si="1"/>
        <v/>
      </c>
    </row>
    <row r="62" spans="2:13" hidden="1" outlineLevel="1">
      <c r="B62" s="395" t="str">
        <f>'TAMU Sum'!$A$1</f>
        <v>Texas A&amp;M University</v>
      </c>
      <c r="C62" s="440">
        <f>'TAMU FGD'!$O$61</f>
        <v>224855845</v>
      </c>
      <c r="D62" s="443">
        <f>'TAMU FGD'!$P$61</f>
        <v>26255133</v>
      </c>
      <c r="E62" s="600"/>
      <c r="F62" s="595">
        <f>'TAMU FGD'!$R$61</f>
        <v>251110978</v>
      </c>
      <c r="G62" s="603" t="str">
        <f t="shared" si="0"/>
        <v/>
      </c>
      <c r="H62" s="296">
        <f>'TAMU FGD'!$T$61</f>
        <v>224793512</v>
      </c>
      <c r="I62" s="297">
        <f>'TAMU FGD'!$U$61</f>
        <v>26255133</v>
      </c>
      <c r="J62" s="298">
        <f>'TAMU FGD'!$V$61</f>
        <v>4067466</v>
      </c>
      <c r="K62" s="299">
        <f>'TAMU FGD'!$W$61</f>
        <v>0</v>
      </c>
      <c r="L62" s="461">
        <f>'TAMU FGD'!$X$61</f>
        <v>246981179</v>
      </c>
      <c r="M62" s="605" t="str">
        <f t="shared" si="1"/>
        <v/>
      </c>
    </row>
    <row r="63" spans="2:13" hidden="1" outlineLevel="1">
      <c r="B63" s="395" t="str">
        <f>'TAMUC Sum'!$A$1</f>
        <v>Texas A&amp;M University - Commerce</v>
      </c>
      <c r="C63" s="440">
        <f>'TAMUC FGD'!$O$61</f>
        <v>3052205</v>
      </c>
      <c r="D63" s="443">
        <f>'TAMUC FGD'!$P$61</f>
        <v>30281</v>
      </c>
      <c r="E63" s="600"/>
      <c r="F63" s="595">
        <f>'TAMUC FGD'!$R$61</f>
        <v>3082486</v>
      </c>
      <c r="G63" s="603" t="str">
        <f t="shared" si="0"/>
        <v/>
      </c>
      <c r="H63" s="296">
        <f>'TAMUC FGD'!$T$61</f>
        <v>3051001</v>
      </c>
      <c r="I63" s="297">
        <f>'TAMUC FGD'!$U$61</f>
        <v>30281</v>
      </c>
      <c r="J63" s="298">
        <f>'TAMUC FGD'!$V$61</f>
        <v>55691</v>
      </c>
      <c r="K63" s="299">
        <f>'TAMUC FGD'!$W$61</f>
        <v>0</v>
      </c>
      <c r="L63" s="461">
        <f>'TAMUC FGD'!$X$61</f>
        <v>3025591</v>
      </c>
      <c r="M63" s="605" t="str">
        <f t="shared" si="1"/>
        <v/>
      </c>
    </row>
    <row r="64" spans="2:13" hidden="1" outlineLevel="1">
      <c r="B64" s="395" t="str">
        <f>'TAMUCC Sum'!$A$1</f>
        <v>Texas A&amp;M University - Corpus Christi</v>
      </c>
      <c r="C64" s="440">
        <f>'TAMUCC FGD'!$O$61</f>
        <v>25788224</v>
      </c>
      <c r="D64" s="443">
        <f>'TAMUCC FGD'!$P$61</f>
        <v>1139085</v>
      </c>
      <c r="E64" s="600"/>
      <c r="F64" s="595">
        <f>'TAMUCC FGD'!$R$61</f>
        <v>26927309</v>
      </c>
      <c r="G64" s="603" t="str">
        <f t="shared" si="0"/>
        <v/>
      </c>
      <c r="H64" s="296">
        <f>'TAMUCC FGD'!$T$61</f>
        <v>25788224</v>
      </c>
      <c r="I64" s="297">
        <f>'TAMUCC FGD'!$U$61</f>
        <v>1139085</v>
      </c>
      <c r="J64" s="298">
        <f>'TAMUCC FGD'!$V$61</f>
        <v>322680</v>
      </c>
      <c r="K64" s="299">
        <f>'TAMUCC FGD'!$W$61</f>
        <v>0</v>
      </c>
      <c r="L64" s="461">
        <f>'TAMUCC FGD'!$X$61</f>
        <v>26604629</v>
      </c>
      <c r="M64" s="605" t="str">
        <f t="shared" si="1"/>
        <v/>
      </c>
    </row>
    <row r="65" spans="2:13" hidden="1" outlineLevel="1">
      <c r="B65" s="395" t="str">
        <f>'TAMUCT Sum'!$A$1</f>
        <v>Texas A&amp;M University - Central Texas</v>
      </c>
      <c r="C65" s="440">
        <f>'TAMUCT FGD'!$O$61</f>
        <v>1121634</v>
      </c>
      <c r="D65" s="443">
        <f>'TAMUCT FGD'!$P$61</f>
        <v>47460</v>
      </c>
      <c r="E65" s="600"/>
      <c r="F65" s="595">
        <f>'TAMUCT FGD'!$R$61</f>
        <v>1169094</v>
      </c>
      <c r="G65" s="603" t="str">
        <f t="shared" si="0"/>
        <v/>
      </c>
      <c r="H65" s="296">
        <f>'TAMUCT FGD'!$T$61</f>
        <v>1121634</v>
      </c>
      <c r="I65" s="297">
        <f>'TAMUCT FGD'!$U$61</f>
        <v>47460</v>
      </c>
      <c r="J65" s="298">
        <f>'TAMUCT FGD'!$V$61</f>
        <v>256931</v>
      </c>
      <c r="K65" s="299">
        <f>'TAMUCT FGD'!$W$61</f>
        <v>0</v>
      </c>
      <c r="L65" s="461">
        <f>'TAMUCT FGD'!$X$61</f>
        <v>912163</v>
      </c>
      <c r="M65" s="605" t="str">
        <f t="shared" si="1"/>
        <v/>
      </c>
    </row>
    <row r="66" spans="2:13" hidden="1" outlineLevel="1">
      <c r="B66" s="395" t="str">
        <f>'TAMUG Sum'!$A$1</f>
        <v>Texas A&amp;M University at Galveston</v>
      </c>
      <c r="C66" s="440">
        <f>'TAMUG FGD'!$O$61</f>
        <v>6717898</v>
      </c>
      <c r="D66" s="443">
        <f>'TAMUG FGD'!$P$61</f>
        <v>287882</v>
      </c>
      <c r="E66" s="600"/>
      <c r="F66" s="595">
        <f>'TAMUG FGD'!$R$61</f>
        <v>7005780</v>
      </c>
      <c r="G66" s="603" t="str">
        <f t="shared" si="0"/>
        <v/>
      </c>
      <c r="H66" s="296">
        <f>'TAMUG FGD'!$T$61</f>
        <v>6717898</v>
      </c>
      <c r="I66" s="297">
        <f>'TAMUG FGD'!$U$61</f>
        <v>287882</v>
      </c>
      <c r="J66" s="298">
        <f>'TAMUG FGD'!$V$61</f>
        <v>100818</v>
      </c>
      <c r="K66" s="299">
        <f>'TAMUG FGD'!$W$61</f>
        <v>0</v>
      </c>
      <c r="L66" s="461">
        <f>'TAMUG FGD'!$X$61</f>
        <v>6904962</v>
      </c>
      <c r="M66" s="605" t="str">
        <f t="shared" si="1"/>
        <v/>
      </c>
    </row>
    <row r="67" spans="2:13" hidden="1" outlineLevel="1">
      <c r="B67" s="395" t="str">
        <f>'TAMUK Sum'!$A$1</f>
        <v>Texas A&amp;M University - Kingsville</v>
      </c>
      <c r="C67" s="440">
        <f>'TAMUK FGD'!$O$61</f>
        <v>19181940</v>
      </c>
      <c r="D67" s="443">
        <f>'TAMUK FGD'!$P$61</f>
        <v>443778</v>
      </c>
      <c r="E67" s="600"/>
      <c r="F67" s="595">
        <f>'TAMUK FGD'!$R$61</f>
        <v>19625718</v>
      </c>
      <c r="G67" s="603" t="str">
        <f t="shared" si="0"/>
        <v/>
      </c>
      <c r="H67" s="296">
        <f>'TAMUK FGD'!$T$61</f>
        <v>19181940</v>
      </c>
      <c r="I67" s="297">
        <f>'TAMUK FGD'!$U$61</f>
        <v>443778</v>
      </c>
      <c r="J67" s="298">
        <f>'TAMUK FGD'!$V$61</f>
        <v>362210</v>
      </c>
      <c r="K67" s="299">
        <f>'TAMUK FGD'!$W$61</f>
        <v>0</v>
      </c>
      <c r="L67" s="461">
        <f>'TAMUK FGD'!$X$61</f>
        <v>19263508</v>
      </c>
      <c r="M67" s="605" t="str">
        <f t="shared" si="1"/>
        <v/>
      </c>
    </row>
    <row r="68" spans="2:13" hidden="1" outlineLevel="1">
      <c r="B68" s="395" t="str">
        <f>'TAMUSA Sum'!$A$1</f>
        <v>Texas A&amp;M University - San Antonio</v>
      </c>
      <c r="C68" s="440">
        <f>'TAMUSA FGD'!$O$61</f>
        <v>1276831</v>
      </c>
      <c r="D68" s="443">
        <f>'TAMUSA FGD'!$P$61</f>
        <v>28994</v>
      </c>
      <c r="E68" s="600"/>
      <c r="F68" s="595">
        <f>'TAMUSA FGD'!$R$61</f>
        <v>1305825</v>
      </c>
      <c r="G68" s="603" t="str">
        <f t="shared" si="0"/>
        <v/>
      </c>
      <c r="H68" s="296">
        <f>'TAMUSA FGD'!$T$61</f>
        <v>1276831</v>
      </c>
      <c r="I68" s="297">
        <f>'TAMUSA FGD'!$U$61</f>
        <v>28994</v>
      </c>
      <c r="J68" s="298">
        <f>'TAMUSA FGD'!$V$61</f>
        <v>0</v>
      </c>
      <c r="K68" s="299">
        <f>'TAMUSA FGD'!$W$61</f>
        <v>0</v>
      </c>
      <c r="L68" s="461">
        <f>'TAMUSA FGD'!$X$61</f>
        <v>1305825</v>
      </c>
      <c r="M68" s="605" t="str">
        <f t="shared" si="1"/>
        <v/>
      </c>
    </row>
    <row r="69" spans="2:13" hidden="1" outlineLevel="1">
      <c r="B69" s="395" t="str">
        <f>'TAMUT Sum'!$A$1</f>
        <v>Texas A&amp;M University - Texarkana</v>
      </c>
      <c r="C69" s="440">
        <f>'TAMUT FGD'!$O$61</f>
        <v>36898</v>
      </c>
      <c r="D69" s="443">
        <f>'TAMUT FGD'!$P$61</f>
        <v>0</v>
      </c>
      <c r="E69" s="600"/>
      <c r="F69" s="595">
        <f>'TAMUT FGD'!$R$61</f>
        <v>36898</v>
      </c>
      <c r="G69" s="603" t="str">
        <f t="shared" si="0"/>
        <v/>
      </c>
      <c r="H69" s="296">
        <f>'TAMUT FGD'!$T$61</f>
        <v>36898</v>
      </c>
      <c r="I69" s="297">
        <f>'TAMUT FGD'!$U$61</f>
        <v>0</v>
      </c>
      <c r="J69" s="298">
        <f>'TAMUT FGD'!$V$61</f>
        <v>0</v>
      </c>
      <c r="K69" s="299">
        <f>'TAMUT FGD'!$W$61</f>
        <v>0</v>
      </c>
      <c r="L69" s="461">
        <f>'TAMUT FGD'!$X$61</f>
        <v>36898</v>
      </c>
      <c r="M69" s="605" t="str">
        <f t="shared" si="1"/>
        <v/>
      </c>
    </row>
    <row r="70" spans="2:13" hidden="1" outlineLevel="1">
      <c r="B70" s="395" t="str">
        <f>'TARLST Sum'!$A$1</f>
        <v>Tarleton State University</v>
      </c>
      <c r="C70" s="440">
        <f>'TARLST FGD'!$O$61</f>
        <v>15607662</v>
      </c>
      <c r="D70" s="443">
        <f>'TARLST FGD'!$P$61</f>
        <v>202345</v>
      </c>
      <c r="E70" s="600"/>
      <c r="F70" s="595">
        <f>'TARLST FGD'!$R$61</f>
        <v>15810007</v>
      </c>
      <c r="G70" s="603" t="str">
        <f t="shared" si="0"/>
        <v/>
      </c>
      <c r="H70" s="296">
        <f>'TARLST FGD'!$T$61</f>
        <v>15607662</v>
      </c>
      <c r="I70" s="297">
        <f>'TARLST FGD'!$U$61</f>
        <v>202345</v>
      </c>
      <c r="J70" s="298">
        <f>'TARLST FGD'!$V$61</f>
        <v>105137</v>
      </c>
      <c r="K70" s="299">
        <f>'TARLST FGD'!$W$61</f>
        <v>0</v>
      </c>
      <c r="L70" s="461">
        <f>'TARLST FGD'!$X$61</f>
        <v>15704870</v>
      </c>
      <c r="M70" s="605" t="str">
        <f t="shared" si="1"/>
        <v/>
      </c>
    </row>
    <row r="71" spans="2:13" hidden="1" outlineLevel="1">
      <c r="B71" s="395" t="str">
        <f>'TSU Sum'!$A$1</f>
        <v>Texas Southern University</v>
      </c>
      <c r="C71" s="440">
        <f>'TSU FGD'!$O$61</f>
        <v>5210888</v>
      </c>
      <c r="D71" s="443">
        <f>'TSU FGD'!$P$61</f>
        <v>59574</v>
      </c>
      <c r="E71" s="600"/>
      <c r="F71" s="595">
        <f>'TSU FGD'!$R$61</f>
        <v>5270462</v>
      </c>
      <c r="G71" s="603" t="str">
        <f t="shared" si="0"/>
        <v/>
      </c>
      <c r="H71" s="296">
        <f>'TSU FGD'!$T$61</f>
        <v>5210888</v>
      </c>
      <c r="I71" s="297">
        <f>'TSU FGD'!$U$61</f>
        <v>59574</v>
      </c>
      <c r="J71" s="298">
        <f>'TSU FGD'!$V$61</f>
        <v>0</v>
      </c>
      <c r="K71" s="299">
        <f>'TSU FGD'!$W$61</f>
        <v>0</v>
      </c>
      <c r="L71" s="461">
        <f>'TSU FGD'!$X$61</f>
        <v>5270462</v>
      </c>
      <c r="M71" s="605" t="str">
        <f t="shared" si="1"/>
        <v/>
      </c>
    </row>
    <row r="72" spans="2:13" hidden="1" outlineLevel="1">
      <c r="B72" s="395" t="str">
        <f>'TTU Sum'!$A$1</f>
        <v>Texas Tech University</v>
      </c>
      <c r="C72" s="440">
        <f>'TTU FGD'!$O$61</f>
        <v>164250494</v>
      </c>
      <c r="D72" s="443">
        <f>'TTU FGD'!$P$61</f>
        <v>17512321</v>
      </c>
      <c r="E72" s="600"/>
      <c r="F72" s="595">
        <f>'TTU FGD'!$R$61</f>
        <v>181762815</v>
      </c>
      <c r="G72" s="603" t="str">
        <f t="shared" si="0"/>
        <v/>
      </c>
      <c r="H72" s="296">
        <f>'TTU FGD'!$T$61</f>
        <v>164250494</v>
      </c>
      <c r="I72" s="297">
        <f>'TTU FGD'!$U$61</f>
        <v>17512321</v>
      </c>
      <c r="J72" s="298">
        <f>'TTU FGD'!$V$61</f>
        <v>103812</v>
      </c>
      <c r="K72" s="299">
        <f>'TTU FGD'!$W$61</f>
        <v>24004</v>
      </c>
      <c r="L72" s="461">
        <f>'TTU FGD'!$X$61</f>
        <v>181634999</v>
      </c>
      <c r="M72" s="605" t="str">
        <f t="shared" si="1"/>
        <v/>
      </c>
    </row>
    <row r="73" spans="2:13" hidden="1" outlineLevel="1">
      <c r="B73" s="395" t="str">
        <f>'TWU Sum'!$A$1</f>
        <v>Texas Woman's University</v>
      </c>
      <c r="C73" s="440">
        <f>'TWU FGD'!$O$61</f>
        <v>4430225</v>
      </c>
      <c r="D73" s="443">
        <f>'TWU FGD'!$P$61</f>
        <v>28673</v>
      </c>
      <c r="E73" s="600"/>
      <c r="F73" s="595">
        <f>'TWU FGD'!$R$61</f>
        <v>4458898</v>
      </c>
      <c r="G73" s="603" t="str">
        <f t="shared" ref="G73:G134" si="4">IF(SUM(C73:D73)-E73&lt;&gt;F73,"Error","")</f>
        <v/>
      </c>
      <c r="H73" s="296">
        <f>'TWU FGD'!$T$61</f>
        <v>4430225</v>
      </c>
      <c r="I73" s="297">
        <f>'TWU FGD'!$U$61</f>
        <v>28673</v>
      </c>
      <c r="J73" s="298">
        <f>'TWU FGD'!$V$61</f>
        <v>0</v>
      </c>
      <c r="K73" s="299">
        <f>'TWU FGD'!$W$61</f>
        <v>0</v>
      </c>
      <c r="L73" s="461">
        <f>'TWU FGD'!$X$61</f>
        <v>4458898</v>
      </c>
      <c r="M73" s="605" t="str">
        <f t="shared" ref="M73:M134" si="5">IF(H73+I73-J73-K73&lt;&gt;L73,"Error","")</f>
        <v/>
      </c>
    </row>
    <row r="74" spans="2:13" hidden="1" outlineLevel="1">
      <c r="B74" s="395" t="str">
        <f>'TXST Sum'!$A$1</f>
        <v>Texas State University</v>
      </c>
      <c r="C74" s="440">
        <f>'TXST FGD'!$O$61</f>
        <v>63379031</v>
      </c>
      <c r="D74" s="443">
        <f>'TXST FGD'!$P$61</f>
        <v>3179215</v>
      </c>
      <c r="E74" s="600"/>
      <c r="F74" s="595">
        <f>'TXST FGD'!$R$61</f>
        <v>66558246</v>
      </c>
      <c r="G74" s="603" t="str">
        <f t="shared" si="4"/>
        <v/>
      </c>
      <c r="H74" s="296">
        <f>'TXST FGD'!$T$61</f>
        <v>63379031</v>
      </c>
      <c r="I74" s="297">
        <f>'TXST FGD'!$U$61</f>
        <v>3179215</v>
      </c>
      <c r="J74" s="298">
        <f>'TXST FGD'!$V$61</f>
        <v>772596</v>
      </c>
      <c r="K74" s="299">
        <f>'TXST FGD'!$W$61</f>
        <v>0</v>
      </c>
      <c r="L74" s="461">
        <f>'TXST FGD'!$X$61</f>
        <v>65785650</v>
      </c>
      <c r="M74" s="605" t="str">
        <f t="shared" si="5"/>
        <v/>
      </c>
    </row>
    <row r="75" spans="2:13" hidden="1" outlineLevel="1">
      <c r="B75" s="395" t="str">
        <f>'TYL Sum'!$A$1</f>
        <v>The University of Texas at Tyler</v>
      </c>
      <c r="C75" s="440">
        <f>'TYL FGD'!$O$61</f>
        <v>2090148</v>
      </c>
      <c r="D75" s="443">
        <f>'TYL FGD'!$P$61</f>
        <v>121325</v>
      </c>
      <c r="E75" s="600"/>
      <c r="F75" s="595">
        <f>'TYL FGD'!$R$61</f>
        <v>2211473</v>
      </c>
      <c r="G75" s="603" t="str">
        <f t="shared" si="4"/>
        <v/>
      </c>
      <c r="H75" s="296">
        <f>'TYL FGD'!$T$61</f>
        <v>2090148</v>
      </c>
      <c r="I75" s="297">
        <f>'TYL FGD'!$U$61</f>
        <v>121325</v>
      </c>
      <c r="J75" s="298">
        <f>'TYL FGD'!$V$61</f>
        <v>67315</v>
      </c>
      <c r="K75" s="299">
        <f>'TYL FGD'!$W$61</f>
        <v>0</v>
      </c>
      <c r="L75" s="461">
        <f>'TYL FGD'!$X$61</f>
        <v>2144158</v>
      </c>
      <c r="M75" s="605" t="str">
        <f t="shared" si="5"/>
        <v/>
      </c>
    </row>
    <row r="76" spans="2:13" ht="25.5" hidden="1" outlineLevel="1">
      <c r="B76" s="395" t="str">
        <f>'UH1 Sum'!$A$1</f>
        <v>University of Houston - Academic &amp; Health (A+H)</v>
      </c>
      <c r="C76" s="440">
        <f>'UH1 FGD'!$O$61</f>
        <v>168699978</v>
      </c>
      <c r="D76" s="443">
        <f>'UH1 FGD'!$P$61</f>
        <v>10173606</v>
      </c>
      <c r="E76" s="600"/>
      <c r="F76" s="595">
        <f>'UH1 FGD'!$R$61</f>
        <v>178873584</v>
      </c>
      <c r="G76" s="603" t="str">
        <f t="shared" si="4"/>
        <v/>
      </c>
      <c r="H76" s="296">
        <f>'UH1 FGD'!$T$61</f>
        <v>168699978</v>
      </c>
      <c r="I76" s="297">
        <f>'UH1 FGD'!$U$61</f>
        <v>10173606</v>
      </c>
      <c r="J76" s="298">
        <f>'UH1 FGD'!$V$61</f>
        <v>0</v>
      </c>
      <c r="K76" s="299">
        <f>'UH1 FGD'!$W$61</f>
        <v>120392</v>
      </c>
      <c r="L76" s="461">
        <f>'UH1 FGD'!$X$61</f>
        <v>178753192</v>
      </c>
      <c r="M76" s="605" t="str">
        <f t="shared" si="5"/>
        <v/>
      </c>
    </row>
    <row r="77" spans="2:13" hidden="1" outlineLevel="1">
      <c r="B77" s="395" t="str">
        <f>'UHCL Sum'!$A$1</f>
        <v>University of Houston - Clear Lake</v>
      </c>
      <c r="C77" s="440">
        <f>'UHCL FGD'!$O$61</f>
        <v>1716255</v>
      </c>
      <c r="D77" s="443">
        <f>'UHCL FGD'!$P$61</f>
        <v>24449</v>
      </c>
      <c r="E77" s="600"/>
      <c r="F77" s="595">
        <f>'UHCL FGD'!$R$61</f>
        <v>1740704</v>
      </c>
      <c r="G77" s="603" t="str">
        <f t="shared" si="4"/>
        <v/>
      </c>
      <c r="H77" s="296">
        <f>'UHCL FGD'!$T$61</f>
        <v>1716255</v>
      </c>
      <c r="I77" s="297">
        <f>'UHCL FGD'!$U$61</f>
        <v>24449</v>
      </c>
      <c r="J77" s="298">
        <f>'UHCL FGD'!$V$61</f>
        <v>0</v>
      </c>
      <c r="K77" s="299">
        <f>'UHCL FGD'!$W$61</f>
        <v>0</v>
      </c>
      <c r="L77" s="461">
        <f>'UHCL FGD'!$X$61</f>
        <v>1740704</v>
      </c>
      <c r="M77" s="605" t="str">
        <f t="shared" si="5"/>
        <v/>
      </c>
    </row>
    <row r="78" spans="2:13" hidden="1" outlineLevel="1">
      <c r="B78" s="395" t="str">
        <f>'UHD Sum'!$A$1</f>
        <v>University of Houston - Downtown</v>
      </c>
      <c r="C78" s="440">
        <f>'UHD FGD'!$O$61</f>
        <v>2040315</v>
      </c>
      <c r="D78" s="443">
        <f>'UHD FGD'!$P$61</f>
        <v>0</v>
      </c>
      <c r="E78" s="600"/>
      <c r="F78" s="595">
        <f>'UHD FGD'!$R$61</f>
        <v>2040315</v>
      </c>
      <c r="G78" s="603" t="str">
        <f t="shared" si="4"/>
        <v/>
      </c>
      <c r="H78" s="296">
        <f>'UHD FGD'!$T$61</f>
        <v>2040315</v>
      </c>
      <c r="I78" s="297">
        <f>'UHD FGD'!$U$61</f>
        <v>0</v>
      </c>
      <c r="J78" s="298">
        <f>'UHD FGD'!$V$61</f>
        <v>17588</v>
      </c>
      <c r="K78" s="299">
        <f>'UHD FGD'!$W$61</f>
        <v>0</v>
      </c>
      <c r="L78" s="461">
        <f>'UHD FGD'!$X$61</f>
        <v>2022727</v>
      </c>
      <c r="M78" s="605" t="str">
        <f t="shared" si="5"/>
        <v/>
      </c>
    </row>
    <row r="79" spans="2:13" hidden="1" outlineLevel="1">
      <c r="B79" s="395" t="str">
        <f>'UHV Sum'!$A$1</f>
        <v>University of Houston - Victoria</v>
      </c>
      <c r="C79" s="440">
        <f>'UHV FGD'!$O$61</f>
        <v>416867</v>
      </c>
      <c r="D79" s="443">
        <f>'UHV FGD'!$P$61</f>
        <v>0</v>
      </c>
      <c r="E79" s="600"/>
      <c r="F79" s="595">
        <f>'UHV FGD'!$R$61</f>
        <v>416867</v>
      </c>
      <c r="G79" s="603" t="str">
        <f t="shared" si="4"/>
        <v/>
      </c>
      <c r="H79" s="296">
        <f>'UHV FGD'!$T$61</f>
        <v>416867</v>
      </c>
      <c r="I79" s="297">
        <f>'UHV FGD'!$U$61</f>
        <v>0</v>
      </c>
      <c r="J79" s="298">
        <f>'UHV FGD'!$V$61</f>
        <v>0</v>
      </c>
      <c r="K79" s="299">
        <f>'UHV FGD'!$W$61</f>
        <v>0</v>
      </c>
      <c r="L79" s="461">
        <f>'UHV FGD'!$X$61</f>
        <v>416867</v>
      </c>
      <c r="M79" s="605" t="str">
        <f t="shared" si="5"/>
        <v/>
      </c>
    </row>
    <row r="80" spans="2:13" hidden="1" outlineLevel="1">
      <c r="B80" s="395" t="str">
        <f>'UNT Sum'!$A$1</f>
        <v>University of North Texas</v>
      </c>
      <c r="C80" s="440">
        <f>'UNT FGD'!$O$61</f>
        <v>70216070</v>
      </c>
      <c r="D80" s="443">
        <f>'UNT FGD'!$P$61</f>
        <v>4882630</v>
      </c>
      <c r="E80" s="600"/>
      <c r="F80" s="595">
        <f>'UNT FGD'!$R$61</f>
        <v>75098700</v>
      </c>
      <c r="G80" s="603" t="str">
        <f t="shared" si="4"/>
        <v/>
      </c>
      <c r="H80" s="296">
        <f>'UNT FGD'!$T$61</f>
        <v>70216070</v>
      </c>
      <c r="I80" s="297">
        <f>'UNT FGD'!$U$61</f>
        <v>4882630</v>
      </c>
      <c r="J80" s="298">
        <f>'UNT FGD'!$V$61</f>
        <v>23478</v>
      </c>
      <c r="K80" s="299">
        <f>'UNT FGD'!$W$61</f>
        <v>0</v>
      </c>
      <c r="L80" s="461">
        <f>'UNT FGD'!$X$61</f>
        <v>75075222</v>
      </c>
      <c r="M80" s="605" t="str">
        <f t="shared" si="5"/>
        <v/>
      </c>
    </row>
    <row r="81" spans="1:13" hidden="1" outlineLevel="1">
      <c r="B81" s="395" t="str">
        <f>'UNTD Sum'!$A$1</f>
        <v>University of North Texas at Dallas</v>
      </c>
      <c r="C81" s="440">
        <f>'UNTD FGD'!$O$61</f>
        <v>113533</v>
      </c>
      <c r="D81" s="443">
        <f>'UNTD FGD'!$P$61</f>
        <v>0</v>
      </c>
      <c r="E81" s="600"/>
      <c r="F81" s="595">
        <f>'UNTD FGD'!$R$61</f>
        <v>113533</v>
      </c>
      <c r="G81" s="603" t="str">
        <f t="shared" si="4"/>
        <v/>
      </c>
      <c r="H81" s="296">
        <f>'UNTD FGD'!$T$61</f>
        <v>113533</v>
      </c>
      <c r="I81" s="297">
        <f>'UNTD FGD'!$U$61</f>
        <v>0</v>
      </c>
      <c r="J81" s="298">
        <f>'UNTD FGD'!$V$61</f>
        <v>0</v>
      </c>
      <c r="K81" s="299">
        <f>'UNTD FGD'!$W$61</f>
        <v>0</v>
      </c>
      <c r="L81" s="461">
        <f>'UNTD FGD'!$X$61</f>
        <v>113533</v>
      </c>
      <c r="M81" s="605" t="str">
        <f t="shared" si="5"/>
        <v/>
      </c>
    </row>
    <row r="82" spans="1:13" ht="13.5" hidden="1" outlineLevel="1" thickBot="1">
      <c r="B82" s="395" t="str">
        <f>'WTAMU Sum'!$A$1</f>
        <v>West Texas A&amp;M University</v>
      </c>
      <c r="C82" s="440">
        <f>'WTAMU FGD'!$O$61</f>
        <v>7693680</v>
      </c>
      <c r="D82" s="443">
        <f>'WTAMU FGD'!$P$61</f>
        <v>1392842</v>
      </c>
      <c r="E82" s="600"/>
      <c r="F82" s="595">
        <f>'WTAMU FGD'!$R$61</f>
        <v>9086522</v>
      </c>
      <c r="G82" s="603" t="str">
        <f t="shared" si="4"/>
        <v/>
      </c>
      <c r="H82" s="296">
        <f>'WTAMU FGD'!$T$61</f>
        <v>7693680</v>
      </c>
      <c r="I82" s="297">
        <f>'WTAMU FGD'!$U$61</f>
        <v>1392842</v>
      </c>
      <c r="J82" s="298">
        <f>'WTAMU FGD'!$V$61</f>
        <v>18191</v>
      </c>
      <c r="K82" s="299">
        <f>'WTAMU FGD'!$W$61</f>
        <v>0</v>
      </c>
      <c r="L82" s="461">
        <f>'WTAMU FGD'!$X$61</f>
        <v>9068331</v>
      </c>
      <c r="M82" s="605" t="str">
        <f t="shared" si="5"/>
        <v/>
      </c>
    </row>
    <row r="83" spans="1:13" ht="14.25" collapsed="1" thickTop="1" thickBot="1">
      <c r="A83">
        <f>COUNTA(B47:B82)</f>
        <v>36</v>
      </c>
      <c r="B83" s="160" t="s">
        <v>15</v>
      </c>
      <c r="C83" s="440">
        <f>SUM(C47:C82)</f>
        <v>1785292643</v>
      </c>
      <c r="D83" s="443">
        <f>SUM(D47:D82)</f>
        <v>157055665</v>
      </c>
      <c r="E83" s="600"/>
      <c r="F83" s="595">
        <f>SUM(F47:F82)</f>
        <v>1942348308</v>
      </c>
      <c r="G83" s="603" t="str">
        <f t="shared" si="4"/>
        <v/>
      </c>
      <c r="H83" s="296">
        <f>SUM(H47:H82)</f>
        <v>1785229106</v>
      </c>
      <c r="I83" s="297">
        <f>SUM(I47:I82)</f>
        <v>157055665</v>
      </c>
      <c r="J83" s="298">
        <f>SUM(J47:J82)</f>
        <v>11425604</v>
      </c>
      <c r="K83" s="299">
        <f>SUM(K47:K82)</f>
        <v>1732220</v>
      </c>
      <c r="L83" s="300">
        <f>SUM(L47:L82)</f>
        <v>1929126947</v>
      </c>
      <c r="M83" s="605" t="str">
        <f t="shared" si="5"/>
        <v/>
      </c>
    </row>
    <row r="84" spans="1:13" ht="13.5" hidden="1" outlineLevel="1" thickTop="1">
      <c r="B84" s="395" t="str">
        <f>'ARL Sum'!$A$1</f>
        <v>The University of Texas at Arlington</v>
      </c>
      <c r="C84" s="440">
        <f>'ARL FGD'!$O$62</f>
        <v>12261806</v>
      </c>
      <c r="D84" s="443">
        <f>'ARL FGD'!$P$62</f>
        <v>0</v>
      </c>
      <c r="E84" s="601"/>
      <c r="F84" s="595"/>
      <c r="G84" s="604"/>
      <c r="H84" s="296">
        <f>'ARL FGD'!$T$62</f>
        <v>12261806</v>
      </c>
      <c r="I84" s="297">
        <f>'ARL FGD'!$U$62</f>
        <v>0</v>
      </c>
      <c r="J84" s="298">
        <f>'ARL FGD'!$V$62</f>
        <v>9637</v>
      </c>
      <c r="K84" s="299">
        <f>'ARL FGD'!$W$62</f>
        <v>0</v>
      </c>
      <c r="L84" s="457">
        <f>'ARL FGD'!$X$62</f>
        <v>12252169</v>
      </c>
      <c r="M84" s="605" t="str">
        <f t="shared" si="5"/>
        <v/>
      </c>
    </row>
    <row r="85" spans="1:13" hidden="1" outlineLevel="1">
      <c r="B85" s="395" t="str">
        <f>'ASU Sum'!$A$1</f>
        <v>Angelo State University</v>
      </c>
      <c r="C85" s="440">
        <f>'ASU FGD'!$O$62</f>
        <v>1267934</v>
      </c>
      <c r="D85" s="443">
        <f>'ASU FGD'!$P$62</f>
        <v>0</v>
      </c>
      <c r="E85" s="601"/>
      <c r="F85" s="595"/>
      <c r="G85" s="604"/>
      <c r="H85" s="296">
        <f>'ASU FGD'!$T$62</f>
        <v>1267934</v>
      </c>
      <c r="I85" s="297">
        <f>'ASU FGD'!$U$62</f>
        <v>0</v>
      </c>
      <c r="J85" s="298">
        <f>'ASU FGD'!$V$62</f>
        <v>0</v>
      </c>
      <c r="K85" s="299">
        <f>'ASU FGD'!$W$62</f>
        <v>0</v>
      </c>
      <c r="L85" s="457">
        <f>'ASU FGD'!$X$62</f>
        <v>1267934</v>
      </c>
      <c r="M85" s="605" t="str">
        <f t="shared" si="5"/>
        <v/>
      </c>
    </row>
    <row r="86" spans="1:13" ht="25.5" hidden="1" outlineLevel="1">
      <c r="B86" s="395" t="str">
        <f>'AUS1 Sum'!$A$1</f>
        <v>The University of Texas at Austin - Academic &amp; Health (A+H)</v>
      </c>
      <c r="C86" s="440">
        <f>'AUS1 FGD'!$O$62</f>
        <v>94066053</v>
      </c>
      <c r="D86" s="443">
        <f>'AUS1 FGD'!$P$62</f>
        <v>2966447</v>
      </c>
      <c r="E86" s="601"/>
      <c r="F86" s="595"/>
      <c r="G86" s="604"/>
      <c r="H86" s="296">
        <f>'AUS1 FGD'!$T$62</f>
        <v>94066053</v>
      </c>
      <c r="I86" s="297">
        <f>'AUS1 FGD'!$U$62</f>
        <v>2966447</v>
      </c>
      <c r="J86" s="298">
        <f>'AUS1 FGD'!$V$62</f>
        <v>413479</v>
      </c>
      <c r="K86" s="299">
        <f>'AUS1 FGD'!$W$62</f>
        <v>582410</v>
      </c>
      <c r="L86" s="457">
        <f>'AUS1 FGD'!$X$62</f>
        <v>96036611</v>
      </c>
      <c r="M86" s="605" t="str">
        <f t="shared" si="5"/>
        <v/>
      </c>
    </row>
    <row r="87" spans="1:13" ht="25.5" hidden="1" outlineLevel="1">
      <c r="B87" s="395" t="str">
        <f>'RGV1 Sum'!$A$1</f>
        <v>The University of Texas RGV - Academic &amp; Health (A+H)</v>
      </c>
      <c r="C87" s="440">
        <f>'RGV1 FGD'!$O$62</f>
        <v>7278431</v>
      </c>
      <c r="D87" s="443">
        <f>'RGV1 FGD'!$P$62</f>
        <v>29181</v>
      </c>
      <c r="E87" s="601"/>
      <c r="F87" s="595"/>
      <c r="G87" s="604"/>
      <c r="H87" s="296">
        <f>'RGV1 FGD'!$T$62</f>
        <v>7278431</v>
      </c>
      <c r="I87" s="297">
        <f>'RGV1 FGD'!$U$62</f>
        <v>29181</v>
      </c>
      <c r="J87" s="298">
        <f>'RGV1 FGD'!$V$62</f>
        <v>0</v>
      </c>
      <c r="K87" s="299">
        <f>'RGV1 FGD'!$W$62</f>
        <v>0</v>
      </c>
      <c r="L87" s="457">
        <f>'RGV1 FGD'!$X$62</f>
        <v>7307612</v>
      </c>
      <c r="M87" s="605" t="str">
        <f t="shared" si="5"/>
        <v/>
      </c>
    </row>
    <row r="88" spans="1:13" hidden="1" outlineLevel="1">
      <c r="B88" s="395" t="str">
        <f>'DAL Sum'!$A$1</f>
        <v>The University of Texas at Dallas</v>
      </c>
      <c r="C88" s="440">
        <f>'DAL FGD'!$O$62</f>
        <v>9035089</v>
      </c>
      <c r="D88" s="443">
        <f>'DAL FGD'!$P$62</f>
        <v>99652</v>
      </c>
      <c r="E88" s="601"/>
      <c r="F88" s="595"/>
      <c r="G88" s="604"/>
      <c r="H88" s="296">
        <f>'DAL FGD'!$T$62</f>
        <v>9035089</v>
      </c>
      <c r="I88" s="297">
        <f>'DAL FGD'!$U$62</f>
        <v>99652</v>
      </c>
      <c r="J88" s="298">
        <f>'DAL FGD'!$V$62</f>
        <v>0</v>
      </c>
      <c r="K88" s="299">
        <f>'DAL FGD'!$W$62</f>
        <v>0</v>
      </c>
      <c r="L88" s="457">
        <f>'DAL FGD'!$X$62</f>
        <v>9134741</v>
      </c>
      <c r="M88" s="605" t="str">
        <f t="shared" si="5"/>
        <v/>
      </c>
    </row>
    <row r="89" spans="1:13" hidden="1" outlineLevel="1">
      <c r="B89" s="395" t="str">
        <f>'E-P Sum'!$A$1</f>
        <v>The University of Texas at El Paso</v>
      </c>
      <c r="C89" s="440">
        <f>'E-P FGD'!$O$62</f>
        <v>11373956</v>
      </c>
      <c r="D89" s="443">
        <f>'E-P FGD'!$P$62</f>
        <v>74028</v>
      </c>
      <c r="E89" s="601"/>
      <c r="F89" s="595"/>
      <c r="G89" s="604"/>
      <c r="H89" s="296">
        <f>'E-P FGD'!$T$62</f>
        <v>11373956</v>
      </c>
      <c r="I89" s="297">
        <f>'E-P FGD'!$U$62</f>
        <v>74028</v>
      </c>
      <c r="J89" s="298">
        <f>'E-P FGD'!$V$62</f>
        <v>0</v>
      </c>
      <c r="K89" s="299">
        <f>'E-P FGD'!$W$62</f>
        <v>0</v>
      </c>
      <c r="L89" s="457">
        <f>'E-P FGD'!$X$62</f>
        <v>11447984</v>
      </c>
      <c r="M89" s="605" t="str">
        <f t="shared" si="5"/>
        <v/>
      </c>
    </row>
    <row r="90" spans="1:13" hidden="1" outlineLevel="1">
      <c r="B90" s="395" t="str">
        <f>'LU Sum'!$A$1</f>
        <v xml:space="preserve">Lamar University </v>
      </c>
      <c r="C90" s="440">
        <f>'LU FGD'!$O$62</f>
        <v>1304660</v>
      </c>
      <c r="D90" s="443">
        <f>'LU FGD'!$P$62</f>
        <v>0</v>
      </c>
      <c r="E90" s="601"/>
      <c r="F90" s="595"/>
      <c r="G90" s="604"/>
      <c r="H90" s="296">
        <f>'LU FGD'!$T$62</f>
        <v>1304660</v>
      </c>
      <c r="I90" s="297">
        <f>'LU FGD'!$U$62</f>
        <v>0</v>
      </c>
      <c r="J90" s="298">
        <f>'LU FGD'!$V$62</f>
        <v>0</v>
      </c>
      <c r="K90" s="299">
        <f>'LU FGD'!$W$62</f>
        <v>0</v>
      </c>
      <c r="L90" s="457">
        <f>'LU FGD'!$X$62</f>
        <v>1304660</v>
      </c>
      <c r="M90" s="605" t="str">
        <f t="shared" si="5"/>
        <v/>
      </c>
    </row>
    <row r="91" spans="1:13" hidden="1" outlineLevel="1">
      <c r="B91" s="395" t="str">
        <f>'MidWST Sum'!$A$1</f>
        <v>Midwestern State University</v>
      </c>
      <c r="C91" s="440">
        <f>'MidWST FGD'!$O$62</f>
        <v>1081302</v>
      </c>
      <c r="D91" s="443">
        <f>'MidWST FGD'!$P$62</f>
        <v>0</v>
      </c>
      <c r="E91" s="601"/>
      <c r="F91" s="595"/>
      <c r="G91" s="604"/>
      <c r="H91" s="296">
        <f>'MidWST FGD'!$T$62</f>
        <v>1081302</v>
      </c>
      <c r="I91" s="297">
        <f>'MidWST FGD'!$U$62</f>
        <v>0</v>
      </c>
      <c r="J91" s="298">
        <f>'MidWST FGD'!$V$62</f>
        <v>0</v>
      </c>
      <c r="K91" s="299">
        <f>'MidWST FGD'!$W$62</f>
        <v>0</v>
      </c>
      <c r="L91" s="457">
        <f>'MidWST FGD'!$X$62</f>
        <v>1081302</v>
      </c>
      <c r="M91" s="605" t="str">
        <f t="shared" si="5"/>
        <v/>
      </c>
    </row>
    <row r="92" spans="1:13" ht="15.75" hidden="1" customHeight="1" outlineLevel="1">
      <c r="B92" s="395" t="str">
        <f>'P-B Sum'!$A$1</f>
        <v>The University of Texas of the Permian Basin</v>
      </c>
      <c r="C92" s="440">
        <f>'P-B FGD'!$O$62</f>
        <v>3948406</v>
      </c>
      <c r="D92" s="443">
        <f>'P-B FGD'!$P$62</f>
        <v>7238</v>
      </c>
      <c r="E92" s="601"/>
      <c r="F92" s="595"/>
      <c r="G92" s="604"/>
      <c r="H92" s="296">
        <f>'P-B FGD'!$T$62</f>
        <v>3948406</v>
      </c>
      <c r="I92" s="297">
        <f>'P-B FGD'!$U$62</f>
        <v>7238</v>
      </c>
      <c r="J92" s="298">
        <f>'P-B FGD'!$V$62</f>
        <v>0</v>
      </c>
      <c r="K92" s="299">
        <f>'P-B FGD'!$W$62</f>
        <v>0</v>
      </c>
      <c r="L92" s="457">
        <f>'P-B FGD'!$X$62</f>
        <v>3955644</v>
      </c>
      <c r="M92" s="605" t="str">
        <f t="shared" si="5"/>
        <v/>
      </c>
    </row>
    <row r="93" spans="1:13" hidden="1" outlineLevel="1">
      <c r="B93" s="395" t="str">
        <f>'PVAMU Sum'!$A$1</f>
        <v>Prairie View A&amp;M University</v>
      </c>
      <c r="C93" s="440">
        <f>'PVAMU FGD'!$O$62</f>
        <v>7762778</v>
      </c>
      <c r="D93" s="443">
        <f>'PVAMU FGD'!$P$62</f>
        <v>234320</v>
      </c>
      <c r="E93" s="601"/>
      <c r="F93" s="595"/>
      <c r="G93" s="604"/>
      <c r="H93" s="296">
        <f>'PVAMU FGD'!$T$62</f>
        <v>7762778</v>
      </c>
      <c r="I93" s="297">
        <f>'PVAMU FGD'!$U$62</f>
        <v>234320</v>
      </c>
      <c r="J93" s="298">
        <f>'PVAMU FGD'!$V$62</f>
        <v>0</v>
      </c>
      <c r="K93" s="299">
        <f>'PVAMU FGD'!$W$62</f>
        <v>0</v>
      </c>
      <c r="L93" s="457">
        <f>'PVAMU FGD'!$X$62</f>
        <v>7997098</v>
      </c>
      <c r="M93" s="605" t="str">
        <f t="shared" si="5"/>
        <v/>
      </c>
    </row>
    <row r="94" spans="1:13" hidden="1" outlineLevel="1">
      <c r="B94" s="395" t="str">
        <f>'S-A Sum'!$A$1</f>
        <v>The University of Texas at San Antonio</v>
      </c>
      <c r="C94" s="440">
        <f>'S-A FGD'!$O$62</f>
        <v>15662717</v>
      </c>
      <c r="D94" s="443">
        <f>'S-A FGD'!$P$62</f>
        <v>22186</v>
      </c>
      <c r="E94" s="601"/>
      <c r="F94" s="595"/>
      <c r="G94" s="604"/>
      <c r="H94" s="296">
        <f>'S-A FGD'!$T$62</f>
        <v>15662717</v>
      </c>
      <c r="I94" s="297">
        <f>'S-A FGD'!$U$62</f>
        <v>22186</v>
      </c>
      <c r="J94" s="298">
        <f>'S-A FGD'!$V$62</f>
        <v>2028176</v>
      </c>
      <c r="K94" s="299">
        <f>'S-A FGD'!$W$62</f>
        <v>0</v>
      </c>
      <c r="L94" s="457">
        <f>'S-A FGD'!$X$62</f>
        <v>13656727</v>
      </c>
      <c r="M94" s="605" t="str">
        <f t="shared" si="5"/>
        <v/>
      </c>
    </row>
    <row r="95" spans="1:13" hidden="1" outlineLevel="1">
      <c r="B95" s="395" t="str">
        <f>'SFA Sum'!$A$1</f>
        <v>Stephen F. Austin State University</v>
      </c>
      <c r="C95" s="440">
        <f>'SFA FGD'!$O$62</f>
        <v>1421827</v>
      </c>
      <c r="D95" s="443">
        <f>'SFA FGD'!$P$62</f>
        <v>0</v>
      </c>
      <c r="E95" s="601"/>
      <c r="F95" s="595"/>
      <c r="G95" s="604"/>
      <c r="H95" s="296">
        <f>'SFA FGD'!$T$62</f>
        <v>1421827</v>
      </c>
      <c r="I95" s="297">
        <f>'SFA FGD'!$U$62</f>
        <v>0</v>
      </c>
      <c r="J95" s="298">
        <f>'SFA FGD'!$V$62</f>
        <v>0</v>
      </c>
      <c r="K95" s="299">
        <f>'SFA FGD'!$W$62</f>
        <v>0</v>
      </c>
      <c r="L95" s="457">
        <f>'SFA FGD'!$X$62</f>
        <v>1421827</v>
      </c>
      <c r="M95" s="605" t="str">
        <f t="shared" si="5"/>
        <v/>
      </c>
    </row>
    <row r="96" spans="1:13" ht="25.5" hidden="1" outlineLevel="1">
      <c r="B96" s="395" t="str">
        <f>'shsu1 Sum'!$A$1</f>
        <v>Sam Houston State University - Academic &amp; Health (A+H)</v>
      </c>
      <c r="C96" s="440">
        <f>'shsu1 FGD'!$O$62</f>
        <v>16144081</v>
      </c>
      <c r="D96" s="443">
        <f>'shsu1 FGD'!$P$62</f>
        <v>501663</v>
      </c>
      <c r="E96" s="601"/>
      <c r="F96" s="595"/>
      <c r="G96" s="604"/>
      <c r="H96" s="296">
        <f>'shsu1 FGD'!$T$62</f>
        <v>16144081</v>
      </c>
      <c r="I96" s="297">
        <f>'shsu1 FGD'!$U$62</f>
        <v>501663</v>
      </c>
      <c r="J96" s="298">
        <f>'shsu1 FGD'!$V$62</f>
        <v>0</v>
      </c>
      <c r="K96" s="299">
        <f>'shsu1 FGD'!$W$62</f>
        <v>0</v>
      </c>
      <c r="L96" s="457">
        <f>'shsu1 FGD'!$X$62</f>
        <v>16645744</v>
      </c>
      <c r="M96" s="605" t="str">
        <f t="shared" si="5"/>
        <v/>
      </c>
    </row>
    <row r="97" spans="2:13" hidden="1" outlineLevel="1">
      <c r="B97" s="395" t="str">
        <f>'SRSU Sum'!$A$1</f>
        <v>Sul Ross State University</v>
      </c>
      <c r="C97" s="440">
        <f>'SRSU FGD'!$O$62</f>
        <v>1370256</v>
      </c>
      <c r="D97" s="443">
        <f>'SRSU FGD'!$P$62</f>
        <v>2014</v>
      </c>
      <c r="E97" s="601"/>
      <c r="F97" s="595"/>
      <c r="G97" s="604"/>
      <c r="H97" s="296">
        <f>'SRSU FGD'!$T$62</f>
        <v>1370256</v>
      </c>
      <c r="I97" s="297">
        <f>'SRSU FGD'!$U$62</f>
        <v>2014</v>
      </c>
      <c r="J97" s="298">
        <f>'SRSU FGD'!$V$62</f>
        <v>0</v>
      </c>
      <c r="K97" s="299">
        <f>'SRSU FGD'!$W$62</f>
        <v>0</v>
      </c>
      <c r="L97" s="457">
        <f>'SRSU FGD'!$X$62</f>
        <v>1372270</v>
      </c>
      <c r="M97" s="605" t="str">
        <f t="shared" si="5"/>
        <v/>
      </c>
    </row>
    <row r="98" spans="2:13" hidden="1" outlineLevel="1">
      <c r="B98" s="395" t="str">
        <f>'TAMIU Sum'!$A$1</f>
        <v>Texas A&amp;M International University</v>
      </c>
      <c r="C98" s="440">
        <f>'TAMIU FGD'!$O$62</f>
        <v>2362868</v>
      </c>
      <c r="D98" s="443">
        <f>'TAMIU FGD'!$P$62</f>
        <v>0</v>
      </c>
      <c r="E98" s="601"/>
      <c r="F98" s="595"/>
      <c r="G98" s="604"/>
      <c r="H98" s="296">
        <f>'TAMIU FGD'!$T$62</f>
        <v>2362868</v>
      </c>
      <c r="I98" s="297">
        <f>'TAMIU FGD'!$U$62</f>
        <v>0</v>
      </c>
      <c r="J98" s="298">
        <f>'TAMIU FGD'!$V$62</f>
        <v>39043</v>
      </c>
      <c r="K98" s="299">
        <f>'TAMIU FGD'!$W$62</f>
        <v>0</v>
      </c>
      <c r="L98" s="457">
        <f>'TAMIU FGD'!$X$62</f>
        <v>2323825</v>
      </c>
      <c r="M98" s="605" t="str">
        <f t="shared" si="5"/>
        <v/>
      </c>
    </row>
    <row r="99" spans="2:13" hidden="1" outlineLevel="1">
      <c r="B99" s="395" t="str">
        <f>'TAMU Sum'!$A$1</f>
        <v>Texas A&amp;M University</v>
      </c>
      <c r="C99" s="440">
        <f>'TAMU FGD'!$O$62</f>
        <v>18749990</v>
      </c>
      <c r="D99" s="443">
        <f>'TAMU FGD'!$P$62</f>
        <v>180724</v>
      </c>
      <c r="E99" s="601"/>
      <c r="F99" s="595"/>
      <c r="G99" s="604"/>
      <c r="H99" s="296">
        <f>'TAMU FGD'!$T$62</f>
        <v>18749990</v>
      </c>
      <c r="I99" s="297">
        <f>'TAMU FGD'!$U$62</f>
        <v>180724</v>
      </c>
      <c r="J99" s="298">
        <f>'TAMU FGD'!$V$62</f>
        <v>0</v>
      </c>
      <c r="K99" s="299">
        <f>'TAMU FGD'!$W$62</f>
        <v>0</v>
      </c>
      <c r="L99" s="457">
        <f>'TAMU FGD'!$X$62</f>
        <v>18930714</v>
      </c>
      <c r="M99" s="605" t="str">
        <f t="shared" si="5"/>
        <v/>
      </c>
    </row>
    <row r="100" spans="2:13" hidden="1" outlineLevel="1">
      <c r="B100" s="395" t="str">
        <f>'TAMUC Sum'!$A$1</f>
        <v>Texas A&amp;M University - Commerce</v>
      </c>
      <c r="C100" s="440">
        <f>'TAMUC FGD'!$O$62</f>
        <v>1585884</v>
      </c>
      <c r="D100" s="443">
        <f>'TAMUC FGD'!$P$62</f>
        <v>0</v>
      </c>
      <c r="E100" s="601"/>
      <c r="F100" s="595"/>
      <c r="G100" s="604"/>
      <c r="H100" s="296">
        <f>'TAMUC FGD'!$T$62</f>
        <v>1585884</v>
      </c>
      <c r="I100" s="297">
        <f>'TAMUC FGD'!$U$62</f>
        <v>0</v>
      </c>
      <c r="J100" s="298">
        <f>'TAMUC FGD'!$V$62</f>
        <v>0</v>
      </c>
      <c r="K100" s="299">
        <f>'TAMUC FGD'!$W$62</f>
        <v>0</v>
      </c>
      <c r="L100" s="457">
        <f>'TAMUC FGD'!$X$62</f>
        <v>1585884</v>
      </c>
      <c r="M100" s="605" t="str">
        <f t="shared" si="5"/>
        <v/>
      </c>
    </row>
    <row r="101" spans="2:13" hidden="1" outlineLevel="1">
      <c r="B101" s="395" t="str">
        <f>'TAMUCC Sum'!$A$1</f>
        <v>Texas A&amp;M University - Corpus Christi</v>
      </c>
      <c r="C101" s="440">
        <f>'TAMUCC FGD'!$O$62</f>
        <v>2532832</v>
      </c>
      <c r="D101" s="443">
        <f>'TAMUCC FGD'!$P$62</f>
        <v>25253</v>
      </c>
      <c r="E101" s="601"/>
      <c r="F101" s="595"/>
      <c r="G101" s="604"/>
      <c r="H101" s="296">
        <f>'TAMUCC FGD'!$T$62</f>
        <v>2532832</v>
      </c>
      <c r="I101" s="297">
        <f>'TAMUCC FGD'!$U$62</f>
        <v>25253</v>
      </c>
      <c r="J101" s="298">
        <f>'TAMUCC FGD'!$V$62</f>
        <v>0</v>
      </c>
      <c r="K101" s="299">
        <f>'TAMUCC FGD'!$W$62</f>
        <v>0</v>
      </c>
      <c r="L101" s="457">
        <f>'TAMUCC FGD'!$X$62</f>
        <v>2558085</v>
      </c>
      <c r="M101" s="605" t="str">
        <f t="shared" si="5"/>
        <v/>
      </c>
    </row>
    <row r="102" spans="2:13" hidden="1" outlineLevel="1">
      <c r="B102" s="395" t="str">
        <f>'TAMUCT Sum'!$A$1</f>
        <v>Texas A&amp;M University - Central Texas</v>
      </c>
      <c r="C102" s="440">
        <f>'TAMUCT FGD'!$O$62</f>
        <v>22434</v>
      </c>
      <c r="D102" s="443">
        <f>'TAMUCT FGD'!$P$62</f>
        <v>0</v>
      </c>
      <c r="E102" s="601"/>
      <c r="F102" s="595"/>
      <c r="G102" s="604"/>
      <c r="H102" s="296">
        <f>'TAMUCT FGD'!$T$62</f>
        <v>22434</v>
      </c>
      <c r="I102" s="297">
        <f>'TAMUCT FGD'!$U$62</f>
        <v>0</v>
      </c>
      <c r="J102" s="298">
        <f>'TAMUCT FGD'!$V$62</f>
        <v>0</v>
      </c>
      <c r="K102" s="299">
        <f>'TAMUCT FGD'!$W$62</f>
        <v>0</v>
      </c>
      <c r="L102" s="457">
        <f>'TAMUCT FGD'!$X$62</f>
        <v>22434</v>
      </c>
      <c r="M102" s="605" t="str">
        <f t="shared" si="5"/>
        <v/>
      </c>
    </row>
    <row r="103" spans="2:13" hidden="1" outlineLevel="1">
      <c r="B103" s="395" t="str">
        <f>'TAMUG Sum'!$A$1</f>
        <v>Texas A&amp;M University at Galveston</v>
      </c>
      <c r="C103" s="440">
        <f>'TAMUG FGD'!$O$62</f>
        <v>913990</v>
      </c>
      <c r="D103" s="443">
        <f>'TAMUG FGD'!$P$62</f>
        <v>4233</v>
      </c>
      <c r="E103" s="601"/>
      <c r="F103" s="595"/>
      <c r="G103" s="604"/>
      <c r="H103" s="296">
        <f>'TAMUG FGD'!$T$62</f>
        <v>913990</v>
      </c>
      <c r="I103" s="297">
        <f>'TAMUG FGD'!$U$62</f>
        <v>4233</v>
      </c>
      <c r="J103" s="298">
        <f>'TAMUG FGD'!$V$62</f>
        <v>0</v>
      </c>
      <c r="K103" s="299">
        <f>'TAMUG FGD'!$W$62</f>
        <v>0</v>
      </c>
      <c r="L103" s="457">
        <f>'TAMUG FGD'!$X$62</f>
        <v>918223</v>
      </c>
      <c r="M103" s="605" t="str">
        <f t="shared" si="5"/>
        <v/>
      </c>
    </row>
    <row r="104" spans="2:13" hidden="1" outlineLevel="1">
      <c r="B104" s="395" t="str">
        <f>'TAMUK Sum'!$A$1</f>
        <v>Texas A&amp;M University - Kingsville</v>
      </c>
      <c r="C104" s="440">
        <f>'TAMUK FGD'!$O$62</f>
        <v>382600</v>
      </c>
      <c r="D104" s="443">
        <f>'TAMUK FGD'!$P$62</f>
        <v>312</v>
      </c>
      <c r="E104" s="601"/>
      <c r="F104" s="595"/>
      <c r="G104" s="604"/>
      <c r="H104" s="296">
        <f>'TAMUK FGD'!$T$62</f>
        <v>382600</v>
      </c>
      <c r="I104" s="297">
        <f>'TAMUK FGD'!$U$62</f>
        <v>312</v>
      </c>
      <c r="J104" s="298">
        <f>'TAMUK FGD'!$V$62</f>
        <v>0</v>
      </c>
      <c r="K104" s="299">
        <f>'TAMUK FGD'!$W$62</f>
        <v>0</v>
      </c>
      <c r="L104" s="457">
        <f>'TAMUK FGD'!$X$62</f>
        <v>382912</v>
      </c>
      <c r="M104" s="605" t="str">
        <f t="shared" si="5"/>
        <v/>
      </c>
    </row>
    <row r="105" spans="2:13" hidden="1" outlineLevel="1">
      <c r="B105" s="395" t="str">
        <f>'TAMUSA Sum'!$A$1</f>
        <v>Texas A&amp;M University - San Antonio</v>
      </c>
      <c r="C105" s="440">
        <f>'TAMUSA FGD'!$O$62</f>
        <v>191445</v>
      </c>
      <c r="D105" s="443">
        <f>'TAMUSA FGD'!$P$62</f>
        <v>0</v>
      </c>
      <c r="E105" s="601"/>
      <c r="F105" s="595"/>
      <c r="G105" s="604"/>
      <c r="H105" s="296">
        <f>'TAMUSA FGD'!$T$62</f>
        <v>191445</v>
      </c>
      <c r="I105" s="297">
        <f>'TAMUSA FGD'!$U$62</f>
        <v>0</v>
      </c>
      <c r="J105" s="298">
        <f>'TAMUSA FGD'!$V$62</f>
        <v>0</v>
      </c>
      <c r="K105" s="299">
        <f>'TAMUSA FGD'!$W$62</f>
        <v>0</v>
      </c>
      <c r="L105" s="457">
        <f>'TAMUSA FGD'!$X$62</f>
        <v>191445</v>
      </c>
      <c r="M105" s="605" t="str">
        <f t="shared" si="5"/>
        <v/>
      </c>
    </row>
    <row r="106" spans="2:13" hidden="1" outlineLevel="1">
      <c r="B106" s="395" t="str">
        <f>'TAMUT Sum'!$A$1</f>
        <v>Texas A&amp;M University - Texarkana</v>
      </c>
      <c r="C106" s="440">
        <f>'TAMUT FGD'!$O$62</f>
        <v>9026</v>
      </c>
      <c r="D106" s="443">
        <f>'TAMUT FGD'!$P$62</f>
        <v>0</v>
      </c>
      <c r="E106" s="601"/>
      <c r="F106" s="595"/>
      <c r="G106" s="604"/>
      <c r="H106" s="296">
        <f>'TAMUT FGD'!$T$62</f>
        <v>9026</v>
      </c>
      <c r="I106" s="297">
        <f>'TAMUT FGD'!$U$62</f>
        <v>0</v>
      </c>
      <c r="J106" s="298">
        <f>'TAMUT FGD'!$V$62</f>
        <v>0</v>
      </c>
      <c r="K106" s="299">
        <f>'TAMUT FGD'!$W$62</f>
        <v>0</v>
      </c>
      <c r="L106" s="457">
        <f>'TAMUT FGD'!$X$62</f>
        <v>9026</v>
      </c>
      <c r="M106" s="605" t="str">
        <f t="shared" si="5"/>
        <v/>
      </c>
    </row>
    <row r="107" spans="2:13" hidden="1" outlineLevel="1">
      <c r="B107" s="395" t="str">
        <f>'TARLST Sum'!$A$1</f>
        <v>Tarleton State University</v>
      </c>
      <c r="C107" s="440">
        <f>'TARLST FGD'!$O$62</f>
        <v>2242769</v>
      </c>
      <c r="D107" s="443">
        <f>'TARLST FGD'!$P$62</f>
        <v>11565</v>
      </c>
      <c r="E107" s="601"/>
      <c r="F107" s="595"/>
      <c r="G107" s="604"/>
      <c r="H107" s="296">
        <f>'TARLST FGD'!$T$62</f>
        <v>2242769</v>
      </c>
      <c r="I107" s="297">
        <f>'TARLST FGD'!$U$62</f>
        <v>11565</v>
      </c>
      <c r="J107" s="298">
        <f>'TARLST FGD'!$V$62</f>
        <v>0</v>
      </c>
      <c r="K107" s="299">
        <f>'TARLST FGD'!$W$62</f>
        <v>0</v>
      </c>
      <c r="L107" s="457">
        <f>'TARLST FGD'!$X$62</f>
        <v>2254334</v>
      </c>
      <c r="M107" s="605" t="str">
        <f t="shared" si="5"/>
        <v/>
      </c>
    </row>
    <row r="108" spans="2:13" hidden="1" outlineLevel="1">
      <c r="B108" s="395" t="str">
        <f>'TSU Sum'!$A$1</f>
        <v>Texas Southern University</v>
      </c>
      <c r="C108" s="440">
        <f>'TSU FGD'!$O$62</f>
        <v>2009621</v>
      </c>
      <c r="D108" s="443">
        <f>'TSU FGD'!$P$62</f>
        <v>0</v>
      </c>
      <c r="E108" s="601"/>
      <c r="F108" s="595"/>
      <c r="G108" s="604"/>
      <c r="H108" s="296">
        <f>'TSU FGD'!$T$62</f>
        <v>2009621</v>
      </c>
      <c r="I108" s="297">
        <f>'TSU FGD'!$U$62</f>
        <v>0</v>
      </c>
      <c r="J108" s="298">
        <f>'TSU FGD'!$V$62</f>
        <v>0</v>
      </c>
      <c r="K108" s="299">
        <f>'TSU FGD'!$W$62</f>
        <v>0</v>
      </c>
      <c r="L108" s="457">
        <f>'TSU FGD'!$X$62</f>
        <v>2009621</v>
      </c>
      <c r="M108" s="605" t="str">
        <f t="shared" si="5"/>
        <v/>
      </c>
    </row>
    <row r="109" spans="2:13" hidden="1" outlineLevel="1">
      <c r="B109" s="395" t="str">
        <f>'TTU Sum'!$A$1</f>
        <v>Texas Tech University</v>
      </c>
      <c r="C109" s="440">
        <f>'TTU FGD'!$O$62</f>
        <v>16675446</v>
      </c>
      <c r="D109" s="443">
        <f>'TTU FGD'!$P$62</f>
        <v>594563</v>
      </c>
      <c r="E109" s="601"/>
      <c r="F109" s="595"/>
      <c r="G109" s="604"/>
      <c r="H109" s="296">
        <f>'TTU FGD'!$T$62</f>
        <v>16675446</v>
      </c>
      <c r="I109" s="297">
        <f>'TTU FGD'!$U$62</f>
        <v>594563</v>
      </c>
      <c r="J109" s="298">
        <f>'TTU FGD'!$V$62</f>
        <v>489176</v>
      </c>
      <c r="K109" s="299">
        <f>'TTU FGD'!$W$62</f>
        <v>0</v>
      </c>
      <c r="L109" s="457">
        <f>'TTU FGD'!$X$62</f>
        <v>16780833</v>
      </c>
      <c r="M109" s="605" t="str">
        <f t="shared" si="5"/>
        <v/>
      </c>
    </row>
    <row r="110" spans="2:13" hidden="1" outlineLevel="1">
      <c r="B110" s="395" t="str">
        <f>'TWU Sum'!$A$1</f>
        <v>Texas Woman's University</v>
      </c>
      <c r="C110" s="440">
        <f>'TWU FGD'!$O$62</f>
        <v>741161</v>
      </c>
      <c r="D110" s="443">
        <f>'TWU FGD'!$P$62</f>
        <v>0</v>
      </c>
      <c r="E110" s="601"/>
      <c r="F110" s="595"/>
      <c r="G110" s="604"/>
      <c r="H110" s="296">
        <f>'TWU FGD'!$T$62</f>
        <v>741161</v>
      </c>
      <c r="I110" s="297">
        <f>'TWU FGD'!$U$62</f>
        <v>0</v>
      </c>
      <c r="J110" s="298">
        <f>'TWU FGD'!$V$62</f>
        <v>0</v>
      </c>
      <c r="K110" s="299">
        <f>'TWU FGD'!$W$62</f>
        <v>0</v>
      </c>
      <c r="L110" s="457">
        <f>'TWU FGD'!$X$62</f>
        <v>741161</v>
      </c>
      <c r="M110" s="605" t="str">
        <f t="shared" si="5"/>
        <v/>
      </c>
    </row>
    <row r="111" spans="2:13" hidden="1" outlineLevel="1">
      <c r="B111" s="395" t="str">
        <f>'TXST Sum'!$A$1</f>
        <v>Texas State University</v>
      </c>
      <c r="C111" s="440">
        <f>'TXST FGD'!$O$62</f>
        <v>1454346</v>
      </c>
      <c r="D111" s="443">
        <f>'TXST FGD'!$P$62</f>
        <v>0</v>
      </c>
      <c r="E111" s="601"/>
      <c r="F111" s="595"/>
      <c r="G111" s="604"/>
      <c r="H111" s="296">
        <f>'TXST FGD'!$T$62</f>
        <v>1454346</v>
      </c>
      <c r="I111" s="297">
        <f>'TXST FGD'!$U$62</f>
        <v>0</v>
      </c>
      <c r="J111" s="298">
        <f>'TXST FGD'!$V$62</f>
        <v>0</v>
      </c>
      <c r="K111" s="299">
        <f>'TXST FGD'!$W$62</f>
        <v>0</v>
      </c>
      <c r="L111" s="457">
        <f>'TXST FGD'!$X$62</f>
        <v>1454346</v>
      </c>
      <c r="M111" s="605" t="str">
        <f t="shared" si="5"/>
        <v/>
      </c>
    </row>
    <row r="112" spans="2:13" hidden="1" outlineLevel="1">
      <c r="B112" s="395" t="str">
        <f>'TYL Sum'!$A$1</f>
        <v>The University of Texas at Tyler</v>
      </c>
      <c r="C112" s="440">
        <f>'TYL FGD'!$O$62</f>
        <v>1495986</v>
      </c>
      <c r="D112" s="443">
        <f>'TYL FGD'!$P$62</f>
        <v>-3974</v>
      </c>
      <c r="E112" s="601"/>
      <c r="F112" s="595"/>
      <c r="G112" s="604"/>
      <c r="H112" s="296">
        <f>'TYL FGD'!$T$62</f>
        <v>1495986</v>
      </c>
      <c r="I112" s="297">
        <f>'TYL FGD'!$U$62</f>
        <v>-3974</v>
      </c>
      <c r="J112" s="298">
        <f>'TYL FGD'!$V$62</f>
        <v>0</v>
      </c>
      <c r="K112" s="299">
        <f>'TYL FGD'!$W$62</f>
        <v>0</v>
      </c>
      <c r="L112" s="457">
        <f>'TYL FGD'!$X$62</f>
        <v>1492012</v>
      </c>
      <c r="M112" s="605" t="str">
        <f t="shared" si="5"/>
        <v/>
      </c>
    </row>
    <row r="113" spans="1:13" ht="25.5" hidden="1" outlineLevel="1">
      <c r="B113" s="395" t="str">
        <f>'UH1 Sum'!$A$1</f>
        <v>University of Houston - Academic &amp; Health (A+H)</v>
      </c>
      <c r="C113" s="440">
        <f>'UH1 FGD'!$O$62</f>
        <v>35946861</v>
      </c>
      <c r="D113" s="443">
        <f>'UH1 FGD'!$P$62</f>
        <v>-263669</v>
      </c>
      <c r="E113" s="601"/>
      <c r="F113" s="595"/>
      <c r="G113" s="604"/>
      <c r="H113" s="296">
        <f>'UH1 FGD'!$T$62</f>
        <v>35946861</v>
      </c>
      <c r="I113" s="297">
        <f>'UH1 FGD'!$U$62</f>
        <v>-263669</v>
      </c>
      <c r="J113" s="298">
        <f>'UH1 FGD'!$V$62</f>
        <v>0</v>
      </c>
      <c r="K113" s="299">
        <f>'UH1 FGD'!$W$62</f>
        <v>0</v>
      </c>
      <c r="L113" s="457">
        <f>'UH1 FGD'!$X$62</f>
        <v>35683192</v>
      </c>
      <c r="M113" s="605" t="str">
        <f t="shared" si="5"/>
        <v/>
      </c>
    </row>
    <row r="114" spans="1:13" hidden="1" outlineLevel="1">
      <c r="B114" s="395" t="str">
        <f>'UHCL Sum'!$A$1</f>
        <v>University of Houston - Clear Lake</v>
      </c>
      <c r="C114" s="440">
        <f>'UHCL FGD'!$O$62</f>
        <v>67916</v>
      </c>
      <c r="D114" s="443">
        <f>'UHCL FGD'!$P$62</f>
        <v>0</v>
      </c>
      <c r="E114" s="601"/>
      <c r="F114" s="595"/>
      <c r="G114" s="604"/>
      <c r="H114" s="296">
        <f>'UHCL FGD'!$T$62</f>
        <v>67916</v>
      </c>
      <c r="I114" s="297">
        <f>'UHCL FGD'!$U$62</f>
        <v>0</v>
      </c>
      <c r="J114" s="298">
        <f>'UHCL FGD'!$V$62</f>
        <v>0</v>
      </c>
      <c r="K114" s="299">
        <f>'UHCL FGD'!$W$62</f>
        <v>0</v>
      </c>
      <c r="L114" s="457">
        <f>'UHCL FGD'!$X$62</f>
        <v>67916</v>
      </c>
      <c r="M114" s="605" t="str">
        <f t="shared" si="5"/>
        <v/>
      </c>
    </row>
    <row r="115" spans="1:13" hidden="1" outlineLevel="1">
      <c r="B115" s="395" t="str">
        <f>'UHD Sum'!$A$1</f>
        <v>University of Houston - Downtown</v>
      </c>
      <c r="C115" s="440">
        <f>'UHD FGD'!$O$62</f>
        <v>2655558</v>
      </c>
      <c r="D115" s="443">
        <f>'UHD FGD'!$P$62</f>
        <v>0</v>
      </c>
      <c r="E115" s="601"/>
      <c r="F115" s="595"/>
      <c r="G115" s="604"/>
      <c r="H115" s="296">
        <f>'UHD FGD'!$T$62</f>
        <v>2655558</v>
      </c>
      <c r="I115" s="297">
        <f>'UHD FGD'!$U$62</f>
        <v>0</v>
      </c>
      <c r="J115" s="298">
        <f>'UHD FGD'!$V$62</f>
        <v>0</v>
      </c>
      <c r="K115" s="299">
        <f>'UHD FGD'!$W$62</f>
        <v>0</v>
      </c>
      <c r="L115" s="457">
        <f>'UHD FGD'!$X$62</f>
        <v>2655558</v>
      </c>
      <c r="M115" s="605" t="str">
        <f t="shared" si="5"/>
        <v/>
      </c>
    </row>
    <row r="116" spans="1:13" hidden="1" outlineLevel="1">
      <c r="B116" s="395" t="str">
        <f>'UHV Sum'!$A$1</f>
        <v>University of Houston - Victoria</v>
      </c>
      <c r="C116" s="440">
        <f>'UHV FGD'!$O$62</f>
        <v>863943</v>
      </c>
      <c r="D116" s="443">
        <f>'UHV FGD'!$P$62</f>
        <v>8442</v>
      </c>
      <c r="E116" s="601"/>
      <c r="F116" s="595"/>
      <c r="G116" s="604"/>
      <c r="H116" s="296">
        <f>'UHV FGD'!$T$62</f>
        <v>863943</v>
      </c>
      <c r="I116" s="297">
        <f>'UHV FGD'!$U$62</f>
        <v>8442</v>
      </c>
      <c r="J116" s="298">
        <f>'UHV FGD'!$V$62</f>
        <v>0</v>
      </c>
      <c r="K116" s="299">
        <f>'UHV FGD'!$W$62</f>
        <v>0</v>
      </c>
      <c r="L116" s="457">
        <f>'UHV FGD'!$X$62</f>
        <v>872385</v>
      </c>
      <c r="M116" s="605" t="str">
        <f t="shared" si="5"/>
        <v/>
      </c>
    </row>
    <row r="117" spans="1:13" hidden="1" outlineLevel="1">
      <c r="B117" s="395" t="str">
        <f>'UNT Sum'!$A$1</f>
        <v>University of North Texas</v>
      </c>
      <c r="C117" s="440">
        <f>'UNT FGD'!$O$62</f>
        <v>7491324</v>
      </c>
      <c r="D117" s="443">
        <f>'UNT FGD'!$P$62</f>
        <v>0</v>
      </c>
      <c r="E117" s="601"/>
      <c r="F117" s="595"/>
      <c r="G117" s="604"/>
      <c r="H117" s="296">
        <f>'UNT FGD'!$T$62</f>
        <v>7491324</v>
      </c>
      <c r="I117" s="297">
        <f>'UNT FGD'!$U$62</f>
        <v>0</v>
      </c>
      <c r="J117" s="298">
        <f>'UNT FGD'!$V$62</f>
        <v>0</v>
      </c>
      <c r="K117" s="299">
        <f>'UNT FGD'!$W$62</f>
        <v>0</v>
      </c>
      <c r="L117" s="457">
        <f>'UNT FGD'!$X$62</f>
        <v>7491324</v>
      </c>
      <c r="M117" s="605" t="str">
        <f t="shared" si="5"/>
        <v/>
      </c>
    </row>
    <row r="118" spans="1:13" hidden="1" outlineLevel="1">
      <c r="B118" s="395" t="str">
        <f>'UNTD Sum'!$A$1</f>
        <v>University of North Texas at Dallas</v>
      </c>
      <c r="C118" s="440">
        <f>'UNTD FGD'!$O$62</f>
        <v>2931830</v>
      </c>
      <c r="D118" s="443">
        <f>'UNTD FGD'!$P$62</f>
        <v>0</v>
      </c>
      <c r="E118" s="601"/>
      <c r="F118" s="595"/>
      <c r="G118" s="604"/>
      <c r="H118" s="296">
        <f>'UNTD FGD'!$T$62</f>
        <v>2931830</v>
      </c>
      <c r="I118" s="297">
        <f>'UNTD FGD'!$U$62</f>
        <v>0</v>
      </c>
      <c r="J118" s="298">
        <f>'UNTD FGD'!$V$62</f>
        <v>0</v>
      </c>
      <c r="K118" s="299">
        <f>'UNTD FGD'!$W$62</f>
        <v>0</v>
      </c>
      <c r="L118" s="457">
        <f>'UNTD FGD'!$X$62</f>
        <v>2931830</v>
      </c>
      <c r="M118" s="605" t="str">
        <f t="shared" si="5"/>
        <v/>
      </c>
    </row>
    <row r="119" spans="1:13" hidden="1" outlineLevel="1">
      <c r="B119" s="395" t="str">
        <f>'WTAMU Sum'!$A$1</f>
        <v>West Texas A&amp;M University</v>
      </c>
      <c r="C119" s="440">
        <f>'WTAMU FGD'!$O$62</f>
        <v>4034086</v>
      </c>
      <c r="D119" s="443">
        <f>'WTAMU FGD'!$P$62</f>
        <v>9995</v>
      </c>
      <c r="E119" s="601"/>
      <c r="F119" s="595"/>
      <c r="G119" s="604"/>
      <c r="H119" s="296">
        <f>'WTAMU FGD'!$T$62</f>
        <v>4034086</v>
      </c>
      <c r="I119" s="297">
        <f>'WTAMU FGD'!$U$62</f>
        <v>9995</v>
      </c>
      <c r="J119" s="298">
        <f>'WTAMU FGD'!$V$62</f>
        <v>0</v>
      </c>
      <c r="K119" s="299">
        <f>'WTAMU FGD'!$W$62</f>
        <v>0</v>
      </c>
      <c r="L119" s="457">
        <f>'WTAMU FGD'!$X$62</f>
        <v>4044081</v>
      </c>
      <c r="M119" s="605" t="str">
        <f t="shared" si="5"/>
        <v/>
      </c>
    </row>
    <row r="120" spans="1:13" ht="13.5" collapsed="1" thickTop="1">
      <c r="A120">
        <f>COUNTA(B84:B119)</f>
        <v>36</v>
      </c>
      <c r="B120" s="160" t="s">
        <v>16</v>
      </c>
      <c r="C120" s="440">
        <f>SUM(C84:C119)</f>
        <v>289341212</v>
      </c>
      <c r="D120" s="443">
        <f>SUM(D84:D119)</f>
        <v>4504173</v>
      </c>
      <c r="E120" s="600"/>
      <c r="F120" s="596"/>
      <c r="G120" s="604"/>
      <c r="H120" s="296">
        <f>SUM(H84:H119)</f>
        <v>289341212</v>
      </c>
      <c r="I120" s="297">
        <f>SUM(I84:I119)</f>
        <v>4504173</v>
      </c>
      <c r="J120" s="298">
        <f>SUM(J84:J119)</f>
        <v>2979511</v>
      </c>
      <c r="K120" s="299">
        <f>SUM(K84:K119)</f>
        <v>582410</v>
      </c>
      <c r="L120" s="303">
        <f>SUM(L84:L119)</f>
        <v>290283464</v>
      </c>
      <c r="M120" s="605" t="str">
        <f t="shared" si="5"/>
        <v/>
      </c>
    </row>
    <row r="121" spans="1:13" hidden="1" outlineLevel="1">
      <c r="B121" s="395" t="str">
        <f>'ARL Sum'!$A$1</f>
        <v>The University of Texas at Arlington</v>
      </c>
      <c r="C121" s="440">
        <f>'ARL FGD'!$O$63</f>
        <v>61502658</v>
      </c>
      <c r="D121" s="443">
        <f>'ARL FGD'!$P$63</f>
        <v>532003</v>
      </c>
      <c r="E121" s="601"/>
      <c r="F121" s="596">
        <f>'ARL FGD'!$R$63</f>
        <v>62034661</v>
      </c>
      <c r="G121" s="603" t="str">
        <f t="shared" si="4"/>
        <v/>
      </c>
      <c r="H121" s="296">
        <f>'ARL FGD'!$T$63</f>
        <v>61502658</v>
      </c>
      <c r="I121" s="297">
        <f>'ARL FGD'!$U$63</f>
        <v>532003</v>
      </c>
      <c r="J121" s="298">
        <f>'ARL FGD'!$V$63</f>
        <v>0</v>
      </c>
      <c r="K121" s="299">
        <f>'ARL FGD'!$W$63</f>
        <v>0</v>
      </c>
      <c r="L121" s="303">
        <f>'ARL FGD'!$X$63</f>
        <v>62034661</v>
      </c>
      <c r="M121" s="605" t="str">
        <f t="shared" si="5"/>
        <v/>
      </c>
    </row>
    <row r="122" spans="1:13" hidden="1" outlineLevel="1">
      <c r="B122" s="395" t="str">
        <f>'ASU Sum'!$A$1</f>
        <v>Angelo State University</v>
      </c>
      <c r="C122" s="440">
        <f>'ASU FGD'!$O$63</f>
        <v>6954976</v>
      </c>
      <c r="D122" s="443">
        <f>'ASU FGD'!$P$63</f>
        <v>102115</v>
      </c>
      <c r="E122" s="601"/>
      <c r="F122" s="596">
        <f>'ASU FGD'!$R$63</f>
        <v>7057091</v>
      </c>
      <c r="G122" s="603" t="str">
        <f t="shared" si="4"/>
        <v/>
      </c>
      <c r="H122" s="296">
        <f>'ASU FGD'!$T$63</f>
        <v>6954976</v>
      </c>
      <c r="I122" s="297">
        <f>'ASU FGD'!$U$63</f>
        <v>102115</v>
      </c>
      <c r="J122" s="298">
        <f>'ASU FGD'!$V$63</f>
        <v>0</v>
      </c>
      <c r="K122" s="299">
        <f>'ASU FGD'!$W$63</f>
        <v>0</v>
      </c>
      <c r="L122" s="303">
        <f>'ASU FGD'!$X$63</f>
        <v>7057091</v>
      </c>
      <c r="M122" s="605" t="str">
        <f t="shared" si="5"/>
        <v/>
      </c>
    </row>
    <row r="123" spans="1:13" ht="25.5" hidden="1" outlineLevel="1">
      <c r="B123" s="395" t="str">
        <f>'AUS1 Sum'!$A$1</f>
        <v>The University of Texas at Austin - Academic &amp; Health (A+H)</v>
      </c>
      <c r="C123" s="440">
        <f>'AUS1 FGD'!$O$63</f>
        <v>309781831</v>
      </c>
      <c r="D123" s="443">
        <f>'AUS1 FGD'!$P$63</f>
        <v>20220542</v>
      </c>
      <c r="E123" s="601"/>
      <c r="F123" s="596">
        <f>'AUS1 FGD'!$R$63</f>
        <v>330002373</v>
      </c>
      <c r="G123" s="603" t="str">
        <f t="shared" si="4"/>
        <v/>
      </c>
      <c r="H123" s="296">
        <f>'AUS1 FGD'!$T$63</f>
        <v>309781831</v>
      </c>
      <c r="I123" s="297">
        <f>'AUS1 FGD'!$U$63</f>
        <v>20220542</v>
      </c>
      <c r="J123" s="298">
        <f>'AUS1 FGD'!$V$63</f>
        <v>0</v>
      </c>
      <c r="K123" s="299">
        <f>'AUS1 FGD'!$W$63</f>
        <v>0</v>
      </c>
      <c r="L123" s="303">
        <f>'AUS1 FGD'!$X$63</f>
        <v>330002373</v>
      </c>
      <c r="M123" s="605" t="str">
        <f t="shared" si="5"/>
        <v/>
      </c>
    </row>
    <row r="124" spans="1:13" ht="25.5" hidden="1" outlineLevel="1">
      <c r="B124" s="395" t="str">
        <f>'RGV1 Sum'!$A$1</f>
        <v>The University of Texas RGV - Academic &amp; Health (A+H)</v>
      </c>
      <c r="C124" s="440">
        <f>'RGV1 FGD'!$O$63</f>
        <v>47325576</v>
      </c>
      <c r="D124" s="443">
        <f>'RGV1 FGD'!$P$63</f>
        <v>5736049</v>
      </c>
      <c r="E124" s="601"/>
      <c r="F124" s="596">
        <f>'RGV1 FGD'!$R$63</f>
        <v>53061625</v>
      </c>
      <c r="G124" s="603" t="str">
        <f t="shared" ref="G124" si="6">IF(SUM(C124:D124)-E124&lt;&gt;F124,"Error","")</f>
        <v/>
      </c>
      <c r="H124" s="296">
        <f>'RGV1 FGD'!$T$63</f>
        <v>47325576</v>
      </c>
      <c r="I124" s="297">
        <f>'RGV1 FGD'!$U$63</f>
        <v>5736049</v>
      </c>
      <c r="J124" s="298">
        <f>'RGV1 FGD'!$V$63</f>
        <v>0</v>
      </c>
      <c r="K124" s="299">
        <f>'RGV1 FGD'!$W$63</f>
        <v>0</v>
      </c>
      <c r="L124" s="303">
        <f>'RGV1 FGD'!$X$63</f>
        <v>53061625</v>
      </c>
      <c r="M124" s="605" t="str">
        <f t="shared" si="5"/>
        <v/>
      </c>
    </row>
    <row r="125" spans="1:13" hidden="1" outlineLevel="1">
      <c r="B125" s="395" t="str">
        <f>'DAL Sum'!$A$1</f>
        <v>The University of Texas at Dallas</v>
      </c>
      <c r="C125" s="440">
        <f>'DAL FGD'!$O$63</f>
        <v>63009599</v>
      </c>
      <c r="D125" s="443">
        <f>'DAL FGD'!$P$63</f>
        <v>2855270</v>
      </c>
      <c r="E125" s="601"/>
      <c r="F125" s="596">
        <f>'DAL FGD'!$R$63</f>
        <v>65864869</v>
      </c>
      <c r="G125" s="603" t="str">
        <f t="shared" si="4"/>
        <v/>
      </c>
      <c r="H125" s="296">
        <f>'DAL FGD'!$T$63</f>
        <v>63009599</v>
      </c>
      <c r="I125" s="297">
        <f>'DAL FGD'!$U$63</f>
        <v>2855270</v>
      </c>
      <c r="J125" s="298">
        <f>'DAL FGD'!$V$63</f>
        <v>0</v>
      </c>
      <c r="K125" s="299">
        <f>'DAL FGD'!$W$63</f>
        <v>0</v>
      </c>
      <c r="L125" s="303">
        <f>'DAL FGD'!$X$63</f>
        <v>65864869</v>
      </c>
      <c r="M125" s="605" t="str">
        <f t="shared" si="5"/>
        <v/>
      </c>
    </row>
    <row r="126" spans="1:13" hidden="1" outlineLevel="1">
      <c r="B126" s="395" t="str">
        <f>'E-P Sum'!$A$1</f>
        <v>The University of Texas at El Paso</v>
      </c>
      <c r="C126" s="440">
        <f>'E-P FGD'!$O$63</f>
        <v>26993271</v>
      </c>
      <c r="D126" s="443">
        <f>'E-P FGD'!$P$63</f>
        <v>947570</v>
      </c>
      <c r="E126" s="601"/>
      <c r="F126" s="596">
        <f>'E-P FGD'!$R$63</f>
        <v>27940841</v>
      </c>
      <c r="G126" s="603" t="str">
        <f t="shared" si="4"/>
        <v/>
      </c>
      <c r="H126" s="296">
        <f>'E-P FGD'!$T$63</f>
        <v>26993271</v>
      </c>
      <c r="I126" s="297">
        <f>'E-P FGD'!$U$63</f>
        <v>947570</v>
      </c>
      <c r="J126" s="298">
        <f>'E-P FGD'!$V$63</f>
        <v>0</v>
      </c>
      <c r="K126" s="299">
        <f>'E-P FGD'!$W$63</f>
        <v>0</v>
      </c>
      <c r="L126" s="303">
        <f>'E-P FGD'!$X$63</f>
        <v>27940841</v>
      </c>
      <c r="M126" s="605" t="str">
        <f t="shared" si="5"/>
        <v/>
      </c>
    </row>
    <row r="127" spans="1:13" hidden="1" outlineLevel="1">
      <c r="B127" s="395" t="str">
        <f>'LU Sum'!$A$1</f>
        <v xml:space="preserve">Lamar University </v>
      </c>
      <c r="C127" s="440">
        <f>'LU FGD'!$O$63</f>
        <v>47163895</v>
      </c>
      <c r="D127" s="443">
        <f>'LU FGD'!$P$63</f>
        <v>457854</v>
      </c>
      <c r="E127" s="601"/>
      <c r="F127" s="596">
        <f>'LU FGD'!$R$63</f>
        <v>47621749</v>
      </c>
      <c r="G127" s="603" t="str">
        <f t="shared" si="4"/>
        <v/>
      </c>
      <c r="H127" s="296">
        <f>'LU FGD'!$T$63</f>
        <v>47163895</v>
      </c>
      <c r="I127" s="297">
        <f>'LU FGD'!$U$63</f>
        <v>457854</v>
      </c>
      <c r="J127" s="298">
        <f>'LU FGD'!$V$63</f>
        <v>0</v>
      </c>
      <c r="K127" s="299">
        <f>'LU FGD'!$W$63</f>
        <v>0</v>
      </c>
      <c r="L127" s="303">
        <f>'LU FGD'!$X$63</f>
        <v>47621749</v>
      </c>
      <c r="M127" s="605" t="str">
        <f t="shared" si="5"/>
        <v/>
      </c>
    </row>
    <row r="128" spans="1:13" hidden="1" outlineLevel="1">
      <c r="B128" s="395" t="str">
        <f>'MidWST Sum'!$A$1</f>
        <v>Midwestern State University</v>
      </c>
      <c r="C128" s="440">
        <f>'MidWST FGD'!$O$63</f>
        <v>10430436</v>
      </c>
      <c r="D128" s="443">
        <f>'MidWST FGD'!$P$63</f>
        <v>4754138</v>
      </c>
      <c r="E128" s="601"/>
      <c r="F128" s="596">
        <f>'MidWST FGD'!$R$63</f>
        <v>15184574</v>
      </c>
      <c r="G128" s="603" t="str">
        <f t="shared" si="4"/>
        <v/>
      </c>
      <c r="H128" s="296">
        <f>'MidWST FGD'!$T$63</f>
        <v>10430436</v>
      </c>
      <c r="I128" s="297">
        <f>'MidWST FGD'!$U$63</f>
        <v>4754138</v>
      </c>
      <c r="J128" s="298">
        <f>'MidWST FGD'!$V$63</f>
        <v>0</v>
      </c>
      <c r="K128" s="299">
        <f>'MidWST FGD'!$W$63</f>
        <v>0</v>
      </c>
      <c r="L128" s="303">
        <f>'MidWST FGD'!$X$63</f>
        <v>15184574</v>
      </c>
      <c r="M128" s="605" t="str">
        <f t="shared" si="5"/>
        <v/>
      </c>
    </row>
    <row r="129" spans="2:13" ht="15.75" hidden="1" customHeight="1" outlineLevel="1">
      <c r="B129" s="395" t="str">
        <f>'P-B Sum'!$A$1</f>
        <v>The University of Texas of the Permian Basin</v>
      </c>
      <c r="C129" s="440">
        <f>'P-B FGD'!$O$63</f>
        <v>7304629</v>
      </c>
      <c r="D129" s="443">
        <f>'P-B FGD'!$P$63</f>
        <v>234378</v>
      </c>
      <c r="E129" s="601"/>
      <c r="F129" s="596">
        <f>'P-B FGD'!$R$63</f>
        <v>7539007</v>
      </c>
      <c r="G129" s="603" t="str">
        <f t="shared" si="4"/>
        <v/>
      </c>
      <c r="H129" s="296">
        <f>'P-B FGD'!$T$63</f>
        <v>7304629</v>
      </c>
      <c r="I129" s="297">
        <f>'P-B FGD'!$U$63</f>
        <v>234378</v>
      </c>
      <c r="J129" s="298">
        <f>'P-B FGD'!$V$63</f>
        <v>0</v>
      </c>
      <c r="K129" s="299">
        <f>'P-B FGD'!$W$63</f>
        <v>0</v>
      </c>
      <c r="L129" s="303">
        <f>'P-B FGD'!$X$63</f>
        <v>7539007</v>
      </c>
      <c r="M129" s="605" t="str">
        <f t="shared" si="5"/>
        <v/>
      </c>
    </row>
    <row r="130" spans="2:13" hidden="1" outlineLevel="1">
      <c r="B130" s="395" t="str">
        <f>'PVAMU Sum'!$A$1</f>
        <v>Prairie View A&amp;M University</v>
      </c>
      <c r="C130" s="440">
        <f>'PVAMU FGD'!$O$63</f>
        <v>22197811</v>
      </c>
      <c r="D130" s="443">
        <f>'PVAMU FGD'!$P$63</f>
        <v>1729589</v>
      </c>
      <c r="E130" s="601"/>
      <c r="F130" s="596">
        <f>'PVAMU FGD'!$R$63</f>
        <v>23927400</v>
      </c>
      <c r="G130" s="603" t="str">
        <f t="shared" si="4"/>
        <v/>
      </c>
      <c r="H130" s="296">
        <f>'PVAMU FGD'!$T$63</f>
        <v>22197811</v>
      </c>
      <c r="I130" s="297">
        <f>'PVAMU FGD'!$U$63</f>
        <v>1729589</v>
      </c>
      <c r="J130" s="298">
        <f>'PVAMU FGD'!$V$63</f>
        <v>0</v>
      </c>
      <c r="K130" s="299">
        <f>'PVAMU FGD'!$W$63</f>
        <v>0</v>
      </c>
      <c r="L130" s="303">
        <f>'PVAMU FGD'!$X$63</f>
        <v>23927400</v>
      </c>
      <c r="M130" s="605" t="str">
        <f t="shared" si="5"/>
        <v/>
      </c>
    </row>
    <row r="131" spans="2:13" hidden="1" outlineLevel="1">
      <c r="B131" s="395" t="str">
        <f>'S-A Sum'!$A$1</f>
        <v>The University of Texas at San Antonio</v>
      </c>
      <c r="C131" s="440">
        <f>'S-A FGD'!$O$63</f>
        <v>71708636</v>
      </c>
      <c r="D131" s="443">
        <f>'S-A FGD'!$P$63</f>
        <v>14539395</v>
      </c>
      <c r="E131" s="601"/>
      <c r="F131" s="596">
        <f>'S-A FGD'!$R$63</f>
        <v>86248031</v>
      </c>
      <c r="G131" s="603" t="str">
        <f t="shared" si="4"/>
        <v/>
      </c>
      <c r="H131" s="296">
        <f>'S-A FGD'!$T$63</f>
        <v>71708636</v>
      </c>
      <c r="I131" s="297">
        <f>'S-A FGD'!$U$63</f>
        <v>14539395</v>
      </c>
      <c r="J131" s="298">
        <f>'S-A FGD'!$V$63</f>
        <v>0</v>
      </c>
      <c r="K131" s="299">
        <f>'S-A FGD'!$W$63</f>
        <v>0</v>
      </c>
      <c r="L131" s="303">
        <f>'S-A FGD'!$X$63</f>
        <v>86248031</v>
      </c>
      <c r="M131" s="605" t="str">
        <f t="shared" si="5"/>
        <v/>
      </c>
    </row>
    <row r="132" spans="2:13" hidden="1" outlineLevel="1">
      <c r="B132" s="395" t="str">
        <f>'SFA Sum'!$A$1</f>
        <v>Stephen F. Austin State University</v>
      </c>
      <c r="C132" s="440">
        <f>'SFA FGD'!$O$63</f>
        <v>16382558</v>
      </c>
      <c r="D132" s="443">
        <f>'SFA FGD'!$P$63</f>
        <v>181054</v>
      </c>
      <c r="E132" s="601"/>
      <c r="F132" s="596">
        <f>'SFA FGD'!$R$63</f>
        <v>16563612</v>
      </c>
      <c r="G132" s="603" t="str">
        <f t="shared" si="4"/>
        <v/>
      </c>
      <c r="H132" s="296">
        <f>'SFA FGD'!$T$63</f>
        <v>16382558</v>
      </c>
      <c r="I132" s="297">
        <f>'SFA FGD'!$U$63</f>
        <v>181054</v>
      </c>
      <c r="J132" s="298">
        <f>'SFA FGD'!$V$63</f>
        <v>0</v>
      </c>
      <c r="K132" s="299">
        <f>'SFA FGD'!$W$63</f>
        <v>0</v>
      </c>
      <c r="L132" s="303">
        <f>'SFA FGD'!$X$63</f>
        <v>16563612</v>
      </c>
      <c r="M132" s="605" t="str">
        <f t="shared" si="5"/>
        <v/>
      </c>
    </row>
    <row r="133" spans="2:13" ht="25.5" hidden="1" outlineLevel="1">
      <c r="B133" s="395" t="str">
        <f>'shsu1 Sum'!$A$1</f>
        <v>Sam Houston State University - Academic &amp; Health (A+H)</v>
      </c>
      <c r="C133" s="440">
        <f>'shsu1 FGD'!$O$63</f>
        <v>45405280</v>
      </c>
      <c r="D133" s="443">
        <f>'shsu1 FGD'!$P$63</f>
        <v>3205392</v>
      </c>
      <c r="E133" s="601"/>
      <c r="F133" s="596">
        <f>'shsu1 FGD'!$R$63</f>
        <v>48610672</v>
      </c>
      <c r="G133" s="603" t="str">
        <f t="shared" si="4"/>
        <v/>
      </c>
      <c r="H133" s="296">
        <f>'shsu1 FGD'!$T$63</f>
        <v>45405280</v>
      </c>
      <c r="I133" s="297">
        <f>'shsu1 FGD'!$U$63</f>
        <v>3205392</v>
      </c>
      <c r="J133" s="298">
        <f>'shsu1 FGD'!$V$63</f>
        <v>0</v>
      </c>
      <c r="K133" s="299">
        <f>'shsu1 FGD'!$W$63</f>
        <v>0</v>
      </c>
      <c r="L133" s="303">
        <f>'shsu1 FGD'!$X$63</f>
        <v>48610672</v>
      </c>
      <c r="M133" s="605" t="str">
        <f t="shared" si="5"/>
        <v/>
      </c>
    </row>
    <row r="134" spans="2:13" hidden="1" outlineLevel="1">
      <c r="B134" s="395" t="str">
        <f>'SRSU Sum'!$A$1</f>
        <v>Sul Ross State University</v>
      </c>
      <c r="C134" s="440">
        <f>'SRSU FGD'!$O$63</f>
        <v>4136916</v>
      </c>
      <c r="D134" s="443">
        <f>'SRSU FGD'!$P$63</f>
        <v>126</v>
      </c>
      <c r="E134" s="601"/>
      <c r="F134" s="596">
        <f>'SRSU FGD'!$R$63</f>
        <v>4137042</v>
      </c>
      <c r="G134" s="603" t="str">
        <f t="shared" si="4"/>
        <v/>
      </c>
      <c r="H134" s="296">
        <f>'SRSU FGD'!$T$63</f>
        <v>4136916</v>
      </c>
      <c r="I134" s="297">
        <f>'SRSU FGD'!$U$63</f>
        <v>126</v>
      </c>
      <c r="J134" s="298">
        <f>'SRSU FGD'!$V$63</f>
        <v>0</v>
      </c>
      <c r="K134" s="299">
        <f>'SRSU FGD'!$W$63</f>
        <v>0</v>
      </c>
      <c r="L134" s="303">
        <f>'SRSU FGD'!$X$63</f>
        <v>4137042</v>
      </c>
      <c r="M134" s="605" t="str">
        <f t="shared" si="5"/>
        <v/>
      </c>
    </row>
    <row r="135" spans="2:13" hidden="1" outlineLevel="1">
      <c r="B135" s="395" t="str">
        <f>'TAMIU Sum'!$A$1</f>
        <v>Texas A&amp;M International University</v>
      </c>
      <c r="C135" s="440">
        <f>'TAMIU FGD'!$O$63</f>
        <v>19230853</v>
      </c>
      <c r="D135" s="443">
        <f>'TAMIU FGD'!$P$63</f>
        <v>431046</v>
      </c>
      <c r="E135" s="601"/>
      <c r="F135" s="596">
        <f>'TAMIU FGD'!$R$63</f>
        <v>19661899</v>
      </c>
      <c r="G135" s="603" t="str">
        <f t="shared" ref="G135:G197" si="7">IF(SUM(C135:D135)-E135&lt;&gt;F135,"Error","")</f>
        <v/>
      </c>
      <c r="H135" s="296">
        <f>'TAMIU FGD'!$T$63</f>
        <v>19230853</v>
      </c>
      <c r="I135" s="297">
        <f>'TAMIU FGD'!$U$63</f>
        <v>431046</v>
      </c>
      <c r="J135" s="298">
        <f>'TAMIU FGD'!$V$63</f>
        <v>0</v>
      </c>
      <c r="K135" s="299">
        <f>'TAMIU FGD'!$W$63</f>
        <v>0</v>
      </c>
      <c r="L135" s="303">
        <f>'TAMIU FGD'!$X$63</f>
        <v>19661899</v>
      </c>
      <c r="M135" s="605" t="str">
        <f t="shared" ref="M135:M197" si="8">IF(H135+I135-J135-K135&lt;&gt;L135,"Error","")</f>
        <v/>
      </c>
    </row>
    <row r="136" spans="2:13" hidden="1" outlineLevel="1">
      <c r="B136" s="395" t="str">
        <f>'TAMU Sum'!$A$1</f>
        <v>Texas A&amp;M University</v>
      </c>
      <c r="C136" s="440">
        <f>'TAMU FGD'!$O$63</f>
        <v>255512124</v>
      </c>
      <c r="D136" s="443">
        <f>'TAMU FGD'!$P$63</f>
        <v>10907900</v>
      </c>
      <c r="E136" s="601"/>
      <c r="F136" s="596">
        <f>'TAMU FGD'!$R$63</f>
        <v>266420024</v>
      </c>
      <c r="G136" s="603" t="str">
        <f t="shared" si="7"/>
        <v/>
      </c>
      <c r="H136" s="296">
        <f>'TAMU FGD'!$T$63</f>
        <v>255512124</v>
      </c>
      <c r="I136" s="297">
        <f>'TAMU FGD'!$U$63</f>
        <v>10907900</v>
      </c>
      <c r="J136" s="298">
        <f>'TAMU FGD'!$V$63</f>
        <v>0</v>
      </c>
      <c r="K136" s="299">
        <f>'TAMU FGD'!$W$63</f>
        <v>0</v>
      </c>
      <c r="L136" s="303">
        <f>'TAMU FGD'!$X$63</f>
        <v>266420024</v>
      </c>
      <c r="M136" s="605" t="str">
        <f t="shared" si="8"/>
        <v/>
      </c>
    </row>
    <row r="137" spans="2:13" hidden="1" outlineLevel="1">
      <c r="B137" s="395" t="str">
        <f>'TAMUC Sum'!$A$1</f>
        <v>Texas A&amp;M University - Commerce</v>
      </c>
      <c r="C137" s="440">
        <f>'TAMUC FGD'!$O$63</f>
        <v>16210496</v>
      </c>
      <c r="D137" s="443">
        <f>'TAMUC FGD'!$P$63</f>
        <v>215029</v>
      </c>
      <c r="E137" s="601"/>
      <c r="F137" s="596">
        <f>'TAMUC FGD'!$R$63</f>
        <v>16425525</v>
      </c>
      <c r="G137" s="603" t="str">
        <f t="shared" si="7"/>
        <v/>
      </c>
      <c r="H137" s="296">
        <f>'TAMUC FGD'!$T$63</f>
        <v>16210496</v>
      </c>
      <c r="I137" s="297">
        <f>'TAMUC FGD'!$U$63</f>
        <v>215029</v>
      </c>
      <c r="J137" s="298">
        <f>'TAMUC FGD'!$V$63</f>
        <v>0</v>
      </c>
      <c r="K137" s="299">
        <f>'TAMUC FGD'!$W$63</f>
        <v>0</v>
      </c>
      <c r="L137" s="303">
        <f>'TAMUC FGD'!$X$63</f>
        <v>16425525</v>
      </c>
      <c r="M137" s="605" t="str">
        <f t="shared" si="8"/>
        <v/>
      </c>
    </row>
    <row r="138" spans="2:13" hidden="1" outlineLevel="1">
      <c r="B138" s="395" t="str">
        <f>'TAMUCC Sum'!$A$1</f>
        <v>Texas A&amp;M University - Corpus Christi</v>
      </c>
      <c r="C138" s="440">
        <f>'TAMUCC FGD'!$O$63</f>
        <v>31421664</v>
      </c>
      <c r="D138" s="443">
        <f>'TAMUCC FGD'!$P$63</f>
        <v>1748950</v>
      </c>
      <c r="E138" s="601"/>
      <c r="F138" s="596">
        <f>'TAMUCC FGD'!$R$63</f>
        <v>33170614</v>
      </c>
      <c r="G138" s="603" t="str">
        <f t="shared" si="7"/>
        <v/>
      </c>
      <c r="H138" s="296">
        <f>'TAMUCC FGD'!$T$63</f>
        <v>31421664</v>
      </c>
      <c r="I138" s="297">
        <f>'TAMUCC FGD'!$U$63</f>
        <v>1748950</v>
      </c>
      <c r="J138" s="298">
        <f>'TAMUCC FGD'!$V$63</f>
        <v>0</v>
      </c>
      <c r="K138" s="299">
        <f>'TAMUCC FGD'!$W$63</f>
        <v>0</v>
      </c>
      <c r="L138" s="303">
        <f>'TAMUCC FGD'!$X$63</f>
        <v>33170614</v>
      </c>
      <c r="M138" s="605" t="str">
        <f t="shared" si="8"/>
        <v/>
      </c>
    </row>
    <row r="139" spans="2:13" hidden="1" outlineLevel="1">
      <c r="B139" s="395" t="str">
        <f>'TAMUCT Sum'!$A$1</f>
        <v>Texas A&amp;M University - Central Texas</v>
      </c>
      <c r="C139" s="440">
        <f>'TAMUCT FGD'!$O$63</f>
        <v>5750444</v>
      </c>
      <c r="D139" s="443">
        <f>'TAMUCT FGD'!$P$63</f>
        <v>157264</v>
      </c>
      <c r="E139" s="601"/>
      <c r="F139" s="596">
        <f>'TAMUCT FGD'!$R$63</f>
        <v>5907708</v>
      </c>
      <c r="G139" s="603" t="str">
        <f t="shared" si="7"/>
        <v/>
      </c>
      <c r="H139" s="296">
        <f>'TAMUCT FGD'!$T$63</f>
        <v>5750444</v>
      </c>
      <c r="I139" s="297">
        <f>'TAMUCT FGD'!$U$63</f>
        <v>157264</v>
      </c>
      <c r="J139" s="298">
        <f>'TAMUCT FGD'!$V$63</f>
        <v>0</v>
      </c>
      <c r="K139" s="299">
        <f>'TAMUCT FGD'!$W$63</f>
        <v>0</v>
      </c>
      <c r="L139" s="303">
        <f>'TAMUCT FGD'!$X$63</f>
        <v>5907708</v>
      </c>
      <c r="M139" s="605" t="str">
        <f t="shared" si="8"/>
        <v/>
      </c>
    </row>
    <row r="140" spans="2:13" hidden="1" outlineLevel="1">
      <c r="B140" s="395" t="str">
        <f>'TAMUG Sum'!$A$1</f>
        <v>Texas A&amp;M University at Galveston</v>
      </c>
      <c r="C140" s="440">
        <f>'TAMUG FGD'!$O$63</f>
        <v>6369577</v>
      </c>
      <c r="D140" s="443">
        <f>'TAMUG FGD'!$P$63</f>
        <v>3788</v>
      </c>
      <c r="E140" s="601"/>
      <c r="F140" s="596">
        <f>'TAMUG FGD'!$R$63</f>
        <v>6373365</v>
      </c>
      <c r="G140" s="603" t="str">
        <f t="shared" si="7"/>
        <v/>
      </c>
      <c r="H140" s="296">
        <f>'TAMUG FGD'!$T$63</f>
        <v>6369577</v>
      </c>
      <c r="I140" s="297">
        <f>'TAMUG FGD'!$U$63</f>
        <v>3788</v>
      </c>
      <c r="J140" s="298">
        <f>'TAMUG FGD'!$V$63</f>
        <v>0</v>
      </c>
      <c r="K140" s="299">
        <f>'TAMUG FGD'!$W$63</f>
        <v>0</v>
      </c>
      <c r="L140" s="303">
        <f>'TAMUG FGD'!$X$63</f>
        <v>6373365</v>
      </c>
      <c r="M140" s="605" t="str">
        <f t="shared" si="8"/>
        <v/>
      </c>
    </row>
    <row r="141" spans="2:13" hidden="1" outlineLevel="1">
      <c r="B141" s="395" t="str">
        <f>'TAMUK Sum'!$A$1</f>
        <v>Texas A&amp;M University - Kingsville</v>
      </c>
      <c r="C141" s="440">
        <f>'TAMUK FGD'!$O$63</f>
        <v>12607756</v>
      </c>
      <c r="D141" s="443">
        <f>'TAMUK FGD'!$P$63</f>
        <v>54735</v>
      </c>
      <c r="E141" s="601"/>
      <c r="F141" s="596">
        <f>'TAMUK FGD'!$R$63</f>
        <v>12662491</v>
      </c>
      <c r="G141" s="603" t="str">
        <f t="shared" si="7"/>
        <v/>
      </c>
      <c r="H141" s="296">
        <f>'TAMUK FGD'!$T$63</f>
        <v>12607756</v>
      </c>
      <c r="I141" s="297">
        <f>'TAMUK FGD'!$U$63</f>
        <v>54735</v>
      </c>
      <c r="J141" s="298">
        <f>'TAMUK FGD'!$V$63</f>
        <v>0</v>
      </c>
      <c r="K141" s="299">
        <f>'TAMUK FGD'!$W$63</f>
        <v>0</v>
      </c>
      <c r="L141" s="303">
        <f>'TAMUK FGD'!$X$63</f>
        <v>12662491</v>
      </c>
      <c r="M141" s="605" t="str">
        <f t="shared" si="8"/>
        <v/>
      </c>
    </row>
    <row r="142" spans="2:13" hidden="1" outlineLevel="1">
      <c r="B142" s="395" t="str">
        <f>'TAMUSA Sum'!$A$1</f>
        <v>Texas A&amp;M University - San Antonio</v>
      </c>
      <c r="C142" s="440">
        <f>'TAMUSA FGD'!$O$63</f>
        <v>6193436</v>
      </c>
      <c r="D142" s="443">
        <f>'TAMUSA FGD'!$P$63</f>
        <v>26326</v>
      </c>
      <c r="E142" s="601"/>
      <c r="F142" s="596">
        <f>'TAMUSA FGD'!$R$63</f>
        <v>6219762</v>
      </c>
      <c r="G142" s="603" t="str">
        <f t="shared" si="7"/>
        <v/>
      </c>
      <c r="H142" s="296">
        <f>'TAMUSA FGD'!$T$63</f>
        <v>6193436</v>
      </c>
      <c r="I142" s="297">
        <f>'TAMUSA FGD'!$U$63</f>
        <v>26326</v>
      </c>
      <c r="J142" s="298">
        <f>'TAMUSA FGD'!$V$63</f>
        <v>0</v>
      </c>
      <c r="K142" s="299">
        <f>'TAMUSA FGD'!$W$63</f>
        <v>0</v>
      </c>
      <c r="L142" s="303">
        <f>'TAMUSA FGD'!$X$63</f>
        <v>6219762</v>
      </c>
      <c r="M142" s="605" t="str">
        <f t="shared" si="8"/>
        <v/>
      </c>
    </row>
    <row r="143" spans="2:13" hidden="1" outlineLevel="1">
      <c r="B143" s="395" t="str">
        <f>'TAMUT Sum'!$A$1</f>
        <v>Texas A&amp;M University - Texarkana</v>
      </c>
      <c r="C143" s="440">
        <f>'TAMUT FGD'!$O$63</f>
        <v>4250274</v>
      </c>
      <c r="D143" s="443">
        <f>'TAMUT FGD'!$P$63</f>
        <v>163136</v>
      </c>
      <c r="E143" s="601"/>
      <c r="F143" s="596">
        <f>'TAMUT FGD'!$R$63</f>
        <v>4413410</v>
      </c>
      <c r="G143" s="603" t="str">
        <f t="shared" si="7"/>
        <v/>
      </c>
      <c r="H143" s="296">
        <f>'TAMUT FGD'!$T$63</f>
        <v>4250274</v>
      </c>
      <c r="I143" s="297">
        <f>'TAMUT FGD'!$U$63</f>
        <v>163136</v>
      </c>
      <c r="J143" s="298">
        <f>'TAMUT FGD'!$V$63</f>
        <v>0</v>
      </c>
      <c r="K143" s="299">
        <f>'TAMUT FGD'!$W$63</f>
        <v>0</v>
      </c>
      <c r="L143" s="303">
        <f>'TAMUT FGD'!$X$63</f>
        <v>4413410</v>
      </c>
      <c r="M143" s="605" t="str">
        <f t="shared" si="8"/>
        <v/>
      </c>
    </row>
    <row r="144" spans="2:13" hidden="1" outlineLevel="1">
      <c r="B144" s="395" t="str">
        <f>'TARLST Sum'!$A$1</f>
        <v>Tarleton State University</v>
      </c>
      <c r="C144" s="440">
        <f>'TARLST FGD'!$O$63</f>
        <v>22255061</v>
      </c>
      <c r="D144" s="443">
        <f>'TARLST FGD'!$P$63</f>
        <v>220014</v>
      </c>
      <c r="E144" s="601"/>
      <c r="F144" s="596">
        <f>'TARLST FGD'!$R$63</f>
        <v>22475075</v>
      </c>
      <c r="G144" s="603" t="str">
        <f t="shared" si="7"/>
        <v/>
      </c>
      <c r="H144" s="296">
        <f>'TARLST FGD'!$T$63</f>
        <v>22255061</v>
      </c>
      <c r="I144" s="297">
        <f>'TARLST FGD'!$U$63</f>
        <v>220014</v>
      </c>
      <c r="J144" s="298">
        <f>'TARLST FGD'!$V$63</f>
        <v>0</v>
      </c>
      <c r="K144" s="299">
        <f>'TARLST FGD'!$W$63</f>
        <v>0</v>
      </c>
      <c r="L144" s="303">
        <f>'TARLST FGD'!$X$63</f>
        <v>22475075</v>
      </c>
      <c r="M144" s="605" t="str">
        <f t="shared" si="8"/>
        <v/>
      </c>
    </row>
    <row r="145" spans="1:13" hidden="1" outlineLevel="1">
      <c r="B145" s="395" t="str">
        <f>'TSU Sum'!$A$1</f>
        <v>Texas Southern University</v>
      </c>
      <c r="C145" s="440">
        <f>'TSU FGD'!$O$63</f>
        <v>14218111</v>
      </c>
      <c r="D145" s="443">
        <f>'TSU FGD'!$P$63</f>
        <v>2502731</v>
      </c>
      <c r="E145" s="601"/>
      <c r="F145" s="596">
        <f>'TSU FGD'!$R$63</f>
        <v>16720842</v>
      </c>
      <c r="G145" s="603" t="str">
        <f t="shared" si="7"/>
        <v/>
      </c>
      <c r="H145" s="296">
        <f>'TSU FGD'!$T$63</f>
        <v>14218111</v>
      </c>
      <c r="I145" s="297">
        <f>'TSU FGD'!$U$63</f>
        <v>2502731</v>
      </c>
      <c r="J145" s="298">
        <f>'TSU FGD'!$V$63</f>
        <v>0</v>
      </c>
      <c r="K145" s="299">
        <f>'TSU FGD'!$W$63</f>
        <v>0</v>
      </c>
      <c r="L145" s="303">
        <f>'TSU FGD'!$X$63</f>
        <v>16720842</v>
      </c>
      <c r="M145" s="605" t="str">
        <f t="shared" si="8"/>
        <v/>
      </c>
    </row>
    <row r="146" spans="1:13" hidden="1" outlineLevel="1">
      <c r="B146" s="395" t="str">
        <f>'TTU Sum'!$A$1</f>
        <v>Texas Tech University</v>
      </c>
      <c r="C146" s="440">
        <f>'TTU FGD'!$O$63</f>
        <v>86733482</v>
      </c>
      <c r="D146" s="443">
        <f>'TTU FGD'!$P$63</f>
        <v>2590992</v>
      </c>
      <c r="E146" s="601"/>
      <c r="F146" s="596">
        <f>'TTU FGD'!$R$63</f>
        <v>89324474</v>
      </c>
      <c r="G146" s="603" t="str">
        <f t="shared" si="7"/>
        <v/>
      </c>
      <c r="H146" s="296">
        <f>'TTU FGD'!$T$63</f>
        <v>86733482</v>
      </c>
      <c r="I146" s="297">
        <f>'TTU FGD'!$U$63</f>
        <v>2590992</v>
      </c>
      <c r="J146" s="298">
        <f>'TTU FGD'!$V$63</f>
        <v>0</v>
      </c>
      <c r="K146" s="299">
        <f>'TTU FGD'!$W$63</f>
        <v>0</v>
      </c>
      <c r="L146" s="303">
        <f>'TTU FGD'!$X$63</f>
        <v>89324474</v>
      </c>
      <c r="M146" s="605" t="str">
        <f t="shared" si="8"/>
        <v/>
      </c>
    </row>
    <row r="147" spans="1:13" hidden="1" outlineLevel="1">
      <c r="B147" s="395" t="str">
        <f>'TWU Sum'!$A$1</f>
        <v>Texas Woman's University</v>
      </c>
      <c r="C147" s="440">
        <f>'TWU FGD'!$O$63</f>
        <v>29599978</v>
      </c>
      <c r="D147" s="443">
        <f>'TWU FGD'!$P$63</f>
        <v>170452</v>
      </c>
      <c r="E147" s="601"/>
      <c r="F147" s="596">
        <f>'TWU FGD'!$R$63</f>
        <v>29770430</v>
      </c>
      <c r="G147" s="603" t="str">
        <f t="shared" si="7"/>
        <v/>
      </c>
      <c r="H147" s="296">
        <f>'TWU FGD'!$T$63</f>
        <v>29599978</v>
      </c>
      <c r="I147" s="297">
        <f>'TWU FGD'!$U$63</f>
        <v>170452</v>
      </c>
      <c r="J147" s="298">
        <f>'TWU FGD'!$V$63</f>
        <v>0</v>
      </c>
      <c r="K147" s="299">
        <f>'TWU FGD'!$W$63</f>
        <v>0</v>
      </c>
      <c r="L147" s="303">
        <f>'TWU FGD'!$X$63</f>
        <v>29770430</v>
      </c>
      <c r="M147" s="605" t="str">
        <f t="shared" si="8"/>
        <v/>
      </c>
    </row>
    <row r="148" spans="1:13" hidden="1" outlineLevel="1">
      <c r="B148" s="395" t="str">
        <f>'TXST Sum'!$A$1</f>
        <v>Texas State University</v>
      </c>
      <c r="C148" s="440">
        <f>'TXST FGD'!$O$63</f>
        <v>40428154</v>
      </c>
      <c r="D148" s="443">
        <f>'TXST FGD'!$P$63</f>
        <v>5454150</v>
      </c>
      <c r="E148" s="601"/>
      <c r="F148" s="596">
        <f>'TXST FGD'!$R$63</f>
        <v>45882304</v>
      </c>
      <c r="G148" s="603" t="str">
        <f t="shared" si="7"/>
        <v/>
      </c>
      <c r="H148" s="296">
        <f>'TXST FGD'!$T$63</f>
        <v>40428154</v>
      </c>
      <c r="I148" s="297">
        <f>'TXST FGD'!$U$63</f>
        <v>5454150</v>
      </c>
      <c r="J148" s="298">
        <f>'TXST FGD'!$V$63</f>
        <v>0</v>
      </c>
      <c r="K148" s="299">
        <f>'TXST FGD'!$W$63</f>
        <v>0</v>
      </c>
      <c r="L148" s="303">
        <f>'TXST FGD'!$X$63</f>
        <v>45882304</v>
      </c>
      <c r="M148" s="605" t="str">
        <f t="shared" si="8"/>
        <v/>
      </c>
    </row>
    <row r="149" spans="1:13" hidden="1" outlineLevel="1">
      <c r="B149" s="395" t="str">
        <f>'TYL Sum'!$A$1</f>
        <v>The University of Texas at Tyler</v>
      </c>
      <c r="C149" s="440">
        <f>'TYL FGD'!$O$63</f>
        <v>15543747</v>
      </c>
      <c r="D149" s="443">
        <f>'TYL FGD'!$P$63</f>
        <v>10095</v>
      </c>
      <c r="E149" s="601"/>
      <c r="F149" s="596">
        <f>'TYL FGD'!$R$63</f>
        <v>15553842</v>
      </c>
      <c r="G149" s="603" t="str">
        <f t="shared" si="7"/>
        <v/>
      </c>
      <c r="H149" s="296">
        <f>'TYL FGD'!$T$63</f>
        <v>15543747</v>
      </c>
      <c r="I149" s="297">
        <f>'TYL FGD'!$U$63</f>
        <v>10095</v>
      </c>
      <c r="J149" s="298">
        <f>'TYL FGD'!$V$63</f>
        <v>0</v>
      </c>
      <c r="K149" s="299">
        <f>'TYL FGD'!$W$63</f>
        <v>0</v>
      </c>
      <c r="L149" s="303">
        <f>'TYL FGD'!$X$63</f>
        <v>15553842</v>
      </c>
      <c r="M149" s="605" t="str">
        <f t="shared" si="8"/>
        <v/>
      </c>
    </row>
    <row r="150" spans="1:13" ht="25.5" hidden="1" outlineLevel="1">
      <c r="B150" s="395" t="str">
        <f>'UH1 Sum'!$A$1</f>
        <v>University of Houston - Academic &amp; Health (A+H)</v>
      </c>
      <c r="C150" s="440">
        <f>'UH1 FGD'!$O$63</f>
        <v>179930717</v>
      </c>
      <c r="D150" s="443">
        <f>'UH1 FGD'!$P$63</f>
        <v>2601660</v>
      </c>
      <c r="E150" s="601"/>
      <c r="F150" s="596">
        <f>'UH1 FGD'!$R$63</f>
        <v>182532377</v>
      </c>
      <c r="G150" s="603" t="str">
        <f t="shared" si="7"/>
        <v/>
      </c>
      <c r="H150" s="296">
        <f>'UH1 FGD'!$T$63</f>
        <v>179930717</v>
      </c>
      <c r="I150" s="297">
        <f>'UH1 FGD'!$U$63</f>
        <v>2601660</v>
      </c>
      <c r="J150" s="298">
        <f>'UH1 FGD'!$V$63</f>
        <v>0</v>
      </c>
      <c r="K150" s="299">
        <f>'UH1 FGD'!$W$63</f>
        <v>0</v>
      </c>
      <c r="L150" s="303">
        <f>'UH1 FGD'!$X$63</f>
        <v>182532377</v>
      </c>
      <c r="M150" s="605" t="str">
        <f t="shared" si="8"/>
        <v/>
      </c>
    </row>
    <row r="151" spans="1:13" hidden="1" outlineLevel="1">
      <c r="B151" s="395" t="str">
        <f>'UHCL Sum'!$A$1</f>
        <v>University of Houston - Clear Lake</v>
      </c>
      <c r="C151" s="440">
        <f>'UHCL FGD'!$O$63</f>
        <v>30982166</v>
      </c>
      <c r="D151" s="443">
        <f>'UHCL FGD'!$P$63</f>
        <v>2017656</v>
      </c>
      <c r="E151" s="601"/>
      <c r="F151" s="596">
        <f>'UHCL FGD'!$R$63</f>
        <v>32999822</v>
      </c>
      <c r="G151" s="603" t="str">
        <f t="shared" si="7"/>
        <v/>
      </c>
      <c r="H151" s="296">
        <f>'UHCL FGD'!$T$63</f>
        <v>30982166</v>
      </c>
      <c r="I151" s="297">
        <f>'UHCL FGD'!$U$63</f>
        <v>2017656</v>
      </c>
      <c r="J151" s="298">
        <f>'UHCL FGD'!$V$63</f>
        <v>0</v>
      </c>
      <c r="K151" s="299">
        <f>'UHCL FGD'!$W$63</f>
        <v>0</v>
      </c>
      <c r="L151" s="303">
        <f>'UHCL FGD'!$X$63</f>
        <v>32999822</v>
      </c>
      <c r="M151" s="605" t="str">
        <f t="shared" si="8"/>
        <v/>
      </c>
    </row>
    <row r="152" spans="1:13" hidden="1" outlineLevel="1">
      <c r="B152" s="395" t="str">
        <f>'UHD Sum'!$A$1</f>
        <v>University of Houston - Downtown</v>
      </c>
      <c r="C152" s="440">
        <f>'UHD FGD'!$O$63</f>
        <v>35044021</v>
      </c>
      <c r="D152" s="443">
        <f>'UHD FGD'!$P$63</f>
        <v>2282680</v>
      </c>
      <c r="E152" s="601"/>
      <c r="F152" s="596">
        <f>'UHD FGD'!$R$63</f>
        <v>37326701</v>
      </c>
      <c r="G152" s="603" t="str">
        <f t="shared" si="7"/>
        <v/>
      </c>
      <c r="H152" s="296">
        <f>'UHD FGD'!$T$63</f>
        <v>35044021</v>
      </c>
      <c r="I152" s="297">
        <f>'UHD FGD'!$U$63</f>
        <v>2282680</v>
      </c>
      <c r="J152" s="298">
        <f>'UHD FGD'!$V$63</f>
        <v>0</v>
      </c>
      <c r="K152" s="299">
        <f>'UHD FGD'!$W$63</f>
        <v>0</v>
      </c>
      <c r="L152" s="303">
        <f>'UHD FGD'!$X$63</f>
        <v>37326701</v>
      </c>
      <c r="M152" s="605" t="str">
        <f t="shared" si="8"/>
        <v/>
      </c>
    </row>
    <row r="153" spans="1:13" hidden="1" outlineLevel="1">
      <c r="B153" s="395" t="str">
        <f>'UHV Sum'!$A$1</f>
        <v>University of Houston - Victoria</v>
      </c>
      <c r="C153" s="440">
        <f>'UHV FGD'!$O$63</f>
        <v>13932209</v>
      </c>
      <c r="D153" s="443">
        <f>'UHV FGD'!$P$63</f>
        <v>24555</v>
      </c>
      <c r="E153" s="601"/>
      <c r="F153" s="596">
        <f>'UHV FGD'!$R$63</f>
        <v>13956764</v>
      </c>
      <c r="G153" s="603" t="str">
        <f t="shared" si="7"/>
        <v/>
      </c>
      <c r="H153" s="296">
        <f>'UHV FGD'!$T$63</f>
        <v>13932209</v>
      </c>
      <c r="I153" s="297">
        <f>'UHV FGD'!$U$63</f>
        <v>24555</v>
      </c>
      <c r="J153" s="298">
        <f>'UHV FGD'!$V$63</f>
        <v>0</v>
      </c>
      <c r="K153" s="299">
        <f>'UHV FGD'!$W$63</f>
        <v>0</v>
      </c>
      <c r="L153" s="303">
        <f>'UHV FGD'!$X$63</f>
        <v>13956764</v>
      </c>
      <c r="M153" s="605" t="str">
        <f t="shared" si="8"/>
        <v/>
      </c>
    </row>
    <row r="154" spans="1:13" hidden="1" outlineLevel="1">
      <c r="B154" s="395" t="str">
        <f>'UNT Sum'!$A$1</f>
        <v>University of North Texas</v>
      </c>
      <c r="C154" s="440">
        <f>'UNT FGD'!$O$63</f>
        <v>56259145</v>
      </c>
      <c r="D154" s="443">
        <f>'UNT FGD'!$P$63</f>
        <v>5587217</v>
      </c>
      <c r="E154" s="601"/>
      <c r="F154" s="596">
        <f>'UNT FGD'!$R$63</f>
        <v>61846362</v>
      </c>
      <c r="G154" s="603" t="str">
        <f t="shared" si="7"/>
        <v/>
      </c>
      <c r="H154" s="296">
        <f>'UNT FGD'!$T$63</f>
        <v>56259145</v>
      </c>
      <c r="I154" s="297">
        <f>'UNT FGD'!$U$63</f>
        <v>5587217</v>
      </c>
      <c r="J154" s="298">
        <f>'UNT FGD'!$V$63</f>
        <v>0</v>
      </c>
      <c r="K154" s="299">
        <f>'UNT FGD'!$W$63</f>
        <v>0</v>
      </c>
      <c r="L154" s="303">
        <f>'UNT FGD'!$X$63</f>
        <v>61846362</v>
      </c>
      <c r="M154" s="605" t="str">
        <f t="shared" si="8"/>
        <v/>
      </c>
    </row>
    <row r="155" spans="1:13" hidden="1" outlineLevel="1">
      <c r="B155" s="395" t="str">
        <f>'UNTD Sum'!$A$1</f>
        <v>University of North Texas at Dallas</v>
      </c>
      <c r="C155" s="440">
        <f>'UNTD FGD'!$O$63</f>
        <v>4538691</v>
      </c>
      <c r="D155" s="443">
        <f>'UNTD FGD'!$P$63</f>
        <v>44393</v>
      </c>
      <c r="E155" s="601"/>
      <c r="F155" s="596">
        <f>'UNTD FGD'!$R$63</f>
        <v>4583084</v>
      </c>
      <c r="G155" s="603" t="str">
        <f t="shared" si="7"/>
        <v/>
      </c>
      <c r="H155" s="296">
        <f>'UNTD FGD'!$T$63</f>
        <v>4538691</v>
      </c>
      <c r="I155" s="297">
        <f>'UNTD FGD'!$U$63</f>
        <v>44393</v>
      </c>
      <c r="J155" s="298">
        <f>'UNTD FGD'!$V$63</f>
        <v>0</v>
      </c>
      <c r="K155" s="299">
        <f>'UNTD FGD'!$W$63</f>
        <v>0</v>
      </c>
      <c r="L155" s="303">
        <f>'UNTD FGD'!$X$63</f>
        <v>4583084</v>
      </c>
      <c r="M155" s="605" t="str">
        <f t="shared" si="8"/>
        <v/>
      </c>
    </row>
    <row r="156" spans="1:13" hidden="1" outlineLevel="1">
      <c r="B156" s="395" t="str">
        <f>'WTAMU Sum'!$A$1</f>
        <v>West Texas A&amp;M University</v>
      </c>
      <c r="C156" s="440">
        <f>'WTAMU FGD'!$O$63</f>
        <v>16987660</v>
      </c>
      <c r="D156" s="443">
        <f>'WTAMU FGD'!$P$63</f>
        <v>230977</v>
      </c>
      <c r="E156" s="601"/>
      <c r="F156" s="596">
        <f>'WTAMU FGD'!$R$63</f>
        <v>17218637</v>
      </c>
      <c r="G156" s="603" t="str">
        <f t="shared" si="7"/>
        <v/>
      </c>
      <c r="H156" s="296">
        <f>'WTAMU FGD'!$T$63</f>
        <v>16987660</v>
      </c>
      <c r="I156" s="297">
        <f>'WTAMU FGD'!$U$63</f>
        <v>230977</v>
      </c>
      <c r="J156" s="298">
        <f>'WTAMU FGD'!$V$63</f>
        <v>0</v>
      </c>
      <c r="K156" s="299">
        <f>'WTAMU FGD'!$W$63</f>
        <v>0</v>
      </c>
      <c r="L156" s="303">
        <f>'WTAMU FGD'!$X$63</f>
        <v>17218637</v>
      </c>
      <c r="M156" s="605" t="str">
        <f t="shared" si="8"/>
        <v/>
      </c>
    </row>
    <row r="157" spans="1:13" collapsed="1">
      <c r="A157">
        <f>COUNTA(B121:B156)</f>
        <v>36</v>
      </c>
      <c r="B157" s="160" t="s">
        <v>17</v>
      </c>
      <c r="C157" s="440">
        <f>SUM(C121:C156)</f>
        <v>1644297838</v>
      </c>
      <c r="D157" s="443">
        <f>SUM(D121:D156)</f>
        <v>92941221</v>
      </c>
      <c r="E157" s="600"/>
      <c r="F157" s="595">
        <f>SUM(F121:F156)</f>
        <v>1737239059</v>
      </c>
      <c r="G157" s="603" t="str">
        <f t="shared" si="7"/>
        <v/>
      </c>
      <c r="H157" s="296">
        <f>SUM(H121:H156)</f>
        <v>1644297838</v>
      </c>
      <c r="I157" s="297">
        <f>SUM(I121:I156)</f>
        <v>92941221</v>
      </c>
      <c r="J157" s="298">
        <f>SUM(J121:J156)</f>
        <v>0</v>
      </c>
      <c r="K157" s="299">
        <f>SUM(K121:K156)</f>
        <v>0</v>
      </c>
      <c r="L157" s="303">
        <f>SUM(L121:L156)</f>
        <v>1737239059</v>
      </c>
      <c r="M157" s="605" t="str">
        <f t="shared" si="8"/>
        <v/>
      </c>
    </row>
    <row r="158" spans="1:13" hidden="1" outlineLevel="1">
      <c r="B158" s="395" t="str">
        <f>'ARL Sum'!$A$1</f>
        <v>The University of Texas at Arlington</v>
      </c>
      <c r="C158" s="440">
        <f>'ARL FGD'!$O$64</f>
        <v>87610519</v>
      </c>
      <c r="D158" s="443">
        <f>'ARL FGD'!$P$64</f>
        <v>72695</v>
      </c>
      <c r="E158" s="601">
        <f>'ARL FGD'!$Q$64</f>
        <v>0</v>
      </c>
      <c r="F158" s="595">
        <f>'ARL FGD'!$R$64</f>
        <v>87683214</v>
      </c>
      <c r="G158" s="603" t="str">
        <f t="shared" si="7"/>
        <v/>
      </c>
      <c r="H158" s="296">
        <f>'ARL FGD'!$T$64</f>
        <v>87610519</v>
      </c>
      <c r="I158" s="297">
        <f>'ARL FGD'!$U$64</f>
        <v>72695</v>
      </c>
      <c r="J158" s="298">
        <f>'ARL FGD'!$V$64</f>
        <v>0</v>
      </c>
      <c r="K158" s="299">
        <f>'ARL FGD'!$W$64</f>
        <v>0</v>
      </c>
      <c r="L158" s="303">
        <f>'ARL FGD'!$X$64</f>
        <v>87683214</v>
      </c>
      <c r="M158" s="605" t="str">
        <f t="shared" si="8"/>
        <v/>
      </c>
    </row>
    <row r="159" spans="1:13" hidden="1" outlineLevel="1">
      <c r="B159" s="395" t="str">
        <f>'ASU Sum'!$A$1</f>
        <v>Angelo State University</v>
      </c>
      <c r="C159" s="440">
        <f>'ASU FGD'!$O$64</f>
        <v>9051053</v>
      </c>
      <c r="D159" s="443">
        <f>'ASU FGD'!$P$64</f>
        <v>0</v>
      </c>
      <c r="E159" s="601">
        <f>'ASU FGD'!$Q$64</f>
        <v>0</v>
      </c>
      <c r="F159" s="595">
        <f>'ASU FGD'!$R$64</f>
        <v>9051053</v>
      </c>
      <c r="G159" s="603" t="str">
        <f t="shared" si="7"/>
        <v/>
      </c>
      <c r="H159" s="296">
        <f>'ASU FGD'!$T$64</f>
        <v>9051053</v>
      </c>
      <c r="I159" s="297">
        <f>'ASU FGD'!$U$64</f>
        <v>0</v>
      </c>
      <c r="J159" s="298">
        <f>'ASU FGD'!$V$64</f>
        <v>0</v>
      </c>
      <c r="K159" s="299">
        <f>'ASU FGD'!$W$64</f>
        <v>0</v>
      </c>
      <c r="L159" s="303">
        <f>'ASU FGD'!$X$64</f>
        <v>9051053</v>
      </c>
      <c r="M159" s="605" t="str">
        <f t="shared" si="8"/>
        <v/>
      </c>
    </row>
    <row r="160" spans="1:13" ht="25.5" hidden="1" outlineLevel="1">
      <c r="B160" s="395" t="str">
        <f>'AUS1 Sum'!$A$1</f>
        <v>The University of Texas at Austin - Academic &amp; Health (A+H)</v>
      </c>
      <c r="C160" s="440">
        <f>'AUS1 FGD'!$O$64</f>
        <v>42692822</v>
      </c>
      <c r="D160" s="443">
        <f>'AUS1 FGD'!$P$64</f>
        <v>24455</v>
      </c>
      <c r="E160" s="601">
        <f>'AUS1 FGD'!$Q$64</f>
        <v>-598</v>
      </c>
      <c r="F160" s="595">
        <f>'AUS1 FGD'!$R$64</f>
        <v>42717875</v>
      </c>
      <c r="G160" s="603" t="str">
        <f t="shared" si="7"/>
        <v/>
      </c>
      <c r="H160" s="296">
        <f>'AUS1 FGD'!$T$64</f>
        <v>42692822</v>
      </c>
      <c r="I160" s="297">
        <f>'AUS1 FGD'!$U$64</f>
        <v>24455</v>
      </c>
      <c r="J160" s="298">
        <f>'AUS1 FGD'!$V$64</f>
        <v>0</v>
      </c>
      <c r="K160" s="299">
        <f>'AUS1 FGD'!$W$64</f>
        <v>0</v>
      </c>
      <c r="L160" s="303">
        <f>'AUS1 FGD'!$X$64</f>
        <v>42717277</v>
      </c>
      <c r="M160" s="605" t="str">
        <f t="shared" si="8"/>
        <v/>
      </c>
    </row>
    <row r="161" spans="2:13" ht="25.5" hidden="1" outlineLevel="1">
      <c r="B161" s="395" t="str">
        <f>'RGV1 Sum'!$A$1</f>
        <v>The University of Texas RGV - Academic &amp; Health (A+H)</v>
      </c>
      <c r="C161" s="440">
        <f>'RGV1 FGD'!$O$64</f>
        <v>39780020</v>
      </c>
      <c r="D161" s="443">
        <f>'RGV1 FGD'!$P$64</f>
        <v>20760</v>
      </c>
      <c r="E161" s="601">
        <f>'RGV1 FGD'!$Q$64</f>
        <v>0</v>
      </c>
      <c r="F161" s="595">
        <f>'RGV1 FGD'!$R$64</f>
        <v>39800780</v>
      </c>
      <c r="G161" s="603" t="str">
        <f t="shared" ref="G161" si="9">IF(SUM(C161:D161)-E161&lt;&gt;F161,"Error","")</f>
        <v/>
      </c>
      <c r="H161" s="296">
        <f>'RGV1 FGD'!$T$64</f>
        <v>39780020</v>
      </c>
      <c r="I161" s="297">
        <f>'RGV1 FGD'!$U$64</f>
        <v>20760</v>
      </c>
      <c r="J161" s="298">
        <f>'RGV1 FGD'!$V$64</f>
        <v>0</v>
      </c>
      <c r="K161" s="299">
        <f>'RGV1 FGD'!$W$64</f>
        <v>0</v>
      </c>
      <c r="L161" s="303">
        <f>'RGV1 FGD'!$X$64</f>
        <v>39800780</v>
      </c>
      <c r="M161" s="605" t="str">
        <f t="shared" si="8"/>
        <v/>
      </c>
    </row>
    <row r="162" spans="2:13" hidden="1" outlineLevel="1">
      <c r="B162" s="395" t="str">
        <f>'DAL Sum'!$A$1</f>
        <v>The University of Texas at Dallas</v>
      </c>
      <c r="C162" s="440">
        <f>'DAL FGD'!$O$64</f>
        <v>17961494</v>
      </c>
      <c r="D162" s="443">
        <f>'DAL FGD'!$P$64</f>
        <v>0</v>
      </c>
      <c r="E162" s="601">
        <f>'DAL FGD'!$Q$64</f>
        <v>37083</v>
      </c>
      <c r="F162" s="595">
        <f>'DAL FGD'!$R$64</f>
        <v>17924411</v>
      </c>
      <c r="G162" s="603" t="str">
        <f t="shared" si="7"/>
        <v/>
      </c>
      <c r="H162" s="296">
        <f>'DAL FGD'!$T$64</f>
        <v>17961494</v>
      </c>
      <c r="I162" s="297">
        <f>'DAL FGD'!$U$64</f>
        <v>0</v>
      </c>
      <c r="J162" s="298">
        <f>'DAL FGD'!$V$64</f>
        <v>0</v>
      </c>
      <c r="K162" s="299">
        <f>'DAL FGD'!$W$64</f>
        <v>0</v>
      </c>
      <c r="L162" s="303">
        <f>'DAL FGD'!$X$64</f>
        <v>17961494</v>
      </c>
      <c r="M162" s="605" t="str">
        <f t="shared" si="8"/>
        <v/>
      </c>
    </row>
    <row r="163" spans="2:13" hidden="1" outlineLevel="1">
      <c r="B163" s="395" t="str">
        <f>'E-P Sum'!$A$1</f>
        <v>The University of Texas at El Paso</v>
      </c>
      <c r="C163" s="440">
        <f>'E-P FGD'!$O$64</f>
        <v>28641525</v>
      </c>
      <c r="D163" s="443">
        <f>'E-P FGD'!$P$64</f>
        <v>0</v>
      </c>
      <c r="E163" s="601">
        <f>'E-P FGD'!$Q$64</f>
        <v>0</v>
      </c>
      <c r="F163" s="595">
        <f>'E-P FGD'!$R$64</f>
        <v>28641525</v>
      </c>
      <c r="G163" s="603" t="str">
        <f t="shared" si="7"/>
        <v/>
      </c>
      <c r="H163" s="296">
        <f>'E-P FGD'!$T$64</f>
        <v>28641525</v>
      </c>
      <c r="I163" s="297">
        <f>'E-P FGD'!$U$64</f>
        <v>0</v>
      </c>
      <c r="J163" s="298">
        <f>'E-P FGD'!$V$64</f>
        <v>0</v>
      </c>
      <c r="K163" s="299">
        <f>'E-P FGD'!$W$64</f>
        <v>0</v>
      </c>
      <c r="L163" s="303">
        <f>'E-P FGD'!$X$64</f>
        <v>28641525</v>
      </c>
      <c r="M163" s="605" t="str">
        <f t="shared" si="8"/>
        <v/>
      </c>
    </row>
    <row r="164" spans="2:13" hidden="1" outlineLevel="1">
      <c r="B164" s="395" t="str">
        <f>'LU Sum'!$A$1</f>
        <v xml:space="preserve">Lamar University </v>
      </c>
      <c r="C164" s="440">
        <f>'LU FGD'!$O$64</f>
        <v>9181241</v>
      </c>
      <c r="D164" s="443">
        <f>'LU FGD'!$P$64</f>
        <v>0</v>
      </c>
      <c r="E164" s="601">
        <f>'LU FGD'!$Q$64</f>
        <v>0</v>
      </c>
      <c r="F164" s="595">
        <f>'LU FGD'!$R$64</f>
        <v>9181241</v>
      </c>
      <c r="G164" s="603" t="str">
        <f t="shared" si="7"/>
        <v/>
      </c>
      <c r="H164" s="296">
        <f>'LU FGD'!$T$64</f>
        <v>9181241</v>
      </c>
      <c r="I164" s="297">
        <f>'LU FGD'!$U$64</f>
        <v>0</v>
      </c>
      <c r="J164" s="298">
        <f>'LU FGD'!$V$64</f>
        <v>0</v>
      </c>
      <c r="K164" s="299">
        <f>'LU FGD'!$W$64</f>
        <v>0</v>
      </c>
      <c r="L164" s="303">
        <f>'LU FGD'!$X$64</f>
        <v>9181241</v>
      </c>
      <c r="M164" s="605" t="str">
        <f t="shared" si="8"/>
        <v/>
      </c>
    </row>
    <row r="165" spans="2:13" hidden="1" outlineLevel="1">
      <c r="B165" s="395" t="str">
        <f>'MidWST Sum'!$A$1</f>
        <v>Midwestern State University</v>
      </c>
      <c r="C165" s="440">
        <f>'MidWST FGD'!$O$64</f>
        <v>13184641</v>
      </c>
      <c r="D165" s="443">
        <f>'MidWST FGD'!$P$64</f>
        <v>0</v>
      </c>
      <c r="E165" s="601">
        <f>'MidWST FGD'!$Q$64</f>
        <v>0</v>
      </c>
      <c r="F165" s="595">
        <f>'MidWST FGD'!$R$64</f>
        <v>13184641</v>
      </c>
      <c r="G165" s="603" t="str">
        <f t="shared" si="7"/>
        <v/>
      </c>
      <c r="H165" s="296">
        <f>'MidWST FGD'!$T$64</f>
        <v>13184641</v>
      </c>
      <c r="I165" s="297">
        <f>'MidWST FGD'!$U$64</f>
        <v>0</v>
      </c>
      <c r="J165" s="298">
        <f>'MidWST FGD'!$V$64</f>
        <v>0</v>
      </c>
      <c r="K165" s="299">
        <f>'MidWST FGD'!$W$64</f>
        <v>0</v>
      </c>
      <c r="L165" s="303">
        <f>'MidWST FGD'!$X$64</f>
        <v>13184641</v>
      </c>
      <c r="M165" s="605" t="str">
        <f t="shared" si="8"/>
        <v/>
      </c>
    </row>
    <row r="166" spans="2:13" ht="14.25" hidden="1" customHeight="1" outlineLevel="1">
      <c r="B166" s="395" t="str">
        <f>'P-B Sum'!$A$1</f>
        <v>The University of Texas of the Permian Basin</v>
      </c>
      <c r="C166" s="440">
        <f>'P-B FGD'!$O$64</f>
        <v>3444460</v>
      </c>
      <c r="D166" s="443">
        <f>'P-B FGD'!$P$64</f>
        <v>0</v>
      </c>
      <c r="E166" s="601">
        <f>'P-B FGD'!$Q$64</f>
        <v>0</v>
      </c>
      <c r="F166" s="595">
        <f>'P-B FGD'!$R$64</f>
        <v>3444460</v>
      </c>
      <c r="G166" s="603" t="str">
        <f t="shared" si="7"/>
        <v/>
      </c>
      <c r="H166" s="296">
        <f>'P-B FGD'!$T$64</f>
        <v>3444460</v>
      </c>
      <c r="I166" s="297">
        <f>'P-B FGD'!$U$64</f>
        <v>0</v>
      </c>
      <c r="J166" s="298">
        <f>'P-B FGD'!$V$64</f>
        <v>0</v>
      </c>
      <c r="K166" s="299">
        <f>'P-B FGD'!$W$64</f>
        <v>0</v>
      </c>
      <c r="L166" s="303">
        <f>'P-B FGD'!$X$64</f>
        <v>3444460</v>
      </c>
      <c r="M166" s="605" t="str">
        <f t="shared" si="8"/>
        <v/>
      </c>
    </row>
    <row r="167" spans="2:13" hidden="1" outlineLevel="1">
      <c r="B167" s="395" t="str">
        <f>'PVAMU Sum'!$A$1</f>
        <v>Prairie View A&amp;M University</v>
      </c>
      <c r="C167" s="440">
        <f>'PVAMU FGD'!$O$64</f>
        <v>19529936</v>
      </c>
      <c r="D167" s="443">
        <f>'PVAMU FGD'!$P$64</f>
        <v>178955</v>
      </c>
      <c r="E167" s="601">
        <f>'PVAMU FGD'!$Q$64</f>
        <v>0</v>
      </c>
      <c r="F167" s="595">
        <f>'PVAMU FGD'!$R$64</f>
        <v>19708891</v>
      </c>
      <c r="G167" s="603" t="str">
        <f t="shared" si="7"/>
        <v/>
      </c>
      <c r="H167" s="296">
        <f>'PVAMU FGD'!$T$64</f>
        <v>19529936</v>
      </c>
      <c r="I167" s="297">
        <f>'PVAMU FGD'!$U$64</f>
        <v>178955</v>
      </c>
      <c r="J167" s="298">
        <f>'PVAMU FGD'!$V$64</f>
        <v>0</v>
      </c>
      <c r="K167" s="299">
        <f>'PVAMU FGD'!$W$64</f>
        <v>0</v>
      </c>
      <c r="L167" s="303">
        <f>'PVAMU FGD'!$X$64</f>
        <v>19708891</v>
      </c>
      <c r="M167" s="605" t="str">
        <f t="shared" si="8"/>
        <v/>
      </c>
    </row>
    <row r="168" spans="2:13" hidden="1" outlineLevel="1">
      <c r="B168" s="395" t="str">
        <f>'S-A Sum'!$A$1</f>
        <v>The University of Texas at San Antonio</v>
      </c>
      <c r="C168" s="440">
        <f>'S-A FGD'!$O$64</f>
        <v>29515644</v>
      </c>
      <c r="D168" s="443">
        <f>'S-A FGD'!$P$64</f>
        <v>0</v>
      </c>
      <c r="E168" s="601">
        <f>'S-A FGD'!$Q$64</f>
        <v>0</v>
      </c>
      <c r="F168" s="595">
        <f>'S-A FGD'!$R$64</f>
        <v>29515644</v>
      </c>
      <c r="G168" s="603" t="str">
        <f t="shared" si="7"/>
        <v/>
      </c>
      <c r="H168" s="296">
        <f>'S-A FGD'!$T$64</f>
        <v>29515644</v>
      </c>
      <c r="I168" s="297">
        <f>'S-A FGD'!$U$64</f>
        <v>0</v>
      </c>
      <c r="J168" s="298">
        <f>'S-A FGD'!$V$64</f>
        <v>0</v>
      </c>
      <c r="K168" s="299">
        <f>'S-A FGD'!$W$64</f>
        <v>0</v>
      </c>
      <c r="L168" s="303">
        <f>'S-A FGD'!$X$64</f>
        <v>29515644</v>
      </c>
      <c r="M168" s="605" t="str">
        <f t="shared" si="8"/>
        <v/>
      </c>
    </row>
    <row r="169" spans="2:13" hidden="1" outlineLevel="1">
      <c r="B169" s="395" t="str">
        <f>'SFA Sum'!$A$1</f>
        <v>Stephen F. Austin State University</v>
      </c>
      <c r="C169" s="440">
        <f>'SFA FGD'!$O$64</f>
        <v>9989765</v>
      </c>
      <c r="D169" s="443">
        <f>'SFA FGD'!$P$64</f>
        <v>396706</v>
      </c>
      <c r="E169" s="601">
        <f>'SFA FGD'!$Q$64</f>
        <v>0</v>
      </c>
      <c r="F169" s="595">
        <f>'SFA FGD'!$R$64</f>
        <v>10386471</v>
      </c>
      <c r="G169" s="603" t="str">
        <f t="shared" si="7"/>
        <v/>
      </c>
      <c r="H169" s="296">
        <f>'SFA FGD'!$T$64</f>
        <v>9934765</v>
      </c>
      <c r="I169" s="297">
        <f>'SFA FGD'!$U$64</f>
        <v>396706</v>
      </c>
      <c r="J169" s="298">
        <f>'SFA FGD'!$V$64</f>
        <v>0</v>
      </c>
      <c r="K169" s="299">
        <f>'SFA FGD'!$W$64</f>
        <v>0</v>
      </c>
      <c r="L169" s="303">
        <f>'SFA FGD'!$X$64</f>
        <v>10331471</v>
      </c>
      <c r="M169" s="605" t="str">
        <f t="shared" si="8"/>
        <v/>
      </c>
    </row>
    <row r="170" spans="2:13" ht="25.5" hidden="1" outlineLevel="1">
      <c r="B170" s="395" t="str">
        <f>'shsu1 Sum'!$A$1</f>
        <v>Sam Houston State University - Academic &amp; Health (A+H)</v>
      </c>
      <c r="C170" s="440">
        <f>'shsu1 FGD'!$O$64</f>
        <v>27978543</v>
      </c>
      <c r="D170" s="443">
        <f>'shsu1 FGD'!$P$64</f>
        <v>30301</v>
      </c>
      <c r="E170" s="601">
        <f>'shsu1 FGD'!$Q$64</f>
        <v>0</v>
      </c>
      <c r="F170" s="595">
        <f>'shsu1 FGD'!$R$64</f>
        <v>28008844</v>
      </c>
      <c r="G170" s="603" t="str">
        <f t="shared" si="7"/>
        <v/>
      </c>
      <c r="H170" s="296">
        <f>'shsu1 FGD'!$T$64</f>
        <v>27934208</v>
      </c>
      <c r="I170" s="297">
        <f>'shsu1 FGD'!$U$64</f>
        <v>30301</v>
      </c>
      <c r="J170" s="298">
        <f>'shsu1 FGD'!$V$64</f>
        <v>0</v>
      </c>
      <c r="K170" s="299">
        <f>'shsu1 FGD'!$W$64</f>
        <v>0</v>
      </c>
      <c r="L170" s="303">
        <f>'shsu1 FGD'!$X$64</f>
        <v>27964509</v>
      </c>
      <c r="M170" s="605" t="str">
        <f t="shared" si="8"/>
        <v/>
      </c>
    </row>
    <row r="171" spans="2:13" hidden="1" outlineLevel="1">
      <c r="B171" s="395" t="str">
        <f>'SRSU Sum'!$A$1</f>
        <v>Sul Ross State University</v>
      </c>
      <c r="C171" s="440">
        <f>'SRSU FGD'!$O$64</f>
        <v>3880113</v>
      </c>
      <c r="D171" s="443">
        <f>'SRSU FGD'!$P$64</f>
        <v>0</v>
      </c>
      <c r="E171" s="601">
        <f>'SRSU FGD'!$Q$64</f>
        <v>0</v>
      </c>
      <c r="F171" s="595">
        <f>'SRSU FGD'!$R$64</f>
        <v>3880113</v>
      </c>
      <c r="G171" s="603" t="str">
        <f t="shared" si="7"/>
        <v/>
      </c>
      <c r="H171" s="296">
        <f>'SRSU FGD'!$T$64</f>
        <v>3880113</v>
      </c>
      <c r="I171" s="297">
        <f>'SRSU FGD'!$U$64</f>
        <v>0</v>
      </c>
      <c r="J171" s="298">
        <f>'SRSU FGD'!$V$64</f>
        <v>0</v>
      </c>
      <c r="K171" s="299">
        <f>'SRSU FGD'!$W$64</f>
        <v>0</v>
      </c>
      <c r="L171" s="303">
        <f>'SRSU FGD'!$X$64</f>
        <v>3880113</v>
      </c>
      <c r="M171" s="605" t="str">
        <f t="shared" si="8"/>
        <v/>
      </c>
    </row>
    <row r="172" spans="2:13" hidden="1" outlineLevel="1">
      <c r="B172" s="395" t="str">
        <f>'TAMIU Sum'!$A$1</f>
        <v>Texas A&amp;M International University</v>
      </c>
      <c r="C172" s="440">
        <f>'TAMIU FGD'!$O$64</f>
        <v>8129321</v>
      </c>
      <c r="D172" s="443">
        <f>'TAMIU FGD'!$P$64</f>
        <v>229</v>
      </c>
      <c r="E172" s="601">
        <f>'TAMIU FGD'!$Q$64</f>
        <v>0</v>
      </c>
      <c r="F172" s="595">
        <f>'TAMIU FGD'!$R$64</f>
        <v>8129550</v>
      </c>
      <c r="G172" s="603" t="str">
        <f t="shared" si="7"/>
        <v/>
      </c>
      <c r="H172" s="296">
        <f>'TAMIU FGD'!$T$64</f>
        <v>8129321</v>
      </c>
      <c r="I172" s="297">
        <f>'TAMIU FGD'!$U$64</f>
        <v>229</v>
      </c>
      <c r="J172" s="298">
        <f>'TAMIU FGD'!$V$64</f>
        <v>0</v>
      </c>
      <c r="K172" s="299">
        <f>'TAMIU FGD'!$W$64</f>
        <v>0</v>
      </c>
      <c r="L172" s="303">
        <f>'TAMIU FGD'!$X$64</f>
        <v>8129550</v>
      </c>
      <c r="M172" s="605" t="str">
        <f t="shared" si="8"/>
        <v/>
      </c>
    </row>
    <row r="173" spans="2:13" hidden="1" outlineLevel="1">
      <c r="B173" s="395" t="str">
        <f>'TAMU Sum'!$A$1</f>
        <v>Texas A&amp;M University</v>
      </c>
      <c r="C173" s="440">
        <f>'TAMU FGD'!$O$64</f>
        <v>77064018</v>
      </c>
      <c r="D173" s="443">
        <f>'TAMU FGD'!$P$64</f>
        <v>1277930</v>
      </c>
      <c r="E173" s="601">
        <f>'TAMU FGD'!$Q$64</f>
        <v>0</v>
      </c>
      <c r="F173" s="595">
        <f>'TAMU FGD'!$R$64</f>
        <v>78341948</v>
      </c>
      <c r="G173" s="603" t="str">
        <f t="shared" si="7"/>
        <v/>
      </c>
      <c r="H173" s="296">
        <f>'TAMU FGD'!$T$64</f>
        <v>77064018</v>
      </c>
      <c r="I173" s="297">
        <f>'TAMU FGD'!$U$64</f>
        <v>1277930</v>
      </c>
      <c r="J173" s="298">
        <f>'TAMU FGD'!$V$64</f>
        <v>0</v>
      </c>
      <c r="K173" s="299">
        <f>'TAMU FGD'!$W$64</f>
        <v>0</v>
      </c>
      <c r="L173" s="303">
        <f>'TAMU FGD'!$X$64</f>
        <v>78341948</v>
      </c>
      <c r="M173" s="605" t="str">
        <f t="shared" si="8"/>
        <v/>
      </c>
    </row>
    <row r="174" spans="2:13" hidden="1" outlineLevel="1">
      <c r="B174" s="395" t="str">
        <f>'TAMUC Sum'!$A$1</f>
        <v>Texas A&amp;M University - Commerce</v>
      </c>
      <c r="C174" s="440">
        <f>'TAMUC FGD'!$O$64</f>
        <v>16187881</v>
      </c>
      <c r="D174" s="443">
        <f>'TAMUC FGD'!$P$64</f>
        <v>389784</v>
      </c>
      <c r="E174" s="601">
        <f>'TAMUC FGD'!$Q$64</f>
        <v>510269</v>
      </c>
      <c r="F174" s="595">
        <f>'TAMUC FGD'!$R$64</f>
        <v>16067396</v>
      </c>
      <c r="G174" s="603" t="str">
        <f t="shared" si="7"/>
        <v/>
      </c>
      <c r="H174" s="296">
        <f>'TAMUC FGD'!$T$64</f>
        <v>16187881</v>
      </c>
      <c r="I174" s="297">
        <f>'TAMUC FGD'!$U$64</f>
        <v>389784</v>
      </c>
      <c r="J174" s="298">
        <f>'TAMUC FGD'!$V$64</f>
        <v>0</v>
      </c>
      <c r="K174" s="299">
        <f>'TAMUC FGD'!$W$64</f>
        <v>0</v>
      </c>
      <c r="L174" s="303">
        <f>'TAMUC FGD'!$X$64</f>
        <v>16577665</v>
      </c>
      <c r="M174" s="605" t="str">
        <f t="shared" si="8"/>
        <v/>
      </c>
    </row>
    <row r="175" spans="2:13" hidden="1" outlineLevel="1">
      <c r="B175" s="395" t="str">
        <f>'TAMUCC Sum'!$A$1</f>
        <v>Texas A&amp;M University - Corpus Christi</v>
      </c>
      <c r="C175" s="440">
        <f>'TAMUCC FGD'!$O$64</f>
        <v>13026945</v>
      </c>
      <c r="D175" s="443">
        <f>'TAMUCC FGD'!$P$64</f>
        <v>450982</v>
      </c>
      <c r="E175" s="601">
        <f>'TAMUCC FGD'!$Q$64</f>
        <v>0</v>
      </c>
      <c r="F175" s="595">
        <f>'TAMUCC FGD'!$R$64</f>
        <v>13477927</v>
      </c>
      <c r="G175" s="603" t="str">
        <f t="shared" si="7"/>
        <v/>
      </c>
      <c r="H175" s="296">
        <f>'TAMUCC FGD'!$T$64</f>
        <v>13026925</v>
      </c>
      <c r="I175" s="297">
        <f>'TAMUCC FGD'!$U$64</f>
        <v>450982</v>
      </c>
      <c r="J175" s="298">
        <f>'TAMUCC FGD'!$V$64</f>
        <v>0</v>
      </c>
      <c r="K175" s="299">
        <f>'TAMUCC FGD'!$W$64</f>
        <v>0</v>
      </c>
      <c r="L175" s="303">
        <f>'TAMUCC FGD'!$X$64</f>
        <v>13477907</v>
      </c>
      <c r="M175" s="605" t="str">
        <f t="shared" si="8"/>
        <v/>
      </c>
    </row>
    <row r="176" spans="2:13" hidden="1" outlineLevel="1">
      <c r="B176" s="395" t="str">
        <f>'TAMUCT Sum'!$A$1</f>
        <v>Texas A&amp;M University - Central Texas</v>
      </c>
      <c r="C176" s="440">
        <f>'TAMUCT FGD'!$O$64</f>
        <v>5708339</v>
      </c>
      <c r="D176" s="443">
        <f>'TAMUCT FGD'!$P$64</f>
        <v>43419</v>
      </c>
      <c r="E176" s="601">
        <f>'TAMUCT FGD'!$Q$64</f>
        <v>0</v>
      </c>
      <c r="F176" s="595">
        <f>'TAMUCT FGD'!$R$64</f>
        <v>5751758</v>
      </c>
      <c r="G176" s="603" t="str">
        <f t="shared" si="7"/>
        <v/>
      </c>
      <c r="H176" s="296">
        <f>'TAMUCT FGD'!$T$64</f>
        <v>5708339</v>
      </c>
      <c r="I176" s="297">
        <f>'TAMUCT FGD'!$U$64</f>
        <v>43419</v>
      </c>
      <c r="J176" s="298">
        <f>'TAMUCT FGD'!$V$64</f>
        <v>0</v>
      </c>
      <c r="K176" s="299">
        <f>'TAMUCT FGD'!$W$64</f>
        <v>0</v>
      </c>
      <c r="L176" s="303">
        <f>'TAMUCT FGD'!$X$64</f>
        <v>5751758</v>
      </c>
      <c r="M176" s="605" t="str">
        <f t="shared" si="8"/>
        <v/>
      </c>
    </row>
    <row r="177" spans="2:13" hidden="1" outlineLevel="1">
      <c r="B177" s="395" t="str">
        <f>'TAMUG Sum'!$A$1</f>
        <v>Texas A&amp;M University at Galveston</v>
      </c>
      <c r="C177" s="440">
        <f>'TAMUG FGD'!$O$64</f>
        <v>3178284</v>
      </c>
      <c r="D177" s="443">
        <f>'TAMUG FGD'!$P$64</f>
        <v>6926</v>
      </c>
      <c r="E177" s="601">
        <f>'TAMUG FGD'!$Q$64</f>
        <v>0</v>
      </c>
      <c r="F177" s="595">
        <f>'TAMUG FGD'!$R$64</f>
        <v>3185210</v>
      </c>
      <c r="G177" s="603" t="str">
        <f t="shared" si="7"/>
        <v/>
      </c>
      <c r="H177" s="296">
        <f>'TAMUG FGD'!$T$64</f>
        <v>3178284</v>
      </c>
      <c r="I177" s="297">
        <f>'TAMUG FGD'!$U$64</f>
        <v>6926</v>
      </c>
      <c r="J177" s="298">
        <f>'TAMUG FGD'!$V$64</f>
        <v>0</v>
      </c>
      <c r="K177" s="299">
        <f>'TAMUG FGD'!$W$64</f>
        <v>0</v>
      </c>
      <c r="L177" s="303">
        <f>'TAMUG FGD'!$X$64</f>
        <v>3185210</v>
      </c>
      <c r="M177" s="605" t="str">
        <f t="shared" si="8"/>
        <v/>
      </c>
    </row>
    <row r="178" spans="2:13" hidden="1" outlineLevel="1">
      <c r="B178" s="395" t="str">
        <f>'TAMUK Sum'!$A$1</f>
        <v>Texas A&amp;M University - Kingsville</v>
      </c>
      <c r="C178" s="440">
        <f>'TAMUK FGD'!$O$64</f>
        <v>13264006</v>
      </c>
      <c r="D178" s="443">
        <f>'TAMUK FGD'!$P$64</f>
        <v>4496</v>
      </c>
      <c r="E178" s="601">
        <f>'TAMUK FGD'!$Q$64</f>
        <v>0</v>
      </c>
      <c r="F178" s="595">
        <f>'TAMUK FGD'!$R$64</f>
        <v>13268502</v>
      </c>
      <c r="G178" s="603" t="str">
        <f t="shared" si="7"/>
        <v/>
      </c>
      <c r="H178" s="296">
        <f>'TAMUK FGD'!$T$64</f>
        <v>13264006</v>
      </c>
      <c r="I178" s="297">
        <f>'TAMUK FGD'!$U$64</f>
        <v>4496</v>
      </c>
      <c r="J178" s="298">
        <f>'TAMUK FGD'!$V$64</f>
        <v>0</v>
      </c>
      <c r="K178" s="299">
        <f>'TAMUK FGD'!$W$64</f>
        <v>0</v>
      </c>
      <c r="L178" s="303">
        <f>'TAMUK FGD'!$X$64</f>
        <v>13268502</v>
      </c>
      <c r="M178" s="605" t="str">
        <f t="shared" si="8"/>
        <v/>
      </c>
    </row>
    <row r="179" spans="2:13" hidden="1" outlineLevel="1">
      <c r="B179" s="395" t="str">
        <f>'TAMUSA Sum'!$A$1</f>
        <v>Texas A&amp;M University - San Antonio</v>
      </c>
      <c r="C179" s="440">
        <f>'TAMUSA FGD'!$O$64</f>
        <v>18152082</v>
      </c>
      <c r="D179" s="443">
        <f>'TAMUSA FGD'!$P$64</f>
        <v>12116</v>
      </c>
      <c r="E179" s="601">
        <f>'TAMUSA FGD'!$Q$64</f>
        <v>0</v>
      </c>
      <c r="F179" s="595">
        <f>'TAMUSA FGD'!$R$64</f>
        <v>18164198</v>
      </c>
      <c r="G179" s="603" t="str">
        <f t="shared" si="7"/>
        <v/>
      </c>
      <c r="H179" s="296">
        <f>'TAMUSA FGD'!$T$64</f>
        <v>18152082</v>
      </c>
      <c r="I179" s="297">
        <f>'TAMUSA FGD'!$U$64</f>
        <v>12116</v>
      </c>
      <c r="J179" s="298">
        <f>'TAMUSA FGD'!$V$64</f>
        <v>0</v>
      </c>
      <c r="K179" s="299">
        <f>'TAMUSA FGD'!$W$64</f>
        <v>0</v>
      </c>
      <c r="L179" s="303">
        <f>'TAMUSA FGD'!$X$64</f>
        <v>18164198</v>
      </c>
      <c r="M179" s="605" t="str">
        <f t="shared" si="8"/>
        <v/>
      </c>
    </row>
    <row r="180" spans="2:13" hidden="1" outlineLevel="1">
      <c r="B180" s="395" t="str">
        <f>'TAMUT Sum'!$A$1</f>
        <v>Texas A&amp;M University - Texarkana</v>
      </c>
      <c r="C180" s="440">
        <f>'TAMUT FGD'!$O$64</f>
        <v>4396529</v>
      </c>
      <c r="D180" s="443">
        <f>'TAMUT FGD'!$P$64</f>
        <v>4067</v>
      </c>
      <c r="E180" s="601">
        <f>'TAMUT FGD'!$Q$64</f>
        <v>0</v>
      </c>
      <c r="F180" s="595">
        <f>'TAMUT FGD'!$R$64</f>
        <v>4400596</v>
      </c>
      <c r="G180" s="603" t="str">
        <f t="shared" si="7"/>
        <v/>
      </c>
      <c r="H180" s="296">
        <f>'TAMUT FGD'!$T$64</f>
        <v>4396529</v>
      </c>
      <c r="I180" s="297">
        <f>'TAMUT FGD'!$U$64</f>
        <v>4067</v>
      </c>
      <c r="J180" s="298">
        <f>'TAMUT FGD'!$V$64</f>
        <v>0</v>
      </c>
      <c r="K180" s="299">
        <f>'TAMUT FGD'!$W$64</f>
        <v>0</v>
      </c>
      <c r="L180" s="303">
        <f>'TAMUT FGD'!$X$64</f>
        <v>4400596</v>
      </c>
      <c r="M180" s="605" t="str">
        <f t="shared" si="8"/>
        <v/>
      </c>
    </row>
    <row r="181" spans="2:13" hidden="1" outlineLevel="1">
      <c r="B181" s="395" t="str">
        <f>'TARLST Sum'!$A$1</f>
        <v>Tarleton State University</v>
      </c>
      <c r="C181" s="440">
        <f>'TARLST FGD'!$O$64</f>
        <v>12498068</v>
      </c>
      <c r="D181" s="443">
        <f>'TARLST FGD'!$P$64</f>
        <v>137078</v>
      </c>
      <c r="E181" s="601">
        <f>'TARLST FGD'!$Q$64</f>
        <v>0</v>
      </c>
      <c r="F181" s="595">
        <f>'TARLST FGD'!$R$64</f>
        <v>12635146</v>
      </c>
      <c r="G181" s="603" t="str">
        <f t="shared" si="7"/>
        <v/>
      </c>
      <c r="H181" s="296">
        <f>'TARLST FGD'!$T$64</f>
        <v>12498068</v>
      </c>
      <c r="I181" s="297">
        <f>'TARLST FGD'!$U$64</f>
        <v>137078</v>
      </c>
      <c r="J181" s="298">
        <f>'TARLST FGD'!$V$64</f>
        <v>0</v>
      </c>
      <c r="K181" s="299">
        <f>'TARLST FGD'!$W$64</f>
        <v>0</v>
      </c>
      <c r="L181" s="303">
        <f>'TARLST FGD'!$X$64</f>
        <v>12635146</v>
      </c>
      <c r="M181" s="605" t="str">
        <f t="shared" si="8"/>
        <v/>
      </c>
    </row>
    <row r="182" spans="2:13" hidden="1" outlineLevel="1">
      <c r="B182" s="395" t="str">
        <f>'TSU Sum'!$A$1</f>
        <v>Texas Southern University</v>
      </c>
      <c r="C182" s="440">
        <f>'TSU FGD'!$O$64</f>
        <v>15191332</v>
      </c>
      <c r="D182" s="443">
        <f>'TSU FGD'!$P$64</f>
        <v>304752</v>
      </c>
      <c r="E182" s="601">
        <f>'TSU FGD'!$Q$64</f>
        <v>6000</v>
      </c>
      <c r="F182" s="595">
        <f>'TSU FGD'!$R$64</f>
        <v>15490084</v>
      </c>
      <c r="G182" s="603" t="str">
        <f t="shared" si="7"/>
        <v/>
      </c>
      <c r="H182" s="296">
        <f>'TSU FGD'!$T$64</f>
        <v>15191332</v>
      </c>
      <c r="I182" s="297">
        <f>'TSU FGD'!$U$64</f>
        <v>304752</v>
      </c>
      <c r="J182" s="298">
        <f>'TSU FGD'!$V$64</f>
        <v>0</v>
      </c>
      <c r="K182" s="299">
        <f>'TSU FGD'!$W$64</f>
        <v>0</v>
      </c>
      <c r="L182" s="303">
        <f>'TSU FGD'!$X$64</f>
        <v>15496084</v>
      </c>
      <c r="M182" s="605" t="str">
        <f t="shared" si="8"/>
        <v/>
      </c>
    </row>
    <row r="183" spans="2:13" hidden="1" outlineLevel="1">
      <c r="B183" s="395" t="str">
        <f>'TTU Sum'!$A$1</f>
        <v>Texas Tech University</v>
      </c>
      <c r="C183" s="440">
        <f>'TTU FGD'!$O$64</f>
        <v>50367868</v>
      </c>
      <c r="D183" s="443">
        <f>'TTU FGD'!$P$64</f>
        <v>473288</v>
      </c>
      <c r="E183" s="601">
        <f>'TTU FGD'!$Q$64</f>
        <v>0</v>
      </c>
      <c r="F183" s="595">
        <f>'TTU FGD'!$R$64</f>
        <v>50841156</v>
      </c>
      <c r="G183" s="603" t="str">
        <f t="shared" si="7"/>
        <v/>
      </c>
      <c r="H183" s="296">
        <f>'TTU FGD'!$T$64</f>
        <v>50367868</v>
      </c>
      <c r="I183" s="297">
        <f>'TTU FGD'!$U$64</f>
        <v>473288</v>
      </c>
      <c r="J183" s="298">
        <f>'TTU FGD'!$V$64</f>
        <v>0</v>
      </c>
      <c r="K183" s="299">
        <f>'TTU FGD'!$W$64</f>
        <v>0</v>
      </c>
      <c r="L183" s="303">
        <f>'TTU FGD'!$X$64</f>
        <v>50841156</v>
      </c>
      <c r="M183" s="605" t="str">
        <f t="shared" si="8"/>
        <v/>
      </c>
    </row>
    <row r="184" spans="2:13" hidden="1" outlineLevel="1">
      <c r="B184" s="395" t="str">
        <f>'TWU Sum'!$A$1</f>
        <v>Texas Woman's University</v>
      </c>
      <c r="C184" s="440">
        <f>'TWU FGD'!$O$64</f>
        <v>12424731</v>
      </c>
      <c r="D184" s="443">
        <f>'TWU FGD'!$P$64</f>
        <v>0</v>
      </c>
      <c r="E184" s="601">
        <f>'TWU FGD'!$Q$64</f>
        <v>0</v>
      </c>
      <c r="F184" s="595">
        <f>'TWU FGD'!$R$64</f>
        <v>12424731</v>
      </c>
      <c r="G184" s="603" t="str">
        <f t="shared" si="7"/>
        <v/>
      </c>
      <c r="H184" s="296">
        <f>'TWU FGD'!$T$64</f>
        <v>12424731</v>
      </c>
      <c r="I184" s="297">
        <f>'TWU FGD'!$U$64</f>
        <v>0</v>
      </c>
      <c r="J184" s="298">
        <f>'TWU FGD'!$V$64</f>
        <v>0</v>
      </c>
      <c r="K184" s="299">
        <f>'TWU FGD'!$W$64</f>
        <v>0</v>
      </c>
      <c r="L184" s="303">
        <f>'TWU FGD'!$X$64</f>
        <v>12424731</v>
      </c>
      <c r="M184" s="605" t="str">
        <f t="shared" si="8"/>
        <v/>
      </c>
    </row>
    <row r="185" spans="2:13" hidden="1" outlineLevel="1">
      <c r="B185" s="395" t="str">
        <f>'TXST Sum'!$A$1</f>
        <v>Texas State University</v>
      </c>
      <c r="C185" s="440">
        <f>'TXST FGD'!$O$64</f>
        <v>18517204</v>
      </c>
      <c r="D185" s="443">
        <f>'TXST FGD'!$P$64</f>
        <v>23932</v>
      </c>
      <c r="E185" s="601">
        <f>'TXST FGD'!$Q$64</f>
        <v>0</v>
      </c>
      <c r="F185" s="595">
        <f>'TXST FGD'!$R$64</f>
        <v>18541136</v>
      </c>
      <c r="G185" s="603" t="str">
        <f t="shared" si="7"/>
        <v/>
      </c>
      <c r="H185" s="296">
        <f>'TXST FGD'!$T$64</f>
        <v>18517204</v>
      </c>
      <c r="I185" s="297">
        <f>'TXST FGD'!$U$64</f>
        <v>23932</v>
      </c>
      <c r="J185" s="298">
        <f>'TXST FGD'!$V$64</f>
        <v>0</v>
      </c>
      <c r="K185" s="299">
        <f>'TXST FGD'!$W$64</f>
        <v>0</v>
      </c>
      <c r="L185" s="303">
        <f>'TXST FGD'!$X$64</f>
        <v>18541136</v>
      </c>
      <c r="M185" s="605" t="str">
        <f t="shared" si="8"/>
        <v/>
      </c>
    </row>
    <row r="186" spans="2:13" hidden="1" outlineLevel="1">
      <c r="B186" s="395" t="str">
        <f>'TYL Sum'!$A$1</f>
        <v>The University of Texas at Tyler</v>
      </c>
      <c r="C186" s="440">
        <f>'TYL FGD'!$O$64</f>
        <v>13267284</v>
      </c>
      <c r="D186" s="443">
        <f>'TYL FGD'!$P$64</f>
        <v>26645</v>
      </c>
      <c r="E186" s="601">
        <f>'TYL FGD'!$Q$64</f>
        <v>0</v>
      </c>
      <c r="F186" s="595">
        <f>'TYL FGD'!$R$64</f>
        <v>13293929</v>
      </c>
      <c r="G186" s="603" t="str">
        <f t="shared" si="7"/>
        <v/>
      </c>
      <c r="H186" s="296">
        <f>'TYL FGD'!$T$64</f>
        <v>13267284</v>
      </c>
      <c r="I186" s="297">
        <f>'TYL FGD'!$U$64</f>
        <v>26645</v>
      </c>
      <c r="J186" s="298">
        <f>'TYL FGD'!$V$64</f>
        <v>0</v>
      </c>
      <c r="K186" s="299">
        <f>'TYL FGD'!$W$64</f>
        <v>0</v>
      </c>
      <c r="L186" s="303">
        <f>'TYL FGD'!$X$64</f>
        <v>13293929</v>
      </c>
      <c r="M186" s="605" t="str">
        <f t="shared" si="8"/>
        <v/>
      </c>
    </row>
    <row r="187" spans="2:13" ht="25.5" hidden="1" outlineLevel="1">
      <c r="B187" s="395" t="str">
        <f>'UH1 Sum'!$A$1</f>
        <v>University of Houston - Academic &amp; Health (A+H)</v>
      </c>
      <c r="C187" s="440">
        <f>'UH1 FGD'!$O$64</f>
        <v>38192008</v>
      </c>
      <c r="D187" s="443">
        <f>'UH1 FGD'!$P$64</f>
        <v>21097</v>
      </c>
      <c r="E187" s="601">
        <f>'UH1 FGD'!$Q$64</f>
        <v>311761</v>
      </c>
      <c r="F187" s="595">
        <f>'UH1 FGD'!$R$64</f>
        <v>37901344</v>
      </c>
      <c r="G187" s="603" t="str">
        <f t="shared" si="7"/>
        <v/>
      </c>
      <c r="H187" s="296">
        <f>'UH1 FGD'!$T$64</f>
        <v>38192008</v>
      </c>
      <c r="I187" s="297">
        <f>'UH1 FGD'!$U$64</f>
        <v>21097</v>
      </c>
      <c r="J187" s="298">
        <f>'UH1 FGD'!$V$64</f>
        <v>0</v>
      </c>
      <c r="K187" s="299">
        <f>'UH1 FGD'!$W$64</f>
        <v>0</v>
      </c>
      <c r="L187" s="303">
        <f>'UH1 FGD'!$X$64</f>
        <v>38213105</v>
      </c>
      <c r="M187" s="605" t="str">
        <f t="shared" si="8"/>
        <v/>
      </c>
    </row>
    <row r="188" spans="2:13" hidden="1" outlineLevel="1">
      <c r="B188" s="395" t="str">
        <f>'UHCL Sum'!$A$1</f>
        <v>University of Houston - Clear Lake</v>
      </c>
      <c r="C188" s="440">
        <f>'UHCL FGD'!$O$64</f>
        <v>8048828</v>
      </c>
      <c r="D188" s="443">
        <f>'UHCL FGD'!$P$64</f>
        <v>90000</v>
      </c>
      <c r="E188" s="601">
        <f>'UHCL FGD'!$Q$64</f>
        <v>0</v>
      </c>
      <c r="F188" s="595">
        <f>'UHCL FGD'!$R$64</f>
        <v>8138828</v>
      </c>
      <c r="G188" s="603" t="str">
        <f t="shared" si="7"/>
        <v/>
      </c>
      <c r="H188" s="296">
        <f>'UHCL FGD'!$T$64</f>
        <v>8048828</v>
      </c>
      <c r="I188" s="297">
        <f>'UHCL FGD'!$U$64</f>
        <v>90000</v>
      </c>
      <c r="J188" s="298">
        <f>'UHCL FGD'!$V$64</f>
        <v>0</v>
      </c>
      <c r="K188" s="299">
        <f>'UHCL FGD'!$W$64</f>
        <v>0</v>
      </c>
      <c r="L188" s="303">
        <f>'UHCL FGD'!$X$64</f>
        <v>8138828</v>
      </c>
      <c r="M188" s="605" t="str">
        <f t="shared" si="8"/>
        <v/>
      </c>
    </row>
    <row r="189" spans="2:13" hidden="1" outlineLevel="1">
      <c r="B189" s="395" t="str">
        <f>'UHD Sum'!$A$1</f>
        <v>University of Houston - Downtown</v>
      </c>
      <c r="C189" s="440">
        <f>'UHD FGD'!$O$64</f>
        <v>7179409</v>
      </c>
      <c r="D189" s="443">
        <f>'UHD FGD'!$P$64</f>
        <v>30321</v>
      </c>
      <c r="E189" s="601">
        <f>'UHD FGD'!$Q$64</f>
        <v>0</v>
      </c>
      <c r="F189" s="595">
        <f>'UHD FGD'!$R$64</f>
        <v>7209730</v>
      </c>
      <c r="G189" s="603" t="str">
        <f t="shared" si="7"/>
        <v/>
      </c>
      <c r="H189" s="296">
        <f>'UHD FGD'!$T$64</f>
        <v>7179409</v>
      </c>
      <c r="I189" s="297">
        <f>'UHD FGD'!$U$64</f>
        <v>30321</v>
      </c>
      <c r="J189" s="298">
        <f>'UHD FGD'!$V$64</f>
        <v>0</v>
      </c>
      <c r="K189" s="299">
        <f>'UHD FGD'!$W$64</f>
        <v>0</v>
      </c>
      <c r="L189" s="303">
        <f>'UHD FGD'!$X$64</f>
        <v>7209730</v>
      </c>
      <c r="M189" s="605" t="str">
        <f t="shared" si="8"/>
        <v/>
      </c>
    </row>
    <row r="190" spans="2:13" hidden="1" outlineLevel="1">
      <c r="B190" s="395" t="str">
        <f>'UHV Sum'!$A$1</f>
        <v>University of Houston - Victoria</v>
      </c>
      <c r="C190" s="440">
        <f>'UHV FGD'!$O$64</f>
        <v>4783768</v>
      </c>
      <c r="D190" s="443">
        <f>'UHV FGD'!$P$64</f>
        <v>33872</v>
      </c>
      <c r="E190" s="601">
        <f>'UHV FGD'!$Q$64</f>
        <v>1213171</v>
      </c>
      <c r="F190" s="595">
        <f>'UHV FGD'!$R$64</f>
        <v>3604469</v>
      </c>
      <c r="G190" s="603" t="str">
        <f t="shared" si="7"/>
        <v/>
      </c>
      <c r="H190" s="296">
        <f>'UHV FGD'!$T$64</f>
        <v>4783768</v>
      </c>
      <c r="I190" s="297">
        <f>'UHV FGD'!$U$64</f>
        <v>33872</v>
      </c>
      <c r="J190" s="298">
        <f>'UHV FGD'!$V$64</f>
        <v>0</v>
      </c>
      <c r="K190" s="299">
        <f>'UHV FGD'!$W$64</f>
        <v>0</v>
      </c>
      <c r="L190" s="303">
        <f>'UHV FGD'!$X$64</f>
        <v>4817640</v>
      </c>
      <c r="M190" s="605" t="str">
        <f t="shared" si="8"/>
        <v/>
      </c>
    </row>
    <row r="191" spans="2:13" hidden="1" outlineLevel="1">
      <c r="B191" s="395" t="str">
        <f>'UNT Sum'!$A$1</f>
        <v>University of North Texas</v>
      </c>
      <c r="C191" s="440">
        <f>'UNT FGD'!$O$64</f>
        <v>77640484</v>
      </c>
      <c r="D191" s="443">
        <f>'UNT FGD'!$P$64</f>
        <v>469745</v>
      </c>
      <c r="E191" s="601">
        <f>'UNT FGD'!$Q$64</f>
        <v>24273287</v>
      </c>
      <c r="F191" s="595">
        <f>'UNT FGD'!$R$64</f>
        <v>53836942</v>
      </c>
      <c r="G191" s="603" t="str">
        <f t="shared" si="7"/>
        <v/>
      </c>
      <c r="H191" s="296">
        <f>'UNT FGD'!$T$64</f>
        <v>77640484</v>
      </c>
      <c r="I191" s="297">
        <f>'UNT FGD'!$U$64</f>
        <v>469745</v>
      </c>
      <c r="J191" s="298">
        <f>'UNT FGD'!$V$64</f>
        <v>0</v>
      </c>
      <c r="K191" s="299">
        <f>'UNT FGD'!$W$64</f>
        <v>0</v>
      </c>
      <c r="L191" s="303">
        <f>'UNT FGD'!$X$64</f>
        <v>78110229</v>
      </c>
      <c r="M191" s="605" t="str">
        <f t="shared" si="8"/>
        <v/>
      </c>
    </row>
    <row r="192" spans="2:13" hidden="1" outlineLevel="1">
      <c r="B192" s="395" t="str">
        <f>'UNTD Sum'!$A$1</f>
        <v>University of North Texas at Dallas</v>
      </c>
      <c r="C192" s="440">
        <f>'UNTD FGD'!$O$64</f>
        <v>8869650</v>
      </c>
      <c r="D192" s="443">
        <f>'UNTD FGD'!$P$64</f>
        <v>0</v>
      </c>
      <c r="E192" s="601">
        <f>'UNTD FGD'!$Q$64</f>
        <v>0</v>
      </c>
      <c r="F192" s="595">
        <f>'UNTD FGD'!$R$64</f>
        <v>8869650</v>
      </c>
      <c r="G192" s="603" t="str">
        <f t="shared" si="7"/>
        <v/>
      </c>
      <c r="H192" s="296">
        <f>'UNTD FGD'!$T$64</f>
        <v>8869650</v>
      </c>
      <c r="I192" s="297">
        <f>'UNTD FGD'!$U$64</f>
        <v>0</v>
      </c>
      <c r="J192" s="298">
        <f>'UNTD FGD'!$V$64</f>
        <v>0</v>
      </c>
      <c r="K192" s="299">
        <f>'UNTD FGD'!$W$64</f>
        <v>0</v>
      </c>
      <c r="L192" s="303">
        <f>'UNTD FGD'!$X$64</f>
        <v>8869650</v>
      </c>
      <c r="M192" s="605" t="str">
        <f t="shared" si="8"/>
        <v/>
      </c>
    </row>
    <row r="193" spans="1:13" hidden="1" outlineLevel="1">
      <c r="B193" s="395" t="str">
        <f>'WTAMU Sum'!$A$1</f>
        <v>West Texas A&amp;M University</v>
      </c>
      <c r="C193" s="440">
        <f>'WTAMU FGD'!$O$64</f>
        <v>11111994</v>
      </c>
      <c r="D193" s="443">
        <f>'WTAMU FGD'!$P$64</f>
        <v>9321</v>
      </c>
      <c r="E193" s="601">
        <f>'WTAMU FGD'!$Q$64</f>
        <v>0</v>
      </c>
      <c r="F193" s="595">
        <f>'WTAMU FGD'!$R$64</f>
        <v>11121315</v>
      </c>
      <c r="G193" s="603" t="str">
        <f t="shared" si="7"/>
        <v/>
      </c>
      <c r="H193" s="296">
        <f>'WTAMU FGD'!$T$64</f>
        <v>11111994</v>
      </c>
      <c r="I193" s="297">
        <f>'WTAMU FGD'!$U$64</f>
        <v>9321</v>
      </c>
      <c r="J193" s="298">
        <f>'WTAMU FGD'!$V$64</f>
        <v>0</v>
      </c>
      <c r="K193" s="299">
        <f>'WTAMU FGD'!$W$64</f>
        <v>0</v>
      </c>
      <c r="L193" s="303">
        <f>'WTAMU FGD'!$X$64</f>
        <v>11121315</v>
      </c>
      <c r="M193" s="605" t="str">
        <f t="shared" si="8"/>
        <v/>
      </c>
    </row>
    <row r="194" spans="1:13" collapsed="1">
      <c r="A194">
        <f>COUNTA(B158:B193)</f>
        <v>36</v>
      </c>
      <c r="B194" s="160" t="s">
        <v>18</v>
      </c>
      <c r="C194" s="440">
        <f>SUM(C158:C193)</f>
        <v>779641809</v>
      </c>
      <c r="D194" s="443">
        <f>SUM(D158:D193)</f>
        <v>4533872</v>
      </c>
      <c r="E194" s="294">
        <f>SUM(E158:E193)</f>
        <v>26350973</v>
      </c>
      <c r="F194" s="595">
        <f>SUM(F158:F193)</f>
        <v>757824708</v>
      </c>
      <c r="G194" s="603" t="str">
        <f t="shared" si="7"/>
        <v/>
      </c>
      <c r="H194" s="296">
        <f>SUM(H158:H193)</f>
        <v>779542454</v>
      </c>
      <c r="I194" s="297">
        <f>SUM(I158:I193)</f>
        <v>4533872</v>
      </c>
      <c r="J194" s="298">
        <f>SUM(J158:J193)</f>
        <v>0</v>
      </c>
      <c r="K194" s="299">
        <f>SUM(K158:K193)</f>
        <v>0</v>
      </c>
      <c r="L194" s="303">
        <f>SUM(L158:L193)</f>
        <v>784076326</v>
      </c>
      <c r="M194" s="605" t="str">
        <f t="shared" si="8"/>
        <v/>
      </c>
    </row>
    <row r="195" spans="1:13" hidden="1" outlineLevel="1">
      <c r="B195" s="395" t="str">
        <f>'ARL Sum'!$A$1</f>
        <v>The University of Texas at Arlington</v>
      </c>
      <c r="C195" s="440">
        <f>'ARL FGD'!$O$65</f>
        <v>49489123</v>
      </c>
      <c r="D195" s="443">
        <f>'ARL FGD'!$P$65</f>
        <v>172594</v>
      </c>
      <c r="E195" s="294"/>
      <c r="F195" s="595">
        <f>'ARL FGD'!$R$65</f>
        <v>49661717</v>
      </c>
      <c r="G195" s="603" t="str">
        <f t="shared" si="7"/>
        <v/>
      </c>
      <c r="H195" s="296">
        <f>'ARL FGD'!$T$65</f>
        <v>49489123</v>
      </c>
      <c r="I195" s="297">
        <f>'ARL FGD'!$U$65</f>
        <v>172594</v>
      </c>
      <c r="J195" s="298">
        <f>'ARL FGD'!$V$65</f>
        <v>0</v>
      </c>
      <c r="K195" s="299">
        <f>'ARL FGD'!$W$65</f>
        <v>0</v>
      </c>
      <c r="L195" s="303">
        <f>'ARL FGD'!$X$65</f>
        <v>49661717</v>
      </c>
      <c r="M195" s="605" t="str">
        <f t="shared" si="8"/>
        <v/>
      </c>
    </row>
    <row r="196" spans="1:13" hidden="1" outlineLevel="1">
      <c r="B196" s="395" t="str">
        <f>'ASU Sum'!$A$1</f>
        <v>Angelo State University</v>
      </c>
      <c r="C196" s="440">
        <f>'ASU FGD'!$O$65</f>
        <v>18062079</v>
      </c>
      <c r="D196" s="443">
        <f>'ASU FGD'!$P$65</f>
        <v>23305</v>
      </c>
      <c r="E196" s="294"/>
      <c r="F196" s="595">
        <f>'ASU FGD'!$R$65</f>
        <v>18085384</v>
      </c>
      <c r="G196" s="603" t="str">
        <f t="shared" si="7"/>
        <v/>
      </c>
      <c r="H196" s="296">
        <f>'ASU FGD'!$T$65</f>
        <v>18062079</v>
      </c>
      <c r="I196" s="297">
        <f>'ASU FGD'!$U$65</f>
        <v>23305</v>
      </c>
      <c r="J196" s="298">
        <f>'ASU FGD'!$V$65</f>
        <v>0</v>
      </c>
      <c r="K196" s="299">
        <f>'ASU FGD'!$W$65</f>
        <v>0</v>
      </c>
      <c r="L196" s="303">
        <f>'ASU FGD'!$X$65</f>
        <v>18085384</v>
      </c>
      <c r="M196" s="605" t="str">
        <f t="shared" si="8"/>
        <v/>
      </c>
    </row>
    <row r="197" spans="1:13" ht="25.5" hidden="1" outlineLevel="1">
      <c r="B197" s="395" t="str">
        <f>'AUS1 Sum'!$A$1</f>
        <v>The University of Texas at Austin - Academic &amp; Health (A+H)</v>
      </c>
      <c r="C197" s="440">
        <f>'AUS1 FGD'!$O$65</f>
        <v>212882791</v>
      </c>
      <c r="D197" s="443">
        <f>'AUS1 FGD'!$P$65</f>
        <v>6451681</v>
      </c>
      <c r="E197" s="294"/>
      <c r="F197" s="595">
        <f>'AUS1 FGD'!$R$65</f>
        <v>219334472</v>
      </c>
      <c r="G197" s="603" t="str">
        <f t="shared" si="7"/>
        <v/>
      </c>
      <c r="H197" s="296">
        <f>'AUS1 FGD'!$T$65</f>
        <v>212882791</v>
      </c>
      <c r="I197" s="297">
        <f>'AUS1 FGD'!$U$65</f>
        <v>6451681</v>
      </c>
      <c r="J197" s="298">
        <f>'AUS1 FGD'!$V$65</f>
        <v>0</v>
      </c>
      <c r="K197" s="299">
        <f>'AUS1 FGD'!$W$65</f>
        <v>0</v>
      </c>
      <c r="L197" s="303">
        <f>'AUS1 FGD'!$X$65</f>
        <v>219334472</v>
      </c>
      <c r="M197" s="605" t="str">
        <f t="shared" si="8"/>
        <v/>
      </c>
    </row>
    <row r="198" spans="1:13" ht="25.5" hidden="1" outlineLevel="1">
      <c r="B198" s="395" t="str">
        <f>'RGV1 Sum'!$A$1</f>
        <v>The University of Texas RGV - Academic &amp; Health (A+H)</v>
      </c>
      <c r="C198" s="440">
        <f>'RGV1 FGD'!$O$65</f>
        <v>37604861</v>
      </c>
      <c r="D198" s="443">
        <f>'RGV1 FGD'!$P$65</f>
        <v>237483</v>
      </c>
      <c r="E198" s="294"/>
      <c r="F198" s="595">
        <f>'RGV1 FGD'!$R$65</f>
        <v>37842344</v>
      </c>
      <c r="G198" s="603" t="str">
        <f t="shared" ref="G198" si="10">IF(SUM(C198:D198)-E198&lt;&gt;F198,"Error","")</f>
        <v/>
      </c>
      <c r="H198" s="296">
        <f>'RGV1 FGD'!$T$65</f>
        <v>37604861</v>
      </c>
      <c r="I198" s="297">
        <f>'RGV1 FGD'!$U$65</f>
        <v>237483</v>
      </c>
      <c r="J198" s="298">
        <f>'RGV1 FGD'!$V$65</f>
        <v>0</v>
      </c>
      <c r="K198" s="299">
        <f>'RGV1 FGD'!$W$65</f>
        <v>0</v>
      </c>
      <c r="L198" s="303">
        <f>'RGV1 FGD'!$X$65</f>
        <v>37842344</v>
      </c>
      <c r="M198" s="605" t="str">
        <f t="shared" ref="M198:M259" si="11">IF(H198+I198-J198-K198&lt;&gt;L198,"Error","")</f>
        <v/>
      </c>
    </row>
    <row r="199" spans="1:13" hidden="1" outlineLevel="1">
      <c r="B199" s="395" t="str">
        <f>'DAL Sum'!$A$1</f>
        <v>The University of Texas at Dallas</v>
      </c>
      <c r="C199" s="440">
        <f>'DAL FGD'!$O$65</f>
        <v>34647797</v>
      </c>
      <c r="D199" s="443">
        <f>'DAL FGD'!$P$65</f>
        <v>2252724</v>
      </c>
      <c r="E199" s="294"/>
      <c r="F199" s="595">
        <f>'DAL FGD'!$R$65</f>
        <v>36900521</v>
      </c>
      <c r="G199" s="603" t="str">
        <f t="shared" ref="G199:G231" si="12">IF(SUM(C199:D199)-E199&lt;&gt;F199,"Error","")</f>
        <v/>
      </c>
      <c r="H199" s="296">
        <f>'DAL FGD'!$T$65</f>
        <v>34647797</v>
      </c>
      <c r="I199" s="297">
        <f>'DAL FGD'!$U$65</f>
        <v>2252724</v>
      </c>
      <c r="J199" s="298">
        <f>'DAL FGD'!$V$65</f>
        <v>0</v>
      </c>
      <c r="K199" s="299">
        <f>'DAL FGD'!$W$65</f>
        <v>0</v>
      </c>
      <c r="L199" s="303">
        <f>'DAL FGD'!$X$65</f>
        <v>36900521</v>
      </c>
      <c r="M199" s="605" t="str">
        <f t="shared" si="11"/>
        <v/>
      </c>
    </row>
    <row r="200" spans="1:13" hidden="1" outlineLevel="1">
      <c r="B200" s="395" t="str">
        <f>'E-P Sum'!$A$1</f>
        <v>The University of Texas at El Paso</v>
      </c>
      <c r="C200" s="440">
        <f>'E-P FGD'!$O$65</f>
        <v>31762240</v>
      </c>
      <c r="D200" s="443">
        <f>'E-P FGD'!$P$65</f>
        <v>638697</v>
      </c>
      <c r="E200" s="294"/>
      <c r="F200" s="595">
        <f>'E-P FGD'!$R$65</f>
        <v>32400937</v>
      </c>
      <c r="G200" s="603" t="str">
        <f t="shared" si="12"/>
        <v/>
      </c>
      <c r="H200" s="296">
        <f>'E-P FGD'!$T$65</f>
        <v>31762240</v>
      </c>
      <c r="I200" s="297">
        <f>'E-P FGD'!$U$65</f>
        <v>638697</v>
      </c>
      <c r="J200" s="298">
        <f>'E-P FGD'!$V$65</f>
        <v>0</v>
      </c>
      <c r="K200" s="299">
        <f>'E-P FGD'!$W$65</f>
        <v>0</v>
      </c>
      <c r="L200" s="303">
        <f>'E-P FGD'!$X$65</f>
        <v>32400937</v>
      </c>
      <c r="M200" s="605" t="str">
        <f t="shared" si="11"/>
        <v/>
      </c>
    </row>
    <row r="201" spans="1:13" hidden="1" outlineLevel="1">
      <c r="B201" s="395" t="str">
        <f>'LU Sum'!$A$1</f>
        <v xml:space="preserve">Lamar University </v>
      </c>
      <c r="C201" s="440">
        <f>'LU FGD'!$O$65</f>
        <v>32163493</v>
      </c>
      <c r="D201" s="443">
        <f>'LU FGD'!$P$65</f>
        <v>613745</v>
      </c>
      <c r="E201" s="294"/>
      <c r="F201" s="595">
        <f>'LU FGD'!$R$65</f>
        <v>32777238</v>
      </c>
      <c r="G201" s="603" t="str">
        <f t="shared" si="12"/>
        <v/>
      </c>
      <c r="H201" s="296">
        <f>'LU FGD'!$T$65</f>
        <v>32163493</v>
      </c>
      <c r="I201" s="297">
        <f>'LU FGD'!$U$65</f>
        <v>613745</v>
      </c>
      <c r="J201" s="298">
        <f>'LU FGD'!$V$65</f>
        <v>0</v>
      </c>
      <c r="K201" s="299">
        <f>'LU FGD'!$W$65</f>
        <v>0</v>
      </c>
      <c r="L201" s="303">
        <f>'LU FGD'!$X$65</f>
        <v>32777238</v>
      </c>
      <c r="M201" s="605" t="str">
        <f t="shared" si="11"/>
        <v/>
      </c>
    </row>
    <row r="202" spans="1:13" hidden="1" outlineLevel="1">
      <c r="B202" s="395" t="str">
        <f>'MidWST Sum'!$A$1</f>
        <v>Midwestern State University</v>
      </c>
      <c r="C202" s="440">
        <f>'MidWST FGD'!$O$65</f>
        <v>8691710</v>
      </c>
      <c r="D202" s="443">
        <f>'MidWST FGD'!$P$65</f>
        <v>28360</v>
      </c>
      <c r="E202" s="294"/>
      <c r="F202" s="595">
        <f>'MidWST FGD'!$R$65</f>
        <v>8720070</v>
      </c>
      <c r="G202" s="603" t="str">
        <f t="shared" si="12"/>
        <v/>
      </c>
      <c r="H202" s="296">
        <f>'MidWST FGD'!$T$65</f>
        <v>8691710</v>
      </c>
      <c r="I202" s="297">
        <f>'MidWST FGD'!$U$65</f>
        <v>28360</v>
      </c>
      <c r="J202" s="298">
        <f>'MidWST FGD'!$V$65</f>
        <v>0</v>
      </c>
      <c r="K202" s="299">
        <f>'MidWST FGD'!$W$65</f>
        <v>0</v>
      </c>
      <c r="L202" s="303">
        <f>'MidWST FGD'!$X$65</f>
        <v>8720070</v>
      </c>
      <c r="M202" s="605" t="str">
        <f t="shared" si="11"/>
        <v/>
      </c>
    </row>
    <row r="203" spans="1:13" ht="15" hidden="1" customHeight="1" outlineLevel="1">
      <c r="B203" s="395" t="str">
        <f>'P-B Sum'!$A$1</f>
        <v>The University of Texas of the Permian Basin</v>
      </c>
      <c r="C203" s="440">
        <f>'P-B FGD'!$O$65</f>
        <v>11662236</v>
      </c>
      <c r="D203" s="443">
        <f>'P-B FGD'!$P$65</f>
        <v>3005499</v>
      </c>
      <c r="E203" s="294"/>
      <c r="F203" s="595">
        <f>'P-B FGD'!$R$65</f>
        <v>14667735</v>
      </c>
      <c r="G203" s="603" t="str">
        <f t="shared" si="12"/>
        <v/>
      </c>
      <c r="H203" s="296">
        <f>'P-B FGD'!$T$65</f>
        <v>11662236</v>
      </c>
      <c r="I203" s="297">
        <f>'P-B FGD'!$U$65</f>
        <v>3005499</v>
      </c>
      <c r="J203" s="298">
        <f>'P-B FGD'!$V$65</f>
        <v>0</v>
      </c>
      <c r="K203" s="299">
        <f>'P-B FGD'!$W$65</f>
        <v>0</v>
      </c>
      <c r="L203" s="303">
        <f>'P-B FGD'!$X$65</f>
        <v>14667735</v>
      </c>
      <c r="M203" s="605" t="str">
        <f t="shared" si="11"/>
        <v/>
      </c>
    </row>
    <row r="204" spans="1:13" hidden="1" outlineLevel="1">
      <c r="B204" s="395" t="str">
        <f>'PVAMU Sum'!$A$1</f>
        <v>Prairie View A&amp;M University</v>
      </c>
      <c r="C204" s="440">
        <f>'PVAMU FGD'!$O$65</f>
        <v>19209918</v>
      </c>
      <c r="D204" s="443">
        <f>'PVAMU FGD'!$P$65</f>
        <v>26815</v>
      </c>
      <c r="E204" s="294"/>
      <c r="F204" s="595">
        <f>'PVAMU FGD'!$R$65</f>
        <v>19236733</v>
      </c>
      <c r="G204" s="603" t="str">
        <f t="shared" si="12"/>
        <v/>
      </c>
      <c r="H204" s="296">
        <f>'PVAMU FGD'!$T$65</f>
        <v>19209918</v>
      </c>
      <c r="I204" s="297">
        <f>'PVAMU FGD'!$U$65</f>
        <v>26815</v>
      </c>
      <c r="J204" s="298">
        <f>'PVAMU FGD'!$V$65</f>
        <v>0</v>
      </c>
      <c r="K204" s="299">
        <f>'PVAMU FGD'!$W$65</f>
        <v>0</v>
      </c>
      <c r="L204" s="303">
        <f>'PVAMU FGD'!$X$65</f>
        <v>19236733</v>
      </c>
      <c r="M204" s="605" t="str">
        <f t="shared" si="11"/>
        <v/>
      </c>
    </row>
    <row r="205" spans="1:13" hidden="1" outlineLevel="1">
      <c r="B205" s="395" t="str">
        <f>'S-A Sum'!$A$1</f>
        <v>The University of Texas at San Antonio</v>
      </c>
      <c r="C205" s="440">
        <f>'S-A FGD'!$O$65</f>
        <v>42934639</v>
      </c>
      <c r="D205" s="443">
        <f>'S-A FGD'!$P$65</f>
        <v>356985</v>
      </c>
      <c r="E205" s="294"/>
      <c r="F205" s="595">
        <f>'S-A FGD'!$R$65</f>
        <v>43291624</v>
      </c>
      <c r="G205" s="603" t="str">
        <f t="shared" si="12"/>
        <v/>
      </c>
      <c r="H205" s="296">
        <f>'S-A FGD'!$T$65</f>
        <v>42934639</v>
      </c>
      <c r="I205" s="297">
        <f>'S-A FGD'!$U$65</f>
        <v>356985</v>
      </c>
      <c r="J205" s="298">
        <f>'S-A FGD'!$V$65</f>
        <v>0</v>
      </c>
      <c r="K205" s="299">
        <f>'S-A FGD'!$W$65</f>
        <v>0</v>
      </c>
      <c r="L205" s="303">
        <f>'S-A FGD'!$X$65</f>
        <v>43291624</v>
      </c>
      <c r="M205" s="605" t="str">
        <f t="shared" si="11"/>
        <v/>
      </c>
    </row>
    <row r="206" spans="1:13" hidden="1" outlineLevel="1">
      <c r="B206" s="395" t="str">
        <f>'SFA Sum'!$A$1</f>
        <v>Stephen F. Austin State University</v>
      </c>
      <c r="C206" s="440">
        <f>'SFA FGD'!$O$65</f>
        <v>34770654</v>
      </c>
      <c r="D206" s="443">
        <f>'SFA FGD'!$P$65</f>
        <v>243276</v>
      </c>
      <c r="E206" s="294"/>
      <c r="F206" s="595">
        <f>'SFA FGD'!$R$65</f>
        <v>35013930</v>
      </c>
      <c r="G206" s="603" t="str">
        <f t="shared" si="12"/>
        <v/>
      </c>
      <c r="H206" s="296">
        <f>'SFA FGD'!$T$65</f>
        <v>34734428</v>
      </c>
      <c r="I206" s="297">
        <f>'SFA FGD'!$U$65</f>
        <v>243276</v>
      </c>
      <c r="J206" s="298">
        <f>'SFA FGD'!$V$65</f>
        <v>0</v>
      </c>
      <c r="K206" s="299">
        <f>'SFA FGD'!$W$65</f>
        <v>0</v>
      </c>
      <c r="L206" s="303">
        <f>'SFA FGD'!$X$65</f>
        <v>34977704</v>
      </c>
      <c r="M206" s="605" t="str">
        <f t="shared" si="11"/>
        <v/>
      </c>
    </row>
    <row r="207" spans="1:13" ht="25.5" hidden="1" outlineLevel="1">
      <c r="B207" s="395" t="str">
        <f>'shsu1 Sum'!$A$1</f>
        <v>Sam Houston State University - Academic &amp; Health (A+H)</v>
      </c>
      <c r="C207" s="440">
        <f>'shsu1 FGD'!$O$65</f>
        <v>24634217</v>
      </c>
      <c r="D207" s="443">
        <f>'shsu1 FGD'!$P$65</f>
        <v>38971</v>
      </c>
      <c r="E207" s="294"/>
      <c r="F207" s="595">
        <f>'shsu1 FGD'!$R$65</f>
        <v>24673188</v>
      </c>
      <c r="G207" s="603" t="str">
        <f t="shared" si="12"/>
        <v/>
      </c>
      <c r="H207" s="296">
        <f>'shsu1 FGD'!$T$65</f>
        <v>24617862</v>
      </c>
      <c r="I207" s="297">
        <f>'shsu1 FGD'!$U$65</f>
        <v>38971</v>
      </c>
      <c r="J207" s="298">
        <f>'shsu1 FGD'!$V$65</f>
        <v>0</v>
      </c>
      <c r="K207" s="299">
        <f>'shsu1 FGD'!$W$65</f>
        <v>0</v>
      </c>
      <c r="L207" s="303">
        <f>'shsu1 FGD'!$X$65</f>
        <v>24656833</v>
      </c>
      <c r="M207" s="605" t="str">
        <f t="shared" si="11"/>
        <v/>
      </c>
    </row>
    <row r="208" spans="1:13" hidden="1" outlineLevel="1">
      <c r="B208" s="395" t="str">
        <f>'SRSU Sum'!$A$1</f>
        <v>Sul Ross State University</v>
      </c>
      <c r="C208" s="440">
        <f>'SRSU FGD'!$O$65</f>
        <v>13720531</v>
      </c>
      <c r="D208" s="443">
        <f>'SRSU FGD'!$P$65</f>
        <v>367469</v>
      </c>
      <c r="E208" s="294"/>
      <c r="F208" s="595">
        <f>'SRSU FGD'!$R$65</f>
        <v>14088000</v>
      </c>
      <c r="G208" s="603" t="str">
        <f t="shared" si="12"/>
        <v/>
      </c>
      <c r="H208" s="296">
        <f>'SRSU FGD'!$T$65</f>
        <v>13719965</v>
      </c>
      <c r="I208" s="297">
        <f>'SRSU FGD'!$U$65</f>
        <v>367469</v>
      </c>
      <c r="J208" s="298">
        <f>'SRSU FGD'!$V$65</f>
        <v>0</v>
      </c>
      <c r="K208" s="299">
        <f>'SRSU FGD'!$W$65</f>
        <v>0</v>
      </c>
      <c r="L208" s="303">
        <f>'SRSU FGD'!$X$65</f>
        <v>14087434</v>
      </c>
      <c r="M208" s="605" t="str">
        <f t="shared" si="11"/>
        <v/>
      </c>
    </row>
    <row r="209" spans="2:13" hidden="1" outlineLevel="1">
      <c r="B209" s="395" t="str">
        <f>'TAMIU Sum'!$A$1</f>
        <v>Texas A&amp;M International University</v>
      </c>
      <c r="C209" s="440">
        <f>'TAMIU FGD'!$O$65</f>
        <v>7056819</v>
      </c>
      <c r="D209" s="443">
        <f>'TAMIU FGD'!$P$65</f>
        <v>12384</v>
      </c>
      <c r="E209" s="294"/>
      <c r="F209" s="595">
        <f>'TAMIU FGD'!$R$65</f>
        <v>7069203</v>
      </c>
      <c r="G209" s="603" t="str">
        <f t="shared" si="12"/>
        <v/>
      </c>
      <c r="H209" s="296">
        <f>'TAMIU FGD'!$T$65</f>
        <v>7056819</v>
      </c>
      <c r="I209" s="297">
        <f>'TAMIU FGD'!$U$65</f>
        <v>12384</v>
      </c>
      <c r="J209" s="298">
        <f>'TAMIU FGD'!$V$65</f>
        <v>0</v>
      </c>
      <c r="K209" s="299">
        <f>'TAMIU FGD'!$W$65</f>
        <v>0</v>
      </c>
      <c r="L209" s="303">
        <f>'TAMIU FGD'!$X$65</f>
        <v>7069203</v>
      </c>
      <c r="M209" s="605" t="str">
        <f t="shared" si="11"/>
        <v/>
      </c>
    </row>
    <row r="210" spans="2:13" hidden="1" outlineLevel="1">
      <c r="B210" s="395" t="str">
        <f>'TAMU Sum'!$A$1</f>
        <v>Texas A&amp;M University</v>
      </c>
      <c r="C210" s="440">
        <f>'TAMU FGD'!$O$65</f>
        <v>87315089</v>
      </c>
      <c r="D210" s="443">
        <f>'TAMU FGD'!$P$65</f>
        <v>1735476</v>
      </c>
      <c r="E210" s="294"/>
      <c r="F210" s="595">
        <f>'TAMU FGD'!$R$65</f>
        <v>89050565</v>
      </c>
      <c r="G210" s="603" t="str">
        <f t="shared" si="12"/>
        <v/>
      </c>
      <c r="H210" s="296">
        <f>'TAMU FGD'!$T$65</f>
        <v>87315089</v>
      </c>
      <c r="I210" s="297">
        <f>'TAMU FGD'!$U$65</f>
        <v>1735476</v>
      </c>
      <c r="J210" s="298">
        <f>'TAMU FGD'!$V$65</f>
        <v>0</v>
      </c>
      <c r="K210" s="299">
        <f>'TAMU FGD'!$W$65</f>
        <v>0</v>
      </c>
      <c r="L210" s="303">
        <f>'TAMU FGD'!$X$65</f>
        <v>89050565</v>
      </c>
      <c r="M210" s="605" t="str">
        <f t="shared" si="11"/>
        <v/>
      </c>
    </row>
    <row r="211" spans="2:13" hidden="1" outlineLevel="1">
      <c r="B211" s="395" t="str">
        <f>'TAMUC Sum'!$A$1</f>
        <v>Texas A&amp;M University - Commerce</v>
      </c>
      <c r="C211" s="440">
        <f>'TAMUC FGD'!$O$65</f>
        <v>12671933</v>
      </c>
      <c r="D211" s="443">
        <f>'TAMUC FGD'!$P$65</f>
        <v>13150</v>
      </c>
      <c r="E211" s="294"/>
      <c r="F211" s="595">
        <f>'TAMUC FGD'!$R$65</f>
        <v>12685083</v>
      </c>
      <c r="G211" s="603" t="str">
        <f t="shared" si="12"/>
        <v/>
      </c>
      <c r="H211" s="296">
        <f>'TAMUC FGD'!$T$65</f>
        <v>12671933</v>
      </c>
      <c r="I211" s="297">
        <f>'TAMUC FGD'!$U$65</f>
        <v>13150</v>
      </c>
      <c r="J211" s="298">
        <f>'TAMUC FGD'!$V$65</f>
        <v>0</v>
      </c>
      <c r="K211" s="299">
        <f>'TAMUC FGD'!$W$65</f>
        <v>0</v>
      </c>
      <c r="L211" s="303">
        <f>'TAMUC FGD'!$X$65</f>
        <v>12685083</v>
      </c>
      <c r="M211" s="605" t="str">
        <f t="shared" si="11"/>
        <v/>
      </c>
    </row>
    <row r="212" spans="2:13" hidden="1" outlineLevel="1">
      <c r="B212" s="395" t="str">
        <f>'TAMUCC Sum'!$A$1</f>
        <v>Texas A&amp;M University - Corpus Christi</v>
      </c>
      <c r="C212" s="440">
        <f>'TAMUCC FGD'!$O$65</f>
        <v>15295194</v>
      </c>
      <c r="D212" s="443">
        <f>'TAMUCC FGD'!$P$65</f>
        <v>374553</v>
      </c>
      <c r="E212" s="294"/>
      <c r="F212" s="595">
        <f>'TAMUCC FGD'!$R$65</f>
        <v>15669747</v>
      </c>
      <c r="G212" s="603" t="str">
        <f t="shared" si="12"/>
        <v/>
      </c>
      <c r="H212" s="296">
        <f>'TAMUCC FGD'!$T$65</f>
        <v>15295194</v>
      </c>
      <c r="I212" s="297">
        <f>'TAMUCC FGD'!$U$65</f>
        <v>374553</v>
      </c>
      <c r="J212" s="298">
        <f>'TAMUCC FGD'!$V$65</f>
        <v>0</v>
      </c>
      <c r="K212" s="299">
        <f>'TAMUCC FGD'!$W$65</f>
        <v>0</v>
      </c>
      <c r="L212" s="303">
        <f>'TAMUCC FGD'!$X$65</f>
        <v>15669747</v>
      </c>
      <c r="M212" s="605" t="str">
        <f t="shared" si="11"/>
        <v/>
      </c>
    </row>
    <row r="213" spans="2:13" hidden="1" outlineLevel="1">
      <c r="B213" s="395" t="str">
        <f>'TAMUCT Sum'!$A$1</f>
        <v>Texas A&amp;M University - Central Texas</v>
      </c>
      <c r="C213" s="440">
        <f>'TAMUCT FGD'!$O$65</f>
        <v>4251515</v>
      </c>
      <c r="D213" s="443">
        <f>'TAMUCT FGD'!$P$65</f>
        <v>5152</v>
      </c>
      <c r="E213" s="294"/>
      <c r="F213" s="595">
        <f>'TAMUCT FGD'!$R$65</f>
        <v>4256667</v>
      </c>
      <c r="G213" s="603" t="str">
        <f t="shared" si="12"/>
        <v/>
      </c>
      <c r="H213" s="296">
        <f>'TAMUCT FGD'!$T$65</f>
        <v>4251515</v>
      </c>
      <c r="I213" s="297">
        <f>'TAMUCT FGD'!$U$65</f>
        <v>5152</v>
      </c>
      <c r="J213" s="298">
        <f>'TAMUCT FGD'!$V$65</f>
        <v>0</v>
      </c>
      <c r="K213" s="299">
        <f>'TAMUCT FGD'!$W$65</f>
        <v>0</v>
      </c>
      <c r="L213" s="303">
        <f>'TAMUCT FGD'!$X$65</f>
        <v>4256667</v>
      </c>
      <c r="M213" s="605" t="str">
        <f t="shared" si="11"/>
        <v/>
      </c>
    </row>
    <row r="214" spans="2:13" hidden="1" outlineLevel="1">
      <c r="B214" s="395" t="str">
        <f>'TAMUG Sum'!$A$1</f>
        <v>Texas A&amp;M University at Galveston</v>
      </c>
      <c r="C214" s="440">
        <f>'TAMUG FGD'!$O$65</f>
        <v>6740760</v>
      </c>
      <c r="D214" s="443">
        <f>'TAMUG FGD'!$P$65</f>
        <v>69104</v>
      </c>
      <c r="E214" s="294"/>
      <c r="F214" s="595">
        <f>'TAMUG FGD'!$R$65</f>
        <v>6809864</v>
      </c>
      <c r="G214" s="603" t="str">
        <f t="shared" si="12"/>
        <v/>
      </c>
      <c r="H214" s="296">
        <f>'TAMUG FGD'!$T$65</f>
        <v>6740760</v>
      </c>
      <c r="I214" s="297">
        <f>'TAMUG FGD'!$U$65</f>
        <v>69104</v>
      </c>
      <c r="J214" s="298">
        <f>'TAMUG FGD'!$V$65</f>
        <v>0</v>
      </c>
      <c r="K214" s="299">
        <f>'TAMUG FGD'!$W$65</f>
        <v>0</v>
      </c>
      <c r="L214" s="303">
        <f>'TAMUG FGD'!$X$65</f>
        <v>6809864</v>
      </c>
      <c r="M214" s="605" t="str">
        <f t="shared" si="11"/>
        <v/>
      </c>
    </row>
    <row r="215" spans="2:13" hidden="1" outlineLevel="1">
      <c r="B215" s="395" t="str">
        <f>'TAMUK Sum'!$A$1</f>
        <v>Texas A&amp;M University - Kingsville</v>
      </c>
      <c r="C215" s="440">
        <f>'TAMUK FGD'!$O$65</f>
        <v>11394161</v>
      </c>
      <c r="D215" s="443">
        <f>'TAMUK FGD'!$P$65</f>
        <v>88806</v>
      </c>
      <c r="E215" s="294"/>
      <c r="F215" s="595">
        <f>'TAMUK FGD'!$R$65</f>
        <v>11482967</v>
      </c>
      <c r="G215" s="603" t="str">
        <f t="shared" si="12"/>
        <v/>
      </c>
      <c r="H215" s="296">
        <f>'TAMUK FGD'!$T$65</f>
        <v>11394161</v>
      </c>
      <c r="I215" s="297">
        <f>'TAMUK FGD'!$U$65</f>
        <v>88806</v>
      </c>
      <c r="J215" s="298">
        <f>'TAMUK FGD'!$V$65</f>
        <v>0</v>
      </c>
      <c r="K215" s="299">
        <f>'TAMUK FGD'!$W$65</f>
        <v>0</v>
      </c>
      <c r="L215" s="303">
        <f>'TAMUK FGD'!$X$65</f>
        <v>11482967</v>
      </c>
      <c r="M215" s="605" t="str">
        <f t="shared" si="11"/>
        <v/>
      </c>
    </row>
    <row r="216" spans="2:13" hidden="1" outlineLevel="1">
      <c r="B216" s="395" t="str">
        <f>'TAMUSA Sum'!$A$1</f>
        <v>Texas A&amp;M University - San Antonio</v>
      </c>
      <c r="C216" s="440">
        <f>'TAMUSA FGD'!$O$65</f>
        <v>13732086</v>
      </c>
      <c r="D216" s="443">
        <f>'TAMUSA FGD'!$P$65</f>
        <v>43150</v>
      </c>
      <c r="E216" s="294"/>
      <c r="F216" s="595">
        <f>'TAMUSA FGD'!$R$65</f>
        <v>13775236</v>
      </c>
      <c r="G216" s="603" t="str">
        <f t="shared" si="12"/>
        <v/>
      </c>
      <c r="H216" s="296">
        <f>'TAMUSA FGD'!$T$65</f>
        <v>13732086</v>
      </c>
      <c r="I216" s="297">
        <f>'TAMUSA FGD'!$U$65</f>
        <v>43150</v>
      </c>
      <c r="J216" s="298">
        <f>'TAMUSA FGD'!$V$65</f>
        <v>0</v>
      </c>
      <c r="K216" s="299">
        <f>'TAMUSA FGD'!$W$65</f>
        <v>0</v>
      </c>
      <c r="L216" s="303">
        <f>'TAMUSA FGD'!$X$65</f>
        <v>13775236</v>
      </c>
      <c r="M216" s="605" t="str">
        <f t="shared" si="11"/>
        <v/>
      </c>
    </row>
    <row r="217" spans="2:13" hidden="1" outlineLevel="1">
      <c r="B217" s="395" t="str">
        <f>'TAMUT Sum'!$A$1</f>
        <v>Texas A&amp;M University - Texarkana</v>
      </c>
      <c r="C217" s="440">
        <f>'TAMUT FGD'!$O$65</f>
        <v>4818785</v>
      </c>
      <c r="D217" s="443">
        <f>'TAMUT FGD'!$P$65</f>
        <v>0</v>
      </c>
      <c r="E217" s="294"/>
      <c r="F217" s="595">
        <f>'TAMUT FGD'!$R$65</f>
        <v>4818785</v>
      </c>
      <c r="G217" s="603" t="str">
        <f t="shared" si="12"/>
        <v/>
      </c>
      <c r="H217" s="296">
        <f>'TAMUT FGD'!$T$65</f>
        <v>4818785</v>
      </c>
      <c r="I217" s="297">
        <f>'TAMUT FGD'!$U$65</f>
        <v>0</v>
      </c>
      <c r="J217" s="298">
        <f>'TAMUT FGD'!$V$65</f>
        <v>0</v>
      </c>
      <c r="K217" s="299">
        <f>'TAMUT FGD'!$W$65</f>
        <v>0</v>
      </c>
      <c r="L217" s="303">
        <f>'TAMUT FGD'!$X$65</f>
        <v>4818785</v>
      </c>
      <c r="M217" s="605" t="str">
        <f t="shared" si="11"/>
        <v/>
      </c>
    </row>
    <row r="218" spans="2:13" hidden="1" outlineLevel="1">
      <c r="B218" s="395" t="str">
        <f>'TARLST Sum'!$A$1</f>
        <v>Tarleton State University</v>
      </c>
      <c r="C218" s="440">
        <f>'TARLST FGD'!$O$65</f>
        <v>17990353</v>
      </c>
      <c r="D218" s="443">
        <f>'TARLST FGD'!$P$65</f>
        <v>156560</v>
      </c>
      <c r="E218" s="294"/>
      <c r="F218" s="595">
        <f>'TARLST FGD'!$R$65</f>
        <v>18146913</v>
      </c>
      <c r="G218" s="603" t="str">
        <f t="shared" si="12"/>
        <v/>
      </c>
      <c r="H218" s="296">
        <f>'TARLST FGD'!$T$65</f>
        <v>17990353</v>
      </c>
      <c r="I218" s="297">
        <f>'TARLST FGD'!$U$65</f>
        <v>156560</v>
      </c>
      <c r="J218" s="298">
        <f>'TARLST FGD'!$V$65</f>
        <v>0</v>
      </c>
      <c r="K218" s="299">
        <f>'TARLST FGD'!$W$65</f>
        <v>0</v>
      </c>
      <c r="L218" s="303">
        <f>'TARLST FGD'!$X$65</f>
        <v>18146913</v>
      </c>
      <c r="M218" s="605" t="str">
        <f t="shared" si="11"/>
        <v/>
      </c>
    </row>
    <row r="219" spans="2:13" hidden="1" outlineLevel="1">
      <c r="B219" s="395" t="str">
        <f>'TSU Sum'!$A$1</f>
        <v>Texas Southern University</v>
      </c>
      <c r="C219" s="440">
        <f>'TSU FGD'!$O$65</f>
        <v>55823930</v>
      </c>
      <c r="D219" s="443">
        <f>'TSU FGD'!$P$65</f>
        <v>2308076</v>
      </c>
      <c r="E219" s="294"/>
      <c r="F219" s="595">
        <f>'TSU FGD'!$R$65</f>
        <v>58132006</v>
      </c>
      <c r="G219" s="603" t="str">
        <f t="shared" si="12"/>
        <v/>
      </c>
      <c r="H219" s="296">
        <f>'TSU FGD'!$T$65</f>
        <v>55828504</v>
      </c>
      <c r="I219" s="297">
        <f>'TSU FGD'!$U$65</f>
        <v>2308076</v>
      </c>
      <c r="J219" s="298">
        <f>'TSU FGD'!$V$65</f>
        <v>408898</v>
      </c>
      <c r="K219" s="299">
        <f>'TSU FGD'!$W$65</f>
        <v>0</v>
      </c>
      <c r="L219" s="303">
        <f>'TSU FGD'!$X$65</f>
        <v>57727682</v>
      </c>
      <c r="M219" s="605" t="str">
        <f t="shared" si="11"/>
        <v/>
      </c>
    </row>
    <row r="220" spans="2:13" hidden="1" outlineLevel="1">
      <c r="B220" s="395" t="str">
        <f>'TTU Sum'!$A$1</f>
        <v>Texas Tech University</v>
      </c>
      <c r="C220" s="440">
        <f>'TTU FGD'!$O$65</f>
        <v>47908596</v>
      </c>
      <c r="D220" s="443">
        <f>'TTU FGD'!$P$65</f>
        <v>814312</v>
      </c>
      <c r="E220" s="294"/>
      <c r="F220" s="595">
        <f>'TTU FGD'!$R$65</f>
        <v>48722908</v>
      </c>
      <c r="G220" s="603" t="str">
        <f t="shared" si="12"/>
        <v/>
      </c>
      <c r="H220" s="296">
        <f>'TTU FGD'!$T$65</f>
        <v>47908596</v>
      </c>
      <c r="I220" s="297">
        <f>'TTU FGD'!$U$65</f>
        <v>814312</v>
      </c>
      <c r="J220" s="298">
        <f>'TTU FGD'!$V$65</f>
        <v>0</v>
      </c>
      <c r="K220" s="299">
        <f>'TTU FGD'!$W$65</f>
        <v>0</v>
      </c>
      <c r="L220" s="303">
        <f>'TTU FGD'!$X$65</f>
        <v>48722908</v>
      </c>
      <c r="M220" s="605" t="str">
        <f t="shared" si="11"/>
        <v/>
      </c>
    </row>
    <row r="221" spans="2:13" hidden="1" outlineLevel="1">
      <c r="B221" s="395" t="str">
        <f>'TWU Sum'!$A$1</f>
        <v>Texas Woman's University</v>
      </c>
      <c r="C221" s="440">
        <f>'TWU FGD'!$O$65</f>
        <v>30952014</v>
      </c>
      <c r="D221" s="443">
        <f>'TWU FGD'!$P$65</f>
        <v>543946</v>
      </c>
      <c r="E221" s="294"/>
      <c r="F221" s="595">
        <f>'TWU FGD'!$R$65</f>
        <v>31495960</v>
      </c>
      <c r="G221" s="603" t="str">
        <f t="shared" si="12"/>
        <v/>
      </c>
      <c r="H221" s="296">
        <f>'TWU FGD'!$T$65</f>
        <v>30952014</v>
      </c>
      <c r="I221" s="297">
        <f>'TWU FGD'!$U$65</f>
        <v>543946</v>
      </c>
      <c r="J221" s="298">
        <f>'TWU FGD'!$V$65</f>
        <v>0</v>
      </c>
      <c r="K221" s="299">
        <f>'TWU FGD'!$W$65</f>
        <v>0</v>
      </c>
      <c r="L221" s="303">
        <f>'TWU FGD'!$X$65</f>
        <v>31495960</v>
      </c>
      <c r="M221" s="605" t="str">
        <f t="shared" si="11"/>
        <v/>
      </c>
    </row>
    <row r="222" spans="2:13" hidden="1" outlineLevel="1">
      <c r="B222" s="395" t="str">
        <f>'TXST Sum'!$A$1</f>
        <v>Texas State University</v>
      </c>
      <c r="C222" s="440">
        <f>'TXST FGD'!$O$65</f>
        <v>39713377</v>
      </c>
      <c r="D222" s="443">
        <f>'TXST FGD'!$P$65</f>
        <v>33420</v>
      </c>
      <c r="E222" s="294"/>
      <c r="F222" s="595">
        <f>'TXST FGD'!$R$65</f>
        <v>39746797</v>
      </c>
      <c r="G222" s="603" t="str">
        <f t="shared" si="12"/>
        <v/>
      </c>
      <c r="H222" s="296">
        <f>'TXST FGD'!$T$65</f>
        <v>39713377</v>
      </c>
      <c r="I222" s="297">
        <f>'TXST FGD'!$U$65</f>
        <v>33420</v>
      </c>
      <c r="J222" s="298">
        <f>'TXST FGD'!$V$65</f>
        <v>0</v>
      </c>
      <c r="K222" s="299">
        <f>'TXST FGD'!$W$65</f>
        <v>0</v>
      </c>
      <c r="L222" s="303">
        <f>'TXST FGD'!$X$65</f>
        <v>39746797</v>
      </c>
      <c r="M222" s="605" t="str">
        <f t="shared" si="11"/>
        <v/>
      </c>
    </row>
    <row r="223" spans="2:13" hidden="1" outlineLevel="1">
      <c r="B223" s="395" t="str">
        <f>'TYL Sum'!$A$1</f>
        <v>The University of Texas at Tyler</v>
      </c>
      <c r="C223" s="440">
        <f>'TYL FGD'!$O$65</f>
        <v>14087587</v>
      </c>
      <c r="D223" s="443">
        <f>'TYL FGD'!$P$65</f>
        <v>11216</v>
      </c>
      <c r="E223" s="294"/>
      <c r="F223" s="595">
        <f>'TYL FGD'!$R$65</f>
        <v>14098803</v>
      </c>
      <c r="G223" s="603" t="str">
        <f t="shared" si="12"/>
        <v/>
      </c>
      <c r="H223" s="296">
        <f>'TYL FGD'!$T$65</f>
        <v>14087587</v>
      </c>
      <c r="I223" s="297">
        <f>'TYL FGD'!$U$65</f>
        <v>11216</v>
      </c>
      <c r="J223" s="298">
        <f>'TYL FGD'!$V$65</f>
        <v>0</v>
      </c>
      <c r="K223" s="299">
        <f>'TYL FGD'!$W$65</f>
        <v>0</v>
      </c>
      <c r="L223" s="303">
        <f>'TYL FGD'!$X$65</f>
        <v>14098803</v>
      </c>
      <c r="M223" s="605" t="str">
        <f t="shared" si="11"/>
        <v/>
      </c>
    </row>
    <row r="224" spans="2:13" ht="25.5" hidden="1" outlineLevel="1">
      <c r="B224" s="395" t="str">
        <f>'UH1 Sum'!$A$1</f>
        <v>University of Houston - Academic &amp; Health (A+H)</v>
      </c>
      <c r="C224" s="440">
        <f>'UH1 FGD'!$O$65</f>
        <v>85318060</v>
      </c>
      <c r="D224" s="443">
        <f>'UH1 FGD'!$P$65</f>
        <v>285334</v>
      </c>
      <c r="E224" s="294"/>
      <c r="F224" s="595">
        <f>'UH1 FGD'!$R$65</f>
        <v>85603394</v>
      </c>
      <c r="G224" s="603" t="str">
        <f t="shared" si="12"/>
        <v/>
      </c>
      <c r="H224" s="296">
        <f>'UH1 FGD'!$T$65</f>
        <v>85318060</v>
      </c>
      <c r="I224" s="297">
        <f>'UH1 FGD'!$U$65</f>
        <v>285334</v>
      </c>
      <c r="J224" s="298">
        <f>'UH1 FGD'!$V$65</f>
        <v>0</v>
      </c>
      <c r="K224" s="299">
        <f>'UH1 FGD'!$W$65</f>
        <v>0</v>
      </c>
      <c r="L224" s="303">
        <f>'UH1 FGD'!$X$65</f>
        <v>85603394</v>
      </c>
      <c r="M224" s="605" t="str">
        <f t="shared" si="11"/>
        <v/>
      </c>
    </row>
    <row r="225" spans="1:13" hidden="1" outlineLevel="1">
      <c r="B225" s="395" t="str">
        <f>'UHCL Sum'!$A$1</f>
        <v>University of Houston - Clear Lake</v>
      </c>
      <c r="C225" s="440">
        <f>'UHCL FGD'!$O$65</f>
        <v>17684701</v>
      </c>
      <c r="D225" s="443">
        <f>'UHCL FGD'!$P$65</f>
        <v>426677</v>
      </c>
      <c r="E225" s="294"/>
      <c r="F225" s="595">
        <f>'UHCL FGD'!$R$65</f>
        <v>18111378</v>
      </c>
      <c r="G225" s="603" t="str">
        <f t="shared" si="12"/>
        <v/>
      </c>
      <c r="H225" s="296">
        <f>'UHCL FGD'!$T$65</f>
        <v>17684701</v>
      </c>
      <c r="I225" s="297">
        <f>'UHCL FGD'!$U$65</f>
        <v>426677</v>
      </c>
      <c r="J225" s="298">
        <f>'UHCL FGD'!$V$65</f>
        <v>0</v>
      </c>
      <c r="K225" s="299">
        <f>'UHCL FGD'!$W$65</f>
        <v>0</v>
      </c>
      <c r="L225" s="303">
        <f>'UHCL FGD'!$X$65</f>
        <v>18111378</v>
      </c>
      <c r="M225" s="605" t="str">
        <f t="shared" si="11"/>
        <v/>
      </c>
    </row>
    <row r="226" spans="1:13" hidden="1" outlineLevel="1">
      <c r="B226" s="395" t="str">
        <f>'UHD Sum'!$A$1</f>
        <v>University of Houston - Downtown</v>
      </c>
      <c r="C226" s="440">
        <f>'UHD FGD'!$O$65</f>
        <v>24022615</v>
      </c>
      <c r="D226" s="443">
        <f>'UHD FGD'!$P$65</f>
        <v>27493</v>
      </c>
      <c r="E226" s="294"/>
      <c r="F226" s="595">
        <f>'UHD FGD'!$R$65</f>
        <v>24050108</v>
      </c>
      <c r="G226" s="603" t="str">
        <f t="shared" si="12"/>
        <v/>
      </c>
      <c r="H226" s="296">
        <f>'UHD FGD'!$T$65</f>
        <v>24022615</v>
      </c>
      <c r="I226" s="297">
        <f>'UHD FGD'!$U$65</f>
        <v>27493</v>
      </c>
      <c r="J226" s="298">
        <f>'UHD FGD'!$V$65</f>
        <v>0</v>
      </c>
      <c r="K226" s="299">
        <f>'UHD FGD'!$W$65</f>
        <v>0</v>
      </c>
      <c r="L226" s="303">
        <f>'UHD FGD'!$X$65</f>
        <v>24050108</v>
      </c>
      <c r="M226" s="605" t="str">
        <f t="shared" si="11"/>
        <v/>
      </c>
    </row>
    <row r="227" spans="1:13" hidden="1" outlineLevel="1">
      <c r="B227" s="395" t="str">
        <f>'UHV Sum'!$A$1</f>
        <v>University of Houston - Victoria</v>
      </c>
      <c r="C227" s="440">
        <f>'UHV FGD'!$O$65</f>
        <v>5892792</v>
      </c>
      <c r="D227" s="443">
        <f>'UHV FGD'!$P$65</f>
        <v>131321</v>
      </c>
      <c r="E227" s="294"/>
      <c r="F227" s="595">
        <f>'UHV FGD'!$R$65</f>
        <v>6024113</v>
      </c>
      <c r="G227" s="603" t="str">
        <f t="shared" si="12"/>
        <v/>
      </c>
      <c r="H227" s="296">
        <f>'UHV FGD'!$T$65</f>
        <v>5892792</v>
      </c>
      <c r="I227" s="297">
        <f>'UHV FGD'!$U$65</f>
        <v>131321</v>
      </c>
      <c r="J227" s="298">
        <f>'UHV FGD'!$V$65</f>
        <v>0</v>
      </c>
      <c r="K227" s="299">
        <f>'UHV FGD'!$W$65</f>
        <v>0</v>
      </c>
      <c r="L227" s="303">
        <f>'UHV FGD'!$X$65</f>
        <v>6024113</v>
      </c>
      <c r="M227" s="605" t="str">
        <f t="shared" si="11"/>
        <v/>
      </c>
    </row>
    <row r="228" spans="1:13" hidden="1" outlineLevel="1">
      <c r="B228" s="395" t="str">
        <f>'UNT Sum'!$A$1</f>
        <v>University of North Texas</v>
      </c>
      <c r="C228" s="440">
        <f>'UNT FGD'!$O$65</f>
        <v>50440178</v>
      </c>
      <c r="D228" s="443">
        <f>'UNT FGD'!$P$65</f>
        <v>2177181</v>
      </c>
      <c r="E228" s="294"/>
      <c r="F228" s="595">
        <f>'UNT FGD'!$R$65</f>
        <v>52617359</v>
      </c>
      <c r="G228" s="603" t="str">
        <f t="shared" si="12"/>
        <v/>
      </c>
      <c r="H228" s="296">
        <f>'UNT FGD'!$T$65</f>
        <v>50440178</v>
      </c>
      <c r="I228" s="297">
        <f>'UNT FGD'!$U$65</f>
        <v>2177181</v>
      </c>
      <c r="J228" s="298">
        <f>'UNT FGD'!$V$65</f>
        <v>0</v>
      </c>
      <c r="K228" s="299">
        <f>'UNT FGD'!$W$65</f>
        <v>0</v>
      </c>
      <c r="L228" s="303">
        <f>'UNT FGD'!$X$65</f>
        <v>52617359</v>
      </c>
      <c r="M228" s="605" t="str">
        <f t="shared" si="11"/>
        <v/>
      </c>
    </row>
    <row r="229" spans="1:13" hidden="1" outlineLevel="1">
      <c r="B229" s="395" t="str">
        <f>'UNTD Sum'!$A$1</f>
        <v>University of North Texas at Dallas</v>
      </c>
      <c r="C229" s="440">
        <f>'UNTD FGD'!$O$65</f>
        <v>7511095</v>
      </c>
      <c r="D229" s="443">
        <f>'UNTD FGD'!$P$65</f>
        <v>263851</v>
      </c>
      <c r="E229" s="294"/>
      <c r="F229" s="595">
        <f>'UNTD FGD'!$R$65</f>
        <v>7774946</v>
      </c>
      <c r="G229" s="603" t="str">
        <f t="shared" si="12"/>
        <v/>
      </c>
      <c r="H229" s="296">
        <f>'UNTD FGD'!$T$65</f>
        <v>7511095</v>
      </c>
      <c r="I229" s="297">
        <f>'UNTD FGD'!$U$65</f>
        <v>263851</v>
      </c>
      <c r="J229" s="298">
        <f>'UNTD FGD'!$V$65</f>
        <v>0</v>
      </c>
      <c r="K229" s="299">
        <f>'UNTD FGD'!$W$65</f>
        <v>0</v>
      </c>
      <c r="L229" s="303">
        <f>'UNTD FGD'!$X$65</f>
        <v>7774946</v>
      </c>
      <c r="M229" s="605" t="str">
        <f t="shared" si="11"/>
        <v/>
      </c>
    </row>
    <row r="230" spans="1:13" hidden="1" outlineLevel="1">
      <c r="B230" s="395" t="str">
        <f>'WTAMU Sum'!$A$1</f>
        <v>West Texas A&amp;M University</v>
      </c>
      <c r="C230" s="440">
        <f>'WTAMU FGD'!$O$65</f>
        <v>13231196</v>
      </c>
      <c r="D230" s="443">
        <f>'WTAMU FGD'!$P$65</f>
        <v>332819</v>
      </c>
      <c r="E230" s="294"/>
      <c r="F230" s="595">
        <f>'WTAMU FGD'!$R$65</f>
        <v>13564015</v>
      </c>
      <c r="G230" s="603" t="str">
        <f t="shared" si="12"/>
        <v/>
      </c>
      <c r="H230" s="296">
        <f>'WTAMU FGD'!$T$65</f>
        <v>13231196</v>
      </c>
      <c r="I230" s="297">
        <f>'WTAMU FGD'!$U$65</f>
        <v>332819</v>
      </c>
      <c r="J230" s="298">
        <f>'WTAMU FGD'!$V$65</f>
        <v>0</v>
      </c>
      <c r="K230" s="299">
        <f>'WTAMU FGD'!$W$65</f>
        <v>0</v>
      </c>
      <c r="L230" s="303">
        <f>'WTAMU FGD'!$X$65</f>
        <v>13564015</v>
      </c>
      <c r="M230" s="605" t="str">
        <f t="shared" si="11"/>
        <v/>
      </c>
    </row>
    <row r="231" spans="1:13" collapsed="1">
      <c r="A231">
        <f>COUNTA(B195:B230)</f>
        <v>36</v>
      </c>
      <c r="B231" s="160" t="s">
        <v>19</v>
      </c>
      <c r="C231" s="440">
        <f>SUM(C195:C230)</f>
        <v>1146089125</v>
      </c>
      <c r="D231" s="443">
        <f>SUM(D195:D230)</f>
        <v>24311585</v>
      </c>
      <c r="E231" s="600"/>
      <c r="F231" s="595">
        <f>SUM(F195:F230)</f>
        <v>1170400710</v>
      </c>
      <c r="G231" s="603" t="str">
        <f t="shared" si="12"/>
        <v/>
      </c>
      <c r="H231" s="296">
        <f>SUM(H195:H230)</f>
        <v>1146040552</v>
      </c>
      <c r="I231" s="297">
        <f>SUM(I195:I230)</f>
        <v>24311585</v>
      </c>
      <c r="J231" s="298">
        <f>SUM(J195:J230)</f>
        <v>408898</v>
      </c>
      <c r="K231" s="299">
        <f>SUM(K195:K230)</f>
        <v>0</v>
      </c>
      <c r="L231" s="303">
        <f>SUM(L195:L230)</f>
        <v>1169943239</v>
      </c>
      <c r="M231" s="605" t="str">
        <f t="shared" si="11"/>
        <v/>
      </c>
    </row>
    <row r="232" spans="1:13" hidden="1" outlineLevel="1">
      <c r="B232" s="395" t="str">
        <f>'ARL Sum'!$A$1</f>
        <v>The University of Texas at Arlington</v>
      </c>
      <c r="C232" s="440">
        <f>'ARL FGD'!$O$66</f>
        <v>41926574</v>
      </c>
      <c r="D232" s="443">
        <f>'ARL FGD'!$P$66</f>
        <v>507821</v>
      </c>
      <c r="E232" s="601"/>
      <c r="F232" s="595"/>
      <c r="G232" s="604"/>
      <c r="H232" s="296">
        <f>'ARL FGD'!$T$66</f>
        <v>34784964</v>
      </c>
      <c r="I232" s="297">
        <f>'ARL FGD'!$U$66</f>
        <v>507821</v>
      </c>
      <c r="J232" s="298">
        <f>'ARL FGD'!$V$66</f>
        <v>0</v>
      </c>
      <c r="K232" s="299">
        <f>'ARL FGD'!$W$66</f>
        <v>0</v>
      </c>
      <c r="L232" s="303">
        <f>'ARL FGD'!$X$66</f>
        <v>35292785</v>
      </c>
      <c r="M232" s="605" t="str">
        <f t="shared" si="11"/>
        <v/>
      </c>
    </row>
    <row r="233" spans="1:13" hidden="1" outlineLevel="1">
      <c r="B233" s="395" t="str">
        <f>'ASU Sum'!$A$1</f>
        <v>Angelo State University</v>
      </c>
      <c r="C233" s="440">
        <f>'ASU FGD'!$O$66</f>
        <v>7507723</v>
      </c>
      <c r="D233" s="443">
        <f>'ASU FGD'!$P$66</f>
        <v>40780</v>
      </c>
      <c r="E233" s="601"/>
      <c r="F233" s="595"/>
      <c r="G233" s="604"/>
      <c r="H233" s="296">
        <f>'ASU FGD'!$T$66</f>
        <v>7507723</v>
      </c>
      <c r="I233" s="297">
        <f>'ASU FGD'!$U$66</f>
        <v>40780</v>
      </c>
      <c r="J233" s="298">
        <f>'ASU FGD'!$V$66</f>
        <v>0</v>
      </c>
      <c r="K233" s="299">
        <f>'ASU FGD'!$W$66</f>
        <v>0</v>
      </c>
      <c r="L233" s="303">
        <f>'ASU FGD'!$X$66</f>
        <v>7548503</v>
      </c>
      <c r="M233" s="605" t="str">
        <f t="shared" si="11"/>
        <v/>
      </c>
    </row>
    <row r="234" spans="1:13" ht="25.5" hidden="1" outlineLevel="1">
      <c r="B234" s="395" t="str">
        <f>'AUS1 Sum'!$A$1</f>
        <v>The University of Texas at Austin - Academic &amp; Health (A+H)</v>
      </c>
      <c r="C234" s="440">
        <f>'AUS1 FGD'!$O$66</f>
        <v>198273240</v>
      </c>
      <c r="D234" s="443">
        <f>'AUS1 FGD'!$P$66</f>
        <v>523347</v>
      </c>
      <c r="E234" s="601"/>
      <c r="F234" s="595"/>
      <c r="G234" s="604"/>
      <c r="H234" s="296">
        <f>'AUS1 FGD'!$T$66</f>
        <v>146711157</v>
      </c>
      <c r="I234" s="297">
        <f>'AUS1 FGD'!$U$66</f>
        <v>523347</v>
      </c>
      <c r="J234" s="298">
        <f>'AUS1 FGD'!$V$66</f>
        <v>0</v>
      </c>
      <c r="K234" s="299">
        <f>'AUS1 FGD'!$W$66</f>
        <v>0</v>
      </c>
      <c r="L234" s="303">
        <f>'AUS1 FGD'!$X$66</f>
        <v>147234504</v>
      </c>
      <c r="M234" s="605" t="str">
        <f t="shared" si="11"/>
        <v/>
      </c>
    </row>
    <row r="235" spans="1:13" ht="25.5" hidden="1" outlineLevel="1">
      <c r="B235" s="395" t="str">
        <f>'RGV1 Sum'!$A$1</f>
        <v>The University of Texas RGV - Academic &amp; Health (A+H)</v>
      </c>
      <c r="C235" s="440">
        <f>'RGV1 FGD'!$O$66</f>
        <v>36438488</v>
      </c>
      <c r="D235" s="443">
        <f>'RGV1 FGD'!$P$66</f>
        <v>400867</v>
      </c>
      <c r="E235" s="601"/>
      <c r="F235" s="595"/>
      <c r="G235" s="604"/>
      <c r="H235" s="296">
        <f>'RGV1 FGD'!$T$66</f>
        <v>33921130</v>
      </c>
      <c r="I235" s="297">
        <f>'RGV1 FGD'!$U$66</f>
        <v>400867</v>
      </c>
      <c r="J235" s="298">
        <f>'RGV1 FGD'!$V$66</f>
        <v>0</v>
      </c>
      <c r="K235" s="299">
        <f>'RGV1 FGD'!$W$66</f>
        <v>0</v>
      </c>
      <c r="L235" s="303">
        <f>'RGV1 FGD'!$X$66</f>
        <v>34321997</v>
      </c>
      <c r="M235" s="605" t="str">
        <f t="shared" si="11"/>
        <v/>
      </c>
    </row>
    <row r="236" spans="1:13" hidden="1" outlineLevel="1">
      <c r="B236" s="395" t="str">
        <f>'DAL Sum'!$A$1</f>
        <v>The University of Texas at Dallas</v>
      </c>
      <c r="C236" s="440">
        <f>'DAL FGD'!$O$66</f>
        <v>54577186</v>
      </c>
      <c r="D236" s="443">
        <f>'DAL FGD'!$P$66</f>
        <v>626560</v>
      </c>
      <c r="E236" s="601"/>
      <c r="F236" s="595"/>
      <c r="G236" s="604"/>
      <c r="H236" s="296">
        <f>'DAL FGD'!$T$66</f>
        <v>53588685</v>
      </c>
      <c r="I236" s="297">
        <f>'DAL FGD'!$U$66</f>
        <v>626560</v>
      </c>
      <c r="J236" s="298">
        <f>'DAL FGD'!$V$66</f>
        <v>0</v>
      </c>
      <c r="K236" s="299">
        <f>'DAL FGD'!$W$66</f>
        <v>0</v>
      </c>
      <c r="L236" s="303">
        <f>'DAL FGD'!$X$66</f>
        <v>54215245</v>
      </c>
      <c r="M236" s="605" t="str">
        <f t="shared" si="11"/>
        <v/>
      </c>
    </row>
    <row r="237" spans="1:13" hidden="1" outlineLevel="1">
      <c r="B237" s="395" t="str">
        <f>'E-P Sum'!$A$1</f>
        <v>The University of Texas at El Paso</v>
      </c>
      <c r="C237" s="440">
        <f>'E-P FGD'!$O$66</f>
        <v>28976151</v>
      </c>
      <c r="D237" s="443">
        <f>'E-P FGD'!$P$66</f>
        <v>75169</v>
      </c>
      <c r="E237" s="601"/>
      <c r="F237" s="595"/>
      <c r="G237" s="604"/>
      <c r="H237" s="296">
        <f>'E-P FGD'!$T$66</f>
        <v>28850020</v>
      </c>
      <c r="I237" s="297">
        <f>'E-P FGD'!$U$66</f>
        <v>75169</v>
      </c>
      <c r="J237" s="298">
        <f>'E-P FGD'!$V$66</f>
        <v>0</v>
      </c>
      <c r="K237" s="299">
        <f>'E-P FGD'!$W$66</f>
        <v>0</v>
      </c>
      <c r="L237" s="303">
        <f>'E-P FGD'!$X$66</f>
        <v>28925189</v>
      </c>
      <c r="M237" s="605" t="str">
        <f t="shared" si="11"/>
        <v/>
      </c>
    </row>
    <row r="238" spans="1:13" hidden="1" outlineLevel="1">
      <c r="B238" s="395" t="str">
        <f>'LU Sum'!$A$1</f>
        <v xml:space="preserve">Lamar University </v>
      </c>
      <c r="C238" s="440">
        <f>'LU FGD'!$O$66</f>
        <v>13795553</v>
      </c>
      <c r="D238" s="443">
        <f>'LU FGD'!$P$66</f>
        <v>237321</v>
      </c>
      <c r="E238" s="601"/>
      <c r="F238" s="595"/>
      <c r="G238" s="604"/>
      <c r="H238" s="296">
        <f>'LU FGD'!$T$66</f>
        <v>13795553</v>
      </c>
      <c r="I238" s="297">
        <f>'LU FGD'!$U$66</f>
        <v>237321</v>
      </c>
      <c r="J238" s="298">
        <f>'LU FGD'!$V$66</f>
        <v>0</v>
      </c>
      <c r="K238" s="299">
        <f>'LU FGD'!$W$66</f>
        <v>0</v>
      </c>
      <c r="L238" s="303">
        <f>'LU FGD'!$X$66</f>
        <v>14032874</v>
      </c>
      <c r="M238" s="605" t="str">
        <f t="shared" si="11"/>
        <v/>
      </c>
    </row>
    <row r="239" spans="1:13" hidden="1" outlineLevel="1">
      <c r="B239" s="395" t="str">
        <f>'MidWST Sum'!$A$1</f>
        <v>Midwestern State University</v>
      </c>
      <c r="C239" s="440">
        <f>'MidWST FGD'!$O$66</f>
        <v>7301551</v>
      </c>
      <c r="D239" s="443">
        <f>'MidWST FGD'!$P$66</f>
        <v>694984</v>
      </c>
      <c r="E239" s="601"/>
      <c r="F239" s="595"/>
      <c r="G239" s="604"/>
      <c r="H239" s="296">
        <f>'MidWST FGD'!$T$66</f>
        <v>7260601</v>
      </c>
      <c r="I239" s="297">
        <f>'MidWST FGD'!$U$66</f>
        <v>694984</v>
      </c>
      <c r="J239" s="298">
        <f>'MidWST FGD'!$V$66</f>
        <v>0</v>
      </c>
      <c r="K239" s="299">
        <f>'MidWST FGD'!$W$66</f>
        <v>0</v>
      </c>
      <c r="L239" s="303">
        <f>'MidWST FGD'!$X$66</f>
        <v>7955585</v>
      </c>
      <c r="M239" s="605" t="str">
        <f t="shared" si="11"/>
        <v/>
      </c>
    </row>
    <row r="240" spans="1:13" ht="15" hidden="1" customHeight="1" outlineLevel="1">
      <c r="B240" s="395" t="str">
        <f>'P-B Sum'!$A$1</f>
        <v>The University of Texas of the Permian Basin</v>
      </c>
      <c r="C240" s="440">
        <f>'P-B FGD'!$O$66</f>
        <v>10219299</v>
      </c>
      <c r="D240" s="443">
        <f>'P-B FGD'!$P$66</f>
        <v>18324</v>
      </c>
      <c r="E240" s="601"/>
      <c r="F240" s="595"/>
      <c r="G240" s="604"/>
      <c r="H240" s="296">
        <f>'P-B FGD'!$T$66</f>
        <v>8481316</v>
      </c>
      <c r="I240" s="297">
        <f>'P-B FGD'!$U$66</f>
        <v>18324</v>
      </c>
      <c r="J240" s="298">
        <f>'P-B FGD'!$V$66</f>
        <v>0</v>
      </c>
      <c r="K240" s="299">
        <f>'P-B FGD'!$W$66</f>
        <v>0</v>
      </c>
      <c r="L240" s="303">
        <f>'P-B FGD'!$X$66</f>
        <v>8499640</v>
      </c>
      <c r="M240" s="605" t="str">
        <f t="shared" si="11"/>
        <v/>
      </c>
    </row>
    <row r="241" spans="2:13" hidden="1" outlineLevel="1">
      <c r="B241" s="395" t="str">
        <f>'PVAMU Sum'!$A$1</f>
        <v>Prairie View A&amp;M University</v>
      </c>
      <c r="C241" s="440">
        <f>'PVAMU FGD'!$O$66</f>
        <v>22274123</v>
      </c>
      <c r="D241" s="443">
        <f>'PVAMU FGD'!$P$66</f>
        <v>539105</v>
      </c>
      <c r="E241" s="601"/>
      <c r="F241" s="595"/>
      <c r="G241" s="604"/>
      <c r="H241" s="296">
        <f>'PVAMU FGD'!$T$66</f>
        <v>17791836</v>
      </c>
      <c r="I241" s="297">
        <f>'PVAMU FGD'!$U$66</f>
        <v>539105</v>
      </c>
      <c r="J241" s="298">
        <f>'PVAMU FGD'!$V$66</f>
        <v>0</v>
      </c>
      <c r="K241" s="299">
        <f>'PVAMU FGD'!$W$66</f>
        <v>0</v>
      </c>
      <c r="L241" s="303">
        <f>'PVAMU FGD'!$X$66</f>
        <v>18330941</v>
      </c>
      <c r="M241" s="605" t="str">
        <f t="shared" si="11"/>
        <v/>
      </c>
    </row>
    <row r="242" spans="2:13" hidden="1" outlineLevel="1">
      <c r="B242" s="395" t="str">
        <f>'S-A Sum'!$A$1</f>
        <v>The University of Texas at San Antonio</v>
      </c>
      <c r="C242" s="440">
        <f>'S-A FGD'!$O$66</f>
        <v>40644000</v>
      </c>
      <c r="D242" s="443">
        <f>'S-A FGD'!$P$66</f>
        <v>394066</v>
      </c>
      <c r="E242" s="601"/>
      <c r="F242" s="595"/>
      <c r="G242" s="604"/>
      <c r="H242" s="296">
        <f>'S-A FGD'!$T$66</f>
        <v>34839664</v>
      </c>
      <c r="I242" s="297">
        <f>'S-A FGD'!$U$66</f>
        <v>394066</v>
      </c>
      <c r="J242" s="298">
        <f>'S-A FGD'!$V$66</f>
        <v>0</v>
      </c>
      <c r="K242" s="299">
        <f>'S-A FGD'!$W$66</f>
        <v>0</v>
      </c>
      <c r="L242" s="303">
        <f>'S-A FGD'!$X$66</f>
        <v>35233730</v>
      </c>
      <c r="M242" s="605" t="str">
        <f t="shared" si="11"/>
        <v/>
      </c>
    </row>
    <row r="243" spans="2:13" hidden="1" outlineLevel="1">
      <c r="B243" s="395" t="str">
        <f>'SFA Sum'!$A$1</f>
        <v>Stephen F. Austin State University</v>
      </c>
      <c r="C243" s="440">
        <f>'SFA FGD'!$O$66</f>
        <v>17083626</v>
      </c>
      <c r="D243" s="443">
        <f>'SFA FGD'!$P$66</f>
        <v>32377</v>
      </c>
      <c r="E243" s="601"/>
      <c r="F243" s="595"/>
      <c r="G243" s="604"/>
      <c r="H243" s="296">
        <f>'SFA FGD'!$T$66</f>
        <v>12164458</v>
      </c>
      <c r="I243" s="297">
        <f>'SFA FGD'!$U$66</f>
        <v>32377</v>
      </c>
      <c r="J243" s="298">
        <f>'SFA FGD'!$V$66</f>
        <v>0</v>
      </c>
      <c r="K243" s="299">
        <f>'SFA FGD'!$W$66</f>
        <v>0</v>
      </c>
      <c r="L243" s="303">
        <f>'SFA FGD'!$X$66</f>
        <v>12196835</v>
      </c>
      <c r="M243" s="605" t="str">
        <f t="shared" si="11"/>
        <v/>
      </c>
    </row>
    <row r="244" spans="2:13" ht="25.5" hidden="1" outlineLevel="1">
      <c r="B244" s="395" t="str">
        <f>'shsu1 Sum'!$A$1</f>
        <v>Sam Houston State University - Academic &amp; Health (A+H)</v>
      </c>
      <c r="C244" s="440">
        <f>'shsu1 FGD'!$O$66</f>
        <v>24366699</v>
      </c>
      <c r="D244" s="443">
        <f>'shsu1 FGD'!$P$66</f>
        <v>169118</v>
      </c>
      <c r="E244" s="601"/>
      <c r="F244" s="595"/>
      <c r="G244" s="604"/>
      <c r="H244" s="296">
        <f>'shsu1 FGD'!$T$66</f>
        <v>24139404</v>
      </c>
      <c r="I244" s="297">
        <f>'shsu1 FGD'!$U$66</f>
        <v>169118</v>
      </c>
      <c r="J244" s="298">
        <f>'shsu1 FGD'!$V$66</f>
        <v>0</v>
      </c>
      <c r="K244" s="299">
        <f>'shsu1 FGD'!$W$66</f>
        <v>0</v>
      </c>
      <c r="L244" s="303">
        <f>'shsu1 FGD'!$X$66</f>
        <v>24308522</v>
      </c>
      <c r="M244" s="605" t="str">
        <f t="shared" si="11"/>
        <v/>
      </c>
    </row>
    <row r="245" spans="2:13" hidden="1" outlineLevel="1">
      <c r="B245" s="395" t="str">
        <f>'SRSU Sum'!$A$1</f>
        <v>Sul Ross State University</v>
      </c>
      <c r="C245" s="440">
        <f>'SRSU FGD'!$O$66</f>
        <v>5347295</v>
      </c>
      <c r="D245" s="443">
        <f>'SRSU FGD'!$P$66</f>
        <v>87030</v>
      </c>
      <c r="E245" s="601"/>
      <c r="F245" s="595"/>
      <c r="G245" s="604"/>
      <c r="H245" s="296">
        <f>'SRSU FGD'!$T$66</f>
        <v>4058059</v>
      </c>
      <c r="I245" s="297">
        <f>'SRSU FGD'!$U$66</f>
        <v>87030</v>
      </c>
      <c r="J245" s="298">
        <f>'SRSU FGD'!$V$66</f>
        <v>0</v>
      </c>
      <c r="K245" s="299">
        <f>'SRSU FGD'!$W$66</f>
        <v>0</v>
      </c>
      <c r="L245" s="303">
        <f>'SRSU FGD'!$X$66</f>
        <v>4145089</v>
      </c>
      <c r="M245" s="605" t="str">
        <f t="shared" si="11"/>
        <v/>
      </c>
    </row>
    <row r="246" spans="2:13" hidden="1" outlineLevel="1">
      <c r="B246" s="395" t="str">
        <f>'TAMIU Sum'!$A$1</f>
        <v>Texas A&amp;M International University</v>
      </c>
      <c r="C246" s="440">
        <f>'TAMIU FGD'!$O$66</f>
        <v>14202881</v>
      </c>
      <c r="D246" s="443">
        <f>'TAMIU FGD'!$P$66</f>
        <v>325231</v>
      </c>
      <c r="E246" s="601"/>
      <c r="F246" s="595"/>
      <c r="G246" s="604"/>
      <c r="H246" s="296">
        <f>'TAMIU FGD'!$T$66</f>
        <v>14202826</v>
      </c>
      <c r="I246" s="297">
        <f>'TAMIU FGD'!$U$66</f>
        <v>325231</v>
      </c>
      <c r="J246" s="298">
        <f>'TAMIU FGD'!$V$66</f>
        <v>0</v>
      </c>
      <c r="K246" s="299">
        <f>'TAMIU FGD'!$W$66</f>
        <v>0</v>
      </c>
      <c r="L246" s="303">
        <f>'TAMIU FGD'!$X$66</f>
        <v>14528057</v>
      </c>
      <c r="M246" s="605" t="str">
        <f t="shared" si="11"/>
        <v/>
      </c>
    </row>
    <row r="247" spans="2:13" hidden="1" outlineLevel="1">
      <c r="B247" s="395" t="str">
        <f>'TAMU Sum'!$A$1</f>
        <v>Texas A&amp;M University</v>
      </c>
      <c r="C247" s="440">
        <f>'TAMU FGD'!$O$66</f>
        <v>173807317</v>
      </c>
      <c r="D247" s="443">
        <f>'TAMU FGD'!$P$66</f>
        <v>461547</v>
      </c>
      <c r="E247" s="601"/>
      <c r="F247" s="595"/>
      <c r="G247" s="604"/>
      <c r="H247" s="296">
        <f>'TAMU FGD'!$T$66</f>
        <v>135927888</v>
      </c>
      <c r="I247" s="297">
        <f>'TAMU FGD'!$U$66</f>
        <v>461547</v>
      </c>
      <c r="J247" s="298">
        <f>'TAMU FGD'!$V$66</f>
        <v>0</v>
      </c>
      <c r="K247" s="299">
        <f>'TAMU FGD'!$W$66</f>
        <v>0</v>
      </c>
      <c r="L247" s="303">
        <f>'TAMU FGD'!$X$66</f>
        <v>136389435</v>
      </c>
      <c r="M247" s="605" t="str">
        <f t="shared" si="11"/>
        <v/>
      </c>
    </row>
    <row r="248" spans="2:13" hidden="1" outlineLevel="1">
      <c r="B248" s="395" t="str">
        <f>'TAMUC Sum'!$A$1</f>
        <v>Texas A&amp;M University - Commerce</v>
      </c>
      <c r="C248" s="440">
        <f>'TAMUC FGD'!$O$66</f>
        <v>15761447</v>
      </c>
      <c r="D248" s="443">
        <f>'TAMUC FGD'!$P$66</f>
        <v>311809</v>
      </c>
      <c r="E248" s="601"/>
      <c r="F248" s="595"/>
      <c r="G248" s="604"/>
      <c r="H248" s="296">
        <f>'TAMUC FGD'!$T$66</f>
        <v>13806715</v>
      </c>
      <c r="I248" s="297">
        <f>'TAMUC FGD'!$U$66</f>
        <v>311809</v>
      </c>
      <c r="J248" s="298">
        <f>'TAMUC FGD'!$V$66</f>
        <v>0</v>
      </c>
      <c r="K248" s="299">
        <f>'TAMUC FGD'!$W$66</f>
        <v>0</v>
      </c>
      <c r="L248" s="303">
        <f>'TAMUC FGD'!$X$66</f>
        <v>14118524</v>
      </c>
      <c r="M248" s="605" t="str">
        <f t="shared" si="11"/>
        <v/>
      </c>
    </row>
    <row r="249" spans="2:13" hidden="1" outlineLevel="1">
      <c r="B249" s="395" t="str">
        <f>'TAMUCC Sum'!$A$1</f>
        <v>Texas A&amp;M University - Corpus Christi</v>
      </c>
      <c r="C249" s="440">
        <f>'TAMUCC FGD'!$O$66</f>
        <v>13306374</v>
      </c>
      <c r="D249" s="443">
        <f>'TAMUCC FGD'!$P$66</f>
        <v>28502</v>
      </c>
      <c r="E249" s="601"/>
      <c r="F249" s="595"/>
      <c r="G249" s="604"/>
      <c r="H249" s="296">
        <f>'TAMUCC FGD'!$T$66</f>
        <v>13306374</v>
      </c>
      <c r="I249" s="297">
        <f>'TAMUCC FGD'!$U$66</f>
        <v>28502</v>
      </c>
      <c r="J249" s="298">
        <f>'TAMUCC FGD'!$V$66</f>
        <v>0</v>
      </c>
      <c r="K249" s="299">
        <f>'TAMUCC FGD'!$W$66</f>
        <v>0</v>
      </c>
      <c r="L249" s="303">
        <f>'TAMUCC FGD'!$X$66</f>
        <v>13334876</v>
      </c>
      <c r="M249" s="605" t="str">
        <f t="shared" si="11"/>
        <v/>
      </c>
    </row>
    <row r="250" spans="2:13" hidden="1" outlineLevel="1">
      <c r="B250" s="395" t="str">
        <f>'TAMUCT Sum'!$A$1</f>
        <v>Texas A&amp;M University - Central Texas</v>
      </c>
      <c r="C250" s="440">
        <f>'TAMUCT FGD'!$O$66</f>
        <v>2329908</v>
      </c>
      <c r="D250" s="443">
        <f>'TAMUCT FGD'!$P$66</f>
        <v>0</v>
      </c>
      <c r="E250" s="601"/>
      <c r="F250" s="595"/>
      <c r="G250" s="604"/>
      <c r="H250" s="296">
        <f>'TAMUCT FGD'!$T$66</f>
        <v>2329908</v>
      </c>
      <c r="I250" s="297">
        <f>'TAMUCT FGD'!$U$66</f>
        <v>0</v>
      </c>
      <c r="J250" s="298">
        <f>'TAMUCT FGD'!$V$66</f>
        <v>0</v>
      </c>
      <c r="K250" s="299">
        <f>'TAMUCT FGD'!$W$66</f>
        <v>0</v>
      </c>
      <c r="L250" s="303">
        <f>'TAMUCT FGD'!$X$66</f>
        <v>2329908</v>
      </c>
      <c r="M250" s="605" t="str">
        <f t="shared" si="11"/>
        <v/>
      </c>
    </row>
    <row r="251" spans="2:13" hidden="1" outlineLevel="1">
      <c r="B251" s="395" t="str">
        <f>'TAMUG Sum'!$A$1</f>
        <v>Texas A&amp;M University at Galveston</v>
      </c>
      <c r="C251" s="440">
        <f>'TAMUG FGD'!$O$66</f>
        <v>7301557</v>
      </c>
      <c r="D251" s="443">
        <f>'TAMUG FGD'!$P$66</f>
        <v>-86374</v>
      </c>
      <c r="E251" s="601"/>
      <c r="F251" s="595"/>
      <c r="G251" s="604"/>
      <c r="H251" s="296">
        <f>'TAMUG FGD'!$T$66</f>
        <v>6303095</v>
      </c>
      <c r="I251" s="297">
        <f>'TAMUG FGD'!$U$66</f>
        <v>-86374</v>
      </c>
      <c r="J251" s="298">
        <f>'TAMUG FGD'!$V$66</f>
        <v>0</v>
      </c>
      <c r="K251" s="299">
        <f>'TAMUG FGD'!$W$66</f>
        <v>0</v>
      </c>
      <c r="L251" s="303">
        <f>'TAMUG FGD'!$X$66</f>
        <v>6216721</v>
      </c>
      <c r="M251" s="605" t="str">
        <f t="shared" si="11"/>
        <v/>
      </c>
    </row>
    <row r="252" spans="2:13" hidden="1" outlineLevel="1">
      <c r="B252" s="395" t="str">
        <f>'TAMUK Sum'!$A$1</f>
        <v>Texas A&amp;M University - Kingsville</v>
      </c>
      <c r="C252" s="440">
        <f>'TAMUK FGD'!$O$66</f>
        <v>12419709</v>
      </c>
      <c r="D252" s="443">
        <f>'TAMUK FGD'!$P$66</f>
        <v>1165679</v>
      </c>
      <c r="E252" s="601"/>
      <c r="F252" s="595"/>
      <c r="G252" s="604"/>
      <c r="H252" s="296">
        <f>'TAMUK FGD'!$T$66</f>
        <v>10482393</v>
      </c>
      <c r="I252" s="297">
        <f>'TAMUK FGD'!$U$66</f>
        <v>1165679</v>
      </c>
      <c r="J252" s="298">
        <f>'TAMUK FGD'!$V$66</f>
        <v>0</v>
      </c>
      <c r="K252" s="299">
        <f>'TAMUK FGD'!$W$66</f>
        <v>0</v>
      </c>
      <c r="L252" s="303">
        <f>'TAMUK FGD'!$X$66</f>
        <v>11648072</v>
      </c>
      <c r="M252" s="605" t="str">
        <f t="shared" si="11"/>
        <v/>
      </c>
    </row>
    <row r="253" spans="2:13" hidden="1" outlineLevel="1">
      <c r="B253" s="395" t="str">
        <f>'TAMUSA Sum'!$A$1</f>
        <v>Texas A&amp;M University - San Antonio</v>
      </c>
      <c r="C253" s="440">
        <f>'TAMUSA FGD'!$O$66</f>
        <v>7130079</v>
      </c>
      <c r="D253" s="443">
        <f>'TAMUSA FGD'!$P$66</f>
        <v>49861</v>
      </c>
      <c r="E253" s="601"/>
      <c r="F253" s="595"/>
      <c r="G253" s="604"/>
      <c r="H253" s="296">
        <f>'TAMUSA FGD'!$T$66</f>
        <v>7101061</v>
      </c>
      <c r="I253" s="297">
        <f>'TAMUSA FGD'!$U$66</f>
        <v>49861</v>
      </c>
      <c r="J253" s="298">
        <f>'TAMUSA FGD'!$V$66</f>
        <v>0</v>
      </c>
      <c r="K253" s="299">
        <f>'TAMUSA FGD'!$W$66</f>
        <v>0</v>
      </c>
      <c r="L253" s="303">
        <f>'TAMUSA FGD'!$X$66</f>
        <v>7150922</v>
      </c>
      <c r="M253" s="605" t="str">
        <f t="shared" si="11"/>
        <v/>
      </c>
    </row>
    <row r="254" spans="2:13" hidden="1" outlineLevel="1">
      <c r="B254" s="395" t="str">
        <f>'TAMUT Sum'!$A$1</f>
        <v>Texas A&amp;M University - Texarkana</v>
      </c>
      <c r="C254" s="440">
        <f>'TAMUT FGD'!$O$66</f>
        <v>2363504</v>
      </c>
      <c r="D254" s="443">
        <f>'TAMUT FGD'!$P$66</f>
        <v>0</v>
      </c>
      <c r="E254" s="601"/>
      <c r="F254" s="595"/>
      <c r="G254" s="604"/>
      <c r="H254" s="296">
        <f>'TAMUT FGD'!$T$66</f>
        <v>2360026</v>
      </c>
      <c r="I254" s="297">
        <f>'TAMUT FGD'!$U$66</f>
        <v>0</v>
      </c>
      <c r="J254" s="298">
        <f>'TAMUT FGD'!$V$66</f>
        <v>0</v>
      </c>
      <c r="K254" s="299">
        <f>'TAMUT FGD'!$W$66</f>
        <v>0</v>
      </c>
      <c r="L254" s="303">
        <f>'TAMUT FGD'!$X$66</f>
        <v>2360026</v>
      </c>
      <c r="M254" s="605" t="str">
        <f t="shared" si="11"/>
        <v/>
      </c>
    </row>
    <row r="255" spans="2:13" hidden="1" outlineLevel="1">
      <c r="B255" s="395" t="str">
        <f>'TARLST Sum'!$A$1</f>
        <v>Tarleton State University</v>
      </c>
      <c r="C255" s="440">
        <f>'TARLST FGD'!$O$66</f>
        <v>12241516</v>
      </c>
      <c r="D255" s="443">
        <f>'TARLST FGD'!$P$66</f>
        <v>121997</v>
      </c>
      <c r="E255" s="601"/>
      <c r="F255" s="595"/>
      <c r="G255" s="604"/>
      <c r="H255" s="296">
        <f>'TARLST FGD'!$T$66</f>
        <v>11505016</v>
      </c>
      <c r="I255" s="297">
        <f>'TARLST FGD'!$U$66</f>
        <v>121997</v>
      </c>
      <c r="J255" s="298">
        <f>'TARLST FGD'!$V$66</f>
        <v>0</v>
      </c>
      <c r="K255" s="299">
        <f>'TARLST FGD'!$W$66</f>
        <v>0</v>
      </c>
      <c r="L255" s="303">
        <f>'TARLST FGD'!$X$66</f>
        <v>11627013</v>
      </c>
      <c r="M255" s="605" t="str">
        <f t="shared" si="11"/>
        <v/>
      </c>
    </row>
    <row r="256" spans="2:13" hidden="1" outlineLevel="1">
      <c r="B256" s="395" t="str">
        <f>'TSU Sum'!$A$1</f>
        <v>Texas Southern University</v>
      </c>
      <c r="C256" s="440">
        <f>'TSU FGD'!$O$66</f>
        <v>27450163</v>
      </c>
      <c r="D256" s="443">
        <f>'TSU FGD'!$P$66</f>
        <v>935</v>
      </c>
      <c r="E256" s="601"/>
      <c r="F256" s="595"/>
      <c r="G256" s="604"/>
      <c r="H256" s="296">
        <f>'TSU FGD'!$T$66</f>
        <v>12431865</v>
      </c>
      <c r="I256" s="297">
        <f>'TSU FGD'!$U$66</f>
        <v>935</v>
      </c>
      <c r="J256" s="298">
        <f>'TSU FGD'!$V$66</f>
        <v>0</v>
      </c>
      <c r="K256" s="299">
        <f>'TSU FGD'!$W$66</f>
        <v>0</v>
      </c>
      <c r="L256" s="303">
        <f>'TSU FGD'!$X$66</f>
        <v>12432800</v>
      </c>
      <c r="M256" s="605" t="str">
        <f t="shared" si="11"/>
        <v/>
      </c>
    </row>
    <row r="257" spans="1:13" hidden="1" outlineLevel="1">
      <c r="B257" s="395" t="str">
        <f>'TTU Sum'!$A$1</f>
        <v>Texas Tech University</v>
      </c>
      <c r="C257" s="440">
        <f>'TTU FGD'!$O$66</f>
        <v>52975607</v>
      </c>
      <c r="D257" s="443">
        <f>'TTU FGD'!$P$66</f>
        <v>742293</v>
      </c>
      <c r="E257" s="601"/>
      <c r="F257" s="595"/>
      <c r="G257" s="604"/>
      <c r="H257" s="296">
        <f>'TTU FGD'!$T$66</f>
        <v>47475578</v>
      </c>
      <c r="I257" s="297">
        <f>'TTU FGD'!$U$66</f>
        <v>742293</v>
      </c>
      <c r="J257" s="298">
        <f>'TTU FGD'!$V$66</f>
        <v>0</v>
      </c>
      <c r="K257" s="299">
        <f>'TTU FGD'!$W$66</f>
        <v>0</v>
      </c>
      <c r="L257" s="303">
        <f>'TTU FGD'!$X$66</f>
        <v>48217871</v>
      </c>
      <c r="M257" s="605" t="str">
        <f t="shared" si="11"/>
        <v/>
      </c>
    </row>
    <row r="258" spans="1:13" hidden="1" outlineLevel="1">
      <c r="B258" s="395" t="str">
        <f>'TWU Sum'!$A$1</f>
        <v>Texas Woman's University</v>
      </c>
      <c r="C258" s="440">
        <f>'TWU FGD'!$O$66</f>
        <v>23143607</v>
      </c>
      <c r="D258" s="443">
        <f>'TWU FGD'!$P$66</f>
        <v>80796</v>
      </c>
      <c r="E258" s="601"/>
      <c r="F258" s="595"/>
      <c r="G258" s="604"/>
      <c r="H258" s="296">
        <f>'TWU FGD'!$T$66</f>
        <v>14340571</v>
      </c>
      <c r="I258" s="297">
        <f>'TWU FGD'!$U$66</f>
        <v>80796</v>
      </c>
      <c r="J258" s="298">
        <f>'TWU FGD'!$V$66</f>
        <v>0</v>
      </c>
      <c r="K258" s="299">
        <f>'TWU FGD'!$W$66</f>
        <v>0</v>
      </c>
      <c r="L258" s="303">
        <f>'TWU FGD'!$X$66</f>
        <v>14421367</v>
      </c>
      <c r="M258" s="605" t="str">
        <f t="shared" si="11"/>
        <v/>
      </c>
    </row>
    <row r="259" spans="1:13" hidden="1" outlineLevel="1">
      <c r="B259" s="395" t="str">
        <f>'TXST Sum'!$A$1</f>
        <v>Texas State University</v>
      </c>
      <c r="C259" s="440">
        <f>'TXST FGD'!$O$66</f>
        <v>48726105</v>
      </c>
      <c r="D259" s="443">
        <f>'TXST FGD'!$P$66</f>
        <v>202253</v>
      </c>
      <c r="E259" s="601"/>
      <c r="F259" s="595"/>
      <c r="G259" s="604"/>
      <c r="H259" s="296">
        <f>'TXST FGD'!$T$66</f>
        <v>48726105</v>
      </c>
      <c r="I259" s="297">
        <f>'TXST FGD'!$U$66</f>
        <v>202253</v>
      </c>
      <c r="J259" s="298">
        <f>'TXST FGD'!$V$66</f>
        <v>0</v>
      </c>
      <c r="K259" s="299">
        <f>'TXST FGD'!$W$66</f>
        <v>0</v>
      </c>
      <c r="L259" s="303">
        <f>'TXST FGD'!$X$66</f>
        <v>48928358</v>
      </c>
      <c r="M259" s="605" t="str">
        <f t="shared" si="11"/>
        <v/>
      </c>
    </row>
    <row r="260" spans="1:13" hidden="1" outlineLevel="1">
      <c r="B260" s="395" t="str">
        <f>'TYL Sum'!$A$1</f>
        <v>The University of Texas at Tyler</v>
      </c>
      <c r="C260" s="440">
        <f>'TYL FGD'!$O$66</f>
        <v>12975080</v>
      </c>
      <c r="D260" s="443">
        <f>'TYL FGD'!$P$66</f>
        <v>130282</v>
      </c>
      <c r="E260" s="601"/>
      <c r="F260" s="595"/>
      <c r="G260" s="604"/>
      <c r="H260" s="296">
        <f>'TYL FGD'!$T$66</f>
        <v>10142908</v>
      </c>
      <c r="I260" s="297">
        <f>'TYL FGD'!$U$66</f>
        <v>130282</v>
      </c>
      <c r="J260" s="298">
        <f>'TYL FGD'!$V$66</f>
        <v>0</v>
      </c>
      <c r="K260" s="299">
        <f>'TYL FGD'!$W$66</f>
        <v>0</v>
      </c>
      <c r="L260" s="303">
        <f>'TYL FGD'!$X$66</f>
        <v>10273190</v>
      </c>
      <c r="M260" s="605" t="str">
        <f t="shared" ref="M260:M305" si="13">IF(H260+I260-J260-K260&lt;&gt;L260,"Error","")</f>
        <v/>
      </c>
    </row>
    <row r="261" spans="1:13" ht="25.5" hidden="1" outlineLevel="1">
      <c r="B261" s="395" t="str">
        <f>'UH1 Sum'!$A$1</f>
        <v>University of Houston - Academic &amp; Health (A+H)</v>
      </c>
      <c r="C261" s="440">
        <f>'UH1 FGD'!$O$66</f>
        <v>59357962</v>
      </c>
      <c r="D261" s="443">
        <f>'UH1 FGD'!$P$66</f>
        <v>188620</v>
      </c>
      <c r="E261" s="601"/>
      <c r="F261" s="595"/>
      <c r="G261" s="604"/>
      <c r="H261" s="296">
        <f>'UH1 FGD'!$T$66</f>
        <v>59357962</v>
      </c>
      <c r="I261" s="297">
        <f>'UH1 FGD'!$U$66</f>
        <v>188620</v>
      </c>
      <c r="J261" s="298">
        <f>'UH1 FGD'!$V$66</f>
        <v>0</v>
      </c>
      <c r="K261" s="299">
        <f>'UH1 FGD'!$W$66</f>
        <v>0</v>
      </c>
      <c r="L261" s="303">
        <f>'UH1 FGD'!$X$66</f>
        <v>59546582</v>
      </c>
      <c r="M261" s="605" t="str">
        <f t="shared" si="13"/>
        <v/>
      </c>
    </row>
    <row r="262" spans="1:13" hidden="1" outlineLevel="1">
      <c r="B262" s="395" t="str">
        <f>'UHCL Sum'!$A$1</f>
        <v>University of Houston - Clear Lake</v>
      </c>
      <c r="C262" s="440">
        <f>'UHCL FGD'!$O$66</f>
        <v>9945266</v>
      </c>
      <c r="D262" s="443">
        <f>'UHCL FGD'!$P$66</f>
        <v>339772</v>
      </c>
      <c r="E262" s="601"/>
      <c r="F262" s="595"/>
      <c r="G262" s="604"/>
      <c r="H262" s="296">
        <f>'UHCL FGD'!$T$66</f>
        <v>9945266</v>
      </c>
      <c r="I262" s="297">
        <f>'UHCL FGD'!$U$66</f>
        <v>339772</v>
      </c>
      <c r="J262" s="298">
        <f>'UHCL FGD'!$V$66</f>
        <v>0</v>
      </c>
      <c r="K262" s="299">
        <f>'UHCL FGD'!$W$66</f>
        <v>0</v>
      </c>
      <c r="L262" s="303">
        <f>'UHCL FGD'!$X$66</f>
        <v>10285038</v>
      </c>
      <c r="M262" s="605" t="str">
        <f t="shared" si="13"/>
        <v/>
      </c>
    </row>
    <row r="263" spans="1:13" hidden="1" outlineLevel="1">
      <c r="B263" s="395" t="str">
        <f>'UHD Sum'!$A$1</f>
        <v>University of Houston - Downtown</v>
      </c>
      <c r="C263" s="440">
        <f>'UHD FGD'!$O$66</f>
        <v>8426679</v>
      </c>
      <c r="D263" s="443">
        <f>'UHD FGD'!$P$66</f>
        <v>57547</v>
      </c>
      <c r="E263" s="601"/>
      <c r="F263" s="595"/>
      <c r="G263" s="604"/>
      <c r="H263" s="296">
        <f>'UHD FGD'!$T$66</f>
        <v>8426679</v>
      </c>
      <c r="I263" s="297">
        <f>'UHD FGD'!$U$66</f>
        <v>57547</v>
      </c>
      <c r="J263" s="298">
        <f>'UHD FGD'!$V$66</f>
        <v>0</v>
      </c>
      <c r="K263" s="299">
        <f>'UHD FGD'!$W$66</f>
        <v>0</v>
      </c>
      <c r="L263" s="303">
        <f>'UHD FGD'!$X$66</f>
        <v>8484226</v>
      </c>
      <c r="M263" s="605" t="str">
        <f t="shared" si="13"/>
        <v/>
      </c>
    </row>
    <row r="264" spans="1:13" hidden="1" outlineLevel="1">
      <c r="B264" s="395" t="str">
        <f>'UHV Sum'!$A$1</f>
        <v>University of Houston - Victoria</v>
      </c>
      <c r="C264" s="440">
        <f>'UHV FGD'!$O$66</f>
        <v>3238447</v>
      </c>
      <c r="D264" s="443">
        <f>'UHV FGD'!$P$66</f>
        <v>86653</v>
      </c>
      <c r="E264" s="601"/>
      <c r="F264" s="595"/>
      <c r="G264" s="604"/>
      <c r="H264" s="296">
        <f>'UHV FGD'!$T$66</f>
        <v>3238447</v>
      </c>
      <c r="I264" s="297">
        <f>'UHV FGD'!$U$66</f>
        <v>86653</v>
      </c>
      <c r="J264" s="298">
        <f>'UHV FGD'!$V$66</f>
        <v>0</v>
      </c>
      <c r="K264" s="299">
        <f>'UHV FGD'!$W$66</f>
        <v>0</v>
      </c>
      <c r="L264" s="303">
        <f>'UHV FGD'!$X$66</f>
        <v>3325100</v>
      </c>
      <c r="M264" s="605" t="str">
        <f t="shared" si="13"/>
        <v/>
      </c>
    </row>
    <row r="265" spans="1:13" hidden="1" outlineLevel="1">
      <c r="B265" s="395" t="str">
        <f>'UNT Sum'!$A$1</f>
        <v>University of North Texas</v>
      </c>
      <c r="C265" s="440">
        <f>'UNT FGD'!$O$66</f>
        <v>34912913</v>
      </c>
      <c r="D265" s="443">
        <f>'UNT FGD'!$P$66</f>
        <v>21263903</v>
      </c>
      <c r="E265" s="601"/>
      <c r="F265" s="595"/>
      <c r="G265" s="604"/>
      <c r="H265" s="296">
        <f>'UNT FGD'!$T$66</f>
        <v>34912913</v>
      </c>
      <c r="I265" s="297">
        <f>'UNT FGD'!$U$66</f>
        <v>21263903</v>
      </c>
      <c r="J265" s="298">
        <f>'UNT FGD'!$V$66</f>
        <v>0</v>
      </c>
      <c r="K265" s="299">
        <f>'UNT FGD'!$W$66</f>
        <v>0</v>
      </c>
      <c r="L265" s="303">
        <f>'UNT FGD'!$X$66</f>
        <v>56176816</v>
      </c>
      <c r="M265" s="605" t="str">
        <f t="shared" si="13"/>
        <v/>
      </c>
    </row>
    <row r="266" spans="1:13" hidden="1" outlineLevel="1">
      <c r="B266" s="395" t="str">
        <f>'UNTD Sum'!$A$1</f>
        <v>University of North Texas at Dallas</v>
      </c>
      <c r="C266" s="440">
        <f>'UNTD FGD'!$O$66</f>
        <v>5837781</v>
      </c>
      <c r="D266" s="443">
        <f>'UNTD FGD'!$P$66</f>
        <v>1416544</v>
      </c>
      <c r="E266" s="601"/>
      <c r="F266" s="595"/>
      <c r="G266" s="604"/>
      <c r="H266" s="296">
        <f>'UNTD FGD'!$T$66</f>
        <v>5837781</v>
      </c>
      <c r="I266" s="297">
        <f>'UNTD FGD'!$U$66</f>
        <v>1416544</v>
      </c>
      <c r="J266" s="298">
        <f>'UNTD FGD'!$V$66</f>
        <v>0</v>
      </c>
      <c r="K266" s="299">
        <f>'UNTD FGD'!$W$66</f>
        <v>0</v>
      </c>
      <c r="L266" s="303">
        <f>'UNTD FGD'!$X$66</f>
        <v>7254325</v>
      </c>
      <c r="M266" s="605" t="str">
        <f t="shared" si="13"/>
        <v/>
      </c>
    </row>
    <row r="267" spans="1:13" hidden="1" outlineLevel="1">
      <c r="B267" s="395" t="str">
        <f>'WTAMU Sum'!$A$1</f>
        <v>West Texas A&amp;M University</v>
      </c>
      <c r="C267" s="440">
        <f>'WTAMU FGD'!$O$66</f>
        <v>19976237</v>
      </c>
      <c r="D267" s="443">
        <f>'WTAMU FGD'!$P$66</f>
        <v>206665</v>
      </c>
      <c r="E267" s="601"/>
      <c r="F267" s="595"/>
      <c r="G267" s="604"/>
      <c r="H267" s="296">
        <f>'WTAMU FGD'!$T$66</f>
        <v>16485423</v>
      </c>
      <c r="I267" s="297">
        <f>'WTAMU FGD'!$U$66</f>
        <v>206665</v>
      </c>
      <c r="J267" s="298">
        <f>'WTAMU FGD'!$V$66</f>
        <v>0</v>
      </c>
      <c r="K267" s="299">
        <f>'WTAMU FGD'!$W$66</f>
        <v>0</v>
      </c>
      <c r="L267" s="303">
        <f>'WTAMU FGD'!$X$66</f>
        <v>16692088</v>
      </c>
      <c r="M267" s="605" t="str">
        <f t="shared" si="13"/>
        <v/>
      </c>
    </row>
    <row r="268" spans="1:13" collapsed="1">
      <c r="A268">
        <f>COUNTA(B232:B267)</f>
        <v>36</v>
      </c>
      <c r="B268" s="160" t="s">
        <v>20</v>
      </c>
      <c r="C268" s="440">
        <f>SUM(C232:C267)</f>
        <v>1076561647</v>
      </c>
      <c r="D268" s="443">
        <f>SUM(D232:D267)</f>
        <v>31441384</v>
      </c>
      <c r="E268" s="600"/>
      <c r="F268" s="597"/>
      <c r="G268" s="604"/>
      <c r="H268" s="296">
        <f>SUM(H232:H267)</f>
        <v>916541370</v>
      </c>
      <c r="I268" s="297">
        <f>SUM(I232:I267)</f>
        <v>31441384</v>
      </c>
      <c r="J268" s="298">
        <f>SUM(J232:J267)</f>
        <v>0</v>
      </c>
      <c r="K268" s="299">
        <f>SUM(K232:K267)</f>
        <v>0</v>
      </c>
      <c r="L268" s="303">
        <f>SUM(L232:L267)</f>
        <v>947982754</v>
      </c>
      <c r="M268" s="605" t="str">
        <f t="shared" si="13"/>
        <v/>
      </c>
    </row>
    <row r="269" spans="1:13" hidden="1" outlineLevel="1">
      <c r="B269" s="395" t="str">
        <f>'ARL Sum'!$A$1</f>
        <v>The University of Texas at Arlington</v>
      </c>
      <c r="C269" s="440">
        <f>'ARL FGD'!$O$67</f>
        <v>86880446</v>
      </c>
      <c r="D269" s="443">
        <f>'ARL FGD'!$P$67</f>
        <v>0</v>
      </c>
      <c r="E269" s="601"/>
      <c r="F269" s="597"/>
      <c r="G269" s="604"/>
      <c r="H269" s="296">
        <f>'ARL FGD'!$T$67</f>
        <v>86880446</v>
      </c>
      <c r="I269" s="297">
        <f>'ARL FGD'!$U$67</f>
        <v>0</v>
      </c>
      <c r="J269" s="298">
        <f>'ARL FGD'!$V$67</f>
        <v>0</v>
      </c>
      <c r="K269" s="299">
        <f>'ARL FGD'!$W$67</f>
        <v>0</v>
      </c>
      <c r="L269" s="303">
        <f>'ARL FGD'!$X$67</f>
        <v>86880446</v>
      </c>
      <c r="M269" s="605" t="str">
        <f t="shared" si="13"/>
        <v/>
      </c>
    </row>
    <row r="270" spans="1:13" hidden="1" outlineLevel="1">
      <c r="B270" s="395" t="str">
        <f>'ASU Sum'!$A$1</f>
        <v>Angelo State University</v>
      </c>
      <c r="C270" s="440">
        <f>'ASU FGD'!$O$67</f>
        <v>16867228</v>
      </c>
      <c r="D270" s="443">
        <f>'ASU FGD'!$P$67</f>
        <v>0</v>
      </c>
      <c r="E270" s="601"/>
      <c r="F270" s="597"/>
      <c r="G270" s="604"/>
      <c r="H270" s="296">
        <f>'ASU FGD'!$T$67</f>
        <v>16867228</v>
      </c>
      <c r="I270" s="297">
        <f>'ASU FGD'!$U$67</f>
        <v>0</v>
      </c>
      <c r="J270" s="298">
        <f>'ASU FGD'!$V$67</f>
        <v>0</v>
      </c>
      <c r="K270" s="299">
        <f>'ASU FGD'!$W$67</f>
        <v>0</v>
      </c>
      <c r="L270" s="303">
        <f>'ASU FGD'!$X$67</f>
        <v>16867228</v>
      </c>
      <c r="M270" s="605" t="str">
        <f t="shared" si="13"/>
        <v/>
      </c>
    </row>
    <row r="271" spans="1:13" ht="25.5" hidden="1" outlineLevel="1">
      <c r="B271" s="395" t="str">
        <f>'AUS1 Sum'!$A$1</f>
        <v>The University of Texas at Austin - Academic &amp; Health (A+H)</v>
      </c>
      <c r="C271" s="440">
        <f>'AUS1 FGD'!$O$67</f>
        <v>169315589</v>
      </c>
      <c r="D271" s="443">
        <f>'AUS1 FGD'!$P$67</f>
        <v>0</v>
      </c>
      <c r="E271" s="601"/>
      <c r="F271" s="597"/>
      <c r="G271" s="604"/>
      <c r="H271" s="296">
        <f>'AUS1 FGD'!$T$67</f>
        <v>169315589</v>
      </c>
      <c r="I271" s="297">
        <f>'AUS1 FGD'!$U$67</f>
        <v>0</v>
      </c>
      <c r="J271" s="298">
        <f>'AUS1 FGD'!$V$67</f>
        <v>0</v>
      </c>
      <c r="K271" s="299">
        <f>'AUS1 FGD'!$W$67</f>
        <v>0</v>
      </c>
      <c r="L271" s="303">
        <f>'AUS1 FGD'!$X$67</f>
        <v>169315589</v>
      </c>
      <c r="M271" s="605" t="str">
        <f t="shared" si="13"/>
        <v/>
      </c>
    </row>
    <row r="272" spans="1:13" ht="25.5" hidden="1" outlineLevel="1">
      <c r="B272" s="395" t="str">
        <f>'RGV1 Sum'!$A$1</f>
        <v>The University of Texas RGV - Academic &amp; Health (A+H)</v>
      </c>
      <c r="C272" s="440">
        <f>'RGV1 FGD'!$O$67</f>
        <v>115566705</v>
      </c>
      <c r="D272" s="443">
        <f>'RGV1 FGD'!$P$67</f>
        <v>6399</v>
      </c>
      <c r="E272" s="601"/>
      <c r="F272" s="597"/>
      <c r="G272" s="604"/>
      <c r="H272" s="296">
        <f>'RGV1 FGD'!$T$67</f>
        <v>115566705</v>
      </c>
      <c r="I272" s="297">
        <f>'RGV1 FGD'!$U$67</f>
        <v>6399</v>
      </c>
      <c r="J272" s="298">
        <f>'RGV1 FGD'!$V$67</f>
        <v>0</v>
      </c>
      <c r="K272" s="299">
        <f>'RGV1 FGD'!$W$67</f>
        <v>0</v>
      </c>
      <c r="L272" s="303">
        <f>'RGV1 FGD'!$X$67</f>
        <v>115573104</v>
      </c>
      <c r="M272" s="605" t="str">
        <f t="shared" si="13"/>
        <v/>
      </c>
    </row>
    <row r="273" spans="2:13" hidden="1" outlineLevel="1">
      <c r="B273" s="395" t="str">
        <f>'DAL Sum'!$A$1</f>
        <v>The University of Texas at Dallas</v>
      </c>
      <c r="C273" s="440">
        <f>'DAL FGD'!$O$67</f>
        <v>60963339</v>
      </c>
      <c r="D273" s="443">
        <f>'DAL FGD'!$P$67</f>
        <v>0</v>
      </c>
      <c r="E273" s="601"/>
      <c r="F273" s="597"/>
      <c r="G273" s="604"/>
      <c r="H273" s="296">
        <f>'DAL FGD'!$T$67</f>
        <v>60963339</v>
      </c>
      <c r="I273" s="297">
        <f>'DAL FGD'!$U$67</f>
        <v>0</v>
      </c>
      <c r="J273" s="298">
        <f>'DAL FGD'!$V$67</f>
        <v>0</v>
      </c>
      <c r="K273" s="299">
        <f>'DAL FGD'!$W$67</f>
        <v>0</v>
      </c>
      <c r="L273" s="303">
        <f>'DAL FGD'!$X$67</f>
        <v>60963339</v>
      </c>
      <c r="M273" s="605" t="str">
        <f t="shared" si="13"/>
        <v/>
      </c>
    </row>
    <row r="274" spans="2:13" hidden="1" outlineLevel="1">
      <c r="B274" s="395" t="str">
        <f>'E-P Sum'!$A$1</f>
        <v>The University of Texas at El Paso</v>
      </c>
      <c r="C274" s="440">
        <f>'E-P FGD'!$O$67</f>
        <v>108022906</v>
      </c>
      <c r="D274" s="443">
        <f>'E-P FGD'!$P$67</f>
        <v>0</v>
      </c>
      <c r="E274" s="601"/>
      <c r="F274" s="597"/>
      <c r="G274" s="604"/>
      <c r="H274" s="296">
        <f>'E-P FGD'!$T$67</f>
        <v>108022906</v>
      </c>
      <c r="I274" s="297">
        <f>'E-P FGD'!$U$67</f>
        <v>0</v>
      </c>
      <c r="J274" s="298">
        <f>'E-P FGD'!$V$67</f>
        <v>0</v>
      </c>
      <c r="K274" s="299">
        <f>'E-P FGD'!$W$67</f>
        <v>0</v>
      </c>
      <c r="L274" s="303">
        <f>'E-P FGD'!$X$67</f>
        <v>108022906</v>
      </c>
      <c r="M274" s="605" t="str">
        <f t="shared" si="13"/>
        <v/>
      </c>
    </row>
    <row r="275" spans="2:13" hidden="1" outlineLevel="1">
      <c r="B275" s="395" t="str">
        <f>'LU Sum'!$A$1</f>
        <v xml:space="preserve">Lamar University </v>
      </c>
      <c r="C275" s="440">
        <f>'LU FGD'!$O$67</f>
        <v>40118677</v>
      </c>
      <c r="D275" s="443">
        <f>'LU FGD'!$P$67</f>
        <v>0</v>
      </c>
      <c r="E275" s="601"/>
      <c r="F275" s="597"/>
      <c r="G275" s="604"/>
      <c r="H275" s="296">
        <f>'LU FGD'!$T$67</f>
        <v>40118677</v>
      </c>
      <c r="I275" s="297">
        <f>'LU FGD'!$U$67</f>
        <v>0</v>
      </c>
      <c r="J275" s="298">
        <f>'LU FGD'!$V$67</f>
        <v>0</v>
      </c>
      <c r="K275" s="299">
        <f>'LU FGD'!$W$67</f>
        <v>0</v>
      </c>
      <c r="L275" s="303">
        <f>'LU FGD'!$X$67</f>
        <v>40118677</v>
      </c>
      <c r="M275" s="605" t="str">
        <f t="shared" si="13"/>
        <v/>
      </c>
    </row>
    <row r="276" spans="2:13" hidden="1" outlineLevel="1">
      <c r="B276" s="395" t="str">
        <f>'MidWST Sum'!$A$1</f>
        <v>Midwestern State University</v>
      </c>
      <c r="C276" s="440">
        <f>'MidWST FGD'!$O$67</f>
        <v>17262753</v>
      </c>
      <c r="D276" s="443">
        <f>'MidWST FGD'!$P$67</f>
        <v>0</v>
      </c>
      <c r="E276" s="601"/>
      <c r="F276" s="597"/>
      <c r="G276" s="604"/>
      <c r="H276" s="296">
        <f>'MidWST FGD'!$T$67</f>
        <v>17262753</v>
      </c>
      <c r="I276" s="297">
        <f>'MidWST FGD'!$U$67</f>
        <v>0</v>
      </c>
      <c r="J276" s="298">
        <f>'MidWST FGD'!$V$67</f>
        <v>0</v>
      </c>
      <c r="K276" s="299">
        <f>'MidWST FGD'!$W$67</f>
        <v>0</v>
      </c>
      <c r="L276" s="303">
        <f>'MidWST FGD'!$X$67</f>
        <v>17262753</v>
      </c>
      <c r="M276" s="605" t="str">
        <f t="shared" si="13"/>
        <v/>
      </c>
    </row>
    <row r="277" spans="2:13" ht="15" hidden="1" customHeight="1" outlineLevel="1">
      <c r="B277" s="395" t="str">
        <f>'P-B Sum'!$A$1</f>
        <v>The University of Texas of the Permian Basin</v>
      </c>
      <c r="C277" s="440">
        <f>'P-B FGD'!$O$67</f>
        <v>11621692</v>
      </c>
      <c r="D277" s="443">
        <f>'P-B FGD'!$P$67</f>
        <v>0</v>
      </c>
      <c r="E277" s="601"/>
      <c r="F277" s="597"/>
      <c r="G277" s="604"/>
      <c r="H277" s="296">
        <f>'P-B FGD'!$T$67</f>
        <v>11621692</v>
      </c>
      <c r="I277" s="297">
        <f>'P-B FGD'!$U$67</f>
        <v>0</v>
      </c>
      <c r="J277" s="298">
        <f>'P-B FGD'!$V$67</f>
        <v>0</v>
      </c>
      <c r="K277" s="299">
        <f>'P-B FGD'!$W$67</f>
        <v>0</v>
      </c>
      <c r="L277" s="303">
        <f>'P-B FGD'!$X$67</f>
        <v>11621692</v>
      </c>
      <c r="M277" s="605" t="str">
        <f t="shared" si="13"/>
        <v/>
      </c>
    </row>
    <row r="278" spans="2:13" hidden="1" outlineLevel="1">
      <c r="B278" s="395" t="str">
        <f>'PVAMU Sum'!$A$1</f>
        <v>Prairie View A&amp;M University</v>
      </c>
      <c r="C278" s="440">
        <f>'PVAMU FGD'!$O$67</f>
        <v>75217093</v>
      </c>
      <c r="D278" s="443">
        <f>'PVAMU FGD'!$P$67</f>
        <v>64067</v>
      </c>
      <c r="E278" s="601"/>
      <c r="F278" s="597"/>
      <c r="G278" s="604"/>
      <c r="H278" s="296">
        <f>'PVAMU FGD'!$T$67</f>
        <v>75217093</v>
      </c>
      <c r="I278" s="297">
        <f>'PVAMU FGD'!$U$67</f>
        <v>64067</v>
      </c>
      <c r="J278" s="298">
        <f>'PVAMU FGD'!$V$67</f>
        <v>0</v>
      </c>
      <c r="K278" s="299">
        <f>'PVAMU FGD'!$W$67</f>
        <v>0</v>
      </c>
      <c r="L278" s="303">
        <f>'PVAMU FGD'!$X$67</f>
        <v>75281160</v>
      </c>
      <c r="M278" s="605" t="str">
        <f t="shared" si="13"/>
        <v/>
      </c>
    </row>
    <row r="279" spans="2:13" hidden="1" outlineLevel="1">
      <c r="B279" s="395" t="str">
        <f>'S-A Sum'!$A$1</f>
        <v>The University of Texas at San Antonio</v>
      </c>
      <c r="C279" s="440">
        <f>'S-A FGD'!$O$67</f>
        <v>86093922</v>
      </c>
      <c r="D279" s="443">
        <f>'S-A FGD'!$P$67</f>
        <v>0</v>
      </c>
      <c r="E279" s="601"/>
      <c r="F279" s="597"/>
      <c r="G279" s="604"/>
      <c r="H279" s="296">
        <f>'S-A FGD'!$T$67</f>
        <v>86093922</v>
      </c>
      <c r="I279" s="297">
        <f>'S-A FGD'!$U$67</f>
        <v>0</v>
      </c>
      <c r="J279" s="298">
        <f>'S-A FGD'!$V$67</f>
        <v>0</v>
      </c>
      <c r="K279" s="299">
        <f>'S-A FGD'!$W$67</f>
        <v>0</v>
      </c>
      <c r="L279" s="303">
        <f>'S-A FGD'!$X$67</f>
        <v>86093922</v>
      </c>
      <c r="M279" s="605" t="str">
        <f t="shared" si="13"/>
        <v/>
      </c>
    </row>
    <row r="280" spans="2:13" hidden="1" outlineLevel="1">
      <c r="B280" s="395" t="str">
        <f>'SFA Sum'!$A$1</f>
        <v>Stephen F. Austin State University</v>
      </c>
      <c r="C280" s="440">
        <f>'SFA FGD'!$O$67</f>
        <v>30956541</v>
      </c>
      <c r="D280" s="443">
        <f>'SFA FGD'!$P$67</f>
        <v>0</v>
      </c>
      <c r="E280" s="601"/>
      <c r="F280" s="597"/>
      <c r="G280" s="604"/>
      <c r="H280" s="296">
        <f>'SFA FGD'!$T$67</f>
        <v>30956541</v>
      </c>
      <c r="I280" s="297">
        <f>'SFA FGD'!$U$67</f>
        <v>0</v>
      </c>
      <c r="J280" s="298">
        <f>'SFA FGD'!$V$67</f>
        <v>0</v>
      </c>
      <c r="K280" s="299">
        <f>'SFA FGD'!$W$67</f>
        <v>0</v>
      </c>
      <c r="L280" s="303">
        <f>'SFA FGD'!$X$67</f>
        <v>30956541</v>
      </c>
      <c r="M280" s="605" t="str">
        <f t="shared" si="13"/>
        <v/>
      </c>
    </row>
    <row r="281" spans="2:13" ht="25.5" hidden="1" outlineLevel="1">
      <c r="B281" s="395" t="str">
        <f>'shsu1 Sum'!$A$1</f>
        <v>Sam Houston State University - Academic &amp; Health (A+H)</v>
      </c>
      <c r="C281" s="440">
        <f>'shsu1 FGD'!$O$67</f>
        <v>50217308</v>
      </c>
      <c r="D281" s="443">
        <f>'shsu1 FGD'!$P$67</f>
        <v>0</v>
      </c>
      <c r="E281" s="601"/>
      <c r="F281" s="597"/>
      <c r="G281" s="604"/>
      <c r="H281" s="296">
        <f>'shsu1 FGD'!$T$67</f>
        <v>50217308</v>
      </c>
      <c r="I281" s="297">
        <f>'shsu1 FGD'!$U$67</f>
        <v>0</v>
      </c>
      <c r="J281" s="298">
        <f>'shsu1 FGD'!$V$67</f>
        <v>0</v>
      </c>
      <c r="K281" s="299">
        <f>'shsu1 FGD'!$W$67</f>
        <v>0</v>
      </c>
      <c r="L281" s="303">
        <f>'shsu1 FGD'!$X$67</f>
        <v>50217308</v>
      </c>
      <c r="M281" s="605" t="str">
        <f t="shared" si="13"/>
        <v/>
      </c>
    </row>
    <row r="282" spans="2:13" hidden="1" outlineLevel="1">
      <c r="B282" s="395" t="str">
        <f>'SRSU Sum'!$A$1</f>
        <v>Sul Ross State University</v>
      </c>
      <c r="C282" s="440">
        <f>'SRSU FGD'!$O$67</f>
        <v>5602061</v>
      </c>
      <c r="D282" s="443">
        <f>'SRSU FGD'!$P$67</f>
        <v>0</v>
      </c>
      <c r="E282" s="601"/>
      <c r="F282" s="597"/>
      <c r="G282" s="604"/>
      <c r="H282" s="296">
        <f>'SRSU FGD'!$T$67</f>
        <v>5602061</v>
      </c>
      <c r="I282" s="297">
        <f>'SRSU FGD'!$U$67</f>
        <v>0</v>
      </c>
      <c r="J282" s="298">
        <f>'SRSU FGD'!$V$67</f>
        <v>0</v>
      </c>
      <c r="K282" s="299">
        <f>'SRSU FGD'!$W$67</f>
        <v>0</v>
      </c>
      <c r="L282" s="303">
        <f>'SRSU FGD'!$X$67</f>
        <v>5602061</v>
      </c>
      <c r="M282" s="605" t="str">
        <f t="shared" si="13"/>
        <v/>
      </c>
    </row>
    <row r="283" spans="2:13" hidden="1" outlineLevel="1">
      <c r="B283" s="395" t="str">
        <f>'TAMIU Sum'!$A$1</f>
        <v>Texas A&amp;M International University</v>
      </c>
      <c r="C283" s="440">
        <f>'TAMIU FGD'!$O$67</f>
        <v>29744153</v>
      </c>
      <c r="D283" s="443">
        <f>'TAMIU FGD'!$P$67</f>
        <v>0</v>
      </c>
      <c r="E283" s="601"/>
      <c r="F283" s="597"/>
      <c r="G283" s="604"/>
      <c r="H283" s="296">
        <f>'TAMIU FGD'!$T$67</f>
        <v>29744153</v>
      </c>
      <c r="I283" s="297">
        <f>'TAMIU FGD'!$U$67</f>
        <v>0</v>
      </c>
      <c r="J283" s="298">
        <f>'TAMIU FGD'!$V$67</f>
        <v>0</v>
      </c>
      <c r="K283" s="299">
        <f>'TAMIU FGD'!$W$67</f>
        <v>0</v>
      </c>
      <c r="L283" s="303">
        <f>'TAMIU FGD'!$X$67</f>
        <v>29744153</v>
      </c>
      <c r="M283" s="605" t="str">
        <f t="shared" si="13"/>
        <v/>
      </c>
    </row>
    <row r="284" spans="2:13" hidden="1" outlineLevel="1">
      <c r="B284" s="395" t="str">
        <f>'TAMU Sum'!$A$1</f>
        <v>Texas A&amp;M University</v>
      </c>
      <c r="C284" s="440">
        <f>'TAMU FGD'!$O$67</f>
        <v>141370145</v>
      </c>
      <c r="D284" s="443">
        <f>'TAMU FGD'!$P$67</f>
        <v>150839</v>
      </c>
      <c r="E284" s="601"/>
      <c r="F284" s="597"/>
      <c r="G284" s="604"/>
      <c r="H284" s="296">
        <f>'TAMU FGD'!$T$67</f>
        <v>141370145</v>
      </c>
      <c r="I284" s="297">
        <f>'TAMU FGD'!$U$67</f>
        <v>150839</v>
      </c>
      <c r="J284" s="298">
        <f>'TAMU FGD'!$V$67</f>
        <v>0</v>
      </c>
      <c r="K284" s="299">
        <f>'TAMU FGD'!$W$67</f>
        <v>0</v>
      </c>
      <c r="L284" s="303">
        <f>'TAMU FGD'!$X$67</f>
        <v>141520984</v>
      </c>
      <c r="M284" s="605" t="str">
        <f t="shared" si="13"/>
        <v/>
      </c>
    </row>
    <row r="285" spans="2:13" hidden="1" outlineLevel="1">
      <c r="B285" s="395" t="str">
        <f>'TAMUC Sum'!$A$1</f>
        <v>Texas A&amp;M University - Commerce</v>
      </c>
      <c r="C285" s="440">
        <f>'TAMUC FGD'!$O$67</f>
        <v>23934325</v>
      </c>
      <c r="D285" s="443">
        <f>'TAMUC FGD'!$P$67</f>
        <v>871</v>
      </c>
      <c r="E285" s="601"/>
      <c r="F285" s="597"/>
      <c r="G285" s="604"/>
      <c r="H285" s="296">
        <f>'TAMUC FGD'!$T$67</f>
        <v>23934325</v>
      </c>
      <c r="I285" s="297">
        <f>'TAMUC FGD'!$U$67</f>
        <v>871</v>
      </c>
      <c r="J285" s="298">
        <f>'TAMUC FGD'!$V$67</f>
        <v>0</v>
      </c>
      <c r="K285" s="299">
        <f>'TAMUC FGD'!$W$67</f>
        <v>0</v>
      </c>
      <c r="L285" s="303">
        <f>'TAMUC FGD'!$X$67</f>
        <v>23935196</v>
      </c>
      <c r="M285" s="605" t="str">
        <f t="shared" si="13"/>
        <v/>
      </c>
    </row>
    <row r="286" spans="2:13" hidden="1" outlineLevel="1">
      <c r="B286" s="395" t="str">
        <f>'TAMUCC Sum'!$A$1</f>
        <v>Texas A&amp;M University - Corpus Christi</v>
      </c>
      <c r="C286" s="440">
        <f>'TAMUCC FGD'!$O$67</f>
        <v>36242293</v>
      </c>
      <c r="D286" s="443">
        <f>'TAMUCC FGD'!$P$67</f>
        <v>1775</v>
      </c>
      <c r="E286" s="601"/>
      <c r="F286" s="597"/>
      <c r="G286" s="604"/>
      <c r="H286" s="296">
        <f>'TAMUCC FGD'!$T$67</f>
        <v>36242293</v>
      </c>
      <c r="I286" s="297">
        <f>'TAMUCC FGD'!$U$67</f>
        <v>1775</v>
      </c>
      <c r="J286" s="298">
        <f>'TAMUCC FGD'!$V$67</f>
        <v>0</v>
      </c>
      <c r="K286" s="299">
        <f>'TAMUCC FGD'!$W$67</f>
        <v>0</v>
      </c>
      <c r="L286" s="303">
        <f>'TAMUCC FGD'!$X$67</f>
        <v>36244068</v>
      </c>
      <c r="M286" s="605" t="str">
        <f t="shared" si="13"/>
        <v/>
      </c>
    </row>
    <row r="287" spans="2:13" hidden="1" outlineLevel="1">
      <c r="B287" s="395" t="str">
        <f>'TAMUCT Sum'!$A$1</f>
        <v>Texas A&amp;M University - Central Texas</v>
      </c>
      <c r="C287" s="440">
        <f>'TAMUCT FGD'!$O$67</f>
        <v>3828798</v>
      </c>
      <c r="D287" s="443">
        <f>'TAMUCT FGD'!$P$67</f>
        <v>0</v>
      </c>
      <c r="E287" s="601"/>
      <c r="F287" s="597"/>
      <c r="G287" s="604"/>
      <c r="H287" s="296">
        <f>'TAMUCT FGD'!$T$67</f>
        <v>3828798</v>
      </c>
      <c r="I287" s="297">
        <f>'TAMUCT FGD'!$U$67</f>
        <v>0</v>
      </c>
      <c r="J287" s="298">
        <f>'TAMUCT FGD'!$V$67</f>
        <v>0</v>
      </c>
      <c r="K287" s="299">
        <f>'TAMUCT FGD'!$W$67</f>
        <v>0</v>
      </c>
      <c r="L287" s="303">
        <f>'TAMUCT FGD'!$X$67</f>
        <v>3828798</v>
      </c>
      <c r="M287" s="605" t="str">
        <f t="shared" si="13"/>
        <v/>
      </c>
    </row>
    <row r="288" spans="2:13" hidden="1" outlineLevel="1">
      <c r="B288" s="395" t="str">
        <f>'TAMUG Sum'!$A$1</f>
        <v>Texas A&amp;M University at Galveston</v>
      </c>
      <c r="C288" s="440">
        <f>'TAMUG FGD'!$O$67</f>
        <v>2894109</v>
      </c>
      <c r="D288" s="443">
        <f>'TAMUG FGD'!$P$67</f>
        <v>0</v>
      </c>
      <c r="E288" s="601"/>
      <c r="F288" s="597"/>
      <c r="G288" s="604"/>
      <c r="H288" s="296">
        <f>'TAMUG FGD'!$T$67</f>
        <v>2894109</v>
      </c>
      <c r="I288" s="297">
        <f>'TAMUG FGD'!$U$67</f>
        <v>0</v>
      </c>
      <c r="J288" s="298">
        <f>'TAMUG FGD'!$V$67</f>
        <v>0</v>
      </c>
      <c r="K288" s="299">
        <f>'TAMUG FGD'!$W$67</f>
        <v>0</v>
      </c>
      <c r="L288" s="303">
        <f>'TAMUG FGD'!$X$67</f>
        <v>2894109</v>
      </c>
      <c r="M288" s="605" t="str">
        <f t="shared" si="13"/>
        <v/>
      </c>
    </row>
    <row r="289" spans="2:13" hidden="1" outlineLevel="1">
      <c r="B289" s="395" t="str">
        <f>'TAMUK Sum'!$A$1</f>
        <v>Texas A&amp;M University - Kingsville</v>
      </c>
      <c r="C289" s="440">
        <f>'TAMUK FGD'!$O$67</f>
        <v>17085572</v>
      </c>
      <c r="D289" s="443">
        <f>'TAMUK FGD'!$P$67</f>
        <v>0</v>
      </c>
      <c r="E289" s="601"/>
      <c r="F289" s="597"/>
      <c r="G289" s="604"/>
      <c r="H289" s="296">
        <f>'TAMUK FGD'!$T$67</f>
        <v>17085572</v>
      </c>
      <c r="I289" s="297">
        <f>'TAMUK FGD'!$U$67</f>
        <v>0</v>
      </c>
      <c r="J289" s="298">
        <f>'TAMUK FGD'!$V$67</f>
        <v>0</v>
      </c>
      <c r="K289" s="299">
        <f>'TAMUK FGD'!$W$67</f>
        <v>0</v>
      </c>
      <c r="L289" s="303">
        <f>'TAMUK FGD'!$X$67</f>
        <v>17085572</v>
      </c>
      <c r="M289" s="605" t="str">
        <f t="shared" si="13"/>
        <v/>
      </c>
    </row>
    <row r="290" spans="2:13" hidden="1" outlineLevel="1">
      <c r="B290" s="395" t="str">
        <f>'TAMUSA Sum'!$A$1</f>
        <v>Texas A&amp;M University - San Antonio</v>
      </c>
      <c r="C290" s="440">
        <f>'TAMUSA FGD'!$O$67</f>
        <v>21763866</v>
      </c>
      <c r="D290" s="443">
        <f>'TAMUSA FGD'!$P$67</f>
        <v>0</v>
      </c>
      <c r="E290" s="601"/>
      <c r="F290" s="597"/>
      <c r="G290" s="604"/>
      <c r="H290" s="296">
        <f>'TAMUSA FGD'!$T$67</f>
        <v>21763866</v>
      </c>
      <c r="I290" s="297">
        <f>'TAMUSA FGD'!$U$67</f>
        <v>0</v>
      </c>
      <c r="J290" s="298">
        <f>'TAMUSA FGD'!$V$67</f>
        <v>0</v>
      </c>
      <c r="K290" s="299">
        <f>'TAMUSA FGD'!$W$67</f>
        <v>0</v>
      </c>
      <c r="L290" s="303">
        <f>'TAMUSA FGD'!$X$67</f>
        <v>21763866</v>
      </c>
      <c r="M290" s="605" t="str">
        <f t="shared" si="13"/>
        <v/>
      </c>
    </row>
    <row r="291" spans="2:13" hidden="1" outlineLevel="1">
      <c r="B291" s="395" t="str">
        <f>'TAMUT Sum'!$A$1</f>
        <v>Texas A&amp;M University - Texarkana</v>
      </c>
      <c r="C291" s="440">
        <f>'TAMUT FGD'!$O$67</f>
        <v>4735525</v>
      </c>
      <c r="D291" s="443">
        <f>'TAMUT FGD'!$P$67</f>
        <v>0</v>
      </c>
      <c r="E291" s="601"/>
      <c r="F291" s="597"/>
      <c r="G291" s="604"/>
      <c r="H291" s="296">
        <f>'TAMUT FGD'!$T$67</f>
        <v>4735525</v>
      </c>
      <c r="I291" s="297">
        <f>'TAMUT FGD'!$U$67</f>
        <v>0</v>
      </c>
      <c r="J291" s="298">
        <f>'TAMUT FGD'!$V$67</f>
        <v>0</v>
      </c>
      <c r="K291" s="299">
        <f>'TAMUT FGD'!$W$67</f>
        <v>0</v>
      </c>
      <c r="L291" s="303">
        <f>'TAMUT FGD'!$X$67</f>
        <v>4735525</v>
      </c>
      <c r="M291" s="605" t="str">
        <f t="shared" si="13"/>
        <v/>
      </c>
    </row>
    <row r="292" spans="2:13" hidden="1" outlineLevel="1">
      <c r="B292" s="395" t="str">
        <f>'TARLST Sum'!$A$1</f>
        <v>Tarleton State University</v>
      </c>
      <c r="C292" s="440">
        <f>'TARLST FGD'!$O$67</f>
        <v>33469302</v>
      </c>
      <c r="D292" s="443">
        <f>'TARLST FGD'!$P$67</f>
        <v>0</v>
      </c>
      <c r="E292" s="601"/>
      <c r="F292" s="597"/>
      <c r="G292" s="604"/>
      <c r="H292" s="296">
        <f>'TARLST FGD'!$T$67</f>
        <v>33469302</v>
      </c>
      <c r="I292" s="297">
        <f>'TARLST FGD'!$U$67</f>
        <v>0</v>
      </c>
      <c r="J292" s="298">
        <f>'TARLST FGD'!$V$67</f>
        <v>0</v>
      </c>
      <c r="K292" s="299">
        <f>'TARLST FGD'!$W$67</f>
        <v>0</v>
      </c>
      <c r="L292" s="303">
        <f>'TARLST FGD'!$X$67</f>
        <v>33469302</v>
      </c>
      <c r="M292" s="605" t="str">
        <f t="shared" si="13"/>
        <v/>
      </c>
    </row>
    <row r="293" spans="2:13" hidden="1" outlineLevel="1">
      <c r="B293" s="395" t="str">
        <f>'TSU Sum'!$A$1</f>
        <v>Texas Southern University</v>
      </c>
      <c r="C293" s="440">
        <f>'TSU FGD'!$O$67</f>
        <v>27513383</v>
      </c>
      <c r="D293" s="443">
        <f>'TSU FGD'!$P$67</f>
        <v>0</v>
      </c>
      <c r="E293" s="601"/>
      <c r="F293" s="597"/>
      <c r="G293" s="604"/>
      <c r="H293" s="296">
        <f>'TSU FGD'!$T$67</f>
        <v>27513383</v>
      </c>
      <c r="I293" s="297">
        <f>'TSU FGD'!$U$67</f>
        <v>0</v>
      </c>
      <c r="J293" s="298">
        <f>'TSU FGD'!$V$67</f>
        <v>0</v>
      </c>
      <c r="K293" s="299">
        <f>'TSU FGD'!$W$67</f>
        <v>0</v>
      </c>
      <c r="L293" s="303">
        <f>'TSU FGD'!$X$67</f>
        <v>27513383</v>
      </c>
      <c r="M293" s="605" t="str">
        <f t="shared" si="13"/>
        <v/>
      </c>
    </row>
    <row r="294" spans="2:13" hidden="1" outlineLevel="1">
      <c r="B294" s="395" t="str">
        <f>'TTU Sum'!$A$1</f>
        <v>Texas Tech University</v>
      </c>
      <c r="C294" s="440">
        <f>'TTU FGD'!$O$67</f>
        <v>66394288</v>
      </c>
      <c r="D294" s="443">
        <f>'TTU FGD'!$P$67</f>
        <v>0</v>
      </c>
      <c r="E294" s="601"/>
      <c r="F294" s="597"/>
      <c r="G294" s="604"/>
      <c r="H294" s="296">
        <f>'TTU FGD'!$T$67</f>
        <v>66394288</v>
      </c>
      <c r="I294" s="297">
        <f>'TTU FGD'!$U$67</f>
        <v>0</v>
      </c>
      <c r="J294" s="298">
        <f>'TTU FGD'!$V$67</f>
        <v>0</v>
      </c>
      <c r="K294" s="299">
        <f>'TTU FGD'!$W$67</f>
        <v>0</v>
      </c>
      <c r="L294" s="303">
        <f>'TTU FGD'!$X$67</f>
        <v>66394288</v>
      </c>
      <c r="M294" s="605" t="str">
        <f t="shared" si="13"/>
        <v/>
      </c>
    </row>
    <row r="295" spans="2:13" hidden="1" outlineLevel="1">
      <c r="B295" s="395" t="str">
        <f>'TWU Sum'!$A$1</f>
        <v>Texas Woman's University</v>
      </c>
      <c r="C295" s="440">
        <f>'TWU FGD'!$O$67</f>
        <v>4918082</v>
      </c>
      <c r="D295" s="443">
        <f>'TWU FGD'!$P$67</f>
        <v>0</v>
      </c>
      <c r="E295" s="601"/>
      <c r="F295" s="597"/>
      <c r="G295" s="604"/>
      <c r="H295" s="296">
        <f>'TWU FGD'!$T$67</f>
        <v>4918082</v>
      </c>
      <c r="I295" s="297">
        <f>'TWU FGD'!$U$67</f>
        <v>0</v>
      </c>
      <c r="J295" s="298">
        <f>'TWU FGD'!$V$67</f>
        <v>0</v>
      </c>
      <c r="K295" s="299">
        <f>'TWU FGD'!$W$67</f>
        <v>0</v>
      </c>
      <c r="L295" s="303">
        <f>'TWU FGD'!$X$67</f>
        <v>4918082</v>
      </c>
      <c r="M295" s="605" t="str">
        <f t="shared" si="13"/>
        <v/>
      </c>
    </row>
    <row r="296" spans="2:13" hidden="1" outlineLevel="1">
      <c r="B296" s="395" t="str">
        <f>'TXST Sum'!$A$1</f>
        <v>Texas State University</v>
      </c>
      <c r="C296" s="440">
        <f>'TXST FGD'!$O$67</f>
        <v>79132417</v>
      </c>
      <c r="D296" s="443">
        <f>'TXST FGD'!$P$67</f>
        <v>5699</v>
      </c>
      <c r="E296" s="601"/>
      <c r="F296" s="597"/>
      <c r="G296" s="604"/>
      <c r="H296" s="296">
        <f>'TXST FGD'!$T$67</f>
        <v>79132417</v>
      </c>
      <c r="I296" s="297">
        <f>'TXST FGD'!$U$67</f>
        <v>5699</v>
      </c>
      <c r="J296" s="298">
        <f>'TXST FGD'!$V$67</f>
        <v>0</v>
      </c>
      <c r="K296" s="299">
        <f>'TXST FGD'!$W$67</f>
        <v>0</v>
      </c>
      <c r="L296" s="303">
        <f>'TXST FGD'!$X$67</f>
        <v>79138116</v>
      </c>
      <c r="M296" s="605" t="str">
        <f t="shared" si="13"/>
        <v/>
      </c>
    </row>
    <row r="297" spans="2:13" hidden="1" outlineLevel="1">
      <c r="B297" s="395" t="str">
        <f>'TYL Sum'!$A$1</f>
        <v>The University of Texas at Tyler</v>
      </c>
      <c r="C297" s="440">
        <f>'TYL FGD'!$O$67</f>
        <v>13893217</v>
      </c>
      <c r="D297" s="443">
        <f>'TYL FGD'!$P$67</f>
        <v>11530</v>
      </c>
      <c r="E297" s="601"/>
      <c r="F297" s="597"/>
      <c r="G297" s="604"/>
      <c r="H297" s="296">
        <f>'TYL FGD'!$T$67</f>
        <v>13893217</v>
      </c>
      <c r="I297" s="297">
        <f>'TYL FGD'!$U$67</f>
        <v>11530</v>
      </c>
      <c r="J297" s="298">
        <f>'TYL FGD'!$V$67</f>
        <v>0</v>
      </c>
      <c r="K297" s="299">
        <f>'TYL FGD'!$W$67</f>
        <v>0</v>
      </c>
      <c r="L297" s="303">
        <f>'TYL FGD'!$X$67</f>
        <v>13904747</v>
      </c>
      <c r="M297" s="605" t="str">
        <f t="shared" si="13"/>
        <v/>
      </c>
    </row>
    <row r="298" spans="2:13" ht="25.5" hidden="1" outlineLevel="1">
      <c r="B298" s="395" t="str">
        <f>'UH1 Sum'!$A$1</f>
        <v>University of Houston - Academic &amp; Health (A+H)</v>
      </c>
      <c r="C298" s="440">
        <f>'UH1 FGD'!$O$67</f>
        <v>78002862</v>
      </c>
      <c r="D298" s="443">
        <f>'UH1 FGD'!$P$67</f>
        <v>0</v>
      </c>
      <c r="E298" s="601"/>
      <c r="F298" s="597"/>
      <c r="G298" s="604"/>
      <c r="H298" s="296">
        <f>'UH1 FGD'!$T$67</f>
        <v>78002862</v>
      </c>
      <c r="I298" s="297">
        <f>'UH1 FGD'!$U$67</f>
        <v>0</v>
      </c>
      <c r="J298" s="298">
        <f>'UH1 FGD'!$V$67</f>
        <v>0</v>
      </c>
      <c r="K298" s="299">
        <f>'UH1 FGD'!$W$67</f>
        <v>0</v>
      </c>
      <c r="L298" s="303">
        <f>'UH1 FGD'!$X$67</f>
        <v>78002862</v>
      </c>
      <c r="M298" s="605" t="str">
        <f t="shared" si="13"/>
        <v/>
      </c>
    </row>
    <row r="299" spans="2:13" hidden="1" outlineLevel="1">
      <c r="B299" s="395" t="str">
        <f>'UHCL Sum'!$A$1</f>
        <v>University of Houston - Clear Lake</v>
      </c>
      <c r="C299" s="440">
        <f>'UHCL FGD'!$O$67</f>
        <v>18619216</v>
      </c>
      <c r="D299" s="443">
        <f>'UHCL FGD'!$P$67</f>
        <v>0</v>
      </c>
      <c r="E299" s="601"/>
      <c r="F299" s="597"/>
      <c r="G299" s="604"/>
      <c r="H299" s="296">
        <f>'UHCL FGD'!$T$67</f>
        <v>18619216</v>
      </c>
      <c r="I299" s="297">
        <f>'UHCL FGD'!$U$67</f>
        <v>0</v>
      </c>
      <c r="J299" s="298">
        <f>'UHCL FGD'!$V$67</f>
        <v>0</v>
      </c>
      <c r="K299" s="299">
        <f>'UHCL FGD'!$W$67</f>
        <v>0</v>
      </c>
      <c r="L299" s="303">
        <f>'UHCL FGD'!$X$67</f>
        <v>18619216</v>
      </c>
      <c r="M299" s="605" t="str">
        <f t="shared" si="13"/>
        <v/>
      </c>
    </row>
    <row r="300" spans="2:13" hidden="1" outlineLevel="1">
      <c r="B300" s="395" t="str">
        <f>'UHD Sum'!$A$1</f>
        <v>University of Houston - Downtown</v>
      </c>
      <c r="C300" s="440">
        <f>'UHD FGD'!$O$67</f>
        <v>34039809</v>
      </c>
      <c r="D300" s="443">
        <f>'UHD FGD'!$P$67</f>
        <v>0</v>
      </c>
      <c r="E300" s="601"/>
      <c r="F300" s="597"/>
      <c r="G300" s="604"/>
      <c r="H300" s="296">
        <f>'UHD FGD'!$T$67</f>
        <v>34039809</v>
      </c>
      <c r="I300" s="297">
        <f>'UHD FGD'!$U$67</f>
        <v>0</v>
      </c>
      <c r="J300" s="298">
        <f>'UHD FGD'!$V$67</f>
        <v>0</v>
      </c>
      <c r="K300" s="299">
        <f>'UHD FGD'!$W$67</f>
        <v>0</v>
      </c>
      <c r="L300" s="303">
        <f>'UHD FGD'!$X$67</f>
        <v>34039809</v>
      </c>
      <c r="M300" s="605" t="str">
        <f t="shared" si="13"/>
        <v/>
      </c>
    </row>
    <row r="301" spans="2:13" hidden="1" outlineLevel="1">
      <c r="B301" s="395" t="str">
        <f>'UHV Sum'!$A$1</f>
        <v>University of Houston - Victoria</v>
      </c>
      <c r="C301" s="440">
        <f>'UHV FGD'!$O$67</f>
        <v>8744757</v>
      </c>
      <c r="D301" s="443">
        <f>'UHV FGD'!$P$67</f>
        <v>0</v>
      </c>
      <c r="E301" s="601"/>
      <c r="F301" s="597"/>
      <c r="G301" s="604"/>
      <c r="H301" s="296">
        <f>'UHV FGD'!$T$67</f>
        <v>8744757</v>
      </c>
      <c r="I301" s="297">
        <f>'UHV FGD'!$U$67</f>
        <v>0</v>
      </c>
      <c r="J301" s="298">
        <f>'UHV FGD'!$V$67</f>
        <v>0</v>
      </c>
      <c r="K301" s="299">
        <f>'UHV FGD'!$W$67</f>
        <v>0</v>
      </c>
      <c r="L301" s="303">
        <f>'UHV FGD'!$X$67</f>
        <v>8744757</v>
      </c>
      <c r="M301" s="605" t="str">
        <f t="shared" si="13"/>
        <v/>
      </c>
    </row>
    <row r="302" spans="2:13" hidden="1" outlineLevel="1">
      <c r="B302" s="395" t="str">
        <f>'UNT Sum'!$A$1</f>
        <v>University of North Texas</v>
      </c>
      <c r="C302" s="440">
        <f>'UNT FGD'!$O$67</f>
        <v>130247643</v>
      </c>
      <c r="D302" s="443">
        <f>'UNT FGD'!$P$67</f>
        <v>2317</v>
      </c>
      <c r="E302" s="601"/>
      <c r="F302" s="597"/>
      <c r="G302" s="604"/>
      <c r="H302" s="296">
        <f>'UNT FGD'!$T$67</f>
        <v>130247643</v>
      </c>
      <c r="I302" s="297">
        <f>'UNT FGD'!$U$67</f>
        <v>2317</v>
      </c>
      <c r="J302" s="298">
        <f>'UNT FGD'!$V$67</f>
        <v>0</v>
      </c>
      <c r="K302" s="299">
        <f>'UNT FGD'!$W$67</f>
        <v>0</v>
      </c>
      <c r="L302" s="303">
        <f>'UNT FGD'!$X$67</f>
        <v>130249960</v>
      </c>
      <c r="M302" s="605" t="str">
        <f t="shared" si="13"/>
        <v/>
      </c>
    </row>
    <row r="303" spans="2:13" hidden="1" outlineLevel="1">
      <c r="B303" s="395" t="str">
        <f>'UNTD Sum'!$A$1</f>
        <v>University of North Texas at Dallas</v>
      </c>
      <c r="C303" s="440">
        <f>'UNTD FGD'!$O$67</f>
        <v>16479268</v>
      </c>
      <c r="D303" s="443">
        <f>'UNTD FGD'!$P$67</f>
        <v>0</v>
      </c>
      <c r="E303" s="601"/>
      <c r="F303" s="597"/>
      <c r="G303" s="604"/>
      <c r="H303" s="296">
        <f>'UNTD FGD'!$T$67</f>
        <v>16479268</v>
      </c>
      <c r="I303" s="297">
        <f>'UNTD FGD'!$U$67</f>
        <v>0</v>
      </c>
      <c r="J303" s="298">
        <f>'UNTD FGD'!$V$67</f>
        <v>0</v>
      </c>
      <c r="K303" s="299">
        <f>'UNTD FGD'!$W$67</f>
        <v>0</v>
      </c>
      <c r="L303" s="303">
        <f>'UNTD FGD'!$X$67</f>
        <v>16479268</v>
      </c>
      <c r="M303" s="605" t="str">
        <f t="shared" si="13"/>
        <v/>
      </c>
    </row>
    <row r="304" spans="2:13" hidden="1" outlineLevel="1">
      <c r="B304" s="395" t="str">
        <f>'WTAMU Sum'!$A$1</f>
        <v>West Texas A&amp;M University</v>
      </c>
      <c r="C304" s="440">
        <f>'WTAMU FGD'!$O$67</f>
        <v>16726818</v>
      </c>
      <c r="D304" s="443">
        <f>'WTAMU FGD'!$P$67</f>
        <v>6197</v>
      </c>
      <c r="E304" s="601"/>
      <c r="F304" s="597"/>
      <c r="G304" s="604"/>
      <c r="H304" s="296">
        <f>'WTAMU FGD'!$T$67</f>
        <v>16726818</v>
      </c>
      <c r="I304" s="297">
        <f>'WTAMU FGD'!$U$67</f>
        <v>6197</v>
      </c>
      <c r="J304" s="298">
        <f>'WTAMU FGD'!$V$67</f>
        <v>0</v>
      </c>
      <c r="K304" s="299">
        <f>'WTAMU FGD'!$W$67</f>
        <v>0</v>
      </c>
      <c r="L304" s="303">
        <f>'WTAMU FGD'!$X$67</f>
        <v>16733015</v>
      </c>
      <c r="M304" s="605" t="str">
        <f t="shared" si="13"/>
        <v/>
      </c>
    </row>
    <row r="305" spans="1:13" ht="13.5" collapsed="1" thickBot="1">
      <c r="A305">
        <f>COUNTA(B269:B304)</f>
        <v>36</v>
      </c>
      <c r="B305" s="160" t="s">
        <v>21</v>
      </c>
      <c r="C305" s="440">
        <f>SUM(C269:C304)</f>
        <v>1684486108</v>
      </c>
      <c r="D305" s="443">
        <f>SUM(D269:D304)</f>
        <v>249694</v>
      </c>
      <c r="E305" s="600"/>
      <c r="F305" s="597"/>
      <c r="G305" s="604"/>
      <c r="H305" s="306">
        <f>SUM(H269:H304)</f>
        <v>1684486108</v>
      </c>
      <c r="I305" s="307">
        <f>SUM(I269:I304)</f>
        <v>249694</v>
      </c>
      <c r="J305" s="298">
        <f>SUM(J269:J304)</f>
        <v>0</v>
      </c>
      <c r="K305" s="308">
        <f>SUM(K269:K304)</f>
        <v>0</v>
      </c>
      <c r="L305" s="303">
        <f>SUM(L269:L304)</f>
        <v>1684735802</v>
      </c>
      <c r="M305" s="605" t="str">
        <f t="shared" si="13"/>
        <v/>
      </c>
    </row>
    <row r="306" spans="1:13" ht="14.25" hidden="1" outlineLevel="1" thickTop="1" thickBot="1">
      <c r="B306" s="395" t="str">
        <f>'ARL Sum'!$A$1</f>
        <v>The University of Texas at Arlington</v>
      </c>
      <c r="C306" s="440"/>
      <c r="D306" s="443">
        <f>'ARL FGD'!$P$68</f>
        <v>163539</v>
      </c>
      <c r="E306" s="601"/>
      <c r="F306" s="597"/>
      <c r="G306" s="604"/>
      <c r="H306" s="458"/>
      <c r="I306" s="458"/>
      <c r="J306" s="459"/>
      <c r="K306" s="460"/>
      <c r="L306" s="456">
        <f>'ARL FGD'!$X$68</f>
        <v>634866641</v>
      </c>
    </row>
    <row r="307" spans="1:13" ht="14.25" hidden="1" outlineLevel="1" thickTop="1" thickBot="1">
      <c r="B307" s="395" t="str">
        <f>'ASU Sum'!$A$1</f>
        <v>Angelo State University</v>
      </c>
      <c r="C307" s="440"/>
      <c r="D307" s="443">
        <f>'ASU FGD'!$P$68</f>
        <v>62644</v>
      </c>
      <c r="E307" s="601"/>
      <c r="F307" s="597"/>
      <c r="G307" s="604"/>
      <c r="H307" s="458"/>
      <c r="I307" s="458"/>
      <c r="J307" s="459"/>
      <c r="K307" s="460"/>
      <c r="L307" s="456">
        <f>'ASU FGD'!$X$68</f>
        <v>106068483</v>
      </c>
    </row>
    <row r="308" spans="1:13" ht="27" hidden="1" outlineLevel="1" thickTop="1" thickBot="1">
      <c r="B308" s="395" t="str">
        <f>'AUS1 Sum'!$A$1</f>
        <v>The University of Texas at Austin - Academic &amp; Health (A+H)</v>
      </c>
      <c r="C308" s="440"/>
      <c r="D308" s="443">
        <f>'AUS1 FGD'!$P$68</f>
        <v>779664</v>
      </c>
      <c r="E308" s="601"/>
      <c r="F308" s="597"/>
      <c r="G308" s="604"/>
      <c r="H308" s="458"/>
      <c r="I308" s="458"/>
      <c r="J308" s="459"/>
      <c r="K308" s="460"/>
      <c r="L308" s="456">
        <f>'AUS1 FGD'!$X$68</f>
        <v>2256971436</v>
      </c>
    </row>
    <row r="309" spans="1:13" ht="27" hidden="1" outlineLevel="1" thickTop="1" thickBot="1">
      <c r="B309" s="395" t="str">
        <f>'RGV1 Sum'!$A$1</f>
        <v>The University of Texas RGV - Academic &amp; Health (A+H)</v>
      </c>
      <c r="C309" s="440"/>
      <c r="D309" s="443">
        <f>'RGV1 FGD'!$P$68</f>
        <v>27998</v>
      </c>
      <c r="E309" s="601"/>
      <c r="F309" s="597"/>
      <c r="G309" s="604"/>
      <c r="H309" s="458"/>
      <c r="I309" s="458"/>
      <c r="J309" s="459"/>
      <c r="K309" s="460"/>
      <c r="L309" s="456">
        <f>'RGV1 FGD'!$X$68</f>
        <v>459906255</v>
      </c>
    </row>
    <row r="310" spans="1:13" ht="14.25" hidden="1" outlineLevel="1" thickTop="1" thickBot="1">
      <c r="B310" s="395" t="str">
        <f>'DAL Sum'!$A$1</f>
        <v>The University of Texas at Dallas</v>
      </c>
      <c r="C310" s="440"/>
      <c r="D310" s="443">
        <f>'DAL FGD'!$P$68</f>
        <v>91150</v>
      </c>
      <c r="E310" s="601"/>
      <c r="F310" s="597"/>
      <c r="G310" s="604"/>
      <c r="H310" s="458"/>
      <c r="I310" s="458"/>
      <c r="J310" s="459"/>
      <c r="K310" s="460"/>
      <c r="L310" s="456">
        <f>'DAL FGD'!$X$68</f>
        <v>546492362</v>
      </c>
    </row>
    <row r="311" spans="1:13" ht="14.25" hidden="1" outlineLevel="1" thickTop="1" thickBot="1">
      <c r="B311" s="395" t="str">
        <f>'E-P Sum'!$A$1</f>
        <v>The University of Texas at El Paso</v>
      </c>
      <c r="C311" s="440"/>
      <c r="D311" s="443">
        <f>'E-P FGD'!$P$68</f>
        <v>407027</v>
      </c>
      <c r="E311" s="601"/>
      <c r="F311" s="597"/>
      <c r="G311" s="604"/>
      <c r="H311" s="458"/>
      <c r="I311" s="458"/>
      <c r="J311" s="459"/>
      <c r="K311" s="460"/>
      <c r="L311" s="456">
        <f>'E-P FGD'!$X$68</f>
        <v>445730444</v>
      </c>
    </row>
    <row r="312" spans="1:13" ht="14.25" hidden="1" outlineLevel="1" thickTop="1" thickBot="1">
      <c r="B312" s="395" t="str">
        <f>'LU Sum'!$A$1</f>
        <v xml:space="preserve">Lamar University </v>
      </c>
      <c r="C312" s="440"/>
      <c r="D312" s="443">
        <f>'LU FGD'!$P$68</f>
        <v>0</v>
      </c>
      <c r="E312" s="601"/>
      <c r="F312" s="597"/>
      <c r="G312" s="604"/>
      <c r="H312" s="458"/>
      <c r="I312" s="458"/>
      <c r="J312" s="459"/>
      <c r="K312" s="460"/>
      <c r="L312" s="456">
        <f>'LU FGD'!$X$68</f>
        <v>213512849</v>
      </c>
    </row>
    <row r="313" spans="1:13" ht="14.25" hidden="1" outlineLevel="1" thickTop="1" thickBot="1">
      <c r="B313" s="395" t="str">
        <f>'MidWST Sum'!$A$1</f>
        <v>Midwestern State University</v>
      </c>
      <c r="C313" s="440"/>
      <c r="D313" s="443">
        <f>'MidWST FGD'!$P$68</f>
        <v>0</v>
      </c>
      <c r="E313" s="601"/>
      <c r="F313" s="597"/>
      <c r="G313" s="604"/>
      <c r="H313" s="458"/>
      <c r="I313" s="458"/>
      <c r="J313" s="459"/>
      <c r="K313" s="460"/>
      <c r="L313" s="456">
        <f>'MidWST FGD'!$X$68</f>
        <v>102315194</v>
      </c>
    </row>
    <row r="314" spans="1:13" ht="15.75" hidden="1" customHeight="1" outlineLevel="1" thickTop="1" thickBot="1">
      <c r="B314" s="395" t="str">
        <f>'P-B Sum'!$A$1</f>
        <v>The University of Texas of the Permian Basin</v>
      </c>
      <c r="C314" s="440"/>
      <c r="D314" s="443">
        <f>'P-B FGD'!$P$68</f>
        <v>5725</v>
      </c>
      <c r="E314" s="601"/>
      <c r="F314" s="597"/>
      <c r="G314" s="604"/>
      <c r="H314" s="458"/>
      <c r="I314" s="458"/>
      <c r="J314" s="459"/>
      <c r="K314" s="460"/>
      <c r="L314" s="456">
        <f>'P-B FGD'!$X$68</f>
        <v>88229704</v>
      </c>
    </row>
    <row r="315" spans="1:13" ht="14.25" hidden="1" outlineLevel="1" thickTop="1" thickBot="1">
      <c r="B315" s="395" t="str">
        <f>'PVAMU Sum'!$A$1</f>
        <v>Prairie View A&amp;M University</v>
      </c>
      <c r="C315" s="440"/>
      <c r="D315" s="443">
        <f>'PVAMU FGD'!$P$68</f>
        <v>0</v>
      </c>
      <c r="E315" s="601"/>
      <c r="F315" s="597"/>
      <c r="G315" s="604"/>
      <c r="H315" s="458"/>
      <c r="I315" s="458"/>
      <c r="J315" s="459"/>
      <c r="K315" s="460"/>
      <c r="L315" s="456">
        <f>'PVAMU FGD'!$X$68</f>
        <v>234745767</v>
      </c>
    </row>
    <row r="316" spans="1:13" ht="14.25" hidden="1" outlineLevel="1" thickTop="1" thickBot="1">
      <c r="B316" s="395" t="str">
        <f>'S-A Sum'!$A$1</f>
        <v>The University of Texas at San Antonio</v>
      </c>
      <c r="C316" s="440"/>
      <c r="D316" s="443">
        <f>'S-A FGD'!$P$68</f>
        <v>265553</v>
      </c>
      <c r="E316" s="601"/>
      <c r="F316" s="597"/>
      <c r="G316" s="604"/>
      <c r="H316" s="458"/>
      <c r="I316" s="458"/>
      <c r="J316" s="459"/>
      <c r="K316" s="460"/>
      <c r="L316" s="456">
        <f>'S-A FGD'!$X$68</f>
        <v>539741356</v>
      </c>
    </row>
    <row r="317" spans="1:13" ht="14.25" hidden="1" outlineLevel="1" thickTop="1" thickBot="1">
      <c r="B317" s="395" t="str">
        <f>'SFA Sum'!$A$1</f>
        <v>Stephen F. Austin State University</v>
      </c>
      <c r="C317" s="440"/>
      <c r="D317" s="443">
        <f>'SFA FGD'!$P$68</f>
        <v>8365</v>
      </c>
      <c r="E317" s="601"/>
      <c r="F317" s="597"/>
      <c r="G317" s="604"/>
      <c r="H317" s="458"/>
      <c r="I317" s="458"/>
      <c r="J317" s="459"/>
      <c r="K317" s="460"/>
      <c r="L317" s="456">
        <f>'SFA FGD'!$X$68</f>
        <v>186770647</v>
      </c>
    </row>
    <row r="318" spans="1:13" ht="27" hidden="1" outlineLevel="1" thickTop="1" thickBot="1">
      <c r="B318" s="395" t="str">
        <f>'shsu1 Sum'!$A$1</f>
        <v>Sam Houston State University - Academic &amp; Health (A+H)</v>
      </c>
      <c r="C318" s="440"/>
      <c r="D318" s="443">
        <f>'shsu1 FGD'!$P$68</f>
        <v>107282</v>
      </c>
      <c r="E318" s="601"/>
      <c r="F318" s="597"/>
      <c r="G318" s="604"/>
      <c r="H318" s="458"/>
      <c r="I318" s="458"/>
      <c r="J318" s="459"/>
      <c r="K318" s="460"/>
      <c r="L318" s="456">
        <f>'shsu1 FGD'!$X$68</f>
        <v>305482849</v>
      </c>
    </row>
    <row r="319" spans="1:13" ht="14.25" hidden="1" outlineLevel="1" thickTop="1" thickBot="1">
      <c r="B319" s="395" t="str">
        <f>'SRSU Sum'!$A$1</f>
        <v>Sul Ross State University</v>
      </c>
      <c r="C319" s="440"/>
      <c r="D319" s="443">
        <f>'SRSU FGD'!$P$68</f>
        <v>15085</v>
      </c>
      <c r="E319" s="601"/>
      <c r="F319" s="597"/>
      <c r="G319" s="604"/>
      <c r="H319" s="458"/>
      <c r="I319" s="458"/>
      <c r="J319" s="459"/>
      <c r="K319" s="460"/>
      <c r="L319" s="456">
        <f>'SRSU FGD'!$X$68</f>
        <v>44919347</v>
      </c>
    </row>
    <row r="320" spans="1:13" ht="14.25" hidden="1" outlineLevel="1" thickTop="1" thickBot="1">
      <c r="B320" s="395" t="str">
        <f>'TAMIU Sum'!$A$1</f>
        <v>Texas A&amp;M International University</v>
      </c>
      <c r="C320" s="440"/>
      <c r="D320" s="443">
        <f>'TAMIU FGD'!$P$68</f>
        <v>111414</v>
      </c>
      <c r="E320" s="601"/>
      <c r="F320" s="597"/>
      <c r="G320" s="604"/>
      <c r="H320" s="458"/>
      <c r="I320" s="458"/>
      <c r="J320" s="459"/>
      <c r="K320" s="460"/>
      <c r="L320" s="456">
        <f>'TAMIU FGD'!$X$68</f>
        <v>118931750</v>
      </c>
    </row>
    <row r="321" spans="2:12" ht="14.25" hidden="1" outlineLevel="1" thickTop="1" thickBot="1">
      <c r="B321" s="395" t="str">
        <f>'TAMU Sum'!$A$1</f>
        <v>Texas A&amp;M University</v>
      </c>
      <c r="C321" s="440"/>
      <c r="D321" s="443">
        <f>'TAMU FGD'!$P$68</f>
        <v>6100661</v>
      </c>
      <c r="E321" s="601"/>
      <c r="F321" s="597"/>
      <c r="G321" s="604"/>
      <c r="H321" s="458"/>
      <c r="I321" s="458"/>
      <c r="J321" s="459"/>
      <c r="K321" s="460"/>
      <c r="L321" s="456">
        <f>'TAMU FGD'!$X$68</f>
        <v>1587106721</v>
      </c>
    </row>
    <row r="322" spans="2:12" ht="14.25" hidden="1" outlineLevel="1" thickTop="1" thickBot="1">
      <c r="B322" s="395" t="str">
        <f>'TAMUC Sum'!$A$1</f>
        <v>Texas A&amp;M University - Commerce</v>
      </c>
      <c r="C322" s="440"/>
      <c r="D322" s="443">
        <f>'TAMUC FGD'!$P$68</f>
        <v>17912</v>
      </c>
      <c r="E322" s="601"/>
      <c r="F322" s="597"/>
      <c r="G322" s="604"/>
      <c r="H322" s="458"/>
      <c r="I322" s="458"/>
      <c r="J322" s="459"/>
      <c r="K322" s="460"/>
      <c r="L322" s="456">
        <f>'TAMUC FGD'!$X$68</f>
        <v>146173898</v>
      </c>
    </row>
    <row r="323" spans="2:12" ht="14.25" hidden="1" outlineLevel="1" thickTop="1" thickBot="1">
      <c r="B323" s="395" t="str">
        <f>'TAMUCC Sum'!$A$1</f>
        <v>Texas A&amp;M University - Corpus Christi</v>
      </c>
      <c r="C323" s="440"/>
      <c r="D323" s="443">
        <f>'TAMUCC FGD'!$P$68</f>
        <v>50065</v>
      </c>
      <c r="E323" s="601"/>
      <c r="F323" s="597"/>
      <c r="G323" s="604"/>
      <c r="H323" s="458"/>
      <c r="I323" s="458"/>
      <c r="J323" s="459"/>
      <c r="K323" s="460"/>
      <c r="L323" s="456">
        <f>'TAMUCC FGD'!$X$68</f>
        <v>205893572</v>
      </c>
    </row>
    <row r="324" spans="2:12" ht="14.25" hidden="1" outlineLevel="1" thickTop="1" thickBot="1">
      <c r="B324" s="395" t="str">
        <f>'TAMUCT Sum'!$A$1</f>
        <v>Texas A&amp;M University - Central Texas</v>
      </c>
      <c r="C324" s="440"/>
      <c r="D324" s="443">
        <f>'TAMUCT FGD'!$P$68</f>
        <v>0</v>
      </c>
      <c r="E324" s="601"/>
      <c r="F324" s="597"/>
      <c r="G324" s="604"/>
      <c r="H324" s="458"/>
      <c r="I324" s="458"/>
      <c r="J324" s="459"/>
      <c r="K324" s="460"/>
      <c r="L324" s="456">
        <f>'TAMUCT FGD'!$X$68</f>
        <v>33862889</v>
      </c>
    </row>
    <row r="325" spans="2:12" ht="14.25" hidden="1" outlineLevel="1" thickTop="1" thickBot="1">
      <c r="B325" s="395" t="str">
        <f>'TAMUG Sum'!$A$1</f>
        <v>Texas A&amp;M University at Galveston</v>
      </c>
      <c r="C325" s="440"/>
      <c r="D325" s="443">
        <f>'TAMUG FGD'!$P$68</f>
        <v>0</v>
      </c>
      <c r="E325" s="601"/>
      <c r="F325" s="597"/>
      <c r="G325" s="604"/>
      <c r="H325" s="458"/>
      <c r="I325" s="458"/>
      <c r="J325" s="459"/>
      <c r="K325" s="460"/>
      <c r="L325" s="456">
        <f>'TAMUG FGD'!$X$68</f>
        <v>53642730</v>
      </c>
    </row>
    <row r="326" spans="2:12" ht="14.25" hidden="1" outlineLevel="1" thickTop="1" thickBot="1">
      <c r="B326" s="395" t="str">
        <f>'TAMUK Sum'!$A$1</f>
        <v>Texas A&amp;M University - Kingsville</v>
      </c>
      <c r="C326" s="440"/>
      <c r="D326" s="443">
        <f>'TAMUK FGD'!$P$68</f>
        <v>87111</v>
      </c>
      <c r="E326" s="601"/>
      <c r="F326" s="597"/>
      <c r="G326" s="604"/>
      <c r="H326" s="458"/>
      <c r="I326" s="458"/>
      <c r="J326" s="459"/>
      <c r="K326" s="460"/>
      <c r="L326" s="456">
        <f>'TAMUK FGD'!$X$68</f>
        <v>128141322</v>
      </c>
    </row>
    <row r="327" spans="2:12" ht="14.25" hidden="1" outlineLevel="1" thickTop="1" thickBot="1">
      <c r="B327" s="395" t="str">
        <f>'TAMUSA Sum'!$A$1</f>
        <v>Texas A&amp;M University - San Antonio</v>
      </c>
      <c r="C327" s="440"/>
      <c r="D327" s="443">
        <f>'TAMUSA FGD'!$P$68</f>
        <v>0</v>
      </c>
      <c r="E327" s="601"/>
      <c r="F327" s="597"/>
      <c r="G327" s="604"/>
      <c r="H327" s="458"/>
      <c r="I327" s="458"/>
      <c r="J327" s="459"/>
      <c r="K327" s="460"/>
      <c r="L327" s="456">
        <f>'TAMUSA FGD'!$X$68</f>
        <v>98109307</v>
      </c>
    </row>
    <row r="328" spans="2:12" ht="14.25" hidden="1" outlineLevel="1" thickTop="1" thickBot="1">
      <c r="B328" s="395" t="str">
        <f>'TAMUT Sum'!$A$1</f>
        <v>Texas A&amp;M University - Texarkana</v>
      </c>
      <c r="C328" s="440"/>
      <c r="D328" s="443">
        <f>'TAMUT FGD'!$P$68</f>
        <v>0</v>
      </c>
      <c r="E328" s="601"/>
      <c r="F328" s="597"/>
      <c r="G328" s="604"/>
      <c r="H328" s="458"/>
      <c r="I328" s="458"/>
      <c r="J328" s="459"/>
      <c r="K328" s="460"/>
      <c r="L328" s="456">
        <f>'TAMUT FGD'!$X$68</f>
        <v>36919477</v>
      </c>
    </row>
    <row r="329" spans="2:12" ht="14.25" hidden="1" outlineLevel="1" thickTop="1" thickBot="1">
      <c r="B329" s="395" t="str">
        <f>'TARLST Sum'!$A$1</f>
        <v>Tarleton State University</v>
      </c>
      <c r="C329" s="440"/>
      <c r="D329" s="443">
        <f>'TARLST FGD'!$P$68</f>
        <v>221133</v>
      </c>
      <c r="E329" s="601"/>
      <c r="F329" s="597"/>
      <c r="G329" s="604"/>
      <c r="H329" s="458"/>
      <c r="I329" s="458"/>
      <c r="J329" s="459"/>
      <c r="K329" s="460"/>
      <c r="L329" s="456">
        <f>'TARLST FGD'!$X$68</f>
        <v>168004369</v>
      </c>
    </row>
    <row r="330" spans="2:12" ht="14.25" hidden="1" outlineLevel="1" thickTop="1" thickBot="1">
      <c r="B330" s="395" t="str">
        <f>'TSU Sum'!$A$1</f>
        <v>Texas Southern University</v>
      </c>
      <c r="C330" s="440"/>
      <c r="D330" s="443">
        <f>'TSU FGD'!$P$68</f>
        <v>0</v>
      </c>
      <c r="E330" s="601"/>
      <c r="F330" s="597"/>
      <c r="G330" s="604"/>
      <c r="H330" s="458"/>
      <c r="I330" s="458"/>
      <c r="J330" s="459"/>
      <c r="K330" s="460"/>
      <c r="L330" s="456">
        <f>'TSU FGD'!$X$68</f>
        <v>216139252</v>
      </c>
    </row>
    <row r="331" spans="2:12" ht="14.25" hidden="1" outlineLevel="1" thickTop="1" thickBot="1">
      <c r="B331" s="395" t="str">
        <f>'TTU Sum'!$A$1</f>
        <v>Texas Tech University</v>
      </c>
      <c r="C331" s="440"/>
      <c r="D331" s="443">
        <f>'TTU FGD'!$P$68</f>
        <v>1334167</v>
      </c>
      <c r="E331" s="601"/>
      <c r="F331" s="597"/>
      <c r="G331" s="604"/>
      <c r="H331" s="458"/>
      <c r="I331" s="458"/>
      <c r="J331" s="459"/>
      <c r="K331" s="460"/>
      <c r="L331" s="456">
        <f>'TTU FGD'!$X$68</f>
        <v>709822248</v>
      </c>
    </row>
    <row r="332" spans="2:12" ht="14.25" hidden="1" outlineLevel="1" thickTop="1" thickBot="1">
      <c r="B332" s="395" t="str">
        <f>'TWU Sum'!$A$1</f>
        <v>Texas Woman's University</v>
      </c>
      <c r="C332" s="440"/>
      <c r="D332" s="443">
        <f>'TWU FGD'!$P$68</f>
        <v>0</v>
      </c>
      <c r="E332" s="601"/>
      <c r="F332" s="597"/>
      <c r="G332" s="604"/>
      <c r="H332" s="458"/>
      <c r="I332" s="458"/>
      <c r="J332" s="459"/>
      <c r="K332" s="460"/>
      <c r="L332" s="456">
        <f>'TWU FGD'!$X$68</f>
        <v>183701563</v>
      </c>
    </row>
    <row r="333" spans="2:12" ht="14.25" hidden="1" outlineLevel="1" thickTop="1" thickBot="1">
      <c r="B333" s="395" t="str">
        <f>'TXST Sum'!$A$1</f>
        <v>Texas State University</v>
      </c>
      <c r="C333" s="440"/>
      <c r="D333" s="443">
        <f>'TXST FGD'!$P$68</f>
        <v>116495</v>
      </c>
      <c r="E333" s="601"/>
      <c r="F333" s="597"/>
      <c r="G333" s="604"/>
      <c r="H333" s="458"/>
      <c r="I333" s="458"/>
      <c r="J333" s="459"/>
      <c r="K333" s="460"/>
      <c r="L333" s="456">
        <f>'TXST FGD'!$X$68</f>
        <v>505218552</v>
      </c>
    </row>
    <row r="334" spans="2:12" ht="14.25" hidden="1" outlineLevel="1" thickTop="1" thickBot="1">
      <c r="B334" s="395" t="str">
        <f>'TYL Sum'!$A$1</f>
        <v>The University of Texas at Tyler</v>
      </c>
      <c r="C334" s="440"/>
      <c r="D334" s="443">
        <f>'TYL FGD'!$P$68</f>
        <v>0</v>
      </c>
      <c r="E334" s="601"/>
      <c r="F334" s="597"/>
      <c r="G334" s="604"/>
      <c r="H334" s="458"/>
      <c r="I334" s="458"/>
      <c r="J334" s="459"/>
      <c r="K334" s="460"/>
      <c r="L334" s="456">
        <f>'TYL FGD'!$X$68</f>
        <v>132844546</v>
      </c>
    </row>
    <row r="335" spans="2:12" ht="27" hidden="1" outlineLevel="1" thickTop="1" thickBot="1">
      <c r="B335" s="395" t="str">
        <f>'UH1 Sum'!$A$1</f>
        <v>University of Houston - Academic &amp; Health (A+H)</v>
      </c>
      <c r="C335" s="440"/>
      <c r="D335" s="443">
        <f>'UH1 FGD'!$P$68</f>
        <v>183264</v>
      </c>
      <c r="E335" s="601"/>
      <c r="F335" s="597"/>
      <c r="G335" s="604"/>
      <c r="H335" s="458"/>
      <c r="I335" s="458"/>
      <c r="J335" s="459"/>
      <c r="K335" s="460"/>
      <c r="L335" s="456">
        <f>'UH1 FGD'!$X$68</f>
        <v>913547285</v>
      </c>
    </row>
    <row r="336" spans="2:12" ht="14.25" hidden="1" outlineLevel="1" thickTop="1" thickBot="1">
      <c r="B336" s="395" t="str">
        <f>'UHCL Sum'!$A$1</f>
        <v>University of Houston - Clear Lake</v>
      </c>
      <c r="C336" s="440"/>
      <c r="D336" s="443">
        <f>'UHCL FGD'!$P$68</f>
        <v>81206</v>
      </c>
      <c r="E336" s="601"/>
      <c r="F336" s="597"/>
      <c r="G336" s="604"/>
      <c r="H336" s="458"/>
      <c r="I336" s="458"/>
      <c r="J336" s="459"/>
      <c r="K336" s="460"/>
      <c r="L336" s="456">
        <f>'UHCL FGD'!$X$68</f>
        <v>133100554</v>
      </c>
    </row>
    <row r="337" spans="1:12" ht="14.25" hidden="1" outlineLevel="1" thickTop="1" thickBot="1">
      <c r="B337" s="395" t="str">
        <f>'UHD Sum'!$A$1</f>
        <v>University of Houston - Downtown</v>
      </c>
      <c r="C337" s="440"/>
      <c r="D337" s="443">
        <f>'UHD FGD'!$P$68</f>
        <v>31528</v>
      </c>
      <c r="E337" s="601"/>
      <c r="F337" s="597"/>
      <c r="G337" s="604"/>
      <c r="H337" s="458"/>
      <c r="I337" s="458"/>
      <c r="J337" s="459"/>
      <c r="K337" s="460"/>
      <c r="L337" s="456">
        <f>'UHD FGD'!$X$68</f>
        <v>166761011</v>
      </c>
    </row>
    <row r="338" spans="1:12" ht="14.25" hidden="1" outlineLevel="1" thickTop="1" thickBot="1">
      <c r="B338" s="395" t="str">
        <f>'UHV Sum'!$A$1</f>
        <v>University of Houston - Victoria</v>
      </c>
      <c r="C338" s="440"/>
      <c r="D338" s="443">
        <f>'UHV FGD'!$P$68</f>
        <v>0</v>
      </c>
      <c r="E338" s="601"/>
      <c r="F338" s="597"/>
      <c r="G338" s="604"/>
      <c r="H338" s="458"/>
      <c r="I338" s="458"/>
      <c r="J338" s="459"/>
      <c r="K338" s="460"/>
      <c r="L338" s="456">
        <f>'UHV FGD'!$X$68</f>
        <v>59039382</v>
      </c>
    </row>
    <row r="339" spans="1:12" ht="14.25" hidden="1" outlineLevel="1" thickTop="1" thickBot="1">
      <c r="B339" s="395" t="str">
        <f>'UNT Sum'!$A$1</f>
        <v>University of North Texas</v>
      </c>
      <c r="C339" s="440"/>
      <c r="D339" s="443">
        <f>'UNT FGD'!$P$68</f>
        <v>235048</v>
      </c>
      <c r="E339" s="601"/>
      <c r="F339" s="597"/>
      <c r="G339" s="604"/>
      <c r="H339" s="458"/>
      <c r="I339" s="458"/>
      <c r="J339" s="459"/>
      <c r="K339" s="460"/>
      <c r="L339" s="456">
        <f>'UNT FGD'!$X$68</f>
        <v>642573474</v>
      </c>
    </row>
    <row r="340" spans="1:12" ht="14.25" hidden="1" outlineLevel="1" thickTop="1" thickBot="1">
      <c r="B340" s="395" t="str">
        <f>'UNTD Sum'!$A$1</f>
        <v>University of North Texas at Dallas</v>
      </c>
      <c r="C340" s="440"/>
      <c r="D340" s="443">
        <f>'UNTD FGD'!$P$68</f>
        <v>238473</v>
      </c>
      <c r="E340" s="601"/>
      <c r="F340" s="597"/>
      <c r="G340" s="604"/>
      <c r="H340" s="458"/>
      <c r="I340" s="458"/>
      <c r="J340" s="459"/>
      <c r="K340" s="460"/>
      <c r="L340" s="456">
        <f>'UNTD FGD'!$X$68</f>
        <v>66075530</v>
      </c>
    </row>
    <row r="341" spans="1:12" ht="14.25" hidden="1" outlineLevel="1" thickTop="1" thickBot="1">
      <c r="B341" s="395" t="str">
        <f>'WTAMU Sum'!$A$1</f>
        <v>West Texas A&amp;M University</v>
      </c>
      <c r="C341" s="440"/>
      <c r="D341" s="443">
        <f>'WTAMU FGD'!$P$68</f>
        <v>0</v>
      </c>
      <c r="E341" s="601"/>
      <c r="F341" s="597"/>
      <c r="G341" s="604"/>
      <c r="H341" s="458"/>
      <c r="I341" s="458"/>
      <c r="J341" s="459"/>
      <c r="K341" s="460"/>
      <c r="L341" s="456">
        <f>'WTAMU FGD'!$X$68</f>
        <v>131175772</v>
      </c>
    </row>
    <row r="342" spans="1:12" ht="14.25" collapsed="1" thickTop="1" thickBot="1">
      <c r="A342">
        <f>COUNTA(B306:B341)</f>
        <v>36</v>
      </c>
      <c r="B342" s="160" t="s">
        <v>22</v>
      </c>
      <c r="C342" s="309"/>
      <c r="D342" s="593">
        <f>SUM(D306:D341)</f>
        <v>10742509</v>
      </c>
      <c r="E342" s="602"/>
      <c r="F342" s="598"/>
      <c r="G342" s="604"/>
      <c r="H342" s="305"/>
      <c r="I342" s="305"/>
      <c r="J342" s="312"/>
      <c r="K342" s="313"/>
      <c r="L342" s="314">
        <f>SUM(L306:L341)</f>
        <v>12602538538</v>
      </c>
    </row>
    <row r="343" spans="1:12" ht="14.25" hidden="1" outlineLevel="1" thickTop="1" thickBot="1">
      <c r="B343" s="395" t="str">
        <f>'ARL Sum'!$A$1</f>
        <v>The University of Texas at Arlington</v>
      </c>
      <c r="C343" s="363"/>
      <c r="D343" s="364">
        <f>'ARL FGD'!$P$69</f>
        <v>3768636</v>
      </c>
      <c r="E343" s="462">
        <f>'ARL FGD'!$Q$69</f>
        <v>0</v>
      </c>
      <c r="F343" s="365">
        <f>'ARL FGD'!$R$69</f>
        <v>503183652</v>
      </c>
      <c r="G343" s="604"/>
      <c r="H343" s="305"/>
      <c r="I343" s="305"/>
      <c r="J343" s="344"/>
      <c r="K343" s="344"/>
      <c r="L343" s="345"/>
    </row>
    <row r="344" spans="1:12" ht="14.25" hidden="1" outlineLevel="1" thickTop="1" thickBot="1">
      <c r="B344" s="395" t="str">
        <f>'ASU Sum'!$A$1</f>
        <v>Angelo State University</v>
      </c>
      <c r="C344" s="363"/>
      <c r="D344" s="364">
        <f>'ASU FGD'!$P$69</f>
        <v>1101123</v>
      </c>
      <c r="E344" s="462">
        <f>'ASU FGD'!$Q$69</f>
        <v>0</v>
      </c>
      <c r="F344" s="365">
        <f>'ASU FGD'!$R$69</f>
        <v>80384818</v>
      </c>
      <c r="G344" s="604"/>
      <c r="H344" s="305"/>
      <c r="I344" s="305"/>
      <c r="J344" s="344"/>
      <c r="K344" s="344"/>
      <c r="L344" s="345"/>
    </row>
    <row r="345" spans="1:12" ht="27" hidden="1" outlineLevel="1" thickTop="1" thickBot="1">
      <c r="B345" s="395" t="str">
        <f>'AUS1 Sum'!$A$1</f>
        <v>The University of Texas at Austin - Academic &amp; Health (A+H)</v>
      </c>
      <c r="C345" s="363"/>
      <c r="D345" s="364">
        <f>'AUS1 FGD'!$P$69</f>
        <v>85209491</v>
      </c>
      <c r="E345" s="462">
        <f>'AUS1 FGD'!$Q$69</f>
        <v>-598</v>
      </c>
      <c r="F345" s="365">
        <f>'AUS1 FGD'!$R$69</f>
        <v>1846155129</v>
      </c>
      <c r="G345" s="604"/>
      <c r="H345" s="305"/>
      <c r="I345" s="305"/>
      <c r="J345" s="344"/>
      <c r="K345" s="344"/>
      <c r="L345" s="345"/>
    </row>
    <row r="346" spans="1:12" ht="27" hidden="1" outlineLevel="1" thickTop="1" thickBot="1">
      <c r="B346" s="395" t="str">
        <f>'RGV1 Sum'!$A$1</f>
        <v>The University of Texas RGV - Academic &amp; Health (A+H)</v>
      </c>
      <c r="C346" s="363"/>
      <c r="D346" s="364">
        <f>'RGV1 FGD'!$P$69</f>
        <v>8415426</v>
      </c>
      <c r="E346" s="462">
        <f>'RGV1 FGD'!$Q$69</f>
        <v>0</v>
      </c>
      <c r="F346" s="365">
        <f>'RGV1 FGD'!$R$69</f>
        <v>303305317</v>
      </c>
      <c r="G346" s="604"/>
      <c r="H346" s="305"/>
      <c r="I346" s="305"/>
      <c r="J346" s="344"/>
      <c r="K346" s="344"/>
      <c r="L346" s="345"/>
    </row>
    <row r="347" spans="1:12" ht="14.25" hidden="1" outlineLevel="1" thickTop="1" thickBot="1">
      <c r="B347" s="395" t="str">
        <f>'DAL Sum'!$A$1</f>
        <v>The University of Texas at Dallas</v>
      </c>
      <c r="C347" s="363"/>
      <c r="D347" s="364">
        <f>'DAL FGD'!$P$69</f>
        <v>12825288</v>
      </c>
      <c r="E347" s="462">
        <f>'DAL FGD'!$Q$69</f>
        <v>37083</v>
      </c>
      <c r="F347" s="365">
        <f>'DAL FGD'!$R$69</f>
        <v>423968969</v>
      </c>
      <c r="G347" s="604"/>
      <c r="H347" s="305"/>
      <c r="I347" s="305"/>
      <c r="J347" s="344"/>
      <c r="K347" s="344"/>
      <c r="L347" s="345"/>
    </row>
    <row r="348" spans="1:12" ht="14.25" hidden="1" outlineLevel="1" thickTop="1" thickBot="1">
      <c r="B348" s="395" t="str">
        <f>'E-P Sum'!$A$1</f>
        <v>The University of Texas at El Paso</v>
      </c>
      <c r="C348" s="363"/>
      <c r="D348" s="364">
        <f>'E-P FGD'!$P$69</f>
        <v>10125461</v>
      </c>
      <c r="E348" s="462">
        <f>'E-P FGD'!$Q$69</f>
        <v>0</v>
      </c>
      <c r="F348" s="365">
        <f>'E-P FGD'!$R$69</f>
        <v>297737138</v>
      </c>
      <c r="G348" s="604"/>
      <c r="H348" s="305"/>
      <c r="I348" s="305"/>
      <c r="J348" s="344"/>
      <c r="K348" s="344"/>
      <c r="L348" s="345"/>
    </row>
    <row r="349" spans="1:12" ht="14.25" hidden="1" outlineLevel="1" thickTop="1" thickBot="1">
      <c r="B349" s="395" t="str">
        <f>'LU Sum'!$A$1</f>
        <v xml:space="preserve">Lamar University </v>
      </c>
      <c r="C349" s="363"/>
      <c r="D349" s="364">
        <f>'LU FGD'!$P$69</f>
        <v>1468050</v>
      </c>
      <c r="E349" s="462">
        <f>'LU FGD'!$Q$69</f>
        <v>0</v>
      </c>
      <c r="F349" s="365">
        <f>'LU FGD'!$R$69</f>
        <v>158205310</v>
      </c>
      <c r="G349" s="604"/>
      <c r="H349" s="305"/>
      <c r="I349" s="305"/>
      <c r="J349" s="344"/>
      <c r="K349" s="344"/>
      <c r="L349" s="345"/>
    </row>
    <row r="350" spans="1:12" ht="14.25" hidden="1" outlineLevel="1" thickTop="1" thickBot="1">
      <c r="B350" s="395" t="str">
        <f>'MidWST Sum'!$A$1</f>
        <v>Midwestern State University</v>
      </c>
      <c r="C350" s="363"/>
      <c r="D350" s="364">
        <f>'MidWST FGD'!$P$69</f>
        <v>5587278</v>
      </c>
      <c r="E350" s="462">
        <f>'MidWST FGD'!$Q$69</f>
        <v>0</v>
      </c>
      <c r="F350" s="365">
        <f>'MidWST FGD'!$R$69</f>
        <v>76015554</v>
      </c>
      <c r="G350" s="604"/>
      <c r="H350" s="305"/>
      <c r="I350" s="305"/>
      <c r="J350" s="344"/>
      <c r="K350" s="344"/>
      <c r="L350" s="345"/>
    </row>
    <row r="351" spans="1:12" ht="14.25" hidden="1" customHeight="1" outlineLevel="1" thickTop="1" thickBot="1">
      <c r="B351" s="395" t="str">
        <f>'P-B Sum'!$A$1</f>
        <v>The University of Texas of the Permian Basin</v>
      </c>
      <c r="C351" s="363"/>
      <c r="D351" s="364">
        <f>'P-B FGD'!$P$69</f>
        <v>3447006</v>
      </c>
      <c r="E351" s="462">
        <f>'P-B FGD'!$Q$69</f>
        <v>0</v>
      </c>
      <c r="F351" s="365">
        <f>'P-B FGD'!$R$69</f>
        <v>64152728</v>
      </c>
      <c r="G351" s="604"/>
      <c r="H351" s="305"/>
      <c r="I351" s="305"/>
      <c r="J351" s="344"/>
      <c r="K351" s="344"/>
      <c r="L351" s="345"/>
    </row>
    <row r="352" spans="1:12" ht="14.25" hidden="1" outlineLevel="1" thickTop="1" thickBot="1">
      <c r="B352" s="395" t="str">
        <f>'PVAMU Sum'!$A$1</f>
        <v>Prairie View A&amp;M University</v>
      </c>
      <c r="C352" s="363"/>
      <c r="D352" s="364">
        <f>'PVAMU FGD'!$P$69</f>
        <v>3300156</v>
      </c>
      <c r="E352" s="462">
        <f>'PVAMU FGD'!$Q$69</f>
        <v>0</v>
      </c>
      <c r="F352" s="365">
        <f>'PVAMU FGD'!$R$69</f>
        <v>133254305</v>
      </c>
      <c r="G352" s="604"/>
      <c r="H352" s="305"/>
      <c r="I352" s="305"/>
      <c r="J352" s="344"/>
      <c r="K352" s="344"/>
      <c r="L352" s="345"/>
    </row>
    <row r="353" spans="2:12" ht="14.25" hidden="1" outlineLevel="1" thickTop="1" thickBot="1">
      <c r="B353" s="395" t="str">
        <f>'S-A Sum'!$A$1</f>
        <v>The University of Texas at San Antonio</v>
      </c>
      <c r="C353" s="363"/>
      <c r="D353" s="364">
        <f>'S-A FGD'!$P$69</f>
        <v>38413984</v>
      </c>
      <c r="E353" s="462">
        <f>'S-A FGD'!$Q$69</f>
        <v>0</v>
      </c>
      <c r="F353" s="365">
        <f>'S-A FGD'!$R$69</f>
        <v>405983299</v>
      </c>
      <c r="G353" s="604"/>
      <c r="H353" s="305"/>
      <c r="I353" s="305"/>
      <c r="J353" s="344"/>
      <c r="K353" s="344"/>
      <c r="L353" s="345"/>
    </row>
    <row r="354" spans="2:12" ht="14.25" hidden="1" outlineLevel="1" thickTop="1" thickBot="1">
      <c r="B354" s="395" t="str">
        <f>'SFA Sum'!$A$1</f>
        <v>Stephen F. Austin State University</v>
      </c>
      <c r="C354" s="363"/>
      <c r="D354" s="364">
        <f>'SFA FGD'!$P$69</f>
        <v>1211299</v>
      </c>
      <c r="E354" s="462">
        <f>'SFA FGD'!$Q$69</f>
        <v>0</v>
      </c>
      <c r="F354" s="365">
        <f>'SFA FGD'!$R$69</f>
        <v>142286670</v>
      </c>
      <c r="G354" s="604"/>
      <c r="H354" s="305"/>
      <c r="I354" s="305"/>
      <c r="J354" s="344"/>
      <c r="K354" s="344"/>
      <c r="L354" s="345"/>
    </row>
    <row r="355" spans="2:12" ht="27" hidden="1" outlineLevel="1" thickTop="1" thickBot="1">
      <c r="B355" s="395" t="str">
        <f>'shsu1 Sum'!$A$1</f>
        <v>Sam Houston State University - Academic &amp; Health (A+H)</v>
      </c>
      <c r="C355" s="363"/>
      <c r="D355" s="364">
        <f>'shsu1 FGD'!$P$69</f>
        <v>4693822</v>
      </c>
      <c r="E355" s="462">
        <f>'shsu1 FGD'!$Q$69</f>
        <v>0</v>
      </c>
      <c r="F355" s="365">
        <f>'shsu1 FGD'!$R$69</f>
        <v>214371965</v>
      </c>
      <c r="G355" s="604"/>
      <c r="H355" s="305"/>
      <c r="I355" s="305"/>
      <c r="J355" s="344"/>
      <c r="K355" s="344"/>
      <c r="L355" s="345"/>
    </row>
    <row r="356" spans="2:12" ht="14.25" hidden="1" outlineLevel="1" thickTop="1" thickBot="1">
      <c r="B356" s="395" t="str">
        <f>'SRSU Sum'!$A$1</f>
        <v>Sul Ross State University</v>
      </c>
      <c r="C356" s="363"/>
      <c r="D356" s="364">
        <f>'SRSU FGD'!$P$69</f>
        <v>471724</v>
      </c>
      <c r="E356" s="462">
        <f>'SRSU FGD'!$Q$69</f>
        <v>0</v>
      </c>
      <c r="F356" s="365">
        <f>'SRSU FGD'!$R$69</f>
        <v>33800493</v>
      </c>
      <c r="G356" s="604"/>
      <c r="H356" s="305"/>
      <c r="I356" s="305"/>
      <c r="J356" s="344"/>
      <c r="K356" s="344"/>
      <c r="L356" s="345"/>
    </row>
    <row r="357" spans="2:12" ht="14.25" hidden="1" outlineLevel="1" thickTop="1" thickBot="1">
      <c r="B357" s="395" t="str">
        <f>'TAMIU Sum'!$A$1</f>
        <v>Texas A&amp;M International University</v>
      </c>
      <c r="C357" s="363"/>
      <c r="D357" s="364">
        <f>'TAMIU FGD'!$P$69</f>
        <v>1749653</v>
      </c>
      <c r="E357" s="462">
        <f>'TAMIU FGD'!$Q$69</f>
        <v>0</v>
      </c>
      <c r="F357" s="365">
        <f>'TAMIU FGD'!$R$69</f>
        <v>72335715</v>
      </c>
      <c r="G357" s="604"/>
      <c r="H357" s="305"/>
      <c r="I357" s="305"/>
      <c r="J357" s="344"/>
      <c r="K357" s="344"/>
      <c r="L357" s="345"/>
    </row>
    <row r="358" spans="2:12" ht="14.25" hidden="1" outlineLevel="1" thickTop="1" thickBot="1">
      <c r="B358" s="395" t="str">
        <f>'TAMU Sum'!$A$1</f>
        <v>Texas A&amp;M University</v>
      </c>
      <c r="C358" s="363"/>
      <c r="D358" s="364">
        <f>'TAMU FGD'!$P$69</f>
        <v>48790007</v>
      </c>
      <c r="E358" s="462">
        <f>'TAMU FGD'!$Q$69</f>
        <v>0</v>
      </c>
      <c r="F358" s="365">
        <f>'TAMU FGD'!$R$69</f>
        <v>1294395387</v>
      </c>
      <c r="G358" s="604"/>
      <c r="H358" s="305"/>
      <c r="I358" s="305"/>
      <c r="J358" s="344"/>
      <c r="K358" s="344"/>
      <c r="L358" s="345"/>
    </row>
    <row r="359" spans="2:12" ht="14.25" hidden="1" outlineLevel="1" thickTop="1" thickBot="1">
      <c r="B359" s="395" t="str">
        <f>'TAMUC Sum'!$A$1</f>
        <v>Texas A&amp;M University - Commerce</v>
      </c>
      <c r="C359" s="363"/>
      <c r="D359" s="364">
        <f>'TAMUC FGD'!$P$69</f>
        <v>1628904</v>
      </c>
      <c r="E359" s="462">
        <f>'TAMUC FGD'!$Q$69</f>
        <v>510269</v>
      </c>
      <c r="F359" s="365">
        <f>'TAMUC FGD'!$R$69</f>
        <v>106080920</v>
      </c>
      <c r="G359" s="604"/>
      <c r="H359" s="305"/>
      <c r="I359" s="305"/>
      <c r="J359" s="344"/>
      <c r="K359" s="344"/>
      <c r="L359" s="345"/>
    </row>
    <row r="360" spans="2:12" ht="14.25" hidden="1" outlineLevel="1" thickTop="1" thickBot="1">
      <c r="B360" s="395" t="str">
        <f>'TAMUCC Sum'!$A$1</f>
        <v>Texas A&amp;M University - Corpus Christi</v>
      </c>
      <c r="C360" s="363"/>
      <c r="D360" s="364">
        <f>'TAMUCC FGD'!$P$69</f>
        <v>4432165</v>
      </c>
      <c r="E360" s="462">
        <f>'TAMUCC FGD'!$Q$69</f>
        <v>0</v>
      </c>
      <c r="F360" s="365">
        <f>'TAMUCC FGD'!$R$69</f>
        <v>154160258</v>
      </c>
      <c r="G360" s="604"/>
      <c r="H360" s="305"/>
      <c r="I360" s="305"/>
      <c r="J360" s="344"/>
      <c r="K360" s="344"/>
      <c r="L360" s="345"/>
    </row>
    <row r="361" spans="2:12" ht="14.25" hidden="1" outlineLevel="1" thickTop="1" thickBot="1">
      <c r="B361" s="395" t="str">
        <f>'TAMUCT Sum'!$A$1</f>
        <v>Texas A&amp;M University - Central Texas</v>
      </c>
      <c r="C361" s="363"/>
      <c r="D361" s="364">
        <f>'TAMUCT FGD'!$P$69</f>
        <v>257227</v>
      </c>
      <c r="E361" s="462">
        <f>'TAMUCT FGD'!$Q$69</f>
        <v>0</v>
      </c>
      <c r="F361" s="365">
        <f>'TAMUCT FGD'!$R$69</f>
        <v>27938680</v>
      </c>
      <c r="G361" s="604"/>
      <c r="H361" s="305"/>
      <c r="I361" s="305"/>
      <c r="J361" s="344"/>
      <c r="K361" s="344"/>
      <c r="L361" s="345"/>
    </row>
    <row r="362" spans="2:12" ht="14.25" hidden="1" outlineLevel="1" thickTop="1" thickBot="1">
      <c r="B362" s="395" t="str">
        <f>'TAMUG Sum'!$A$1</f>
        <v>Texas A&amp;M University at Galveston</v>
      </c>
      <c r="C362" s="363"/>
      <c r="D362" s="364">
        <f>'TAMUG FGD'!$P$69</f>
        <v>407045</v>
      </c>
      <c r="E362" s="462">
        <f>'TAMUG FGD'!$Q$69</f>
        <v>0</v>
      </c>
      <c r="F362" s="365">
        <f>'TAMUG FGD'!$R$69</f>
        <v>43714495</v>
      </c>
      <c r="G362" s="604"/>
      <c r="H362" s="305"/>
      <c r="I362" s="305"/>
      <c r="J362" s="344"/>
      <c r="K362" s="344"/>
      <c r="L362" s="345"/>
    </row>
    <row r="363" spans="2:12" ht="14.25" hidden="1" outlineLevel="1" thickTop="1" thickBot="1">
      <c r="B363" s="395" t="str">
        <f>'TAMUK Sum'!$A$1</f>
        <v>Texas A&amp;M University - Kingsville</v>
      </c>
      <c r="C363" s="363"/>
      <c r="D363" s="364">
        <f>'TAMUK FGD'!$P$69</f>
        <v>2014998</v>
      </c>
      <c r="E363" s="462">
        <f>'TAMUK FGD'!$Q$69</f>
        <v>0</v>
      </c>
      <c r="F363" s="365">
        <f>'TAMUK FGD'!$R$69</f>
        <v>99386976</v>
      </c>
      <c r="G363" s="604"/>
      <c r="H363" s="305"/>
      <c r="I363" s="305"/>
      <c r="J363" s="344"/>
      <c r="K363" s="344"/>
      <c r="L363" s="345"/>
    </row>
    <row r="364" spans="2:12" ht="14.25" hidden="1" outlineLevel="1" thickTop="1" thickBot="1">
      <c r="B364" s="395" t="str">
        <f>'TAMUSA Sum'!$A$1</f>
        <v>Texas A&amp;M University - San Antonio</v>
      </c>
      <c r="C364" s="363"/>
      <c r="D364" s="364">
        <f>'TAMUSA FGD'!$P$69</f>
        <v>342217</v>
      </c>
      <c r="E364" s="462">
        <f>'TAMUSA FGD'!$Q$69</f>
        <v>0</v>
      </c>
      <c r="F364" s="365">
        <f>'TAMUSA FGD'!$R$69</f>
        <v>69003074</v>
      </c>
      <c r="G364" s="604"/>
      <c r="H364" s="305"/>
      <c r="I364" s="305"/>
      <c r="J364" s="344"/>
      <c r="K364" s="344"/>
      <c r="L364" s="345"/>
    </row>
    <row r="365" spans="2:12" ht="14.25" hidden="1" outlineLevel="1" thickTop="1" thickBot="1">
      <c r="B365" s="395" t="str">
        <f>'TAMUT Sum'!$A$1</f>
        <v>Texas A&amp;M University - Texarkana</v>
      </c>
      <c r="C365" s="363"/>
      <c r="D365" s="364">
        <f>'TAMUT FGD'!$P$69</f>
        <v>598517</v>
      </c>
      <c r="E365" s="462">
        <f>'TAMUT FGD'!$Q$69</f>
        <v>0</v>
      </c>
      <c r="F365" s="365">
        <f>'TAMUT FGD'!$R$69</f>
        <v>29814900</v>
      </c>
      <c r="G365" s="604"/>
      <c r="H365" s="305"/>
      <c r="I365" s="305"/>
      <c r="J365" s="344"/>
      <c r="K365" s="344"/>
      <c r="L365" s="345"/>
    </row>
    <row r="366" spans="2:12" ht="14.25" hidden="1" outlineLevel="1" thickTop="1" thickBot="1">
      <c r="B366" s="395" t="str">
        <f>'TARLST Sum'!$A$1</f>
        <v>Tarleton State University</v>
      </c>
      <c r="C366" s="363"/>
      <c r="D366" s="364">
        <f>'TARLST FGD'!$P$69</f>
        <v>1535773</v>
      </c>
      <c r="E366" s="462">
        <f>'TARLST FGD'!$Q$69</f>
        <v>0</v>
      </c>
      <c r="F366" s="365">
        <f>'TARLST FGD'!$R$69</f>
        <v>120758857</v>
      </c>
      <c r="G366" s="604"/>
      <c r="H366" s="305"/>
      <c r="I366" s="305"/>
      <c r="J366" s="344"/>
      <c r="K366" s="344"/>
      <c r="L366" s="345"/>
    </row>
    <row r="367" spans="2:12" ht="14.25" hidden="1" outlineLevel="1" thickTop="1" thickBot="1">
      <c r="B367" s="395" t="str">
        <f>'TSU Sum'!$A$1</f>
        <v>Texas Southern University</v>
      </c>
      <c r="C367" s="363"/>
      <c r="D367" s="364">
        <f>'TSU FGD'!$P$69</f>
        <v>5433052</v>
      </c>
      <c r="E367" s="462">
        <f>'TSU FGD'!$Q$69</f>
        <v>6000</v>
      </c>
      <c r="F367" s="365">
        <f>'TSU FGD'!$R$69</f>
        <v>174581772</v>
      </c>
      <c r="G367" s="604"/>
      <c r="H367" s="305"/>
      <c r="I367" s="305"/>
      <c r="J367" s="344"/>
      <c r="K367" s="344"/>
      <c r="L367" s="345"/>
    </row>
    <row r="368" spans="2:12" ht="14.25" hidden="1" outlineLevel="1" thickTop="1" thickBot="1">
      <c r="B368" s="395" t="str">
        <f>'TTU Sum'!$A$1</f>
        <v>Texas Tech University</v>
      </c>
      <c r="C368" s="363"/>
      <c r="D368" s="364">
        <f>'TTU FGD'!$P$69</f>
        <v>26314605</v>
      </c>
      <c r="E368" s="462">
        <f>'TTU FGD'!$Q$69</f>
        <v>0</v>
      </c>
      <c r="F368" s="365">
        <f>'TTU FGD'!$R$69</f>
        <v>578648886</v>
      </c>
      <c r="G368" s="604"/>
      <c r="H368" s="305"/>
      <c r="I368" s="305"/>
      <c r="J368" s="344"/>
      <c r="K368" s="344"/>
      <c r="L368" s="345"/>
    </row>
    <row r="369" spans="1:12" ht="14.25" hidden="1" outlineLevel="1" thickTop="1" thickBot="1">
      <c r="B369" s="395" t="str">
        <f>'TWU Sum'!$A$1</f>
        <v>Texas Woman's University</v>
      </c>
      <c r="C369" s="363"/>
      <c r="D369" s="364">
        <f>'TWU FGD'!$P$69</f>
        <v>917665</v>
      </c>
      <c r="E369" s="462">
        <f>'TWU FGD'!$Q$69</f>
        <v>0</v>
      </c>
      <c r="F369" s="365">
        <f>'TWU FGD'!$R$69</f>
        <v>163620953</v>
      </c>
      <c r="G369" s="604"/>
      <c r="H369" s="305"/>
      <c r="I369" s="305"/>
      <c r="J369" s="344"/>
      <c r="K369" s="344"/>
      <c r="L369" s="345"/>
    </row>
    <row r="370" spans="1:12" ht="14.25" hidden="1" outlineLevel="1" thickTop="1" thickBot="1">
      <c r="B370" s="395" t="str">
        <f>'TXST Sum'!$A$1</f>
        <v>Texas State University</v>
      </c>
      <c r="C370" s="363"/>
      <c r="D370" s="364">
        <f>'TXST FGD'!$P$69</f>
        <v>9758036</v>
      </c>
      <c r="E370" s="462">
        <f>'TXST FGD'!$Q$69</f>
        <v>0</v>
      </c>
      <c r="F370" s="365">
        <f>'TXST FGD'!$R$69</f>
        <v>376470328</v>
      </c>
      <c r="G370" s="604"/>
      <c r="H370" s="305"/>
      <c r="I370" s="305"/>
      <c r="J370" s="344"/>
      <c r="K370" s="344"/>
      <c r="L370" s="345"/>
    </row>
    <row r="371" spans="1:12" ht="14.25" hidden="1" outlineLevel="1" thickTop="1" thickBot="1">
      <c r="B371" s="395" t="str">
        <f>'TYL Sum'!$A$1</f>
        <v>The University of Texas at Tyler</v>
      </c>
      <c r="C371" s="363"/>
      <c r="D371" s="364">
        <f>'TYL FGD'!$P$69</f>
        <v>768896</v>
      </c>
      <c r="E371" s="462">
        <f>'TYL FGD'!$Q$69</f>
        <v>0</v>
      </c>
      <c r="F371" s="365">
        <f>'TYL FGD'!$R$69</f>
        <v>107241912</v>
      </c>
      <c r="G371" s="604"/>
      <c r="H371" s="305"/>
      <c r="I371" s="305"/>
      <c r="J371" s="344"/>
      <c r="K371" s="344"/>
      <c r="L371" s="345"/>
    </row>
    <row r="372" spans="1:12" ht="27" hidden="1" outlineLevel="1" thickTop="1" thickBot="1">
      <c r="B372" s="395" t="str">
        <f>'UH1 Sum'!$A$1</f>
        <v>University of Houston - Academic &amp; Health (A+H)</v>
      </c>
      <c r="C372" s="363"/>
      <c r="D372" s="364">
        <f>'UH1 FGD'!$P$69</f>
        <v>13333740</v>
      </c>
      <c r="E372" s="462">
        <f>'UH1 FGD'!$Q$69</f>
        <v>311761</v>
      </c>
      <c r="F372" s="365">
        <f>'UH1 FGD'!$R$69</f>
        <v>740123280</v>
      </c>
      <c r="G372" s="604"/>
      <c r="H372" s="305"/>
      <c r="I372" s="305"/>
      <c r="J372" s="344"/>
      <c r="K372" s="344"/>
      <c r="L372" s="345"/>
    </row>
    <row r="373" spans="1:12" ht="14.25" hidden="1" outlineLevel="1" thickTop="1" thickBot="1">
      <c r="B373" s="395" t="str">
        <f>'UHCL Sum'!$A$1</f>
        <v>University of Houston - Clear Lake</v>
      </c>
      <c r="C373" s="363"/>
      <c r="D373" s="364">
        <f>'UHCL FGD'!$P$69</f>
        <v>2979760</v>
      </c>
      <c r="E373" s="462">
        <f>'UHCL FGD'!$Q$69</f>
        <v>0</v>
      </c>
      <c r="F373" s="365">
        <f>'UHCL FGD'!$R$69</f>
        <v>104128384</v>
      </c>
      <c r="G373" s="604"/>
      <c r="H373" s="305"/>
      <c r="I373" s="305"/>
      <c r="J373" s="344"/>
      <c r="K373" s="344"/>
      <c r="L373" s="345"/>
    </row>
    <row r="374" spans="1:12" ht="14.25" hidden="1" outlineLevel="1" thickTop="1" thickBot="1">
      <c r="B374" s="395" t="str">
        <f>'UHD Sum'!$A$1</f>
        <v>University of Houston - Downtown</v>
      </c>
      <c r="C374" s="363"/>
      <c r="D374" s="364">
        <f>'UHD FGD'!$P$69</f>
        <v>2498851</v>
      </c>
      <c r="E374" s="462">
        <f>'UHD FGD'!$Q$69</f>
        <v>0</v>
      </c>
      <c r="F374" s="365">
        <f>'UHD FGD'!$R$69</f>
        <v>121599006</v>
      </c>
      <c r="G374" s="604"/>
      <c r="H374" s="305"/>
      <c r="I374" s="305"/>
      <c r="J374" s="344"/>
      <c r="K374" s="344"/>
      <c r="L374" s="345"/>
    </row>
    <row r="375" spans="1:12" ht="14.25" hidden="1" outlineLevel="1" thickTop="1" thickBot="1">
      <c r="B375" s="395" t="str">
        <f>'UHV Sum'!$A$1</f>
        <v>University of Houston - Victoria</v>
      </c>
      <c r="C375" s="363"/>
      <c r="D375" s="364">
        <f>'UHV FGD'!$P$69</f>
        <v>567046</v>
      </c>
      <c r="E375" s="462">
        <f>'UHV FGD'!$Q$69</f>
        <v>1213171</v>
      </c>
      <c r="F375" s="365">
        <f>'UHV FGD'!$R$69</f>
        <v>44883969</v>
      </c>
      <c r="G375" s="604"/>
      <c r="H375" s="305"/>
      <c r="I375" s="305"/>
      <c r="J375" s="344"/>
      <c r="K375" s="344"/>
      <c r="L375" s="345"/>
    </row>
    <row r="376" spans="1:12" ht="14.25" hidden="1" outlineLevel="1" thickTop="1" thickBot="1">
      <c r="B376" s="395" t="str">
        <f>'UNT Sum'!$A$1</f>
        <v>University of North Texas</v>
      </c>
      <c r="C376" s="363"/>
      <c r="D376" s="364">
        <f>'UNT FGD'!$P$69</f>
        <v>40988890</v>
      </c>
      <c r="E376" s="462">
        <f>'UNT FGD'!$Q$69</f>
        <v>24273287</v>
      </c>
      <c r="F376" s="365">
        <f>'UNT FGD'!$R$69</f>
        <v>424405565</v>
      </c>
      <c r="G376" s="604"/>
      <c r="H376" s="305"/>
      <c r="I376" s="305"/>
      <c r="J376" s="344"/>
      <c r="K376" s="344"/>
      <c r="L376" s="345"/>
    </row>
    <row r="377" spans="1:12" ht="14.25" hidden="1" outlineLevel="1" thickTop="1" thickBot="1">
      <c r="B377" s="395" t="str">
        <f>'UNTD Sum'!$A$1</f>
        <v>University of North Texas at Dallas</v>
      </c>
      <c r="C377" s="363"/>
      <c r="D377" s="364">
        <f>'UNTD FGD'!$P$69</f>
        <v>1963261</v>
      </c>
      <c r="E377" s="462">
        <f>'UNTD FGD'!$Q$69</f>
        <v>0</v>
      </c>
      <c r="F377" s="365">
        <f>'UNTD FGD'!$R$69</f>
        <v>39410107</v>
      </c>
      <c r="G377" s="604"/>
      <c r="H377" s="305"/>
      <c r="I377" s="305"/>
      <c r="J377" s="344"/>
      <c r="K377" s="344"/>
      <c r="L377" s="345"/>
    </row>
    <row r="378" spans="1:12" ht="14.25" hidden="1" outlineLevel="1" thickTop="1" thickBot="1">
      <c r="B378" s="395" t="str">
        <f>'WTAMU Sum'!$A$1</f>
        <v>West Texas A&amp;M University</v>
      </c>
      <c r="C378" s="363"/>
      <c r="D378" s="364">
        <f>'WTAMU FGD'!$P$69</f>
        <v>2476174</v>
      </c>
      <c r="E378" s="462">
        <f>'WTAMU FGD'!$Q$69</f>
        <v>0</v>
      </c>
      <c r="F378" s="365">
        <f>'WTAMU FGD'!$R$69</f>
        <v>93724779</v>
      </c>
      <c r="G378" s="604"/>
      <c r="H378" s="305"/>
      <c r="I378" s="305"/>
      <c r="J378" s="344"/>
      <c r="K378" s="344"/>
      <c r="L378" s="345"/>
    </row>
    <row r="379" spans="1:12" ht="14.25" collapsed="1" thickTop="1" thickBot="1">
      <c r="A379">
        <f>COUNTA(B343:B378)</f>
        <v>36</v>
      </c>
      <c r="B379" s="161"/>
      <c r="C379" s="315"/>
      <c r="D379" s="316">
        <f>SUM(D343:D378)</f>
        <v>349795226</v>
      </c>
      <c r="E379" s="316">
        <f>SUM(E343:E378)</f>
        <v>26350973</v>
      </c>
      <c r="F379" s="317">
        <f>SUM(F343:F378)</f>
        <v>9669233550</v>
      </c>
      <c r="G379" s="604"/>
      <c r="H379" s="305"/>
      <c r="I379" s="305"/>
      <c r="J379" s="305"/>
      <c r="K379" s="277"/>
      <c r="L379" s="277"/>
    </row>
    <row r="380" spans="1:12" ht="13.5" thickTop="1"/>
    <row r="381" spans="1:12">
      <c r="A381" s="264" t="s">
        <v>1397</v>
      </c>
    </row>
    <row r="383" spans="1:12">
      <c r="C383" s="263" t="s">
        <v>1057</v>
      </c>
      <c r="D383" s="263" t="s">
        <v>1058</v>
      </c>
      <c r="E383" s="263" t="s">
        <v>1057</v>
      </c>
      <c r="F383" s="263" t="s">
        <v>1056</v>
      </c>
      <c r="H383" s="263" t="s">
        <v>249</v>
      </c>
      <c r="I383" s="263" t="s">
        <v>1059</v>
      </c>
      <c r="J383" s="263" t="s">
        <v>1060</v>
      </c>
      <c r="K383" s="263" t="s">
        <v>1061</v>
      </c>
      <c r="L383" s="263" t="s">
        <v>1062</v>
      </c>
    </row>
    <row r="408" spans="2:12" ht="13.5" thickBot="1">
      <c r="B408" s="160" t="s">
        <v>14</v>
      </c>
      <c r="C408" s="282"/>
      <c r="D408" s="283"/>
      <c r="E408" s="438"/>
      <c r="F408" s="284"/>
      <c r="G408" s="439"/>
      <c r="H408" s="286"/>
      <c r="I408" s="287"/>
      <c r="J408" s="288"/>
      <c r="K408" s="289"/>
      <c r="L408" s="290"/>
    </row>
    <row r="409" spans="2:12" ht="14.25" thickTop="1" thickBot="1">
      <c r="B409" s="160" t="s">
        <v>15</v>
      </c>
      <c r="C409" s="440"/>
      <c r="D409" s="294"/>
      <c r="E409" s="441"/>
      <c r="F409" s="295"/>
      <c r="G409" s="442"/>
      <c r="H409" s="296"/>
      <c r="I409" s="297"/>
      <c r="J409" s="298"/>
      <c r="K409" s="299"/>
      <c r="L409" s="300"/>
    </row>
    <row r="410" spans="2:12" ht="13.5" thickTop="1">
      <c r="B410" s="160" t="s">
        <v>16</v>
      </c>
      <c r="C410" s="440"/>
      <c r="D410" s="294"/>
      <c r="E410" s="441"/>
      <c r="F410" s="302"/>
      <c r="G410" s="442"/>
      <c r="H410" s="296"/>
      <c r="I410" s="297"/>
      <c r="J410" s="298"/>
      <c r="K410" s="299"/>
      <c r="L410" s="303"/>
    </row>
    <row r="411" spans="2:12">
      <c r="B411" s="160" t="s">
        <v>17</v>
      </c>
      <c r="C411" s="440"/>
      <c r="D411" s="294"/>
      <c r="E411" s="441"/>
      <c r="F411" s="295"/>
      <c r="G411" s="442"/>
      <c r="H411" s="296"/>
      <c r="I411" s="297"/>
      <c r="J411" s="298"/>
      <c r="K411" s="299"/>
      <c r="L411" s="303"/>
    </row>
    <row r="412" spans="2:12">
      <c r="B412" s="160" t="s">
        <v>18</v>
      </c>
      <c r="C412" s="440"/>
      <c r="D412" s="294"/>
      <c r="E412" s="443"/>
      <c r="F412" s="295"/>
      <c r="G412" s="442"/>
      <c r="H412" s="296"/>
      <c r="I412" s="297"/>
      <c r="J412" s="298"/>
      <c r="K412" s="299"/>
      <c r="L412" s="303"/>
    </row>
    <row r="413" spans="2:12">
      <c r="B413" s="160" t="s">
        <v>19</v>
      </c>
      <c r="C413" s="440"/>
      <c r="D413" s="294"/>
      <c r="E413" s="441"/>
      <c r="F413" s="295"/>
      <c r="G413" s="442"/>
      <c r="H413" s="296"/>
      <c r="I413" s="297"/>
      <c r="J413" s="298"/>
      <c r="K413" s="299"/>
      <c r="L413" s="303"/>
    </row>
    <row r="414" spans="2:12">
      <c r="B414" s="160" t="s">
        <v>20</v>
      </c>
      <c r="C414" s="440"/>
      <c r="D414" s="294"/>
      <c r="E414" s="441"/>
      <c r="F414" s="304"/>
      <c r="G414" s="442"/>
      <c r="H414" s="296"/>
      <c r="I414" s="297"/>
      <c r="J414" s="298"/>
      <c r="K414" s="299"/>
      <c r="L414" s="303"/>
    </row>
    <row r="415" spans="2:12" ht="13.5" thickBot="1">
      <c r="B415" s="160" t="s">
        <v>21</v>
      </c>
      <c r="C415" s="440"/>
      <c r="D415" s="294"/>
      <c r="E415" s="441"/>
      <c r="F415" s="304"/>
      <c r="G415" s="442"/>
      <c r="H415" s="306"/>
      <c r="I415" s="307"/>
      <c r="J415" s="298"/>
      <c r="K415" s="308"/>
      <c r="L415" s="303"/>
    </row>
    <row r="416" spans="2:12" ht="14.25" thickTop="1" thickBot="1">
      <c r="B416" s="160" t="s">
        <v>22</v>
      </c>
      <c r="C416" s="309"/>
      <c r="D416" s="310"/>
      <c r="E416" s="444"/>
      <c r="F416" s="311"/>
      <c r="G416" s="442"/>
      <c r="H416" s="305"/>
      <c r="I416" s="305"/>
      <c r="J416" s="312"/>
      <c r="K416" s="313"/>
      <c r="L416" s="314"/>
    </row>
    <row r="417" spans="2:12" ht="14.25" thickTop="1" thickBot="1">
      <c r="B417" s="161"/>
      <c r="C417" s="315"/>
      <c r="D417" s="316"/>
      <c r="E417" s="316"/>
      <c r="F417" s="317"/>
      <c r="G417" s="316"/>
      <c r="H417" s="305"/>
      <c r="I417" s="305"/>
      <c r="J417" s="305"/>
      <c r="K417" s="277"/>
      <c r="L417" s="277"/>
    </row>
    <row r="418" spans="2:12" ht="13.5" thickTop="1"/>
  </sheetData>
  <dataConsolidate link="1">
    <dataRefs count="37">
      <dataRef ref="N44:W53" sheet="ARL FGD"/>
      <dataRef ref="N44:W53" sheet="ASU FGD"/>
      <dataRef ref="N44:W53" sheet="AUS FGD"/>
      <dataRef ref="N44:W53" sheet="AUS1 FGD"/>
      <dataRef ref="N44:W53" sheet="DAL FGD"/>
      <dataRef ref="N44:W53" sheet="E-P FGD"/>
      <dataRef ref="N44:W53" sheet="LU FGD"/>
      <dataRef ref="N44:W53" sheet="MidWST FGD"/>
      <dataRef ref="N44:W53" sheet="P-B FGD"/>
      <dataRef ref="N44:W53" sheet="PVAMU FGD"/>
      <dataRef ref="N44:W53" sheet="RGV1 FGD"/>
      <dataRef ref="N44:W53" sheet="S-A FGD"/>
      <dataRef ref="N44:W53" sheet="SFA FGD"/>
      <dataRef ref="N44:W53" sheet="shsu1 FGD"/>
      <dataRef ref="N44:W53" sheet="SRSU FGD"/>
      <dataRef ref="N44:W53" sheet="TAMIU FGD"/>
      <dataRef ref="N44:W53" sheet="TAMU FGD"/>
      <dataRef ref="N44:W53" sheet="TAMUC FGD"/>
      <dataRef ref="N44:W53" sheet="TAMUCC FGD"/>
      <dataRef ref="N44:W53" sheet="TAMUCT FGD"/>
      <dataRef ref="N44:W53" sheet="TAMUG FGD"/>
      <dataRef ref="N44:W53" sheet="TAMUK FGD"/>
      <dataRef ref="N44:W53" sheet="TAMUSA FGD"/>
      <dataRef ref="N44:W53" sheet="TAMUT FGD"/>
      <dataRef ref="N44:W53" sheet="TARLST FGD"/>
      <dataRef ref="N44:W53" sheet="TSU FGD"/>
      <dataRef ref="N44:W53" sheet="TTU FGD"/>
      <dataRef ref="N44:W53" sheet="TWU FGD"/>
      <dataRef ref="N44:W53" sheet="TXST FGD"/>
      <dataRef ref="N44:W53" sheet="TYL FGD"/>
      <dataRef ref="N44:W53" sheet="UH1 FGD"/>
      <dataRef ref="N44:W53" sheet="UHCL FGD"/>
      <dataRef ref="N44:W53" sheet="UHD FGD"/>
      <dataRef ref="N44:W53" sheet="UHV FGD"/>
      <dataRef ref="N44:W53" sheet="UNT FGD"/>
      <dataRef ref="N44:W53" sheet="UNTD FGD"/>
      <dataRef ref="N44:W53" sheet="WTAMU FGD"/>
    </dataRefs>
  </dataConsolidate>
  <mergeCells count="11">
    <mergeCell ref="C5:F5"/>
    <mergeCell ref="H5:L5"/>
    <mergeCell ref="C6:C9"/>
    <mergeCell ref="D6:D9"/>
    <mergeCell ref="F6:F9"/>
    <mergeCell ref="H6:H9"/>
    <mergeCell ref="I6:I9"/>
    <mergeCell ref="J6:J9"/>
    <mergeCell ref="K6:K9"/>
    <mergeCell ref="L6:L9"/>
    <mergeCell ref="E6:E9"/>
  </mergeCells>
  <hyperlinks>
    <hyperlink ref="C1" location="Index!A1" display="Return to Index" xr:uid="{00000000-0004-0000-0400-000000000000}"/>
  </hyperlinks>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35">
    <tabColor indexed="47"/>
    <pageSetUpPr fitToPage="1"/>
  </sheetPr>
  <dimension ref="A1:E165"/>
  <sheetViews>
    <sheetView showGridLines="0" zoomScale="65" zoomScaleNormal="65" zoomScaleSheetLayoutView="65" workbookViewId="0">
      <selection activeCell="B113" sqref="B113"/>
    </sheetView>
  </sheetViews>
  <sheetFormatPr defaultColWidth="9.140625" defaultRowHeight="12.75" customHeight="1"/>
  <cols>
    <col min="1" max="1" width="158.7109375" style="53" customWidth="1"/>
    <col min="2" max="2" width="20.85546875" style="53" customWidth="1"/>
    <col min="3" max="3" width="54.7109375" style="53" customWidth="1"/>
    <col min="4" max="4" width="20.7109375" style="53" customWidth="1"/>
    <col min="5" max="5" width="9.140625" style="679"/>
    <col min="6" max="16384" width="9.140625" style="53"/>
  </cols>
  <sheetData>
    <row r="1" spans="1:5" ht="28.5" thickBot="1">
      <c r="A1" s="159" t="s">
        <v>101</v>
      </c>
      <c r="B1" s="835" t="s">
        <v>1200</v>
      </c>
      <c r="C1" s="53" t="s">
        <v>1329</v>
      </c>
    </row>
    <row r="2" spans="1:5" ht="27.75">
      <c r="A2" s="54" t="str">
        <f>'Smmy Chrts'!$A$2</f>
        <v>For the Year Ended August 31, 2021</v>
      </c>
      <c r="C2" s="55" t="s">
        <v>63</v>
      </c>
    </row>
    <row r="3" spans="1:5" ht="27.75">
      <c r="A3" s="54" t="str">
        <f>'Smmy Chrts'!$A$3</f>
        <v>Source: FY 2021 Annual Financial Report</v>
      </c>
      <c r="C3" s="53" t="s">
        <v>64</v>
      </c>
    </row>
    <row r="4" spans="1:5" ht="12.75" customHeight="1">
      <c r="C4" s="53" t="s">
        <v>267</v>
      </c>
    </row>
    <row r="5" spans="1:5" ht="12.75" customHeight="1">
      <c r="C5" s="53" t="s">
        <v>268</v>
      </c>
    </row>
    <row r="7" spans="1:5" ht="12.75" customHeight="1">
      <c r="C7" s="1687" t="s">
        <v>25</v>
      </c>
      <c r="D7" s="1687"/>
    </row>
    <row r="8" spans="1:5" ht="12.75" customHeight="1">
      <c r="C8" s="57"/>
      <c r="D8" s="58"/>
    </row>
    <row r="9" spans="1:5" ht="12.75" customHeight="1">
      <c r="C9" s="59" t="str">
        <f>'S-A Sum'!A9</f>
        <v>State of Texas</v>
      </c>
      <c r="D9" s="60">
        <f>'S-A Sum'!B15</f>
        <v>162176413</v>
      </c>
      <c r="E9" s="680">
        <f>ROUND(D9/$D$14,3)</f>
        <v>0.20899999999999999</v>
      </c>
    </row>
    <row r="10" spans="1:5" ht="12.75" customHeight="1">
      <c r="C10" s="59" t="str">
        <f>'S-A Sum'!A17</f>
        <v>Student &amp; Parent</v>
      </c>
      <c r="D10" s="60">
        <f>'S-A Sum'!B20</f>
        <v>251699436</v>
      </c>
      <c r="E10" s="680">
        <f t="shared" ref="E10:E12" si="0">ROUND(D10/$D$14,3)</f>
        <v>0.32400000000000001</v>
      </c>
    </row>
    <row r="11" spans="1:5" ht="12.75" customHeight="1">
      <c r="C11" s="59" t="str">
        <f>'S-A Sum'!A22</f>
        <v>Federal Government</v>
      </c>
      <c r="D11" s="60">
        <f>'S-A Sum'!B23</f>
        <v>200914830</v>
      </c>
      <c r="E11" s="680">
        <f t="shared" si="0"/>
        <v>0.25900000000000001</v>
      </c>
    </row>
    <row r="12" spans="1:5" ht="12.75" customHeight="1">
      <c r="C12" s="59" t="str">
        <f>'S-A Sum'!A25</f>
        <v>Institutional Resources</v>
      </c>
      <c r="D12" s="60">
        <f>'S-A Sum'!B32</f>
        <v>162089290</v>
      </c>
      <c r="E12" s="680">
        <f t="shared" si="0"/>
        <v>0.20899999999999999</v>
      </c>
    </row>
    <row r="13" spans="1:5" ht="12.75" customHeight="1">
      <c r="C13" s="57"/>
      <c r="D13" s="58"/>
      <c r="E13" s="680"/>
    </row>
    <row r="14" spans="1:5" ht="12.75" customHeight="1">
      <c r="C14" s="61" t="s">
        <v>68</v>
      </c>
      <c r="D14" s="62">
        <f>SUM(D9:D13)</f>
        <v>776879969</v>
      </c>
      <c r="E14" s="680">
        <f>SUM(E9:E13)</f>
        <v>1.0010000000000001</v>
      </c>
    </row>
    <row r="20" spans="1:3" ht="12.75" customHeight="1">
      <c r="C20" s="53" t="s">
        <v>88</v>
      </c>
    </row>
    <row r="21" spans="1:3" ht="12.75" customHeight="1">
      <c r="C21" s="53" t="s">
        <v>89</v>
      </c>
    </row>
    <row r="22" spans="1:3" ht="12.75" customHeight="1">
      <c r="C22" s="53" t="s">
        <v>90</v>
      </c>
    </row>
    <row r="23" spans="1:3" ht="12.75" customHeight="1">
      <c r="C23" s="53" t="s">
        <v>91</v>
      </c>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86" t="str">
        <f>C14&amp;" "&amp;TEXT(D14,"$#,###")</f>
        <v>Total Operating Sources $776,879,969</v>
      </c>
    </row>
    <row r="48" spans="1:1" ht="12.75" customHeight="1">
      <c r="A48" s="1686"/>
    </row>
    <row r="49" spans="1:5" ht="12.75" customHeight="1">
      <c r="A49" s="56"/>
    </row>
    <row r="52" spans="1:5" ht="12.75" customHeight="1">
      <c r="C52" s="63" t="s">
        <v>25</v>
      </c>
      <c r="D52" s="58"/>
    </row>
    <row r="54" spans="1:5" ht="12.75" customHeight="1">
      <c r="C54" s="59" t="s">
        <v>1</v>
      </c>
      <c r="D54" s="60">
        <f>'S-A Sum'!B10</f>
        <v>136194839</v>
      </c>
      <c r="E54" s="680">
        <f>ROUND(D54/$D$67,3)</f>
        <v>0.17499999999999999</v>
      </c>
    </row>
    <row r="55" spans="1:5" ht="12.75" customHeight="1">
      <c r="C55" s="59" t="s">
        <v>221</v>
      </c>
      <c r="D55" s="60">
        <f>'S-A Sum'!B11</f>
        <v>25981574</v>
      </c>
      <c r="E55" s="680">
        <f t="shared" ref="E55:E66" si="1">ROUND(D55/$D$67,3)</f>
        <v>3.3000000000000002E-2</v>
      </c>
    </row>
    <row r="56" spans="1:5" ht="12.75" customHeight="1">
      <c r="C56" s="59"/>
      <c r="D56" s="60"/>
      <c r="E56" s="680"/>
    </row>
    <row r="57" spans="1:5" ht="12.75" customHeight="1">
      <c r="C57" s="1069" t="str">
        <f>'S-A Sum'!A13</f>
        <v>Higher Education Fund</v>
      </c>
      <c r="D57" s="60">
        <f>'S-A Sum'!B13</f>
        <v>0</v>
      </c>
      <c r="E57" s="680">
        <f t="shared" si="1"/>
        <v>0</v>
      </c>
    </row>
    <row r="58" spans="1:5" ht="12.75" customHeight="1">
      <c r="C58" s="1069" t="s">
        <v>41</v>
      </c>
      <c r="D58" s="60">
        <f>'S-A Sum'!B14</f>
        <v>0</v>
      </c>
      <c r="E58" s="680">
        <f t="shared" si="1"/>
        <v>0</v>
      </c>
    </row>
    <row r="59" spans="1:5" ht="12.75" customHeight="1">
      <c r="C59" s="59" t="s">
        <v>87</v>
      </c>
      <c r="D59" s="60">
        <f>'S-A Sum'!B20</f>
        <v>251699436</v>
      </c>
      <c r="E59" s="680">
        <f t="shared" si="1"/>
        <v>0.32400000000000001</v>
      </c>
    </row>
    <row r="60" spans="1:5" ht="12.75" customHeight="1">
      <c r="C60" s="64" t="s">
        <v>74</v>
      </c>
      <c r="D60" s="60">
        <f>'S-A Sum'!B23</f>
        <v>200914830</v>
      </c>
      <c r="E60" s="680">
        <f t="shared" si="1"/>
        <v>0.25900000000000001</v>
      </c>
    </row>
    <row r="61" spans="1:5" ht="12.75" customHeight="1">
      <c r="C61" s="59" t="s">
        <v>75</v>
      </c>
      <c r="D61" s="60">
        <f>'S-A Sum'!B26</f>
        <v>22926694</v>
      </c>
      <c r="E61" s="680">
        <f t="shared" si="1"/>
        <v>0.03</v>
      </c>
    </row>
    <row r="62" spans="1:5" ht="12.75" customHeight="1">
      <c r="C62" s="59" t="s">
        <v>27</v>
      </c>
      <c r="D62" s="60">
        <f>'S-A Sum'!B27</f>
        <v>3165406</v>
      </c>
      <c r="E62" s="680">
        <f t="shared" si="1"/>
        <v>4.0000000000000001E-3</v>
      </c>
    </row>
    <row r="63" spans="1:5" ht="12.75" customHeight="1">
      <c r="C63" s="59" t="s">
        <v>76</v>
      </c>
      <c r="D63" s="60">
        <f>'S-A Sum'!B28</f>
        <v>100729411</v>
      </c>
      <c r="E63" s="680">
        <f t="shared" si="1"/>
        <v>0.13</v>
      </c>
    </row>
    <row r="64" spans="1:5" ht="12.75" customHeight="1">
      <c r="C64" s="59" t="s">
        <v>77</v>
      </c>
      <c r="D64" s="60">
        <f>'S-A Sum'!B29</f>
        <v>7708378</v>
      </c>
      <c r="E64" s="680">
        <f t="shared" si="1"/>
        <v>0.01</v>
      </c>
    </row>
    <row r="65" spans="1:5" ht="12.75" customHeight="1">
      <c r="C65" s="59" t="s">
        <v>220</v>
      </c>
      <c r="D65" s="60">
        <f>'S-A Sum'!B30</f>
        <v>24712849</v>
      </c>
      <c r="E65" s="680">
        <f t="shared" si="1"/>
        <v>3.2000000000000001E-2</v>
      </c>
    </row>
    <row r="66" spans="1:5" ht="12.75" customHeight="1">
      <c r="C66" s="64" t="s">
        <v>52</v>
      </c>
      <c r="D66" s="60">
        <f>'S-A Sum'!B31</f>
        <v>2846552</v>
      </c>
      <c r="E66" s="680">
        <f t="shared" si="1"/>
        <v>4.0000000000000001E-3</v>
      </c>
    </row>
    <row r="67" spans="1:5" ht="12.75" customHeight="1">
      <c r="C67" s="61" t="s">
        <v>68</v>
      </c>
      <c r="D67" s="62">
        <f>SUM(D54:D66)</f>
        <v>776879969</v>
      </c>
      <c r="E67" s="681">
        <f>SUM(E54:E66)</f>
        <v>1.0010000000000001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86" t="str">
        <f>C67&amp;" "&amp;TEXT(D67,"$#,###")</f>
        <v>Total Operating Sources $776,879,969</v>
      </c>
    </row>
    <row r="93" spans="1:5" ht="12.75" customHeight="1">
      <c r="A93" s="1686"/>
    </row>
    <row r="94" spans="1:5" ht="12.75" customHeight="1">
      <c r="A94" s="65"/>
    </row>
    <row r="95" spans="1:5" s="68" customFormat="1" ht="12.75" customHeight="1">
      <c r="A95" s="66"/>
      <c r="E95" s="682"/>
    </row>
    <row r="96" spans="1:5" ht="12.75" customHeight="1">
      <c r="A96" s="65"/>
    </row>
    <row r="97" spans="1:5" ht="12.75" customHeight="1">
      <c r="A97" s="65"/>
    </row>
    <row r="98" spans="1:5" ht="12.75" customHeight="1">
      <c r="A98" s="65"/>
    </row>
    <row r="100" spans="1:5" ht="12.75" customHeight="1">
      <c r="C100" s="1687" t="s">
        <v>13</v>
      </c>
      <c r="D100" s="1687"/>
    </row>
    <row r="101" spans="1:5" ht="12.75" customHeight="1">
      <c r="C101" s="1687"/>
      <c r="D101" s="1687"/>
    </row>
    <row r="102" spans="1:5" ht="12.75" customHeight="1">
      <c r="C102" s="69" t="s">
        <v>14</v>
      </c>
      <c r="D102" s="60">
        <f>'S-A Sum'!B36</f>
        <v>115902354</v>
      </c>
      <c r="E102" s="680">
        <f>ROUND(D102/$D$114,3)</f>
        <v>0.19600000000000001</v>
      </c>
    </row>
    <row r="103" spans="1:5" ht="12.75" customHeight="1">
      <c r="C103" s="69" t="s">
        <v>15</v>
      </c>
      <c r="D103" s="60">
        <f>'S-A Sum'!B37</f>
        <v>108189847</v>
      </c>
      <c r="E103" s="680">
        <f t="shared" ref="E103:E112" si="2">ROUND(D103/$D$114,3)</f>
        <v>0.183</v>
      </c>
    </row>
    <row r="104" spans="1:5" ht="12.75" customHeight="1">
      <c r="C104" s="69" t="s">
        <v>16</v>
      </c>
      <c r="D104" s="60">
        <f>'S-A Sum'!B38</f>
        <v>15662717</v>
      </c>
      <c r="E104" s="680">
        <f t="shared" si="2"/>
        <v>2.5999999999999999E-2</v>
      </c>
    </row>
    <row r="105" spans="1:5" ht="12.75" customHeight="1">
      <c r="C105" s="69" t="s">
        <v>17</v>
      </c>
      <c r="D105" s="60">
        <f>'S-A Sum'!B39</f>
        <v>71708636</v>
      </c>
      <c r="E105" s="680">
        <f t="shared" si="2"/>
        <v>0.121</v>
      </c>
    </row>
    <row r="106" spans="1:5" ht="12.75" customHeight="1">
      <c r="C106" s="69" t="s">
        <v>18</v>
      </c>
      <c r="D106" s="60">
        <f>'S-A Sum'!B40</f>
        <v>30539304</v>
      </c>
      <c r="E106" s="680">
        <f t="shared" si="2"/>
        <v>5.1999999999999998E-2</v>
      </c>
    </row>
    <row r="107" spans="1:5" ht="12.75" customHeight="1">
      <c r="C107" s="69" t="s">
        <v>19</v>
      </c>
      <c r="D107" s="60">
        <f>'S-A Sum'!B41</f>
        <v>42934639</v>
      </c>
      <c r="E107" s="680">
        <f t="shared" si="2"/>
        <v>7.2999999999999995E-2</v>
      </c>
    </row>
    <row r="108" spans="1:5" ht="12.75" customHeight="1">
      <c r="C108" s="69" t="s">
        <v>78</v>
      </c>
      <c r="D108" s="60">
        <f>'S-A Sum'!B42</f>
        <v>40644000</v>
      </c>
      <c r="E108" s="680">
        <f t="shared" si="2"/>
        <v>6.9000000000000006E-2</v>
      </c>
    </row>
    <row r="109" spans="1:5" ht="12.75" customHeight="1">
      <c r="C109" s="69" t="s">
        <v>79</v>
      </c>
      <c r="D109" s="60">
        <f>'S-A Sum'!B43</f>
        <v>86093922</v>
      </c>
      <c r="E109" s="680">
        <f t="shared" si="2"/>
        <v>0.14599999999999999</v>
      </c>
    </row>
    <row r="110" spans="1:5" ht="12.75" customHeight="1">
      <c r="C110" s="69" t="s">
        <v>22</v>
      </c>
      <c r="D110" s="60">
        <f>'S-A Sum'!B44</f>
        <v>41166889</v>
      </c>
      <c r="E110" s="680">
        <f t="shared" si="2"/>
        <v>7.0000000000000007E-2</v>
      </c>
    </row>
    <row r="111" spans="1:5" ht="12.75" customHeight="1">
      <c r="C111" s="64" t="s">
        <v>29</v>
      </c>
      <c r="D111" s="60">
        <f>'S-A Sum'!B45</f>
        <v>38413984</v>
      </c>
      <c r="E111" s="680">
        <f t="shared" si="2"/>
        <v>6.5000000000000002E-2</v>
      </c>
    </row>
    <row r="112" spans="1:5" ht="12.75" customHeight="1">
      <c r="C112" s="64" t="s">
        <v>53</v>
      </c>
      <c r="D112" s="60">
        <f>'S-A Sum'!B46</f>
        <v>-77552</v>
      </c>
      <c r="E112" s="680">
        <f t="shared" si="2"/>
        <v>0</v>
      </c>
    </row>
    <row r="113" spans="3:5" ht="12.75" customHeight="1">
      <c r="C113" s="57"/>
      <c r="D113" s="57"/>
    </row>
    <row r="114" spans="3:5" ht="12.75" customHeight="1">
      <c r="C114" s="70" t="s">
        <v>69</v>
      </c>
      <c r="D114" s="62">
        <f>SUM(D102:D113)</f>
        <v>591178740</v>
      </c>
      <c r="E114" s="681">
        <f>SUM(E102:E113)</f>
        <v>1.0009999999999999</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86" t="str">
        <f>C114&amp;" "&amp;TEXT(D114,"$#,###")</f>
        <v>Total Operating Uses $591,178,740</v>
      </c>
    </row>
    <row r="137" spans="1:1" ht="12.75" customHeight="1">
      <c r="A137" s="1686"/>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31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ransitionEvaluation="1" transitionEntry="1" codeName="Sheet36">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'S-A Chrts'!$A$1</f>
        <v>The University of Texas at San Antonio</v>
      </c>
      <c r="B1" s="74"/>
      <c r="C1" s="1"/>
      <c r="D1" s="1704" t="s">
        <v>1200</v>
      </c>
      <c r="E1" s="1705"/>
      <c r="F1" s="1757" t="s">
        <v>1196</v>
      </c>
      <c r="G1" s="1706"/>
      <c r="H1" s="1706"/>
      <c r="I1" s="1706"/>
      <c r="J1" s="1707" t="s">
        <v>1197</v>
      </c>
      <c r="K1" s="1695"/>
      <c r="L1" s="1695"/>
      <c r="M1" s="1695"/>
      <c r="N1" s="1695"/>
      <c r="O1" s="1696"/>
    </row>
    <row r="2" spans="1:15" ht="15.75">
      <c r="A2" s="76" t="str">
        <f>'Smmy Chrts'!$A$2</f>
        <v>For the Year Ended August 31, 2021</v>
      </c>
      <c r="B2" s="74"/>
      <c r="C2" s="1"/>
      <c r="D2" s="37"/>
      <c r="E2" s="37"/>
      <c r="F2" s="37"/>
      <c r="J2" s="37"/>
      <c r="K2" s="37"/>
      <c r="L2" s="37"/>
      <c r="M2" s="37"/>
    </row>
    <row r="3" spans="1:15" ht="15.75">
      <c r="A3" s="76" t="str">
        <f>'Smmy Chrts'!$A$3</f>
        <v>Source: FY 2021 Annual Financial Report</v>
      </c>
      <c r="B3" s="74"/>
      <c r="C3" s="1"/>
    </row>
    <row r="4" spans="1:15" ht="13.5" customHeight="1">
      <c r="B4" s="77"/>
      <c r="C4" s="4"/>
      <c r="D4" s="1711" t="s">
        <v>1142</v>
      </c>
      <c r="E4" s="1711" t="s">
        <v>1143</v>
      </c>
      <c r="F4" s="266"/>
    </row>
    <row r="5" spans="1:15" ht="18">
      <c r="A5" s="39" t="str">
        <f>'Smmy Chrts'!$C$35</f>
        <v>Summary Worksheet FY 2021</v>
      </c>
      <c r="B5" s="40" t="s">
        <v>86</v>
      </c>
      <c r="C5" s="40" t="s">
        <v>129</v>
      </c>
      <c r="D5" s="1712"/>
      <c r="E5" s="1712"/>
      <c r="F5" s="266"/>
      <c r="G5" s="799" t="s">
        <v>1198</v>
      </c>
      <c r="I5" s="822" t="s">
        <v>2157</v>
      </c>
      <c r="J5" s="792" t="s">
        <v>1144</v>
      </c>
    </row>
    <row r="6" spans="1:15" ht="13.5" customHeight="1">
      <c r="A6" s="78" t="s">
        <v>266</v>
      </c>
      <c r="B6" s="41"/>
      <c r="C6" s="42">
        <f>VLOOKUP($A$1,FTSELU,12,FALSE)</f>
        <v>28396.57</v>
      </c>
      <c r="J6" s="712"/>
    </row>
    <row r="7" spans="1:15">
      <c r="I7" s="824" t="s">
        <v>1162</v>
      </c>
      <c r="J7" s="827"/>
    </row>
    <row r="8" spans="1:15">
      <c r="A8" s="81" t="s">
        <v>71</v>
      </c>
      <c r="B8" s="81"/>
      <c r="C8" s="24"/>
      <c r="I8" s="896">
        <f>VLOOKUP(A1,FTSELU,14,FALSE)</f>
        <v>2230.35</v>
      </c>
      <c r="J8" s="712"/>
    </row>
    <row r="9" spans="1:15" ht="12.75" customHeight="1" thickBot="1">
      <c r="A9" s="78" t="s">
        <v>0</v>
      </c>
      <c r="B9" s="82"/>
      <c r="C9" s="7"/>
      <c r="J9" s="712"/>
    </row>
    <row r="10" spans="1:15" ht="12.75" customHeight="1" thickTop="1">
      <c r="A10" s="75" t="s">
        <v>1</v>
      </c>
      <c r="B10" s="83">
        <f>'S-A FGD'!M10</f>
        <v>136194839</v>
      </c>
      <c r="C10" s="83">
        <f>ROUND(B10/$C$6,0)</f>
        <v>4796</v>
      </c>
      <c r="D10" s="512">
        <f>'S-A FGD'!F10</f>
        <v>0</v>
      </c>
      <c r="E10" s="512"/>
      <c r="F10" s="84">
        <f>B10-(SUM(D10:E10))</f>
        <v>136194839</v>
      </c>
      <c r="G10" s="1143" t="s">
        <v>1</v>
      </c>
      <c r="H10" s="1144"/>
      <c r="I10" s="825" t="s">
        <v>1161</v>
      </c>
      <c r="J10" s="713">
        <f>ROUND(F10/$C$6,0)</f>
        <v>4796</v>
      </c>
    </row>
    <row r="11" spans="1:15" ht="12.75" customHeight="1" thickBot="1">
      <c r="A11" s="75" t="s">
        <v>2</v>
      </c>
      <c r="B11" s="86">
        <f>'S-A FGD'!M11</f>
        <v>25981574</v>
      </c>
      <c r="C11" s="87">
        <f t="shared" ref="C11:C14" si="0">ROUND(B11/$C$6,0)</f>
        <v>915</v>
      </c>
      <c r="D11" s="86">
        <f>'S-A FGD'!F11</f>
        <v>0</v>
      </c>
      <c r="E11" s="74"/>
      <c r="F11" s="606">
        <f t="shared" ref="F11:F14" si="1">B11-(SUM(D11:E11))</f>
        <v>25981574</v>
      </c>
      <c r="G11" s="1148">
        <f>SUM(F10:F11)</f>
        <v>162176413</v>
      </c>
      <c r="H11" s="715"/>
      <c r="I11" s="1373">
        <f>ROUND($G$11/$C$6,0)</f>
        <v>5711</v>
      </c>
      <c r="J11" s="716">
        <f t="shared" ref="J11:J14" si="2">ROUND(F11/$C$6,0)</f>
        <v>915</v>
      </c>
    </row>
    <row r="12" spans="1:15" ht="12.75" hidden="1" customHeight="1" thickTop="1" thickBot="1">
      <c r="A12" s="75" t="s">
        <v>1410</v>
      </c>
      <c r="B12" s="86"/>
      <c r="C12" s="87"/>
      <c r="D12" s="86"/>
      <c r="E12" s="74"/>
      <c r="F12" s="607"/>
      <c r="J12" s="716"/>
      <c r="O12" s="608"/>
    </row>
    <row r="13" spans="1:15" ht="12.75" customHeight="1" thickTop="1">
      <c r="A13" s="75" t="s">
        <v>1368</v>
      </c>
      <c r="B13" s="86">
        <f>'S-A FGD'!M13</f>
        <v>0</v>
      </c>
      <c r="C13" s="87">
        <f t="shared" si="0"/>
        <v>0</v>
      </c>
      <c r="D13" s="86">
        <f>'S-A FGD'!F13</f>
        <v>0</v>
      </c>
      <c r="E13" s="74"/>
      <c r="F13" s="893">
        <f t="shared" si="1"/>
        <v>0</v>
      </c>
      <c r="G13" s="882" t="s">
        <v>81</v>
      </c>
      <c r="H13" s="894"/>
      <c r="I13" s="826" t="s">
        <v>1163</v>
      </c>
      <c r="J13" s="716">
        <f t="shared" si="2"/>
        <v>0</v>
      </c>
    </row>
    <row r="14" spans="1:15" ht="12.75" customHeight="1" thickBot="1">
      <c r="A14" s="75" t="s">
        <v>49</v>
      </c>
      <c r="B14" s="86">
        <f>'S-A FGD'!M14</f>
        <v>0</v>
      </c>
      <c r="C14" s="87">
        <f t="shared" si="0"/>
        <v>0</v>
      </c>
      <c r="D14" s="86">
        <f>'S-A FGD'!F14</f>
        <v>0</v>
      </c>
      <c r="E14" s="74"/>
      <c r="F14" s="607">
        <f t="shared" si="1"/>
        <v>0</v>
      </c>
      <c r="G14" s="800">
        <f>SUM(F13:F14)</f>
        <v>0</v>
      </c>
      <c r="H14" s="895"/>
      <c r="I14" s="1377">
        <f>ROUND($G$11/$I$8,0)</f>
        <v>72713</v>
      </c>
      <c r="J14" s="828">
        <f t="shared" si="2"/>
        <v>0</v>
      </c>
    </row>
    <row r="15" spans="1:15" ht="12.75" customHeight="1" thickTop="1">
      <c r="A15" s="88" t="s">
        <v>3</v>
      </c>
      <c r="B15" s="89">
        <f>SUM(B10:B14)</f>
        <v>162176413</v>
      </c>
      <c r="C15" s="89">
        <f>SUM(C10:C14)</f>
        <v>5711</v>
      </c>
      <c r="D15" s="89">
        <f>SUM(D10:D14)</f>
        <v>0</v>
      </c>
      <c r="E15" s="89">
        <f>SUM(E10:E14)</f>
        <v>0</v>
      </c>
      <c r="F15" s="216">
        <f>SUM(F10:F14)</f>
        <v>162176413</v>
      </c>
      <c r="I15" s="1372"/>
      <c r="J15" s="757">
        <f>SUM(J10:J14)</f>
        <v>5711</v>
      </c>
    </row>
    <row r="16" spans="1:15">
      <c r="B16" s="48"/>
      <c r="C16" s="75"/>
      <c r="J16" s="712"/>
    </row>
    <row r="17" spans="1:31" ht="12.75" customHeight="1">
      <c r="A17" s="78" t="s">
        <v>4</v>
      </c>
      <c r="B17" s="86"/>
      <c r="C17" s="75"/>
      <c r="J17" s="712"/>
    </row>
    <row r="18" spans="1:31">
      <c r="A18" s="75" t="s">
        <v>39</v>
      </c>
      <c r="B18" s="83">
        <f>'S-A FGD'!M29</f>
        <v>159991446</v>
      </c>
      <c r="C18" s="83">
        <f t="shared" ref="C18:C19" si="3">ROUND(B18/$C$6,0)</f>
        <v>5634</v>
      </c>
      <c r="D18" s="512">
        <f>'S-A FGD'!$F$29</f>
        <v>0</v>
      </c>
      <c r="E18" s="512"/>
      <c r="F18" s="512">
        <f t="shared" ref="F18:F19" si="4">B18-(SUM(D18:E18))</f>
        <v>159991446</v>
      </c>
      <c r="G18" s="337"/>
      <c r="H18" s="337"/>
      <c r="I18" s="337"/>
      <c r="J18" s="713">
        <f>ROUND(F18/$C$6,0)</f>
        <v>5634</v>
      </c>
    </row>
    <row r="19" spans="1:31" ht="13.5" thickBot="1">
      <c r="A19" s="75" t="s">
        <v>40</v>
      </c>
      <c r="B19" s="86">
        <f>'S-A FGD'!M42</f>
        <v>91707990</v>
      </c>
      <c r="C19" s="87">
        <f t="shared" si="3"/>
        <v>3230</v>
      </c>
      <c r="D19" s="74">
        <f>'S-A FGD'!$F$42</f>
        <v>23507282</v>
      </c>
      <c r="E19" s="74"/>
      <c r="F19" s="74">
        <f t="shared" si="4"/>
        <v>68200708</v>
      </c>
      <c r="G19" s="337"/>
      <c r="H19" s="337"/>
      <c r="I19" s="337"/>
      <c r="J19" s="716">
        <f>ROUND(F19/$C$6,0)</f>
        <v>2402</v>
      </c>
    </row>
    <row r="20" spans="1:31" ht="14.25" thickTop="1" thickBot="1">
      <c r="A20" s="88" t="s">
        <v>5</v>
      </c>
      <c r="B20" s="89">
        <f>SUM(B18:B19)</f>
        <v>251699436</v>
      </c>
      <c r="C20" s="89">
        <f>SUM(C18:C19)</f>
        <v>8864</v>
      </c>
      <c r="D20" s="717">
        <f>SUM(D18:D19)</f>
        <v>23507282</v>
      </c>
      <c r="E20" s="718">
        <f>SUM(E18:E19)</f>
        <v>0</v>
      </c>
      <c r="F20" s="801">
        <f>SUM(F18:F19)</f>
        <v>228192154</v>
      </c>
      <c r="G20" s="720" t="s">
        <v>26</v>
      </c>
      <c r="H20" s="366"/>
      <c r="I20" s="367"/>
      <c r="J20" s="721">
        <f>SUM(J18:J19)</f>
        <v>8036</v>
      </c>
    </row>
    <row r="21" spans="1:31" ht="12.75" customHeight="1" thickTop="1">
      <c r="B21" s="91"/>
      <c r="C21" s="75"/>
      <c r="F21" s="804"/>
      <c r="J21" s="712"/>
    </row>
    <row r="22" spans="1:31" ht="14.25" customHeight="1" thickBot="1">
      <c r="A22" s="78" t="s">
        <v>6</v>
      </c>
      <c r="B22" s="91"/>
      <c r="C22" s="75"/>
      <c r="J22" s="712"/>
    </row>
    <row r="23" spans="1:31" ht="14.25" thickTop="1" thickBot="1">
      <c r="A23" s="88" t="s">
        <v>7</v>
      </c>
      <c r="B23" s="92">
        <f>'S-A FGD'!M47</f>
        <v>200914830</v>
      </c>
      <c r="C23" s="89">
        <f t="shared" ref="C23" si="5">ROUND(B23/$C$6,0)</f>
        <v>7075</v>
      </c>
      <c r="D23" s="717">
        <f>'S-A FGD'!F47</f>
        <v>0</v>
      </c>
      <c r="E23" s="718"/>
      <c r="F23" s="801">
        <f>B23-(SUM(D23:E23))</f>
        <v>200914830</v>
      </c>
      <c r="G23" s="722" t="s">
        <v>74</v>
      </c>
      <c r="H23" s="366"/>
      <c r="I23" s="367"/>
      <c r="J23" s="756">
        <f>ROUND(F23/$C$6,0)</f>
        <v>7075</v>
      </c>
    </row>
    <row r="24" spans="1:31" ht="13.5" thickTop="1">
      <c r="B24" s="91"/>
      <c r="C24" s="75"/>
      <c r="J24" s="712"/>
    </row>
    <row r="25" spans="1:31">
      <c r="A25" s="78" t="s">
        <v>8</v>
      </c>
      <c r="B25" s="91"/>
      <c r="C25" s="75"/>
      <c r="J25" s="712"/>
    </row>
    <row r="26" spans="1:31">
      <c r="A26" s="75" t="s">
        <v>42</v>
      </c>
      <c r="B26" s="83">
        <f>'S-A FGD'!M50</f>
        <v>22926694</v>
      </c>
      <c r="C26" s="83">
        <f t="shared" ref="C26:C31" si="6">ROUND(B26/$C$6,0)</f>
        <v>807</v>
      </c>
      <c r="D26" s="512">
        <f>'S-A FGD'!F50</f>
        <v>2860031</v>
      </c>
      <c r="E26" s="512"/>
      <c r="F26" s="512">
        <f t="shared" ref="F26:F31" si="7">B26-(SUM(D26:E26))</f>
        <v>20066663</v>
      </c>
      <c r="G26" s="337"/>
      <c r="H26" s="337"/>
      <c r="I26" s="337"/>
      <c r="J26" s="713">
        <f>ROUND(F26/$C$6,0)</f>
        <v>707</v>
      </c>
    </row>
    <row r="27" spans="1:31">
      <c r="A27" s="75" t="s">
        <v>9</v>
      </c>
      <c r="B27" s="86">
        <f>'S-A FGD'!M51</f>
        <v>3165406</v>
      </c>
      <c r="C27" s="87">
        <f t="shared" si="6"/>
        <v>111</v>
      </c>
      <c r="D27" s="86">
        <f>'S-A FGD'!F51</f>
        <v>0</v>
      </c>
      <c r="E27" s="74"/>
      <c r="F27" s="74">
        <f t="shared" si="7"/>
        <v>3165406</v>
      </c>
      <c r="G27" s="337"/>
      <c r="H27" s="337"/>
      <c r="I27" s="337"/>
      <c r="J27" s="716">
        <f t="shared" ref="J27:J31" si="8">ROUND(F27/$C$6,0)</f>
        <v>111</v>
      </c>
    </row>
    <row r="28" spans="1:31" ht="13.5" thickBot="1">
      <c r="A28" s="75" t="s">
        <v>10</v>
      </c>
      <c r="B28" s="86">
        <f>'S-A FGD'!M52</f>
        <v>100729411</v>
      </c>
      <c r="C28" s="87">
        <f t="shared" si="6"/>
        <v>3547</v>
      </c>
      <c r="D28" s="86">
        <f>'S-A FGD'!F52</f>
        <v>0</v>
      </c>
      <c r="E28" s="74"/>
      <c r="F28" s="74">
        <f t="shared" si="7"/>
        <v>100729411</v>
      </c>
      <c r="G28" s="337"/>
      <c r="H28" s="337"/>
      <c r="I28" s="337"/>
      <c r="J28" s="716">
        <f t="shared" si="8"/>
        <v>3547</v>
      </c>
    </row>
    <row r="29" spans="1:31" ht="13.5" thickBot="1">
      <c r="A29" s="75" t="s">
        <v>11</v>
      </c>
      <c r="B29" s="86">
        <f>'S-A FGD'!M53</f>
        <v>7708378</v>
      </c>
      <c r="C29" s="87">
        <f t="shared" si="6"/>
        <v>271</v>
      </c>
      <c r="D29" s="86">
        <f>'S-A FGD'!F53</f>
        <v>0</v>
      </c>
      <c r="E29" s="74"/>
      <c r="F29" s="74">
        <f t="shared" si="7"/>
        <v>7708378</v>
      </c>
      <c r="G29" s="337"/>
      <c r="H29" s="337"/>
      <c r="I29" s="337"/>
      <c r="J29" s="716">
        <f t="shared" si="8"/>
        <v>271</v>
      </c>
      <c r="K29" s="1694" t="s">
        <v>1065</v>
      </c>
      <c r="L29" s="1695"/>
      <c r="M29" s="1695"/>
      <c r="N29" s="1695"/>
      <c r="O29" s="1696"/>
    </row>
    <row r="30" spans="1:31" ht="13.5" thickBot="1">
      <c r="A30" s="93" t="s">
        <v>2134</v>
      </c>
      <c r="B30" s="94">
        <f>'S-A FGD'!M54</f>
        <v>24712849</v>
      </c>
      <c r="C30" s="87">
        <f t="shared" si="6"/>
        <v>870</v>
      </c>
      <c r="D30" s="729">
        <f>B30</f>
        <v>24712849</v>
      </c>
      <c r="E30" s="74"/>
      <c r="F30" s="74">
        <f t="shared" si="7"/>
        <v>0</v>
      </c>
      <c r="G30" s="337"/>
      <c r="H30" s="337"/>
      <c r="I30" s="337"/>
      <c r="J30" s="716">
        <f t="shared" si="8"/>
        <v>0</v>
      </c>
      <c r="K30" s="1694" t="s">
        <v>1070</v>
      </c>
      <c r="L30" s="1695"/>
      <c r="M30" s="1695"/>
      <c r="N30" s="1695"/>
      <c r="O30" s="1696"/>
    </row>
    <row r="31" spans="1:31" ht="13.5" customHeight="1" thickBot="1">
      <c r="A31" s="95" t="s">
        <v>43</v>
      </c>
      <c r="B31" s="86">
        <f>'S-A FGD'!M55</f>
        <v>2846552</v>
      </c>
      <c r="C31" s="87">
        <f t="shared" si="6"/>
        <v>100</v>
      </c>
      <c r="D31" s="86">
        <f>'S-A FGD'!F55</f>
        <v>28377</v>
      </c>
      <c r="E31" s="74"/>
      <c r="F31" s="74">
        <f t="shared" si="7"/>
        <v>2818175</v>
      </c>
      <c r="G31" s="35"/>
      <c r="H31" s="35"/>
      <c r="I31" s="38"/>
      <c r="J31" s="716">
        <f t="shared" si="8"/>
        <v>99</v>
      </c>
      <c r="K31" s="1697" t="s">
        <v>1073</v>
      </c>
      <c r="L31" s="1697" t="s">
        <v>1071</v>
      </c>
      <c r="M31" s="1697" t="s">
        <v>1072</v>
      </c>
      <c r="N31" s="1697" t="s">
        <v>1240</v>
      </c>
      <c r="O31" s="1697"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162089290</v>
      </c>
      <c r="C32" s="89">
        <f>SUM(C26:C31)</f>
        <v>5706</v>
      </c>
      <c r="D32" s="723">
        <f>SUM(D26:D31)</f>
        <v>27601257</v>
      </c>
      <c r="E32" s="723">
        <f>SUM(E26:E31)</f>
        <v>0</v>
      </c>
      <c r="F32" s="802">
        <f>SUM(F26:F31)</f>
        <v>134488033</v>
      </c>
      <c r="G32" s="1708" t="s">
        <v>8</v>
      </c>
      <c r="H32" s="1709"/>
      <c r="I32" s="783" t="s">
        <v>1166</v>
      </c>
      <c r="J32" s="725">
        <f>SUM(J26:J31)</f>
        <v>4735</v>
      </c>
      <c r="K32" s="1698"/>
      <c r="L32" s="1698"/>
      <c r="M32" s="1698"/>
      <c r="N32" s="1698" t="s">
        <v>1074</v>
      </c>
      <c r="O32" s="1698" t="s">
        <v>1075</v>
      </c>
    </row>
    <row r="33" spans="1:31" ht="14.25" thickTop="1" thickBot="1">
      <c r="A33" s="97" t="s">
        <v>68</v>
      </c>
      <c r="B33" s="52">
        <f>B15+B20+B23+B32</f>
        <v>776879969</v>
      </c>
      <c r="C33" s="45">
        <f>C15+C20+C23+C32</f>
        <v>27356</v>
      </c>
      <c r="D33" s="52">
        <f>D15+D20+D23+D32</f>
        <v>51108539</v>
      </c>
      <c r="E33" s="52">
        <f>E15+E20+E23+E32</f>
        <v>0</v>
      </c>
      <c r="F33" s="724">
        <f>F15+F20+F23+F32</f>
        <v>725771430</v>
      </c>
      <c r="G33" s="1758" t="s">
        <v>84</v>
      </c>
      <c r="H33" s="1759"/>
      <c r="I33" s="1375">
        <f>ROUND($G$35/$C$6,0)</f>
        <v>25558</v>
      </c>
      <c r="J33" s="726">
        <f>J15+J20+J23+J32</f>
        <v>25557</v>
      </c>
      <c r="K33" s="1698"/>
      <c r="L33" s="1698"/>
      <c r="M33" s="1698"/>
      <c r="N33" s="1698"/>
      <c r="O33" s="1698"/>
    </row>
    <row r="34" spans="1:31" ht="14.25" thickTop="1" thickBot="1">
      <c r="B34" s="98"/>
      <c r="C34" s="75"/>
      <c r="D34" s="337"/>
      <c r="E34" s="337"/>
      <c r="F34" s="337" t="s">
        <v>1199</v>
      </c>
      <c r="G34" s="787">
        <f>G14*-1</f>
        <v>0</v>
      </c>
      <c r="H34" s="337"/>
      <c r="I34" s="783" t="s">
        <v>1167</v>
      </c>
      <c r="J34" s="727"/>
      <c r="K34" s="1699"/>
      <c r="L34" s="1699"/>
      <c r="M34" s="1699"/>
      <c r="N34" s="1699"/>
      <c r="O34" s="1699"/>
    </row>
    <row r="35" spans="1:31" ht="14.25" thickTop="1" thickBot="1">
      <c r="A35" s="81" t="s">
        <v>72</v>
      </c>
      <c r="B35" s="81"/>
      <c r="C35" s="81"/>
      <c r="D35" s="728"/>
      <c r="E35" s="728"/>
      <c r="F35" s="788" t="s">
        <v>1165</v>
      </c>
      <c r="G35" s="803">
        <f>F33+G34</f>
        <v>725771430</v>
      </c>
      <c r="I35" s="1376">
        <f>ROUND($G$35/$I$8,0)</f>
        <v>325407</v>
      </c>
      <c r="K35" s="609"/>
      <c r="L35" s="609"/>
      <c r="M35" s="609"/>
      <c r="N35" s="609"/>
      <c r="O35" s="609"/>
    </row>
    <row r="36" spans="1:31" ht="13.5" thickTop="1">
      <c r="A36" s="99" t="s">
        <v>14</v>
      </c>
      <c r="B36" s="83">
        <f>'S-A FGD'!M60</f>
        <v>115902354</v>
      </c>
      <c r="C36" s="83">
        <f t="shared" ref="C36:C46" si="9">ROUND(B36/$C$6,0)</f>
        <v>4082</v>
      </c>
      <c r="D36" s="512">
        <f>'S-A FGD'!F60</f>
        <v>0</v>
      </c>
      <c r="E36" s="512"/>
      <c r="F36" s="512">
        <f t="shared" ref="F36:F46" si="10">B36-(SUM(D36:E36))</f>
        <v>115902354</v>
      </c>
      <c r="G36" s="337"/>
      <c r="H36" s="1378" t="s">
        <v>2158</v>
      </c>
      <c r="I36" s="1379">
        <f>ROUND(F36/$C$6,0)</f>
        <v>4082</v>
      </c>
      <c r="J36" s="337" t="s">
        <v>752</v>
      </c>
      <c r="K36" s="512">
        <f>F36</f>
        <v>115902354</v>
      </c>
      <c r="L36" s="512">
        <f>K36</f>
        <v>115902354</v>
      </c>
      <c r="M36" s="512"/>
      <c r="N36" s="512"/>
      <c r="O36" s="512"/>
    </row>
    <row r="37" spans="1:31">
      <c r="A37" s="99" t="s">
        <v>15</v>
      </c>
      <c r="B37" s="86">
        <f>'S-A FGD'!M61</f>
        <v>108189847</v>
      </c>
      <c r="C37" s="87">
        <f t="shared" si="9"/>
        <v>3810</v>
      </c>
      <c r="D37" s="86">
        <f>'S-A FGD'!F61</f>
        <v>0</v>
      </c>
      <c r="E37" s="74"/>
      <c r="F37" s="74">
        <f t="shared" si="10"/>
        <v>108189847</v>
      </c>
      <c r="G37" s="337"/>
      <c r="H37" s="337"/>
      <c r="J37" s="337" t="s">
        <v>1076</v>
      </c>
      <c r="K37" s="373">
        <f>F37</f>
        <v>108189847</v>
      </c>
      <c r="L37" s="373">
        <f>K37</f>
        <v>108189847</v>
      </c>
      <c r="M37" s="373"/>
      <c r="N37" s="373"/>
      <c r="O37" s="373"/>
    </row>
    <row r="38" spans="1:31">
      <c r="A38" s="99" t="s">
        <v>16</v>
      </c>
      <c r="B38" s="86">
        <f>'S-A FGD'!M62</f>
        <v>15662717</v>
      </c>
      <c r="C38" s="87">
        <f t="shared" si="9"/>
        <v>552</v>
      </c>
      <c r="D38" s="86">
        <f>'S-A FGD'!F62</f>
        <v>0</v>
      </c>
      <c r="E38" s="86">
        <f>B38-D38</f>
        <v>15662717</v>
      </c>
      <c r="F38" s="74">
        <f t="shared" si="10"/>
        <v>0</v>
      </c>
      <c r="G38" s="337"/>
      <c r="H38" s="337"/>
      <c r="I38" s="337"/>
      <c r="J38" s="337" t="s">
        <v>1077</v>
      </c>
      <c r="K38" s="736"/>
      <c r="L38" s="737"/>
      <c r="M38" s="737" t="s">
        <v>1152</v>
      </c>
      <c r="N38" s="737"/>
      <c r="O38" s="738"/>
    </row>
    <row r="39" spans="1:31">
      <c r="A39" s="99" t="s">
        <v>17</v>
      </c>
      <c r="B39" s="86">
        <f>'S-A FGD'!M63</f>
        <v>71708636</v>
      </c>
      <c r="C39" s="87">
        <f t="shared" si="9"/>
        <v>2525</v>
      </c>
      <c r="D39" s="86">
        <f>'S-A FGD'!F63</f>
        <v>0</v>
      </c>
      <c r="E39" s="74"/>
      <c r="F39" s="74">
        <f t="shared" si="10"/>
        <v>71708636</v>
      </c>
      <c r="G39" s="337"/>
      <c r="H39" s="1378" t="s">
        <v>2159</v>
      </c>
      <c r="I39" s="1379">
        <f>ROUND(F39/$C$6,0)</f>
        <v>2525</v>
      </c>
      <c r="J39" s="337" t="s">
        <v>1078</v>
      </c>
      <c r="K39" s="373">
        <f t="shared" ref="K39:K43" si="11">F39</f>
        <v>71708636</v>
      </c>
      <c r="L39" s="373">
        <f>K39</f>
        <v>71708636</v>
      </c>
      <c r="M39" s="373"/>
      <c r="N39" s="373"/>
      <c r="O39" s="373"/>
    </row>
    <row r="40" spans="1:31">
      <c r="A40" s="99" t="s">
        <v>18</v>
      </c>
      <c r="B40" s="86">
        <f>'S-A FGD'!M64</f>
        <v>30539304</v>
      </c>
      <c r="C40" s="87">
        <f t="shared" si="9"/>
        <v>1075</v>
      </c>
      <c r="D40" s="86">
        <f>'S-A FGD'!F64</f>
        <v>0</v>
      </c>
      <c r="E40" s="74"/>
      <c r="F40" s="74">
        <f t="shared" si="10"/>
        <v>30539304</v>
      </c>
      <c r="G40" s="337"/>
      <c r="J40" s="337" t="s">
        <v>1079</v>
      </c>
      <c r="K40" s="373">
        <f t="shared" si="11"/>
        <v>30539304</v>
      </c>
      <c r="L40" s="373"/>
      <c r="M40" s="373">
        <f>K40</f>
        <v>30539304</v>
      </c>
      <c r="N40" s="373"/>
      <c r="O40" s="373"/>
    </row>
    <row r="41" spans="1:31">
      <c r="A41" s="99" t="s">
        <v>19</v>
      </c>
      <c r="B41" s="86">
        <f>'S-A FGD'!M65</f>
        <v>42934639</v>
      </c>
      <c r="C41" s="87">
        <f t="shared" si="9"/>
        <v>1512</v>
      </c>
      <c r="D41" s="86">
        <f>'S-A FGD'!F65</f>
        <v>0</v>
      </c>
      <c r="E41" s="74"/>
      <c r="F41" s="74">
        <f t="shared" si="10"/>
        <v>42934639</v>
      </c>
      <c r="G41" s="337"/>
      <c r="H41" s="1378" t="s">
        <v>2160</v>
      </c>
      <c r="I41" s="1379">
        <f>ROUND(F41/$C$6,0)</f>
        <v>1512</v>
      </c>
      <c r="J41" s="337" t="s">
        <v>757</v>
      </c>
      <c r="K41" s="373">
        <f t="shared" si="11"/>
        <v>42934639</v>
      </c>
      <c r="L41" s="373"/>
      <c r="M41" s="373"/>
      <c r="N41" s="373">
        <f>K41</f>
        <v>42934639</v>
      </c>
      <c r="O41" s="373"/>
    </row>
    <row r="42" spans="1:31">
      <c r="A42" s="99" t="s">
        <v>20</v>
      </c>
      <c r="B42" s="86">
        <f>'S-A FGD'!M66</f>
        <v>40644000</v>
      </c>
      <c r="C42" s="87">
        <f t="shared" si="9"/>
        <v>1431</v>
      </c>
      <c r="D42" s="86">
        <f>'S-A FGD'!F66</f>
        <v>0</v>
      </c>
      <c r="E42" s="74"/>
      <c r="F42" s="74">
        <f t="shared" si="10"/>
        <v>40644000</v>
      </c>
      <c r="G42" s="337"/>
      <c r="J42" s="337" t="s">
        <v>758</v>
      </c>
      <c r="K42" s="373">
        <f t="shared" si="11"/>
        <v>40644000</v>
      </c>
      <c r="L42" s="373"/>
      <c r="M42" s="373"/>
      <c r="N42" s="373">
        <f>K42</f>
        <v>40644000</v>
      </c>
      <c r="O42" s="373"/>
    </row>
    <row r="43" spans="1:31">
      <c r="A43" s="99" t="s">
        <v>21</v>
      </c>
      <c r="B43" s="86">
        <f>'S-A FGD'!M67</f>
        <v>86093922</v>
      </c>
      <c r="C43" s="87">
        <f t="shared" si="9"/>
        <v>3032</v>
      </c>
      <c r="D43" s="86">
        <f>'S-A FGD'!F67</f>
        <v>0</v>
      </c>
      <c r="E43" s="74"/>
      <c r="F43" s="74">
        <f t="shared" si="10"/>
        <v>86093922</v>
      </c>
      <c r="G43" s="337"/>
      <c r="H43" s="337"/>
      <c r="I43" s="337"/>
      <c r="J43" s="337" t="s">
        <v>1145</v>
      </c>
      <c r="K43" s="373">
        <f t="shared" si="11"/>
        <v>86093922</v>
      </c>
      <c r="L43" s="373"/>
      <c r="M43" s="373">
        <f>K43</f>
        <v>86093922</v>
      </c>
      <c r="N43" s="373"/>
      <c r="O43" s="373"/>
    </row>
    <row r="44" spans="1:31">
      <c r="A44" s="99" t="s">
        <v>2135</v>
      </c>
      <c r="B44" s="86">
        <f>'S-A FGD'!M68</f>
        <v>41166889</v>
      </c>
      <c r="C44" s="87">
        <f t="shared" si="9"/>
        <v>1450</v>
      </c>
      <c r="D44" s="729">
        <f>B44</f>
        <v>41166889</v>
      </c>
      <c r="E44" s="74"/>
      <c r="F44" s="74">
        <f t="shared" si="10"/>
        <v>0</v>
      </c>
      <c r="G44" s="337"/>
      <c r="H44" s="337"/>
      <c r="I44" s="337"/>
      <c r="J44" s="337" t="s">
        <v>743</v>
      </c>
      <c r="K44" s="736"/>
      <c r="L44" s="737"/>
      <c r="M44" s="737" t="s">
        <v>1152</v>
      </c>
      <c r="N44" s="737"/>
      <c r="O44" s="738"/>
    </row>
    <row r="45" spans="1:31">
      <c r="A45" s="99" t="s">
        <v>61</v>
      </c>
      <c r="B45" s="86">
        <f>'S-A FGD'!M69</f>
        <v>38413984</v>
      </c>
      <c r="C45" s="87">
        <f t="shared" si="9"/>
        <v>1353</v>
      </c>
      <c r="D45" s="86">
        <f>'S-A FGD'!F69</f>
        <v>258733</v>
      </c>
      <c r="E45" s="74"/>
      <c r="F45" s="74">
        <f t="shared" si="10"/>
        <v>38155251</v>
      </c>
      <c r="G45" s="337"/>
      <c r="H45" s="337"/>
      <c r="I45" s="337"/>
      <c r="J45" s="337" t="s">
        <v>1080</v>
      </c>
      <c r="K45" s="373">
        <f t="shared" ref="K45:K46" si="12">F45</f>
        <v>38155251</v>
      </c>
      <c r="L45" s="373"/>
      <c r="M45" s="373"/>
      <c r="N45" s="373"/>
      <c r="O45" s="373">
        <f>K45</f>
        <v>38155251</v>
      </c>
    </row>
    <row r="46" spans="1:31" ht="13.5" thickBot="1">
      <c r="A46" s="75" t="s">
        <v>50</v>
      </c>
      <c r="B46" s="86">
        <f>'S-A FGD'!M70</f>
        <v>-77552</v>
      </c>
      <c r="C46" s="87">
        <f t="shared" si="9"/>
        <v>-3</v>
      </c>
      <c r="D46" s="86">
        <f>'S-A FGD'!F70</f>
        <v>114123</v>
      </c>
      <c r="E46" s="74"/>
      <c r="F46" s="74">
        <f t="shared" si="10"/>
        <v>-191675</v>
      </c>
      <c r="G46" s="35"/>
      <c r="H46" s="1378" t="s">
        <v>2161</v>
      </c>
      <c r="I46" s="1379">
        <f>ROUND(SUM(F37+F40+F42+F43+F45+F46)/$C$6,0)</f>
        <v>10685</v>
      </c>
      <c r="J46" s="610" t="s">
        <v>1075</v>
      </c>
      <c r="K46" s="373">
        <f t="shared" si="12"/>
        <v>-191675</v>
      </c>
      <c r="L46" s="611"/>
      <c r="M46" s="611"/>
      <c r="N46" s="611"/>
      <c r="O46" s="373">
        <f>K46</f>
        <v>-191675</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591178740</v>
      </c>
      <c r="C47" s="45">
        <f>SUM(C36:C46)</f>
        <v>20819</v>
      </c>
      <c r="D47" s="730">
        <f>SUM(D36:D46)</f>
        <v>41539745</v>
      </c>
      <c r="E47" s="731">
        <f>SUM(E36:E46)</f>
        <v>15662717</v>
      </c>
      <c r="F47" s="719">
        <f>SUM(F36:F46)</f>
        <v>533976278</v>
      </c>
      <c r="G47" s="1688" t="s">
        <v>1176</v>
      </c>
      <c r="H47" s="1689"/>
      <c r="I47" s="785" t="s">
        <v>1164</v>
      </c>
      <c r="J47" s="610" t="s">
        <v>1081</v>
      </c>
      <c r="K47" s="612">
        <f>SUM(K36:K46)</f>
        <v>533976278</v>
      </c>
      <c r="L47" s="612">
        <f>SUM(L36:L46)</f>
        <v>295800837</v>
      </c>
      <c r="M47" s="612">
        <f>SUM(M36:M46)</f>
        <v>116633226</v>
      </c>
      <c r="N47" s="612">
        <f>SUM(N36:N46)</f>
        <v>83578639</v>
      </c>
      <c r="O47" s="612">
        <f>SUM(O36:O46)</f>
        <v>37963576</v>
      </c>
    </row>
    <row r="48" spans="1:31" ht="14.25" thickTop="1" thickBot="1">
      <c r="A48" s="93"/>
      <c r="B48" s="98"/>
      <c r="C48" s="75"/>
      <c r="F48" s="613"/>
      <c r="G48" s="1690"/>
      <c r="H48" s="1691"/>
      <c r="I48" s="823">
        <f>ROUND(F47/C6,0)</f>
        <v>18804</v>
      </c>
      <c r="J48" s="1700" t="s">
        <v>1082</v>
      </c>
      <c r="K48" s="611"/>
      <c r="L48" s="611"/>
      <c r="M48" s="611"/>
      <c r="N48" s="611"/>
      <c r="O48" s="611"/>
    </row>
    <row r="49" spans="1:31" ht="13.5" thickBot="1">
      <c r="A49" s="78" t="s">
        <v>23</v>
      </c>
      <c r="B49" s="82"/>
      <c r="C49" s="75"/>
      <c r="F49" s="614"/>
      <c r="G49" s="1690"/>
      <c r="H49" s="1691"/>
      <c r="I49" s="811"/>
      <c r="J49" s="1700"/>
      <c r="K49" s="615">
        <f>ROUND(K47/$C$6,2)</f>
        <v>18804.25</v>
      </c>
      <c r="L49" s="615">
        <f t="shared" ref="L49:O49" si="13">ROUND(L47/$C$6,2)</f>
        <v>10416.780000000001</v>
      </c>
      <c r="M49" s="615">
        <f t="shared" si="13"/>
        <v>4107.3</v>
      </c>
      <c r="N49" s="615">
        <f t="shared" si="13"/>
        <v>2943.27</v>
      </c>
      <c r="O49" s="615">
        <f t="shared" si="13"/>
        <v>1336.91</v>
      </c>
      <c r="P49" s="35"/>
      <c r="Q49" s="96"/>
      <c r="R49" s="96"/>
      <c r="S49" s="96"/>
      <c r="T49" s="96"/>
      <c r="U49" s="96"/>
      <c r="V49" s="96"/>
      <c r="W49" s="96"/>
      <c r="X49" s="96"/>
      <c r="Y49" s="96"/>
      <c r="Z49" s="96"/>
      <c r="AA49" s="96"/>
      <c r="AB49" s="96"/>
      <c r="AC49" s="96"/>
      <c r="AD49" s="96"/>
      <c r="AE49" s="96"/>
    </row>
    <row r="50" spans="1:31" ht="13.5" thickBot="1">
      <c r="A50" s="75" t="s">
        <v>62</v>
      </c>
      <c r="B50" s="86">
        <f>'S-A FGD'!M74</f>
        <v>-72382336</v>
      </c>
      <c r="C50" s="83">
        <f t="shared" ref="C50:C53" si="14">ROUND(B50/$C$6,0)</f>
        <v>-2549</v>
      </c>
      <c r="D50" s="512">
        <f>'S-A FGD'!F74</f>
        <v>0</v>
      </c>
      <c r="E50" s="512"/>
      <c r="F50" s="732">
        <f t="shared" ref="F50:F53" si="15">B50-(SUM(D50:E50))</f>
        <v>-72382336</v>
      </c>
      <c r="G50" s="1692"/>
      <c r="H50" s="1693"/>
      <c r="I50" s="808"/>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'S-A FGD'!M75</f>
        <v>3297894</v>
      </c>
      <c r="C51" s="87">
        <f t="shared" si="14"/>
        <v>116</v>
      </c>
      <c r="D51" s="91">
        <f>'S-A FGD'!F75</f>
        <v>22158947</v>
      </c>
      <c r="E51" s="82"/>
      <c r="F51" s="74">
        <f t="shared" si="15"/>
        <v>-18861053</v>
      </c>
      <c r="G51" s="337"/>
      <c r="J51" s="337"/>
      <c r="K51" s="616"/>
      <c r="L51" s="616"/>
      <c r="M51" s="616"/>
      <c r="N51" s="616"/>
      <c r="O51" s="616"/>
    </row>
    <row r="52" spans="1:31">
      <c r="A52" s="75" t="s">
        <v>51</v>
      </c>
      <c r="B52" s="86">
        <f>'S-A FGD'!M76</f>
        <v>77361204</v>
      </c>
      <c r="C52" s="87">
        <f t="shared" si="14"/>
        <v>2724</v>
      </c>
      <c r="D52" s="91">
        <f>'S-A FGD'!F76</f>
        <v>0</v>
      </c>
      <c r="E52" s="82"/>
      <c r="F52" s="74">
        <f t="shared" si="15"/>
        <v>77361204</v>
      </c>
      <c r="G52" s="337"/>
      <c r="J52" s="733"/>
      <c r="K52" s="733"/>
      <c r="L52" s="733"/>
      <c r="M52" s="733"/>
      <c r="N52" s="733"/>
      <c r="O52" s="733"/>
    </row>
    <row r="53" spans="1:31" ht="12" customHeight="1">
      <c r="A53" s="75" t="s">
        <v>46</v>
      </c>
      <c r="B53" s="86">
        <f>'S-A FGD'!M77</f>
        <v>-27451690</v>
      </c>
      <c r="C53" s="87">
        <f t="shared" si="14"/>
        <v>-967</v>
      </c>
      <c r="D53" s="91">
        <f>'S-A FGD'!F77</f>
        <v>-9205820</v>
      </c>
      <c r="E53" s="82"/>
      <c r="F53" s="74">
        <f t="shared" si="15"/>
        <v>-18245870</v>
      </c>
      <c r="G53" s="35"/>
      <c r="J53" s="733"/>
      <c r="K53" s="733"/>
      <c r="L53" s="733"/>
      <c r="M53" s="733"/>
      <c r="N53" s="733"/>
      <c r="O53" s="733"/>
      <c r="P53" s="35"/>
      <c r="Q53" s="96"/>
      <c r="R53" s="96"/>
      <c r="S53" s="96"/>
      <c r="T53" s="96"/>
      <c r="U53" s="96"/>
      <c r="V53" s="96"/>
      <c r="W53" s="96"/>
      <c r="X53" s="96"/>
      <c r="Y53" s="96"/>
      <c r="Z53" s="96"/>
      <c r="AA53" s="96"/>
      <c r="AB53" s="96"/>
      <c r="AC53" s="96"/>
      <c r="AD53" s="96"/>
      <c r="AE53" s="96"/>
    </row>
    <row r="54" spans="1:31">
      <c r="A54" s="88" t="s">
        <v>3</v>
      </c>
      <c r="B54" s="89">
        <f>SUM(B50:B53)</f>
        <v>-19174928</v>
      </c>
      <c r="C54" s="89">
        <f>SUM(C50:C53)</f>
        <v>-676</v>
      </c>
      <c r="D54" s="89">
        <f>SUM(D50:D53)</f>
        <v>12953127</v>
      </c>
      <c r="E54" s="89">
        <f>SUM(E50:E53)</f>
        <v>0</v>
      </c>
      <c r="F54" s="102">
        <f>SUM(F50:F53)</f>
        <v>-32128055</v>
      </c>
      <c r="G54" s="337"/>
      <c r="H54" s="337"/>
      <c r="I54" s="337"/>
      <c r="J54" s="733"/>
      <c r="K54" s="733"/>
      <c r="L54" s="733"/>
      <c r="M54" s="733"/>
      <c r="N54" s="733"/>
      <c r="O54" s="733"/>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'S-A FGD'!M81</f>
        <v>78249995</v>
      </c>
      <c r="C57" s="83">
        <f>ROUND(B57/$C$6,0)</f>
        <v>2756</v>
      </c>
      <c r="D57" s="512">
        <f>'S-A FGD'!F81</f>
        <v>4394742</v>
      </c>
      <c r="E57" s="512"/>
      <c r="F57" s="512">
        <f t="shared" ref="F57:F58" si="16">B57-(SUM(D57:E57))</f>
        <v>73855253</v>
      </c>
      <c r="G57" s="337"/>
      <c r="H57" s="337"/>
      <c r="I57" s="337"/>
      <c r="J57" s="337"/>
    </row>
    <row r="58" spans="1:31">
      <c r="A58" s="75" t="s">
        <v>48</v>
      </c>
      <c r="B58" s="86">
        <f>'S-A FGD'!M82</f>
        <v>5078362</v>
      </c>
      <c r="C58" s="87">
        <f>ROUND(B58/$C$6,0)</f>
        <v>179</v>
      </c>
      <c r="D58" s="91">
        <f>'S-A FGD'!F82</f>
        <v>0</v>
      </c>
      <c r="E58" s="82"/>
      <c r="F58" s="74">
        <f t="shared" si="16"/>
        <v>5078362</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83328357</v>
      </c>
      <c r="C59" s="89">
        <f>SUM(C57:C58)</f>
        <v>2935</v>
      </c>
      <c r="D59" s="89">
        <f>SUM(D57:D58)</f>
        <v>4394742</v>
      </c>
      <c r="E59" s="89">
        <f>SUM(E57:E58)</f>
        <v>0</v>
      </c>
      <c r="F59" s="89">
        <f>SUM(F57:F58)</f>
        <v>78933615</v>
      </c>
      <c r="G59" s="367"/>
      <c r="H59" s="367"/>
      <c r="I59" s="367"/>
      <c r="J59" s="367"/>
      <c r="K59" s="266"/>
      <c r="L59" s="266"/>
      <c r="M59" s="266"/>
      <c r="N59" s="266"/>
      <c r="O59" s="266"/>
      <c r="P59" s="266"/>
    </row>
    <row r="60" spans="1:31">
      <c r="B60" s="82"/>
      <c r="C60" s="75"/>
    </row>
    <row r="61" spans="1:31" ht="13.5" thickBot="1">
      <c r="A61" s="103" t="s">
        <v>573</v>
      </c>
      <c r="B61" s="46">
        <f>B33-B47+B54+B59</f>
        <v>249854658</v>
      </c>
      <c r="C61" s="46">
        <f>C33-C47+C54+C59</f>
        <v>8796</v>
      </c>
      <c r="D61" s="46">
        <f>D33-D47+D54+D59</f>
        <v>26916663</v>
      </c>
      <c r="E61" s="46">
        <f>E33-E47+E54+E59</f>
        <v>-15662717</v>
      </c>
      <c r="F61" s="46">
        <f>F33-F47+F54+F59</f>
        <v>238600712</v>
      </c>
    </row>
    <row r="62" spans="1:31" ht="13.5" thickTop="1"/>
    <row r="63" spans="1:31">
      <c r="D63" s="512"/>
    </row>
    <row r="65" spans="2:16">
      <c r="B65" s="734">
        <f>'S-A FGD'!$M$85</f>
        <v>249854658</v>
      </c>
      <c r="C65" s="75"/>
      <c r="D65" s="734">
        <f>'S-A FGD'!$F$85</f>
        <v>28542329</v>
      </c>
      <c r="E65" s="734">
        <f>'S-A FGD'!$M$62*-1</f>
        <v>-15662717</v>
      </c>
      <c r="F65" s="75"/>
    </row>
    <row r="66" spans="2:16">
      <c r="B66" s="734"/>
      <c r="C66" s="75"/>
      <c r="D66" s="734">
        <f>'S-A FGD'!$F$68</f>
        <v>39541223</v>
      </c>
      <c r="E66" s="734">
        <f>+$D$38</f>
        <v>0</v>
      </c>
      <c r="F66" s="734"/>
    </row>
    <row r="67" spans="2:16">
      <c r="B67" s="759"/>
      <c r="C67" s="75"/>
      <c r="D67" s="759">
        <f>-'S-A FGD'!$M$68</f>
        <v>-41166889</v>
      </c>
      <c r="E67" s="759"/>
      <c r="F67" s="734"/>
    </row>
    <row r="68" spans="2:16">
      <c r="B68" s="734">
        <f>SUM(B65:B67)</f>
        <v>249854658</v>
      </c>
      <c r="C68" s="75"/>
      <c r="D68" s="734">
        <f>SUM(D65:D67)</f>
        <v>26916663</v>
      </c>
      <c r="E68" s="734">
        <f>SUM(E65:E67)</f>
        <v>-15662717</v>
      </c>
      <c r="F68" s="734">
        <f>B68-D68-E68</f>
        <v>238600712</v>
      </c>
    </row>
    <row r="69" spans="2:16">
      <c r="B69" s="734"/>
      <c r="C69" s="75"/>
      <c r="D69" s="734">
        <f>'S-A FGD'!F54*-1</f>
        <v>-24712849</v>
      </c>
      <c r="E69" s="734"/>
      <c r="F69" s="734"/>
    </row>
    <row r="70" spans="2:16" ht="12.75" customHeight="1">
      <c r="B70" s="759"/>
      <c r="C70" s="95"/>
      <c r="D70" s="759">
        <f>'S-A FGD'!M54</f>
        <v>24712849</v>
      </c>
      <c r="E70" s="759"/>
      <c r="F70" s="759">
        <f>-D70-D69</f>
        <v>0</v>
      </c>
    </row>
    <row r="71" spans="2:16" ht="12.75" customHeight="1">
      <c r="B71" s="734">
        <f>SUM(B68:B70)</f>
        <v>249854658</v>
      </c>
      <c r="C71" s="75"/>
      <c r="D71" s="734">
        <f>SUM(D68:D70)</f>
        <v>26916663</v>
      </c>
      <c r="E71" s="734">
        <f>SUM(E68:E70)</f>
        <v>-15662717</v>
      </c>
      <c r="F71" s="734">
        <f>SUM(F68:F70)</f>
        <v>238600712</v>
      </c>
    </row>
    <row r="72" spans="2:16" ht="12.75" customHeight="1">
      <c r="B72" s="734"/>
      <c r="C72" s="75"/>
      <c r="D72" s="734"/>
      <c r="E72" s="734"/>
      <c r="F72" s="734"/>
    </row>
    <row r="73" spans="2:16" ht="12.75" customHeight="1">
      <c r="B73" s="512">
        <f>B61-B71</f>
        <v>0</v>
      </c>
      <c r="C73" s="75"/>
      <c r="D73" s="512">
        <f>D61-D71</f>
        <v>0</v>
      </c>
      <c r="E73" s="512">
        <f>E61-E71</f>
        <v>0</v>
      </c>
      <c r="F73" s="512">
        <f>F61-F71</f>
        <v>0</v>
      </c>
    </row>
    <row r="74" spans="2:16" ht="12.75" customHeight="1">
      <c r="C74" s="75"/>
      <c r="F74" s="617"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F1:I1"/>
    <mergeCell ref="J1:O1"/>
    <mergeCell ref="D1:E1"/>
    <mergeCell ref="D4:D5"/>
    <mergeCell ref="J48:J49"/>
    <mergeCell ref="E4:E5"/>
    <mergeCell ref="G47:H50"/>
    <mergeCell ref="N31:N34"/>
    <mergeCell ref="O31:O34"/>
    <mergeCell ref="K29:O29"/>
    <mergeCell ref="K30:O30"/>
    <mergeCell ref="M31:M34"/>
    <mergeCell ref="G32:H32"/>
    <mergeCell ref="G33:H33"/>
    <mergeCell ref="L31:L34"/>
    <mergeCell ref="K31:K34"/>
  </mergeCells>
  <conditionalFormatting sqref="C77:M77">
    <cfRule type="cellIs" dxfId="1204" priority="2" stopIfTrue="1" operator="notEqual">
      <formula>#REF!</formula>
    </cfRule>
  </conditionalFormatting>
  <conditionalFormatting sqref="C77:M77">
    <cfRule type="cellIs" dxfId="1203" priority="1" stopIfTrue="1" operator="notEqual">
      <formula>#REF!</formula>
    </cfRule>
  </conditionalFormatting>
  <hyperlinks>
    <hyperlink ref="D1:E1" location="Index!A1" display="Return to Index" xr:uid="{00000000-0004-0000-32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37">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4.85546875" style="164" customWidth="1"/>
    <col min="15" max="15" width="14.42578125" style="261" customWidth="1"/>
    <col min="16" max="16" width="25.7109375" style="264" customWidth="1"/>
    <col min="17" max="17" width="16.42578125" style="264" customWidth="1"/>
    <col min="18" max="18" width="17.85546875" style="264" customWidth="1"/>
    <col min="19" max="19" width="1.7109375" style="264" customWidth="1"/>
    <col min="20" max="20" width="17.140625" style="264" customWidth="1"/>
    <col min="21" max="21" width="16.85546875" style="264" customWidth="1"/>
    <col min="22" max="23" width="19.28515625" style="264" customWidth="1"/>
    <col min="24" max="24" width="20.855468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13" t="str">
        <f>'S-A Chrts'!$A$1</f>
        <v>The University of Texas at San Antonio</v>
      </c>
      <c r="C2" s="1713"/>
      <c r="D2" s="1713"/>
      <c r="E2" s="1713"/>
      <c r="F2" s="1742"/>
      <c r="G2" s="160"/>
      <c r="H2" s="161"/>
      <c r="I2" s="320" t="str">
        <f>IF($B$2&lt;&gt;Input!$B$12,"Name Mismatch","")</f>
        <v/>
      </c>
      <c r="J2" s="168"/>
      <c r="K2" s="169"/>
      <c r="L2" s="169"/>
      <c r="M2" s="170"/>
      <c r="O2" s="835" t="s">
        <v>1200</v>
      </c>
      <c r="P2" s="36"/>
    </row>
    <row r="3" spans="1:28" ht="20.25">
      <c r="A3" s="184">
        <v>2</v>
      </c>
      <c r="B3" s="1713" t="str">
        <f>'Smmy Chrts'!$A$2</f>
        <v>For the Year Ended August 31, 2021</v>
      </c>
      <c r="C3" s="1713"/>
      <c r="D3" s="1713"/>
      <c r="E3" s="1713"/>
      <c r="F3" s="1742"/>
      <c r="G3" s="161"/>
      <c r="H3" s="161"/>
      <c r="I3" s="169"/>
      <c r="J3" s="168"/>
      <c r="K3" s="169"/>
      <c r="L3" s="169"/>
      <c r="M3" s="170"/>
      <c r="O3" s="74"/>
    </row>
    <row r="4" spans="1:28" ht="20.25">
      <c r="A4" s="184">
        <v>3</v>
      </c>
      <c r="B4" s="1713" t="str">
        <f>'Smmy Chrts'!$A$3</f>
        <v>Source: FY 2021 Annual Financial Report</v>
      </c>
      <c r="C4" s="1713"/>
      <c r="D4" s="1713"/>
      <c r="E4" s="1713"/>
      <c r="F4" s="1742"/>
      <c r="G4" s="161"/>
      <c r="H4" s="161"/>
      <c r="I4" s="169"/>
      <c r="J4" s="168"/>
      <c r="K4" s="169"/>
      <c r="L4" s="169"/>
      <c r="M4" s="170"/>
      <c r="O4" s="74"/>
      <c r="P4" s="1744" t="s">
        <v>93</v>
      </c>
      <c r="Q4" s="1745"/>
      <c r="T4" s="36" t="s">
        <v>250</v>
      </c>
    </row>
    <row r="5" spans="1:28">
      <c r="A5" s="184">
        <v>4</v>
      </c>
      <c r="B5" s="160"/>
      <c r="C5" s="160"/>
      <c r="D5" s="160"/>
      <c r="E5" s="160"/>
      <c r="F5" s="160"/>
      <c r="G5" s="160"/>
      <c r="H5" s="160"/>
      <c r="I5" s="160"/>
      <c r="J5" s="160"/>
      <c r="K5" s="160"/>
      <c r="L5" s="160"/>
      <c r="M5" s="166"/>
      <c r="O5" s="262"/>
    </row>
    <row r="6" spans="1:28">
      <c r="A6" s="184">
        <v>5</v>
      </c>
      <c r="B6" s="1715" t="str">
        <f>'Smmy Chrts'!$C$32</f>
        <v>Detail Worksheet FY 2021</v>
      </c>
      <c r="C6" s="1715"/>
      <c r="D6" s="1743"/>
      <c r="E6" s="1743"/>
      <c r="F6" s="1743"/>
      <c r="G6" s="1743"/>
      <c r="H6" s="1743"/>
      <c r="I6" s="1743"/>
      <c r="J6" s="1743"/>
      <c r="K6" s="1743"/>
      <c r="L6" s="1743"/>
      <c r="M6" s="1743"/>
      <c r="O6" s="265"/>
    </row>
    <row r="7" spans="1:28">
      <c r="A7" s="184">
        <v>6</v>
      </c>
      <c r="B7" s="172"/>
      <c r="C7" s="172"/>
      <c r="D7" s="160"/>
      <c r="E7" s="160"/>
      <c r="F7" s="160"/>
      <c r="G7" s="160"/>
      <c r="H7" s="160"/>
      <c r="I7" s="160"/>
      <c r="J7" s="160"/>
      <c r="K7" s="160"/>
      <c r="L7" s="160"/>
      <c r="M7" s="173" t="str">
        <f>'Smmy Chrts'!$C$33</f>
        <v>FY 2021</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Input!$M$12</f>
        <v>136194839</v>
      </c>
      <c r="E10" s="372">
        <f>Input!$N$12</f>
        <v>0</v>
      </c>
      <c r="F10" s="372">
        <f>Input!$O$12</f>
        <v>0</v>
      </c>
      <c r="G10" s="372">
        <f>Input!$P$12</f>
        <v>0</v>
      </c>
      <c r="H10" s="372">
        <f>Input!$Q$12</f>
        <v>0</v>
      </c>
      <c r="I10" s="372">
        <f>Input!$R$12</f>
        <v>0</v>
      </c>
      <c r="J10" s="372">
        <f>Input!$S$12</f>
        <v>0</v>
      </c>
      <c r="K10" s="372">
        <f>Input!$T$12</f>
        <v>0</v>
      </c>
      <c r="L10" s="372">
        <f>Input!$U$12</f>
        <v>0</v>
      </c>
      <c r="M10" s="373">
        <f t="shared" ref="M10:M15" si="0">D10+E10+F10+G10+H10+I10+J10+K10+L10</f>
        <v>136194839</v>
      </c>
      <c r="N10" s="160"/>
      <c r="O10" s="271"/>
      <c r="P10" s="1718" t="s">
        <v>575</v>
      </c>
      <c r="U10" s="268"/>
    </row>
    <row r="11" spans="1:28">
      <c r="A11" s="184">
        <v>10</v>
      </c>
      <c r="B11" s="160" t="s">
        <v>2</v>
      </c>
      <c r="C11" s="160"/>
      <c r="D11" s="372">
        <f>Input!$V$12</f>
        <v>23481728</v>
      </c>
      <c r="E11" s="372">
        <f>Input!$W$12</f>
        <v>780187</v>
      </c>
      <c r="F11" s="372">
        <f>Input!$X$12</f>
        <v>0</v>
      </c>
      <c r="G11" s="372">
        <f>Input!$Y$12</f>
        <v>1719659</v>
      </c>
      <c r="H11" s="372">
        <f>Input!$Z$12</f>
        <v>0</v>
      </c>
      <c r="I11" s="372">
        <f>Input!$AA$12</f>
        <v>0</v>
      </c>
      <c r="J11" s="372">
        <f>Input!$AB$12</f>
        <v>0</v>
      </c>
      <c r="K11" s="372">
        <f>Input!$AC$12</f>
        <v>0</v>
      </c>
      <c r="L11" s="372">
        <f>Input!$AD$12</f>
        <v>0</v>
      </c>
      <c r="M11" s="373">
        <f t="shared" si="0"/>
        <v>25981574</v>
      </c>
      <c r="N11" s="160"/>
      <c r="O11" s="482"/>
      <c r="P11" s="1719"/>
      <c r="U11" s="268"/>
    </row>
    <row r="12" spans="1:28" ht="12.75" hidden="1" customHeight="1">
      <c r="B12" s="160" t="s">
        <v>1410</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Input!$AN$12</f>
        <v>0</v>
      </c>
      <c r="E13" s="372">
        <f>Input!$AO$12</f>
        <v>0</v>
      </c>
      <c r="F13" s="372">
        <f>Input!$AP$12</f>
        <v>0</v>
      </c>
      <c r="G13" s="372">
        <f>Input!$AQ$12</f>
        <v>0</v>
      </c>
      <c r="H13" s="372">
        <f>Input!$AR$12</f>
        <v>0</v>
      </c>
      <c r="I13" s="372">
        <f>Input!$AS$12</f>
        <v>0</v>
      </c>
      <c r="J13" s="372">
        <f>Input!$AT$12</f>
        <v>0</v>
      </c>
      <c r="K13" s="372">
        <f>Input!$AU$12</f>
        <v>0</v>
      </c>
      <c r="L13" s="372">
        <f>Input!$AV$12</f>
        <v>0</v>
      </c>
      <c r="M13" s="373">
        <f t="shared" si="0"/>
        <v>0</v>
      </c>
      <c r="N13" s="160"/>
      <c r="O13" s="482" t="str">
        <f>IF(P13&lt;&gt;M13,"Out of Balance","Balanced")</f>
        <v>Balanced</v>
      </c>
      <c r="P13" s="484">
        <f>IFERROR(VLOOKUP($B$2,AMTLU,6,FALSE),0)</f>
        <v>0</v>
      </c>
      <c r="U13" s="268"/>
    </row>
    <row r="14" spans="1:28">
      <c r="A14" s="184">
        <v>13</v>
      </c>
      <c r="B14" s="160" t="s">
        <v>49</v>
      </c>
      <c r="C14" s="160"/>
      <c r="D14" s="372">
        <f>Input!$AW$12</f>
        <v>0</v>
      </c>
      <c r="E14" s="372">
        <f>Input!$AX$12</f>
        <v>0</v>
      </c>
      <c r="F14" s="372">
        <f>Input!$AY$12</f>
        <v>0</v>
      </c>
      <c r="G14" s="372">
        <f>Input!$AZ$12</f>
        <v>0</v>
      </c>
      <c r="H14" s="372">
        <f>Input!$BA$12</f>
        <v>0</v>
      </c>
      <c r="I14" s="372">
        <f>Input!$BB$12</f>
        <v>0</v>
      </c>
      <c r="J14" s="372">
        <f>Input!$BC$12</f>
        <v>0</v>
      </c>
      <c r="K14" s="372">
        <f>Input!$BD$12</f>
        <v>0</v>
      </c>
      <c r="L14" s="372">
        <f>Input!$BE$12</f>
        <v>0</v>
      </c>
      <c r="M14" s="373">
        <f t="shared" si="0"/>
        <v>0</v>
      </c>
      <c r="N14" s="160"/>
      <c r="O14" s="482"/>
      <c r="P14" s="485"/>
    </row>
    <row r="15" spans="1:28" ht="15">
      <c r="A15" s="184">
        <v>14</v>
      </c>
      <c r="B15" s="176" t="s">
        <v>3</v>
      </c>
      <c r="C15" s="176"/>
      <c r="D15" s="374">
        <f t="shared" ref="D15:L15" si="1">SUM(D10:D14)</f>
        <v>159676567</v>
      </c>
      <c r="E15" s="374">
        <f t="shared" si="1"/>
        <v>780187</v>
      </c>
      <c r="F15" s="374">
        <f t="shared" si="1"/>
        <v>0</v>
      </c>
      <c r="G15" s="374">
        <f t="shared" si="1"/>
        <v>1719659</v>
      </c>
      <c r="H15" s="374">
        <f t="shared" si="1"/>
        <v>0</v>
      </c>
      <c r="I15" s="374">
        <f t="shared" si="1"/>
        <v>0</v>
      </c>
      <c r="J15" s="374">
        <f t="shared" si="1"/>
        <v>0</v>
      </c>
      <c r="K15" s="374">
        <f t="shared" si="1"/>
        <v>0</v>
      </c>
      <c r="L15" s="374">
        <f t="shared" si="1"/>
        <v>0</v>
      </c>
      <c r="M15" s="374">
        <f t="shared" si="0"/>
        <v>162176413</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58" t="s">
        <v>1042</v>
      </c>
      <c r="C18" s="558"/>
      <c r="D18" s="374">
        <f t="shared" ref="D18:L18" si="2">D23-SUM(D19:D22)</f>
        <v>63714972</v>
      </c>
      <c r="E18" s="374">
        <f t="shared" si="2"/>
        <v>179828468</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243543440</v>
      </c>
      <c r="V18" s="327"/>
      <c r="X18" s="330"/>
    </row>
    <row r="19" spans="1:26" s="264" customFormat="1" ht="12.75" customHeight="1" thickTop="1" thickBot="1">
      <c r="A19" s="263"/>
      <c r="B19" s="261" t="s">
        <v>722</v>
      </c>
      <c r="C19" s="261"/>
      <c r="D19" s="372">
        <f>Input!$BF$12</f>
        <v>-11667359</v>
      </c>
      <c r="E19" s="372">
        <f>Input!$BG$12</f>
        <v>0</v>
      </c>
      <c r="F19" s="372">
        <f>Input!$BH$12</f>
        <v>0</v>
      </c>
      <c r="G19" s="372">
        <f>Input!$BI$12</f>
        <v>0</v>
      </c>
      <c r="H19" s="372">
        <f>Input!$BJ$12</f>
        <v>0</v>
      </c>
      <c r="I19" s="372">
        <f>Input!$BK$12</f>
        <v>0</v>
      </c>
      <c r="J19" s="372">
        <f>Input!$BL$12</f>
        <v>0</v>
      </c>
      <c r="K19" s="372">
        <f>Input!$BM$12</f>
        <v>0</v>
      </c>
      <c r="L19" s="372">
        <f>Input!$BN$12</f>
        <v>0</v>
      </c>
      <c r="M19" s="373">
        <f t="shared" si="3"/>
        <v>-11667359</v>
      </c>
      <c r="O19" s="1732" t="s">
        <v>1294</v>
      </c>
      <c r="P19" s="1733"/>
      <c r="Q19" s="1733"/>
      <c r="R19" s="1734"/>
      <c r="T19" s="1735" t="s">
        <v>1043</v>
      </c>
      <c r="U19" s="1736"/>
      <c r="V19" s="1736"/>
      <c r="W19" s="1736"/>
      <c r="X19" s="1737"/>
    </row>
    <row r="20" spans="1:26" s="264" customFormat="1" ht="12.75" customHeight="1" thickTop="1">
      <c r="A20" s="263"/>
      <c r="B20" s="261" t="s">
        <v>723</v>
      </c>
      <c r="C20" s="261"/>
      <c r="D20" s="372">
        <f>Input!$BO$12</f>
        <v>0</v>
      </c>
      <c r="E20" s="372">
        <f>Input!$BP$12</f>
        <v>0</v>
      </c>
      <c r="F20" s="372">
        <f>Input!$BQ$12</f>
        <v>0</v>
      </c>
      <c r="G20" s="372">
        <f>Input!$BR$12</f>
        <v>0</v>
      </c>
      <c r="H20" s="372">
        <f>Input!$BS$12</f>
        <v>0</v>
      </c>
      <c r="I20" s="372">
        <f>Input!$BT$12</f>
        <v>0</v>
      </c>
      <c r="J20" s="372">
        <f>Input!$BU$12</f>
        <v>0</v>
      </c>
      <c r="K20" s="372">
        <f>Input!$BV$12</f>
        <v>0</v>
      </c>
      <c r="L20" s="372">
        <f>Input!$BW$12</f>
        <v>0</v>
      </c>
      <c r="M20" s="373">
        <f t="shared" si="3"/>
        <v>0</v>
      </c>
      <c r="O20" s="421" t="s">
        <v>288</v>
      </c>
      <c r="P20" s="422"/>
      <c r="Q20" s="414"/>
      <c r="R20" s="559"/>
      <c r="T20" s="560" t="s">
        <v>1044</v>
      </c>
      <c r="U20" s="266"/>
      <c r="V20" s="266"/>
      <c r="X20" s="425"/>
    </row>
    <row r="21" spans="1:26" s="264" customFormat="1">
      <c r="A21" s="263"/>
      <c r="B21" s="261" t="s">
        <v>724</v>
      </c>
      <c r="C21" s="261"/>
      <c r="D21" s="372">
        <f>Input!$BX$12</f>
        <v>0</v>
      </c>
      <c r="E21" s="372">
        <f>Input!$BY$12</f>
        <v>0</v>
      </c>
      <c r="F21" s="372">
        <f>Input!$BZ$12</f>
        <v>0</v>
      </c>
      <c r="G21" s="372">
        <f>Input!$CA$12</f>
        <v>0</v>
      </c>
      <c r="H21" s="372">
        <f>Input!$CB$12</f>
        <v>0</v>
      </c>
      <c r="I21" s="372">
        <f>Input!$CC$12</f>
        <v>0</v>
      </c>
      <c r="J21" s="372">
        <f>Input!$CD$12</f>
        <v>0</v>
      </c>
      <c r="K21" s="372">
        <f>Input!$CE$12</f>
        <v>0</v>
      </c>
      <c r="L21" s="372">
        <f>Input!$CF$12</f>
        <v>0</v>
      </c>
      <c r="M21" s="373">
        <f t="shared" si="3"/>
        <v>0</v>
      </c>
      <c r="O21" s="434"/>
      <c r="R21" s="561"/>
      <c r="T21" s="650" t="s">
        <v>1045</v>
      </c>
      <c r="U21" s="266"/>
      <c r="V21" s="266"/>
      <c r="W21" s="651">
        <f>M44</f>
        <v>251699436</v>
      </c>
      <c r="X21" s="425"/>
      <c r="Z21" s="330"/>
    </row>
    <row r="22" spans="1:26" s="264" customFormat="1">
      <c r="A22" s="263"/>
      <c r="B22" s="261" t="s">
        <v>725</v>
      </c>
      <c r="C22" s="261"/>
      <c r="D22" s="372">
        <f>Input!$CG$12</f>
        <v>0</v>
      </c>
      <c r="E22" s="372">
        <f>Input!$CH$12</f>
        <v>0</v>
      </c>
      <c r="F22" s="372">
        <f>Input!$CI$12</f>
        <v>0</v>
      </c>
      <c r="G22" s="372">
        <f>Input!$CJ$12</f>
        <v>0</v>
      </c>
      <c r="H22" s="372">
        <f>Input!$CK$12</f>
        <v>0</v>
      </c>
      <c r="I22" s="372">
        <f>Input!$CL$12</f>
        <v>0</v>
      </c>
      <c r="J22" s="372">
        <f>Input!$CM$12</f>
        <v>0</v>
      </c>
      <c r="K22" s="372">
        <f>Input!$CN$12</f>
        <v>0</v>
      </c>
      <c r="L22" s="372">
        <f>Input!$CO$12</f>
        <v>0</v>
      </c>
      <c r="M22" s="373">
        <f t="shared" si="3"/>
        <v>0</v>
      </c>
      <c r="N22" s="270"/>
      <c r="O22" s="434" t="s">
        <v>1046</v>
      </c>
      <c r="P22" s="276"/>
      <c r="Q22" s="424">
        <f>M23</f>
        <v>231876081</v>
      </c>
      <c r="R22" s="562"/>
      <c r="T22" s="650" t="s">
        <v>1047</v>
      </c>
      <c r="U22" s="266"/>
      <c r="V22" s="266"/>
      <c r="W22" s="652">
        <f>R30*-1</f>
        <v>112875355</v>
      </c>
      <c r="X22" s="425"/>
    </row>
    <row r="23" spans="1:26" s="264" customFormat="1" ht="12.75" customHeight="1">
      <c r="A23" s="263"/>
      <c r="B23" s="558" t="s">
        <v>726</v>
      </c>
      <c r="C23" s="563"/>
      <c r="D23" s="564">
        <f>Input!$CP$12</f>
        <v>52047613</v>
      </c>
      <c r="E23" s="564">
        <f>Input!$CQ$12</f>
        <v>179828468</v>
      </c>
      <c r="F23" s="564">
        <f>Input!$CR$12</f>
        <v>0</v>
      </c>
      <c r="G23" s="564">
        <f>Input!$CS$12</f>
        <v>0</v>
      </c>
      <c r="H23" s="564">
        <f>Input!$CT$12</f>
        <v>0</v>
      </c>
      <c r="I23" s="564">
        <f>Input!$CU$12</f>
        <v>0</v>
      </c>
      <c r="J23" s="564">
        <f>Input!$CV$12</f>
        <v>0</v>
      </c>
      <c r="K23" s="564">
        <f>Input!$CW$12</f>
        <v>0</v>
      </c>
      <c r="L23" s="564">
        <f>Input!$CX$12</f>
        <v>0</v>
      </c>
      <c r="M23" s="565">
        <f t="shared" si="3"/>
        <v>231876081</v>
      </c>
      <c r="O23" s="434"/>
      <c r="P23" s="276"/>
      <c r="Q23" s="424"/>
      <c r="R23" s="562"/>
      <c r="T23" s="560" t="s">
        <v>1230</v>
      </c>
      <c r="U23" s="266"/>
      <c r="V23" s="266"/>
      <c r="W23" s="276"/>
      <c r="X23" s="425">
        <f>SUM(W21:W22)</f>
        <v>364574791</v>
      </c>
      <c r="Z23" s="330"/>
    </row>
    <row r="24" spans="1:26" s="264" customFormat="1" ht="12.75" customHeight="1">
      <c r="A24" s="263"/>
      <c r="B24" s="261" t="s">
        <v>727</v>
      </c>
      <c r="C24" s="566"/>
      <c r="D24" s="372">
        <f>Input!$CY$12</f>
        <v>0</v>
      </c>
      <c r="E24" s="372">
        <f>Input!$CZ$12</f>
        <v>0</v>
      </c>
      <c r="F24" s="372">
        <f>Input!$DA$12</f>
        <v>0</v>
      </c>
      <c r="G24" s="372">
        <f>Input!$DB$12</f>
        <v>0</v>
      </c>
      <c r="H24" s="372">
        <f>Input!$DC$12</f>
        <v>0</v>
      </c>
      <c r="I24" s="372">
        <f>Input!$DD$12</f>
        <v>0</v>
      </c>
      <c r="J24" s="372">
        <f>Input!$DE$12</f>
        <v>0</v>
      </c>
      <c r="K24" s="372">
        <f>Input!$DF$12</f>
        <v>0</v>
      </c>
      <c r="L24" s="372">
        <f>Input!$DG$12</f>
        <v>0</v>
      </c>
      <c r="M24" s="567">
        <f t="shared" si="3"/>
        <v>0</v>
      </c>
      <c r="O24" s="417" t="s">
        <v>1048</v>
      </c>
      <c r="P24" s="276"/>
      <c r="Q24" s="327"/>
      <c r="R24" s="646">
        <f>SUM(M24:M28)</f>
        <v>-71884635</v>
      </c>
      <c r="T24" s="560"/>
      <c r="U24" s="266"/>
      <c r="V24" s="266"/>
      <c r="X24" s="425"/>
      <c r="Z24" s="330"/>
    </row>
    <row r="25" spans="1:26" s="264" customFormat="1" ht="12.75" customHeight="1">
      <c r="A25" s="263"/>
      <c r="B25" s="261" t="s">
        <v>728</v>
      </c>
      <c r="C25" s="566"/>
      <c r="D25" s="372">
        <f>Input!$DH$12</f>
        <v>0</v>
      </c>
      <c r="E25" s="372">
        <f>Input!$DI$12</f>
        <v>0</v>
      </c>
      <c r="F25" s="372">
        <f>Input!$DJ$12</f>
        <v>0</v>
      </c>
      <c r="G25" s="372">
        <f>Input!$DK$12</f>
        <v>0</v>
      </c>
      <c r="H25" s="372">
        <f>Input!$DL$12</f>
        <v>0</v>
      </c>
      <c r="I25" s="372">
        <f>Input!$DM$12</f>
        <v>0</v>
      </c>
      <c r="J25" s="372">
        <f>Input!$DN$12</f>
        <v>0</v>
      </c>
      <c r="K25" s="372">
        <f>Input!$DO$12</f>
        <v>0</v>
      </c>
      <c r="L25" s="372">
        <f>Input!$DP$12</f>
        <v>0</v>
      </c>
      <c r="M25" s="567">
        <f t="shared" si="3"/>
        <v>0</v>
      </c>
      <c r="O25" s="434"/>
      <c r="P25" s="276"/>
      <c r="Q25" s="327"/>
      <c r="R25" s="646"/>
      <c r="T25" s="568" t="s">
        <v>1103</v>
      </c>
      <c r="U25" s="569"/>
      <c r="V25" s="569"/>
      <c r="W25" s="653">
        <f>(M26+M39)*-1</f>
        <v>23139124</v>
      </c>
      <c r="X25" s="425"/>
      <c r="Z25" s="330"/>
    </row>
    <row r="26" spans="1:26" s="264" customFormat="1" ht="12.75" customHeight="1">
      <c r="A26" s="263"/>
      <c r="B26" s="261" t="s">
        <v>729</v>
      </c>
      <c r="C26" s="566"/>
      <c r="D26" s="372">
        <f>Input!$DQ$12</f>
        <v>-3539872</v>
      </c>
      <c r="E26" s="372">
        <f>Input!$DR$12</f>
        <v>-17248917</v>
      </c>
      <c r="F26" s="372">
        <f>Input!$DS$12</f>
        <v>0</v>
      </c>
      <c r="G26" s="372">
        <f>Input!$DT$12</f>
        <v>0</v>
      </c>
      <c r="H26" s="372">
        <f>Input!$DU$12</f>
        <v>0</v>
      </c>
      <c r="I26" s="372">
        <f>Input!$DV$12</f>
        <v>0</v>
      </c>
      <c r="J26" s="372">
        <f>Input!$DW$12</f>
        <v>0</v>
      </c>
      <c r="K26" s="372">
        <f>Input!$DX$12</f>
        <v>0</v>
      </c>
      <c r="L26" s="372">
        <f>Input!$DY$12</f>
        <v>0</v>
      </c>
      <c r="M26" s="567">
        <f t="shared" si="3"/>
        <v>-20788789</v>
      </c>
      <c r="O26" s="434" t="s">
        <v>1049</v>
      </c>
      <c r="P26" s="276"/>
      <c r="Q26" s="427">
        <f>M36</f>
        <v>132698710</v>
      </c>
      <c r="R26" s="570"/>
      <c r="T26" s="560" t="s">
        <v>1104</v>
      </c>
      <c r="U26" s="266"/>
      <c r="V26" s="266"/>
      <c r="W26" s="571">
        <f>(M21+M34)*-1</f>
        <v>0</v>
      </c>
      <c r="X26" s="425"/>
      <c r="Z26" s="330"/>
    </row>
    <row r="27" spans="1:26" s="264" customFormat="1">
      <c r="A27" s="263"/>
      <c r="B27" s="261" t="s">
        <v>730</v>
      </c>
      <c r="C27" s="566"/>
      <c r="D27" s="372">
        <f>Input!$DZ$12</f>
        <v>0</v>
      </c>
      <c r="E27" s="372">
        <f>Input!$EA$12</f>
        <v>0</v>
      </c>
      <c r="F27" s="372">
        <f>Input!$EB$12</f>
        <v>0</v>
      </c>
      <c r="G27" s="372">
        <f>Input!$EC$12</f>
        <v>0</v>
      </c>
      <c r="H27" s="372">
        <f>Input!$ED$12</f>
        <v>0</v>
      </c>
      <c r="I27" s="372">
        <f>Input!$EE$12</f>
        <v>0</v>
      </c>
      <c r="J27" s="372">
        <f>Input!$EF$12</f>
        <v>0</v>
      </c>
      <c r="K27" s="372">
        <f>Input!$EG$12</f>
        <v>0</v>
      </c>
      <c r="L27" s="372">
        <f>Input!EH6</f>
        <v>0</v>
      </c>
      <c r="M27" s="567">
        <f t="shared" si="3"/>
        <v>0</v>
      </c>
      <c r="O27" s="434"/>
      <c r="P27" s="276"/>
      <c r="Q27" s="427"/>
      <c r="R27" s="570"/>
      <c r="T27" s="650" t="s">
        <v>1105</v>
      </c>
      <c r="U27" s="584"/>
      <c r="V27" s="584"/>
      <c r="W27" s="654">
        <f>SUM(W25:W26)</f>
        <v>23139124</v>
      </c>
      <c r="X27" s="655"/>
    </row>
    <row r="28" spans="1:26" s="264" customFormat="1">
      <c r="A28" s="263"/>
      <c r="B28" s="261" t="s">
        <v>2133</v>
      </c>
      <c r="C28" s="566"/>
      <c r="D28" s="372">
        <f>Input!$EI$12</f>
        <v>-12685435</v>
      </c>
      <c r="E28" s="372">
        <f>Input!$EJ$12</f>
        <v>-38410411</v>
      </c>
      <c r="F28" s="372">
        <f>Input!$EK$12</f>
        <v>0</v>
      </c>
      <c r="G28" s="372">
        <f>Input!$EL$12</f>
        <v>0</v>
      </c>
      <c r="H28" s="372">
        <f>Input!$EM$12</f>
        <v>0</v>
      </c>
      <c r="I28" s="372">
        <f>Input!$EN$12</f>
        <v>0</v>
      </c>
      <c r="J28" s="372">
        <f>Input!$EO$12</f>
        <v>0</v>
      </c>
      <c r="K28" s="372">
        <f>Input!$EP$12</f>
        <v>0</v>
      </c>
      <c r="L28" s="372">
        <f>Input!$EQ$12</f>
        <v>0</v>
      </c>
      <c r="M28" s="567">
        <f t="shared" si="3"/>
        <v>-51095846</v>
      </c>
      <c r="O28" s="417" t="s">
        <v>1050</v>
      </c>
      <c r="Q28" s="429"/>
      <c r="R28" s="646">
        <f>SUM(M37:M41)</f>
        <v>-40990720</v>
      </c>
      <c r="T28" s="560" t="s">
        <v>1106</v>
      </c>
      <c r="U28" s="266"/>
      <c r="V28" s="266"/>
      <c r="W28" s="425">
        <f>(M27+M40)*-1</f>
        <v>0</v>
      </c>
      <c r="X28" s="655"/>
      <c r="Z28" s="330"/>
    </row>
    <row r="29" spans="1:26" s="264" customFormat="1" ht="12" customHeight="1">
      <c r="A29" s="263"/>
      <c r="B29" s="575" t="s">
        <v>39</v>
      </c>
      <c r="C29" s="563"/>
      <c r="D29" s="374">
        <f t="shared" ref="D29:L29" si="4">SUM(D23:D28)</f>
        <v>35822306</v>
      </c>
      <c r="E29" s="374">
        <f t="shared" si="4"/>
        <v>124169140</v>
      </c>
      <c r="F29" s="374">
        <f t="shared" si="4"/>
        <v>0</v>
      </c>
      <c r="G29" s="374">
        <f t="shared" si="4"/>
        <v>0</v>
      </c>
      <c r="H29" s="374">
        <f t="shared" si="4"/>
        <v>0</v>
      </c>
      <c r="I29" s="374">
        <f t="shared" si="4"/>
        <v>0</v>
      </c>
      <c r="J29" s="374">
        <f t="shared" si="4"/>
        <v>0</v>
      </c>
      <c r="K29" s="374">
        <f t="shared" si="4"/>
        <v>0</v>
      </c>
      <c r="L29" s="374">
        <f t="shared" si="4"/>
        <v>0</v>
      </c>
      <c r="M29" s="374">
        <f t="shared" si="3"/>
        <v>159991446</v>
      </c>
      <c r="O29" s="417"/>
      <c r="Q29" s="429"/>
      <c r="R29" s="576"/>
      <c r="T29" s="560" t="s">
        <v>1107</v>
      </c>
      <c r="U29" s="266"/>
      <c r="V29" s="266"/>
      <c r="W29" s="571">
        <f>(M22+M35)*-1</f>
        <v>0</v>
      </c>
      <c r="X29" s="655"/>
    </row>
    <row r="30" spans="1:26" s="264" customFormat="1" ht="16.5" customHeight="1">
      <c r="A30" s="263"/>
      <c r="B30" s="261"/>
      <c r="C30" s="566"/>
      <c r="D30" s="566"/>
      <c r="E30" s="566"/>
      <c r="F30" s="566"/>
      <c r="G30" s="566"/>
      <c r="H30" s="566"/>
      <c r="I30" s="566"/>
      <c r="J30" s="566"/>
      <c r="K30" s="566"/>
      <c r="L30" s="566"/>
      <c r="M30" s="567"/>
      <c r="O30" s="431" t="s">
        <v>289</v>
      </c>
      <c r="P30" s="432"/>
      <c r="Q30" s="433">
        <f>Q26+Q22</f>
        <v>364574791</v>
      </c>
      <c r="R30" s="647">
        <f>R28+R24</f>
        <v>-112875355</v>
      </c>
      <c r="T30" s="650" t="s">
        <v>1108</v>
      </c>
      <c r="U30" s="584"/>
      <c r="V30" s="584"/>
      <c r="W30" s="654">
        <f>SUM(W28:W29)</f>
        <v>0</v>
      </c>
      <c r="X30" s="655"/>
    </row>
    <row r="31" spans="1:26" s="264" customFormat="1" ht="12.75" customHeight="1">
      <c r="A31" s="263"/>
      <c r="B31" s="558" t="s">
        <v>1052</v>
      </c>
      <c r="C31" s="558"/>
      <c r="D31" s="374">
        <f t="shared" ref="D31:L31" si="5">D36-SUM(D32:D35)</f>
        <v>5394733</v>
      </c>
      <c r="E31" s="374">
        <f t="shared" si="5"/>
        <v>93394615</v>
      </c>
      <c r="F31" s="374">
        <f t="shared" si="5"/>
        <v>33909362</v>
      </c>
      <c r="G31" s="374">
        <f t="shared" si="5"/>
        <v>0</v>
      </c>
      <c r="H31" s="374">
        <f t="shared" si="5"/>
        <v>0</v>
      </c>
      <c r="I31" s="374">
        <f t="shared" si="5"/>
        <v>0</v>
      </c>
      <c r="J31" s="374">
        <f t="shared" si="5"/>
        <v>0</v>
      </c>
      <c r="K31" s="374">
        <f t="shared" si="5"/>
        <v>0</v>
      </c>
      <c r="L31" s="374">
        <f t="shared" si="5"/>
        <v>0</v>
      </c>
      <c r="M31" s="374">
        <f t="shared" ref="M31:M42" si="6">D31+E31+F31+G31+H31+I31+J31+K31+L31</f>
        <v>132698710</v>
      </c>
      <c r="O31" s="434" t="s">
        <v>290</v>
      </c>
      <c r="P31" s="276"/>
      <c r="Q31" s="335"/>
      <c r="R31" s="562"/>
      <c r="T31" s="572" t="s">
        <v>1109</v>
      </c>
      <c r="U31" s="573"/>
      <c r="V31" s="573"/>
      <c r="W31" s="574">
        <f>W27+W30</f>
        <v>23139124</v>
      </c>
      <c r="X31" s="425"/>
      <c r="Z31" s="330"/>
    </row>
    <row r="32" spans="1:26" s="264" customFormat="1" ht="12.75" customHeight="1">
      <c r="A32" s="263"/>
      <c r="B32" s="261" t="s">
        <v>722</v>
      </c>
      <c r="C32" s="261"/>
      <c r="D32" s="372">
        <f>Input!$ER$12</f>
        <v>0</v>
      </c>
      <c r="E32" s="372">
        <f>Input!$ES$12</f>
        <v>0</v>
      </c>
      <c r="F32" s="372">
        <f>Input!$ET$12</f>
        <v>0</v>
      </c>
      <c r="G32" s="372">
        <f>Input!$EU$12</f>
        <v>0</v>
      </c>
      <c r="H32" s="372">
        <f>Input!$EV$12</f>
        <v>0</v>
      </c>
      <c r="I32" s="372">
        <f>Input!$EW$12</f>
        <v>0</v>
      </c>
      <c r="J32" s="372">
        <f>Input!$EX$12</f>
        <v>0</v>
      </c>
      <c r="K32" s="372">
        <f>Input!$EY$12</f>
        <v>0</v>
      </c>
      <c r="L32" s="372">
        <f>Input!$EZ$12</f>
        <v>0</v>
      </c>
      <c r="M32" s="567">
        <f t="shared" si="6"/>
        <v>0</v>
      </c>
      <c r="O32" s="415" t="s">
        <v>1295</v>
      </c>
      <c r="P32" s="416"/>
      <c r="Q32" s="577">
        <f>Input!$SQ$12</f>
        <v>364574791</v>
      </c>
      <c r="R32" s="578"/>
      <c r="T32" s="560"/>
      <c r="U32" s="266"/>
      <c r="V32" s="266"/>
      <c r="X32" s="425"/>
      <c r="Z32" s="330"/>
    </row>
    <row r="33" spans="1:24" s="264" customFormat="1">
      <c r="A33" s="263"/>
      <c r="B33" s="261" t="s">
        <v>723</v>
      </c>
      <c r="C33" s="261"/>
      <c r="D33" s="372">
        <f>Input!$FA$12</f>
        <v>0</v>
      </c>
      <c r="E33" s="372">
        <f>Input!$FB$12</f>
        <v>0</v>
      </c>
      <c r="F33" s="372">
        <f>Input!$FC$12</f>
        <v>0</v>
      </c>
      <c r="G33" s="372">
        <f>Input!$FD$12</f>
        <v>0</v>
      </c>
      <c r="H33" s="372">
        <f>Input!$FE$12</f>
        <v>0</v>
      </c>
      <c r="I33" s="372">
        <f>Input!$FF$12</f>
        <v>0</v>
      </c>
      <c r="J33" s="372">
        <f>Input!$FG$12</f>
        <v>0</v>
      </c>
      <c r="K33" s="372">
        <f>Input!$FH$12</f>
        <v>0</v>
      </c>
      <c r="L33" s="372">
        <f>Input!$FI$12</f>
        <v>0</v>
      </c>
      <c r="M33" s="567">
        <f t="shared" si="6"/>
        <v>0</v>
      </c>
      <c r="O33" s="415"/>
      <c r="P33" s="416"/>
      <c r="Q33" s="327"/>
      <c r="R33" s="578"/>
      <c r="T33" s="560" t="s">
        <v>1051</v>
      </c>
      <c r="U33" s="266"/>
      <c r="V33" s="266"/>
      <c r="W33" s="334">
        <f>(M19+M32)*-1</f>
        <v>11667359</v>
      </c>
      <c r="X33" s="425"/>
    </row>
    <row r="34" spans="1:24" s="264" customFormat="1">
      <c r="A34" s="263"/>
      <c r="B34" s="261" t="s">
        <v>724</v>
      </c>
      <c r="C34" s="261"/>
      <c r="D34" s="372">
        <f>Input!$FJ$12</f>
        <v>0</v>
      </c>
      <c r="E34" s="372">
        <f>Input!$FK$12</f>
        <v>0</v>
      </c>
      <c r="F34" s="372">
        <f>Input!$FL$12</f>
        <v>0</v>
      </c>
      <c r="G34" s="372">
        <f>Input!$FM$12</f>
        <v>0</v>
      </c>
      <c r="H34" s="372">
        <f>Input!$FN$12</f>
        <v>0</v>
      </c>
      <c r="I34" s="372">
        <f>Input!$FO$12</f>
        <v>0</v>
      </c>
      <c r="J34" s="372">
        <f>Input!$FP$12</f>
        <v>0</v>
      </c>
      <c r="K34" s="372">
        <f>Input!$FQ$12</f>
        <v>0</v>
      </c>
      <c r="L34" s="372">
        <f>Input!$FR$12</f>
        <v>0</v>
      </c>
      <c r="M34" s="567">
        <f t="shared" si="6"/>
        <v>0</v>
      </c>
      <c r="O34" s="435" t="s">
        <v>1296</v>
      </c>
      <c r="P34" s="436"/>
      <c r="Q34" s="264" t="s">
        <v>291</v>
      </c>
      <c r="R34" s="648">
        <f>Input!$SR$12</f>
        <v>-112875355</v>
      </c>
      <c r="T34" s="560" t="s">
        <v>1110</v>
      </c>
      <c r="U34" s="266"/>
      <c r="V34" s="266"/>
      <c r="W34" s="430">
        <f>(M24+M37)*-1</f>
        <v>0</v>
      </c>
      <c r="X34" s="425"/>
    </row>
    <row r="35" spans="1:24" s="264" customFormat="1" ht="13.5" thickBot="1">
      <c r="A35" s="263"/>
      <c r="B35" s="261" t="s">
        <v>725</v>
      </c>
      <c r="C35" s="261"/>
      <c r="D35" s="372">
        <f>Input!$FS$12</f>
        <v>0</v>
      </c>
      <c r="E35" s="372">
        <f>Input!$FT$12</f>
        <v>0</v>
      </c>
      <c r="F35" s="372">
        <f>Input!$FU$12</f>
        <v>0</v>
      </c>
      <c r="G35" s="372">
        <f>Input!$FV$12</f>
        <v>0</v>
      </c>
      <c r="H35" s="372">
        <f>Input!$FW$12</f>
        <v>0</v>
      </c>
      <c r="I35" s="372">
        <f>Input!$FX$12</f>
        <v>0</v>
      </c>
      <c r="J35" s="372">
        <f>Input!$FY$12</f>
        <v>0</v>
      </c>
      <c r="K35" s="372">
        <f>Input!$FZ$12</f>
        <v>0</v>
      </c>
      <c r="L35" s="372">
        <f>Input!$GA$12</f>
        <v>0</v>
      </c>
      <c r="M35" s="567">
        <f t="shared" si="6"/>
        <v>0</v>
      </c>
      <c r="O35" s="418" t="s">
        <v>286</v>
      </c>
      <c r="P35" s="419"/>
      <c r="Q35" s="420">
        <f>Q30-Q32</f>
        <v>0</v>
      </c>
      <c r="R35" s="649">
        <f>R30-R34</f>
        <v>0</v>
      </c>
      <c r="T35" s="650" t="s">
        <v>1111</v>
      </c>
      <c r="U35" s="584"/>
      <c r="V35" s="584"/>
      <c r="W35" s="656">
        <f>SUM(W33:W34)</f>
        <v>11667359</v>
      </c>
      <c r="X35" s="655"/>
    </row>
    <row r="36" spans="1:24" s="264" customFormat="1" ht="13.5" thickTop="1">
      <c r="A36" s="263"/>
      <c r="B36" s="558" t="s">
        <v>732</v>
      </c>
      <c r="C36" s="563"/>
      <c r="D36" s="564">
        <f>Input!$GB$12</f>
        <v>5394733</v>
      </c>
      <c r="E36" s="564">
        <f>Input!$GC$12</f>
        <v>93394615</v>
      </c>
      <c r="F36" s="564">
        <f>Input!$GD$12</f>
        <v>33909362</v>
      </c>
      <c r="G36" s="564">
        <f>Input!$GE$12</f>
        <v>0</v>
      </c>
      <c r="H36" s="564">
        <f>Input!$GF$12</f>
        <v>0</v>
      </c>
      <c r="I36" s="564">
        <f>Input!$GG$12</f>
        <v>0</v>
      </c>
      <c r="J36" s="564">
        <f>Input!$GH$12</f>
        <v>0</v>
      </c>
      <c r="K36" s="564">
        <f>Input!$GI$12</f>
        <v>0</v>
      </c>
      <c r="L36" s="564">
        <f>Input!$GJ$12</f>
        <v>0</v>
      </c>
      <c r="M36" s="565">
        <f t="shared" si="6"/>
        <v>132698710</v>
      </c>
      <c r="O36" s="261"/>
      <c r="Q36" s="412" t="str">
        <f>IF(Q30&lt;&gt;Q32,"Out of Balance","Balanced")</f>
        <v>Balanced</v>
      </c>
      <c r="R36" s="412" t="str">
        <f>IF(R30&lt;&gt;R34,"Out of Balance","Balanced")</f>
        <v>Balanced</v>
      </c>
      <c r="T36" s="560" t="s">
        <v>1053</v>
      </c>
      <c r="U36" s="266"/>
      <c r="V36" s="266"/>
      <c r="W36" s="334">
        <f>(M20+M33)*-1</f>
        <v>0</v>
      </c>
      <c r="X36" s="425"/>
    </row>
    <row r="37" spans="1:24" s="264" customFormat="1">
      <c r="A37" s="263"/>
      <c r="B37" s="261" t="s">
        <v>727</v>
      </c>
      <c r="C37" s="566"/>
      <c r="D37" s="372">
        <f>Input!$GK$12</f>
        <v>0</v>
      </c>
      <c r="E37" s="372">
        <f>Input!$GL$12</f>
        <v>0</v>
      </c>
      <c r="F37" s="372">
        <f>Input!$GM$12</f>
        <v>0</v>
      </c>
      <c r="G37" s="372">
        <f>Input!$GN$12</f>
        <v>0</v>
      </c>
      <c r="H37" s="372">
        <f>Input!$GO$12</f>
        <v>0</v>
      </c>
      <c r="I37" s="372">
        <f>Input!$GP$12</f>
        <v>0</v>
      </c>
      <c r="J37" s="372">
        <f>Input!$GQ$12</f>
        <v>0</v>
      </c>
      <c r="K37" s="372">
        <f>Input!$GR$12</f>
        <v>0</v>
      </c>
      <c r="L37" s="372">
        <f>Input!$GS$12</f>
        <v>0</v>
      </c>
      <c r="M37" s="567">
        <f t="shared" si="6"/>
        <v>0</v>
      </c>
      <c r="O37" s="261"/>
      <c r="T37" s="560" t="s">
        <v>1112</v>
      </c>
      <c r="U37" s="266"/>
      <c r="V37" s="266"/>
      <c r="W37" s="430">
        <f>(M25+M38)*-1</f>
        <v>0</v>
      </c>
      <c r="X37" s="655"/>
    </row>
    <row r="38" spans="1:24" s="264" customFormat="1">
      <c r="A38" s="263"/>
      <c r="B38" s="261" t="s">
        <v>728</v>
      </c>
      <c r="C38" s="566"/>
      <c r="D38" s="372">
        <f>Input!$GT$12</f>
        <v>0</v>
      </c>
      <c r="E38" s="372">
        <f>Input!$GU$12</f>
        <v>0</v>
      </c>
      <c r="F38" s="372">
        <f>Input!$GV$12</f>
        <v>0</v>
      </c>
      <c r="G38" s="372">
        <f>Input!$GW$12</f>
        <v>0</v>
      </c>
      <c r="H38" s="372">
        <f>Input!$GX$12</f>
        <v>0</v>
      </c>
      <c r="I38" s="372">
        <f>Input!$GY$12</f>
        <v>0</v>
      </c>
      <c r="J38" s="372">
        <f>Input!$GZ$12</f>
        <v>0</v>
      </c>
      <c r="K38" s="372">
        <f>Input!$HA$12</f>
        <v>0</v>
      </c>
      <c r="L38" s="372">
        <f>Input!$HB$12</f>
        <v>0</v>
      </c>
      <c r="M38" s="567">
        <f t="shared" si="6"/>
        <v>0</v>
      </c>
      <c r="O38" s="261"/>
      <c r="T38" s="650" t="s">
        <v>1113</v>
      </c>
      <c r="U38" s="584"/>
      <c r="V38" s="584"/>
      <c r="W38" s="656">
        <f>SUM(W36:W37)</f>
        <v>0</v>
      </c>
      <c r="X38" s="425"/>
    </row>
    <row r="39" spans="1:24" s="264" customFormat="1">
      <c r="A39" s="263"/>
      <c r="B39" s="261" t="s">
        <v>729</v>
      </c>
      <c r="C39" s="566"/>
      <c r="D39" s="372">
        <f>Input!$HC$12</f>
        <v>0</v>
      </c>
      <c r="E39" s="372">
        <f>Input!$HD$12</f>
        <v>0</v>
      </c>
      <c r="F39" s="372">
        <f>Input!$HE$12</f>
        <v>-2350335</v>
      </c>
      <c r="G39" s="372">
        <f>Input!$HF$12</f>
        <v>0</v>
      </c>
      <c r="H39" s="372">
        <f>Input!$HG$12</f>
        <v>0</v>
      </c>
      <c r="I39" s="372">
        <f>Input!$HH$12</f>
        <v>0</v>
      </c>
      <c r="J39" s="372">
        <f>Input!$HI$12</f>
        <v>0</v>
      </c>
      <c r="K39" s="372">
        <f>Input!$HJ$12</f>
        <v>0</v>
      </c>
      <c r="L39" s="372">
        <f>Input!$HK$12</f>
        <v>0</v>
      </c>
      <c r="M39" s="567">
        <f t="shared" si="6"/>
        <v>-2350335</v>
      </c>
      <c r="O39" s="261"/>
      <c r="T39" s="560" t="s">
        <v>1054</v>
      </c>
      <c r="U39" s="266"/>
      <c r="V39" s="266"/>
      <c r="W39" s="334"/>
      <c r="X39" s="425">
        <f>W38+W35</f>
        <v>11667359</v>
      </c>
    </row>
    <row r="40" spans="1:24" s="264" customFormat="1">
      <c r="A40" s="263"/>
      <c r="B40" s="261" t="s">
        <v>730</v>
      </c>
      <c r="C40" s="566"/>
      <c r="D40" s="372">
        <f>Input!$HL$12</f>
        <v>0</v>
      </c>
      <c r="E40" s="372">
        <f>Input!$HM$12</f>
        <v>0</v>
      </c>
      <c r="F40" s="372">
        <f>Input!$HN$12</f>
        <v>0</v>
      </c>
      <c r="G40" s="372">
        <f>Input!$HO$12</f>
        <v>0</v>
      </c>
      <c r="H40" s="372">
        <f>Input!$HP$12</f>
        <v>0</v>
      </c>
      <c r="I40" s="372">
        <f>Input!$HQ$12</f>
        <v>0</v>
      </c>
      <c r="J40" s="372">
        <f>Input!$HR$12</f>
        <v>0</v>
      </c>
      <c r="K40" s="372">
        <f>Input!$HS$12</f>
        <v>0</v>
      </c>
      <c r="L40" s="372">
        <f>Input!$HT$12</f>
        <v>0</v>
      </c>
      <c r="M40" s="567">
        <f t="shared" si="6"/>
        <v>0</v>
      </c>
      <c r="O40" s="261"/>
      <c r="T40" s="560"/>
      <c r="U40" s="261"/>
      <c r="V40" s="261"/>
      <c r="W40" s="261"/>
      <c r="X40" s="655"/>
    </row>
    <row r="41" spans="1:24" s="264" customFormat="1">
      <c r="A41" s="263"/>
      <c r="B41" s="261" t="s">
        <v>2133</v>
      </c>
      <c r="C41" s="566"/>
      <c r="D41" s="372">
        <f>Input!$HU$12</f>
        <v>-1681752</v>
      </c>
      <c r="E41" s="372">
        <f>Input!$HV$12</f>
        <v>-28906888</v>
      </c>
      <c r="F41" s="372">
        <f>Input!$HW$12</f>
        <v>-8051745</v>
      </c>
      <c r="G41" s="372">
        <f>Input!$HX$12</f>
        <v>0</v>
      </c>
      <c r="H41" s="372">
        <f>Input!$HY$12</f>
        <v>0</v>
      </c>
      <c r="I41" s="372">
        <f>Input!$HZ$12</f>
        <v>0</v>
      </c>
      <c r="J41" s="372">
        <f>Input!$IA$12</f>
        <v>0</v>
      </c>
      <c r="K41" s="372">
        <f>Input!$IB$12</f>
        <v>0</v>
      </c>
      <c r="L41" s="372">
        <f>Input!$IC$12</f>
        <v>0</v>
      </c>
      <c r="M41" s="567">
        <f t="shared" si="6"/>
        <v>-38640385</v>
      </c>
      <c r="O41"/>
      <c r="P41"/>
      <c r="Q41"/>
      <c r="R41"/>
      <c r="S41"/>
      <c r="T41" s="560" t="s">
        <v>1104</v>
      </c>
      <c r="U41" s="266"/>
      <c r="V41" s="266"/>
      <c r="W41" s="330">
        <f>(M21+M34)*-1</f>
        <v>0</v>
      </c>
      <c r="X41" s="425"/>
    </row>
    <row r="42" spans="1:24" s="264" customFormat="1">
      <c r="A42" s="263"/>
      <c r="B42" s="575" t="s">
        <v>40</v>
      </c>
      <c r="C42" s="563"/>
      <c r="D42" s="374">
        <f t="shared" ref="D42:L42" si="7">SUM(D36:D41)</f>
        <v>3712981</v>
      </c>
      <c r="E42" s="374">
        <f t="shared" si="7"/>
        <v>64487727</v>
      </c>
      <c r="F42" s="374">
        <f t="shared" si="7"/>
        <v>23507282</v>
      </c>
      <c r="G42" s="374">
        <f t="shared" si="7"/>
        <v>0</v>
      </c>
      <c r="H42" s="374">
        <f t="shared" si="7"/>
        <v>0</v>
      </c>
      <c r="I42" s="374">
        <f t="shared" si="7"/>
        <v>0</v>
      </c>
      <c r="J42" s="374">
        <f t="shared" si="7"/>
        <v>0</v>
      </c>
      <c r="K42" s="374">
        <f t="shared" si="7"/>
        <v>0</v>
      </c>
      <c r="L42" s="374">
        <f t="shared" si="7"/>
        <v>0</v>
      </c>
      <c r="M42" s="374">
        <f t="shared" si="6"/>
        <v>91707990</v>
      </c>
      <c r="O42"/>
      <c r="P42"/>
      <c r="Q42"/>
      <c r="R42"/>
      <c r="S42"/>
      <c r="T42" s="560" t="s">
        <v>1107</v>
      </c>
      <c r="U42" s="266"/>
      <c r="V42" s="266"/>
      <c r="W42" s="430">
        <f>(M22+M35)*-1</f>
        <v>0</v>
      </c>
      <c r="X42" s="425"/>
    </row>
    <row r="43" spans="1:24" s="264" customFormat="1">
      <c r="A43" s="263"/>
      <c r="B43" s="261"/>
      <c r="C43" s="566"/>
      <c r="D43" s="566"/>
      <c r="E43" s="566"/>
      <c r="F43" s="566"/>
      <c r="G43" s="566"/>
      <c r="H43" s="566"/>
      <c r="I43" s="566"/>
      <c r="J43" s="566"/>
      <c r="K43" s="566"/>
      <c r="L43" s="566"/>
      <c r="M43" s="567"/>
      <c r="O43"/>
      <c r="P43"/>
      <c r="Q43"/>
      <c r="R43"/>
      <c r="S43"/>
      <c r="T43" s="650" t="s">
        <v>1114</v>
      </c>
      <c r="U43" s="584"/>
      <c r="V43" s="584"/>
      <c r="W43" s="656">
        <f>SUM(W41:W42)</f>
        <v>0</v>
      </c>
      <c r="X43" s="655"/>
    </row>
    <row r="44" spans="1:24" s="264" customFormat="1" ht="13.5" customHeight="1">
      <c r="A44" s="263"/>
      <c r="B44" s="575" t="s">
        <v>1055</v>
      </c>
      <c r="C44" s="563"/>
      <c r="D44" s="374">
        <f t="shared" ref="D44:L44" si="8">D42+D29</f>
        <v>39535287</v>
      </c>
      <c r="E44" s="374">
        <f t="shared" si="8"/>
        <v>188656867</v>
      </c>
      <c r="F44" s="374">
        <f t="shared" si="8"/>
        <v>23507282</v>
      </c>
      <c r="G44" s="374">
        <f t="shared" si="8"/>
        <v>0</v>
      </c>
      <c r="H44" s="374">
        <f t="shared" si="8"/>
        <v>0</v>
      </c>
      <c r="I44" s="374">
        <f t="shared" si="8"/>
        <v>0</v>
      </c>
      <c r="J44" s="374">
        <f t="shared" si="8"/>
        <v>0</v>
      </c>
      <c r="K44" s="374">
        <f t="shared" si="8"/>
        <v>0</v>
      </c>
      <c r="L44" s="374">
        <f t="shared" si="8"/>
        <v>0</v>
      </c>
      <c r="M44" s="374">
        <f>D44+E44+F44+G44+H44+I44+J44+K44+L44</f>
        <v>251699436</v>
      </c>
      <c r="O44"/>
      <c r="P44"/>
      <c r="Q44"/>
      <c r="R44"/>
      <c r="S44"/>
      <c r="T44" s="560"/>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0"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0" t="s">
        <v>1112</v>
      </c>
      <c r="U46" s="266"/>
      <c r="V46" s="266"/>
      <c r="W46" s="430">
        <f>(M25+M38)*-1</f>
        <v>0</v>
      </c>
      <c r="X46" s="425"/>
    </row>
    <row r="47" spans="1:24">
      <c r="A47" s="184">
        <v>30</v>
      </c>
      <c r="B47" s="176" t="s">
        <v>7</v>
      </c>
      <c r="C47" s="176"/>
      <c r="D47" s="375">
        <f>Input!$ID$12</f>
        <v>4955289</v>
      </c>
      <c r="E47" s="375">
        <f>Input!$IE$12</f>
        <v>11531181</v>
      </c>
      <c r="F47" s="375">
        <f>Input!$IF$12</f>
        <v>0</v>
      </c>
      <c r="G47" s="375">
        <f>Input!$IG$12</f>
        <v>184428360</v>
      </c>
      <c r="H47" s="375">
        <f>Input!$IH$12</f>
        <v>0</v>
      </c>
      <c r="I47" s="375">
        <f>Input!$II$12</f>
        <v>0</v>
      </c>
      <c r="J47" s="375">
        <f>Input!$IJ$12</f>
        <v>0</v>
      </c>
      <c r="K47" s="375">
        <f>Input!$IK$12</f>
        <v>0</v>
      </c>
      <c r="L47" s="375">
        <f>Input!$IL$12</f>
        <v>0</v>
      </c>
      <c r="M47" s="374">
        <f>D47+E47+F47+G47+H47+I47+J47+K47+L47</f>
        <v>200914830</v>
      </c>
      <c r="N47" s="160"/>
      <c r="O47"/>
      <c r="P47"/>
      <c r="Q47"/>
      <c r="R47"/>
      <c r="S47"/>
      <c r="T47" s="657" t="s">
        <v>1115</v>
      </c>
      <c r="U47" s="27"/>
      <c r="V47" s="27"/>
      <c r="W47" s="656">
        <f>SUM(W45:W46)</f>
        <v>0</v>
      </c>
      <c r="X47" s="655"/>
    </row>
    <row r="48" spans="1:24">
      <c r="A48" s="184">
        <v>31</v>
      </c>
      <c r="B48" s="160"/>
      <c r="C48" s="160"/>
      <c r="D48" s="373"/>
      <c r="E48" s="373"/>
      <c r="F48" s="373"/>
      <c r="G48" s="373"/>
      <c r="H48" s="373"/>
      <c r="I48" s="373"/>
      <c r="J48" s="373"/>
      <c r="K48" s="373"/>
      <c r="L48" s="373"/>
      <c r="M48" s="373"/>
      <c r="N48" s="160"/>
      <c r="O48"/>
      <c r="P48"/>
      <c r="Q48"/>
      <c r="R48"/>
      <c r="S48"/>
      <c r="T48" s="560"/>
      <c r="U48" s="261"/>
      <c r="V48" s="261"/>
      <c r="W48" s="261"/>
      <c r="X48" s="658">
        <f>W43-W47</f>
        <v>0</v>
      </c>
    </row>
    <row r="49" spans="1:28">
      <c r="A49" s="184">
        <v>32</v>
      </c>
      <c r="B49" s="172" t="s">
        <v>8</v>
      </c>
      <c r="C49" s="172"/>
      <c r="D49" s="373"/>
      <c r="E49" s="373"/>
      <c r="F49" s="373"/>
      <c r="G49" s="373"/>
      <c r="H49" s="373"/>
      <c r="I49" s="373"/>
      <c r="J49" s="373"/>
      <c r="K49" s="373"/>
      <c r="L49" s="373"/>
      <c r="M49" s="373"/>
      <c r="N49" s="160"/>
      <c r="O49" s="273"/>
      <c r="T49" s="579" t="s">
        <v>287</v>
      </c>
      <c r="U49" s="511"/>
      <c r="V49" s="580"/>
      <c r="W49" s="580"/>
      <c r="X49" s="574">
        <f>SUM(X23:X48)</f>
        <v>376242150</v>
      </c>
    </row>
    <row r="50" spans="1:28">
      <c r="A50" s="184">
        <v>33</v>
      </c>
      <c r="B50" s="160" t="s">
        <v>42</v>
      </c>
      <c r="C50" s="160"/>
      <c r="D50" s="372">
        <f>Input!$IM$12</f>
        <v>113422</v>
      </c>
      <c r="E50" s="372">
        <f>Input!$IN$12</f>
        <v>9265294</v>
      </c>
      <c r="F50" s="372">
        <f>Input!$IO$12</f>
        <v>2860031</v>
      </c>
      <c r="G50" s="372">
        <f>Input!$IP$12</f>
        <v>9423139</v>
      </c>
      <c r="H50" s="372">
        <f>Input!$IQ$12</f>
        <v>26939</v>
      </c>
      <c r="I50" s="372">
        <f>Input!$IR$12</f>
        <v>247158</v>
      </c>
      <c r="J50" s="372">
        <f>Input!$IS$12</f>
        <v>990711</v>
      </c>
      <c r="K50" s="372">
        <f>Input!$IT$12</f>
        <v>0</v>
      </c>
      <c r="L50" s="372">
        <f>Input!$IU$12</f>
        <v>0</v>
      </c>
      <c r="M50" s="373">
        <f t="shared" ref="M50:M57" si="9">D50+E50+F50+G50+H50+I50+J50+K50+L50</f>
        <v>22926694</v>
      </c>
      <c r="N50" s="160"/>
      <c r="O50" s="273"/>
      <c r="U50" s="275"/>
    </row>
    <row r="51" spans="1:28">
      <c r="A51" s="184">
        <v>34</v>
      </c>
      <c r="B51" s="160" t="s">
        <v>9</v>
      </c>
      <c r="C51" s="160"/>
      <c r="D51" s="372">
        <f>Input!$IV$12</f>
        <v>0</v>
      </c>
      <c r="E51" s="372">
        <f>Input!$IW$12</f>
        <v>469629</v>
      </c>
      <c r="F51" s="372">
        <f>Input!$IX$12</f>
        <v>0</v>
      </c>
      <c r="G51" s="372">
        <f>Input!$IY$12</f>
        <v>2695777</v>
      </c>
      <c r="H51" s="372">
        <f>Input!$IZ$12</f>
        <v>0</v>
      </c>
      <c r="I51" s="372">
        <f>Input!$JA$12</f>
        <v>0</v>
      </c>
      <c r="J51" s="372">
        <f>Input!$JB$12</f>
        <v>0</v>
      </c>
      <c r="K51" s="372">
        <f>Input!$JC$12</f>
        <v>0</v>
      </c>
      <c r="L51" s="372">
        <f>Input!$JD$12</f>
        <v>0</v>
      </c>
      <c r="M51" s="376">
        <f t="shared" si="9"/>
        <v>3165406</v>
      </c>
      <c r="N51" s="160"/>
      <c r="Y51" s="277"/>
    </row>
    <row r="52" spans="1:28">
      <c r="A52" s="184">
        <v>35</v>
      </c>
      <c r="B52" s="160" t="s">
        <v>10</v>
      </c>
      <c r="C52" s="160"/>
      <c r="D52" s="372">
        <f>Input!$JE$12</f>
        <v>0</v>
      </c>
      <c r="E52" s="372">
        <f>Input!$JF$12</f>
        <v>534772</v>
      </c>
      <c r="F52" s="372">
        <f>Input!$JG$12</f>
        <v>0</v>
      </c>
      <c r="G52" s="372">
        <f>Input!$JH$12</f>
        <v>100194639</v>
      </c>
      <c r="H52" s="372">
        <f>Input!$JI$12</f>
        <v>0</v>
      </c>
      <c r="I52" s="372">
        <f>Input!$JJ$12</f>
        <v>0</v>
      </c>
      <c r="J52" s="372">
        <f>Input!$JK$12</f>
        <v>0</v>
      </c>
      <c r="K52" s="372">
        <f>Input!$JL$12</f>
        <v>0</v>
      </c>
      <c r="L52" s="372">
        <f>Input!$JM$12</f>
        <v>0</v>
      </c>
      <c r="M52" s="373">
        <f t="shared" si="9"/>
        <v>100729411</v>
      </c>
      <c r="N52" s="160"/>
      <c r="O52" s="273"/>
      <c r="P52" s="278"/>
    </row>
    <row r="53" spans="1:28">
      <c r="A53" s="184">
        <v>36</v>
      </c>
      <c r="B53" s="160" t="s">
        <v>11</v>
      </c>
      <c r="C53" s="160"/>
      <c r="D53" s="372">
        <f>Input!$JN$12</f>
        <v>0</v>
      </c>
      <c r="E53" s="372">
        <f>Input!$JO$12</f>
        <v>7536591</v>
      </c>
      <c r="F53" s="372">
        <f>Input!$JP$12</f>
        <v>0</v>
      </c>
      <c r="G53" s="372">
        <f>Input!$JQ$12</f>
        <v>171787</v>
      </c>
      <c r="H53" s="372">
        <f>Input!$JR$12</f>
        <v>0</v>
      </c>
      <c r="I53" s="372">
        <f>Input!$JS$12</f>
        <v>0</v>
      </c>
      <c r="J53" s="372">
        <f>Input!$JT$12</f>
        <v>0</v>
      </c>
      <c r="K53" s="372">
        <f>Input!$JU$12</f>
        <v>0</v>
      </c>
      <c r="L53" s="372">
        <f>Input!$JV$12</f>
        <v>0</v>
      </c>
      <c r="M53" s="373">
        <f t="shared" si="9"/>
        <v>7708378</v>
      </c>
      <c r="N53" s="160"/>
      <c r="O53" s="273"/>
    </row>
    <row r="54" spans="1:28" ht="13.5" thickBot="1">
      <c r="A54" s="184">
        <v>37</v>
      </c>
      <c r="B54" s="177" t="s">
        <v>2134</v>
      </c>
      <c r="C54" s="177"/>
      <c r="D54" s="372">
        <f>Input!$JW$12</f>
        <v>0</v>
      </c>
      <c r="E54" s="372">
        <f>Input!$JX$12</f>
        <v>0</v>
      </c>
      <c r="F54" s="372">
        <f>Input!$JY$12</f>
        <v>24712849</v>
      </c>
      <c r="G54" s="372">
        <f>Input!$JZ$12</f>
        <v>0</v>
      </c>
      <c r="H54" s="372">
        <f>Input!$KA$12</f>
        <v>0</v>
      </c>
      <c r="I54" s="372">
        <f>Input!$KB$12</f>
        <v>0</v>
      </c>
      <c r="J54" s="372">
        <f>Input!$KC$12</f>
        <v>0</v>
      </c>
      <c r="K54" s="372">
        <f>Input!$KD$12</f>
        <v>0</v>
      </c>
      <c r="L54" s="372">
        <f>Input!$KE$12</f>
        <v>0</v>
      </c>
      <c r="M54" s="373">
        <f t="shared" si="9"/>
        <v>24712849</v>
      </c>
      <c r="N54" s="160"/>
      <c r="O54" s="273"/>
    </row>
    <row r="55" spans="1:28" ht="14.25" thickTop="1" thickBot="1">
      <c r="A55" s="184">
        <v>38</v>
      </c>
      <c r="B55" s="160" t="s">
        <v>43</v>
      </c>
      <c r="C55" s="160"/>
      <c r="D55" s="372">
        <f>Input!$KF$12</f>
        <v>0</v>
      </c>
      <c r="E55" s="372">
        <f>Input!$KG$12</f>
        <v>1609514</v>
      </c>
      <c r="F55" s="372">
        <f>Input!$KH$12</f>
        <v>28377</v>
      </c>
      <c r="G55" s="372">
        <f>Input!$KI$12</f>
        <v>1180055</v>
      </c>
      <c r="H55" s="372">
        <f>Input!$KJ$12</f>
        <v>40857</v>
      </c>
      <c r="I55" s="372">
        <f>Input!$KK$12</f>
        <v>0</v>
      </c>
      <c r="J55" s="372">
        <f>Input!$KL$12</f>
        <v>0</v>
      </c>
      <c r="K55" s="372">
        <f>Input!$KM$12</f>
        <v>0</v>
      </c>
      <c r="L55" s="372">
        <f>Input!$KN$12</f>
        <v>-12251</v>
      </c>
      <c r="M55" s="373">
        <f t="shared" si="9"/>
        <v>2846552</v>
      </c>
      <c r="N55" s="160"/>
      <c r="O55" s="1616" t="s">
        <v>251</v>
      </c>
      <c r="P55" s="1617"/>
      <c r="Q55" s="1617"/>
      <c r="R55" s="1618"/>
      <c r="S55" s="437"/>
      <c r="T55" s="1619" t="s">
        <v>252</v>
      </c>
      <c r="U55" s="1620"/>
      <c r="V55" s="1620"/>
      <c r="W55" s="1620"/>
      <c r="X55" s="1621"/>
      <c r="Y55" s="320"/>
      <c r="Z55" s="1749" t="s">
        <v>1301</v>
      </c>
      <c r="AA55" s="1750"/>
      <c r="AB55" s="1751"/>
    </row>
    <row r="56" spans="1:28" ht="13.5" customHeight="1" thickTop="1">
      <c r="A56" s="184">
        <v>39</v>
      </c>
      <c r="B56" s="176" t="s">
        <v>3</v>
      </c>
      <c r="C56" s="176"/>
      <c r="D56" s="374">
        <f>SUM(D50:D55)</f>
        <v>113422</v>
      </c>
      <c r="E56" s="374">
        <f t="shared" ref="E56:L56" si="10">SUM(E50:E55)</f>
        <v>19415800</v>
      </c>
      <c r="F56" s="374">
        <f t="shared" si="10"/>
        <v>27601257</v>
      </c>
      <c r="G56" s="374">
        <f t="shared" si="10"/>
        <v>113665397</v>
      </c>
      <c r="H56" s="374">
        <f t="shared" si="10"/>
        <v>67796</v>
      </c>
      <c r="I56" s="374">
        <f t="shared" si="10"/>
        <v>247158</v>
      </c>
      <c r="J56" s="374">
        <f t="shared" si="10"/>
        <v>990711</v>
      </c>
      <c r="K56" s="374">
        <f t="shared" si="10"/>
        <v>0</v>
      </c>
      <c r="L56" s="374">
        <f t="shared" si="10"/>
        <v>-12251</v>
      </c>
      <c r="M56" s="374">
        <f t="shared" si="9"/>
        <v>162089290</v>
      </c>
      <c r="N56" s="160"/>
      <c r="O56" s="1622" t="s">
        <v>1135</v>
      </c>
      <c r="P56" s="1625" t="s">
        <v>254</v>
      </c>
      <c r="Q56" s="1625" t="s">
        <v>292</v>
      </c>
      <c r="R56" s="1628" t="s">
        <v>1063</v>
      </c>
      <c r="S56" s="280"/>
      <c r="T56" s="1739" t="s">
        <v>1136</v>
      </c>
      <c r="U56" s="1637" t="s">
        <v>254</v>
      </c>
      <c r="V56" s="1634" t="s">
        <v>256</v>
      </c>
      <c r="W56" s="1637" t="s">
        <v>257</v>
      </c>
      <c r="X56" s="1638" t="s">
        <v>1064</v>
      </c>
      <c r="Z56" s="1754" t="s">
        <v>1302</v>
      </c>
      <c r="AA56" s="1747" t="s">
        <v>1303</v>
      </c>
      <c r="AB56" s="1752" t="s">
        <v>238</v>
      </c>
    </row>
    <row r="57" spans="1:28">
      <c r="A57" s="184">
        <v>40</v>
      </c>
      <c r="B57" s="162" t="s">
        <v>68</v>
      </c>
      <c r="C57" s="162"/>
      <c r="D57" s="374">
        <f>D15+D44+D47+D56</f>
        <v>204280565</v>
      </c>
      <c r="E57" s="374">
        <f t="shared" ref="E57:L57" si="11">E15+E44+E47+E56</f>
        <v>220384035</v>
      </c>
      <c r="F57" s="374">
        <f t="shared" si="11"/>
        <v>51108539</v>
      </c>
      <c r="G57" s="374">
        <f t="shared" si="11"/>
        <v>299813416</v>
      </c>
      <c r="H57" s="374">
        <f t="shared" si="11"/>
        <v>67796</v>
      </c>
      <c r="I57" s="374">
        <f t="shared" si="11"/>
        <v>247158</v>
      </c>
      <c r="J57" s="374">
        <f t="shared" si="11"/>
        <v>990711</v>
      </c>
      <c r="K57" s="374">
        <f t="shared" si="11"/>
        <v>0</v>
      </c>
      <c r="L57" s="374">
        <f t="shared" si="11"/>
        <v>-12251</v>
      </c>
      <c r="M57" s="374">
        <f t="shared" si="9"/>
        <v>776879969</v>
      </c>
      <c r="N57" s="160"/>
      <c r="O57" s="1623"/>
      <c r="P57" s="1626"/>
      <c r="Q57" s="1626"/>
      <c r="R57" s="1629"/>
      <c r="S57" s="280"/>
      <c r="T57" s="1740"/>
      <c r="U57" s="1626"/>
      <c r="V57" s="1635"/>
      <c r="W57" s="1626"/>
      <c r="X57" s="1639"/>
      <c r="Z57" s="1755"/>
      <c r="AA57" s="1747"/>
      <c r="AB57" s="1752"/>
    </row>
    <row r="58" spans="1:28">
      <c r="A58" s="184">
        <v>41</v>
      </c>
      <c r="B58" s="160"/>
      <c r="C58" s="160"/>
      <c r="D58" s="373"/>
      <c r="E58" s="373"/>
      <c r="F58" s="373"/>
      <c r="G58" s="373"/>
      <c r="H58" s="373"/>
      <c r="I58" s="373"/>
      <c r="J58" s="373"/>
      <c r="K58" s="373"/>
      <c r="L58" s="373"/>
      <c r="M58" s="373"/>
      <c r="N58" s="160"/>
      <c r="O58" s="1623"/>
      <c r="P58" s="1626"/>
      <c r="Q58" s="1626"/>
      <c r="R58" s="1629"/>
      <c r="S58" s="280"/>
      <c r="T58" s="1740"/>
      <c r="U58" s="1626"/>
      <c r="V58" s="1635"/>
      <c r="W58" s="1626"/>
      <c r="X58" s="1639"/>
      <c r="Z58" s="1755"/>
      <c r="AA58" s="1747"/>
      <c r="AB58" s="1752"/>
    </row>
    <row r="59" spans="1:28" ht="14.25" customHeight="1">
      <c r="A59" s="184">
        <v>42</v>
      </c>
      <c r="B59" s="174" t="s">
        <v>72</v>
      </c>
      <c r="C59" s="174"/>
      <c r="D59" s="377"/>
      <c r="E59" s="377"/>
      <c r="F59" s="377"/>
      <c r="G59" s="1746" t="str">
        <f>IF(OR(P105&gt;0,P106&lt;&gt;0,P107&lt;&gt;0),"Do not Enter Cents - Whole Dollars Only","")</f>
        <v/>
      </c>
      <c r="H59" s="1746"/>
      <c r="I59" s="1746"/>
      <c r="J59" s="1746"/>
      <c r="K59" s="1746"/>
      <c r="L59" s="377"/>
      <c r="M59" s="377"/>
      <c r="N59" s="160"/>
      <c r="O59" s="1624"/>
      <c r="P59" s="1627"/>
      <c r="Q59" s="1627"/>
      <c r="R59" s="1630"/>
      <c r="S59" s="280"/>
      <c r="T59" s="1741"/>
      <c r="U59" s="1627"/>
      <c r="V59" s="1636"/>
      <c r="W59" s="1627"/>
      <c r="X59" s="1640"/>
      <c r="Z59" s="1756"/>
      <c r="AA59" s="1748"/>
      <c r="AB59" s="1753"/>
    </row>
    <row r="60" spans="1:28" ht="13.5" thickBot="1">
      <c r="A60" s="184">
        <v>43</v>
      </c>
      <c r="B60" s="160" t="s">
        <v>14</v>
      </c>
      <c r="C60" s="160"/>
      <c r="D60" s="372">
        <f>Input!$KO$12</f>
        <v>89832393</v>
      </c>
      <c r="E60" s="372">
        <f>Input!$KP$12</f>
        <v>21657878</v>
      </c>
      <c r="F60" s="372">
        <f>Input!$KQ$12</f>
        <v>0</v>
      </c>
      <c r="G60" s="372">
        <f>Input!$KR$12</f>
        <v>4412083</v>
      </c>
      <c r="H60" s="372">
        <f>Input!$KS$12</f>
        <v>0</v>
      </c>
      <c r="I60" s="372">
        <f>Input!$KT$12</f>
        <v>0</v>
      </c>
      <c r="J60" s="372">
        <f>Input!$KU$12</f>
        <v>0</v>
      </c>
      <c r="K60" s="372">
        <f>Input!$KV$12</f>
        <v>0</v>
      </c>
      <c r="L60" s="372">
        <f>Input!$KW$12</f>
        <v>0</v>
      </c>
      <c r="M60" s="373">
        <f t="shared" ref="M60:M71" si="12">D60+E60+F60+G60+H60+I60+J60+K60+L60</f>
        <v>115902354</v>
      </c>
      <c r="N60" s="160"/>
      <c r="O60" s="282">
        <f>D60+E60+G60+J60</f>
        <v>115902354</v>
      </c>
      <c r="P60" s="518">
        <f>Input!$SS$12</f>
        <v>841259</v>
      </c>
      <c r="Q60" s="438" t="s">
        <v>259</v>
      </c>
      <c r="R60" s="284">
        <f>SUM(O60:P60)</f>
        <v>116743613</v>
      </c>
      <c r="S60" s="439"/>
      <c r="T60" s="286">
        <f t="shared" ref="T60:T67" si="13">D60+E60+G60</f>
        <v>115902354</v>
      </c>
      <c r="U60" s="287">
        <f t="shared" ref="U60:U67" si="14">P60</f>
        <v>841259</v>
      </c>
      <c r="V60" s="289">
        <f>Input!$TC$12</f>
        <v>0</v>
      </c>
      <c r="W60" s="289">
        <f>Input!$TK$12</f>
        <v>0</v>
      </c>
      <c r="X60" s="290">
        <f t="shared" ref="X60:X66" si="15">T60+U60-V60-W60</f>
        <v>116743613</v>
      </c>
      <c r="Z60" s="292" t="s">
        <v>14</v>
      </c>
      <c r="AA60" s="520">
        <f>Input!$TS$12</f>
        <v>115902354</v>
      </c>
      <c r="AB60" s="293">
        <f t="shared" ref="AB60:AB68" si="16">AA60-M60</f>
        <v>0</v>
      </c>
    </row>
    <row r="61" spans="1:28" ht="14.25" thickTop="1" thickBot="1">
      <c r="A61" s="184">
        <v>44</v>
      </c>
      <c r="B61" s="160" t="s">
        <v>15</v>
      </c>
      <c r="C61" s="160"/>
      <c r="D61" s="372">
        <f>Input!$KX$12</f>
        <v>49735463</v>
      </c>
      <c r="E61" s="372">
        <f>Input!$KY$12</f>
        <v>12473659</v>
      </c>
      <c r="F61" s="372">
        <f>Input!$KZ$12</f>
        <v>0</v>
      </c>
      <c r="G61" s="372">
        <f>Input!$LA$12</f>
        <v>45980725</v>
      </c>
      <c r="H61" s="372">
        <f>Input!$LB$12</f>
        <v>0</v>
      </c>
      <c r="I61" s="372">
        <f>Input!$LC$12</f>
        <v>0</v>
      </c>
      <c r="J61" s="372">
        <f>Input!$LD$12</f>
        <v>0</v>
      </c>
      <c r="K61" s="372">
        <f>Input!$LE$12</f>
        <v>0</v>
      </c>
      <c r="L61" s="372">
        <f>Input!$LF$12</f>
        <v>0</v>
      </c>
      <c r="M61" s="373">
        <f t="shared" si="12"/>
        <v>108189847</v>
      </c>
      <c r="N61" s="160"/>
      <c r="O61" s="440">
        <f t="shared" ref="O61:O67" si="17">D61+E61+G61+J61</f>
        <v>108189847</v>
      </c>
      <c r="P61" s="518">
        <f>Input!$ST$12</f>
        <v>21994540</v>
      </c>
      <c r="Q61" s="441" t="s">
        <v>259</v>
      </c>
      <c r="R61" s="295">
        <f>SUM(O61:P61)</f>
        <v>130184387</v>
      </c>
      <c r="S61" s="442"/>
      <c r="T61" s="296">
        <f t="shared" si="13"/>
        <v>108189847</v>
      </c>
      <c r="U61" s="297">
        <f t="shared" si="14"/>
        <v>21994540</v>
      </c>
      <c r="V61" s="299">
        <f>Input!$TD$12</f>
        <v>868075</v>
      </c>
      <c r="W61" s="299">
        <f>Input!$TL$12</f>
        <v>358247</v>
      </c>
      <c r="X61" s="300">
        <f t="shared" si="15"/>
        <v>128958065</v>
      </c>
      <c r="Z61" s="292" t="s">
        <v>15</v>
      </c>
      <c r="AA61" s="518">
        <f>Input!$TT$12</f>
        <v>108189847</v>
      </c>
      <c r="AB61" s="301">
        <f t="shared" si="16"/>
        <v>0</v>
      </c>
    </row>
    <row r="62" spans="1:28" ht="13.5" thickTop="1">
      <c r="A62" s="184">
        <v>45</v>
      </c>
      <c r="B62" s="160" t="s">
        <v>16</v>
      </c>
      <c r="C62" s="160"/>
      <c r="D62" s="372">
        <f>Input!$LG$12</f>
        <v>5869420</v>
      </c>
      <c r="E62" s="372">
        <f>Input!$LH$12</f>
        <v>1176611</v>
      </c>
      <c r="F62" s="372">
        <f>Input!$LI$12</f>
        <v>0</v>
      </c>
      <c r="G62" s="372">
        <f>Input!$LJ$12</f>
        <v>8616686</v>
      </c>
      <c r="H62" s="372">
        <f>Input!$LK$12</f>
        <v>0</v>
      </c>
      <c r="I62" s="372">
        <f>Input!$LL$12</f>
        <v>0</v>
      </c>
      <c r="J62" s="372">
        <f>Input!$LM$12</f>
        <v>0</v>
      </c>
      <c r="K62" s="372">
        <f>Input!$LN$12</f>
        <v>0</v>
      </c>
      <c r="L62" s="372">
        <f>Input!$LO$12</f>
        <v>0</v>
      </c>
      <c r="M62" s="373">
        <f t="shared" si="12"/>
        <v>15662717</v>
      </c>
      <c r="N62" s="160"/>
      <c r="O62" s="440">
        <f t="shared" si="17"/>
        <v>15662717</v>
      </c>
      <c r="P62" s="518">
        <f>Input!$SU$12</f>
        <v>22186</v>
      </c>
      <c r="Q62" s="441" t="s">
        <v>259</v>
      </c>
      <c r="R62" s="302" t="s">
        <v>259</v>
      </c>
      <c r="S62" s="442"/>
      <c r="T62" s="296">
        <f t="shared" si="13"/>
        <v>15662717</v>
      </c>
      <c r="U62" s="297">
        <f t="shared" si="14"/>
        <v>22186</v>
      </c>
      <c r="V62" s="299">
        <f>Input!$TE$12</f>
        <v>2028176</v>
      </c>
      <c r="W62" s="299">
        <f>Input!$TM$12</f>
        <v>0</v>
      </c>
      <c r="X62" s="303">
        <f t="shared" si="15"/>
        <v>13656727</v>
      </c>
      <c r="Z62" s="292" t="s">
        <v>16</v>
      </c>
      <c r="AA62" s="518">
        <f>Input!$TU$12</f>
        <v>15662717</v>
      </c>
      <c r="AB62" s="301">
        <f t="shared" si="16"/>
        <v>0</v>
      </c>
    </row>
    <row r="63" spans="1:28">
      <c r="A63" s="184">
        <v>46</v>
      </c>
      <c r="B63" s="160" t="s">
        <v>17</v>
      </c>
      <c r="C63" s="160"/>
      <c r="D63" s="372">
        <f>Input!$LP$12</f>
        <v>23889075</v>
      </c>
      <c r="E63" s="372">
        <f>Input!$LQ$12</f>
        <v>40660906</v>
      </c>
      <c r="F63" s="372">
        <f>Input!$LR$12</f>
        <v>0</v>
      </c>
      <c r="G63" s="372">
        <f>Input!$LS$12</f>
        <v>7158655</v>
      </c>
      <c r="H63" s="372">
        <f>Input!$LT$12</f>
        <v>0</v>
      </c>
      <c r="I63" s="372">
        <f>Input!$LU$12</f>
        <v>0</v>
      </c>
      <c r="J63" s="372">
        <f>Input!$LV$12</f>
        <v>0</v>
      </c>
      <c r="K63" s="372">
        <f>Input!$LW$12</f>
        <v>0</v>
      </c>
      <c r="L63" s="372">
        <f>Input!$LX$12</f>
        <v>0</v>
      </c>
      <c r="M63" s="373">
        <f t="shared" si="12"/>
        <v>71708636</v>
      </c>
      <c r="N63" s="160"/>
      <c r="O63" s="440">
        <f t="shared" si="17"/>
        <v>71708636</v>
      </c>
      <c r="P63" s="518">
        <f>Input!$SV$12</f>
        <v>14539395</v>
      </c>
      <c r="Q63" s="441" t="s">
        <v>259</v>
      </c>
      <c r="R63" s="295">
        <f t="shared" ref="R63:R65" si="18">SUM(O63:P63)</f>
        <v>86248031</v>
      </c>
      <c r="S63" s="442"/>
      <c r="T63" s="296">
        <f t="shared" si="13"/>
        <v>71708636</v>
      </c>
      <c r="U63" s="297">
        <f t="shared" si="14"/>
        <v>14539395</v>
      </c>
      <c r="V63" s="299">
        <f>Input!$TF$12</f>
        <v>0</v>
      </c>
      <c r="W63" s="299">
        <f>Input!$TN$12</f>
        <v>0</v>
      </c>
      <c r="X63" s="303">
        <f t="shared" si="15"/>
        <v>86248031</v>
      </c>
      <c r="Z63" s="292" t="s">
        <v>17</v>
      </c>
      <c r="AA63" s="518">
        <f>Input!$TV$12</f>
        <v>71708636</v>
      </c>
      <c r="AB63" s="301">
        <f t="shared" si="16"/>
        <v>0</v>
      </c>
    </row>
    <row r="64" spans="1:28">
      <c r="A64" s="184">
        <v>47</v>
      </c>
      <c r="B64" s="160" t="s">
        <v>18</v>
      </c>
      <c r="C64" s="160"/>
      <c r="D64" s="372">
        <f>Input!$LY$12</f>
        <v>5403003</v>
      </c>
      <c r="E64" s="372">
        <f>Input!$LZ$12</f>
        <v>23381576</v>
      </c>
      <c r="F64" s="372">
        <f>Input!$MA$12</f>
        <v>0</v>
      </c>
      <c r="G64" s="372">
        <f>Input!$MB$12</f>
        <v>731065</v>
      </c>
      <c r="H64" s="372">
        <f>Input!$MC$12</f>
        <v>1023660</v>
      </c>
      <c r="I64" s="372">
        <f>Input!$MD$12</f>
        <v>0</v>
      </c>
      <c r="J64" s="372">
        <f>Input!$ME$12</f>
        <v>0</v>
      </c>
      <c r="K64" s="372">
        <f>Input!$MF$12</f>
        <v>0</v>
      </c>
      <c r="L64" s="372">
        <f>Input!$MG$12</f>
        <v>0</v>
      </c>
      <c r="M64" s="373">
        <f t="shared" si="12"/>
        <v>30539304</v>
      </c>
      <c r="N64" s="160"/>
      <c r="O64" s="440">
        <f t="shared" si="17"/>
        <v>29515644</v>
      </c>
      <c r="P64" s="518">
        <f>Input!$SW$12</f>
        <v>0</v>
      </c>
      <c r="Q64" s="518">
        <f>Input!$TB$12</f>
        <v>0</v>
      </c>
      <c r="R64" s="295">
        <f>SUM(O64:P64)-Q64</f>
        <v>29515644</v>
      </c>
      <c r="S64" s="442"/>
      <c r="T64" s="296">
        <f t="shared" si="13"/>
        <v>29515644</v>
      </c>
      <c r="U64" s="297">
        <f t="shared" si="14"/>
        <v>0</v>
      </c>
      <c r="V64" s="299">
        <f>Input!$TG$12</f>
        <v>0</v>
      </c>
      <c r="W64" s="299">
        <f>Input!$TO$12</f>
        <v>0</v>
      </c>
      <c r="X64" s="303">
        <f t="shared" si="15"/>
        <v>29515644</v>
      </c>
      <c r="Z64" s="292" t="s">
        <v>18</v>
      </c>
      <c r="AA64" s="518">
        <f>Input!$TW$12</f>
        <v>30539304</v>
      </c>
      <c r="AB64" s="301">
        <f t="shared" si="16"/>
        <v>0</v>
      </c>
    </row>
    <row r="65" spans="1:28">
      <c r="A65" s="184">
        <v>48</v>
      </c>
      <c r="B65" s="160" t="s">
        <v>19</v>
      </c>
      <c r="C65" s="160"/>
      <c r="D65" s="372">
        <f>Input!$MH$12</f>
        <v>29266853</v>
      </c>
      <c r="E65" s="372">
        <f>Input!$MI$12</f>
        <v>10172842</v>
      </c>
      <c r="F65" s="372">
        <f>Input!$MJ$12</f>
        <v>0</v>
      </c>
      <c r="G65" s="372">
        <f>Input!$MK$12</f>
        <v>3494944</v>
      </c>
      <c r="H65" s="372">
        <f>Input!$ML$12</f>
        <v>0</v>
      </c>
      <c r="I65" s="372">
        <f>Input!$MM$12</f>
        <v>0</v>
      </c>
      <c r="J65" s="372">
        <f>Input!$MN$12</f>
        <v>0</v>
      </c>
      <c r="K65" s="372">
        <f>Input!$MO$12</f>
        <v>0</v>
      </c>
      <c r="L65" s="372">
        <f>Input!$MP$12</f>
        <v>0</v>
      </c>
      <c r="M65" s="373">
        <f t="shared" si="12"/>
        <v>42934639</v>
      </c>
      <c r="N65" s="160"/>
      <c r="O65" s="440">
        <f t="shared" si="17"/>
        <v>42934639</v>
      </c>
      <c r="P65" s="518">
        <f>Input!$SX$12</f>
        <v>356985</v>
      </c>
      <c r="Q65" s="441" t="s">
        <v>259</v>
      </c>
      <c r="R65" s="295">
        <f t="shared" si="18"/>
        <v>43291624</v>
      </c>
      <c r="S65" s="442"/>
      <c r="T65" s="296">
        <f t="shared" si="13"/>
        <v>42934639</v>
      </c>
      <c r="U65" s="297">
        <f t="shared" si="14"/>
        <v>356985</v>
      </c>
      <c r="V65" s="299">
        <f>Input!$TH$12</f>
        <v>0</v>
      </c>
      <c r="W65" s="299">
        <f>Input!$TP$12</f>
        <v>0</v>
      </c>
      <c r="X65" s="303">
        <f t="shared" si="15"/>
        <v>43291624</v>
      </c>
      <c r="Z65" s="292" t="s">
        <v>19</v>
      </c>
      <c r="AA65" s="518">
        <f>Input!$TX$12</f>
        <v>42934639</v>
      </c>
      <c r="AB65" s="301">
        <f t="shared" si="16"/>
        <v>0</v>
      </c>
    </row>
    <row r="66" spans="1:28">
      <c r="A66" s="184">
        <v>49</v>
      </c>
      <c r="B66" s="160" t="s">
        <v>20</v>
      </c>
      <c r="C66" s="160"/>
      <c r="D66" s="372">
        <f>Input!$MQ$12</f>
        <v>16360131</v>
      </c>
      <c r="E66" s="372">
        <f>Input!$MR$12</f>
        <v>18336117</v>
      </c>
      <c r="F66" s="372">
        <f>Input!$MS$12</f>
        <v>0</v>
      </c>
      <c r="G66" s="372">
        <f>Input!$MT$12</f>
        <v>143416</v>
      </c>
      <c r="H66" s="372">
        <f>Input!$MU$12</f>
        <v>0</v>
      </c>
      <c r="I66" s="372">
        <f>Input!$MV$12</f>
        <v>0</v>
      </c>
      <c r="J66" s="372">
        <f>Input!$MW$12</f>
        <v>5804336</v>
      </c>
      <c r="K66" s="372">
        <f>Input!$MX$12</f>
        <v>0</v>
      </c>
      <c r="L66" s="372">
        <f>Input!$MY$12</f>
        <v>0</v>
      </c>
      <c r="M66" s="373">
        <f t="shared" si="12"/>
        <v>40644000</v>
      </c>
      <c r="N66" s="160"/>
      <c r="O66" s="440">
        <f t="shared" si="17"/>
        <v>40644000</v>
      </c>
      <c r="P66" s="518">
        <f>Input!$SY$12</f>
        <v>394066</v>
      </c>
      <c r="Q66" s="441" t="s">
        <v>259</v>
      </c>
      <c r="R66" s="304" t="s">
        <v>259</v>
      </c>
      <c r="S66" s="442"/>
      <c r="T66" s="296">
        <f t="shared" si="13"/>
        <v>34839664</v>
      </c>
      <c r="U66" s="297">
        <f t="shared" si="14"/>
        <v>394066</v>
      </c>
      <c r="V66" s="299">
        <f>Input!$TI$12</f>
        <v>0</v>
      </c>
      <c r="W66" s="299">
        <f>Input!$TQ$12</f>
        <v>0</v>
      </c>
      <c r="X66" s="303">
        <f t="shared" si="15"/>
        <v>35233730</v>
      </c>
      <c r="Z66" s="292" t="s">
        <v>260</v>
      </c>
      <c r="AA66" s="518">
        <f>Input!$TY$12</f>
        <v>40644000</v>
      </c>
      <c r="AB66" s="301">
        <f t="shared" si="16"/>
        <v>0</v>
      </c>
    </row>
    <row r="67" spans="1:28" ht="13.5" thickBot="1">
      <c r="A67" s="184">
        <v>50</v>
      </c>
      <c r="B67" s="160" t="s">
        <v>21</v>
      </c>
      <c r="C67" s="160"/>
      <c r="D67" s="372">
        <f>Input!$MZ$12</f>
        <v>11310832</v>
      </c>
      <c r="E67" s="372">
        <f>Input!$NA$12</f>
        <v>19183044</v>
      </c>
      <c r="F67" s="372">
        <f>Input!$NB$12</f>
        <v>0</v>
      </c>
      <c r="G67" s="372">
        <f>Input!$NC$12</f>
        <v>55600046</v>
      </c>
      <c r="H67" s="372">
        <f>Input!$ND$12</f>
        <v>0</v>
      </c>
      <c r="I67" s="372">
        <f>Input!$NE$12</f>
        <v>0</v>
      </c>
      <c r="J67" s="372">
        <f>Input!$NF$12</f>
        <v>0</v>
      </c>
      <c r="K67" s="372">
        <f>Input!$NG$12</f>
        <v>0</v>
      </c>
      <c r="L67" s="372">
        <f>Input!$NH$12</f>
        <v>0</v>
      </c>
      <c r="M67" s="373">
        <f t="shared" si="12"/>
        <v>86093922</v>
      </c>
      <c r="N67" s="160"/>
      <c r="O67" s="440">
        <f t="shared" si="17"/>
        <v>86093922</v>
      </c>
      <c r="P67" s="518">
        <f>Input!$SZ$12</f>
        <v>0</v>
      </c>
      <c r="Q67" s="441" t="s">
        <v>259</v>
      </c>
      <c r="R67" s="304" t="s">
        <v>259</v>
      </c>
      <c r="S67" s="442"/>
      <c r="T67" s="306">
        <f t="shared" si="13"/>
        <v>86093922</v>
      </c>
      <c r="U67" s="307">
        <f t="shared" si="14"/>
        <v>0</v>
      </c>
      <c r="V67" s="308">
        <f>Input!$TJ$12</f>
        <v>0</v>
      </c>
      <c r="W67" s="308">
        <f>Input!$TR$12</f>
        <v>0</v>
      </c>
      <c r="X67" s="303">
        <f>U67+T67-V67-W67</f>
        <v>86093922</v>
      </c>
      <c r="Z67" s="292" t="s">
        <v>21</v>
      </c>
      <c r="AA67" s="518">
        <f>Input!$TZ$12</f>
        <v>86093922</v>
      </c>
      <c r="AB67" s="301">
        <f t="shared" si="16"/>
        <v>0</v>
      </c>
    </row>
    <row r="68" spans="1:28" ht="14.25" thickTop="1" thickBot="1">
      <c r="A68" s="184">
        <v>51</v>
      </c>
      <c r="B68" s="160" t="s">
        <v>2135</v>
      </c>
      <c r="C68" s="160"/>
      <c r="D68" s="372">
        <f>Input!$NI$12</f>
        <v>0</v>
      </c>
      <c r="E68" s="372">
        <f>Input!$NJ$12</f>
        <v>161994</v>
      </c>
      <c r="F68" s="372">
        <f>Input!$NK$12</f>
        <v>39541223</v>
      </c>
      <c r="G68" s="372">
        <f>Input!$NL$12</f>
        <v>1463672</v>
      </c>
      <c r="H68" s="372">
        <f>Input!$NM$12</f>
        <v>0</v>
      </c>
      <c r="I68" s="372">
        <f>Input!$NN$12</f>
        <v>0</v>
      </c>
      <c r="J68" s="372">
        <f>Input!$NO$12</f>
        <v>0</v>
      </c>
      <c r="K68" s="372">
        <f>Input!$NP$12</f>
        <v>0</v>
      </c>
      <c r="L68" s="372">
        <f>Input!$NQ$12</f>
        <v>0</v>
      </c>
      <c r="M68" s="373">
        <f t="shared" si="12"/>
        <v>41166889</v>
      </c>
      <c r="N68" s="160"/>
      <c r="O68" s="309" t="s">
        <v>259</v>
      </c>
      <c r="P68" s="519">
        <f>Input!$TA$12</f>
        <v>265553</v>
      </c>
      <c r="Q68" s="444" t="s">
        <v>259</v>
      </c>
      <c r="R68" s="311" t="s">
        <v>259</v>
      </c>
      <c r="S68" s="442"/>
      <c r="T68" s="305"/>
      <c r="U68" s="305"/>
      <c r="V68" s="312" t="s">
        <v>261</v>
      </c>
      <c r="W68" s="313"/>
      <c r="X68" s="314">
        <f>SUM(X60:X67)</f>
        <v>539741356</v>
      </c>
      <c r="Z68" s="292" t="s">
        <v>22</v>
      </c>
      <c r="AA68" s="518">
        <f>Input!$UA$12</f>
        <v>41166889</v>
      </c>
      <c r="AB68" s="301">
        <f t="shared" si="16"/>
        <v>0</v>
      </c>
    </row>
    <row r="69" spans="1:28" ht="14.25" thickTop="1" thickBot="1">
      <c r="A69" s="184">
        <v>52</v>
      </c>
      <c r="B69" s="161" t="s">
        <v>59</v>
      </c>
      <c r="C69" s="161"/>
      <c r="D69" s="372">
        <f>Input!$NR$12</f>
        <v>876356</v>
      </c>
      <c r="E69" s="372">
        <f>Input!$NS$12</f>
        <v>15817008</v>
      </c>
      <c r="F69" s="372">
        <f>Input!$NT$12</f>
        <v>258733</v>
      </c>
      <c r="G69" s="372">
        <f>Input!$NU$12</f>
        <v>21461887</v>
      </c>
      <c r="H69" s="372">
        <f>Input!$NV$12</f>
        <v>0</v>
      </c>
      <c r="I69" s="372">
        <f>Input!$NW$12</f>
        <v>0</v>
      </c>
      <c r="J69" s="372">
        <f>Input!$NX$12</f>
        <v>0</v>
      </c>
      <c r="K69" s="372">
        <f>Input!$NY$12</f>
        <v>0</v>
      </c>
      <c r="L69" s="372">
        <f>Input!$NZ$12</f>
        <v>0</v>
      </c>
      <c r="M69" s="373">
        <f t="shared" si="12"/>
        <v>38413984</v>
      </c>
      <c r="N69" s="160"/>
      <c r="O69" s="315"/>
      <c r="P69" s="316">
        <f>SUM(P60:P68)</f>
        <v>38413984</v>
      </c>
      <c r="Q69" s="316">
        <f>SUM(Q64:Q68)</f>
        <v>0</v>
      </c>
      <c r="R69" s="317">
        <f>SUM(R60:R65)</f>
        <v>405983299</v>
      </c>
      <c r="S69" s="316"/>
      <c r="T69" s="305"/>
      <c r="U69" s="305"/>
      <c r="V69" s="305"/>
      <c r="W69" s="277"/>
      <c r="X69" s="277"/>
      <c r="Y69" s="277"/>
      <c r="Z69" s="292" t="s">
        <v>285</v>
      </c>
      <c r="AA69" s="445">
        <f>M88*-1</f>
        <v>59046219</v>
      </c>
      <c r="AB69" s="301">
        <f>AA69+M88</f>
        <v>0</v>
      </c>
    </row>
    <row r="70" spans="1:28" ht="14.25" thickTop="1" thickBot="1">
      <c r="A70" s="184">
        <v>53</v>
      </c>
      <c r="B70" s="178" t="s">
        <v>44</v>
      </c>
      <c r="C70" s="178"/>
      <c r="D70" s="378">
        <f>Input!$OA$12</f>
        <v>0</v>
      </c>
      <c r="E70" s="378">
        <f>Input!$OB$12</f>
        <v>111055</v>
      </c>
      <c r="F70" s="378">
        <f>Input!$OC$12</f>
        <v>114123</v>
      </c>
      <c r="G70" s="378">
        <f>Input!$OD$12</f>
        <v>0</v>
      </c>
      <c r="H70" s="378">
        <f>Input!$OE$12</f>
        <v>-302730</v>
      </c>
      <c r="I70" s="378">
        <f>Input!$OF$12</f>
        <v>0</v>
      </c>
      <c r="J70" s="378">
        <f>Input!$OG$12</f>
        <v>0</v>
      </c>
      <c r="K70" s="378">
        <f>Input!$OH$12</f>
        <v>0</v>
      </c>
      <c r="L70" s="378">
        <f>Input!$OI$12</f>
        <v>0</v>
      </c>
      <c r="M70" s="373">
        <f t="shared" si="12"/>
        <v>-77552</v>
      </c>
      <c r="N70" s="160"/>
      <c r="O70" s="320"/>
      <c r="P70" s="516" t="str">
        <f>IF(P69&lt;&gt;M69,"Out of Balance","Balanced")</f>
        <v>Balanced</v>
      </c>
      <c r="Q70" s="318"/>
      <c r="R70" s="305"/>
      <c r="S70" s="305"/>
      <c r="T70" s="305"/>
      <c r="U70" s="277"/>
      <c r="V70" s="1738" t="str">
        <f>IF(X68-INT(X68)&lt;&gt;0,"Whole Dollars Only","")</f>
        <v/>
      </c>
      <c r="W70" s="1738"/>
      <c r="X70" s="537"/>
      <c r="Y70" s="319"/>
      <c r="Z70" s="410" t="s">
        <v>262</v>
      </c>
      <c r="AA70" s="446" t="s">
        <v>259</v>
      </c>
      <c r="AB70" s="411">
        <f>M90</f>
        <v>0</v>
      </c>
    </row>
    <row r="71" spans="1:28" ht="13.5" thickTop="1">
      <c r="A71" s="184">
        <v>54</v>
      </c>
      <c r="B71" s="162" t="s">
        <v>69</v>
      </c>
      <c r="C71" s="162"/>
      <c r="D71" s="374">
        <f>SUM(D60:D70)</f>
        <v>232543526</v>
      </c>
      <c r="E71" s="374">
        <f>SUM(E60:E70)</f>
        <v>163132690</v>
      </c>
      <c r="F71" s="374">
        <f t="shared" ref="F71:L71" si="19">SUM(F60:F70)</f>
        <v>39914079</v>
      </c>
      <c r="G71" s="374">
        <f t="shared" si="19"/>
        <v>149063179</v>
      </c>
      <c r="H71" s="374">
        <f t="shared" si="19"/>
        <v>720930</v>
      </c>
      <c r="I71" s="374">
        <f t="shared" si="19"/>
        <v>0</v>
      </c>
      <c r="J71" s="374">
        <f t="shared" si="19"/>
        <v>5804336</v>
      </c>
      <c r="K71" s="374">
        <f t="shared" si="19"/>
        <v>0</v>
      </c>
      <c r="L71" s="374">
        <f t="shared" si="19"/>
        <v>0</v>
      </c>
      <c r="M71" s="374">
        <f t="shared" si="12"/>
        <v>591178740</v>
      </c>
      <c r="N71" s="160"/>
      <c r="O71" s="322"/>
      <c r="P71" s="1738" t="str">
        <f>IF(P69-INT(P69)&lt;&gt;0,"Whole Dollars Only","")</f>
        <v/>
      </c>
      <c r="Q71" s="1738"/>
      <c r="R71" s="323"/>
      <c r="S71" s="323"/>
      <c r="T71" s="323"/>
      <c r="U71" s="291"/>
      <c r="V71" s="324"/>
      <c r="W71" s="321"/>
      <c r="X71" s="321"/>
      <c r="Y71" s="321"/>
      <c r="Z71" s="318"/>
      <c r="AA71" s="325">
        <f>SUM(AA60:AA70)</f>
        <v>611888527</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Input!$OJ$12</f>
        <v>0</v>
      </c>
      <c r="E74" s="372">
        <f>Input!$OK$12</f>
        <v>0</v>
      </c>
      <c r="F74" s="372">
        <f>Input!$OL$12</f>
        <v>0</v>
      </c>
      <c r="G74" s="372">
        <f>Input!$OM$12</f>
        <v>0</v>
      </c>
      <c r="H74" s="372">
        <f>Input!$ON$12</f>
        <v>0</v>
      </c>
      <c r="I74" s="372">
        <f>Input!$OO$12</f>
        <v>0</v>
      </c>
      <c r="J74" s="372">
        <f>Input!$OP$12</f>
        <v>-72382336</v>
      </c>
      <c r="K74" s="372">
        <f>Input!$OQ$12</f>
        <v>0</v>
      </c>
      <c r="L74" s="372">
        <f>Input!$OR$12</f>
        <v>0</v>
      </c>
      <c r="M74" s="373">
        <f>D74+E74+F74+G74+H74+I74+J74+K74+L74</f>
        <v>-72382336</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Input!$OS$12</f>
        <v>45963484</v>
      </c>
      <c r="E75" s="372">
        <f>Input!$OT$12</f>
        <v>-4339347</v>
      </c>
      <c r="F75" s="372">
        <f>Input!$OU$12</f>
        <v>22158947</v>
      </c>
      <c r="G75" s="372">
        <f>Input!$OV$12</f>
        <v>-133130391</v>
      </c>
      <c r="H75" s="372">
        <f>Input!$OW$12</f>
        <v>849722</v>
      </c>
      <c r="I75" s="372">
        <f>Input!$OX$12</f>
        <v>44117242</v>
      </c>
      <c r="J75" s="372">
        <f>Input!$OY$12</f>
        <v>27654005</v>
      </c>
      <c r="K75" s="372">
        <f>Input!$OZ$12</f>
        <v>0</v>
      </c>
      <c r="L75" s="372">
        <f>Input!$PA$12</f>
        <v>24232</v>
      </c>
      <c r="M75" s="373">
        <f>D75+E75+F75+G75+H75+I75+J75+K75+L75</f>
        <v>3297894</v>
      </c>
      <c r="N75" s="160"/>
      <c r="O75" s="1723" t="str">
        <f>IF(M85&lt;0,"Footnote 11 is N/A - No Data Entry Required","Footnote 11")</f>
        <v>Footnote 11</v>
      </c>
      <c r="P75" s="1724"/>
      <c r="Q75" s="1724"/>
      <c r="R75" s="1725"/>
      <c r="S75" s="330"/>
      <c r="T75" s="330"/>
      <c r="U75" s="327"/>
      <c r="V75" s="276"/>
      <c r="W75" s="331"/>
      <c r="X75" s="331"/>
      <c r="Y75" s="328"/>
      <c r="Z75" s="328"/>
      <c r="AA75" s="276"/>
      <c r="AB75" s="276" t="s">
        <v>293</v>
      </c>
    </row>
    <row r="76" spans="1:28" ht="13.5" thickTop="1">
      <c r="A76" s="184">
        <v>59</v>
      </c>
      <c r="B76" s="160" t="s">
        <v>45</v>
      </c>
      <c r="C76" s="160"/>
      <c r="D76" s="372">
        <f>Input!$PB$12</f>
        <v>0</v>
      </c>
      <c r="E76" s="372">
        <f>Input!$PC$12</f>
        <v>0</v>
      </c>
      <c r="F76" s="372">
        <f>Input!$PD$12</f>
        <v>0</v>
      </c>
      <c r="G76" s="372">
        <f>Input!$PE$12</f>
        <v>0</v>
      </c>
      <c r="H76" s="372">
        <f>Input!$PF$12</f>
        <v>0</v>
      </c>
      <c r="I76" s="372">
        <f>Input!$PG$12</f>
        <v>0</v>
      </c>
      <c r="J76" s="372">
        <f>Input!$PH$12</f>
        <v>77361204</v>
      </c>
      <c r="K76" s="372">
        <f>Input!$PI$12</f>
        <v>0</v>
      </c>
      <c r="L76" s="372">
        <f>Input!$PJ$12</f>
        <v>0</v>
      </c>
      <c r="M76" s="373">
        <f>D76+E76+F76+G76+H76+I76+J76+K76+L76</f>
        <v>77361204</v>
      </c>
      <c r="N76" s="160"/>
      <c r="O76" s="487" t="s">
        <v>583</v>
      </c>
      <c r="P76" s="488"/>
      <c r="Q76" s="489"/>
      <c r="R76" s="490">
        <f>IF($M$85&lt;0,"N/A",$M$85)</f>
        <v>249854658</v>
      </c>
      <c r="S76" s="330"/>
      <c r="T76" s="330"/>
      <c r="U76" s="327"/>
      <c r="V76" s="276"/>
      <c r="W76" s="331"/>
      <c r="X76" s="331"/>
      <c r="Y76" s="331"/>
      <c r="Z76" s="331"/>
      <c r="AA76" s="276"/>
      <c r="AB76" s="276"/>
    </row>
    <row r="77" spans="1:28">
      <c r="A77" s="184">
        <v>60</v>
      </c>
      <c r="B77" s="160" t="s">
        <v>46</v>
      </c>
      <c r="C77" s="160"/>
      <c r="D77" s="372">
        <f>Input!$PK$12</f>
        <v>-16641000</v>
      </c>
      <c r="E77" s="372">
        <f>Input!$PL$12</f>
        <v>-1604870</v>
      </c>
      <c r="F77" s="372">
        <f>Input!$PM$12</f>
        <v>-9205820</v>
      </c>
      <c r="G77" s="372">
        <f>Input!$PN$12</f>
        <v>0</v>
      </c>
      <c r="H77" s="372">
        <f>Input!$PO$12</f>
        <v>0</v>
      </c>
      <c r="I77" s="372">
        <f>Input!$PP$12</f>
        <v>0</v>
      </c>
      <c r="J77" s="372">
        <f>Input!$PQ$12</f>
        <v>0</v>
      </c>
      <c r="K77" s="372">
        <f>Input!$PR$12</f>
        <v>0</v>
      </c>
      <c r="L77" s="372">
        <f>Input!$PS$12</f>
        <v>0</v>
      </c>
      <c r="M77" s="373">
        <f>D77+E77+F77+G77+H77+I77+J77+K77+L77</f>
        <v>-27451690</v>
      </c>
      <c r="N77" s="160"/>
      <c r="O77" s="491" t="s">
        <v>584</v>
      </c>
      <c r="P77" s="334"/>
      <c r="Q77" s="334"/>
      <c r="R77" s="521">
        <f>Input!$UB$12</f>
        <v>166526301</v>
      </c>
      <c r="S77" s="330"/>
      <c r="T77" s="330"/>
      <c r="U77" s="327"/>
      <c r="V77" s="276"/>
      <c r="W77" s="331"/>
      <c r="X77" s="331"/>
      <c r="Y77" s="331"/>
      <c r="Z77" s="331"/>
      <c r="AA77" s="276"/>
      <c r="AB77" s="276"/>
    </row>
    <row r="78" spans="1:28">
      <c r="A78" s="184">
        <v>61</v>
      </c>
      <c r="B78" s="162" t="s">
        <v>3</v>
      </c>
      <c r="C78" s="162"/>
      <c r="D78" s="374">
        <f t="shared" ref="D78:L78" si="20">SUM(D74:D77)</f>
        <v>29322484</v>
      </c>
      <c r="E78" s="374">
        <f t="shared" si="20"/>
        <v>-5944217</v>
      </c>
      <c r="F78" s="374">
        <f t="shared" si="20"/>
        <v>12953127</v>
      </c>
      <c r="G78" s="374">
        <f t="shared" si="20"/>
        <v>-133130391</v>
      </c>
      <c r="H78" s="374">
        <f t="shared" si="20"/>
        <v>849722</v>
      </c>
      <c r="I78" s="374">
        <f t="shared" si="20"/>
        <v>44117242</v>
      </c>
      <c r="J78" s="374">
        <f t="shared" si="20"/>
        <v>32632873</v>
      </c>
      <c r="K78" s="374">
        <f t="shared" si="20"/>
        <v>0</v>
      </c>
      <c r="L78" s="374">
        <f t="shared" si="20"/>
        <v>24232</v>
      </c>
      <c r="M78" s="374">
        <f>D78+E78+F78+G78+H78+I78+J78+K78+L78</f>
        <v>-19174928</v>
      </c>
      <c r="N78" s="160"/>
      <c r="O78" s="491" t="s">
        <v>585</v>
      </c>
      <c r="P78" s="276"/>
      <c r="Q78" s="334"/>
      <c r="R78" s="492">
        <f>IF($M$85&lt;0,"",$R$76-$R$77)</f>
        <v>83328357</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3"/>
      <c r="P79" s="276"/>
      <c r="Q79" s="334"/>
      <c r="R79" s="494"/>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5" t="s">
        <v>586</v>
      </c>
      <c r="P80" s="276"/>
      <c r="Q80" s="334"/>
      <c r="R80" s="521">
        <f>Input!$UC$12</f>
        <v>78249995</v>
      </c>
      <c r="S80" s="330"/>
      <c r="T80" s="330"/>
      <c r="U80" s="334"/>
      <c r="V80" s="276"/>
      <c r="W80" s="328"/>
      <c r="X80" s="328"/>
      <c r="Y80" s="331"/>
      <c r="Z80" s="331"/>
      <c r="AA80" s="276"/>
      <c r="AB80" s="276"/>
    </row>
    <row r="81" spans="1:28">
      <c r="A81" s="184">
        <v>64</v>
      </c>
      <c r="B81" s="160" t="s">
        <v>47</v>
      </c>
      <c r="C81" s="160"/>
      <c r="D81" s="372">
        <f>Input!$PT$12</f>
        <v>0</v>
      </c>
      <c r="E81" s="372">
        <f>Input!$PU$12</f>
        <v>22750376</v>
      </c>
      <c r="F81" s="372">
        <f>Input!$PV$12</f>
        <v>4394742</v>
      </c>
      <c r="G81" s="372">
        <f>Input!$PW$12</f>
        <v>4604626</v>
      </c>
      <c r="H81" s="372">
        <f>Input!$PX$12</f>
        <v>0</v>
      </c>
      <c r="I81" s="372">
        <f>Input!$PY$12</f>
        <v>46500251</v>
      </c>
      <c r="J81" s="372">
        <f>Input!$PZ$12</f>
        <v>0</v>
      </c>
      <c r="K81" s="372">
        <f>Input!$QA$12</f>
        <v>0</v>
      </c>
      <c r="L81" s="372">
        <f>Input!$QB$12</f>
        <v>0</v>
      </c>
      <c r="M81" s="373">
        <f>D81+E81+F81+G81+H81+I81+J81+K81+L81</f>
        <v>78249995</v>
      </c>
      <c r="N81" s="160"/>
      <c r="O81" s="496" t="s">
        <v>587</v>
      </c>
      <c r="P81" s="276"/>
      <c r="Q81" s="276"/>
      <c r="R81" s="497"/>
      <c r="S81" s="330"/>
      <c r="T81" s="330"/>
      <c r="W81" s="276"/>
      <c r="X81" s="276"/>
      <c r="Y81" s="331"/>
      <c r="Z81" s="331"/>
      <c r="AA81" s="276"/>
      <c r="AB81" s="276"/>
    </row>
    <row r="82" spans="1:28">
      <c r="A82" s="184">
        <v>65</v>
      </c>
      <c r="B82" s="160" t="s">
        <v>48</v>
      </c>
      <c r="C82" s="160"/>
      <c r="D82" s="372">
        <f>Input!$QC$12</f>
        <v>0</v>
      </c>
      <c r="E82" s="372">
        <f>Input!$QD$12</f>
        <v>0</v>
      </c>
      <c r="F82" s="372">
        <f>Input!$QE$12</f>
        <v>0</v>
      </c>
      <c r="G82" s="372">
        <f>Input!$QF$12</f>
        <v>0</v>
      </c>
      <c r="H82" s="372">
        <f>Input!$QG$12</f>
        <v>0</v>
      </c>
      <c r="I82" s="372">
        <f>Input!$QH$12</f>
        <v>5078362</v>
      </c>
      <c r="J82" s="372">
        <f>Input!$QI$12</f>
        <v>0</v>
      </c>
      <c r="K82" s="372">
        <f>Input!$QJ$12</f>
        <v>0</v>
      </c>
      <c r="L82" s="372">
        <f>Input!$QK$12</f>
        <v>0</v>
      </c>
      <c r="M82" s="373">
        <f>D82+E82+F82+G82+H82+I82+J82+K82+L82</f>
        <v>5078362</v>
      </c>
      <c r="N82" s="160"/>
      <c r="O82" s="498" t="s">
        <v>588</v>
      </c>
      <c r="P82" s="276"/>
      <c r="Q82" s="276"/>
      <c r="R82" s="492">
        <f>IFERROR($R$78-$R$80,"")</f>
        <v>5078362</v>
      </c>
      <c r="Y82" s="331"/>
      <c r="Z82" s="401"/>
      <c r="AA82" s="268"/>
      <c r="AB82" s="268"/>
    </row>
    <row r="83" spans="1:28">
      <c r="A83" s="184">
        <v>66</v>
      </c>
      <c r="B83" s="162" t="s">
        <v>3</v>
      </c>
      <c r="C83" s="162"/>
      <c r="D83" s="374">
        <f t="shared" ref="D83:L83" si="21">SUM(D81:D82)</f>
        <v>0</v>
      </c>
      <c r="E83" s="374">
        <f t="shared" si="21"/>
        <v>22750376</v>
      </c>
      <c r="F83" s="374">
        <f t="shared" si="21"/>
        <v>4394742</v>
      </c>
      <c r="G83" s="374">
        <f t="shared" si="21"/>
        <v>4604626</v>
      </c>
      <c r="H83" s="374">
        <f t="shared" si="21"/>
        <v>0</v>
      </c>
      <c r="I83" s="374">
        <f t="shared" si="21"/>
        <v>51578613</v>
      </c>
      <c r="J83" s="374">
        <f t="shared" si="21"/>
        <v>0</v>
      </c>
      <c r="K83" s="374">
        <f t="shared" si="21"/>
        <v>0</v>
      </c>
      <c r="L83" s="374">
        <f t="shared" si="21"/>
        <v>0</v>
      </c>
      <c r="M83" s="374">
        <f>D83+E83+F83+G83+H83+I83+J83+K83+L83</f>
        <v>83328357</v>
      </c>
      <c r="N83" s="160"/>
      <c r="O83" s="493"/>
      <c r="P83" s="276"/>
      <c r="Q83" s="276"/>
      <c r="R83" s="497"/>
      <c r="Y83" s="163"/>
      <c r="Z83" s="447"/>
      <c r="AA83" s="439"/>
      <c r="AB83" s="448"/>
    </row>
    <row r="84" spans="1:28" ht="13.5" thickBot="1">
      <c r="A84" s="184">
        <v>67</v>
      </c>
      <c r="B84" s="160"/>
      <c r="C84" s="160"/>
      <c r="D84" s="373"/>
      <c r="E84" s="373"/>
      <c r="F84" s="373"/>
      <c r="G84" s="373"/>
      <c r="H84" s="373"/>
      <c r="I84" s="373"/>
      <c r="J84" s="373"/>
      <c r="K84" s="373"/>
      <c r="L84" s="373"/>
      <c r="M84" s="373"/>
      <c r="N84" s="160"/>
      <c r="O84" s="499" t="s">
        <v>589</v>
      </c>
      <c r="P84" s="500"/>
      <c r="Q84" s="500"/>
      <c r="R84" s="501">
        <f>IFERROR((R82+R80)-R78,"")</f>
        <v>0</v>
      </c>
      <c r="Y84" s="268"/>
      <c r="Z84" s="447"/>
      <c r="AA84" s="439"/>
      <c r="AB84" s="449"/>
    </row>
    <row r="85" spans="1:28" ht="13.5" thickTop="1">
      <c r="A85" s="184">
        <v>68</v>
      </c>
      <c r="B85" s="162" t="s">
        <v>574</v>
      </c>
      <c r="C85" s="162"/>
      <c r="D85" s="374">
        <f t="shared" ref="D85:L85" si="22">D57-D71+D78+D83</f>
        <v>1059523</v>
      </c>
      <c r="E85" s="374">
        <f t="shared" si="22"/>
        <v>74057504</v>
      </c>
      <c r="F85" s="374">
        <f t="shared" si="22"/>
        <v>28542329</v>
      </c>
      <c r="G85" s="374">
        <f t="shared" si="22"/>
        <v>22224472</v>
      </c>
      <c r="H85" s="374">
        <f t="shared" si="22"/>
        <v>196588</v>
      </c>
      <c r="I85" s="374">
        <f t="shared" si="22"/>
        <v>95943013</v>
      </c>
      <c r="J85" s="374">
        <f t="shared" si="22"/>
        <v>27819248</v>
      </c>
      <c r="K85" s="374">
        <f t="shared" si="22"/>
        <v>0</v>
      </c>
      <c r="L85" s="374">
        <f t="shared" si="22"/>
        <v>11981</v>
      </c>
      <c r="M85" s="374">
        <f>D85+E85+F85+G85+H85+I85+J85+K85+L85</f>
        <v>249854658</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Input!$QL$12</f>
        <v>0</v>
      </c>
      <c r="E87" s="372">
        <f>Input!$QM$12</f>
        <v>0</v>
      </c>
      <c r="F87" s="372">
        <f>Input!$QN$12</f>
        <v>0</v>
      </c>
      <c r="G87" s="372">
        <f>Input!$QO$12</f>
        <v>0</v>
      </c>
      <c r="H87" s="372">
        <f>Input!$QP$12</f>
        <v>0</v>
      </c>
      <c r="I87" s="372">
        <f>Input!$QQ$12</f>
        <v>0</v>
      </c>
      <c r="J87" s="372">
        <f>Input!$QR$12</f>
        <v>0</v>
      </c>
      <c r="K87" s="372">
        <f>Input!$QS$12</f>
        <v>0</v>
      </c>
      <c r="L87" s="372">
        <f>Input!$QT$12</f>
        <v>0</v>
      </c>
      <c r="M87" s="329">
        <f>D87+E87+F87+G87+H87+I87+J87+K87+L87</f>
        <v>0</v>
      </c>
      <c r="N87" s="160"/>
      <c r="Y87" s="268"/>
      <c r="Z87" s="447"/>
      <c r="AA87" s="439"/>
      <c r="AB87" s="449"/>
    </row>
    <row r="88" spans="1:28">
      <c r="A88" s="184">
        <v>72</v>
      </c>
      <c r="B88" s="160" t="s">
        <v>66</v>
      </c>
      <c r="C88" s="160"/>
      <c r="D88" s="372">
        <f>Input!$QU$12</f>
        <v>0</v>
      </c>
      <c r="E88" s="372">
        <f>Input!$QV$12</f>
        <v>0</v>
      </c>
      <c r="F88" s="372">
        <f>Input!$QW$12</f>
        <v>0</v>
      </c>
      <c r="G88" s="372">
        <f>Input!$QX$12</f>
        <v>0</v>
      </c>
      <c r="H88" s="372">
        <f>Input!$QY$12</f>
        <v>0</v>
      </c>
      <c r="I88" s="372">
        <f>Input!$QZ$12</f>
        <v>0</v>
      </c>
      <c r="J88" s="372">
        <f>Input!$RA$12</f>
        <v>0</v>
      </c>
      <c r="K88" s="372">
        <f>Input!$RB$12</f>
        <v>0</v>
      </c>
      <c r="L88" s="372">
        <f>Input!$RC$12</f>
        <v>-59046219</v>
      </c>
      <c r="M88" s="373">
        <f>D88+E88+F88+G88+H88+I88+J88+K88+L88</f>
        <v>-59046219</v>
      </c>
      <c r="N88" s="160"/>
      <c r="O88" s="270"/>
      <c r="P88" s="335"/>
      <c r="Y88" s="268"/>
      <c r="Z88" s="447"/>
      <c r="AA88" s="439"/>
      <c r="AB88" s="449"/>
    </row>
    <row r="89" spans="1:28" s="264" customFormat="1">
      <c r="A89" s="263"/>
      <c r="B89" s="171" t="s">
        <v>216</v>
      </c>
      <c r="C89" s="171"/>
      <c r="D89" s="372">
        <f>Input!$RD$12</f>
        <v>0</v>
      </c>
      <c r="E89" s="372">
        <f>Input!$RE$12</f>
        <v>0</v>
      </c>
      <c r="F89" s="372">
        <f>Input!$RF$12</f>
        <v>0</v>
      </c>
      <c r="G89" s="372">
        <f>Input!$RG$12</f>
        <v>0</v>
      </c>
      <c r="H89" s="372">
        <f>Input!$RH$12</f>
        <v>0</v>
      </c>
      <c r="I89" s="372">
        <f>Input!$RI$12</f>
        <v>0</v>
      </c>
      <c r="J89" s="372">
        <f>Input!$RJ$12</f>
        <v>0</v>
      </c>
      <c r="K89" s="372">
        <f>Input!$RK$12</f>
        <v>0</v>
      </c>
      <c r="L89" s="372">
        <f>Input!$RL$12</f>
        <v>0</v>
      </c>
      <c r="M89" s="373">
        <f t="shared" ref="M89:M91" si="23">D89+E89+F89+G89+H89+I89+J89+K89+L89</f>
        <v>0</v>
      </c>
      <c r="N89" s="160"/>
      <c r="O89" s="1726" t="s">
        <v>1355</v>
      </c>
      <c r="P89" s="1727"/>
      <c r="Q89" s="1727"/>
      <c r="R89" s="1727"/>
      <c r="S89" s="1727"/>
      <c r="T89" s="1727"/>
      <c r="U89" s="1728"/>
      <c r="Y89" s="268"/>
      <c r="Z89" s="447"/>
      <c r="AA89" s="439"/>
      <c r="AB89" s="449"/>
    </row>
    <row r="90" spans="1:28" s="264" customFormat="1">
      <c r="A90" s="263"/>
      <c r="B90" s="171" t="s">
        <v>105</v>
      </c>
      <c r="C90" s="171"/>
      <c r="D90" s="372">
        <f>Input!$RM$12</f>
        <v>0</v>
      </c>
      <c r="E90" s="372">
        <f>Input!$RN$12</f>
        <v>0</v>
      </c>
      <c r="F90" s="372">
        <f>Input!$RO$12</f>
        <v>0</v>
      </c>
      <c r="G90" s="372">
        <f>Input!$RP$12</f>
        <v>0</v>
      </c>
      <c r="H90" s="372">
        <f>Input!$RQ$12</f>
        <v>0</v>
      </c>
      <c r="I90" s="372">
        <f>Input!$RR$12</f>
        <v>0</v>
      </c>
      <c r="J90" s="372">
        <f>Input!$RS$12</f>
        <v>0</v>
      </c>
      <c r="K90" s="372">
        <f>Input!$RT$12</f>
        <v>0</v>
      </c>
      <c r="L90" s="372">
        <f>Input!$RU$12</f>
        <v>0</v>
      </c>
      <c r="M90" s="373">
        <f t="shared" si="23"/>
        <v>0</v>
      </c>
      <c r="N90" s="160"/>
      <c r="O90" s="502" t="s">
        <v>590</v>
      </c>
      <c r="P90" s="423"/>
      <c r="Q90" s="502" t="s">
        <v>591</v>
      </c>
      <c r="R90" s="423"/>
      <c r="S90" s="503"/>
      <c r="T90" s="502" t="s">
        <v>592</v>
      </c>
      <c r="U90" s="423"/>
      <c r="Y90" s="268"/>
      <c r="Z90" s="447"/>
      <c r="AA90" s="439"/>
      <c r="AB90" s="449"/>
    </row>
    <row r="91" spans="1:28" s="264" customFormat="1">
      <c r="A91" s="263"/>
      <c r="B91" s="171" t="s">
        <v>128</v>
      </c>
      <c r="C91" s="171"/>
      <c r="D91" s="372">
        <f>Input!$RV$12</f>
        <v>0</v>
      </c>
      <c r="E91" s="372">
        <f>Input!$RW$12</f>
        <v>0</v>
      </c>
      <c r="F91" s="372">
        <f>Input!$RX$12</f>
        <v>0</v>
      </c>
      <c r="G91" s="372">
        <f>Input!$RY$12</f>
        <v>0</v>
      </c>
      <c r="H91" s="372">
        <f>Input!$RZ$12</f>
        <v>0</v>
      </c>
      <c r="I91" s="372">
        <f>Input!$SA$12</f>
        <v>0</v>
      </c>
      <c r="J91" s="372">
        <f>Input!$SB$12</f>
        <v>0</v>
      </c>
      <c r="K91" s="372">
        <f>Input!$SC$12</f>
        <v>0</v>
      </c>
      <c r="L91" s="372">
        <f>Input!$SD$12</f>
        <v>1533784</v>
      </c>
      <c r="M91" s="373">
        <f t="shared" si="23"/>
        <v>1533784</v>
      </c>
      <c r="N91" s="160"/>
      <c r="O91" s="504"/>
      <c r="P91" s="505"/>
      <c r="Q91" s="504"/>
      <c r="R91" s="426"/>
      <c r="S91" s="276"/>
      <c r="T91" s="506"/>
      <c r="U91" s="426"/>
      <c r="Y91" s="268"/>
      <c r="Z91" s="447"/>
      <c r="AA91" s="439"/>
      <c r="AB91" s="449"/>
    </row>
    <row r="92" spans="1:28" s="264" customFormat="1">
      <c r="A92" s="263"/>
      <c r="B92" s="160" t="s">
        <v>67</v>
      </c>
      <c r="C92" s="160"/>
      <c r="D92" s="372">
        <f>Input!$SE$12</f>
        <v>0</v>
      </c>
      <c r="E92" s="372">
        <f>Input!$SF$12</f>
        <v>0</v>
      </c>
      <c r="F92" s="372">
        <f>Input!$SG$12</f>
        <v>0</v>
      </c>
      <c r="G92" s="372">
        <f>Input!$SH$12</f>
        <v>0</v>
      </c>
      <c r="H92" s="372">
        <f>Input!$SI$12</f>
        <v>0</v>
      </c>
      <c r="I92" s="372">
        <f>Input!$SJ$12</f>
        <v>0</v>
      </c>
      <c r="J92" s="372">
        <f>Input!$SK$12</f>
        <v>0</v>
      </c>
      <c r="K92" s="372">
        <f>Input!$SL$12</f>
        <v>0</v>
      </c>
      <c r="L92" s="372">
        <f>Input!$SM$12</f>
        <v>110796320</v>
      </c>
      <c r="M92" s="373">
        <f>D92+E92+F92+G92+H92+I92+J92+K92+L92</f>
        <v>110796320</v>
      </c>
      <c r="N92" s="160"/>
      <c r="O92" s="1729" t="str">
        <f>Input!UF$12</f>
        <v>Sheri Hardison</v>
      </c>
      <c r="P92" s="1730"/>
      <c r="Q92" s="1729" t="str">
        <f>Input!$UG$12</f>
        <v>210-458-6774</v>
      </c>
      <c r="R92" s="1730"/>
      <c r="S92" s="276"/>
      <c r="T92" s="1731" t="str">
        <f>HYPERLINK("Mailto:"&amp;Input!$UH$12,Input!$UH$12)</f>
        <v>sheri.hardison@utsa.edu</v>
      </c>
      <c r="U92" s="1730"/>
      <c r="Y92" s="268"/>
      <c r="Z92" s="447"/>
      <c r="AA92" s="442"/>
      <c r="AB92" s="449"/>
    </row>
    <row r="93" spans="1:28" ht="13.5" thickBot="1">
      <c r="B93" s="179" t="s">
        <v>58</v>
      </c>
      <c r="C93" s="179"/>
      <c r="D93" s="380">
        <f t="shared" ref="D93:K93" si="24">SUM(D85:D92)</f>
        <v>1059523</v>
      </c>
      <c r="E93" s="380">
        <f t="shared" si="24"/>
        <v>74057504</v>
      </c>
      <c r="F93" s="380">
        <f t="shared" si="24"/>
        <v>28542329</v>
      </c>
      <c r="G93" s="380">
        <f t="shared" si="24"/>
        <v>22224472</v>
      </c>
      <c r="H93" s="380">
        <f t="shared" si="24"/>
        <v>196588</v>
      </c>
      <c r="I93" s="380">
        <f t="shared" si="24"/>
        <v>95943013</v>
      </c>
      <c r="J93" s="380">
        <f t="shared" si="24"/>
        <v>27819248</v>
      </c>
      <c r="K93" s="380">
        <f t="shared" si="24"/>
        <v>0</v>
      </c>
      <c r="L93" s="380">
        <f>SUM(L85:L92)</f>
        <v>53295866</v>
      </c>
      <c r="M93" s="380">
        <f>D93+E93+F93+G93+H93+I93+J93+K93+L93</f>
        <v>303138543</v>
      </c>
      <c r="N93" s="160"/>
      <c r="O93" s="506"/>
      <c r="P93" s="507"/>
      <c r="Q93" s="276"/>
      <c r="R93" s="276"/>
      <c r="S93" s="276"/>
      <c r="T93" s="507"/>
      <c r="U93" s="508"/>
      <c r="Y93" s="268"/>
      <c r="Z93" s="447"/>
      <c r="AA93" s="442"/>
      <c r="AB93" s="449"/>
    </row>
    <row r="94" spans="1:28" ht="13.5" thickTop="1">
      <c r="C94" s="160"/>
      <c r="D94" s="165"/>
      <c r="E94" s="165"/>
      <c r="F94" s="165"/>
      <c r="G94" s="165"/>
      <c r="H94" s="165"/>
      <c r="I94" s="165"/>
      <c r="J94" s="165"/>
      <c r="K94" s="165"/>
      <c r="L94" s="165"/>
      <c r="M94" s="180"/>
      <c r="N94" s="160"/>
      <c r="O94" s="1720" t="s">
        <v>593</v>
      </c>
      <c r="P94" s="1721"/>
      <c r="Q94" s="1721"/>
      <c r="R94" s="1721"/>
      <c r="S94" s="1721"/>
      <c r="T94" s="1721"/>
      <c r="U94" s="1722"/>
      <c r="Y94" s="268"/>
      <c r="Z94" s="451"/>
      <c r="AA94" s="442"/>
      <c r="AB94" s="449"/>
    </row>
    <row r="95" spans="1:28">
      <c r="B95" s="171" t="s">
        <v>1369</v>
      </c>
      <c r="C95" s="169"/>
      <c r="D95" s="165"/>
      <c r="E95" s="165"/>
      <c r="F95" s="165"/>
      <c r="G95" s="165"/>
      <c r="H95" s="165"/>
      <c r="I95" s="165"/>
      <c r="J95" s="165"/>
      <c r="K95" s="165"/>
      <c r="L95" s="165"/>
      <c r="M95" s="180"/>
      <c r="N95" s="160"/>
      <c r="O95" s="1720"/>
      <c r="P95" s="1721"/>
      <c r="Q95" s="1721"/>
      <c r="R95" s="1721"/>
      <c r="S95" s="1721"/>
      <c r="T95" s="1721"/>
      <c r="U95" s="1722"/>
      <c r="Y95" s="268"/>
      <c r="Z95" s="452"/>
      <c r="AA95" s="453"/>
      <c r="AB95" s="454"/>
    </row>
    <row r="96" spans="1:28">
      <c r="B96" s="169" t="s">
        <v>80</v>
      </c>
      <c r="C96" s="160"/>
      <c r="D96" s="165"/>
      <c r="E96" s="165"/>
      <c r="F96" s="165"/>
      <c r="G96" s="165"/>
      <c r="H96" s="165"/>
      <c r="I96" s="165"/>
      <c r="J96" s="165"/>
      <c r="K96" s="165"/>
      <c r="L96" s="165"/>
      <c r="M96" s="180"/>
      <c r="N96" s="160"/>
      <c r="O96" s="509"/>
      <c r="P96" s="510"/>
      <c r="Q96" s="511"/>
      <c r="R96" s="511"/>
      <c r="S96" s="511"/>
      <c r="T96" s="510"/>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Input!$SN$12</f>
        <v>303138543</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3" t="str">
        <f>IF($L$118&lt;&gt;Input!$F$12,"Out of Balance","Balanced")</f>
        <v>Balanced</v>
      </c>
      <c r="M102" s="517"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454479216</v>
      </c>
      <c r="E105" s="373">
        <f>SUM($E$10:$E$14)+SUM($E$19:$E$28)+SUM($E$32:$E$41)+$E$47+SUM($E$50:$E$55)+SUM($E$60:$E$70)+SUM($E$74:$E$77)+SUM($E$81:$E$82)+SUM($E$87:$E$92)</f>
        <v>400322884</v>
      </c>
      <c r="F105" s="373">
        <f>SUM($F$10:$F$14)+SUM($F$19:$F$28)+SUM($F$32:$F$41)+$F$47+SUM($F$50:$F$55)+SUM($F$60:$F$70)+SUM($F$74:$F$77)+SUM($F$81:$F$82)+SUM($F$87:$F$92)</f>
        <v>108370487</v>
      </c>
      <c r="G105" s="373">
        <f>SUM($G$10:$G$14)+SUM($G$19:$G$28)+SUM($G$32:$G$41)+$G$47+SUM($G$50:$G$55)+SUM($G$60:$G$70)+SUM($G$74:$G$77)+SUM($G$81:$G$82)+SUM($G$87:$G$92)</f>
        <v>320350830</v>
      </c>
      <c r="H105" s="373">
        <f>SUM($H$10:$H$14)+SUM($H$19:$H$28)+SUM($H$32:$H$41)+$H$47+SUM($H$50:$H$55)+SUM($H$60:$H$70)+SUM($H$74:$H$77)+SUM($H$81:$H$82)+SUM($H$87:$H$92)</f>
        <v>1638448</v>
      </c>
      <c r="I105" s="373">
        <f>SUM($I$10:$I$14)+SUM($I$19:$I$28)+SUM($I$32:$I$41)+$I$47+SUM($I$50:$I$55)+SUM($I$60:$I$70)+SUM($I$74:$I$77)+SUM($I$81:$I$82)+SUM($I$87:$I$92)</f>
        <v>95943013</v>
      </c>
      <c r="J105" s="373">
        <f>SUM($J$10:$J$14)+SUM($J$19:$J$28)+SUM($J$32:$J$41)+$J$47+SUM($J$50:$J$55)+SUM($J$60:$J$70)+SUM($J$74:$J$77)+SUM($J$81:$J$82)+SUM($J$87:$J$92)</f>
        <v>39427920</v>
      </c>
      <c r="K105" s="373">
        <f>SUM($K$10:$K$14)+SUM($K$19:$K$28)+SUM($K$32:$K$41)+$K$47+SUM($K$50:$K$55)+SUM($K$60:$K$70)+SUM($K$74:$K$77)+SUM($K$81:$K$82)+SUM($K$87:$K$92)</f>
        <v>0</v>
      </c>
      <c r="L105" s="373">
        <f>SUM($L$10:$L$14)+SUM($L$19:$L$28)+SUM($L$32:$L$41)+$L$47+SUM($L$50:$L$55)+SUM($L$60:$L$70)+SUM($L$74:$L$77)+SUM($L$81:$L$82)+SUM($L$87:$L$92)</f>
        <v>53295866</v>
      </c>
      <c r="M105" s="373"/>
      <c r="N105" s="264"/>
      <c r="O105" s="373"/>
      <c r="P105" s="450">
        <f>M18-INT(M18)</f>
        <v>0</v>
      </c>
    </row>
    <row r="106" spans="2:28">
      <c r="B106" s="261"/>
      <c r="C106" s="261"/>
      <c r="D106" s="261"/>
      <c r="E106" s="261"/>
      <c r="F106" s="261"/>
      <c r="G106" s="261"/>
      <c r="H106" s="261"/>
      <c r="I106" s="261"/>
      <c r="J106" s="261"/>
      <c r="K106" s="261"/>
      <c r="L106" s="373">
        <f>SUM($D$105:$L$105)</f>
        <v>1473828664</v>
      </c>
      <c r="M106" s="261"/>
      <c r="N106" s="264"/>
      <c r="O106" s="373"/>
      <c r="P106" s="450">
        <f>M31-INT(M31)</f>
        <v>0</v>
      </c>
    </row>
    <row r="107" spans="2:28">
      <c r="B107" s="261"/>
      <c r="C107" s="261"/>
      <c r="D107" s="261"/>
      <c r="E107" s="261"/>
      <c r="F107" s="261"/>
      <c r="G107" s="261"/>
      <c r="H107" s="261"/>
      <c r="I107" s="261"/>
      <c r="J107" s="261" t="s">
        <v>1299</v>
      </c>
      <c r="K107" s="261"/>
      <c r="L107" s="373">
        <f>$M$100</f>
        <v>303138543</v>
      </c>
      <c r="M107" s="261"/>
      <c r="N107" s="264"/>
      <c r="O107" s="373"/>
      <c r="P107" s="450">
        <f>M93-INT(M93)</f>
        <v>0</v>
      </c>
    </row>
    <row r="108" spans="2:28">
      <c r="B108" s="261"/>
      <c r="C108" s="261"/>
      <c r="D108" s="261"/>
      <c r="E108" s="261"/>
      <c r="F108" s="261"/>
      <c r="G108" s="261"/>
      <c r="H108" s="261"/>
      <c r="I108" s="261"/>
      <c r="J108" s="261" t="s">
        <v>1300</v>
      </c>
      <c r="K108" s="261"/>
      <c r="L108" s="512">
        <f>$Q$32</f>
        <v>364574791</v>
      </c>
      <c r="M108" s="261"/>
      <c r="N108" s="264"/>
      <c r="O108" s="373"/>
    </row>
    <row r="109" spans="2:28">
      <c r="B109" s="261"/>
      <c r="C109" s="261"/>
      <c r="D109" s="261"/>
      <c r="E109" s="261"/>
      <c r="F109" s="261"/>
      <c r="G109" s="261"/>
      <c r="H109" s="261"/>
      <c r="I109" s="261"/>
      <c r="J109" s="261" t="s">
        <v>1300</v>
      </c>
      <c r="K109" s="261"/>
      <c r="L109" s="512">
        <f>$R$34</f>
        <v>-112875355</v>
      </c>
      <c r="M109" s="261"/>
      <c r="N109" s="264"/>
      <c r="O109" s="373"/>
    </row>
    <row r="110" spans="2:28">
      <c r="B110" s="261"/>
      <c r="C110" s="261"/>
      <c r="D110" s="261"/>
      <c r="E110" s="261"/>
      <c r="F110" s="261"/>
      <c r="G110" s="261"/>
      <c r="H110" s="261"/>
      <c r="I110" s="261"/>
      <c r="J110" s="261" t="s">
        <v>29</v>
      </c>
      <c r="K110" s="261"/>
      <c r="L110" s="512">
        <f>SUM($P$60:$P$68)</f>
        <v>38413984</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2">
        <f>SUM($V$60:$V$67)</f>
        <v>2896251</v>
      </c>
      <c r="M112" s="261"/>
      <c r="N112" s="264"/>
      <c r="O112" s="373"/>
    </row>
    <row r="113" spans="2:15">
      <c r="B113" s="261"/>
      <c r="C113" s="261"/>
      <c r="D113" s="261"/>
      <c r="E113" s="261"/>
      <c r="F113" s="261"/>
      <c r="G113" s="261"/>
      <c r="H113" s="261"/>
      <c r="I113" s="261"/>
      <c r="J113" s="261" t="s">
        <v>596</v>
      </c>
      <c r="K113" s="261"/>
      <c r="L113" s="512">
        <f>SUM($W$60:$W$67)</f>
        <v>358247</v>
      </c>
      <c r="M113" s="261"/>
      <c r="N113" s="264"/>
      <c r="O113" s="373"/>
    </row>
    <row r="114" spans="2:15">
      <c r="B114" s="261"/>
      <c r="C114" s="261"/>
      <c r="D114" s="261"/>
      <c r="E114" s="261"/>
      <c r="F114" s="261"/>
      <c r="G114" s="261"/>
      <c r="H114" s="261"/>
      <c r="I114" s="261"/>
      <c r="J114" s="261" t="s">
        <v>258</v>
      </c>
      <c r="K114" s="261"/>
      <c r="L114" s="512">
        <f>SUM($AA$60:$AA$68)</f>
        <v>552842308</v>
      </c>
      <c r="M114" s="261"/>
      <c r="N114" s="264"/>
      <c r="O114" s="373"/>
    </row>
    <row r="115" spans="2:15">
      <c r="B115" s="261"/>
      <c r="C115" s="261"/>
      <c r="D115" s="261"/>
      <c r="E115" s="261"/>
      <c r="F115" s="261"/>
      <c r="G115" s="261"/>
      <c r="H115" s="261"/>
      <c r="I115" s="261"/>
      <c r="J115" s="261" t="s">
        <v>597</v>
      </c>
      <c r="K115" s="261"/>
      <c r="L115" s="512">
        <f>$R$77</f>
        <v>166526301</v>
      </c>
      <c r="M115" s="261"/>
      <c r="N115" s="264"/>
      <c r="O115" s="373"/>
    </row>
    <row r="116" spans="2:15">
      <c r="B116" s="261"/>
      <c r="C116" s="261"/>
      <c r="D116" s="261"/>
      <c r="E116" s="261"/>
      <c r="F116" s="261"/>
      <c r="G116" s="261"/>
      <c r="H116" s="261"/>
      <c r="I116" s="261"/>
      <c r="J116" s="261" t="s">
        <v>597</v>
      </c>
      <c r="K116" s="261"/>
      <c r="L116" s="512">
        <f>$R$80</f>
        <v>78249995</v>
      </c>
      <c r="M116" s="261"/>
      <c r="N116" s="264"/>
      <c r="O116" s="373"/>
    </row>
    <row r="117" spans="2:15">
      <c r="B117" s="261"/>
      <c r="C117" s="261"/>
      <c r="D117" s="261"/>
      <c r="E117" s="261"/>
      <c r="F117" s="261"/>
      <c r="G117" s="261"/>
      <c r="H117" s="261"/>
      <c r="I117" s="261"/>
      <c r="J117" s="261" t="s">
        <v>1231</v>
      </c>
      <c r="K117" s="261"/>
      <c r="L117" s="1008">
        <f>VLOOKUP(B2,Names!B5:$C$87,2,FALSE)</f>
        <v>10115</v>
      </c>
      <c r="M117" s="261"/>
      <c r="N117" s="264"/>
      <c r="O117" s="373"/>
    </row>
    <row r="118" spans="2:15">
      <c r="B118" s="261"/>
      <c r="C118" s="261"/>
      <c r="D118" s="261"/>
      <c r="E118" s="261"/>
      <c r="F118" s="261"/>
      <c r="G118" s="261"/>
      <c r="H118" s="261"/>
      <c r="I118" s="261"/>
      <c r="J118" s="261"/>
      <c r="K118" s="261"/>
      <c r="L118" s="373">
        <f>SUM(L106:L117)</f>
        <v>2867963844</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373"/>
      <c r="E122" s="261"/>
      <c r="F122" s="261"/>
      <c r="G122" s="261"/>
      <c r="H122" s="261"/>
      <c r="I122" s="261"/>
      <c r="J122" s="160"/>
      <c r="K122" s="160"/>
      <c r="L122" s="160"/>
      <c r="M122" s="261"/>
      <c r="N122" s="264"/>
    </row>
  </sheetData>
  <mergeCells count="32">
    <mergeCell ref="V56:V59"/>
    <mergeCell ref="W56:W59"/>
    <mergeCell ref="G59:K59"/>
    <mergeCell ref="AA56:AA59"/>
    <mergeCell ref="Z55:AB55"/>
    <mergeCell ref="R56:R59"/>
    <mergeCell ref="O55:R55"/>
    <mergeCell ref="T55:X55"/>
    <mergeCell ref="X56:X59"/>
    <mergeCell ref="AB56:AB59"/>
    <mergeCell ref="Z56:Z59"/>
    <mergeCell ref="B2:F2"/>
    <mergeCell ref="B3:F3"/>
    <mergeCell ref="B4:F4"/>
    <mergeCell ref="B6:M6"/>
    <mergeCell ref="P4:Q4"/>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s>
  <conditionalFormatting sqref="U87:X88 O88:Q88">
    <cfRule type="cellIs" dxfId="1202" priority="297" stopIfTrue="1" operator="notEqual">
      <formula>#REF!</formula>
    </cfRule>
  </conditionalFormatting>
  <conditionalFormatting sqref="P70">
    <cfRule type="expression" dxfId="1201" priority="274">
      <formula>$P$69&lt;&gt;$M$69</formula>
    </cfRule>
  </conditionalFormatting>
  <conditionalFormatting sqref="AB72">
    <cfRule type="expression" dxfId="1200" priority="273">
      <formula>$AB$71&lt;&gt;0</formula>
    </cfRule>
  </conditionalFormatting>
  <conditionalFormatting sqref="P71">
    <cfRule type="expression" dxfId="1199" priority="272">
      <formula>P69-INT(P69)</formula>
    </cfRule>
  </conditionalFormatting>
  <conditionalFormatting sqref="V70">
    <cfRule type="expression" dxfId="1198" priority="270">
      <formula>X68-INT(X68)</formula>
    </cfRule>
  </conditionalFormatting>
  <conditionalFormatting sqref="O12">
    <cfRule type="expression" dxfId="1197" priority="261">
      <formula>$P$12&lt;&gt;$M$12</formula>
    </cfRule>
  </conditionalFormatting>
  <conditionalFormatting sqref="U87:U88 O88:Q88">
    <cfRule type="cellIs" dxfId="1196" priority="254" stopIfTrue="1" operator="notEqual">
      <formula>#REF!</formula>
    </cfRule>
  </conditionalFormatting>
  <conditionalFormatting sqref="R84">
    <cfRule type="expression" priority="252" stopIfTrue="1">
      <formula>$M$85&lt;0</formula>
    </cfRule>
    <cfRule type="expression" dxfId="1195" priority="253">
      <formula>$S$85&lt;&gt;0</formula>
    </cfRule>
  </conditionalFormatting>
  <conditionalFormatting sqref="R80 R77">
    <cfRule type="expression" dxfId="1194" priority="250" stopIfTrue="1">
      <formula>$M$85&gt;=0</formula>
    </cfRule>
    <cfRule type="expression" priority="251">
      <formula>$M$85&lt;0</formula>
    </cfRule>
  </conditionalFormatting>
  <conditionalFormatting sqref="U87:U88 O88:Q88">
    <cfRule type="cellIs" dxfId="1193" priority="249" stopIfTrue="1" operator="notEqual">
      <formula>#REF!</formula>
    </cfRule>
  </conditionalFormatting>
  <conditionalFormatting sqref="O13">
    <cfRule type="expression" dxfId="1192" priority="233">
      <formula>$P$13&lt;&gt;$M$13</formula>
    </cfRule>
  </conditionalFormatting>
  <conditionalFormatting sqref="U87:U88 O88:Q88">
    <cfRule type="cellIs" dxfId="1191" priority="232" stopIfTrue="1" operator="notEqual">
      <formula>#REF!</formula>
    </cfRule>
  </conditionalFormatting>
  <conditionalFormatting sqref="Q36">
    <cfRule type="expression" dxfId="1190" priority="27">
      <formula>#REF!&lt;&gt;#REF!</formula>
    </cfRule>
  </conditionalFormatting>
  <conditionalFormatting sqref="R35">
    <cfRule type="expression" dxfId="1189" priority="26">
      <formula>#REF!&lt;&gt;0</formula>
    </cfRule>
  </conditionalFormatting>
  <conditionalFormatting sqref="Q35">
    <cfRule type="expression" dxfId="1188" priority="25">
      <formula>#REF!&lt;&gt;0</formula>
    </cfRule>
  </conditionalFormatting>
  <conditionalFormatting sqref="R36">
    <cfRule type="expression" dxfId="1187" priority="24">
      <formula>#REF!&lt;&gt;#REF!</formula>
    </cfRule>
  </conditionalFormatting>
  <conditionalFormatting sqref="D93:M98 T94:T95 R90:S95 U87:X93 T90:T92 Y90:Y95 O88:O92 P88:Q93">
    <cfRule type="cellIs" dxfId="1186" priority="23" stopIfTrue="1" operator="notEqual">
      <formula>#REF!</formula>
    </cfRule>
  </conditionalFormatting>
  <conditionalFormatting sqref="P70">
    <cfRule type="expression" dxfId="1185" priority="22">
      <formula>$P$69&lt;&gt;$M$69</formula>
    </cfRule>
  </conditionalFormatting>
  <conditionalFormatting sqref="AB72">
    <cfRule type="expression" dxfId="1184" priority="21">
      <formula>$AB$71&lt;&gt;0</formula>
    </cfRule>
  </conditionalFormatting>
  <conditionalFormatting sqref="P71">
    <cfRule type="expression" dxfId="1183" priority="20">
      <formula>P69-INT(P69)</formula>
    </cfRule>
  </conditionalFormatting>
  <conditionalFormatting sqref="V70">
    <cfRule type="expression" dxfId="1182" priority="19">
      <formula>X68-INT(X68)</formula>
    </cfRule>
  </conditionalFormatting>
  <conditionalFormatting sqref="O12">
    <cfRule type="expression" dxfId="1181" priority="18">
      <formula>$P$12&lt;&gt;$M$12</formula>
    </cfRule>
  </conditionalFormatting>
  <conditionalFormatting sqref="T94:T95 R90:S95 U87:U93 T90:T92 O88:O92 P88:Q93">
    <cfRule type="cellIs" dxfId="1180" priority="16" stopIfTrue="1" operator="notEqual">
      <formula>#REF!</formula>
    </cfRule>
  </conditionalFormatting>
  <conditionalFormatting sqref="R84">
    <cfRule type="expression" priority="14" stopIfTrue="1">
      <formula>$M$85&lt;0</formula>
    </cfRule>
    <cfRule type="expression" dxfId="1179" priority="15">
      <formula>$S$85&lt;&gt;0</formula>
    </cfRule>
  </conditionalFormatting>
  <conditionalFormatting sqref="R80 R77">
    <cfRule type="expression" dxfId="1178" priority="12" stopIfTrue="1">
      <formula>$M$85&gt;=0</formula>
    </cfRule>
    <cfRule type="expression" priority="13">
      <formula>$M$85&lt;0</formula>
    </cfRule>
  </conditionalFormatting>
  <conditionalFormatting sqref="U87:U88 R89:U92 O88:Q92">
    <cfRule type="cellIs" dxfId="1177" priority="11" stopIfTrue="1" operator="notEqual">
      <formula>#REF!</formula>
    </cfRule>
  </conditionalFormatting>
  <conditionalFormatting sqref="M101">
    <cfRule type="expression" dxfId="1176" priority="10">
      <formula>$M$101&lt;&gt;0</formula>
    </cfRule>
  </conditionalFormatting>
  <conditionalFormatting sqref="M102">
    <cfRule type="expression" dxfId="1175" priority="9">
      <formula>$M$93&lt;&gt;$M$100</formula>
    </cfRule>
  </conditionalFormatting>
  <conditionalFormatting sqref="U87:U92 R90:T92 O88:Q92">
    <cfRule type="cellIs" dxfId="1174" priority="8" stopIfTrue="1" operator="notEqual">
      <formula>#REF!</formula>
    </cfRule>
  </conditionalFormatting>
  <conditionalFormatting sqref="T89:U89 Q91 T90 O89:O90 P89:Q89 R89:S91">
    <cfRule type="cellIs" dxfId="1173" priority="7" stopIfTrue="1" operator="notEqual">
      <formula>#REF!</formula>
    </cfRule>
  </conditionalFormatting>
  <conditionalFormatting sqref="Q36">
    <cfRule type="expression" dxfId="1172" priority="6">
      <formula>#REF!&lt;&gt;#REF!</formula>
    </cfRule>
  </conditionalFormatting>
  <conditionalFormatting sqref="R35">
    <cfRule type="expression" dxfId="1171" priority="5">
      <formula>#REF!&lt;&gt;0</formula>
    </cfRule>
  </conditionalFormatting>
  <conditionalFormatting sqref="Q35">
    <cfRule type="expression" dxfId="1170" priority="4">
      <formula>#REF!&lt;&gt;0</formula>
    </cfRule>
  </conditionalFormatting>
  <conditionalFormatting sqref="R36">
    <cfRule type="expression" dxfId="1169" priority="3">
      <formula>#REF!&lt;&gt;#REF!</formula>
    </cfRule>
  </conditionalFormatting>
  <conditionalFormatting sqref="G59:K59">
    <cfRule type="expression" dxfId="1168" priority="1">
      <formula>OR($P$105&gt;0,$P$106&lt;&gt;0,$P$107&lt;&gt;0)</formula>
    </cfRule>
  </conditionalFormatting>
  <hyperlinks>
    <hyperlink ref="O2" location="Index!A1" display="Return to Index" xr:uid="{00000000-0004-0000-3300-000000000000}"/>
  </hyperlinks>
  <printOptions horizontalCentered="1"/>
  <pageMargins left="0.5" right="0.5" top="0.25" bottom="0.25" header="0" footer="0.25"/>
  <pageSetup scale="46" orientation="landscape" r:id="rId1"/>
  <headerFooter alignWithMargins="0"/>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38"/>
  <dimension ref="A1:G30"/>
  <sheetViews>
    <sheetView showGridLines="0" zoomScale="80" zoomScaleNormal="80" workbookViewId="0">
      <selection activeCell="E74" sqref="E74:F74"/>
    </sheetView>
  </sheetViews>
  <sheetFormatPr defaultColWidth="9.140625" defaultRowHeight="12.75"/>
  <cols>
    <col min="1" max="1" width="7" style="53" customWidth="1"/>
    <col min="2" max="2" width="93.140625" style="53" customWidth="1"/>
    <col min="3" max="3" width="18.28515625" style="53" customWidth="1"/>
    <col min="4" max="9" width="9.140625" style="53"/>
    <col min="10" max="10" width="14.140625" style="53" customWidth="1"/>
    <col min="11" max="11" width="9.140625" style="53"/>
    <col min="12" max="12" width="9.140625" style="53" customWidth="1"/>
    <col min="13" max="16384" width="9.140625" style="53"/>
  </cols>
  <sheetData>
    <row r="1" spans="2:6" ht="18.75" thickBot="1">
      <c r="B1" s="466" t="str">
        <f>'S-A Chrts'!$A$1</f>
        <v>The University of Texas at San Antonio</v>
      </c>
      <c r="C1" s="835" t="s">
        <v>1200</v>
      </c>
    </row>
    <row r="2" spans="2:6">
      <c r="B2" s="393" t="str">
        <f>'Smmy Chrts'!$A$2</f>
        <v>For the Year Ended August 31, 2021</v>
      </c>
    </row>
    <row r="3" spans="2:6">
      <c r="B3" s="393" t="str">
        <f>'Smmy Chrts'!$A$3</f>
        <v>Source: FY 2021 Annual Financial Report</v>
      </c>
    </row>
    <row r="5" spans="2:6" customFormat="1">
      <c r="B5" s="529" t="s">
        <v>705</v>
      </c>
    </row>
    <row r="6" spans="2:6" customFormat="1">
      <c r="B6" s="530"/>
    </row>
    <row r="7" spans="2:6" customFormat="1" ht="226.5" customHeight="1">
      <c r="B7" s="531" t="s">
        <v>706</v>
      </c>
      <c r="C7" s="532"/>
    </row>
    <row r="8" spans="2:6" customFormat="1" ht="263.25" customHeight="1">
      <c r="B8" s="531" t="s">
        <v>707</v>
      </c>
    </row>
    <row r="9" spans="2:6" ht="64.5" customHeight="1">
      <c r="B9" s="533" t="str">
        <f>IF('S-A FGD'!$R$76="N/A","FN11.  N/A",$B$20&amp;$B$21&amp;$B$22&amp;$B$23&amp;$B$24&amp;$B$25&amp;$B$26&amp;$B$27&amp;$B$28&amp;$B$29&amp;$B$30)</f>
        <v>FN11: Of the net increase of $249,854,658 approximately $166.5 million represents revenues received but not yet expended. This income is fully committed to program expenditures and capital disbursements. The remaining $83.3 million represents non-expendable funds from unrealized gains and additions to permanent endowments of approximately $78.2 million and $5.1 million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TEXT(IF('S-A FGD'!$M$85&lt;0,"N/A",'S-A FGD'!$M$85),"$* #,##0;$* (#,##0)")</f>
        <v>$249,854,658</v>
      </c>
      <c r="C21" s="480"/>
      <c r="D21" s="480"/>
      <c r="E21" s="480"/>
      <c r="G21" s="105"/>
    </row>
    <row r="22" spans="1:7">
      <c r="B22" s="105" t="s">
        <v>682</v>
      </c>
    </row>
    <row r="23" spans="1:7">
      <c r="A23" s="53">
        <v>61</v>
      </c>
      <c r="B23" s="515" t="str">
        <f>IF(ABS('S-A FGD'!$R$77)&gt;=1000000,TEXT('S-A FGD'!$R$77/1000000,"$* #,##0.0;$* (#,##0.0)")&amp;" million",IF(ABS('S-A FGD'!$R$77)&lt;1000,TEXT('S-A FGD'!$R$77,"$* #,##0;$* (#,##0)"),TEXT('S-A FGD'!$R$77/1000,"$* #,##0;$* (#,##0)")&amp;" thousand"))</f>
        <v>$166.5 million</v>
      </c>
      <c r="C23" s="515"/>
      <c r="E23" s="515"/>
    </row>
    <row r="24" spans="1:7">
      <c r="B24" s="105" t="s">
        <v>708</v>
      </c>
    </row>
    <row r="25" spans="1:7">
      <c r="A25" s="53">
        <v>62</v>
      </c>
      <c r="B25" s="515" t="str">
        <f>IF(ABS('S-A FGD'!$R$78)&gt;=1000000,TEXT('S-A FGD'!$R$78/1000000,"$* #,##0.0;$* (#,##0.0)")&amp;" million",IF(ABS('S-A FGD'!$R$78)&lt;1000,TEXT('S-A FGD'!$R$78,"$* #,##0;$* (#,##0)"),TEXT('S-A FGD'!$R$78/1000,"$* #,##0;$* (#,##0)")&amp;" thousand"))</f>
        <v>$83.3 million</v>
      </c>
      <c r="C25" s="515"/>
      <c r="E25" s="515"/>
    </row>
    <row r="26" spans="1:7">
      <c r="B26" s="105" t="s">
        <v>683</v>
      </c>
    </row>
    <row r="27" spans="1:7">
      <c r="A27" s="53">
        <v>64</v>
      </c>
      <c r="B27" s="515" t="str">
        <f>IF(ABS('S-A FGD'!$R$80)&gt;=1000000,TEXT('S-A FGD'!$R$80/1000000,"$* #,##0.0;$* (#,##0.0)")&amp;" million",IF(ABS('S-A FGD'!$R$80)&lt;1000,TEXT('S-A FGD'!$R$80,"$* #,##0;$* (#,##0)"),TEXT('S-A FGD'!$R$80/1000,"$* #,##0;$* (#,##0)")&amp;" thousand"))</f>
        <v>$78.2 million</v>
      </c>
      <c r="C27" s="515"/>
      <c r="E27" s="515"/>
    </row>
    <row r="28" spans="1:7">
      <c r="B28" s="105" t="s">
        <v>684</v>
      </c>
    </row>
    <row r="29" spans="1:7">
      <c r="A29" s="53">
        <v>66</v>
      </c>
      <c r="B29" s="515" t="str">
        <f>IF(ABS('S-A FGD'!$R$82)&gt;=1000000,TEXT('S-A FGD'!$R$82/1000000,"$* #,##0.0;$* (#,##0.0)")&amp;" million",IF(ABS('S-A FGD'!$R$82)&lt;1000,TEXT('S-A FGD'!$R$82,"$* #,##0;$* (#,##0)"),TEXT('S-A FGD'!$R$82/1000,"$* #,##0;$* (#,##0)")&amp;" thousand"))</f>
        <v>$5.1 million</v>
      </c>
      <c r="C29" s="515"/>
      <c r="E29" s="515"/>
    </row>
    <row r="30" spans="1:7">
      <c r="B30" s="105" t="s">
        <v>709</v>
      </c>
    </row>
  </sheetData>
  <hyperlinks>
    <hyperlink ref="C1" location="Index!A1" display="Return to Index" xr:uid="{00000000-0004-0000-3400-000000000000}"/>
  </hyperlinks>
  <pageMargins left="0.25" right="0.25" top="0.25" bottom="0.25" header="0" footer="0.25"/>
  <pageSetup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39">
    <tabColor indexed="47"/>
    <pageSetUpPr fitToPage="1"/>
  </sheetPr>
  <dimension ref="A1:E165"/>
  <sheetViews>
    <sheetView showGridLines="0" zoomScale="65" zoomScaleNormal="65" zoomScaleSheetLayoutView="65" workbookViewId="0">
      <selection activeCell="E74" sqref="E74:F74"/>
    </sheetView>
  </sheetViews>
  <sheetFormatPr defaultColWidth="9.140625" defaultRowHeight="12.75" customHeight="1"/>
  <cols>
    <col min="1" max="1" width="158.7109375" style="53" customWidth="1"/>
    <col min="2" max="2" width="19" style="53" customWidth="1"/>
    <col min="3" max="3" width="54.7109375" style="53" customWidth="1"/>
    <col min="4" max="4" width="20.7109375" style="53" customWidth="1"/>
    <col min="5" max="5" width="9.140625" style="679"/>
    <col min="6" max="16384" width="9.140625" style="53"/>
  </cols>
  <sheetData>
    <row r="1" spans="1:5" ht="28.5" thickBot="1">
      <c r="A1" s="159" t="s">
        <v>102</v>
      </c>
      <c r="B1" s="835" t="s">
        <v>1200</v>
      </c>
      <c r="C1" s="53" t="s">
        <v>1329</v>
      </c>
    </row>
    <row r="2" spans="1:5" ht="27.75">
      <c r="A2" s="54" t="str">
        <f>'Smmy Chrts'!$A$2</f>
        <v>For the Year Ended August 31, 2021</v>
      </c>
      <c r="C2" s="55" t="s">
        <v>63</v>
      </c>
    </row>
    <row r="3" spans="1:5" ht="27.75">
      <c r="A3" s="54" t="str">
        <f>'Smmy Chrts'!$A$3</f>
        <v>Source: FY 2021 Annual Financial Report</v>
      </c>
      <c r="C3" s="53" t="s">
        <v>64</v>
      </c>
    </row>
    <row r="4" spans="1:5" ht="12.75" customHeight="1">
      <c r="C4" s="53" t="s">
        <v>267</v>
      </c>
    </row>
    <row r="5" spans="1:5" ht="12.75" customHeight="1">
      <c r="C5" s="53" t="s">
        <v>268</v>
      </c>
    </row>
    <row r="7" spans="1:5" ht="12.75" customHeight="1">
      <c r="C7" s="1687" t="s">
        <v>25</v>
      </c>
      <c r="D7" s="1687"/>
    </row>
    <row r="8" spans="1:5" ht="12.75" customHeight="1">
      <c r="C8" s="57"/>
      <c r="D8" s="58"/>
    </row>
    <row r="9" spans="1:5" ht="12.75" customHeight="1">
      <c r="C9" s="59" t="str">
        <f>'TYL Sum'!A9</f>
        <v>State of Texas</v>
      </c>
      <c r="D9" s="60">
        <f>'TYL Sum'!B15</f>
        <v>52855515</v>
      </c>
      <c r="E9" s="680">
        <f>ROUND(D9/$D$14,3)</f>
        <v>0.317</v>
      </c>
    </row>
    <row r="10" spans="1:5" ht="12.75" customHeight="1">
      <c r="C10" s="59" t="str">
        <f>'TYL Sum'!A17</f>
        <v>Student &amp; Parent</v>
      </c>
      <c r="D10" s="60">
        <f>'TYL Sum'!B20</f>
        <v>57341915</v>
      </c>
      <c r="E10" s="680">
        <f t="shared" ref="E10:E12" si="0">ROUND(D10/$D$14,3)</f>
        <v>0.34399999999999997</v>
      </c>
    </row>
    <row r="11" spans="1:5" ht="12.75" customHeight="1">
      <c r="C11" s="59" t="str">
        <f>'TYL Sum'!A22</f>
        <v>Federal Government</v>
      </c>
      <c r="D11" s="60">
        <f>'TYL Sum'!B23</f>
        <v>23208570</v>
      </c>
      <c r="E11" s="680">
        <f t="shared" si="0"/>
        <v>0.13900000000000001</v>
      </c>
    </row>
    <row r="12" spans="1:5" ht="12.75" customHeight="1">
      <c r="C12" s="59" t="str">
        <f>'TYL Sum'!A25</f>
        <v>Institutional Resources</v>
      </c>
      <c r="D12" s="60">
        <f>'TYL Sum'!B32</f>
        <v>33179055</v>
      </c>
      <c r="E12" s="680">
        <f t="shared" si="0"/>
        <v>0.19900000000000001</v>
      </c>
    </row>
    <row r="13" spans="1:5" ht="12.75" customHeight="1">
      <c r="C13" s="57"/>
      <c r="D13" s="58"/>
      <c r="E13" s="680"/>
    </row>
    <row r="14" spans="1:5" ht="12.75" customHeight="1">
      <c r="C14" s="61" t="s">
        <v>68</v>
      </c>
      <c r="D14" s="62">
        <f>SUM(D9:D13)</f>
        <v>166585055</v>
      </c>
      <c r="E14" s="680">
        <f>SUM(E9:E13)</f>
        <v>0.99900000000000011</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86" t="str">
        <f>C14&amp;" "&amp;TEXT(D14,"$#,###")</f>
        <v>Total Operating Sources $166,585,055</v>
      </c>
    </row>
    <row r="48" spans="1:1" ht="12.75" customHeight="1">
      <c r="A48" s="1686"/>
    </row>
    <row r="49" spans="1:5" ht="12.75" customHeight="1">
      <c r="A49" s="56"/>
    </row>
    <row r="52" spans="1:5" ht="12.75" customHeight="1">
      <c r="C52" s="63" t="s">
        <v>25</v>
      </c>
      <c r="D52" s="58"/>
    </row>
    <row r="54" spans="1:5" ht="12.75" customHeight="1">
      <c r="C54" s="59" t="s">
        <v>1</v>
      </c>
      <c r="D54" s="60">
        <f>'TYL Sum'!B10</f>
        <v>40081857</v>
      </c>
      <c r="E54" s="680">
        <f>ROUND(D54/$D$67,3)</f>
        <v>0.24099999999999999</v>
      </c>
    </row>
    <row r="55" spans="1:5" ht="12.75" customHeight="1">
      <c r="C55" s="59" t="s">
        <v>221</v>
      </c>
      <c r="D55" s="60">
        <f>'TYL Sum'!B11</f>
        <v>12773658</v>
      </c>
      <c r="E55" s="680">
        <f t="shared" ref="E55:E66" si="1">ROUND(D55/$D$67,3)</f>
        <v>7.6999999999999999E-2</v>
      </c>
    </row>
    <row r="56" spans="1:5" ht="12.75" customHeight="1">
      <c r="C56" s="59"/>
      <c r="D56" s="60"/>
      <c r="E56" s="680"/>
    </row>
    <row r="57" spans="1:5" ht="12.75" customHeight="1">
      <c r="C57" s="1069" t="str">
        <f>'TYL Sum'!A13</f>
        <v>Higher Education Fund</v>
      </c>
      <c r="D57" s="60">
        <f>'TYL Sum'!B13</f>
        <v>0</v>
      </c>
      <c r="E57" s="680">
        <f t="shared" si="1"/>
        <v>0</v>
      </c>
    </row>
    <row r="58" spans="1:5" ht="12.75" customHeight="1">
      <c r="C58" s="1069" t="s">
        <v>41</v>
      </c>
      <c r="D58" s="60">
        <f>'TYL Sum'!B14</f>
        <v>0</v>
      </c>
      <c r="E58" s="680">
        <f t="shared" si="1"/>
        <v>0</v>
      </c>
    </row>
    <row r="59" spans="1:5" ht="12.75" customHeight="1">
      <c r="C59" s="59" t="s">
        <v>87</v>
      </c>
      <c r="D59" s="60">
        <f>'TYL Sum'!B20</f>
        <v>57341915</v>
      </c>
      <c r="E59" s="680">
        <f t="shared" si="1"/>
        <v>0.34399999999999997</v>
      </c>
    </row>
    <row r="60" spans="1:5" ht="12.75" customHeight="1">
      <c r="C60" s="64" t="s">
        <v>74</v>
      </c>
      <c r="D60" s="60">
        <f>'TYL Sum'!B23</f>
        <v>23208570</v>
      </c>
      <c r="E60" s="680">
        <f t="shared" si="1"/>
        <v>0.13900000000000001</v>
      </c>
    </row>
    <row r="61" spans="1:5" ht="12.75" customHeight="1">
      <c r="C61" s="59" t="s">
        <v>75</v>
      </c>
      <c r="D61" s="60">
        <f>'TYL Sum'!B26</f>
        <v>9320009</v>
      </c>
      <c r="E61" s="680">
        <f t="shared" si="1"/>
        <v>5.6000000000000001E-2</v>
      </c>
    </row>
    <row r="62" spans="1:5" ht="12.75" customHeight="1">
      <c r="C62" s="1069" t="s">
        <v>27</v>
      </c>
      <c r="D62" s="60">
        <f>'TYL Sum'!B27</f>
        <v>0</v>
      </c>
      <c r="E62" s="680">
        <f t="shared" si="1"/>
        <v>0</v>
      </c>
    </row>
    <row r="63" spans="1:5" ht="12.75" customHeight="1">
      <c r="C63" s="59" t="s">
        <v>76</v>
      </c>
      <c r="D63" s="60">
        <f>'TYL Sum'!B28</f>
        <v>1810423</v>
      </c>
      <c r="E63" s="680">
        <f t="shared" si="1"/>
        <v>1.0999999999999999E-2</v>
      </c>
    </row>
    <row r="64" spans="1:5" ht="12.75" customHeight="1">
      <c r="C64" s="59" t="s">
        <v>77</v>
      </c>
      <c r="D64" s="60">
        <f>'TYL Sum'!B29</f>
        <v>11217294</v>
      </c>
      <c r="E64" s="680">
        <f t="shared" si="1"/>
        <v>6.7000000000000004E-2</v>
      </c>
    </row>
    <row r="65" spans="1:5" ht="12.75" customHeight="1">
      <c r="C65" s="59" t="s">
        <v>220</v>
      </c>
      <c r="D65" s="60">
        <f>'TYL Sum'!B30</f>
        <v>10251224</v>
      </c>
      <c r="E65" s="680">
        <f t="shared" si="1"/>
        <v>6.2E-2</v>
      </c>
    </row>
    <row r="66" spans="1:5" ht="12.75" customHeight="1">
      <c r="C66" s="64" t="s">
        <v>52</v>
      </c>
      <c r="D66" s="60">
        <f>'TYL Sum'!B31</f>
        <v>580105</v>
      </c>
      <c r="E66" s="680">
        <f t="shared" si="1"/>
        <v>3.0000000000000001E-3</v>
      </c>
    </row>
    <row r="67" spans="1:5" ht="12.75" customHeight="1">
      <c r="C67" s="61" t="s">
        <v>68</v>
      </c>
      <c r="D67" s="62">
        <f>SUM(D54:D66)</f>
        <v>166585055</v>
      </c>
      <c r="E67" s="681">
        <f>SUM(E54:E66)</f>
        <v>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86" t="str">
        <f>C67&amp;" "&amp;TEXT(D67,"$#,###")</f>
        <v>Total Operating Sources $166,585,055</v>
      </c>
    </row>
    <row r="93" spans="1:5" ht="12.75" customHeight="1">
      <c r="A93" s="1686"/>
    </row>
    <row r="94" spans="1:5" ht="12.75" customHeight="1">
      <c r="A94" s="65"/>
    </row>
    <row r="95" spans="1:5" s="68" customFormat="1" ht="12.75" customHeight="1">
      <c r="A95" s="66"/>
      <c r="E95" s="682"/>
    </row>
    <row r="96" spans="1:5" ht="12.75" customHeight="1">
      <c r="A96" s="65"/>
    </row>
    <row r="97" spans="1:5" ht="12.75" customHeight="1">
      <c r="A97" s="65"/>
    </row>
    <row r="98" spans="1:5" ht="12.75" customHeight="1">
      <c r="A98" s="65"/>
    </row>
    <row r="100" spans="1:5" ht="12.75" customHeight="1">
      <c r="C100" s="1687" t="s">
        <v>13</v>
      </c>
      <c r="D100" s="1687"/>
    </row>
    <row r="101" spans="1:5" ht="12.75" customHeight="1">
      <c r="C101" s="1687"/>
      <c r="D101" s="1687"/>
    </row>
    <row r="102" spans="1:5" ht="12.75" customHeight="1">
      <c r="C102" s="69" t="s">
        <v>14</v>
      </c>
      <c r="D102" s="60">
        <f>'TYL Sum'!B36</f>
        <v>61622088</v>
      </c>
      <c r="E102" s="680">
        <f>ROUND(D102/$D$114,3)</f>
        <v>0.41699999999999998</v>
      </c>
    </row>
    <row r="103" spans="1:5" ht="12.75" customHeight="1">
      <c r="C103" s="69" t="s">
        <v>15</v>
      </c>
      <c r="D103" s="60">
        <f>'TYL Sum'!B37</f>
        <v>2090148</v>
      </c>
      <c r="E103" s="680">
        <f t="shared" ref="E103:E112" si="2">ROUND(D103/$D$114,3)</f>
        <v>1.4E-2</v>
      </c>
    </row>
    <row r="104" spans="1:5" ht="12.75" customHeight="1">
      <c r="C104" s="69" t="s">
        <v>16</v>
      </c>
      <c r="D104" s="60">
        <f>'TYL Sum'!B38</f>
        <v>1495986</v>
      </c>
      <c r="E104" s="680">
        <f t="shared" si="2"/>
        <v>0.01</v>
      </c>
    </row>
    <row r="105" spans="1:5" ht="12.75" customHeight="1">
      <c r="C105" s="69" t="s">
        <v>17</v>
      </c>
      <c r="D105" s="60">
        <f>'TYL Sum'!B39</f>
        <v>15543747</v>
      </c>
      <c r="E105" s="680">
        <f t="shared" si="2"/>
        <v>0.105</v>
      </c>
    </row>
    <row r="106" spans="1:5" ht="12.75" customHeight="1">
      <c r="C106" s="69" t="s">
        <v>18</v>
      </c>
      <c r="D106" s="60">
        <f>'TYL Sum'!B40</f>
        <v>12914306</v>
      </c>
      <c r="E106" s="680">
        <f t="shared" si="2"/>
        <v>8.6999999999999994E-2</v>
      </c>
    </row>
    <row r="107" spans="1:5" ht="12.75" customHeight="1">
      <c r="C107" s="69" t="s">
        <v>19</v>
      </c>
      <c r="D107" s="60">
        <f>'TYL Sum'!B41</f>
        <v>14087587</v>
      </c>
      <c r="E107" s="680">
        <f t="shared" si="2"/>
        <v>9.5000000000000001E-2</v>
      </c>
    </row>
    <row r="108" spans="1:5" ht="12.75" customHeight="1">
      <c r="C108" s="69" t="s">
        <v>78</v>
      </c>
      <c r="D108" s="60">
        <f>'TYL Sum'!B42</f>
        <v>12975080</v>
      </c>
      <c r="E108" s="680">
        <f t="shared" si="2"/>
        <v>8.7999999999999995E-2</v>
      </c>
    </row>
    <row r="109" spans="1:5" ht="12.75" customHeight="1">
      <c r="C109" s="69" t="s">
        <v>79</v>
      </c>
      <c r="D109" s="60">
        <f>'TYL Sum'!B43</f>
        <v>13893217</v>
      </c>
      <c r="E109" s="680">
        <f t="shared" si="2"/>
        <v>9.4E-2</v>
      </c>
    </row>
    <row r="110" spans="1:5" ht="12.75" customHeight="1">
      <c r="C110" s="69" t="s">
        <v>22</v>
      </c>
      <c r="D110" s="60">
        <f>'TYL Sum'!B44</f>
        <v>12292638</v>
      </c>
      <c r="E110" s="680">
        <f t="shared" si="2"/>
        <v>8.3000000000000004E-2</v>
      </c>
    </row>
    <row r="111" spans="1:5" ht="12.75" customHeight="1">
      <c r="C111" s="64" t="s">
        <v>29</v>
      </c>
      <c r="D111" s="60">
        <f>'TYL Sum'!B45</f>
        <v>768896</v>
      </c>
      <c r="E111" s="680">
        <f t="shared" si="2"/>
        <v>5.0000000000000001E-3</v>
      </c>
    </row>
    <row r="112" spans="1:5" ht="12.75" customHeight="1">
      <c r="C112" s="64" t="s">
        <v>53</v>
      </c>
      <c r="D112" s="60">
        <f>'TYL Sum'!B46</f>
        <v>0</v>
      </c>
      <c r="E112" s="680">
        <f t="shared" si="2"/>
        <v>0</v>
      </c>
    </row>
    <row r="113" spans="3:5" ht="12.75" customHeight="1">
      <c r="C113" s="57"/>
      <c r="D113" s="57"/>
    </row>
    <row r="114" spans="3:5" ht="12.75" customHeight="1">
      <c r="C114" s="70" t="s">
        <v>69</v>
      </c>
      <c r="D114" s="62">
        <f>SUM(D102:D113)</f>
        <v>147683693</v>
      </c>
      <c r="E114" s="681">
        <f>SUM(E102:E113)</f>
        <v>0.99799999999999989</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86" t="str">
        <f>C114&amp;" "&amp;TEXT(D114,"$#,###")</f>
        <v>Total Operating Uses $147,683,693</v>
      </c>
    </row>
    <row r="137" spans="1:1" ht="12.75" customHeight="1">
      <c r="A137" s="1686"/>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35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ransitionEvaluation="1" transitionEntry="1" codeName="Sheet40">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'TYL Chrts'!$A$1</f>
        <v>The University of Texas at Tyler</v>
      </c>
      <c r="B1" s="74"/>
      <c r="C1" s="1"/>
      <c r="D1" s="1704" t="s">
        <v>1200</v>
      </c>
      <c r="E1" s="1705"/>
      <c r="F1" s="1757" t="s">
        <v>1196</v>
      </c>
      <c r="G1" s="1706"/>
      <c r="H1" s="1706"/>
      <c r="I1" s="1706"/>
      <c r="J1" s="1707" t="s">
        <v>1197</v>
      </c>
      <c r="K1" s="1695"/>
      <c r="L1" s="1695"/>
      <c r="M1" s="1695"/>
      <c r="N1" s="1695"/>
      <c r="O1" s="1696"/>
    </row>
    <row r="2" spans="1:15" ht="15.75">
      <c r="A2" s="76" t="str">
        <f>'Smmy Chrts'!$A$2</f>
        <v>For the Year Ended August 31, 2021</v>
      </c>
      <c r="B2" s="74"/>
      <c r="C2" s="1"/>
      <c r="D2" s="37"/>
      <c r="E2" s="37"/>
      <c r="F2" s="37"/>
      <c r="J2" s="37"/>
      <c r="K2" s="37"/>
      <c r="L2" s="37"/>
      <c r="M2" s="37"/>
    </row>
    <row r="3" spans="1:15" ht="15.75">
      <c r="A3" s="76" t="str">
        <f>'Smmy Chrts'!$A$3</f>
        <v>Source: FY 2021 Annual Financial Report</v>
      </c>
      <c r="B3" s="74"/>
      <c r="C3" s="1"/>
    </row>
    <row r="4" spans="1:15" ht="13.5" customHeight="1">
      <c r="B4" s="77"/>
      <c r="C4" s="4"/>
      <c r="D4" s="1711" t="s">
        <v>1142</v>
      </c>
      <c r="E4" s="1711" t="s">
        <v>1143</v>
      </c>
      <c r="F4" s="266"/>
    </row>
    <row r="5" spans="1:15" ht="18">
      <c r="A5" s="39" t="str">
        <f>'Smmy Chrts'!$C$35</f>
        <v>Summary Worksheet FY 2021</v>
      </c>
      <c r="B5" s="40" t="s">
        <v>86</v>
      </c>
      <c r="C5" s="40" t="s">
        <v>129</v>
      </c>
      <c r="D5" s="1712"/>
      <c r="E5" s="1712"/>
      <c r="F5" s="266"/>
      <c r="G5" s="799" t="s">
        <v>1198</v>
      </c>
      <c r="I5" s="822" t="s">
        <v>2157</v>
      </c>
      <c r="J5" s="792" t="s">
        <v>1144</v>
      </c>
    </row>
    <row r="6" spans="1:15" ht="13.5" customHeight="1">
      <c r="A6" s="78" t="s">
        <v>266</v>
      </c>
      <c r="B6" s="41"/>
      <c r="C6" s="42">
        <f>VLOOKUP($A$1,FTSELU,12,FALSE)</f>
        <v>7607.2</v>
      </c>
      <c r="J6" s="712"/>
    </row>
    <row r="7" spans="1:15">
      <c r="I7" s="824" t="s">
        <v>1162</v>
      </c>
      <c r="J7" s="827"/>
    </row>
    <row r="8" spans="1:15">
      <c r="A8" s="81" t="s">
        <v>71</v>
      </c>
      <c r="B8" s="81"/>
      <c r="C8" s="24"/>
      <c r="I8" s="896">
        <f>VLOOKUP(A1,FTSELU,14,FALSE)</f>
        <v>737.26</v>
      </c>
      <c r="J8" s="712"/>
    </row>
    <row r="9" spans="1:15" ht="12.75" customHeight="1" thickBot="1">
      <c r="A9" s="78" t="s">
        <v>0</v>
      </c>
      <c r="B9" s="82"/>
      <c r="C9" s="7"/>
      <c r="J9" s="712"/>
    </row>
    <row r="10" spans="1:15" ht="12.75" customHeight="1" thickTop="1">
      <c r="A10" s="75" t="s">
        <v>1</v>
      </c>
      <c r="B10" s="83">
        <f>'TYL FGD'!M10</f>
        <v>40081857</v>
      </c>
      <c r="C10" s="83">
        <f>ROUND(B10/$C$6,0)</f>
        <v>5269</v>
      </c>
      <c r="D10" s="512">
        <f>'TYL FGD'!F10</f>
        <v>0</v>
      </c>
      <c r="E10" s="512"/>
      <c r="F10" s="84">
        <f>B10-(SUM(D10:E10))</f>
        <v>40081857</v>
      </c>
      <c r="G10" s="1143" t="s">
        <v>1</v>
      </c>
      <c r="H10" s="1144"/>
      <c r="I10" s="825" t="s">
        <v>1161</v>
      </c>
      <c r="J10" s="713">
        <f>ROUND(F10/$C$6,0)</f>
        <v>5269</v>
      </c>
    </row>
    <row r="11" spans="1:15" ht="12.75" customHeight="1" thickBot="1">
      <c r="A11" s="75" t="s">
        <v>2</v>
      </c>
      <c r="B11" s="86">
        <f>'TYL FGD'!M11</f>
        <v>12773658</v>
      </c>
      <c r="C11" s="87">
        <f t="shared" ref="C11:C14" si="0">ROUND(B11/$C$6,0)</f>
        <v>1679</v>
      </c>
      <c r="D11" s="86">
        <f>'TYL FGD'!F11</f>
        <v>0</v>
      </c>
      <c r="E11" s="74"/>
      <c r="F11" s="606">
        <f t="shared" ref="F11:F14" si="1">B11-(SUM(D11:E11))</f>
        <v>12773658</v>
      </c>
      <c r="G11" s="1148">
        <f>SUM(F10:F11)</f>
        <v>52855515</v>
      </c>
      <c r="H11" s="715"/>
      <c r="I11" s="1373">
        <f>ROUND($G$11/$C$6,0)</f>
        <v>6948</v>
      </c>
      <c r="J11" s="716">
        <f t="shared" ref="J11:J14" si="2">ROUND(F11/$C$6,0)</f>
        <v>1679</v>
      </c>
    </row>
    <row r="12" spans="1:15" ht="12.75" hidden="1" customHeight="1" thickTop="1" thickBot="1">
      <c r="A12" s="75" t="s">
        <v>1410</v>
      </c>
      <c r="B12" s="86"/>
      <c r="C12" s="87"/>
      <c r="D12" s="86"/>
      <c r="E12" s="74"/>
      <c r="F12" s="607"/>
      <c r="J12" s="716"/>
      <c r="O12" s="608"/>
    </row>
    <row r="13" spans="1:15" ht="12.75" customHeight="1" thickTop="1">
      <c r="A13" s="75" t="s">
        <v>1368</v>
      </c>
      <c r="B13" s="86">
        <f>'TYL FGD'!M13</f>
        <v>0</v>
      </c>
      <c r="C13" s="87">
        <f t="shared" si="0"/>
        <v>0</v>
      </c>
      <c r="D13" s="86">
        <f>'TYL FGD'!F13</f>
        <v>0</v>
      </c>
      <c r="E13" s="74"/>
      <c r="F13" s="893">
        <f t="shared" si="1"/>
        <v>0</v>
      </c>
      <c r="G13" s="882" t="s">
        <v>81</v>
      </c>
      <c r="H13" s="894"/>
      <c r="I13" s="826" t="s">
        <v>1163</v>
      </c>
      <c r="J13" s="716">
        <f t="shared" si="2"/>
        <v>0</v>
      </c>
    </row>
    <row r="14" spans="1:15" ht="12.75" customHeight="1" thickBot="1">
      <c r="A14" s="75" t="s">
        <v>49</v>
      </c>
      <c r="B14" s="86">
        <f>'TYL FGD'!M14</f>
        <v>0</v>
      </c>
      <c r="C14" s="87">
        <f t="shared" si="0"/>
        <v>0</v>
      </c>
      <c r="D14" s="86">
        <f>'TYL FGD'!F14</f>
        <v>0</v>
      </c>
      <c r="E14" s="74"/>
      <c r="F14" s="607">
        <f t="shared" si="1"/>
        <v>0</v>
      </c>
      <c r="G14" s="800">
        <f>SUM(F13:F14)</f>
        <v>0</v>
      </c>
      <c r="H14" s="895"/>
      <c r="I14" s="1377">
        <f>ROUND($G$11/$I$8,0)</f>
        <v>71692</v>
      </c>
      <c r="J14" s="828">
        <f t="shared" si="2"/>
        <v>0</v>
      </c>
    </row>
    <row r="15" spans="1:15" ht="12.75" customHeight="1" thickTop="1">
      <c r="A15" s="88" t="s">
        <v>3</v>
      </c>
      <c r="B15" s="89">
        <f>SUM(B10:B14)</f>
        <v>52855515</v>
      </c>
      <c r="C15" s="89">
        <f>SUM(C10:C14)</f>
        <v>6948</v>
      </c>
      <c r="D15" s="89">
        <f>SUM(D10:D14)</f>
        <v>0</v>
      </c>
      <c r="E15" s="89">
        <f>SUM(E10:E14)</f>
        <v>0</v>
      </c>
      <c r="F15" s="216">
        <f>SUM(F10:F14)</f>
        <v>52855515</v>
      </c>
      <c r="I15" s="1372"/>
      <c r="J15" s="757">
        <f>SUM(J10:J14)</f>
        <v>6948</v>
      </c>
    </row>
    <row r="16" spans="1:15">
      <c r="B16" s="48"/>
      <c r="C16" s="75"/>
      <c r="J16" s="712"/>
    </row>
    <row r="17" spans="1:31" ht="12.75" customHeight="1">
      <c r="A17" s="78" t="s">
        <v>4</v>
      </c>
      <c r="B17" s="86"/>
      <c r="C17" s="75"/>
      <c r="J17" s="712"/>
    </row>
    <row r="18" spans="1:31">
      <c r="A18" s="75" t="s">
        <v>39</v>
      </c>
      <c r="B18" s="83">
        <f>'TYL FGD'!M29</f>
        <v>35968361</v>
      </c>
      <c r="C18" s="83">
        <f t="shared" ref="C18:C19" si="3">ROUND(B18/$C$6,0)</f>
        <v>4728</v>
      </c>
      <c r="D18" s="512">
        <f>'TYL FGD'!$F$29</f>
        <v>0</v>
      </c>
      <c r="E18" s="512"/>
      <c r="F18" s="512">
        <f t="shared" ref="F18:F19" si="4">B18-(SUM(D18:E18))</f>
        <v>35968361</v>
      </c>
      <c r="G18" s="337"/>
      <c r="H18" s="337"/>
      <c r="I18" s="337"/>
      <c r="J18" s="713">
        <f>ROUND(F18/$C$6,0)</f>
        <v>4728</v>
      </c>
    </row>
    <row r="19" spans="1:31" ht="13.5" thickBot="1">
      <c r="A19" s="75" t="s">
        <v>40</v>
      </c>
      <c r="B19" s="86">
        <f>'TYL FGD'!M42</f>
        <v>21373554</v>
      </c>
      <c r="C19" s="87">
        <f t="shared" si="3"/>
        <v>2810</v>
      </c>
      <c r="D19" s="74">
        <f>'TYL FGD'!$F$42</f>
        <v>5068446</v>
      </c>
      <c r="E19" s="74"/>
      <c r="F19" s="74">
        <f t="shared" si="4"/>
        <v>16305108</v>
      </c>
      <c r="G19" s="337"/>
      <c r="H19" s="337"/>
      <c r="I19" s="337"/>
      <c r="J19" s="716">
        <f>ROUND(F19/$C$6,0)</f>
        <v>2143</v>
      </c>
    </row>
    <row r="20" spans="1:31" ht="14.25" thickTop="1" thickBot="1">
      <c r="A20" s="88" t="s">
        <v>5</v>
      </c>
      <c r="B20" s="89">
        <f>SUM(B18:B19)</f>
        <v>57341915</v>
      </c>
      <c r="C20" s="89">
        <f>SUM(C18:C19)</f>
        <v>7538</v>
      </c>
      <c r="D20" s="717">
        <f>SUM(D18:D19)</f>
        <v>5068446</v>
      </c>
      <c r="E20" s="718">
        <f>SUM(E18:E19)</f>
        <v>0</v>
      </c>
      <c r="F20" s="801">
        <f>SUM(F18:F19)</f>
        <v>52273469</v>
      </c>
      <c r="G20" s="720" t="s">
        <v>26</v>
      </c>
      <c r="H20" s="366"/>
      <c r="I20" s="367"/>
      <c r="J20" s="721">
        <f>SUM(J18:J19)</f>
        <v>6871</v>
      </c>
    </row>
    <row r="21" spans="1:31" ht="12.75" customHeight="1" thickTop="1">
      <c r="B21" s="91"/>
      <c r="C21" s="75"/>
      <c r="F21" s="804"/>
      <c r="J21" s="712"/>
    </row>
    <row r="22" spans="1:31" ht="14.25" customHeight="1" thickBot="1">
      <c r="A22" s="78" t="s">
        <v>6</v>
      </c>
      <c r="B22" s="91"/>
      <c r="C22" s="75"/>
      <c r="J22" s="712"/>
    </row>
    <row r="23" spans="1:31" ht="14.25" thickTop="1" thickBot="1">
      <c r="A23" s="88" t="s">
        <v>7</v>
      </c>
      <c r="B23" s="92">
        <f>'TYL FGD'!M47</f>
        <v>23208570</v>
      </c>
      <c r="C23" s="89">
        <f t="shared" ref="C23" si="5">ROUND(B23/$C$6,0)</f>
        <v>3051</v>
      </c>
      <c r="D23" s="717">
        <f>'TYL FGD'!F47</f>
        <v>0</v>
      </c>
      <c r="E23" s="718"/>
      <c r="F23" s="801">
        <f>B23-(SUM(D23:E23))</f>
        <v>23208570</v>
      </c>
      <c r="G23" s="722" t="s">
        <v>74</v>
      </c>
      <c r="H23" s="366"/>
      <c r="I23" s="367"/>
      <c r="J23" s="756">
        <f>ROUND(F23/$C$6,0)</f>
        <v>3051</v>
      </c>
    </row>
    <row r="24" spans="1:31" ht="13.5" thickTop="1">
      <c r="B24" s="91"/>
      <c r="C24" s="75"/>
      <c r="J24" s="712"/>
    </row>
    <row r="25" spans="1:31">
      <c r="A25" s="78" t="s">
        <v>8</v>
      </c>
      <c r="B25" s="91"/>
      <c r="C25" s="75"/>
      <c r="J25" s="712"/>
    </row>
    <row r="26" spans="1:31">
      <c r="A26" s="75" t="s">
        <v>42</v>
      </c>
      <c r="B26" s="83">
        <f>'TYL FGD'!M50</f>
        <v>9320009</v>
      </c>
      <c r="C26" s="83">
        <f t="shared" ref="C26:C31" si="6">ROUND(B26/$C$6,0)</f>
        <v>1225</v>
      </c>
      <c r="D26" s="512">
        <f>'TYL FGD'!F50</f>
        <v>0</v>
      </c>
      <c r="E26" s="512"/>
      <c r="F26" s="512">
        <f t="shared" ref="F26:F31" si="7">B26-(SUM(D26:E26))</f>
        <v>9320009</v>
      </c>
      <c r="G26" s="337"/>
      <c r="H26" s="337"/>
      <c r="I26" s="337"/>
      <c r="J26" s="713">
        <f>ROUND(F26/$C$6,0)</f>
        <v>1225</v>
      </c>
    </row>
    <row r="27" spans="1:31">
      <c r="A27" s="75" t="s">
        <v>9</v>
      </c>
      <c r="B27" s="86">
        <f>'TYL FGD'!M51</f>
        <v>0</v>
      </c>
      <c r="C27" s="87">
        <f t="shared" si="6"/>
        <v>0</v>
      </c>
      <c r="D27" s="86">
        <f>'TYL FGD'!F51</f>
        <v>0</v>
      </c>
      <c r="E27" s="74"/>
      <c r="F27" s="74">
        <f t="shared" si="7"/>
        <v>0</v>
      </c>
      <c r="G27" s="337"/>
      <c r="H27" s="337"/>
      <c r="I27" s="337"/>
      <c r="J27" s="716">
        <f t="shared" ref="J27:J31" si="8">ROUND(F27/$C$6,0)</f>
        <v>0</v>
      </c>
    </row>
    <row r="28" spans="1:31" ht="13.5" thickBot="1">
      <c r="A28" s="75" t="s">
        <v>10</v>
      </c>
      <c r="B28" s="86">
        <f>'TYL FGD'!M52</f>
        <v>1810423</v>
      </c>
      <c r="C28" s="87">
        <f t="shared" si="6"/>
        <v>238</v>
      </c>
      <c r="D28" s="86">
        <f>'TYL FGD'!F52</f>
        <v>235375</v>
      </c>
      <c r="E28" s="74"/>
      <c r="F28" s="74">
        <f t="shared" si="7"/>
        <v>1575048</v>
      </c>
      <c r="G28" s="337"/>
      <c r="H28" s="337"/>
      <c r="I28" s="337"/>
      <c r="J28" s="716">
        <f t="shared" si="8"/>
        <v>207</v>
      </c>
    </row>
    <row r="29" spans="1:31" ht="13.5" thickBot="1">
      <c r="A29" s="75" t="s">
        <v>11</v>
      </c>
      <c r="B29" s="86">
        <f>'TYL FGD'!M53</f>
        <v>11217294</v>
      </c>
      <c r="C29" s="87">
        <f t="shared" si="6"/>
        <v>1475</v>
      </c>
      <c r="D29" s="86">
        <f>'TYL FGD'!F53</f>
        <v>0</v>
      </c>
      <c r="E29" s="74"/>
      <c r="F29" s="74">
        <f t="shared" si="7"/>
        <v>11217294</v>
      </c>
      <c r="G29" s="337"/>
      <c r="H29" s="337"/>
      <c r="I29" s="337"/>
      <c r="J29" s="716">
        <f t="shared" si="8"/>
        <v>1475</v>
      </c>
      <c r="K29" s="1694" t="s">
        <v>1065</v>
      </c>
      <c r="L29" s="1695"/>
      <c r="M29" s="1695"/>
      <c r="N29" s="1695"/>
      <c r="O29" s="1696"/>
    </row>
    <row r="30" spans="1:31" ht="13.5" thickBot="1">
      <c r="A30" s="93" t="s">
        <v>2134</v>
      </c>
      <c r="B30" s="94">
        <f>'TYL FGD'!M54</f>
        <v>10251224</v>
      </c>
      <c r="C30" s="87">
        <f t="shared" si="6"/>
        <v>1348</v>
      </c>
      <c r="D30" s="729">
        <f>B30</f>
        <v>10251224</v>
      </c>
      <c r="E30" s="74"/>
      <c r="F30" s="74">
        <f t="shared" si="7"/>
        <v>0</v>
      </c>
      <c r="G30" s="337"/>
      <c r="H30" s="337"/>
      <c r="I30" s="337"/>
      <c r="J30" s="716">
        <f t="shared" si="8"/>
        <v>0</v>
      </c>
      <c r="K30" s="1694" t="s">
        <v>1070</v>
      </c>
      <c r="L30" s="1695"/>
      <c r="M30" s="1695"/>
      <c r="N30" s="1695"/>
      <c r="O30" s="1696"/>
    </row>
    <row r="31" spans="1:31" ht="13.5" customHeight="1" thickBot="1">
      <c r="A31" s="95" t="s">
        <v>43</v>
      </c>
      <c r="B31" s="86">
        <f>'TYL FGD'!M55</f>
        <v>580105</v>
      </c>
      <c r="C31" s="87">
        <f t="shared" si="6"/>
        <v>76</v>
      </c>
      <c r="D31" s="86">
        <f>'TYL FGD'!F55</f>
        <v>0</v>
      </c>
      <c r="E31" s="74"/>
      <c r="F31" s="74">
        <f t="shared" si="7"/>
        <v>580105</v>
      </c>
      <c r="G31" s="35"/>
      <c r="H31" s="35"/>
      <c r="I31" s="38"/>
      <c r="J31" s="716">
        <f t="shared" si="8"/>
        <v>76</v>
      </c>
      <c r="K31" s="1697" t="s">
        <v>1073</v>
      </c>
      <c r="L31" s="1697" t="s">
        <v>1071</v>
      </c>
      <c r="M31" s="1697" t="s">
        <v>1072</v>
      </c>
      <c r="N31" s="1697" t="s">
        <v>1240</v>
      </c>
      <c r="O31" s="1697"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33179055</v>
      </c>
      <c r="C32" s="89">
        <f>SUM(C26:C31)</f>
        <v>4362</v>
      </c>
      <c r="D32" s="723">
        <f>SUM(D26:D31)</f>
        <v>10486599</v>
      </c>
      <c r="E32" s="723">
        <f>SUM(E26:E31)</f>
        <v>0</v>
      </c>
      <c r="F32" s="802">
        <f>SUM(F26:F31)</f>
        <v>22692456</v>
      </c>
      <c r="G32" s="1708" t="s">
        <v>8</v>
      </c>
      <c r="H32" s="1709"/>
      <c r="I32" s="783" t="s">
        <v>1166</v>
      </c>
      <c r="J32" s="725">
        <f>SUM(J26:J31)</f>
        <v>2983</v>
      </c>
      <c r="K32" s="1698"/>
      <c r="L32" s="1698"/>
      <c r="M32" s="1698"/>
      <c r="N32" s="1698" t="s">
        <v>1074</v>
      </c>
      <c r="O32" s="1698" t="s">
        <v>1075</v>
      </c>
    </row>
    <row r="33" spans="1:31" ht="14.25" thickTop="1" thickBot="1">
      <c r="A33" s="97" t="s">
        <v>68</v>
      </c>
      <c r="B33" s="52">
        <f>B15+B20+B23+B32</f>
        <v>166585055</v>
      </c>
      <c r="C33" s="45">
        <f>C15+C20+C23+C32</f>
        <v>21899</v>
      </c>
      <c r="D33" s="52">
        <f>D15+D20+D23+D32</f>
        <v>15555045</v>
      </c>
      <c r="E33" s="52">
        <f>E15+E20+E23+E32</f>
        <v>0</v>
      </c>
      <c r="F33" s="724">
        <f>F15+F20+F23+F32</f>
        <v>151030010</v>
      </c>
      <c r="G33" s="1758" t="s">
        <v>84</v>
      </c>
      <c r="H33" s="1759"/>
      <c r="I33" s="1375">
        <f>ROUND($G$35/$C$6,0)</f>
        <v>19854</v>
      </c>
      <c r="J33" s="726">
        <f>J15+J20+J23+J32</f>
        <v>19853</v>
      </c>
      <c r="K33" s="1698"/>
      <c r="L33" s="1698"/>
      <c r="M33" s="1698"/>
      <c r="N33" s="1698"/>
      <c r="O33" s="1698"/>
    </row>
    <row r="34" spans="1:31" ht="14.25" thickTop="1" thickBot="1">
      <c r="B34" s="98"/>
      <c r="C34" s="75"/>
      <c r="D34" s="337"/>
      <c r="E34" s="337"/>
      <c r="F34" s="337" t="s">
        <v>1199</v>
      </c>
      <c r="G34" s="787">
        <f>G14*-1</f>
        <v>0</v>
      </c>
      <c r="H34" s="337"/>
      <c r="I34" s="783" t="s">
        <v>1167</v>
      </c>
      <c r="J34" s="727"/>
      <c r="K34" s="1699"/>
      <c r="L34" s="1699"/>
      <c r="M34" s="1699"/>
      <c r="N34" s="1699"/>
      <c r="O34" s="1699"/>
    </row>
    <row r="35" spans="1:31" ht="14.25" thickTop="1" thickBot="1">
      <c r="A35" s="81" t="s">
        <v>72</v>
      </c>
      <c r="B35" s="81"/>
      <c r="C35" s="81"/>
      <c r="D35" s="728"/>
      <c r="E35" s="728"/>
      <c r="F35" s="788" t="s">
        <v>1165</v>
      </c>
      <c r="G35" s="803">
        <f>F33+G34</f>
        <v>151030010</v>
      </c>
      <c r="I35" s="1376">
        <f>ROUND($G$35/$I$8,0)</f>
        <v>204853</v>
      </c>
      <c r="K35" s="609"/>
      <c r="L35" s="609"/>
      <c r="M35" s="609"/>
      <c r="N35" s="609"/>
      <c r="O35" s="609"/>
    </row>
    <row r="36" spans="1:31" ht="13.5" thickTop="1">
      <c r="A36" s="99" t="s">
        <v>14</v>
      </c>
      <c r="B36" s="83">
        <f>'TYL FGD'!M60</f>
        <v>61622088</v>
      </c>
      <c r="C36" s="83">
        <f t="shared" ref="C36:C46" si="9">ROUND(B36/$C$6,0)</f>
        <v>8100</v>
      </c>
      <c r="D36" s="512">
        <f>'TYL FGD'!F60</f>
        <v>0</v>
      </c>
      <c r="E36" s="512"/>
      <c r="F36" s="512">
        <f t="shared" ref="F36:F46" si="10">B36-(SUM(D36:E36))</f>
        <v>61622088</v>
      </c>
      <c r="G36" s="337"/>
      <c r="H36" s="1378" t="s">
        <v>2158</v>
      </c>
      <c r="I36" s="1379">
        <f>ROUND(F36/$C$6,0)</f>
        <v>8100</v>
      </c>
      <c r="J36" s="337" t="s">
        <v>752</v>
      </c>
      <c r="K36" s="512">
        <f>F36</f>
        <v>61622088</v>
      </c>
      <c r="L36" s="512">
        <f>K36</f>
        <v>61622088</v>
      </c>
      <c r="M36" s="512"/>
      <c r="N36" s="512"/>
      <c r="O36" s="512"/>
    </row>
    <row r="37" spans="1:31">
      <c r="A37" s="99" t="s">
        <v>15</v>
      </c>
      <c r="B37" s="86">
        <f>'TYL FGD'!M61</f>
        <v>2090148</v>
      </c>
      <c r="C37" s="87">
        <f t="shared" si="9"/>
        <v>275</v>
      </c>
      <c r="D37" s="86">
        <f>'TYL FGD'!F61</f>
        <v>0</v>
      </c>
      <c r="E37" s="74"/>
      <c r="F37" s="74">
        <f t="shared" si="10"/>
        <v>2090148</v>
      </c>
      <c r="G37" s="337"/>
      <c r="H37" s="337"/>
      <c r="J37" s="337" t="s">
        <v>1076</v>
      </c>
      <c r="K37" s="373">
        <f>F37</f>
        <v>2090148</v>
      </c>
      <c r="L37" s="373">
        <f>K37</f>
        <v>2090148</v>
      </c>
      <c r="M37" s="373"/>
      <c r="N37" s="373"/>
      <c r="O37" s="373"/>
    </row>
    <row r="38" spans="1:31">
      <c r="A38" s="99" t="s">
        <v>16</v>
      </c>
      <c r="B38" s="86">
        <f>'TYL FGD'!M62</f>
        <v>1495986</v>
      </c>
      <c r="C38" s="87">
        <f t="shared" si="9"/>
        <v>197</v>
      </c>
      <c r="D38" s="86">
        <f>'TYL FGD'!F62</f>
        <v>0</v>
      </c>
      <c r="E38" s="86">
        <f>B38-D38</f>
        <v>1495986</v>
      </c>
      <c r="F38" s="74">
        <f t="shared" si="10"/>
        <v>0</v>
      </c>
      <c r="G38" s="337"/>
      <c r="H38" s="337"/>
      <c r="I38" s="337"/>
      <c r="J38" s="337" t="s">
        <v>1077</v>
      </c>
      <c r="K38" s="736"/>
      <c r="L38" s="737"/>
      <c r="M38" s="737" t="s">
        <v>1152</v>
      </c>
      <c r="N38" s="737"/>
      <c r="O38" s="738"/>
    </row>
    <row r="39" spans="1:31">
      <c r="A39" s="99" t="s">
        <v>17</v>
      </c>
      <c r="B39" s="86">
        <f>'TYL FGD'!M63</f>
        <v>15543747</v>
      </c>
      <c r="C39" s="87">
        <f t="shared" si="9"/>
        <v>2043</v>
      </c>
      <c r="D39" s="86">
        <f>'TYL FGD'!F63</f>
        <v>0</v>
      </c>
      <c r="E39" s="74"/>
      <c r="F39" s="74">
        <f t="shared" si="10"/>
        <v>15543747</v>
      </c>
      <c r="G39" s="337"/>
      <c r="H39" s="1378" t="s">
        <v>2159</v>
      </c>
      <c r="I39" s="1379">
        <f>ROUND(F39/$C$6,0)</f>
        <v>2043</v>
      </c>
      <c r="J39" s="337" t="s">
        <v>1078</v>
      </c>
      <c r="K39" s="373">
        <f t="shared" ref="K39:K43" si="11">F39</f>
        <v>15543747</v>
      </c>
      <c r="L39" s="373">
        <f>K39</f>
        <v>15543747</v>
      </c>
      <c r="M39" s="373"/>
      <c r="N39" s="373"/>
      <c r="O39" s="373"/>
    </row>
    <row r="40" spans="1:31">
      <c r="A40" s="99" t="s">
        <v>18</v>
      </c>
      <c r="B40" s="86">
        <f>'TYL FGD'!M64</f>
        <v>12914306</v>
      </c>
      <c r="C40" s="87">
        <f t="shared" si="9"/>
        <v>1698</v>
      </c>
      <c r="D40" s="86">
        <f>'TYL FGD'!F64</f>
        <v>0</v>
      </c>
      <c r="E40" s="74"/>
      <c r="F40" s="74">
        <f t="shared" si="10"/>
        <v>12914306</v>
      </c>
      <c r="G40" s="337"/>
      <c r="J40" s="337" t="s">
        <v>1079</v>
      </c>
      <c r="K40" s="373">
        <f t="shared" si="11"/>
        <v>12914306</v>
      </c>
      <c r="L40" s="373"/>
      <c r="M40" s="373">
        <f>K40</f>
        <v>12914306</v>
      </c>
      <c r="N40" s="373"/>
      <c r="O40" s="373"/>
    </row>
    <row r="41" spans="1:31">
      <c r="A41" s="99" t="s">
        <v>19</v>
      </c>
      <c r="B41" s="86">
        <f>'TYL FGD'!M65</f>
        <v>14087587</v>
      </c>
      <c r="C41" s="87">
        <f t="shared" si="9"/>
        <v>1852</v>
      </c>
      <c r="D41" s="86">
        <f>'TYL FGD'!F65</f>
        <v>0</v>
      </c>
      <c r="E41" s="74"/>
      <c r="F41" s="74">
        <f t="shared" si="10"/>
        <v>14087587</v>
      </c>
      <c r="G41" s="337"/>
      <c r="H41" s="1378" t="s">
        <v>2160</v>
      </c>
      <c r="I41" s="1379">
        <f>ROUND(F41/$C$6,0)</f>
        <v>1852</v>
      </c>
      <c r="J41" s="337" t="s">
        <v>757</v>
      </c>
      <c r="K41" s="373">
        <f t="shared" si="11"/>
        <v>14087587</v>
      </c>
      <c r="L41" s="373"/>
      <c r="M41" s="373"/>
      <c r="N41" s="373">
        <f>K41</f>
        <v>14087587</v>
      </c>
      <c r="O41" s="373"/>
    </row>
    <row r="42" spans="1:31">
      <c r="A42" s="99" t="s">
        <v>20</v>
      </c>
      <c r="B42" s="86">
        <f>'TYL FGD'!M66</f>
        <v>12975080</v>
      </c>
      <c r="C42" s="87">
        <f t="shared" si="9"/>
        <v>1706</v>
      </c>
      <c r="D42" s="86">
        <f>'TYL FGD'!F66</f>
        <v>0</v>
      </c>
      <c r="E42" s="74"/>
      <c r="F42" s="74">
        <f t="shared" si="10"/>
        <v>12975080</v>
      </c>
      <c r="G42" s="337"/>
      <c r="J42" s="337" t="s">
        <v>758</v>
      </c>
      <c r="K42" s="373">
        <f t="shared" si="11"/>
        <v>12975080</v>
      </c>
      <c r="L42" s="373"/>
      <c r="M42" s="373"/>
      <c r="N42" s="373">
        <f>K42</f>
        <v>12975080</v>
      </c>
      <c r="O42" s="373"/>
    </row>
    <row r="43" spans="1:31">
      <c r="A43" s="99" t="s">
        <v>21</v>
      </c>
      <c r="B43" s="86">
        <f>'TYL FGD'!M67</f>
        <v>13893217</v>
      </c>
      <c r="C43" s="87">
        <f t="shared" si="9"/>
        <v>1826</v>
      </c>
      <c r="D43" s="86">
        <f>'TYL FGD'!F67</f>
        <v>0</v>
      </c>
      <c r="E43" s="74"/>
      <c r="F43" s="74">
        <f t="shared" si="10"/>
        <v>13893217</v>
      </c>
      <c r="G43" s="337"/>
      <c r="H43" s="337"/>
      <c r="I43" s="337"/>
      <c r="J43" s="337" t="s">
        <v>1145</v>
      </c>
      <c r="K43" s="373">
        <f t="shared" si="11"/>
        <v>13893217</v>
      </c>
      <c r="L43" s="373"/>
      <c r="M43" s="373">
        <f>K43</f>
        <v>13893217</v>
      </c>
      <c r="N43" s="373"/>
      <c r="O43" s="373"/>
    </row>
    <row r="44" spans="1:31">
      <c r="A44" s="99" t="s">
        <v>2135</v>
      </c>
      <c r="B44" s="86">
        <f>'TYL FGD'!M68</f>
        <v>12292638</v>
      </c>
      <c r="C44" s="87">
        <f t="shared" si="9"/>
        <v>1616</v>
      </c>
      <c r="D44" s="729">
        <f>B44</f>
        <v>12292638</v>
      </c>
      <c r="E44" s="74"/>
      <c r="F44" s="74">
        <f t="shared" si="10"/>
        <v>0</v>
      </c>
      <c r="G44" s="337"/>
      <c r="H44" s="337"/>
      <c r="I44" s="337"/>
      <c r="J44" s="337" t="s">
        <v>743</v>
      </c>
      <c r="K44" s="736"/>
      <c r="L44" s="737"/>
      <c r="M44" s="737" t="s">
        <v>1152</v>
      </c>
      <c r="N44" s="737"/>
      <c r="O44" s="738"/>
    </row>
    <row r="45" spans="1:31">
      <c r="A45" s="99" t="s">
        <v>61</v>
      </c>
      <c r="B45" s="86">
        <f>'TYL FGD'!M69</f>
        <v>768896</v>
      </c>
      <c r="C45" s="87">
        <f t="shared" si="9"/>
        <v>101</v>
      </c>
      <c r="D45" s="86">
        <f>'TYL FGD'!F69</f>
        <v>11530</v>
      </c>
      <c r="E45" s="74"/>
      <c r="F45" s="74">
        <f t="shared" si="10"/>
        <v>757366</v>
      </c>
      <c r="G45" s="337"/>
      <c r="H45" s="337"/>
      <c r="I45" s="337"/>
      <c r="J45" s="337" t="s">
        <v>1080</v>
      </c>
      <c r="K45" s="373">
        <f t="shared" ref="K45:K46" si="12">F45</f>
        <v>757366</v>
      </c>
      <c r="L45" s="373"/>
      <c r="M45" s="373"/>
      <c r="N45" s="373"/>
      <c r="O45" s="373">
        <f>K45</f>
        <v>757366</v>
      </c>
    </row>
    <row r="46" spans="1:31" ht="13.5" thickBot="1">
      <c r="A46" s="75" t="s">
        <v>50</v>
      </c>
      <c r="B46" s="86">
        <f>'TYL FGD'!M70</f>
        <v>0</v>
      </c>
      <c r="C46" s="87">
        <f t="shared" si="9"/>
        <v>0</v>
      </c>
      <c r="D46" s="86">
        <f>'TYL FGD'!F70</f>
        <v>0</v>
      </c>
      <c r="E46" s="74"/>
      <c r="F46" s="74">
        <f t="shared" si="10"/>
        <v>0</v>
      </c>
      <c r="G46" s="35"/>
      <c r="H46" s="1378" t="s">
        <v>2161</v>
      </c>
      <c r="I46" s="1379">
        <f>ROUND(SUM(F37+F40+F42+F43+F45+F46)/$C$6,0)</f>
        <v>5604</v>
      </c>
      <c r="J46" s="610" t="s">
        <v>1075</v>
      </c>
      <c r="K46" s="373">
        <f t="shared" si="12"/>
        <v>0</v>
      </c>
      <c r="L46" s="611"/>
      <c r="M46" s="611"/>
      <c r="N46" s="611"/>
      <c r="O46" s="373">
        <f>K46</f>
        <v>0</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147683693</v>
      </c>
      <c r="C47" s="45">
        <f>SUM(C36:C46)</f>
        <v>19414</v>
      </c>
      <c r="D47" s="730">
        <f>SUM(D36:D46)</f>
        <v>12304168</v>
      </c>
      <c r="E47" s="731">
        <f>SUM(E36:E46)</f>
        <v>1495986</v>
      </c>
      <c r="F47" s="719">
        <f>SUM(F36:F46)</f>
        <v>133883539</v>
      </c>
      <c r="G47" s="1688" t="s">
        <v>1176</v>
      </c>
      <c r="H47" s="1689"/>
      <c r="I47" s="785" t="s">
        <v>1164</v>
      </c>
      <c r="J47" s="610" t="s">
        <v>1081</v>
      </c>
      <c r="K47" s="612">
        <f>SUM(K36:K46)</f>
        <v>133883539</v>
      </c>
      <c r="L47" s="612">
        <f>SUM(L36:L46)</f>
        <v>79255983</v>
      </c>
      <c r="M47" s="612">
        <f>SUM(M36:M46)</f>
        <v>26807523</v>
      </c>
      <c r="N47" s="612">
        <f>SUM(N36:N46)</f>
        <v>27062667</v>
      </c>
      <c r="O47" s="612">
        <f>SUM(O36:O46)</f>
        <v>757366</v>
      </c>
    </row>
    <row r="48" spans="1:31" ht="14.25" thickTop="1" thickBot="1">
      <c r="A48" s="93"/>
      <c r="B48" s="98"/>
      <c r="C48" s="75"/>
      <c r="F48" s="613"/>
      <c r="G48" s="1690"/>
      <c r="H48" s="1691"/>
      <c r="I48" s="823">
        <f>ROUND(F47/C6,0)</f>
        <v>17600</v>
      </c>
      <c r="J48" s="1700" t="s">
        <v>1082</v>
      </c>
      <c r="K48" s="611"/>
      <c r="L48" s="611"/>
      <c r="M48" s="611"/>
      <c r="N48" s="611"/>
      <c r="O48" s="611"/>
    </row>
    <row r="49" spans="1:31" ht="13.5" thickBot="1">
      <c r="A49" s="78" t="s">
        <v>23</v>
      </c>
      <c r="B49" s="82"/>
      <c r="C49" s="75"/>
      <c r="F49" s="614"/>
      <c r="G49" s="1690"/>
      <c r="H49" s="1691"/>
      <c r="I49" s="811"/>
      <c r="J49" s="1700"/>
      <c r="K49" s="615">
        <f>ROUND(K47/$C$6,2)</f>
        <v>17599.580000000002</v>
      </c>
      <c r="L49" s="615">
        <f t="shared" ref="L49:O49" si="13">ROUND(L47/$C$6,2)</f>
        <v>10418.549999999999</v>
      </c>
      <c r="M49" s="615">
        <f t="shared" si="13"/>
        <v>3523.97</v>
      </c>
      <c r="N49" s="615">
        <f t="shared" si="13"/>
        <v>3557.51</v>
      </c>
      <c r="O49" s="615">
        <f t="shared" si="13"/>
        <v>99.56</v>
      </c>
      <c r="P49" s="35"/>
      <c r="Q49" s="96"/>
      <c r="R49" s="96"/>
      <c r="S49" s="96"/>
      <c r="T49" s="96"/>
      <c r="U49" s="96"/>
      <c r="V49" s="96"/>
      <c r="W49" s="96"/>
      <c r="X49" s="96"/>
      <c r="Y49" s="96"/>
      <c r="Z49" s="96"/>
      <c r="AA49" s="96"/>
      <c r="AB49" s="96"/>
      <c r="AC49" s="96"/>
      <c r="AD49" s="96"/>
      <c r="AE49" s="96"/>
    </row>
    <row r="50" spans="1:31" ht="13.5" thickBot="1">
      <c r="A50" s="75" t="s">
        <v>62</v>
      </c>
      <c r="B50" s="86">
        <f>'TYL FGD'!M74</f>
        <v>-5978934</v>
      </c>
      <c r="C50" s="83">
        <f t="shared" ref="C50:C53" si="14">ROUND(B50/$C$6,0)</f>
        <v>-786</v>
      </c>
      <c r="D50" s="512">
        <f>'TYL FGD'!F74</f>
        <v>0</v>
      </c>
      <c r="E50" s="512"/>
      <c r="F50" s="732">
        <f t="shared" ref="F50:F53" si="15">B50-(SUM(D50:E50))</f>
        <v>-5978934</v>
      </c>
      <c r="G50" s="1692"/>
      <c r="H50" s="1693"/>
      <c r="I50" s="808"/>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'TYL FGD'!M75</f>
        <v>232982</v>
      </c>
      <c r="C51" s="87">
        <f t="shared" si="14"/>
        <v>31</v>
      </c>
      <c r="D51" s="91">
        <f>'TYL FGD'!F75</f>
        <v>1573058</v>
      </c>
      <c r="E51" s="82"/>
      <c r="F51" s="74">
        <f t="shared" si="15"/>
        <v>-1340076</v>
      </c>
      <c r="G51" s="337"/>
      <c r="J51" s="337"/>
      <c r="K51" s="616"/>
      <c r="L51" s="616"/>
      <c r="M51" s="616"/>
      <c r="N51" s="616"/>
      <c r="O51" s="616"/>
    </row>
    <row r="52" spans="1:31">
      <c r="A52" s="75" t="s">
        <v>51</v>
      </c>
      <c r="B52" s="86">
        <f>'TYL FGD'!M76</f>
        <v>3309931</v>
      </c>
      <c r="C52" s="87">
        <f t="shared" si="14"/>
        <v>435</v>
      </c>
      <c r="D52" s="91">
        <f>'TYL FGD'!F76</f>
        <v>0</v>
      </c>
      <c r="E52" s="82"/>
      <c r="F52" s="74">
        <f t="shared" si="15"/>
        <v>3309931</v>
      </c>
      <c r="G52" s="337"/>
      <c r="J52" s="733"/>
      <c r="K52" s="733"/>
      <c r="L52" s="733"/>
      <c r="M52" s="733"/>
      <c r="N52" s="733"/>
      <c r="O52" s="733"/>
    </row>
    <row r="53" spans="1:31" ht="12" customHeight="1">
      <c r="A53" s="75" t="s">
        <v>46</v>
      </c>
      <c r="B53" s="86">
        <f>'TYL FGD'!M77</f>
        <v>-12968414</v>
      </c>
      <c r="C53" s="87">
        <f t="shared" si="14"/>
        <v>-1705</v>
      </c>
      <c r="D53" s="91">
        <f>'TYL FGD'!F77</f>
        <v>-2360915</v>
      </c>
      <c r="E53" s="82"/>
      <c r="F53" s="74">
        <f t="shared" si="15"/>
        <v>-10607499</v>
      </c>
      <c r="G53" s="35"/>
      <c r="J53" s="733"/>
      <c r="K53" s="733"/>
      <c r="L53" s="733"/>
      <c r="M53" s="733"/>
      <c r="N53" s="733"/>
      <c r="O53" s="733"/>
      <c r="P53" s="35"/>
      <c r="Q53" s="96"/>
      <c r="R53" s="96"/>
      <c r="S53" s="96"/>
      <c r="T53" s="96"/>
      <c r="U53" s="96"/>
      <c r="V53" s="96"/>
      <c r="W53" s="96"/>
      <c r="X53" s="96"/>
      <c r="Y53" s="96"/>
      <c r="Z53" s="96"/>
      <c r="AA53" s="96"/>
      <c r="AB53" s="96"/>
      <c r="AC53" s="96"/>
      <c r="AD53" s="96"/>
      <c r="AE53" s="96"/>
    </row>
    <row r="54" spans="1:31">
      <c r="A54" s="88" t="s">
        <v>3</v>
      </c>
      <c r="B54" s="89">
        <f>SUM(B50:B53)</f>
        <v>-15404435</v>
      </c>
      <c r="C54" s="89">
        <f>SUM(C50:C53)</f>
        <v>-2025</v>
      </c>
      <c r="D54" s="89">
        <f>SUM(D50:D53)</f>
        <v>-787857</v>
      </c>
      <c r="E54" s="89">
        <f>SUM(E50:E53)</f>
        <v>0</v>
      </c>
      <c r="F54" s="102">
        <f>SUM(F50:F53)</f>
        <v>-14616578</v>
      </c>
      <c r="G54" s="337"/>
      <c r="H54" s="337"/>
      <c r="I54" s="337"/>
      <c r="J54" s="733"/>
      <c r="K54" s="733"/>
      <c r="L54" s="733"/>
      <c r="M54" s="733"/>
      <c r="N54" s="733"/>
      <c r="O54" s="733"/>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'TYL FGD'!M81</f>
        <v>26043723</v>
      </c>
      <c r="C57" s="83">
        <f>ROUND(B57/$C$6,0)</f>
        <v>3424</v>
      </c>
      <c r="D57" s="512">
        <f>'TYL FGD'!F81</f>
        <v>0</v>
      </c>
      <c r="E57" s="512"/>
      <c r="F57" s="512">
        <f t="shared" ref="F57:F58" si="16">B57-(SUM(D57:E57))</f>
        <v>26043723</v>
      </c>
      <c r="G57" s="337"/>
      <c r="H57" s="337"/>
      <c r="I57" s="337"/>
      <c r="J57" s="337"/>
    </row>
    <row r="58" spans="1:31">
      <c r="A58" s="75" t="s">
        <v>48</v>
      </c>
      <c r="B58" s="86">
        <f>'TYL FGD'!M82</f>
        <v>4073813</v>
      </c>
      <c r="C58" s="87">
        <f>ROUND(B58/$C$6,0)</f>
        <v>536</v>
      </c>
      <c r="D58" s="91">
        <f>'TYL FGD'!F82</f>
        <v>0</v>
      </c>
      <c r="E58" s="82"/>
      <c r="F58" s="74">
        <f t="shared" si="16"/>
        <v>4073813</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30117536</v>
      </c>
      <c r="C59" s="89">
        <f>SUM(C57:C58)</f>
        <v>3960</v>
      </c>
      <c r="D59" s="89">
        <f>SUM(D57:D58)</f>
        <v>0</v>
      </c>
      <c r="E59" s="89">
        <f>SUM(E57:E58)</f>
        <v>0</v>
      </c>
      <c r="F59" s="89">
        <f>SUM(F57:F58)</f>
        <v>30117536</v>
      </c>
      <c r="G59" s="367"/>
      <c r="H59" s="367"/>
      <c r="I59" s="367"/>
      <c r="J59" s="367"/>
      <c r="K59" s="266"/>
      <c r="L59" s="266"/>
      <c r="M59" s="266"/>
      <c r="N59" s="266"/>
      <c r="O59" s="266"/>
      <c r="P59" s="266"/>
    </row>
    <row r="60" spans="1:31">
      <c r="B60" s="82"/>
      <c r="C60" s="75"/>
    </row>
    <row r="61" spans="1:31" ht="13.5" thickBot="1">
      <c r="A61" s="103" t="s">
        <v>573</v>
      </c>
      <c r="B61" s="46">
        <f>B33-B47+B54+B59</f>
        <v>33614463</v>
      </c>
      <c r="C61" s="46">
        <f>C33-C47+C54+C59</f>
        <v>4420</v>
      </c>
      <c r="D61" s="46">
        <f>D33-D47+D54+D59</f>
        <v>2463020</v>
      </c>
      <c r="E61" s="46">
        <f>E33-E47+E54+E59</f>
        <v>-1495986</v>
      </c>
      <c r="F61" s="46">
        <f>F33-F47+F54+F59</f>
        <v>32647429</v>
      </c>
    </row>
    <row r="62" spans="1:31" ht="13.5" thickTop="1"/>
    <row r="63" spans="1:31">
      <c r="D63" s="512"/>
    </row>
    <row r="65" spans="2:16">
      <c r="B65" s="734">
        <f>'TYL FGD'!$M$85</f>
        <v>33614463</v>
      </c>
      <c r="C65" s="75"/>
      <c r="D65" s="734">
        <f>'TYL FGD'!$F$85</f>
        <v>2534949</v>
      </c>
      <c r="E65" s="734">
        <f>'TYL FGD'!$M$62*-1</f>
        <v>-1495986</v>
      </c>
      <c r="F65" s="75"/>
    </row>
    <row r="66" spans="2:16">
      <c r="B66" s="734"/>
      <c r="C66" s="75"/>
      <c r="D66" s="734">
        <f>'TYL FGD'!$F$68</f>
        <v>12220709</v>
      </c>
      <c r="E66" s="734">
        <f>+$D$38</f>
        <v>0</v>
      </c>
      <c r="F66" s="734"/>
    </row>
    <row r="67" spans="2:16">
      <c r="B67" s="759"/>
      <c r="C67" s="75"/>
      <c r="D67" s="759">
        <f>-'TYL FGD'!$M$68</f>
        <v>-12292638</v>
      </c>
      <c r="E67" s="759"/>
      <c r="F67" s="734"/>
    </row>
    <row r="68" spans="2:16">
      <c r="B68" s="734">
        <f>SUM(B65:B67)</f>
        <v>33614463</v>
      </c>
      <c r="C68" s="75"/>
      <c r="D68" s="734">
        <f>SUM(D65:D67)</f>
        <v>2463020</v>
      </c>
      <c r="E68" s="734">
        <f>SUM(E65:E67)</f>
        <v>-1495986</v>
      </c>
      <c r="F68" s="734">
        <f>B68-D68-E68</f>
        <v>32647429</v>
      </c>
    </row>
    <row r="69" spans="2:16">
      <c r="B69" s="734"/>
      <c r="C69" s="75"/>
      <c r="D69" s="734">
        <f>'TYL FGD'!F54*-1</f>
        <v>-10251224</v>
      </c>
      <c r="E69" s="734"/>
      <c r="F69" s="734"/>
    </row>
    <row r="70" spans="2:16" ht="12.75" customHeight="1">
      <c r="B70" s="759"/>
      <c r="C70" s="95"/>
      <c r="D70" s="759">
        <f>'TYL FGD'!M54</f>
        <v>10251224</v>
      </c>
      <c r="E70" s="759"/>
      <c r="F70" s="759">
        <f>-D70-D69</f>
        <v>0</v>
      </c>
    </row>
    <row r="71" spans="2:16" ht="12.75" customHeight="1">
      <c r="B71" s="734">
        <f>SUM(B68:B70)</f>
        <v>33614463</v>
      </c>
      <c r="C71" s="75"/>
      <c r="D71" s="734">
        <f>SUM(D68:D70)</f>
        <v>2463020</v>
      </c>
      <c r="E71" s="734">
        <f>SUM(E68:E70)</f>
        <v>-1495986</v>
      </c>
      <c r="F71" s="734">
        <f>SUM(F68:F70)</f>
        <v>32647429</v>
      </c>
    </row>
    <row r="72" spans="2:16" ht="12.75" customHeight="1">
      <c r="B72" s="734"/>
      <c r="C72" s="75"/>
      <c r="D72" s="734"/>
      <c r="E72" s="734"/>
      <c r="F72" s="734"/>
    </row>
    <row r="73" spans="2:16" ht="12.75" customHeight="1">
      <c r="B73" s="512">
        <f>B61-B71</f>
        <v>0</v>
      </c>
      <c r="C73" s="75"/>
      <c r="D73" s="512">
        <f>D61-D71</f>
        <v>0</v>
      </c>
      <c r="E73" s="512">
        <f>E61-E71</f>
        <v>0</v>
      </c>
      <c r="F73" s="512">
        <f>F61-F71</f>
        <v>0</v>
      </c>
    </row>
    <row r="74" spans="2:16" ht="12.75" customHeight="1">
      <c r="C74" s="75"/>
      <c r="F74" s="617"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G47:H50"/>
    <mergeCell ref="K30:O30"/>
    <mergeCell ref="M31:M34"/>
    <mergeCell ref="G32:H32"/>
    <mergeCell ref="G33:H33"/>
    <mergeCell ref="L31:L34"/>
    <mergeCell ref="K31:K34"/>
    <mergeCell ref="N31:N34"/>
    <mergeCell ref="O31:O34"/>
    <mergeCell ref="J48:J49"/>
    <mergeCell ref="F1:I1"/>
    <mergeCell ref="J1:O1"/>
    <mergeCell ref="D1:E1"/>
    <mergeCell ref="K29:O29"/>
    <mergeCell ref="D4:D5"/>
    <mergeCell ref="E4:E5"/>
  </mergeCells>
  <hyperlinks>
    <hyperlink ref="D1:E1" location="Index!A1" display="Return to Index" xr:uid="{00000000-0004-0000-36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41">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7" style="184" hidden="1" customWidth="1"/>
    <col min="2" max="2" width="64"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4" style="164" customWidth="1"/>
    <col min="15" max="15" width="14.42578125" style="261" customWidth="1"/>
    <col min="16" max="16" width="25.7109375" style="264" customWidth="1"/>
    <col min="17" max="17" width="16.42578125" style="264" customWidth="1"/>
    <col min="18" max="18" width="16.85546875" style="264" customWidth="1"/>
    <col min="19" max="19" width="1.7109375" style="264" customWidth="1"/>
    <col min="20" max="20" width="17.140625" style="264" customWidth="1"/>
    <col min="21" max="21" width="16.85546875" style="264" customWidth="1"/>
    <col min="22" max="23" width="19.28515625" style="264" customWidth="1"/>
    <col min="24" max="24" width="16.855468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13" t="str">
        <f>'TYL Chrts'!$A$1</f>
        <v>The University of Texas at Tyler</v>
      </c>
      <c r="C2" s="1713"/>
      <c r="D2" s="1713"/>
      <c r="E2" s="1713"/>
      <c r="F2" s="1742"/>
      <c r="G2" s="160"/>
      <c r="H2" s="161"/>
      <c r="I2" s="320" t="str">
        <f>IF($B$2&lt;&gt;Input!$B$13,"Name Mismatch","")</f>
        <v/>
      </c>
      <c r="J2" s="168"/>
      <c r="K2" s="169"/>
      <c r="L2" s="169"/>
      <c r="M2" s="170"/>
      <c r="O2" s="835" t="s">
        <v>1200</v>
      </c>
      <c r="P2" s="36"/>
    </row>
    <row r="3" spans="1:28" ht="20.25">
      <c r="A3" s="184">
        <v>2</v>
      </c>
      <c r="B3" s="1713" t="str">
        <f>'Smmy Chrts'!$A$2</f>
        <v>For the Year Ended August 31, 2021</v>
      </c>
      <c r="C3" s="1713"/>
      <c r="D3" s="1713"/>
      <c r="E3" s="1713"/>
      <c r="F3" s="1742"/>
      <c r="G3" s="161"/>
      <c r="H3" s="161"/>
      <c r="I3" s="169"/>
      <c r="J3" s="168"/>
      <c r="K3" s="169"/>
      <c r="L3" s="169"/>
      <c r="M3" s="170"/>
      <c r="O3" s="74"/>
    </row>
    <row r="4" spans="1:28" ht="20.25">
      <c r="A4" s="184">
        <v>3</v>
      </c>
      <c r="B4" s="1713" t="str">
        <f>'Smmy Chrts'!$A$3</f>
        <v>Source: FY 2021 Annual Financial Report</v>
      </c>
      <c r="C4" s="1713"/>
      <c r="D4" s="1713"/>
      <c r="E4" s="1713"/>
      <c r="F4" s="1742"/>
      <c r="G4" s="161"/>
      <c r="H4" s="161"/>
      <c r="I4" s="169"/>
      <c r="J4" s="168"/>
      <c r="K4" s="169"/>
      <c r="L4" s="169"/>
      <c r="M4" s="170"/>
      <c r="O4" s="74"/>
      <c r="P4" s="1744" t="s">
        <v>93</v>
      </c>
      <c r="Q4" s="1745"/>
      <c r="T4" s="36" t="s">
        <v>250</v>
      </c>
    </row>
    <row r="5" spans="1:28">
      <c r="A5" s="184">
        <v>4</v>
      </c>
      <c r="B5" s="160"/>
      <c r="C5" s="160"/>
      <c r="D5" s="160"/>
      <c r="E5" s="160"/>
      <c r="F5" s="160"/>
      <c r="G5" s="160"/>
      <c r="H5" s="160"/>
      <c r="I5" s="160"/>
      <c r="J5" s="160"/>
      <c r="K5" s="160"/>
      <c r="L5" s="160"/>
      <c r="M5" s="166"/>
      <c r="O5" s="262"/>
    </row>
    <row r="6" spans="1:28">
      <c r="A6" s="184">
        <v>5</v>
      </c>
      <c r="B6" s="1715" t="str">
        <f>'Smmy Chrts'!$C$32</f>
        <v>Detail Worksheet FY 2021</v>
      </c>
      <c r="C6" s="1715"/>
      <c r="D6" s="1743"/>
      <c r="E6" s="1743"/>
      <c r="F6" s="1743"/>
      <c r="G6" s="1743"/>
      <c r="H6" s="1743"/>
      <c r="I6" s="1743"/>
      <c r="J6" s="1743"/>
      <c r="K6" s="1743"/>
      <c r="L6" s="1743"/>
      <c r="M6" s="1743"/>
      <c r="O6" s="265"/>
    </row>
    <row r="7" spans="1:28">
      <c r="A7" s="184">
        <v>6</v>
      </c>
      <c r="B7" s="172"/>
      <c r="C7" s="172"/>
      <c r="D7" s="160"/>
      <c r="E7" s="160"/>
      <c r="F7" s="160"/>
      <c r="G7" s="160"/>
      <c r="H7" s="160"/>
      <c r="I7" s="160"/>
      <c r="J7" s="160"/>
      <c r="K7" s="160"/>
      <c r="L7" s="160"/>
      <c r="M7" s="173" t="str">
        <f>'Smmy Chrts'!$C$33</f>
        <v>FY 2021</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Input!$M$13</f>
        <v>40081857</v>
      </c>
      <c r="E10" s="372">
        <f>Input!$N$13</f>
        <v>0</v>
      </c>
      <c r="F10" s="372">
        <f>Input!$O$13</f>
        <v>0</v>
      </c>
      <c r="G10" s="372">
        <f>Input!$P$13</f>
        <v>0</v>
      </c>
      <c r="H10" s="372">
        <f>Input!$Q$13</f>
        <v>0</v>
      </c>
      <c r="I10" s="372">
        <f>Input!$R$13</f>
        <v>0</v>
      </c>
      <c r="J10" s="372">
        <f>Input!$S$13</f>
        <v>0</v>
      </c>
      <c r="K10" s="372">
        <f>Input!$T$13</f>
        <v>0</v>
      </c>
      <c r="L10" s="372">
        <f>Input!$U$13</f>
        <v>0</v>
      </c>
      <c r="M10" s="373">
        <f t="shared" ref="M10:M15" si="0">D10+E10+F10+G10+H10+I10+J10+K10+L10</f>
        <v>40081857</v>
      </c>
      <c r="N10" s="160"/>
      <c r="O10" s="271"/>
      <c r="P10" s="1718" t="s">
        <v>575</v>
      </c>
      <c r="U10" s="268"/>
    </row>
    <row r="11" spans="1:28">
      <c r="A11" s="184">
        <v>10</v>
      </c>
      <c r="B11" s="160" t="s">
        <v>2</v>
      </c>
      <c r="C11" s="160"/>
      <c r="D11" s="372">
        <f>Input!$V$13</f>
        <v>4764228</v>
      </c>
      <c r="E11" s="372">
        <f>Input!$W$13</f>
        <v>7790960</v>
      </c>
      <c r="F11" s="372">
        <f>Input!$X$13</f>
        <v>0</v>
      </c>
      <c r="G11" s="372">
        <f>Input!$Y$13</f>
        <v>218470</v>
      </c>
      <c r="H11" s="372">
        <f>Input!$Z$13</f>
        <v>0</v>
      </c>
      <c r="I11" s="372">
        <f>Input!$AA$13</f>
        <v>0</v>
      </c>
      <c r="J11" s="372">
        <f>Input!$AB$13</f>
        <v>0</v>
      </c>
      <c r="K11" s="372">
        <f>Input!$AC$13</f>
        <v>0</v>
      </c>
      <c r="L11" s="372">
        <f>Input!$AD$13</f>
        <v>0</v>
      </c>
      <c r="M11" s="373">
        <f t="shared" si="0"/>
        <v>12773658</v>
      </c>
      <c r="N11" s="160"/>
      <c r="O11" s="482"/>
      <c r="P11" s="1719"/>
      <c r="U11" s="268"/>
    </row>
    <row r="12" spans="1:28" ht="12.75" hidden="1" customHeight="1">
      <c r="B12" s="160" t="s">
        <v>1410</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Input!$AN$13</f>
        <v>0</v>
      </c>
      <c r="E13" s="372">
        <f>Input!$AO$13</f>
        <v>0</v>
      </c>
      <c r="F13" s="372">
        <f>Input!$AP$13</f>
        <v>0</v>
      </c>
      <c r="G13" s="372">
        <f>Input!$AQ$13</f>
        <v>0</v>
      </c>
      <c r="H13" s="372">
        <f>Input!$AR$13</f>
        <v>0</v>
      </c>
      <c r="I13" s="372">
        <f>Input!$AS$13</f>
        <v>0</v>
      </c>
      <c r="J13" s="372">
        <f>Input!$AT$13</f>
        <v>0</v>
      </c>
      <c r="K13" s="372">
        <f>Input!$AU$13</f>
        <v>0</v>
      </c>
      <c r="L13" s="372">
        <f>Input!$AV$13</f>
        <v>0</v>
      </c>
      <c r="M13" s="373">
        <f t="shared" si="0"/>
        <v>0</v>
      </c>
      <c r="N13" s="160"/>
      <c r="O13" s="482" t="str">
        <f>IF(P13&lt;&gt;M13,"Out of Balance","Balanced")</f>
        <v>Balanced</v>
      </c>
      <c r="P13" s="484">
        <f>IFERROR(VLOOKUP($B$2,AMTLU,6,FALSE),0)</f>
        <v>0</v>
      </c>
      <c r="U13" s="268"/>
    </row>
    <row r="14" spans="1:28">
      <c r="A14" s="184">
        <v>13</v>
      </c>
      <c r="B14" s="160" t="s">
        <v>49</v>
      </c>
      <c r="C14" s="160"/>
      <c r="D14" s="372">
        <f>Input!$AW$13</f>
        <v>0</v>
      </c>
      <c r="E14" s="372">
        <f>Input!$AX$13</f>
        <v>0</v>
      </c>
      <c r="F14" s="372">
        <f>Input!$AY$13</f>
        <v>0</v>
      </c>
      <c r="G14" s="372">
        <f>Input!$AZ$13</f>
        <v>0</v>
      </c>
      <c r="H14" s="372">
        <f>Input!$BA$13</f>
        <v>0</v>
      </c>
      <c r="I14" s="372">
        <f>Input!$BB$13</f>
        <v>0</v>
      </c>
      <c r="J14" s="372">
        <f>Input!$BC$13</f>
        <v>0</v>
      </c>
      <c r="K14" s="372">
        <f>Input!$BD$13</f>
        <v>0</v>
      </c>
      <c r="L14" s="372">
        <f>Input!$BE$13</f>
        <v>0</v>
      </c>
      <c r="M14" s="373">
        <f t="shared" si="0"/>
        <v>0</v>
      </c>
      <c r="N14" s="160"/>
      <c r="O14" s="482"/>
      <c r="P14" s="485"/>
    </row>
    <row r="15" spans="1:28" ht="15">
      <c r="A15" s="184">
        <v>14</v>
      </c>
      <c r="B15" s="176" t="s">
        <v>3</v>
      </c>
      <c r="C15" s="176"/>
      <c r="D15" s="374">
        <f t="shared" ref="D15:L15" si="1">SUM(D10:D14)</f>
        <v>44846085</v>
      </c>
      <c r="E15" s="374">
        <f t="shared" si="1"/>
        <v>7790960</v>
      </c>
      <c r="F15" s="374">
        <f t="shared" si="1"/>
        <v>0</v>
      </c>
      <c r="G15" s="374">
        <f t="shared" si="1"/>
        <v>218470</v>
      </c>
      <c r="H15" s="374">
        <f t="shared" si="1"/>
        <v>0</v>
      </c>
      <c r="I15" s="374">
        <f t="shared" si="1"/>
        <v>0</v>
      </c>
      <c r="J15" s="374">
        <f t="shared" si="1"/>
        <v>0</v>
      </c>
      <c r="K15" s="374">
        <f t="shared" si="1"/>
        <v>0</v>
      </c>
      <c r="L15" s="374">
        <f t="shared" si="1"/>
        <v>0</v>
      </c>
      <c r="M15" s="374">
        <f t="shared" si="0"/>
        <v>52855515</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58" t="s">
        <v>1042</v>
      </c>
      <c r="C18" s="558"/>
      <c r="D18" s="374">
        <f t="shared" ref="D18:L18" si="2">D23-SUM(D19:D22)</f>
        <v>15964812</v>
      </c>
      <c r="E18" s="374">
        <f t="shared" si="2"/>
        <v>50671735</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66636547</v>
      </c>
      <c r="V18" s="327"/>
      <c r="X18" s="330"/>
    </row>
    <row r="19" spans="1:26" s="264" customFormat="1" ht="12.75" customHeight="1" thickTop="1" thickBot="1">
      <c r="A19" s="263"/>
      <c r="B19" s="261" t="s">
        <v>722</v>
      </c>
      <c r="C19" s="261"/>
      <c r="D19" s="372">
        <f>Input!$BF$13</f>
        <v>-3042502</v>
      </c>
      <c r="E19" s="372">
        <f>Input!$BG$13</f>
        <v>0</v>
      </c>
      <c r="F19" s="372">
        <f>Input!$BH$13</f>
        <v>0</v>
      </c>
      <c r="G19" s="372">
        <f>Input!$BI$13</f>
        <v>0</v>
      </c>
      <c r="H19" s="372">
        <f>Input!$BJ$13</f>
        <v>0</v>
      </c>
      <c r="I19" s="372">
        <f>Input!$BK$13</f>
        <v>0</v>
      </c>
      <c r="J19" s="372">
        <f>Input!$BL$13</f>
        <v>0</v>
      </c>
      <c r="K19" s="372">
        <f>Input!$BM$13</f>
        <v>0</v>
      </c>
      <c r="L19" s="372">
        <f>Input!$BN$13</f>
        <v>0</v>
      </c>
      <c r="M19" s="373">
        <f t="shared" si="3"/>
        <v>-3042502</v>
      </c>
      <c r="O19" s="1732" t="s">
        <v>1294</v>
      </c>
      <c r="P19" s="1733"/>
      <c r="Q19" s="1733"/>
      <c r="R19" s="1734"/>
      <c r="T19" s="1735" t="s">
        <v>1043</v>
      </c>
      <c r="U19" s="1736"/>
      <c r="V19" s="1736"/>
      <c r="W19" s="1736"/>
      <c r="X19" s="1737"/>
    </row>
    <row r="20" spans="1:26" s="264" customFormat="1" ht="12.75" customHeight="1" thickTop="1">
      <c r="A20" s="263"/>
      <c r="B20" s="261" t="s">
        <v>723</v>
      </c>
      <c r="C20" s="261"/>
      <c r="D20" s="372">
        <f>Input!$BO$13</f>
        <v>0</v>
      </c>
      <c r="E20" s="372">
        <f>Input!$BP$13</f>
        <v>0</v>
      </c>
      <c r="F20" s="372">
        <f>Input!$BQ$13</f>
        <v>0</v>
      </c>
      <c r="G20" s="372">
        <f>Input!$BR$13</f>
        <v>0</v>
      </c>
      <c r="H20" s="372">
        <f>Input!$BS$13</f>
        <v>0</v>
      </c>
      <c r="I20" s="372">
        <f>Input!$BT$13</f>
        <v>0</v>
      </c>
      <c r="J20" s="372">
        <f>Input!$BU$13</f>
        <v>0</v>
      </c>
      <c r="K20" s="372">
        <f>Input!$BV$13</f>
        <v>0</v>
      </c>
      <c r="L20" s="372">
        <f>Input!$BW$13</f>
        <v>0</v>
      </c>
      <c r="M20" s="373">
        <f t="shared" si="3"/>
        <v>0</v>
      </c>
      <c r="O20" s="421" t="s">
        <v>288</v>
      </c>
      <c r="P20" s="422"/>
      <c r="Q20" s="414"/>
      <c r="R20" s="559"/>
      <c r="T20" s="560" t="s">
        <v>1044</v>
      </c>
      <c r="U20" s="266"/>
      <c r="V20" s="266"/>
      <c r="X20" s="425"/>
    </row>
    <row r="21" spans="1:26" s="264" customFormat="1">
      <c r="A21" s="263"/>
      <c r="B21" s="261" t="s">
        <v>724</v>
      </c>
      <c r="C21" s="261"/>
      <c r="D21" s="372">
        <f>Input!$BX$13</f>
        <v>0</v>
      </c>
      <c r="E21" s="372">
        <f>Input!$BY$13</f>
        <v>0</v>
      </c>
      <c r="F21" s="372">
        <f>Input!$BZ$13</f>
        <v>0</v>
      </c>
      <c r="G21" s="372">
        <f>Input!$CA$13</f>
        <v>0</v>
      </c>
      <c r="H21" s="372">
        <f>Input!$CB$13</f>
        <v>0</v>
      </c>
      <c r="I21" s="372">
        <f>Input!$CC$13</f>
        <v>0</v>
      </c>
      <c r="J21" s="372">
        <f>Input!$CD$13</f>
        <v>0</v>
      </c>
      <c r="K21" s="372">
        <f>Input!$CE$13</f>
        <v>0</v>
      </c>
      <c r="L21" s="372">
        <f>Input!$CF$13</f>
        <v>0</v>
      </c>
      <c r="M21" s="373">
        <f t="shared" si="3"/>
        <v>0</v>
      </c>
      <c r="O21" s="434"/>
      <c r="R21" s="561"/>
      <c r="T21" s="650" t="s">
        <v>1045</v>
      </c>
      <c r="U21" s="266"/>
      <c r="V21" s="266"/>
      <c r="W21" s="651">
        <f>M44</f>
        <v>57341915</v>
      </c>
      <c r="X21" s="425"/>
      <c r="Z21" s="330"/>
    </row>
    <row r="22" spans="1:26" s="264" customFormat="1">
      <c r="A22" s="263"/>
      <c r="B22" s="261" t="s">
        <v>725</v>
      </c>
      <c r="C22" s="261"/>
      <c r="D22" s="372">
        <f>Input!$CG$13</f>
        <v>0</v>
      </c>
      <c r="E22" s="372">
        <f>Input!$CH$13</f>
        <v>0</v>
      </c>
      <c r="F22" s="372">
        <f>Input!$CI$13</f>
        <v>0</v>
      </c>
      <c r="G22" s="372">
        <f>Input!$CJ$13</f>
        <v>0</v>
      </c>
      <c r="H22" s="372">
        <f>Input!$CK$13</f>
        <v>0</v>
      </c>
      <c r="I22" s="372">
        <f>Input!$CL$13</f>
        <v>0</v>
      </c>
      <c r="J22" s="372">
        <f>Input!$CM$13</f>
        <v>0</v>
      </c>
      <c r="K22" s="372">
        <f>Input!$CN$13</f>
        <v>0</v>
      </c>
      <c r="L22" s="372">
        <f>Input!$CO$13</f>
        <v>0</v>
      </c>
      <c r="M22" s="373">
        <f t="shared" si="3"/>
        <v>0</v>
      </c>
      <c r="N22" s="270"/>
      <c r="O22" s="434" t="s">
        <v>1046</v>
      </c>
      <c r="P22" s="276"/>
      <c r="Q22" s="424">
        <f>M23</f>
        <v>63594045</v>
      </c>
      <c r="R22" s="562"/>
      <c r="T22" s="650" t="s">
        <v>1047</v>
      </c>
      <c r="U22" s="266"/>
      <c r="V22" s="266"/>
      <c r="W22" s="652">
        <f>R30*-1</f>
        <v>30039820</v>
      </c>
      <c r="X22" s="425"/>
    </row>
    <row r="23" spans="1:26" s="264" customFormat="1" ht="12.75" customHeight="1">
      <c r="A23" s="263"/>
      <c r="B23" s="558" t="s">
        <v>726</v>
      </c>
      <c r="C23" s="563"/>
      <c r="D23" s="564">
        <f>Input!$CP$13</f>
        <v>12922310</v>
      </c>
      <c r="E23" s="564">
        <f>Input!$CQ$13</f>
        <v>50671735</v>
      </c>
      <c r="F23" s="564">
        <f>Input!$CR$13</f>
        <v>0</v>
      </c>
      <c r="G23" s="564">
        <f>Input!$CS$13</f>
        <v>0</v>
      </c>
      <c r="H23" s="564">
        <f>Input!$CT$13</f>
        <v>0</v>
      </c>
      <c r="I23" s="564">
        <f>Input!$CU$13</f>
        <v>0</v>
      </c>
      <c r="J23" s="564">
        <f>Input!$CV$13</f>
        <v>0</v>
      </c>
      <c r="K23" s="564">
        <f>Input!$CW$13</f>
        <v>0</v>
      </c>
      <c r="L23" s="564">
        <f>Input!$CX$13</f>
        <v>0</v>
      </c>
      <c r="M23" s="565">
        <f t="shared" si="3"/>
        <v>63594045</v>
      </c>
      <c r="O23" s="434"/>
      <c r="P23" s="276"/>
      <c r="Q23" s="424"/>
      <c r="R23" s="562"/>
      <c r="T23" s="560" t="s">
        <v>1230</v>
      </c>
      <c r="U23" s="266"/>
      <c r="V23" s="266"/>
      <c r="W23" s="276"/>
      <c r="X23" s="425">
        <f>SUM(W21:W22)</f>
        <v>87381735</v>
      </c>
      <c r="Z23" s="330"/>
    </row>
    <row r="24" spans="1:26" s="264" customFormat="1" ht="12.75" customHeight="1">
      <c r="A24" s="263"/>
      <c r="B24" s="261" t="s">
        <v>727</v>
      </c>
      <c r="C24" s="566"/>
      <c r="D24" s="372">
        <f>Input!$CY$13</f>
        <v>0</v>
      </c>
      <c r="E24" s="372">
        <f>Input!$CZ$13</f>
        <v>0</v>
      </c>
      <c r="F24" s="372">
        <f>Input!$DA$13</f>
        <v>0</v>
      </c>
      <c r="G24" s="372">
        <f>Input!$DB$13</f>
        <v>0</v>
      </c>
      <c r="H24" s="372">
        <f>Input!$DC$13</f>
        <v>0</v>
      </c>
      <c r="I24" s="372">
        <f>Input!$DD$13</f>
        <v>0</v>
      </c>
      <c r="J24" s="372">
        <f>Input!$DE$13</f>
        <v>0</v>
      </c>
      <c r="K24" s="372">
        <f>Input!$DF$13</f>
        <v>0</v>
      </c>
      <c r="L24" s="372">
        <f>Input!$DG$13</f>
        <v>0</v>
      </c>
      <c r="M24" s="567">
        <f t="shared" si="3"/>
        <v>0</v>
      </c>
      <c r="O24" s="417" t="s">
        <v>1048</v>
      </c>
      <c r="P24" s="276"/>
      <c r="Q24" s="327"/>
      <c r="R24" s="646">
        <f>SUM(M24:M28)</f>
        <v>-27625684</v>
      </c>
      <c r="T24" s="560"/>
      <c r="U24" s="266"/>
      <c r="V24" s="266"/>
      <c r="X24" s="425"/>
      <c r="Z24" s="330"/>
    </row>
    <row r="25" spans="1:26" s="264" customFormat="1" ht="12.75" customHeight="1">
      <c r="A25" s="263"/>
      <c r="B25" s="261" t="s">
        <v>728</v>
      </c>
      <c r="C25" s="566"/>
      <c r="D25" s="372">
        <f>Input!DH6</f>
        <v>0</v>
      </c>
      <c r="E25" s="372">
        <f>Input!$DI$13</f>
        <v>0</v>
      </c>
      <c r="F25" s="372">
        <f>Input!$DJ$13</f>
        <v>0</v>
      </c>
      <c r="G25" s="372">
        <f>Input!$DK$13</f>
        <v>0</v>
      </c>
      <c r="H25" s="372">
        <f>Input!$DL$13</f>
        <v>0</v>
      </c>
      <c r="I25" s="372">
        <f>Input!$DM$13</f>
        <v>0</v>
      </c>
      <c r="J25" s="372">
        <f>Input!$DN$13</f>
        <v>0</v>
      </c>
      <c r="K25" s="372">
        <f>Input!$DO$13</f>
        <v>0</v>
      </c>
      <c r="L25" s="372">
        <f>Input!$DP$13</f>
        <v>0</v>
      </c>
      <c r="M25" s="567">
        <f t="shared" si="3"/>
        <v>0</v>
      </c>
      <c r="O25" s="434"/>
      <c r="P25" s="276"/>
      <c r="Q25" s="327"/>
      <c r="R25" s="646"/>
      <c r="T25" s="568" t="s">
        <v>1103</v>
      </c>
      <c r="U25" s="569"/>
      <c r="V25" s="569"/>
      <c r="W25" s="653">
        <f>(M26+M39)*-1</f>
        <v>4296120</v>
      </c>
      <c r="X25" s="425"/>
      <c r="Z25" s="330"/>
    </row>
    <row r="26" spans="1:26" s="264" customFormat="1" ht="12.75" customHeight="1">
      <c r="A26" s="263"/>
      <c r="B26" s="261" t="s">
        <v>729</v>
      </c>
      <c r="C26" s="566"/>
      <c r="D26" s="372">
        <f>Input!$DQ$13</f>
        <v>-632467</v>
      </c>
      <c r="E26" s="372">
        <f>Input!$DR$13</f>
        <v>-3514916</v>
      </c>
      <c r="F26" s="372">
        <f>Input!$DS$13</f>
        <v>0</v>
      </c>
      <c r="G26" s="372">
        <f>Input!$DT$13</f>
        <v>0</v>
      </c>
      <c r="H26" s="372">
        <f>Input!$DU$13</f>
        <v>0</v>
      </c>
      <c r="I26" s="372">
        <f>Input!$DV$13</f>
        <v>0</v>
      </c>
      <c r="J26" s="372">
        <f>Input!$DW$13</f>
        <v>0</v>
      </c>
      <c r="K26" s="372">
        <f>Input!$DX$13</f>
        <v>0</v>
      </c>
      <c r="L26" s="372">
        <f>Input!$DY$13</f>
        <v>0</v>
      </c>
      <c r="M26" s="567">
        <f t="shared" si="3"/>
        <v>-4147383</v>
      </c>
      <c r="O26" s="434" t="s">
        <v>1049</v>
      </c>
      <c r="P26" s="276"/>
      <c r="Q26" s="427">
        <f>M36</f>
        <v>23787690</v>
      </c>
      <c r="R26" s="570"/>
      <c r="T26" s="560" t="s">
        <v>1104</v>
      </c>
      <c r="U26" s="266"/>
      <c r="V26" s="266"/>
      <c r="W26" s="571">
        <f>(M21+M34)*-1</f>
        <v>0</v>
      </c>
      <c r="X26" s="425"/>
      <c r="Z26" s="330"/>
    </row>
    <row r="27" spans="1:26" s="264" customFormat="1">
      <c r="A27" s="263"/>
      <c r="B27" s="261" t="s">
        <v>730</v>
      </c>
      <c r="C27" s="566"/>
      <c r="D27" s="372">
        <f>Input!$DZ$13</f>
        <v>0</v>
      </c>
      <c r="E27" s="372">
        <f>Input!$EA$13</f>
        <v>0</v>
      </c>
      <c r="F27" s="372">
        <f>Input!$EB$13</f>
        <v>0</v>
      </c>
      <c r="G27" s="372">
        <f>Input!$EC$13</f>
        <v>0</v>
      </c>
      <c r="H27" s="372">
        <f>Input!$ED$13</f>
        <v>0</v>
      </c>
      <c r="I27" s="372">
        <f>Input!$EE$13</f>
        <v>0</v>
      </c>
      <c r="J27" s="372">
        <f>Input!$EF$13</f>
        <v>0</v>
      </c>
      <c r="K27" s="372">
        <f>Input!$EG$13</f>
        <v>0</v>
      </c>
      <c r="L27" s="372">
        <f>Input!EH6</f>
        <v>0</v>
      </c>
      <c r="M27" s="567">
        <f t="shared" si="3"/>
        <v>0</v>
      </c>
      <c r="O27" s="434"/>
      <c r="P27" s="276"/>
      <c r="Q27" s="427"/>
      <c r="R27" s="570"/>
      <c r="T27" s="650" t="s">
        <v>1105</v>
      </c>
      <c r="U27" s="584"/>
      <c r="V27" s="584"/>
      <c r="W27" s="654">
        <f>SUM(W25:W26)</f>
        <v>4296120</v>
      </c>
      <c r="X27" s="655"/>
    </row>
    <row r="28" spans="1:26" s="264" customFormat="1">
      <c r="A28" s="263"/>
      <c r="B28" s="261" t="s">
        <v>2133</v>
      </c>
      <c r="C28" s="566"/>
      <c r="D28" s="372">
        <f>Input!$EI$13</f>
        <v>-3973427</v>
      </c>
      <c r="E28" s="372">
        <f>Input!$EJ$13</f>
        <v>-19504874</v>
      </c>
      <c r="F28" s="372">
        <f>Input!$EK$13</f>
        <v>0</v>
      </c>
      <c r="G28" s="372">
        <f>Input!$EL$13</f>
        <v>0</v>
      </c>
      <c r="H28" s="372">
        <f>Input!$EM$13</f>
        <v>0</v>
      </c>
      <c r="I28" s="372">
        <f>Input!$EN$13</f>
        <v>0</v>
      </c>
      <c r="J28" s="372">
        <f>Input!$EO$13</f>
        <v>0</v>
      </c>
      <c r="K28" s="372">
        <f>Input!$EP$13</f>
        <v>0</v>
      </c>
      <c r="L28" s="372">
        <f>Input!$EQ$13</f>
        <v>0</v>
      </c>
      <c r="M28" s="567">
        <f t="shared" si="3"/>
        <v>-23478301</v>
      </c>
      <c r="O28" s="417" t="s">
        <v>1050</v>
      </c>
      <c r="Q28" s="429"/>
      <c r="R28" s="646">
        <f>SUM(M37:M41)</f>
        <v>-2414136</v>
      </c>
      <c r="T28" s="560" t="s">
        <v>1106</v>
      </c>
      <c r="U28" s="266"/>
      <c r="V28" s="266"/>
      <c r="W28" s="425">
        <f>(M27+M40)*-1</f>
        <v>2265399</v>
      </c>
      <c r="X28" s="655"/>
      <c r="Z28" s="330"/>
    </row>
    <row r="29" spans="1:26" s="264" customFormat="1" ht="12" customHeight="1">
      <c r="A29" s="263"/>
      <c r="B29" s="575" t="s">
        <v>39</v>
      </c>
      <c r="C29" s="563"/>
      <c r="D29" s="374">
        <f t="shared" ref="D29:L29" si="4">SUM(D23:D28)</f>
        <v>8316416</v>
      </c>
      <c r="E29" s="374">
        <f t="shared" si="4"/>
        <v>27651945</v>
      </c>
      <c r="F29" s="374">
        <f t="shared" si="4"/>
        <v>0</v>
      </c>
      <c r="G29" s="374">
        <f t="shared" si="4"/>
        <v>0</v>
      </c>
      <c r="H29" s="374">
        <f t="shared" si="4"/>
        <v>0</v>
      </c>
      <c r="I29" s="374">
        <f t="shared" si="4"/>
        <v>0</v>
      </c>
      <c r="J29" s="374">
        <f t="shared" si="4"/>
        <v>0</v>
      </c>
      <c r="K29" s="374">
        <f t="shared" si="4"/>
        <v>0</v>
      </c>
      <c r="L29" s="374">
        <f t="shared" si="4"/>
        <v>0</v>
      </c>
      <c r="M29" s="374">
        <f t="shared" si="3"/>
        <v>35968361</v>
      </c>
      <c r="O29" s="417"/>
      <c r="Q29" s="429"/>
      <c r="R29" s="576"/>
      <c r="T29" s="560" t="s">
        <v>1107</v>
      </c>
      <c r="U29" s="266"/>
      <c r="V29" s="266"/>
      <c r="W29" s="571">
        <f>(M22+M35)*-1</f>
        <v>0</v>
      </c>
      <c r="X29" s="655"/>
    </row>
    <row r="30" spans="1:26" s="264" customFormat="1" ht="16.5" customHeight="1">
      <c r="A30" s="263"/>
      <c r="B30" s="261"/>
      <c r="C30" s="566"/>
      <c r="D30" s="566"/>
      <c r="E30" s="566"/>
      <c r="F30" s="566"/>
      <c r="G30" s="566"/>
      <c r="H30" s="566"/>
      <c r="I30" s="566"/>
      <c r="J30" s="566"/>
      <c r="K30" s="566"/>
      <c r="L30" s="566"/>
      <c r="M30" s="567"/>
      <c r="O30" s="431" t="s">
        <v>289</v>
      </c>
      <c r="P30" s="432"/>
      <c r="Q30" s="433">
        <f>Q26+Q22</f>
        <v>87381735</v>
      </c>
      <c r="R30" s="647">
        <f>R28+R24</f>
        <v>-30039820</v>
      </c>
      <c r="T30" s="650" t="s">
        <v>1108</v>
      </c>
      <c r="U30" s="584"/>
      <c r="V30" s="584"/>
      <c r="W30" s="654">
        <f>SUM(W28:W29)</f>
        <v>2265399</v>
      </c>
      <c r="X30" s="655"/>
    </row>
    <row r="31" spans="1:26" s="264" customFormat="1" ht="12.75" customHeight="1">
      <c r="A31" s="263"/>
      <c r="B31" s="558" t="s">
        <v>1052</v>
      </c>
      <c r="C31" s="558"/>
      <c r="D31" s="374">
        <f t="shared" ref="D31:L31" si="5">D36-SUM(D32:D35)</f>
        <v>0</v>
      </c>
      <c r="E31" s="374">
        <f t="shared" si="5"/>
        <v>16305108</v>
      </c>
      <c r="F31" s="374">
        <f t="shared" si="5"/>
        <v>7482582</v>
      </c>
      <c r="G31" s="374">
        <f t="shared" si="5"/>
        <v>0</v>
      </c>
      <c r="H31" s="374">
        <f t="shared" si="5"/>
        <v>0</v>
      </c>
      <c r="I31" s="374">
        <f t="shared" si="5"/>
        <v>0</v>
      </c>
      <c r="J31" s="374">
        <f t="shared" si="5"/>
        <v>0</v>
      </c>
      <c r="K31" s="374">
        <f t="shared" si="5"/>
        <v>0</v>
      </c>
      <c r="L31" s="374">
        <f t="shared" si="5"/>
        <v>0</v>
      </c>
      <c r="M31" s="374">
        <f t="shared" ref="M31:M42" si="6">D31+E31+F31+G31+H31+I31+J31+K31+L31</f>
        <v>23787690</v>
      </c>
      <c r="O31" s="434" t="s">
        <v>290</v>
      </c>
      <c r="P31" s="276"/>
      <c r="Q31" s="335"/>
      <c r="R31" s="562"/>
      <c r="T31" s="572" t="s">
        <v>1109</v>
      </c>
      <c r="U31" s="573"/>
      <c r="V31" s="573"/>
      <c r="W31" s="574">
        <f>W27+W30</f>
        <v>6561519</v>
      </c>
      <c r="X31" s="425"/>
      <c r="Z31" s="330"/>
    </row>
    <row r="32" spans="1:26" s="264" customFormat="1" ht="12.75" customHeight="1">
      <c r="A32" s="263"/>
      <c r="B32" s="261" t="s">
        <v>722</v>
      </c>
      <c r="C32" s="261"/>
      <c r="D32" s="372">
        <f>Input!$ER$13</f>
        <v>0</v>
      </c>
      <c r="E32" s="372">
        <f>Input!$ES$13</f>
        <v>0</v>
      </c>
      <c r="F32" s="372">
        <f>Input!$ET$13</f>
        <v>0</v>
      </c>
      <c r="G32" s="372">
        <f>Input!$EU$13</f>
        <v>0</v>
      </c>
      <c r="H32" s="372">
        <f>Input!$EV$13</f>
        <v>0</v>
      </c>
      <c r="I32" s="372">
        <f>Input!$EW$13</f>
        <v>0</v>
      </c>
      <c r="J32" s="372">
        <f>Input!$EX$13</f>
        <v>0</v>
      </c>
      <c r="K32" s="372">
        <f>Input!$EY$13</f>
        <v>0</v>
      </c>
      <c r="L32" s="372">
        <f>Input!$EZ$13</f>
        <v>0</v>
      </c>
      <c r="M32" s="567">
        <f t="shared" si="6"/>
        <v>0</v>
      </c>
      <c r="O32" s="415" t="s">
        <v>1295</v>
      </c>
      <c r="P32" s="416"/>
      <c r="Q32" s="577">
        <f>Input!$SQ$13</f>
        <v>87381735</v>
      </c>
      <c r="R32" s="578"/>
      <c r="T32" s="560"/>
      <c r="U32" s="266"/>
      <c r="V32" s="266"/>
      <c r="X32" s="425"/>
      <c r="Z32" s="330"/>
    </row>
    <row r="33" spans="1:24" s="264" customFormat="1">
      <c r="A33" s="263"/>
      <c r="B33" s="261" t="s">
        <v>723</v>
      </c>
      <c r="C33" s="261"/>
      <c r="D33" s="372">
        <f>Input!$FA$13</f>
        <v>0</v>
      </c>
      <c r="E33" s="372">
        <f>Input!$FB$13</f>
        <v>0</v>
      </c>
      <c r="F33" s="372">
        <f>Input!$FC$13</f>
        <v>0</v>
      </c>
      <c r="G33" s="372">
        <f>Input!$FD$13</f>
        <v>0</v>
      </c>
      <c r="H33" s="372">
        <f>Input!$FE$13</f>
        <v>0</v>
      </c>
      <c r="I33" s="372">
        <f>Input!$FF$13</f>
        <v>0</v>
      </c>
      <c r="J33" s="372">
        <f>Input!$FG$13</f>
        <v>0</v>
      </c>
      <c r="K33" s="372">
        <f>Input!$FH$13</f>
        <v>0</v>
      </c>
      <c r="L33" s="372">
        <f>Input!$FI$13</f>
        <v>0</v>
      </c>
      <c r="M33" s="567">
        <f t="shared" si="6"/>
        <v>0</v>
      </c>
      <c r="O33" s="415"/>
      <c r="P33" s="416"/>
      <c r="Q33" s="327"/>
      <c r="R33" s="578"/>
      <c r="T33" s="560" t="s">
        <v>1051</v>
      </c>
      <c r="U33" s="266"/>
      <c r="V33" s="266"/>
      <c r="W33" s="334">
        <f>(M19+M32)*-1</f>
        <v>3042502</v>
      </c>
      <c r="X33" s="425"/>
    </row>
    <row r="34" spans="1:24" s="264" customFormat="1">
      <c r="A34" s="263"/>
      <c r="B34" s="261" t="s">
        <v>724</v>
      </c>
      <c r="C34" s="261"/>
      <c r="D34" s="372">
        <f>Input!$FJ$13</f>
        <v>0</v>
      </c>
      <c r="E34" s="372">
        <f>Input!$FK$13</f>
        <v>0</v>
      </c>
      <c r="F34" s="372">
        <f>Input!$FL$13</f>
        <v>0</v>
      </c>
      <c r="G34" s="372">
        <f>Input!$FM$13</f>
        <v>0</v>
      </c>
      <c r="H34" s="372">
        <f>Input!$FN$13</f>
        <v>0</v>
      </c>
      <c r="I34" s="372">
        <f>Input!$FO$13</f>
        <v>0</v>
      </c>
      <c r="J34" s="372">
        <f>Input!$FP$13</f>
        <v>0</v>
      </c>
      <c r="K34" s="372">
        <f>Input!$FQ$13</f>
        <v>0</v>
      </c>
      <c r="L34" s="372">
        <f>Input!$FR$13</f>
        <v>0</v>
      </c>
      <c r="M34" s="567">
        <f t="shared" si="6"/>
        <v>0</v>
      </c>
      <c r="O34" s="435" t="s">
        <v>1296</v>
      </c>
      <c r="P34" s="436"/>
      <c r="Q34" s="264" t="s">
        <v>291</v>
      </c>
      <c r="R34" s="648">
        <f>Input!$SR$13</f>
        <v>-30039820</v>
      </c>
      <c r="T34" s="560" t="s">
        <v>1110</v>
      </c>
      <c r="U34" s="266"/>
      <c r="V34" s="266"/>
      <c r="W34" s="430">
        <f>(M24+M37)*-1</f>
        <v>0</v>
      </c>
      <c r="X34" s="425"/>
    </row>
    <row r="35" spans="1:24" s="264" customFormat="1" ht="13.5" thickBot="1">
      <c r="A35" s="263"/>
      <c r="B35" s="261" t="s">
        <v>725</v>
      </c>
      <c r="C35" s="261"/>
      <c r="D35" s="372">
        <f>Input!$FS$13</f>
        <v>0</v>
      </c>
      <c r="E35" s="372">
        <f>Input!$FT$13</f>
        <v>0</v>
      </c>
      <c r="F35" s="372">
        <f>Input!$FU$13</f>
        <v>0</v>
      </c>
      <c r="G35" s="372">
        <f>Input!$FV$13</f>
        <v>0</v>
      </c>
      <c r="H35" s="372">
        <f>Input!$FW$13</f>
        <v>0</v>
      </c>
      <c r="I35" s="372">
        <f>Input!$FX$13</f>
        <v>0</v>
      </c>
      <c r="J35" s="372">
        <f>Input!$FY$13</f>
        <v>0</v>
      </c>
      <c r="K35" s="372">
        <f>Input!$FZ$13</f>
        <v>0</v>
      </c>
      <c r="L35" s="372">
        <f>Input!$GA$13</f>
        <v>0</v>
      </c>
      <c r="M35" s="567">
        <f t="shared" si="6"/>
        <v>0</v>
      </c>
      <c r="O35" s="418" t="s">
        <v>286</v>
      </c>
      <c r="P35" s="419"/>
      <c r="Q35" s="420">
        <f>Q30-Q32</f>
        <v>0</v>
      </c>
      <c r="R35" s="649">
        <f>R30-R34</f>
        <v>0</v>
      </c>
      <c r="T35" s="650" t="s">
        <v>1111</v>
      </c>
      <c r="U35" s="584"/>
      <c r="V35" s="584"/>
      <c r="W35" s="656">
        <f>SUM(W33:W34)</f>
        <v>3042502</v>
      </c>
      <c r="X35" s="655"/>
    </row>
    <row r="36" spans="1:24" s="264" customFormat="1" ht="13.5" thickTop="1">
      <c r="A36" s="263"/>
      <c r="B36" s="558" t="s">
        <v>732</v>
      </c>
      <c r="C36" s="563"/>
      <c r="D36" s="564">
        <f>Input!$GB$13</f>
        <v>0</v>
      </c>
      <c r="E36" s="564">
        <f>Input!$GC$13</f>
        <v>16305108</v>
      </c>
      <c r="F36" s="564">
        <f>Input!$GD$13</f>
        <v>7482582</v>
      </c>
      <c r="G36" s="564">
        <f>Input!$GE$13</f>
        <v>0</v>
      </c>
      <c r="H36" s="564">
        <f>Input!$GF$13</f>
        <v>0</v>
      </c>
      <c r="I36" s="564">
        <f>Input!$GG$13</f>
        <v>0</v>
      </c>
      <c r="J36" s="564">
        <f>Input!$GH$13</f>
        <v>0</v>
      </c>
      <c r="K36" s="564">
        <f>Input!$GI$13</f>
        <v>0</v>
      </c>
      <c r="L36" s="564">
        <f>Input!$GJ$13</f>
        <v>0</v>
      </c>
      <c r="M36" s="565">
        <f t="shared" si="6"/>
        <v>23787690</v>
      </c>
      <c r="O36" s="261"/>
      <c r="Q36" s="412" t="str">
        <f>IF(Q30&lt;&gt;Q32,"Out of Balance","Balanced")</f>
        <v>Balanced</v>
      </c>
      <c r="R36" s="412" t="str">
        <f>IF(R30&lt;&gt;R34,"Out of Balance","Balanced")</f>
        <v>Balanced</v>
      </c>
      <c r="T36" s="560" t="s">
        <v>1053</v>
      </c>
      <c r="U36" s="266"/>
      <c r="V36" s="266"/>
      <c r="W36" s="334">
        <f>(M20+M33)*-1</f>
        <v>0</v>
      </c>
      <c r="X36" s="425"/>
    </row>
    <row r="37" spans="1:24" s="264" customFormat="1">
      <c r="A37" s="263"/>
      <c r="B37" s="261" t="s">
        <v>727</v>
      </c>
      <c r="C37" s="566"/>
      <c r="D37" s="372">
        <f>Input!$GK$13</f>
        <v>0</v>
      </c>
      <c r="E37" s="372">
        <f>Input!$GL$13</f>
        <v>0</v>
      </c>
      <c r="F37" s="372">
        <f>Input!$GM$13</f>
        <v>0</v>
      </c>
      <c r="G37" s="372">
        <f>Input!$GN$13</f>
        <v>0</v>
      </c>
      <c r="H37" s="372">
        <f>Input!$GO$13</f>
        <v>0</v>
      </c>
      <c r="I37" s="372">
        <f>Input!$GP$13</f>
        <v>0</v>
      </c>
      <c r="J37" s="372">
        <f>Input!$GQ$13</f>
        <v>0</v>
      </c>
      <c r="K37" s="372">
        <f>Input!$GR$13</f>
        <v>0</v>
      </c>
      <c r="L37" s="372">
        <f>Input!$GS$13</f>
        <v>0</v>
      </c>
      <c r="M37" s="567">
        <f t="shared" si="6"/>
        <v>0</v>
      </c>
      <c r="O37" s="261"/>
      <c r="T37" s="560" t="s">
        <v>1112</v>
      </c>
      <c r="U37" s="266"/>
      <c r="V37" s="266"/>
      <c r="W37" s="430">
        <f>(M25+M38)*-1</f>
        <v>0</v>
      </c>
      <c r="X37" s="655"/>
    </row>
    <row r="38" spans="1:24" s="264" customFormat="1">
      <c r="A38" s="263"/>
      <c r="B38" s="261" t="s">
        <v>728</v>
      </c>
      <c r="C38" s="566"/>
      <c r="D38" s="372">
        <f>Input!$GT$13</f>
        <v>0</v>
      </c>
      <c r="E38" s="372">
        <f>Input!$GU$13</f>
        <v>0</v>
      </c>
      <c r="F38" s="372">
        <f>Input!$GV$13</f>
        <v>0</v>
      </c>
      <c r="G38" s="372">
        <f>Input!$GW$13</f>
        <v>0</v>
      </c>
      <c r="H38" s="372">
        <f>Input!$GX$13</f>
        <v>0</v>
      </c>
      <c r="I38" s="372">
        <f>Input!$GY$13</f>
        <v>0</v>
      </c>
      <c r="J38" s="372">
        <f>Input!$GZ$13</f>
        <v>0</v>
      </c>
      <c r="K38" s="372">
        <f>Input!$HA$13</f>
        <v>0</v>
      </c>
      <c r="L38" s="372">
        <f>Input!$HB$13</f>
        <v>0</v>
      </c>
      <c r="M38" s="567">
        <f t="shared" si="6"/>
        <v>0</v>
      </c>
      <c r="O38" s="261"/>
      <c r="T38" s="650" t="s">
        <v>1113</v>
      </c>
      <c r="U38" s="584"/>
      <c r="V38" s="584"/>
      <c r="W38" s="656">
        <f>SUM(W36:W37)</f>
        <v>0</v>
      </c>
      <c r="X38" s="425"/>
    </row>
    <row r="39" spans="1:24" s="264" customFormat="1">
      <c r="A39" s="263"/>
      <c r="B39" s="261" t="s">
        <v>729</v>
      </c>
      <c r="C39" s="566"/>
      <c r="D39" s="372">
        <f>Input!$HC$13</f>
        <v>0</v>
      </c>
      <c r="E39" s="372">
        <f>Input!$HD$13</f>
        <v>0</v>
      </c>
      <c r="F39" s="372">
        <f>Input!$HE$13</f>
        <v>-148737</v>
      </c>
      <c r="G39" s="372">
        <f>Input!$HF$13</f>
        <v>0</v>
      </c>
      <c r="H39" s="372">
        <f>Input!$HG$13</f>
        <v>0</v>
      </c>
      <c r="I39" s="372">
        <f>Input!$HH$13</f>
        <v>0</v>
      </c>
      <c r="J39" s="372">
        <f>Input!$HI$13</f>
        <v>0</v>
      </c>
      <c r="K39" s="372">
        <f>Input!$HJ$13</f>
        <v>0</v>
      </c>
      <c r="L39" s="372">
        <f>Input!$HK$13</f>
        <v>0</v>
      </c>
      <c r="M39" s="567">
        <f t="shared" si="6"/>
        <v>-148737</v>
      </c>
      <c r="O39" s="261"/>
      <c r="T39" s="560" t="s">
        <v>1054</v>
      </c>
      <c r="U39" s="266"/>
      <c r="V39" s="266"/>
      <c r="W39" s="334"/>
      <c r="X39" s="425">
        <f>W38+W35</f>
        <v>3042502</v>
      </c>
    </row>
    <row r="40" spans="1:24" s="264" customFormat="1">
      <c r="A40" s="263"/>
      <c r="B40" s="261" t="s">
        <v>730</v>
      </c>
      <c r="C40" s="566"/>
      <c r="D40" s="372">
        <f>Input!$HL$13</f>
        <v>0</v>
      </c>
      <c r="E40" s="372">
        <f>Input!$HM$13</f>
        <v>0</v>
      </c>
      <c r="F40" s="372">
        <f>Input!$HN$13</f>
        <v>-2265399</v>
      </c>
      <c r="G40" s="372">
        <f>Input!$HO$13</f>
        <v>0</v>
      </c>
      <c r="H40" s="372">
        <f>Input!$HP$13</f>
        <v>0</v>
      </c>
      <c r="I40" s="372">
        <f>Input!$HQ$13</f>
        <v>0</v>
      </c>
      <c r="J40" s="372">
        <f>Input!$HR$13</f>
        <v>0</v>
      </c>
      <c r="K40" s="372">
        <f>Input!$HS$13</f>
        <v>0</v>
      </c>
      <c r="L40" s="372">
        <f>Input!$HT$13</f>
        <v>0</v>
      </c>
      <c r="M40" s="567">
        <f t="shared" si="6"/>
        <v>-2265399</v>
      </c>
      <c r="O40" s="261"/>
      <c r="T40" s="560"/>
      <c r="U40" s="261"/>
      <c r="V40" s="261"/>
      <c r="W40" s="261"/>
      <c r="X40" s="655"/>
    </row>
    <row r="41" spans="1:24" s="264" customFormat="1">
      <c r="A41" s="263"/>
      <c r="B41" s="261" t="s">
        <v>2133</v>
      </c>
      <c r="C41" s="566"/>
      <c r="D41" s="372">
        <f>Input!$HU$13</f>
        <v>0</v>
      </c>
      <c r="E41" s="372">
        <f>Input!$HV$13</f>
        <v>0</v>
      </c>
      <c r="F41" s="372">
        <f>Input!$HW$13</f>
        <v>0</v>
      </c>
      <c r="G41" s="372">
        <f>Input!$HX$13</f>
        <v>0</v>
      </c>
      <c r="H41" s="372">
        <f>Input!$HY$13</f>
        <v>0</v>
      </c>
      <c r="I41" s="372">
        <f>Input!$HZ$13</f>
        <v>0</v>
      </c>
      <c r="J41" s="372">
        <f>Input!$IA$13</f>
        <v>0</v>
      </c>
      <c r="K41" s="372">
        <f>Input!$IB$13</f>
        <v>0</v>
      </c>
      <c r="L41" s="372">
        <f>Input!$IC$13</f>
        <v>0</v>
      </c>
      <c r="M41" s="567">
        <f t="shared" si="6"/>
        <v>0</v>
      </c>
      <c r="O41"/>
      <c r="P41"/>
      <c r="Q41"/>
      <c r="R41"/>
      <c r="S41"/>
      <c r="T41" s="560" t="s">
        <v>1104</v>
      </c>
      <c r="U41" s="266"/>
      <c r="V41" s="266"/>
      <c r="W41" s="330">
        <f>(M21+M34)*-1</f>
        <v>0</v>
      </c>
      <c r="X41" s="425"/>
    </row>
    <row r="42" spans="1:24" s="264" customFormat="1">
      <c r="A42" s="263"/>
      <c r="B42" s="575" t="s">
        <v>40</v>
      </c>
      <c r="C42" s="563"/>
      <c r="D42" s="374">
        <f t="shared" ref="D42:L42" si="7">SUM(D36:D41)</f>
        <v>0</v>
      </c>
      <c r="E42" s="374">
        <f t="shared" si="7"/>
        <v>16305108</v>
      </c>
      <c r="F42" s="374">
        <f t="shared" si="7"/>
        <v>5068446</v>
      </c>
      <c r="G42" s="374">
        <f t="shared" si="7"/>
        <v>0</v>
      </c>
      <c r="H42" s="374">
        <f t="shared" si="7"/>
        <v>0</v>
      </c>
      <c r="I42" s="374">
        <f t="shared" si="7"/>
        <v>0</v>
      </c>
      <c r="J42" s="374">
        <f t="shared" si="7"/>
        <v>0</v>
      </c>
      <c r="K42" s="374">
        <f t="shared" si="7"/>
        <v>0</v>
      </c>
      <c r="L42" s="374">
        <f t="shared" si="7"/>
        <v>0</v>
      </c>
      <c r="M42" s="374">
        <f t="shared" si="6"/>
        <v>21373554</v>
      </c>
      <c r="O42"/>
      <c r="P42"/>
      <c r="Q42"/>
      <c r="R42"/>
      <c r="S42"/>
      <c r="T42" s="560" t="s">
        <v>1107</v>
      </c>
      <c r="U42" s="266"/>
      <c r="V42" s="266"/>
      <c r="W42" s="430">
        <f>(M22+M35)*-1</f>
        <v>0</v>
      </c>
      <c r="X42" s="425"/>
    </row>
    <row r="43" spans="1:24" s="264" customFormat="1">
      <c r="A43" s="263"/>
      <c r="B43" s="261"/>
      <c r="C43" s="566"/>
      <c r="D43" s="566"/>
      <c r="E43" s="566"/>
      <c r="F43" s="566"/>
      <c r="G43" s="566"/>
      <c r="H43" s="566"/>
      <c r="I43" s="566"/>
      <c r="J43" s="566"/>
      <c r="K43" s="566"/>
      <c r="L43" s="566"/>
      <c r="M43" s="567"/>
      <c r="O43"/>
      <c r="P43"/>
      <c r="Q43"/>
      <c r="R43"/>
      <c r="S43"/>
      <c r="T43" s="650" t="s">
        <v>1114</v>
      </c>
      <c r="U43" s="584"/>
      <c r="V43" s="584"/>
      <c r="W43" s="656">
        <f>SUM(W41:W42)</f>
        <v>0</v>
      </c>
      <c r="X43" s="655"/>
    </row>
    <row r="44" spans="1:24" s="264" customFormat="1" ht="13.5" customHeight="1">
      <c r="A44" s="263"/>
      <c r="B44" s="575" t="s">
        <v>1055</v>
      </c>
      <c r="C44" s="563"/>
      <c r="D44" s="374">
        <f t="shared" ref="D44:L44" si="8">D42+D29</f>
        <v>8316416</v>
      </c>
      <c r="E44" s="374">
        <f t="shared" si="8"/>
        <v>43957053</v>
      </c>
      <c r="F44" s="374">
        <f t="shared" si="8"/>
        <v>5068446</v>
      </c>
      <c r="G44" s="374">
        <f t="shared" si="8"/>
        <v>0</v>
      </c>
      <c r="H44" s="374">
        <f t="shared" si="8"/>
        <v>0</v>
      </c>
      <c r="I44" s="374">
        <f t="shared" si="8"/>
        <v>0</v>
      </c>
      <c r="J44" s="374">
        <f t="shared" si="8"/>
        <v>0</v>
      </c>
      <c r="K44" s="374">
        <f t="shared" si="8"/>
        <v>0</v>
      </c>
      <c r="L44" s="374">
        <f t="shared" si="8"/>
        <v>0</v>
      </c>
      <c r="M44" s="374">
        <f>D44+E44+F44+G44+H44+I44+J44+K44+L44</f>
        <v>57341915</v>
      </c>
      <c r="O44"/>
      <c r="P44"/>
      <c r="Q44"/>
      <c r="R44"/>
      <c r="S44"/>
      <c r="T44" s="560"/>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0"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0" t="s">
        <v>1112</v>
      </c>
      <c r="U46" s="266"/>
      <c r="V46" s="266"/>
      <c r="W46" s="430">
        <f>(M25+M38)*-1</f>
        <v>0</v>
      </c>
      <c r="X46" s="425"/>
    </row>
    <row r="47" spans="1:24">
      <c r="A47" s="184">
        <v>30</v>
      </c>
      <c r="B47" s="176" t="s">
        <v>7</v>
      </c>
      <c r="C47" s="176"/>
      <c r="D47" s="375">
        <f>Input!$ID$13</f>
        <v>1109520</v>
      </c>
      <c r="E47" s="375">
        <f>Input!$IE$13</f>
        <v>196786</v>
      </c>
      <c r="F47" s="375">
        <f>Input!$IF$13</f>
        <v>0</v>
      </c>
      <c r="G47" s="375">
        <f>Input!$IG$13</f>
        <v>21902264</v>
      </c>
      <c r="H47" s="375">
        <f>Input!$IH$13</f>
        <v>0</v>
      </c>
      <c r="I47" s="375">
        <f>Input!$II$13</f>
        <v>0</v>
      </c>
      <c r="J47" s="375">
        <f>Input!$IJ$13</f>
        <v>0</v>
      </c>
      <c r="K47" s="375">
        <f>Input!$IK$13</f>
        <v>0</v>
      </c>
      <c r="L47" s="375">
        <f>Input!$IL$13</f>
        <v>0</v>
      </c>
      <c r="M47" s="374">
        <f>D47+E47+F47+G47+H47+I47+J47+K47+L47</f>
        <v>23208570</v>
      </c>
      <c r="N47" s="160"/>
      <c r="O47"/>
      <c r="P47"/>
      <c r="Q47"/>
      <c r="R47"/>
      <c r="S47"/>
      <c r="T47" s="657" t="s">
        <v>1115</v>
      </c>
      <c r="U47" s="27"/>
      <c r="V47" s="27"/>
      <c r="W47" s="656">
        <f>SUM(W45:W46)</f>
        <v>0</v>
      </c>
      <c r="X47" s="655"/>
    </row>
    <row r="48" spans="1:24">
      <c r="A48" s="184">
        <v>31</v>
      </c>
      <c r="B48" s="160"/>
      <c r="C48" s="160"/>
      <c r="D48" s="373"/>
      <c r="E48" s="373"/>
      <c r="F48" s="373"/>
      <c r="G48" s="373"/>
      <c r="H48" s="373"/>
      <c r="I48" s="373"/>
      <c r="J48" s="373"/>
      <c r="K48" s="373"/>
      <c r="L48" s="373"/>
      <c r="M48" s="373"/>
      <c r="N48" s="160"/>
      <c r="O48"/>
      <c r="P48"/>
      <c r="Q48"/>
      <c r="R48"/>
      <c r="S48"/>
      <c r="T48" s="560"/>
      <c r="U48" s="261"/>
      <c r="V48" s="261"/>
      <c r="W48" s="261"/>
      <c r="X48" s="658">
        <f>W43-W47</f>
        <v>0</v>
      </c>
    </row>
    <row r="49" spans="1:28">
      <c r="A49" s="184">
        <v>32</v>
      </c>
      <c r="B49" s="172" t="s">
        <v>8</v>
      </c>
      <c r="C49" s="172"/>
      <c r="D49" s="373"/>
      <c r="E49" s="373"/>
      <c r="F49" s="373"/>
      <c r="G49" s="373"/>
      <c r="H49" s="373"/>
      <c r="I49" s="373"/>
      <c r="J49" s="373"/>
      <c r="K49" s="373"/>
      <c r="L49" s="373"/>
      <c r="M49" s="373"/>
      <c r="N49" s="160"/>
      <c r="O49" s="273"/>
      <c r="T49" s="579" t="s">
        <v>287</v>
      </c>
      <c r="U49" s="511"/>
      <c r="V49" s="580"/>
      <c r="W49" s="580"/>
      <c r="X49" s="574">
        <f>SUM(X23:X48)</f>
        <v>90424237</v>
      </c>
    </row>
    <row r="50" spans="1:28">
      <c r="A50" s="184">
        <v>33</v>
      </c>
      <c r="B50" s="160" t="s">
        <v>42</v>
      </c>
      <c r="C50" s="160"/>
      <c r="D50" s="372">
        <f>Input!$IM$13</f>
        <v>61275</v>
      </c>
      <c r="E50" s="372">
        <f>Input!$IN$13</f>
        <v>4699254</v>
      </c>
      <c r="F50" s="372">
        <f>Input!$IO$13</f>
        <v>0</v>
      </c>
      <c r="G50" s="372">
        <f>Input!$IP$13</f>
        <v>4511345</v>
      </c>
      <c r="H50" s="372">
        <f>Input!$IQ$13</f>
        <v>0</v>
      </c>
      <c r="I50" s="372">
        <f>Input!$IR$13</f>
        <v>48135</v>
      </c>
      <c r="J50" s="372">
        <f>Input!$IS$13</f>
        <v>0</v>
      </c>
      <c r="K50" s="372">
        <f>Input!$IT$13</f>
        <v>0</v>
      </c>
      <c r="L50" s="372">
        <f>Input!$IU$13</f>
        <v>0</v>
      </c>
      <c r="M50" s="373">
        <f t="shared" ref="M50:M57" si="9">D50+E50+F50+G50+H50+I50+J50+K50+L50</f>
        <v>9320009</v>
      </c>
      <c r="N50" s="160"/>
      <c r="O50" s="273"/>
      <c r="U50" s="275"/>
    </row>
    <row r="51" spans="1:28">
      <c r="A51" s="184">
        <v>34</v>
      </c>
      <c r="B51" s="160" t="s">
        <v>9</v>
      </c>
      <c r="C51" s="160"/>
      <c r="D51" s="372">
        <f>Input!$IV$13</f>
        <v>0</v>
      </c>
      <c r="E51" s="372">
        <f>Input!$IW$13</f>
        <v>0</v>
      </c>
      <c r="F51" s="372">
        <f>Input!$IX$13</f>
        <v>0</v>
      </c>
      <c r="G51" s="372">
        <f>Input!$IY$13</f>
        <v>0</v>
      </c>
      <c r="H51" s="372">
        <f>Input!$IZ$13</f>
        <v>0</v>
      </c>
      <c r="I51" s="372">
        <f>Input!$JA$13</f>
        <v>0</v>
      </c>
      <c r="J51" s="372">
        <f>Input!$JB$13</f>
        <v>0</v>
      </c>
      <c r="K51" s="372">
        <f>Input!$JC$13</f>
        <v>0</v>
      </c>
      <c r="L51" s="372">
        <f>Input!$JD$13</f>
        <v>0</v>
      </c>
      <c r="M51" s="376">
        <f t="shared" si="9"/>
        <v>0</v>
      </c>
      <c r="N51" s="160"/>
      <c r="Y51" s="277"/>
    </row>
    <row r="52" spans="1:28">
      <c r="A52" s="184">
        <v>35</v>
      </c>
      <c r="B52" s="160" t="s">
        <v>10</v>
      </c>
      <c r="C52" s="160"/>
      <c r="D52" s="372">
        <f>Input!$JE$13</f>
        <v>0</v>
      </c>
      <c r="E52" s="372">
        <f>Input!$JF$13</f>
        <v>297689</v>
      </c>
      <c r="F52" s="372">
        <f>Input!$JG$13</f>
        <v>235375</v>
      </c>
      <c r="G52" s="372">
        <f>Input!$JH$13</f>
        <v>1177359</v>
      </c>
      <c r="H52" s="372">
        <f>Input!$JI$13</f>
        <v>0</v>
      </c>
      <c r="I52" s="372">
        <f>Input!$JJ$13</f>
        <v>0</v>
      </c>
      <c r="J52" s="372">
        <f>Input!$JK$13</f>
        <v>100000</v>
      </c>
      <c r="K52" s="372">
        <f>Input!$JL$13</f>
        <v>0</v>
      </c>
      <c r="L52" s="372">
        <f>Input!$JM$13</f>
        <v>0</v>
      </c>
      <c r="M52" s="373">
        <f t="shared" si="9"/>
        <v>1810423</v>
      </c>
      <c r="N52" s="160"/>
      <c r="O52" s="273"/>
      <c r="P52" s="278"/>
    </row>
    <row r="53" spans="1:28">
      <c r="A53" s="184">
        <v>36</v>
      </c>
      <c r="B53" s="160" t="s">
        <v>11</v>
      </c>
      <c r="C53" s="160"/>
      <c r="D53" s="372">
        <f>Input!$JN$13</f>
        <v>0</v>
      </c>
      <c r="E53" s="372">
        <f>Input!$JO$13</f>
        <v>10753589</v>
      </c>
      <c r="F53" s="372">
        <f>Input!$JP$13</f>
        <v>0</v>
      </c>
      <c r="G53" s="372">
        <f>Input!$JQ$13</f>
        <v>463705</v>
      </c>
      <c r="H53" s="372">
        <f>Input!$JR$13</f>
        <v>0</v>
      </c>
      <c r="I53" s="372">
        <f>Input!$JS$13</f>
        <v>0</v>
      </c>
      <c r="J53" s="372">
        <f>Input!$JT$13</f>
        <v>0</v>
      </c>
      <c r="K53" s="372">
        <f>Input!$JU$13</f>
        <v>0</v>
      </c>
      <c r="L53" s="372">
        <f>Input!$JV$13</f>
        <v>0</v>
      </c>
      <c r="M53" s="373">
        <f t="shared" si="9"/>
        <v>11217294</v>
      </c>
      <c r="N53" s="160"/>
      <c r="O53" s="273"/>
    </row>
    <row r="54" spans="1:28" ht="13.5" thickBot="1">
      <c r="A54" s="184">
        <v>37</v>
      </c>
      <c r="B54" s="177" t="s">
        <v>2134</v>
      </c>
      <c r="C54" s="177"/>
      <c r="D54" s="372">
        <f>Input!$JW$13</f>
        <v>0</v>
      </c>
      <c r="E54" s="372">
        <f>Input!$JX$13</f>
        <v>0</v>
      </c>
      <c r="F54" s="372">
        <f>Input!$JY$13</f>
        <v>10251224</v>
      </c>
      <c r="G54" s="372">
        <f>Input!$JZ$13</f>
        <v>0</v>
      </c>
      <c r="H54" s="372">
        <f>Input!$KA$13</f>
        <v>0</v>
      </c>
      <c r="I54" s="372">
        <f>Input!$KB$13</f>
        <v>0</v>
      </c>
      <c r="J54" s="372">
        <f>Input!$KC$13</f>
        <v>0</v>
      </c>
      <c r="K54" s="372">
        <f>Input!$KD$13</f>
        <v>0</v>
      </c>
      <c r="L54" s="372">
        <f>Input!$KE$13</f>
        <v>0</v>
      </c>
      <c r="M54" s="373">
        <f t="shared" si="9"/>
        <v>10251224</v>
      </c>
      <c r="N54" s="160"/>
      <c r="O54" s="273"/>
    </row>
    <row r="55" spans="1:28" ht="14.25" thickTop="1" thickBot="1">
      <c r="A55" s="184">
        <v>38</v>
      </c>
      <c r="B55" s="160" t="s">
        <v>43</v>
      </c>
      <c r="C55" s="160"/>
      <c r="D55" s="372">
        <f>Input!$KF$13</f>
        <v>0</v>
      </c>
      <c r="E55" s="372">
        <f>Input!$KG$13</f>
        <v>626496</v>
      </c>
      <c r="F55" s="372">
        <f>Input!$KH$13</f>
        <v>0</v>
      </c>
      <c r="G55" s="372">
        <f>Input!$KI$13</f>
        <v>50</v>
      </c>
      <c r="H55" s="372">
        <f>Input!$KJ$13</f>
        <v>0</v>
      </c>
      <c r="I55" s="372">
        <f>Input!$KK$13</f>
        <v>0</v>
      </c>
      <c r="J55" s="372">
        <f>Input!$KL$13</f>
        <v>0</v>
      </c>
      <c r="K55" s="372">
        <f>Input!$KM$13</f>
        <v>0</v>
      </c>
      <c r="L55" s="372">
        <f>Input!$KN$13</f>
        <v>-46441</v>
      </c>
      <c r="M55" s="373">
        <f t="shared" si="9"/>
        <v>580105</v>
      </c>
      <c r="N55" s="160"/>
      <c r="O55" s="1616" t="s">
        <v>251</v>
      </c>
      <c r="P55" s="1617"/>
      <c r="Q55" s="1617"/>
      <c r="R55" s="1618"/>
      <c r="S55" s="437"/>
      <c r="T55" s="1619" t="s">
        <v>252</v>
      </c>
      <c r="U55" s="1620"/>
      <c r="V55" s="1620"/>
      <c r="W55" s="1620"/>
      <c r="X55" s="1621"/>
      <c r="Y55" s="320"/>
      <c r="Z55" s="1749" t="s">
        <v>1301</v>
      </c>
      <c r="AA55" s="1750"/>
      <c r="AB55" s="1751"/>
    </row>
    <row r="56" spans="1:28" ht="13.5" customHeight="1" thickTop="1">
      <c r="A56" s="184">
        <v>39</v>
      </c>
      <c r="B56" s="176" t="s">
        <v>3</v>
      </c>
      <c r="C56" s="176"/>
      <c r="D56" s="374">
        <f>SUM(D50:D55)</f>
        <v>61275</v>
      </c>
      <c r="E56" s="374">
        <f t="shared" ref="E56:L56" si="10">SUM(E50:E55)</f>
        <v>16377028</v>
      </c>
      <c r="F56" s="374">
        <f t="shared" si="10"/>
        <v>10486599</v>
      </c>
      <c r="G56" s="374">
        <f t="shared" si="10"/>
        <v>6152459</v>
      </c>
      <c r="H56" s="374">
        <f t="shared" si="10"/>
        <v>0</v>
      </c>
      <c r="I56" s="374">
        <f t="shared" si="10"/>
        <v>48135</v>
      </c>
      <c r="J56" s="374">
        <f t="shared" si="10"/>
        <v>100000</v>
      </c>
      <c r="K56" s="374">
        <f t="shared" si="10"/>
        <v>0</v>
      </c>
      <c r="L56" s="374">
        <f t="shared" si="10"/>
        <v>-46441</v>
      </c>
      <c r="M56" s="374">
        <f t="shared" si="9"/>
        <v>33179055</v>
      </c>
      <c r="N56" s="160"/>
      <c r="O56" s="1622" t="s">
        <v>1135</v>
      </c>
      <c r="P56" s="1625" t="s">
        <v>254</v>
      </c>
      <c r="Q56" s="1625" t="s">
        <v>292</v>
      </c>
      <c r="R56" s="1628" t="s">
        <v>1063</v>
      </c>
      <c r="S56" s="280"/>
      <c r="T56" s="1739" t="s">
        <v>1136</v>
      </c>
      <c r="U56" s="1637" t="s">
        <v>254</v>
      </c>
      <c r="V56" s="1634" t="s">
        <v>256</v>
      </c>
      <c r="W56" s="1637" t="s">
        <v>257</v>
      </c>
      <c r="X56" s="1638" t="s">
        <v>1064</v>
      </c>
      <c r="Z56" s="1754" t="s">
        <v>1302</v>
      </c>
      <c r="AA56" s="1747" t="s">
        <v>1303</v>
      </c>
      <c r="AB56" s="1752" t="s">
        <v>238</v>
      </c>
    </row>
    <row r="57" spans="1:28">
      <c r="A57" s="184">
        <v>40</v>
      </c>
      <c r="B57" s="162" t="s">
        <v>68</v>
      </c>
      <c r="C57" s="162"/>
      <c r="D57" s="374">
        <f>D15+D44+D47+D56</f>
        <v>54333296</v>
      </c>
      <c r="E57" s="374">
        <f t="shared" ref="E57:L57" si="11">E15+E44+E47+E56</f>
        <v>68321827</v>
      </c>
      <c r="F57" s="374">
        <f t="shared" si="11"/>
        <v>15555045</v>
      </c>
      <c r="G57" s="374">
        <f t="shared" si="11"/>
        <v>28273193</v>
      </c>
      <c r="H57" s="374">
        <f t="shared" si="11"/>
        <v>0</v>
      </c>
      <c r="I57" s="374">
        <f t="shared" si="11"/>
        <v>48135</v>
      </c>
      <c r="J57" s="374">
        <f t="shared" si="11"/>
        <v>100000</v>
      </c>
      <c r="K57" s="374">
        <f t="shared" si="11"/>
        <v>0</v>
      </c>
      <c r="L57" s="374">
        <f t="shared" si="11"/>
        <v>-46441</v>
      </c>
      <c r="M57" s="374">
        <f t="shared" si="9"/>
        <v>166585055</v>
      </c>
      <c r="N57" s="160"/>
      <c r="O57" s="1623"/>
      <c r="P57" s="1626"/>
      <c r="Q57" s="1626"/>
      <c r="R57" s="1629"/>
      <c r="S57" s="280"/>
      <c r="T57" s="1740"/>
      <c r="U57" s="1626"/>
      <c r="V57" s="1635"/>
      <c r="W57" s="1626"/>
      <c r="X57" s="1639"/>
      <c r="Z57" s="1755"/>
      <c r="AA57" s="1747"/>
      <c r="AB57" s="1752"/>
    </row>
    <row r="58" spans="1:28">
      <c r="A58" s="184">
        <v>41</v>
      </c>
      <c r="B58" s="160"/>
      <c r="C58" s="160"/>
      <c r="D58" s="373"/>
      <c r="E58" s="373"/>
      <c r="F58" s="373"/>
      <c r="G58" s="373"/>
      <c r="H58" s="373"/>
      <c r="I58" s="373"/>
      <c r="J58" s="373"/>
      <c r="K58" s="373"/>
      <c r="L58" s="373"/>
      <c r="M58" s="373"/>
      <c r="N58" s="160"/>
      <c r="O58" s="1623"/>
      <c r="P58" s="1626"/>
      <c r="Q58" s="1626"/>
      <c r="R58" s="1629"/>
      <c r="S58" s="280"/>
      <c r="T58" s="1740"/>
      <c r="U58" s="1626"/>
      <c r="V58" s="1635"/>
      <c r="W58" s="1626"/>
      <c r="X58" s="1639"/>
      <c r="Z58" s="1755"/>
      <c r="AA58" s="1747"/>
      <c r="AB58" s="1752"/>
    </row>
    <row r="59" spans="1:28" ht="14.25" customHeight="1">
      <c r="A59" s="184">
        <v>42</v>
      </c>
      <c r="B59" s="174" t="s">
        <v>72</v>
      </c>
      <c r="C59" s="174"/>
      <c r="D59" s="377"/>
      <c r="E59" s="377"/>
      <c r="F59" s="377"/>
      <c r="G59" s="1746" t="str">
        <f>IF(OR(P105&gt;0,P106&lt;&gt;0,P107&lt;&gt;0),"Do not Enter Cents - Whole Dollars Only","")</f>
        <v/>
      </c>
      <c r="H59" s="1746"/>
      <c r="I59" s="1746"/>
      <c r="J59" s="1746"/>
      <c r="K59" s="1746"/>
      <c r="L59" s="377"/>
      <c r="M59" s="377"/>
      <c r="N59" s="160"/>
      <c r="O59" s="1624"/>
      <c r="P59" s="1627"/>
      <c r="Q59" s="1627"/>
      <c r="R59" s="1630"/>
      <c r="S59" s="280"/>
      <c r="T59" s="1741"/>
      <c r="U59" s="1627"/>
      <c r="V59" s="1636"/>
      <c r="W59" s="1627"/>
      <c r="X59" s="1640"/>
      <c r="Z59" s="1756"/>
      <c r="AA59" s="1748"/>
      <c r="AB59" s="1753"/>
    </row>
    <row r="60" spans="1:28" ht="13.5" thickBot="1">
      <c r="A60" s="184">
        <v>43</v>
      </c>
      <c r="B60" s="160" t="s">
        <v>14</v>
      </c>
      <c r="C60" s="160"/>
      <c r="D60" s="372">
        <f>Input!$KO$13</f>
        <v>28819570</v>
      </c>
      <c r="E60" s="372">
        <f>Input!$KP$13</f>
        <v>29782230</v>
      </c>
      <c r="F60" s="372">
        <f>Input!$KQ$13</f>
        <v>0</v>
      </c>
      <c r="G60" s="372">
        <f>Input!$KR$13</f>
        <v>3020288</v>
      </c>
      <c r="H60" s="372">
        <f>Input!$KS$13</f>
        <v>0</v>
      </c>
      <c r="I60" s="372">
        <f>Input!$KT$13</f>
        <v>0</v>
      </c>
      <c r="J60" s="372">
        <f>Input!$KU$13</f>
        <v>0</v>
      </c>
      <c r="K60" s="372">
        <f>Input!$KV$13</f>
        <v>0</v>
      </c>
      <c r="L60" s="372">
        <f>Input!$KW$13</f>
        <v>0</v>
      </c>
      <c r="M60" s="373">
        <f t="shared" ref="M60:M71" si="12">D60+E60+F60+G60+H60+I60+J60+K60+L60</f>
        <v>61622088</v>
      </c>
      <c r="N60" s="160"/>
      <c r="O60" s="282">
        <f>D60+E60+G60+J60</f>
        <v>61622088</v>
      </c>
      <c r="P60" s="518">
        <f>Input!$SS$13</f>
        <v>461777</v>
      </c>
      <c r="Q60" s="438" t="s">
        <v>259</v>
      </c>
      <c r="R60" s="284">
        <f>SUM(O60:P60)</f>
        <v>62083865</v>
      </c>
      <c r="S60" s="439"/>
      <c r="T60" s="286">
        <f t="shared" ref="T60:T67" si="13">D60+E60+G60</f>
        <v>61622088</v>
      </c>
      <c r="U60" s="287">
        <f t="shared" ref="U60:U67" si="14">P60</f>
        <v>461777</v>
      </c>
      <c r="V60" s="289">
        <f>Input!$TC$13</f>
        <v>0</v>
      </c>
      <c r="W60" s="289">
        <f>Input!$TK$13</f>
        <v>0</v>
      </c>
      <c r="X60" s="290">
        <f t="shared" ref="X60:X66" si="15">T60+U60-V60-W60</f>
        <v>62083865</v>
      </c>
      <c r="Z60" s="292" t="s">
        <v>14</v>
      </c>
      <c r="AA60" s="520">
        <f>Input!$TS$13</f>
        <v>61622088</v>
      </c>
      <c r="AB60" s="293">
        <f t="shared" ref="AB60:AB68" si="16">AA60-M60</f>
        <v>0</v>
      </c>
    </row>
    <row r="61" spans="1:28" ht="14.25" thickTop="1" thickBot="1">
      <c r="A61" s="184">
        <v>44</v>
      </c>
      <c r="B61" s="160" t="s">
        <v>15</v>
      </c>
      <c r="C61" s="160"/>
      <c r="D61" s="372">
        <f>Input!$KX$13</f>
        <v>70757</v>
      </c>
      <c r="E61" s="372">
        <f>Input!$KY$13</f>
        <v>813474</v>
      </c>
      <c r="F61" s="372">
        <f>Input!$KZ$13</f>
        <v>0</v>
      </c>
      <c r="G61" s="372">
        <f>Input!$LA$13</f>
        <v>1205917</v>
      </c>
      <c r="H61" s="372">
        <f>Input!$LB$13</f>
        <v>0</v>
      </c>
      <c r="I61" s="372">
        <f>Input!$LC$13</f>
        <v>0</v>
      </c>
      <c r="J61" s="372">
        <f>Input!$LD$13</f>
        <v>0</v>
      </c>
      <c r="K61" s="372">
        <f>Input!$LE$13</f>
        <v>0</v>
      </c>
      <c r="L61" s="372">
        <f>Input!$LF$13</f>
        <v>0</v>
      </c>
      <c r="M61" s="373">
        <f t="shared" si="12"/>
        <v>2090148</v>
      </c>
      <c r="N61" s="160"/>
      <c r="O61" s="440">
        <f t="shared" ref="O61:O67" si="17">D61+E61+G61+J61</f>
        <v>2090148</v>
      </c>
      <c r="P61" s="518">
        <f>Input!$ST$13</f>
        <v>121325</v>
      </c>
      <c r="Q61" s="441" t="s">
        <v>259</v>
      </c>
      <c r="R61" s="295">
        <f>SUM(O61:P61)</f>
        <v>2211473</v>
      </c>
      <c r="S61" s="442"/>
      <c r="T61" s="296">
        <f t="shared" si="13"/>
        <v>2090148</v>
      </c>
      <c r="U61" s="297">
        <f t="shared" si="14"/>
        <v>121325</v>
      </c>
      <c r="V61" s="299">
        <f>Input!$TD$13</f>
        <v>67315</v>
      </c>
      <c r="W61" s="299">
        <f>Input!$TL$13</f>
        <v>0</v>
      </c>
      <c r="X61" s="300">
        <f t="shared" si="15"/>
        <v>2144158</v>
      </c>
      <c r="Z61" s="292" t="s">
        <v>15</v>
      </c>
      <c r="AA61" s="518">
        <f>Input!$TT$13</f>
        <v>2090148</v>
      </c>
      <c r="AB61" s="301">
        <f t="shared" si="16"/>
        <v>0</v>
      </c>
    </row>
    <row r="62" spans="1:28" ht="13.5" thickTop="1">
      <c r="A62" s="184">
        <v>45</v>
      </c>
      <c r="B62" s="160" t="s">
        <v>16</v>
      </c>
      <c r="C62" s="160"/>
      <c r="D62" s="372">
        <f>Input!$LG$13</f>
        <v>0</v>
      </c>
      <c r="E62" s="372">
        <f>Input!$LH$13</f>
        <v>759291</v>
      </c>
      <c r="F62" s="372">
        <f>Input!$LI$13</f>
        <v>0</v>
      </c>
      <c r="G62" s="372">
        <f>Input!$LJ$13</f>
        <v>736695</v>
      </c>
      <c r="H62" s="372">
        <f>Input!$LK$13</f>
        <v>0</v>
      </c>
      <c r="I62" s="372">
        <f>Input!$LL$13</f>
        <v>0</v>
      </c>
      <c r="J62" s="372">
        <f>Input!$LM$13</f>
        <v>0</v>
      </c>
      <c r="K62" s="372">
        <f>Input!$LN$13</f>
        <v>0</v>
      </c>
      <c r="L62" s="372">
        <f>Input!$LO$13</f>
        <v>0</v>
      </c>
      <c r="M62" s="373">
        <f t="shared" si="12"/>
        <v>1495986</v>
      </c>
      <c r="N62" s="160"/>
      <c r="O62" s="440">
        <f t="shared" si="17"/>
        <v>1495986</v>
      </c>
      <c r="P62" s="518">
        <f>Input!$SU$13</f>
        <v>-3974</v>
      </c>
      <c r="Q62" s="441" t="s">
        <v>259</v>
      </c>
      <c r="R62" s="302" t="s">
        <v>259</v>
      </c>
      <c r="S62" s="442"/>
      <c r="T62" s="296">
        <f t="shared" si="13"/>
        <v>1495986</v>
      </c>
      <c r="U62" s="297">
        <f t="shared" si="14"/>
        <v>-3974</v>
      </c>
      <c r="V62" s="299">
        <f>Input!$TE$13</f>
        <v>0</v>
      </c>
      <c r="W62" s="299">
        <f>Input!$TM$13</f>
        <v>0</v>
      </c>
      <c r="X62" s="303">
        <f t="shared" si="15"/>
        <v>1492012</v>
      </c>
      <c r="Z62" s="292" t="s">
        <v>16</v>
      </c>
      <c r="AA62" s="518">
        <f>Input!$TU$13</f>
        <v>1495986</v>
      </c>
      <c r="AB62" s="301">
        <f t="shared" si="16"/>
        <v>0</v>
      </c>
    </row>
    <row r="63" spans="1:28">
      <c r="A63" s="184">
        <v>46</v>
      </c>
      <c r="B63" s="160" t="s">
        <v>17</v>
      </c>
      <c r="C63" s="160"/>
      <c r="D63" s="372">
        <f>Input!$LP$13</f>
        <v>4035747</v>
      </c>
      <c r="E63" s="372">
        <f>Input!$LQ$13</f>
        <v>11341912</v>
      </c>
      <c r="F63" s="372">
        <f>Input!$LR$13</f>
        <v>0</v>
      </c>
      <c r="G63" s="372">
        <f>Input!$LS$13</f>
        <v>166088</v>
      </c>
      <c r="H63" s="372">
        <f>Input!$LT$13</f>
        <v>0</v>
      </c>
      <c r="I63" s="372">
        <f>Input!$LU$13</f>
        <v>0</v>
      </c>
      <c r="J63" s="372">
        <f>Input!$LV$13</f>
        <v>0</v>
      </c>
      <c r="K63" s="372">
        <f>Input!$LW$13</f>
        <v>0</v>
      </c>
      <c r="L63" s="372">
        <f>Input!$LX$13</f>
        <v>0</v>
      </c>
      <c r="M63" s="373">
        <f t="shared" si="12"/>
        <v>15543747</v>
      </c>
      <c r="N63" s="160"/>
      <c r="O63" s="440">
        <f t="shared" si="17"/>
        <v>15543747</v>
      </c>
      <c r="P63" s="518">
        <f>Input!$SV$13</f>
        <v>10095</v>
      </c>
      <c r="Q63" s="441" t="s">
        <v>259</v>
      </c>
      <c r="R63" s="295">
        <f t="shared" ref="R63:R65" si="18">SUM(O63:P63)</f>
        <v>15553842</v>
      </c>
      <c r="S63" s="442"/>
      <c r="T63" s="296">
        <f t="shared" si="13"/>
        <v>15543747</v>
      </c>
      <c r="U63" s="297">
        <f t="shared" si="14"/>
        <v>10095</v>
      </c>
      <c r="V63" s="299">
        <f>Input!$TF$13</f>
        <v>0</v>
      </c>
      <c r="W63" s="299">
        <f>Input!$TN$13</f>
        <v>0</v>
      </c>
      <c r="X63" s="303">
        <f t="shared" si="15"/>
        <v>15553842</v>
      </c>
      <c r="Z63" s="292" t="s">
        <v>17</v>
      </c>
      <c r="AA63" s="518">
        <f>Input!$TV$13</f>
        <v>15543747</v>
      </c>
      <c r="AB63" s="301">
        <f t="shared" si="16"/>
        <v>0</v>
      </c>
    </row>
    <row r="64" spans="1:28">
      <c r="A64" s="184">
        <v>47</v>
      </c>
      <c r="B64" s="160" t="s">
        <v>18</v>
      </c>
      <c r="C64" s="160"/>
      <c r="D64" s="372">
        <f>Input!$LY$13</f>
        <v>2005593</v>
      </c>
      <c r="E64" s="372">
        <f>Input!$LZ$13</f>
        <v>11191682</v>
      </c>
      <c r="F64" s="372">
        <f>Input!$MA$13</f>
        <v>0</v>
      </c>
      <c r="G64" s="372">
        <f>Input!$MB$13</f>
        <v>70009</v>
      </c>
      <c r="H64" s="372">
        <f>Input!$MC$13</f>
        <v>-352978</v>
      </c>
      <c r="I64" s="372">
        <f>Input!$MD$13</f>
        <v>0</v>
      </c>
      <c r="J64" s="372">
        <f>Input!$ME$13</f>
        <v>0</v>
      </c>
      <c r="K64" s="372">
        <f>Input!$MF$13</f>
        <v>0</v>
      </c>
      <c r="L64" s="372">
        <f>Input!$MG$13</f>
        <v>0</v>
      </c>
      <c r="M64" s="373">
        <f t="shared" si="12"/>
        <v>12914306</v>
      </c>
      <c r="N64" s="160"/>
      <c r="O64" s="440">
        <f t="shared" si="17"/>
        <v>13267284</v>
      </c>
      <c r="P64" s="518">
        <f>Input!$SW$13</f>
        <v>26645</v>
      </c>
      <c r="Q64" s="518">
        <f>Input!$TB$13</f>
        <v>0</v>
      </c>
      <c r="R64" s="295">
        <f>SUM(O64:P64)-Q64</f>
        <v>13293929</v>
      </c>
      <c r="S64" s="442"/>
      <c r="T64" s="296">
        <f t="shared" si="13"/>
        <v>13267284</v>
      </c>
      <c r="U64" s="297">
        <f t="shared" si="14"/>
        <v>26645</v>
      </c>
      <c r="V64" s="299">
        <f>Input!$TG$13</f>
        <v>0</v>
      </c>
      <c r="W64" s="299">
        <f>Input!$TO$13</f>
        <v>0</v>
      </c>
      <c r="X64" s="303">
        <f t="shared" si="15"/>
        <v>13293929</v>
      </c>
      <c r="Z64" s="292" t="s">
        <v>18</v>
      </c>
      <c r="AA64" s="518">
        <f>Input!$TW$13</f>
        <v>12914306</v>
      </c>
      <c r="AB64" s="301">
        <f t="shared" si="16"/>
        <v>0</v>
      </c>
    </row>
    <row r="65" spans="1:28">
      <c r="A65" s="184">
        <v>48</v>
      </c>
      <c r="B65" s="160" t="s">
        <v>19</v>
      </c>
      <c r="C65" s="160"/>
      <c r="D65" s="372">
        <f>Input!$MH$13</f>
        <v>3076520</v>
      </c>
      <c r="E65" s="372">
        <f>Input!$MI$13</f>
        <v>10514239</v>
      </c>
      <c r="F65" s="372">
        <f>Input!$MJ$13</f>
        <v>0</v>
      </c>
      <c r="G65" s="372">
        <f>Input!$MK$13</f>
        <v>496828</v>
      </c>
      <c r="H65" s="372">
        <f>Input!$ML$13</f>
        <v>0</v>
      </c>
      <c r="I65" s="372">
        <f>Input!$MM$13</f>
        <v>0</v>
      </c>
      <c r="J65" s="372">
        <f>Input!$MN$13</f>
        <v>0</v>
      </c>
      <c r="K65" s="372">
        <f>Input!$MO$13</f>
        <v>0</v>
      </c>
      <c r="L65" s="372">
        <f>Input!$MP$13</f>
        <v>0</v>
      </c>
      <c r="M65" s="373">
        <f t="shared" si="12"/>
        <v>14087587</v>
      </c>
      <c r="N65" s="160"/>
      <c r="O65" s="440">
        <f t="shared" si="17"/>
        <v>14087587</v>
      </c>
      <c r="P65" s="518">
        <f>Input!$SX$13</f>
        <v>11216</v>
      </c>
      <c r="Q65" s="441" t="s">
        <v>259</v>
      </c>
      <c r="R65" s="295">
        <f t="shared" si="18"/>
        <v>14098803</v>
      </c>
      <c r="S65" s="442"/>
      <c r="T65" s="296">
        <f t="shared" si="13"/>
        <v>14087587</v>
      </c>
      <c r="U65" s="297">
        <f t="shared" si="14"/>
        <v>11216</v>
      </c>
      <c r="V65" s="299">
        <f>Input!$TH$13</f>
        <v>0</v>
      </c>
      <c r="W65" s="299">
        <f>Input!$TP$13</f>
        <v>0</v>
      </c>
      <c r="X65" s="303">
        <f t="shared" si="15"/>
        <v>14098803</v>
      </c>
      <c r="Z65" s="292" t="s">
        <v>19</v>
      </c>
      <c r="AA65" s="518">
        <f>Input!$TX$13</f>
        <v>14087587</v>
      </c>
      <c r="AB65" s="301">
        <f t="shared" si="16"/>
        <v>0</v>
      </c>
    </row>
    <row r="66" spans="1:28">
      <c r="A66" s="184">
        <v>49</v>
      </c>
      <c r="B66" s="160" t="s">
        <v>20</v>
      </c>
      <c r="C66" s="160"/>
      <c r="D66" s="372">
        <f>Input!$MQ$13</f>
        <v>2482859</v>
      </c>
      <c r="E66" s="372">
        <f>Input!$MR$13</f>
        <v>7655307</v>
      </c>
      <c r="F66" s="372">
        <f>Input!$MS$13</f>
        <v>0</v>
      </c>
      <c r="G66" s="372">
        <f>Input!$MT$13</f>
        <v>4742</v>
      </c>
      <c r="H66" s="372">
        <f>Input!$MU$13</f>
        <v>0</v>
      </c>
      <c r="I66" s="372">
        <f>Input!$MV$13</f>
        <v>0</v>
      </c>
      <c r="J66" s="372">
        <f>Input!$MW$13</f>
        <v>2832172</v>
      </c>
      <c r="K66" s="372">
        <f>Input!$MX$13</f>
        <v>0</v>
      </c>
      <c r="L66" s="372">
        <f>Input!$MY$13</f>
        <v>0</v>
      </c>
      <c r="M66" s="373">
        <f t="shared" si="12"/>
        <v>12975080</v>
      </c>
      <c r="N66" s="160"/>
      <c r="O66" s="440">
        <f t="shared" si="17"/>
        <v>12975080</v>
      </c>
      <c r="P66" s="518">
        <f>Input!$SY$13</f>
        <v>130282</v>
      </c>
      <c r="Q66" s="441" t="s">
        <v>259</v>
      </c>
      <c r="R66" s="304" t="s">
        <v>259</v>
      </c>
      <c r="S66" s="442"/>
      <c r="T66" s="296">
        <f t="shared" si="13"/>
        <v>10142908</v>
      </c>
      <c r="U66" s="297">
        <f t="shared" si="14"/>
        <v>130282</v>
      </c>
      <c r="V66" s="299">
        <f>Input!$TI$13</f>
        <v>0</v>
      </c>
      <c r="W66" s="299">
        <f>Input!$TQ$13</f>
        <v>0</v>
      </c>
      <c r="X66" s="303">
        <f t="shared" si="15"/>
        <v>10273190</v>
      </c>
      <c r="Z66" s="292" t="s">
        <v>260</v>
      </c>
      <c r="AA66" s="518">
        <f>Input!$TY$13</f>
        <v>12975080</v>
      </c>
      <c r="AB66" s="301">
        <f t="shared" si="16"/>
        <v>0</v>
      </c>
    </row>
    <row r="67" spans="1:28" ht="13.5" thickBot="1">
      <c r="A67" s="184">
        <v>50</v>
      </c>
      <c r="B67" s="160" t="s">
        <v>21</v>
      </c>
      <c r="C67" s="160"/>
      <c r="D67" s="372">
        <f>Input!$MZ$13</f>
        <v>1355528</v>
      </c>
      <c r="E67" s="372">
        <f>Input!$NA$13</f>
        <v>4814294</v>
      </c>
      <c r="F67" s="372">
        <f>Input!$NB$13</f>
        <v>0</v>
      </c>
      <c r="G67" s="372">
        <f>Input!$NC$13</f>
        <v>7723395</v>
      </c>
      <c r="H67" s="372">
        <f>Input!$ND$13</f>
        <v>0</v>
      </c>
      <c r="I67" s="372">
        <f>Input!$NE$13</f>
        <v>0</v>
      </c>
      <c r="J67" s="372">
        <f>Input!$NF$13</f>
        <v>0</v>
      </c>
      <c r="K67" s="372">
        <f>Input!$NG$13</f>
        <v>0</v>
      </c>
      <c r="L67" s="372">
        <f>Input!$NH$13</f>
        <v>0</v>
      </c>
      <c r="M67" s="373">
        <f t="shared" si="12"/>
        <v>13893217</v>
      </c>
      <c r="N67" s="160"/>
      <c r="O67" s="440">
        <f t="shared" si="17"/>
        <v>13893217</v>
      </c>
      <c r="P67" s="518">
        <f>Input!$SZ$13</f>
        <v>11530</v>
      </c>
      <c r="Q67" s="441" t="s">
        <v>259</v>
      </c>
      <c r="R67" s="304" t="s">
        <v>259</v>
      </c>
      <c r="S67" s="442"/>
      <c r="T67" s="306">
        <f t="shared" si="13"/>
        <v>13893217</v>
      </c>
      <c r="U67" s="307">
        <f t="shared" si="14"/>
        <v>11530</v>
      </c>
      <c r="V67" s="308">
        <f>Input!$TJ$13</f>
        <v>0</v>
      </c>
      <c r="W67" s="308">
        <f>Input!$TR$13</f>
        <v>0</v>
      </c>
      <c r="X67" s="303">
        <f>U67+T67-V67-W67</f>
        <v>13904747</v>
      </c>
      <c r="Z67" s="292" t="s">
        <v>21</v>
      </c>
      <c r="AA67" s="518">
        <f>Input!$TZ$13</f>
        <v>13893217</v>
      </c>
      <c r="AB67" s="301">
        <f t="shared" si="16"/>
        <v>0</v>
      </c>
    </row>
    <row r="68" spans="1:28" ht="14.25" thickTop="1" thickBot="1">
      <c r="A68" s="184">
        <v>51</v>
      </c>
      <c r="B68" s="160" t="s">
        <v>2135</v>
      </c>
      <c r="C68" s="160"/>
      <c r="D68" s="372">
        <f>Input!$NI$13</f>
        <v>0</v>
      </c>
      <c r="E68" s="372">
        <f>Input!$NJ$13</f>
        <v>20177</v>
      </c>
      <c r="F68" s="372">
        <f>Input!$NK$13</f>
        <v>12220709</v>
      </c>
      <c r="G68" s="372">
        <f>Input!$NL$13</f>
        <v>51752</v>
      </c>
      <c r="H68" s="372">
        <f>Input!$NM$13</f>
        <v>0</v>
      </c>
      <c r="I68" s="372">
        <f>Input!$NN$13</f>
        <v>0</v>
      </c>
      <c r="J68" s="372">
        <f>Input!$NO$13</f>
        <v>0</v>
      </c>
      <c r="K68" s="372">
        <f>Input!$NP$13</f>
        <v>0</v>
      </c>
      <c r="L68" s="372">
        <f>Input!$NQ$13</f>
        <v>0</v>
      </c>
      <c r="M68" s="373">
        <f t="shared" si="12"/>
        <v>12292638</v>
      </c>
      <c r="N68" s="160"/>
      <c r="O68" s="309" t="s">
        <v>259</v>
      </c>
      <c r="P68" s="519">
        <f>Input!$TA$13</f>
        <v>0</v>
      </c>
      <c r="Q68" s="444" t="s">
        <v>259</v>
      </c>
      <c r="R68" s="311" t="s">
        <v>259</v>
      </c>
      <c r="S68" s="442"/>
      <c r="T68" s="305"/>
      <c r="U68" s="305"/>
      <c r="V68" s="312" t="s">
        <v>261</v>
      </c>
      <c r="W68" s="313"/>
      <c r="X68" s="314">
        <f>SUM(X60:X67)</f>
        <v>132844546</v>
      </c>
      <c r="Z68" s="292" t="s">
        <v>22</v>
      </c>
      <c r="AA68" s="518">
        <f>Input!$UA$13</f>
        <v>12292638</v>
      </c>
      <c r="AB68" s="301">
        <f t="shared" si="16"/>
        <v>0</v>
      </c>
    </row>
    <row r="69" spans="1:28" ht="14.25" thickTop="1" thickBot="1">
      <c r="A69" s="184">
        <v>52</v>
      </c>
      <c r="B69" s="161" t="s">
        <v>59</v>
      </c>
      <c r="C69" s="161"/>
      <c r="D69" s="372">
        <f>Input!$NR$13</f>
        <v>23100</v>
      </c>
      <c r="E69" s="372">
        <f>Input!$NS$13</f>
        <v>597968</v>
      </c>
      <c r="F69" s="372">
        <f>Input!$NT$13</f>
        <v>11530</v>
      </c>
      <c r="G69" s="372">
        <f>Input!$NU$13</f>
        <v>136298</v>
      </c>
      <c r="H69" s="372">
        <f>Input!$NV$13</f>
        <v>0</v>
      </c>
      <c r="I69" s="372">
        <f>Input!$NW$13</f>
        <v>0</v>
      </c>
      <c r="J69" s="372">
        <f>Input!$NX$13</f>
        <v>0</v>
      </c>
      <c r="K69" s="372">
        <f>Input!$NY$13</f>
        <v>0</v>
      </c>
      <c r="L69" s="372">
        <f>Input!$NZ$13</f>
        <v>0</v>
      </c>
      <c r="M69" s="373">
        <f t="shared" si="12"/>
        <v>768896</v>
      </c>
      <c r="N69" s="160"/>
      <c r="O69" s="315"/>
      <c r="P69" s="316">
        <f>SUM(P60:P68)</f>
        <v>768896</v>
      </c>
      <c r="Q69" s="316">
        <f>SUM(Q64:Q68)</f>
        <v>0</v>
      </c>
      <c r="R69" s="317">
        <f>SUM(R60:R65)</f>
        <v>107241912</v>
      </c>
      <c r="S69" s="316"/>
      <c r="T69" s="305"/>
      <c r="U69" s="305"/>
      <c r="V69" s="305"/>
      <c r="W69" s="277"/>
      <c r="X69" s="277"/>
      <c r="Y69" s="277"/>
      <c r="Z69" s="292" t="s">
        <v>285</v>
      </c>
      <c r="AA69" s="445">
        <f>M88*-1</f>
        <v>16588997</v>
      </c>
      <c r="AB69" s="301">
        <f>AA69+M88</f>
        <v>0</v>
      </c>
    </row>
    <row r="70" spans="1:28" ht="14.25" thickTop="1" thickBot="1">
      <c r="A70" s="184">
        <v>53</v>
      </c>
      <c r="B70" s="178" t="s">
        <v>44</v>
      </c>
      <c r="C70" s="178"/>
      <c r="D70" s="378">
        <f>Input!$OA$13</f>
        <v>0</v>
      </c>
      <c r="E70" s="378">
        <f>Input!$OB$13</f>
        <v>0</v>
      </c>
      <c r="F70" s="378">
        <f>Input!$OC$13</f>
        <v>0</v>
      </c>
      <c r="G70" s="378">
        <f>Input!$OD$13</f>
        <v>0</v>
      </c>
      <c r="H70" s="378">
        <f>Input!$OE$13</f>
        <v>0</v>
      </c>
      <c r="I70" s="378">
        <f>Input!$OF$13</f>
        <v>0</v>
      </c>
      <c r="J70" s="378">
        <f>Input!$OG$13</f>
        <v>0</v>
      </c>
      <c r="K70" s="378">
        <f>Input!$OH$13</f>
        <v>0</v>
      </c>
      <c r="L70" s="378">
        <f>Input!$OI$13</f>
        <v>0</v>
      </c>
      <c r="M70" s="373">
        <f t="shared" si="12"/>
        <v>0</v>
      </c>
      <c r="N70" s="160"/>
      <c r="O70" s="320"/>
      <c r="P70" s="516" t="str">
        <f>IF(P69&lt;&gt;M69,"Out of Balance","Balanced")</f>
        <v>Balanced</v>
      </c>
      <c r="Q70" s="318"/>
      <c r="R70" s="305"/>
      <c r="S70" s="305"/>
      <c r="T70" s="305"/>
      <c r="U70" s="277"/>
      <c r="V70" s="1738" t="str">
        <f>IF(X68-INT(X68)&lt;&gt;0,"Whole Dollars Only","")</f>
        <v/>
      </c>
      <c r="W70" s="1738"/>
      <c r="X70" s="537"/>
      <c r="Y70" s="319"/>
      <c r="Z70" s="410" t="s">
        <v>262</v>
      </c>
      <c r="AA70" s="446" t="s">
        <v>259</v>
      </c>
      <c r="AB70" s="411">
        <f>M90</f>
        <v>0</v>
      </c>
    </row>
    <row r="71" spans="1:28" ht="13.5" thickTop="1">
      <c r="A71" s="184">
        <v>54</v>
      </c>
      <c r="B71" s="162" t="s">
        <v>69</v>
      </c>
      <c r="C71" s="162"/>
      <c r="D71" s="374">
        <f>SUM(D60:D70)</f>
        <v>41869674</v>
      </c>
      <c r="E71" s="374">
        <f>SUM(E60:E70)</f>
        <v>77490574</v>
      </c>
      <c r="F71" s="374">
        <f t="shared" ref="F71:L71" si="19">SUM(F60:F70)</f>
        <v>12232239</v>
      </c>
      <c r="G71" s="374">
        <f t="shared" si="19"/>
        <v>13612012</v>
      </c>
      <c r="H71" s="374">
        <f t="shared" si="19"/>
        <v>-352978</v>
      </c>
      <c r="I71" s="374">
        <f t="shared" si="19"/>
        <v>0</v>
      </c>
      <c r="J71" s="374">
        <f t="shared" si="19"/>
        <v>2832172</v>
      </c>
      <c r="K71" s="374">
        <f t="shared" si="19"/>
        <v>0</v>
      </c>
      <c r="L71" s="374">
        <f t="shared" si="19"/>
        <v>0</v>
      </c>
      <c r="M71" s="374">
        <f t="shared" si="12"/>
        <v>147683693</v>
      </c>
      <c r="N71" s="160"/>
      <c r="O71" s="322"/>
      <c r="P71" s="1738" t="str">
        <f>IF(P69-INT(P69)&lt;&gt;0,"Whole Dollars Only","")</f>
        <v/>
      </c>
      <c r="Q71" s="1738"/>
      <c r="R71" s="323"/>
      <c r="S71" s="323"/>
      <c r="T71" s="323"/>
      <c r="U71" s="291"/>
      <c r="V71" s="324"/>
      <c r="W71" s="321"/>
      <c r="X71" s="321"/>
      <c r="Y71" s="321"/>
      <c r="Z71" s="318"/>
      <c r="AA71" s="325">
        <f>SUM(AA60:AA70)</f>
        <v>163503794</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Input!$OJ$13</f>
        <v>0</v>
      </c>
      <c r="E74" s="372">
        <f>Input!$OK$13</f>
        <v>0</v>
      </c>
      <c r="F74" s="372">
        <f>Input!$OL$13</f>
        <v>0</v>
      </c>
      <c r="G74" s="372">
        <f>Input!$OM$13</f>
        <v>0</v>
      </c>
      <c r="H74" s="372">
        <f>Input!$ON$13</f>
        <v>0</v>
      </c>
      <c r="I74" s="372">
        <f>Input!$OO$13</f>
        <v>0</v>
      </c>
      <c r="J74" s="372">
        <f>Input!$OP$13</f>
        <v>-5978934</v>
      </c>
      <c r="K74" s="372">
        <f>Input!$OQ$13</f>
        <v>0</v>
      </c>
      <c r="L74" s="372">
        <f>Input!$OR$13</f>
        <v>0</v>
      </c>
      <c r="M74" s="373">
        <f>D74+E74+F74+G74+H74+I74+J74+K74+L74</f>
        <v>-5978934</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Input!$OS$13</f>
        <v>144700</v>
      </c>
      <c r="E75" s="372">
        <f>Input!$OT$13</f>
        <v>9199917</v>
      </c>
      <c r="F75" s="372">
        <f>Input!$OU$13</f>
        <v>1573058</v>
      </c>
      <c r="G75" s="372">
        <f>Input!$OV$13</f>
        <v>-14944967</v>
      </c>
      <c r="H75" s="372">
        <f>Input!$OW$13</f>
        <v>162736</v>
      </c>
      <c r="I75" s="372">
        <f>Input!$OX$13</f>
        <v>33706</v>
      </c>
      <c r="J75" s="372">
        <f>Input!$OY$13</f>
        <v>4063832</v>
      </c>
      <c r="K75" s="372">
        <f>Input!$OZ$13</f>
        <v>0</v>
      </c>
      <c r="L75" s="372">
        <f>Input!$PA$13</f>
        <v>0</v>
      </c>
      <c r="M75" s="373">
        <f>D75+E75+F75+G75+H75+I75+J75+K75+L75</f>
        <v>232982</v>
      </c>
      <c r="N75" s="160"/>
      <c r="O75" s="1723" t="str">
        <f>IF(M85&lt;0,"Footnote 11 is N/A - No Data Entry Required","Footnote 11")</f>
        <v>Footnote 11</v>
      </c>
      <c r="P75" s="1724"/>
      <c r="Q75" s="1724"/>
      <c r="R75" s="1725"/>
      <c r="S75" s="330"/>
      <c r="T75" s="330"/>
      <c r="U75" s="327"/>
      <c r="V75" s="276"/>
      <c r="W75" s="331"/>
      <c r="X75" s="331"/>
      <c r="Y75" s="328"/>
      <c r="Z75" s="328"/>
      <c r="AA75" s="276"/>
      <c r="AB75" s="276" t="s">
        <v>293</v>
      </c>
    </row>
    <row r="76" spans="1:28" ht="13.5" thickTop="1">
      <c r="A76" s="184">
        <v>59</v>
      </c>
      <c r="B76" s="160" t="s">
        <v>45</v>
      </c>
      <c r="C76" s="160"/>
      <c r="D76" s="372">
        <f>Input!$PB$13</f>
        <v>0</v>
      </c>
      <c r="E76" s="372">
        <f>Input!$PC$13</f>
        <v>0</v>
      </c>
      <c r="F76" s="372">
        <f>Input!$PD$13</f>
        <v>0</v>
      </c>
      <c r="G76" s="372">
        <f>Input!$PE$13</f>
        <v>0</v>
      </c>
      <c r="H76" s="372">
        <f>Input!$PF$13</f>
        <v>0</v>
      </c>
      <c r="I76" s="372">
        <f>Input!$PG$13</f>
        <v>0</v>
      </c>
      <c r="J76" s="372">
        <f>Input!$PH$13</f>
        <v>3309931</v>
      </c>
      <c r="K76" s="372">
        <f>Input!$PI$13</f>
        <v>0</v>
      </c>
      <c r="L76" s="372">
        <f>Input!$PJ$13</f>
        <v>0</v>
      </c>
      <c r="M76" s="373">
        <f>D76+E76+F76+G76+H76+I76+J76+K76+L76</f>
        <v>3309931</v>
      </c>
      <c r="N76" s="160"/>
      <c r="O76" s="487" t="s">
        <v>583</v>
      </c>
      <c r="P76" s="488"/>
      <c r="Q76" s="489"/>
      <c r="R76" s="490">
        <f>IF($M$85&lt;0,"N/A",$M$85)</f>
        <v>33614463</v>
      </c>
      <c r="S76" s="330"/>
      <c r="T76" s="330"/>
      <c r="U76" s="327"/>
      <c r="V76" s="276"/>
      <c r="W76" s="331"/>
      <c r="X76" s="331"/>
      <c r="Y76" s="331"/>
      <c r="Z76" s="331"/>
      <c r="AA76" s="276"/>
      <c r="AB76" s="276"/>
    </row>
    <row r="77" spans="1:28">
      <c r="A77" s="184">
        <v>60</v>
      </c>
      <c r="B77" s="160" t="s">
        <v>46</v>
      </c>
      <c r="C77" s="160"/>
      <c r="D77" s="372">
        <f>Input!$PK$13</f>
        <v>-9869900</v>
      </c>
      <c r="E77" s="372">
        <f>Input!$PL$13</f>
        <v>-737599</v>
      </c>
      <c r="F77" s="372">
        <f>Input!$PM$13</f>
        <v>-2360915</v>
      </c>
      <c r="G77" s="372">
        <f>Input!$PN$13</f>
        <v>0</v>
      </c>
      <c r="H77" s="372">
        <f>Input!$PO$13</f>
        <v>0</v>
      </c>
      <c r="I77" s="372">
        <f>Input!$PP$13</f>
        <v>0</v>
      </c>
      <c r="J77" s="372">
        <f>Input!$PQ$13</f>
        <v>0</v>
      </c>
      <c r="K77" s="372">
        <f>Input!$PR$13</f>
        <v>0</v>
      </c>
      <c r="L77" s="372">
        <f>Input!$PS$13</f>
        <v>0</v>
      </c>
      <c r="M77" s="373">
        <f>D77+E77+F77+G77+H77+I77+J77+K77+L77</f>
        <v>-12968414</v>
      </c>
      <c r="N77" s="160"/>
      <c r="O77" s="491" t="s">
        <v>584</v>
      </c>
      <c r="P77" s="334"/>
      <c r="Q77" s="334"/>
      <c r="R77" s="521">
        <f>Input!$UB$13</f>
        <v>2852436</v>
      </c>
      <c r="S77" s="330"/>
      <c r="T77" s="330"/>
      <c r="U77" s="327"/>
      <c r="V77" s="276"/>
      <c r="W77" s="331"/>
      <c r="X77" s="331"/>
      <c r="Y77" s="331"/>
      <c r="Z77" s="331"/>
      <c r="AA77" s="276"/>
      <c r="AB77" s="276"/>
    </row>
    <row r="78" spans="1:28">
      <c r="A78" s="184">
        <v>61</v>
      </c>
      <c r="B78" s="162" t="s">
        <v>3</v>
      </c>
      <c r="C78" s="162"/>
      <c r="D78" s="374">
        <f t="shared" ref="D78:L78" si="20">SUM(D74:D77)</f>
        <v>-9725200</v>
      </c>
      <c r="E78" s="374">
        <f t="shared" si="20"/>
        <v>8462318</v>
      </c>
      <c r="F78" s="374">
        <f t="shared" si="20"/>
        <v>-787857</v>
      </c>
      <c r="G78" s="374">
        <f t="shared" si="20"/>
        <v>-14944967</v>
      </c>
      <c r="H78" s="374">
        <f t="shared" si="20"/>
        <v>162736</v>
      </c>
      <c r="I78" s="374">
        <f t="shared" si="20"/>
        <v>33706</v>
      </c>
      <c r="J78" s="374">
        <f t="shared" si="20"/>
        <v>1394829</v>
      </c>
      <c r="K78" s="374">
        <f t="shared" si="20"/>
        <v>0</v>
      </c>
      <c r="L78" s="374">
        <f t="shared" si="20"/>
        <v>0</v>
      </c>
      <c r="M78" s="374">
        <f>D78+E78+F78+G78+H78+I78+J78+K78+L78</f>
        <v>-15404435</v>
      </c>
      <c r="N78" s="160"/>
      <c r="O78" s="491" t="s">
        <v>585</v>
      </c>
      <c r="P78" s="276"/>
      <c r="Q78" s="334"/>
      <c r="R78" s="492">
        <f>IF($M$85&lt;0,"",$R$76-$R$77)</f>
        <v>30762027</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3"/>
      <c r="P79" s="276"/>
      <c r="Q79" s="334"/>
      <c r="R79" s="494"/>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5" t="s">
        <v>586</v>
      </c>
      <c r="P80" s="276"/>
      <c r="Q80" s="334"/>
      <c r="R80" s="521">
        <f>Input!$UC$13</f>
        <v>26043723</v>
      </c>
      <c r="S80" s="330"/>
      <c r="T80" s="330"/>
      <c r="U80" s="334"/>
      <c r="V80" s="276"/>
      <c r="W80" s="328"/>
      <c r="X80" s="328"/>
      <c r="Y80" s="331"/>
      <c r="Z80" s="331"/>
      <c r="AA80" s="276"/>
      <c r="AB80" s="276"/>
    </row>
    <row r="81" spans="1:28">
      <c r="A81" s="184">
        <v>64</v>
      </c>
      <c r="B81" s="160" t="s">
        <v>47</v>
      </c>
      <c r="C81" s="160"/>
      <c r="D81" s="372">
        <f>Input!$PT$13</f>
        <v>0</v>
      </c>
      <c r="E81" s="372">
        <f>Input!$PU$13</f>
        <v>79861</v>
      </c>
      <c r="F81" s="372">
        <f>Input!$PV$13</f>
        <v>0</v>
      </c>
      <c r="G81" s="372">
        <f>Input!$PW$13</f>
        <v>0</v>
      </c>
      <c r="H81" s="372">
        <f>Input!$PX$13</f>
        <v>0</v>
      </c>
      <c r="I81" s="372">
        <f>Input!$PY$13</f>
        <v>25963862</v>
      </c>
      <c r="J81" s="372">
        <f>Input!$PZ$13</f>
        <v>0</v>
      </c>
      <c r="K81" s="372">
        <f>Input!$QA$13</f>
        <v>0</v>
      </c>
      <c r="L81" s="372">
        <f>Input!$QB$13</f>
        <v>0</v>
      </c>
      <c r="M81" s="373">
        <f>D81+E81+F81+G81+H81+I81+J81+K81+L81</f>
        <v>26043723</v>
      </c>
      <c r="N81" s="160"/>
      <c r="O81" s="496" t="s">
        <v>587</v>
      </c>
      <c r="P81" s="276"/>
      <c r="Q81" s="276"/>
      <c r="R81" s="497"/>
      <c r="S81" s="330"/>
      <c r="T81" s="330"/>
      <c r="W81" s="276"/>
      <c r="X81" s="276"/>
      <c r="Y81" s="331"/>
      <c r="Z81" s="331"/>
      <c r="AA81" s="276"/>
      <c r="AB81" s="276"/>
    </row>
    <row r="82" spans="1:28">
      <c r="A82" s="184">
        <v>65</v>
      </c>
      <c r="B82" s="160" t="s">
        <v>48</v>
      </c>
      <c r="C82" s="160"/>
      <c r="D82" s="372">
        <f>Input!$QC$13</f>
        <v>0</v>
      </c>
      <c r="E82" s="372">
        <f>Input!$QD$13</f>
        <v>0</v>
      </c>
      <c r="F82" s="372">
        <f>Input!$QE$13</f>
        <v>0</v>
      </c>
      <c r="G82" s="372">
        <f>Input!$QF$13</f>
        <v>-644491</v>
      </c>
      <c r="H82" s="372">
        <f>Input!$QG$13</f>
        <v>0</v>
      </c>
      <c r="I82" s="372">
        <f>Input!$QH$13</f>
        <v>4718304</v>
      </c>
      <c r="J82" s="372">
        <f>Input!$QI$13</f>
        <v>0</v>
      </c>
      <c r="K82" s="372">
        <f>Input!$QJ$13</f>
        <v>0</v>
      </c>
      <c r="L82" s="372">
        <f>Input!$QK$13</f>
        <v>0</v>
      </c>
      <c r="M82" s="373">
        <f>D82+E82+F82+G82+H82+I82+J82+K82+L82</f>
        <v>4073813</v>
      </c>
      <c r="N82" s="160"/>
      <c r="O82" s="498" t="s">
        <v>588</v>
      </c>
      <c r="P82" s="276"/>
      <c r="Q82" s="276"/>
      <c r="R82" s="492">
        <f>IFERROR($R$78-$R$80,"")</f>
        <v>4718304</v>
      </c>
      <c r="Y82" s="331"/>
      <c r="Z82" s="401"/>
      <c r="AA82" s="268"/>
      <c r="AB82" s="268"/>
    </row>
    <row r="83" spans="1:28">
      <c r="A83" s="184">
        <v>66</v>
      </c>
      <c r="B83" s="162" t="s">
        <v>3</v>
      </c>
      <c r="C83" s="162"/>
      <c r="D83" s="374">
        <f t="shared" ref="D83:L83" si="21">SUM(D81:D82)</f>
        <v>0</v>
      </c>
      <c r="E83" s="374">
        <f t="shared" si="21"/>
        <v>79861</v>
      </c>
      <c r="F83" s="374">
        <f t="shared" si="21"/>
        <v>0</v>
      </c>
      <c r="G83" s="374">
        <f t="shared" si="21"/>
        <v>-644491</v>
      </c>
      <c r="H83" s="374">
        <f t="shared" si="21"/>
        <v>0</v>
      </c>
      <c r="I83" s="374">
        <f t="shared" si="21"/>
        <v>30682166</v>
      </c>
      <c r="J83" s="374">
        <f t="shared" si="21"/>
        <v>0</v>
      </c>
      <c r="K83" s="374">
        <f t="shared" si="21"/>
        <v>0</v>
      </c>
      <c r="L83" s="374">
        <f t="shared" si="21"/>
        <v>0</v>
      </c>
      <c r="M83" s="374">
        <f>D83+E83+F83+G83+H83+I83+J83+K83+L83</f>
        <v>30117536</v>
      </c>
      <c r="N83" s="160"/>
      <c r="O83" s="493"/>
      <c r="P83" s="276"/>
      <c r="Q83" s="276"/>
      <c r="R83" s="497"/>
      <c r="Y83" s="163"/>
      <c r="Z83" s="447"/>
      <c r="AA83" s="439"/>
      <c r="AB83" s="448"/>
    </row>
    <row r="84" spans="1:28" ht="13.5" thickBot="1">
      <c r="A84" s="184">
        <v>67</v>
      </c>
      <c r="B84" s="160"/>
      <c r="C84" s="160"/>
      <c r="D84" s="373"/>
      <c r="E84" s="373"/>
      <c r="F84" s="373"/>
      <c r="G84" s="373"/>
      <c r="H84" s="373"/>
      <c r="I84" s="373"/>
      <c r="J84" s="373"/>
      <c r="K84" s="373"/>
      <c r="L84" s="373"/>
      <c r="M84" s="373"/>
      <c r="N84" s="160"/>
      <c r="O84" s="499" t="s">
        <v>589</v>
      </c>
      <c r="P84" s="500"/>
      <c r="Q84" s="500"/>
      <c r="R84" s="501">
        <f>IFERROR((R82+R80)-R78,"")</f>
        <v>0</v>
      </c>
      <c r="Y84" s="268"/>
      <c r="Z84" s="447"/>
      <c r="AA84" s="439"/>
      <c r="AB84" s="449"/>
    </row>
    <row r="85" spans="1:28" ht="13.5" thickTop="1">
      <c r="A85" s="184">
        <v>68</v>
      </c>
      <c r="B85" s="162" t="s">
        <v>574</v>
      </c>
      <c r="C85" s="162"/>
      <c r="D85" s="374">
        <f t="shared" ref="D85:L85" si="22">D57-D71+D78+D83</f>
        <v>2738422</v>
      </c>
      <c r="E85" s="374">
        <f t="shared" si="22"/>
        <v>-626568</v>
      </c>
      <c r="F85" s="374">
        <f t="shared" si="22"/>
        <v>2534949</v>
      </c>
      <c r="G85" s="374">
        <f t="shared" si="22"/>
        <v>-928277</v>
      </c>
      <c r="H85" s="374">
        <f t="shared" si="22"/>
        <v>515714</v>
      </c>
      <c r="I85" s="374">
        <f t="shared" si="22"/>
        <v>30764007</v>
      </c>
      <c r="J85" s="374">
        <f t="shared" si="22"/>
        <v>-1337343</v>
      </c>
      <c r="K85" s="374">
        <f t="shared" si="22"/>
        <v>0</v>
      </c>
      <c r="L85" s="374">
        <f t="shared" si="22"/>
        <v>-46441</v>
      </c>
      <c r="M85" s="374">
        <f>D85+E85+F85+G85+H85+I85+J85+K85+L85</f>
        <v>33614463</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Input!$QL$13</f>
        <v>0</v>
      </c>
      <c r="E87" s="372">
        <f>Input!$QM$13</f>
        <v>0</v>
      </c>
      <c r="F87" s="372">
        <f>Input!$QN$13</f>
        <v>0</v>
      </c>
      <c r="G87" s="372">
        <f>Input!$QO$13</f>
        <v>0</v>
      </c>
      <c r="H87" s="372">
        <f>Input!$QP$13</f>
        <v>0</v>
      </c>
      <c r="I87" s="372">
        <f>Input!$QQ$13</f>
        <v>0</v>
      </c>
      <c r="J87" s="372">
        <f>Input!$QR$13</f>
        <v>0</v>
      </c>
      <c r="K87" s="372">
        <f>Input!$QS$13</f>
        <v>0</v>
      </c>
      <c r="L87" s="372">
        <f>Input!$QT$13</f>
        <v>0</v>
      </c>
      <c r="M87" s="329">
        <f>D87+E87+F87+G87+H87+I87+J87+K87+L87</f>
        <v>0</v>
      </c>
      <c r="N87" s="160"/>
      <c r="Y87" s="268"/>
      <c r="Z87" s="447"/>
      <c r="AA87" s="439"/>
      <c r="AB87" s="449"/>
    </row>
    <row r="88" spans="1:28">
      <c r="A88" s="184">
        <v>72</v>
      </c>
      <c r="B88" s="160" t="s">
        <v>66</v>
      </c>
      <c r="C88" s="160"/>
      <c r="D88" s="372">
        <f>Input!$QU$13</f>
        <v>0</v>
      </c>
      <c r="E88" s="372">
        <f>Input!$QV$13</f>
        <v>0</v>
      </c>
      <c r="F88" s="372">
        <f>Input!$QW$13</f>
        <v>0</v>
      </c>
      <c r="G88" s="372">
        <f>Input!$QX$13</f>
        <v>0</v>
      </c>
      <c r="H88" s="372">
        <f>Input!$QY$13</f>
        <v>0</v>
      </c>
      <c r="I88" s="372">
        <f>Input!$QZ$13</f>
        <v>0</v>
      </c>
      <c r="J88" s="372">
        <f>Input!$RA$13</f>
        <v>0</v>
      </c>
      <c r="K88" s="372">
        <f>Input!$RB$13</f>
        <v>0</v>
      </c>
      <c r="L88" s="372">
        <f>Input!$RC$13</f>
        <v>-16588997</v>
      </c>
      <c r="M88" s="373">
        <f>D88+E88+F88+G88+H88+I88+J88+K88+L88</f>
        <v>-16588997</v>
      </c>
      <c r="N88" s="160"/>
      <c r="O88" s="270"/>
      <c r="P88" s="335"/>
      <c r="Y88" s="268"/>
      <c r="Z88" s="447"/>
      <c r="AA88" s="439"/>
      <c r="AB88" s="449"/>
    </row>
    <row r="89" spans="1:28" s="264" customFormat="1">
      <c r="A89" s="263"/>
      <c r="B89" s="171" t="s">
        <v>216</v>
      </c>
      <c r="C89" s="171"/>
      <c r="D89" s="372">
        <f>Input!$RD$13</f>
        <v>0</v>
      </c>
      <c r="E89" s="372">
        <f>Input!$RE$13</f>
        <v>0</v>
      </c>
      <c r="F89" s="372">
        <f>Input!$RF$13</f>
        <v>0</v>
      </c>
      <c r="G89" s="372">
        <f>Input!$RG$13</f>
        <v>0</v>
      </c>
      <c r="H89" s="372">
        <f>Input!$RH$13</f>
        <v>0</v>
      </c>
      <c r="I89" s="372">
        <f>Input!$RI$13</f>
        <v>0</v>
      </c>
      <c r="J89" s="372">
        <f>Input!$RJ$13</f>
        <v>0</v>
      </c>
      <c r="K89" s="372">
        <f>Input!$RK$13</f>
        <v>0</v>
      </c>
      <c r="L89" s="372">
        <f>Input!$RL$13</f>
        <v>0</v>
      </c>
      <c r="M89" s="373">
        <f t="shared" ref="M89:M91" si="23">D89+E89+F89+G89+H89+I89+J89+K89+L89</f>
        <v>0</v>
      </c>
      <c r="N89" s="160"/>
      <c r="O89" s="1726" t="s">
        <v>1355</v>
      </c>
      <c r="P89" s="1727"/>
      <c r="Q89" s="1727"/>
      <c r="R89" s="1727"/>
      <c r="S89" s="1727"/>
      <c r="T89" s="1727"/>
      <c r="U89" s="1728"/>
      <c r="Y89" s="268"/>
      <c r="Z89" s="447"/>
      <c r="AA89" s="439"/>
      <c r="AB89" s="449"/>
    </row>
    <row r="90" spans="1:28" s="264" customFormat="1">
      <c r="A90" s="263"/>
      <c r="B90" s="171" t="s">
        <v>105</v>
      </c>
      <c r="C90" s="171"/>
      <c r="D90" s="372">
        <f>Input!$RM$13</f>
        <v>0</v>
      </c>
      <c r="E90" s="372">
        <f>Input!$RN$13</f>
        <v>0</v>
      </c>
      <c r="F90" s="372">
        <f>Input!$RO$13</f>
        <v>0</v>
      </c>
      <c r="G90" s="372">
        <f>Input!$RP$13</f>
        <v>0</v>
      </c>
      <c r="H90" s="372">
        <f>Input!$RQ$13</f>
        <v>0</v>
      </c>
      <c r="I90" s="372">
        <f>Input!$RR$13</f>
        <v>0</v>
      </c>
      <c r="J90" s="372">
        <f>Input!$RS$13</f>
        <v>0</v>
      </c>
      <c r="K90" s="372">
        <f>Input!$RT$13</f>
        <v>0</v>
      </c>
      <c r="L90" s="372">
        <f>Input!$RU$13</f>
        <v>0</v>
      </c>
      <c r="M90" s="373">
        <f t="shared" si="23"/>
        <v>0</v>
      </c>
      <c r="N90" s="160"/>
      <c r="O90" s="502" t="s">
        <v>590</v>
      </c>
      <c r="P90" s="423"/>
      <c r="Q90" s="502" t="s">
        <v>591</v>
      </c>
      <c r="R90" s="423"/>
      <c r="S90" s="503"/>
      <c r="T90" s="502" t="s">
        <v>592</v>
      </c>
      <c r="U90" s="423"/>
      <c r="Y90" s="268"/>
      <c r="Z90" s="447"/>
      <c r="AA90" s="439"/>
      <c r="AB90" s="449"/>
    </row>
    <row r="91" spans="1:28" s="264" customFormat="1">
      <c r="A91" s="263"/>
      <c r="B91" s="171" t="s">
        <v>128</v>
      </c>
      <c r="C91" s="171"/>
      <c r="D91" s="372">
        <f>Input!$RV$13</f>
        <v>0</v>
      </c>
      <c r="E91" s="372">
        <f>Input!$RW$13</f>
        <v>0</v>
      </c>
      <c r="F91" s="372">
        <f>Input!$RX$13</f>
        <v>0</v>
      </c>
      <c r="G91" s="372">
        <f>Input!$RY$13</f>
        <v>0</v>
      </c>
      <c r="H91" s="372">
        <f>Input!$RZ$13</f>
        <v>0</v>
      </c>
      <c r="I91" s="372">
        <f>Input!$SA$13</f>
        <v>0</v>
      </c>
      <c r="J91" s="372">
        <f>Input!$SB$13</f>
        <v>0</v>
      </c>
      <c r="K91" s="372">
        <f>Input!$SC$13</f>
        <v>0</v>
      </c>
      <c r="L91" s="372">
        <f>Input!$SD$13</f>
        <v>0</v>
      </c>
      <c r="M91" s="373">
        <f t="shared" si="23"/>
        <v>0</v>
      </c>
      <c r="N91" s="160"/>
      <c r="O91" s="504"/>
      <c r="P91" s="505"/>
      <c r="Q91" s="504"/>
      <c r="R91" s="426"/>
      <c r="S91" s="276"/>
      <c r="T91" s="506"/>
      <c r="U91" s="426"/>
      <c r="Y91" s="268"/>
      <c r="Z91" s="447"/>
      <c r="AA91" s="439"/>
      <c r="AB91" s="449"/>
    </row>
    <row r="92" spans="1:28" s="264" customFormat="1">
      <c r="A92" s="263"/>
      <c r="B92" s="160" t="s">
        <v>67</v>
      </c>
      <c r="C92" s="160"/>
      <c r="D92" s="372">
        <f>Input!$SE$13</f>
        <v>0</v>
      </c>
      <c r="E92" s="372">
        <f>Input!$SF$13</f>
        <v>0</v>
      </c>
      <c r="F92" s="372">
        <f>Input!$SG$13</f>
        <v>0</v>
      </c>
      <c r="G92" s="372">
        <f>Input!$SH$13</f>
        <v>0</v>
      </c>
      <c r="H92" s="372">
        <f>Input!$SI$13</f>
        <v>0</v>
      </c>
      <c r="I92" s="372">
        <f>Input!$SJ$13</f>
        <v>0</v>
      </c>
      <c r="J92" s="372">
        <f>Input!$SK$13</f>
        <v>0</v>
      </c>
      <c r="K92" s="372">
        <f>Input!$SL$13</f>
        <v>0</v>
      </c>
      <c r="L92" s="372">
        <f>Input!$SM$13</f>
        <v>6747830</v>
      </c>
      <c r="M92" s="373">
        <f>D92+E92+F92+G92+H92+I92+J92+K92+L92</f>
        <v>6747830</v>
      </c>
      <c r="N92" s="160"/>
      <c r="O92" s="1729" t="str">
        <f>Input!UF$13</f>
        <v>Brenda Golemon</v>
      </c>
      <c r="P92" s="1730"/>
      <c r="Q92" s="1729" t="str">
        <f>Input!$UG$13</f>
        <v>903-566-7319</v>
      </c>
      <c r="R92" s="1730"/>
      <c r="S92" s="276"/>
      <c r="T92" s="1731" t="str">
        <f>HYPERLINK("Mailto:"&amp;Input!$UH$13,Input!$UH$13)</f>
        <v>bgolemon@gmail.com</v>
      </c>
      <c r="U92" s="1730"/>
      <c r="Y92" s="268"/>
      <c r="Z92" s="447"/>
      <c r="AA92" s="442"/>
      <c r="AB92" s="449"/>
    </row>
    <row r="93" spans="1:28" ht="13.5" thickBot="1">
      <c r="B93" s="179" t="s">
        <v>58</v>
      </c>
      <c r="C93" s="179"/>
      <c r="D93" s="380">
        <f t="shared" ref="D93:K93" si="24">SUM(D85:D92)</f>
        <v>2738422</v>
      </c>
      <c r="E93" s="380">
        <f t="shared" si="24"/>
        <v>-626568</v>
      </c>
      <c r="F93" s="380">
        <f t="shared" si="24"/>
        <v>2534949</v>
      </c>
      <c r="G93" s="380">
        <f t="shared" si="24"/>
        <v>-928277</v>
      </c>
      <c r="H93" s="380">
        <f t="shared" si="24"/>
        <v>515714</v>
      </c>
      <c r="I93" s="380">
        <f t="shared" si="24"/>
        <v>30764007</v>
      </c>
      <c r="J93" s="380">
        <f t="shared" si="24"/>
        <v>-1337343</v>
      </c>
      <c r="K93" s="380">
        <f t="shared" si="24"/>
        <v>0</v>
      </c>
      <c r="L93" s="380">
        <f>SUM(L85:L92)</f>
        <v>-9887608</v>
      </c>
      <c r="M93" s="380">
        <f>D93+E93+F93+G93+H93+I93+J93+K93+L93</f>
        <v>23773296</v>
      </c>
      <c r="N93" s="160"/>
      <c r="O93" s="506"/>
      <c r="P93" s="507"/>
      <c r="Q93" s="276"/>
      <c r="R93" s="276"/>
      <c r="S93" s="276"/>
      <c r="T93" s="507"/>
      <c r="U93" s="508"/>
      <c r="Y93" s="268"/>
      <c r="Z93" s="447"/>
      <c r="AA93" s="442"/>
      <c r="AB93" s="449"/>
    </row>
    <row r="94" spans="1:28" ht="13.5" thickTop="1">
      <c r="C94" s="160"/>
      <c r="D94" s="165"/>
      <c r="E94" s="165"/>
      <c r="F94" s="165"/>
      <c r="G94" s="165"/>
      <c r="H94" s="165"/>
      <c r="I94" s="165"/>
      <c r="J94" s="165"/>
      <c r="K94" s="165"/>
      <c r="L94" s="165"/>
      <c r="M94" s="180"/>
      <c r="N94" s="160"/>
      <c r="O94" s="1720" t="s">
        <v>593</v>
      </c>
      <c r="P94" s="1721"/>
      <c r="Q94" s="1721"/>
      <c r="R94" s="1721"/>
      <c r="S94" s="1721"/>
      <c r="T94" s="1721"/>
      <c r="U94" s="1722"/>
      <c r="Y94" s="268"/>
      <c r="Z94" s="451"/>
      <c r="AA94" s="442"/>
      <c r="AB94" s="449"/>
    </row>
    <row r="95" spans="1:28">
      <c r="B95" s="171" t="s">
        <v>1369</v>
      </c>
      <c r="C95" s="169"/>
      <c r="D95" s="165"/>
      <c r="E95" s="165"/>
      <c r="F95" s="165"/>
      <c r="G95" s="165"/>
      <c r="H95" s="165"/>
      <c r="I95" s="165"/>
      <c r="J95" s="165"/>
      <c r="K95" s="165"/>
      <c r="L95" s="165"/>
      <c r="M95" s="180"/>
      <c r="N95" s="160"/>
      <c r="O95" s="1720"/>
      <c r="P95" s="1721"/>
      <c r="Q95" s="1721"/>
      <c r="R95" s="1721"/>
      <c r="S95" s="1721"/>
      <c r="T95" s="1721"/>
      <c r="U95" s="1722"/>
      <c r="Y95" s="268"/>
      <c r="Z95" s="452"/>
      <c r="AA95" s="453"/>
      <c r="AB95" s="454"/>
    </row>
    <row r="96" spans="1:28">
      <c r="B96" s="169" t="s">
        <v>80</v>
      </c>
      <c r="C96" s="160"/>
      <c r="D96" s="165"/>
      <c r="E96" s="165"/>
      <c r="F96" s="165"/>
      <c r="G96" s="165"/>
      <c r="H96" s="165"/>
      <c r="I96" s="165"/>
      <c r="J96" s="165"/>
      <c r="K96" s="165"/>
      <c r="L96" s="165"/>
      <c r="M96" s="180"/>
      <c r="N96" s="160"/>
      <c r="O96" s="509"/>
      <c r="P96" s="510"/>
      <c r="Q96" s="511"/>
      <c r="R96" s="511"/>
      <c r="S96" s="511"/>
      <c r="T96" s="510"/>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Input!$SN$13</f>
        <v>23773296</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3" t="str">
        <f>IF($L$118&lt;&gt;Input!$F$13,"Out of Balance","Balanced")</f>
        <v>Balanced</v>
      </c>
      <c r="M102" s="517"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83435268</v>
      </c>
      <c r="E105" s="373">
        <f>SUM($E$10:$E$14)+SUM($E$19:$E$28)+SUM($E$32:$E$41)+$E$47+SUM($E$50:$E$55)+SUM($E$60:$E$70)+SUM($E$74:$E$77)+SUM($E$81:$E$82)+SUM($E$87:$E$92)</f>
        <v>154354580</v>
      </c>
      <c r="F105" s="373">
        <f>SUM($F$10:$F$14)+SUM($F$19:$F$28)+SUM($F$32:$F$41)+$F$47+SUM($F$50:$F$55)+SUM($F$60:$F$70)+SUM($F$74:$F$77)+SUM($F$81:$F$82)+SUM($F$87:$F$92)</f>
        <v>26999427</v>
      </c>
      <c r="G105" s="373">
        <f>SUM($G$10:$G$14)+SUM($G$19:$G$28)+SUM($G$32:$G$41)+$G$47+SUM($G$50:$G$55)+SUM($G$60:$G$70)+SUM($G$74:$G$77)+SUM($G$81:$G$82)+SUM($G$87:$G$92)</f>
        <v>26295747</v>
      </c>
      <c r="H105" s="373">
        <f>SUM($H$10:$H$14)+SUM($H$19:$H$28)+SUM($H$32:$H$41)+$H$47+SUM($H$50:$H$55)+SUM($H$60:$H$70)+SUM($H$74:$H$77)+SUM($H$81:$H$82)+SUM($H$87:$H$92)</f>
        <v>-190242</v>
      </c>
      <c r="I105" s="373">
        <f>SUM($I$10:$I$14)+SUM($I$19:$I$28)+SUM($I$32:$I$41)+$I$47+SUM($I$50:$I$55)+SUM($I$60:$I$70)+SUM($I$74:$I$77)+SUM($I$81:$I$82)+SUM($I$87:$I$92)</f>
        <v>30764007</v>
      </c>
      <c r="J105" s="373">
        <f>SUM($J$10:$J$14)+SUM($J$19:$J$28)+SUM($J$32:$J$41)+$J$47+SUM($J$50:$J$55)+SUM($J$60:$J$70)+SUM($J$74:$J$77)+SUM($J$81:$J$82)+SUM($J$87:$J$92)</f>
        <v>4327001</v>
      </c>
      <c r="K105" s="373">
        <f>SUM($K$10:$K$14)+SUM($K$19:$K$28)+SUM($K$32:$K$41)+$K$47+SUM($K$50:$K$55)+SUM($K$60:$K$70)+SUM($K$74:$K$77)+SUM($K$81:$K$82)+SUM($K$87:$K$92)</f>
        <v>0</v>
      </c>
      <c r="L105" s="373">
        <f>SUM($L$10:$L$14)+SUM($L$19:$L$28)+SUM($L$32:$L$41)+$L$47+SUM($L$50:$L$55)+SUM($L$60:$L$70)+SUM($L$74:$L$77)+SUM($L$81:$L$82)+SUM($L$87:$L$92)</f>
        <v>-9887608</v>
      </c>
      <c r="M105" s="373"/>
      <c r="N105" s="264"/>
      <c r="O105" s="373"/>
      <c r="P105" s="450">
        <f>M18-INT(M18)</f>
        <v>0</v>
      </c>
    </row>
    <row r="106" spans="2:28">
      <c r="B106" s="261"/>
      <c r="C106" s="261"/>
      <c r="D106" s="261"/>
      <c r="E106" s="261"/>
      <c r="F106" s="261"/>
      <c r="G106" s="261"/>
      <c r="H106" s="261"/>
      <c r="I106" s="261"/>
      <c r="J106" s="261"/>
      <c r="K106" s="261"/>
      <c r="L106" s="373">
        <f>SUM($D$105:$L$105)</f>
        <v>316098180</v>
      </c>
      <c r="M106" s="261"/>
      <c r="N106" s="264"/>
      <c r="O106" s="373"/>
      <c r="P106" s="450">
        <f>M31-INT(M31)</f>
        <v>0</v>
      </c>
    </row>
    <row r="107" spans="2:28">
      <c r="B107" s="261"/>
      <c r="C107" s="261"/>
      <c r="D107" s="261"/>
      <c r="E107" s="261"/>
      <c r="F107" s="261"/>
      <c r="G107" s="261"/>
      <c r="H107" s="261"/>
      <c r="I107" s="261"/>
      <c r="J107" s="261" t="s">
        <v>1299</v>
      </c>
      <c r="K107" s="261"/>
      <c r="L107" s="373">
        <f>$M$100</f>
        <v>23773296</v>
      </c>
      <c r="M107" s="261"/>
      <c r="N107" s="264"/>
      <c r="O107" s="373"/>
      <c r="P107" s="450">
        <f>M93-INT(M93)</f>
        <v>0</v>
      </c>
    </row>
    <row r="108" spans="2:28">
      <c r="B108" s="261"/>
      <c r="C108" s="261"/>
      <c r="D108" s="261"/>
      <c r="E108" s="261"/>
      <c r="F108" s="261"/>
      <c r="G108" s="261"/>
      <c r="H108" s="261"/>
      <c r="I108" s="261"/>
      <c r="J108" s="261" t="s">
        <v>1300</v>
      </c>
      <c r="K108" s="261"/>
      <c r="L108" s="512">
        <f>$Q$32</f>
        <v>87381735</v>
      </c>
      <c r="M108" s="261"/>
      <c r="N108" s="264"/>
      <c r="O108" s="373"/>
    </row>
    <row r="109" spans="2:28">
      <c r="B109" s="261"/>
      <c r="C109" s="261"/>
      <c r="D109" s="261"/>
      <c r="E109" s="261"/>
      <c r="F109" s="261"/>
      <c r="G109" s="261"/>
      <c r="H109" s="261"/>
      <c r="I109" s="261"/>
      <c r="J109" s="261" t="s">
        <v>1300</v>
      </c>
      <c r="K109" s="261"/>
      <c r="L109" s="512">
        <f>$R$34</f>
        <v>-30039820</v>
      </c>
      <c r="M109" s="261"/>
      <c r="N109" s="264"/>
      <c r="O109" s="373"/>
    </row>
    <row r="110" spans="2:28">
      <c r="B110" s="261"/>
      <c r="C110" s="261"/>
      <c r="D110" s="261"/>
      <c r="E110" s="261"/>
      <c r="F110" s="261"/>
      <c r="G110" s="261"/>
      <c r="H110" s="261"/>
      <c r="I110" s="261"/>
      <c r="J110" s="261" t="s">
        <v>29</v>
      </c>
      <c r="K110" s="261"/>
      <c r="L110" s="512">
        <f>SUM($P$60:$P$68)</f>
        <v>768896</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2">
        <f>SUM($V$60:$V$67)</f>
        <v>67315</v>
      </c>
      <c r="M112" s="261"/>
      <c r="N112" s="264"/>
      <c r="O112" s="373"/>
    </row>
    <row r="113" spans="2:15">
      <c r="B113" s="261"/>
      <c r="C113" s="261"/>
      <c r="D113" s="261"/>
      <c r="E113" s="261"/>
      <c r="F113" s="261"/>
      <c r="G113" s="261"/>
      <c r="H113" s="261"/>
      <c r="I113" s="261"/>
      <c r="J113" s="261" t="s">
        <v>596</v>
      </c>
      <c r="K113" s="261"/>
      <c r="L113" s="512">
        <f>SUM($W$60:$W$67)</f>
        <v>0</v>
      </c>
      <c r="M113" s="261"/>
      <c r="N113" s="264"/>
      <c r="O113" s="373"/>
    </row>
    <row r="114" spans="2:15">
      <c r="B114" s="261"/>
      <c r="C114" s="261"/>
      <c r="D114" s="261"/>
      <c r="E114" s="261"/>
      <c r="F114" s="261"/>
      <c r="G114" s="261"/>
      <c r="H114" s="261"/>
      <c r="I114" s="261"/>
      <c r="J114" s="261" t="s">
        <v>258</v>
      </c>
      <c r="K114" s="261"/>
      <c r="L114" s="512">
        <f>SUM($AA$60:$AA$68)</f>
        <v>146914797</v>
      </c>
      <c r="M114" s="261"/>
      <c r="N114" s="264"/>
      <c r="O114" s="373"/>
    </row>
    <row r="115" spans="2:15">
      <c r="B115" s="261"/>
      <c r="C115" s="261"/>
      <c r="D115" s="261"/>
      <c r="E115" s="261"/>
      <c r="F115" s="261"/>
      <c r="G115" s="261"/>
      <c r="H115" s="261"/>
      <c r="I115" s="261"/>
      <c r="J115" s="261" t="s">
        <v>597</v>
      </c>
      <c r="K115" s="261"/>
      <c r="L115" s="512">
        <f>$R$77</f>
        <v>2852436</v>
      </c>
      <c r="M115" s="261"/>
      <c r="N115" s="264"/>
      <c r="O115" s="373"/>
    </row>
    <row r="116" spans="2:15">
      <c r="B116" s="261"/>
      <c r="C116" s="261"/>
      <c r="D116" s="261"/>
      <c r="E116" s="261"/>
      <c r="F116" s="261"/>
      <c r="G116" s="261"/>
      <c r="H116" s="261"/>
      <c r="I116" s="261"/>
      <c r="J116" s="261" t="s">
        <v>597</v>
      </c>
      <c r="K116" s="261"/>
      <c r="L116" s="512">
        <f>$R$80</f>
        <v>26043723</v>
      </c>
      <c r="M116" s="261"/>
      <c r="N116" s="264"/>
      <c r="O116" s="373"/>
    </row>
    <row r="117" spans="2:15">
      <c r="B117" s="261"/>
      <c r="C117" s="261"/>
      <c r="D117" s="261"/>
      <c r="E117" s="261"/>
      <c r="F117" s="261"/>
      <c r="G117" s="261"/>
      <c r="H117" s="261"/>
      <c r="I117" s="261"/>
      <c r="J117" s="261" t="s">
        <v>1231</v>
      </c>
      <c r="K117" s="261"/>
      <c r="L117" s="1008">
        <f>VLOOKUP(B2,Names!B5:$C$87,2,FALSE)</f>
        <v>11163</v>
      </c>
      <c r="M117" s="261"/>
      <c r="N117" s="264"/>
      <c r="O117" s="373"/>
    </row>
    <row r="118" spans="2:15">
      <c r="B118" s="261"/>
      <c r="C118" s="261"/>
      <c r="D118" s="261"/>
      <c r="E118" s="261"/>
      <c r="F118" s="261"/>
      <c r="G118" s="261"/>
      <c r="H118" s="261"/>
      <c r="I118" s="261"/>
      <c r="J118" s="261"/>
      <c r="K118" s="261"/>
      <c r="L118" s="373">
        <f>SUM(L106:L117)</f>
        <v>573871721</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V56:V59"/>
    <mergeCell ref="W56:W59"/>
    <mergeCell ref="G59:K59"/>
    <mergeCell ref="AA56:AA59"/>
    <mergeCell ref="Z55:AB55"/>
    <mergeCell ref="R56:R59"/>
    <mergeCell ref="O55:R55"/>
    <mergeCell ref="T55:X55"/>
    <mergeCell ref="X56:X59"/>
    <mergeCell ref="AB56:AB59"/>
    <mergeCell ref="Z56:Z59"/>
    <mergeCell ref="B2:F2"/>
    <mergeCell ref="B3:F3"/>
    <mergeCell ref="B4:F4"/>
    <mergeCell ref="B6:M6"/>
    <mergeCell ref="P4:Q4"/>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s>
  <conditionalFormatting sqref="U87:X88 O88:Q88">
    <cfRule type="cellIs" dxfId="1167" priority="288" stopIfTrue="1" operator="notEqual">
      <formula>#REF!</formula>
    </cfRule>
  </conditionalFormatting>
  <conditionalFormatting sqref="P70">
    <cfRule type="expression" dxfId="1166" priority="267">
      <formula>$P$69&lt;&gt;$M$69</formula>
    </cfRule>
  </conditionalFormatting>
  <conditionalFormatting sqref="AB72">
    <cfRule type="expression" dxfId="1165" priority="266">
      <formula>$AB$71&lt;&gt;0</formula>
    </cfRule>
  </conditionalFormatting>
  <conditionalFormatting sqref="P71">
    <cfRule type="expression" dxfId="1164" priority="265">
      <formula>P69-INT(P69)</formula>
    </cfRule>
  </conditionalFormatting>
  <conditionalFormatting sqref="V70">
    <cfRule type="expression" dxfId="1163" priority="263">
      <formula>X68-INT(X68)</formula>
    </cfRule>
  </conditionalFormatting>
  <conditionalFormatting sqref="O12">
    <cfRule type="expression" dxfId="1162" priority="254">
      <formula>$P$12&lt;&gt;$M$12</formula>
    </cfRule>
  </conditionalFormatting>
  <conditionalFormatting sqref="U87:U88 O88:Q88">
    <cfRule type="cellIs" dxfId="1161" priority="247" stopIfTrue="1" operator="notEqual">
      <formula>#REF!</formula>
    </cfRule>
  </conditionalFormatting>
  <conditionalFormatting sqref="R84">
    <cfRule type="expression" priority="245" stopIfTrue="1">
      <formula>$M$85&lt;0</formula>
    </cfRule>
    <cfRule type="expression" dxfId="1160" priority="246">
      <formula>$S$85&lt;&gt;0</formula>
    </cfRule>
  </conditionalFormatting>
  <conditionalFormatting sqref="R80 R77">
    <cfRule type="expression" dxfId="1159" priority="243" stopIfTrue="1">
      <formula>$M$85&gt;=0</formula>
    </cfRule>
    <cfRule type="expression" priority="244">
      <formula>$M$85&lt;0</formula>
    </cfRule>
  </conditionalFormatting>
  <conditionalFormatting sqref="U87:U88 O88:Q88">
    <cfRule type="cellIs" dxfId="1158" priority="242" stopIfTrue="1" operator="notEqual">
      <formula>#REF!</formula>
    </cfRule>
  </conditionalFormatting>
  <conditionalFormatting sqref="O13">
    <cfRule type="expression" dxfId="1157" priority="226">
      <formula>$P$13&lt;&gt;$M$13</formula>
    </cfRule>
  </conditionalFormatting>
  <conditionalFormatting sqref="U87:U88 O88:Q88">
    <cfRule type="cellIs" dxfId="1156" priority="225" stopIfTrue="1" operator="notEqual">
      <formula>#REF!</formula>
    </cfRule>
  </conditionalFormatting>
  <conditionalFormatting sqref="Q36">
    <cfRule type="expression" dxfId="1155" priority="27">
      <formula>#REF!&lt;&gt;#REF!</formula>
    </cfRule>
  </conditionalFormatting>
  <conditionalFormatting sqref="R35">
    <cfRule type="expression" dxfId="1154" priority="26">
      <formula>#REF!&lt;&gt;0</formula>
    </cfRule>
  </conditionalFormatting>
  <conditionalFormatting sqref="Q35">
    <cfRule type="expression" dxfId="1153" priority="25">
      <formula>#REF!&lt;&gt;0</formula>
    </cfRule>
  </conditionalFormatting>
  <conditionalFormatting sqref="R36">
    <cfRule type="expression" dxfId="1152" priority="24">
      <formula>#REF!&lt;&gt;#REF!</formula>
    </cfRule>
  </conditionalFormatting>
  <conditionalFormatting sqref="D93:M98 T94:T95 R90:S95 U87:X93 T90:T92 Y90:Y95 O88:O92 P88:Q93">
    <cfRule type="cellIs" dxfId="1151" priority="23" stopIfTrue="1" operator="notEqual">
      <formula>#REF!</formula>
    </cfRule>
  </conditionalFormatting>
  <conditionalFormatting sqref="P70">
    <cfRule type="expression" dxfId="1150" priority="22">
      <formula>$P$69&lt;&gt;$M$69</formula>
    </cfRule>
  </conditionalFormatting>
  <conditionalFormatting sqref="AB72">
    <cfRule type="expression" dxfId="1149" priority="21">
      <formula>$AB$71&lt;&gt;0</formula>
    </cfRule>
  </conditionalFormatting>
  <conditionalFormatting sqref="P71">
    <cfRule type="expression" dxfId="1148" priority="20">
      <formula>P69-INT(P69)</formula>
    </cfRule>
  </conditionalFormatting>
  <conditionalFormatting sqref="V70">
    <cfRule type="expression" dxfId="1147" priority="19">
      <formula>X68-INT(X68)</formula>
    </cfRule>
  </conditionalFormatting>
  <conditionalFormatting sqref="O12">
    <cfRule type="expression" dxfId="1146" priority="18">
      <formula>$P$12&lt;&gt;$M$12</formula>
    </cfRule>
  </conditionalFormatting>
  <conditionalFormatting sqref="T94:T95 R90:S95 U87:U93 T90:T92 O88:O92 P88:Q93">
    <cfRule type="cellIs" dxfId="1145" priority="16" stopIfTrue="1" operator="notEqual">
      <formula>#REF!</formula>
    </cfRule>
  </conditionalFormatting>
  <conditionalFormatting sqref="R84">
    <cfRule type="expression" priority="14" stopIfTrue="1">
      <formula>$M$85&lt;0</formula>
    </cfRule>
    <cfRule type="expression" dxfId="1144" priority="15">
      <formula>$S$85&lt;&gt;0</formula>
    </cfRule>
  </conditionalFormatting>
  <conditionalFormatting sqref="R80 R77">
    <cfRule type="expression" dxfId="1143" priority="12" stopIfTrue="1">
      <formula>$M$85&gt;=0</formula>
    </cfRule>
    <cfRule type="expression" priority="13">
      <formula>$M$85&lt;0</formula>
    </cfRule>
  </conditionalFormatting>
  <conditionalFormatting sqref="U87:U88 R89:U92 O88:Q92">
    <cfRule type="cellIs" dxfId="1142" priority="11" stopIfTrue="1" operator="notEqual">
      <formula>#REF!</formula>
    </cfRule>
  </conditionalFormatting>
  <conditionalFormatting sqref="M101">
    <cfRule type="expression" dxfId="1141" priority="10">
      <formula>$M$101&lt;&gt;0</formula>
    </cfRule>
  </conditionalFormatting>
  <conditionalFormatting sqref="M102">
    <cfRule type="expression" dxfId="1140" priority="9">
      <formula>$M$93&lt;&gt;$M$100</formula>
    </cfRule>
  </conditionalFormatting>
  <conditionalFormatting sqref="U87:U92 R90:T92 O88:Q92">
    <cfRule type="cellIs" dxfId="1139" priority="8" stopIfTrue="1" operator="notEqual">
      <formula>#REF!</formula>
    </cfRule>
  </conditionalFormatting>
  <conditionalFormatting sqref="T89:U89 Q91 T90 O89:O90 P89:Q89 R89:S91">
    <cfRule type="cellIs" dxfId="1138" priority="7" stopIfTrue="1" operator="notEqual">
      <formula>#REF!</formula>
    </cfRule>
  </conditionalFormatting>
  <conditionalFormatting sqref="Q36">
    <cfRule type="expression" dxfId="1137" priority="6">
      <formula>#REF!&lt;&gt;#REF!</formula>
    </cfRule>
  </conditionalFormatting>
  <conditionalFormatting sqref="R35">
    <cfRule type="expression" dxfId="1136" priority="5">
      <formula>#REF!&lt;&gt;0</formula>
    </cfRule>
  </conditionalFormatting>
  <conditionalFormatting sqref="Q35">
    <cfRule type="expression" dxfId="1135" priority="4">
      <formula>#REF!&lt;&gt;0</formula>
    </cfRule>
  </conditionalFormatting>
  <conditionalFormatting sqref="R36">
    <cfRule type="expression" dxfId="1134" priority="3">
      <formula>#REF!&lt;&gt;#REF!</formula>
    </cfRule>
  </conditionalFormatting>
  <conditionalFormatting sqref="G59:K59">
    <cfRule type="expression" dxfId="1133" priority="1">
      <formula>OR($P$105&gt;0,$P$106&lt;&gt;0,$P$107&lt;&gt;0)</formula>
    </cfRule>
  </conditionalFormatting>
  <hyperlinks>
    <hyperlink ref="O2" location="Index!A1" display="Return to Index" xr:uid="{00000000-0004-0000-3700-000000000000}"/>
  </hyperlinks>
  <printOptions horizontalCentered="1"/>
  <pageMargins left="0.5" right="0.5" top="0.25" bottom="0.25" header="0" footer="0.25"/>
  <pageSetup scale="10"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42"/>
  <dimension ref="A1:G30"/>
  <sheetViews>
    <sheetView showGridLines="0" zoomScale="80" zoomScaleNormal="80" workbookViewId="0">
      <selection activeCell="E74" sqref="E74:F74"/>
    </sheetView>
  </sheetViews>
  <sheetFormatPr defaultColWidth="9.140625" defaultRowHeight="12.75"/>
  <cols>
    <col min="1" max="1" width="7" style="53" customWidth="1"/>
    <col min="2" max="2" width="93.140625" style="53" customWidth="1"/>
    <col min="3" max="3" width="20" style="53" customWidth="1"/>
    <col min="4" max="9" width="9.140625" style="53"/>
    <col min="10" max="10" width="14.140625" style="53" customWidth="1"/>
    <col min="11" max="16384" width="9.140625" style="53"/>
  </cols>
  <sheetData>
    <row r="1" spans="2:6" ht="18.75" thickBot="1">
      <c r="B1" s="467" t="str">
        <f>'TYL Chrts'!$A$1</f>
        <v>The University of Texas at Tyler</v>
      </c>
      <c r="C1" s="835" t="s">
        <v>1200</v>
      </c>
    </row>
    <row r="2" spans="2:6">
      <c r="B2" s="393" t="str">
        <f>'Smmy Chrts'!$A$2</f>
        <v>For the Year Ended August 31, 2021</v>
      </c>
    </row>
    <row r="3" spans="2:6">
      <c r="B3" s="393" t="str">
        <f>'Smmy Chrts'!$A$3</f>
        <v>Source: FY 2021 Annual Financial Report</v>
      </c>
    </row>
    <row r="5" spans="2:6" customFormat="1">
      <c r="B5" s="529" t="s">
        <v>705</v>
      </c>
    </row>
    <row r="6" spans="2:6" customFormat="1">
      <c r="B6" s="530"/>
    </row>
    <row r="7" spans="2:6" customFormat="1" ht="226.5" customHeight="1">
      <c r="B7" s="531" t="s">
        <v>706</v>
      </c>
      <c r="C7" s="532"/>
    </row>
    <row r="8" spans="2:6" customFormat="1" ht="263.25" customHeight="1">
      <c r="B8" s="531" t="s">
        <v>707</v>
      </c>
    </row>
    <row r="9" spans="2:6" ht="64.5" customHeight="1">
      <c r="B9" s="533" t="str">
        <f>IF('TYL FGD'!$R$76="N/A","FN11.  N/A",$B$20&amp;$B$21&amp;$B$22&amp;$B$23&amp;$B$24&amp;$B$25&amp;$B$26&amp;$B$27&amp;$B$28&amp;$B$29&amp;$B$30)</f>
        <v>FN11: Of the net increase of $33,614,463 approximately $2.9 million represents revenues received but not yet expended. This income is fully committed to program expenditures and capital disbursements. The remaining $30.8 million represents non-expendable funds from unrealized gains and additions to permanent endowments of approximately $26.0 million and $4.7 million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TEXT(IF('TYL FGD'!$M$85&lt;0,"N/A",'TYL FGD'!$M$85),"$* #,##0;$* (#,##0)")</f>
        <v>$33,614,463</v>
      </c>
      <c r="C21" s="480"/>
      <c r="D21" s="480"/>
      <c r="E21" s="480"/>
      <c r="G21" s="105"/>
    </row>
    <row r="22" spans="1:7">
      <c r="B22" s="105" t="s">
        <v>682</v>
      </c>
    </row>
    <row r="23" spans="1:7">
      <c r="A23" s="53">
        <v>61</v>
      </c>
      <c r="B23" s="515" t="str">
        <f>IF(ABS('TYL FGD'!$R$77)&gt;=1000000,TEXT('TYL FGD'!$R$77/1000000,"$* #,##0.0;$* (#,##0.0)")&amp;" million",IF(ABS('TYL FGD'!$R$77)&lt;1000,TEXT('TYL FGD'!$R$77,"$* #,##0;$* (#,##0)"),TEXT('TYL FGD'!$R$77/1000,"$* #,##0;$* (#,##0)")&amp;" thousand"))</f>
        <v>$2.9 million</v>
      </c>
      <c r="C23" s="515"/>
      <c r="E23" s="515"/>
    </row>
    <row r="24" spans="1:7">
      <c r="B24" s="105" t="s">
        <v>708</v>
      </c>
    </row>
    <row r="25" spans="1:7">
      <c r="A25" s="53">
        <v>62</v>
      </c>
      <c r="B25" s="515" t="str">
        <f>IF(ABS('TYL FGD'!$R$78)&gt;=1000000,TEXT('TYL FGD'!$R$78/1000000,"$* #,##0.0;$* (#,##0.0)")&amp;" million",IF(ABS('TYL FGD'!$R$78)&lt;1000,TEXT('TYL FGD'!$R$78,"$* #,##0;$* (#,##0)"),TEXT('TYL FGD'!$R$78/1000,"$* #,##0;$* (#,##0)")&amp;" thousand"))</f>
        <v>$30.8 million</v>
      </c>
      <c r="C25" s="515"/>
      <c r="E25" s="515"/>
    </row>
    <row r="26" spans="1:7">
      <c r="B26" s="105" t="s">
        <v>683</v>
      </c>
    </row>
    <row r="27" spans="1:7">
      <c r="A27" s="53">
        <v>64</v>
      </c>
      <c r="B27" s="515" t="str">
        <f>IF(ABS('TYL FGD'!$R$80)&gt;=1000000,TEXT('TYL FGD'!$R$80/1000000,"$* #,##0.0;$* (#,##0.0)")&amp;" million",IF(ABS('TYL FGD'!$R$80)&lt;1000,TEXT('TYL FGD'!$R$80,"$* #,##0;$* (#,##0)"),TEXT('TYL FGD'!$R$80/1000,"$* #,##0;$* (#,##0)")&amp;" thousand"))</f>
        <v>$26.0 million</v>
      </c>
      <c r="C27" s="515"/>
      <c r="E27" s="515"/>
    </row>
    <row r="28" spans="1:7">
      <c r="B28" s="105" t="s">
        <v>684</v>
      </c>
    </row>
    <row r="29" spans="1:7">
      <c r="A29" s="53">
        <v>66</v>
      </c>
      <c r="B29" s="515" t="str">
        <f>IF(ABS('TYL FGD'!$R$82)&gt;=1000000,TEXT('TYL FGD'!$R$82/1000000,"$* #,##0.0;$* (#,##0.0)")&amp;" million",IF(ABS('TYL FGD'!$R$82)&lt;1000,TEXT('TYL FGD'!$R$82,"$* #,##0;$* (#,##0)"),TEXT('TYL FGD'!$R$82/1000,"$* #,##0;$* (#,##0)")&amp;" thousand"))</f>
        <v>$4.7 million</v>
      </c>
      <c r="C29" s="515"/>
      <c r="E29" s="515"/>
    </row>
    <row r="30" spans="1:7">
      <c r="B30" s="105" t="s">
        <v>709</v>
      </c>
    </row>
  </sheetData>
  <hyperlinks>
    <hyperlink ref="C1" location="Index!A1" display="Return to Index" xr:uid="{00000000-0004-0000-3800-000000000000}"/>
  </hyperlinks>
  <pageMargins left="0.25" right="0.25" top="0.25" bottom="0.25" header="0" footer="0.25"/>
  <pageSetup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43">
    <tabColor indexed="47"/>
    <pageSetUpPr fitToPage="1"/>
  </sheetPr>
  <dimension ref="A1:E165"/>
  <sheetViews>
    <sheetView showGridLines="0" zoomScale="65" zoomScaleNormal="65" zoomScaleSheetLayoutView="65" workbookViewId="0">
      <selection activeCell="C34" sqref="C34"/>
    </sheetView>
  </sheetViews>
  <sheetFormatPr defaultColWidth="9.140625" defaultRowHeight="12.75" customHeight="1"/>
  <cols>
    <col min="1" max="1" width="158.7109375" style="53" customWidth="1"/>
    <col min="2" max="2" width="21.42578125" style="53" customWidth="1"/>
    <col min="3" max="3" width="54.7109375" style="53" customWidth="1"/>
    <col min="4" max="4" width="20.7109375" style="53" customWidth="1"/>
    <col min="5" max="5" width="9.140625" style="679"/>
    <col min="6" max="16384" width="9.140625" style="53"/>
  </cols>
  <sheetData>
    <row r="1" spans="1:5" ht="28.5" thickBot="1">
      <c r="A1" s="159" t="s">
        <v>103</v>
      </c>
      <c r="B1" s="835" t="s">
        <v>1200</v>
      </c>
      <c r="C1" s="53" t="s">
        <v>1329</v>
      </c>
    </row>
    <row r="2" spans="1:5" ht="27.75">
      <c r="A2" s="54" t="str">
        <f>'Smmy Chrts'!$A$2</f>
        <v>For the Year Ended August 31, 2021</v>
      </c>
      <c r="C2" s="55" t="s">
        <v>63</v>
      </c>
    </row>
    <row r="3" spans="1:5" ht="27.75">
      <c r="A3" s="54" t="str">
        <f>'Smmy Chrts'!$A$3</f>
        <v>Source: FY 2021 Annual Financial Report</v>
      </c>
      <c r="C3" s="53" t="s">
        <v>64</v>
      </c>
    </row>
    <row r="4" spans="1:5" ht="12.75" customHeight="1">
      <c r="C4" s="53" t="s">
        <v>267</v>
      </c>
    </row>
    <row r="5" spans="1:5" ht="12.75" customHeight="1">
      <c r="C5" s="53" t="s">
        <v>268</v>
      </c>
    </row>
    <row r="7" spans="1:5" ht="12.75" customHeight="1">
      <c r="C7" s="1687" t="s">
        <v>25</v>
      </c>
      <c r="D7" s="1687"/>
    </row>
    <row r="8" spans="1:5" ht="12.75" customHeight="1">
      <c r="C8" s="57"/>
      <c r="D8" s="58"/>
    </row>
    <row r="9" spans="1:5" ht="12.75" customHeight="1">
      <c r="C9" s="59" t="str">
        <f>'TAMU Sum'!A9</f>
        <v>State of Texas</v>
      </c>
      <c r="D9" s="60">
        <f>'TAMU Sum'!B15</f>
        <v>650735800</v>
      </c>
      <c r="E9" s="680">
        <f>ROUND(D9/$D$14,3)</f>
        <v>0.27900000000000003</v>
      </c>
    </row>
    <row r="10" spans="1:5" ht="12.75" customHeight="1">
      <c r="C10" s="59" t="str">
        <f>'TAMU Sum'!A17</f>
        <v>Student &amp; Parent</v>
      </c>
      <c r="D10" s="60">
        <f>'TAMU Sum'!B20</f>
        <v>679630868</v>
      </c>
      <c r="E10" s="680">
        <f t="shared" ref="E10:E12" si="0">ROUND(D10/$D$14,3)</f>
        <v>0.29199999999999998</v>
      </c>
    </row>
    <row r="11" spans="1:5" ht="12.75" customHeight="1">
      <c r="C11" s="59" t="str">
        <f>'TAMU Sum'!A22</f>
        <v>Federal Government</v>
      </c>
      <c r="D11" s="60">
        <f>'TAMU Sum'!B23</f>
        <v>272642791</v>
      </c>
      <c r="E11" s="680">
        <f t="shared" si="0"/>
        <v>0.11700000000000001</v>
      </c>
    </row>
    <row r="12" spans="1:5" ht="12.75" customHeight="1">
      <c r="C12" s="59" t="str">
        <f>'TAMU Sum'!A25</f>
        <v>Institutional Resources</v>
      </c>
      <c r="D12" s="60">
        <f>'TAMU Sum'!B32</f>
        <v>728145432</v>
      </c>
      <c r="E12" s="680">
        <f t="shared" si="0"/>
        <v>0.312</v>
      </c>
    </row>
    <row r="13" spans="1:5" ht="12.75" customHeight="1">
      <c r="C13" s="57"/>
      <c r="D13" s="58"/>
      <c r="E13" s="680"/>
    </row>
    <row r="14" spans="1:5" ht="12.75" customHeight="1">
      <c r="C14" s="61" t="s">
        <v>68</v>
      </c>
      <c r="D14" s="62">
        <f>SUM(D9:D13)</f>
        <v>2331154891</v>
      </c>
      <c r="E14" s="680">
        <f>SUM(E9:E13)</f>
        <v>1</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86" t="str">
        <f>C14&amp;" "&amp;TEXT(D14,"$#,###")</f>
        <v>Total Operating Sources $2,331,154,891</v>
      </c>
    </row>
    <row r="48" spans="1:1" ht="12.75" customHeight="1">
      <c r="A48" s="1686"/>
    </row>
    <row r="49" spans="1:5" ht="12.75" customHeight="1">
      <c r="A49" s="56"/>
    </row>
    <row r="52" spans="1:5" ht="12.75" customHeight="1">
      <c r="C52" s="63" t="s">
        <v>25</v>
      </c>
      <c r="D52" s="58"/>
    </row>
    <row r="54" spans="1:5" ht="12.75" customHeight="1">
      <c r="C54" s="59" t="s">
        <v>1</v>
      </c>
      <c r="D54" s="60">
        <f>'TAMU Sum'!B10</f>
        <v>367550412</v>
      </c>
      <c r="E54" s="680">
        <f>ROUND(D54/$D$67,3)</f>
        <v>0.158</v>
      </c>
    </row>
    <row r="55" spans="1:5" ht="12.75" customHeight="1">
      <c r="C55" s="59" t="s">
        <v>221</v>
      </c>
      <c r="D55" s="60">
        <f>'TAMU Sum'!B11</f>
        <v>81571094</v>
      </c>
      <c r="E55" s="680">
        <f t="shared" ref="E55:E66" si="1">ROUND(D55/$D$67,3)</f>
        <v>3.5000000000000003E-2</v>
      </c>
    </row>
    <row r="56" spans="1:5" ht="12.75" customHeight="1">
      <c r="C56" s="59"/>
      <c r="D56" s="60"/>
      <c r="E56" s="680"/>
    </row>
    <row r="57" spans="1:5" ht="12.75" customHeight="1">
      <c r="C57" s="1069" t="str">
        <f>'TAMU Sum'!A13</f>
        <v>Higher Education Fund</v>
      </c>
      <c r="D57" s="60">
        <f>'TAMU Sum'!B13</f>
        <v>0</v>
      </c>
      <c r="E57" s="680">
        <f t="shared" si="1"/>
        <v>0</v>
      </c>
    </row>
    <row r="58" spans="1:5" ht="12.75" customHeight="1">
      <c r="C58" s="59" t="s">
        <v>41</v>
      </c>
      <c r="D58" s="60">
        <f>'TAMU Sum'!B14</f>
        <v>201614294</v>
      </c>
      <c r="E58" s="680">
        <f t="shared" si="1"/>
        <v>8.5999999999999993E-2</v>
      </c>
    </row>
    <row r="59" spans="1:5" ht="12.75" customHeight="1">
      <c r="C59" s="59" t="s">
        <v>87</v>
      </c>
      <c r="D59" s="60">
        <f>'TAMU Sum'!B20</f>
        <v>679630868</v>
      </c>
      <c r="E59" s="680">
        <f t="shared" si="1"/>
        <v>0.29199999999999998</v>
      </c>
    </row>
    <row r="60" spans="1:5" ht="12.75" customHeight="1">
      <c r="C60" s="64" t="s">
        <v>74</v>
      </c>
      <c r="D60" s="60">
        <f>'TAMU Sum'!B23</f>
        <v>272642791</v>
      </c>
      <c r="E60" s="680">
        <f t="shared" si="1"/>
        <v>0.11700000000000001</v>
      </c>
    </row>
    <row r="61" spans="1:5" ht="12.75" customHeight="1">
      <c r="C61" s="59" t="s">
        <v>75</v>
      </c>
      <c r="D61" s="60">
        <f>'TAMU Sum'!B26</f>
        <v>115100531</v>
      </c>
      <c r="E61" s="680">
        <f t="shared" si="1"/>
        <v>4.9000000000000002E-2</v>
      </c>
    </row>
    <row r="62" spans="1:5" ht="12.75" customHeight="1">
      <c r="C62" s="1069" t="s">
        <v>27</v>
      </c>
      <c r="D62" s="60">
        <f>'TAMU Sum'!B27</f>
        <v>0</v>
      </c>
      <c r="E62" s="680">
        <f t="shared" si="1"/>
        <v>0</v>
      </c>
    </row>
    <row r="63" spans="1:5" ht="12.75" customHeight="1">
      <c r="C63" s="59" t="s">
        <v>76</v>
      </c>
      <c r="D63" s="60">
        <f>'TAMU Sum'!B28</f>
        <v>214195659</v>
      </c>
      <c r="E63" s="680">
        <f t="shared" si="1"/>
        <v>9.1999999999999998E-2</v>
      </c>
    </row>
    <row r="64" spans="1:5" ht="12.75" customHeight="1">
      <c r="C64" s="59" t="s">
        <v>77</v>
      </c>
      <c r="D64" s="60">
        <f>'TAMU Sum'!B29</f>
        <v>151364386</v>
      </c>
      <c r="E64" s="680">
        <f t="shared" si="1"/>
        <v>6.5000000000000002E-2</v>
      </c>
    </row>
    <row r="65" spans="1:5" ht="12.75" customHeight="1">
      <c r="C65" s="59" t="s">
        <v>220</v>
      </c>
      <c r="D65" s="60">
        <f>'TAMU Sum'!B30</f>
        <v>189379128</v>
      </c>
      <c r="E65" s="680">
        <f t="shared" si="1"/>
        <v>8.1000000000000003E-2</v>
      </c>
    </row>
    <row r="66" spans="1:5" ht="12.75" customHeight="1">
      <c r="C66" s="64" t="s">
        <v>52</v>
      </c>
      <c r="D66" s="60">
        <f>'TAMU Sum'!B31</f>
        <v>58105728</v>
      </c>
      <c r="E66" s="680">
        <f t="shared" si="1"/>
        <v>2.5000000000000001E-2</v>
      </c>
    </row>
    <row r="67" spans="1:5" ht="12.75" customHeight="1">
      <c r="C67" s="61" t="s">
        <v>68</v>
      </c>
      <c r="D67" s="62">
        <f>SUM(D54:D66)</f>
        <v>2331154891</v>
      </c>
      <c r="E67" s="681">
        <f>SUM(E54:E66)</f>
        <v>0.99999999999999989</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86" t="str">
        <f>C67&amp;" "&amp;TEXT(D67,"$#,###")</f>
        <v>Total Operating Sources $2,331,154,891</v>
      </c>
    </row>
    <row r="93" spans="1:5" ht="12.75" customHeight="1">
      <c r="A93" s="1686"/>
    </row>
    <row r="94" spans="1:5" ht="12.75" customHeight="1">
      <c r="A94" s="65"/>
    </row>
    <row r="95" spans="1:5" s="68" customFormat="1" ht="12.75" customHeight="1">
      <c r="A95" s="66"/>
      <c r="E95" s="682"/>
    </row>
    <row r="96" spans="1:5" ht="12.75" customHeight="1">
      <c r="A96" s="65"/>
    </row>
    <row r="97" spans="1:5" ht="12.75" customHeight="1">
      <c r="A97" s="65"/>
    </row>
    <row r="98" spans="1:5" ht="12.75" customHeight="1">
      <c r="A98" s="65"/>
    </row>
    <row r="100" spans="1:5" ht="12.75" customHeight="1">
      <c r="C100" s="1687" t="s">
        <v>13</v>
      </c>
      <c r="D100" s="1687"/>
    </row>
    <row r="101" spans="1:5" ht="12.75" customHeight="1">
      <c r="C101" s="1687"/>
      <c r="D101" s="1687"/>
    </row>
    <row r="102" spans="1:5" ht="12.75" customHeight="1">
      <c r="C102" s="69" t="s">
        <v>14</v>
      </c>
      <c r="D102" s="60">
        <f>'TAMU Sum'!B36</f>
        <v>607752075</v>
      </c>
      <c r="E102" s="680">
        <f>ROUND(D102/$D$114,3)</f>
        <v>0.32100000000000001</v>
      </c>
    </row>
    <row r="103" spans="1:5" ht="12.75" customHeight="1">
      <c r="C103" s="69" t="s">
        <v>15</v>
      </c>
      <c r="D103" s="60">
        <f>'TAMU Sum'!B37</f>
        <v>224855845</v>
      </c>
      <c r="E103" s="680">
        <f t="shared" ref="E103:E112" si="2">ROUND(D103/$D$114,3)</f>
        <v>0.11899999999999999</v>
      </c>
    </row>
    <row r="104" spans="1:5" ht="12.75" customHeight="1">
      <c r="C104" s="69" t="s">
        <v>16</v>
      </c>
      <c r="D104" s="60">
        <f>'TAMU Sum'!B38</f>
        <v>18749990</v>
      </c>
      <c r="E104" s="680">
        <f t="shared" si="2"/>
        <v>0.01</v>
      </c>
    </row>
    <row r="105" spans="1:5" ht="12.75" customHeight="1">
      <c r="C105" s="69" t="s">
        <v>17</v>
      </c>
      <c r="D105" s="60">
        <f>'TAMU Sum'!B39</f>
        <v>255512124</v>
      </c>
      <c r="E105" s="680">
        <f t="shared" si="2"/>
        <v>0.13500000000000001</v>
      </c>
    </row>
    <row r="106" spans="1:5" ht="12.75" customHeight="1">
      <c r="C106" s="69" t="s">
        <v>18</v>
      </c>
      <c r="D106" s="60">
        <f>'TAMU Sum'!B40</f>
        <v>82192718</v>
      </c>
      <c r="E106" s="680">
        <f t="shared" si="2"/>
        <v>4.2999999999999997E-2</v>
      </c>
    </row>
    <row r="107" spans="1:5" ht="12.75" customHeight="1">
      <c r="C107" s="69" t="s">
        <v>19</v>
      </c>
      <c r="D107" s="60">
        <f>'TAMU Sum'!B41</f>
        <v>87315089</v>
      </c>
      <c r="E107" s="680">
        <f t="shared" si="2"/>
        <v>4.5999999999999999E-2</v>
      </c>
    </row>
    <row r="108" spans="1:5" ht="12.75" customHeight="1">
      <c r="C108" s="69" t="s">
        <v>78</v>
      </c>
      <c r="D108" s="60">
        <f>'TAMU Sum'!B42</f>
        <v>173807317</v>
      </c>
      <c r="E108" s="680">
        <f t="shared" si="2"/>
        <v>9.1999999999999998E-2</v>
      </c>
    </row>
    <row r="109" spans="1:5" ht="12.75" customHeight="1">
      <c r="C109" s="69" t="s">
        <v>79</v>
      </c>
      <c r="D109" s="60">
        <f>'TAMU Sum'!B43</f>
        <v>141370145</v>
      </c>
      <c r="E109" s="680">
        <f t="shared" si="2"/>
        <v>7.4999999999999997E-2</v>
      </c>
    </row>
    <row r="110" spans="1:5" ht="12.75" customHeight="1">
      <c r="C110" s="69" t="s">
        <v>22</v>
      </c>
      <c r="D110" s="60">
        <f>'TAMU Sum'!B44</f>
        <v>205852290</v>
      </c>
      <c r="E110" s="680">
        <f t="shared" si="2"/>
        <v>0.109</v>
      </c>
    </row>
    <row r="111" spans="1:5" ht="12.75" customHeight="1">
      <c r="C111" s="64" t="s">
        <v>29</v>
      </c>
      <c r="D111" s="60">
        <f>'TAMU Sum'!B45</f>
        <v>48790007</v>
      </c>
      <c r="E111" s="680">
        <f t="shared" si="2"/>
        <v>2.5999999999999999E-2</v>
      </c>
    </row>
    <row r="112" spans="1:5" ht="12.75" customHeight="1">
      <c r="C112" s="64" t="s">
        <v>53</v>
      </c>
      <c r="D112" s="60">
        <f>'TAMU Sum'!B46</f>
        <v>46221503</v>
      </c>
      <c r="E112" s="680">
        <f t="shared" si="2"/>
        <v>2.4E-2</v>
      </c>
    </row>
    <row r="113" spans="3:5" ht="12.75" customHeight="1">
      <c r="C113" s="57"/>
      <c r="D113" s="57"/>
    </row>
    <row r="114" spans="3:5" ht="12.75" customHeight="1">
      <c r="C114" s="70" t="s">
        <v>69</v>
      </c>
      <c r="D114" s="62">
        <f>SUM(D102:D113)</f>
        <v>1892419103</v>
      </c>
      <c r="E114" s="681">
        <f>SUM(E102:E113)</f>
        <v>1</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86" t="str">
        <f>C114&amp;" "&amp;TEXT(D114,"$#,###")</f>
        <v>Total Operating Uses $1,892,419,103</v>
      </c>
    </row>
    <row r="137" spans="1:1" ht="12.75" customHeight="1">
      <c r="A137" s="1686"/>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39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ransitionEvaluation="1" transitionEntry="1" codeName="Sheet44">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'TAMU Chrts'!$A$1</f>
        <v>Texas A&amp;M University</v>
      </c>
      <c r="B1" s="74"/>
      <c r="C1" s="1"/>
      <c r="D1" s="1704" t="s">
        <v>1200</v>
      </c>
      <c r="E1" s="1705"/>
      <c r="F1" s="1757" t="s">
        <v>1196</v>
      </c>
      <c r="G1" s="1706"/>
      <c r="H1" s="1706"/>
      <c r="I1" s="1706"/>
      <c r="J1" s="1707" t="s">
        <v>1197</v>
      </c>
      <c r="K1" s="1695"/>
      <c r="L1" s="1695"/>
      <c r="M1" s="1695"/>
      <c r="N1" s="1695"/>
      <c r="O1" s="1696"/>
    </row>
    <row r="2" spans="1:15" ht="15.75">
      <c r="A2" s="76" t="str">
        <f>'Smmy Chrts'!$A$2</f>
        <v>For the Year Ended August 31, 2021</v>
      </c>
      <c r="B2" s="74"/>
      <c r="C2" s="1"/>
      <c r="D2" s="37"/>
      <c r="E2" s="37"/>
      <c r="F2" s="37"/>
      <c r="J2" s="37"/>
      <c r="K2" s="37"/>
      <c r="L2" s="37"/>
      <c r="M2" s="37"/>
    </row>
    <row r="3" spans="1:15" ht="15.75">
      <c r="A3" s="76" t="str">
        <f>'Smmy Chrts'!$A$3</f>
        <v>Source: FY 2021 Annual Financial Report</v>
      </c>
      <c r="B3" s="74"/>
      <c r="C3" s="1"/>
    </row>
    <row r="4" spans="1:15" ht="13.5" customHeight="1">
      <c r="B4" s="77"/>
      <c r="C4" s="4"/>
      <c r="D4" s="1711" t="s">
        <v>1142</v>
      </c>
      <c r="E4" s="1711" t="s">
        <v>1143</v>
      </c>
      <c r="F4" s="266"/>
    </row>
    <row r="5" spans="1:15" ht="18">
      <c r="A5" s="39" t="str">
        <f>'Smmy Chrts'!$C$35</f>
        <v>Summary Worksheet FY 2021</v>
      </c>
      <c r="B5" s="40" t="s">
        <v>86</v>
      </c>
      <c r="C5" s="40" t="s">
        <v>129</v>
      </c>
      <c r="D5" s="1712"/>
      <c r="E5" s="1712"/>
      <c r="F5" s="266"/>
      <c r="G5" s="799" t="s">
        <v>1198</v>
      </c>
      <c r="I5" s="822" t="s">
        <v>2157</v>
      </c>
      <c r="J5" s="792" t="s">
        <v>1144</v>
      </c>
    </row>
    <row r="6" spans="1:15" ht="13.5" customHeight="1">
      <c r="A6" s="78" t="s">
        <v>266</v>
      </c>
      <c r="B6" s="41"/>
      <c r="C6" s="42">
        <f>VLOOKUP($A$1,FTSELU,12,FALSE)</f>
        <v>58149.98</v>
      </c>
      <c r="J6" s="712"/>
    </row>
    <row r="7" spans="1:15">
      <c r="I7" s="824" t="s">
        <v>1162</v>
      </c>
      <c r="J7" s="827"/>
    </row>
    <row r="8" spans="1:15">
      <c r="A8" s="81" t="s">
        <v>71</v>
      </c>
      <c r="B8" s="81"/>
      <c r="C8" s="24"/>
      <c r="I8" s="896">
        <f>VLOOKUP(A1,FTSELU,14,FALSE)</f>
        <v>4745.28</v>
      </c>
      <c r="J8" s="712"/>
    </row>
    <row r="9" spans="1:15" ht="12.75" customHeight="1" thickBot="1">
      <c r="A9" s="78" t="s">
        <v>0</v>
      </c>
      <c r="B9" s="82"/>
      <c r="C9" s="7"/>
      <c r="J9" s="712"/>
    </row>
    <row r="10" spans="1:15" ht="12.75" customHeight="1" thickTop="1">
      <c r="A10" s="75" t="s">
        <v>1</v>
      </c>
      <c r="B10" s="83">
        <f>'TAMU FGD'!M10</f>
        <v>367550412</v>
      </c>
      <c r="C10" s="83">
        <f>ROUND(B10/$C$6,0)</f>
        <v>6321</v>
      </c>
      <c r="D10" s="512">
        <f>'TAMU FGD'!F10</f>
        <v>0</v>
      </c>
      <c r="E10" s="512"/>
      <c r="F10" s="84">
        <f>B10-(SUM(D10:E10))</f>
        <v>367550412</v>
      </c>
      <c r="G10" s="1143" t="s">
        <v>1</v>
      </c>
      <c r="H10" s="1144"/>
      <c r="I10" s="825" t="s">
        <v>1161</v>
      </c>
      <c r="J10" s="713">
        <f>ROUND(F10/$C$6,0)</f>
        <v>6321</v>
      </c>
    </row>
    <row r="11" spans="1:15" ht="12.75" customHeight="1" thickBot="1">
      <c r="A11" s="75" t="s">
        <v>2</v>
      </c>
      <c r="B11" s="86">
        <f>'TAMU FGD'!M11</f>
        <v>81571094</v>
      </c>
      <c r="C11" s="87">
        <f t="shared" ref="C11:C14" si="0">ROUND(B11/$C$6,0)</f>
        <v>1403</v>
      </c>
      <c r="D11" s="86">
        <f>'TAMU FGD'!F11</f>
        <v>0</v>
      </c>
      <c r="E11" s="74"/>
      <c r="F11" s="606">
        <f t="shared" ref="F11:F14" si="1">B11-(SUM(D11:E11))</f>
        <v>81571094</v>
      </c>
      <c r="G11" s="1148">
        <f>SUM(F10:F11)</f>
        <v>449121506</v>
      </c>
      <c r="H11" s="715"/>
      <c r="I11" s="1373">
        <f>ROUND($G$11/$C$6,0)</f>
        <v>7724</v>
      </c>
      <c r="J11" s="716">
        <f t="shared" ref="J11:J14" si="2">ROUND(F11/$C$6,0)</f>
        <v>1403</v>
      </c>
    </row>
    <row r="12" spans="1:15" ht="12.75" hidden="1" customHeight="1" thickTop="1" thickBot="1">
      <c r="A12" s="75" t="s">
        <v>1410</v>
      </c>
      <c r="B12" s="86"/>
      <c r="C12" s="87"/>
      <c r="D12" s="86"/>
      <c r="E12" s="74"/>
      <c r="F12" s="607"/>
      <c r="J12" s="716"/>
      <c r="O12" s="608"/>
    </row>
    <row r="13" spans="1:15" ht="12.75" customHeight="1" thickTop="1">
      <c r="A13" s="75" t="s">
        <v>1368</v>
      </c>
      <c r="B13" s="86">
        <f>'TAMU FGD'!M13</f>
        <v>0</v>
      </c>
      <c r="C13" s="87">
        <f t="shared" si="0"/>
        <v>0</v>
      </c>
      <c r="D13" s="86">
        <f>'TAMU FGD'!F13</f>
        <v>0</v>
      </c>
      <c r="E13" s="74"/>
      <c r="F13" s="893">
        <f t="shared" si="1"/>
        <v>0</v>
      </c>
      <c r="G13" s="882" t="s">
        <v>81</v>
      </c>
      <c r="H13" s="894"/>
      <c r="I13" s="826" t="s">
        <v>1163</v>
      </c>
      <c r="J13" s="716">
        <f t="shared" si="2"/>
        <v>0</v>
      </c>
    </row>
    <row r="14" spans="1:15" ht="12.75" customHeight="1" thickBot="1">
      <c r="A14" s="75" t="s">
        <v>49</v>
      </c>
      <c r="B14" s="86">
        <f>'TAMU FGD'!M14</f>
        <v>201614294</v>
      </c>
      <c r="C14" s="87">
        <f t="shared" si="0"/>
        <v>3467</v>
      </c>
      <c r="D14" s="86">
        <f>'TAMU FGD'!F14</f>
        <v>0</v>
      </c>
      <c r="E14" s="74"/>
      <c r="F14" s="607">
        <f t="shared" si="1"/>
        <v>201614294</v>
      </c>
      <c r="G14" s="800">
        <f>SUM(F13:F14)</f>
        <v>201614294</v>
      </c>
      <c r="H14" s="895"/>
      <c r="I14" s="1377">
        <f>ROUND($G$11/$I$8,0)</f>
        <v>94646</v>
      </c>
      <c r="J14" s="828">
        <f t="shared" si="2"/>
        <v>3467</v>
      </c>
    </row>
    <row r="15" spans="1:15" ht="12.75" customHeight="1" thickTop="1">
      <c r="A15" s="88" t="s">
        <v>3</v>
      </c>
      <c r="B15" s="89">
        <f>SUM(B10:B14)</f>
        <v>650735800</v>
      </c>
      <c r="C15" s="89">
        <f>SUM(C10:C14)</f>
        <v>11191</v>
      </c>
      <c r="D15" s="89">
        <f>SUM(D10:D14)</f>
        <v>0</v>
      </c>
      <c r="E15" s="89">
        <f>SUM(E10:E14)</f>
        <v>0</v>
      </c>
      <c r="F15" s="216">
        <f>SUM(F10:F14)</f>
        <v>650735800</v>
      </c>
      <c r="I15" s="1372"/>
      <c r="J15" s="757">
        <f>SUM(J10:J14)</f>
        <v>11191</v>
      </c>
    </row>
    <row r="16" spans="1:15">
      <c r="B16" s="48"/>
      <c r="C16" s="75"/>
      <c r="J16" s="712"/>
    </row>
    <row r="17" spans="1:31" ht="12.75" customHeight="1">
      <c r="A17" s="78" t="s">
        <v>4</v>
      </c>
      <c r="B17" s="86"/>
      <c r="C17" s="75"/>
      <c r="J17" s="712"/>
    </row>
    <row r="18" spans="1:31">
      <c r="A18" s="75" t="s">
        <v>39</v>
      </c>
      <c r="B18" s="83">
        <f>'TAMU FGD'!M29</f>
        <v>442482523</v>
      </c>
      <c r="C18" s="83">
        <f t="shared" ref="C18:C19" si="3">ROUND(B18/$C$6,0)</f>
        <v>7609</v>
      </c>
      <c r="D18" s="512">
        <f>'TAMU FGD'!$F$29</f>
        <v>0</v>
      </c>
      <c r="E18" s="512"/>
      <c r="F18" s="512">
        <f t="shared" ref="F18:F19" si="4">B18-(SUM(D18:E18))</f>
        <v>442482523</v>
      </c>
      <c r="G18" s="337"/>
      <c r="H18" s="337"/>
      <c r="I18" s="337"/>
      <c r="J18" s="713">
        <f>ROUND(F18/$C$6,0)</f>
        <v>7609</v>
      </c>
    </row>
    <row r="19" spans="1:31" ht="13.5" thickBot="1">
      <c r="A19" s="75" t="s">
        <v>40</v>
      </c>
      <c r="B19" s="86">
        <f>'TAMU FGD'!M42</f>
        <v>237148345</v>
      </c>
      <c r="C19" s="87">
        <f t="shared" si="3"/>
        <v>4078</v>
      </c>
      <c r="D19" s="74">
        <f>'TAMU FGD'!$F$42</f>
        <v>31913551</v>
      </c>
      <c r="E19" s="74"/>
      <c r="F19" s="74">
        <f t="shared" si="4"/>
        <v>205234794</v>
      </c>
      <c r="G19" s="337"/>
      <c r="H19" s="337"/>
      <c r="I19" s="337"/>
      <c r="J19" s="716">
        <f>ROUND(F19/$C$6,0)</f>
        <v>3529</v>
      </c>
    </row>
    <row r="20" spans="1:31" ht="14.25" thickTop="1" thickBot="1">
      <c r="A20" s="88" t="s">
        <v>5</v>
      </c>
      <c r="B20" s="89">
        <f>SUM(B18:B19)</f>
        <v>679630868</v>
      </c>
      <c r="C20" s="89">
        <f>SUM(C18:C19)</f>
        <v>11687</v>
      </c>
      <c r="D20" s="717">
        <f>SUM(D18:D19)</f>
        <v>31913551</v>
      </c>
      <c r="E20" s="718">
        <f>SUM(E18:E19)</f>
        <v>0</v>
      </c>
      <c r="F20" s="801">
        <f>SUM(F18:F19)</f>
        <v>647717317</v>
      </c>
      <c r="G20" s="720" t="s">
        <v>26</v>
      </c>
      <c r="H20" s="366"/>
      <c r="I20" s="367"/>
      <c r="J20" s="721">
        <f>SUM(J18:J19)</f>
        <v>11138</v>
      </c>
    </row>
    <row r="21" spans="1:31" ht="12.75" customHeight="1" thickTop="1">
      <c r="B21" s="91"/>
      <c r="C21" s="75"/>
      <c r="F21" s="804"/>
      <c r="J21" s="712"/>
    </row>
    <row r="22" spans="1:31" ht="14.25" customHeight="1" thickBot="1">
      <c r="A22" s="78" t="s">
        <v>6</v>
      </c>
      <c r="B22" s="91"/>
      <c r="C22" s="75"/>
      <c r="J22" s="712"/>
    </row>
    <row r="23" spans="1:31" ht="14.25" thickTop="1" thickBot="1">
      <c r="A23" s="88" t="s">
        <v>7</v>
      </c>
      <c r="B23" s="92">
        <f>'TAMU FGD'!M47</f>
        <v>272642791</v>
      </c>
      <c r="C23" s="89">
        <f t="shared" ref="C23" si="5">ROUND(B23/$C$6,0)</f>
        <v>4689</v>
      </c>
      <c r="D23" s="717">
        <f>'TAMU FGD'!F47</f>
        <v>0</v>
      </c>
      <c r="E23" s="718"/>
      <c r="F23" s="801">
        <f>B23-(SUM(D23:E23))</f>
        <v>272642791</v>
      </c>
      <c r="G23" s="722" t="s">
        <v>74</v>
      </c>
      <c r="H23" s="366"/>
      <c r="I23" s="367"/>
      <c r="J23" s="756">
        <f>ROUND(F23/$C$6,0)</f>
        <v>4689</v>
      </c>
    </row>
    <row r="24" spans="1:31" ht="13.5" thickTop="1">
      <c r="B24" s="91"/>
      <c r="C24" s="75"/>
      <c r="J24" s="712"/>
    </row>
    <row r="25" spans="1:31">
      <c r="A25" s="78" t="s">
        <v>8</v>
      </c>
      <c r="B25" s="91"/>
      <c r="C25" s="75"/>
      <c r="J25" s="712"/>
    </row>
    <row r="26" spans="1:31">
      <c r="A26" s="75" t="s">
        <v>42</v>
      </c>
      <c r="B26" s="83">
        <f>'TAMU FGD'!M50</f>
        <v>115100531</v>
      </c>
      <c r="C26" s="83">
        <f t="shared" ref="C26:C31" si="6">ROUND(B26/$C$6,0)</f>
        <v>1979</v>
      </c>
      <c r="D26" s="512">
        <f>'TAMU FGD'!F50</f>
        <v>9405062</v>
      </c>
      <c r="E26" s="512"/>
      <c r="F26" s="512">
        <f t="shared" ref="F26:F31" si="7">B26-(SUM(D26:E26))</f>
        <v>105695469</v>
      </c>
      <c r="G26" s="337"/>
      <c r="H26" s="337"/>
      <c r="I26" s="337"/>
      <c r="J26" s="713">
        <f>ROUND(F26/$C$6,0)</f>
        <v>1818</v>
      </c>
    </row>
    <row r="27" spans="1:31">
      <c r="A27" s="75" t="s">
        <v>9</v>
      </c>
      <c r="B27" s="86">
        <f>'TAMU FGD'!M51</f>
        <v>0</v>
      </c>
      <c r="C27" s="87">
        <f t="shared" si="6"/>
        <v>0</v>
      </c>
      <c r="D27" s="86">
        <f>'TAMU FGD'!F51</f>
        <v>0</v>
      </c>
      <c r="E27" s="74"/>
      <c r="F27" s="74">
        <f t="shared" si="7"/>
        <v>0</v>
      </c>
      <c r="G27" s="337"/>
      <c r="H27" s="337"/>
      <c r="I27" s="337"/>
      <c r="J27" s="716">
        <f t="shared" ref="J27:J31" si="8">ROUND(F27/$C$6,0)</f>
        <v>0</v>
      </c>
    </row>
    <row r="28" spans="1:31" ht="13.5" thickBot="1">
      <c r="A28" s="75" t="s">
        <v>10</v>
      </c>
      <c r="B28" s="86">
        <f>'TAMU FGD'!M52</f>
        <v>214195659</v>
      </c>
      <c r="C28" s="87">
        <f t="shared" si="6"/>
        <v>3684</v>
      </c>
      <c r="D28" s="86">
        <f>'TAMU FGD'!F52</f>
        <v>22286200</v>
      </c>
      <c r="E28" s="74"/>
      <c r="F28" s="74">
        <f t="shared" si="7"/>
        <v>191909459</v>
      </c>
      <c r="G28" s="337"/>
      <c r="H28" s="337"/>
      <c r="I28" s="337"/>
      <c r="J28" s="716">
        <f t="shared" si="8"/>
        <v>3300</v>
      </c>
    </row>
    <row r="29" spans="1:31" ht="13.5" thickBot="1">
      <c r="A29" s="75" t="s">
        <v>11</v>
      </c>
      <c r="B29" s="86">
        <f>'TAMU FGD'!M53</f>
        <v>151364386</v>
      </c>
      <c r="C29" s="87">
        <f t="shared" si="6"/>
        <v>2603</v>
      </c>
      <c r="D29" s="86">
        <f>'TAMU FGD'!F53</f>
        <v>0</v>
      </c>
      <c r="E29" s="74"/>
      <c r="F29" s="74">
        <f t="shared" si="7"/>
        <v>151364386</v>
      </c>
      <c r="G29" s="337"/>
      <c r="H29" s="337"/>
      <c r="I29" s="337"/>
      <c r="J29" s="716">
        <f t="shared" si="8"/>
        <v>2603</v>
      </c>
      <c r="K29" s="1694" t="s">
        <v>1065</v>
      </c>
      <c r="L29" s="1695"/>
      <c r="M29" s="1695"/>
      <c r="N29" s="1695"/>
      <c r="O29" s="1696"/>
    </row>
    <row r="30" spans="1:31" ht="13.5" thickBot="1">
      <c r="A30" s="93" t="s">
        <v>2134</v>
      </c>
      <c r="B30" s="94">
        <f>'TAMU FGD'!M54</f>
        <v>189379128</v>
      </c>
      <c r="C30" s="87">
        <f t="shared" si="6"/>
        <v>3257</v>
      </c>
      <c r="D30" s="729">
        <f>B30</f>
        <v>189379128</v>
      </c>
      <c r="E30" s="74"/>
      <c r="F30" s="74">
        <f t="shared" si="7"/>
        <v>0</v>
      </c>
      <c r="G30" s="337"/>
      <c r="H30" s="337"/>
      <c r="I30" s="337"/>
      <c r="J30" s="716">
        <f t="shared" si="8"/>
        <v>0</v>
      </c>
      <c r="K30" s="1694" t="s">
        <v>1070</v>
      </c>
      <c r="L30" s="1695"/>
      <c r="M30" s="1695"/>
      <c r="N30" s="1695"/>
      <c r="O30" s="1696"/>
    </row>
    <row r="31" spans="1:31" ht="13.5" customHeight="1" thickBot="1">
      <c r="A31" s="95" t="s">
        <v>43</v>
      </c>
      <c r="B31" s="86">
        <f>'TAMU FGD'!M55</f>
        <v>58105728</v>
      </c>
      <c r="C31" s="87">
        <f t="shared" si="6"/>
        <v>999</v>
      </c>
      <c r="D31" s="86">
        <f>'TAMU FGD'!F55</f>
        <v>4172198</v>
      </c>
      <c r="E31" s="74"/>
      <c r="F31" s="74">
        <f t="shared" si="7"/>
        <v>53933530</v>
      </c>
      <c r="G31" s="35"/>
      <c r="H31" s="35"/>
      <c r="I31" s="38"/>
      <c r="J31" s="716">
        <f t="shared" si="8"/>
        <v>927</v>
      </c>
      <c r="K31" s="1697" t="s">
        <v>1073</v>
      </c>
      <c r="L31" s="1697" t="s">
        <v>1071</v>
      </c>
      <c r="M31" s="1697" t="s">
        <v>1072</v>
      </c>
      <c r="N31" s="1697" t="s">
        <v>1240</v>
      </c>
      <c r="O31" s="1697"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728145432</v>
      </c>
      <c r="C32" s="89">
        <f>SUM(C26:C31)</f>
        <v>12522</v>
      </c>
      <c r="D32" s="723">
        <f>SUM(D26:D31)</f>
        <v>225242588</v>
      </c>
      <c r="E32" s="723">
        <f>SUM(E26:E31)</f>
        <v>0</v>
      </c>
      <c r="F32" s="802">
        <f>SUM(F26:F31)</f>
        <v>502902844</v>
      </c>
      <c r="G32" s="1708" t="s">
        <v>8</v>
      </c>
      <c r="H32" s="1709"/>
      <c r="I32" s="783" t="s">
        <v>1166</v>
      </c>
      <c r="J32" s="725">
        <f>SUM(J26:J31)</f>
        <v>8648</v>
      </c>
      <c r="K32" s="1698"/>
      <c r="L32" s="1698"/>
      <c r="M32" s="1698"/>
      <c r="N32" s="1698" t="s">
        <v>1074</v>
      </c>
      <c r="O32" s="1698" t="s">
        <v>1075</v>
      </c>
    </row>
    <row r="33" spans="1:31" ht="14.25" thickTop="1" thickBot="1">
      <c r="A33" s="97" t="s">
        <v>68</v>
      </c>
      <c r="B33" s="52">
        <f>B15+B20+B23+B32</f>
        <v>2331154891</v>
      </c>
      <c r="C33" s="45">
        <f>C15+C20+C23+C32</f>
        <v>40089</v>
      </c>
      <c r="D33" s="52">
        <f>D15+D20+D23+D32</f>
        <v>257156139</v>
      </c>
      <c r="E33" s="52">
        <f>E15+E20+E23+E32</f>
        <v>0</v>
      </c>
      <c r="F33" s="724">
        <f>F15+F20+F23+F32</f>
        <v>2073998752</v>
      </c>
      <c r="G33" s="1758" t="s">
        <v>84</v>
      </c>
      <c r="H33" s="1759"/>
      <c r="I33" s="1375">
        <f>ROUND($G$35/$C$6,0)</f>
        <v>32199</v>
      </c>
      <c r="J33" s="726">
        <f>J15+J20+J23+J32</f>
        <v>35666</v>
      </c>
      <c r="K33" s="1698"/>
      <c r="L33" s="1698"/>
      <c r="M33" s="1698"/>
      <c r="N33" s="1698"/>
      <c r="O33" s="1698"/>
    </row>
    <row r="34" spans="1:31" ht="14.25" thickTop="1" thickBot="1">
      <c r="B34" s="98"/>
      <c r="C34" s="75"/>
      <c r="D34" s="337"/>
      <c r="E34" s="337"/>
      <c r="F34" s="337" t="s">
        <v>1199</v>
      </c>
      <c r="G34" s="787">
        <f>G14*-1</f>
        <v>-201614294</v>
      </c>
      <c r="H34" s="337"/>
      <c r="I34" s="783" t="s">
        <v>1167</v>
      </c>
      <c r="J34" s="727"/>
      <c r="K34" s="1699"/>
      <c r="L34" s="1699"/>
      <c r="M34" s="1699"/>
      <c r="N34" s="1699"/>
      <c r="O34" s="1699"/>
    </row>
    <row r="35" spans="1:31" ht="14.25" thickTop="1" thickBot="1">
      <c r="A35" s="81" t="s">
        <v>72</v>
      </c>
      <c r="B35" s="81"/>
      <c r="C35" s="81"/>
      <c r="D35" s="728"/>
      <c r="E35" s="728"/>
      <c r="F35" s="788" t="s">
        <v>1165</v>
      </c>
      <c r="G35" s="803">
        <f>F33+G34</f>
        <v>1872384458</v>
      </c>
      <c r="I35" s="1376">
        <f>ROUND($G$35/$I$8,0)</f>
        <v>394578</v>
      </c>
      <c r="K35" s="609"/>
      <c r="L35" s="609"/>
      <c r="M35" s="609"/>
      <c r="N35" s="609"/>
      <c r="O35" s="609"/>
    </row>
    <row r="36" spans="1:31" ht="13.5" thickTop="1">
      <c r="A36" s="99" t="s">
        <v>14</v>
      </c>
      <c r="B36" s="83">
        <f>'TAMU FGD'!M60</f>
        <v>607752075</v>
      </c>
      <c r="C36" s="83">
        <f t="shared" ref="C36:C46" si="9">ROUND(B36/$C$6,0)</f>
        <v>10451</v>
      </c>
      <c r="D36" s="512">
        <f>'TAMU FGD'!F60</f>
        <v>0</v>
      </c>
      <c r="E36" s="512"/>
      <c r="F36" s="512">
        <f t="shared" ref="F36:F46" si="10">B36-(SUM(D36:E36))</f>
        <v>607752075</v>
      </c>
      <c r="G36" s="337"/>
      <c r="H36" s="1378" t="s">
        <v>2158</v>
      </c>
      <c r="I36" s="1379">
        <f>ROUND(F36/$C$6,0)</f>
        <v>10451</v>
      </c>
      <c r="J36" s="337" t="s">
        <v>752</v>
      </c>
      <c r="K36" s="512">
        <f>F36</f>
        <v>607752075</v>
      </c>
      <c r="L36" s="512">
        <f>K36</f>
        <v>607752075</v>
      </c>
      <c r="M36" s="512"/>
      <c r="N36" s="512"/>
      <c r="O36" s="512"/>
    </row>
    <row r="37" spans="1:31">
      <c r="A37" s="99" t="s">
        <v>15</v>
      </c>
      <c r="B37" s="86">
        <f>'TAMU FGD'!M61</f>
        <v>224855845</v>
      </c>
      <c r="C37" s="87">
        <f t="shared" si="9"/>
        <v>3867</v>
      </c>
      <c r="D37" s="86">
        <f>'TAMU FGD'!F61</f>
        <v>0</v>
      </c>
      <c r="E37" s="74"/>
      <c r="F37" s="74">
        <f t="shared" si="10"/>
        <v>224855845</v>
      </c>
      <c r="G37" s="337"/>
      <c r="H37" s="337"/>
      <c r="J37" s="337" t="s">
        <v>1076</v>
      </c>
      <c r="K37" s="373">
        <f>F37</f>
        <v>224855845</v>
      </c>
      <c r="L37" s="373">
        <f>K37</f>
        <v>224855845</v>
      </c>
      <c r="M37" s="373"/>
      <c r="N37" s="373"/>
      <c r="O37" s="373"/>
    </row>
    <row r="38" spans="1:31">
      <c r="A38" s="99" t="s">
        <v>16</v>
      </c>
      <c r="B38" s="86">
        <f>'TAMU FGD'!M62</f>
        <v>18749990</v>
      </c>
      <c r="C38" s="87">
        <f t="shared" si="9"/>
        <v>322</v>
      </c>
      <c r="D38" s="86">
        <f>'TAMU FGD'!F62</f>
        <v>0</v>
      </c>
      <c r="E38" s="86">
        <f>B38-D38</f>
        <v>18749990</v>
      </c>
      <c r="F38" s="74">
        <f t="shared" si="10"/>
        <v>0</v>
      </c>
      <c r="G38" s="337"/>
      <c r="H38" s="337"/>
      <c r="I38" s="337"/>
      <c r="J38" s="337" t="s">
        <v>1077</v>
      </c>
      <c r="K38" s="736"/>
      <c r="L38" s="737"/>
      <c r="M38" s="737" t="s">
        <v>1152</v>
      </c>
      <c r="N38" s="737"/>
      <c r="O38" s="738"/>
    </row>
    <row r="39" spans="1:31">
      <c r="A39" s="99" t="s">
        <v>17</v>
      </c>
      <c r="B39" s="86">
        <f>'TAMU FGD'!M63</f>
        <v>255512124</v>
      </c>
      <c r="C39" s="87">
        <f t="shared" si="9"/>
        <v>4394</v>
      </c>
      <c r="D39" s="86">
        <f>'TAMU FGD'!F63</f>
        <v>0</v>
      </c>
      <c r="E39" s="74"/>
      <c r="F39" s="74">
        <f t="shared" si="10"/>
        <v>255512124</v>
      </c>
      <c r="G39" s="337"/>
      <c r="H39" s="1378" t="s">
        <v>2159</v>
      </c>
      <c r="I39" s="1379">
        <f>ROUND(F39/$C$6,0)</f>
        <v>4394</v>
      </c>
      <c r="J39" s="337" t="s">
        <v>1078</v>
      </c>
      <c r="K39" s="373">
        <f t="shared" ref="K39:K43" si="11">F39</f>
        <v>255512124</v>
      </c>
      <c r="L39" s="373">
        <f>K39</f>
        <v>255512124</v>
      </c>
      <c r="M39" s="373"/>
      <c r="N39" s="373"/>
      <c r="O39" s="373"/>
    </row>
    <row r="40" spans="1:31">
      <c r="A40" s="99" t="s">
        <v>18</v>
      </c>
      <c r="B40" s="86">
        <f>'TAMU FGD'!M64</f>
        <v>82192718</v>
      </c>
      <c r="C40" s="87">
        <f t="shared" si="9"/>
        <v>1413</v>
      </c>
      <c r="D40" s="86">
        <f>'TAMU FGD'!F64</f>
        <v>0</v>
      </c>
      <c r="E40" s="74"/>
      <c r="F40" s="74">
        <f t="shared" si="10"/>
        <v>82192718</v>
      </c>
      <c r="G40" s="337"/>
      <c r="J40" s="337" t="s">
        <v>1079</v>
      </c>
      <c r="K40" s="373">
        <f t="shared" si="11"/>
        <v>82192718</v>
      </c>
      <c r="L40" s="373"/>
      <c r="M40" s="373">
        <f>K40</f>
        <v>82192718</v>
      </c>
      <c r="N40" s="373"/>
      <c r="O40" s="373"/>
    </row>
    <row r="41" spans="1:31">
      <c r="A41" s="99" t="s">
        <v>19</v>
      </c>
      <c r="B41" s="86">
        <f>'TAMU FGD'!M65</f>
        <v>87315089</v>
      </c>
      <c r="C41" s="87">
        <f t="shared" si="9"/>
        <v>1502</v>
      </c>
      <c r="D41" s="86">
        <f>'TAMU FGD'!F65</f>
        <v>0</v>
      </c>
      <c r="E41" s="74"/>
      <c r="F41" s="74">
        <f t="shared" si="10"/>
        <v>87315089</v>
      </c>
      <c r="G41" s="337"/>
      <c r="H41" s="1378" t="s">
        <v>2160</v>
      </c>
      <c r="I41" s="1379">
        <f>ROUND(F41/$C$6,0)</f>
        <v>1502</v>
      </c>
      <c r="J41" s="337" t="s">
        <v>757</v>
      </c>
      <c r="K41" s="373">
        <f t="shared" si="11"/>
        <v>87315089</v>
      </c>
      <c r="L41" s="373"/>
      <c r="M41" s="373"/>
      <c r="N41" s="373">
        <f>K41</f>
        <v>87315089</v>
      </c>
      <c r="O41" s="373"/>
    </row>
    <row r="42" spans="1:31">
      <c r="A42" s="99" t="s">
        <v>20</v>
      </c>
      <c r="B42" s="86">
        <f>'TAMU FGD'!M66</f>
        <v>173807317</v>
      </c>
      <c r="C42" s="87">
        <f t="shared" si="9"/>
        <v>2989</v>
      </c>
      <c r="D42" s="86">
        <f>'TAMU FGD'!F66</f>
        <v>0</v>
      </c>
      <c r="E42" s="74"/>
      <c r="F42" s="74">
        <f t="shared" si="10"/>
        <v>173807317</v>
      </c>
      <c r="G42" s="337"/>
      <c r="J42" s="337" t="s">
        <v>758</v>
      </c>
      <c r="K42" s="373">
        <f t="shared" si="11"/>
        <v>173807317</v>
      </c>
      <c r="L42" s="373"/>
      <c r="M42" s="373"/>
      <c r="N42" s="373">
        <f>K42</f>
        <v>173807317</v>
      </c>
      <c r="O42" s="373"/>
    </row>
    <row r="43" spans="1:31">
      <c r="A43" s="99" t="s">
        <v>21</v>
      </c>
      <c r="B43" s="86">
        <f>'TAMU FGD'!M67</f>
        <v>141370145</v>
      </c>
      <c r="C43" s="87">
        <f t="shared" si="9"/>
        <v>2431</v>
      </c>
      <c r="D43" s="86">
        <f>'TAMU FGD'!F67</f>
        <v>0</v>
      </c>
      <c r="E43" s="74"/>
      <c r="F43" s="74">
        <f t="shared" si="10"/>
        <v>141370145</v>
      </c>
      <c r="G43" s="337"/>
      <c r="H43" s="337"/>
      <c r="I43" s="337"/>
      <c r="J43" s="337" t="s">
        <v>1145</v>
      </c>
      <c r="K43" s="373">
        <f t="shared" si="11"/>
        <v>141370145</v>
      </c>
      <c r="L43" s="373"/>
      <c r="M43" s="373">
        <f>K43</f>
        <v>141370145</v>
      </c>
      <c r="N43" s="373"/>
      <c r="O43" s="373"/>
    </row>
    <row r="44" spans="1:31">
      <c r="A44" s="99" t="s">
        <v>2135</v>
      </c>
      <c r="B44" s="86">
        <f>'TAMU FGD'!M68</f>
        <v>205852290</v>
      </c>
      <c r="C44" s="87">
        <f t="shared" si="9"/>
        <v>3540</v>
      </c>
      <c r="D44" s="729">
        <f>B44</f>
        <v>205852290</v>
      </c>
      <c r="E44" s="74"/>
      <c r="F44" s="74">
        <f t="shared" si="10"/>
        <v>0</v>
      </c>
      <c r="G44" s="337"/>
      <c r="H44" s="337"/>
      <c r="I44" s="337"/>
      <c r="J44" s="337" t="s">
        <v>743</v>
      </c>
      <c r="K44" s="736"/>
      <c r="L44" s="737"/>
      <c r="M44" s="737" t="s">
        <v>1152</v>
      </c>
      <c r="N44" s="737"/>
      <c r="O44" s="738"/>
    </row>
    <row r="45" spans="1:31">
      <c r="A45" s="99" t="s">
        <v>61</v>
      </c>
      <c r="B45" s="86">
        <f>'TAMU FGD'!M69</f>
        <v>48790007</v>
      </c>
      <c r="C45" s="87">
        <f t="shared" si="9"/>
        <v>839</v>
      </c>
      <c r="D45" s="86">
        <f>'TAMU FGD'!F69</f>
        <v>6100660</v>
      </c>
      <c r="E45" s="74"/>
      <c r="F45" s="74">
        <f t="shared" si="10"/>
        <v>42689347</v>
      </c>
      <c r="G45" s="337"/>
      <c r="H45" s="337"/>
      <c r="I45" s="337"/>
      <c r="J45" s="337" t="s">
        <v>1080</v>
      </c>
      <c r="K45" s="373">
        <f t="shared" ref="K45:K46" si="12">F45</f>
        <v>42689347</v>
      </c>
      <c r="L45" s="373"/>
      <c r="M45" s="373"/>
      <c r="N45" s="373"/>
      <c r="O45" s="373">
        <f>K45</f>
        <v>42689347</v>
      </c>
    </row>
    <row r="46" spans="1:31" ht="13.5" thickBot="1">
      <c r="A46" s="75" t="s">
        <v>50</v>
      </c>
      <c r="B46" s="86">
        <f>'TAMU FGD'!M70</f>
        <v>46221503</v>
      </c>
      <c r="C46" s="87">
        <f t="shared" si="9"/>
        <v>795</v>
      </c>
      <c r="D46" s="86">
        <f>'TAMU FGD'!F70</f>
        <v>2417810</v>
      </c>
      <c r="E46" s="74"/>
      <c r="F46" s="74">
        <f t="shared" si="10"/>
        <v>43803693</v>
      </c>
      <c r="G46" s="35"/>
      <c r="H46" s="1378" t="s">
        <v>2161</v>
      </c>
      <c r="I46" s="1379">
        <f>ROUND(SUM(F37+F40+F42+F43+F45+F46)/$C$6,0)</f>
        <v>12188</v>
      </c>
      <c r="J46" s="610" t="s">
        <v>1075</v>
      </c>
      <c r="K46" s="373">
        <f t="shared" si="12"/>
        <v>43803693</v>
      </c>
      <c r="L46" s="611"/>
      <c r="M46" s="611"/>
      <c r="N46" s="611"/>
      <c r="O46" s="373">
        <f>K46</f>
        <v>43803693</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1892419103</v>
      </c>
      <c r="C47" s="45">
        <f>SUM(C36:C46)</f>
        <v>32543</v>
      </c>
      <c r="D47" s="730">
        <f>SUM(D36:D46)</f>
        <v>214370760</v>
      </c>
      <c r="E47" s="731">
        <f>SUM(E36:E46)</f>
        <v>18749990</v>
      </c>
      <c r="F47" s="719">
        <f>SUM(F36:F46)</f>
        <v>1659298353</v>
      </c>
      <c r="G47" s="1688" t="s">
        <v>1176</v>
      </c>
      <c r="H47" s="1689"/>
      <c r="I47" s="785" t="s">
        <v>1164</v>
      </c>
      <c r="J47" s="610" t="s">
        <v>1081</v>
      </c>
      <c r="K47" s="612">
        <f>SUM(K36:K46)</f>
        <v>1659298353</v>
      </c>
      <c r="L47" s="612">
        <f>SUM(L36:L46)</f>
        <v>1088120044</v>
      </c>
      <c r="M47" s="612">
        <f>SUM(M36:M46)</f>
        <v>223562863</v>
      </c>
      <c r="N47" s="612">
        <f>SUM(N36:N46)</f>
        <v>261122406</v>
      </c>
      <c r="O47" s="612">
        <f>SUM(O36:O46)</f>
        <v>86493040</v>
      </c>
    </row>
    <row r="48" spans="1:31" ht="14.25" thickTop="1" thickBot="1">
      <c r="A48" s="93"/>
      <c r="B48" s="98"/>
      <c r="C48" s="75"/>
      <c r="F48" s="613"/>
      <c r="G48" s="1690"/>
      <c r="H48" s="1691"/>
      <c r="I48" s="823">
        <f>ROUND(F47/C6,0)</f>
        <v>28535</v>
      </c>
      <c r="J48" s="1700" t="s">
        <v>1082</v>
      </c>
      <c r="K48" s="611"/>
      <c r="L48" s="611"/>
      <c r="M48" s="611"/>
      <c r="N48" s="611"/>
      <c r="O48" s="611"/>
    </row>
    <row r="49" spans="1:31" ht="13.5" thickBot="1">
      <c r="A49" s="78" t="s">
        <v>23</v>
      </c>
      <c r="B49" s="82"/>
      <c r="C49" s="75"/>
      <c r="F49" s="614"/>
      <c r="G49" s="1690"/>
      <c r="H49" s="1691"/>
      <c r="I49" s="811"/>
      <c r="J49" s="1700"/>
      <c r="K49" s="615">
        <f>ROUND(K47/$C$6,2)</f>
        <v>28534.81</v>
      </c>
      <c r="L49" s="615">
        <f t="shared" ref="L49:O49" si="13">ROUND(L47/$C$6,2)</f>
        <v>18712.3</v>
      </c>
      <c r="M49" s="615">
        <f t="shared" si="13"/>
        <v>3844.59</v>
      </c>
      <c r="N49" s="615">
        <f t="shared" si="13"/>
        <v>4490.5</v>
      </c>
      <c r="O49" s="615">
        <f t="shared" si="13"/>
        <v>1487.41</v>
      </c>
      <c r="P49" s="35"/>
      <c r="Q49" s="96"/>
      <c r="R49" s="96"/>
      <c r="S49" s="96"/>
      <c r="T49" s="96"/>
      <c r="U49" s="96"/>
      <c r="V49" s="96"/>
      <c r="W49" s="96"/>
      <c r="X49" s="96"/>
      <c r="Y49" s="96"/>
      <c r="Z49" s="96"/>
      <c r="AA49" s="96"/>
      <c r="AB49" s="96"/>
      <c r="AC49" s="96"/>
      <c r="AD49" s="96"/>
      <c r="AE49" s="96"/>
    </row>
    <row r="50" spans="1:31" ht="13.5" thickBot="1">
      <c r="A50" s="75" t="s">
        <v>62</v>
      </c>
      <c r="B50" s="86">
        <f>'TAMU FGD'!M74</f>
        <v>-57478975</v>
      </c>
      <c r="C50" s="83">
        <f t="shared" ref="C50:C53" si="14">ROUND(B50/$C$6,0)</f>
        <v>-988</v>
      </c>
      <c r="D50" s="512">
        <f>'TAMU FGD'!F74</f>
        <v>0</v>
      </c>
      <c r="E50" s="512"/>
      <c r="F50" s="732">
        <f t="shared" ref="F50:F53" si="15">B50-(SUM(D50:E50))</f>
        <v>-57478975</v>
      </c>
      <c r="G50" s="1692"/>
      <c r="H50" s="1693"/>
      <c r="I50" s="808"/>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'TAMU FGD'!M75</f>
        <v>-16981815</v>
      </c>
      <c r="C51" s="87">
        <f t="shared" si="14"/>
        <v>-292</v>
      </c>
      <c r="D51" s="91">
        <f>'TAMU FGD'!F75</f>
        <v>-1722624</v>
      </c>
      <c r="E51" s="82"/>
      <c r="F51" s="74">
        <f t="shared" si="15"/>
        <v>-15259191</v>
      </c>
      <c r="G51" s="337"/>
      <c r="J51" s="337"/>
      <c r="K51" s="616"/>
      <c r="L51" s="616"/>
      <c r="M51" s="616"/>
      <c r="N51" s="616"/>
      <c r="O51" s="616"/>
    </row>
    <row r="52" spans="1:31">
      <c r="A52" s="75" t="s">
        <v>51</v>
      </c>
      <c r="B52" s="86">
        <f>'TAMU FGD'!M76</f>
        <v>0</v>
      </c>
      <c r="C52" s="87">
        <f t="shared" si="14"/>
        <v>0</v>
      </c>
      <c r="D52" s="91">
        <f>'TAMU FGD'!F76</f>
        <v>0</v>
      </c>
      <c r="E52" s="82"/>
      <c r="F52" s="74">
        <f t="shared" si="15"/>
        <v>0</v>
      </c>
      <c r="G52" s="337"/>
      <c r="J52" s="733"/>
      <c r="K52" s="733"/>
      <c r="L52" s="733"/>
      <c r="M52" s="733"/>
      <c r="N52" s="733"/>
      <c r="O52" s="733"/>
    </row>
    <row r="53" spans="1:31" ht="12" customHeight="1">
      <c r="A53" s="75" t="s">
        <v>46</v>
      </c>
      <c r="B53" s="86">
        <f>'TAMU FGD'!M77</f>
        <v>-118830460</v>
      </c>
      <c r="C53" s="87">
        <f t="shared" si="14"/>
        <v>-2044</v>
      </c>
      <c r="D53" s="91">
        <f>'TAMU FGD'!F77</f>
        <v>-62154887</v>
      </c>
      <c r="E53" s="82"/>
      <c r="F53" s="74">
        <f t="shared" si="15"/>
        <v>-56675573</v>
      </c>
      <c r="G53" s="35"/>
      <c r="J53" s="733"/>
      <c r="K53" s="733"/>
      <c r="L53" s="733"/>
      <c r="M53" s="733"/>
      <c r="N53" s="733"/>
      <c r="O53" s="733"/>
      <c r="P53" s="35"/>
      <c r="Q53" s="96"/>
      <c r="R53" s="96"/>
      <c r="S53" s="96"/>
      <c r="T53" s="96"/>
      <c r="U53" s="96"/>
      <c r="V53" s="96"/>
      <c r="W53" s="96"/>
      <c r="X53" s="96"/>
      <c r="Y53" s="96"/>
      <c r="Z53" s="96"/>
      <c r="AA53" s="96"/>
      <c r="AB53" s="96"/>
      <c r="AC53" s="96"/>
      <c r="AD53" s="96"/>
      <c r="AE53" s="96"/>
    </row>
    <row r="54" spans="1:31">
      <c r="A54" s="88" t="s">
        <v>3</v>
      </c>
      <c r="B54" s="89">
        <f>SUM(B50:B53)</f>
        <v>-193291250</v>
      </c>
      <c r="C54" s="89">
        <f>SUM(C50:C53)</f>
        <v>-3324</v>
      </c>
      <c r="D54" s="89">
        <f>SUM(D50:D53)</f>
        <v>-63877511</v>
      </c>
      <c r="E54" s="89">
        <f>SUM(E50:E53)</f>
        <v>0</v>
      </c>
      <c r="F54" s="102">
        <f>SUM(F50:F53)</f>
        <v>-129413739</v>
      </c>
      <c r="G54" s="337"/>
      <c r="H54" s="337"/>
      <c r="I54" s="337"/>
      <c r="J54" s="733"/>
      <c r="K54" s="733"/>
      <c r="L54" s="733"/>
      <c r="M54" s="733"/>
      <c r="N54" s="733"/>
      <c r="O54" s="733"/>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'TAMU FGD'!M81</f>
        <v>319531519</v>
      </c>
      <c r="C57" s="83">
        <f>ROUND(B57/$C$6,0)</f>
        <v>5495</v>
      </c>
      <c r="D57" s="512">
        <f>'TAMU FGD'!F81</f>
        <v>0</v>
      </c>
      <c r="E57" s="512"/>
      <c r="F57" s="512">
        <f t="shared" ref="F57:F58" si="16">B57-(SUM(D57:E57))</f>
        <v>319531519</v>
      </c>
      <c r="G57" s="337"/>
      <c r="H57" s="337"/>
      <c r="I57" s="337"/>
      <c r="J57" s="337"/>
    </row>
    <row r="58" spans="1:31">
      <c r="A58" s="75" t="s">
        <v>48</v>
      </c>
      <c r="B58" s="86">
        <f>'TAMU FGD'!M82</f>
        <v>152174</v>
      </c>
      <c r="C58" s="87">
        <f>ROUND(B58/$C$6,0)</f>
        <v>3</v>
      </c>
      <c r="D58" s="91">
        <f>'TAMU FGD'!F82</f>
        <v>0</v>
      </c>
      <c r="E58" s="82"/>
      <c r="F58" s="74">
        <f t="shared" si="16"/>
        <v>152174</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319683693</v>
      </c>
      <c r="C59" s="89">
        <f>SUM(C57:C58)</f>
        <v>5498</v>
      </c>
      <c r="D59" s="89">
        <f>SUM(D57:D58)</f>
        <v>0</v>
      </c>
      <c r="E59" s="89">
        <f>SUM(E57:E58)</f>
        <v>0</v>
      </c>
      <c r="F59" s="89">
        <f>SUM(F57:F58)</f>
        <v>319683693</v>
      </c>
      <c r="G59" s="367"/>
      <c r="H59" s="367"/>
      <c r="I59" s="367"/>
      <c r="J59" s="367"/>
      <c r="K59" s="266"/>
      <c r="L59" s="266"/>
      <c r="M59" s="266"/>
      <c r="N59" s="266"/>
      <c r="O59" s="266"/>
      <c r="P59" s="266"/>
    </row>
    <row r="60" spans="1:31">
      <c r="B60" s="82"/>
      <c r="C60" s="75"/>
    </row>
    <row r="61" spans="1:31" ht="13.5" thickBot="1">
      <c r="A61" s="103" t="s">
        <v>573</v>
      </c>
      <c r="B61" s="46">
        <f>B33-B47+B54+B59</f>
        <v>565128231</v>
      </c>
      <c r="C61" s="46">
        <f>C33-C47+C54+C59</f>
        <v>9720</v>
      </c>
      <c r="D61" s="46">
        <f>D33-D47+D54+D59</f>
        <v>-21092132</v>
      </c>
      <c r="E61" s="46">
        <f>E33-E47+E54+E59</f>
        <v>-18749990</v>
      </c>
      <c r="F61" s="46">
        <f>F33-F47+F54+F59</f>
        <v>604970353</v>
      </c>
    </row>
    <row r="62" spans="1:31" ht="13.5" thickTop="1"/>
    <row r="63" spans="1:31">
      <c r="D63" s="512"/>
    </row>
    <row r="65" spans="2:16">
      <c r="B65" s="734">
        <f>'TAMU FGD'!$M$85</f>
        <v>565128231</v>
      </c>
      <c r="C65" s="75"/>
      <c r="D65" s="734">
        <f>'TAMU FGD'!$F$85</f>
        <v>-21092132</v>
      </c>
      <c r="E65" s="734">
        <f>'TAMU FGD'!$M$62*-1</f>
        <v>-18749990</v>
      </c>
      <c r="F65" s="75"/>
    </row>
    <row r="66" spans="2:16">
      <c r="B66" s="734"/>
      <c r="C66" s="75"/>
      <c r="D66" s="734">
        <f>'TAMU FGD'!$F$68</f>
        <v>205852290</v>
      </c>
      <c r="E66" s="734">
        <f>+$D$38</f>
        <v>0</v>
      </c>
      <c r="F66" s="734"/>
    </row>
    <row r="67" spans="2:16">
      <c r="B67" s="759"/>
      <c r="C67" s="75"/>
      <c r="D67" s="759">
        <f>-'TAMU FGD'!$M$68</f>
        <v>-205852290</v>
      </c>
      <c r="E67" s="759"/>
      <c r="F67" s="734"/>
    </row>
    <row r="68" spans="2:16">
      <c r="B68" s="734">
        <f>SUM(B65:B67)</f>
        <v>565128231</v>
      </c>
      <c r="C68" s="75"/>
      <c r="D68" s="734">
        <f>SUM(D65:D67)</f>
        <v>-21092132</v>
      </c>
      <c r="E68" s="734">
        <f>SUM(E65:E67)</f>
        <v>-18749990</v>
      </c>
      <c r="F68" s="734">
        <f>B68-D68-E68</f>
        <v>604970353</v>
      </c>
    </row>
    <row r="69" spans="2:16">
      <c r="B69" s="734"/>
      <c r="C69" s="75"/>
      <c r="D69" s="734">
        <f>'TAMU FGD'!F54*-1</f>
        <v>-189379128</v>
      </c>
      <c r="E69" s="734"/>
      <c r="F69" s="734"/>
    </row>
    <row r="70" spans="2:16" ht="12.75" customHeight="1">
      <c r="B70" s="759"/>
      <c r="C70" s="95"/>
      <c r="D70" s="759">
        <f>'TAMU FGD'!M54</f>
        <v>189379128</v>
      </c>
      <c r="E70" s="759"/>
      <c r="F70" s="759">
        <f>-D70-D69</f>
        <v>0</v>
      </c>
    </row>
    <row r="71" spans="2:16" ht="12.75" customHeight="1">
      <c r="B71" s="734">
        <f>SUM(B68:B70)</f>
        <v>565128231</v>
      </c>
      <c r="C71" s="75"/>
      <c r="D71" s="734">
        <f>SUM(D68:D70)</f>
        <v>-21092132</v>
      </c>
      <c r="E71" s="734">
        <f>SUM(E68:E70)</f>
        <v>-18749990</v>
      </c>
      <c r="F71" s="734">
        <f>SUM(F68:F70)</f>
        <v>604970353</v>
      </c>
    </row>
    <row r="72" spans="2:16" ht="12.75" customHeight="1">
      <c r="B72" s="734"/>
      <c r="C72" s="75"/>
      <c r="D72" s="734"/>
      <c r="E72" s="734"/>
      <c r="F72" s="734"/>
    </row>
    <row r="73" spans="2:16" ht="12.75" customHeight="1">
      <c r="B73" s="512">
        <f>B61-B71</f>
        <v>0</v>
      </c>
      <c r="C73" s="75"/>
      <c r="D73" s="512">
        <f>D61-D71</f>
        <v>0</v>
      </c>
      <c r="E73" s="512">
        <f>E61-E71</f>
        <v>0</v>
      </c>
      <c r="F73" s="512">
        <f>F61-F71</f>
        <v>0</v>
      </c>
    </row>
    <row r="74" spans="2:16" ht="12.75" customHeight="1">
      <c r="C74" s="75"/>
      <c r="F74" s="617"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G47:H50"/>
    <mergeCell ref="K30:O30"/>
    <mergeCell ref="M31:M34"/>
    <mergeCell ref="G32:H32"/>
    <mergeCell ref="G33:H33"/>
    <mergeCell ref="L31:L34"/>
    <mergeCell ref="K31:K34"/>
    <mergeCell ref="N31:N34"/>
    <mergeCell ref="O31:O34"/>
    <mergeCell ref="J48:J49"/>
    <mergeCell ref="F1:I1"/>
    <mergeCell ref="J1:O1"/>
    <mergeCell ref="D1:E1"/>
    <mergeCell ref="K29:O29"/>
    <mergeCell ref="D4:D5"/>
    <mergeCell ref="E4:E5"/>
  </mergeCells>
  <hyperlinks>
    <hyperlink ref="D1:E1" location="Index!A1" display="Return to Index" xr:uid="{00000000-0004-0000-3A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43">
    <tabColor indexed="41"/>
  </sheetPr>
  <dimension ref="A1:M841"/>
  <sheetViews>
    <sheetView showGridLines="0" zoomScaleNormal="100" workbookViewId="0">
      <pane xSplit="3" ySplit="5" topLeftCell="D6" activePane="bottomRight" state="frozen"/>
      <selection activeCell="F2" sqref="F2"/>
      <selection pane="topRight" activeCell="F2" sqref="F2"/>
      <selection pane="bottomLeft" activeCell="F2" sqref="F2"/>
      <selection pane="bottomRight" activeCell="B3" sqref="B3"/>
    </sheetView>
  </sheetViews>
  <sheetFormatPr defaultColWidth="9.140625" defaultRowHeight="12.75"/>
  <cols>
    <col min="1" max="2" width="9.140625" style="53"/>
    <col min="3" max="3" width="25.140625" style="53" customWidth="1"/>
    <col min="4" max="4" width="16.5703125" style="154" customWidth="1"/>
    <col min="5" max="5" width="16.140625" style="53" customWidth="1"/>
    <col min="6" max="6" width="14.85546875" style="53" customWidth="1"/>
    <col min="7" max="7" width="18.42578125" style="53" customWidth="1"/>
    <col min="8" max="8" width="2.5703125" style="53" customWidth="1"/>
    <col min="9" max="10" width="10.7109375" style="53" customWidth="1"/>
    <col min="11" max="11" width="16.28515625" style="53" customWidth="1"/>
    <col min="12" max="12" width="13.85546875" style="53" customWidth="1"/>
    <col min="13" max="13" width="14.42578125" style="53" customWidth="1"/>
    <col min="14" max="16384" width="9.140625" style="53"/>
  </cols>
  <sheetData>
    <row r="1" spans="1:13">
      <c r="D1" s="114"/>
      <c r="E1" s="236" t="s">
        <v>131</v>
      </c>
      <c r="G1" s="114"/>
      <c r="H1" s="114"/>
    </row>
    <row r="2" spans="1:13">
      <c r="D2" s="114"/>
      <c r="E2" s="392" t="s">
        <v>1349</v>
      </c>
      <c r="F2" s="114"/>
      <c r="G2" s="114"/>
      <c r="H2" s="114"/>
    </row>
    <row r="3" spans="1:13">
      <c r="B3" s="116" t="s">
        <v>1262</v>
      </c>
      <c r="D3" s="114"/>
      <c r="E3" s="536"/>
      <c r="F3" s="114"/>
      <c r="G3" s="114"/>
      <c r="H3" s="114"/>
    </row>
    <row r="4" spans="1:13">
      <c r="B4" s="215" t="s">
        <v>1350</v>
      </c>
      <c r="D4" s="114"/>
      <c r="E4" s="53" t="s">
        <v>1275</v>
      </c>
      <c r="F4" s="114"/>
      <c r="G4" s="114"/>
      <c r="H4" s="114"/>
    </row>
    <row r="5" spans="1:13" s="123" customFormat="1" ht="56.25" customHeight="1">
      <c r="A5" s="118" t="s">
        <v>132</v>
      </c>
      <c r="B5" s="118" t="s">
        <v>133</v>
      </c>
      <c r="C5" s="118"/>
      <c r="D5" s="241" t="s">
        <v>1</v>
      </c>
      <c r="E5" s="120" t="s">
        <v>81</v>
      </c>
      <c r="F5" s="120" t="s">
        <v>242</v>
      </c>
      <c r="G5" s="106" t="s">
        <v>1276</v>
      </c>
      <c r="H5" s="106"/>
      <c r="I5" s="237" t="s">
        <v>265</v>
      </c>
      <c r="J5" s="237" t="s">
        <v>247</v>
      </c>
      <c r="K5" s="247" t="s">
        <v>245</v>
      </c>
      <c r="L5" s="247" t="s">
        <v>243</v>
      </c>
      <c r="M5" s="247" t="s">
        <v>244</v>
      </c>
    </row>
    <row r="6" spans="1:13">
      <c r="A6" s="124" t="s">
        <v>139</v>
      </c>
      <c r="B6" s="124" t="s">
        <v>1351</v>
      </c>
      <c r="C6" s="53" t="s">
        <v>140</v>
      </c>
      <c r="D6" s="242">
        <f>'ASU Sum'!$G$11</f>
        <v>42521327</v>
      </c>
      <c r="E6" s="126">
        <f>'ASU Sum'!$G$14</f>
        <v>6792999</v>
      </c>
      <c r="F6" s="126">
        <f t="shared" ref="F6:F42" si="0">SUM(D6:E6)</f>
        <v>49314326</v>
      </c>
      <c r="G6" s="126">
        <f>'ASU Sum'!$F$47</f>
        <v>107218929</v>
      </c>
      <c r="H6" s="127"/>
      <c r="I6" s="238">
        <f>'ASU Sum'!$C$6</f>
        <v>7617.63</v>
      </c>
      <c r="J6" s="252"/>
      <c r="K6" s="126">
        <f>F6/I6</f>
        <v>6473.709802130059</v>
      </c>
      <c r="L6" s="126">
        <f>G6/I6</f>
        <v>14075.103280154064</v>
      </c>
      <c r="M6" s="248">
        <f>F6/G6</f>
        <v>0.45994048308391516</v>
      </c>
    </row>
    <row r="7" spans="1:13">
      <c r="A7" s="124" t="s">
        <v>141</v>
      </c>
      <c r="B7" s="124" t="str">
        <f>B6</f>
        <v>FY 15</v>
      </c>
      <c r="C7" s="53" t="s">
        <v>142</v>
      </c>
      <c r="D7" s="243">
        <f>'TAMUC Sum'!$G$11</f>
        <v>59088127</v>
      </c>
      <c r="E7" s="130">
        <f>'TAMUC Sum'!$G$14</f>
        <v>11123859</v>
      </c>
      <c r="F7" s="130">
        <f t="shared" si="0"/>
        <v>70211986</v>
      </c>
      <c r="G7" s="130">
        <f>'TAMUC Sum'!$F$47</f>
        <v>147779129</v>
      </c>
      <c r="H7" s="131"/>
      <c r="I7" s="238">
        <f>'TAMUC Sum'!$C$6</f>
        <v>9311.4500000000007</v>
      </c>
      <c r="J7" s="253"/>
      <c r="K7" s="249">
        <f t="shared" ref="K7:K43" si="1">F7/I7</f>
        <v>7540.3923126902891</v>
      </c>
      <c r="L7" s="249">
        <f t="shared" ref="L7:L43" si="2">G7/I7</f>
        <v>15870.689205225823</v>
      </c>
      <c r="M7" s="248">
        <f t="shared" ref="M7:M43" si="3">F7/G7</f>
        <v>0.47511435799570856</v>
      </c>
    </row>
    <row r="8" spans="1:13">
      <c r="A8" s="124" t="s">
        <v>143</v>
      </c>
      <c r="B8" s="124" t="str">
        <f t="shared" ref="B8:B42" si="4">B7</f>
        <v>FY 15</v>
      </c>
      <c r="C8" s="53" t="s">
        <v>144</v>
      </c>
      <c r="D8" s="243">
        <f>'LU Sum'!$G$11</f>
        <v>65928426</v>
      </c>
      <c r="E8" s="130">
        <f>'LU Sum'!$G$14</f>
        <v>13141181</v>
      </c>
      <c r="F8" s="130">
        <f t="shared" si="0"/>
        <v>79069607</v>
      </c>
      <c r="G8" s="130">
        <f>'LU Sum'!$F$47</f>
        <v>212455057</v>
      </c>
      <c r="H8" s="131"/>
      <c r="I8" s="238">
        <f>'LU Sum'!$C$6</f>
        <v>13516.8</v>
      </c>
      <c r="J8" s="253"/>
      <c r="K8" s="249">
        <f t="shared" si="1"/>
        <v>5849.7282640861749</v>
      </c>
      <c r="L8" s="249">
        <f t="shared" si="2"/>
        <v>15717.851636482008</v>
      </c>
      <c r="M8" s="248">
        <f t="shared" si="3"/>
        <v>0.37217098108424879</v>
      </c>
    </row>
    <row r="9" spans="1:13">
      <c r="A9" s="124" t="s">
        <v>145</v>
      </c>
      <c r="B9" s="124" t="str">
        <f t="shared" si="4"/>
        <v>FY 15</v>
      </c>
      <c r="C9" s="53" t="s">
        <v>146</v>
      </c>
      <c r="D9" s="243">
        <f>'MidWST Sum'!$G$11</f>
        <v>30715397</v>
      </c>
      <c r="E9" s="130">
        <f>'MidWST Sum'!$G$14</f>
        <v>4933200</v>
      </c>
      <c r="F9" s="130">
        <f t="shared" si="0"/>
        <v>35648597</v>
      </c>
      <c r="G9" s="130">
        <f>'MidWST Sum'!$F$47</f>
        <v>102102209</v>
      </c>
      <c r="H9" s="131"/>
      <c r="I9" s="238">
        <f>'MidWST Sum'!$C$6</f>
        <v>4322.33</v>
      </c>
      <c r="J9" s="253"/>
      <c r="K9" s="249">
        <f t="shared" si="1"/>
        <v>8247.5417193967151</v>
      </c>
      <c r="L9" s="249">
        <f t="shared" si="2"/>
        <v>23622.030016218105</v>
      </c>
      <c r="M9" s="248">
        <f t="shared" si="3"/>
        <v>0.34914618742479903</v>
      </c>
    </row>
    <row r="10" spans="1:13">
      <c r="A10" s="124" t="s">
        <v>147</v>
      </c>
      <c r="B10" s="124" t="str">
        <f t="shared" si="4"/>
        <v>FY 15</v>
      </c>
      <c r="C10" s="53" t="s">
        <v>148</v>
      </c>
      <c r="D10" s="243">
        <f>'UNT Sum'!$G$11</f>
        <v>166646513</v>
      </c>
      <c r="E10" s="130">
        <f>'UNT Sum'!$G$14</f>
        <v>37346563</v>
      </c>
      <c r="F10" s="130">
        <f t="shared" si="0"/>
        <v>203993076</v>
      </c>
      <c r="G10" s="130">
        <f>'UNT Sum'!$F$47</f>
        <v>652412876</v>
      </c>
      <c r="H10" s="131"/>
      <c r="I10" s="238">
        <f>'UNT Sum'!$C$6</f>
        <v>34726.76</v>
      </c>
      <c r="J10" s="253"/>
      <c r="K10" s="249">
        <f t="shared" si="1"/>
        <v>5874.2328970511498</v>
      </c>
      <c r="L10" s="249">
        <f t="shared" si="2"/>
        <v>18787.035588692983</v>
      </c>
      <c r="M10" s="248">
        <f t="shared" si="3"/>
        <v>0.3126748160623366</v>
      </c>
    </row>
    <row r="11" spans="1:13">
      <c r="A11" s="124" t="s">
        <v>277</v>
      </c>
      <c r="B11" s="124" t="str">
        <f t="shared" si="4"/>
        <v>FY 15</v>
      </c>
      <c r="C11" s="53" t="s">
        <v>276</v>
      </c>
      <c r="D11" s="243">
        <f>'UNTD Sum'!$G$11</f>
        <v>30073544</v>
      </c>
      <c r="E11" s="130">
        <f>'UNTD Sum'!$G$14</f>
        <v>3354441</v>
      </c>
      <c r="F11" s="130">
        <f t="shared" ref="F11" si="5">SUM(D11:E11)</f>
        <v>33427985</v>
      </c>
      <c r="G11" s="130">
        <f>'UNTD Sum'!$F$47</f>
        <v>65433377</v>
      </c>
      <c r="H11" s="131"/>
      <c r="I11" s="238">
        <f>'UNTD Sum'!$C$6</f>
        <v>3464.14</v>
      </c>
      <c r="J11" s="253"/>
      <c r="K11" s="249">
        <f t="shared" ref="K11" si="6">F11/I11</f>
        <v>9649.7211429099298</v>
      </c>
      <c r="L11" s="249">
        <f t="shared" ref="L11" si="7">G11/I11</f>
        <v>18888.779610523823</v>
      </c>
      <c r="M11" s="248">
        <f t="shared" ref="M11" si="8">F11/G11</f>
        <v>0.5108705454710063</v>
      </c>
    </row>
    <row r="12" spans="1:13">
      <c r="A12" s="124" t="s">
        <v>149</v>
      </c>
      <c r="B12" s="124" t="str">
        <f>B10</f>
        <v>FY 15</v>
      </c>
      <c r="C12" s="53" t="s">
        <v>150</v>
      </c>
      <c r="D12" s="243">
        <f>'AUS Sum'!$G$11</f>
        <v>402530492</v>
      </c>
      <c r="E12" s="130">
        <f>'AUS Sum'!$G$14</f>
        <v>417387000</v>
      </c>
      <c r="F12" s="130">
        <f t="shared" si="0"/>
        <v>819917492</v>
      </c>
      <c r="G12" s="130">
        <f>'AUS Sum'!$F$54</f>
        <v>2336845961</v>
      </c>
      <c r="H12" s="131"/>
      <c r="I12" s="238">
        <f>'AUS Sum'!$C$6</f>
        <v>47730.87</v>
      </c>
      <c r="J12" s="253"/>
      <c r="K12" s="249">
        <f t="shared" si="1"/>
        <v>17177.928916862398</v>
      </c>
      <c r="L12" s="249">
        <f t="shared" si="2"/>
        <v>48958.796707455782</v>
      </c>
      <c r="M12" s="248">
        <f t="shared" si="3"/>
        <v>0.35086501450405183</v>
      </c>
    </row>
    <row r="13" spans="1:13">
      <c r="A13" s="124" t="s">
        <v>151</v>
      </c>
      <c r="B13" s="124" t="str">
        <f t="shared" si="4"/>
        <v>FY 15</v>
      </c>
      <c r="C13" s="53" t="s">
        <v>152</v>
      </c>
      <c r="D13" s="243">
        <f>'shsu1 Sum'!$G$11</f>
        <v>89104525</v>
      </c>
      <c r="E13" s="130">
        <f>'shsu1 Sum'!$G$14</f>
        <v>18236811</v>
      </c>
      <c r="F13" s="130">
        <f t="shared" si="0"/>
        <v>107341336</v>
      </c>
      <c r="G13" s="130">
        <f>'shsu1 Sum'!$F$47</f>
        <v>290520867</v>
      </c>
      <c r="H13" s="131"/>
      <c r="I13" s="238">
        <f>'shsu1 Sum'!$C$6</f>
        <v>17594.09</v>
      </c>
      <c r="J13" s="253"/>
      <c r="K13" s="249">
        <f t="shared" si="1"/>
        <v>6100.9882295702701</v>
      </c>
      <c r="L13" s="249">
        <f t="shared" si="2"/>
        <v>16512.412236154298</v>
      </c>
      <c r="M13" s="248">
        <f t="shared" si="3"/>
        <v>0.36947891939204491</v>
      </c>
    </row>
    <row r="14" spans="1:13">
      <c r="A14" s="124" t="s">
        <v>153</v>
      </c>
      <c r="B14" s="124" t="str">
        <f t="shared" si="4"/>
        <v>FY 15</v>
      </c>
      <c r="C14" s="53" t="s">
        <v>154</v>
      </c>
      <c r="D14" s="243">
        <f>'TXST Sum'!$G$11</f>
        <v>169236332</v>
      </c>
      <c r="E14" s="130">
        <f>'TXST Sum'!$G$14</f>
        <v>37606478</v>
      </c>
      <c r="F14" s="130">
        <f t="shared" si="0"/>
        <v>206842810</v>
      </c>
      <c r="G14" s="130">
        <f>'TXST Sum'!$F$47</f>
        <v>505102367</v>
      </c>
      <c r="H14" s="131"/>
      <c r="I14" s="238">
        <f>'TXST Sum'!$C$6</f>
        <v>31295.23</v>
      </c>
      <c r="J14" s="253"/>
      <c r="K14" s="249">
        <f t="shared" si="1"/>
        <v>6609.4037334124087</v>
      </c>
      <c r="L14" s="249">
        <f t="shared" si="2"/>
        <v>16139.915475936748</v>
      </c>
      <c r="M14" s="248">
        <f t="shared" si="3"/>
        <v>0.40950671292340229</v>
      </c>
    </row>
    <row r="15" spans="1:13">
      <c r="A15" s="124" t="s">
        <v>155</v>
      </c>
      <c r="B15" s="124" t="str">
        <f t="shared" si="4"/>
        <v>FY 15</v>
      </c>
      <c r="C15" s="53" t="s">
        <v>156</v>
      </c>
      <c r="D15" s="243">
        <f>'SFA Sum'!$G$11</f>
        <v>58896073</v>
      </c>
      <c r="E15" s="130">
        <f>'SFA Sum'!$G$14</f>
        <v>11277793</v>
      </c>
      <c r="F15" s="130">
        <f t="shared" si="0"/>
        <v>70173866</v>
      </c>
      <c r="G15" s="130">
        <f>'SFA Sum'!$F$47</f>
        <v>210099364</v>
      </c>
      <c r="H15" s="131"/>
      <c r="I15" s="238">
        <f>'SFA Sum'!$C$6</f>
        <v>10368.98</v>
      </c>
      <c r="J15" s="253"/>
      <c r="K15" s="249">
        <f t="shared" si="1"/>
        <v>6767.6730015874273</v>
      </c>
      <c r="L15" s="249">
        <f t="shared" si="2"/>
        <v>20262.298123827029</v>
      </c>
      <c r="M15" s="248">
        <f t="shared" si="3"/>
        <v>0.33400322906260677</v>
      </c>
    </row>
    <row r="16" spans="1:13">
      <c r="A16" s="124" t="s">
        <v>157</v>
      </c>
      <c r="B16" s="124" t="str">
        <f t="shared" si="4"/>
        <v>FY 15</v>
      </c>
      <c r="C16" s="53" t="s">
        <v>158</v>
      </c>
      <c r="D16" s="243">
        <f>'SRSU Sum'!$G$11</f>
        <v>21061496</v>
      </c>
      <c r="E16" s="130">
        <f>'SRSU Sum'!$G$14</f>
        <v>2624613</v>
      </c>
      <c r="F16" s="130">
        <f t="shared" si="0"/>
        <v>23686109</v>
      </c>
      <c r="G16" s="130">
        <f>'SRSU Sum'!$F$47</f>
        <v>44838893</v>
      </c>
      <c r="H16" s="131"/>
      <c r="I16" s="238">
        <f>'SRSU Sum'!$C$6</f>
        <v>1712.5099999999998</v>
      </c>
      <c r="J16" s="253"/>
      <c r="K16" s="249">
        <f t="shared" si="1"/>
        <v>13831.22375927732</v>
      </c>
      <c r="L16" s="249">
        <f t="shared" si="2"/>
        <v>26183.142288220217</v>
      </c>
      <c r="M16" s="248">
        <f t="shared" si="3"/>
        <v>0.52824919205743992</v>
      </c>
    </row>
    <row r="17" spans="1:13">
      <c r="A17" s="124" t="s">
        <v>159</v>
      </c>
      <c r="B17" s="124" t="str">
        <f t="shared" si="4"/>
        <v>FY 15</v>
      </c>
      <c r="C17" s="53" t="s">
        <v>160</v>
      </c>
      <c r="D17" s="243">
        <f>'PVAMU Sum'!$G$11</f>
        <v>68769239</v>
      </c>
      <c r="E17" s="130">
        <f>'PVAMU Sum'!$G$14</f>
        <v>26604505</v>
      </c>
      <c r="F17" s="130">
        <f t="shared" si="0"/>
        <v>95373744</v>
      </c>
      <c r="G17" s="130">
        <f>'PVAMU Sum'!$F$47</f>
        <v>232578381</v>
      </c>
      <c r="H17" s="131"/>
      <c r="I17" s="238">
        <f>'PVAMU Sum'!$C$6</f>
        <v>8069.33</v>
      </c>
      <c r="J17" s="253"/>
      <c r="K17" s="249">
        <f t="shared" si="1"/>
        <v>11819.28908595881</v>
      </c>
      <c r="L17" s="249">
        <f t="shared" si="2"/>
        <v>28822.514508639502</v>
      </c>
      <c r="M17" s="248">
        <f t="shared" si="3"/>
        <v>0.41007140728183156</v>
      </c>
    </row>
    <row r="18" spans="1:13">
      <c r="A18" s="124" t="s">
        <v>161</v>
      </c>
      <c r="B18" s="124" t="str">
        <f t="shared" si="4"/>
        <v>FY 15</v>
      </c>
      <c r="C18" s="53" t="s">
        <v>162</v>
      </c>
      <c r="D18" s="243">
        <f>'TARLST Sum'!$G$11</f>
        <v>62943792</v>
      </c>
      <c r="E18" s="130">
        <f>'TARLST Sum'!$G$14</f>
        <v>0</v>
      </c>
      <c r="F18" s="130">
        <f t="shared" si="0"/>
        <v>62943792</v>
      </c>
      <c r="G18" s="130">
        <f>'TARLST Sum'!$F$47</f>
        <v>169958553</v>
      </c>
      <c r="H18" s="131"/>
      <c r="I18" s="238">
        <f>'TARLST Sum'!$C$6</f>
        <v>11555.57</v>
      </c>
      <c r="J18" s="253"/>
      <c r="K18" s="249">
        <f t="shared" si="1"/>
        <v>5447.0521142617799</v>
      </c>
      <c r="L18" s="249">
        <f t="shared" si="2"/>
        <v>14707.933317006431</v>
      </c>
      <c r="M18" s="248">
        <f t="shared" si="3"/>
        <v>0.37034789299482918</v>
      </c>
    </row>
    <row r="19" spans="1:13">
      <c r="A19" s="124" t="s">
        <v>280</v>
      </c>
      <c r="B19" s="124" t="str">
        <f>B21</f>
        <v>FY 15</v>
      </c>
      <c r="C19" s="53" t="s">
        <v>278</v>
      </c>
      <c r="D19" s="243">
        <f>'TAMUCT Sum'!$G$11</f>
        <v>18794464</v>
      </c>
      <c r="E19" s="130">
        <f>'TAMUCT Sum'!$G$14</f>
        <v>0</v>
      </c>
      <c r="F19" s="130">
        <f t="shared" ref="F19" si="9">SUM(D19:E19)</f>
        <v>18794464</v>
      </c>
      <c r="G19" s="130">
        <f>'TAMUCT Sum'!$F$47</f>
        <v>35224978</v>
      </c>
      <c r="H19" s="131"/>
      <c r="I19" s="238">
        <f>'TAMUCT Sum'!$C$6</f>
        <v>1606.96</v>
      </c>
      <c r="J19" s="253"/>
      <c r="K19" s="249">
        <f t="shared" ref="K19" si="10">F19/I19</f>
        <v>11695.663862199432</v>
      </c>
      <c r="L19" s="249">
        <f t="shared" ref="L19" si="11">G19/I19</f>
        <v>21920.25812714691</v>
      </c>
      <c r="M19" s="248">
        <f t="shared" ref="M19" si="12">F19/G19</f>
        <v>0.53355502450562209</v>
      </c>
    </row>
    <row r="20" spans="1:13">
      <c r="A20" s="124" t="s">
        <v>163</v>
      </c>
      <c r="B20" s="124" t="str">
        <f>B18</f>
        <v>FY 15</v>
      </c>
      <c r="C20" s="53" t="s">
        <v>164</v>
      </c>
      <c r="D20" s="243">
        <f>'TAMU Sum'!$G$11</f>
        <v>449121506</v>
      </c>
      <c r="E20" s="130">
        <f>'TAMU Sum'!$G$14</f>
        <v>201614294</v>
      </c>
      <c r="F20" s="130">
        <f t="shared" si="0"/>
        <v>650735800</v>
      </c>
      <c r="G20" s="130">
        <f>'TAMU Sum'!$F$47</f>
        <v>1659298353</v>
      </c>
      <c r="H20" s="131"/>
      <c r="I20" s="238">
        <f>'TAMU Sum'!$C$6</f>
        <v>58149.98</v>
      </c>
      <c r="J20" s="253"/>
      <c r="K20" s="249">
        <f t="shared" si="1"/>
        <v>11190.645293429163</v>
      </c>
      <c r="L20" s="249">
        <f t="shared" si="2"/>
        <v>28534.80522263292</v>
      </c>
      <c r="M20" s="248">
        <f t="shared" si="3"/>
        <v>0.39217528229535947</v>
      </c>
    </row>
    <row r="21" spans="1:13">
      <c r="A21" s="124" t="s">
        <v>165</v>
      </c>
      <c r="B21" s="124" t="str">
        <f t="shared" si="4"/>
        <v>FY 15</v>
      </c>
      <c r="C21" s="53" t="s">
        <v>166</v>
      </c>
      <c r="D21" s="243">
        <f>'TAMUK Sum'!$G$11</f>
        <v>53624257</v>
      </c>
      <c r="E21" s="130">
        <f>'TAMUK Sum'!$G$14</f>
        <v>8858060</v>
      </c>
      <c r="F21" s="130">
        <f t="shared" si="0"/>
        <v>62482317</v>
      </c>
      <c r="G21" s="130">
        <f>'TAMUK Sum'!$F$47</f>
        <v>131686216</v>
      </c>
      <c r="H21" s="131"/>
      <c r="I21" s="238">
        <f>'TAMUK Sum'!$C$6</f>
        <v>5616.08</v>
      </c>
      <c r="J21" s="253"/>
      <c r="K21" s="249">
        <f t="shared" si="1"/>
        <v>11125.610212105241</v>
      </c>
      <c r="L21" s="249">
        <f t="shared" si="2"/>
        <v>23448.066266862297</v>
      </c>
      <c r="M21" s="248">
        <f t="shared" si="3"/>
        <v>0.47447879434852924</v>
      </c>
    </row>
    <row r="22" spans="1:13">
      <c r="A22" s="124" t="s">
        <v>281</v>
      </c>
      <c r="B22" s="124" t="str">
        <f>B19</f>
        <v>FY 15</v>
      </c>
      <c r="C22" s="53" t="s">
        <v>279</v>
      </c>
      <c r="D22" s="243">
        <f>'TAMUSA Sum'!$G$11</f>
        <v>38086689</v>
      </c>
      <c r="E22" s="130">
        <f>'TAMUSA Sum'!$G$14</f>
        <v>0</v>
      </c>
      <c r="F22" s="130">
        <f t="shared" ref="F22" si="13">SUM(D22:E22)</f>
        <v>38086689</v>
      </c>
      <c r="G22" s="130">
        <f>'TAMUSA Sum'!$F$47</f>
        <v>98230382</v>
      </c>
      <c r="H22" s="131"/>
      <c r="I22" s="238">
        <f>'TAMUSA Sum'!$C$6</f>
        <v>4763.3599999999997</v>
      </c>
      <c r="J22" s="253"/>
      <c r="K22" s="249">
        <f t="shared" ref="K22" si="14">F22/I22</f>
        <v>7995.761185381748</v>
      </c>
      <c r="L22" s="249">
        <f t="shared" ref="L22" si="15">G22/I22</f>
        <v>20622.078112928692</v>
      </c>
      <c r="M22" s="248">
        <f t="shared" ref="M22" si="16">F22/G22</f>
        <v>0.3877281979825753</v>
      </c>
    </row>
    <row r="23" spans="1:13">
      <c r="A23" s="124" t="s">
        <v>167</v>
      </c>
      <c r="B23" s="124" t="str">
        <f>B21</f>
        <v>FY 15</v>
      </c>
      <c r="C23" s="53" t="s">
        <v>168</v>
      </c>
      <c r="D23" s="243">
        <f>'TSU Sum'!$G$11</f>
        <v>67848348</v>
      </c>
      <c r="E23" s="130">
        <f>'TSU Sum'!$G$14</f>
        <v>11719335</v>
      </c>
      <c r="F23" s="130">
        <f t="shared" si="0"/>
        <v>79567683</v>
      </c>
      <c r="G23" s="130">
        <f>'TSU Sum'!$F$47</f>
        <v>210975330</v>
      </c>
      <c r="H23" s="131"/>
      <c r="I23" s="238">
        <f>'TSU Sum'!$C$6</f>
        <v>6445.64</v>
      </c>
      <c r="J23" s="253"/>
      <c r="K23" s="249">
        <f t="shared" si="1"/>
        <v>12344.419328414246</v>
      </c>
      <c r="L23" s="249">
        <f t="shared" si="2"/>
        <v>32731.478953214886</v>
      </c>
      <c r="M23" s="248">
        <f t="shared" si="3"/>
        <v>0.37714211893874039</v>
      </c>
    </row>
    <row r="24" spans="1:13">
      <c r="A24" s="124" t="s">
        <v>169</v>
      </c>
      <c r="B24" s="124" t="str">
        <f t="shared" si="4"/>
        <v>FY 15</v>
      </c>
      <c r="C24" s="53" t="s">
        <v>170</v>
      </c>
      <c r="D24" s="243">
        <f>'TTU Sum'!$G$11</f>
        <v>213747640</v>
      </c>
      <c r="E24" s="130">
        <f>'TTU Sum'!$G$14</f>
        <v>49874746</v>
      </c>
      <c r="F24" s="130">
        <f t="shared" si="0"/>
        <v>263622386</v>
      </c>
      <c r="G24" s="130">
        <f>'TTU Sum'!$F$47</f>
        <v>699948011</v>
      </c>
      <c r="H24" s="131"/>
      <c r="I24" s="238">
        <f>'TTU Sum'!$C$6</f>
        <v>36035.31</v>
      </c>
      <c r="J24" s="253"/>
      <c r="K24" s="249">
        <f t="shared" si="1"/>
        <v>7315.668603933198</v>
      </c>
      <c r="L24" s="249">
        <f t="shared" si="2"/>
        <v>19423.948649255413</v>
      </c>
      <c r="M24" s="248">
        <f t="shared" si="3"/>
        <v>0.37663138098409427</v>
      </c>
    </row>
    <row r="25" spans="1:13">
      <c r="A25" s="124" t="s">
        <v>171</v>
      </c>
      <c r="B25" s="124" t="str">
        <f t="shared" si="4"/>
        <v>FY 15</v>
      </c>
      <c r="C25" s="53" t="s">
        <v>172</v>
      </c>
      <c r="D25" s="243">
        <f>'TWU Sum'!$G$11</f>
        <v>81290161</v>
      </c>
      <c r="E25" s="130">
        <f>'TWU Sum'!$G$14</f>
        <v>14554133</v>
      </c>
      <c r="F25" s="130">
        <f t="shared" si="0"/>
        <v>95844294</v>
      </c>
      <c r="G25" s="130">
        <f>'TWU Sum'!$F$47</f>
        <v>192023159</v>
      </c>
      <c r="H25" s="131"/>
      <c r="I25" s="238">
        <f>'TWU Sum'!$C$6</f>
        <v>13026.58</v>
      </c>
      <c r="J25" s="253"/>
      <c r="K25" s="249">
        <f t="shared" si="1"/>
        <v>7357.5945489913702</v>
      </c>
      <c r="L25" s="249">
        <f t="shared" si="2"/>
        <v>14740.872815428147</v>
      </c>
      <c r="M25" s="248">
        <f t="shared" si="3"/>
        <v>0.49912882643494061</v>
      </c>
    </row>
    <row r="26" spans="1:13">
      <c r="A26" s="124" t="s">
        <v>173</v>
      </c>
      <c r="B26" s="124" t="str">
        <f t="shared" si="4"/>
        <v>FY 15</v>
      </c>
      <c r="C26" s="53" t="s">
        <v>174</v>
      </c>
      <c r="D26" s="243">
        <f>'UH1 Sum'!$G$11</f>
        <v>249063522</v>
      </c>
      <c r="E26" s="130">
        <f>'UH1 Sum'!$G$14</f>
        <v>54514004</v>
      </c>
      <c r="F26" s="130">
        <f t="shared" si="0"/>
        <v>303577526</v>
      </c>
      <c r="G26" s="130">
        <f>'UH1 Sum'!$F$47</f>
        <v>1021938080</v>
      </c>
      <c r="H26" s="131"/>
      <c r="I26" s="238">
        <f>'UH1 Sum'!$C$6</f>
        <v>40310.42</v>
      </c>
      <c r="J26" s="253"/>
      <c r="K26" s="249">
        <f t="shared" si="1"/>
        <v>7530.9938720559103</v>
      </c>
      <c r="L26" s="249">
        <f t="shared" si="2"/>
        <v>25351.710054124964</v>
      </c>
      <c r="M26" s="248">
        <f t="shared" si="3"/>
        <v>0.29706058707588234</v>
      </c>
    </row>
    <row r="27" spans="1:13">
      <c r="A27" s="124" t="s">
        <v>175</v>
      </c>
      <c r="B27" s="124" t="str">
        <f t="shared" si="4"/>
        <v>FY 15</v>
      </c>
      <c r="C27" s="53" t="s">
        <v>176</v>
      </c>
      <c r="D27" s="243">
        <f>'ARL Sum'!$G$11</f>
        <v>160771184</v>
      </c>
      <c r="E27" s="130">
        <f>'ARL Sum'!$G$14</f>
        <v>0</v>
      </c>
      <c r="F27" s="130">
        <f t="shared" si="0"/>
        <v>160771184</v>
      </c>
      <c r="G27" s="130">
        <f>'ARL Sum'!$F$47</f>
        <v>632323183</v>
      </c>
      <c r="H27" s="131"/>
      <c r="I27" s="238">
        <f>'ARL Sum'!$C$6</f>
        <v>34362.15</v>
      </c>
      <c r="J27" s="253"/>
      <c r="K27" s="249">
        <f t="shared" si="1"/>
        <v>4678.7288921094869</v>
      </c>
      <c r="L27" s="249">
        <f t="shared" si="2"/>
        <v>18401.735135898074</v>
      </c>
      <c r="M27" s="248">
        <f t="shared" si="3"/>
        <v>0.25425476769210914</v>
      </c>
    </row>
    <row r="28" spans="1:13">
      <c r="A28" s="124" t="s">
        <v>177</v>
      </c>
      <c r="B28" s="124" t="str">
        <f t="shared" si="4"/>
        <v>FY 15</v>
      </c>
      <c r="C28" s="246" t="s">
        <v>178</v>
      </c>
      <c r="D28" s="243">
        <f>'AUS1 Sum'!$G$11</f>
        <v>387382636</v>
      </c>
      <c r="E28" s="130">
        <f>'AUS1 Sum'!$G$14</f>
        <v>392376810</v>
      </c>
      <c r="F28" s="130">
        <f t="shared" si="0"/>
        <v>779759446</v>
      </c>
      <c r="G28" s="130">
        <f>'AUS1 Sum'!$F$47</f>
        <v>2218082915</v>
      </c>
      <c r="H28" s="131"/>
      <c r="I28" s="238">
        <f>'AUS1 Sum'!$C$6</f>
        <v>47534.87</v>
      </c>
      <c r="J28" s="253"/>
      <c r="K28" s="249">
        <f t="shared" si="1"/>
        <v>16403.946113663507</v>
      </c>
      <c r="L28" s="249">
        <f t="shared" si="2"/>
        <v>46662.22743430244</v>
      </c>
      <c r="M28" s="248">
        <f t="shared" si="3"/>
        <v>0.35154657236968079</v>
      </c>
    </row>
    <row r="29" spans="1:13">
      <c r="A29" s="124" t="s">
        <v>179</v>
      </c>
      <c r="B29" s="124" t="str">
        <f t="shared" si="4"/>
        <v>FY 15</v>
      </c>
      <c r="C29" s="53" t="s">
        <v>180</v>
      </c>
      <c r="D29" s="243">
        <f>'E-P Sum'!$G$11</f>
        <v>133335593</v>
      </c>
      <c r="E29" s="130">
        <f>'E-P Sum'!$G$14</f>
        <v>0</v>
      </c>
      <c r="F29" s="130">
        <f t="shared" si="0"/>
        <v>133335593</v>
      </c>
      <c r="G29" s="130">
        <f>'E-P Sum'!$F$47</f>
        <v>434514629</v>
      </c>
      <c r="H29" s="131"/>
      <c r="I29" s="238">
        <f>'E-P Sum'!$C$6</f>
        <v>19488.8</v>
      </c>
      <c r="J29" s="253"/>
      <c r="K29" s="249">
        <f t="shared" si="1"/>
        <v>6841.6522823365221</v>
      </c>
      <c r="L29" s="249">
        <f t="shared" si="2"/>
        <v>22295.607169245926</v>
      </c>
      <c r="M29" s="248">
        <f t="shared" si="3"/>
        <v>0.30686099868918337</v>
      </c>
    </row>
    <row r="30" spans="1:13">
      <c r="A30" s="124" t="s">
        <v>181</v>
      </c>
      <c r="B30" s="124" t="str">
        <f t="shared" si="4"/>
        <v>FY 15</v>
      </c>
      <c r="C30" s="53" t="s">
        <v>182</v>
      </c>
      <c r="D30" s="243">
        <f>'WTAMU Sum'!$G$11</f>
        <v>47050495</v>
      </c>
      <c r="E30" s="130">
        <f>'WTAMU Sum'!$G$14</f>
        <v>7446495</v>
      </c>
      <c r="F30" s="130">
        <f t="shared" si="0"/>
        <v>54496990</v>
      </c>
      <c r="G30" s="130">
        <f>'WTAMU Sum'!$F$47</f>
        <v>131224879</v>
      </c>
      <c r="H30" s="131"/>
      <c r="I30" s="238">
        <f>'WTAMU Sum'!$C$6</f>
        <v>7724.93</v>
      </c>
      <c r="J30" s="253"/>
      <c r="K30" s="249">
        <f t="shared" si="1"/>
        <v>7054.6904632145533</v>
      </c>
      <c r="L30" s="249">
        <f t="shared" si="2"/>
        <v>16987.193282010321</v>
      </c>
      <c r="M30" s="248">
        <f t="shared" si="3"/>
        <v>0.41529464850944919</v>
      </c>
    </row>
    <row r="31" spans="1:13">
      <c r="A31" s="124" t="s">
        <v>183</v>
      </c>
      <c r="B31" s="124" t="str">
        <f t="shared" si="4"/>
        <v>FY 15</v>
      </c>
      <c r="C31" s="53" t="s">
        <v>184</v>
      </c>
      <c r="D31" s="243">
        <f>'TAMIU Sum'!$G$11</f>
        <v>49132692</v>
      </c>
      <c r="E31" s="130">
        <f>'TAMIU Sum'!$G$14</f>
        <v>7462394</v>
      </c>
      <c r="F31" s="130">
        <f t="shared" si="0"/>
        <v>56595086</v>
      </c>
      <c r="G31" s="130">
        <f>'TAMIU Sum'!$F$47</f>
        <v>118299395</v>
      </c>
      <c r="H31" s="131"/>
      <c r="I31" s="238">
        <f>'TAMIU Sum'!$C$6</f>
        <v>6962.28</v>
      </c>
      <c r="J31" s="253"/>
      <c r="K31" s="249">
        <f t="shared" si="1"/>
        <v>8128.8149858954257</v>
      </c>
      <c r="L31" s="249">
        <f t="shared" si="2"/>
        <v>16991.473339193482</v>
      </c>
      <c r="M31" s="248">
        <f t="shared" si="3"/>
        <v>0.47840554045098876</v>
      </c>
    </row>
    <row r="32" spans="1:13">
      <c r="A32" s="124" t="s">
        <v>185</v>
      </c>
      <c r="B32" s="124" t="str">
        <f t="shared" si="4"/>
        <v>FY 15</v>
      </c>
      <c r="C32" s="53" t="s">
        <v>186</v>
      </c>
      <c r="D32" s="243">
        <f>'DAL Sum'!$G$11</f>
        <v>129433047</v>
      </c>
      <c r="E32" s="130">
        <f>'DAL Sum'!$G$14</f>
        <v>0</v>
      </c>
      <c r="F32" s="130">
        <f t="shared" si="0"/>
        <v>129433047</v>
      </c>
      <c r="G32" s="130">
        <f>'DAL Sum'!$F$47</f>
        <v>540278128</v>
      </c>
      <c r="H32" s="131"/>
      <c r="I32" s="238">
        <f>'DAL Sum'!$C$6</f>
        <v>24167.85</v>
      </c>
      <c r="J32" s="253"/>
      <c r="K32" s="249">
        <f t="shared" si="1"/>
        <v>5355.5879815540065</v>
      </c>
      <c r="L32" s="249">
        <f t="shared" si="2"/>
        <v>22355.241695061828</v>
      </c>
      <c r="M32" s="248">
        <f t="shared" si="3"/>
        <v>0.23956743812512804</v>
      </c>
    </row>
    <row r="33" spans="1:13">
      <c r="A33" s="124" t="s">
        <v>187</v>
      </c>
      <c r="B33" s="124" t="str">
        <f t="shared" si="4"/>
        <v>FY 15</v>
      </c>
      <c r="C33" s="53" t="s">
        <v>188</v>
      </c>
      <c r="D33" s="243">
        <f>'P-B Sum'!$G$11</f>
        <v>43016478</v>
      </c>
      <c r="E33" s="130">
        <f>'P-B Sum'!$G$14</f>
        <v>0</v>
      </c>
      <c r="F33" s="130">
        <f t="shared" si="0"/>
        <v>43016478</v>
      </c>
      <c r="G33" s="130">
        <f>'P-B Sum'!$F$47</f>
        <v>86037546</v>
      </c>
      <c r="H33" s="131"/>
      <c r="I33" s="238">
        <f>'P-B Sum'!$C$6</f>
        <v>4255.68</v>
      </c>
      <c r="J33" s="254"/>
      <c r="K33" s="249">
        <f t="shared" si="1"/>
        <v>10108.015170313556</v>
      </c>
      <c r="L33" s="249">
        <f t="shared" si="2"/>
        <v>20217.108899165349</v>
      </c>
      <c r="M33" s="248">
        <f t="shared" si="3"/>
        <v>0.49997332559903557</v>
      </c>
    </row>
    <row r="34" spans="1:13">
      <c r="A34" s="124" t="s">
        <v>189</v>
      </c>
      <c r="B34" s="124" t="str">
        <f t="shared" si="4"/>
        <v>FY 15</v>
      </c>
      <c r="C34" s="53" t="s">
        <v>190</v>
      </c>
      <c r="D34" s="243">
        <f>'S-A Sum'!$G$11</f>
        <v>162176413</v>
      </c>
      <c r="E34" s="130">
        <f>'S-A Sum'!$G$14</f>
        <v>0</v>
      </c>
      <c r="F34" s="130">
        <f t="shared" si="0"/>
        <v>162176413</v>
      </c>
      <c r="G34" s="130">
        <f>'S-A Sum'!$F$47</f>
        <v>533976278</v>
      </c>
      <c r="H34" s="131"/>
      <c r="I34" s="238">
        <f>'S-A Sum'!$C$6</f>
        <v>28396.57</v>
      </c>
      <c r="J34" s="253"/>
      <c r="K34" s="249">
        <f t="shared" si="1"/>
        <v>5711.1268367975426</v>
      </c>
      <c r="L34" s="249">
        <f t="shared" si="2"/>
        <v>18804.25269671654</v>
      </c>
      <c r="M34" s="248">
        <f t="shared" si="3"/>
        <v>0.30371463992263714</v>
      </c>
    </row>
    <row r="35" spans="1:13">
      <c r="A35" s="124" t="s">
        <v>191</v>
      </c>
      <c r="B35" s="124" t="str">
        <f t="shared" si="4"/>
        <v>FY 15</v>
      </c>
      <c r="C35" s="53" t="s">
        <v>192</v>
      </c>
      <c r="D35" s="243">
        <f>'TAMUG Sum'!$G$11</f>
        <v>71006415</v>
      </c>
      <c r="E35" s="130">
        <f>'TAMUG Sum'!$G$14</f>
        <v>0</v>
      </c>
      <c r="F35" s="130">
        <f t="shared" si="0"/>
        <v>71006415</v>
      </c>
      <c r="G35" s="130">
        <f>'TAMUG Sum'!$F$47</f>
        <v>54145037</v>
      </c>
      <c r="H35" s="131"/>
      <c r="I35" s="238">
        <f>'TAMUG Sum'!$C$6</f>
        <v>1732.87</v>
      </c>
      <c r="J35" s="254"/>
      <c r="K35" s="249">
        <f t="shared" si="1"/>
        <v>40976.192674580321</v>
      </c>
      <c r="L35" s="249">
        <f t="shared" si="2"/>
        <v>31245.873608522281</v>
      </c>
      <c r="M35" s="248">
        <f t="shared" si="3"/>
        <v>1.3114113302757555</v>
      </c>
    </row>
    <row r="36" spans="1:13">
      <c r="A36" s="124" t="s">
        <v>193</v>
      </c>
      <c r="B36" s="124" t="str">
        <f t="shared" si="4"/>
        <v>FY 15</v>
      </c>
      <c r="C36" s="53" t="s">
        <v>194</v>
      </c>
      <c r="D36" s="243">
        <f>'TAMUCC Sum'!$G$11</f>
        <v>69246907</v>
      </c>
      <c r="E36" s="130">
        <f>'TAMUCC Sum'!$G$14</f>
        <v>11478824</v>
      </c>
      <c r="F36" s="130">
        <f t="shared" si="0"/>
        <v>80725731</v>
      </c>
      <c r="G36" s="130">
        <f>'TAMUCC Sum'!$F$47</f>
        <v>210573070</v>
      </c>
      <c r="H36" s="131"/>
      <c r="I36" s="238">
        <f>'TAMUCC Sum'!$C$6</f>
        <v>9336.2800000000007</v>
      </c>
      <c r="J36" s="253"/>
      <c r="K36" s="249">
        <f t="shared" si="1"/>
        <v>8646.4556547147258</v>
      </c>
      <c r="L36" s="249">
        <f t="shared" si="2"/>
        <v>22554.279648853717</v>
      </c>
      <c r="M36" s="248">
        <f t="shared" si="3"/>
        <v>0.38336208423992679</v>
      </c>
    </row>
    <row r="37" spans="1:13">
      <c r="A37" s="124" t="s">
        <v>195</v>
      </c>
      <c r="B37" s="124" t="str">
        <f t="shared" si="4"/>
        <v>FY 15</v>
      </c>
      <c r="C37" s="53" t="s">
        <v>196</v>
      </c>
      <c r="D37" s="243">
        <f>'TYL Sum'!$G$11</f>
        <v>52855515</v>
      </c>
      <c r="E37" s="130">
        <f>'TYL Sum'!$G$14</f>
        <v>0</v>
      </c>
      <c r="F37" s="130">
        <f t="shared" si="0"/>
        <v>52855515</v>
      </c>
      <c r="G37" s="130">
        <f>'TYL Sum'!$F$47</f>
        <v>133883539</v>
      </c>
      <c r="H37" s="131"/>
      <c r="I37" s="238">
        <f>'TYL Sum'!$C$6</f>
        <v>7607.2</v>
      </c>
      <c r="J37" s="253"/>
      <c r="K37" s="249">
        <f t="shared" si="1"/>
        <v>6948.0906246713639</v>
      </c>
      <c r="L37" s="249">
        <f t="shared" si="2"/>
        <v>17599.581843516669</v>
      </c>
      <c r="M37" s="248">
        <f t="shared" si="3"/>
        <v>0.39478725610920695</v>
      </c>
    </row>
    <row r="38" spans="1:13">
      <c r="A38" s="124" t="s">
        <v>197</v>
      </c>
      <c r="B38" s="124" t="str">
        <f t="shared" si="4"/>
        <v>FY 15</v>
      </c>
      <c r="C38" s="53" t="s">
        <v>198</v>
      </c>
      <c r="D38" s="243">
        <f>'UHCL Sum'!$G$11</f>
        <v>39325155</v>
      </c>
      <c r="E38" s="130">
        <f>'UHCL Sum'!$G$14</f>
        <v>7726043</v>
      </c>
      <c r="F38" s="130">
        <f t="shared" si="0"/>
        <v>47051198</v>
      </c>
      <c r="G38" s="130">
        <f>'UHCL Sum'!$F$47</f>
        <v>144407978</v>
      </c>
      <c r="H38" s="131"/>
      <c r="I38" s="238">
        <f>'UHCL Sum'!$C$6</f>
        <v>6762.63</v>
      </c>
      <c r="J38" s="253"/>
      <c r="K38" s="249">
        <f t="shared" si="1"/>
        <v>6957.5295410217623</v>
      </c>
      <c r="L38" s="249">
        <f t="shared" si="2"/>
        <v>21353.819150241845</v>
      </c>
      <c r="M38" s="248">
        <f t="shared" si="3"/>
        <v>0.32582131992735192</v>
      </c>
    </row>
    <row r="39" spans="1:13">
      <c r="A39" s="124" t="s">
        <v>199</v>
      </c>
      <c r="B39" s="124" t="str">
        <f t="shared" si="4"/>
        <v>FY 15</v>
      </c>
      <c r="C39" s="53" t="s">
        <v>200</v>
      </c>
      <c r="D39" s="243">
        <f>'UHD Sum'!$G$11</f>
        <v>38889927</v>
      </c>
      <c r="E39" s="130">
        <f>'UHD Sum'!$G$14</f>
        <v>10828344</v>
      </c>
      <c r="F39" s="130">
        <f t="shared" si="0"/>
        <v>49718271</v>
      </c>
      <c r="G39" s="130">
        <f>'UHD Sum'!$F$47</f>
        <v>167150445</v>
      </c>
      <c r="H39" s="131"/>
      <c r="I39" s="238">
        <f>'UHD Sum'!$C$6</f>
        <v>11193.03</v>
      </c>
      <c r="J39" s="253"/>
      <c r="K39" s="249">
        <f t="shared" si="1"/>
        <v>4441.8956261173244</v>
      </c>
      <c r="L39" s="249">
        <f t="shared" si="2"/>
        <v>14933.440274885352</v>
      </c>
      <c r="M39" s="248">
        <f t="shared" si="3"/>
        <v>0.29744623772913076</v>
      </c>
    </row>
    <row r="40" spans="1:13">
      <c r="A40" s="124" t="s">
        <v>201</v>
      </c>
      <c r="B40" s="124" t="str">
        <f t="shared" si="4"/>
        <v>FY 15</v>
      </c>
      <c r="C40" s="53" t="s">
        <v>202</v>
      </c>
      <c r="D40" s="243">
        <f>'UHV Sum'!$G$11</f>
        <v>19867941</v>
      </c>
      <c r="E40" s="130">
        <f>'UHV Sum'!$G$14</f>
        <v>3542817</v>
      </c>
      <c r="F40" s="130">
        <f t="shared" si="0"/>
        <v>23410758</v>
      </c>
      <c r="G40" s="130">
        <f>'UHV Sum'!$F$47</f>
        <v>60977241</v>
      </c>
      <c r="H40" s="131"/>
      <c r="I40" s="238">
        <f>'UHV Sum'!$C$6</f>
        <v>3604.5</v>
      </c>
      <c r="J40" s="254"/>
      <c r="K40" s="249">
        <f t="shared" si="1"/>
        <v>6494.8697461506454</v>
      </c>
      <c r="L40" s="249">
        <f t="shared" si="2"/>
        <v>16916.976279650436</v>
      </c>
      <c r="M40" s="248">
        <f t="shared" si="3"/>
        <v>0.38392616025379045</v>
      </c>
    </row>
    <row r="41" spans="1:13">
      <c r="A41" s="124" t="s">
        <v>203</v>
      </c>
      <c r="B41" s="124" t="str">
        <f t="shared" si="4"/>
        <v>FY 15</v>
      </c>
      <c r="C41" s="53" t="s">
        <v>204</v>
      </c>
      <c r="D41" s="243">
        <f>'TAMUT Sum'!$G$11</f>
        <v>26526760</v>
      </c>
      <c r="E41" s="130">
        <f>'TAMUT Sum'!$G$14</f>
        <v>2050273</v>
      </c>
      <c r="F41" s="130">
        <f t="shared" si="0"/>
        <v>28577033</v>
      </c>
      <c r="G41" s="130">
        <f>'TAMUT Sum'!$F$47</f>
        <v>39046434</v>
      </c>
      <c r="H41" s="131"/>
      <c r="I41" s="238">
        <f>'TAMUT Sum'!$C$6</f>
        <v>1651.54</v>
      </c>
      <c r="J41" s="254"/>
      <c r="K41" s="249">
        <f t="shared" si="1"/>
        <v>17303.264226116233</v>
      </c>
      <c r="L41" s="249">
        <f t="shared" si="2"/>
        <v>23642.43917797934</v>
      </c>
      <c r="M41" s="248">
        <f t="shared" si="3"/>
        <v>0.73187305657669022</v>
      </c>
    </row>
    <row r="42" spans="1:13">
      <c r="A42" s="132" t="s">
        <v>205</v>
      </c>
      <c r="B42" s="124" t="str">
        <f t="shared" si="4"/>
        <v>FY 15</v>
      </c>
      <c r="C42" s="133" t="s">
        <v>206</v>
      </c>
      <c r="D42" s="244">
        <f>'RGV1 Sum'!$G$11</f>
        <v>152832944</v>
      </c>
      <c r="E42" s="135">
        <f>'RGV1 Sum'!$G$14</f>
        <v>0</v>
      </c>
      <c r="F42" s="135">
        <f t="shared" si="0"/>
        <v>152832944</v>
      </c>
      <c r="G42" s="135">
        <f>'RGV1 Sum'!$F$47</f>
        <v>455207294</v>
      </c>
      <c r="H42" s="136"/>
      <c r="I42" s="239">
        <f>'RGV1 Sum'!$C$6</f>
        <v>28382.37</v>
      </c>
      <c r="J42" s="253"/>
      <c r="K42" s="249">
        <f t="shared" si="1"/>
        <v>5384.7844277979602</v>
      </c>
      <c r="L42" s="249">
        <f t="shared" si="2"/>
        <v>16038.382066050157</v>
      </c>
      <c r="M42" s="248">
        <f t="shared" si="3"/>
        <v>0.33574361837883909</v>
      </c>
    </row>
    <row r="43" spans="1:13" ht="13.5" thickBot="1">
      <c r="A43" s="138"/>
      <c r="B43" s="139">
        <f>COUNTA(B6:B42)</f>
        <v>37</v>
      </c>
      <c r="C43" s="140" t="s">
        <v>207</v>
      </c>
      <c r="D43" s="245">
        <f t="shared" ref="D43:G43" si="17">SUM(D6:D42)</f>
        <v>4021941972</v>
      </c>
      <c r="E43" s="141">
        <f t="shared" si="17"/>
        <v>1374476015</v>
      </c>
      <c r="F43" s="141">
        <f t="shared" si="17"/>
        <v>5396417987</v>
      </c>
      <c r="G43" s="141">
        <f t="shared" si="17"/>
        <v>15086798463</v>
      </c>
      <c r="H43" s="142"/>
      <c r="I43" s="240">
        <f>SUM(I6:I42)</f>
        <v>610403.57000000007</v>
      </c>
      <c r="J43" s="255">
        <f>SUM(J6:J42)</f>
        <v>0</v>
      </c>
      <c r="K43" s="141">
        <f t="shared" si="1"/>
        <v>8840.7379186855014</v>
      </c>
      <c r="L43" s="141">
        <f t="shared" si="2"/>
        <v>24716.104565050297</v>
      </c>
      <c r="M43" s="250">
        <f t="shared" si="3"/>
        <v>0.35769139491288238</v>
      </c>
    </row>
    <row r="44" spans="1:13" s="114" customFormat="1" ht="13.5" thickTop="1"/>
    <row r="45" spans="1:13" s="114" customFormat="1">
      <c r="D45" s="77" t="s">
        <v>208</v>
      </c>
      <c r="E45" s="77" t="s">
        <v>208</v>
      </c>
      <c r="F45" s="145"/>
    </row>
    <row r="46" spans="1:13" s="114" customFormat="1" ht="37.5" customHeight="1">
      <c r="C46" s="146" t="s">
        <v>209</v>
      </c>
      <c r="D46" s="147" t="s">
        <v>1</v>
      </c>
      <c r="E46" s="148" t="s">
        <v>28</v>
      </c>
      <c r="F46" s="251" t="s">
        <v>246</v>
      </c>
    </row>
    <row r="47" spans="1:13" s="114" customFormat="1" ht="51">
      <c r="D47" s="147" t="s">
        <v>2</v>
      </c>
      <c r="E47" s="148" t="s">
        <v>49</v>
      </c>
      <c r="F47" s="150"/>
    </row>
    <row r="48" spans="1:13" s="114" customFormat="1" ht="37.5" customHeight="1">
      <c r="D48" s="147" t="s">
        <v>130</v>
      </c>
      <c r="E48" s="150"/>
      <c r="F48" s="150"/>
    </row>
    <row r="49" spans="4:12" s="114" customFormat="1"/>
    <row r="50" spans="4:12" s="114" customFormat="1"/>
    <row r="51" spans="4:12" s="114" customFormat="1">
      <c r="D51" s="236" t="s">
        <v>210</v>
      </c>
    </row>
    <row r="52" spans="4:12" s="114" customFormat="1">
      <c r="D52" s="151" t="s">
        <v>211</v>
      </c>
    </row>
    <row r="53" spans="4:12" s="114" customFormat="1">
      <c r="D53" s="151" t="s">
        <v>212</v>
      </c>
    </row>
    <row r="54" spans="4:12" s="114" customFormat="1">
      <c r="D54" s="151" t="s">
        <v>213</v>
      </c>
    </row>
    <row r="55" spans="4:12" s="114" customFormat="1">
      <c r="D55" s="151" t="s">
        <v>214</v>
      </c>
    </row>
    <row r="56" spans="4:12" s="114" customFormat="1"/>
    <row r="57" spans="4:12" s="114" customFormat="1"/>
    <row r="58" spans="4:12" s="114" customFormat="1">
      <c r="D58" s="152"/>
      <c r="E58" s="153"/>
      <c r="F58" s="152"/>
    </row>
    <row r="59" spans="4:12" s="114" customFormat="1"/>
    <row r="60" spans="4:12" s="114" customFormat="1"/>
    <row r="61" spans="4:12" s="114" customFormat="1"/>
    <row r="62" spans="4:12" s="114" customFormat="1"/>
    <row r="63" spans="4:12" s="114" customFormat="1" ht="13.5" thickBot="1">
      <c r="D63" s="245"/>
      <c r="E63" s="141"/>
      <c r="F63" s="141"/>
      <c r="G63" s="141"/>
      <c r="H63" s="142"/>
      <c r="I63" s="240"/>
      <c r="J63" s="255"/>
      <c r="K63" s="141"/>
      <c r="L63" s="141"/>
    </row>
    <row r="64" spans="4:12" s="114" customFormat="1" ht="13.5" thickTop="1"/>
    <row r="65" s="114" customFormat="1"/>
    <row r="66" s="114" customFormat="1"/>
    <row r="67" s="114" customFormat="1"/>
    <row r="68" s="114" customFormat="1"/>
    <row r="69" s="114" customFormat="1"/>
    <row r="70" s="114" customFormat="1"/>
    <row r="71" s="114" customFormat="1"/>
    <row r="72" s="114" customFormat="1"/>
    <row r="73" s="114" customFormat="1"/>
    <row r="74" s="114" customFormat="1"/>
    <row r="75" s="114" customFormat="1"/>
    <row r="76" s="114" customFormat="1"/>
    <row r="77" s="114" customFormat="1"/>
    <row r="78" s="114" customFormat="1"/>
    <row r="79" s="114" customFormat="1"/>
    <row r="80" s="114" customFormat="1"/>
    <row r="81" s="114" customFormat="1"/>
    <row r="82" s="114" customFormat="1"/>
    <row r="83" s="114" customFormat="1"/>
    <row r="84" s="114" customFormat="1"/>
    <row r="85" s="114" customFormat="1"/>
    <row r="86" s="114" customFormat="1"/>
    <row r="87" s="114" customFormat="1"/>
    <row r="88" s="114" customFormat="1"/>
    <row r="89" s="114" customFormat="1"/>
    <row r="90" s="114" customFormat="1"/>
    <row r="91" s="114" customFormat="1"/>
    <row r="92" s="114" customFormat="1"/>
    <row r="93" s="114" customFormat="1"/>
    <row r="94" s="114" customFormat="1"/>
    <row r="95" s="114" customFormat="1"/>
    <row r="96" s="114" customFormat="1"/>
    <row r="97" s="114" customFormat="1"/>
    <row r="98" s="114" customFormat="1"/>
    <row r="99" s="114" customFormat="1"/>
    <row r="100" s="114" customFormat="1"/>
    <row r="101" s="114" customFormat="1"/>
    <row r="102" s="114" customFormat="1"/>
    <row r="103" s="114" customFormat="1"/>
    <row r="104" s="114" customFormat="1"/>
    <row r="105" s="114" customFormat="1"/>
    <row r="106" s="114" customFormat="1"/>
    <row r="107" s="114" customFormat="1"/>
    <row r="108" s="114" customFormat="1"/>
    <row r="109" s="114" customFormat="1"/>
    <row r="110" s="114" customFormat="1"/>
    <row r="111" s="114" customFormat="1"/>
    <row r="112" s="114" customFormat="1"/>
    <row r="113" s="114" customFormat="1"/>
    <row r="114" s="114" customFormat="1"/>
    <row r="115" s="114" customFormat="1"/>
    <row r="116" s="114" customFormat="1"/>
    <row r="117" s="114" customFormat="1"/>
    <row r="118" s="114" customFormat="1"/>
    <row r="119" s="114" customFormat="1"/>
    <row r="120" s="114" customFormat="1"/>
    <row r="121" s="114" customFormat="1"/>
    <row r="122" s="114" customFormat="1"/>
    <row r="123" s="114" customFormat="1"/>
    <row r="124" s="114" customFormat="1"/>
    <row r="125" s="114" customFormat="1"/>
    <row r="126" s="114" customFormat="1"/>
    <row r="127" s="114" customFormat="1"/>
    <row r="128" s="114" customFormat="1"/>
    <row r="129" s="114" customFormat="1"/>
    <row r="130" s="114" customFormat="1"/>
    <row r="131" s="114" customFormat="1"/>
    <row r="132" s="114" customFormat="1"/>
    <row r="133" s="114" customFormat="1"/>
    <row r="134" s="114" customFormat="1"/>
    <row r="135" s="114" customFormat="1"/>
    <row r="136" s="114" customFormat="1"/>
    <row r="137" s="114" customFormat="1"/>
    <row r="138" s="114" customFormat="1"/>
    <row r="139" s="114" customFormat="1"/>
    <row r="140" s="114" customFormat="1"/>
    <row r="141" s="114" customFormat="1"/>
    <row r="142" s="114" customFormat="1"/>
    <row r="143" s="114" customFormat="1"/>
    <row r="144" s="114" customFormat="1"/>
    <row r="145" s="114" customFormat="1"/>
    <row r="146" s="114" customFormat="1"/>
    <row r="147" s="114" customFormat="1"/>
    <row r="148" s="114" customFormat="1"/>
    <row r="149" s="114" customFormat="1"/>
    <row r="150" s="114" customFormat="1"/>
    <row r="151" s="114" customFormat="1"/>
    <row r="152" s="114" customFormat="1"/>
    <row r="153" s="114" customFormat="1"/>
    <row r="154" s="114" customFormat="1"/>
    <row r="155" s="114" customFormat="1"/>
    <row r="156" s="114" customFormat="1"/>
    <row r="157" s="114" customFormat="1"/>
    <row r="158" s="114" customFormat="1"/>
    <row r="159" s="114" customFormat="1"/>
    <row r="160" s="114" customFormat="1"/>
    <row r="161" s="114" customFormat="1"/>
    <row r="162" s="114" customFormat="1"/>
    <row r="163" s="114" customFormat="1"/>
    <row r="164" s="114" customFormat="1"/>
    <row r="165" s="114" customFormat="1"/>
    <row r="166" s="114" customFormat="1"/>
    <row r="167" s="114" customFormat="1"/>
    <row r="168" s="114" customFormat="1"/>
    <row r="169" s="114" customFormat="1"/>
    <row r="170" s="114" customFormat="1"/>
    <row r="171" s="114" customFormat="1"/>
    <row r="172" s="114" customFormat="1"/>
    <row r="173" s="114" customFormat="1"/>
    <row r="174" s="114" customFormat="1"/>
    <row r="175" s="114" customFormat="1"/>
    <row r="176" s="114" customFormat="1"/>
    <row r="177" s="114" customFormat="1"/>
    <row r="178" s="114" customFormat="1"/>
    <row r="179" s="114" customFormat="1"/>
    <row r="180" s="114" customFormat="1"/>
    <row r="181" s="114" customFormat="1"/>
    <row r="182" s="114" customFormat="1"/>
    <row r="183" s="114" customFormat="1"/>
    <row r="184" s="114" customFormat="1"/>
    <row r="185" s="114" customFormat="1"/>
    <row r="186" s="114" customFormat="1"/>
    <row r="187" s="114" customFormat="1"/>
    <row r="188" s="114" customFormat="1"/>
    <row r="189" s="114" customFormat="1"/>
    <row r="190" s="114" customFormat="1"/>
    <row r="191" s="114" customFormat="1"/>
    <row r="192" s="114" customFormat="1"/>
    <row r="193" s="114" customFormat="1"/>
    <row r="194" s="114" customFormat="1"/>
    <row r="195" s="114" customFormat="1"/>
    <row r="196" s="114" customFormat="1"/>
    <row r="197" s="114" customFormat="1"/>
    <row r="198" s="114" customFormat="1"/>
    <row r="199" s="114" customFormat="1"/>
    <row r="200" s="114" customFormat="1"/>
    <row r="201" s="114" customFormat="1"/>
    <row r="202" s="114" customFormat="1"/>
    <row r="203" s="114" customFormat="1"/>
    <row r="204" s="114" customFormat="1"/>
    <row r="205" s="114" customFormat="1"/>
    <row r="206" s="114" customFormat="1"/>
    <row r="207" s="114" customFormat="1"/>
    <row r="208" s="114" customFormat="1"/>
    <row r="209" s="114" customFormat="1"/>
    <row r="210" s="114" customFormat="1"/>
    <row r="211" s="114" customFormat="1"/>
    <row r="212" s="114" customFormat="1"/>
    <row r="213" s="114" customFormat="1"/>
    <row r="214" s="114" customFormat="1"/>
    <row r="215" s="114" customFormat="1"/>
    <row r="216" s="114" customFormat="1"/>
    <row r="217" s="114" customFormat="1"/>
    <row r="218" s="114" customFormat="1"/>
    <row r="219" s="114" customFormat="1"/>
    <row r="220" s="114" customFormat="1"/>
    <row r="221" s="114" customFormat="1"/>
    <row r="222" s="114" customFormat="1"/>
    <row r="223" s="114" customFormat="1"/>
    <row r="224" s="114" customFormat="1"/>
    <row r="225" s="114" customFormat="1"/>
    <row r="226" s="114" customFormat="1"/>
    <row r="227" s="114" customFormat="1"/>
    <row r="228" s="114" customFormat="1"/>
    <row r="229" s="114" customFormat="1"/>
    <row r="230" s="114" customFormat="1"/>
    <row r="231" s="114" customFormat="1"/>
    <row r="232" s="114" customFormat="1"/>
    <row r="233" s="114" customFormat="1"/>
    <row r="234" s="114" customFormat="1"/>
    <row r="235" s="114" customFormat="1"/>
    <row r="236" s="114" customFormat="1"/>
    <row r="237" s="114" customFormat="1"/>
    <row r="238" s="114" customFormat="1"/>
    <row r="239" s="114" customFormat="1"/>
    <row r="240" s="114" customFormat="1"/>
    <row r="241" s="114" customFormat="1"/>
    <row r="242" s="114" customFormat="1"/>
    <row r="243" s="114" customFormat="1"/>
    <row r="244" s="114" customFormat="1"/>
    <row r="245" s="114" customFormat="1"/>
    <row r="246" s="114" customFormat="1"/>
    <row r="247" s="114" customFormat="1"/>
    <row r="248" s="114" customFormat="1"/>
    <row r="249" s="114" customFormat="1"/>
    <row r="250" s="114" customFormat="1"/>
    <row r="251" s="114" customFormat="1"/>
    <row r="252" s="114" customFormat="1"/>
    <row r="253" s="114" customFormat="1"/>
    <row r="254" s="114" customFormat="1"/>
    <row r="255" s="114" customFormat="1"/>
    <row r="256" s="114" customFormat="1"/>
    <row r="257" s="114" customFormat="1"/>
    <row r="258" s="114" customFormat="1"/>
    <row r="259" s="114" customFormat="1"/>
    <row r="260" s="114" customFormat="1"/>
    <row r="261" s="114" customFormat="1"/>
    <row r="262" s="114" customFormat="1"/>
    <row r="263" s="114" customFormat="1"/>
    <row r="264" s="114" customFormat="1"/>
    <row r="265" s="114" customFormat="1"/>
    <row r="266" s="114" customFormat="1"/>
    <row r="267" s="114" customFormat="1"/>
    <row r="268" s="114" customFormat="1"/>
    <row r="269" s="114" customFormat="1"/>
    <row r="270" s="114" customFormat="1"/>
    <row r="271" s="114" customFormat="1"/>
    <row r="272" s="114" customFormat="1"/>
    <row r="273" s="114" customFormat="1"/>
    <row r="274" s="114" customFormat="1"/>
    <row r="275" s="114" customFormat="1"/>
    <row r="276" s="114" customFormat="1"/>
    <row r="277" s="114" customFormat="1"/>
    <row r="278" s="114" customFormat="1"/>
    <row r="279" s="114" customFormat="1"/>
    <row r="280" s="114" customFormat="1"/>
    <row r="281" s="114" customFormat="1"/>
    <row r="282" s="114" customFormat="1"/>
    <row r="283" s="114" customFormat="1"/>
    <row r="284" s="114" customFormat="1"/>
    <row r="285" s="114" customFormat="1"/>
    <row r="286" s="114" customFormat="1"/>
    <row r="287" s="114" customFormat="1"/>
    <row r="288" s="114" customFormat="1"/>
    <row r="289" s="114" customFormat="1"/>
    <row r="290" s="114" customFormat="1"/>
    <row r="291" s="114" customFormat="1"/>
    <row r="292" s="114" customFormat="1"/>
    <row r="293" s="114" customFormat="1"/>
    <row r="294" s="114" customFormat="1"/>
    <row r="295" s="114" customFormat="1"/>
    <row r="296" s="114" customFormat="1"/>
    <row r="297" s="114" customFormat="1"/>
    <row r="298" s="114" customFormat="1"/>
    <row r="299" s="114" customFormat="1"/>
    <row r="300" s="114" customFormat="1"/>
    <row r="301" s="114" customFormat="1"/>
    <row r="302" s="114" customFormat="1"/>
    <row r="303" s="114" customFormat="1"/>
    <row r="304" s="114" customFormat="1"/>
    <row r="305" s="114" customFormat="1"/>
    <row r="306" s="114" customFormat="1"/>
    <row r="307" s="114" customFormat="1"/>
    <row r="308" s="114" customFormat="1"/>
    <row r="309" s="114" customFormat="1"/>
    <row r="310" s="114" customFormat="1"/>
    <row r="311" s="114" customFormat="1"/>
    <row r="312" s="114" customFormat="1"/>
    <row r="313" s="114" customFormat="1"/>
    <row r="314" s="114" customFormat="1"/>
    <row r="315" s="114" customFormat="1"/>
    <row r="316" s="114" customFormat="1"/>
    <row r="317" s="114" customFormat="1"/>
    <row r="318" s="114" customFormat="1"/>
    <row r="319" s="114" customFormat="1"/>
    <row r="320" s="114" customFormat="1"/>
    <row r="321" s="114" customFormat="1"/>
    <row r="322" s="114" customFormat="1"/>
    <row r="323" s="114" customFormat="1"/>
    <row r="324" s="114" customFormat="1"/>
    <row r="325" s="114" customFormat="1"/>
    <row r="326" s="114" customFormat="1"/>
    <row r="327" s="114" customFormat="1"/>
    <row r="328" s="114" customFormat="1"/>
    <row r="329" s="114" customFormat="1"/>
    <row r="330" s="114" customFormat="1"/>
    <row r="331" s="114" customFormat="1"/>
    <row r="332" s="114" customFormat="1"/>
    <row r="333" s="114" customFormat="1"/>
    <row r="334" s="114" customFormat="1"/>
    <row r="335" s="114" customFormat="1"/>
    <row r="336" s="114" customFormat="1"/>
    <row r="337" s="114" customFormat="1"/>
    <row r="338" s="114" customFormat="1"/>
    <row r="339" s="114" customFormat="1"/>
    <row r="340" s="114" customFormat="1"/>
    <row r="341" s="114" customFormat="1"/>
    <row r="342" s="114" customFormat="1"/>
    <row r="343" s="114" customFormat="1"/>
    <row r="344" s="114" customFormat="1"/>
    <row r="345" s="114" customFormat="1"/>
    <row r="346" s="114" customFormat="1"/>
    <row r="347" s="114" customFormat="1"/>
    <row r="348" s="114" customFormat="1"/>
    <row r="349" s="114" customFormat="1"/>
    <row r="350" s="114" customFormat="1"/>
    <row r="351" s="114" customFormat="1"/>
    <row r="352" s="114" customFormat="1"/>
    <row r="353" s="114" customFormat="1"/>
    <row r="354" s="114" customFormat="1"/>
    <row r="355" s="114" customFormat="1"/>
    <row r="356" s="114" customFormat="1"/>
    <row r="357" s="114" customFormat="1"/>
    <row r="358" s="114" customFormat="1"/>
    <row r="359" s="114" customFormat="1"/>
    <row r="360" s="114" customFormat="1"/>
    <row r="361" s="114" customFormat="1"/>
    <row r="362" s="114" customFormat="1"/>
    <row r="363" s="114" customFormat="1"/>
    <row r="364" s="114" customFormat="1"/>
    <row r="365" s="114" customFormat="1"/>
    <row r="366" s="114" customFormat="1"/>
    <row r="367" s="114" customFormat="1"/>
    <row r="368" s="114" customFormat="1"/>
    <row r="369" s="114" customFormat="1"/>
    <row r="370" s="114" customFormat="1"/>
    <row r="371" s="114" customFormat="1"/>
    <row r="372" s="114" customFormat="1"/>
    <row r="373" s="114" customFormat="1"/>
    <row r="374" s="114" customFormat="1"/>
    <row r="375" s="114" customFormat="1"/>
    <row r="376" s="114" customFormat="1"/>
    <row r="377" s="114" customFormat="1"/>
    <row r="378" s="114" customFormat="1"/>
    <row r="379" s="114" customFormat="1"/>
    <row r="380" s="114" customFormat="1"/>
    <row r="381" s="114" customFormat="1"/>
    <row r="382" s="114" customFormat="1"/>
    <row r="383" s="114" customFormat="1"/>
    <row r="384" s="114" customFormat="1"/>
    <row r="385" s="114" customFormat="1"/>
    <row r="386" s="114" customFormat="1"/>
    <row r="387" s="114" customFormat="1"/>
    <row r="388" s="114" customFormat="1"/>
    <row r="389" s="114" customFormat="1"/>
    <row r="390" s="114" customFormat="1"/>
    <row r="391" s="114" customFormat="1"/>
    <row r="392" s="114" customFormat="1"/>
    <row r="393" s="114" customFormat="1"/>
    <row r="394" s="114" customFormat="1"/>
    <row r="395" s="114" customFormat="1"/>
    <row r="396" s="114" customFormat="1"/>
    <row r="397" s="114" customFormat="1"/>
    <row r="398" s="114" customFormat="1"/>
    <row r="399" s="114" customFormat="1"/>
    <row r="400" s="114" customFormat="1"/>
    <row r="401" s="114" customFormat="1"/>
    <row r="402" s="114" customFormat="1"/>
    <row r="403" s="114" customFormat="1"/>
    <row r="404" s="114" customFormat="1"/>
    <row r="405" s="114" customFormat="1"/>
    <row r="406" s="114" customFormat="1"/>
    <row r="407" s="114" customFormat="1"/>
    <row r="408" s="114" customFormat="1"/>
    <row r="409" s="114" customFormat="1"/>
    <row r="410" s="114" customFormat="1"/>
    <row r="411" s="114" customFormat="1"/>
    <row r="412" s="114" customFormat="1"/>
    <row r="413" s="114" customFormat="1"/>
    <row r="414" s="114" customFormat="1"/>
    <row r="415" s="114" customFormat="1"/>
    <row r="416" s="114" customFormat="1"/>
    <row r="417" s="114" customFormat="1"/>
    <row r="418" s="114" customFormat="1"/>
    <row r="419" s="114" customFormat="1"/>
    <row r="420" s="114" customFormat="1"/>
    <row r="421" s="114" customFormat="1"/>
    <row r="422" s="114" customFormat="1"/>
    <row r="423" s="114" customFormat="1"/>
    <row r="424" s="114" customFormat="1"/>
    <row r="425" s="114" customFormat="1"/>
    <row r="426" s="114" customFormat="1"/>
    <row r="427" s="114" customFormat="1"/>
    <row r="428" s="114" customFormat="1"/>
    <row r="429" s="114" customFormat="1"/>
    <row r="430" s="114" customFormat="1"/>
    <row r="431" s="114" customFormat="1"/>
    <row r="432" s="114" customFormat="1"/>
    <row r="433" s="114" customFormat="1"/>
    <row r="434" s="114" customFormat="1"/>
    <row r="435" s="114" customFormat="1"/>
    <row r="436" s="114" customFormat="1"/>
    <row r="437" s="114" customFormat="1"/>
    <row r="438" s="114" customFormat="1"/>
    <row r="439" s="114" customFormat="1"/>
    <row r="440" s="114" customFormat="1"/>
    <row r="441" s="114" customFormat="1"/>
    <row r="442" s="114" customFormat="1"/>
    <row r="443" s="114" customFormat="1"/>
    <row r="444" s="114" customFormat="1"/>
    <row r="445" s="114" customFormat="1"/>
    <row r="446" s="114" customFormat="1"/>
    <row r="447" s="114" customFormat="1"/>
    <row r="448" s="114" customFormat="1"/>
    <row r="449" s="114" customFormat="1"/>
    <row r="450" s="114" customFormat="1"/>
    <row r="451" s="114" customFormat="1"/>
    <row r="452" s="114" customFormat="1"/>
    <row r="453" s="114" customFormat="1"/>
    <row r="454" s="114" customFormat="1"/>
    <row r="455" s="114" customFormat="1"/>
    <row r="456" s="114" customFormat="1"/>
    <row r="457" s="114" customFormat="1"/>
    <row r="458" s="114" customFormat="1"/>
    <row r="459" s="114" customFormat="1"/>
    <row r="460" s="114" customFormat="1"/>
    <row r="461" s="114" customFormat="1"/>
    <row r="462" s="114" customFormat="1"/>
    <row r="463" s="114" customFormat="1"/>
    <row r="464" s="114" customFormat="1"/>
    <row r="465" s="114" customFormat="1"/>
    <row r="466" s="114" customFormat="1"/>
    <row r="467" s="114" customFormat="1"/>
    <row r="468" s="114" customFormat="1"/>
    <row r="469" s="114" customFormat="1"/>
    <row r="470" s="114" customFormat="1"/>
    <row r="471" s="114" customFormat="1"/>
    <row r="472" s="114" customFormat="1"/>
    <row r="473" s="114" customFormat="1"/>
    <row r="474" s="114" customFormat="1"/>
    <row r="475" s="114" customFormat="1"/>
    <row r="476" s="114" customFormat="1"/>
    <row r="477" s="114" customFormat="1"/>
    <row r="478" s="114" customFormat="1"/>
    <row r="479" s="114" customFormat="1"/>
    <row r="480" s="114" customFormat="1"/>
    <row r="481" s="114" customFormat="1"/>
    <row r="482" s="114" customFormat="1"/>
    <row r="483" s="114" customFormat="1"/>
    <row r="484" s="114" customFormat="1"/>
    <row r="485" s="114" customFormat="1"/>
    <row r="486" s="114" customFormat="1"/>
    <row r="487" s="114" customFormat="1"/>
    <row r="488" s="114" customFormat="1"/>
    <row r="489" s="114" customFormat="1"/>
    <row r="490" s="114" customFormat="1"/>
    <row r="491" s="114" customFormat="1"/>
    <row r="492" s="114" customFormat="1"/>
    <row r="493" s="114" customFormat="1"/>
    <row r="494" s="114" customFormat="1"/>
    <row r="495" s="114" customFormat="1"/>
    <row r="496" s="114" customFormat="1"/>
    <row r="497" s="114" customFormat="1"/>
    <row r="498" s="114" customFormat="1"/>
    <row r="499" s="114" customFormat="1"/>
    <row r="500" s="114" customFormat="1"/>
    <row r="501" s="114" customFormat="1"/>
    <row r="502" s="114" customFormat="1"/>
    <row r="503" s="114" customFormat="1"/>
    <row r="504" s="114" customFormat="1"/>
    <row r="505" s="114" customFormat="1"/>
    <row r="506" s="114" customFormat="1"/>
    <row r="507" s="114" customFormat="1"/>
    <row r="508" s="114" customFormat="1"/>
    <row r="509" s="114" customFormat="1"/>
    <row r="510" s="114" customFormat="1"/>
    <row r="511" s="114" customFormat="1"/>
    <row r="512" s="114" customFormat="1"/>
    <row r="513" s="114" customFormat="1"/>
    <row r="514" s="114" customFormat="1"/>
    <row r="515" s="114" customFormat="1"/>
    <row r="516" s="114" customFormat="1"/>
    <row r="517" s="114" customFormat="1"/>
    <row r="518" s="114" customFormat="1"/>
    <row r="519" s="114" customFormat="1"/>
    <row r="520" s="114" customFormat="1"/>
    <row r="521" s="114" customFormat="1"/>
    <row r="522" s="114" customFormat="1"/>
    <row r="523" s="114" customFormat="1"/>
    <row r="524" s="114" customFormat="1"/>
    <row r="525" s="114" customFormat="1"/>
    <row r="526" s="114" customFormat="1"/>
    <row r="527" s="114" customFormat="1"/>
    <row r="528" s="114" customFormat="1"/>
    <row r="529" s="114" customFormat="1"/>
    <row r="530" s="114" customFormat="1"/>
    <row r="531" s="114" customFormat="1"/>
    <row r="532" s="114" customFormat="1"/>
    <row r="533" s="114" customFormat="1"/>
    <row r="534" s="114" customFormat="1"/>
    <row r="535" s="114" customFormat="1"/>
    <row r="536" s="114" customFormat="1"/>
    <row r="537" s="114" customFormat="1"/>
    <row r="538" s="114" customFormat="1"/>
    <row r="539" s="114" customFormat="1"/>
    <row r="540" s="114" customFormat="1"/>
    <row r="541" s="114" customFormat="1"/>
    <row r="542" s="114" customFormat="1"/>
    <row r="543" s="114" customFormat="1"/>
    <row r="544" s="114" customFormat="1"/>
    <row r="545" s="114" customFormat="1"/>
    <row r="546" s="114" customFormat="1"/>
    <row r="547" s="114" customFormat="1"/>
    <row r="548" s="114" customFormat="1"/>
    <row r="549" s="114" customFormat="1"/>
    <row r="550" s="114" customFormat="1"/>
    <row r="551" s="114" customFormat="1"/>
    <row r="552" s="114" customFormat="1"/>
    <row r="553" s="114" customFormat="1"/>
    <row r="554" s="114" customFormat="1"/>
    <row r="555" s="114" customFormat="1"/>
    <row r="556" s="114" customFormat="1"/>
    <row r="557" s="114" customFormat="1"/>
    <row r="558" s="114" customFormat="1"/>
    <row r="559" s="114" customFormat="1"/>
    <row r="560" s="114" customFormat="1"/>
    <row r="561" s="114" customFormat="1"/>
    <row r="562" s="114" customFormat="1"/>
    <row r="563" s="114" customFormat="1"/>
    <row r="564" s="114" customFormat="1"/>
    <row r="565" s="114" customFormat="1"/>
    <row r="566" s="114" customFormat="1"/>
    <row r="567" s="114" customFormat="1"/>
    <row r="568" s="114" customFormat="1"/>
    <row r="569" s="114" customFormat="1"/>
    <row r="570" s="114" customFormat="1"/>
    <row r="571" s="114" customFormat="1"/>
    <row r="572" s="114" customFormat="1"/>
    <row r="573" s="114" customFormat="1"/>
    <row r="574" s="114" customFormat="1"/>
    <row r="575" s="114" customFormat="1"/>
    <row r="576" s="114" customFormat="1"/>
    <row r="577" s="114" customFormat="1"/>
    <row r="578" s="114" customFormat="1"/>
    <row r="579" s="114" customFormat="1"/>
    <row r="580" s="114" customFormat="1"/>
    <row r="581" s="114" customFormat="1"/>
    <row r="582" s="114" customFormat="1"/>
    <row r="583" s="114" customFormat="1"/>
    <row r="584" s="114" customFormat="1"/>
    <row r="585" s="114" customFormat="1"/>
    <row r="586" s="114" customFormat="1"/>
    <row r="587" s="114" customFormat="1"/>
    <row r="588" s="114" customFormat="1"/>
    <row r="589" s="114" customFormat="1"/>
    <row r="590" s="114" customFormat="1"/>
    <row r="591" s="114" customFormat="1"/>
    <row r="592" s="114" customFormat="1"/>
    <row r="593" s="114" customFormat="1"/>
    <row r="594" s="114" customFormat="1"/>
    <row r="595" s="114" customFormat="1"/>
    <row r="596" s="114" customFormat="1"/>
    <row r="597" s="114" customFormat="1"/>
    <row r="598" s="114" customFormat="1"/>
    <row r="599" s="114" customFormat="1"/>
    <row r="600" s="114" customFormat="1"/>
    <row r="601" s="114" customFormat="1"/>
    <row r="602" s="114" customFormat="1"/>
    <row r="603" s="114" customFormat="1"/>
    <row r="604" s="114" customFormat="1"/>
    <row r="605" s="114" customFormat="1"/>
    <row r="606" s="114" customFormat="1"/>
    <row r="607" s="114" customFormat="1"/>
    <row r="608" s="114" customFormat="1"/>
    <row r="609" s="114" customFormat="1"/>
    <row r="610" s="114" customFormat="1"/>
    <row r="611" s="114" customFormat="1"/>
    <row r="612" s="114" customFormat="1"/>
    <row r="613" s="114" customFormat="1"/>
    <row r="614" s="114" customFormat="1"/>
    <row r="615" s="114" customFormat="1"/>
    <row r="616" s="114" customFormat="1"/>
    <row r="617" s="114" customFormat="1"/>
    <row r="618" s="114" customFormat="1"/>
    <row r="619" s="114" customFormat="1"/>
    <row r="620" s="114" customFormat="1"/>
    <row r="621" s="114" customFormat="1"/>
    <row r="622" s="114" customFormat="1"/>
    <row r="623" s="114" customFormat="1"/>
    <row r="624" s="114" customFormat="1"/>
    <row r="625" s="114" customFormat="1"/>
    <row r="626" s="114" customFormat="1"/>
    <row r="627" s="114" customFormat="1"/>
    <row r="628" s="114" customFormat="1"/>
    <row r="629" s="114" customFormat="1"/>
    <row r="630" s="114" customFormat="1"/>
    <row r="631" s="114" customFormat="1"/>
    <row r="632" s="114" customFormat="1"/>
    <row r="633" s="114" customFormat="1"/>
    <row r="634" s="114" customFormat="1"/>
    <row r="635" s="114" customFormat="1"/>
    <row r="636" s="114" customFormat="1"/>
    <row r="637" s="114" customFormat="1"/>
    <row r="638" s="114" customFormat="1"/>
    <row r="639" s="114" customFormat="1"/>
    <row r="640" s="114" customFormat="1"/>
    <row r="641" s="114" customFormat="1"/>
    <row r="642" s="114" customFormat="1"/>
    <row r="643" s="114" customFormat="1"/>
    <row r="644" s="114" customFormat="1"/>
    <row r="645" s="114" customFormat="1"/>
    <row r="646" s="114" customFormat="1"/>
    <row r="647" s="114" customFormat="1"/>
    <row r="648" s="114" customFormat="1"/>
    <row r="649" s="114" customFormat="1"/>
    <row r="650" s="114" customFormat="1"/>
    <row r="651" s="114" customFormat="1"/>
    <row r="652" s="114" customFormat="1"/>
    <row r="653" s="114" customFormat="1"/>
    <row r="654" s="114" customFormat="1"/>
    <row r="655" s="114" customFormat="1"/>
    <row r="656" s="114" customFormat="1"/>
    <row r="657" s="114" customFormat="1"/>
    <row r="658" s="114" customFormat="1"/>
    <row r="659" s="114" customFormat="1"/>
    <row r="660" s="114" customFormat="1"/>
    <row r="661" s="114" customFormat="1"/>
    <row r="662" s="114" customFormat="1"/>
    <row r="663" s="114" customFormat="1"/>
    <row r="664" s="114" customFormat="1"/>
    <row r="665" s="114" customFormat="1"/>
    <row r="666" s="114" customFormat="1"/>
    <row r="667" s="114" customFormat="1"/>
    <row r="668" s="114" customFormat="1"/>
    <row r="669" s="114" customFormat="1"/>
    <row r="670" s="114" customFormat="1"/>
    <row r="671" s="114" customFormat="1"/>
    <row r="672" s="114" customFormat="1"/>
    <row r="673" s="114" customFormat="1"/>
    <row r="674" s="114" customFormat="1"/>
    <row r="675" s="114" customFormat="1"/>
    <row r="676" s="114" customFormat="1"/>
    <row r="677" s="114" customFormat="1"/>
    <row r="678" s="114" customFormat="1"/>
    <row r="679" s="114" customFormat="1"/>
    <row r="680" s="114" customFormat="1"/>
    <row r="681" s="114" customFormat="1"/>
    <row r="682" s="114" customFormat="1"/>
    <row r="683" s="114" customFormat="1"/>
    <row r="684" s="114" customFormat="1"/>
    <row r="685" s="114" customFormat="1"/>
    <row r="686" s="114" customFormat="1"/>
    <row r="687" s="114" customFormat="1"/>
    <row r="688" s="114" customFormat="1"/>
    <row r="689" s="114" customFormat="1"/>
    <row r="690" s="114" customFormat="1"/>
    <row r="691" s="114" customFormat="1"/>
    <row r="692" s="114" customFormat="1"/>
    <row r="693" s="114" customFormat="1"/>
    <row r="694" s="114" customFormat="1"/>
    <row r="695" s="114" customFormat="1"/>
    <row r="696" s="114" customFormat="1"/>
    <row r="697" s="114" customFormat="1"/>
    <row r="698" s="114" customFormat="1"/>
    <row r="699" s="114" customFormat="1"/>
    <row r="700" s="114" customFormat="1"/>
    <row r="701" s="114" customFormat="1"/>
    <row r="702" s="114" customFormat="1"/>
    <row r="703" s="114" customFormat="1"/>
    <row r="704" s="114" customFormat="1"/>
    <row r="705" s="114" customFormat="1"/>
    <row r="706" s="114" customFormat="1"/>
    <row r="707" s="114" customFormat="1"/>
    <row r="708" s="114" customFormat="1"/>
    <row r="709" s="114" customFormat="1"/>
    <row r="710" s="114" customFormat="1"/>
    <row r="711" s="114" customFormat="1"/>
    <row r="712" s="114" customFormat="1"/>
    <row r="713" s="114" customFormat="1"/>
    <row r="714" s="114" customFormat="1"/>
    <row r="715" s="114" customFormat="1"/>
    <row r="716" s="114" customFormat="1"/>
    <row r="717" s="114" customFormat="1"/>
    <row r="718" s="114" customFormat="1"/>
    <row r="719" s="114" customFormat="1"/>
    <row r="720" s="114" customFormat="1"/>
    <row r="721" s="114" customFormat="1"/>
    <row r="722" s="114" customFormat="1"/>
    <row r="723" s="114" customFormat="1"/>
    <row r="724" s="114" customFormat="1"/>
    <row r="725" s="114" customFormat="1"/>
    <row r="726" s="114" customFormat="1"/>
    <row r="727" s="114" customFormat="1"/>
    <row r="728" s="114" customFormat="1"/>
    <row r="729" s="114" customFormat="1"/>
    <row r="730" s="114" customFormat="1"/>
    <row r="731" s="114" customFormat="1"/>
    <row r="732" s="114" customFormat="1"/>
    <row r="733" s="114" customFormat="1"/>
    <row r="734" s="114" customFormat="1"/>
    <row r="735" s="114" customFormat="1"/>
    <row r="736" s="114" customFormat="1"/>
    <row r="737" s="114" customFormat="1"/>
    <row r="738" s="114" customFormat="1"/>
    <row r="739" s="114" customFormat="1"/>
    <row r="740" s="114" customFormat="1"/>
    <row r="741" s="114" customFormat="1"/>
    <row r="742" s="114" customFormat="1"/>
    <row r="743" s="114" customFormat="1"/>
    <row r="744" s="114" customFormat="1"/>
    <row r="745" s="114" customFormat="1"/>
    <row r="746" s="114" customFormat="1"/>
    <row r="747" s="114" customFormat="1"/>
    <row r="748" s="114" customFormat="1"/>
    <row r="749" s="114" customFormat="1"/>
    <row r="750" s="114" customFormat="1"/>
    <row r="751" s="114" customFormat="1"/>
    <row r="752" s="114" customFormat="1"/>
    <row r="753" s="114" customFormat="1"/>
    <row r="754" s="114" customFormat="1"/>
    <row r="755" s="114" customFormat="1"/>
    <row r="756" s="114" customFormat="1"/>
    <row r="757" s="114" customFormat="1"/>
    <row r="758" s="114" customFormat="1"/>
    <row r="759" s="114" customFormat="1"/>
    <row r="760" s="114" customFormat="1"/>
    <row r="761" s="114" customFormat="1"/>
    <row r="762" s="114" customFormat="1"/>
    <row r="763" s="114" customFormat="1"/>
    <row r="764" s="114" customFormat="1"/>
    <row r="765" s="114" customFormat="1"/>
    <row r="766" s="114" customFormat="1"/>
    <row r="767" s="114" customFormat="1"/>
    <row r="768" s="114" customFormat="1"/>
    <row r="769" s="114" customFormat="1"/>
    <row r="770" s="114" customFormat="1"/>
    <row r="771" s="114" customFormat="1"/>
    <row r="772" s="114" customFormat="1"/>
    <row r="773" s="114" customFormat="1"/>
    <row r="774" s="114" customFormat="1"/>
    <row r="775" s="114" customFormat="1"/>
    <row r="776" s="114" customFormat="1"/>
    <row r="777" s="114" customFormat="1"/>
    <row r="778" s="114" customFormat="1"/>
    <row r="779" s="114" customFormat="1"/>
    <row r="780" s="114" customFormat="1"/>
    <row r="781" s="114" customFormat="1"/>
    <row r="782" s="114" customFormat="1"/>
    <row r="783" s="114" customFormat="1"/>
    <row r="784" s="114" customFormat="1"/>
    <row r="785" s="114" customFormat="1"/>
    <row r="786" s="114" customFormat="1"/>
    <row r="787" s="114" customFormat="1"/>
    <row r="788" s="114" customFormat="1"/>
    <row r="789" s="114" customFormat="1"/>
    <row r="790" s="114" customFormat="1"/>
    <row r="791" s="114" customFormat="1"/>
    <row r="792" s="114" customFormat="1"/>
    <row r="793" s="114" customFormat="1"/>
    <row r="794" s="114" customFormat="1"/>
    <row r="795" s="114" customFormat="1"/>
    <row r="796" s="114" customFormat="1"/>
    <row r="797" s="114" customFormat="1"/>
    <row r="798" s="114" customFormat="1"/>
    <row r="799" s="114" customFormat="1"/>
    <row r="800" s="114" customFormat="1"/>
    <row r="801" s="114" customFormat="1"/>
    <row r="802" s="114" customFormat="1"/>
    <row r="803" s="114" customFormat="1"/>
    <row r="804" s="114" customFormat="1"/>
    <row r="805" s="114" customFormat="1"/>
    <row r="806" s="114" customFormat="1"/>
    <row r="807" s="114" customFormat="1"/>
    <row r="808" s="114" customFormat="1"/>
    <row r="809" s="114" customFormat="1"/>
    <row r="810" s="114" customFormat="1"/>
    <row r="811" s="114" customFormat="1"/>
    <row r="812" s="114" customFormat="1"/>
    <row r="813" s="114" customFormat="1"/>
    <row r="814" s="114" customFormat="1"/>
    <row r="815" s="114" customFormat="1"/>
    <row r="816" s="114" customFormat="1"/>
    <row r="817" s="114" customFormat="1"/>
    <row r="818" s="114" customFormat="1"/>
    <row r="819" s="114" customFormat="1"/>
    <row r="820" s="114" customFormat="1"/>
    <row r="821" s="114" customFormat="1"/>
    <row r="822" s="114" customFormat="1"/>
    <row r="823" s="114" customFormat="1"/>
    <row r="824" s="114" customFormat="1"/>
    <row r="825" s="114" customFormat="1"/>
    <row r="826" s="114" customFormat="1"/>
    <row r="827" s="114" customFormat="1"/>
    <row r="828" s="114" customFormat="1"/>
    <row r="829" s="114" customFormat="1"/>
    <row r="830" s="114" customFormat="1"/>
    <row r="831" s="114" customFormat="1"/>
    <row r="832" s="114" customFormat="1"/>
    <row r="833" s="114" customFormat="1"/>
    <row r="834" s="114" customFormat="1"/>
    <row r="835" s="114" customFormat="1"/>
    <row r="836" s="114" customFormat="1"/>
    <row r="837" s="114" customFormat="1"/>
    <row r="838" s="114" customFormat="1"/>
    <row r="839" s="114" customFormat="1"/>
    <row r="840" s="114" customFormat="1"/>
    <row r="841" s="114" customFormat="1"/>
  </sheetData>
  <conditionalFormatting sqref="M6:M42">
    <cfRule type="colorScale" priority="2">
      <colorScale>
        <cfvo type="min"/>
        <cfvo type="percentile" val="50"/>
        <cfvo type="max"/>
        <color rgb="FFF8696B"/>
        <color rgb="FFFFEB84"/>
        <color rgb="FF63BE7B"/>
      </colorScale>
    </cfRule>
  </conditionalFormatting>
  <conditionalFormatting sqref="M6:M43">
    <cfRule type="colorScale" priority="1">
      <colorScale>
        <cfvo type="min"/>
        <cfvo type="percentile" val="50"/>
        <cfvo type="max"/>
        <color rgb="FFF8696B"/>
        <color rgb="FFFFEB84"/>
        <color rgb="FF63BE7B"/>
      </colorScale>
    </cfRule>
  </conditionalFormatting>
  <printOptions horizontalCentered="1"/>
  <pageMargins left="0.25" right="0.25" top="0.5" bottom="0.5" header="0.5" footer="0.5"/>
  <pageSetup scale="86" orientation="landscape" horizontalDpi="1200" verticalDpi="1200" r:id="rId1"/>
  <headerFooter alignWithMargins="0">
    <oddFooter>&amp;L&amp;8Planning &amp; Accountability&amp;R&amp;8&amp;D</oddFooter>
  </headerFooter>
  <rowBreaks count="1" manualBreakCount="1">
    <brk id="44" max="15" man="1"/>
  </row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45">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7.140625" style="164" customWidth="1"/>
    <col min="13" max="13" width="21.140625" style="164" customWidth="1"/>
    <col min="14" max="14" width="5.7109375" style="164" customWidth="1"/>
    <col min="15" max="15" width="16.28515625" style="261" customWidth="1"/>
    <col min="16" max="16" width="25.7109375" style="264" customWidth="1"/>
    <col min="17" max="17" width="16.42578125" style="264" customWidth="1"/>
    <col min="18" max="18" width="20" style="264" customWidth="1"/>
    <col min="19" max="19" width="1.7109375" style="264" customWidth="1"/>
    <col min="20" max="20" width="17.140625" style="264" customWidth="1"/>
    <col min="21" max="21" width="16.85546875" style="264" customWidth="1"/>
    <col min="22" max="23" width="19.28515625" style="264" customWidth="1"/>
    <col min="24" max="24" width="19.71093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13" t="str">
        <f>'TAMU Chrts'!$A$1</f>
        <v>Texas A&amp;M University</v>
      </c>
      <c r="C2" s="1713"/>
      <c r="D2" s="1713"/>
      <c r="E2" s="1713"/>
      <c r="F2" s="1742"/>
      <c r="G2" s="160"/>
      <c r="H2" s="161"/>
      <c r="I2" s="320" t="str">
        <f>IF($B$2&lt;&gt;Input!$B$14,"Name Mismatch","")</f>
        <v/>
      </c>
      <c r="J2" s="168"/>
      <c r="K2" s="169"/>
      <c r="L2" s="169"/>
      <c r="M2" s="170"/>
      <c r="O2" s="835" t="s">
        <v>1200</v>
      </c>
      <c r="P2" s="36"/>
    </row>
    <row r="3" spans="1:28" ht="20.25">
      <c r="A3" s="184">
        <v>2</v>
      </c>
      <c r="B3" s="1713" t="str">
        <f>'Smmy Chrts'!$A$2</f>
        <v>For the Year Ended August 31, 2021</v>
      </c>
      <c r="C3" s="1713"/>
      <c r="D3" s="1713"/>
      <c r="E3" s="1713"/>
      <c r="F3" s="1742"/>
      <c r="G3" s="161"/>
      <c r="H3" s="161"/>
      <c r="I3" s="169"/>
      <c r="J3" s="168"/>
      <c r="K3" s="169"/>
      <c r="L3" s="169"/>
      <c r="M3" s="170"/>
      <c r="O3" s="74"/>
    </row>
    <row r="4" spans="1:28" ht="20.25">
      <c r="A4" s="184">
        <v>3</v>
      </c>
      <c r="B4" s="1713" t="str">
        <f>'Smmy Chrts'!$A$3</f>
        <v>Source: FY 2021 Annual Financial Report</v>
      </c>
      <c r="C4" s="1713"/>
      <c r="D4" s="1713"/>
      <c r="E4" s="1713"/>
      <c r="F4" s="1742"/>
      <c r="G4" s="161"/>
      <c r="H4" s="161"/>
      <c r="I4" s="169"/>
      <c r="J4" s="168"/>
      <c r="K4" s="169"/>
      <c r="L4" s="169"/>
      <c r="M4" s="170"/>
      <c r="O4" s="74"/>
      <c r="P4" s="1744" t="s">
        <v>93</v>
      </c>
      <c r="Q4" s="1745"/>
      <c r="T4" s="36" t="s">
        <v>250</v>
      </c>
    </row>
    <row r="5" spans="1:28">
      <c r="A5" s="184">
        <v>4</v>
      </c>
      <c r="B5" s="160"/>
      <c r="C5" s="160"/>
      <c r="D5" s="160"/>
      <c r="E5" s="160"/>
      <c r="F5" s="160"/>
      <c r="G5" s="160"/>
      <c r="H5" s="160"/>
      <c r="I5" s="160"/>
      <c r="J5" s="160"/>
      <c r="K5" s="160"/>
      <c r="L5" s="160"/>
      <c r="M5" s="166"/>
      <c r="O5" s="262"/>
    </row>
    <row r="6" spans="1:28">
      <c r="A6" s="184">
        <v>5</v>
      </c>
      <c r="B6" s="1715" t="str">
        <f>'Smmy Chrts'!$C$32</f>
        <v>Detail Worksheet FY 2021</v>
      </c>
      <c r="C6" s="1715"/>
      <c r="D6" s="1743"/>
      <c r="E6" s="1743"/>
      <c r="F6" s="1743"/>
      <c r="G6" s="1743"/>
      <c r="H6" s="1743"/>
      <c r="I6" s="1743"/>
      <c r="J6" s="1743"/>
      <c r="K6" s="1743"/>
      <c r="L6" s="1743"/>
      <c r="M6" s="1743"/>
      <c r="O6" s="265"/>
    </row>
    <row r="7" spans="1:28">
      <c r="A7" s="184">
        <v>6</v>
      </c>
      <c r="B7" s="172"/>
      <c r="C7" s="172"/>
      <c r="D7" s="160"/>
      <c r="E7" s="160"/>
      <c r="F7" s="160"/>
      <c r="G7" s="160"/>
      <c r="H7" s="160"/>
      <c r="I7" s="160"/>
      <c r="J7" s="160"/>
      <c r="K7" s="160"/>
      <c r="L7" s="160"/>
      <c r="M7" s="173" t="str">
        <f>'Smmy Chrts'!$C$33</f>
        <v>FY 2021</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Input!$M$14</f>
        <v>367550412</v>
      </c>
      <c r="E10" s="372">
        <f>Input!$N$14</f>
        <v>0</v>
      </c>
      <c r="F10" s="372">
        <f>Input!$O$14</f>
        <v>0</v>
      </c>
      <c r="G10" s="372">
        <f>Input!$P$14</f>
        <v>0</v>
      </c>
      <c r="H10" s="372">
        <f>Input!$Q$14</f>
        <v>0</v>
      </c>
      <c r="I10" s="372">
        <f>Input!$R$14</f>
        <v>0</v>
      </c>
      <c r="J10" s="372">
        <f>Input!$S$14</f>
        <v>0</v>
      </c>
      <c r="K10" s="372">
        <f>Input!$T$14</f>
        <v>0</v>
      </c>
      <c r="L10" s="372">
        <f>Input!$U$14</f>
        <v>0</v>
      </c>
      <c r="M10" s="373">
        <f t="shared" ref="M10:M15" si="0">D10+E10+F10+G10+H10+I10+J10+K10+L10</f>
        <v>367550412</v>
      </c>
      <c r="N10" s="160"/>
      <c r="O10" s="271"/>
      <c r="P10" s="1718" t="s">
        <v>575</v>
      </c>
      <c r="U10" s="268"/>
    </row>
    <row r="11" spans="1:28">
      <c r="A11" s="184">
        <v>10</v>
      </c>
      <c r="B11" s="160" t="s">
        <v>2</v>
      </c>
      <c r="C11" s="160"/>
      <c r="D11" s="372">
        <f>Input!$V$14</f>
        <v>72824110</v>
      </c>
      <c r="E11" s="372">
        <f>Input!$W$14</f>
        <v>374370</v>
      </c>
      <c r="F11" s="372">
        <f>Input!$X$14</f>
        <v>0</v>
      </c>
      <c r="G11" s="372">
        <f>Input!$Y$14</f>
        <v>8372614</v>
      </c>
      <c r="H11" s="372">
        <f>Input!$Z$14</f>
        <v>0</v>
      </c>
      <c r="I11" s="372">
        <f>Input!$AA$14</f>
        <v>0</v>
      </c>
      <c r="J11" s="372">
        <f>Input!$AB$14</f>
        <v>0</v>
      </c>
      <c r="K11" s="372">
        <f>Input!$AC$14</f>
        <v>0</v>
      </c>
      <c r="L11" s="372">
        <f>Input!$AD$14</f>
        <v>0</v>
      </c>
      <c r="M11" s="373">
        <f t="shared" si="0"/>
        <v>81571094</v>
      </c>
      <c r="N11" s="160"/>
      <c r="O11" s="482"/>
      <c r="P11" s="1719"/>
      <c r="U11" s="268"/>
    </row>
    <row r="12" spans="1:28" ht="12.75" hidden="1" customHeight="1">
      <c r="B12" s="160" t="s">
        <v>1410</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Input!$AN$14</f>
        <v>0</v>
      </c>
      <c r="E13" s="372">
        <f>Input!$AO$14</f>
        <v>0</v>
      </c>
      <c r="F13" s="372">
        <f>Input!$AP$14</f>
        <v>0</v>
      </c>
      <c r="G13" s="372">
        <f>Input!$AQ$14</f>
        <v>0</v>
      </c>
      <c r="H13" s="372">
        <f>Input!$AR$14</f>
        <v>0</v>
      </c>
      <c r="I13" s="372">
        <f>Input!$AS$14</f>
        <v>0</v>
      </c>
      <c r="J13" s="372">
        <f>Input!$AT$14</f>
        <v>0</v>
      </c>
      <c r="K13" s="372">
        <f>Input!$AU$14</f>
        <v>0</v>
      </c>
      <c r="L13" s="372">
        <f>Input!$AV$14</f>
        <v>0</v>
      </c>
      <c r="M13" s="373">
        <f t="shared" si="0"/>
        <v>0</v>
      </c>
      <c r="N13" s="160"/>
      <c r="O13" s="482" t="str">
        <f>IF(P13&lt;&gt;M13,"Out of Balance","Balanced")</f>
        <v>Balanced</v>
      </c>
      <c r="P13" s="484">
        <f>IFERROR(VLOOKUP($B$2,AMTLU,6,FALSE),0)</f>
        <v>0</v>
      </c>
      <c r="U13" s="268"/>
    </row>
    <row r="14" spans="1:28">
      <c r="A14" s="184">
        <v>13</v>
      </c>
      <c r="B14" s="160" t="s">
        <v>49</v>
      </c>
      <c r="C14" s="160"/>
      <c r="D14" s="372">
        <f>Input!$AW$14</f>
        <v>64695488</v>
      </c>
      <c r="E14" s="372">
        <f>Input!$AX$14</f>
        <v>136918806</v>
      </c>
      <c r="F14" s="372">
        <f>Input!$AY$14</f>
        <v>0</v>
      </c>
      <c r="G14" s="372">
        <f>Input!$AZ$14</f>
        <v>0</v>
      </c>
      <c r="H14" s="372">
        <f>Input!$BA$14</f>
        <v>0</v>
      </c>
      <c r="I14" s="372">
        <f>Input!$BB$14</f>
        <v>0</v>
      </c>
      <c r="J14" s="372">
        <f>Input!$BC$14</f>
        <v>0</v>
      </c>
      <c r="K14" s="372">
        <f>Input!$BD$14</f>
        <v>0</v>
      </c>
      <c r="L14" s="372">
        <f>Input!$BE$14</f>
        <v>0</v>
      </c>
      <c r="M14" s="373">
        <f t="shared" si="0"/>
        <v>201614294</v>
      </c>
      <c r="N14" s="160"/>
      <c r="O14" s="482"/>
      <c r="P14" s="485"/>
    </row>
    <row r="15" spans="1:28" ht="15">
      <c r="A15" s="184">
        <v>14</v>
      </c>
      <c r="B15" s="176" t="s">
        <v>3</v>
      </c>
      <c r="C15" s="176"/>
      <c r="D15" s="374">
        <f t="shared" ref="D15:L15" si="1">SUM(D10:D14)</f>
        <v>505070010</v>
      </c>
      <c r="E15" s="374">
        <f t="shared" si="1"/>
        <v>137293176</v>
      </c>
      <c r="F15" s="374">
        <f t="shared" si="1"/>
        <v>0</v>
      </c>
      <c r="G15" s="374">
        <f t="shared" si="1"/>
        <v>8372614</v>
      </c>
      <c r="H15" s="374">
        <f t="shared" si="1"/>
        <v>0</v>
      </c>
      <c r="I15" s="374">
        <f t="shared" si="1"/>
        <v>0</v>
      </c>
      <c r="J15" s="374">
        <f t="shared" si="1"/>
        <v>0</v>
      </c>
      <c r="K15" s="374">
        <f t="shared" si="1"/>
        <v>0</v>
      </c>
      <c r="L15" s="374">
        <f t="shared" si="1"/>
        <v>0</v>
      </c>
      <c r="M15" s="374">
        <f t="shared" si="0"/>
        <v>650735800</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58" t="s">
        <v>1042</v>
      </c>
      <c r="C18" s="558"/>
      <c r="D18" s="374">
        <f t="shared" ref="D18:L18" si="2">D23-SUM(D19:D22)</f>
        <v>173922130</v>
      </c>
      <c r="E18" s="374">
        <f t="shared" si="2"/>
        <v>470438064</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644360194</v>
      </c>
      <c r="V18" s="327"/>
      <c r="X18" s="330"/>
    </row>
    <row r="19" spans="1:26" s="264" customFormat="1" ht="12.75" customHeight="1" thickTop="1" thickBot="1">
      <c r="A19" s="263"/>
      <c r="B19" s="261" t="s">
        <v>722</v>
      </c>
      <c r="C19" s="261"/>
      <c r="D19" s="372">
        <f>Input!$BF$14</f>
        <v>-50160841</v>
      </c>
      <c r="E19" s="372">
        <f>Input!$BG$14</f>
        <v>-24505166</v>
      </c>
      <c r="F19" s="372">
        <f>Input!$BH$14</f>
        <v>0</v>
      </c>
      <c r="G19" s="372">
        <f>Input!$BI$14</f>
        <v>0</v>
      </c>
      <c r="H19" s="372">
        <f>Input!$BJ$14</f>
        <v>0</v>
      </c>
      <c r="I19" s="372">
        <f>Input!$BK$14</f>
        <v>0</v>
      </c>
      <c r="J19" s="372">
        <f>Input!$BL$14</f>
        <v>0</v>
      </c>
      <c r="K19" s="372">
        <f>Input!$BM$14</f>
        <v>0</v>
      </c>
      <c r="L19" s="372">
        <f>Input!$BN$14</f>
        <v>0</v>
      </c>
      <c r="M19" s="373">
        <f t="shared" si="3"/>
        <v>-74666007</v>
      </c>
      <c r="O19" s="1732" t="s">
        <v>1294</v>
      </c>
      <c r="P19" s="1733"/>
      <c r="Q19" s="1733"/>
      <c r="R19" s="1734"/>
      <c r="T19" s="1735" t="s">
        <v>1043</v>
      </c>
      <c r="U19" s="1736"/>
      <c r="V19" s="1736"/>
      <c r="W19" s="1736"/>
      <c r="X19" s="1737"/>
    </row>
    <row r="20" spans="1:26" s="264" customFormat="1" ht="12.75" customHeight="1" thickTop="1">
      <c r="A20" s="263"/>
      <c r="B20" s="261" t="s">
        <v>723</v>
      </c>
      <c r="C20" s="261"/>
      <c r="D20" s="372">
        <f>Input!$BO$14</f>
        <v>-883830</v>
      </c>
      <c r="E20" s="372">
        <f>Input!$BP$14</f>
        <v>-114010</v>
      </c>
      <c r="F20" s="372">
        <f>Input!$BQ$14</f>
        <v>0</v>
      </c>
      <c r="G20" s="372">
        <f>Input!$BR$14</f>
        <v>0</v>
      </c>
      <c r="H20" s="372">
        <f>Input!$BS$14</f>
        <v>0</v>
      </c>
      <c r="I20" s="372">
        <f>Input!$BT$14</f>
        <v>0</v>
      </c>
      <c r="J20" s="372">
        <f>Input!$BU$14</f>
        <v>0</v>
      </c>
      <c r="K20" s="372">
        <f>Input!$BV$14</f>
        <v>0</v>
      </c>
      <c r="L20" s="372">
        <f>Input!$BW$14</f>
        <v>0</v>
      </c>
      <c r="M20" s="373">
        <f t="shared" si="3"/>
        <v>-997840</v>
      </c>
      <c r="O20" s="421" t="s">
        <v>288</v>
      </c>
      <c r="P20" s="422"/>
      <c r="Q20" s="414"/>
      <c r="R20" s="559"/>
      <c r="T20" s="560" t="s">
        <v>1044</v>
      </c>
      <c r="U20" s="266"/>
      <c r="V20" s="266"/>
      <c r="X20" s="425"/>
    </row>
    <row r="21" spans="1:26" s="264" customFormat="1">
      <c r="A21" s="263"/>
      <c r="B21" s="261" t="s">
        <v>724</v>
      </c>
      <c r="C21" s="261"/>
      <c r="D21" s="372">
        <f>Input!$BX$14</f>
        <v>0</v>
      </c>
      <c r="E21" s="372">
        <f>Input!$BY$14</f>
        <v>0</v>
      </c>
      <c r="F21" s="372">
        <f>Input!$BZ$14</f>
        <v>0</v>
      </c>
      <c r="G21" s="372">
        <f>Input!$CA$14</f>
        <v>0</v>
      </c>
      <c r="H21" s="372">
        <f>Input!$CB$14</f>
        <v>0</v>
      </c>
      <c r="I21" s="372">
        <f>Input!$CC$14</f>
        <v>0</v>
      </c>
      <c r="J21" s="372">
        <f>Input!$CD$14</f>
        <v>0</v>
      </c>
      <c r="K21" s="372">
        <f>Input!$CE$14</f>
        <v>0</v>
      </c>
      <c r="L21" s="372">
        <f>Input!$CF$14</f>
        <v>0</v>
      </c>
      <c r="M21" s="373">
        <f t="shared" si="3"/>
        <v>0</v>
      </c>
      <c r="O21" s="434"/>
      <c r="R21" s="561"/>
      <c r="T21" s="650" t="s">
        <v>1045</v>
      </c>
      <c r="U21" s="266"/>
      <c r="V21" s="266"/>
      <c r="W21" s="651">
        <f>M44</f>
        <v>679630868</v>
      </c>
      <c r="X21" s="425"/>
      <c r="Z21" s="330"/>
    </row>
    <row r="22" spans="1:26" s="264" customFormat="1">
      <c r="A22" s="263"/>
      <c r="B22" s="261" t="s">
        <v>725</v>
      </c>
      <c r="C22" s="261"/>
      <c r="D22" s="372">
        <f>Input!$CG$14</f>
        <v>0</v>
      </c>
      <c r="E22" s="372">
        <f>Input!$CH$14</f>
        <v>0</v>
      </c>
      <c r="F22" s="372">
        <f>Input!$CI$14</f>
        <v>0</v>
      </c>
      <c r="G22" s="372">
        <f>Input!$CJ$14</f>
        <v>0</v>
      </c>
      <c r="H22" s="372">
        <f>Input!$CK$14</f>
        <v>0</v>
      </c>
      <c r="I22" s="372">
        <f>Input!$CL$14</f>
        <v>0</v>
      </c>
      <c r="J22" s="372">
        <f>Input!$CM$14</f>
        <v>0</v>
      </c>
      <c r="K22" s="372">
        <f>Input!$CN$14</f>
        <v>0</v>
      </c>
      <c r="L22" s="372">
        <f>Input!$CO$14</f>
        <v>0</v>
      </c>
      <c r="M22" s="373">
        <f t="shared" si="3"/>
        <v>0</v>
      </c>
      <c r="N22" s="270"/>
      <c r="O22" s="434" t="s">
        <v>1046</v>
      </c>
      <c r="P22" s="276"/>
      <c r="Q22" s="424">
        <f>M23</f>
        <v>568696347</v>
      </c>
      <c r="R22" s="562"/>
      <c r="T22" s="650" t="s">
        <v>1047</v>
      </c>
      <c r="U22" s="266"/>
      <c r="V22" s="266"/>
      <c r="W22" s="652">
        <f>R30*-1</f>
        <v>193858077</v>
      </c>
      <c r="X22" s="425"/>
    </row>
    <row r="23" spans="1:26" s="264" customFormat="1" ht="12.75" customHeight="1">
      <c r="A23" s="263"/>
      <c r="B23" s="558" t="s">
        <v>726</v>
      </c>
      <c r="C23" s="563"/>
      <c r="D23" s="564">
        <f>Input!$CP$14</f>
        <v>122877459</v>
      </c>
      <c r="E23" s="564">
        <f>Input!$CQ$14</f>
        <v>445818888</v>
      </c>
      <c r="F23" s="564">
        <f>Input!$CR$14</f>
        <v>0</v>
      </c>
      <c r="G23" s="564">
        <f>Input!$CS$14</f>
        <v>0</v>
      </c>
      <c r="H23" s="564">
        <f>Input!$CT$14</f>
        <v>0</v>
      </c>
      <c r="I23" s="564">
        <f>Input!$CU$14</f>
        <v>0</v>
      </c>
      <c r="J23" s="564">
        <f>Input!$CV$14</f>
        <v>0</v>
      </c>
      <c r="K23" s="564">
        <f>Input!$CW$14</f>
        <v>0</v>
      </c>
      <c r="L23" s="564">
        <f>Input!$CX$14</f>
        <v>0</v>
      </c>
      <c r="M23" s="565">
        <f t="shared" si="3"/>
        <v>568696347</v>
      </c>
      <c r="O23" s="434"/>
      <c r="P23" s="276"/>
      <c r="Q23" s="424"/>
      <c r="R23" s="562"/>
      <c r="T23" s="560" t="s">
        <v>1230</v>
      </c>
      <c r="U23" s="266"/>
      <c r="V23" s="266"/>
      <c r="W23" s="276"/>
      <c r="X23" s="425">
        <f>SUM(W21:W22)</f>
        <v>873488945</v>
      </c>
      <c r="Z23" s="330"/>
    </row>
    <row r="24" spans="1:26" s="264" customFormat="1" ht="12.75" customHeight="1">
      <c r="A24" s="263"/>
      <c r="B24" s="261" t="s">
        <v>727</v>
      </c>
      <c r="C24" s="566"/>
      <c r="D24" s="372">
        <f>Input!$CY$14</f>
        <v>0</v>
      </c>
      <c r="E24" s="372">
        <f>Input!$CZ$14</f>
        <v>0</v>
      </c>
      <c r="F24" s="372">
        <f>Input!$DA$14</f>
        <v>0</v>
      </c>
      <c r="G24" s="372">
        <f>Input!$DB$14</f>
        <v>0</v>
      </c>
      <c r="H24" s="372">
        <f>Input!$DC$14</f>
        <v>0</v>
      </c>
      <c r="I24" s="372">
        <f>Input!$DD$14</f>
        <v>0</v>
      </c>
      <c r="J24" s="372">
        <f>Input!$DE$14</f>
        <v>0</v>
      </c>
      <c r="K24" s="372">
        <f>Input!$DF$14</f>
        <v>0</v>
      </c>
      <c r="L24" s="372">
        <f>Input!$DG$14</f>
        <v>0</v>
      </c>
      <c r="M24" s="567">
        <f t="shared" si="3"/>
        <v>0</v>
      </c>
      <c r="O24" s="417" t="s">
        <v>1048</v>
      </c>
      <c r="P24" s="276"/>
      <c r="Q24" s="327"/>
      <c r="R24" s="646">
        <f>SUM(M24:M28)</f>
        <v>-126213824</v>
      </c>
      <c r="T24" s="560"/>
      <c r="U24" s="266"/>
      <c r="V24" s="266"/>
      <c r="X24" s="425"/>
      <c r="Z24" s="330"/>
    </row>
    <row r="25" spans="1:26" s="264" customFormat="1" ht="12.75" customHeight="1">
      <c r="A25" s="263"/>
      <c r="B25" s="261" t="s">
        <v>728</v>
      </c>
      <c r="C25" s="566"/>
      <c r="D25" s="372">
        <f>Input!$DH$14</f>
        <v>0</v>
      </c>
      <c r="E25" s="372">
        <f>Input!$DI$14</f>
        <v>0</v>
      </c>
      <c r="F25" s="372">
        <f>Input!$DJ$14</f>
        <v>0</v>
      </c>
      <c r="G25" s="372">
        <f>Input!$DK$14</f>
        <v>0</v>
      </c>
      <c r="H25" s="372">
        <f>Input!$DL$14</f>
        <v>0</v>
      </c>
      <c r="I25" s="372">
        <f>Input!$DM$14</f>
        <v>0</v>
      </c>
      <c r="J25" s="372">
        <f>Input!$DN$14</f>
        <v>0</v>
      </c>
      <c r="K25" s="372">
        <f>Input!$DO$14</f>
        <v>0</v>
      </c>
      <c r="L25" s="372">
        <f>Input!$DP$14</f>
        <v>0</v>
      </c>
      <c r="M25" s="567">
        <f t="shared" si="3"/>
        <v>0</v>
      </c>
      <c r="O25" s="434"/>
      <c r="P25" s="276"/>
      <c r="Q25" s="327"/>
      <c r="R25" s="646"/>
      <c r="T25" s="568" t="s">
        <v>1103</v>
      </c>
      <c r="U25" s="569"/>
      <c r="V25" s="569"/>
      <c r="W25" s="653">
        <f>(M26+M39)*-1</f>
        <v>39233485</v>
      </c>
      <c r="X25" s="425"/>
      <c r="Z25" s="330"/>
    </row>
    <row r="26" spans="1:26" s="264" customFormat="1" ht="12.75" customHeight="1">
      <c r="A26" s="263"/>
      <c r="B26" s="261" t="s">
        <v>729</v>
      </c>
      <c r="C26" s="566"/>
      <c r="D26" s="372">
        <f>Input!$DQ$14</f>
        <v>-4065689</v>
      </c>
      <c r="E26" s="372">
        <f>Input!$DR$14</f>
        <v>-22713357</v>
      </c>
      <c r="F26" s="372">
        <f>Input!$DS$14</f>
        <v>0</v>
      </c>
      <c r="G26" s="372">
        <f>Input!$DT$14</f>
        <v>0</v>
      </c>
      <c r="H26" s="372">
        <f>Input!$DU$14</f>
        <v>0</v>
      </c>
      <c r="I26" s="372">
        <f>Input!$DV$14</f>
        <v>0</v>
      </c>
      <c r="J26" s="372">
        <f>Input!$DW$14</f>
        <v>0</v>
      </c>
      <c r="K26" s="372">
        <f>Input!$DX$14</f>
        <v>0</v>
      </c>
      <c r="L26" s="372">
        <f>Input!$DY$14</f>
        <v>0</v>
      </c>
      <c r="M26" s="567">
        <f t="shared" si="3"/>
        <v>-26779046</v>
      </c>
      <c r="O26" s="434" t="s">
        <v>1049</v>
      </c>
      <c r="P26" s="276"/>
      <c r="Q26" s="427">
        <f>M36</f>
        <v>304792598</v>
      </c>
      <c r="R26" s="570"/>
      <c r="T26" s="560" t="s">
        <v>1104</v>
      </c>
      <c r="U26" s="266"/>
      <c r="V26" s="266"/>
      <c r="W26" s="571">
        <f>(M21+M34)*-1</f>
        <v>0</v>
      </c>
      <c r="X26" s="425"/>
      <c r="Z26" s="330"/>
    </row>
    <row r="27" spans="1:26" s="264" customFormat="1">
      <c r="A27" s="263"/>
      <c r="B27" s="261" t="s">
        <v>730</v>
      </c>
      <c r="C27" s="566"/>
      <c r="D27" s="372">
        <f>Input!$DZ$14</f>
        <v>0</v>
      </c>
      <c r="E27" s="372">
        <f>Input!$EA$14</f>
        <v>0</v>
      </c>
      <c r="F27" s="372">
        <f>Input!$EB$14</f>
        <v>0</v>
      </c>
      <c r="G27" s="372">
        <f>Input!$EC$14</f>
        <v>0</v>
      </c>
      <c r="H27" s="372">
        <f>Input!$ED$14</f>
        <v>0</v>
      </c>
      <c r="I27" s="372">
        <f>Input!$EE$14</f>
        <v>0</v>
      </c>
      <c r="J27" s="372">
        <f>Input!$EF$14</f>
        <v>0</v>
      </c>
      <c r="K27" s="372">
        <f>Input!$EG$14</f>
        <v>0</v>
      </c>
      <c r="L27" s="372">
        <f>Input!EH6</f>
        <v>0</v>
      </c>
      <c r="M27" s="567">
        <f t="shared" si="3"/>
        <v>0</v>
      </c>
      <c r="O27" s="434"/>
      <c r="P27" s="276"/>
      <c r="Q27" s="427"/>
      <c r="R27" s="570"/>
      <c r="T27" s="650" t="s">
        <v>1105</v>
      </c>
      <c r="U27" s="584"/>
      <c r="V27" s="584"/>
      <c r="W27" s="654">
        <f>SUM(W25:W26)</f>
        <v>39233485</v>
      </c>
      <c r="X27" s="655"/>
    </row>
    <row r="28" spans="1:26" s="264" customFormat="1">
      <c r="A28" s="263"/>
      <c r="B28" s="261" t="s">
        <v>2133</v>
      </c>
      <c r="C28" s="566"/>
      <c r="D28" s="372">
        <f>Input!$EI$14</f>
        <v>-23205163</v>
      </c>
      <c r="E28" s="372">
        <f>Input!$EJ$14</f>
        <v>-76229615</v>
      </c>
      <c r="F28" s="372">
        <f>Input!$EK$14</f>
        <v>0</v>
      </c>
      <c r="G28" s="372">
        <f>Input!$EL$14</f>
        <v>0</v>
      </c>
      <c r="H28" s="372">
        <f>Input!$EM$14</f>
        <v>0</v>
      </c>
      <c r="I28" s="372">
        <f>Input!$EN$14</f>
        <v>0</v>
      </c>
      <c r="J28" s="372">
        <f>Input!$EO$14</f>
        <v>0</v>
      </c>
      <c r="K28" s="372">
        <f>Input!$EP$14</f>
        <v>0</v>
      </c>
      <c r="L28" s="372">
        <f>Input!$EQ$14</f>
        <v>0</v>
      </c>
      <c r="M28" s="567">
        <f t="shared" si="3"/>
        <v>-99434778</v>
      </c>
      <c r="O28" s="417" t="s">
        <v>1050</v>
      </c>
      <c r="Q28" s="429"/>
      <c r="R28" s="646">
        <f>SUM(M37:M41)</f>
        <v>-67644253</v>
      </c>
      <c r="T28" s="560" t="s">
        <v>1106</v>
      </c>
      <c r="U28" s="266"/>
      <c r="V28" s="266"/>
      <c r="W28" s="425">
        <f>(M27+M40)*-1</f>
        <v>0</v>
      </c>
      <c r="X28" s="655"/>
      <c r="Z28" s="330"/>
    </row>
    <row r="29" spans="1:26" s="264" customFormat="1" ht="12" customHeight="1">
      <c r="A29" s="263"/>
      <c r="B29" s="575" t="s">
        <v>39</v>
      </c>
      <c r="C29" s="563"/>
      <c r="D29" s="374">
        <f t="shared" ref="D29:L29" si="4">SUM(D23:D28)</f>
        <v>95606607</v>
      </c>
      <c r="E29" s="374">
        <f t="shared" si="4"/>
        <v>346875916</v>
      </c>
      <c r="F29" s="374">
        <f t="shared" si="4"/>
        <v>0</v>
      </c>
      <c r="G29" s="374">
        <f t="shared" si="4"/>
        <v>0</v>
      </c>
      <c r="H29" s="374">
        <f t="shared" si="4"/>
        <v>0</v>
      </c>
      <c r="I29" s="374">
        <f t="shared" si="4"/>
        <v>0</v>
      </c>
      <c r="J29" s="374">
        <f t="shared" si="4"/>
        <v>0</v>
      </c>
      <c r="K29" s="374">
        <f t="shared" si="4"/>
        <v>0</v>
      </c>
      <c r="L29" s="374">
        <f t="shared" si="4"/>
        <v>0</v>
      </c>
      <c r="M29" s="374">
        <f t="shared" si="3"/>
        <v>442482523</v>
      </c>
      <c r="O29" s="417"/>
      <c r="Q29" s="429"/>
      <c r="R29" s="576"/>
      <c r="T29" s="560" t="s">
        <v>1107</v>
      </c>
      <c r="U29" s="266"/>
      <c r="V29" s="266"/>
      <c r="W29" s="571">
        <f>(M22+M35)*-1</f>
        <v>0</v>
      </c>
      <c r="X29" s="655"/>
    </row>
    <row r="30" spans="1:26" s="264" customFormat="1" ht="16.5" customHeight="1">
      <c r="A30" s="263"/>
      <c r="B30" s="261"/>
      <c r="C30" s="566"/>
      <c r="D30" s="566"/>
      <c r="E30" s="566"/>
      <c r="F30" s="566"/>
      <c r="G30" s="566"/>
      <c r="H30" s="566"/>
      <c r="I30" s="566"/>
      <c r="J30" s="566"/>
      <c r="K30" s="566"/>
      <c r="L30" s="566"/>
      <c r="M30" s="567"/>
      <c r="O30" s="431" t="s">
        <v>289</v>
      </c>
      <c r="P30" s="432"/>
      <c r="Q30" s="433">
        <f>Q26+Q22</f>
        <v>873488945</v>
      </c>
      <c r="R30" s="647">
        <f>R28+R24</f>
        <v>-193858077</v>
      </c>
      <c r="T30" s="650" t="s">
        <v>1108</v>
      </c>
      <c r="U30" s="584"/>
      <c r="V30" s="584"/>
      <c r="W30" s="654">
        <f>SUM(W28:W29)</f>
        <v>0</v>
      </c>
      <c r="X30" s="655"/>
    </row>
    <row r="31" spans="1:26" s="264" customFormat="1" ht="12.75" customHeight="1">
      <c r="A31" s="263"/>
      <c r="B31" s="558" t="s">
        <v>1052</v>
      </c>
      <c r="C31" s="558"/>
      <c r="D31" s="374">
        <f t="shared" ref="D31:L31" si="5">D36-SUM(D32:D35)</f>
        <v>868842</v>
      </c>
      <c r="E31" s="374">
        <f t="shared" si="5"/>
        <v>263043084</v>
      </c>
      <c r="F31" s="374">
        <f t="shared" si="5"/>
        <v>41088294</v>
      </c>
      <c r="G31" s="374">
        <f t="shared" si="5"/>
        <v>0</v>
      </c>
      <c r="H31" s="374">
        <f t="shared" si="5"/>
        <v>0</v>
      </c>
      <c r="I31" s="374">
        <f t="shared" si="5"/>
        <v>0</v>
      </c>
      <c r="J31" s="374">
        <f t="shared" si="5"/>
        <v>0</v>
      </c>
      <c r="K31" s="374">
        <f t="shared" si="5"/>
        <v>0</v>
      </c>
      <c r="L31" s="374">
        <f t="shared" si="5"/>
        <v>0</v>
      </c>
      <c r="M31" s="374">
        <f t="shared" ref="M31:M42" si="6">D31+E31+F31+G31+H31+I31+J31+K31+L31</f>
        <v>305000220</v>
      </c>
      <c r="O31" s="434" t="s">
        <v>290</v>
      </c>
      <c r="P31" s="276"/>
      <c r="Q31" s="335"/>
      <c r="R31" s="562"/>
      <c r="T31" s="572" t="s">
        <v>1109</v>
      </c>
      <c r="U31" s="573"/>
      <c r="V31" s="573"/>
      <c r="W31" s="574">
        <f>W27+W30</f>
        <v>39233485</v>
      </c>
      <c r="X31" s="425"/>
      <c r="Z31" s="330"/>
    </row>
    <row r="32" spans="1:26" s="264" customFormat="1" ht="12.75" customHeight="1">
      <c r="A32" s="263"/>
      <c r="B32" s="261" t="s">
        <v>722</v>
      </c>
      <c r="C32" s="261"/>
      <c r="D32" s="372">
        <f>Input!$ER$14</f>
        <v>0</v>
      </c>
      <c r="E32" s="372">
        <f>Input!$ES$14</f>
        <v>-87128</v>
      </c>
      <c r="F32" s="372">
        <f>Input!$ET$14</f>
        <v>0</v>
      </c>
      <c r="G32" s="372">
        <f>Input!$EU$14</f>
        <v>0</v>
      </c>
      <c r="H32" s="372">
        <f>Input!$EV$14</f>
        <v>0</v>
      </c>
      <c r="I32" s="372">
        <f>Input!$EW$14</f>
        <v>0</v>
      </c>
      <c r="J32" s="372">
        <f>Input!$EX$14</f>
        <v>0</v>
      </c>
      <c r="K32" s="372">
        <f>Input!$EY$14</f>
        <v>0</v>
      </c>
      <c r="L32" s="372">
        <f>Input!$EZ$14</f>
        <v>0</v>
      </c>
      <c r="M32" s="567">
        <f t="shared" si="6"/>
        <v>-87128</v>
      </c>
      <c r="O32" s="415" t="s">
        <v>1295</v>
      </c>
      <c r="P32" s="416"/>
      <c r="Q32" s="577">
        <f>Input!$SQ$14</f>
        <v>873488945</v>
      </c>
      <c r="R32" s="578"/>
      <c r="T32" s="560"/>
      <c r="U32" s="266"/>
      <c r="V32" s="266"/>
      <c r="X32" s="425"/>
      <c r="Z32" s="330"/>
    </row>
    <row r="33" spans="1:24" s="264" customFormat="1">
      <c r="A33" s="263"/>
      <c r="B33" s="261" t="s">
        <v>723</v>
      </c>
      <c r="C33" s="261"/>
      <c r="D33" s="372">
        <f>Input!$FA$14</f>
        <v>-4</v>
      </c>
      <c r="E33" s="372">
        <f>Input!$FB$14</f>
        <v>-48776</v>
      </c>
      <c r="F33" s="372">
        <f>Input!$FC$14</f>
        <v>-71714</v>
      </c>
      <c r="G33" s="372">
        <f>Input!$FD$14</f>
        <v>0</v>
      </c>
      <c r="H33" s="372">
        <f>Input!$FE$14</f>
        <v>0</v>
      </c>
      <c r="I33" s="372">
        <f>Input!$FF$14</f>
        <v>0</v>
      </c>
      <c r="J33" s="372">
        <f>Input!$FG$14</f>
        <v>0</v>
      </c>
      <c r="K33" s="372">
        <f>Input!$FH$14</f>
        <v>0</v>
      </c>
      <c r="L33" s="372">
        <f>Input!$FI$14</f>
        <v>0</v>
      </c>
      <c r="M33" s="567">
        <f t="shared" si="6"/>
        <v>-120494</v>
      </c>
      <c r="O33" s="415"/>
      <c r="P33" s="416"/>
      <c r="Q33" s="327"/>
      <c r="R33" s="578"/>
      <c r="T33" s="560" t="s">
        <v>1051</v>
      </c>
      <c r="U33" s="266"/>
      <c r="V33" s="266"/>
      <c r="W33" s="334">
        <f>(M19+M32)*-1</f>
        <v>74753135</v>
      </c>
      <c r="X33" s="425"/>
    </row>
    <row r="34" spans="1:24" s="264" customFormat="1">
      <c r="A34" s="263"/>
      <c r="B34" s="261" t="s">
        <v>724</v>
      </c>
      <c r="C34" s="261"/>
      <c r="D34" s="372">
        <f>Input!$FJ$14</f>
        <v>0</v>
      </c>
      <c r="E34" s="372">
        <f>Input!$FK$14</f>
        <v>0</v>
      </c>
      <c r="F34" s="372">
        <f>Input!$FL$14</f>
        <v>0</v>
      </c>
      <c r="G34" s="372">
        <f>Input!$FM$14</f>
        <v>0</v>
      </c>
      <c r="H34" s="372">
        <f>Input!$FN$14</f>
        <v>0</v>
      </c>
      <c r="I34" s="372">
        <f>Input!$FO$14</f>
        <v>0</v>
      </c>
      <c r="J34" s="372">
        <f>Input!$FP$14</f>
        <v>0</v>
      </c>
      <c r="K34" s="372">
        <f>Input!$FQ$14</f>
        <v>0</v>
      </c>
      <c r="L34" s="372">
        <f>Input!$FR$14</f>
        <v>0</v>
      </c>
      <c r="M34" s="567">
        <f t="shared" si="6"/>
        <v>0</v>
      </c>
      <c r="O34" s="435" t="s">
        <v>1296</v>
      </c>
      <c r="P34" s="436"/>
      <c r="Q34" s="264" t="s">
        <v>291</v>
      </c>
      <c r="R34" s="648">
        <f>Input!$SR$14</f>
        <v>-193858077</v>
      </c>
      <c r="T34" s="560" t="s">
        <v>1110</v>
      </c>
      <c r="U34" s="266"/>
      <c r="V34" s="266"/>
      <c r="W34" s="430">
        <f>(M24+M37)*-1</f>
        <v>0</v>
      </c>
      <c r="X34" s="425"/>
    </row>
    <row r="35" spans="1:24" s="264" customFormat="1" ht="13.5" thickBot="1">
      <c r="A35" s="263"/>
      <c r="B35" s="261" t="s">
        <v>725</v>
      </c>
      <c r="C35" s="261"/>
      <c r="D35" s="372">
        <f>Input!$FS$14</f>
        <v>0</v>
      </c>
      <c r="E35" s="372">
        <f>Input!$FT$14</f>
        <v>0</v>
      </c>
      <c r="F35" s="372">
        <f>Input!$FU$14</f>
        <v>0</v>
      </c>
      <c r="G35" s="372">
        <f>Input!$FV$14</f>
        <v>0</v>
      </c>
      <c r="H35" s="372">
        <f>Input!$FW$14</f>
        <v>0</v>
      </c>
      <c r="I35" s="372">
        <f>Input!$FX$14</f>
        <v>0</v>
      </c>
      <c r="J35" s="372">
        <f>Input!$FY$14</f>
        <v>0</v>
      </c>
      <c r="K35" s="372">
        <f>Input!$FZ$14</f>
        <v>0</v>
      </c>
      <c r="L35" s="372">
        <f>Input!$GA$14</f>
        <v>0</v>
      </c>
      <c r="M35" s="567">
        <f t="shared" si="6"/>
        <v>0</v>
      </c>
      <c r="O35" s="418" t="s">
        <v>286</v>
      </c>
      <c r="P35" s="419"/>
      <c r="Q35" s="420">
        <f>Q30-Q32</f>
        <v>0</v>
      </c>
      <c r="R35" s="649">
        <f>R30-R34</f>
        <v>0</v>
      </c>
      <c r="T35" s="650" t="s">
        <v>1111</v>
      </c>
      <c r="U35" s="584"/>
      <c r="V35" s="584"/>
      <c r="W35" s="656">
        <f>SUM(W33:W34)</f>
        <v>74753135</v>
      </c>
      <c r="X35" s="655"/>
    </row>
    <row r="36" spans="1:24" s="264" customFormat="1" ht="13.5" thickTop="1">
      <c r="A36" s="263"/>
      <c r="B36" s="558" t="s">
        <v>732</v>
      </c>
      <c r="C36" s="563"/>
      <c r="D36" s="564">
        <f>Input!$GB$14</f>
        <v>868838</v>
      </c>
      <c r="E36" s="564">
        <f>Input!$GC$14</f>
        <v>262907180</v>
      </c>
      <c r="F36" s="564">
        <f>Input!$GD$14</f>
        <v>41016580</v>
      </c>
      <c r="G36" s="564">
        <f>Input!$GE$14</f>
        <v>0</v>
      </c>
      <c r="H36" s="564">
        <f>Input!$GF$14</f>
        <v>0</v>
      </c>
      <c r="I36" s="564">
        <f>Input!$GG$14</f>
        <v>0</v>
      </c>
      <c r="J36" s="564">
        <f>Input!$GH$14</f>
        <v>0</v>
      </c>
      <c r="K36" s="564">
        <f>Input!$GI$14</f>
        <v>0</v>
      </c>
      <c r="L36" s="564">
        <f>Input!$GJ$14</f>
        <v>0</v>
      </c>
      <c r="M36" s="565">
        <f t="shared" si="6"/>
        <v>304792598</v>
      </c>
      <c r="O36" s="261"/>
      <c r="Q36" s="412" t="str">
        <f>IF(Q30&lt;&gt;Q32,"Out of Balance","Balanced")</f>
        <v>Balanced</v>
      </c>
      <c r="R36" s="412" t="str">
        <f>IF(R30&lt;&gt;R34,"Out of Balance","Balanced")</f>
        <v>Balanced</v>
      </c>
      <c r="T36" s="560" t="s">
        <v>1053</v>
      </c>
      <c r="U36" s="266"/>
      <c r="V36" s="266"/>
      <c r="W36" s="334">
        <f>(M20+M33)*-1</f>
        <v>1118334</v>
      </c>
      <c r="X36" s="425"/>
    </row>
    <row r="37" spans="1:24" s="264" customFormat="1">
      <c r="A37" s="263"/>
      <c r="B37" s="261" t="s">
        <v>727</v>
      </c>
      <c r="C37" s="566"/>
      <c r="D37" s="372">
        <f>Input!$GK$14</f>
        <v>0</v>
      </c>
      <c r="E37" s="372">
        <f>Input!$GL$14</f>
        <v>0</v>
      </c>
      <c r="F37" s="372">
        <f>Input!$GM$14</f>
        <v>0</v>
      </c>
      <c r="G37" s="372">
        <f>Input!$GN$14</f>
        <v>0</v>
      </c>
      <c r="H37" s="372">
        <f>Input!$GO$14</f>
        <v>0</v>
      </c>
      <c r="I37" s="372">
        <f>Input!$GP$14</f>
        <v>0</v>
      </c>
      <c r="J37" s="372">
        <f>Input!$GQ$14</f>
        <v>0</v>
      </c>
      <c r="K37" s="372">
        <f>Input!$GR$14</f>
        <v>0</v>
      </c>
      <c r="L37" s="372">
        <f>Input!$GS$14</f>
        <v>0</v>
      </c>
      <c r="M37" s="567">
        <f t="shared" si="6"/>
        <v>0</v>
      </c>
      <c r="O37" s="261"/>
      <c r="T37" s="560" t="s">
        <v>1112</v>
      </c>
      <c r="U37" s="266"/>
      <c r="V37" s="266"/>
      <c r="W37" s="430">
        <f>(M25+M38)*-1</f>
        <v>0</v>
      </c>
      <c r="X37" s="655"/>
    </row>
    <row r="38" spans="1:24" s="264" customFormat="1">
      <c r="A38" s="263"/>
      <c r="B38" s="261" t="s">
        <v>728</v>
      </c>
      <c r="C38" s="566"/>
      <c r="D38" s="372">
        <f>Input!$GT$14</f>
        <v>0</v>
      </c>
      <c r="E38" s="372">
        <f>Input!$GU$14</f>
        <v>0</v>
      </c>
      <c r="F38" s="372">
        <f>Input!$GV$14</f>
        <v>0</v>
      </c>
      <c r="G38" s="372">
        <f>Input!$GW$14</f>
        <v>0</v>
      </c>
      <c r="H38" s="372">
        <f>Input!$GX$14</f>
        <v>0</v>
      </c>
      <c r="I38" s="372">
        <f>Input!$GY$14</f>
        <v>0</v>
      </c>
      <c r="J38" s="372">
        <f>Input!$GZ$14</f>
        <v>0</v>
      </c>
      <c r="K38" s="372">
        <f>Input!$HA$14</f>
        <v>0</v>
      </c>
      <c r="L38" s="372">
        <f>Input!$HB$14</f>
        <v>0</v>
      </c>
      <c r="M38" s="567">
        <f t="shared" si="6"/>
        <v>0</v>
      </c>
      <c r="O38" s="261"/>
      <c r="T38" s="650" t="s">
        <v>1113</v>
      </c>
      <c r="U38" s="584"/>
      <c r="V38" s="584"/>
      <c r="W38" s="656">
        <f>SUM(W36:W37)</f>
        <v>1118334</v>
      </c>
      <c r="X38" s="425"/>
    </row>
    <row r="39" spans="1:24" s="264" customFormat="1">
      <c r="A39" s="263"/>
      <c r="B39" s="261" t="s">
        <v>729</v>
      </c>
      <c r="C39" s="566"/>
      <c r="D39" s="372">
        <f>Input!$HC$14</f>
        <v>-2943</v>
      </c>
      <c r="E39" s="372">
        <f>Input!$HD$14</f>
        <v>-10905000</v>
      </c>
      <c r="F39" s="372">
        <f>Input!$HE$14</f>
        <v>-1546496</v>
      </c>
      <c r="G39" s="372">
        <f>Input!$HF$14</f>
        <v>0</v>
      </c>
      <c r="H39" s="372">
        <f>Input!$HG$14</f>
        <v>0</v>
      </c>
      <c r="I39" s="372">
        <f>Input!$HH$14</f>
        <v>0</v>
      </c>
      <c r="J39" s="372">
        <f>Input!$HI$14</f>
        <v>0</v>
      </c>
      <c r="K39" s="372">
        <f>Input!$HJ$14</f>
        <v>0</v>
      </c>
      <c r="L39" s="372">
        <f>Input!$HK$14</f>
        <v>0</v>
      </c>
      <c r="M39" s="567">
        <f t="shared" si="6"/>
        <v>-12454439</v>
      </c>
      <c r="O39" s="261"/>
      <c r="T39" s="560" t="s">
        <v>1054</v>
      </c>
      <c r="U39" s="266"/>
      <c r="V39" s="266"/>
      <c r="W39" s="334"/>
      <c r="X39" s="425">
        <f>W38+W35</f>
        <v>75871469</v>
      </c>
    </row>
    <row r="40" spans="1:24" s="264" customFormat="1">
      <c r="A40" s="263"/>
      <c r="B40" s="261" t="s">
        <v>730</v>
      </c>
      <c r="C40" s="566"/>
      <c r="D40" s="372">
        <f>Input!$HL$14</f>
        <v>0</v>
      </c>
      <c r="E40" s="372">
        <f>Input!$HM$14</f>
        <v>0</v>
      </c>
      <c r="F40" s="372">
        <f>Input!$HN$14</f>
        <v>0</v>
      </c>
      <c r="G40" s="372">
        <f>Input!$HO$14</f>
        <v>0</v>
      </c>
      <c r="H40" s="372">
        <f>Input!$HP$14</f>
        <v>0</v>
      </c>
      <c r="I40" s="372">
        <f>Input!$HQ$14</f>
        <v>0</v>
      </c>
      <c r="J40" s="372">
        <f>Input!$HR$14</f>
        <v>0</v>
      </c>
      <c r="K40" s="372">
        <f>Input!$HS$14</f>
        <v>0</v>
      </c>
      <c r="L40" s="372">
        <f>Input!$HT$14</f>
        <v>0</v>
      </c>
      <c r="M40" s="567">
        <f t="shared" si="6"/>
        <v>0</v>
      </c>
      <c r="O40" s="261"/>
      <c r="T40" s="560"/>
      <c r="U40" s="261"/>
      <c r="V40" s="261"/>
      <c r="W40" s="261"/>
      <c r="X40" s="655"/>
    </row>
    <row r="41" spans="1:24" s="264" customFormat="1">
      <c r="A41" s="263"/>
      <c r="B41" s="261" t="s">
        <v>2133</v>
      </c>
      <c r="C41" s="566"/>
      <c r="D41" s="372">
        <f>Input!$HU$14</f>
        <v>-189883</v>
      </c>
      <c r="E41" s="372">
        <f>Input!$HV$14</f>
        <v>-47443398</v>
      </c>
      <c r="F41" s="372">
        <f>Input!$HW$14</f>
        <v>-7556533</v>
      </c>
      <c r="G41" s="372">
        <f>Input!$HX$14</f>
        <v>0</v>
      </c>
      <c r="H41" s="372">
        <f>Input!$HY$14</f>
        <v>0</v>
      </c>
      <c r="I41" s="372">
        <f>Input!$HZ$14</f>
        <v>0</v>
      </c>
      <c r="J41" s="372">
        <f>Input!$IA$14</f>
        <v>0</v>
      </c>
      <c r="K41" s="372">
        <f>Input!$IB$14</f>
        <v>0</v>
      </c>
      <c r="L41" s="372">
        <f>Input!$IC$14</f>
        <v>0</v>
      </c>
      <c r="M41" s="567">
        <f t="shared" si="6"/>
        <v>-55189814</v>
      </c>
      <c r="O41"/>
      <c r="P41"/>
      <c r="Q41"/>
      <c r="R41"/>
      <c r="S41"/>
      <c r="T41" s="560" t="s">
        <v>1104</v>
      </c>
      <c r="U41" s="266"/>
      <c r="V41" s="266"/>
      <c r="W41" s="330">
        <f>(M21+M34)*-1</f>
        <v>0</v>
      </c>
      <c r="X41" s="425"/>
    </row>
    <row r="42" spans="1:24" s="264" customFormat="1">
      <c r="A42" s="263"/>
      <c r="B42" s="575" t="s">
        <v>40</v>
      </c>
      <c r="C42" s="563"/>
      <c r="D42" s="374">
        <f t="shared" ref="D42:L42" si="7">SUM(D36:D41)</f>
        <v>676012</v>
      </c>
      <c r="E42" s="374">
        <f t="shared" si="7"/>
        <v>204558782</v>
      </c>
      <c r="F42" s="374">
        <f t="shared" si="7"/>
        <v>31913551</v>
      </c>
      <c r="G42" s="374">
        <f t="shared" si="7"/>
        <v>0</v>
      </c>
      <c r="H42" s="374">
        <f t="shared" si="7"/>
        <v>0</v>
      </c>
      <c r="I42" s="374">
        <f t="shared" si="7"/>
        <v>0</v>
      </c>
      <c r="J42" s="374">
        <f t="shared" si="7"/>
        <v>0</v>
      </c>
      <c r="K42" s="374">
        <f t="shared" si="7"/>
        <v>0</v>
      </c>
      <c r="L42" s="374">
        <f t="shared" si="7"/>
        <v>0</v>
      </c>
      <c r="M42" s="374">
        <f t="shared" si="6"/>
        <v>237148345</v>
      </c>
      <c r="O42"/>
      <c r="P42"/>
      <c r="Q42"/>
      <c r="R42"/>
      <c r="S42"/>
      <c r="T42" s="560" t="s">
        <v>1107</v>
      </c>
      <c r="U42" s="266"/>
      <c r="V42" s="266"/>
      <c r="W42" s="430">
        <f>(M22+M35)*-1</f>
        <v>0</v>
      </c>
      <c r="X42" s="425"/>
    </row>
    <row r="43" spans="1:24" s="264" customFormat="1">
      <c r="A43" s="263"/>
      <c r="B43" s="261"/>
      <c r="C43" s="566"/>
      <c r="D43" s="566"/>
      <c r="E43" s="566"/>
      <c r="F43" s="566"/>
      <c r="G43" s="566"/>
      <c r="H43" s="566"/>
      <c r="I43" s="566"/>
      <c r="J43" s="566"/>
      <c r="K43" s="566"/>
      <c r="L43" s="566"/>
      <c r="M43" s="567"/>
      <c r="O43"/>
      <c r="P43"/>
      <c r="Q43"/>
      <c r="R43"/>
      <c r="S43"/>
      <c r="T43" s="650" t="s">
        <v>1114</v>
      </c>
      <c r="U43" s="584"/>
      <c r="V43" s="584"/>
      <c r="W43" s="656">
        <f>SUM(W41:W42)</f>
        <v>0</v>
      </c>
      <c r="X43" s="655"/>
    </row>
    <row r="44" spans="1:24" s="264" customFormat="1" ht="13.5" customHeight="1">
      <c r="A44" s="263"/>
      <c r="B44" s="575" t="s">
        <v>1055</v>
      </c>
      <c r="C44" s="563"/>
      <c r="D44" s="374">
        <f t="shared" ref="D44:L44" si="8">D42+D29</f>
        <v>96282619</v>
      </c>
      <c r="E44" s="374">
        <f t="shared" si="8"/>
        <v>551434698</v>
      </c>
      <c r="F44" s="374">
        <f t="shared" si="8"/>
        <v>31913551</v>
      </c>
      <c r="G44" s="374">
        <f t="shared" si="8"/>
        <v>0</v>
      </c>
      <c r="H44" s="374">
        <f t="shared" si="8"/>
        <v>0</v>
      </c>
      <c r="I44" s="374">
        <f t="shared" si="8"/>
        <v>0</v>
      </c>
      <c r="J44" s="374">
        <f t="shared" si="8"/>
        <v>0</v>
      </c>
      <c r="K44" s="374">
        <f t="shared" si="8"/>
        <v>0</v>
      </c>
      <c r="L44" s="374">
        <f t="shared" si="8"/>
        <v>0</v>
      </c>
      <c r="M44" s="374">
        <f>D44+E44+F44+G44+H44+I44+J44+K44+L44</f>
        <v>679630868</v>
      </c>
      <c r="O44"/>
      <c r="P44"/>
      <c r="Q44"/>
      <c r="R44"/>
      <c r="S44"/>
      <c r="T44" s="560"/>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0"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0" t="s">
        <v>1112</v>
      </c>
      <c r="U46" s="266"/>
      <c r="V46" s="266"/>
      <c r="W46" s="430">
        <f>(M25+M38)*-1</f>
        <v>0</v>
      </c>
      <c r="X46" s="425"/>
    </row>
    <row r="47" spans="1:24">
      <c r="A47" s="184">
        <v>30</v>
      </c>
      <c r="B47" s="176" t="s">
        <v>7</v>
      </c>
      <c r="C47" s="176"/>
      <c r="D47" s="375">
        <f>Input!$ID$14</f>
        <v>0</v>
      </c>
      <c r="E47" s="375">
        <f>Input!$IE$14</f>
        <v>28443773</v>
      </c>
      <c r="F47" s="375">
        <f>Input!$IF$14</f>
        <v>0</v>
      </c>
      <c r="G47" s="375">
        <f>Input!$IG$14</f>
        <v>244199018</v>
      </c>
      <c r="H47" s="375">
        <f>Input!$IH$14</f>
        <v>0</v>
      </c>
      <c r="I47" s="375">
        <f>Input!$II$14</f>
        <v>0</v>
      </c>
      <c r="J47" s="375">
        <f>Input!$IJ$14</f>
        <v>0</v>
      </c>
      <c r="K47" s="375">
        <f>Input!$IK$14</f>
        <v>0</v>
      </c>
      <c r="L47" s="375">
        <f>Input!$IL$14</f>
        <v>0</v>
      </c>
      <c r="M47" s="374">
        <f>D47+E47+F47+G47+H47+I47+J47+K47+L47</f>
        <v>272642791</v>
      </c>
      <c r="N47" s="160"/>
      <c r="O47"/>
      <c r="P47"/>
      <c r="Q47"/>
      <c r="R47"/>
      <c r="S47"/>
      <c r="T47" s="657" t="s">
        <v>1115</v>
      </c>
      <c r="U47" s="27"/>
      <c r="V47" s="27"/>
      <c r="W47" s="656">
        <f>SUM(W45:W46)</f>
        <v>0</v>
      </c>
      <c r="X47" s="655"/>
    </row>
    <row r="48" spans="1:24">
      <c r="A48" s="184">
        <v>31</v>
      </c>
      <c r="B48" s="160"/>
      <c r="C48" s="160"/>
      <c r="D48" s="373"/>
      <c r="E48" s="373"/>
      <c r="F48" s="373"/>
      <c r="G48" s="373"/>
      <c r="H48" s="373"/>
      <c r="I48" s="373"/>
      <c r="J48" s="373"/>
      <c r="K48" s="373"/>
      <c r="L48" s="373"/>
      <c r="M48" s="373"/>
      <c r="N48" s="160"/>
      <c r="O48"/>
      <c r="P48"/>
      <c r="Q48"/>
      <c r="R48"/>
      <c r="S48"/>
      <c r="T48" s="560"/>
      <c r="U48" s="261"/>
      <c r="V48" s="261"/>
      <c r="W48" s="261"/>
      <c r="X48" s="658">
        <f>W43-W47</f>
        <v>0</v>
      </c>
    </row>
    <row r="49" spans="1:28">
      <c r="A49" s="184">
        <v>32</v>
      </c>
      <c r="B49" s="172" t="s">
        <v>8</v>
      </c>
      <c r="C49" s="172"/>
      <c r="D49" s="373"/>
      <c r="E49" s="373"/>
      <c r="F49" s="373"/>
      <c r="G49" s="373"/>
      <c r="H49" s="373"/>
      <c r="I49" s="373"/>
      <c r="J49" s="373"/>
      <c r="K49" s="373"/>
      <c r="L49" s="373"/>
      <c r="M49" s="373"/>
      <c r="N49" s="160"/>
      <c r="O49" s="273"/>
      <c r="T49" s="579" t="s">
        <v>287</v>
      </c>
      <c r="U49" s="511"/>
      <c r="V49" s="580"/>
      <c r="W49" s="580"/>
      <c r="X49" s="574">
        <f>SUM(X23:X48)</f>
        <v>949360414</v>
      </c>
    </row>
    <row r="50" spans="1:28">
      <c r="A50" s="184">
        <v>33</v>
      </c>
      <c r="B50" s="160" t="s">
        <v>42</v>
      </c>
      <c r="C50" s="160"/>
      <c r="D50" s="372">
        <f>Input!$IM$14</f>
        <v>2785229</v>
      </c>
      <c r="E50" s="372">
        <f>Input!$IN$14</f>
        <v>99635818</v>
      </c>
      <c r="F50" s="372">
        <f>Input!$IO$14</f>
        <v>9405062</v>
      </c>
      <c r="G50" s="372">
        <f>Input!$IP$14</f>
        <v>2142532</v>
      </c>
      <c r="H50" s="372">
        <f>Input!$IQ$14</f>
        <v>71493</v>
      </c>
      <c r="I50" s="372">
        <f>Input!$IR$14</f>
        <v>48802</v>
      </c>
      <c r="J50" s="372">
        <f>Input!$IS$14</f>
        <v>1011595</v>
      </c>
      <c r="K50" s="372">
        <f>Input!$IT$14</f>
        <v>0</v>
      </c>
      <c r="L50" s="372">
        <f>Input!$IU$14</f>
        <v>0</v>
      </c>
      <c r="M50" s="373">
        <f t="shared" ref="M50:M57" si="9">D50+E50+F50+G50+H50+I50+J50+K50+L50</f>
        <v>115100531</v>
      </c>
      <c r="N50" s="160"/>
      <c r="O50" s="273"/>
      <c r="U50" s="275"/>
    </row>
    <row r="51" spans="1:28">
      <c r="A51" s="184">
        <v>34</v>
      </c>
      <c r="B51" s="160" t="s">
        <v>9</v>
      </c>
      <c r="C51" s="160"/>
      <c r="D51" s="372">
        <f>Input!$IV$14</f>
        <v>0</v>
      </c>
      <c r="E51" s="372">
        <f>Input!$IW$14</f>
        <v>0</v>
      </c>
      <c r="F51" s="372">
        <f>Input!$IX$14</f>
        <v>0</v>
      </c>
      <c r="G51" s="372">
        <f>Input!$IY$14</f>
        <v>0</v>
      </c>
      <c r="H51" s="372">
        <f>Input!$IZ$14</f>
        <v>0</v>
      </c>
      <c r="I51" s="372">
        <f>Input!$JA$14</f>
        <v>0</v>
      </c>
      <c r="J51" s="372">
        <f>Input!$JB$14</f>
        <v>0</v>
      </c>
      <c r="K51" s="372">
        <f>Input!$JC$14</f>
        <v>0</v>
      </c>
      <c r="L51" s="372">
        <f>Input!$JD$14</f>
        <v>0</v>
      </c>
      <c r="M51" s="376">
        <f t="shared" si="9"/>
        <v>0</v>
      </c>
      <c r="N51" s="160"/>
      <c r="Y51" s="277"/>
    </row>
    <row r="52" spans="1:28">
      <c r="A52" s="184">
        <v>35</v>
      </c>
      <c r="B52" s="160" t="s">
        <v>10</v>
      </c>
      <c r="C52" s="160"/>
      <c r="D52" s="372">
        <f>Input!$JE$14</f>
        <v>0</v>
      </c>
      <c r="E52" s="372">
        <f>Input!$JF$14</f>
        <v>7060211</v>
      </c>
      <c r="F52" s="372">
        <f>Input!$JG$14</f>
        <v>22286200</v>
      </c>
      <c r="G52" s="372">
        <f>Input!$JH$14</f>
        <v>184282975</v>
      </c>
      <c r="H52" s="372">
        <f>Input!$JI$14</f>
        <v>566273</v>
      </c>
      <c r="I52" s="372">
        <f>Input!$JJ$14</f>
        <v>0</v>
      </c>
      <c r="J52" s="372">
        <f>Input!$JK$14</f>
        <v>0</v>
      </c>
      <c r="K52" s="372">
        <f>Input!$JL$14</f>
        <v>0</v>
      </c>
      <c r="L52" s="372">
        <f>Input!$JM$14</f>
        <v>0</v>
      </c>
      <c r="M52" s="373">
        <f t="shared" si="9"/>
        <v>214195659</v>
      </c>
      <c r="N52" s="160"/>
      <c r="O52" s="273"/>
      <c r="P52" s="278"/>
    </row>
    <row r="53" spans="1:28">
      <c r="A53" s="184">
        <v>36</v>
      </c>
      <c r="B53" s="160" t="s">
        <v>11</v>
      </c>
      <c r="C53" s="160"/>
      <c r="D53" s="372">
        <f>Input!$JN$14</f>
        <v>40226232</v>
      </c>
      <c r="E53" s="372">
        <f>Input!$JO$14</f>
        <v>109584797</v>
      </c>
      <c r="F53" s="372">
        <f>Input!$JP$14</f>
        <v>0</v>
      </c>
      <c r="G53" s="372">
        <f>Input!$JQ$14</f>
        <v>1553357</v>
      </c>
      <c r="H53" s="372">
        <f>Input!$JR$14</f>
        <v>0</v>
      </c>
      <c r="I53" s="372">
        <f>Input!$JS$14</f>
        <v>0</v>
      </c>
      <c r="J53" s="372">
        <f>Input!$JT$14</f>
        <v>0</v>
      </c>
      <c r="K53" s="372">
        <f>Input!$JU$14</f>
        <v>0</v>
      </c>
      <c r="L53" s="372">
        <f>Input!$JV$14</f>
        <v>0</v>
      </c>
      <c r="M53" s="373">
        <f t="shared" si="9"/>
        <v>151364386</v>
      </c>
      <c r="N53" s="160"/>
      <c r="O53" s="273"/>
    </row>
    <row r="54" spans="1:28" ht="13.5" thickBot="1">
      <c r="A54" s="184">
        <v>37</v>
      </c>
      <c r="B54" s="177" t="s">
        <v>2134</v>
      </c>
      <c r="C54" s="177"/>
      <c r="D54" s="372">
        <f>Input!$JW$14</f>
        <v>0</v>
      </c>
      <c r="E54" s="372">
        <f>Input!$JX$14</f>
        <v>0</v>
      </c>
      <c r="F54" s="372">
        <f>Input!$JY$14</f>
        <v>189379128</v>
      </c>
      <c r="G54" s="372">
        <f>Input!$JZ$14</f>
        <v>0</v>
      </c>
      <c r="H54" s="372">
        <f>Input!$KA$14</f>
        <v>0</v>
      </c>
      <c r="I54" s="372">
        <f>Input!$KB$14</f>
        <v>0</v>
      </c>
      <c r="J54" s="372">
        <f>Input!$KC$14</f>
        <v>0</v>
      </c>
      <c r="K54" s="372">
        <f>Input!$KD$14</f>
        <v>0</v>
      </c>
      <c r="L54" s="372">
        <f>Input!$KE$14</f>
        <v>0</v>
      </c>
      <c r="M54" s="373">
        <f t="shared" si="9"/>
        <v>189379128</v>
      </c>
      <c r="N54" s="160"/>
      <c r="O54" s="273"/>
    </row>
    <row r="55" spans="1:28" ht="14.25" thickTop="1" thickBot="1">
      <c r="A55" s="184">
        <v>38</v>
      </c>
      <c r="B55" s="160" t="s">
        <v>43</v>
      </c>
      <c r="C55" s="160"/>
      <c r="D55" s="372">
        <f>Input!$KF$14</f>
        <v>306451</v>
      </c>
      <c r="E55" s="372">
        <f>Input!$KG$14</f>
        <v>70874850</v>
      </c>
      <c r="F55" s="372">
        <f>Input!$KH$14</f>
        <v>4172198</v>
      </c>
      <c r="G55" s="372">
        <f>Input!$KI$14</f>
        <v>-32898089</v>
      </c>
      <c r="H55" s="372">
        <f>Input!$KJ$14</f>
        <v>899464</v>
      </c>
      <c r="I55" s="372">
        <f>Input!$KK$14</f>
        <v>0</v>
      </c>
      <c r="J55" s="372">
        <f>Input!$KL$14</f>
        <v>125441</v>
      </c>
      <c r="K55" s="372">
        <f>Input!$KM$14</f>
        <v>0</v>
      </c>
      <c r="L55" s="372">
        <f>Input!$KN$14</f>
        <v>14625413</v>
      </c>
      <c r="M55" s="373">
        <f t="shared" si="9"/>
        <v>58105728</v>
      </c>
      <c r="N55" s="160"/>
      <c r="O55" s="1616" t="s">
        <v>251</v>
      </c>
      <c r="P55" s="1617"/>
      <c r="Q55" s="1617"/>
      <c r="R55" s="1618"/>
      <c r="S55" s="437"/>
      <c r="T55" s="1619" t="s">
        <v>252</v>
      </c>
      <c r="U55" s="1620"/>
      <c r="V55" s="1620"/>
      <c r="W55" s="1620"/>
      <c r="X55" s="1621"/>
      <c r="Y55" s="320"/>
      <c r="Z55" s="1749" t="s">
        <v>1301</v>
      </c>
      <c r="AA55" s="1750"/>
      <c r="AB55" s="1751"/>
    </row>
    <row r="56" spans="1:28" ht="13.5" customHeight="1" thickTop="1">
      <c r="A56" s="184">
        <v>39</v>
      </c>
      <c r="B56" s="176" t="s">
        <v>3</v>
      </c>
      <c r="C56" s="176"/>
      <c r="D56" s="374">
        <f>SUM(D50:D55)</f>
        <v>43317912</v>
      </c>
      <c r="E56" s="374">
        <f t="shared" ref="E56:L56" si="10">SUM(E50:E55)</f>
        <v>287155676</v>
      </c>
      <c r="F56" s="374">
        <f t="shared" si="10"/>
        <v>225242588</v>
      </c>
      <c r="G56" s="374">
        <f t="shared" si="10"/>
        <v>155080775</v>
      </c>
      <c r="H56" s="374">
        <f t="shared" si="10"/>
        <v>1537230</v>
      </c>
      <c r="I56" s="374">
        <f t="shared" si="10"/>
        <v>48802</v>
      </c>
      <c r="J56" s="374">
        <f t="shared" si="10"/>
        <v>1137036</v>
      </c>
      <c r="K56" s="374">
        <f t="shared" si="10"/>
        <v>0</v>
      </c>
      <c r="L56" s="374">
        <f t="shared" si="10"/>
        <v>14625413</v>
      </c>
      <c r="M56" s="374">
        <f t="shared" si="9"/>
        <v>728145432</v>
      </c>
      <c r="N56" s="160"/>
      <c r="O56" s="1622" t="s">
        <v>1135</v>
      </c>
      <c r="P56" s="1625" t="s">
        <v>254</v>
      </c>
      <c r="Q56" s="1625" t="s">
        <v>292</v>
      </c>
      <c r="R56" s="1628" t="s">
        <v>1063</v>
      </c>
      <c r="S56" s="280"/>
      <c r="T56" s="1739" t="s">
        <v>1136</v>
      </c>
      <c r="U56" s="1637" t="s">
        <v>254</v>
      </c>
      <c r="V56" s="1634" t="s">
        <v>256</v>
      </c>
      <c r="W56" s="1637" t="s">
        <v>257</v>
      </c>
      <c r="X56" s="1638" t="s">
        <v>1064</v>
      </c>
      <c r="Z56" s="1754" t="s">
        <v>1302</v>
      </c>
      <c r="AA56" s="1747" t="s">
        <v>1303</v>
      </c>
      <c r="AB56" s="1752" t="s">
        <v>238</v>
      </c>
    </row>
    <row r="57" spans="1:28">
      <c r="A57" s="184">
        <v>40</v>
      </c>
      <c r="B57" s="162" t="s">
        <v>68</v>
      </c>
      <c r="C57" s="162"/>
      <c r="D57" s="374">
        <f>D15+D44+D47+D56</f>
        <v>644670541</v>
      </c>
      <c r="E57" s="374">
        <f t="shared" ref="E57:L57" si="11">E15+E44+E47+E56</f>
        <v>1004327323</v>
      </c>
      <c r="F57" s="374">
        <f t="shared" si="11"/>
        <v>257156139</v>
      </c>
      <c r="G57" s="374">
        <f t="shared" si="11"/>
        <v>407652407</v>
      </c>
      <c r="H57" s="374">
        <f t="shared" si="11"/>
        <v>1537230</v>
      </c>
      <c r="I57" s="374">
        <f t="shared" si="11"/>
        <v>48802</v>
      </c>
      <c r="J57" s="374">
        <f t="shared" si="11"/>
        <v>1137036</v>
      </c>
      <c r="K57" s="374">
        <f t="shared" si="11"/>
        <v>0</v>
      </c>
      <c r="L57" s="374">
        <f t="shared" si="11"/>
        <v>14625413</v>
      </c>
      <c r="M57" s="374">
        <f t="shared" si="9"/>
        <v>2331154891</v>
      </c>
      <c r="N57" s="160"/>
      <c r="O57" s="1623"/>
      <c r="P57" s="1626"/>
      <c r="Q57" s="1626"/>
      <c r="R57" s="1629"/>
      <c r="S57" s="280"/>
      <c r="T57" s="1740"/>
      <c r="U57" s="1626"/>
      <c r="V57" s="1635"/>
      <c r="W57" s="1626"/>
      <c r="X57" s="1639"/>
      <c r="Z57" s="1755"/>
      <c r="AA57" s="1747"/>
      <c r="AB57" s="1752"/>
    </row>
    <row r="58" spans="1:28">
      <c r="A58" s="184">
        <v>41</v>
      </c>
      <c r="B58" s="160"/>
      <c r="C58" s="160"/>
      <c r="D58" s="373"/>
      <c r="E58" s="373"/>
      <c r="F58" s="373"/>
      <c r="G58" s="373"/>
      <c r="H58" s="373"/>
      <c r="I58" s="373"/>
      <c r="J58" s="373"/>
      <c r="K58" s="373"/>
      <c r="L58" s="373"/>
      <c r="M58" s="373"/>
      <c r="N58" s="160"/>
      <c r="O58" s="1623"/>
      <c r="P58" s="1626"/>
      <c r="Q58" s="1626"/>
      <c r="R58" s="1629"/>
      <c r="S58" s="280"/>
      <c r="T58" s="1740"/>
      <c r="U58" s="1626"/>
      <c r="V58" s="1635"/>
      <c r="W58" s="1626"/>
      <c r="X58" s="1639"/>
      <c r="Z58" s="1755"/>
      <c r="AA58" s="1747"/>
      <c r="AB58" s="1752"/>
    </row>
    <row r="59" spans="1:28" ht="14.25" customHeight="1">
      <c r="A59" s="184">
        <v>42</v>
      </c>
      <c r="B59" s="174" t="s">
        <v>72</v>
      </c>
      <c r="C59" s="174"/>
      <c r="D59" s="377"/>
      <c r="E59" s="377"/>
      <c r="F59" s="377"/>
      <c r="G59" s="1746" t="str">
        <f>IF(OR(P105&gt;0,P106&lt;&gt;0,P107&lt;&gt;0),"Do not Enter Cents - Whole Dollars Only","")</f>
        <v/>
      </c>
      <c r="H59" s="1746"/>
      <c r="I59" s="1746"/>
      <c r="J59" s="1746"/>
      <c r="K59" s="1746"/>
      <c r="L59" s="377"/>
      <c r="M59" s="377"/>
      <c r="N59" s="160"/>
      <c r="O59" s="1624"/>
      <c r="P59" s="1627"/>
      <c r="Q59" s="1627"/>
      <c r="R59" s="1630"/>
      <c r="S59" s="280"/>
      <c r="T59" s="1741"/>
      <c r="U59" s="1627"/>
      <c r="V59" s="1636"/>
      <c r="W59" s="1627"/>
      <c r="X59" s="1640"/>
      <c r="Z59" s="1756"/>
      <c r="AA59" s="1748"/>
      <c r="AB59" s="1753"/>
    </row>
    <row r="60" spans="1:28" ht="13.5" thickBot="1">
      <c r="A60" s="184">
        <v>43</v>
      </c>
      <c r="B60" s="160" t="s">
        <v>14</v>
      </c>
      <c r="C60" s="160"/>
      <c r="D60" s="372">
        <f>Input!$KO$14</f>
        <v>416809360</v>
      </c>
      <c r="E60" s="372">
        <f>Input!$KP$14</f>
        <v>124268356</v>
      </c>
      <c r="F60" s="372">
        <f>Input!$KQ$14</f>
        <v>0</v>
      </c>
      <c r="G60" s="372">
        <f>Input!$KR$14</f>
        <v>66674359</v>
      </c>
      <c r="H60" s="372">
        <f>Input!$KS$14</f>
        <v>0</v>
      </c>
      <c r="I60" s="372">
        <f>Input!$KT$14</f>
        <v>0</v>
      </c>
      <c r="J60" s="372">
        <f>Input!$KU$14</f>
        <v>0</v>
      </c>
      <c r="K60" s="372">
        <f>Input!$KV$14</f>
        <v>0</v>
      </c>
      <c r="L60" s="372">
        <f>Input!$KW$14</f>
        <v>0</v>
      </c>
      <c r="M60" s="373">
        <f t="shared" ref="M60:M71" si="12">D60+E60+F60+G60+H60+I60+J60+K60+L60</f>
        <v>607752075</v>
      </c>
      <c r="N60" s="160"/>
      <c r="O60" s="282">
        <f>D60+E60+G60+J60</f>
        <v>607752075</v>
      </c>
      <c r="P60" s="518">
        <f>Input!$SS$14</f>
        <v>1719797</v>
      </c>
      <c r="Q60" s="438" t="s">
        <v>259</v>
      </c>
      <c r="R60" s="284">
        <f>SUM(O60:P60)</f>
        <v>609471872</v>
      </c>
      <c r="S60" s="439"/>
      <c r="T60" s="286">
        <f t="shared" ref="T60:T67" si="13">D60+E60+G60</f>
        <v>607752075</v>
      </c>
      <c r="U60" s="287">
        <f t="shared" ref="U60:U67" si="14">P60</f>
        <v>1719797</v>
      </c>
      <c r="V60" s="289">
        <f>Input!$TC$14</f>
        <v>0</v>
      </c>
      <c r="W60" s="289">
        <f>Input!$TK$14</f>
        <v>0</v>
      </c>
      <c r="X60" s="290">
        <f t="shared" ref="X60:X66" si="15">T60+U60-V60-W60</f>
        <v>609471872</v>
      </c>
      <c r="Z60" s="292" t="s">
        <v>14</v>
      </c>
      <c r="AA60" s="520">
        <f>Input!$TS$14</f>
        <v>607752075</v>
      </c>
      <c r="AB60" s="293">
        <f t="shared" ref="AB60:AB68" si="16">AA60-M60</f>
        <v>0</v>
      </c>
    </row>
    <row r="61" spans="1:28" ht="14.25" thickTop="1" thickBot="1">
      <c r="A61" s="184">
        <v>44</v>
      </c>
      <c r="B61" s="160" t="s">
        <v>15</v>
      </c>
      <c r="C61" s="160"/>
      <c r="D61" s="372">
        <f>Input!$KX$14</f>
        <v>19582372</v>
      </c>
      <c r="E61" s="372">
        <f>Input!$KY$14</f>
        <v>62028241</v>
      </c>
      <c r="F61" s="372">
        <f>Input!$KZ$14</f>
        <v>0</v>
      </c>
      <c r="G61" s="372">
        <f>Input!$LA$14</f>
        <v>143182899</v>
      </c>
      <c r="H61" s="372">
        <f>Input!$LB$14</f>
        <v>0</v>
      </c>
      <c r="I61" s="372">
        <f>Input!$LC$14</f>
        <v>0</v>
      </c>
      <c r="J61" s="372">
        <f>Input!$LD$14</f>
        <v>62333</v>
      </c>
      <c r="K61" s="372">
        <f>Input!$LE$14</f>
        <v>0</v>
      </c>
      <c r="L61" s="372">
        <f>Input!$LF$14</f>
        <v>0</v>
      </c>
      <c r="M61" s="373">
        <f t="shared" si="12"/>
        <v>224855845</v>
      </c>
      <c r="N61" s="160"/>
      <c r="O61" s="440">
        <f t="shared" ref="O61:O67" si="17">D61+E61+G61+J61</f>
        <v>224855845</v>
      </c>
      <c r="P61" s="518">
        <f>Input!$ST$14</f>
        <v>26255133</v>
      </c>
      <c r="Q61" s="441" t="s">
        <v>259</v>
      </c>
      <c r="R61" s="295">
        <f>SUM(O61:P61)</f>
        <v>251110978</v>
      </c>
      <c r="S61" s="442"/>
      <c r="T61" s="296">
        <f t="shared" si="13"/>
        <v>224793512</v>
      </c>
      <c r="U61" s="297">
        <f t="shared" si="14"/>
        <v>26255133</v>
      </c>
      <c r="V61" s="299">
        <f>Input!$TD$14</f>
        <v>4067466</v>
      </c>
      <c r="W61" s="299">
        <f>Input!$TL$14</f>
        <v>0</v>
      </c>
      <c r="X61" s="300">
        <f t="shared" si="15"/>
        <v>246981179</v>
      </c>
      <c r="Z61" s="292" t="s">
        <v>15</v>
      </c>
      <c r="AA61" s="518">
        <f>Input!$TT$14</f>
        <v>224855845</v>
      </c>
      <c r="AB61" s="301">
        <f t="shared" si="16"/>
        <v>0</v>
      </c>
    </row>
    <row r="62" spans="1:28" ht="13.5" thickTop="1">
      <c r="A62" s="184">
        <v>45</v>
      </c>
      <c r="B62" s="160" t="s">
        <v>16</v>
      </c>
      <c r="C62" s="160"/>
      <c r="D62" s="372">
        <f>Input!$LG$14</f>
        <v>2701597</v>
      </c>
      <c r="E62" s="372">
        <f>Input!$LH$14</f>
        <v>11305833</v>
      </c>
      <c r="F62" s="372">
        <f>Input!$LI$14</f>
        <v>0</v>
      </c>
      <c r="G62" s="372">
        <f>Input!$LJ$14</f>
        <v>4742560</v>
      </c>
      <c r="H62" s="372">
        <f>Input!$LK$14</f>
        <v>0</v>
      </c>
      <c r="I62" s="372">
        <f>Input!$LL$14</f>
        <v>0</v>
      </c>
      <c r="J62" s="372">
        <f>Input!$LM$14</f>
        <v>0</v>
      </c>
      <c r="K62" s="372">
        <f>Input!$LN$14</f>
        <v>0</v>
      </c>
      <c r="L62" s="372">
        <f>Input!$LO$14</f>
        <v>0</v>
      </c>
      <c r="M62" s="373">
        <f t="shared" si="12"/>
        <v>18749990</v>
      </c>
      <c r="N62" s="160"/>
      <c r="O62" s="440">
        <f t="shared" si="17"/>
        <v>18749990</v>
      </c>
      <c r="P62" s="518">
        <f>Input!$SU$14</f>
        <v>180724</v>
      </c>
      <c r="Q62" s="441" t="s">
        <v>259</v>
      </c>
      <c r="R62" s="302" t="s">
        <v>259</v>
      </c>
      <c r="S62" s="442"/>
      <c r="T62" s="296">
        <f t="shared" si="13"/>
        <v>18749990</v>
      </c>
      <c r="U62" s="297">
        <f t="shared" si="14"/>
        <v>180724</v>
      </c>
      <c r="V62" s="299">
        <f>Input!$TE$14</f>
        <v>0</v>
      </c>
      <c r="W62" s="299">
        <f>Input!$TM$14</f>
        <v>0</v>
      </c>
      <c r="X62" s="303">
        <f t="shared" si="15"/>
        <v>18930714</v>
      </c>
      <c r="Z62" s="292" t="s">
        <v>16</v>
      </c>
      <c r="AA62" s="518">
        <f>Input!$TU$14</f>
        <v>18749990</v>
      </c>
      <c r="AB62" s="301">
        <f t="shared" si="16"/>
        <v>0</v>
      </c>
    </row>
    <row r="63" spans="1:28">
      <c r="A63" s="184">
        <v>46</v>
      </c>
      <c r="B63" s="160" t="s">
        <v>17</v>
      </c>
      <c r="C63" s="160"/>
      <c r="D63" s="372">
        <f>Input!$LP$14</f>
        <v>84151214</v>
      </c>
      <c r="E63" s="372">
        <f>Input!$LQ$14</f>
        <v>141482204</v>
      </c>
      <c r="F63" s="372">
        <f>Input!$LR$14</f>
        <v>0</v>
      </c>
      <c r="G63" s="372">
        <f>Input!$LS$14</f>
        <v>29878706</v>
      </c>
      <c r="H63" s="372">
        <f>Input!$LT$14</f>
        <v>0</v>
      </c>
      <c r="I63" s="372">
        <f>Input!$LU$14</f>
        <v>0</v>
      </c>
      <c r="J63" s="372">
        <f>Input!$LV$14</f>
        <v>0</v>
      </c>
      <c r="K63" s="372">
        <f>Input!$LW$14</f>
        <v>0</v>
      </c>
      <c r="L63" s="372">
        <f>Input!$LX$14</f>
        <v>0</v>
      </c>
      <c r="M63" s="373">
        <f t="shared" si="12"/>
        <v>255512124</v>
      </c>
      <c r="N63" s="160"/>
      <c r="O63" s="440">
        <f t="shared" si="17"/>
        <v>255512124</v>
      </c>
      <c r="P63" s="518">
        <f>Input!$SV$14</f>
        <v>10907900</v>
      </c>
      <c r="Q63" s="441" t="s">
        <v>259</v>
      </c>
      <c r="R63" s="295">
        <f t="shared" ref="R63:R65" si="18">SUM(O63:P63)</f>
        <v>266420024</v>
      </c>
      <c r="S63" s="442"/>
      <c r="T63" s="296">
        <f t="shared" si="13"/>
        <v>255512124</v>
      </c>
      <c r="U63" s="297">
        <f t="shared" si="14"/>
        <v>10907900</v>
      </c>
      <c r="V63" s="299">
        <f>Input!$TF$14</f>
        <v>0</v>
      </c>
      <c r="W63" s="299">
        <f>Input!$TN$14</f>
        <v>0</v>
      </c>
      <c r="X63" s="303">
        <f t="shared" si="15"/>
        <v>266420024</v>
      </c>
      <c r="Z63" s="292" t="s">
        <v>17</v>
      </c>
      <c r="AA63" s="518">
        <f>Input!$TV$14</f>
        <v>255512124</v>
      </c>
      <c r="AB63" s="301">
        <f t="shared" si="16"/>
        <v>0</v>
      </c>
    </row>
    <row r="64" spans="1:28">
      <c r="A64" s="184">
        <v>47</v>
      </c>
      <c r="B64" s="160" t="s">
        <v>18</v>
      </c>
      <c r="C64" s="160"/>
      <c r="D64" s="372">
        <f>Input!$LY$14</f>
        <v>17170591</v>
      </c>
      <c r="E64" s="372">
        <f>Input!$LZ$14</f>
        <v>55635859</v>
      </c>
      <c r="F64" s="372">
        <f>Input!$MA$14</f>
        <v>0</v>
      </c>
      <c r="G64" s="372">
        <f>Input!$MB$14</f>
        <v>4257568</v>
      </c>
      <c r="H64" s="372">
        <f>Input!$MC$14</f>
        <v>5128700</v>
      </c>
      <c r="I64" s="372">
        <f>Input!$MD$14</f>
        <v>0</v>
      </c>
      <c r="J64" s="372">
        <f>Input!$ME$14</f>
        <v>0</v>
      </c>
      <c r="K64" s="372">
        <f>Input!$MF$14</f>
        <v>0</v>
      </c>
      <c r="L64" s="372">
        <f>Input!$MG$14</f>
        <v>0</v>
      </c>
      <c r="M64" s="373">
        <f t="shared" si="12"/>
        <v>82192718</v>
      </c>
      <c r="N64" s="160"/>
      <c r="O64" s="440">
        <f t="shared" si="17"/>
        <v>77064018</v>
      </c>
      <c r="P64" s="518">
        <f>Input!$SW$14</f>
        <v>1277930</v>
      </c>
      <c r="Q64" s="518">
        <f>Input!$TB$14</f>
        <v>0</v>
      </c>
      <c r="R64" s="295">
        <f>SUM(O64:P64)-Q64</f>
        <v>78341948</v>
      </c>
      <c r="S64" s="442"/>
      <c r="T64" s="296">
        <f t="shared" si="13"/>
        <v>77064018</v>
      </c>
      <c r="U64" s="297">
        <f t="shared" si="14"/>
        <v>1277930</v>
      </c>
      <c r="V64" s="299">
        <f>Input!$TG$14</f>
        <v>0</v>
      </c>
      <c r="W64" s="299">
        <f>Input!$TO$14</f>
        <v>0</v>
      </c>
      <c r="X64" s="303">
        <f t="shared" si="15"/>
        <v>78341948</v>
      </c>
      <c r="Z64" s="292" t="s">
        <v>18</v>
      </c>
      <c r="AA64" s="518">
        <f>Input!$TW$14</f>
        <v>82192718</v>
      </c>
      <c r="AB64" s="301">
        <f t="shared" si="16"/>
        <v>0</v>
      </c>
    </row>
    <row r="65" spans="1:28">
      <c r="A65" s="184">
        <v>48</v>
      </c>
      <c r="B65" s="160" t="s">
        <v>19</v>
      </c>
      <c r="C65" s="160"/>
      <c r="D65" s="372">
        <f>Input!$MH$14</f>
        <v>43530837</v>
      </c>
      <c r="E65" s="372">
        <f>Input!$MI$14</f>
        <v>32692729</v>
      </c>
      <c r="F65" s="372">
        <f>Input!$MJ$14</f>
        <v>0</v>
      </c>
      <c r="G65" s="372">
        <f>Input!$MK$14</f>
        <v>11091523</v>
      </c>
      <c r="H65" s="372">
        <f>Input!$ML$14</f>
        <v>0</v>
      </c>
      <c r="I65" s="372">
        <f>Input!$MM$14</f>
        <v>0</v>
      </c>
      <c r="J65" s="372">
        <f>Input!$MN$14</f>
        <v>0</v>
      </c>
      <c r="K65" s="372">
        <f>Input!$MO$14</f>
        <v>0</v>
      </c>
      <c r="L65" s="372">
        <f>Input!$MP$14</f>
        <v>0</v>
      </c>
      <c r="M65" s="373">
        <f t="shared" si="12"/>
        <v>87315089</v>
      </c>
      <c r="N65" s="160"/>
      <c r="O65" s="440">
        <f t="shared" si="17"/>
        <v>87315089</v>
      </c>
      <c r="P65" s="518">
        <f>Input!$SX$14</f>
        <v>1735476</v>
      </c>
      <c r="Q65" s="441" t="s">
        <v>259</v>
      </c>
      <c r="R65" s="295">
        <f t="shared" si="18"/>
        <v>89050565</v>
      </c>
      <c r="S65" s="442"/>
      <c r="T65" s="296">
        <f t="shared" si="13"/>
        <v>87315089</v>
      </c>
      <c r="U65" s="297">
        <f t="shared" si="14"/>
        <v>1735476</v>
      </c>
      <c r="V65" s="299">
        <f>Input!$TH$14</f>
        <v>0</v>
      </c>
      <c r="W65" s="299">
        <f>Input!$TP$14</f>
        <v>0</v>
      </c>
      <c r="X65" s="303">
        <f t="shared" si="15"/>
        <v>89050565</v>
      </c>
      <c r="Z65" s="292" t="s">
        <v>19</v>
      </c>
      <c r="AA65" s="518">
        <f>Input!$TX$14</f>
        <v>87315089</v>
      </c>
      <c r="AB65" s="301">
        <f t="shared" si="16"/>
        <v>0</v>
      </c>
    </row>
    <row r="66" spans="1:28">
      <c r="A66" s="184">
        <v>49</v>
      </c>
      <c r="B66" s="160" t="s">
        <v>20</v>
      </c>
      <c r="C66" s="160"/>
      <c r="D66" s="372">
        <f>Input!$MQ$14</f>
        <v>13779227</v>
      </c>
      <c r="E66" s="372">
        <f>Input!$MR$14</f>
        <v>119275567</v>
      </c>
      <c r="F66" s="372">
        <f>Input!$MS$14</f>
        <v>0</v>
      </c>
      <c r="G66" s="372">
        <f>Input!$MT$14</f>
        <v>2873094</v>
      </c>
      <c r="H66" s="372">
        <f>Input!$MU$14</f>
        <v>0</v>
      </c>
      <c r="I66" s="372">
        <f>Input!$MV$14</f>
        <v>0</v>
      </c>
      <c r="J66" s="372">
        <f>Input!$MW$14</f>
        <v>37879429</v>
      </c>
      <c r="K66" s="372">
        <f>Input!$MX$14</f>
        <v>0</v>
      </c>
      <c r="L66" s="372">
        <f>Input!$MY$14</f>
        <v>0</v>
      </c>
      <c r="M66" s="373">
        <f t="shared" si="12"/>
        <v>173807317</v>
      </c>
      <c r="N66" s="160"/>
      <c r="O66" s="440">
        <f t="shared" si="17"/>
        <v>173807317</v>
      </c>
      <c r="P66" s="518">
        <f>Input!$SY$14</f>
        <v>461547</v>
      </c>
      <c r="Q66" s="441" t="s">
        <v>259</v>
      </c>
      <c r="R66" s="304" t="s">
        <v>259</v>
      </c>
      <c r="S66" s="442"/>
      <c r="T66" s="296">
        <f t="shared" si="13"/>
        <v>135927888</v>
      </c>
      <c r="U66" s="297">
        <f t="shared" si="14"/>
        <v>461547</v>
      </c>
      <c r="V66" s="299">
        <f>Input!$TI$14</f>
        <v>0</v>
      </c>
      <c r="W66" s="299">
        <f>Input!$TQ$14</f>
        <v>0</v>
      </c>
      <c r="X66" s="303">
        <f t="shared" si="15"/>
        <v>136389435</v>
      </c>
      <c r="Z66" s="292" t="s">
        <v>260</v>
      </c>
      <c r="AA66" s="518">
        <f>Input!$TY$14</f>
        <v>173807317</v>
      </c>
      <c r="AB66" s="301">
        <f t="shared" si="16"/>
        <v>0</v>
      </c>
    </row>
    <row r="67" spans="1:28" ht="13.5" thickBot="1">
      <c r="A67" s="184">
        <v>50</v>
      </c>
      <c r="B67" s="160" t="s">
        <v>21</v>
      </c>
      <c r="C67" s="160"/>
      <c r="D67" s="372">
        <f>Input!$MZ$14</f>
        <v>13092252</v>
      </c>
      <c r="E67" s="372">
        <f>Input!$NA$14</f>
        <v>64042294</v>
      </c>
      <c r="F67" s="372">
        <f>Input!$NB$14</f>
        <v>0</v>
      </c>
      <c r="G67" s="372">
        <f>Input!$NC$14</f>
        <v>64235599</v>
      </c>
      <c r="H67" s="372">
        <f>Input!$ND$14</f>
        <v>0</v>
      </c>
      <c r="I67" s="372">
        <f>Input!$NE$14</f>
        <v>0</v>
      </c>
      <c r="J67" s="372">
        <f>Input!$NF$14</f>
        <v>0</v>
      </c>
      <c r="K67" s="372">
        <f>Input!$NG$14</f>
        <v>0</v>
      </c>
      <c r="L67" s="372">
        <f>Input!$NH$14</f>
        <v>0</v>
      </c>
      <c r="M67" s="373">
        <f t="shared" si="12"/>
        <v>141370145</v>
      </c>
      <c r="N67" s="160"/>
      <c r="O67" s="440">
        <f t="shared" si="17"/>
        <v>141370145</v>
      </c>
      <c r="P67" s="518">
        <f>Input!$SZ$14</f>
        <v>150839</v>
      </c>
      <c r="Q67" s="441" t="s">
        <v>259</v>
      </c>
      <c r="R67" s="304" t="s">
        <v>259</v>
      </c>
      <c r="S67" s="442"/>
      <c r="T67" s="306">
        <f t="shared" si="13"/>
        <v>141370145</v>
      </c>
      <c r="U67" s="307">
        <f t="shared" si="14"/>
        <v>150839</v>
      </c>
      <c r="V67" s="308">
        <f>Input!$TJ$14</f>
        <v>0</v>
      </c>
      <c r="W67" s="308">
        <f>Input!$TR$14</f>
        <v>0</v>
      </c>
      <c r="X67" s="303">
        <f>U67+T67-V67-W67</f>
        <v>141520984</v>
      </c>
      <c r="Z67" s="292" t="s">
        <v>21</v>
      </c>
      <c r="AA67" s="518">
        <f>Input!$TZ$14</f>
        <v>141370145</v>
      </c>
      <c r="AB67" s="301">
        <f t="shared" si="16"/>
        <v>0</v>
      </c>
    </row>
    <row r="68" spans="1:28" ht="14.25" thickTop="1" thickBot="1">
      <c r="A68" s="184">
        <v>51</v>
      </c>
      <c r="B68" s="160" t="s">
        <v>2135</v>
      </c>
      <c r="C68" s="160"/>
      <c r="D68" s="372">
        <f>Input!$NI$14</f>
        <v>0</v>
      </c>
      <c r="E68" s="372">
        <f>Input!$NJ$14</f>
        <v>0</v>
      </c>
      <c r="F68" s="372">
        <f>Input!$NK$14</f>
        <v>205852290</v>
      </c>
      <c r="G68" s="372">
        <f>Input!$NL$14</f>
        <v>0</v>
      </c>
      <c r="H68" s="372">
        <f>Input!$NM$14</f>
        <v>0</v>
      </c>
      <c r="I68" s="372">
        <f>Input!$NN$14</f>
        <v>0</v>
      </c>
      <c r="J68" s="372">
        <f>Input!$NO$14</f>
        <v>0</v>
      </c>
      <c r="K68" s="372">
        <f>Input!$NP$14</f>
        <v>0</v>
      </c>
      <c r="L68" s="372">
        <f>Input!$NQ$14</f>
        <v>0</v>
      </c>
      <c r="M68" s="373">
        <f t="shared" si="12"/>
        <v>205852290</v>
      </c>
      <c r="N68" s="160"/>
      <c r="O68" s="309" t="s">
        <v>259</v>
      </c>
      <c r="P68" s="519">
        <f>Input!$TA$14</f>
        <v>6100661</v>
      </c>
      <c r="Q68" s="444" t="s">
        <v>259</v>
      </c>
      <c r="R68" s="311" t="s">
        <v>259</v>
      </c>
      <c r="S68" s="442"/>
      <c r="T68" s="305"/>
      <c r="U68" s="305"/>
      <c r="V68" s="312" t="s">
        <v>261</v>
      </c>
      <c r="W68" s="313"/>
      <c r="X68" s="314">
        <f>SUM(X60:X67)</f>
        <v>1587106721</v>
      </c>
      <c r="Z68" s="292" t="s">
        <v>22</v>
      </c>
      <c r="AA68" s="518">
        <f>Input!$UA$14</f>
        <v>205852290</v>
      </c>
      <c r="AB68" s="301">
        <f t="shared" si="16"/>
        <v>0</v>
      </c>
    </row>
    <row r="69" spans="1:28" ht="14.25" thickTop="1" thickBot="1">
      <c r="A69" s="184">
        <v>52</v>
      </c>
      <c r="B69" s="161" t="s">
        <v>59</v>
      </c>
      <c r="C69" s="161"/>
      <c r="D69" s="372">
        <f>Input!$NR$14</f>
        <v>368127</v>
      </c>
      <c r="E69" s="372">
        <f>Input!$NS$14</f>
        <v>36167284</v>
      </c>
      <c r="F69" s="372">
        <f>Input!$NT$14</f>
        <v>6100660</v>
      </c>
      <c r="G69" s="372">
        <f>Input!$NU$14</f>
        <v>6153936</v>
      </c>
      <c r="H69" s="372">
        <f>Input!$NV$14</f>
        <v>0</v>
      </c>
      <c r="I69" s="372">
        <f>Input!$NW$14</f>
        <v>0</v>
      </c>
      <c r="J69" s="372">
        <f>Input!$NX$14</f>
        <v>0</v>
      </c>
      <c r="K69" s="372">
        <f>Input!$NY$14</f>
        <v>0</v>
      </c>
      <c r="L69" s="372">
        <f>Input!$NZ$14</f>
        <v>0</v>
      </c>
      <c r="M69" s="373">
        <f t="shared" si="12"/>
        <v>48790007</v>
      </c>
      <c r="N69" s="160"/>
      <c r="O69" s="315"/>
      <c r="P69" s="316">
        <f>SUM(P60:P68)</f>
        <v>48790007</v>
      </c>
      <c r="Q69" s="316">
        <f>SUM(Q64:Q68)</f>
        <v>0</v>
      </c>
      <c r="R69" s="317">
        <f>SUM(R60:R65)</f>
        <v>1294395387</v>
      </c>
      <c r="S69" s="316"/>
      <c r="T69" s="305"/>
      <c r="U69" s="305"/>
      <c r="V69" s="305"/>
      <c r="W69" s="277"/>
      <c r="X69" s="277"/>
      <c r="Y69" s="277"/>
      <c r="Z69" s="292" t="s">
        <v>285</v>
      </c>
      <c r="AA69" s="445">
        <f>M88*-1</f>
        <v>229375492</v>
      </c>
      <c r="AB69" s="301">
        <f>AA69+M88</f>
        <v>0</v>
      </c>
    </row>
    <row r="70" spans="1:28" ht="14.25" thickTop="1" thickBot="1">
      <c r="A70" s="184">
        <v>53</v>
      </c>
      <c r="B70" s="178" t="s">
        <v>44</v>
      </c>
      <c r="C70" s="178"/>
      <c r="D70" s="378">
        <f>Input!$OA$14</f>
        <v>770890</v>
      </c>
      <c r="E70" s="378">
        <f>Input!$OB$14</f>
        <v>31857984</v>
      </c>
      <c r="F70" s="378">
        <f>Input!$OC$14</f>
        <v>2417810</v>
      </c>
      <c r="G70" s="378">
        <f>Input!$OD$14</f>
        <v>1122</v>
      </c>
      <c r="H70" s="378">
        <f>Input!$OE$14</f>
        <v>14688</v>
      </c>
      <c r="I70" s="378">
        <f>Input!$OF$14</f>
        <v>19941</v>
      </c>
      <c r="J70" s="378">
        <f>Input!$OG$14</f>
        <v>4196</v>
      </c>
      <c r="K70" s="378">
        <f>Input!$OH$14</f>
        <v>0</v>
      </c>
      <c r="L70" s="378">
        <f>Input!$OI$14</f>
        <v>11134872</v>
      </c>
      <c r="M70" s="373">
        <f t="shared" si="12"/>
        <v>46221503</v>
      </c>
      <c r="N70" s="160"/>
      <c r="O70" s="320"/>
      <c r="P70" s="516" t="str">
        <f>IF(P69&lt;&gt;M69,"Out of Balance","Balanced")</f>
        <v>Balanced</v>
      </c>
      <c r="Q70" s="318"/>
      <c r="R70" s="305"/>
      <c r="S70" s="305"/>
      <c r="T70" s="305"/>
      <c r="U70" s="277"/>
      <c r="V70" s="1738" t="str">
        <f>IF(X68-INT(X68)&lt;&gt;0,"Whole Dollars Only","")</f>
        <v/>
      </c>
      <c r="W70" s="1738"/>
      <c r="X70" s="537"/>
      <c r="Y70" s="319"/>
      <c r="Z70" s="410" t="s">
        <v>262</v>
      </c>
      <c r="AA70" s="446" t="s">
        <v>259</v>
      </c>
      <c r="AB70" s="411">
        <f>M90</f>
        <v>0</v>
      </c>
    </row>
    <row r="71" spans="1:28" ht="13.5" thickTop="1">
      <c r="A71" s="184">
        <v>54</v>
      </c>
      <c r="B71" s="162" t="s">
        <v>69</v>
      </c>
      <c r="C71" s="162"/>
      <c r="D71" s="374">
        <f>SUM(D60:D70)</f>
        <v>611956467</v>
      </c>
      <c r="E71" s="374">
        <f>SUM(E60:E70)</f>
        <v>678756351</v>
      </c>
      <c r="F71" s="374">
        <f t="shared" ref="F71:L71" si="19">SUM(F60:F70)</f>
        <v>214370760</v>
      </c>
      <c r="G71" s="374">
        <f t="shared" si="19"/>
        <v>333091366</v>
      </c>
      <c r="H71" s="374">
        <f t="shared" si="19"/>
        <v>5143388</v>
      </c>
      <c r="I71" s="374">
        <f t="shared" si="19"/>
        <v>19941</v>
      </c>
      <c r="J71" s="374">
        <f t="shared" si="19"/>
        <v>37945958</v>
      </c>
      <c r="K71" s="374">
        <f t="shared" si="19"/>
        <v>0</v>
      </c>
      <c r="L71" s="374">
        <f t="shared" si="19"/>
        <v>11134872</v>
      </c>
      <c r="M71" s="374">
        <f t="shared" si="12"/>
        <v>1892419103</v>
      </c>
      <c r="N71" s="160"/>
      <c r="O71" s="322"/>
      <c r="P71" s="1738" t="str">
        <f>IF(P69-INT(P69)&lt;&gt;0,"Whole Dollars Only","")</f>
        <v/>
      </c>
      <c r="Q71" s="1738"/>
      <c r="R71" s="323"/>
      <c r="S71" s="323"/>
      <c r="T71" s="323"/>
      <c r="U71" s="291"/>
      <c r="V71" s="324"/>
      <c r="W71" s="321"/>
      <c r="X71" s="321"/>
      <c r="Y71" s="321"/>
      <c r="Z71" s="318"/>
      <c r="AA71" s="325">
        <f>SUM(AA60:AA70)</f>
        <v>2026783085</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Input!$OJ$14</f>
        <v>0</v>
      </c>
      <c r="E74" s="372">
        <f>Input!$OK$14</f>
        <v>0</v>
      </c>
      <c r="F74" s="372">
        <f>Input!$OL$14</f>
        <v>0</v>
      </c>
      <c r="G74" s="372">
        <f>Input!$OM$14</f>
        <v>0</v>
      </c>
      <c r="H74" s="372">
        <f>Input!$ON$14</f>
        <v>0</v>
      </c>
      <c r="I74" s="372">
        <f>Input!$OO$14</f>
        <v>0</v>
      </c>
      <c r="J74" s="372">
        <f>Input!$OP$14</f>
        <v>-57478975</v>
      </c>
      <c r="K74" s="372">
        <f>Input!$OQ$14</f>
        <v>0</v>
      </c>
      <c r="L74" s="372">
        <f>Input!$OR$14</f>
        <v>0</v>
      </c>
      <c r="M74" s="373">
        <f>D74+E74+F74+G74+H74+I74+J74+K74+L74</f>
        <v>-57478975</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Input!$OS$14</f>
        <v>-2825395</v>
      </c>
      <c r="E75" s="372">
        <f>Input!$OT$14</f>
        <v>-135464560</v>
      </c>
      <c r="F75" s="372">
        <f>Input!$OU$14</f>
        <v>-1722624</v>
      </c>
      <c r="G75" s="372">
        <f>Input!$OV$14</f>
        <v>-37558737</v>
      </c>
      <c r="H75" s="372">
        <f>Input!$OW$14</f>
        <v>-49243</v>
      </c>
      <c r="I75" s="372">
        <f>Input!$OX$14</f>
        <v>14750576</v>
      </c>
      <c r="J75" s="372">
        <f>Input!$OY$14</f>
        <v>145888168</v>
      </c>
      <c r="K75" s="372">
        <f>Input!$OZ$14</f>
        <v>0</v>
      </c>
      <c r="L75" s="372">
        <f>Input!$PA$14</f>
        <v>0</v>
      </c>
      <c r="M75" s="373">
        <f>D75+E75+F75+G75+H75+I75+J75+K75+L75</f>
        <v>-16981815</v>
      </c>
      <c r="N75" s="160"/>
      <c r="O75" s="1723" t="str">
        <f>IF(M85&lt;0,"Footnote 11 is N/A - No Data Entry Required","Footnote 11")</f>
        <v>Footnote 11</v>
      </c>
      <c r="P75" s="1724"/>
      <c r="Q75" s="1724"/>
      <c r="R75" s="1725"/>
      <c r="S75" s="330"/>
      <c r="T75" s="330"/>
      <c r="U75" s="327"/>
      <c r="V75" s="276"/>
      <c r="W75" s="331"/>
      <c r="X75" s="331"/>
      <c r="Y75" s="328"/>
      <c r="Z75" s="328"/>
      <c r="AA75" s="276"/>
      <c r="AB75" s="276" t="s">
        <v>293</v>
      </c>
    </row>
    <row r="76" spans="1:28" ht="13.5" thickTop="1">
      <c r="A76" s="184">
        <v>59</v>
      </c>
      <c r="B76" s="160" t="s">
        <v>45</v>
      </c>
      <c r="C76" s="160"/>
      <c r="D76" s="372">
        <f>Input!$PB$14</f>
        <v>0</v>
      </c>
      <c r="E76" s="372">
        <f>Input!$PC$14</f>
        <v>0</v>
      </c>
      <c r="F76" s="372">
        <f>Input!$PD$14</f>
        <v>0</v>
      </c>
      <c r="G76" s="372">
        <f>Input!$PE$14</f>
        <v>0</v>
      </c>
      <c r="H76" s="372">
        <f>Input!$PF$14</f>
        <v>0</v>
      </c>
      <c r="I76" s="372">
        <f>Input!$PG$14</f>
        <v>0</v>
      </c>
      <c r="J76" s="372">
        <f>Input!$PH$14</f>
        <v>0</v>
      </c>
      <c r="K76" s="372">
        <f>Input!$PI$14</f>
        <v>0</v>
      </c>
      <c r="L76" s="372">
        <f>Input!$PJ$14</f>
        <v>0</v>
      </c>
      <c r="M76" s="373">
        <f>D76+E76+F76+G76+H76+I76+J76+K76+L76</f>
        <v>0</v>
      </c>
      <c r="N76" s="160"/>
      <c r="O76" s="487" t="s">
        <v>583</v>
      </c>
      <c r="P76" s="488"/>
      <c r="Q76" s="489"/>
      <c r="R76" s="490">
        <f>IF($M$85&lt;0,"N/A",$M$85)</f>
        <v>565128231</v>
      </c>
      <c r="S76" s="330"/>
      <c r="T76" s="330"/>
      <c r="U76" s="327"/>
      <c r="V76" s="276"/>
      <c r="W76" s="331"/>
      <c r="X76" s="331"/>
      <c r="Y76" s="331"/>
      <c r="Z76" s="331"/>
      <c r="AA76" s="276"/>
      <c r="AB76" s="276"/>
    </row>
    <row r="77" spans="1:28">
      <c r="A77" s="184">
        <v>60</v>
      </c>
      <c r="B77" s="160" t="s">
        <v>46</v>
      </c>
      <c r="C77" s="160"/>
      <c r="D77" s="372">
        <f>Input!$PK$14</f>
        <v>-8267586</v>
      </c>
      <c r="E77" s="372">
        <f>Input!$PL$14</f>
        <v>-25813650</v>
      </c>
      <c r="F77" s="372">
        <f>Input!$PM$14</f>
        <v>-62154887</v>
      </c>
      <c r="G77" s="372">
        <f>Input!$PN$14</f>
        <v>-7363854</v>
      </c>
      <c r="H77" s="372">
        <f>Input!$PO$14</f>
        <v>0</v>
      </c>
      <c r="I77" s="372">
        <f>Input!$PP$14</f>
        <v>0</v>
      </c>
      <c r="J77" s="372">
        <f>Input!$PQ$14</f>
        <v>-15230483</v>
      </c>
      <c r="K77" s="372">
        <f>Input!$PR$14</f>
        <v>0</v>
      </c>
      <c r="L77" s="372">
        <f>Input!$PS$14</f>
        <v>0</v>
      </c>
      <c r="M77" s="373">
        <f>D77+E77+F77+G77+H77+I77+J77+K77+L77</f>
        <v>-118830460</v>
      </c>
      <c r="N77" s="160"/>
      <c r="O77" s="491" t="s">
        <v>584</v>
      </c>
      <c r="P77" s="334"/>
      <c r="Q77" s="334"/>
      <c r="R77" s="521">
        <f>Input!$UB$14</f>
        <v>245444541</v>
      </c>
      <c r="S77" s="330"/>
      <c r="T77" s="330"/>
      <c r="U77" s="327"/>
      <c r="V77" s="276"/>
      <c r="W77" s="331"/>
      <c r="X77" s="331"/>
      <c r="Y77" s="331"/>
      <c r="Z77" s="331"/>
      <c r="AA77" s="276"/>
      <c r="AB77" s="276"/>
    </row>
    <row r="78" spans="1:28">
      <c r="A78" s="184">
        <v>61</v>
      </c>
      <c r="B78" s="162" t="s">
        <v>3</v>
      </c>
      <c r="C78" s="162"/>
      <c r="D78" s="374">
        <f t="shared" ref="D78:L78" si="20">SUM(D74:D77)</f>
        <v>-11092981</v>
      </c>
      <c r="E78" s="374">
        <f t="shared" si="20"/>
        <v>-161278210</v>
      </c>
      <c r="F78" s="374">
        <f t="shared" si="20"/>
        <v>-63877511</v>
      </c>
      <c r="G78" s="374">
        <f t="shared" si="20"/>
        <v>-44922591</v>
      </c>
      <c r="H78" s="374">
        <f t="shared" si="20"/>
        <v>-49243</v>
      </c>
      <c r="I78" s="374">
        <f t="shared" si="20"/>
        <v>14750576</v>
      </c>
      <c r="J78" s="374">
        <f t="shared" si="20"/>
        <v>73178710</v>
      </c>
      <c r="K78" s="374">
        <f t="shared" si="20"/>
        <v>0</v>
      </c>
      <c r="L78" s="374">
        <f t="shared" si="20"/>
        <v>0</v>
      </c>
      <c r="M78" s="374">
        <f>D78+E78+F78+G78+H78+I78+J78+K78+L78</f>
        <v>-193291250</v>
      </c>
      <c r="N78" s="160"/>
      <c r="O78" s="491" t="s">
        <v>585</v>
      </c>
      <c r="P78" s="276"/>
      <c r="Q78" s="334"/>
      <c r="R78" s="492">
        <f>IF($M$85&lt;0,"",$R$76-$R$77)</f>
        <v>319683690</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3"/>
      <c r="P79" s="276"/>
      <c r="Q79" s="334"/>
      <c r="R79" s="494"/>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5" t="s">
        <v>586</v>
      </c>
      <c r="P80" s="276"/>
      <c r="Q80" s="334"/>
      <c r="R80" s="521">
        <f>Input!$UC$14</f>
        <v>319531519</v>
      </c>
      <c r="S80" s="330"/>
      <c r="T80" s="330"/>
      <c r="U80" s="334"/>
      <c r="V80" s="276"/>
      <c r="W80" s="328"/>
      <c r="X80" s="328"/>
      <c r="Y80" s="331"/>
      <c r="Z80" s="331"/>
      <c r="AA80" s="276"/>
      <c r="AB80" s="276"/>
    </row>
    <row r="81" spans="1:28">
      <c r="A81" s="184">
        <v>64</v>
      </c>
      <c r="B81" s="160" t="s">
        <v>47</v>
      </c>
      <c r="C81" s="160"/>
      <c r="D81" s="372">
        <f>Input!$PT$14</f>
        <v>0</v>
      </c>
      <c r="E81" s="372">
        <f>Input!$PU$14</f>
        <v>236540171</v>
      </c>
      <c r="F81" s="372">
        <f>Input!$PV$14</f>
        <v>0</v>
      </c>
      <c r="G81" s="372">
        <f>Input!$PW$14</f>
        <v>0</v>
      </c>
      <c r="H81" s="372">
        <f>Input!$PX$14</f>
        <v>0</v>
      </c>
      <c r="I81" s="372">
        <f>Input!$PY$14</f>
        <v>82991348</v>
      </c>
      <c r="J81" s="372">
        <f>Input!$PZ$14</f>
        <v>0</v>
      </c>
      <c r="K81" s="372">
        <f>Input!$QA$14</f>
        <v>0</v>
      </c>
      <c r="L81" s="372">
        <f>Input!$QB$14</f>
        <v>0</v>
      </c>
      <c r="M81" s="373">
        <f>D81+E81+F81+G81+H81+I81+J81+K81+L81</f>
        <v>319531519</v>
      </c>
      <c r="N81" s="160"/>
      <c r="O81" s="496" t="s">
        <v>587</v>
      </c>
      <c r="P81" s="276"/>
      <c r="Q81" s="276"/>
      <c r="R81" s="497"/>
      <c r="S81" s="330"/>
      <c r="T81" s="330"/>
      <c r="W81" s="276"/>
      <c r="X81" s="276"/>
      <c r="Y81" s="331"/>
      <c r="Z81" s="331"/>
      <c r="AA81" s="276"/>
      <c r="AB81" s="276"/>
    </row>
    <row r="82" spans="1:28">
      <c r="A82" s="184">
        <v>65</v>
      </c>
      <c r="B82" s="160" t="s">
        <v>48</v>
      </c>
      <c r="C82" s="160"/>
      <c r="D82" s="372">
        <f>Input!$QC$14</f>
        <v>0</v>
      </c>
      <c r="E82" s="372">
        <f>Input!$QD$14</f>
        <v>0</v>
      </c>
      <c r="F82" s="372">
        <f>Input!$QE$14</f>
        <v>0</v>
      </c>
      <c r="G82" s="372">
        <f>Input!$QF$14</f>
        <v>0</v>
      </c>
      <c r="H82" s="372">
        <f>Input!$QG$14</f>
        <v>0</v>
      </c>
      <c r="I82" s="372">
        <f>Input!$QH$14</f>
        <v>152174</v>
      </c>
      <c r="J82" s="372">
        <f>Input!$QI$14</f>
        <v>0</v>
      </c>
      <c r="K82" s="372">
        <f>Input!$QJ$14</f>
        <v>0</v>
      </c>
      <c r="L82" s="372">
        <f>Input!$QK$14</f>
        <v>0</v>
      </c>
      <c r="M82" s="373">
        <f>D82+E82+F82+G82+H82+I82+J82+K82+L82</f>
        <v>152174</v>
      </c>
      <c r="N82" s="160"/>
      <c r="O82" s="498" t="s">
        <v>588</v>
      </c>
      <c r="P82" s="276"/>
      <c r="Q82" s="276"/>
      <c r="R82" s="492">
        <f>IFERROR($R$78-$R$80,"")</f>
        <v>152171</v>
      </c>
      <c r="Y82" s="331"/>
      <c r="Z82" s="401"/>
      <c r="AA82" s="268"/>
      <c r="AB82" s="268"/>
    </row>
    <row r="83" spans="1:28">
      <c r="A83" s="184">
        <v>66</v>
      </c>
      <c r="B83" s="162" t="s">
        <v>3</v>
      </c>
      <c r="C83" s="162"/>
      <c r="D83" s="374">
        <f t="shared" ref="D83:L83" si="21">SUM(D81:D82)</f>
        <v>0</v>
      </c>
      <c r="E83" s="374">
        <f t="shared" si="21"/>
        <v>236540171</v>
      </c>
      <c r="F83" s="374">
        <f t="shared" si="21"/>
        <v>0</v>
      </c>
      <c r="G83" s="374">
        <f t="shared" si="21"/>
        <v>0</v>
      </c>
      <c r="H83" s="374">
        <f t="shared" si="21"/>
        <v>0</v>
      </c>
      <c r="I83" s="374">
        <f t="shared" si="21"/>
        <v>83143522</v>
      </c>
      <c r="J83" s="374">
        <f t="shared" si="21"/>
        <v>0</v>
      </c>
      <c r="K83" s="374">
        <f t="shared" si="21"/>
        <v>0</v>
      </c>
      <c r="L83" s="374">
        <f t="shared" si="21"/>
        <v>0</v>
      </c>
      <c r="M83" s="374">
        <f>D83+E83+F83+G83+H83+I83+J83+K83+L83</f>
        <v>319683693</v>
      </c>
      <c r="N83" s="160"/>
      <c r="O83" s="493"/>
      <c r="P83" s="276"/>
      <c r="Q83" s="276"/>
      <c r="R83" s="497"/>
      <c r="Y83" s="163"/>
      <c r="Z83" s="447"/>
      <c r="AA83" s="439"/>
      <c r="AB83" s="448"/>
    </row>
    <row r="84" spans="1:28" ht="13.5" thickBot="1">
      <c r="A84" s="184">
        <v>67</v>
      </c>
      <c r="B84" s="160"/>
      <c r="C84" s="160"/>
      <c r="D84" s="373"/>
      <c r="E84" s="373"/>
      <c r="F84" s="373"/>
      <c r="G84" s="373"/>
      <c r="H84" s="373"/>
      <c r="I84" s="373"/>
      <c r="J84" s="373"/>
      <c r="K84" s="373"/>
      <c r="L84" s="373"/>
      <c r="M84" s="373"/>
      <c r="N84" s="160"/>
      <c r="O84" s="499" t="s">
        <v>589</v>
      </c>
      <c r="P84" s="500"/>
      <c r="Q84" s="500"/>
      <c r="R84" s="501">
        <f>IFERROR((R82+R80)-R78,"")</f>
        <v>0</v>
      </c>
      <c r="Y84" s="268"/>
      <c r="Z84" s="447"/>
      <c r="AA84" s="439"/>
      <c r="AB84" s="449"/>
    </row>
    <row r="85" spans="1:28" ht="13.5" thickTop="1">
      <c r="A85" s="184">
        <v>68</v>
      </c>
      <c r="B85" s="162" t="s">
        <v>574</v>
      </c>
      <c r="C85" s="162"/>
      <c r="D85" s="374">
        <f t="shared" ref="D85:L85" si="22">D57-D71+D78+D83</f>
        <v>21621093</v>
      </c>
      <c r="E85" s="374">
        <f t="shared" si="22"/>
        <v>400832933</v>
      </c>
      <c r="F85" s="374">
        <f t="shared" si="22"/>
        <v>-21092132</v>
      </c>
      <c r="G85" s="374">
        <f t="shared" si="22"/>
        <v>29638450</v>
      </c>
      <c r="H85" s="374">
        <f t="shared" si="22"/>
        <v>-3655401</v>
      </c>
      <c r="I85" s="374">
        <f t="shared" si="22"/>
        <v>97922959</v>
      </c>
      <c r="J85" s="374">
        <f t="shared" si="22"/>
        <v>36369788</v>
      </c>
      <c r="K85" s="374">
        <f t="shared" si="22"/>
        <v>0</v>
      </c>
      <c r="L85" s="374">
        <f t="shared" si="22"/>
        <v>3490541</v>
      </c>
      <c r="M85" s="374">
        <f>D85+E85+F85+G85+H85+I85+J85+K85+L85</f>
        <v>565128231</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Input!$QL$14</f>
        <v>0</v>
      </c>
      <c r="E87" s="372">
        <f>Input!$QM$14</f>
        <v>0</v>
      </c>
      <c r="F87" s="372">
        <f>Input!$QN$14</f>
        <v>0</v>
      </c>
      <c r="G87" s="372">
        <f>Input!$QO$14</f>
        <v>0</v>
      </c>
      <c r="H87" s="372">
        <f>Input!$QP$14</f>
        <v>0</v>
      </c>
      <c r="I87" s="372">
        <f>Input!$QQ$14</f>
        <v>0</v>
      </c>
      <c r="J87" s="372">
        <f>Input!$QR$14</f>
        <v>0</v>
      </c>
      <c r="K87" s="372">
        <f>Input!$QS$14</f>
        <v>0</v>
      </c>
      <c r="L87" s="372">
        <f>Input!$QT$14</f>
        <v>0</v>
      </c>
      <c r="M87" s="329">
        <f>D87+E87+F87+G87+H87+I87+J87+K87+L87</f>
        <v>0</v>
      </c>
      <c r="N87" s="160"/>
      <c r="Y87" s="268"/>
      <c r="Z87" s="447"/>
      <c r="AA87" s="439"/>
      <c r="AB87" s="449"/>
    </row>
    <row r="88" spans="1:28">
      <c r="A88" s="184">
        <v>72</v>
      </c>
      <c r="B88" s="160" t="s">
        <v>66</v>
      </c>
      <c r="C88" s="160"/>
      <c r="D88" s="372">
        <f>Input!$QU$14</f>
        <v>0</v>
      </c>
      <c r="E88" s="372">
        <f>Input!$QV$14</f>
        <v>0</v>
      </c>
      <c r="F88" s="372">
        <f>Input!$QW$14</f>
        <v>0</v>
      </c>
      <c r="G88" s="372">
        <f>Input!$QX$14</f>
        <v>0</v>
      </c>
      <c r="H88" s="372">
        <f>Input!$QY$14</f>
        <v>0</v>
      </c>
      <c r="I88" s="372">
        <f>Input!$QZ$14</f>
        <v>0</v>
      </c>
      <c r="J88" s="372">
        <f>Input!$RA$14</f>
        <v>0</v>
      </c>
      <c r="K88" s="372">
        <f>Input!$RB$14</f>
        <v>0</v>
      </c>
      <c r="L88" s="372">
        <f>Input!$RC$14</f>
        <v>-229375492</v>
      </c>
      <c r="M88" s="373">
        <f>D88+E88+F88+G88+H88+I88+J88+K88+L88</f>
        <v>-229375492</v>
      </c>
      <c r="N88" s="160"/>
      <c r="O88" s="270"/>
      <c r="P88" s="335"/>
      <c r="Y88" s="268"/>
      <c r="Z88" s="447"/>
      <c r="AA88" s="439"/>
      <c r="AB88" s="449"/>
    </row>
    <row r="89" spans="1:28" s="264" customFormat="1">
      <c r="A89" s="263"/>
      <c r="B89" s="171" t="s">
        <v>216</v>
      </c>
      <c r="C89" s="171"/>
      <c r="D89" s="372">
        <f>Input!$RD$14</f>
        <v>0</v>
      </c>
      <c r="E89" s="372">
        <f>Input!$RE$14</f>
        <v>0</v>
      </c>
      <c r="F89" s="372">
        <f>Input!$RF$14</f>
        <v>0</v>
      </c>
      <c r="G89" s="372">
        <f>Input!$RG$14</f>
        <v>0</v>
      </c>
      <c r="H89" s="372">
        <f>Input!$RH$14</f>
        <v>0</v>
      </c>
      <c r="I89" s="372">
        <f>Input!$RI$14</f>
        <v>0</v>
      </c>
      <c r="J89" s="372">
        <f>Input!$RJ$14</f>
        <v>0</v>
      </c>
      <c r="K89" s="372">
        <f>Input!$RK$14</f>
        <v>0</v>
      </c>
      <c r="L89" s="372">
        <f>Input!$RL$14</f>
        <v>141929619</v>
      </c>
      <c r="M89" s="373">
        <f t="shared" ref="M89:M91" si="23">D89+E89+F89+G89+H89+I89+J89+K89+L89</f>
        <v>141929619</v>
      </c>
      <c r="N89" s="160"/>
      <c r="O89" s="1726" t="s">
        <v>1355</v>
      </c>
      <c r="P89" s="1727"/>
      <c r="Q89" s="1727"/>
      <c r="R89" s="1727"/>
      <c r="S89" s="1727"/>
      <c r="T89" s="1727"/>
      <c r="U89" s="1728"/>
      <c r="Y89" s="268"/>
      <c r="Z89" s="447"/>
      <c r="AA89" s="439"/>
      <c r="AB89" s="449"/>
    </row>
    <row r="90" spans="1:28" s="264" customFormat="1">
      <c r="A90" s="263"/>
      <c r="B90" s="171" t="s">
        <v>105</v>
      </c>
      <c r="C90" s="171"/>
      <c r="D90" s="372">
        <f>Input!$RM$14</f>
        <v>0</v>
      </c>
      <c r="E90" s="372">
        <f>Input!$RN$14</f>
        <v>0</v>
      </c>
      <c r="F90" s="372">
        <f>Input!$RO$14</f>
        <v>0</v>
      </c>
      <c r="G90" s="372">
        <f>Input!$RP$14</f>
        <v>0</v>
      </c>
      <c r="H90" s="372">
        <f>Input!$RQ$14</f>
        <v>0</v>
      </c>
      <c r="I90" s="372">
        <f>Input!$RR$14</f>
        <v>0</v>
      </c>
      <c r="J90" s="372">
        <f>Input!$RS$14</f>
        <v>0</v>
      </c>
      <c r="K90" s="372">
        <f>Input!$RT$14</f>
        <v>0</v>
      </c>
      <c r="L90" s="372">
        <f>Input!$RU$14</f>
        <v>0</v>
      </c>
      <c r="M90" s="373">
        <f t="shared" si="23"/>
        <v>0</v>
      </c>
      <c r="N90" s="160"/>
      <c r="O90" s="502" t="s">
        <v>590</v>
      </c>
      <c r="P90" s="423"/>
      <c r="Q90" s="502" t="s">
        <v>591</v>
      </c>
      <c r="R90" s="423"/>
      <c r="S90" s="503"/>
      <c r="T90" s="502" t="s">
        <v>592</v>
      </c>
      <c r="U90" s="423"/>
      <c r="Y90" s="268"/>
      <c r="Z90" s="447"/>
      <c r="AA90" s="439"/>
      <c r="AB90" s="449"/>
    </row>
    <row r="91" spans="1:28" s="264" customFormat="1">
      <c r="A91" s="263"/>
      <c r="B91" s="171" t="s">
        <v>128</v>
      </c>
      <c r="C91" s="171"/>
      <c r="D91" s="372">
        <f>Input!$RV$14</f>
        <v>0</v>
      </c>
      <c r="E91" s="372">
        <f>Input!$RW$14</f>
        <v>0</v>
      </c>
      <c r="F91" s="372">
        <f>Input!$RX$14</f>
        <v>0</v>
      </c>
      <c r="G91" s="372">
        <f>Input!$RY$14</f>
        <v>0</v>
      </c>
      <c r="H91" s="372">
        <f>Input!$RZ$14</f>
        <v>0</v>
      </c>
      <c r="I91" s="372">
        <f>Input!$SA$14</f>
        <v>0</v>
      </c>
      <c r="J91" s="372">
        <f>Input!$SB$14</f>
        <v>0</v>
      </c>
      <c r="K91" s="372">
        <f>Input!$SC$14</f>
        <v>0</v>
      </c>
      <c r="L91" s="372">
        <f>Input!$SD$14</f>
        <v>10493456</v>
      </c>
      <c r="M91" s="373">
        <f t="shared" si="23"/>
        <v>10493456</v>
      </c>
      <c r="N91" s="160"/>
      <c r="O91" s="504"/>
      <c r="P91" s="505"/>
      <c r="Q91" s="504"/>
      <c r="R91" s="426"/>
      <c r="S91" s="276"/>
      <c r="T91" s="506"/>
      <c r="U91" s="426"/>
      <c r="Y91" s="268"/>
      <c r="Z91" s="447"/>
      <c r="AA91" s="439"/>
      <c r="AB91" s="449"/>
    </row>
    <row r="92" spans="1:28" s="264" customFormat="1">
      <c r="A92" s="263"/>
      <c r="B92" s="160" t="s">
        <v>67</v>
      </c>
      <c r="C92" s="160"/>
      <c r="D92" s="372">
        <f>Input!$SE$14</f>
        <v>368127</v>
      </c>
      <c r="E92" s="372">
        <f>Input!$SF$14</f>
        <v>36167284</v>
      </c>
      <c r="F92" s="372">
        <f>Input!$SG$14</f>
        <v>6100660</v>
      </c>
      <c r="G92" s="372">
        <f>Input!$SH$14</f>
        <v>7561279</v>
      </c>
      <c r="H92" s="372">
        <f>Input!$SI$14</f>
        <v>0</v>
      </c>
      <c r="I92" s="372">
        <f>Input!$SJ$14</f>
        <v>0</v>
      </c>
      <c r="J92" s="372">
        <f>Input!$SK$14</f>
        <v>57478975</v>
      </c>
      <c r="K92" s="372">
        <f>Input!$SL$14</f>
        <v>0</v>
      </c>
      <c r="L92" s="372">
        <f>Input!$SM$14</f>
        <v>0</v>
      </c>
      <c r="M92" s="373">
        <f>D92+E92+F92+G92+H92+I92+J92+K92+L92</f>
        <v>107676325</v>
      </c>
      <c r="N92" s="160"/>
      <c r="O92" s="1729" t="str">
        <f>Input!UF$14</f>
        <v>Chris Arrington</v>
      </c>
      <c r="P92" s="1730"/>
      <c r="Q92" s="1729" t="str">
        <f>Input!$UG$14</f>
        <v>979-458-9151</v>
      </c>
      <c r="R92" s="1730"/>
      <c r="S92" s="276"/>
      <c r="T92" s="1731" t="str">
        <f>HYPERLINK("Mailto:"&amp;Input!$UH$14,Input!$UH$14)</f>
        <v>carrington@tamus.edu</v>
      </c>
      <c r="U92" s="1730"/>
      <c r="Y92" s="268"/>
      <c r="Z92" s="447"/>
      <c r="AA92" s="442"/>
      <c r="AB92" s="449"/>
    </row>
    <row r="93" spans="1:28" ht="13.5" thickBot="1">
      <c r="B93" s="179" t="s">
        <v>58</v>
      </c>
      <c r="C93" s="179"/>
      <c r="D93" s="380">
        <f t="shared" ref="D93:K93" si="24">SUM(D85:D92)</f>
        <v>21989220</v>
      </c>
      <c r="E93" s="380">
        <f t="shared" si="24"/>
        <v>437000217</v>
      </c>
      <c r="F93" s="380">
        <f t="shared" si="24"/>
        <v>-14991472</v>
      </c>
      <c r="G93" s="380">
        <f t="shared" si="24"/>
        <v>37199729</v>
      </c>
      <c r="H93" s="380">
        <f t="shared" si="24"/>
        <v>-3655401</v>
      </c>
      <c r="I93" s="380">
        <f t="shared" si="24"/>
        <v>97922959</v>
      </c>
      <c r="J93" s="380">
        <f t="shared" si="24"/>
        <v>93848763</v>
      </c>
      <c r="K93" s="380">
        <f t="shared" si="24"/>
        <v>0</v>
      </c>
      <c r="L93" s="380">
        <f>SUM(L85:L92)</f>
        <v>-73461876</v>
      </c>
      <c r="M93" s="380">
        <f>D93+E93+F93+G93+H93+I93+J93+K93+L93</f>
        <v>595852139</v>
      </c>
      <c r="N93" s="160"/>
      <c r="O93" s="506"/>
      <c r="P93" s="507"/>
      <c r="Q93" s="276"/>
      <c r="R93" s="276"/>
      <c r="S93" s="276"/>
      <c r="T93" s="507"/>
      <c r="U93" s="508"/>
      <c r="Y93" s="268"/>
      <c r="Z93" s="447"/>
      <c r="AA93" s="442"/>
      <c r="AB93" s="449"/>
    </row>
    <row r="94" spans="1:28" ht="13.5" thickTop="1">
      <c r="C94" s="160"/>
      <c r="D94" s="165"/>
      <c r="E94" s="165"/>
      <c r="F94" s="165"/>
      <c r="G94" s="165"/>
      <c r="H94" s="165"/>
      <c r="I94" s="165"/>
      <c r="J94" s="165"/>
      <c r="K94" s="165"/>
      <c r="L94" s="165"/>
      <c r="M94" s="180"/>
      <c r="N94" s="160"/>
      <c r="O94" s="1720" t="s">
        <v>593</v>
      </c>
      <c r="P94" s="1721"/>
      <c r="Q94" s="1721"/>
      <c r="R94" s="1721"/>
      <c r="S94" s="1721"/>
      <c r="T94" s="1721"/>
      <c r="U94" s="1722"/>
      <c r="Y94" s="268"/>
      <c r="Z94" s="451"/>
      <c r="AA94" s="442"/>
      <c r="AB94" s="449"/>
    </row>
    <row r="95" spans="1:28">
      <c r="B95" s="171" t="s">
        <v>1369</v>
      </c>
      <c r="C95" s="169"/>
      <c r="D95" s="165"/>
      <c r="E95" s="165"/>
      <c r="F95" s="165"/>
      <c r="G95" s="165"/>
      <c r="H95" s="165"/>
      <c r="I95" s="165"/>
      <c r="J95" s="165"/>
      <c r="K95" s="165"/>
      <c r="L95" s="165"/>
      <c r="M95" s="180"/>
      <c r="N95" s="160"/>
      <c r="O95" s="1720"/>
      <c r="P95" s="1721"/>
      <c r="Q95" s="1721"/>
      <c r="R95" s="1721"/>
      <c r="S95" s="1721"/>
      <c r="T95" s="1721"/>
      <c r="U95" s="1722"/>
      <c r="Y95" s="268"/>
      <c r="Z95" s="452"/>
      <c r="AA95" s="453"/>
      <c r="AB95" s="454"/>
    </row>
    <row r="96" spans="1:28">
      <c r="B96" s="169" t="s">
        <v>80</v>
      </c>
      <c r="C96" s="160"/>
      <c r="D96" s="165"/>
      <c r="E96" s="165"/>
      <c r="F96" s="165"/>
      <c r="G96" s="165"/>
      <c r="H96" s="165"/>
      <c r="I96" s="165"/>
      <c r="J96" s="165"/>
      <c r="K96" s="165"/>
      <c r="L96" s="165"/>
      <c r="M96" s="180"/>
      <c r="N96" s="160"/>
      <c r="O96" s="509"/>
      <c r="P96" s="510"/>
      <c r="Q96" s="511"/>
      <c r="R96" s="511"/>
      <c r="S96" s="511"/>
      <c r="T96" s="510"/>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Input!$SN$14</f>
        <v>595852139</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3" t="str">
        <f>IF($L$118&lt;&gt;Input!$F$14,"Out of Balance","Balanced")</f>
        <v>Balanced</v>
      </c>
      <c r="M102" s="517"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1194857479</v>
      </c>
      <c r="E105" s="373">
        <f>SUM($E$10:$E$14)+SUM($E$19:$E$28)+SUM($E$32:$E$41)+$E$47+SUM($E$50:$E$55)+SUM($E$60:$E$70)+SUM($E$74:$E$77)+SUM($E$81:$E$82)+SUM($E$87:$E$92)</f>
        <v>1769757839</v>
      </c>
      <c r="F105" s="373">
        <f>SUM($F$10:$F$14)+SUM($F$19:$F$28)+SUM($F$32:$F$41)+$F$47+SUM($F$50:$F$55)+SUM($F$60:$F$70)+SUM($F$74:$F$77)+SUM($F$81:$F$82)+SUM($F$87:$F$92)</f>
        <v>413678334</v>
      </c>
      <c r="G105" s="373">
        <f>SUM($G$10:$G$14)+SUM($G$19:$G$28)+SUM($G$32:$G$41)+$G$47+SUM($G$50:$G$55)+SUM($G$60:$G$70)+SUM($G$74:$G$77)+SUM($G$81:$G$82)+SUM($G$87:$G$92)</f>
        <v>703382461</v>
      </c>
      <c r="H105" s="373">
        <f>SUM($H$10:$H$14)+SUM($H$19:$H$28)+SUM($H$32:$H$41)+$H$47+SUM($H$50:$H$55)+SUM($H$60:$H$70)+SUM($H$74:$H$77)+SUM($H$81:$H$82)+SUM($H$87:$H$92)</f>
        <v>6631375</v>
      </c>
      <c r="I105" s="373">
        <f>SUM($I$10:$I$14)+SUM($I$19:$I$28)+SUM($I$32:$I$41)+$I$47+SUM($I$50:$I$55)+SUM($I$60:$I$70)+SUM($I$74:$I$77)+SUM($I$81:$I$82)+SUM($I$87:$I$92)</f>
        <v>97962841</v>
      </c>
      <c r="J105" s="373">
        <f>SUM($J$10:$J$14)+SUM($J$19:$J$28)+SUM($J$32:$J$41)+$J$47+SUM($J$50:$J$55)+SUM($J$60:$J$70)+SUM($J$74:$J$77)+SUM($J$81:$J$82)+SUM($J$87:$J$92)</f>
        <v>169740679</v>
      </c>
      <c r="K105" s="373">
        <f>SUM($K$10:$K$14)+SUM($K$19:$K$28)+SUM($K$32:$K$41)+$K$47+SUM($K$50:$K$55)+SUM($K$60:$K$70)+SUM($K$74:$K$77)+SUM($K$81:$K$82)+SUM($K$87:$K$92)</f>
        <v>0</v>
      </c>
      <c r="L105" s="373">
        <f>SUM($L$10:$L$14)+SUM($L$19:$L$28)+SUM($L$32:$L$41)+$L$47+SUM($L$50:$L$55)+SUM($L$60:$L$70)+SUM($L$74:$L$77)+SUM($L$81:$L$82)+SUM($L$87:$L$92)</f>
        <v>-51192132</v>
      </c>
      <c r="M105" s="373"/>
      <c r="N105" s="264"/>
      <c r="O105" s="373"/>
      <c r="P105" s="450">
        <f>M18-INT(M18)</f>
        <v>0</v>
      </c>
    </row>
    <row r="106" spans="2:28">
      <c r="B106" s="261"/>
      <c r="C106" s="261"/>
      <c r="D106" s="261"/>
      <c r="E106" s="261"/>
      <c r="F106" s="261"/>
      <c r="G106" s="261"/>
      <c r="H106" s="261"/>
      <c r="I106" s="261"/>
      <c r="J106" s="261"/>
      <c r="K106" s="261"/>
      <c r="L106" s="373">
        <f>SUM($D$105:$L$105)</f>
        <v>4304818876</v>
      </c>
      <c r="M106" s="261"/>
      <c r="N106" s="264"/>
      <c r="O106" s="373"/>
      <c r="P106" s="450">
        <f>M31-INT(M31)</f>
        <v>0</v>
      </c>
    </row>
    <row r="107" spans="2:28">
      <c r="B107" s="261"/>
      <c r="C107" s="261"/>
      <c r="D107" s="261"/>
      <c r="E107" s="261"/>
      <c r="F107" s="261"/>
      <c r="G107" s="261"/>
      <c r="H107" s="261"/>
      <c r="I107" s="261"/>
      <c r="J107" s="261" t="s">
        <v>1299</v>
      </c>
      <c r="K107" s="261"/>
      <c r="L107" s="373">
        <f>$M$100</f>
        <v>595852139</v>
      </c>
      <c r="M107" s="261"/>
      <c r="N107" s="264"/>
      <c r="O107" s="373"/>
      <c r="P107" s="450">
        <f>M93-INT(M93)</f>
        <v>0</v>
      </c>
    </row>
    <row r="108" spans="2:28">
      <c r="B108" s="261"/>
      <c r="C108" s="261"/>
      <c r="D108" s="261"/>
      <c r="E108" s="261"/>
      <c r="F108" s="261"/>
      <c r="G108" s="261"/>
      <c r="H108" s="261"/>
      <c r="I108" s="261"/>
      <c r="J108" s="261" t="s">
        <v>1300</v>
      </c>
      <c r="K108" s="261"/>
      <c r="L108" s="512">
        <f>$Q$32</f>
        <v>873488945</v>
      </c>
      <c r="M108" s="261"/>
      <c r="N108" s="264"/>
      <c r="O108" s="373"/>
    </row>
    <row r="109" spans="2:28">
      <c r="B109" s="261"/>
      <c r="C109" s="261"/>
      <c r="D109" s="261"/>
      <c r="E109" s="261"/>
      <c r="F109" s="261"/>
      <c r="G109" s="261"/>
      <c r="H109" s="261"/>
      <c r="I109" s="261"/>
      <c r="J109" s="261" t="s">
        <v>1300</v>
      </c>
      <c r="K109" s="261"/>
      <c r="L109" s="512">
        <f>$R$34</f>
        <v>-193858077</v>
      </c>
      <c r="M109" s="261"/>
      <c r="N109" s="264"/>
      <c r="O109" s="373"/>
    </row>
    <row r="110" spans="2:28">
      <c r="B110" s="261"/>
      <c r="C110" s="261"/>
      <c r="D110" s="261"/>
      <c r="E110" s="261"/>
      <c r="F110" s="261"/>
      <c r="G110" s="261"/>
      <c r="H110" s="261"/>
      <c r="I110" s="261"/>
      <c r="J110" s="261" t="s">
        <v>29</v>
      </c>
      <c r="K110" s="261"/>
      <c r="L110" s="512">
        <f>SUM($P$60:$P$68)</f>
        <v>48790007</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2">
        <f>SUM($V$60:$V$67)</f>
        <v>4067466</v>
      </c>
      <c r="M112" s="261"/>
      <c r="N112" s="264"/>
      <c r="O112" s="373"/>
    </row>
    <row r="113" spans="2:15">
      <c r="B113" s="261"/>
      <c r="C113" s="261"/>
      <c r="D113" s="261"/>
      <c r="E113" s="261"/>
      <c r="F113" s="261"/>
      <c r="G113" s="261"/>
      <c r="H113" s="261"/>
      <c r="I113" s="261"/>
      <c r="J113" s="261" t="s">
        <v>596</v>
      </c>
      <c r="K113" s="261"/>
      <c r="L113" s="512">
        <f>SUM($W$60:$W$67)</f>
        <v>0</v>
      </c>
      <c r="M113" s="261"/>
      <c r="N113" s="264"/>
      <c r="O113" s="373"/>
    </row>
    <row r="114" spans="2:15">
      <c r="B114" s="261"/>
      <c r="C114" s="261"/>
      <c r="D114" s="261"/>
      <c r="E114" s="261"/>
      <c r="F114" s="261"/>
      <c r="G114" s="261"/>
      <c r="H114" s="261"/>
      <c r="I114" s="261"/>
      <c r="J114" s="261" t="s">
        <v>258</v>
      </c>
      <c r="K114" s="261"/>
      <c r="L114" s="512">
        <f>SUM($AA$60:$AA$68)</f>
        <v>1797407593</v>
      </c>
      <c r="M114" s="261"/>
      <c r="N114" s="264"/>
      <c r="O114" s="373"/>
    </row>
    <row r="115" spans="2:15">
      <c r="B115" s="261"/>
      <c r="C115" s="261"/>
      <c r="D115" s="261"/>
      <c r="E115" s="261"/>
      <c r="F115" s="261"/>
      <c r="G115" s="261"/>
      <c r="H115" s="261"/>
      <c r="I115" s="261"/>
      <c r="J115" s="261" t="s">
        <v>597</v>
      </c>
      <c r="K115" s="261"/>
      <c r="L115" s="512">
        <f>$R$77</f>
        <v>245444541</v>
      </c>
      <c r="M115" s="261"/>
      <c r="N115" s="264"/>
      <c r="O115" s="373"/>
    </row>
    <row r="116" spans="2:15">
      <c r="B116" s="261"/>
      <c r="C116" s="261"/>
      <c r="D116" s="261"/>
      <c r="E116" s="261"/>
      <c r="F116" s="261"/>
      <c r="G116" s="261"/>
      <c r="H116" s="261"/>
      <c r="I116" s="261"/>
      <c r="J116" s="261" t="s">
        <v>597</v>
      </c>
      <c r="K116" s="261"/>
      <c r="L116" s="512">
        <f>$R$80</f>
        <v>319531519</v>
      </c>
      <c r="M116" s="261"/>
      <c r="N116" s="264"/>
      <c r="O116" s="373"/>
    </row>
    <row r="117" spans="2:15">
      <c r="B117" s="261"/>
      <c r="C117" s="261"/>
      <c r="D117" s="261"/>
      <c r="E117" s="261"/>
      <c r="F117" s="261"/>
      <c r="G117" s="261"/>
      <c r="H117" s="261"/>
      <c r="I117" s="261"/>
      <c r="J117" s="261" t="s">
        <v>1231</v>
      </c>
      <c r="K117" s="261"/>
      <c r="L117" s="1008">
        <f>VLOOKUP(B2,Names!B5:$C$87,2,FALSE)</f>
        <v>3632</v>
      </c>
      <c r="M117" s="261"/>
      <c r="N117" s="264"/>
      <c r="O117" s="373"/>
    </row>
    <row r="118" spans="2:15">
      <c r="B118" s="261"/>
      <c r="C118" s="261"/>
      <c r="D118" s="261"/>
      <c r="E118" s="261"/>
      <c r="F118" s="261"/>
      <c r="G118" s="261"/>
      <c r="H118" s="261"/>
      <c r="I118" s="261"/>
      <c r="J118" s="261"/>
      <c r="K118" s="261"/>
      <c r="L118" s="373">
        <f>SUM(L106:L117)</f>
        <v>7995546641</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V56:V59"/>
    <mergeCell ref="W56:W59"/>
    <mergeCell ref="G59:K59"/>
    <mergeCell ref="AA56:AA59"/>
    <mergeCell ref="Z55:AB55"/>
    <mergeCell ref="R56:R59"/>
    <mergeCell ref="O55:R55"/>
    <mergeCell ref="T55:X55"/>
    <mergeCell ref="X56:X59"/>
    <mergeCell ref="AB56:AB59"/>
    <mergeCell ref="Z56:Z59"/>
    <mergeCell ref="B2:F2"/>
    <mergeCell ref="B3:F3"/>
    <mergeCell ref="B4:F4"/>
    <mergeCell ref="B6:M6"/>
    <mergeCell ref="P4:Q4"/>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s>
  <conditionalFormatting sqref="U87:X88 O88:Q88">
    <cfRule type="cellIs" dxfId="1132" priority="281" stopIfTrue="1" operator="notEqual">
      <formula>#REF!</formula>
    </cfRule>
  </conditionalFormatting>
  <conditionalFormatting sqref="P70">
    <cfRule type="expression" dxfId="1131" priority="260">
      <formula>$P$69&lt;&gt;$M$69</formula>
    </cfRule>
  </conditionalFormatting>
  <conditionalFormatting sqref="AB72">
    <cfRule type="expression" dxfId="1130" priority="259">
      <formula>$AB$71&lt;&gt;0</formula>
    </cfRule>
  </conditionalFormatting>
  <conditionalFormatting sqref="P71">
    <cfRule type="expression" dxfId="1129" priority="258">
      <formula>P69-INT(P69)</formula>
    </cfRule>
  </conditionalFormatting>
  <conditionalFormatting sqref="V70">
    <cfRule type="expression" dxfId="1128" priority="256">
      <formula>X68-INT(X68)</formula>
    </cfRule>
  </conditionalFormatting>
  <conditionalFormatting sqref="O12">
    <cfRule type="expression" dxfId="1127" priority="247">
      <formula>$P$12&lt;&gt;$M$12</formula>
    </cfRule>
  </conditionalFormatting>
  <conditionalFormatting sqref="U87:U88 O88:Q88">
    <cfRule type="cellIs" dxfId="1126" priority="240" stopIfTrue="1" operator="notEqual">
      <formula>#REF!</formula>
    </cfRule>
  </conditionalFormatting>
  <conditionalFormatting sqref="R84">
    <cfRule type="expression" priority="238" stopIfTrue="1">
      <formula>$M$85&lt;0</formula>
    </cfRule>
    <cfRule type="expression" dxfId="1125" priority="239">
      <formula>$S$85&lt;&gt;0</formula>
    </cfRule>
  </conditionalFormatting>
  <conditionalFormatting sqref="R80 R77">
    <cfRule type="expression" dxfId="1124" priority="236" stopIfTrue="1">
      <formula>$M$85&gt;=0</formula>
    </cfRule>
    <cfRule type="expression" priority="237">
      <formula>$M$85&lt;0</formula>
    </cfRule>
  </conditionalFormatting>
  <conditionalFormatting sqref="U87:U88 O88:Q88">
    <cfRule type="cellIs" dxfId="1123" priority="235" stopIfTrue="1" operator="notEqual">
      <formula>#REF!</formula>
    </cfRule>
  </conditionalFormatting>
  <conditionalFormatting sqref="O13">
    <cfRule type="expression" dxfId="1122" priority="219">
      <formula>$P$13&lt;&gt;$M$13</formula>
    </cfRule>
  </conditionalFormatting>
  <conditionalFormatting sqref="U87:U88 O88:Q88">
    <cfRule type="cellIs" dxfId="1121" priority="218" stopIfTrue="1" operator="notEqual">
      <formula>#REF!</formula>
    </cfRule>
  </conditionalFormatting>
  <conditionalFormatting sqref="Q36">
    <cfRule type="expression" dxfId="1120" priority="27">
      <formula>#REF!&lt;&gt;#REF!</formula>
    </cfRule>
  </conditionalFormatting>
  <conditionalFormatting sqref="R35">
    <cfRule type="expression" dxfId="1119" priority="26">
      <formula>#REF!&lt;&gt;0</formula>
    </cfRule>
  </conditionalFormatting>
  <conditionalFormatting sqref="Q35">
    <cfRule type="expression" dxfId="1118" priority="25">
      <formula>#REF!&lt;&gt;0</formula>
    </cfRule>
  </conditionalFormatting>
  <conditionalFormatting sqref="R36">
    <cfRule type="expression" dxfId="1117" priority="24">
      <formula>#REF!&lt;&gt;#REF!</formula>
    </cfRule>
  </conditionalFormatting>
  <conditionalFormatting sqref="D93:M98 T94:T95 R90:S95 U87:X93 T90:T92 Y90:Y95 O88:O92 P88:Q93">
    <cfRule type="cellIs" dxfId="1116" priority="23" stopIfTrue="1" operator="notEqual">
      <formula>#REF!</formula>
    </cfRule>
  </conditionalFormatting>
  <conditionalFormatting sqref="P70">
    <cfRule type="expression" dxfId="1115" priority="22">
      <formula>$P$69&lt;&gt;$M$69</formula>
    </cfRule>
  </conditionalFormatting>
  <conditionalFormatting sqref="AB72">
    <cfRule type="expression" dxfId="1114" priority="21">
      <formula>$AB$71&lt;&gt;0</formula>
    </cfRule>
  </conditionalFormatting>
  <conditionalFormatting sqref="P71">
    <cfRule type="expression" dxfId="1113" priority="20">
      <formula>P69-INT(P69)</formula>
    </cfRule>
  </conditionalFormatting>
  <conditionalFormatting sqref="V70">
    <cfRule type="expression" dxfId="1112" priority="19">
      <formula>X68-INT(X68)</formula>
    </cfRule>
  </conditionalFormatting>
  <conditionalFormatting sqref="O12">
    <cfRule type="expression" dxfId="1111" priority="18">
      <formula>$P$12&lt;&gt;$M$12</formula>
    </cfRule>
  </conditionalFormatting>
  <conditionalFormatting sqref="T94:T95 R90:S95 U87:U93 T90:T92 O88:O92 P88:Q93">
    <cfRule type="cellIs" dxfId="1110" priority="16" stopIfTrue="1" operator="notEqual">
      <formula>#REF!</formula>
    </cfRule>
  </conditionalFormatting>
  <conditionalFormatting sqref="R84">
    <cfRule type="expression" priority="14" stopIfTrue="1">
      <formula>$M$85&lt;0</formula>
    </cfRule>
    <cfRule type="expression" dxfId="1109" priority="15">
      <formula>$S$85&lt;&gt;0</formula>
    </cfRule>
  </conditionalFormatting>
  <conditionalFormatting sqref="R80 R77">
    <cfRule type="expression" dxfId="1108" priority="12" stopIfTrue="1">
      <formula>$M$85&gt;=0</formula>
    </cfRule>
    <cfRule type="expression" priority="13">
      <formula>$M$85&lt;0</formula>
    </cfRule>
  </conditionalFormatting>
  <conditionalFormatting sqref="U87:U88 R89:U92 O88:Q92">
    <cfRule type="cellIs" dxfId="1107" priority="11" stopIfTrue="1" operator="notEqual">
      <formula>#REF!</formula>
    </cfRule>
  </conditionalFormatting>
  <conditionalFormatting sqref="M101">
    <cfRule type="expression" dxfId="1106" priority="10">
      <formula>$M$101&lt;&gt;0</formula>
    </cfRule>
  </conditionalFormatting>
  <conditionalFormatting sqref="M102">
    <cfRule type="expression" dxfId="1105" priority="9">
      <formula>$M$93&lt;&gt;$M$100</formula>
    </cfRule>
  </conditionalFormatting>
  <conditionalFormatting sqref="U87:U92 R90:T92 O88:Q92">
    <cfRule type="cellIs" dxfId="1104" priority="8" stopIfTrue="1" operator="notEqual">
      <formula>#REF!</formula>
    </cfRule>
  </conditionalFormatting>
  <conditionalFormatting sqref="T89:U89 Q91 T90 O89:O90 P89:Q89 R89:S91">
    <cfRule type="cellIs" dxfId="1103" priority="7" stopIfTrue="1" operator="notEqual">
      <formula>#REF!</formula>
    </cfRule>
  </conditionalFormatting>
  <conditionalFormatting sqref="Q36">
    <cfRule type="expression" dxfId="1102" priority="6">
      <formula>#REF!&lt;&gt;#REF!</formula>
    </cfRule>
  </conditionalFormatting>
  <conditionalFormatting sqref="R35">
    <cfRule type="expression" dxfId="1101" priority="5">
      <formula>#REF!&lt;&gt;0</formula>
    </cfRule>
  </conditionalFormatting>
  <conditionalFormatting sqref="Q35">
    <cfRule type="expression" dxfId="1100" priority="4">
      <formula>#REF!&lt;&gt;0</formula>
    </cfRule>
  </conditionalFormatting>
  <conditionalFormatting sqref="R36">
    <cfRule type="expression" dxfId="1099" priority="3">
      <formula>#REF!&lt;&gt;#REF!</formula>
    </cfRule>
  </conditionalFormatting>
  <conditionalFormatting sqref="G59:K59">
    <cfRule type="expression" dxfId="1098" priority="1">
      <formula>OR($P$105&gt;0,$P$106&lt;&gt;0,$P$107&lt;&gt;0)</formula>
    </cfRule>
  </conditionalFormatting>
  <hyperlinks>
    <hyperlink ref="O2" location="Index!A1" display="Return to Index" xr:uid="{00000000-0004-0000-3B00-000000000000}"/>
  </hyperlinks>
  <printOptions horizontalCentered="1"/>
  <pageMargins left="0.5" right="0.5" top="0.25" bottom="0.25" header="0" footer="0.25"/>
  <pageSetup scale="10" orientation="landscape"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46"/>
  <dimension ref="A1:G30"/>
  <sheetViews>
    <sheetView showGridLines="0" zoomScale="80" zoomScaleNormal="80" workbookViewId="0">
      <selection activeCell="E74" sqref="E74:F74"/>
    </sheetView>
  </sheetViews>
  <sheetFormatPr defaultColWidth="9.140625" defaultRowHeight="12.75"/>
  <cols>
    <col min="1" max="1" width="7" style="53" customWidth="1"/>
    <col min="2" max="2" width="93.140625" style="53" customWidth="1"/>
    <col min="3" max="3" width="19.7109375" style="53" customWidth="1"/>
    <col min="4" max="9" width="9.140625" style="53"/>
    <col min="10" max="10" width="14.85546875" style="53" customWidth="1"/>
    <col min="11" max="16384" width="9.140625" style="53"/>
  </cols>
  <sheetData>
    <row r="1" spans="2:6" ht="18.75" thickBot="1">
      <c r="B1" s="466" t="str">
        <f>'TAMU Chrts'!$A$1</f>
        <v>Texas A&amp;M University</v>
      </c>
      <c r="C1" s="835" t="s">
        <v>1200</v>
      </c>
    </row>
    <row r="2" spans="2:6">
      <c r="B2" s="393" t="str">
        <f>'Smmy Chrts'!$A$2</f>
        <v>For the Year Ended August 31, 2021</v>
      </c>
    </row>
    <row r="3" spans="2:6">
      <c r="B3" s="393" t="str">
        <f>'Smmy Chrts'!$A$3</f>
        <v>Source: FY 2021 Annual Financial Report</v>
      </c>
    </row>
    <row r="5" spans="2:6" customFormat="1">
      <c r="B5" s="529" t="s">
        <v>705</v>
      </c>
    </row>
    <row r="6" spans="2:6" customFormat="1">
      <c r="B6" s="530"/>
    </row>
    <row r="7" spans="2:6" customFormat="1" ht="226.5" customHeight="1">
      <c r="B7" s="531" t="s">
        <v>706</v>
      </c>
      <c r="C7" s="532"/>
    </row>
    <row r="8" spans="2:6" customFormat="1" ht="263.25" customHeight="1">
      <c r="B8" s="531" t="s">
        <v>707</v>
      </c>
    </row>
    <row r="9" spans="2:6" ht="64.5" customHeight="1">
      <c r="B9" s="533" t="str">
        <f>IF('TAMU FGD'!$R$76="N/A","FN11.  N/A",$B$20&amp;$B$21&amp;$B$22&amp;$B$23&amp;$B$24&amp;$B$25&amp;$B$26&amp;$B$27&amp;$B$28&amp;$B$29&amp;$B$30)</f>
        <v>FN11: Of the net increase of $565,128,231 approximately $245.4 million represents revenues received but not yet expended. This income is fully committed to program expenditures and capital disbursements. The remaining $319.7 million represents non-expendable funds from unrealized gains and additions to permanent endowments of approximately $319.5 million and $152 thousand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TEXT(IF('TAMU FGD'!$M$85&lt;0,"N/A",'TAMU FGD'!$M$85),"$* #,##0;$* (#,##0)")</f>
        <v>$565,128,231</v>
      </c>
      <c r="C21" s="480"/>
      <c r="D21" s="480"/>
      <c r="E21" s="480"/>
      <c r="G21" s="105"/>
    </row>
    <row r="22" spans="1:7">
      <c r="B22" s="105" t="s">
        <v>682</v>
      </c>
    </row>
    <row r="23" spans="1:7">
      <c r="A23" s="53">
        <v>61</v>
      </c>
      <c r="B23" s="515" t="str">
        <f>IF(ABS('TAMU FGD'!$R$77)&gt;=1000000,TEXT('TAMU FGD'!$R$77/1000000,"$* #,##0.0;$* (#,##0.0)")&amp;" million",IF(ABS('TAMU FGD'!$R$77)&lt;1000,TEXT('TAMU FGD'!$R$77,"$* #,##0;$* (#,##0)"),TEXT('TAMU FGD'!$R$77/1000,"$* #,##0;$* (#,##0)")&amp;" thousand"))</f>
        <v>$245.4 million</v>
      </c>
      <c r="C23" s="515"/>
      <c r="E23" s="515"/>
    </row>
    <row r="24" spans="1:7">
      <c r="B24" s="105" t="s">
        <v>708</v>
      </c>
    </row>
    <row r="25" spans="1:7">
      <c r="A25" s="53">
        <v>62</v>
      </c>
      <c r="B25" s="515" t="str">
        <f>IF(ABS('TAMU FGD'!$R$78)&gt;=1000000,TEXT('TAMU FGD'!$R$78/1000000,"$* #,##0.0;$* (#,##0.0)")&amp;" million",IF(ABS('TAMU FGD'!$R$78)&lt;1000,TEXT('TAMU FGD'!$R$78,"$* #,##0;$* (#,##0)"),TEXT('TAMU FGD'!$R$78/1000,"$* #,##0;$* (#,##0)")&amp;" thousand"))</f>
        <v>$319.7 million</v>
      </c>
      <c r="C25" s="515"/>
      <c r="E25" s="515"/>
    </row>
    <row r="26" spans="1:7">
      <c r="B26" s="105" t="s">
        <v>683</v>
      </c>
    </row>
    <row r="27" spans="1:7">
      <c r="A27" s="53">
        <v>64</v>
      </c>
      <c r="B27" s="515" t="str">
        <f>IF(ABS('TAMU FGD'!$R$80)&gt;=1000000,TEXT('TAMU FGD'!$R$80/1000000,"$* #,##0.0;$* (#,##0.0)")&amp;" million",IF(ABS('TAMU FGD'!$R$80)&lt;1000,TEXT('TAMU FGD'!$R$80,"$* #,##0;$* (#,##0)"),TEXT('TAMU FGD'!$R$80/1000,"$* #,##0;$* (#,##0)")&amp;" thousand"))</f>
        <v>$319.5 million</v>
      </c>
      <c r="C27" s="515"/>
      <c r="E27" s="515"/>
    </row>
    <row r="28" spans="1:7">
      <c r="B28" s="105" t="s">
        <v>684</v>
      </c>
    </row>
    <row r="29" spans="1:7">
      <c r="A29" s="53">
        <v>66</v>
      </c>
      <c r="B29" s="515" t="str">
        <f>IF(ABS('TAMU FGD'!$R$82)&gt;=1000000,TEXT('TAMU FGD'!$R$82/1000000,"$* #,##0.0;$* (#,##0.0)")&amp;" million",IF(ABS('TAMU FGD'!$R$82)&lt;1000,TEXT('TAMU FGD'!$R$82,"$* #,##0;$* (#,##0)"),TEXT('TAMU FGD'!$R$82/1000,"$* #,##0;$* (#,##0)")&amp;" thousand"))</f>
        <v>$152 thousand</v>
      </c>
      <c r="C29" s="515"/>
      <c r="E29" s="515"/>
    </row>
    <row r="30" spans="1:7">
      <c r="B30" s="105" t="s">
        <v>709</v>
      </c>
    </row>
  </sheetData>
  <hyperlinks>
    <hyperlink ref="C1" location="Index!A1" display="Return to Index" xr:uid="{00000000-0004-0000-3C00-000000000000}"/>
  </hyperlinks>
  <pageMargins left="0.25" right="0.25" top="0.25" bottom="0.25" header="0" footer="0.25"/>
  <pageSetup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47">
    <tabColor indexed="47"/>
    <pageSetUpPr fitToPage="1"/>
  </sheetPr>
  <dimension ref="A1:E165"/>
  <sheetViews>
    <sheetView showGridLines="0" zoomScale="65" zoomScaleNormal="65" zoomScaleSheetLayoutView="65" workbookViewId="0">
      <selection activeCell="C81" sqref="C81"/>
    </sheetView>
  </sheetViews>
  <sheetFormatPr defaultColWidth="9.140625" defaultRowHeight="12.75" customHeight="1"/>
  <cols>
    <col min="1" max="1" width="158.7109375" style="53" customWidth="1"/>
    <col min="2" max="2" width="19.7109375" style="53" customWidth="1"/>
    <col min="3" max="3" width="54.7109375" style="53" customWidth="1"/>
    <col min="4" max="4" width="20.7109375" style="53" customWidth="1"/>
    <col min="5" max="5" width="9.140625" style="679"/>
    <col min="6" max="16384" width="9.140625" style="53"/>
  </cols>
  <sheetData>
    <row r="1" spans="1:5" ht="28.5" thickBot="1">
      <c r="A1" s="159" t="s">
        <v>106</v>
      </c>
      <c r="B1" s="835" t="s">
        <v>1200</v>
      </c>
      <c r="C1" s="53" t="s">
        <v>1329</v>
      </c>
    </row>
    <row r="2" spans="1:5" ht="27.75">
      <c r="A2" s="54" t="str">
        <f>'Smmy Chrts'!$A$2</f>
        <v>For the Year Ended August 31, 2021</v>
      </c>
      <c r="C2" s="55" t="s">
        <v>63</v>
      </c>
    </row>
    <row r="3" spans="1:5" ht="27.75">
      <c r="A3" s="54" t="str">
        <f>'Smmy Chrts'!$A$3</f>
        <v>Source: FY 2021 Annual Financial Report</v>
      </c>
      <c r="C3" s="53" t="s">
        <v>64</v>
      </c>
    </row>
    <row r="4" spans="1:5" ht="12.75" customHeight="1">
      <c r="C4" s="53" t="s">
        <v>267</v>
      </c>
    </row>
    <row r="5" spans="1:5" ht="12.75" customHeight="1">
      <c r="C5" s="53" t="s">
        <v>268</v>
      </c>
    </row>
    <row r="7" spans="1:5" ht="12.75" customHeight="1">
      <c r="C7" s="1687" t="s">
        <v>25</v>
      </c>
      <c r="D7" s="1687"/>
    </row>
    <row r="8" spans="1:5" ht="12.75" customHeight="1">
      <c r="C8" s="57"/>
      <c r="D8" s="58"/>
    </row>
    <row r="9" spans="1:5" ht="12.75" customHeight="1">
      <c r="C9" s="59" t="str">
        <f>'TAMUG Sum'!A9</f>
        <v>State of Texas</v>
      </c>
      <c r="D9" s="60">
        <f>'TAMUG Sum'!B15</f>
        <v>71006415</v>
      </c>
      <c r="E9" s="680">
        <f>ROUND(D9/$D$14,3)</f>
        <v>0.58899999999999997</v>
      </c>
    </row>
    <row r="10" spans="1:5" ht="12.75" customHeight="1">
      <c r="C10" s="59" t="str">
        <f>'TAMUG Sum'!A17</f>
        <v>Student &amp; Parent</v>
      </c>
      <c r="D10" s="60">
        <f>'TAMUG Sum'!B20</f>
        <v>21352720</v>
      </c>
      <c r="E10" s="680">
        <f t="shared" ref="E10:E12" si="0">ROUND(D10/$D$14,3)</f>
        <v>0.17699999999999999</v>
      </c>
    </row>
    <row r="11" spans="1:5" ht="12.75" customHeight="1">
      <c r="C11" s="59" t="str">
        <f>'TAMUG Sum'!A22</f>
        <v>Federal Government</v>
      </c>
      <c r="D11" s="60">
        <f>'TAMUG Sum'!B23</f>
        <v>10245867</v>
      </c>
      <c r="E11" s="680">
        <f t="shared" si="0"/>
        <v>8.5000000000000006E-2</v>
      </c>
    </row>
    <row r="12" spans="1:5" ht="12.75" customHeight="1">
      <c r="C12" s="59" t="str">
        <f>'TAMUG Sum'!A25</f>
        <v>Institutional Resources</v>
      </c>
      <c r="D12" s="60">
        <f>'TAMUG Sum'!B32</f>
        <v>17945877</v>
      </c>
      <c r="E12" s="680">
        <f t="shared" si="0"/>
        <v>0.14899999999999999</v>
      </c>
    </row>
    <row r="13" spans="1:5" ht="12.75" customHeight="1">
      <c r="C13" s="57"/>
      <c r="D13" s="58"/>
      <c r="E13" s="680"/>
    </row>
    <row r="14" spans="1:5" ht="12.75" customHeight="1">
      <c r="C14" s="61" t="s">
        <v>68</v>
      </c>
      <c r="D14" s="62">
        <f>SUM(D9:D13)</f>
        <v>120550879</v>
      </c>
      <c r="E14" s="680">
        <f>SUM(E9:E13)</f>
        <v>1</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86" t="str">
        <f>C14&amp;" "&amp;TEXT(D14,"$#,###")</f>
        <v>Total Operating Sources $120,550,879</v>
      </c>
    </row>
    <row r="48" spans="1:1" ht="12.75" customHeight="1">
      <c r="A48" s="1686"/>
    </row>
    <row r="49" spans="1:5" ht="12.75" customHeight="1">
      <c r="A49" s="56"/>
    </row>
    <row r="52" spans="1:5" ht="12.75" customHeight="1">
      <c r="C52" s="63" t="s">
        <v>25</v>
      </c>
      <c r="D52" s="58"/>
    </row>
    <row r="54" spans="1:5" ht="12.75" customHeight="1">
      <c r="C54" s="59" t="s">
        <v>1</v>
      </c>
      <c r="D54" s="60">
        <f>'TAMUG Sum'!B10</f>
        <v>70229913</v>
      </c>
      <c r="E54" s="680">
        <f>ROUND(D54/$D$67,3)</f>
        <v>0.58299999999999996</v>
      </c>
    </row>
    <row r="55" spans="1:5" ht="12.75" customHeight="1">
      <c r="C55" s="59" t="s">
        <v>221</v>
      </c>
      <c r="D55" s="60">
        <f>'TAMUG Sum'!B11</f>
        <v>776502</v>
      </c>
      <c r="E55" s="680">
        <f t="shared" ref="E55:E66" si="1">ROUND(D55/$D$67,3)</f>
        <v>6.0000000000000001E-3</v>
      </c>
    </row>
    <row r="56" spans="1:5" ht="12.75" customHeight="1">
      <c r="C56" s="59"/>
      <c r="D56" s="60"/>
      <c r="E56" s="680"/>
    </row>
    <row r="57" spans="1:5" ht="12.75" customHeight="1">
      <c r="C57" s="1069" t="str">
        <f>'TAMUG Sum'!A13</f>
        <v>Higher Education Fund</v>
      </c>
      <c r="D57" s="60">
        <f>'TAMUG Sum'!B13</f>
        <v>0</v>
      </c>
      <c r="E57" s="680">
        <f t="shared" si="1"/>
        <v>0</v>
      </c>
    </row>
    <row r="58" spans="1:5" ht="12.75" customHeight="1">
      <c r="C58" s="1069" t="s">
        <v>41</v>
      </c>
      <c r="D58" s="60">
        <f>'TAMUG Sum'!B14</f>
        <v>0</v>
      </c>
      <c r="E58" s="680">
        <f t="shared" si="1"/>
        <v>0</v>
      </c>
    </row>
    <row r="59" spans="1:5" ht="12.75" customHeight="1">
      <c r="C59" s="59" t="s">
        <v>87</v>
      </c>
      <c r="D59" s="60">
        <f>'TAMUG Sum'!B20</f>
        <v>21352720</v>
      </c>
      <c r="E59" s="680">
        <f t="shared" si="1"/>
        <v>0.17699999999999999</v>
      </c>
    </row>
    <row r="60" spans="1:5" ht="12.75" customHeight="1">
      <c r="C60" s="64" t="s">
        <v>74</v>
      </c>
      <c r="D60" s="60">
        <f>'TAMUG Sum'!B23</f>
        <v>10245867</v>
      </c>
      <c r="E60" s="680">
        <f t="shared" si="1"/>
        <v>8.5000000000000006E-2</v>
      </c>
    </row>
    <row r="61" spans="1:5" ht="12.75" customHeight="1">
      <c r="C61" s="59" t="s">
        <v>75</v>
      </c>
      <c r="D61" s="60">
        <f>'TAMUG Sum'!B26</f>
        <v>4215967</v>
      </c>
      <c r="E61" s="680">
        <f t="shared" si="1"/>
        <v>3.5000000000000003E-2</v>
      </c>
    </row>
    <row r="62" spans="1:5" ht="12.75" customHeight="1">
      <c r="C62" s="1069" t="s">
        <v>27</v>
      </c>
      <c r="D62" s="60">
        <f>'TAMUG Sum'!B27</f>
        <v>0</v>
      </c>
      <c r="E62" s="680">
        <f t="shared" si="1"/>
        <v>0</v>
      </c>
    </row>
    <row r="63" spans="1:5" ht="12.75" customHeight="1">
      <c r="C63" s="59" t="s">
        <v>76</v>
      </c>
      <c r="D63" s="60">
        <f>'TAMUG Sum'!B28</f>
        <v>3349397</v>
      </c>
      <c r="E63" s="680">
        <f t="shared" si="1"/>
        <v>2.8000000000000001E-2</v>
      </c>
    </row>
    <row r="64" spans="1:5" ht="12.75" customHeight="1">
      <c r="C64" s="59" t="s">
        <v>77</v>
      </c>
      <c r="D64" s="60">
        <f>'TAMUG Sum'!B29</f>
        <v>2523321</v>
      </c>
      <c r="E64" s="680">
        <f t="shared" si="1"/>
        <v>2.1000000000000001E-2</v>
      </c>
    </row>
    <row r="65" spans="1:5" ht="12.75" customHeight="1">
      <c r="C65" s="59" t="s">
        <v>220</v>
      </c>
      <c r="D65" s="60">
        <f>'TAMUG Sum'!B30</f>
        <v>4734974</v>
      </c>
      <c r="E65" s="680">
        <f t="shared" si="1"/>
        <v>3.9E-2</v>
      </c>
    </row>
    <row r="66" spans="1:5" ht="12.75" customHeight="1">
      <c r="C66" s="64" t="s">
        <v>52</v>
      </c>
      <c r="D66" s="60">
        <f>'TAMUG Sum'!B31</f>
        <v>3122218</v>
      </c>
      <c r="E66" s="680">
        <f t="shared" si="1"/>
        <v>2.5999999999999999E-2</v>
      </c>
    </row>
    <row r="67" spans="1:5" ht="12.75" customHeight="1">
      <c r="C67" s="61" t="s">
        <v>68</v>
      </c>
      <c r="D67" s="62">
        <f>SUM(D54:D66)</f>
        <v>120550879</v>
      </c>
      <c r="E67" s="681">
        <f>SUM(E54:E66)</f>
        <v>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86" t="str">
        <f>C67&amp;" "&amp;TEXT(D67,"$#,###")</f>
        <v>Total Operating Sources $120,550,879</v>
      </c>
    </row>
    <row r="93" spans="1:5" ht="12.75" customHeight="1">
      <c r="A93" s="1686"/>
    </row>
    <row r="94" spans="1:5" ht="12.75" customHeight="1">
      <c r="A94" s="65"/>
    </row>
    <row r="95" spans="1:5" s="68" customFormat="1" ht="12.75" customHeight="1">
      <c r="A95" s="66"/>
      <c r="E95" s="682"/>
    </row>
    <row r="96" spans="1:5" ht="12.75" customHeight="1">
      <c r="A96" s="65"/>
    </row>
    <row r="97" spans="1:5" ht="12.75" customHeight="1">
      <c r="A97" s="65"/>
    </row>
    <row r="98" spans="1:5" ht="12.75" customHeight="1">
      <c r="A98" s="65"/>
    </row>
    <row r="100" spans="1:5" ht="12.75" customHeight="1">
      <c r="C100" s="1687" t="s">
        <v>13</v>
      </c>
      <c r="D100" s="1687"/>
    </row>
    <row r="101" spans="1:5" ht="12.75" customHeight="1">
      <c r="C101" s="1687"/>
      <c r="D101" s="1687"/>
    </row>
    <row r="102" spans="1:5" ht="12.75" customHeight="1">
      <c r="C102" s="69" t="s">
        <v>14</v>
      </c>
      <c r="D102" s="60">
        <f>'TAMUG Sum'!B36</f>
        <v>20218790</v>
      </c>
      <c r="E102" s="680">
        <f>ROUND(D102/$D$114,3)</f>
        <v>0.33600000000000002</v>
      </c>
    </row>
    <row r="103" spans="1:5" ht="12.75" customHeight="1">
      <c r="C103" s="69" t="s">
        <v>15</v>
      </c>
      <c r="D103" s="60">
        <f>'TAMUG Sum'!B37</f>
        <v>6717898</v>
      </c>
      <c r="E103" s="680">
        <f t="shared" ref="E103:E112" si="2">ROUND(D103/$D$114,3)</f>
        <v>0.112</v>
      </c>
    </row>
    <row r="104" spans="1:5" ht="12.75" customHeight="1">
      <c r="C104" s="69" t="s">
        <v>16</v>
      </c>
      <c r="D104" s="60">
        <f>'TAMUG Sum'!B38</f>
        <v>913990</v>
      </c>
      <c r="E104" s="680">
        <f t="shared" si="2"/>
        <v>1.4999999999999999E-2</v>
      </c>
    </row>
    <row r="105" spans="1:5" ht="12.75" customHeight="1">
      <c r="C105" s="69" t="s">
        <v>17</v>
      </c>
      <c r="D105" s="60">
        <f>'TAMUG Sum'!B39</f>
        <v>6369577</v>
      </c>
      <c r="E105" s="680">
        <f t="shared" si="2"/>
        <v>0.106</v>
      </c>
    </row>
    <row r="106" spans="1:5" ht="12.75" customHeight="1">
      <c r="C106" s="69" t="s">
        <v>18</v>
      </c>
      <c r="D106" s="60">
        <f>'TAMUG Sum'!B40</f>
        <v>3191340</v>
      </c>
      <c r="E106" s="680">
        <f t="shared" si="2"/>
        <v>5.2999999999999999E-2</v>
      </c>
    </row>
    <row r="107" spans="1:5" ht="12.75" customHeight="1">
      <c r="C107" s="69" t="s">
        <v>19</v>
      </c>
      <c r="D107" s="60">
        <f>'TAMUG Sum'!B41</f>
        <v>6740760</v>
      </c>
      <c r="E107" s="680">
        <f t="shared" si="2"/>
        <v>0.112</v>
      </c>
    </row>
    <row r="108" spans="1:5" ht="12.75" customHeight="1">
      <c r="C108" s="69" t="s">
        <v>78</v>
      </c>
      <c r="D108" s="60">
        <f>'TAMUG Sum'!B42</f>
        <v>7301557</v>
      </c>
      <c r="E108" s="680">
        <f t="shared" si="2"/>
        <v>0.121</v>
      </c>
    </row>
    <row r="109" spans="1:5" ht="12.75" customHeight="1">
      <c r="C109" s="69" t="s">
        <v>79</v>
      </c>
      <c r="D109" s="60">
        <f>'TAMUG Sum'!B43</f>
        <v>2894109</v>
      </c>
      <c r="E109" s="680">
        <f t="shared" si="2"/>
        <v>4.8000000000000001E-2</v>
      </c>
    </row>
    <row r="110" spans="1:5" ht="12.75" customHeight="1">
      <c r="C110" s="69" t="s">
        <v>22</v>
      </c>
      <c r="D110" s="60">
        <f>'TAMUG Sum'!B44</f>
        <v>5110510</v>
      </c>
      <c r="E110" s="680">
        <f t="shared" si="2"/>
        <v>8.5000000000000006E-2</v>
      </c>
    </row>
    <row r="111" spans="1:5" ht="12.75" customHeight="1">
      <c r="C111" s="64" t="s">
        <v>29</v>
      </c>
      <c r="D111" s="60">
        <f>'TAMUG Sum'!B45</f>
        <v>407045</v>
      </c>
      <c r="E111" s="680">
        <f t="shared" si="2"/>
        <v>7.0000000000000001E-3</v>
      </c>
    </row>
    <row r="112" spans="1:5" ht="12.75" customHeight="1">
      <c r="C112" s="64" t="s">
        <v>53</v>
      </c>
      <c r="D112" s="60">
        <f>'TAMUG Sum'!B46</f>
        <v>303961</v>
      </c>
      <c r="E112" s="680">
        <f t="shared" si="2"/>
        <v>5.0000000000000001E-3</v>
      </c>
    </row>
    <row r="113" spans="3:5" ht="12.75" customHeight="1">
      <c r="C113" s="57"/>
      <c r="D113" s="57"/>
    </row>
    <row r="114" spans="3:5" ht="12.75" customHeight="1">
      <c r="C114" s="70" t="s">
        <v>69</v>
      </c>
      <c r="D114" s="62">
        <f>SUM(D102:D113)</f>
        <v>60169537</v>
      </c>
      <c r="E114" s="681">
        <f>SUM(E102:E113)</f>
        <v>1</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86" t="str">
        <f>C114&amp;" "&amp;TEXT(D114,"$#,###")</f>
        <v>Total Operating Uses $60,169,537</v>
      </c>
    </row>
    <row r="137" spans="1:1" ht="12.75" customHeight="1">
      <c r="A137" s="1686"/>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3D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ransitionEvaluation="1" transitionEntry="1" codeName="Sheet48">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'TAMUG Chrts'!$A$1</f>
        <v>Texas A&amp;M University at Galveston</v>
      </c>
      <c r="B1" s="74"/>
      <c r="C1" s="1"/>
      <c r="D1" s="1704" t="s">
        <v>1200</v>
      </c>
      <c r="E1" s="1705"/>
      <c r="F1" s="1757" t="s">
        <v>1196</v>
      </c>
      <c r="G1" s="1706"/>
      <c r="H1" s="1706"/>
      <c r="I1" s="1706"/>
      <c r="J1" s="1707" t="s">
        <v>1197</v>
      </c>
      <c r="K1" s="1695"/>
      <c r="L1" s="1695"/>
      <c r="M1" s="1695"/>
      <c r="N1" s="1695"/>
      <c r="O1" s="1696"/>
    </row>
    <row r="2" spans="1:15" ht="15.75">
      <c r="A2" s="76" t="str">
        <f>'Smmy Chrts'!$A$2</f>
        <v>For the Year Ended August 31, 2021</v>
      </c>
      <c r="B2" s="74"/>
      <c r="C2" s="1"/>
      <c r="D2" s="37"/>
      <c r="E2" s="37"/>
      <c r="F2" s="37"/>
      <c r="J2" s="37"/>
      <c r="K2" s="37"/>
      <c r="L2" s="37"/>
      <c r="M2" s="37"/>
    </row>
    <row r="3" spans="1:15" ht="15.75">
      <c r="A3" s="76" t="str">
        <f>'Smmy Chrts'!$A$3</f>
        <v>Source: FY 2021 Annual Financial Report</v>
      </c>
      <c r="B3" s="74"/>
      <c r="C3" s="1"/>
    </row>
    <row r="4" spans="1:15" ht="13.5" customHeight="1">
      <c r="B4" s="77"/>
      <c r="C4" s="4"/>
      <c r="D4" s="1711" t="s">
        <v>1142</v>
      </c>
      <c r="E4" s="1711" t="s">
        <v>1143</v>
      </c>
      <c r="F4" s="266"/>
    </row>
    <row r="5" spans="1:15" ht="18">
      <c r="A5" s="39" t="str">
        <f>'Smmy Chrts'!$C$35</f>
        <v>Summary Worksheet FY 2021</v>
      </c>
      <c r="B5" s="40" t="s">
        <v>86</v>
      </c>
      <c r="C5" s="40" t="s">
        <v>129</v>
      </c>
      <c r="D5" s="1712"/>
      <c r="E5" s="1712"/>
      <c r="F5" s="266"/>
      <c r="G5" s="799" t="s">
        <v>1198</v>
      </c>
      <c r="I5" s="822" t="s">
        <v>2157</v>
      </c>
      <c r="J5" s="792" t="s">
        <v>1144</v>
      </c>
    </row>
    <row r="6" spans="1:15" ht="13.5" customHeight="1">
      <c r="A6" s="78" t="s">
        <v>266</v>
      </c>
      <c r="B6" s="41"/>
      <c r="C6" s="42">
        <f>VLOOKUP($A$1,FTSELU,12,FALSE)</f>
        <v>1732.87</v>
      </c>
      <c r="J6" s="712"/>
    </row>
    <row r="7" spans="1:15">
      <c r="I7" s="824" t="s">
        <v>1162</v>
      </c>
      <c r="J7" s="827"/>
    </row>
    <row r="8" spans="1:15">
      <c r="A8" s="81" t="s">
        <v>71</v>
      </c>
      <c r="B8" s="81"/>
      <c r="C8" s="24"/>
      <c r="I8" s="896">
        <f>VLOOKUP(A1,FTSELU,14,FALSE)</f>
        <v>224.55</v>
      </c>
      <c r="J8" s="712"/>
    </row>
    <row r="9" spans="1:15" ht="12.75" customHeight="1" thickBot="1">
      <c r="A9" s="78" t="s">
        <v>0</v>
      </c>
      <c r="B9" s="82"/>
      <c r="C9" s="7"/>
      <c r="J9" s="712"/>
    </row>
    <row r="10" spans="1:15" ht="12.75" customHeight="1" thickTop="1">
      <c r="A10" s="75" t="s">
        <v>1</v>
      </c>
      <c r="B10" s="83">
        <f>'TAMUG FGD'!M10</f>
        <v>70229913</v>
      </c>
      <c r="C10" s="83">
        <f>ROUND(B10/$C$6,0)</f>
        <v>40528</v>
      </c>
      <c r="D10" s="512">
        <f>'TAMUG FGD'!F10</f>
        <v>0</v>
      </c>
      <c r="E10" s="512"/>
      <c r="F10" s="84">
        <f>B10-(SUM(D10:E10))</f>
        <v>70229913</v>
      </c>
      <c r="G10" s="1143" t="s">
        <v>1</v>
      </c>
      <c r="H10" s="1144"/>
      <c r="I10" s="825" t="s">
        <v>1161</v>
      </c>
      <c r="J10" s="713">
        <f>ROUND(F10/$C$6,0)</f>
        <v>40528</v>
      </c>
    </row>
    <row r="11" spans="1:15" ht="12.75" customHeight="1" thickBot="1">
      <c r="A11" s="75" t="s">
        <v>2</v>
      </c>
      <c r="B11" s="86">
        <f>'TAMUG FGD'!M11</f>
        <v>776502</v>
      </c>
      <c r="C11" s="87">
        <f t="shared" ref="C11:C14" si="0">ROUND(B11/$C$6,0)</f>
        <v>448</v>
      </c>
      <c r="D11" s="86">
        <f>'TAMUG FGD'!F11</f>
        <v>0</v>
      </c>
      <c r="E11" s="74"/>
      <c r="F11" s="606">
        <f t="shared" ref="F11:F14" si="1">B11-(SUM(D11:E11))</f>
        <v>776502</v>
      </c>
      <c r="G11" s="1148">
        <f>SUM(F10:F11)</f>
        <v>71006415</v>
      </c>
      <c r="H11" s="715"/>
      <c r="I11" s="1373">
        <f>ROUND($G$11/$C$6,0)</f>
        <v>40976</v>
      </c>
      <c r="J11" s="716">
        <f t="shared" ref="J11:J14" si="2">ROUND(F11/$C$6,0)</f>
        <v>448</v>
      </c>
    </row>
    <row r="12" spans="1:15" ht="12.75" hidden="1" customHeight="1" thickTop="1" thickBot="1">
      <c r="A12" s="75" t="s">
        <v>1410</v>
      </c>
      <c r="B12" s="86"/>
      <c r="C12" s="87"/>
      <c r="D12" s="86"/>
      <c r="E12" s="74"/>
      <c r="F12" s="607"/>
      <c r="J12" s="716"/>
      <c r="O12" s="608"/>
    </row>
    <row r="13" spans="1:15" ht="12.75" customHeight="1" thickTop="1">
      <c r="A13" s="75" t="s">
        <v>1368</v>
      </c>
      <c r="B13" s="86">
        <f>'TAMUG FGD'!M13</f>
        <v>0</v>
      </c>
      <c r="C13" s="87">
        <f t="shared" si="0"/>
        <v>0</v>
      </c>
      <c r="D13" s="86">
        <f>'TAMUG FGD'!F13</f>
        <v>0</v>
      </c>
      <c r="E13" s="74"/>
      <c r="F13" s="893">
        <f t="shared" si="1"/>
        <v>0</v>
      </c>
      <c r="G13" s="882" t="s">
        <v>81</v>
      </c>
      <c r="H13" s="894"/>
      <c r="I13" s="826" t="s">
        <v>1163</v>
      </c>
      <c r="J13" s="716">
        <f t="shared" si="2"/>
        <v>0</v>
      </c>
    </row>
    <row r="14" spans="1:15" ht="12.75" customHeight="1" thickBot="1">
      <c r="A14" s="75" t="s">
        <v>49</v>
      </c>
      <c r="B14" s="86">
        <f>'TAMUG FGD'!M14</f>
        <v>0</v>
      </c>
      <c r="C14" s="87">
        <f t="shared" si="0"/>
        <v>0</v>
      </c>
      <c r="D14" s="86">
        <f>'TAMUG FGD'!F14</f>
        <v>0</v>
      </c>
      <c r="E14" s="74"/>
      <c r="F14" s="607">
        <f t="shared" si="1"/>
        <v>0</v>
      </c>
      <c r="G14" s="800">
        <f>SUM(F13:F14)</f>
        <v>0</v>
      </c>
      <c r="H14" s="895"/>
      <c r="I14" s="1377">
        <f>ROUND($G$11/$I$8,0)</f>
        <v>316216</v>
      </c>
      <c r="J14" s="828">
        <f t="shared" si="2"/>
        <v>0</v>
      </c>
    </row>
    <row r="15" spans="1:15" ht="12.75" customHeight="1" thickTop="1">
      <c r="A15" s="88" t="s">
        <v>3</v>
      </c>
      <c r="B15" s="89">
        <f>SUM(B10:B14)</f>
        <v>71006415</v>
      </c>
      <c r="C15" s="89">
        <f>SUM(C10:C14)</f>
        <v>40976</v>
      </c>
      <c r="D15" s="89">
        <f>SUM(D10:D14)</f>
        <v>0</v>
      </c>
      <c r="E15" s="89">
        <f>SUM(E10:E14)</f>
        <v>0</v>
      </c>
      <c r="F15" s="216">
        <f>SUM(F10:F14)</f>
        <v>71006415</v>
      </c>
      <c r="I15" s="1372"/>
      <c r="J15" s="757">
        <f>SUM(J10:J14)</f>
        <v>40976</v>
      </c>
    </row>
    <row r="16" spans="1:15">
      <c r="B16" s="48"/>
      <c r="C16" s="75"/>
      <c r="J16" s="712"/>
    </row>
    <row r="17" spans="1:31" ht="12.75" customHeight="1">
      <c r="A17" s="78" t="s">
        <v>4</v>
      </c>
      <c r="B17" s="86"/>
      <c r="C17" s="75"/>
      <c r="J17" s="712"/>
    </row>
    <row r="18" spans="1:31">
      <c r="A18" s="75" t="s">
        <v>39</v>
      </c>
      <c r="B18" s="83">
        <f>'TAMUG FGD'!M29</f>
        <v>12675670</v>
      </c>
      <c r="C18" s="83">
        <f t="shared" ref="C18:C19" si="3">ROUND(B18/$C$6,0)</f>
        <v>7315</v>
      </c>
      <c r="D18" s="512">
        <f>'TAMUG FGD'!$F$29</f>
        <v>0</v>
      </c>
      <c r="E18" s="512"/>
      <c r="F18" s="512">
        <f t="shared" ref="F18:F19" si="4">B18-(SUM(D18:E18))</f>
        <v>12675670</v>
      </c>
      <c r="G18" s="337"/>
      <c r="H18" s="337"/>
      <c r="I18" s="337"/>
      <c r="J18" s="713">
        <f>ROUND(F18/$C$6,0)</f>
        <v>7315</v>
      </c>
    </row>
    <row r="19" spans="1:31" ht="13.5" thickBot="1">
      <c r="A19" s="75" t="s">
        <v>40</v>
      </c>
      <c r="B19" s="86">
        <f>'TAMUG FGD'!M42</f>
        <v>8677050</v>
      </c>
      <c r="C19" s="87">
        <f t="shared" si="3"/>
        <v>5007</v>
      </c>
      <c r="D19" s="74">
        <f>'TAMUG FGD'!$F$42</f>
        <v>60588</v>
      </c>
      <c r="E19" s="74"/>
      <c r="F19" s="74">
        <f t="shared" si="4"/>
        <v>8616462</v>
      </c>
      <c r="G19" s="337"/>
      <c r="H19" s="337"/>
      <c r="I19" s="337"/>
      <c r="J19" s="716">
        <f>ROUND(F19/$C$6,0)</f>
        <v>4972</v>
      </c>
    </row>
    <row r="20" spans="1:31" ht="14.25" thickTop="1" thickBot="1">
      <c r="A20" s="88" t="s">
        <v>5</v>
      </c>
      <c r="B20" s="89">
        <f>SUM(B18:B19)</f>
        <v>21352720</v>
      </c>
      <c r="C20" s="89">
        <f>SUM(C18:C19)</f>
        <v>12322</v>
      </c>
      <c r="D20" s="717">
        <f>SUM(D18:D19)</f>
        <v>60588</v>
      </c>
      <c r="E20" s="718">
        <f>SUM(E18:E19)</f>
        <v>0</v>
      </c>
      <c r="F20" s="801">
        <f>SUM(F18:F19)</f>
        <v>21292132</v>
      </c>
      <c r="G20" s="720" t="s">
        <v>26</v>
      </c>
      <c r="H20" s="366"/>
      <c r="I20" s="367"/>
      <c r="J20" s="721">
        <f>SUM(J18:J19)</f>
        <v>12287</v>
      </c>
    </row>
    <row r="21" spans="1:31" ht="12.75" customHeight="1" thickTop="1">
      <c r="B21" s="91"/>
      <c r="C21" s="75"/>
      <c r="F21" s="804"/>
      <c r="J21" s="712"/>
    </row>
    <row r="22" spans="1:31" ht="14.25" customHeight="1" thickBot="1">
      <c r="A22" s="78" t="s">
        <v>6</v>
      </c>
      <c r="B22" s="91"/>
      <c r="C22" s="75"/>
      <c r="J22" s="712"/>
    </row>
    <row r="23" spans="1:31" ht="14.25" thickTop="1" thickBot="1">
      <c r="A23" s="88" t="s">
        <v>7</v>
      </c>
      <c r="B23" s="92">
        <f>'TAMUG FGD'!M47</f>
        <v>10245867</v>
      </c>
      <c r="C23" s="89">
        <f t="shared" ref="C23" si="5">ROUND(B23/$C$6,0)</f>
        <v>5913</v>
      </c>
      <c r="D23" s="717">
        <f>'TAMUG FGD'!F47</f>
        <v>0</v>
      </c>
      <c r="E23" s="718"/>
      <c r="F23" s="801">
        <f>B23-(SUM(D23:E23))</f>
        <v>10245867</v>
      </c>
      <c r="G23" s="722" t="s">
        <v>74</v>
      </c>
      <c r="H23" s="366"/>
      <c r="I23" s="367"/>
      <c r="J23" s="756">
        <f>ROUND(F23/$C$6,0)</f>
        <v>5913</v>
      </c>
    </row>
    <row r="24" spans="1:31" ht="13.5" thickTop="1">
      <c r="B24" s="91"/>
      <c r="C24" s="75"/>
      <c r="J24" s="712"/>
    </row>
    <row r="25" spans="1:31">
      <c r="A25" s="78" t="s">
        <v>8</v>
      </c>
      <c r="B25" s="91"/>
      <c r="C25" s="75"/>
      <c r="J25" s="712"/>
    </row>
    <row r="26" spans="1:31">
      <c r="A26" s="75" t="s">
        <v>42</v>
      </c>
      <c r="B26" s="83">
        <f>'TAMUG FGD'!M50</f>
        <v>4215967</v>
      </c>
      <c r="C26" s="83">
        <f t="shared" ref="C26:C31" si="6">ROUND(B26/$C$6,0)</f>
        <v>2433</v>
      </c>
      <c r="D26" s="512">
        <f>'TAMUG FGD'!F50</f>
        <v>0</v>
      </c>
      <c r="E26" s="512"/>
      <c r="F26" s="512">
        <f t="shared" ref="F26:F31" si="7">B26-(SUM(D26:E26))</f>
        <v>4215967</v>
      </c>
      <c r="G26" s="337"/>
      <c r="H26" s="337"/>
      <c r="I26" s="337"/>
      <c r="J26" s="713">
        <f>ROUND(F26/$C$6,0)</f>
        <v>2433</v>
      </c>
    </row>
    <row r="27" spans="1:31">
      <c r="A27" s="75" t="s">
        <v>9</v>
      </c>
      <c r="B27" s="86">
        <f>'TAMUG FGD'!M51</f>
        <v>0</v>
      </c>
      <c r="C27" s="87">
        <f t="shared" si="6"/>
        <v>0</v>
      </c>
      <c r="D27" s="86">
        <f>'TAMUG FGD'!F51</f>
        <v>0</v>
      </c>
      <c r="E27" s="74"/>
      <c r="F27" s="74">
        <f t="shared" si="7"/>
        <v>0</v>
      </c>
      <c r="G27" s="337"/>
      <c r="H27" s="337"/>
      <c r="I27" s="337"/>
      <c r="J27" s="716">
        <f t="shared" ref="J27:J31" si="8">ROUND(F27/$C$6,0)</f>
        <v>0</v>
      </c>
    </row>
    <row r="28" spans="1:31" ht="13.5" thickBot="1">
      <c r="A28" s="75" t="s">
        <v>10</v>
      </c>
      <c r="B28" s="86">
        <f>'TAMUG FGD'!M52</f>
        <v>3349397</v>
      </c>
      <c r="C28" s="87">
        <f t="shared" si="6"/>
        <v>1933</v>
      </c>
      <c r="D28" s="86">
        <f>'TAMUG FGD'!F52</f>
        <v>0</v>
      </c>
      <c r="E28" s="74"/>
      <c r="F28" s="74">
        <f t="shared" si="7"/>
        <v>3349397</v>
      </c>
      <c r="G28" s="337"/>
      <c r="H28" s="337"/>
      <c r="I28" s="337"/>
      <c r="J28" s="716">
        <f t="shared" si="8"/>
        <v>1933</v>
      </c>
    </row>
    <row r="29" spans="1:31" ht="13.5" thickBot="1">
      <c r="A29" s="75" t="s">
        <v>11</v>
      </c>
      <c r="B29" s="86">
        <f>'TAMUG FGD'!M53</f>
        <v>2523321</v>
      </c>
      <c r="C29" s="87">
        <f t="shared" si="6"/>
        <v>1456</v>
      </c>
      <c r="D29" s="86">
        <f>'TAMUG FGD'!F53</f>
        <v>0</v>
      </c>
      <c r="E29" s="74"/>
      <c r="F29" s="74">
        <f t="shared" si="7"/>
        <v>2523321</v>
      </c>
      <c r="G29" s="337"/>
      <c r="H29" s="337"/>
      <c r="I29" s="337"/>
      <c r="J29" s="716">
        <f t="shared" si="8"/>
        <v>1456</v>
      </c>
      <c r="K29" s="1694" t="s">
        <v>1065</v>
      </c>
      <c r="L29" s="1695"/>
      <c r="M29" s="1695"/>
      <c r="N29" s="1695"/>
      <c r="O29" s="1696"/>
    </row>
    <row r="30" spans="1:31" ht="13.5" thickBot="1">
      <c r="A30" s="93" t="s">
        <v>2134</v>
      </c>
      <c r="B30" s="94">
        <f>'TAMUG FGD'!M54</f>
        <v>4734974</v>
      </c>
      <c r="C30" s="87">
        <f t="shared" si="6"/>
        <v>2732</v>
      </c>
      <c r="D30" s="729">
        <f>B30</f>
        <v>4734974</v>
      </c>
      <c r="E30" s="74"/>
      <c r="F30" s="74">
        <f t="shared" si="7"/>
        <v>0</v>
      </c>
      <c r="G30" s="337"/>
      <c r="H30" s="337"/>
      <c r="I30" s="337"/>
      <c r="J30" s="716">
        <f t="shared" si="8"/>
        <v>0</v>
      </c>
      <c r="K30" s="1694" t="s">
        <v>1070</v>
      </c>
      <c r="L30" s="1695"/>
      <c r="M30" s="1695"/>
      <c r="N30" s="1695"/>
      <c r="O30" s="1696"/>
    </row>
    <row r="31" spans="1:31" ht="13.5" customHeight="1" thickBot="1">
      <c r="A31" s="95" t="s">
        <v>43</v>
      </c>
      <c r="B31" s="86">
        <f>'TAMUG FGD'!M55</f>
        <v>3122218</v>
      </c>
      <c r="C31" s="87">
        <f t="shared" si="6"/>
        <v>1802</v>
      </c>
      <c r="D31" s="86">
        <f>'TAMUG FGD'!F55</f>
        <v>2276867</v>
      </c>
      <c r="E31" s="74"/>
      <c r="F31" s="74">
        <f t="shared" si="7"/>
        <v>845351</v>
      </c>
      <c r="G31" s="35"/>
      <c r="H31" s="35"/>
      <c r="I31" s="38"/>
      <c r="J31" s="716">
        <f t="shared" si="8"/>
        <v>488</v>
      </c>
      <c r="K31" s="1697" t="s">
        <v>1073</v>
      </c>
      <c r="L31" s="1697" t="s">
        <v>1071</v>
      </c>
      <c r="M31" s="1697" t="s">
        <v>1072</v>
      </c>
      <c r="N31" s="1697" t="s">
        <v>1240</v>
      </c>
      <c r="O31" s="1697"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17945877</v>
      </c>
      <c r="C32" s="89">
        <f>SUM(C26:C31)</f>
        <v>10356</v>
      </c>
      <c r="D32" s="723">
        <f>SUM(D26:D31)</f>
        <v>7011841</v>
      </c>
      <c r="E32" s="723">
        <f>SUM(E26:E31)</f>
        <v>0</v>
      </c>
      <c r="F32" s="802">
        <f>SUM(F26:F31)</f>
        <v>10934036</v>
      </c>
      <c r="G32" s="1708" t="s">
        <v>8</v>
      </c>
      <c r="H32" s="1709"/>
      <c r="I32" s="783" t="s">
        <v>1166</v>
      </c>
      <c r="J32" s="725">
        <f>SUM(J26:J31)</f>
        <v>6310</v>
      </c>
      <c r="K32" s="1698"/>
      <c r="L32" s="1698"/>
      <c r="M32" s="1698"/>
      <c r="N32" s="1698" t="s">
        <v>1074</v>
      </c>
      <c r="O32" s="1698" t="s">
        <v>1075</v>
      </c>
    </row>
    <row r="33" spans="1:31" ht="14.25" thickTop="1" thickBot="1">
      <c r="A33" s="97" t="s">
        <v>68</v>
      </c>
      <c r="B33" s="52">
        <f>B15+B20+B23+B32</f>
        <v>120550879</v>
      </c>
      <c r="C33" s="45">
        <f>C15+C20+C23+C32</f>
        <v>69567</v>
      </c>
      <c r="D33" s="52">
        <f>D15+D20+D23+D32</f>
        <v>7072429</v>
      </c>
      <c r="E33" s="52">
        <f>E15+E20+E23+E32</f>
        <v>0</v>
      </c>
      <c r="F33" s="724">
        <f>F15+F20+F23+F32</f>
        <v>113478450</v>
      </c>
      <c r="G33" s="1758" t="s">
        <v>84</v>
      </c>
      <c r="H33" s="1759"/>
      <c r="I33" s="1375">
        <f>ROUND($G$35/$C$6,0)</f>
        <v>65486</v>
      </c>
      <c r="J33" s="726">
        <f>J15+J20+J23+J32</f>
        <v>65486</v>
      </c>
      <c r="K33" s="1698"/>
      <c r="L33" s="1698"/>
      <c r="M33" s="1698"/>
      <c r="N33" s="1698"/>
      <c r="O33" s="1698"/>
    </row>
    <row r="34" spans="1:31" ht="14.25" thickTop="1" thickBot="1">
      <c r="B34" s="98"/>
      <c r="C34" s="75"/>
      <c r="D34" s="337"/>
      <c r="E34" s="337"/>
      <c r="F34" s="337" t="s">
        <v>1199</v>
      </c>
      <c r="G34" s="787">
        <f>G14*-1</f>
        <v>0</v>
      </c>
      <c r="H34" s="337"/>
      <c r="I34" s="783" t="s">
        <v>1167</v>
      </c>
      <c r="J34" s="727"/>
      <c r="K34" s="1699"/>
      <c r="L34" s="1699"/>
      <c r="M34" s="1699"/>
      <c r="N34" s="1699"/>
      <c r="O34" s="1699"/>
    </row>
    <row r="35" spans="1:31" ht="14.25" thickTop="1" thickBot="1">
      <c r="A35" s="81" t="s">
        <v>72</v>
      </c>
      <c r="B35" s="81"/>
      <c r="C35" s="81"/>
      <c r="D35" s="728"/>
      <c r="E35" s="728"/>
      <c r="F35" s="788" t="s">
        <v>1165</v>
      </c>
      <c r="G35" s="803">
        <f>F33+G34</f>
        <v>113478450</v>
      </c>
      <c r="I35" s="1376">
        <f>ROUND($G$35/$I$8,0)</f>
        <v>505359</v>
      </c>
      <c r="K35" s="609"/>
      <c r="L35" s="609"/>
      <c r="M35" s="609"/>
      <c r="N35" s="609"/>
      <c r="O35" s="609"/>
    </row>
    <row r="36" spans="1:31" ht="13.5" thickTop="1">
      <c r="A36" s="99" t="s">
        <v>14</v>
      </c>
      <c r="B36" s="83">
        <f>'TAMUG FGD'!M60</f>
        <v>20218790</v>
      </c>
      <c r="C36" s="83">
        <f t="shared" ref="C36:C46" si="9">ROUND(B36/$C$6,0)</f>
        <v>11668</v>
      </c>
      <c r="D36" s="512">
        <f>'TAMUG FGD'!F60</f>
        <v>0</v>
      </c>
      <c r="E36" s="512"/>
      <c r="F36" s="512">
        <f t="shared" ref="F36:F46" si="10">B36-(SUM(D36:E36))</f>
        <v>20218790</v>
      </c>
      <c r="G36" s="337"/>
      <c r="H36" s="1378" t="s">
        <v>2158</v>
      </c>
      <c r="I36" s="1379">
        <f>ROUND(F36/$C$6,0)</f>
        <v>11668</v>
      </c>
      <c r="J36" s="337" t="s">
        <v>752</v>
      </c>
      <c r="K36" s="512">
        <f>F36</f>
        <v>20218790</v>
      </c>
      <c r="L36" s="512">
        <f>K36</f>
        <v>20218790</v>
      </c>
      <c r="M36" s="512"/>
      <c r="N36" s="512"/>
      <c r="O36" s="512"/>
    </row>
    <row r="37" spans="1:31">
      <c r="A37" s="99" t="s">
        <v>15</v>
      </c>
      <c r="B37" s="86">
        <f>'TAMUG FGD'!M61</f>
        <v>6717898</v>
      </c>
      <c r="C37" s="87">
        <f t="shared" si="9"/>
        <v>3877</v>
      </c>
      <c r="D37" s="86">
        <f>'TAMUG FGD'!F61</f>
        <v>0</v>
      </c>
      <c r="E37" s="74"/>
      <c r="F37" s="74">
        <f t="shared" si="10"/>
        <v>6717898</v>
      </c>
      <c r="G37" s="337"/>
      <c r="H37" s="337"/>
      <c r="J37" s="337" t="s">
        <v>1076</v>
      </c>
      <c r="K37" s="373">
        <f>F37</f>
        <v>6717898</v>
      </c>
      <c r="L37" s="373">
        <f>K37</f>
        <v>6717898</v>
      </c>
      <c r="M37" s="373"/>
      <c r="N37" s="373"/>
      <c r="O37" s="373"/>
    </row>
    <row r="38" spans="1:31">
      <c r="A38" s="99" t="s">
        <v>16</v>
      </c>
      <c r="B38" s="86">
        <f>'TAMUG FGD'!M62</f>
        <v>913990</v>
      </c>
      <c r="C38" s="87">
        <f t="shared" si="9"/>
        <v>527</v>
      </c>
      <c r="D38" s="86">
        <f>'TAMUG FGD'!F62</f>
        <v>0</v>
      </c>
      <c r="E38" s="86">
        <f>B38-D38</f>
        <v>913990</v>
      </c>
      <c r="F38" s="74">
        <f t="shared" si="10"/>
        <v>0</v>
      </c>
      <c r="G38" s="337"/>
      <c r="H38" s="337"/>
      <c r="I38" s="337"/>
      <c r="J38" s="337" t="s">
        <v>1077</v>
      </c>
      <c r="K38" s="736"/>
      <c r="L38" s="737"/>
      <c r="M38" s="737" t="s">
        <v>1152</v>
      </c>
      <c r="N38" s="737"/>
      <c r="O38" s="738"/>
    </row>
    <row r="39" spans="1:31">
      <c r="A39" s="99" t="s">
        <v>17</v>
      </c>
      <c r="B39" s="86">
        <f>'TAMUG FGD'!M63</f>
        <v>6369577</v>
      </c>
      <c r="C39" s="87">
        <f t="shared" si="9"/>
        <v>3676</v>
      </c>
      <c r="D39" s="86">
        <f>'TAMUG FGD'!F63</f>
        <v>0</v>
      </c>
      <c r="E39" s="74"/>
      <c r="F39" s="74">
        <f t="shared" si="10"/>
        <v>6369577</v>
      </c>
      <c r="G39" s="337"/>
      <c r="H39" s="1378" t="s">
        <v>2159</v>
      </c>
      <c r="I39" s="1379">
        <f>ROUND(F39/$C$6,0)</f>
        <v>3676</v>
      </c>
      <c r="J39" s="337" t="s">
        <v>1078</v>
      </c>
      <c r="K39" s="373">
        <f t="shared" ref="K39:K43" si="11">F39</f>
        <v>6369577</v>
      </c>
      <c r="L39" s="373">
        <f>K39</f>
        <v>6369577</v>
      </c>
      <c r="M39" s="373"/>
      <c r="N39" s="373"/>
      <c r="O39" s="373"/>
    </row>
    <row r="40" spans="1:31">
      <c r="A40" s="99" t="s">
        <v>18</v>
      </c>
      <c r="B40" s="86">
        <f>'TAMUG FGD'!M64</f>
        <v>3191340</v>
      </c>
      <c r="C40" s="87">
        <f t="shared" si="9"/>
        <v>1842</v>
      </c>
      <c r="D40" s="86">
        <f>'TAMUG FGD'!F64</f>
        <v>0</v>
      </c>
      <c r="E40" s="74"/>
      <c r="F40" s="74">
        <f t="shared" si="10"/>
        <v>3191340</v>
      </c>
      <c r="G40" s="337"/>
      <c r="J40" s="337" t="s">
        <v>1079</v>
      </c>
      <c r="K40" s="373">
        <f t="shared" si="11"/>
        <v>3191340</v>
      </c>
      <c r="L40" s="373"/>
      <c r="M40" s="373">
        <f>K40</f>
        <v>3191340</v>
      </c>
      <c r="N40" s="373"/>
      <c r="O40" s="373"/>
    </row>
    <row r="41" spans="1:31">
      <c r="A41" s="99" t="s">
        <v>19</v>
      </c>
      <c r="B41" s="86">
        <f>'TAMUG FGD'!M65</f>
        <v>6740760</v>
      </c>
      <c r="C41" s="87">
        <f t="shared" si="9"/>
        <v>3890</v>
      </c>
      <c r="D41" s="86">
        <f>'TAMUG FGD'!F65</f>
        <v>0</v>
      </c>
      <c r="E41" s="74"/>
      <c r="F41" s="74">
        <f t="shared" si="10"/>
        <v>6740760</v>
      </c>
      <c r="G41" s="337"/>
      <c r="H41" s="1378" t="s">
        <v>2160</v>
      </c>
      <c r="I41" s="1379">
        <f>ROUND(F41/$C$6,0)</f>
        <v>3890</v>
      </c>
      <c r="J41" s="337" t="s">
        <v>757</v>
      </c>
      <c r="K41" s="373">
        <f t="shared" si="11"/>
        <v>6740760</v>
      </c>
      <c r="L41" s="373"/>
      <c r="M41" s="373"/>
      <c r="N41" s="373">
        <f>K41</f>
        <v>6740760</v>
      </c>
      <c r="O41" s="373"/>
    </row>
    <row r="42" spans="1:31">
      <c r="A42" s="99" t="s">
        <v>20</v>
      </c>
      <c r="B42" s="86">
        <f>'TAMUG FGD'!M66</f>
        <v>7301557</v>
      </c>
      <c r="C42" s="87">
        <f t="shared" si="9"/>
        <v>4214</v>
      </c>
      <c r="D42" s="86">
        <f>'TAMUG FGD'!F66</f>
        <v>0</v>
      </c>
      <c r="E42" s="74"/>
      <c r="F42" s="74">
        <f t="shared" si="10"/>
        <v>7301557</v>
      </c>
      <c r="G42" s="337"/>
      <c r="J42" s="337" t="s">
        <v>758</v>
      </c>
      <c r="K42" s="373">
        <f t="shared" si="11"/>
        <v>7301557</v>
      </c>
      <c r="L42" s="373"/>
      <c r="M42" s="373"/>
      <c r="N42" s="373">
        <f>K42</f>
        <v>7301557</v>
      </c>
      <c r="O42" s="373"/>
    </row>
    <row r="43" spans="1:31">
      <c r="A43" s="99" t="s">
        <v>21</v>
      </c>
      <c r="B43" s="86">
        <f>'TAMUG FGD'!M67</f>
        <v>2894109</v>
      </c>
      <c r="C43" s="87">
        <f t="shared" si="9"/>
        <v>1670</v>
      </c>
      <c r="D43" s="86">
        <f>'TAMUG FGD'!F67</f>
        <v>0</v>
      </c>
      <c r="E43" s="74"/>
      <c r="F43" s="74">
        <f t="shared" si="10"/>
        <v>2894109</v>
      </c>
      <c r="G43" s="337"/>
      <c r="H43" s="337"/>
      <c r="I43" s="337"/>
      <c r="J43" s="337" t="s">
        <v>1145</v>
      </c>
      <c r="K43" s="373">
        <f t="shared" si="11"/>
        <v>2894109</v>
      </c>
      <c r="L43" s="373"/>
      <c r="M43" s="373">
        <f>K43</f>
        <v>2894109</v>
      </c>
      <c r="N43" s="373"/>
      <c r="O43" s="373"/>
    </row>
    <row r="44" spans="1:31">
      <c r="A44" s="99" t="s">
        <v>2135</v>
      </c>
      <c r="B44" s="86">
        <f>'TAMUG FGD'!M68</f>
        <v>5110510</v>
      </c>
      <c r="C44" s="87">
        <f t="shared" si="9"/>
        <v>2949</v>
      </c>
      <c r="D44" s="729">
        <f>B44</f>
        <v>5110510</v>
      </c>
      <c r="E44" s="74"/>
      <c r="F44" s="74">
        <f t="shared" si="10"/>
        <v>0</v>
      </c>
      <c r="G44" s="337"/>
      <c r="H44" s="337"/>
      <c r="I44" s="337"/>
      <c r="J44" s="337" t="s">
        <v>743</v>
      </c>
      <c r="K44" s="736"/>
      <c r="L44" s="737"/>
      <c r="M44" s="737" t="s">
        <v>1152</v>
      </c>
      <c r="N44" s="737"/>
      <c r="O44" s="738"/>
    </row>
    <row r="45" spans="1:31">
      <c r="A45" s="99" t="s">
        <v>61</v>
      </c>
      <c r="B45" s="86">
        <f>'TAMUG FGD'!M69</f>
        <v>407045</v>
      </c>
      <c r="C45" s="87">
        <f t="shared" si="9"/>
        <v>235</v>
      </c>
      <c r="D45" s="86">
        <f>'TAMUG FGD'!F69</f>
        <v>0</v>
      </c>
      <c r="E45" s="74"/>
      <c r="F45" s="74">
        <f t="shared" si="10"/>
        <v>407045</v>
      </c>
      <c r="G45" s="337"/>
      <c r="H45" s="337"/>
      <c r="I45" s="337"/>
      <c r="J45" s="337" t="s">
        <v>1080</v>
      </c>
      <c r="K45" s="373">
        <f t="shared" ref="K45:K46" si="12">F45</f>
        <v>407045</v>
      </c>
      <c r="L45" s="373"/>
      <c r="M45" s="373"/>
      <c r="N45" s="373"/>
      <c r="O45" s="373">
        <f>K45</f>
        <v>407045</v>
      </c>
    </row>
    <row r="46" spans="1:31" ht="13.5" thickBot="1">
      <c r="A46" s="75" t="s">
        <v>50</v>
      </c>
      <c r="B46" s="86">
        <f>'TAMUG FGD'!M70</f>
        <v>303961</v>
      </c>
      <c r="C46" s="87">
        <f t="shared" si="9"/>
        <v>175</v>
      </c>
      <c r="D46" s="86">
        <f>'TAMUG FGD'!F70</f>
        <v>0</v>
      </c>
      <c r="E46" s="74"/>
      <c r="F46" s="74">
        <f t="shared" si="10"/>
        <v>303961</v>
      </c>
      <c r="G46" s="35"/>
      <c r="H46" s="1378" t="s">
        <v>2161</v>
      </c>
      <c r="I46" s="1379">
        <f>ROUND(SUM(F37+F40+F42+F43+F45+F46)/$C$6,0)</f>
        <v>12012</v>
      </c>
      <c r="J46" s="610" t="s">
        <v>1075</v>
      </c>
      <c r="K46" s="373">
        <f t="shared" si="12"/>
        <v>303961</v>
      </c>
      <c r="L46" s="611"/>
      <c r="M46" s="611"/>
      <c r="N46" s="611"/>
      <c r="O46" s="373">
        <f>K46</f>
        <v>303961</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60169537</v>
      </c>
      <c r="C47" s="45">
        <f>SUM(C36:C46)</f>
        <v>34723</v>
      </c>
      <c r="D47" s="730">
        <f>SUM(D36:D46)</f>
        <v>5110510</v>
      </c>
      <c r="E47" s="731">
        <f>SUM(E36:E46)</f>
        <v>913990</v>
      </c>
      <c r="F47" s="719">
        <f>SUM(F36:F46)</f>
        <v>54145037</v>
      </c>
      <c r="G47" s="1688" t="s">
        <v>1176</v>
      </c>
      <c r="H47" s="1689"/>
      <c r="I47" s="785" t="s">
        <v>1164</v>
      </c>
      <c r="J47" s="610" t="s">
        <v>1081</v>
      </c>
      <c r="K47" s="612">
        <f>SUM(K36:K46)</f>
        <v>54145037</v>
      </c>
      <c r="L47" s="612">
        <f>SUM(L36:L46)</f>
        <v>33306265</v>
      </c>
      <c r="M47" s="612">
        <f>SUM(M36:M46)</f>
        <v>6085449</v>
      </c>
      <c r="N47" s="612">
        <f>SUM(N36:N46)</f>
        <v>14042317</v>
      </c>
      <c r="O47" s="612">
        <f>SUM(O36:O46)</f>
        <v>711006</v>
      </c>
    </row>
    <row r="48" spans="1:31" ht="14.25" thickTop="1" thickBot="1">
      <c r="A48" s="93"/>
      <c r="B48" s="98"/>
      <c r="C48" s="75"/>
      <c r="F48" s="613"/>
      <c r="G48" s="1690"/>
      <c r="H48" s="1691"/>
      <c r="I48" s="823">
        <f>ROUND(F47/C6,0)</f>
        <v>31246</v>
      </c>
      <c r="J48" s="1700" t="s">
        <v>1082</v>
      </c>
      <c r="K48" s="611"/>
      <c r="L48" s="611"/>
      <c r="M48" s="611"/>
      <c r="N48" s="611"/>
      <c r="O48" s="611"/>
    </row>
    <row r="49" spans="1:31" ht="13.5" thickBot="1">
      <c r="A49" s="78" t="s">
        <v>23</v>
      </c>
      <c r="B49" s="82"/>
      <c r="C49" s="75"/>
      <c r="F49" s="614"/>
      <c r="G49" s="1690"/>
      <c r="H49" s="1691"/>
      <c r="I49" s="811"/>
      <c r="J49" s="1700"/>
      <c r="K49" s="615">
        <f>ROUND(K47/$C$6,2)</f>
        <v>31245.87</v>
      </c>
      <c r="L49" s="615">
        <f t="shared" ref="L49:O49" si="13">ROUND(L47/$C$6,2)</f>
        <v>19220.29</v>
      </c>
      <c r="M49" s="615">
        <f t="shared" si="13"/>
        <v>3511.77</v>
      </c>
      <c r="N49" s="615">
        <f t="shared" si="13"/>
        <v>8103.5</v>
      </c>
      <c r="O49" s="615">
        <f t="shared" si="13"/>
        <v>410.31</v>
      </c>
      <c r="P49" s="35"/>
      <c r="Q49" s="96"/>
      <c r="R49" s="96"/>
      <c r="S49" s="96"/>
      <c r="T49" s="96"/>
      <c r="U49" s="96"/>
      <c r="V49" s="96"/>
      <c r="W49" s="96"/>
      <c r="X49" s="96"/>
      <c r="Y49" s="96"/>
      <c r="Z49" s="96"/>
      <c r="AA49" s="96"/>
      <c r="AB49" s="96"/>
      <c r="AC49" s="96"/>
      <c r="AD49" s="96"/>
      <c r="AE49" s="96"/>
    </row>
    <row r="50" spans="1:31" ht="13.5" thickBot="1">
      <c r="A50" s="75" t="s">
        <v>62</v>
      </c>
      <c r="B50" s="86">
        <f>'TAMUG FGD'!M74</f>
        <v>-2390460</v>
      </c>
      <c r="C50" s="83">
        <f t="shared" ref="C50:C53" si="14">ROUND(B50/$C$6,0)</f>
        <v>-1379</v>
      </c>
      <c r="D50" s="512">
        <f>'TAMUG FGD'!F74</f>
        <v>0</v>
      </c>
      <c r="E50" s="512"/>
      <c r="F50" s="732">
        <f t="shared" ref="F50:F53" si="15">B50-(SUM(D50:E50))</f>
        <v>-2390460</v>
      </c>
      <c r="G50" s="1692"/>
      <c r="H50" s="1693"/>
      <c r="I50" s="808"/>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'TAMUG FGD'!M75</f>
        <v>2908081</v>
      </c>
      <c r="C51" s="87">
        <f t="shared" si="14"/>
        <v>1678</v>
      </c>
      <c r="D51" s="91">
        <f>'TAMUG FGD'!F75</f>
        <v>422806</v>
      </c>
      <c r="E51" s="82"/>
      <c r="F51" s="74">
        <f t="shared" si="15"/>
        <v>2485275</v>
      </c>
      <c r="G51" s="337"/>
      <c r="J51" s="337"/>
      <c r="K51" s="616"/>
      <c r="L51" s="616"/>
      <c r="M51" s="616"/>
      <c r="N51" s="616"/>
      <c r="O51" s="616"/>
    </row>
    <row r="52" spans="1:31">
      <c r="A52" s="75" t="s">
        <v>51</v>
      </c>
      <c r="B52" s="86">
        <f>'TAMUG FGD'!M76</f>
        <v>0</v>
      </c>
      <c r="C52" s="87">
        <f t="shared" si="14"/>
        <v>0</v>
      </c>
      <c r="D52" s="91">
        <f>'TAMUG FGD'!F76</f>
        <v>0</v>
      </c>
      <c r="E52" s="82"/>
      <c r="F52" s="74">
        <f t="shared" si="15"/>
        <v>0</v>
      </c>
      <c r="G52" s="337"/>
      <c r="J52" s="733"/>
      <c r="K52" s="733"/>
      <c r="L52" s="733"/>
      <c r="M52" s="733"/>
      <c r="N52" s="733"/>
      <c r="O52" s="733"/>
    </row>
    <row r="53" spans="1:31" ht="12" customHeight="1">
      <c r="A53" s="75" t="s">
        <v>46</v>
      </c>
      <c r="B53" s="86">
        <f>'TAMUG FGD'!M77</f>
        <v>-10693834</v>
      </c>
      <c r="C53" s="87">
        <f t="shared" si="14"/>
        <v>-6171</v>
      </c>
      <c r="D53" s="91">
        <f>'TAMUG FGD'!F77</f>
        <v>-1687212</v>
      </c>
      <c r="E53" s="82"/>
      <c r="F53" s="74">
        <f t="shared" si="15"/>
        <v>-9006622</v>
      </c>
      <c r="G53" s="35"/>
      <c r="J53" s="733"/>
      <c r="K53" s="733"/>
      <c r="L53" s="733"/>
      <c r="M53" s="733"/>
      <c r="N53" s="733"/>
      <c r="O53" s="733"/>
      <c r="P53" s="35"/>
      <c r="Q53" s="96"/>
      <c r="R53" s="96"/>
      <c r="S53" s="96"/>
      <c r="T53" s="96"/>
      <c r="U53" s="96"/>
      <c r="V53" s="96"/>
      <c r="W53" s="96"/>
      <c r="X53" s="96"/>
      <c r="Y53" s="96"/>
      <c r="Z53" s="96"/>
      <c r="AA53" s="96"/>
      <c r="AB53" s="96"/>
      <c r="AC53" s="96"/>
      <c r="AD53" s="96"/>
      <c r="AE53" s="96"/>
    </row>
    <row r="54" spans="1:31">
      <c r="A54" s="88" t="s">
        <v>3</v>
      </c>
      <c r="B54" s="89">
        <f>SUM(B50:B53)</f>
        <v>-10176213</v>
      </c>
      <c r="C54" s="89">
        <f>SUM(C50:C53)</f>
        <v>-5872</v>
      </c>
      <c r="D54" s="89">
        <f>SUM(D50:D53)</f>
        <v>-1264406</v>
      </c>
      <c r="E54" s="89">
        <f>SUM(E50:E53)</f>
        <v>0</v>
      </c>
      <c r="F54" s="102">
        <f>SUM(F50:F53)</f>
        <v>-8911807</v>
      </c>
      <c r="G54" s="337"/>
      <c r="H54" s="337"/>
      <c r="I54" s="337"/>
      <c r="J54" s="733"/>
      <c r="K54" s="733"/>
      <c r="L54" s="733"/>
      <c r="M54" s="733"/>
      <c r="N54" s="733"/>
      <c r="O54" s="733"/>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'TAMUG FGD'!M81</f>
        <v>8217113</v>
      </c>
      <c r="C57" s="83">
        <f>ROUND(B57/$C$6,0)</f>
        <v>4742</v>
      </c>
      <c r="D57" s="512">
        <f>'TAMUG FGD'!F81</f>
        <v>0</v>
      </c>
      <c r="E57" s="512"/>
      <c r="F57" s="512">
        <f t="shared" ref="F57:F58" si="16">B57-(SUM(D57:E57))</f>
        <v>8217113</v>
      </c>
      <c r="G57" s="337"/>
      <c r="H57" s="337"/>
      <c r="I57" s="337"/>
      <c r="J57" s="337"/>
    </row>
    <row r="58" spans="1:31">
      <c r="A58" s="75" t="s">
        <v>48</v>
      </c>
      <c r="B58" s="86">
        <f>'TAMUG FGD'!M82</f>
        <v>1397</v>
      </c>
      <c r="C58" s="87">
        <f>ROUND(B58/$C$6,0)</f>
        <v>1</v>
      </c>
      <c r="D58" s="91">
        <f>'TAMUG FGD'!F82</f>
        <v>0</v>
      </c>
      <c r="E58" s="82"/>
      <c r="F58" s="74">
        <f t="shared" si="16"/>
        <v>1397</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8218510</v>
      </c>
      <c r="C59" s="89">
        <f>SUM(C57:C58)</f>
        <v>4743</v>
      </c>
      <c r="D59" s="89">
        <f>SUM(D57:D58)</f>
        <v>0</v>
      </c>
      <c r="E59" s="89">
        <f>SUM(E57:E58)</f>
        <v>0</v>
      </c>
      <c r="F59" s="89">
        <f>SUM(F57:F58)</f>
        <v>8218510</v>
      </c>
      <c r="G59" s="367"/>
      <c r="H59" s="367"/>
      <c r="I59" s="367"/>
      <c r="J59" s="367"/>
      <c r="K59" s="266"/>
      <c r="L59" s="266"/>
      <c r="M59" s="266"/>
      <c r="N59" s="266"/>
      <c r="O59" s="266"/>
      <c r="P59" s="266"/>
    </row>
    <row r="60" spans="1:31">
      <c r="B60" s="82"/>
      <c r="C60" s="75"/>
    </row>
    <row r="61" spans="1:31" ht="13.5" thickBot="1">
      <c r="A61" s="103" t="s">
        <v>573</v>
      </c>
      <c r="B61" s="46">
        <f>B33-B47+B54+B59</f>
        <v>58423639</v>
      </c>
      <c r="C61" s="46">
        <f>C33-C47+C54+C59</f>
        <v>33715</v>
      </c>
      <c r="D61" s="46">
        <f>D33-D47+D54+D59</f>
        <v>697513</v>
      </c>
      <c r="E61" s="46">
        <f>E33-E47+E54+E59</f>
        <v>-913990</v>
      </c>
      <c r="F61" s="46">
        <f>F33-F47+F54+F59</f>
        <v>58640116</v>
      </c>
    </row>
    <row r="62" spans="1:31" ht="13.5" thickTop="1"/>
    <row r="63" spans="1:31">
      <c r="D63" s="512"/>
    </row>
    <row r="65" spans="2:16">
      <c r="B65" s="734">
        <f>'TAMUG FGD'!$M$85</f>
        <v>58423639</v>
      </c>
      <c r="C65" s="75"/>
      <c r="D65" s="734">
        <f>'TAMUG FGD'!$F$85</f>
        <v>697513</v>
      </c>
      <c r="E65" s="734">
        <f>'TAMUG FGD'!$M$62*-1</f>
        <v>-913990</v>
      </c>
      <c r="F65" s="75"/>
    </row>
    <row r="66" spans="2:16">
      <c r="B66" s="734"/>
      <c r="C66" s="75"/>
      <c r="D66" s="734">
        <f>'TAMUG FGD'!$F$68</f>
        <v>5110510</v>
      </c>
      <c r="E66" s="734">
        <f>+$D$38</f>
        <v>0</v>
      </c>
      <c r="F66" s="734"/>
    </row>
    <row r="67" spans="2:16">
      <c r="B67" s="759"/>
      <c r="C67" s="75"/>
      <c r="D67" s="759">
        <f>-'TAMUG FGD'!$M$68</f>
        <v>-5110510</v>
      </c>
      <c r="E67" s="759"/>
      <c r="F67" s="734"/>
    </row>
    <row r="68" spans="2:16">
      <c r="B68" s="734">
        <f>SUM(B65:B67)</f>
        <v>58423639</v>
      </c>
      <c r="C68" s="75"/>
      <c r="D68" s="734">
        <f>SUM(D65:D67)</f>
        <v>697513</v>
      </c>
      <c r="E68" s="734">
        <f>SUM(E65:E67)</f>
        <v>-913990</v>
      </c>
      <c r="F68" s="734">
        <f>B68-D68-E68</f>
        <v>58640116</v>
      </c>
    </row>
    <row r="69" spans="2:16">
      <c r="B69" s="734"/>
      <c r="C69" s="75"/>
      <c r="D69" s="734">
        <f>'TAMUG FGD'!F54*-1</f>
        <v>-4734974</v>
      </c>
      <c r="E69" s="734"/>
      <c r="F69" s="734"/>
    </row>
    <row r="70" spans="2:16" ht="12.75" customHeight="1">
      <c r="B70" s="759"/>
      <c r="C70" s="95"/>
      <c r="D70" s="759">
        <f>'TAMUG FGD'!M54</f>
        <v>4734974</v>
      </c>
      <c r="E70" s="759"/>
      <c r="F70" s="759">
        <f>-D70-D69</f>
        <v>0</v>
      </c>
    </row>
    <row r="71" spans="2:16" ht="12.75" customHeight="1">
      <c r="B71" s="734">
        <f>SUM(B68:B70)</f>
        <v>58423639</v>
      </c>
      <c r="C71" s="75"/>
      <c r="D71" s="734">
        <f>SUM(D68:D70)</f>
        <v>697513</v>
      </c>
      <c r="E71" s="734">
        <f>SUM(E68:E70)</f>
        <v>-913990</v>
      </c>
      <c r="F71" s="734">
        <f>SUM(F68:F70)</f>
        <v>58640116</v>
      </c>
    </row>
    <row r="72" spans="2:16" ht="12.75" customHeight="1">
      <c r="B72" s="734"/>
      <c r="C72" s="75"/>
      <c r="D72" s="734"/>
      <c r="E72" s="734"/>
      <c r="F72" s="734"/>
    </row>
    <row r="73" spans="2:16" ht="12.75" customHeight="1">
      <c r="B73" s="512">
        <f>B61-B71</f>
        <v>0</v>
      </c>
      <c r="C73" s="75"/>
      <c r="D73" s="512">
        <f>D61-D71</f>
        <v>0</v>
      </c>
      <c r="E73" s="512">
        <f>E61-E71</f>
        <v>0</v>
      </c>
      <c r="F73" s="512">
        <f>F61-F71</f>
        <v>0</v>
      </c>
    </row>
    <row r="74" spans="2:16" ht="12.75" customHeight="1">
      <c r="C74" s="75"/>
      <c r="F74" s="617"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G47:H50"/>
    <mergeCell ref="K30:O30"/>
    <mergeCell ref="M31:M34"/>
    <mergeCell ref="G32:H32"/>
    <mergeCell ref="G33:H33"/>
    <mergeCell ref="L31:L34"/>
    <mergeCell ref="K31:K34"/>
    <mergeCell ref="N31:N34"/>
    <mergeCell ref="O31:O34"/>
    <mergeCell ref="J48:J49"/>
    <mergeCell ref="F1:I1"/>
    <mergeCell ref="J1:O1"/>
    <mergeCell ref="D1:E1"/>
    <mergeCell ref="K29:O29"/>
    <mergeCell ref="D4:D5"/>
    <mergeCell ref="E4:E5"/>
  </mergeCells>
  <hyperlinks>
    <hyperlink ref="D1:E1" location="Index!A1" display="Return to Index" xr:uid="{00000000-0004-0000-3E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49">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4.28515625" style="164" customWidth="1"/>
    <col min="15" max="15" width="14.42578125" style="261" customWidth="1"/>
    <col min="16" max="16" width="25.7109375" style="264" customWidth="1"/>
    <col min="17" max="17" width="16.42578125" style="264" customWidth="1"/>
    <col min="18" max="18" width="16.7109375" style="264" customWidth="1"/>
    <col min="19" max="19" width="1.7109375" style="264" customWidth="1"/>
    <col min="20" max="20" width="17.140625" style="264" customWidth="1"/>
    <col min="21" max="21" width="16.85546875" style="264" customWidth="1"/>
    <col min="22" max="23" width="19.28515625" style="264" customWidth="1"/>
    <col min="24" max="24" width="16.855468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13" t="str">
        <f>'TAMUG Chrts'!$A$1</f>
        <v>Texas A&amp;M University at Galveston</v>
      </c>
      <c r="C2" s="1713"/>
      <c r="D2" s="1713"/>
      <c r="E2" s="1713"/>
      <c r="F2" s="1742"/>
      <c r="G2" s="160"/>
      <c r="H2" s="161"/>
      <c r="I2" s="320" t="str">
        <f>IF($B$2&lt;&gt;Input!$B$15,"Name Mismatch","")</f>
        <v/>
      </c>
      <c r="J2" s="168"/>
      <c r="K2" s="169"/>
      <c r="L2" s="169"/>
      <c r="M2" s="170"/>
      <c r="O2" s="835" t="s">
        <v>1200</v>
      </c>
      <c r="P2" s="36"/>
    </row>
    <row r="3" spans="1:28" ht="20.25">
      <c r="A3" s="184">
        <v>2</v>
      </c>
      <c r="B3" s="1713" t="str">
        <f>'Smmy Chrts'!$A$2</f>
        <v>For the Year Ended August 31, 2021</v>
      </c>
      <c r="C3" s="1713"/>
      <c r="D3" s="1713"/>
      <c r="E3" s="1713"/>
      <c r="F3" s="1742"/>
      <c r="G3" s="161"/>
      <c r="H3" s="161"/>
      <c r="I3" s="169"/>
      <c r="J3" s="168"/>
      <c r="K3" s="169"/>
      <c r="L3" s="169"/>
      <c r="M3" s="170"/>
      <c r="O3" s="74"/>
    </row>
    <row r="4" spans="1:28" ht="20.25">
      <c r="A4" s="184">
        <v>3</v>
      </c>
      <c r="B4" s="1713" t="str">
        <f>'Smmy Chrts'!$A$3</f>
        <v>Source: FY 2021 Annual Financial Report</v>
      </c>
      <c r="C4" s="1713"/>
      <c r="D4" s="1713"/>
      <c r="E4" s="1713"/>
      <c r="F4" s="1742"/>
      <c r="G4" s="161"/>
      <c r="H4" s="161"/>
      <c r="I4" s="169"/>
      <c r="J4" s="168"/>
      <c r="K4" s="169"/>
      <c r="L4" s="169"/>
      <c r="M4" s="170"/>
      <c r="O4" s="74"/>
      <c r="P4" s="1744" t="s">
        <v>93</v>
      </c>
      <c r="Q4" s="1745"/>
      <c r="T4" s="36" t="s">
        <v>250</v>
      </c>
    </row>
    <row r="5" spans="1:28">
      <c r="A5" s="184">
        <v>4</v>
      </c>
      <c r="B5" s="160"/>
      <c r="C5" s="160"/>
      <c r="D5" s="160"/>
      <c r="E5" s="160"/>
      <c r="F5" s="160"/>
      <c r="G5" s="160"/>
      <c r="H5" s="160"/>
      <c r="I5" s="160"/>
      <c r="J5" s="160"/>
      <c r="K5" s="160"/>
      <c r="L5" s="160"/>
      <c r="M5" s="166"/>
      <c r="O5" s="262"/>
    </row>
    <row r="6" spans="1:28">
      <c r="A6" s="184">
        <v>5</v>
      </c>
      <c r="B6" s="1715" t="str">
        <f>'Smmy Chrts'!$C$32</f>
        <v>Detail Worksheet FY 2021</v>
      </c>
      <c r="C6" s="1715"/>
      <c r="D6" s="1743"/>
      <c r="E6" s="1743"/>
      <c r="F6" s="1743"/>
      <c r="G6" s="1743"/>
      <c r="H6" s="1743"/>
      <c r="I6" s="1743"/>
      <c r="J6" s="1743"/>
      <c r="K6" s="1743"/>
      <c r="L6" s="1743"/>
      <c r="M6" s="1743"/>
      <c r="O6" s="265"/>
    </row>
    <row r="7" spans="1:28">
      <c r="A7" s="184">
        <v>6</v>
      </c>
      <c r="B7" s="172"/>
      <c r="C7" s="172"/>
      <c r="D7" s="160"/>
      <c r="E7" s="160"/>
      <c r="F7" s="160"/>
      <c r="G7" s="160"/>
      <c r="H7" s="160"/>
      <c r="I7" s="160"/>
      <c r="J7" s="160"/>
      <c r="K7" s="160"/>
      <c r="L7" s="160"/>
      <c r="M7" s="173" t="str">
        <f>'Smmy Chrts'!$C$33</f>
        <v>FY 2021</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Input!$M$15</f>
        <v>70229913</v>
      </c>
      <c r="E10" s="372">
        <f>Input!$N$15</f>
        <v>0</v>
      </c>
      <c r="F10" s="372">
        <f>Input!$O$15</f>
        <v>0</v>
      </c>
      <c r="G10" s="372">
        <f>Input!$P$15</f>
        <v>0</v>
      </c>
      <c r="H10" s="372">
        <f>Input!$Q$15</f>
        <v>0</v>
      </c>
      <c r="I10" s="372">
        <f>Input!$R$15</f>
        <v>0</v>
      </c>
      <c r="J10" s="372">
        <f>Input!$S$15</f>
        <v>0</v>
      </c>
      <c r="K10" s="372">
        <f>Input!$T$15</f>
        <v>0</v>
      </c>
      <c r="L10" s="372">
        <f>Input!$U$15</f>
        <v>0</v>
      </c>
      <c r="M10" s="373">
        <f t="shared" ref="M10:M15" si="0">D10+E10+F10+G10+H10+I10+J10+K10+L10</f>
        <v>70229913</v>
      </c>
      <c r="N10" s="160"/>
      <c r="O10" s="271"/>
      <c r="P10" s="1718" t="s">
        <v>575</v>
      </c>
      <c r="U10" s="268"/>
    </row>
    <row r="11" spans="1:28">
      <c r="A11" s="184">
        <v>10</v>
      </c>
      <c r="B11" s="160" t="s">
        <v>2</v>
      </c>
      <c r="C11" s="160"/>
      <c r="D11" s="372">
        <f>Input!$V$15</f>
        <v>751423</v>
      </c>
      <c r="E11" s="372">
        <f>Input!$W$15</f>
        <v>10000</v>
      </c>
      <c r="F11" s="372">
        <f>Input!$X$15</f>
        <v>0</v>
      </c>
      <c r="G11" s="372">
        <f>Input!$Y$15</f>
        <v>15079</v>
      </c>
      <c r="H11" s="372">
        <f>Input!$Z$15</f>
        <v>0</v>
      </c>
      <c r="I11" s="372">
        <f>Input!$AA$15</f>
        <v>0</v>
      </c>
      <c r="J11" s="372">
        <f>Input!$AB$15</f>
        <v>0</v>
      </c>
      <c r="K11" s="372">
        <f>Input!$AC$15</f>
        <v>0</v>
      </c>
      <c r="L11" s="372">
        <f>Input!$AD$15</f>
        <v>0</v>
      </c>
      <c r="M11" s="373">
        <f t="shared" si="0"/>
        <v>776502</v>
      </c>
      <c r="N11" s="160"/>
      <c r="O11" s="482"/>
      <c r="P11" s="1719"/>
      <c r="U11" s="268"/>
    </row>
    <row r="12" spans="1:28" ht="12.75" hidden="1" customHeight="1">
      <c r="B12" s="160" t="s">
        <v>1410</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Input!$AN$15</f>
        <v>0</v>
      </c>
      <c r="E13" s="372">
        <f>Input!$AO$15</f>
        <v>0</v>
      </c>
      <c r="F13" s="372">
        <f>Input!$AP$15</f>
        <v>0</v>
      </c>
      <c r="G13" s="372">
        <f>Input!$AQ$15</f>
        <v>0</v>
      </c>
      <c r="H13" s="372">
        <f>Input!$AR$15</f>
        <v>0</v>
      </c>
      <c r="I13" s="372">
        <f>Input!$AS$15</f>
        <v>0</v>
      </c>
      <c r="J13" s="372">
        <f>Input!$AT$15</f>
        <v>0</v>
      </c>
      <c r="K13" s="372">
        <f>Input!$AU$15</f>
        <v>0</v>
      </c>
      <c r="L13" s="372">
        <f>Input!$AV$15</f>
        <v>0</v>
      </c>
      <c r="M13" s="373">
        <f t="shared" si="0"/>
        <v>0</v>
      </c>
      <c r="N13" s="160"/>
      <c r="O13" s="482" t="str">
        <f>IF(P13&lt;&gt;M13,"Out of Balance","Balanced")</f>
        <v>Balanced</v>
      </c>
      <c r="P13" s="484">
        <f>IFERROR(VLOOKUP($B$2,AMTLU,6,FALSE),0)</f>
        <v>0</v>
      </c>
      <c r="U13" s="268"/>
    </row>
    <row r="14" spans="1:28">
      <c r="A14" s="184">
        <v>13</v>
      </c>
      <c r="B14" s="160" t="s">
        <v>49</v>
      </c>
      <c r="C14" s="160"/>
      <c r="D14" s="372">
        <f>Input!$AW$15</f>
        <v>0</v>
      </c>
      <c r="E14" s="372">
        <f>Input!$AX$15</f>
        <v>0</v>
      </c>
      <c r="F14" s="372">
        <f>Input!$AY$15</f>
        <v>0</v>
      </c>
      <c r="G14" s="372">
        <f>Input!$AZ$15</f>
        <v>0</v>
      </c>
      <c r="H14" s="372">
        <f>Input!$BA$15</f>
        <v>0</v>
      </c>
      <c r="I14" s="372">
        <f>Input!$BB$15</f>
        <v>0</v>
      </c>
      <c r="J14" s="372">
        <f>Input!$BC$15</f>
        <v>0</v>
      </c>
      <c r="K14" s="372">
        <f>Input!$BD$15</f>
        <v>0</v>
      </c>
      <c r="L14" s="372">
        <f>Input!$BE$15</f>
        <v>0</v>
      </c>
      <c r="M14" s="373">
        <f t="shared" si="0"/>
        <v>0</v>
      </c>
      <c r="N14" s="160"/>
      <c r="O14" s="482"/>
      <c r="P14" s="485"/>
    </row>
    <row r="15" spans="1:28" ht="15">
      <c r="A15" s="184">
        <v>14</v>
      </c>
      <c r="B15" s="176" t="s">
        <v>3</v>
      </c>
      <c r="C15" s="176"/>
      <c r="D15" s="374">
        <f t="shared" ref="D15:L15" si="1">SUM(D10:D14)</f>
        <v>70981336</v>
      </c>
      <c r="E15" s="374">
        <f t="shared" si="1"/>
        <v>10000</v>
      </c>
      <c r="F15" s="374">
        <f t="shared" si="1"/>
        <v>0</v>
      </c>
      <c r="G15" s="374">
        <f t="shared" si="1"/>
        <v>15079</v>
      </c>
      <c r="H15" s="374">
        <f t="shared" si="1"/>
        <v>0</v>
      </c>
      <c r="I15" s="374">
        <f t="shared" si="1"/>
        <v>0</v>
      </c>
      <c r="J15" s="374">
        <f t="shared" si="1"/>
        <v>0</v>
      </c>
      <c r="K15" s="374">
        <f t="shared" si="1"/>
        <v>0</v>
      </c>
      <c r="L15" s="374">
        <f t="shared" si="1"/>
        <v>0</v>
      </c>
      <c r="M15" s="374">
        <f t="shared" si="0"/>
        <v>71006415</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58" t="s">
        <v>1042</v>
      </c>
      <c r="C18" s="558"/>
      <c r="D18" s="374">
        <f t="shared" ref="D18:L18" si="2">D23-SUM(D19:D22)</f>
        <v>3686466</v>
      </c>
      <c r="E18" s="374">
        <f t="shared" si="2"/>
        <v>12730789</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16417255</v>
      </c>
      <c r="V18" s="327"/>
      <c r="X18" s="330"/>
    </row>
    <row r="19" spans="1:26" s="264" customFormat="1" ht="12.75" customHeight="1" thickTop="1" thickBot="1">
      <c r="A19" s="263"/>
      <c r="B19" s="261" t="s">
        <v>722</v>
      </c>
      <c r="C19" s="261"/>
      <c r="D19" s="372">
        <f>Input!$BF$15</f>
        <v>-573751</v>
      </c>
      <c r="E19" s="372">
        <f>Input!$BG$15</f>
        <v>-468590</v>
      </c>
      <c r="F19" s="372">
        <f>Input!$BH$15</f>
        <v>0</v>
      </c>
      <c r="G19" s="372">
        <f>Input!$BI$15</f>
        <v>0</v>
      </c>
      <c r="H19" s="372">
        <f>Input!$BJ$15</f>
        <v>0</v>
      </c>
      <c r="I19" s="372">
        <f>Input!$BK$15</f>
        <v>0</v>
      </c>
      <c r="J19" s="372">
        <f>Input!$BL$15</f>
        <v>0</v>
      </c>
      <c r="K19" s="372">
        <f>Input!$BM$15</f>
        <v>0</v>
      </c>
      <c r="L19" s="372">
        <f>Input!$BN$15</f>
        <v>0</v>
      </c>
      <c r="M19" s="373">
        <f t="shared" si="3"/>
        <v>-1042341</v>
      </c>
      <c r="O19" s="1732" t="s">
        <v>1294</v>
      </c>
      <c r="P19" s="1733"/>
      <c r="Q19" s="1733"/>
      <c r="R19" s="1734"/>
      <c r="T19" s="1735" t="s">
        <v>1043</v>
      </c>
      <c r="U19" s="1736"/>
      <c r="V19" s="1736"/>
      <c r="W19" s="1736"/>
      <c r="X19" s="1737"/>
    </row>
    <row r="20" spans="1:26" s="264" customFormat="1" ht="12.75" customHeight="1" thickTop="1">
      <c r="A20" s="263"/>
      <c r="B20" s="261" t="s">
        <v>723</v>
      </c>
      <c r="C20" s="261"/>
      <c r="D20" s="372">
        <f>Input!$BO$15</f>
        <v>-2345</v>
      </c>
      <c r="E20" s="372">
        <f>Input!$BP$15</f>
        <v>-73929</v>
      </c>
      <c r="F20" s="372">
        <f>Input!$BQ$15</f>
        <v>0</v>
      </c>
      <c r="G20" s="372">
        <f>Input!$BR$15</f>
        <v>0</v>
      </c>
      <c r="H20" s="372">
        <f>Input!$BS$15</f>
        <v>0</v>
      </c>
      <c r="I20" s="372">
        <f>Input!$BT$15</f>
        <v>0</v>
      </c>
      <c r="J20" s="372">
        <f>Input!$BU$15</f>
        <v>0</v>
      </c>
      <c r="K20" s="372">
        <f>Input!$BV$15</f>
        <v>0</v>
      </c>
      <c r="L20" s="372">
        <f>Input!$BW$15</f>
        <v>0</v>
      </c>
      <c r="M20" s="373">
        <f t="shared" si="3"/>
        <v>-76274</v>
      </c>
      <c r="O20" s="421" t="s">
        <v>288</v>
      </c>
      <c r="P20" s="422"/>
      <c r="Q20" s="414"/>
      <c r="R20" s="559"/>
      <c r="T20" s="560" t="s">
        <v>1044</v>
      </c>
      <c r="U20" s="266"/>
      <c r="V20" s="266"/>
      <c r="X20" s="425"/>
    </row>
    <row r="21" spans="1:26" s="264" customFormat="1">
      <c r="A21" s="263"/>
      <c r="B21" s="261" t="s">
        <v>724</v>
      </c>
      <c r="C21" s="261"/>
      <c r="D21" s="372">
        <f>Input!$BX$15</f>
        <v>0</v>
      </c>
      <c r="E21" s="372">
        <f>Input!$BY$15</f>
        <v>0</v>
      </c>
      <c r="F21" s="372">
        <f>Input!$BZ$15</f>
        <v>0</v>
      </c>
      <c r="G21" s="372">
        <f>Input!$CA$15</f>
        <v>0</v>
      </c>
      <c r="H21" s="372">
        <f>Input!$CB$15</f>
        <v>0</v>
      </c>
      <c r="I21" s="372">
        <f>Input!$CC$15</f>
        <v>0</v>
      </c>
      <c r="J21" s="372">
        <f>Input!$CD$15</f>
        <v>0</v>
      </c>
      <c r="K21" s="372">
        <f>Input!$CE$15</f>
        <v>0</v>
      </c>
      <c r="L21" s="372">
        <f>Input!$CF$15</f>
        <v>0</v>
      </c>
      <c r="M21" s="373">
        <f t="shared" si="3"/>
        <v>0</v>
      </c>
      <c r="O21" s="434"/>
      <c r="R21" s="561"/>
      <c r="T21" s="650" t="s">
        <v>1045</v>
      </c>
      <c r="U21" s="266"/>
      <c r="V21" s="266"/>
      <c r="W21" s="651">
        <f>M44</f>
        <v>21352720</v>
      </c>
      <c r="X21" s="425"/>
      <c r="Z21" s="330"/>
    </row>
    <row r="22" spans="1:26" s="264" customFormat="1">
      <c r="A22" s="263"/>
      <c r="B22" s="261" t="s">
        <v>725</v>
      </c>
      <c r="C22" s="261"/>
      <c r="D22" s="372">
        <f>Input!$CG$15</f>
        <v>0</v>
      </c>
      <c r="E22" s="372">
        <f>Input!$CH$15</f>
        <v>0</v>
      </c>
      <c r="F22" s="372">
        <f>Input!$CI$15</f>
        <v>0</v>
      </c>
      <c r="G22" s="372">
        <f>Input!$CJ$15</f>
        <v>0</v>
      </c>
      <c r="H22" s="372">
        <f>Input!$CK$15</f>
        <v>0</v>
      </c>
      <c r="I22" s="372">
        <f>Input!$CL$15</f>
        <v>0</v>
      </c>
      <c r="J22" s="372">
        <f>Input!$CM$15</f>
        <v>0</v>
      </c>
      <c r="K22" s="372">
        <f>Input!$CN$15</f>
        <v>0</v>
      </c>
      <c r="L22" s="372">
        <f>Input!$CO$15</f>
        <v>0</v>
      </c>
      <c r="M22" s="373">
        <f t="shared" si="3"/>
        <v>0</v>
      </c>
      <c r="N22" s="270"/>
      <c r="O22" s="434" t="s">
        <v>1046</v>
      </c>
      <c r="P22" s="276"/>
      <c r="Q22" s="424">
        <f>M23</f>
        <v>15298640</v>
      </c>
      <c r="R22" s="562"/>
      <c r="T22" s="650" t="s">
        <v>1047</v>
      </c>
      <c r="U22" s="266"/>
      <c r="V22" s="266"/>
      <c r="W22" s="652">
        <f>R30*-1</f>
        <v>4418506</v>
      </c>
      <c r="X22" s="425"/>
    </row>
    <row r="23" spans="1:26" s="264" customFormat="1" ht="12.75" customHeight="1">
      <c r="A23" s="263"/>
      <c r="B23" s="558" t="s">
        <v>726</v>
      </c>
      <c r="C23" s="563"/>
      <c r="D23" s="564">
        <f>Input!$CP$15</f>
        <v>3110370</v>
      </c>
      <c r="E23" s="564">
        <f>Input!$CQ$15</f>
        <v>12188270</v>
      </c>
      <c r="F23" s="564">
        <f>Input!$CR$15</f>
        <v>0</v>
      </c>
      <c r="G23" s="564">
        <f>Input!$CS$15</f>
        <v>0</v>
      </c>
      <c r="H23" s="564">
        <f>Input!$CT$15</f>
        <v>0</v>
      </c>
      <c r="I23" s="564">
        <f>Input!$CU$15</f>
        <v>0</v>
      </c>
      <c r="J23" s="564">
        <f>Input!$CV$15</f>
        <v>0</v>
      </c>
      <c r="K23" s="564">
        <f>Input!$CW$15</f>
        <v>0</v>
      </c>
      <c r="L23" s="564">
        <f>Input!$CX$15</f>
        <v>0</v>
      </c>
      <c r="M23" s="565">
        <f t="shared" si="3"/>
        <v>15298640</v>
      </c>
      <c r="O23" s="434"/>
      <c r="P23" s="276"/>
      <c r="Q23" s="424"/>
      <c r="R23" s="562"/>
      <c r="T23" s="560" t="s">
        <v>1230</v>
      </c>
      <c r="U23" s="266"/>
      <c r="V23" s="266"/>
      <c r="W23" s="276"/>
      <c r="X23" s="425">
        <f>SUM(W21:W22)</f>
        <v>25771226</v>
      </c>
      <c r="Z23" s="330"/>
    </row>
    <row r="24" spans="1:26" s="264" customFormat="1" ht="12.75" customHeight="1">
      <c r="A24" s="263"/>
      <c r="B24" s="261" t="s">
        <v>727</v>
      </c>
      <c r="C24" s="566"/>
      <c r="D24" s="372">
        <f>Input!$CY$15</f>
        <v>0</v>
      </c>
      <c r="E24" s="372">
        <f>Input!$CZ$15</f>
        <v>0</v>
      </c>
      <c r="F24" s="372">
        <f>Input!$DA$15</f>
        <v>0</v>
      </c>
      <c r="G24" s="372">
        <f>Input!$DB$15</f>
        <v>0</v>
      </c>
      <c r="H24" s="372">
        <f>Input!$DC$15</f>
        <v>0</v>
      </c>
      <c r="I24" s="372">
        <f>Input!$DD$15</f>
        <v>0</v>
      </c>
      <c r="J24" s="372">
        <f>Input!$DE$15</f>
        <v>0</v>
      </c>
      <c r="K24" s="372">
        <f>Input!$DF$15</f>
        <v>0</v>
      </c>
      <c r="L24" s="372">
        <f>Input!$DG$15</f>
        <v>0</v>
      </c>
      <c r="M24" s="567">
        <f t="shared" si="3"/>
        <v>0</v>
      </c>
      <c r="O24" s="417" t="s">
        <v>1048</v>
      </c>
      <c r="P24" s="276"/>
      <c r="Q24" s="327"/>
      <c r="R24" s="646">
        <f>SUM(M24:M28)</f>
        <v>-2622970</v>
      </c>
      <c r="T24" s="560"/>
      <c r="U24" s="266"/>
      <c r="V24" s="266"/>
      <c r="X24" s="425"/>
      <c r="Z24" s="330"/>
    </row>
    <row r="25" spans="1:26" s="264" customFormat="1" ht="12.75" customHeight="1">
      <c r="A25" s="263"/>
      <c r="B25" s="261" t="s">
        <v>728</v>
      </c>
      <c r="C25" s="566"/>
      <c r="D25" s="372">
        <f>Input!$DH$15</f>
        <v>0</v>
      </c>
      <c r="E25" s="372">
        <f>Input!$DI$15</f>
        <v>0</v>
      </c>
      <c r="F25" s="372">
        <f>Input!$DJ$15</f>
        <v>0</v>
      </c>
      <c r="G25" s="372">
        <f>Input!$DK$15</f>
        <v>0</v>
      </c>
      <c r="H25" s="372">
        <f>Input!$DL$15</f>
        <v>0</v>
      </c>
      <c r="I25" s="372">
        <f>Input!$DM$15</f>
        <v>0</v>
      </c>
      <c r="J25" s="372">
        <f>Input!$DN$15</f>
        <v>0</v>
      </c>
      <c r="K25" s="372">
        <f>Input!$DO$15</f>
        <v>0</v>
      </c>
      <c r="L25" s="372">
        <f>Input!$DP$15</f>
        <v>0</v>
      </c>
      <c r="M25" s="567">
        <f t="shared" si="3"/>
        <v>0</v>
      </c>
      <c r="O25" s="434"/>
      <c r="P25" s="276"/>
      <c r="Q25" s="327"/>
      <c r="R25" s="646"/>
      <c r="T25" s="568" t="s">
        <v>1103</v>
      </c>
      <c r="U25" s="569"/>
      <c r="V25" s="569"/>
      <c r="W25" s="653">
        <f>(M26+M39)*-1</f>
        <v>1688259</v>
      </c>
      <c r="X25" s="425"/>
      <c r="Z25" s="330"/>
    </row>
    <row r="26" spans="1:26" s="264" customFormat="1" ht="12.75" customHeight="1">
      <c r="A26" s="263"/>
      <c r="B26" s="261" t="s">
        <v>729</v>
      </c>
      <c r="C26" s="566"/>
      <c r="D26" s="372">
        <f>Input!$DQ$15</f>
        <v>-192094</v>
      </c>
      <c r="E26" s="372">
        <f>Input!$DR$15</f>
        <v>-917179</v>
      </c>
      <c r="F26" s="372">
        <f>Input!$DS$15</f>
        <v>0</v>
      </c>
      <c r="G26" s="372">
        <f>Input!$DT$15</f>
        <v>0</v>
      </c>
      <c r="H26" s="372">
        <f>Input!$DU$15</f>
        <v>0</v>
      </c>
      <c r="I26" s="372">
        <f>Input!$DV$15</f>
        <v>0</v>
      </c>
      <c r="J26" s="372">
        <f>Input!$DW$15</f>
        <v>0</v>
      </c>
      <c r="K26" s="372">
        <f>Input!$DX$15</f>
        <v>0</v>
      </c>
      <c r="L26" s="372">
        <f>Input!$DY$15</f>
        <v>0</v>
      </c>
      <c r="M26" s="567">
        <f t="shared" si="3"/>
        <v>-1109273</v>
      </c>
      <c r="O26" s="434" t="s">
        <v>1049</v>
      </c>
      <c r="P26" s="276"/>
      <c r="Q26" s="427">
        <f>M36</f>
        <v>10472586</v>
      </c>
      <c r="R26" s="570"/>
      <c r="T26" s="560" t="s">
        <v>1104</v>
      </c>
      <c r="U26" s="266"/>
      <c r="V26" s="266"/>
      <c r="W26" s="571">
        <f>(M21+M34)*-1</f>
        <v>0</v>
      </c>
      <c r="X26" s="425"/>
      <c r="Z26" s="330"/>
    </row>
    <row r="27" spans="1:26" s="264" customFormat="1">
      <c r="A27" s="263"/>
      <c r="B27" s="261" t="s">
        <v>730</v>
      </c>
      <c r="C27" s="566"/>
      <c r="D27" s="372">
        <f>Input!$DZ$15</f>
        <v>0</v>
      </c>
      <c r="E27" s="372">
        <f>Input!$EA$15</f>
        <v>0</v>
      </c>
      <c r="F27" s="372">
        <f>Input!$EB$15</f>
        <v>0</v>
      </c>
      <c r="G27" s="372">
        <f>Input!$EC$15</f>
        <v>0</v>
      </c>
      <c r="H27" s="372">
        <f>Input!$ED$15</f>
        <v>0</v>
      </c>
      <c r="I27" s="372">
        <f>Input!$EE$15</f>
        <v>0</v>
      </c>
      <c r="J27" s="372">
        <f>Input!$EF$15</f>
        <v>0</v>
      </c>
      <c r="K27" s="372">
        <f>Input!$EG$15</f>
        <v>0</v>
      </c>
      <c r="L27" s="372">
        <f>Input!EH6</f>
        <v>0</v>
      </c>
      <c r="M27" s="567">
        <f t="shared" si="3"/>
        <v>0</v>
      </c>
      <c r="O27" s="434"/>
      <c r="P27" s="276"/>
      <c r="Q27" s="427"/>
      <c r="R27" s="570"/>
      <c r="T27" s="650" t="s">
        <v>1105</v>
      </c>
      <c r="U27" s="584"/>
      <c r="V27" s="584"/>
      <c r="W27" s="654">
        <f>SUM(W25:W26)</f>
        <v>1688259</v>
      </c>
      <c r="X27" s="655"/>
    </row>
    <row r="28" spans="1:26" s="264" customFormat="1">
      <c r="A28" s="263"/>
      <c r="B28" s="261" t="s">
        <v>2133</v>
      </c>
      <c r="C28" s="566"/>
      <c r="D28" s="372">
        <f>Input!$EI$15</f>
        <v>-341183</v>
      </c>
      <c r="E28" s="372">
        <f>Input!$EJ$15</f>
        <v>-1172514</v>
      </c>
      <c r="F28" s="372">
        <f>Input!$EK$15</f>
        <v>0</v>
      </c>
      <c r="G28" s="372">
        <f>Input!$EL$15</f>
        <v>0</v>
      </c>
      <c r="H28" s="372">
        <f>Input!$EM$15</f>
        <v>0</v>
      </c>
      <c r="I28" s="372">
        <f>Input!$EN$15</f>
        <v>0</v>
      </c>
      <c r="J28" s="372">
        <f>Input!$EO$15</f>
        <v>0</v>
      </c>
      <c r="K28" s="372">
        <f>Input!$EP$15</f>
        <v>0</v>
      </c>
      <c r="L28" s="372">
        <f>Input!$EQ$15</f>
        <v>0</v>
      </c>
      <c r="M28" s="567">
        <f t="shared" si="3"/>
        <v>-1513697</v>
      </c>
      <c r="O28" s="417" t="s">
        <v>1050</v>
      </c>
      <c r="Q28" s="429"/>
      <c r="R28" s="646">
        <f>SUM(M37:M41)</f>
        <v>-1795536</v>
      </c>
      <c r="T28" s="560" t="s">
        <v>1106</v>
      </c>
      <c r="U28" s="266"/>
      <c r="V28" s="266"/>
      <c r="W28" s="425">
        <f>(M27+M40)*-1</f>
        <v>0</v>
      </c>
      <c r="X28" s="655"/>
      <c r="Z28" s="330"/>
    </row>
    <row r="29" spans="1:26" s="264" customFormat="1" ht="12" customHeight="1">
      <c r="A29" s="263"/>
      <c r="B29" s="575" t="s">
        <v>39</v>
      </c>
      <c r="C29" s="563"/>
      <c r="D29" s="374">
        <f t="shared" ref="D29:L29" si="4">SUM(D23:D28)</f>
        <v>2577093</v>
      </c>
      <c r="E29" s="374">
        <f t="shared" si="4"/>
        <v>10098577</v>
      </c>
      <c r="F29" s="374">
        <f t="shared" si="4"/>
        <v>0</v>
      </c>
      <c r="G29" s="374">
        <f t="shared" si="4"/>
        <v>0</v>
      </c>
      <c r="H29" s="374">
        <f t="shared" si="4"/>
        <v>0</v>
      </c>
      <c r="I29" s="374">
        <f t="shared" si="4"/>
        <v>0</v>
      </c>
      <c r="J29" s="374">
        <f t="shared" si="4"/>
        <v>0</v>
      </c>
      <c r="K29" s="374">
        <f t="shared" si="4"/>
        <v>0</v>
      </c>
      <c r="L29" s="374">
        <f t="shared" si="4"/>
        <v>0</v>
      </c>
      <c r="M29" s="374">
        <f t="shared" si="3"/>
        <v>12675670</v>
      </c>
      <c r="O29" s="417"/>
      <c r="Q29" s="429"/>
      <c r="R29" s="576"/>
      <c r="T29" s="560" t="s">
        <v>1107</v>
      </c>
      <c r="U29" s="266"/>
      <c r="V29" s="266"/>
      <c r="W29" s="571">
        <f>(M22+M35)*-1</f>
        <v>0</v>
      </c>
      <c r="X29" s="655"/>
    </row>
    <row r="30" spans="1:26" s="264" customFormat="1" ht="16.5" customHeight="1">
      <c r="A30" s="263"/>
      <c r="B30" s="261"/>
      <c r="C30" s="566"/>
      <c r="D30" s="566"/>
      <c r="E30" s="566"/>
      <c r="F30" s="566"/>
      <c r="G30" s="566"/>
      <c r="H30" s="566"/>
      <c r="I30" s="566"/>
      <c r="J30" s="566"/>
      <c r="K30" s="566"/>
      <c r="L30" s="566"/>
      <c r="M30" s="567"/>
      <c r="O30" s="431" t="s">
        <v>289</v>
      </c>
      <c r="P30" s="432"/>
      <c r="Q30" s="433">
        <f>Q26+Q22</f>
        <v>25771226</v>
      </c>
      <c r="R30" s="647">
        <f>R28+R24</f>
        <v>-4418506</v>
      </c>
      <c r="T30" s="650" t="s">
        <v>1108</v>
      </c>
      <c r="U30" s="584"/>
      <c r="V30" s="584"/>
      <c r="W30" s="654">
        <f>SUM(W28:W29)</f>
        <v>0</v>
      </c>
      <c r="X30" s="655"/>
    </row>
    <row r="31" spans="1:26" s="264" customFormat="1" ht="12.75" customHeight="1">
      <c r="A31" s="263"/>
      <c r="B31" s="558" t="s">
        <v>1052</v>
      </c>
      <c r="C31" s="558"/>
      <c r="D31" s="374">
        <f t="shared" ref="D31:L31" si="5">D36-SUM(D32:D35)</f>
        <v>82892</v>
      </c>
      <c r="E31" s="374">
        <f t="shared" si="5"/>
        <v>10326980</v>
      </c>
      <c r="F31" s="374">
        <f t="shared" si="5"/>
        <v>73125</v>
      </c>
      <c r="G31" s="374">
        <f t="shared" si="5"/>
        <v>0</v>
      </c>
      <c r="H31" s="374">
        <f t="shared" si="5"/>
        <v>0</v>
      </c>
      <c r="I31" s="374">
        <f t="shared" si="5"/>
        <v>0</v>
      </c>
      <c r="J31" s="374">
        <f t="shared" si="5"/>
        <v>0</v>
      </c>
      <c r="K31" s="374">
        <f t="shared" si="5"/>
        <v>0</v>
      </c>
      <c r="L31" s="374">
        <f t="shared" si="5"/>
        <v>0</v>
      </c>
      <c r="M31" s="374">
        <f t="shared" ref="M31:M42" si="6">D31+E31+F31+G31+H31+I31+J31+K31+L31</f>
        <v>10482997</v>
      </c>
      <c r="O31" s="434" t="s">
        <v>290</v>
      </c>
      <c r="P31" s="276"/>
      <c r="Q31" s="335"/>
      <c r="R31" s="562"/>
      <c r="T31" s="572" t="s">
        <v>1109</v>
      </c>
      <c r="U31" s="573"/>
      <c r="V31" s="573"/>
      <c r="W31" s="574">
        <f>W27+W30</f>
        <v>1688259</v>
      </c>
      <c r="X31" s="425"/>
      <c r="Z31" s="330"/>
    </row>
    <row r="32" spans="1:26" s="264" customFormat="1" ht="12.75" customHeight="1">
      <c r="A32" s="263"/>
      <c r="B32" s="261" t="s">
        <v>722</v>
      </c>
      <c r="C32" s="261"/>
      <c r="D32" s="372">
        <f>Input!$ER$15</f>
        <v>0</v>
      </c>
      <c r="E32" s="372">
        <f>Input!$ES$15</f>
        <v>-4500</v>
      </c>
      <c r="F32" s="372">
        <f>Input!$ET$15</f>
        <v>0</v>
      </c>
      <c r="G32" s="372">
        <f>Input!$EU$15</f>
        <v>0</v>
      </c>
      <c r="H32" s="372">
        <f>Input!$EV$15</f>
        <v>0</v>
      </c>
      <c r="I32" s="372">
        <f>Input!$EW$15</f>
        <v>0</v>
      </c>
      <c r="J32" s="372">
        <f>Input!$EX$15</f>
        <v>0</v>
      </c>
      <c r="K32" s="372">
        <f>Input!$EY$15</f>
        <v>0</v>
      </c>
      <c r="L32" s="372">
        <f>Input!$EZ$15</f>
        <v>0</v>
      </c>
      <c r="M32" s="567">
        <f t="shared" si="6"/>
        <v>-4500</v>
      </c>
      <c r="O32" s="415" t="s">
        <v>1295</v>
      </c>
      <c r="P32" s="416"/>
      <c r="Q32" s="577">
        <f>Input!$SQ$15</f>
        <v>25771226</v>
      </c>
      <c r="R32" s="578"/>
      <c r="T32" s="560"/>
      <c r="U32" s="266"/>
      <c r="V32" s="266"/>
      <c r="X32" s="425"/>
      <c r="Z32" s="330"/>
    </row>
    <row r="33" spans="1:24" s="264" customFormat="1">
      <c r="A33" s="263"/>
      <c r="B33" s="261" t="s">
        <v>723</v>
      </c>
      <c r="C33" s="261"/>
      <c r="D33" s="372">
        <f>Input!$FA$15</f>
        <v>-32</v>
      </c>
      <c r="E33" s="372">
        <f>Input!$FB$15</f>
        <v>-5879</v>
      </c>
      <c r="F33" s="372">
        <f>Input!$FC$15</f>
        <v>0</v>
      </c>
      <c r="G33" s="372">
        <f>Input!$FD$15</f>
        <v>0</v>
      </c>
      <c r="H33" s="372">
        <f>Input!$FE$15</f>
        <v>0</v>
      </c>
      <c r="I33" s="372">
        <f>Input!$FF$15</f>
        <v>0</v>
      </c>
      <c r="J33" s="372">
        <f>Input!$FG$15</f>
        <v>0</v>
      </c>
      <c r="K33" s="372">
        <f>Input!$FH$15</f>
        <v>0</v>
      </c>
      <c r="L33" s="372">
        <f>Input!$FI$15</f>
        <v>0</v>
      </c>
      <c r="M33" s="567">
        <f t="shared" si="6"/>
        <v>-5911</v>
      </c>
      <c r="O33" s="415"/>
      <c r="P33" s="416"/>
      <c r="Q33" s="327"/>
      <c r="R33" s="578"/>
      <c r="T33" s="560" t="s">
        <v>1051</v>
      </c>
      <c r="U33" s="266"/>
      <c r="V33" s="266"/>
      <c r="W33" s="334">
        <f>(M19+M32)*-1</f>
        <v>1046841</v>
      </c>
      <c r="X33" s="425"/>
    </row>
    <row r="34" spans="1:24" s="264" customFormat="1">
      <c r="A34" s="263"/>
      <c r="B34" s="261" t="s">
        <v>724</v>
      </c>
      <c r="C34" s="261"/>
      <c r="D34" s="372">
        <f>Input!$FJ$15</f>
        <v>0</v>
      </c>
      <c r="E34" s="372">
        <f>Input!$FK$15</f>
        <v>0</v>
      </c>
      <c r="F34" s="372">
        <f>Input!$FL$15</f>
        <v>0</v>
      </c>
      <c r="G34" s="372">
        <f>Input!$FM$15</f>
        <v>0</v>
      </c>
      <c r="H34" s="372">
        <f>Input!$FN$15</f>
        <v>0</v>
      </c>
      <c r="I34" s="372">
        <f>Input!$FO$15</f>
        <v>0</v>
      </c>
      <c r="J34" s="372">
        <f>Input!$FP$15</f>
        <v>0</v>
      </c>
      <c r="K34" s="372">
        <f>Input!$FQ$15</f>
        <v>0</v>
      </c>
      <c r="L34" s="372">
        <f>Input!$FR$15</f>
        <v>0</v>
      </c>
      <c r="M34" s="567">
        <f t="shared" si="6"/>
        <v>0</v>
      </c>
      <c r="O34" s="435" t="s">
        <v>1296</v>
      </c>
      <c r="P34" s="436"/>
      <c r="Q34" s="264" t="s">
        <v>291</v>
      </c>
      <c r="R34" s="648">
        <f>Input!$SR$15</f>
        <v>-4418506</v>
      </c>
      <c r="T34" s="560" t="s">
        <v>1110</v>
      </c>
      <c r="U34" s="266"/>
      <c r="V34" s="266"/>
      <c r="W34" s="430">
        <f>(M24+M37)*-1</f>
        <v>0</v>
      </c>
      <c r="X34" s="425"/>
    </row>
    <row r="35" spans="1:24" s="264" customFormat="1" ht="13.5" thickBot="1">
      <c r="A35" s="263"/>
      <c r="B35" s="261" t="s">
        <v>725</v>
      </c>
      <c r="C35" s="261"/>
      <c r="D35" s="372">
        <f>Input!$FS$15</f>
        <v>0</v>
      </c>
      <c r="E35" s="372">
        <f>Input!$FT$15</f>
        <v>0</v>
      </c>
      <c r="F35" s="372">
        <f>Input!$FU$15</f>
        <v>0</v>
      </c>
      <c r="G35" s="372">
        <f>Input!$FV$15</f>
        <v>0</v>
      </c>
      <c r="H35" s="372">
        <f>Input!$FW$15</f>
        <v>0</v>
      </c>
      <c r="I35" s="372">
        <f>Input!$FX$15</f>
        <v>0</v>
      </c>
      <c r="J35" s="372">
        <f>Input!$FY$15</f>
        <v>0</v>
      </c>
      <c r="K35" s="372">
        <f>Input!$FZ$15</f>
        <v>0</v>
      </c>
      <c r="L35" s="372">
        <f>Input!$GA$15</f>
        <v>0</v>
      </c>
      <c r="M35" s="567">
        <f t="shared" si="6"/>
        <v>0</v>
      </c>
      <c r="O35" s="418" t="s">
        <v>286</v>
      </c>
      <c r="P35" s="419"/>
      <c r="Q35" s="420">
        <f>Q30-Q32</f>
        <v>0</v>
      </c>
      <c r="R35" s="649">
        <f>R30-R34</f>
        <v>0</v>
      </c>
      <c r="T35" s="650" t="s">
        <v>1111</v>
      </c>
      <c r="U35" s="584"/>
      <c r="V35" s="584"/>
      <c r="W35" s="656">
        <f>SUM(W33:W34)</f>
        <v>1046841</v>
      </c>
      <c r="X35" s="655"/>
    </row>
    <row r="36" spans="1:24" s="264" customFormat="1" ht="13.5" thickTop="1">
      <c r="A36" s="263"/>
      <c r="B36" s="558" t="s">
        <v>732</v>
      </c>
      <c r="C36" s="563"/>
      <c r="D36" s="564">
        <f>Input!$GB$15</f>
        <v>82860</v>
      </c>
      <c r="E36" s="564">
        <f>Input!$GC$15</f>
        <v>10316601</v>
      </c>
      <c r="F36" s="564">
        <f>Input!$GD$15</f>
        <v>73125</v>
      </c>
      <c r="G36" s="564">
        <f>Input!$GE$15</f>
        <v>0</v>
      </c>
      <c r="H36" s="564">
        <f>Input!$GF$15</f>
        <v>0</v>
      </c>
      <c r="I36" s="564">
        <f>Input!$GG$15</f>
        <v>0</v>
      </c>
      <c r="J36" s="564">
        <f>Input!$GH$15</f>
        <v>0</v>
      </c>
      <c r="K36" s="564">
        <f>Input!$GI$15</f>
        <v>0</v>
      </c>
      <c r="L36" s="564">
        <f>Input!$GJ$15</f>
        <v>0</v>
      </c>
      <c r="M36" s="565">
        <f t="shared" si="6"/>
        <v>10472586</v>
      </c>
      <c r="O36" s="261"/>
      <c r="Q36" s="412" t="str">
        <f>IF(Q30&lt;&gt;Q32,"Out of Balance","Balanced")</f>
        <v>Balanced</v>
      </c>
      <c r="R36" s="412" t="str">
        <f>IF(R30&lt;&gt;R34,"Out of Balance","Balanced")</f>
        <v>Balanced</v>
      </c>
      <c r="T36" s="560" t="s">
        <v>1053</v>
      </c>
      <c r="U36" s="266"/>
      <c r="V36" s="266"/>
      <c r="W36" s="334">
        <f>(M20+M33)*-1</f>
        <v>82185</v>
      </c>
      <c r="X36" s="425"/>
    </row>
    <row r="37" spans="1:24" s="264" customFormat="1">
      <c r="A37" s="263"/>
      <c r="B37" s="261" t="s">
        <v>727</v>
      </c>
      <c r="C37" s="566"/>
      <c r="D37" s="372">
        <f>Input!$GK$15</f>
        <v>0</v>
      </c>
      <c r="E37" s="372">
        <f>Input!$GL$15</f>
        <v>0</v>
      </c>
      <c r="F37" s="372">
        <f>Input!$GM$15</f>
        <v>0</v>
      </c>
      <c r="G37" s="372">
        <f>Input!$GN$15</f>
        <v>0</v>
      </c>
      <c r="H37" s="372">
        <f>Input!$GO$15</f>
        <v>0</v>
      </c>
      <c r="I37" s="372">
        <f>Input!$GP$15</f>
        <v>0</v>
      </c>
      <c r="J37" s="372">
        <f>Input!$GQ$15</f>
        <v>0</v>
      </c>
      <c r="K37" s="372">
        <f>Input!$GR$15</f>
        <v>0</v>
      </c>
      <c r="L37" s="372">
        <f>Input!$GS$15</f>
        <v>0</v>
      </c>
      <c r="M37" s="567">
        <f t="shared" si="6"/>
        <v>0</v>
      </c>
      <c r="O37" s="261"/>
      <c r="T37" s="560" t="s">
        <v>1112</v>
      </c>
      <c r="U37" s="266"/>
      <c r="V37" s="266"/>
      <c r="W37" s="430">
        <f>(M25+M38)*-1</f>
        <v>0</v>
      </c>
      <c r="X37" s="655"/>
    </row>
    <row r="38" spans="1:24" s="264" customFormat="1">
      <c r="A38" s="263"/>
      <c r="B38" s="261" t="s">
        <v>728</v>
      </c>
      <c r="C38" s="566"/>
      <c r="D38" s="372">
        <f>Input!$GT$15</f>
        <v>0</v>
      </c>
      <c r="E38" s="372">
        <f>Input!$GU$15</f>
        <v>0</v>
      </c>
      <c r="F38" s="372">
        <f>Input!$GV$15</f>
        <v>0</v>
      </c>
      <c r="G38" s="372">
        <f>Input!$GW$15</f>
        <v>0</v>
      </c>
      <c r="H38" s="372">
        <f>Input!$GX$15</f>
        <v>0</v>
      </c>
      <c r="I38" s="372">
        <f>Input!$GY$15</f>
        <v>0</v>
      </c>
      <c r="J38" s="372">
        <f>Input!$GZ$15</f>
        <v>0</v>
      </c>
      <c r="K38" s="372">
        <f>Input!$HA$15</f>
        <v>0</v>
      </c>
      <c r="L38" s="372">
        <f>Input!$HB$15</f>
        <v>0</v>
      </c>
      <c r="M38" s="567">
        <f t="shared" si="6"/>
        <v>0</v>
      </c>
      <c r="O38" s="261"/>
      <c r="T38" s="650" t="s">
        <v>1113</v>
      </c>
      <c r="U38" s="584"/>
      <c r="V38" s="584"/>
      <c r="W38" s="656">
        <f>SUM(W36:W37)</f>
        <v>82185</v>
      </c>
      <c r="X38" s="425"/>
    </row>
    <row r="39" spans="1:24" s="264" customFormat="1">
      <c r="A39" s="263"/>
      <c r="B39" s="261" t="s">
        <v>729</v>
      </c>
      <c r="C39" s="566"/>
      <c r="D39" s="372">
        <f>Input!$HC$15</f>
        <v>-4287</v>
      </c>
      <c r="E39" s="372">
        <f>Input!$HD$15</f>
        <v>-574699</v>
      </c>
      <c r="F39" s="372">
        <f>Input!$HE$15</f>
        <v>0</v>
      </c>
      <c r="G39" s="372">
        <f>Input!$HF$15</f>
        <v>0</v>
      </c>
      <c r="H39" s="372">
        <f>Input!$HG$15</f>
        <v>0</v>
      </c>
      <c r="I39" s="372">
        <f>Input!$HH$15</f>
        <v>0</v>
      </c>
      <c r="J39" s="372">
        <f>Input!$HI$15</f>
        <v>0</v>
      </c>
      <c r="K39" s="372">
        <f>Input!$HJ$15</f>
        <v>0</v>
      </c>
      <c r="L39" s="372">
        <f>Input!$HK$15</f>
        <v>0</v>
      </c>
      <c r="M39" s="567">
        <f t="shared" si="6"/>
        <v>-578986</v>
      </c>
      <c r="O39" s="261"/>
      <c r="T39" s="560" t="s">
        <v>1054</v>
      </c>
      <c r="U39" s="266"/>
      <c r="V39" s="266"/>
      <c r="W39" s="334"/>
      <c r="X39" s="425">
        <f>W38+W35</f>
        <v>1129026</v>
      </c>
    </row>
    <row r="40" spans="1:24" s="264" customFormat="1">
      <c r="A40" s="263"/>
      <c r="B40" s="261" t="s">
        <v>730</v>
      </c>
      <c r="C40" s="566"/>
      <c r="D40" s="372">
        <f>Input!$HL$15</f>
        <v>0</v>
      </c>
      <c r="E40" s="372">
        <f>Input!$HM$15</f>
        <v>0</v>
      </c>
      <c r="F40" s="372">
        <f>Input!$HN$15</f>
        <v>0</v>
      </c>
      <c r="G40" s="372">
        <f>Input!$HO$15</f>
        <v>0</v>
      </c>
      <c r="H40" s="372">
        <f>Input!$HP$15</f>
        <v>0</v>
      </c>
      <c r="I40" s="372">
        <f>Input!$HQ$15</f>
        <v>0</v>
      </c>
      <c r="J40" s="372">
        <f>Input!$HR$15</f>
        <v>0</v>
      </c>
      <c r="K40" s="372">
        <f>Input!$HS$15</f>
        <v>0</v>
      </c>
      <c r="L40" s="372">
        <f>Input!$HT$15</f>
        <v>0</v>
      </c>
      <c r="M40" s="567">
        <f t="shared" si="6"/>
        <v>0</v>
      </c>
      <c r="O40" s="261"/>
      <c r="T40" s="560"/>
      <c r="U40" s="261"/>
      <c r="V40" s="261"/>
      <c r="W40" s="261"/>
      <c r="X40" s="655"/>
    </row>
    <row r="41" spans="1:24" s="264" customFormat="1">
      <c r="A41" s="263"/>
      <c r="B41" s="261" t="s">
        <v>2133</v>
      </c>
      <c r="C41" s="566"/>
      <c r="D41" s="372">
        <f>Input!$HU$15</f>
        <v>-9919</v>
      </c>
      <c r="E41" s="372">
        <f>Input!$HV$15</f>
        <v>-1194094</v>
      </c>
      <c r="F41" s="372">
        <f>Input!$HW$15</f>
        <v>-12537</v>
      </c>
      <c r="G41" s="372">
        <f>Input!$HX$15</f>
        <v>0</v>
      </c>
      <c r="H41" s="372">
        <f>Input!$HY$15</f>
        <v>0</v>
      </c>
      <c r="I41" s="372">
        <f>Input!$HZ$15</f>
        <v>0</v>
      </c>
      <c r="J41" s="372">
        <f>Input!$IA$15</f>
        <v>0</v>
      </c>
      <c r="K41" s="372">
        <f>Input!$IB$15</f>
        <v>0</v>
      </c>
      <c r="L41" s="372">
        <f>Input!$IC$15</f>
        <v>0</v>
      </c>
      <c r="M41" s="567">
        <f t="shared" si="6"/>
        <v>-1216550</v>
      </c>
      <c r="O41"/>
      <c r="P41"/>
      <c r="Q41"/>
      <c r="R41"/>
      <c r="S41"/>
      <c r="T41" s="560" t="s">
        <v>1104</v>
      </c>
      <c r="U41" s="266"/>
      <c r="V41" s="266"/>
      <c r="W41" s="330">
        <f>(M21+M34)*-1</f>
        <v>0</v>
      </c>
      <c r="X41" s="425"/>
    </row>
    <row r="42" spans="1:24" s="264" customFormat="1">
      <c r="A42" s="263"/>
      <c r="B42" s="575" t="s">
        <v>40</v>
      </c>
      <c r="C42" s="563"/>
      <c r="D42" s="374">
        <f t="shared" ref="D42:L42" si="7">SUM(D36:D41)</f>
        <v>68654</v>
      </c>
      <c r="E42" s="374">
        <f t="shared" si="7"/>
        <v>8547808</v>
      </c>
      <c r="F42" s="374">
        <f t="shared" si="7"/>
        <v>60588</v>
      </c>
      <c r="G42" s="374">
        <f t="shared" si="7"/>
        <v>0</v>
      </c>
      <c r="H42" s="374">
        <f t="shared" si="7"/>
        <v>0</v>
      </c>
      <c r="I42" s="374">
        <f t="shared" si="7"/>
        <v>0</v>
      </c>
      <c r="J42" s="374">
        <f t="shared" si="7"/>
        <v>0</v>
      </c>
      <c r="K42" s="374">
        <f t="shared" si="7"/>
        <v>0</v>
      </c>
      <c r="L42" s="374">
        <f t="shared" si="7"/>
        <v>0</v>
      </c>
      <c r="M42" s="374">
        <f t="shared" si="6"/>
        <v>8677050</v>
      </c>
      <c r="O42"/>
      <c r="P42"/>
      <c r="Q42"/>
      <c r="R42"/>
      <c r="S42"/>
      <c r="T42" s="560" t="s">
        <v>1107</v>
      </c>
      <c r="U42" s="266"/>
      <c r="V42" s="266"/>
      <c r="W42" s="430">
        <f>(M22+M35)*-1</f>
        <v>0</v>
      </c>
      <c r="X42" s="425"/>
    </row>
    <row r="43" spans="1:24" s="264" customFormat="1">
      <c r="A43" s="263"/>
      <c r="B43" s="261"/>
      <c r="C43" s="566"/>
      <c r="D43" s="566"/>
      <c r="E43" s="566"/>
      <c r="F43" s="566"/>
      <c r="G43" s="566"/>
      <c r="H43" s="566"/>
      <c r="I43" s="566"/>
      <c r="J43" s="566"/>
      <c r="K43" s="566"/>
      <c r="L43" s="566"/>
      <c r="M43" s="567"/>
      <c r="O43"/>
      <c r="P43"/>
      <c r="Q43"/>
      <c r="R43"/>
      <c r="S43"/>
      <c r="T43" s="650" t="s">
        <v>1114</v>
      </c>
      <c r="U43" s="584"/>
      <c r="V43" s="584"/>
      <c r="W43" s="656">
        <f>SUM(W41:W42)</f>
        <v>0</v>
      </c>
      <c r="X43" s="655"/>
    </row>
    <row r="44" spans="1:24" s="264" customFormat="1" ht="13.5" customHeight="1">
      <c r="A44" s="263"/>
      <c r="B44" s="575" t="s">
        <v>1055</v>
      </c>
      <c r="C44" s="563"/>
      <c r="D44" s="374">
        <f t="shared" ref="D44:L44" si="8">D42+D29</f>
        <v>2645747</v>
      </c>
      <c r="E44" s="374">
        <f t="shared" si="8"/>
        <v>18646385</v>
      </c>
      <c r="F44" s="374">
        <f t="shared" si="8"/>
        <v>60588</v>
      </c>
      <c r="G44" s="374">
        <f t="shared" si="8"/>
        <v>0</v>
      </c>
      <c r="H44" s="374">
        <f t="shared" si="8"/>
        <v>0</v>
      </c>
      <c r="I44" s="374">
        <f t="shared" si="8"/>
        <v>0</v>
      </c>
      <c r="J44" s="374">
        <f t="shared" si="8"/>
        <v>0</v>
      </c>
      <c r="K44" s="374">
        <f t="shared" si="8"/>
        <v>0</v>
      </c>
      <c r="L44" s="374">
        <f t="shared" si="8"/>
        <v>0</v>
      </c>
      <c r="M44" s="374">
        <f>D44+E44+F44+G44+H44+I44+J44+K44+L44</f>
        <v>21352720</v>
      </c>
      <c r="O44"/>
      <c r="P44"/>
      <c r="Q44"/>
      <c r="R44"/>
      <c r="S44"/>
      <c r="T44" s="560"/>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0"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0" t="s">
        <v>1112</v>
      </c>
      <c r="U46" s="266"/>
      <c r="V46" s="266"/>
      <c r="W46" s="430">
        <f>(M25+M38)*-1</f>
        <v>0</v>
      </c>
      <c r="X46" s="425"/>
    </row>
    <row r="47" spans="1:24">
      <c r="A47" s="184">
        <v>30</v>
      </c>
      <c r="B47" s="176" t="s">
        <v>7</v>
      </c>
      <c r="C47" s="176"/>
      <c r="D47" s="375">
        <f>Input!$ID$15</f>
        <v>0</v>
      </c>
      <c r="E47" s="375">
        <f>Input!$IE$15</f>
        <v>594615</v>
      </c>
      <c r="F47" s="375">
        <f>Input!$IF$15</f>
        <v>0</v>
      </c>
      <c r="G47" s="375">
        <f>Input!$IG$15</f>
        <v>9651252</v>
      </c>
      <c r="H47" s="375">
        <f>Input!$IH$15</f>
        <v>0</v>
      </c>
      <c r="I47" s="375">
        <f>Input!$II$15</f>
        <v>0</v>
      </c>
      <c r="J47" s="375">
        <f>Input!$IJ$15</f>
        <v>0</v>
      </c>
      <c r="K47" s="375">
        <f>Input!$IK$15</f>
        <v>0</v>
      </c>
      <c r="L47" s="375">
        <f>Input!$IL$15</f>
        <v>0</v>
      </c>
      <c r="M47" s="374">
        <f>D47+E47+F47+G47+H47+I47+J47+K47+L47</f>
        <v>10245867</v>
      </c>
      <c r="N47" s="160"/>
      <c r="O47"/>
      <c r="P47"/>
      <c r="Q47"/>
      <c r="R47"/>
      <c r="S47"/>
      <c r="T47" s="657" t="s">
        <v>1115</v>
      </c>
      <c r="U47" s="27"/>
      <c r="V47" s="27"/>
      <c r="W47" s="656">
        <f>SUM(W45:W46)</f>
        <v>0</v>
      </c>
      <c r="X47" s="655"/>
    </row>
    <row r="48" spans="1:24">
      <c r="A48" s="184">
        <v>31</v>
      </c>
      <c r="B48" s="160"/>
      <c r="C48" s="160"/>
      <c r="D48" s="373"/>
      <c r="E48" s="373"/>
      <c r="F48" s="373"/>
      <c r="G48" s="373"/>
      <c r="H48" s="373"/>
      <c r="I48" s="373"/>
      <c r="J48" s="373"/>
      <c r="K48" s="373"/>
      <c r="L48" s="373"/>
      <c r="M48" s="373"/>
      <c r="N48" s="160"/>
      <c r="O48"/>
      <c r="P48"/>
      <c r="Q48"/>
      <c r="R48"/>
      <c r="S48"/>
      <c r="T48" s="560"/>
      <c r="U48" s="261"/>
      <c r="V48" s="261"/>
      <c r="W48" s="261"/>
      <c r="X48" s="658">
        <f>W43-W47</f>
        <v>0</v>
      </c>
    </row>
    <row r="49" spans="1:28">
      <c r="A49" s="184">
        <v>32</v>
      </c>
      <c r="B49" s="172" t="s">
        <v>8</v>
      </c>
      <c r="C49" s="172"/>
      <c r="D49" s="373"/>
      <c r="E49" s="373"/>
      <c r="F49" s="373"/>
      <c r="G49" s="373"/>
      <c r="H49" s="373"/>
      <c r="I49" s="373"/>
      <c r="J49" s="373"/>
      <c r="K49" s="373"/>
      <c r="L49" s="373"/>
      <c r="M49" s="373"/>
      <c r="N49" s="160"/>
      <c r="O49" s="273"/>
      <c r="T49" s="579" t="s">
        <v>287</v>
      </c>
      <c r="U49" s="511"/>
      <c r="V49" s="580"/>
      <c r="W49" s="580"/>
      <c r="X49" s="574">
        <f>SUM(X23:X48)</f>
        <v>26900252</v>
      </c>
    </row>
    <row r="50" spans="1:28">
      <c r="A50" s="184">
        <v>33</v>
      </c>
      <c r="B50" s="160" t="s">
        <v>42</v>
      </c>
      <c r="C50" s="160"/>
      <c r="D50" s="372">
        <f>Input!$IM$15</f>
        <v>132301</v>
      </c>
      <c r="E50" s="372">
        <f>Input!$IN$15</f>
        <v>3736482</v>
      </c>
      <c r="F50" s="372">
        <f>Input!$IO$15</f>
        <v>0</v>
      </c>
      <c r="G50" s="372">
        <f>Input!$IP$15</f>
        <v>345684</v>
      </c>
      <c r="H50" s="372">
        <f>Input!$IQ$15</f>
        <v>532</v>
      </c>
      <c r="I50" s="372">
        <f>Input!$IR$15</f>
        <v>968</v>
      </c>
      <c r="J50" s="372">
        <f>Input!$IS$15</f>
        <v>0</v>
      </c>
      <c r="K50" s="372">
        <f>Input!$IT$15</f>
        <v>0</v>
      </c>
      <c r="L50" s="372">
        <f>Input!$IU$15</f>
        <v>0</v>
      </c>
      <c r="M50" s="373">
        <f t="shared" ref="M50:M57" si="9">D50+E50+F50+G50+H50+I50+J50+K50+L50</f>
        <v>4215967</v>
      </c>
      <c r="N50" s="160"/>
      <c r="O50" s="273"/>
      <c r="U50" s="275"/>
    </row>
    <row r="51" spans="1:28">
      <c r="A51" s="184">
        <v>34</v>
      </c>
      <c r="B51" s="160" t="s">
        <v>9</v>
      </c>
      <c r="C51" s="160"/>
      <c r="D51" s="372">
        <f>Input!$IV$15</f>
        <v>0</v>
      </c>
      <c r="E51" s="372">
        <f>Input!$IW$15</f>
        <v>0</v>
      </c>
      <c r="F51" s="372">
        <f>Input!$IX$15</f>
        <v>0</v>
      </c>
      <c r="G51" s="372">
        <f>Input!$IY$15</f>
        <v>0</v>
      </c>
      <c r="H51" s="372">
        <f>Input!$IZ$15</f>
        <v>0</v>
      </c>
      <c r="I51" s="372">
        <f>Input!$JA$15</f>
        <v>0</v>
      </c>
      <c r="J51" s="372">
        <f>Input!$JB$15</f>
        <v>0</v>
      </c>
      <c r="K51" s="372">
        <f>Input!$JC$15</f>
        <v>0</v>
      </c>
      <c r="L51" s="372">
        <f>Input!$JD$15</f>
        <v>0</v>
      </c>
      <c r="M51" s="376">
        <f t="shared" si="9"/>
        <v>0</v>
      </c>
      <c r="N51" s="160"/>
      <c r="Y51" s="277"/>
    </row>
    <row r="52" spans="1:28">
      <c r="A52" s="184">
        <v>35</v>
      </c>
      <c r="B52" s="160" t="s">
        <v>10</v>
      </c>
      <c r="C52" s="160"/>
      <c r="D52" s="372">
        <f>Input!$JE$15</f>
        <v>0</v>
      </c>
      <c r="E52" s="372">
        <f>Input!$JF$15</f>
        <v>578824</v>
      </c>
      <c r="F52" s="372">
        <f>Input!$JG$15</f>
        <v>0</v>
      </c>
      <c r="G52" s="372">
        <f>Input!$JH$15</f>
        <v>2770573</v>
      </c>
      <c r="H52" s="372">
        <f>Input!$JI$15</f>
        <v>0</v>
      </c>
      <c r="I52" s="372">
        <f>Input!$JJ$15</f>
        <v>0</v>
      </c>
      <c r="J52" s="372">
        <f>Input!$JK$15</f>
        <v>0</v>
      </c>
      <c r="K52" s="372">
        <f>Input!$JL$15</f>
        <v>0</v>
      </c>
      <c r="L52" s="372">
        <f>Input!$JM$15</f>
        <v>0</v>
      </c>
      <c r="M52" s="373">
        <f t="shared" si="9"/>
        <v>3349397</v>
      </c>
      <c r="N52" s="160"/>
      <c r="O52" s="273"/>
      <c r="P52" s="278"/>
    </row>
    <row r="53" spans="1:28">
      <c r="A53" s="184">
        <v>36</v>
      </c>
      <c r="B53" s="160" t="s">
        <v>11</v>
      </c>
      <c r="C53" s="160"/>
      <c r="D53" s="372">
        <f>Input!$JN$15</f>
        <v>8</v>
      </c>
      <c r="E53" s="372">
        <f>Input!$JO$15</f>
        <v>2884987</v>
      </c>
      <c r="F53" s="372">
        <f>Input!$JP$15</f>
        <v>0</v>
      </c>
      <c r="G53" s="372">
        <f>Input!$JQ$15</f>
        <v>-361674</v>
      </c>
      <c r="H53" s="372">
        <f>Input!$JR$15</f>
        <v>0</v>
      </c>
      <c r="I53" s="372">
        <f>Input!$JS$15</f>
        <v>0</v>
      </c>
      <c r="J53" s="372">
        <f>Input!$JT$15</f>
        <v>0</v>
      </c>
      <c r="K53" s="372">
        <f>Input!$JU$15</f>
        <v>0</v>
      </c>
      <c r="L53" s="372">
        <f>Input!$JV$15</f>
        <v>0</v>
      </c>
      <c r="M53" s="373">
        <f t="shared" si="9"/>
        <v>2523321</v>
      </c>
      <c r="N53" s="160"/>
      <c r="O53" s="273"/>
    </row>
    <row r="54" spans="1:28" ht="13.5" thickBot="1">
      <c r="A54" s="184">
        <v>37</v>
      </c>
      <c r="B54" s="177" t="s">
        <v>2134</v>
      </c>
      <c r="C54" s="177"/>
      <c r="D54" s="372">
        <f>Input!$JW$15</f>
        <v>0</v>
      </c>
      <c r="E54" s="372">
        <f>Input!$JX$15</f>
        <v>0</v>
      </c>
      <c r="F54" s="372">
        <f>Input!$JY$15</f>
        <v>4734974</v>
      </c>
      <c r="G54" s="372">
        <f>Input!$JZ$15</f>
        <v>0</v>
      </c>
      <c r="H54" s="372">
        <f>Input!$KA$15</f>
        <v>0</v>
      </c>
      <c r="I54" s="372">
        <f>Input!$KB$15</f>
        <v>0</v>
      </c>
      <c r="J54" s="372">
        <f>Input!$KC$15</f>
        <v>0</v>
      </c>
      <c r="K54" s="372">
        <f>Input!$KD$15</f>
        <v>0</v>
      </c>
      <c r="L54" s="372">
        <f>Input!$KE$15</f>
        <v>0</v>
      </c>
      <c r="M54" s="373">
        <f t="shared" si="9"/>
        <v>4734974</v>
      </c>
      <c r="N54" s="160"/>
      <c r="O54" s="273"/>
    </row>
    <row r="55" spans="1:28" ht="14.25" thickTop="1" thickBot="1">
      <c r="A55" s="184">
        <v>38</v>
      </c>
      <c r="B55" s="160" t="s">
        <v>43</v>
      </c>
      <c r="C55" s="160"/>
      <c r="D55" s="372">
        <f>Input!$KF$15</f>
        <v>50778</v>
      </c>
      <c r="E55" s="372">
        <f>Input!$KG$15</f>
        <v>2160643</v>
      </c>
      <c r="F55" s="372">
        <f>Input!$KH$15</f>
        <v>2276867</v>
      </c>
      <c r="G55" s="372">
        <f>Input!$KI$15</f>
        <v>-1370900</v>
      </c>
      <c r="H55" s="372">
        <f>Input!$KJ$15</f>
        <v>6397</v>
      </c>
      <c r="I55" s="372">
        <f>Input!$KK$15</f>
        <v>0</v>
      </c>
      <c r="J55" s="372">
        <f>Input!$KL$15</f>
        <v>0</v>
      </c>
      <c r="K55" s="372">
        <f>Input!$KM$15</f>
        <v>0</v>
      </c>
      <c r="L55" s="372">
        <f>Input!$KN$15</f>
        <v>-1567</v>
      </c>
      <c r="M55" s="373">
        <f t="shared" si="9"/>
        <v>3122218</v>
      </c>
      <c r="N55" s="160"/>
      <c r="O55" s="1616" t="s">
        <v>251</v>
      </c>
      <c r="P55" s="1617"/>
      <c r="Q55" s="1617"/>
      <c r="R55" s="1618"/>
      <c r="S55" s="437"/>
      <c r="T55" s="1619" t="s">
        <v>252</v>
      </c>
      <c r="U55" s="1620"/>
      <c r="V55" s="1620"/>
      <c r="W55" s="1620"/>
      <c r="X55" s="1621"/>
      <c r="Y55" s="320"/>
      <c r="Z55" s="1749" t="s">
        <v>1301</v>
      </c>
      <c r="AA55" s="1750"/>
      <c r="AB55" s="1751"/>
    </row>
    <row r="56" spans="1:28" ht="13.5" customHeight="1" thickTop="1">
      <c r="A56" s="184">
        <v>39</v>
      </c>
      <c r="B56" s="176" t="s">
        <v>3</v>
      </c>
      <c r="C56" s="176"/>
      <c r="D56" s="374">
        <f>SUM(D50:D55)</f>
        <v>183087</v>
      </c>
      <c r="E56" s="374">
        <f t="shared" ref="E56:L56" si="10">SUM(E50:E55)</f>
        <v>9360936</v>
      </c>
      <c r="F56" s="374">
        <f t="shared" si="10"/>
        <v>7011841</v>
      </c>
      <c r="G56" s="374">
        <f t="shared" si="10"/>
        <v>1383683</v>
      </c>
      <c r="H56" s="374">
        <f t="shared" si="10"/>
        <v>6929</v>
      </c>
      <c r="I56" s="374">
        <f t="shared" si="10"/>
        <v>968</v>
      </c>
      <c r="J56" s="374">
        <f t="shared" si="10"/>
        <v>0</v>
      </c>
      <c r="K56" s="374">
        <f t="shared" si="10"/>
        <v>0</v>
      </c>
      <c r="L56" s="374">
        <f t="shared" si="10"/>
        <v>-1567</v>
      </c>
      <c r="M56" s="374">
        <f t="shared" si="9"/>
        <v>17945877</v>
      </c>
      <c r="N56" s="160"/>
      <c r="O56" s="1622" t="s">
        <v>1135</v>
      </c>
      <c r="P56" s="1625" t="s">
        <v>254</v>
      </c>
      <c r="Q56" s="1625" t="s">
        <v>292</v>
      </c>
      <c r="R56" s="1628" t="s">
        <v>1063</v>
      </c>
      <c r="S56" s="280"/>
      <c r="T56" s="1739" t="s">
        <v>1136</v>
      </c>
      <c r="U56" s="1637" t="s">
        <v>254</v>
      </c>
      <c r="V56" s="1634" t="s">
        <v>256</v>
      </c>
      <c r="W56" s="1637" t="s">
        <v>257</v>
      </c>
      <c r="X56" s="1638" t="s">
        <v>1064</v>
      </c>
      <c r="Z56" s="1754" t="s">
        <v>1302</v>
      </c>
      <c r="AA56" s="1747" t="s">
        <v>1303</v>
      </c>
      <c r="AB56" s="1752" t="s">
        <v>238</v>
      </c>
    </row>
    <row r="57" spans="1:28">
      <c r="A57" s="184">
        <v>40</v>
      </c>
      <c r="B57" s="162" t="s">
        <v>68</v>
      </c>
      <c r="C57" s="162"/>
      <c r="D57" s="374">
        <f>D15+D44+D47+D56</f>
        <v>73810170</v>
      </c>
      <c r="E57" s="374">
        <f t="shared" ref="E57:L57" si="11">E15+E44+E47+E56</f>
        <v>28611936</v>
      </c>
      <c r="F57" s="374">
        <f t="shared" si="11"/>
        <v>7072429</v>
      </c>
      <c r="G57" s="374">
        <f t="shared" si="11"/>
        <v>11050014</v>
      </c>
      <c r="H57" s="374">
        <f t="shared" si="11"/>
        <v>6929</v>
      </c>
      <c r="I57" s="374">
        <f t="shared" si="11"/>
        <v>968</v>
      </c>
      <c r="J57" s="374">
        <f t="shared" si="11"/>
        <v>0</v>
      </c>
      <c r="K57" s="374">
        <f t="shared" si="11"/>
        <v>0</v>
      </c>
      <c r="L57" s="374">
        <f t="shared" si="11"/>
        <v>-1567</v>
      </c>
      <c r="M57" s="374">
        <f t="shared" si="9"/>
        <v>120550879</v>
      </c>
      <c r="N57" s="160"/>
      <c r="O57" s="1623"/>
      <c r="P57" s="1626"/>
      <c r="Q57" s="1626"/>
      <c r="R57" s="1629"/>
      <c r="S57" s="280"/>
      <c r="T57" s="1740"/>
      <c r="U57" s="1626"/>
      <c r="V57" s="1635"/>
      <c r="W57" s="1626"/>
      <c r="X57" s="1639"/>
      <c r="Z57" s="1755"/>
      <c r="AA57" s="1747"/>
      <c r="AB57" s="1752"/>
    </row>
    <row r="58" spans="1:28">
      <c r="A58" s="184">
        <v>41</v>
      </c>
      <c r="B58" s="160"/>
      <c r="C58" s="160"/>
      <c r="D58" s="373"/>
      <c r="E58" s="373"/>
      <c r="F58" s="373"/>
      <c r="G58" s="373"/>
      <c r="H58" s="373"/>
      <c r="I58" s="373"/>
      <c r="J58" s="373"/>
      <c r="K58" s="373"/>
      <c r="L58" s="373"/>
      <c r="M58" s="373"/>
      <c r="N58" s="160"/>
      <c r="O58" s="1623"/>
      <c r="P58" s="1626"/>
      <c r="Q58" s="1626"/>
      <c r="R58" s="1629"/>
      <c r="S58" s="280"/>
      <c r="T58" s="1740"/>
      <c r="U58" s="1626"/>
      <c r="V58" s="1635"/>
      <c r="W58" s="1626"/>
      <c r="X58" s="1639"/>
      <c r="Z58" s="1755"/>
      <c r="AA58" s="1747"/>
      <c r="AB58" s="1752"/>
    </row>
    <row r="59" spans="1:28" ht="14.25" customHeight="1">
      <c r="A59" s="184">
        <v>42</v>
      </c>
      <c r="B59" s="174" t="s">
        <v>72</v>
      </c>
      <c r="C59" s="174"/>
      <c r="D59" s="377"/>
      <c r="E59" s="377"/>
      <c r="F59" s="377"/>
      <c r="G59" s="1746" t="str">
        <f>IF(OR(P105&gt;0,P106&lt;&gt;0,P107&lt;&gt;0),"Do not Enter Cents - Whole Dollars Only","")</f>
        <v/>
      </c>
      <c r="H59" s="1746"/>
      <c r="I59" s="1746"/>
      <c r="J59" s="1746"/>
      <c r="K59" s="1746"/>
      <c r="L59" s="377"/>
      <c r="M59" s="377"/>
      <c r="N59" s="160"/>
      <c r="O59" s="1624"/>
      <c r="P59" s="1627"/>
      <c r="Q59" s="1627"/>
      <c r="R59" s="1630"/>
      <c r="S59" s="280"/>
      <c r="T59" s="1741"/>
      <c r="U59" s="1627"/>
      <c r="V59" s="1636"/>
      <c r="W59" s="1627"/>
      <c r="X59" s="1640"/>
      <c r="Z59" s="1756"/>
      <c r="AA59" s="1748"/>
      <c r="AB59" s="1753"/>
    </row>
    <row r="60" spans="1:28" ht="13.5" thickBot="1">
      <c r="A60" s="184">
        <v>43</v>
      </c>
      <c r="B60" s="160" t="s">
        <v>14</v>
      </c>
      <c r="C60" s="160"/>
      <c r="D60" s="372">
        <f>Input!$KO$15</f>
        <v>12159926</v>
      </c>
      <c r="E60" s="372">
        <f>Input!$KP$15</f>
        <v>5544243</v>
      </c>
      <c r="F60" s="372">
        <f>Input!$KQ$15</f>
        <v>0</v>
      </c>
      <c r="G60" s="372">
        <f>Input!$KR$15</f>
        <v>2514621</v>
      </c>
      <c r="H60" s="372">
        <f>Input!$KS$15</f>
        <v>0</v>
      </c>
      <c r="I60" s="372">
        <f>Input!$KT$15</f>
        <v>0</v>
      </c>
      <c r="J60" s="372">
        <f>Input!$KU$15</f>
        <v>0</v>
      </c>
      <c r="K60" s="372">
        <f>Input!$KV$15</f>
        <v>0</v>
      </c>
      <c r="L60" s="372">
        <f>Input!$KW$15</f>
        <v>0</v>
      </c>
      <c r="M60" s="373">
        <f t="shared" ref="M60:M71" si="12">D60+E60+F60+G60+H60+I60+J60+K60+L60</f>
        <v>20218790</v>
      </c>
      <c r="N60" s="160"/>
      <c r="O60" s="282">
        <f>D60+E60+G60+J60</f>
        <v>20218790</v>
      </c>
      <c r="P60" s="518">
        <f>Input!$SS$15</f>
        <v>121486</v>
      </c>
      <c r="Q60" s="438" t="s">
        <v>259</v>
      </c>
      <c r="R60" s="284">
        <f>SUM(O60:P60)</f>
        <v>20340276</v>
      </c>
      <c r="S60" s="439"/>
      <c r="T60" s="286">
        <f t="shared" ref="T60:T67" si="13">D60+E60+G60</f>
        <v>20218790</v>
      </c>
      <c r="U60" s="287">
        <f t="shared" ref="U60:U67" si="14">P60</f>
        <v>121486</v>
      </c>
      <c r="V60" s="289">
        <f>Input!$TC$15</f>
        <v>0</v>
      </c>
      <c r="W60" s="289">
        <f>Input!$TK$15</f>
        <v>0</v>
      </c>
      <c r="X60" s="290">
        <f t="shared" ref="X60:X66" si="15">T60+U60-V60-W60</f>
        <v>20340276</v>
      </c>
      <c r="Z60" s="292" t="s">
        <v>14</v>
      </c>
      <c r="AA60" s="520">
        <f>Input!$TS$15</f>
        <v>20218790</v>
      </c>
      <c r="AB60" s="293">
        <f t="shared" ref="AB60:AB68" si="16">AA60-M60</f>
        <v>0</v>
      </c>
    </row>
    <row r="61" spans="1:28" ht="14.25" thickTop="1" thickBot="1">
      <c r="A61" s="184">
        <v>44</v>
      </c>
      <c r="B61" s="160" t="s">
        <v>15</v>
      </c>
      <c r="C61" s="160"/>
      <c r="D61" s="372">
        <f>Input!$KX$15</f>
        <v>887747</v>
      </c>
      <c r="E61" s="372">
        <f>Input!$KY$15</f>
        <v>1846647</v>
      </c>
      <c r="F61" s="372">
        <f>Input!$KZ$15</f>
        <v>0</v>
      </c>
      <c r="G61" s="372">
        <f>Input!$LA$15</f>
        <v>3983504</v>
      </c>
      <c r="H61" s="372">
        <f>Input!$LB$15</f>
        <v>0</v>
      </c>
      <c r="I61" s="372">
        <f>Input!$LC$15</f>
        <v>0</v>
      </c>
      <c r="J61" s="372">
        <f>Input!$LD$15</f>
        <v>0</v>
      </c>
      <c r="K61" s="372">
        <f>Input!$LE$15</f>
        <v>0</v>
      </c>
      <c r="L61" s="372">
        <f>Input!$LF$15</f>
        <v>0</v>
      </c>
      <c r="M61" s="373">
        <f t="shared" si="12"/>
        <v>6717898</v>
      </c>
      <c r="N61" s="160"/>
      <c r="O61" s="440">
        <f t="shared" ref="O61:O67" si="17">D61+E61+G61+J61</f>
        <v>6717898</v>
      </c>
      <c r="P61" s="518">
        <f>Input!$ST$15</f>
        <v>287882</v>
      </c>
      <c r="Q61" s="441" t="s">
        <v>259</v>
      </c>
      <c r="R61" s="295">
        <f>SUM(O61:P61)</f>
        <v>7005780</v>
      </c>
      <c r="S61" s="442"/>
      <c r="T61" s="296">
        <f t="shared" si="13"/>
        <v>6717898</v>
      </c>
      <c r="U61" s="297">
        <f t="shared" si="14"/>
        <v>287882</v>
      </c>
      <c r="V61" s="299">
        <f>Input!$TD$15</f>
        <v>100818</v>
      </c>
      <c r="W61" s="299">
        <f>Input!$TL$15</f>
        <v>0</v>
      </c>
      <c r="X61" s="300">
        <f t="shared" si="15"/>
        <v>6904962</v>
      </c>
      <c r="Z61" s="292" t="s">
        <v>15</v>
      </c>
      <c r="AA61" s="518">
        <f>Input!$TT$15</f>
        <v>6717898</v>
      </c>
      <c r="AB61" s="301">
        <f t="shared" si="16"/>
        <v>0</v>
      </c>
    </row>
    <row r="62" spans="1:28" ht="13.5" thickTop="1">
      <c r="A62" s="184">
        <v>45</v>
      </c>
      <c r="B62" s="160" t="s">
        <v>16</v>
      </c>
      <c r="C62" s="160"/>
      <c r="D62" s="372">
        <f>Input!$LG$15</f>
        <v>0</v>
      </c>
      <c r="E62" s="372">
        <f>Input!$LH$15</f>
        <v>911634</v>
      </c>
      <c r="F62" s="372">
        <f>Input!$LI$15</f>
        <v>0</v>
      </c>
      <c r="G62" s="372">
        <f>Input!$LJ$15</f>
        <v>2356</v>
      </c>
      <c r="H62" s="372">
        <f>Input!$LK$15</f>
        <v>0</v>
      </c>
      <c r="I62" s="372">
        <f>Input!$LL$15</f>
        <v>0</v>
      </c>
      <c r="J62" s="372">
        <f>Input!$LM$15</f>
        <v>0</v>
      </c>
      <c r="K62" s="372">
        <f>Input!$LN$15</f>
        <v>0</v>
      </c>
      <c r="L62" s="372">
        <f>Input!$LO$15</f>
        <v>0</v>
      </c>
      <c r="M62" s="373">
        <f t="shared" si="12"/>
        <v>913990</v>
      </c>
      <c r="N62" s="160"/>
      <c r="O62" s="440">
        <f t="shared" si="17"/>
        <v>913990</v>
      </c>
      <c r="P62" s="518">
        <f>Input!$SU$15</f>
        <v>4233</v>
      </c>
      <c r="Q62" s="441" t="s">
        <v>259</v>
      </c>
      <c r="R62" s="302" t="s">
        <v>259</v>
      </c>
      <c r="S62" s="442"/>
      <c r="T62" s="296">
        <f t="shared" si="13"/>
        <v>913990</v>
      </c>
      <c r="U62" s="297">
        <f t="shared" si="14"/>
        <v>4233</v>
      </c>
      <c r="V62" s="299">
        <f>Input!$TE$15</f>
        <v>0</v>
      </c>
      <c r="W62" s="299">
        <f>Input!$TM$15</f>
        <v>0</v>
      </c>
      <c r="X62" s="303">
        <f t="shared" si="15"/>
        <v>918223</v>
      </c>
      <c r="Z62" s="292" t="s">
        <v>16</v>
      </c>
      <c r="AA62" s="518">
        <f>Input!$TU$15</f>
        <v>913990</v>
      </c>
      <c r="AB62" s="301">
        <f t="shared" si="16"/>
        <v>0</v>
      </c>
    </row>
    <row r="63" spans="1:28">
      <c r="A63" s="184">
        <v>46</v>
      </c>
      <c r="B63" s="160" t="s">
        <v>17</v>
      </c>
      <c r="C63" s="160"/>
      <c r="D63" s="372">
        <f>Input!$LP$15</f>
        <v>2313531</v>
      </c>
      <c r="E63" s="372">
        <f>Input!$LQ$15</f>
        <v>4021523</v>
      </c>
      <c r="F63" s="372">
        <f>Input!$LR$15</f>
        <v>0</v>
      </c>
      <c r="G63" s="372">
        <f>Input!$LS$15</f>
        <v>34523</v>
      </c>
      <c r="H63" s="372">
        <f>Input!$LT$15</f>
        <v>0</v>
      </c>
      <c r="I63" s="372">
        <f>Input!$LU$15</f>
        <v>0</v>
      </c>
      <c r="J63" s="372">
        <f>Input!$LV$15</f>
        <v>0</v>
      </c>
      <c r="K63" s="372">
        <f>Input!$LW$15</f>
        <v>0</v>
      </c>
      <c r="L63" s="372">
        <f>Input!$LX$15</f>
        <v>0</v>
      </c>
      <c r="M63" s="373">
        <f t="shared" si="12"/>
        <v>6369577</v>
      </c>
      <c r="N63" s="160"/>
      <c r="O63" s="440">
        <f t="shared" si="17"/>
        <v>6369577</v>
      </c>
      <c r="P63" s="518">
        <f>Input!$SV$15</f>
        <v>3788</v>
      </c>
      <c r="Q63" s="441" t="s">
        <v>259</v>
      </c>
      <c r="R63" s="295">
        <f t="shared" ref="R63:R65" si="18">SUM(O63:P63)</f>
        <v>6373365</v>
      </c>
      <c r="S63" s="442"/>
      <c r="T63" s="296">
        <f t="shared" si="13"/>
        <v>6369577</v>
      </c>
      <c r="U63" s="297">
        <f t="shared" si="14"/>
        <v>3788</v>
      </c>
      <c r="V63" s="299">
        <f>Input!$TF$15</f>
        <v>0</v>
      </c>
      <c r="W63" s="299">
        <f>Input!$TN$15</f>
        <v>0</v>
      </c>
      <c r="X63" s="303">
        <f t="shared" si="15"/>
        <v>6373365</v>
      </c>
      <c r="Z63" s="292" t="s">
        <v>17</v>
      </c>
      <c r="AA63" s="518">
        <f>Input!$TV$15</f>
        <v>6369577</v>
      </c>
      <c r="AB63" s="301">
        <f t="shared" si="16"/>
        <v>0</v>
      </c>
    </row>
    <row r="64" spans="1:28">
      <c r="A64" s="184">
        <v>47</v>
      </c>
      <c r="B64" s="160" t="s">
        <v>18</v>
      </c>
      <c r="C64" s="160"/>
      <c r="D64" s="372">
        <f>Input!$LY$15</f>
        <v>1452559</v>
      </c>
      <c r="E64" s="372">
        <f>Input!$LZ$15</f>
        <v>1720329</v>
      </c>
      <c r="F64" s="372">
        <f>Input!$MA$15</f>
        <v>0</v>
      </c>
      <c r="G64" s="372">
        <f>Input!$MB$15</f>
        <v>5396</v>
      </c>
      <c r="H64" s="372">
        <f>Input!$MC$15</f>
        <v>13056</v>
      </c>
      <c r="I64" s="372">
        <f>Input!$MD$15</f>
        <v>0</v>
      </c>
      <c r="J64" s="372">
        <f>Input!$ME$15</f>
        <v>0</v>
      </c>
      <c r="K64" s="372">
        <f>Input!$MF$15</f>
        <v>0</v>
      </c>
      <c r="L64" s="372">
        <f>Input!$MG$15</f>
        <v>0</v>
      </c>
      <c r="M64" s="373">
        <f t="shared" si="12"/>
        <v>3191340</v>
      </c>
      <c r="N64" s="160"/>
      <c r="O64" s="440">
        <f t="shared" si="17"/>
        <v>3178284</v>
      </c>
      <c r="P64" s="518">
        <f>Input!$SW$15</f>
        <v>6926</v>
      </c>
      <c r="Q64" s="518">
        <f>Input!$TB$15</f>
        <v>0</v>
      </c>
      <c r="R64" s="295">
        <f>SUM(O64:P64)-Q64</f>
        <v>3185210</v>
      </c>
      <c r="S64" s="442"/>
      <c r="T64" s="296">
        <f t="shared" si="13"/>
        <v>3178284</v>
      </c>
      <c r="U64" s="297">
        <f t="shared" si="14"/>
        <v>6926</v>
      </c>
      <c r="V64" s="299">
        <f>Input!$TG$15</f>
        <v>0</v>
      </c>
      <c r="W64" s="299">
        <f>Input!$TO$15</f>
        <v>0</v>
      </c>
      <c r="X64" s="303">
        <f t="shared" si="15"/>
        <v>3185210</v>
      </c>
      <c r="Z64" s="292" t="s">
        <v>18</v>
      </c>
      <c r="AA64" s="518">
        <f>Input!$TW$15</f>
        <v>3191340</v>
      </c>
      <c r="AB64" s="301">
        <f t="shared" si="16"/>
        <v>0</v>
      </c>
    </row>
    <row r="65" spans="1:28">
      <c r="A65" s="184">
        <v>48</v>
      </c>
      <c r="B65" s="160" t="s">
        <v>19</v>
      </c>
      <c r="C65" s="160"/>
      <c r="D65" s="372">
        <f>Input!$MH$15</f>
        <v>2187676</v>
      </c>
      <c r="E65" s="372">
        <f>Input!$MI$15</f>
        <v>3712917</v>
      </c>
      <c r="F65" s="372">
        <f>Input!$MJ$15</f>
        <v>0</v>
      </c>
      <c r="G65" s="372">
        <f>Input!$MK$15</f>
        <v>840167</v>
      </c>
      <c r="H65" s="372">
        <f>Input!$ML$15</f>
        <v>0</v>
      </c>
      <c r="I65" s="372">
        <f>Input!$MM$15</f>
        <v>0</v>
      </c>
      <c r="J65" s="372">
        <f>Input!$MN$15</f>
        <v>0</v>
      </c>
      <c r="K65" s="372">
        <f>Input!$MO$15</f>
        <v>0</v>
      </c>
      <c r="L65" s="372">
        <f>Input!$MP$15</f>
        <v>0</v>
      </c>
      <c r="M65" s="373">
        <f t="shared" si="12"/>
        <v>6740760</v>
      </c>
      <c r="N65" s="160"/>
      <c r="O65" s="440">
        <f t="shared" si="17"/>
        <v>6740760</v>
      </c>
      <c r="P65" s="518">
        <f>Input!$SX$15</f>
        <v>69104</v>
      </c>
      <c r="Q65" s="441" t="s">
        <v>259</v>
      </c>
      <c r="R65" s="295">
        <f t="shared" si="18"/>
        <v>6809864</v>
      </c>
      <c r="S65" s="442"/>
      <c r="T65" s="296">
        <f t="shared" si="13"/>
        <v>6740760</v>
      </c>
      <c r="U65" s="297">
        <f t="shared" si="14"/>
        <v>69104</v>
      </c>
      <c r="V65" s="299">
        <f>Input!$TH$15</f>
        <v>0</v>
      </c>
      <c r="W65" s="299">
        <f>Input!$TP$15</f>
        <v>0</v>
      </c>
      <c r="X65" s="303">
        <f t="shared" si="15"/>
        <v>6809864</v>
      </c>
      <c r="Z65" s="292" t="s">
        <v>19</v>
      </c>
      <c r="AA65" s="518">
        <f>Input!$TX$15</f>
        <v>6740760</v>
      </c>
      <c r="AB65" s="301">
        <f t="shared" si="16"/>
        <v>0</v>
      </c>
    </row>
    <row r="66" spans="1:28">
      <c r="A66" s="184">
        <v>49</v>
      </c>
      <c r="B66" s="160" t="s">
        <v>20</v>
      </c>
      <c r="C66" s="160"/>
      <c r="D66" s="372">
        <f>Input!$MQ$15</f>
        <v>271</v>
      </c>
      <c r="E66" s="372">
        <f>Input!$MR$15</f>
        <v>6293737</v>
      </c>
      <c r="F66" s="372">
        <f>Input!$MS$15</f>
        <v>0</v>
      </c>
      <c r="G66" s="372">
        <f>Input!$MT$15</f>
        <v>9087</v>
      </c>
      <c r="H66" s="372">
        <f>Input!$MU$15</f>
        <v>0</v>
      </c>
      <c r="I66" s="372">
        <f>Input!$MV$15</f>
        <v>0</v>
      </c>
      <c r="J66" s="372">
        <f>Input!$MW$15</f>
        <v>998462</v>
      </c>
      <c r="K66" s="372">
        <f>Input!$MX$15</f>
        <v>0</v>
      </c>
      <c r="L66" s="372">
        <f>Input!$MY$15</f>
        <v>0</v>
      </c>
      <c r="M66" s="373">
        <f t="shared" si="12"/>
        <v>7301557</v>
      </c>
      <c r="N66" s="160"/>
      <c r="O66" s="440">
        <f t="shared" si="17"/>
        <v>7301557</v>
      </c>
      <c r="P66" s="518">
        <f>Input!$SY$15</f>
        <v>-86374</v>
      </c>
      <c r="Q66" s="441" t="s">
        <v>259</v>
      </c>
      <c r="R66" s="304" t="s">
        <v>259</v>
      </c>
      <c r="S66" s="442"/>
      <c r="T66" s="296">
        <f t="shared" si="13"/>
        <v>6303095</v>
      </c>
      <c r="U66" s="297">
        <f t="shared" si="14"/>
        <v>-86374</v>
      </c>
      <c r="V66" s="299">
        <f>Input!$TI$15</f>
        <v>0</v>
      </c>
      <c r="W66" s="299">
        <f>Input!$TQ$15</f>
        <v>0</v>
      </c>
      <c r="X66" s="303">
        <f t="shared" si="15"/>
        <v>6216721</v>
      </c>
      <c r="Z66" s="292" t="s">
        <v>260</v>
      </c>
      <c r="AA66" s="518">
        <f>Input!$TY$15</f>
        <v>7301557</v>
      </c>
      <c r="AB66" s="301">
        <f t="shared" si="16"/>
        <v>0</v>
      </c>
    </row>
    <row r="67" spans="1:28" ht="13.5" thickBot="1">
      <c r="A67" s="184">
        <v>50</v>
      </c>
      <c r="B67" s="160" t="s">
        <v>21</v>
      </c>
      <c r="C67" s="160"/>
      <c r="D67" s="372">
        <f>Input!$MZ$15</f>
        <v>305035</v>
      </c>
      <c r="E67" s="372">
        <f>Input!$NA$15</f>
        <v>860628</v>
      </c>
      <c r="F67" s="372">
        <f>Input!$NB$15</f>
        <v>0</v>
      </c>
      <c r="G67" s="372">
        <f>Input!$NC$15</f>
        <v>1728446</v>
      </c>
      <c r="H67" s="372">
        <f>Input!$ND$15</f>
        <v>0</v>
      </c>
      <c r="I67" s="372">
        <f>Input!$NE$15</f>
        <v>0</v>
      </c>
      <c r="J67" s="372">
        <f>Input!$NF$15</f>
        <v>0</v>
      </c>
      <c r="K67" s="372">
        <f>Input!$NG$15</f>
        <v>0</v>
      </c>
      <c r="L67" s="372">
        <f>Input!$NH$15</f>
        <v>0</v>
      </c>
      <c r="M67" s="373">
        <f t="shared" si="12"/>
        <v>2894109</v>
      </c>
      <c r="N67" s="160"/>
      <c r="O67" s="440">
        <f t="shared" si="17"/>
        <v>2894109</v>
      </c>
      <c r="P67" s="518">
        <f>Input!$SZ$15</f>
        <v>0</v>
      </c>
      <c r="Q67" s="441" t="s">
        <v>259</v>
      </c>
      <c r="R67" s="304" t="s">
        <v>259</v>
      </c>
      <c r="S67" s="442"/>
      <c r="T67" s="306">
        <f t="shared" si="13"/>
        <v>2894109</v>
      </c>
      <c r="U67" s="307">
        <f t="shared" si="14"/>
        <v>0</v>
      </c>
      <c r="V67" s="308">
        <f>Input!$TJ$15</f>
        <v>0</v>
      </c>
      <c r="W67" s="308">
        <f>Input!$TR$15</f>
        <v>0</v>
      </c>
      <c r="X67" s="303">
        <f>U67+T67-V67-W67</f>
        <v>2894109</v>
      </c>
      <c r="Z67" s="292" t="s">
        <v>21</v>
      </c>
      <c r="AA67" s="518">
        <f>Input!$TZ$15</f>
        <v>2894109</v>
      </c>
      <c r="AB67" s="301">
        <f t="shared" si="16"/>
        <v>0</v>
      </c>
    </row>
    <row r="68" spans="1:28" ht="14.25" thickTop="1" thickBot="1">
      <c r="A68" s="184">
        <v>51</v>
      </c>
      <c r="B68" s="160" t="s">
        <v>2135</v>
      </c>
      <c r="C68" s="160"/>
      <c r="D68" s="372">
        <f>Input!$NI$15</f>
        <v>0</v>
      </c>
      <c r="E68" s="372">
        <f>Input!$NJ$15</f>
        <v>0</v>
      </c>
      <c r="F68" s="372">
        <f>Input!$NK$15</f>
        <v>5110510</v>
      </c>
      <c r="G68" s="372">
        <f>Input!$NL$15</f>
        <v>0</v>
      </c>
      <c r="H68" s="372">
        <f>Input!$NM$15</f>
        <v>0</v>
      </c>
      <c r="I68" s="372">
        <f>Input!$NN$15</f>
        <v>0</v>
      </c>
      <c r="J68" s="372">
        <f>Input!$NO$15</f>
        <v>0</v>
      </c>
      <c r="K68" s="372">
        <f>Input!$NP$15</f>
        <v>0</v>
      </c>
      <c r="L68" s="372">
        <f>Input!$NQ$15</f>
        <v>0</v>
      </c>
      <c r="M68" s="373">
        <f t="shared" si="12"/>
        <v>5110510</v>
      </c>
      <c r="N68" s="160"/>
      <c r="O68" s="309" t="s">
        <v>259</v>
      </c>
      <c r="P68" s="519">
        <f>Input!$TA$15</f>
        <v>0</v>
      </c>
      <c r="Q68" s="444" t="s">
        <v>259</v>
      </c>
      <c r="R68" s="311" t="s">
        <v>259</v>
      </c>
      <c r="S68" s="442"/>
      <c r="T68" s="305"/>
      <c r="U68" s="305"/>
      <c r="V68" s="312" t="s">
        <v>261</v>
      </c>
      <c r="W68" s="313"/>
      <c r="X68" s="314">
        <f>SUM(X60:X67)</f>
        <v>53642730</v>
      </c>
      <c r="Z68" s="292" t="s">
        <v>22</v>
      </c>
      <c r="AA68" s="518">
        <f>Input!$UA$15</f>
        <v>5110510</v>
      </c>
      <c r="AB68" s="301">
        <f t="shared" si="16"/>
        <v>0</v>
      </c>
    </row>
    <row r="69" spans="1:28" ht="14.25" thickTop="1" thickBot="1">
      <c r="A69" s="184">
        <v>52</v>
      </c>
      <c r="B69" s="161" t="s">
        <v>59</v>
      </c>
      <c r="C69" s="161"/>
      <c r="D69" s="372">
        <f>Input!$NR$15</f>
        <v>193109</v>
      </c>
      <c r="E69" s="372">
        <f>Input!$NS$15</f>
        <v>110625</v>
      </c>
      <c r="F69" s="372">
        <f>Input!$NT$15</f>
        <v>0</v>
      </c>
      <c r="G69" s="372">
        <f>Input!$NU$15</f>
        <v>103311</v>
      </c>
      <c r="H69" s="372">
        <f>Input!$NV$15</f>
        <v>0</v>
      </c>
      <c r="I69" s="372">
        <f>Input!$NW$15</f>
        <v>0</v>
      </c>
      <c r="J69" s="372">
        <f>Input!$NX$15</f>
        <v>0</v>
      </c>
      <c r="K69" s="372">
        <f>Input!$NY$15</f>
        <v>0</v>
      </c>
      <c r="L69" s="372">
        <f>Input!$NZ$15</f>
        <v>0</v>
      </c>
      <c r="M69" s="373">
        <f t="shared" si="12"/>
        <v>407045</v>
      </c>
      <c r="N69" s="160"/>
      <c r="O69" s="315"/>
      <c r="P69" s="316">
        <f>SUM(P60:P68)</f>
        <v>407045</v>
      </c>
      <c r="Q69" s="316">
        <f>SUM(Q64:Q68)</f>
        <v>0</v>
      </c>
      <c r="R69" s="317">
        <f>SUM(R60:R65)</f>
        <v>43714495</v>
      </c>
      <c r="S69" s="316"/>
      <c r="T69" s="305"/>
      <c r="U69" s="305"/>
      <c r="V69" s="305"/>
      <c r="W69" s="277"/>
      <c r="X69" s="277"/>
      <c r="Y69" s="277"/>
      <c r="Z69" s="292" t="s">
        <v>285</v>
      </c>
      <c r="AA69" s="445">
        <f>M88*-1</f>
        <v>11223911</v>
      </c>
      <c r="AB69" s="301">
        <f>AA69+M88</f>
        <v>0</v>
      </c>
    </row>
    <row r="70" spans="1:28" ht="14.25" thickTop="1" thickBot="1">
      <c r="A70" s="184">
        <v>53</v>
      </c>
      <c r="B70" s="178" t="s">
        <v>44</v>
      </c>
      <c r="C70" s="178"/>
      <c r="D70" s="378">
        <f>Input!$OA$15</f>
        <v>8826</v>
      </c>
      <c r="E70" s="378">
        <f>Input!$OB$15</f>
        <v>239396</v>
      </c>
      <c r="F70" s="378">
        <f>Input!$OC$15</f>
        <v>0</v>
      </c>
      <c r="G70" s="378">
        <f>Input!$OD$15</f>
        <v>0</v>
      </c>
      <c r="H70" s="378">
        <f>Input!$OE$15</f>
        <v>53137</v>
      </c>
      <c r="I70" s="378">
        <f>Input!$OF$15</f>
        <v>0</v>
      </c>
      <c r="J70" s="378">
        <f>Input!$OG$15</f>
        <v>0</v>
      </c>
      <c r="K70" s="378">
        <f>Input!$OH$15</f>
        <v>0</v>
      </c>
      <c r="L70" s="378">
        <f>Input!$OI$15</f>
        <v>2602</v>
      </c>
      <c r="M70" s="373">
        <f t="shared" si="12"/>
        <v>303961</v>
      </c>
      <c r="N70" s="160"/>
      <c r="O70" s="320"/>
      <c r="P70" s="516" t="str">
        <f>IF(P69&lt;&gt;M69,"Out of Balance","Balanced")</f>
        <v>Balanced</v>
      </c>
      <c r="Q70" s="318"/>
      <c r="R70" s="305"/>
      <c r="S70" s="305"/>
      <c r="T70" s="305"/>
      <c r="U70" s="277"/>
      <c r="V70" s="1738" t="str">
        <f>IF(X68-INT(X68)&lt;&gt;0,"Whole Dollars Only","")</f>
        <v/>
      </c>
      <c r="W70" s="1738"/>
      <c r="X70" s="537"/>
      <c r="Y70" s="319"/>
      <c r="Z70" s="410" t="s">
        <v>262</v>
      </c>
      <c r="AA70" s="446" t="s">
        <v>259</v>
      </c>
      <c r="AB70" s="411">
        <f>M90</f>
        <v>0</v>
      </c>
    </row>
    <row r="71" spans="1:28" ht="13.5" thickTop="1">
      <c r="A71" s="184">
        <v>54</v>
      </c>
      <c r="B71" s="162" t="s">
        <v>69</v>
      </c>
      <c r="C71" s="162"/>
      <c r="D71" s="374">
        <f>SUM(D60:D70)</f>
        <v>19508680</v>
      </c>
      <c r="E71" s="374">
        <f>SUM(E60:E70)</f>
        <v>25261679</v>
      </c>
      <c r="F71" s="374">
        <f t="shared" ref="F71:L71" si="19">SUM(F60:F70)</f>
        <v>5110510</v>
      </c>
      <c r="G71" s="374">
        <f t="shared" si="19"/>
        <v>9221411</v>
      </c>
      <c r="H71" s="374">
        <f t="shared" si="19"/>
        <v>66193</v>
      </c>
      <c r="I71" s="374">
        <f t="shared" si="19"/>
        <v>0</v>
      </c>
      <c r="J71" s="374">
        <f t="shared" si="19"/>
        <v>998462</v>
      </c>
      <c r="K71" s="374">
        <f t="shared" si="19"/>
        <v>0</v>
      </c>
      <c r="L71" s="374">
        <f t="shared" si="19"/>
        <v>2602</v>
      </c>
      <c r="M71" s="374">
        <f t="shared" si="12"/>
        <v>60169537</v>
      </c>
      <c r="N71" s="160"/>
      <c r="O71" s="322"/>
      <c r="P71" s="1738" t="str">
        <f>IF(P69-INT(P69)&lt;&gt;0,"Whole Dollars Only","")</f>
        <v/>
      </c>
      <c r="Q71" s="1738"/>
      <c r="R71" s="323"/>
      <c r="S71" s="323"/>
      <c r="T71" s="323"/>
      <c r="U71" s="291"/>
      <c r="V71" s="324"/>
      <c r="W71" s="321"/>
      <c r="X71" s="321"/>
      <c r="Y71" s="321"/>
      <c r="Z71" s="318"/>
      <c r="AA71" s="325">
        <f>SUM(AA60:AA70)</f>
        <v>70682442</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Input!$OJ$15</f>
        <v>0</v>
      </c>
      <c r="E74" s="372">
        <f>Input!$OK$15</f>
        <v>0</v>
      </c>
      <c r="F74" s="372">
        <f>Input!$OL$15</f>
        <v>0</v>
      </c>
      <c r="G74" s="372">
        <f>Input!$OM$15</f>
        <v>0</v>
      </c>
      <c r="H74" s="372">
        <f>Input!$ON$15</f>
        <v>0</v>
      </c>
      <c r="I74" s="372">
        <f>Input!$OO$15</f>
        <v>0</v>
      </c>
      <c r="J74" s="372">
        <f>Input!$OP$15</f>
        <v>-2390460</v>
      </c>
      <c r="K74" s="372">
        <f>Input!$OQ$15</f>
        <v>0</v>
      </c>
      <c r="L74" s="372">
        <f>Input!$OR$15</f>
        <v>0</v>
      </c>
      <c r="M74" s="373">
        <f>D74+E74+F74+G74+H74+I74+J74+K74+L74</f>
        <v>-2390460</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Input!$OS$15</f>
        <v>-47472704</v>
      </c>
      <c r="E75" s="372">
        <f>Input!$OT$15</f>
        <v>4143238</v>
      </c>
      <c r="F75" s="372">
        <f>Input!$OU$15</f>
        <v>422806</v>
      </c>
      <c r="G75" s="372">
        <f>Input!$OV$15</f>
        <v>-1694221</v>
      </c>
      <c r="H75" s="372">
        <f>Input!$OW$15</f>
        <v>348891</v>
      </c>
      <c r="I75" s="372">
        <f>Input!$OX$15</f>
        <v>138797</v>
      </c>
      <c r="J75" s="372">
        <f>Input!$OY$15</f>
        <v>47021274</v>
      </c>
      <c r="K75" s="372">
        <f>Input!$OZ$15</f>
        <v>0</v>
      </c>
      <c r="L75" s="372">
        <f>Input!$PA$15</f>
        <v>0</v>
      </c>
      <c r="M75" s="373">
        <f>D75+E75+F75+G75+H75+I75+J75+K75+L75</f>
        <v>2908081</v>
      </c>
      <c r="N75" s="160"/>
      <c r="O75" s="1723" t="str">
        <f>IF(M85&lt;0,"Footnote 11 is N/A - No Data Entry Required","Footnote 11")</f>
        <v>Footnote 11</v>
      </c>
      <c r="P75" s="1724"/>
      <c r="Q75" s="1724"/>
      <c r="R75" s="1725"/>
      <c r="S75" s="330"/>
      <c r="T75" s="330"/>
      <c r="U75" s="327"/>
      <c r="V75" s="276"/>
      <c r="W75" s="331"/>
      <c r="X75" s="331"/>
      <c r="Y75" s="328"/>
      <c r="Z75" s="328"/>
      <c r="AA75" s="276"/>
      <c r="AB75" s="276" t="s">
        <v>293</v>
      </c>
    </row>
    <row r="76" spans="1:28" ht="13.5" thickTop="1">
      <c r="A76" s="184">
        <v>59</v>
      </c>
      <c r="B76" s="160" t="s">
        <v>45</v>
      </c>
      <c r="C76" s="160"/>
      <c r="D76" s="372">
        <f>Input!$PB$15</f>
        <v>0</v>
      </c>
      <c r="E76" s="372">
        <f>Input!$PC$15</f>
        <v>0</v>
      </c>
      <c r="F76" s="372">
        <f>Input!$PD$15</f>
        <v>0</v>
      </c>
      <c r="G76" s="372">
        <f>Input!$PE$15</f>
        <v>0</v>
      </c>
      <c r="H76" s="372">
        <f>Input!$PF$15</f>
        <v>0</v>
      </c>
      <c r="I76" s="372">
        <f>Input!$PG$15</f>
        <v>0</v>
      </c>
      <c r="J76" s="372">
        <f>Input!$PH$15</f>
        <v>0</v>
      </c>
      <c r="K76" s="372">
        <f>Input!$PI$15</f>
        <v>0</v>
      </c>
      <c r="L76" s="372">
        <f>Input!$PJ$15</f>
        <v>0</v>
      </c>
      <c r="M76" s="373">
        <f>D76+E76+F76+G76+H76+I76+J76+K76+L76</f>
        <v>0</v>
      </c>
      <c r="N76" s="160"/>
      <c r="O76" s="487" t="s">
        <v>583</v>
      </c>
      <c r="P76" s="488"/>
      <c r="Q76" s="489"/>
      <c r="R76" s="490">
        <f>IF($M$85&lt;0,"N/A",$M$85)</f>
        <v>58423639</v>
      </c>
      <c r="S76" s="330"/>
      <c r="T76" s="330"/>
      <c r="U76" s="327"/>
      <c r="V76" s="276"/>
      <c r="W76" s="331"/>
      <c r="X76" s="331"/>
      <c r="Y76" s="331"/>
      <c r="Z76" s="331"/>
      <c r="AA76" s="276"/>
      <c r="AB76" s="276"/>
    </row>
    <row r="77" spans="1:28">
      <c r="A77" s="184">
        <v>60</v>
      </c>
      <c r="B77" s="160" t="s">
        <v>46</v>
      </c>
      <c r="C77" s="160"/>
      <c r="D77" s="372">
        <f>Input!$PK$15</f>
        <v>-8264142</v>
      </c>
      <c r="E77" s="372">
        <f>Input!$PL$15</f>
        <v>-742480</v>
      </c>
      <c r="F77" s="372">
        <f>Input!$PM$15</f>
        <v>-1687212</v>
      </c>
      <c r="G77" s="372">
        <f>Input!$PN$15</f>
        <v>0</v>
      </c>
      <c r="H77" s="372">
        <f>Input!$PO$15</f>
        <v>0</v>
      </c>
      <c r="I77" s="372">
        <f>Input!$PP$15</f>
        <v>0</v>
      </c>
      <c r="J77" s="372">
        <f>Input!$PQ$15</f>
        <v>0</v>
      </c>
      <c r="K77" s="372">
        <f>Input!$PR$15</f>
        <v>0</v>
      </c>
      <c r="L77" s="372">
        <f>Input!$PS$15</f>
        <v>0</v>
      </c>
      <c r="M77" s="373">
        <f>D77+E77+F77+G77+H77+I77+J77+K77+L77</f>
        <v>-10693834</v>
      </c>
      <c r="N77" s="160"/>
      <c r="O77" s="491" t="s">
        <v>584</v>
      </c>
      <c r="P77" s="334"/>
      <c r="Q77" s="334"/>
      <c r="R77" s="521">
        <f>Input!$UB$15</f>
        <v>50205129</v>
      </c>
      <c r="S77" s="330"/>
      <c r="T77" s="330"/>
      <c r="U77" s="327"/>
      <c r="V77" s="276"/>
      <c r="W77" s="331"/>
      <c r="X77" s="331"/>
      <c r="Y77" s="331"/>
      <c r="Z77" s="331"/>
      <c r="AA77" s="276"/>
      <c r="AB77" s="276"/>
    </row>
    <row r="78" spans="1:28">
      <c r="A78" s="184">
        <v>61</v>
      </c>
      <c r="B78" s="162" t="s">
        <v>3</v>
      </c>
      <c r="C78" s="162"/>
      <c r="D78" s="374">
        <f t="shared" ref="D78:L78" si="20">SUM(D74:D77)</f>
        <v>-55736846</v>
      </c>
      <c r="E78" s="374">
        <f t="shared" si="20"/>
        <v>3400758</v>
      </c>
      <c r="F78" s="374">
        <f t="shared" si="20"/>
        <v>-1264406</v>
      </c>
      <c r="G78" s="374">
        <f t="shared" si="20"/>
        <v>-1694221</v>
      </c>
      <c r="H78" s="374">
        <f t="shared" si="20"/>
        <v>348891</v>
      </c>
      <c r="I78" s="374">
        <f t="shared" si="20"/>
        <v>138797</v>
      </c>
      <c r="J78" s="374">
        <f t="shared" si="20"/>
        <v>44630814</v>
      </c>
      <c r="K78" s="374">
        <f t="shared" si="20"/>
        <v>0</v>
      </c>
      <c r="L78" s="374">
        <f t="shared" si="20"/>
        <v>0</v>
      </c>
      <c r="M78" s="374">
        <f>D78+E78+F78+G78+H78+I78+J78+K78+L78</f>
        <v>-10176213</v>
      </c>
      <c r="N78" s="160"/>
      <c r="O78" s="491" t="s">
        <v>585</v>
      </c>
      <c r="P78" s="276"/>
      <c r="Q78" s="334"/>
      <c r="R78" s="492">
        <f>IF($M$85&lt;0,"",$R$76-$R$77)</f>
        <v>8218510</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3"/>
      <c r="P79" s="276"/>
      <c r="Q79" s="334"/>
      <c r="R79" s="494"/>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5" t="s">
        <v>586</v>
      </c>
      <c r="P80" s="276"/>
      <c r="Q80" s="334"/>
      <c r="R80" s="521">
        <f>Input!$UC$15</f>
        <v>8217113</v>
      </c>
      <c r="S80" s="330"/>
      <c r="T80" s="330"/>
      <c r="U80" s="334"/>
      <c r="V80" s="276"/>
      <c r="W80" s="328"/>
      <c r="X80" s="328"/>
      <c r="Y80" s="331"/>
      <c r="Z80" s="331"/>
      <c r="AA80" s="276"/>
      <c r="AB80" s="276"/>
    </row>
    <row r="81" spans="1:28">
      <c r="A81" s="184">
        <v>64</v>
      </c>
      <c r="B81" s="160" t="s">
        <v>47</v>
      </c>
      <c r="C81" s="160"/>
      <c r="D81" s="372">
        <f>Input!$PT$15</f>
        <v>0</v>
      </c>
      <c r="E81" s="372">
        <f>Input!$PU$15</f>
        <v>7510918</v>
      </c>
      <c r="F81" s="372">
        <f>Input!$PV$15</f>
        <v>0</v>
      </c>
      <c r="G81" s="372">
        <f>Input!$PW$15</f>
        <v>0</v>
      </c>
      <c r="H81" s="372">
        <f>Input!$PX$15</f>
        <v>0</v>
      </c>
      <c r="I81" s="372">
        <f>Input!$PY$15</f>
        <v>706195</v>
      </c>
      <c r="J81" s="372">
        <f>Input!$PZ$15</f>
        <v>0</v>
      </c>
      <c r="K81" s="372">
        <f>Input!$QA$15</f>
        <v>0</v>
      </c>
      <c r="L81" s="372">
        <f>Input!$QB$15</f>
        <v>0</v>
      </c>
      <c r="M81" s="373">
        <f>D81+E81+F81+G81+H81+I81+J81+K81+L81</f>
        <v>8217113</v>
      </c>
      <c r="N81" s="160"/>
      <c r="O81" s="496" t="s">
        <v>587</v>
      </c>
      <c r="P81" s="276"/>
      <c r="Q81" s="276"/>
      <c r="R81" s="497"/>
      <c r="S81" s="330"/>
      <c r="T81" s="330"/>
      <c r="W81" s="276"/>
      <c r="X81" s="276"/>
      <c r="Y81" s="331"/>
      <c r="Z81" s="331"/>
      <c r="AA81" s="276"/>
      <c r="AB81" s="276"/>
    </row>
    <row r="82" spans="1:28">
      <c r="A82" s="184">
        <v>65</v>
      </c>
      <c r="B82" s="160" t="s">
        <v>48</v>
      </c>
      <c r="C82" s="160"/>
      <c r="D82" s="372">
        <f>Input!$QC$15</f>
        <v>0</v>
      </c>
      <c r="E82" s="372">
        <f>Input!$QD$15</f>
        <v>0</v>
      </c>
      <c r="F82" s="372">
        <f>Input!$QE$15</f>
        <v>0</v>
      </c>
      <c r="G82" s="372">
        <f>Input!$QF$15</f>
        <v>0</v>
      </c>
      <c r="H82" s="372">
        <f>Input!$QG$15</f>
        <v>0</v>
      </c>
      <c r="I82" s="372">
        <f>Input!$QH$15</f>
        <v>1397</v>
      </c>
      <c r="J82" s="372">
        <f>Input!$QI$15</f>
        <v>0</v>
      </c>
      <c r="K82" s="372">
        <f>Input!$QJ$15</f>
        <v>0</v>
      </c>
      <c r="L82" s="372">
        <f>Input!$QK$15</f>
        <v>0</v>
      </c>
      <c r="M82" s="373">
        <f>D82+E82+F82+G82+H82+I82+J82+K82+L82</f>
        <v>1397</v>
      </c>
      <c r="N82" s="160"/>
      <c r="O82" s="498" t="s">
        <v>588</v>
      </c>
      <c r="P82" s="276"/>
      <c r="Q82" s="276"/>
      <c r="R82" s="492">
        <f>IFERROR($R$78-$R$80,"")</f>
        <v>1397</v>
      </c>
      <c r="Y82" s="331"/>
      <c r="Z82" s="401"/>
      <c r="AA82" s="268"/>
      <c r="AB82" s="268"/>
    </row>
    <row r="83" spans="1:28">
      <c r="A83" s="184">
        <v>66</v>
      </c>
      <c r="B83" s="162" t="s">
        <v>3</v>
      </c>
      <c r="C83" s="162"/>
      <c r="D83" s="374">
        <f t="shared" ref="D83:L83" si="21">SUM(D81:D82)</f>
        <v>0</v>
      </c>
      <c r="E83" s="374">
        <f t="shared" si="21"/>
        <v>7510918</v>
      </c>
      <c r="F83" s="374">
        <f t="shared" si="21"/>
        <v>0</v>
      </c>
      <c r="G83" s="374">
        <f t="shared" si="21"/>
        <v>0</v>
      </c>
      <c r="H83" s="374">
        <f t="shared" si="21"/>
        <v>0</v>
      </c>
      <c r="I83" s="374">
        <f t="shared" si="21"/>
        <v>707592</v>
      </c>
      <c r="J83" s="374">
        <f t="shared" si="21"/>
        <v>0</v>
      </c>
      <c r="K83" s="374">
        <f t="shared" si="21"/>
        <v>0</v>
      </c>
      <c r="L83" s="374">
        <f t="shared" si="21"/>
        <v>0</v>
      </c>
      <c r="M83" s="374">
        <f>D83+E83+F83+G83+H83+I83+J83+K83+L83</f>
        <v>8218510</v>
      </c>
      <c r="N83" s="160"/>
      <c r="O83" s="493"/>
      <c r="P83" s="276"/>
      <c r="Q83" s="276"/>
      <c r="R83" s="497"/>
      <c r="Y83" s="163"/>
      <c r="Z83" s="447"/>
      <c r="AA83" s="439"/>
      <c r="AB83" s="448"/>
    </row>
    <row r="84" spans="1:28" ht="13.5" thickBot="1">
      <c r="A84" s="184">
        <v>67</v>
      </c>
      <c r="B84" s="160"/>
      <c r="C84" s="160"/>
      <c r="D84" s="373"/>
      <c r="E84" s="373"/>
      <c r="F84" s="373"/>
      <c r="G84" s="373"/>
      <c r="H84" s="373"/>
      <c r="I84" s="373"/>
      <c r="J84" s="373"/>
      <c r="K84" s="373"/>
      <c r="L84" s="373"/>
      <c r="M84" s="373"/>
      <c r="N84" s="160"/>
      <c r="O84" s="499" t="s">
        <v>589</v>
      </c>
      <c r="P84" s="500"/>
      <c r="Q84" s="500"/>
      <c r="R84" s="501">
        <f>IFERROR((R82+R80)-R78,"")</f>
        <v>0</v>
      </c>
      <c r="Y84" s="268"/>
      <c r="Z84" s="447"/>
      <c r="AA84" s="439"/>
      <c r="AB84" s="449"/>
    </row>
    <row r="85" spans="1:28" ht="13.5" thickTop="1">
      <c r="A85" s="184">
        <v>68</v>
      </c>
      <c r="B85" s="162" t="s">
        <v>574</v>
      </c>
      <c r="C85" s="162"/>
      <c r="D85" s="374">
        <f t="shared" ref="D85:L85" si="22">D57-D71+D78+D83</f>
        <v>-1435356</v>
      </c>
      <c r="E85" s="374">
        <f t="shared" si="22"/>
        <v>14261933</v>
      </c>
      <c r="F85" s="374">
        <f t="shared" si="22"/>
        <v>697513</v>
      </c>
      <c r="G85" s="374">
        <f t="shared" si="22"/>
        <v>134382</v>
      </c>
      <c r="H85" s="374">
        <f t="shared" si="22"/>
        <v>289627</v>
      </c>
      <c r="I85" s="374">
        <f t="shared" si="22"/>
        <v>847357</v>
      </c>
      <c r="J85" s="374">
        <f t="shared" si="22"/>
        <v>43632352</v>
      </c>
      <c r="K85" s="374">
        <f t="shared" si="22"/>
        <v>0</v>
      </c>
      <c r="L85" s="374">
        <f t="shared" si="22"/>
        <v>-4169</v>
      </c>
      <c r="M85" s="374">
        <f>D85+E85+F85+G85+H85+I85+J85+K85+L85</f>
        <v>58423639</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Input!$QL$15</f>
        <v>0</v>
      </c>
      <c r="E87" s="372">
        <f>Input!$QM$15</f>
        <v>0</v>
      </c>
      <c r="F87" s="372">
        <f>Input!$QN$15</f>
        <v>0</v>
      </c>
      <c r="G87" s="372">
        <f>Input!$QO$15</f>
        <v>0</v>
      </c>
      <c r="H87" s="372">
        <f>Input!$QP$15</f>
        <v>0</v>
      </c>
      <c r="I87" s="372">
        <f>Input!$QQ$15</f>
        <v>0</v>
      </c>
      <c r="J87" s="372">
        <f>Input!$QR$15</f>
        <v>0</v>
      </c>
      <c r="K87" s="372">
        <f>Input!$QS$15</f>
        <v>0</v>
      </c>
      <c r="L87" s="372">
        <f>Input!$QT$15</f>
        <v>0</v>
      </c>
      <c r="M87" s="329">
        <f>D87+E87+F87+G87+H87+I87+J87+K87+L87</f>
        <v>0</v>
      </c>
      <c r="N87" s="160"/>
      <c r="Y87" s="268"/>
      <c r="Z87" s="447"/>
      <c r="AA87" s="439"/>
      <c r="AB87" s="449"/>
    </row>
    <row r="88" spans="1:28">
      <c r="A88" s="184">
        <v>72</v>
      </c>
      <c r="B88" s="160" t="s">
        <v>66</v>
      </c>
      <c r="C88" s="160"/>
      <c r="D88" s="372">
        <f>Input!$QU$15</f>
        <v>0</v>
      </c>
      <c r="E88" s="372">
        <f>Input!$QV$15</f>
        <v>0</v>
      </c>
      <c r="F88" s="372">
        <f>Input!$QW$15</f>
        <v>0</v>
      </c>
      <c r="G88" s="372">
        <f>Input!$QX$15</f>
        <v>0</v>
      </c>
      <c r="H88" s="372">
        <f>Input!$QY$15</f>
        <v>0</v>
      </c>
      <c r="I88" s="372">
        <f>Input!$QZ$15</f>
        <v>0</v>
      </c>
      <c r="J88" s="372">
        <f>Input!$RA$15</f>
        <v>0</v>
      </c>
      <c r="K88" s="372">
        <f>Input!$RB$15</f>
        <v>0</v>
      </c>
      <c r="L88" s="372">
        <f>Input!$RC$15</f>
        <v>-11223911</v>
      </c>
      <c r="M88" s="373">
        <f>D88+E88+F88+G88+H88+I88+J88+K88+L88</f>
        <v>-11223911</v>
      </c>
      <c r="N88" s="160"/>
      <c r="O88" s="270"/>
      <c r="P88" s="335"/>
      <c r="Y88" s="268"/>
      <c r="Z88" s="447"/>
      <c r="AA88" s="439"/>
      <c r="AB88" s="449"/>
    </row>
    <row r="89" spans="1:28" s="264" customFormat="1">
      <c r="A89" s="263"/>
      <c r="B89" s="171" t="s">
        <v>216</v>
      </c>
      <c r="C89" s="171"/>
      <c r="D89" s="372">
        <f>Input!$RD$15</f>
        <v>0</v>
      </c>
      <c r="E89" s="372">
        <f>Input!$RE$15</f>
        <v>0</v>
      </c>
      <c r="F89" s="372">
        <f>Input!$RF$15</f>
        <v>0</v>
      </c>
      <c r="G89" s="372">
        <f>Input!$RG$15</f>
        <v>0</v>
      </c>
      <c r="H89" s="372">
        <f>Input!$RH$15</f>
        <v>0</v>
      </c>
      <c r="I89" s="372">
        <f>Input!$RI$15</f>
        <v>0</v>
      </c>
      <c r="J89" s="372">
        <f>Input!$RJ$15</f>
        <v>0</v>
      </c>
      <c r="K89" s="372">
        <f>Input!$RK$15</f>
        <v>0</v>
      </c>
      <c r="L89" s="372">
        <f>Input!$RL$15</f>
        <v>43996874</v>
      </c>
      <c r="M89" s="373">
        <f t="shared" ref="M89:M91" si="23">D89+E89+F89+G89+H89+I89+J89+K89+L89</f>
        <v>43996874</v>
      </c>
      <c r="N89" s="160"/>
      <c r="O89" s="1726" t="s">
        <v>1355</v>
      </c>
      <c r="P89" s="1727"/>
      <c r="Q89" s="1727"/>
      <c r="R89" s="1727"/>
      <c r="S89" s="1727"/>
      <c r="T89" s="1727"/>
      <c r="U89" s="1728"/>
      <c r="Y89" s="268"/>
      <c r="Z89" s="447"/>
      <c r="AA89" s="439"/>
      <c r="AB89" s="449"/>
    </row>
    <row r="90" spans="1:28" s="264" customFormat="1">
      <c r="A90" s="263"/>
      <c r="B90" s="171" t="s">
        <v>105</v>
      </c>
      <c r="C90" s="171"/>
      <c r="D90" s="372">
        <f>Input!$RM$15</f>
        <v>0</v>
      </c>
      <c r="E90" s="372">
        <f>Input!$RN$15</f>
        <v>0</v>
      </c>
      <c r="F90" s="372">
        <f>Input!$RO$15</f>
        <v>0</v>
      </c>
      <c r="G90" s="372">
        <f>Input!$RP$15</f>
        <v>0</v>
      </c>
      <c r="H90" s="372">
        <f>Input!$RQ$15</f>
        <v>0</v>
      </c>
      <c r="I90" s="372">
        <f>Input!$RR$15</f>
        <v>0</v>
      </c>
      <c r="J90" s="372">
        <f>Input!$RS$15</f>
        <v>0</v>
      </c>
      <c r="K90" s="372">
        <f>Input!$RT$15</f>
        <v>0</v>
      </c>
      <c r="L90" s="372">
        <f>Input!$RU$15</f>
        <v>0</v>
      </c>
      <c r="M90" s="373">
        <f t="shared" si="23"/>
        <v>0</v>
      </c>
      <c r="N90" s="160"/>
      <c r="O90" s="502" t="s">
        <v>590</v>
      </c>
      <c r="P90" s="423"/>
      <c r="Q90" s="502" t="s">
        <v>591</v>
      </c>
      <c r="R90" s="423"/>
      <c r="S90" s="503"/>
      <c r="T90" s="502" t="s">
        <v>592</v>
      </c>
      <c r="U90" s="423"/>
      <c r="Y90" s="268"/>
      <c r="Z90" s="447"/>
      <c r="AA90" s="439"/>
      <c r="AB90" s="449"/>
    </row>
    <row r="91" spans="1:28" s="264" customFormat="1">
      <c r="A91" s="263"/>
      <c r="B91" s="171" t="s">
        <v>128</v>
      </c>
      <c r="C91" s="171"/>
      <c r="D91" s="372">
        <f>Input!$RV$15</f>
        <v>0</v>
      </c>
      <c r="E91" s="372">
        <f>Input!$RW$15</f>
        <v>0</v>
      </c>
      <c r="F91" s="372">
        <f>Input!$RX$15</f>
        <v>0</v>
      </c>
      <c r="G91" s="372">
        <f>Input!$RY$15</f>
        <v>0</v>
      </c>
      <c r="H91" s="372">
        <f>Input!$RZ$15</f>
        <v>0</v>
      </c>
      <c r="I91" s="372">
        <f>Input!$SA$15</f>
        <v>0</v>
      </c>
      <c r="J91" s="372">
        <f>Input!$SB$15</f>
        <v>0</v>
      </c>
      <c r="K91" s="372">
        <f>Input!$SC$15</f>
        <v>0</v>
      </c>
      <c r="L91" s="372">
        <f>Input!$SD$15</f>
        <v>98252</v>
      </c>
      <c r="M91" s="373">
        <f t="shared" si="23"/>
        <v>98252</v>
      </c>
      <c r="N91" s="160"/>
      <c r="O91" s="504"/>
      <c r="P91" s="505"/>
      <c r="Q91" s="504"/>
      <c r="R91" s="426"/>
      <c r="S91" s="276"/>
      <c r="T91" s="506"/>
      <c r="U91" s="426"/>
      <c r="Y91" s="268"/>
      <c r="Z91" s="447"/>
      <c r="AA91" s="439"/>
      <c r="AB91" s="449"/>
    </row>
    <row r="92" spans="1:28" s="264" customFormat="1">
      <c r="A92" s="263"/>
      <c r="B92" s="160" t="s">
        <v>67</v>
      </c>
      <c r="C92" s="160"/>
      <c r="D92" s="372">
        <f>Input!$SE$15</f>
        <v>193109</v>
      </c>
      <c r="E92" s="372">
        <f>Input!$SF$15</f>
        <v>110625</v>
      </c>
      <c r="F92" s="372">
        <f>Input!$SG$15</f>
        <v>0</v>
      </c>
      <c r="G92" s="372">
        <f>Input!$SH$15</f>
        <v>103311</v>
      </c>
      <c r="H92" s="372">
        <f>Input!$SI$15</f>
        <v>0</v>
      </c>
      <c r="I92" s="372">
        <f>Input!$SJ$15</f>
        <v>0</v>
      </c>
      <c r="J92" s="372">
        <f>Input!$SK$15</f>
        <v>2390460</v>
      </c>
      <c r="K92" s="372">
        <f>Input!$SL$15</f>
        <v>0</v>
      </c>
      <c r="L92" s="372">
        <f>Input!$SM$15</f>
        <v>0</v>
      </c>
      <c r="M92" s="373">
        <f>D92+E92+F92+G92+H92+I92+J92+K92+L92</f>
        <v>2797505</v>
      </c>
      <c r="N92" s="160"/>
      <c r="O92" s="1729" t="str">
        <f>Input!UF$15</f>
        <v>Chris Arrington</v>
      </c>
      <c r="P92" s="1730"/>
      <c r="Q92" s="1729" t="str">
        <f>Input!$UG$15</f>
        <v>979-458-9151</v>
      </c>
      <c r="R92" s="1730"/>
      <c r="S92" s="276"/>
      <c r="T92" s="1731" t="str">
        <f>HYPERLINK("Mailto:"&amp;Input!$UH$15,Input!$UH$15)</f>
        <v>carrington@tamus.edu</v>
      </c>
      <c r="U92" s="1730"/>
      <c r="Y92" s="268"/>
      <c r="Z92" s="447"/>
      <c r="AA92" s="442"/>
      <c r="AB92" s="449"/>
    </row>
    <row r="93" spans="1:28" ht="13.5" thickBot="1">
      <c r="B93" s="179" t="s">
        <v>58</v>
      </c>
      <c r="C93" s="179"/>
      <c r="D93" s="380">
        <f t="shared" ref="D93:K93" si="24">SUM(D85:D92)</f>
        <v>-1242247</v>
      </c>
      <c r="E93" s="380">
        <f t="shared" si="24"/>
        <v>14372558</v>
      </c>
      <c r="F93" s="380">
        <f t="shared" si="24"/>
        <v>697513</v>
      </c>
      <c r="G93" s="380">
        <f t="shared" si="24"/>
        <v>237693</v>
      </c>
      <c r="H93" s="380">
        <f t="shared" si="24"/>
        <v>289627</v>
      </c>
      <c r="I93" s="380">
        <f t="shared" si="24"/>
        <v>847357</v>
      </c>
      <c r="J93" s="380">
        <f t="shared" si="24"/>
        <v>46022812</v>
      </c>
      <c r="K93" s="380">
        <f t="shared" si="24"/>
        <v>0</v>
      </c>
      <c r="L93" s="380">
        <f>SUM(L85:L92)</f>
        <v>32867046</v>
      </c>
      <c r="M93" s="380">
        <f>D93+E93+F93+G93+H93+I93+J93+K93+L93</f>
        <v>94092359</v>
      </c>
      <c r="N93" s="160"/>
      <c r="O93" s="506"/>
      <c r="P93" s="507"/>
      <c r="Q93" s="276"/>
      <c r="R93" s="276"/>
      <c r="S93" s="276"/>
      <c r="T93" s="507"/>
      <c r="U93" s="508"/>
      <c r="Y93" s="268"/>
      <c r="Z93" s="447"/>
      <c r="AA93" s="442"/>
      <c r="AB93" s="449"/>
    </row>
    <row r="94" spans="1:28" ht="13.5" thickTop="1">
      <c r="C94" s="160"/>
      <c r="D94" s="165"/>
      <c r="E94" s="165"/>
      <c r="F94" s="165"/>
      <c r="G94" s="165"/>
      <c r="H94" s="165"/>
      <c r="I94" s="165"/>
      <c r="J94" s="165"/>
      <c r="K94" s="165"/>
      <c r="L94" s="165"/>
      <c r="M94" s="180"/>
      <c r="N94" s="160"/>
      <c r="O94" s="1720" t="s">
        <v>593</v>
      </c>
      <c r="P94" s="1721"/>
      <c r="Q94" s="1721"/>
      <c r="R94" s="1721"/>
      <c r="S94" s="1721"/>
      <c r="T94" s="1721"/>
      <c r="U94" s="1722"/>
      <c r="Y94" s="268"/>
      <c r="Z94" s="451"/>
      <c r="AA94" s="442"/>
      <c r="AB94" s="449"/>
    </row>
    <row r="95" spans="1:28">
      <c r="B95" s="171" t="s">
        <v>1369</v>
      </c>
      <c r="C95" s="169"/>
      <c r="D95" s="165"/>
      <c r="E95" s="165"/>
      <c r="F95" s="165"/>
      <c r="G95" s="165"/>
      <c r="H95" s="165"/>
      <c r="I95" s="165"/>
      <c r="J95" s="165"/>
      <c r="K95" s="165"/>
      <c r="L95" s="165"/>
      <c r="M95" s="180"/>
      <c r="N95" s="160"/>
      <c r="O95" s="1720"/>
      <c r="P95" s="1721"/>
      <c r="Q95" s="1721"/>
      <c r="R95" s="1721"/>
      <c r="S95" s="1721"/>
      <c r="T95" s="1721"/>
      <c r="U95" s="1722"/>
      <c r="Y95" s="268"/>
      <c r="Z95" s="452"/>
      <c r="AA95" s="453"/>
      <c r="AB95" s="454"/>
    </row>
    <row r="96" spans="1:28">
      <c r="B96" s="169" t="s">
        <v>80</v>
      </c>
      <c r="C96" s="160"/>
      <c r="D96" s="165"/>
      <c r="E96" s="165"/>
      <c r="F96" s="165"/>
      <c r="G96" s="165"/>
      <c r="H96" s="165"/>
      <c r="I96" s="165"/>
      <c r="J96" s="165"/>
      <c r="K96" s="165"/>
      <c r="L96" s="165"/>
      <c r="M96" s="180"/>
      <c r="N96" s="160"/>
      <c r="O96" s="509"/>
      <c r="P96" s="510"/>
      <c r="Q96" s="511"/>
      <c r="R96" s="511"/>
      <c r="S96" s="511"/>
      <c r="T96" s="510"/>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Input!$SN$15</f>
        <v>94092359</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3" t="str">
        <f>IF($L$118&lt;&gt;Input!$F$15,"Out of Balance","Balanced")</f>
        <v>Balanced</v>
      </c>
      <c r="M102" s="517"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37198985</v>
      </c>
      <c r="E105" s="373">
        <f>SUM($E$10:$E$14)+SUM($E$19:$E$28)+SUM($E$32:$E$41)+$E$47+SUM($E$50:$E$55)+SUM($E$60:$E$70)+SUM($E$74:$E$77)+SUM($E$81:$E$82)+SUM($E$87:$E$92)</f>
        <v>64343018</v>
      </c>
      <c r="F105" s="373">
        <f>SUM($F$10:$F$14)+SUM($F$19:$F$28)+SUM($F$32:$F$41)+$F$47+SUM($F$50:$F$55)+SUM($F$60:$F$70)+SUM($F$74:$F$77)+SUM($F$81:$F$82)+SUM($F$87:$F$92)</f>
        <v>10918533</v>
      </c>
      <c r="G105" s="373">
        <f>SUM($G$10:$G$14)+SUM($G$19:$G$28)+SUM($G$32:$G$41)+$G$47+SUM($G$50:$G$55)+SUM($G$60:$G$70)+SUM($G$74:$G$77)+SUM($G$81:$G$82)+SUM($G$87:$G$92)</f>
        <v>18680515</v>
      </c>
      <c r="H105" s="373">
        <f>SUM($H$10:$H$14)+SUM($H$19:$H$28)+SUM($H$32:$H$41)+$H$47+SUM($H$50:$H$55)+SUM($H$60:$H$70)+SUM($H$74:$H$77)+SUM($H$81:$H$82)+SUM($H$87:$H$92)</f>
        <v>422013</v>
      </c>
      <c r="I105" s="373">
        <f>SUM($I$10:$I$14)+SUM($I$19:$I$28)+SUM($I$32:$I$41)+$I$47+SUM($I$50:$I$55)+SUM($I$60:$I$70)+SUM($I$74:$I$77)+SUM($I$81:$I$82)+SUM($I$87:$I$92)</f>
        <v>847357</v>
      </c>
      <c r="J105" s="373">
        <f>SUM($J$10:$J$14)+SUM($J$19:$J$28)+SUM($J$32:$J$41)+$J$47+SUM($J$50:$J$55)+SUM($J$60:$J$70)+SUM($J$74:$J$77)+SUM($J$81:$J$82)+SUM($J$87:$J$92)</f>
        <v>48019736</v>
      </c>
      <c r="K105" s="373">
        <f>SUM($K$10:$K$14)+SUM($K$19:$K$28)+SUM($K$32:$K$41)+$K$47+SUM($K$50:$K$55)+SUM($K$60:$K$70)+SUM($K$74:$K$77)+SUM($K$81:$K$82)+SUM($K$87:$K$92)</f>
        <v>0</v>
      </c>
      <c r="L105" s="373">
        <f>SUM($L$10:$L$14)+SUM($L$19:$L$28)+SUM($L$32:$L$41)+$L$47+SUM($L$50:$L$55)+SUM($L$60:$L$70)+SUM($L$74:$L$77)+SUM($L$81:$L$82)+SUM($L$87:$L$92)</f>
        <v>32872250</v>
      </c>
      <c r="M105" s="373"/>
      <c r="N105" s="264"/>
      <c r="O105" s="373"/>
      <c r="P105" s="450">
        <f>M18-INT(M18)</f>
        <v>0</v>
      </c>
    </row>
    <row r="106" spans="2:28">
      <c r="B106" s="261"/>
      <c r="C106" s="261"/>
      <c r="D106" s="261"/>
      <c r="E106" s="261"/>
      <c r="F106" s="261"/>
      <c r="G106" s="261"/>
      <c r="H106" s="261"/>
      <c r="I106" s="261"/>
      <c r="J106" s="261"/>
      <c r="K106" s="261"/>
      <c r="L106" s="373">
        <f>SUM($D$105:$L$105)</f>
        <v>213302407</v>
      </c>
      <c r="M106" s="261"/>
      <c r="N106" s="264"/>
      <c r="O106" s="373"/>
      <c r="P106" s="450">
        <f>M31-INT(M31)</f>
        <v>0</v>
      </c>
    </row>
    <row r="107" spans="2:28">
      <c r="B107" s="261"/>
      <c r="C107" s="261"/>
      <c r="D107" s="261"/>
      <c r="E107" s="261"/>
      <c r="F107" s="261"/>
      <c r="G107" s="261"/>
      <c r="H107" s="261"/>
      <c r="I107" s="261"/>
      <c r="J107" s="261" t="s">
        <v>1299</v>
      </c>
      <c r="K107" s="261"/>
      <c r="L107" s="373">
        <f>$M$100</f>
        <v>94092359</v>
      </c>
      <c r="M107" s="261"/>
      <c r="N107" s="264"/>
      <c r="O107" s="373"/>
      <c r="P107" s="450">
        <f>M93-INT(M93)</f>
        <v>0</v>
      </c>
    </row>
    <row r="108" spans="2:28">
      <c r="B108" s="261"/>
      <c r="C108" s="261"/>
      <c r="D108" s="261"/>
      <c r="E108" s="261"/>
      <c r="F108" s="261"/>
      <c r="G108" s="261"/>
      <c r="H108" s="261"/>
      <c r="I108" s="261"/>
      <c r="J108" s="261" t="s">
        <v>1300</v>
      </c>
      <c r="K108" s="261"/>
      <c r="L108" s="512">
        <f>$Q$32</f>
        <v>25771226</v>
      </c>
      <c r="M108" s="261"/>
      <c r="N108" s="264"/>
      <c r="O108" s="373"/>
    </row>
    <row r="109" spans="2:28">
      <c r="B109" s="261"/>
      <c r="C109" s="261"/>
      <c r="D109" s="261"/>
      <c r="E109" s="261"/>
      <c r="F109" s="261"/>
      <c r="G109" s="261"/>
      <c r="H109" s="261"/>
      <c r="I109" s="261"/>
      <c r="J109" s="261" t="s">
        <v>1300</v>
      </c>
      <c r="K109" s="261"/>
      <c r="L109" s="512">
        <f>$R$34</f>
        <v>-4418506</v>
      </c>
      <c r="M109" s="261"/>
      <c r="N109" s="264"/>
      <c r="O109" s="373"/>
    </row>
    <row r="110" spans="2:28">
      <c r="B110" s="261"/>
      <c r="C110" s="261"/>
      <c r="D110" s="261"/>
      <c r="E110" s="261"/>
      <c r="F110" s="261"/>
      <c r="G110" s="261"/>
      <c r="H110" s="261"/>
      <c r="I110" s="261"/>
      <c r="J110" s="261" t="s">
        <v>29</v>
      </c>
      <c r="K110" s="261"/>
      <c r="L110" s="512">
        <f>SUM($P$60:$P$68)</f>
        <v>407045</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2">
        <f>SUM($V$60:$V$67)</f>
        <v>100818</v>
      </c>
      <c r="M112" s="261"/>
      <c r="N112" s="264"/>
      <c r="O112" s="373"/>
    </row>
    <row r="113" spans="2:15">
      <c r="B113" s="261"/>
      <c r="C113" s="261"/>
      <c r="D113" s="261"/>
      <c r="E113" s="261"/>
      <c r="F113" s="261"/>
      <c r="G113" s="261"/>
      <c r="H113" s="261"/>
      <c r="I113" s="261"/>
      <c r="J113" s="261" t="s">
        <v>596</v>
      </c>
      <c r="K113" s="261"/>
      <c r="L113" s="512">
        <f>SUM($W$60:$W$67)</f>
        <v>0</v>
      </c>
      <c r="M113" s="261"/>
      <c r="N113" s="264"/>
      <c r="O113" s="373"/>
    </row>
    <row r="114" spans="2:15">
      <c r="B114" s="261"/>
      <c r="C114" s="261"/>
      <c r="D114" s="261"/>
      <c r="E114" s="261"/>
      <c r="F114" s="261"/>
      <c r="G114" s="261"/>
      <c r="H114" s="261"/>
      <c r="I114" s="261"/>
      <c r="J114" s="261" t="s">
        <v>258</v>
      </c>
      <c r="K114" s="261"/>
      <c r="L114" s="512">
        <f>SUM($AA$60:$AA$68)</f>
        <v>59458531</v>
      </c>
      <c r="M114" s="261"/>
      <c r="N114" s="264"/>
      <c r="O114" s="373"/>
    </row>
    <row r="115" spans="2:15">
      <c r="B115" s="261"/>
      <c r="C115" s="261"/>
      <c r="D115" s="261"/>
      <c r="E115" s="261"/>
      <c r="F115" s="261"/>
      <c r="G115" s="261"/>
      <c r="H115" s="261"/>
      <c r="I115" s="261"/>
      <c r="J115" s="261" t="s">
        <v>597</v>
      </c>
      <c r="K115" s="261"/>
      <c r="L115" s="512">
        <f>$R$77</f>
        <v>50205129</v>
      </c>
      <c r="M115" s="261"/>
      <c r="N115" s="264"/>
      <c r="O115" s="373"/>
    </row>
    <row r="116" spans="2:15">
      <c r="B116" s="261"/>
      <c r="C116" s="261"/>
      <c r="D116" s="261"/>
      <c r="E116" s="261"/>
      <c r="F116" s="261"/>
      <c r="G116" s="261"/>
      <c r="H116" s="261"/>
      <c r="I116" s="261"/>
      <c r="J116" s="261" t="s">
        <v>597</v>
      </c>
      <c r="K116" s="261"/>
      <c r="L116" s="512">
        <f>$R$80</f>
        <v>8217113</v>
      </c>
      <c r="M116" s="261"/>
      <c r="N116" s="264"/>
      <c r="O116" s="373"/>
    </row>
    <row r="117" spans="2:15">
      <c r="B117" s="261"/>
      <c r="C117" s="261"/>
      <c r="D117" s="261"/>
      <c r="E117" s="261"/>
      <c r="F117" s="261"/>
      <c r="G117" s="261"/>
      <c r="H117" s="261"/>
      <c r="I117" s="261"/>
      <c r="J117" s="261" t="s">
        <v>1231</v>
      </c>
      <c r="K117" s="261"/>
      <c r="L117" s="1008">
        <f>VLOOKUP(B2,Names!B5:$C$87,2,FALSE)</f>
        <v>10298</v>
      </c>
      <c r="M117" s="261"/>
      <c r="N117" s="264"/>
      <c r="O117" s="373"/>
    </row>
    <row r="118" spans="2:15">
      <c r="B118" s="261"/>
      <c r="C118" s="261"/>
      <c r="D118" s="261"/>
      <c r="E118" s="261"/>
      <c r="F118" s="261"/>
      <c r="G118" s="261"/>
      <c r="H118" s="261"/>
      <c r="I118" s="261"/>
      <c r="J118" s="261"/>
      <c r="K118" s="261"/>
      <c r="L118" s="373">
        <f>SUM(L106:L117)</f>
        <v>447146420</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V56:V59"/>
    <mergeCell ref="W56:W59"/>
    <mergeCell ref="G59:K59"/>
    <mergeCell ref="AA56:AA59"/>
    <mergeCell ref="Z55:AB55"/>
    <mergeCell ref="R56:R59"/>
    <mergeCell ref="O55:R55"/>
    <mergeCell ref="T55:X55"/>
    <mergeCell ref="X56:X59"/>
    <mergeCell ref="AB56:AB59"/>
    <mergeCell ref="Z56:Z59"/>
    <mergeCell ref="B2:F2"/>
    <mergeCell ref="B3:F3"/>
    <mergeCell ref="B4:F4"/>
    <mergeCell ref="B6:M6"/>
    <mergeCell ref="P4:Q4"/>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s>
  <conditionalFormatting sqref="U87:X88 O88:Q88">
    <cfRule type="cellIs" dxfId="1097" priority="274" stopIfTrue="1" operator="notEqual">
      <formula>#REF!</formula>
    </cfRule>
  </conditionalFormatting>
  <conditionalFormatting sqref="P70">
    <cfRule type="expression" dxfId="1096" priority="253">
      <formula>$P$69&lt;&gt;$M$69</formula>
    </cfRule>
  </conditionalFormatting>
  <conditionalFormatting sqref="AB72">
    <cfRule type="expression" dxfId="1095" priority="252">
      <formula>$AB$71&lt;&gt;0</formula>
    </cfRule>
  </conditionalFormatting>
  <conditionalFormatting sqref="P71">
    <cfRule type="expression" dxfId="1094" priority="251">
      <formula>P69-INT(P69)</formula>
    </cfRule>
  </conditionalFormatting>
  <conditionalFormatting sqref="V70">
    <cfRule type="expression" dxfId="1093" priority="249">
      <formula>X68-INT(X68)</formula>
    </cfRule>
  </conditionalFormatting>
  <conditionalFormatting sqref="O12">
    <cfRule type="expression" dxfId="1092" priority="240">
      <formula>$P$12&lt;&gt;$M$12</formula>
    </cfRule>
  </conditionalFormatting>
  <conditionalFormatting sqref="U87:U88 O88:Q88">
    <cfRule type="cellIs" dxfId="1091" priority="233" stopIfTrue="1" operator="notEqual">
      <formula>#REF!</formula>
    </cfRule>
  </conditionalFormatting>
  <conditionalFormatting sqref="R84">
    <cfRule type="expression" priority="231" stopIfTrue="1">
      <formula>$M$85&lt;0</formula>
    </cfRule>
    <cfRule type="expression" dxfId="1090" priority="232">
      <formula>$S$85&lt;&gt;0</formula>
    </cfRule>
  </conditionalFormatting>
  <conditionalFormatting sqref="R80 R77">
    <cfRule type="expression" dxfId="1089" priority="229" stopIfTrue="1">
      <formula>$M$85&gt;=0</formula>
    </cfRule>
    <cfRule type="expression" priority="230">
      <formula>$M$85&lt;0</formula>
    </cfRule>
  </conditionalFormatting>
  <conditionalFormatting sqref="U87:U88 O88:Q88">
    <cfRule type="cellIs" dxfId="1088" priority="228" stopIfTrue="1" operator="notEqual">
      <formula>#REF!</formula>
    </cfRule>
  </conditionalFormatting>
  <conditionalFormatting sqref="O13">
    <cfRule type="expression" dxfId="1087" priority="212">
      <formula>$P$13&lt;&gt;$M$13</formula>
    </cfRule>
  </conditionalFormatting>
  <conditionalFormatting sqref="U87:U88 O88:Q88">
    <cfRule type="cellIs" dxfId="1086" priority="211" stopIfTrue="1" operator="notEqual">
      <formula>#REF!</formula>
    </cfRule>
  </conditionalFormatting>
  <conditionalFormatting sqref="Q36">
    <cfRule type="expression" dxfId="1085" priority="27">
      <formula>#REF!&lt;&gt;#REF!</formula>
    </cfRule>
  </conditionalFormatting>
  <conditionalFormatting sqref="R35">
    <cfRule type="expression" dxfId="1084" priority="26">
      <formula>#REF!&lt;&gt;0</formula>
    </cfRule>
  </conditionalFormatting>
  <conditionalFormatting sqref="Q35">
    <cfRule type="expression" dxfId="1083" priority="25">
      <formula>#REF!&lt;&gt;0</formula>
    </cfRule>
  </conditionalFormatting>
  <conditionalFormatting sqref="R36">
    <cfRule type="expression" dxfId="1082" priority="24">
      <formula>#REF!&lt;&gt;#REF!</formula>
    </cfRule>
  </conditionalFormatting>
  <conditionalFormatting sqref="D93:M98 T94:T95 R90:S95 U87:X93 T90:T92 Y90:Y95 O88:O92 P88:Q93">
    <cfRule type="cellIs" dxfId="1081" priority="23" stopIfTrue="1" operator="notEqual">
      <formula>#REF!</formula>
    </cfRule>
  </conditionalFormatting>
  <conditionalFormatting sqref="P70">
    <cfRule type="expression" dxfId="1080" priority="22">
      <formula>$P$69&lt;&gt;$M$69</formula>
    </cfRule>
  </conditionalFormatting>
  <conditionalFormatting sqref="AB72">
    <cfRule type="expression" dxfId="1079" priority="21">
      <formula>$AB$71&lt;&gt;0</formula>
    </cfRule>
  </conditionalFormatting>
  <conditionalFormatting sqref="P71">
    <cfRule type="expression" dxfId="1078" priority="20">
      <formula>P69-INT(P69)</formula>
    </cfRule>
  </conditionalFormatting>
  <conditionalFormatting sqref="V70">
    <cfRule type="expression" dxfId="1077" priority="19">
      <formula>X68-INT(X68)</formula>
    </cfRule>
  </conditionalFormatting>
  <conditionalFormatting sqref="O12">
    <cfRule type="expression" dxfId="1076" priority="18">
      <formula>$P$12&lt;&gt;$M$12</formula>
    </cfRule>
  </conditionalFormatting>
  <conditionalFormatting sqref="T94:T95 R90:S95 U87:U93 T90:T92 O88:O92 P88:Q93">
    <cfRule type="cellIs" dxfId="1075" priority="16" stopIfTrue="1" operator="notEqual">
      <formula>#REF!</formula>
    </cfRule>
  </conditionalFormatting>
  <conditionalFormatting sqref="R84">
    <cfRule type="expression" priority="14" stopIfTrue="1">
      <formula>$M$85&lt;0</formula>
    </cfRule>
    <cfRule type="expression" dxfId="1074" priority="15">
      <formula>$S$85&lt;&gt;0</formula>
    </cfRule>
  </conditionalFormatting>
  <conditionalFormatting sqref="R80 R77">
    <cfRule type="expression" dxfId="1073" priority="12" stopIfTrue="1">
      <formula>$M$85&gt;=0</formula>
    </cfRule>
    <cfRule type="expression" priority="13">
      <formula>$M$85&lt;0</formula>
    </cfRule>
  </conditionalFormatting>
  <conditionalFormatting sqref="U87:U88 R89:U92 O88:Q92">
    <cfRule type="cellIs" dxfId="1072" priority="11" stopIfTrue="1" operator="notEqual">
      <formula>#REF!</formula>
    </cfRule>
  </conditionalFormatting>
  <conditionalFormatting sqref="M101">
    <cfRule type="expression" dxfId="1071" priority="10">
      <formula>$M$101&lt;&gt;0</formula>
    </cfRule>
  </conditionalFormatting>
  <conditionalFormatting sqref="M102">
    <cfRule type="expression" dxfId="1070" priority="9">
      <formula>$M$93&lt;&gt;$M$100</formula>
    </cfRule>
  </conditionalFormatting>
  <conditionalFormatting sqref="U87:U92 R90:T92 O88:Q92">
    <cfRule type="cellIs" dxfId="1069" priority="8" stopIfTrue="1" operator="notEqual">
      <formula>#REF!</formula>
    </cfRule>
  </conditionalFormatting>
  <conditionalFormatting sqref="T89:U89 Q91 T90 O89:O90 P89:Q89 R89:S91">
    <cfRule type="cellIs" dxfId="1068" priority="7" stopIfTrue="1" operator="notEqual">
      <formula>#REF!</formula>
    </cfRule>
  </conditionalFormatting>
  <conditionalFormatting sqref="Q36">
    <cfRule type="expression" dxfId="1067" priority="6">
      <formula>#REF!&lt;&gt;#REF!</formula>
    </cfRule>
  </conditionalFormatting>
  <conditionalFormatting sqref="R35">
    <cfRule type="expression" dxfId="1066" priority="5">
      <formula>#REF!&lt;&gt;0</formula>
    </cfRule>
  </conditionalFormatting>
  <conditionalFormatting sqref="Q35">
    <cfRule type="expression" dxfId="1065" priority="4">
      <formula>#REF!&lt;&gt;0</formula>
    </cfRule>
  </conditionalFormatting>
  <conditionalFormatting sqref="R36">
    <cfRule type="expression" dxfId="1064" priority="3">
      <formula>#REF!&lt;&gt;#REF!</formula>
    </cfRule>
  </conditionalFormatting>
  <conditionalFormatting sqref="G59:K59">
    <cfRule type="expression" dxfId="1063" priority="1">
      <formula>OR($P$105&gt;0,$P$106&lt;&gt;0,$P$107&lt;&gt;0)</formula>
    </cfRule>
  </conditionalFormatting>
  <hyperlinks>
    <hyperlink ref="O2" location="Index!A1" display="Return to Index" xr:uid="{00000000-0004-0000-3F00-000000000000}"/>
  </hyperlinks>
  <printOptions horizontalCentered="1"/>
  <pageMargins left="0.5" right="0.5" top="0.25" bottom="0.25" header="0" footer="0.25"/>
  <pageSetup scale="10" orientation="landscape"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50"/>
  <dimension ref="A1:G30"/>
  <sheetViews>
    <sheetView showGridLines="0" zoomScale="80" zoomScaleNormal="80" workbookViewId="0">
      <selection activeCell="E74" sqref="E74:F74"/>
    </sheetView>
  </sheetViews>
  <sheetFormatPr defaultColWidth="9.140625" defaultRowHeight="12.75"/>
  <cols>
    <col min="1" max="1" width="7" style="53" customWidth="1"/>
    <col min="2" max="2" width="93.140625" style="53" customWidth="1"/>
    <col min="3" max="3" width="20.42578125" style="53" customWidth="1"/>
    <col min="4" max="9" width="9.140625" style="53"/>
    <col min="10" max="10" width="14.5703125" style="53" customWidth="1"/>
    <col min="11" max="16384" width="9.140625" style="53"/>
  </cols>
  <sheetData>
    <row r="1" spans="2:6" ht="18.75" thickBot="1">
      <c r="B1" s="466" t="str">
        <f>'TAMUG Chrts'!$A$1</f>
        <v>Texas A&amp;M University at Galveston</v>
      </c>
      <c r="C1" s="835" t="s">
        <v>1200</v>
      </c>
    </row>
    <row r="2" spans="2:6">
      <c r="B2" s="393" t="str">
        <f>'Smmy Chrts'!$A$2</f>
        <v>For the Year Ended August 31, 2021</v>
      </c>
    </row>
    <row r="3" spans="2:6">
      <c r="B3" s="393" t="str">
        <f>'Smmy Chrts'!$A$3</f>
        <v>Source: FY 2021 Annual Financial Report</v>
      </c>
    </row>
    <row r="5" spans="2:6" customFormat="1">
      <c r="B5" s="529" t="s">
        <v>705</v>
      </c>
    </row>
    <row r="6" spans="2:6" customFormat="1">
      <c r="B6" s="530"/>
    </row>
    <row r="7" spans="2:6" customFormat="1" ht="226.5" customHeight="1">
      <c r="B7" s="531" t="s">
        <v>706</v>
      </c>
      <c r="C7" s="532"/>
    </row>
    <row r="8" spans="2:6" customFormat="1" ht="263.25" customHeight="1">
      <c r="B8" s="531" t="s">
        <v>707</v>
      </c>
    </row>
    <row r="9" spans="2:6" ht="64.5" customHeight="1">
      <c r="B9" s="533" t="str">
        <f>IF('TAMUG FGD'!$R$76="N/A","FN11.  N/A",$B$20&amp;$B$21&amp;$B$22&amp;$B$23&amp;$B$24&amp;$B$25&amp;$B$26&amp;$B$27&amp;$B$28&amp;$B$29&amp;$B$30)</f>
        <v>FN11: Of the net increase of $58,423,639 approximately $50.2 million represents revenues received but not yet expended. This income is fully committed to program expenditures and capital disbursements. The remaining $8.2 million represents non-expendable funds from unrealized gains and additions to permanent endowments of approximately $8.2 million and $1 thousand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TEXT(IF('TAMUG FGD'!$M$85&lt;0,"N/A",'TAMUG FGD'!$M$85),"$* #,##0;$* (#,##0)")</f>
        <v>$58,423,639</v>
      </c>
      <c r="C21" s="480"/>
      <c r="D21" s="480"/>
      <c r="E21" s="480"/>
      <c r="G21" s="105"/>
    </row>
    <row r="22" spans="1:7">
      <c r="B22" s="105" t="s">
        <v>682</v>
      </c>
    </row>
    <row r="23" spans="1:7">
      <c r="A23" s="53">
        <v>61</v>
      </c>
      <c r="B23" s="515" t="str">
        <f>IF(ABS('TAMUG FGD'!$R$77)&gt;=1000000,TEXT('TAMUG FGD'!$R$77/1000000,"$* #,##0.0;$* (#,##0.0)")&amp;" million",IF(ABS('TAMUG FGD'!$R$77)&lt;1000,TEXT('TAMUG FGD'!$R$77,"$* #,##0;$* (#,##0)"),TEXT('TAMUG FGD'!$R$77/1000,"$* #,##0;$* (#,##0)")&amp;" thousand"))</f>
        <v>$50.2 million</v>
      </c>
      <c r="C23" s="515"/>
      <c r="E23" s="515"/>
    </row>
    <row r="24" spans="1:7">
      <c r="B24" s="105" t="s">
        <v>708</v>
      </c>
    </row>
    <row r="25" spans="1:7">
      <c r="A25" s="53">
        <v>62</v>
      </c>
      <c r="B25" s="515" t="str">
        <f>IF(ABS('TAMUG FGD'!$R$78)&gt;=1000000,TEXT('TAMUG FGD'!$R$78/1000000,"$* #,##0.0;$* (#,##0.0)")&amp;" million",IF(ABS('TAMUG FGD'!$R$78)&lt;1000,TEXT('TAMUG FGD'!$R$78,"$* #,##0;$* (#,##0)"),TEXT('TAMUG FGD'!$R$78/1000,"$* #,##0;$* (#,##0)")&amp;" thousand"))</f>
        <v>$8.2 million</v>
      </c>
      <c r="C25" s="515"/>
      <c r="E25" s="515"/>
    </row>
    <row r="26" spans="1:7">
      <c r="B26" s="105" t="s">
        <v>683</v>
      </c>
    </row>
    <row r="27" spans="1:7">
      <c r="A27" s="53">
        <v>64</v>
      </c>
      <c r="B27" s="515" t="str">
        <f>IF(ABS('TAMUG FGD'!$R$80)&gt;=1000000,TEXT('TAMUG FGD'!$R$80/1000000,"$* #,##0.0;$* (#,##0.0)")&amp;" million",IF(ABS('TAMUG FGD'!$R$80)&lt;1000,TEXT('TAMUG FGD'!$R$80,"$* #,##0;$* (#,##0)"),TEXT('TAMUG FGD'!$R$80/1000,"$* #,##0;$* (#,##0)")&amp;" thousand"))</f>
        <v>$8.2 million</v>
      </c>
      <c r="C27" s="515"/>
      <c r="E27" s="515"/>
    </row>
    <row r="28" spans="1:7">
      <c r="B28" s="105" t="s">
        <v>684</v>
      </c>
    </row>
    <row r="29" spans="1:7">
      <c r="A29" s="53">
        <v>66</v>
      </c>
      <c r="B29" s="515" t="str">
        <f>IF(ABS('TAMUG FGD'!$R$82)&gt;=1000000,TEXT('TAMUG FGD'!$R$82/1000000,"$* #,##0.0;$* (#,##0.0)")&amp;" million",IF(ABS('TAMUG FGD'!$R$82)&lt;1000,TEXT('TAMUG FGD'!$R$82,"$* #,##0;$* (#,##0)"),TEXT('TAMUG FGD'!$R$82/1000,"$* #,##0;$* (#,##0)")&amp;" thousand"))</f>
        <v>$1 thousand</v>
      </c>
      <c r="C29" s="515"/>
      <c r="E29" s="515"/>
    </row>
    <row r="30" spans="1:7">
      <c r="B30" s="105" t="s">
        <v>709</v>
      </c>
    </row>
  </sheetData>
  <hyperlinks>
    <hyperlink ref="C1" location="Index!A1" display="Return to Index" xr:uid="{00000000-0004-0000-4000-000000000000}"/>
  </hyperlinks>
  <pageMargins left="0.25" right="0.25" top="0.25" bottom="0.25" header="0" footer="0.25"/>
  <pageSetup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51">
    <tabColor indexed="47"/>
    <pageSetUpPr fitToPage="1"/>
  </sheetPr>
  <dimension ref="A1:E165"/>
  <sheetViews>
    <sheetView showGridLines="0" zoomScale="65" zoomScaleNormal="65" zoomScaleSheetLayoutView="65" workbookViewId="0">
      <selection activeCell="C128" sqref="C128"/>
    </sheetView>
  </sheetViews>
  <sheetFormatPr defaultColWidth="9.140625" defaultRowHeight="12.75" customHeight="1"/>
  <cols>
    <col min="1" max="1" width="158.7109375" style="53" customWidth="1"/>
    <col min="2" max="2" width="22.7109375" style="53" customWidth="1"/>
    <col min="3" max="3" width="54.7109375" style="53" customWidth="1"/>
    <col min="4" max="4" width="20.7109375" style="53" customWidth="1"/>
    <col min="5" max="5" width="9.140625" style="679"/>
    <col min="6" max="16384" width="9.140625" style="53"/>
  </cols>
  <sheetData>
    <row r="1" spans="1:5" ht="28.5" thickBot="1">
      <c r="A1" s="159" t="s">
        <v>107</v>
      </c>
      <c r="B1" s="835" t="s">
        <v>1200</v>
      </c>
      <c r="C1" s="53" t="s">
        <v>1329</v>
      </c>
    </row>
    <row r="2" spans="1:5" ht="27.75">
      <c r="A2" s="54" t="str">
        <f>'Smmy Chrts'!$A$2</f>
        <v>For the Year Ended August 31, 2021</v>
      </c>
      <c r="C2" s="55" t="s">
        <v>63</v>
      </c>
    </row>
    <row r="3" spans="1:5" ht="27.75">
      <c r="A3" s="54" t="str">
        <f>'Smmy Chrts'!$A$3</f>
        <v>Source: FY 2021 Annual Financial Report</v>
      </c>
      <c r="C3" s="53" t="s">
        <v>64</v>
      </c>
    </row>
    <row r="4" spans="1:5" ht="12.75" customHeight="1">
      <c r="C4" s="53" t="s">
        <v>267</v>
      </c>
    </row>
    <row r="5" spans="1:5" ht="12.75" customHeight="1">
      <c r="C5" s="53" t="s">
        <v>268</v>
      </c>
    </row>
    <row r="7" spans="1:5" ht="12.75" customHeight="1">
      <c r="C7" s="1687" t="s">
        <v>25</v>
      </c>
      <c r="D7" s="1687"/>
    </row>
    <row r="8" spans="1:5" ht="12.75" customHeight="1">
      <c r="C8" s="57"/>
      <c r="D8" s="58"/>
    </row>
    <row r="9" spans="1:5" ht="12.75" customHeight="1">
      <c r="C9" s="59" t="str">
        <f>'PVAMU Sum'!A9</f>
        <v>State of Texas</v>
      </c>
      <c r="D9" s="60">
        <f>'PVAMU Sum'!B15</f>
        <v>95373744</v>
      </c>
      <c r="E9" s="680">
        <f>ROUND(D9/$D$14,3)</f>
        <v>0.29899999999999999</v>
      </c>
    </row>
    <row r="10" spans="1:5" ht="12.75" customHeight="1">
      <c r="C10" s="59" t="str">
        <f>'PVAMU Sum'!A17</f>
        <v>Student &amp; Parent</v>
      </c>
      <c r="D10" s="60">
        <f>'PVAMU Sum'!B20</f>
        <v>58606512</v>
      </c>
      <c r="E10" s="680">
        <f t="shared" ref="E10:E12" si="0">ROUND(D10/$D$14,3)</f>
        <v>0.184</v>
      </c>
    </row>
    <row r="11" spans="1:5" ht="12.75" customHeight="1">
      <c r="C11" s="59" t="str">
        <f>'PVAMU Sum'!A22</f>
        <v>Federal Government</v>
      </c>
      <c r="D11" s="60">
        <f>'PVAMU Sum'!B23</f>
        <v>104828664</v>
      </c>
      <c r="E11" s="680">
        <f t="shared" si="0"/>
        <v>0.32900000000000001</v>
      </c>
    </row>
    <row r="12" spans="1:5" ht="12.75" customHeight="1">
      <c r="C12" s="59" t="str">
        <f>'PVAMU Sum'!A25</f>
        <v>Institutional Resources</v>
      </c>
      <c r="D12" s="60">
        <f>'PVAMU Sum'!B32</f>
        <v>59876164</v>
      </c>
      <c r="E12" s="680">
        <f t="shared" si="0"/>
        <v>0.188</v>
      </c>
    </row>
    <row r="13" spans="1:5" ht="12.75" customHeight="1">
      <c r="C13" s="57"/>
      <c r="D13" s="58"/>
      <c r="E13" s="680"/>
    </row>
    <row r="14" spans="1:5" ht="12.75" customHeight="1">
      <c r="C14" s="61" t="s">
        <v>68</v>
      </c>
      <c r="D14" s="62">
        <f>SUM(D9:D13)</f>
        <v>318685084</v>
      </c>
      <c r="E14" s="680">
        <f>SUM(E9:E13)</f>
        <v>1</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86" t="str">
        <f>C14&amp;" "&amp;TEXT(D14,"$#,###")</f>
        <v>Total Operating Sources $318,685,084</v>
      </c>
    </row>
    <row r="48" spans="1:1" ht="12.75" customHeight="1">
      <c r="A48" s="1686"/>
    </row>
    <row r="49" spans="1:5" ht="12.75" customHeight="1">
      <c r="A49" s="56"/>
    </row>
    <row r="52" spans="1:5" ht="12.75" customHeight="1">
      <c r="C52" s="63" t="s">
        <v>25</v>
      </c>
      <c r="D52" s="58"/>
    </row>
    <row r="54" spans="1:5" ht="12.75" customHeight="1">
      <c r="C54" s="59" t="s">
        <v>1</v>
      </c>
      <c r="D54" s="60">
        <f>'PVAMU Sum'!B10</f>
        <v>55711045</v>
      </c>
      <c r="E54" s="680">
        <f>ROUND(D54/$D$67,3)</f>
        <v>0.17499999999999999</v>
      </c>
    </row>
    <row r="55" spans="1:5" ht="12.75" customHeight="1">
      <c r="C55" s="59" t="s">
        <v>221</v>
      </c>
      <c r="D55" s="60">
        <f>'PVAMU Sum'!B11</f>
        <v>13058194</v>
      </c>
      <c r="E55" s="680">
        <f t="shared" ref="E55:E66" si="1">ROUND(D55/$D$67,3)</f>
        <v>4.1000000000000002E-2</v>
      </c>
    </row>
    <row r="56" spans="1:5" ht="12.75" customHeight="1">
      <c r="C56" s="1069"/>
      <c r="D56" s="60"/>
      <c r="E56" s="680"/>
    </row>
    <row r="57" spans="1:5" ht="12.75" customHeight="1">
      <c r="C57" s="1069" t="str">
        <f>'PVAMU Sum'!A13</f>
        <v>Higher Education Fund</v>
      </c>
      <c r="D57" s="60">
        <f>'PVAMU Sum'!B13</f>
        <v>0</v>
      </c>
      <c r="E57" s="680">
        <f t="shared" si="1"/>
        <v>0</v>
      </c>
    </row>
    <row r="58" spans="1:5" ht="12.75" customHeight="1">
      <c r="C58" s="59" t="s">
        <v>41</v>
      </c>
      <c r="D58" s="60">
        <f>'PVAMU Sum'!B14</f>
        <v>26604505</v>
      </c>
      <c r="E58" s="680">
        <f t="shared" si="1"/>
        <v>8.3000000000000004E-2</v>
      </c>
    </row>
    <row r="59" spans="1:5" ht="12.75" customHeight="1">
      <c r="C59" s="59" t="s">
        <v>87</v>
      </c>
      <c r="D59" s="60">
        <f>'PVAMU Sum'!B20</f>
        <v>58606512</v>
      </c>
      <c r="E59" s="680">
        <f t="shared" si="1"/>
        <v>0.184</v>
      </c>
    </row>
    <row r="60" spans="1:5" ht="12.75" customHeight="1">
      <c r="C60" s="64" t="s">
        <v>74</v>
      </c>
      <c r="D60" s="60">
        <f>'PVAMU Sum'!B23</f>
        <v>104828664</v>
      </c>
      <c r="E60" s="680">
        <f t="shared" si="1"/>
        <v>0.32900000000000001</v>
      </c>
    </row>
    <row r="61" spans="1:5" ht="12.75" customHeight="1">
      <c r="C61" s="59" t="s">
        <v>75</v>
      </c>
      <c r="D61" s="60">
        <f>'PVAMU Sum'!B26</f>
        <v>8180260</v>
      </c>
      <c r="E61" s="680">
        <f t="shared" si="1"/>
        <v>2.5999999999999999E-2</v>
      </c>
    </row>
    <row r="62" spans="1:5" ht="12.75" customHeight="1">
      <c r="C62" s="1069" t="s">
        <v>27</v>
      </c>
      <c r="D62" s="60">
        <f>'PVAMU Sum'!B27</f>
        <v>0</v>
      </c>
      <c r="E62" s="680">
        <f t="shared" si="1"/>
        <v>0</v>
      </c>
    </row>
    <row r="63" spans="1:5" ht="12.75" customHeight="1">
      <c r="C63" s="59" t="s">
        <v>76</v>
      </c>
      <c r="D63" s="60">
        <f>'PVAMU Sum'!B28</f>
        <v>34643241</v>
      </c>
      <c r="E63" s="680">
        <f t="shared" si="1"/>
        <v>0.109</v>
      </c>
    </row>
    <row r="64" spans="1:5" ht="12.75" customHeight="1">
      <c r="C64" s="59" t="s">
        <v>77</v>
      </c>
      <c r="D64" s="967">
        <f>'PVAMU Sum'!B29</f>
        <v>700453</v>
      </c>
      <c r="E64" s="680">
        <f t="shared" si="1"/>
        <v>2E-3</v>
      </c>
    </row>
    <row r="65" spans="1:5" ht="12.75" customHeight="1">
      <c r="C65" s="59" t="s">
        <v>220</v>
      </c>
      <c r="D65" s="60">
        <f>'PVAMU Sum'!B30</f>
        <v>12774915</v>
      </c>
      <c r="E65" s="680">
        <f t="shared" si="1"/>
        <v>0.04</v>
      </c>
    </row>
    <row r="66" spans="1:5" ht="12.75" customHeight="1">
      <c r="C66" s="64" t="s">
        <v>52</v>
      </c>
      <c r="D66" s="60">
        <f>'PVAMU Sum'!B31</f>
        <v>3577295</v>
      </c>
      <c r="E66" s="680">
        <f t="shared" si="1"/>
        <v>1.0999999999999999E-2</v>
      </c>
    </row>
    <row r="67" spans="1:5" ht="12.75" customHeight="1">
      <c r="C67" s="61" t="s">
        <v>68</v>
      </c>
      <c r="D67" s="62">
        <f>SUM(D54:D66)</f>
        <v>318685084</v>
      </c>
      <c r="E67" s="681">
        <f>SUM(E54:E66)</f>
        <v>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86" t="str">
        <f>C67&amp;" "&amp;TEXT(D67,"$#,###")</f>
        <v>Total Operating Sources $318,685,084</v>
      </c>
    </row>
    <row r="93" spans="1:5" ht="12.75" customHeight="1">
      <c r="A93" s="1686"/>
    </row>
    <row r="94" spans="1:5" ht="12.75" customHeight="1">
      <c r="A94" s="65"/>
    </row>
    <row r="95" spans="1:5" s="68" customFormat="1" ht="12.75" customHeight="1">
      <c r="A95" s="66"/>
      <c r="E95" s="682"/>
    </row>
    <row r="96" spans="1:5" ht="12.75" customHeight="1">
      <c r="A96" s="65"/>
    </row>
    <row r="97" spans="1:5" ht="12.75" customHeight="1">
      <c r="A97" s="65"/>
    </row>
    <row r="98" spans="1:5" ht="12.75" customHeight="1">
      <c r="A98" s="65"/>
    </row>
    <row r="100" spans="1:5" ht="12.75" customHeight="1">
      <c r="C100" s="1687" t="s">
        <v>13</v>
      </c>
      <c r="D100" s="1687"/>
    </row>
    <row r="101" spans="1:5" ht="12.75" customHeight="1">
      <c r="C101" s="1687"/>
      <c r="D101" s="1687"/>
    </row>
    <row r="102" spans="1:5" ht="12.75" customHeight="1">
      <c r="C102" s="69" t="s">
        <v>14</v>
      </c>
      <c r="D102" s="60">
        <f>'PVAMU Sum'!B36</f>
        <v>52305594</v>
      </c>
      <c r="E102" s="680">
        <f>ROUND(D102/$D$114,3)</f>
        <v>0.19500000000000001</v>
      </c>
    </row>
    <row r="103" spans="1:5" ht="12.75" customHeight="1">
      <c r="C103" s="69" t="s">
        <v>15</v>
      </c>
      <c r="D103" s="60">
        <f>'PVAMU Sum'!B37</f>
        <v>17548382</v>
      </c>
      <c r="E103" s="680">
        <f t="shared" ref="E103:E112" si="2">ROUND(D103/$D$114,3)</f>
        <v>6.5000000000000002E-2</v>
      </c>
    </row>
    <row r="104" spans="1:5" ht="12.75" customHeight="1">
      <c r="C104" s="69" t="s">
        <v>16</v>
      </c>
      <c r="D104" s="60">
        <f>'PVAMU Sum'!B38</f>
        <v>7762778</v>
      </c>
      <c r="E104" s="680">
        <f t="shared" si="2"/>
        <v>2.9000000000000001E-2</v>
      </c>
    </row>
    <row r="105" spans="1:5" ht="12.75" customHeight="1">
      <c r="C105" s="69" t="s">
        <v>17</v>
      </c>
      <c r="D105" s="60">
        <f>'PVAMU Sum'!B39</f>
        <v>22197811</v>
      </c>
      <c r="E105" s="680">
        <f t="shared" si="2"/>
        <v>8.3000000000000004E-2</v>
      </c>
    </row>
    <row r="106" spans="1:5" ht="12.75" customHeight="1">
      <c r="C106" s="69" t="s">
        <v>18</v>
      </c>
      <c r="D106" s="60">
        <f>'PVAMU Sum'!B40</f>
        <v>19506425</v>
      </c>
      <c r="E106" s="680">
        <f t="shared" si="2"/>
        <v>7.2999999999999995E-2</v>
      </c>
    </row>
    <row r="107" spans="1:5" ht="12.75" customHeight="1">
      <c r="C107" s="69" t="s">
        <v>19</v>
      </c>
      <c r="D107" s="60">
        <f>'PVAMU Sum'!B41</f>
        <v>19209918</v>
      </c>
      <c r="E107" s="680">
        <f t="shared" si="2"/>
        <v>7.1999999999999995E-2</v>
      </c>
    </row>
    <row r="108" spans="1:5" ht="12.75" customHeight="1">
      <c r="C108" s="69" t="s">
        <v>78</v>
      </c>
      <c r="D108" s="60">
        <f>'PVAMU Sum'!B42</f>
        <v>22274123</v>
      </c>
      <c r="E108" s="680">
        <f t="shared" si="2"/>
        <v>8.3000000000000004E-2</v>
      </c>
    </row>
    <row r="109" spans="1:5" ht="12.75" customHeight="1">
      <c r="C109" s="69" t="s">
        <v>79</v>
      </c>
      <c r="D109" s="60">
        <f>'PVAMU Sum'!B43</f>
        <v>75217093</v>
      </c>
      <c r="E109" s="680">
        <f t="shared" si="2"/>
        <v>0.28000000000000003</v>
      </c>
    </row>
    <row r="110" spans="1:5" ht="12.75" customHeight="1">
      <c r="C110" s="69" t="s">
        <v>22</v>
      </c>
      <c r="D110" s="60">
        <f>'PVAMU Sum'!B44</f>
        <v>27900736</v>
      </c>
      <c r="E110" s="680">
        <f t="shared" si="2"/>
        <v>0.104</v>
      </c>
    </row>
    <row r="111" spans="1:5" ht="12.75" customHeight="1">
      <c r="C111" s="64" t="s">
        <v>29</v>
      </c>
      <c r="D111" s="60">
        <f>'PVAMU Sum'!B45</f>
        <v>3300156</v>
      </c>
      <c r="E111" s="680">
        <f t="shared" si="2"/>
        <v>1.2E-2</v>
      </c>
    </row>
    <row r="112" spans="1:5" ht="12.75" customHeight="1">
      <c r="C112" s="64" t="s">
        <v>53</v>
      </c>
      <c r="D112" s="60">
        <f>'PVAMU Sum'!B46</f>
        <v>1082946</v>
      </c>
      <c r="E112" s="680">
        <f t="shared" si="2"/>
        <v>4.0000000000000001E-3</v>
      </c>
    </row>
    <row r="113" spans="3:5" ht="12.75" customHeight="1">
      <c r="C113" s="57"/>
      <c r="D113" s="57"/>
    </row>
    <row r="114" spans="3:5" ht="12.75" customHeight="1">
      <c r="C114" s="70" t="s">
        <v>69</v>
      </c>
      <c r="D114" s="62">
        <f>SUM(D102:D113)</f>
        <v>268305962</v>
      </c>
      <c r="E114" s="681">
        <f>SUM(E102:E113)</f>
        <v>1</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86" t="str">
        <f>C114&amp;" "&amp;TEXT(D114,"$#,###")</f>
        <v>Total Operating Uses $268,305,962</v>
      </c>
    </row>
    <row r="137" spans="1:1" ht="12.75" customHeight="1">
      <c r="A137" s="1686"/>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41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ransitionEvaluation="1" transitionEntry="1" codeName="Sheet52">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'PVAMU Chrts'!$A$1</f>
        <v>Prairie View A&amp;M University</v>
      </c>
      <c r="B1" s="74"/>
      <c r="C1" s="1"/>
      <c r="D1" s="1704" t="s">
        <v>1200</v>
      </c>
      <c r="E1" s="1705"/>
      <c r="F1" s="1757" t="s">
        <v>1196</v>
      </c>
      <c r="G1" s="1706"/>
      <c r="H1" s="1706"/>
      <c r="I1" s="1706"/>
      <c r="J1" s="1707" t="s">
        <v>1197</v>
      </c>
      <c r="K1" s="1695"/>
      <c r="L1" s="1695"/>
      <c r="M1" s="1695"/>
      <c r="N1" s="1695"/>
      <c r="O1" s="1696"/>
    </row>
    <row r="2" spans="1:15" ht="15.75">
      <c r="A2" s="76" t="str">
        <f>'Smmy Chrts'!$A$2</f>
        <v>For the Year Ended August 31, 2021</v>
      </c>
      <c r="B2" s="74"/>
      <c r="C2" s="1"/>
      <c r="D2" s="37"/>
      <c r="E2" s="37"/>
      <c r="F2" s="37"/>
      <c r="J2" s="37"/>
      <c r="K2" s="37"/>
      <c r="L2" s="37"/>
      <c r="M2" s="37"/>
    </row>
    <row r="3" spans="1:15" ht="15.75">
      <c r="A3" s="76" t="str">
        <f>'Smmy Chrts'!$A$3</f>
        <v>Source: FY 2021 Annual Financial Report</v>
      </c>
      <c r="B3" s="74"/>
      <c r="C3" s="1"/>
    </row>
    <row r="4" spans="1:15" ht="13.5" customHeight="1">
      <c r="B4" s="77"/>
      <c r="C4" s="4"/>
      <c r="D4" s="1711" t="s">
        <v>1142</v>
      </c>
      <c r="E4" s="1711" t="s">
        <v>1143</v>
      </c>
      <c r="F4" s="266"/>
    </row>
    <row r="5" spans="1:15" ht="18">
      <c r="A5" s="39" t="str">
        <f>'Smmy Chrts'!$C$35</f>
        <v>Summary Worksheet FY 2021</v>
      </c>
      <c r="B5" s="40" t="s">
        <v>86</v>
      </c>
      <c r="C5" s="40" t="s">
        <v>129</v>
      </c>
      <c r="D5" s="1712"/>
      <c r="E5" s="1712"/>
      <c r="F5" s="266"/>
      <c r="G5" s="799" t="s">
        <v>1198</v>
      </c>
      <c r="I5" s="822" t="s">
        <v>2157</v>
      </c>
      <c r="J5" s="792" t="s">
        <v>1144</v>
      </c>
    </row>
    <row r="6" spans="1:15" ht="13.5" customHeight="1">
      <c r="A6" s="78" t="s">
        <v>266</v>
      </c>
      <c r="B6" s="41"/>
      <c r="C6" s="42">
        <f>VLOOKUP($A$1,FTSELU,12,FALSE)</f>
        <v>8069.33</v>
      </c>
      <c r="J6" s="712"/>
    </row>
    <row r="7" spans="1:15">
      <c r="I7" s="824" t="s">
        <v>1162</v>
      </c>
      <c r="J7" s="827"/>
    </row>
    <row r="8" spans="1:15">
      <c r="A8" s="81" t="s">
        <v>71</v>
      </c>
      <c r="B8" s="81"/>
      <c r="C8" s="24"/>
      <c r="I8" s="896">
        <f>VLOOKUP(A1,FTSELU,14,FALSE)</f>
        <v>858.8</v>
      </c>
      <c r="J8" s="712"/>
    </row>
    <row r="9" spans="1:15" ht="12.75" customHeight="1" thickBot="1">
      <c r="A9" s="78" t="s">
        <v>0</v>
      </c>
      <c r="B9" s="82"/>
      <c r="C9" s="7"/>
      <c r="J9" s="712"/>
    </row>
    <row r="10" spans="1:15" ht="12.75" customHeight="1" thickTop="1">
      <c r="A10" s="75" t="s">
        <v>1</v>
      </c>
      <c r="B10" s="83">
        <f>'PVAMU FGD'!M10</f>
        <v>55711045</v>
      </c>
      <c r="C10" s="83">
        <f>ROUND(B10/$C$6,0)</f>
        <v>6904</v>
      </c>
      <c r="D10" s="512">
        <f>'PVAMU FGD'!F10</f>
        <v>0</v>
      </c>
      <c r="E10" s="512"/>
      <c r="F10" s="84">
        <f>B10-(SUM(D10:E10))</f>
        <v>55711045</v>
      </c>
      <c r="G10" s="1143" t="s">
        <v>1</v>
      </c>
      <c r="H10" s="1144"/>
      <c r="I10" s="825" t="s">
        <v>1161</v>
      </c>
      <c r="J10" s="713">
        <f>ROUND(F10/$C$6,0)</f>
        <v>6904</v>
      </c>
    </row>
    <row r="11" spans="1:15" ht="12.75" customHeight="1" thickBot="1">
      <c r="A11" s="75" t="s">
        <v>2</v>
      </c>
      <c r="B11" s="86">
        <f>'PVAMU FGD'!M11</f>
        <v>13058194</v>
      </c>
      <c r="C11" s="87">
        <f t="shared" ref="C11:C14" si="0">ROUND(B11/$C$6,0)</f>
        <v>1618</v>
      </c>
      <c r="D11" s="86">
        <f>'PVAMU FGD'!F11</f>
        <v>0</v>
      </c>
      <c r="E11" s="74"/>
      <c r="F11" s="606">
        <f t="shared" ref="F11:F14" si="1">B11-(SUM(D11:E11))</f>
        <v>13058194</v>
      </c>
      <c r="G11" s="1148">
        <f>SUM(F10:F11)</f>
        <v>68769239</v>
      </c>
      <c r="H11" s="715"/>
      <c r="I11" s="1373">
        <f>ROUND($G$11/$C$6,0)</f>
        <v>8522</v>
      </c>
      <c r="J11" s="716">
        <f t="shared" ref="J11:J14" si="2">ROUND(F11/$C$6,0)</f>
        <v>1618</v>
      </c>
    </row>
    <row r="12" spans="1:15" ht="12.75" hidden="1" customHeight="1" thickTop="1" thickBot="1">
      <c r="A12" s="75" t="s">
        <v>1410</v>
      </c>
      <c r="B12" s="86"/>
      <c r="C12" s="87"/>
      <c r="D12" s="86"/>
      <c r="E12" s="74"/>
      <c r="F12" s="607"/>
      <c r="J12" s="716"/>
      <c r="O12" s="608"/>
    </row>
    <row r="13" spans="1:15" ht="12.75" customHeight="1" thickTop="1">
      <c r="A13" s="75" t="s">
        <v>1368</v>
      </c>
      <c r="B13" s="86">
        <f>'PVAMU FGD'!M13</f>
        <v>0</v>
      </c>
      <c r="C13" s="87">
        <f t="shared" si="0"/>
        <v>0</v>
      </c>
      <c r="D13" s="86">
        <f>'PVAMU FGD'!F13</f>
        <v>0</v>
      </c>
      <c r="E13" s="74"/>
      <c r="F13" s="893">
        <f t="shared" si="1"/>
        <v>0</v>
      </c>
      <c r="G13" s="882" t="s">
        <v>81</v>
      </c>
      <c r="H13" s="894"/>
      <c r="I13" s="826" t="s">
        <v>1163</v>
      </c>
      <c r="J13" s="716">
        <f t="shared" si="2"/>
        <v>0</v>
      </c>
    </row>
    <row r="14" spans="1:15" ht="12.75" customHeight="1" thickBot="1">
      <c r="A14" s="75" t="s">
        <v>49</v>
      </c>
      <c r="B14" s="86">
        <f>'PVAMU FGD'!M14</f>
        <v>26604505</v>
      </c>
      <c r="C14" s="87">
        <f t="shared" si="0"/>
        <v>3297</v>
      </c>
      <c r="D14" s="86">
        <f>'PVAMU FGD'!F14</f>
        <v>0</v>
      </c>
      <c r="E14" s="74"/>
      <c r="F14" s="607">
        <f t="shared" si="1"/>
        <v>26604505</v>
      </c>
      <c r="G14" s="800">
        <f>SUM(F13:F14)</f>
        <v>26604505</v>
      </c>
      <c r="H14" s="895"/>
      <c r="I14" s="1377">
        <f>ROUND($G$11/$I$8,0)</f>
        <v>80076</v>
      </c>
      <c r="J14" s="828">
        <f t="shared" si="2"/>
        <v>3297</v>
      </c>
    </row>
    <row r="15" spans="1:15" ht="12.75" customHeight="1" thickTop="1">
      <c r="A15" s="88" t="s">
        <v>3</v>
      </c>
      <c r="B15" s="89">
        <f>SUM(B10:B14)</f>
        <v>95373744</v>
      </c>
      <c r="C15" s="89">
        <f>SUM(C10:C14)</f>
        <v>11819</v>
      </c>
      <c r="D15" s="89">
        <f>SUM(D10:D14)</f>
        <v>0</v>
      </c>
      <c r="E15" s="89">
        <f>SUM(E10:E14)</f>
        <v>0</v>
      </c>
      <c r="F15" s="216">
        <f>SUM(F10:F14)</f>
        <v>95373744</v>
      </c>
      <c r="I15" s="1372"/>
      <c r="J15" s="757">
        <f>SUM(J10:J14)</f>
        <v>11819</v>
      </c>
    </row>
    <row r="16" spans="1:15">
      <c r="B16" s="48"/>
      <c r="C16" s="75"/>
      <c r="J16" s="712"/>
    </row>
    <row r="17" spans="1:31" ht="12.75" customHeight="1">
      <c r="A17" s="78" t="s">
        <v>4</v>
      </c>
      <c r="B17" s="86"/>
      <c r="C17" s="75"/>
      <c r="J17" s="712"/>
    </row>
    <row r="18" spans="1:31">
      <c r="A18" s="75" t="s">
        <v>39</v>
      </c>
      <c r="B18" s="83">
        <f>'PVAMU FGD'!M29</f>
        <v>40467804</v>
      </c>
      <c r="C18" s="83">
        <f t="shared" ref="C18:C19" si="3">ROUND(B18/$C$6,0)</f>
        <v>5015</v>
      </c>
      <c r="D18" s="512">
        <f>'PVAMU FGD'!$F$29</f>
        <v>0</v>
      </c>
      <c r="E18" s="512"/>
      <c r="F18" s="512">
        <f t="shared" ref="F18:F19" si="4">B18-(SUM(D18:E18))</f>
        <v>40467804</v>
      </c>
      <c r="G18" s="337"/>
      <c r="H18" s="337"/>
      <c r="I18" s="337"/>
      <c r="J18" s="713">
        <f>ROUND(F18/$C$6,0)</f>
        <v>5015</v>
      </c>
    </row>
    <row r="19" spans="1:31" ht="13.5" thickBot="1">
      <c r="A19" s="75" t="s">
        <v>40</v>
      </c>
      <c r="B19" s="86">
        <f>'PVAMU FGD'!M42</f>
        <v>18138708</v>
      </c>
      <c r="C19" s="87">
        <f t="shared" si="3"/>
        <v>2248</v>
      </c>
      <c r="D19" s="74">
        <f>'PVAMU FGD'!$F$42</f>
        <v>5314996</v>
      </c>
      <c r="E19" s="74"/>
      <c r="F19" s="74">
        <f t="shared" si="4"/>
        <v>12823712</v>
      </c>
      <c r="G19" s="337"/>
      <c r="H19" s="337"/>
      <c r="I19" s="337"/>
      <c r="J19" s="716">
        <f>ROUND(F19/$C$6,0)</f>
        <v>1589</v>
      </c>
    </row>
    <row r="20" spans="1:31" ht="14.25" thickTop="1" thickBot="1">
      <c r="A20" s="88" t="s">
        <v>5</v>
      </c>
      <c r="B20" s="89">
        <f>SUM(B18:B19)</f>
        <v>58606512</v>
      </c>
      <c r="C20" s="89">
        <f>SUM(C18:C19)</f>
        <v>7263</v>
      </c>
      <c r="D20" s="717">
        <f>SUM(D18:D19)</f>
        <v>5314996</v>
      </c>
      <c r="E20" s="718">
        <f>SUM(E18:E19)</f>
        <v>0</v>
      </c>
      <c r="F20" s="801">
        <f>SUM(F18:F19)</f>
        <v>53291516</v>
      </c>
      <c r="G20" s="720" t="s">
        <v>26</v>
      </c>
      <c r="H20" s="366"/>
      <c r="I20" s="367"/>
      <c r="J20" s="721">
        <f>SUM(J18:J19)</f>
        <v>6604</v>
      </c>
    </row>
    <row r="21" spans="1:31" ht="12.75" customHeight="1" thickTop="1">
      <c r="B21" s="91"/>
      <c r="C21" s="75"/>
      <c r="F21" s="804"/>
      <c r="J21" s="712"/>
    </row>
    <row r="22" spans="1:31" ht="14.25" customHeight="1" thickBot="1">
      <c r="A22" s="78" t="s">
        <v>6</v>
      </c>
      <c r="B22" s="91"/>
      <c r="C22" s="75"/>
      <c r="J22" s="712"/>
    </row>
    <row r="23" spans="1:31" ht="14.25" thickTop="1" thickBot="1">
      <c r="A23" s="88" t="s">
        <v>7</v>
      </c>
      <c r="B23" s="92">
        <f>'PVAMU FGD'!M47</f>
        <v>104828664</v>
      </c>
      <c r="C23" s="89">
        <f t="shared" ref="C23" si="5">ROUND(B23/$C$6,0)</f>
        <v>12991</v>
      </c>
      <c r="D23" s="717">
        <f>'PVAMU FGD'!F47</f>
        <v>0</v>
      </c>
      <c r="E23" s="718"/>
      <c r="F23" s="801">
        <f>B23-(SUM(D23:E23))</f>
        <v>104828664</v>
      </c>
      <c r="G23" s="722" t="s">
        <v>74</v>
      </c>
      <c r="H23" s="366"/>
      <c r="I23" s="367"/>
      <c r="J23" s="756">
        <f>ROUND(F23/$C$6,0)</f>
        <v>12991</v>
      </c>
    </row>
    <row r="24" spans="1:31" ht="13.5" thickTop="1">
      <c r="B24" s="91"/>
      <c r="C24" s="75"/>
      <c r="J24" s="712"/>
    </row>
    <row r="25" spans="1:31">
      <c r="A25" s="78" t="s">
        <v>8</v>
      </c>
      <c r="B25" s="91"/>
      <c r="C25" s="75"/>
      <c r="J25" s="712"/>
    </row>
    <row r="26" spans="1:31">
      <c r="A26" s="75" t="s">
        <v>42</v>
      </c>
      <c r="B26" s="83">
        <f>'PVAMU FGD'!M50</f>
        <v>8180260</v>
      </c>
      <c r="C26" s="83">
        <f t="shared" ref="C26:C31" si="6">ROUND(B26/$C$6,0)</f>
        <v>1014</v>
      </c>
      <c r="D26" s="512">
        <f>'PVAMU FGD'!F50</f>
        <v>0</v>
      </c>
      <c r="E26" s="512"/>
      <c r="F26" s="512">
        <f t="shared" ref="F26:F31" si="7">B26-(SUM(D26:E26))</f>
        <v>8180260</v>
      </c>
      <c r="G26" s="337"/>
      <c r="H26" s="337"/>
      <c r="I26" s="337"/>
      <c r="J26" s="713">
        <f>ROUND(F26/$C$6,0)</f>
        <v>1014</v>
      </c>
    </row>
    <row r="27" spans="1:31">
      <c r="A27" s="75" t="s">
        <v>9</v>
      </c>
      <c r="B27" s="86">
        <f>'PVAMU FGD'!M51</f>
        <v>0</v>
      </c>
      <c r="C27" s="87">
        <f t="shared" si="6"/>
        <v>0</v>
      </c>
      <c r="D27" s="86">
        <f>'PVAMU FGD'!F51</f>
        <v>0</v>
      </c>
      <c r="E27" s="74"/>
      <c r="F27" s="74">
        <f t="shared" si="7"/>
        <v>0</v>
      </c>
      <c r="G27" s="337"/>
      <c r="H27" s="337"/>
      <c r="I27" s="337"/>
      <c r="J27" s="716">
        <f t="shared" ref="J27:J31" si="8">ROUND(F27/$C$6,0)</f>
        <v>0</v>
      </c>
    </row>
    <row r="28" spans="1:31" ht="13.5" thickBot="1">
      <c r="A28" s="75" t="s">
        <v>10</v>
      </c>
      <c r="B28" s="86">
        <f>'PVAMU FGD'!M52</f>
        <v>34643241</v>
      </c>
      <c r="C28" s="87">
        <f t="shared" si="6"/>
        <v>4293</v>
      </c>
      <c r="D28" s="86">
        <f>'PVAMU FGD'!F52</f>
        <v>11680</v>
      </c>
      <c r="E28" s="74"/>
      <c r="F28" s="74">
        <f t="shared" si="7"/>
        <v>34631561</v>
      </c>
      <c r="G28" s="337"/>
      <c r="H28" s="337"/>
      <c r="I28" s="337"/>
      <c r="J28" s="716">
        <f t="shared" si="8"/>
        <v>4292</v>
      </c>
    </row>
    <row r="29" spans="1:31" ht="13.5" thickBot="1">
      <c r="A29" s="75" t="s">
        <v>11</v>
      </c>
      <c r="B29" s="86">
        <f>'PVAMU FGD'!M53</f>
        <v>700453</v>
      </c>
      <c r="C29" s="87">
        <f t="shared" si="6"/>
        <v>87</v>
      </c>
      <c r="D29" s="86">
        <f>'PVAMU FGD'!F53</f>
        <v>15983</v>
      </c>
      <c r="E29" s="74"/>
      <c r="F29" s="74">
        <f t="shared" si="7"/>
        <v>684470</v>
      </c>
      <c r="G29" s="337"/>
      <c r="H29" s="337"/>
      <c r="I29" s="337"/>
      <c r="J29" s="716">
        <f t="shared" si="8"/>
        <v>85</v>
      </c>
      <c r="K29" s="1694" t="s">
        <v>1065</v>
      </c>
      <c r="L29" s="1695"/>
      <c r="M29" s="1695"/>
      <c r="N29" s="1695"/>
      <c r="O29" s="1696"/>
    </row>
    <row r="30" spans="1:31" ht="13.5" thickBot="1">
      <c r="A30" s="93" t="s">
        <v>2134</v>
      </c>
      <c r="B30" s="94">
        <f>'PVAMU FGD'!M54</f>
        <v>12774915</v>
      </c>
      <c r="C30" s="87">
        <f t="shared" si="6"/>
        <v>1583</v>
      </c>
      <c r="D30" s="729">
        <f>B30</f>
        <v>12774915</v>
      </c>
      <c r="E30" s="74"/>
      <c r="F30" s="74">
        <f t="shared" si="7"/>
        <v>0</v>
      </c>
      <c r="G30" s="337"/>
      <c r="H30" s="337"/>
      <c r="I30" s="337"/>
      <c r="J30" s="716">
        <f t="shared" si="8"/>
        <v>0</v>
      </c>
      <c r="K30" s="1694" t="s">
        <v>1070</v>
      </c>
      <c r="L30" s="1695"/>
      <c r="M30" s="1695"/>
      <c r="N30" s="1695"/>
      <c r="O30" s="1696"/>
    </row>
    <row r="31" spans="1:31" ht="13.5" customHeight="1" thickBot="1">
      <c r="A31" s="95" t="s">
        <v>43</v>
      </c>
      <c r="B31" s="86">
        <f>'PVAMU FGD'!M55</f>
        <v>3577295</v>
      </c>
      <c r="C31" s="87">
        <f t="shared" si="6"/>
        <v>443</v>
      </c>
      <c r="D31" s="86">
        <f>'PVAMU FGD'!F55</f>
        <v>1197427</v>
      </c>
      <c r="E31" s="74"/>
      <c r="F31" s="74">
        <f t="shared" si="7"/>
        <v>2379868</v>
      </c>
      <c r="G31" s="35"/>
      <c r="H31" s="35"/>
      <c r="I31" s="38"/>
      <c r="J31" s="716">
        <f t="shared" si="8"/>
        <v>295</v>
      </c>
      <c r="K31" s="1697" t="s">
        <v>1073</v>
      </c>
      <c r="L31" s="1697" t="s">
        <v>1071</v>
      </c>
      <c r="M31" s="1697" t="s">
        <v>1072</v>
      </c>
      <c r="N31" s="1697" t="s">
        <v>1240</v>
      </c>
      <c r="O31" s="1697"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59876164</v>
      </c>
      <c r="C32" s="89">
        <f>SUM(C26:C31)</f>
        <v>7420</v>
      </c>
      <c r="D32" s="723">
        <f>SUM(D26:D31)</f>
        <v>14000005</v>
      </c>
      <c r="E32" s="723">
        <f>SUM(E26:E31)</f>
        <v>0</v>
      </c>
      <c r="F32" s="802">
        <f>SUM(F26:F31)</f>
        <v>45876159</v>
      </c>
      <c r="G32" s="1708" t="s">
        <v>8</v>
      </c>
      <c r="H32" s="1709"/>
      <c r="I32" s="783" t="s">
        <v>1166</v>
      </c>
      <c r="J32" s="725">
        <f>SUM(J26:J31)</f>
        <v>5686</v>
      </c>
      <c r="K32" s="1698"/>
      <c r="L32" s="1698"/>
      <c r="M32" s="1698"/>
      <c r="N32" s="1698" t="s">
        <v>1074</v>
      </c>
      <c r="O32" s="1698" t="s">
        <v>1075</v>
      </c>
    </row>
    <row r="33" spans="1:31" ht="14.25" thickTop="1" thickBot="1">
      <c r="A33" s="97" t="s">
        <v>68</v>
      </c>
      <c r="B33" s="52">
        <f>B15+B20+B23+B32</f>
        <v>318685084</v>
      </c>
      <c r="C33" s="45">
        <f>C15+C20+C23+C32</f>
        <v>39493</v>
      </c>
      <c r="D33" s="52">
        <f>D15+D20+D23+D32</f>
        <v>19315001</v>
      </c>
      <c r="E33" s="52">
        <f>E15+E20+E23+E32</f>
        <v>0</v>
      </c>
      <c r="F33" s="724">
        <f>F15+F20+F23+F32</f>
        <v>299370083</v>
      </c>
      <c r="G33" s="1758" t="s">
        <v>84</v>
      </c>
      <c r="H33" s="1759"/>
      <c r="I33" s="1375">
        <f>ROUND($G$35/$C$6,0)</f>
        <v>33803</v>
      </c>
      <c r="J33" s="726">
        <f>J15+J20+J23+J32</f>
        <v>37100</v>
      </c>
      <c r="K33" s="1698"/>
      <c r="L33" s="1698"/>
      <c r="M33" s="1698"/>
      <c r="N33" s="1698"/>
      <c r="O33" s="1698"/>
    </row>
    <row r="34" spans="1:31" ht="14.25" thickTop="1" thickBot="1">
      <c r="B34" s="98"/>
      <c r="C34" s="75"/>
      <c r="D34" s="337"/>
      <c r="E34" s="337"/>
      <c r="F34" s="337" t="s">
        <v>1199</v>
      </c>
      <c r="G34" s="787">
        <f>G14*-1</f>
        <v>-26604505</v>
      </c>
      <c r="H34" s="337"/>
      <c r="I34" s="783" t="s">
        <v>1167</v>
      </c>
      <c r="J34" s="727"/>
      <c r="K34" s="1699"/>
      <c r="L34" s="1699"/>
      <c r="M34" s="1699"/>
      <c r="N34" s="1699"/>
      <c r="O34" s="1699"/>
    </row>
    <row r="35" spans="1:31" ht="14.25" thickTop="1" thickBot="1">
      <c r="A35" s="81" t="s">
        <v>72</v>
      </c>
      <c r="B35" s="81"/>
      <c r="C35" s="81"/>
      <c r="D35" s="728"/>
      <c r="E35" s="728"/>
      <c r="F35" s="788" t="s">
        <v>1165</v>
      </c>
      <c r="G35" s="803">
        <f>F33+G34</f>
        <v>272765578</v>
      </c>
      <c r="I35" s="1376">
        <f>ROUND($G$35/$I$8,0)</f>
        <v>317612</v>
      </c>
      <c r="K35" s="609"/>
      <c r="L35" s="609"/>
      <c r="M35" s="609"/>
      <c r="N35" s="609"/>
      <c r="O35" s="609"/>
    </row>
    <row r="36" spans="1:31" ht="13.5" thickTop="1">
      <c r="A36" s="99" t="s">
        <v>14</v>
      </c>
      <c r="B36" s="83">
        <f>'PVAMU FGD'!M60</f>
        <v>52305594</v>
      </c>
      <c r="C36" s="83">
        <f t="shared" ref="C36:C46" si="9">ROUND(B36/$C$6,0)</f>
        <v>6482</v>
      </c>
      <c r="D36" s="512">
        <f>'PVAMU FGD'!F60</f>
        <v>0</v>
      </c>
      <c r="E36" s="512"/>
      <c r="F36" s="512">
        <f t="shared" ref="F36:F46" si="10">B36-(SUM(D36:E36))</f>
        <v>52305594</v>
      </c>
      <c r="G36" s="337"/>
      <c r="H36" s="1378" t="s">
        <v>2158</v>
      </c>
      <c r="I36" s="1379">
        <f>ROUND(F36/$C$6,0)</f>
        <v>6482</v>
      </c>
      <c r="J36" s="337" t="s">
        <v>752</v>
      </c>
      <c r="K36" s="512">
        <f>F36</f>
        <v>52305594</v>
      </c>
      <c r="L36" s="512">
        <f>K36</f>
        <v>52305594</v>
      </c>
      <c r="M36" s="512"/>
      <c r="N36" s="512"/>
      <c r="O36" s="512"/>
    </row>
    <row r="37" spans="1:31">
      <c r="A37" s="99" t="s">
        <v>15</v>
      </c>
      <c r="B37" s="86">
        <f>'PVAMU FGD'!M61</f>
        <v>17548382</v>
      </c>
      <c r="C37" s="87">
        <f t="shared" si="9"/>
        <v>2175</v>
      </c>
      <c r="D37" s="86">
        <f>'PVAMU FGD'!F61</f>
        <v>0</v>
      </c>
      <c r="E37" s="74"/>
      <c r="F37" s="74">
        <f t="shared" si="10"/>
        <v>17548382</v>
      </c>
      <c r="G37" s="337"/>
      <c r="H37" s="337"/>
      <c r="J37" s="337" t="s">
        <v>1076</v>
      </c>
      <c r="K37" s="373">
        <f>F37</f>
        <v>17548382</v>
      </c>
      <c r="L37" s="373">
        <f>K37</f>
        <v>17548382</v>
      </c>
      <c r="M37" s="373"/>
      <c r="N37" s="373"/>
      <c r="O37" s="373"/>
    </row>
    <row r="38" spans="1:31">
      <c r="A38" s="99" t="s">
        <v>16</v>
      </c>
      <c r="B38" s="86">
        <f>'PVAMU FGD'!M62</f>
        <v>7762778</v>
      </c>
      <c r="C38" s="87">
        <f t="shared" si="9"/>
        <v>962</v>
      </c>
      <c r="D38" s="86">
        <f>'PVAMU FGD'!F62</f>
        <v>0</v>
      </c>
      <c r="E38" s="86">
        <f>B38-D38</f>
        <v>7762778</v>
      </c>
      <c r="F38" s="74">
        <f t="shared" si="10"/>
        <v>0</v>
      </c>
      <c r="G38" s="337"/>
      <c r="H38" s="337"/>
      <c r="I38" s="337"/>
      <c r="J38" s="337" t="s">
        <v>1077</v>
      </c>
      <c r="K38" s="736"/>
      <c r="L38" s="737"/>
      <c r="M38" s="737" t="s">
        <v>1152</v>
      </c>
      <c r="N38" s="737"/>
      <c r="O38" s="738"/>
    </row>
    <row r="39" spans="1:31">
      <c r="A39" s="99" t="s">
        <v>17</v>
      </c>
      <c r="B39" s="86">
        <f>'PVAMU FGD'!M63</f>
        <v>22197811</v>
      </c>
      <c r="C39" s="87">
        <f t="shared" si="9"/>
        <v>2751</v>
      </c>
      <c r="D39" s="86">
        <f>'PVAMU FGD'!F63</f>
        <v>0</v>
      </c>
      <c r="E39" s="74"/>
      <c r="F39" s="74">
        <f t="shared" si="10"/>
        <v>22197811</v>
      </c>
      <c r="G39" s="337"/>
      <c r="H39" s="1378" t="s">
        <v>2159</v>
      </c>
      <c r="I39" s="1379">
        <f>ROUND(F39/$C$6,0)</f>
        <v>2751</v>
      </c>
      <c r="J39" s="337" t="s">
        <v>1078</v>
      </c>
      <c r="K39" s="373">
        <f t="shared" ref="K39:K43" si="11">F39</f>
        <v>22197811</v>
      </c>
      <c r="L39" s="373">
        <f>K39</f>
        <v>22197811</v>
      </c>
      <c r="M39" s="373"/>
      <c r="N39" s="373"/>
      <c r="O39" s="373"/>
    </row>
    <row r="40" spans="1:31">
      <c r="A40" s="99" t="s">
        <v>18</v>
      </c>
      <c r="B40" s="86">
        <f>'PVAMU FGD'!M64</f>
        <v>19506425</v>
      </c>
      <c r="C40" s="87">
        <f t="shared" si="9"/>
        <v>2417</v>
      </c>
      <c r="D40" s="86">
        <f>'PVAMU FGD'!F64</f>
        <v>0</v>
      </c>
      <c r="E40" s="74"/>
      <c r="F40" s="74">
        <f t="shared" si="10"/>
        <v>19506425</v>
      </c>
      <c r="G40" s="337"/>
      <c r="J40" s="337" t="s">
        <v>1079</v>
      </c>
      <c r="K40" s="373">
        <f t="shared" si="11"/>
        <v>19506425</v>
      </c>
      <c r="L40" s="373"/>
      <c r="M40" s="373">
        <f>K40</f>
        <v>19506425</v>
      </c>
      <c r="N40" s="373"/>
      <c r="O40" s="373"/>
    </row>
    <row r="41" spans="1:31">
      <c r="A41" s="99" t="s">
        <v>19</v>
      </c>
      <c r="B41" s="86">
        <f>'PVAMU FGD'!M65</f>
        <v>19209918</v>
      </c>
      <c r="C41" s="87">
        <f t="shared" si="9"/>
        <v>2381</v>
      </c>
      <c r="D41" s="86">
        <f>'PVAMU FGD'!F65</f>
        <v>0</v>
      </c>
      <c r="E41" s="74"/>
      <c r="F41" s="74">
        <f t="shared" si="10"/>
        <v>19209918</v>
      </c>
      <c r="G41" s="337"/>
      <c r="H41" s="1378" t="s">
        <v>2160</v>
      </c>
      <c r="I41" s="1379">
        <f>ROUND(F41/$C$6,0)</f>
        <v>2381</v>
      </c>
      <c r="J41" s="337" t="s">
        <v>757</v>
      </c>
      <c r="K41" s="373">
        <f t="shared" si="11"/>
        <v>19209918</v>
      </c>
      <c r="L41" s="373"/>
      <c r="M41" s="373"/>
      <c r="N41" s="373">
        <f>K41</f>
        <v>19209918</v>
      </c>
      <c r="O41" s="373"/>
    </row>
    <row r="42" spans="1:31">
      <c r="A42" s="99" t="s">
        <v>20</v>
      </c>
      <c r="B42" s="86">
        <f>'PVAMU FGD'!M66</f>
        <v>22274123</v>
      </c>
      <c r="C42" s="87">
        <f t="shared" si="9"/>
        <v>2760</v>
      </c>
      <c r="D42" s="86">
        <f>'PVAMU FGD'!F66</f>
        <v>0</v>
      </c>
      <c r="E42" s="74"/>
      <c r="F42" s="74">
        <f t="shared" si="10"/>
        <v>22274123</v>
      </c>
      <c r="G42" s="337"/>
      <c r="J42" s="337" t="s">
        <v>758</v>
      </c>
      <c r="K42" s="373">
        <f t="shared" si="11"/>
        <v>22274123</v>
      </c>
      <c r="L42" s="373"/>
      <c r="M42" s="373"/>
      <c r="N42" s="373">
        <f>K42</f>
        <v>22274123</v>
      </c>
      <c r="O42" s="373"/>
    </row>
    <row r="43" spans="1:31">
      <c r="A43" s="99" t="s">
        <v>21</v>
      </c>
      <c r="B43" s="86">
        <f>'PVAMU FGD'!M67</f>
        <v>75217093</v>
      </c>
      <c r="C43" s="87">
        <f t="shared" si="9"/>
        <v>9321</v>
      </c>
      <c r="D43" s="86">
        <f>'PVAMU FGD'!F67</f>
        <v>0</v>
      </c>
      <c r="E43" s="74"/>
      <c r="F43" s="74">
        <f t="shared" si="10"/>
        <v>75217093</v>
      </c>
      <c r="G43" s="337"/>
      <c r="H43" s="337"/>
      <c r="I43" s="337"/>
      <c r="J43" s="337" t="s">
        <v>1145</v>
      </c>
      <c r="K43" s="373">
        <f t="shared" si="11"/>
        <v>75217093</v>
      </c>
      <c r="L43" s="373"/>
      <c r="M43" s="373">
        <f>K43</f>
        <v>75217093</v>
      </c>
      <c r="N43" s="373"/>
      <c r="O43" s="373"/>
    </row>
    <row r="44" spans="1:31">
      <c r="A44" s="99" t="s">
        <v>2135</v>
      </c>
      <c r="B44" s="86">
        <f>'PVAMU FGD'!M68</f>
        <v>27900736</v>
      </c>
      <c r="C44" s="87">
        <f t="shared" si="9"/>
        <v>3458</v>
      </c>
      <c r="D44" s="729">
        <f>B44</f>
        <v>27900736</v>
      </c>
      <c r="E44" s="74"/>
      <c r="F44" s="74">
        <f t="shared" si="10"/>
        <v>0</v>
      </c>
      <c r="G44" s="337"/>
      <c r="H44" s="337"/>
      <c r="I44" s="337"/>
      <c r="J44" s="337" t="s">
        <v>743</v>
      </c>
      <c r="K44" s="736"/>
      <c r="L44" s="737"/>
      <c r="M44" s="737" t="s">
        <v>1152</v>
      </c>
      <c r="N44" s="737"/>
      <c r="O44" s="738"/>
    </row>
    <row r="45" spans="1:31">
      <c r="A45" s="99" t="s">
        <v>61</v>
      </c>
      <c r="B45" s="86">
        <f>'PVAMU FGD'!M69</f>
        <v>3300156</v>
      </c>
      <c r="C45" s="87">
        <f t="shared" si="9"/>
        <v>409</v>
      </c>
      <c r="D45" s="86">
        <f>'PVAMU FGD'!F69</f>
        <v>64067</v>
      </c>
      <c r="E45" s="74"/>
      <c r="F45" s="74">
        <f t="shared" si="10"/>
        <v>3236089</v>
      </c>
      <c r="G45" s="337"/>
      <c r="H45" s="337"/>
      <c r="I45" s="337"/>
      <c r="J45" s="337" t="s">
        <v>1080</v>
      </c>
      <c r="K45" s="373">
        <f t="shared" ref="K45:K46" si="12">F45</f>
        <v>3236089</v>
      </c>
      <c r="L45" s="373"/>
      <c r="M45" s="373"/>
      <c r="N45" s="373"/>
      <c r="O45" s="373">
        <f>K45</f>
        <v>3236089</v>
      </c>
    </row>
    <row r="46" spans="1:31" ht="13.5" thickBot="1">
      <c r="A46" s="75" t="s">
        <v>50</v>
      </c>
      <c r="B46" s="86">
        <f>'PVAMU FGD'!M70</f>
        <v>1082946</v>
      </c>
      <c r="C46" s="87">
        <f t="shared" si="9"/>
        <v>134</v>
      </c>
      <c r="D46" s="86">
        <f>'PVAMU FGD'!F70</f>
        <v>0</v>
      </c>
      <c r="E46" s="74"/>
      <c r="F46" s="74">
        <f t="shared" si="10"/>
        <v>1082946</v>
      </c>
      <c r="G46" s="35"/>
      <c r="H46" s="1378" t="s">
        <v>2161</v>
      </c>
      <c r="I46" s="1379">
        <f>ROUND(SUM(F37+F40+F42+F43+F45+F46)/$C$6,0)</f>
        <v>17209</v>
      </c>
      <c r="J46" s="610" t="s">
        <v>1075</v>
      </c>
      <c r="K46" s="373">
        <f t="shared" si="12"/>
        <v>1082946</v>
      </c>
      <c r="L46" s="611"/>
      <c r="M46" s="611"/>
      <c r="N46" s="611"/>
      <c r="O46" s="373">
        <f>K46</f>
        <v>1082946</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268305962</v>
      </c>
      <c r="C47" s="45">
        <f>SUM(C36:C46)</f>
        <v>33250</v>
      </c>
      <c r="D47" s="730">
        <f>SUM(D36:D46)</f>
        <v>27964803</v>
      </c>
      <c r="E47" s="731">
        <f>SUM(E36:E46)</f>
        <v>7762778</v>
      </c>
      <c r="F47" s="719">
        <f>SUM(F36:F46)</f>
        <v>232578381</v>
      </c>
      <c r="G47" s="1688" t="s">
        <v>1176</v>
      </c>
      <c r="H47" s="1689"/>
      <c r="I47" s="785" t="s">
        <v>1164</v>
      </c>
      <c r="J47" s="610" t="s">
        <v>1081</v>
      </c>
      <c r="K47" s="612">
        <f>SUM(K36:K46)</f>
        <v>232578381</v>
      </c>
      <c r="L47" s="612">
        <f>SUM(L36:L46)</f>
        <v>92051787</v>
      </c>
      <c r="M47" s="612">
        <f>SUM(M36:M46)</f>
        <v>94723518</v>
      </c>
      <c r="N47" s="612">
        <f>SUM(N36:N46)</f>
        <v>41484041</v>
      </c>
      <c r="O47" s="612">
        <f>SUM(O36:O46)</f>
        <v>4319035</v>
      </c>
    </row>
    <row r="48" spans="1:31" ht="14.25" thickTop="1" thickBot="1">
      <c r="A48" s="93"/>
      <c r="B48" s="98"/>
      <c r="C48" s="75"/>
      <c r="F48" s="613"/>
      <c r="G48" s="1690"/>
      <c r="H48" s="1691"/>
      <c r="I48" s="823">
        <f>ROUND(F47/C6,0)</f>
        <v>28823</v>
      </c>
      <c r="J48" s="1700" t="s">
        <v>1082</v>
      </c>
      <c r="K48" s="611"/>
      <c r="L48" s="611"/>
      <c r="M48" s="611"/>
      <c r="N48" s="611"/>
      <c r="O48" s="611"/>
    </row>
    <row r="49" spans="1:31" ht="13.5" thickBot="1">
      <c r="A49" s="78" t="s">
        <v>23</v>
      </c>
      <c r="B49" s="82"/>
      <c r="C49" s="75"/>
      <c r="F49" s="614"/>
      <c r="G49" s="1690"/>
      <c r="H49" s="1691"/>
      <c r="I49" s="811"/>
      <c r="J49" s="1700"/>
      <c r="K49" s="615">
        <f>ROUND(K47/$C$6,2)</f>
        <v>28822.51</v>
      </c>
      <c r="L49" s="615">
        <f t="shared" ref="L49:O49" si="13">ROUND(L47/$C$6,2)</f>
        <v>11407.61</v>
      </c>
      <c r="M49" s="615">
        <f t="shared" si="13"/>
        <v>11738.71</v>
      </c>
      <c r="N49" s="615">
        <f t="shared" si="13"/>
        <v>5140.95</v>
      </c>
      <c r="O49" s="615">
        <f t="shared" si="13"/>
        <v>535.24</v>
      </c>
      <c r="P49" s="35"/>
      <c r="Q49" s="96"/>
      <c r="R49" s="96"/>
      <c r="S49" s="96"/>
      <c r="T49" s="96"/>
      <c r="U49" s="96"/>
      <c r="V49" s="96"/>
      <c r="W49" s="96"/>
      <c r="X49" s="96"/>
      <c r="Y49" s="96"/>
      <c r="Z49" s="96"/>
      <c r="AA49" s="96"/>
      <c r="AB49" s="96"/>
      <c r="AC49" s="96"/>
      <c r="AD49" s="96"/>
      <c r="AE49" s="96"/>
    </row>
    <row r="50" spans="1:31" ht="13.5" thickBot="1">
      <c r="A50" s="75" t="s">
        <v>62</v>
      </c>
      <c r="B50" s="86">
        <f>'PVAMU FGD'!M74</f>
        <v>-5932666</v>
      </c>
      <c r="C50" s="83">
        <f t="shared" ref="C50:C53" si="14">ROUND(B50/$C$6,0)</f>
        <v>-735</v>
      </c>
      <c r="D50" s="512">
        <f>'PVAMU FGD'!F74</f>
        <v>0</v>
      </c>
      <c r="E50" s="512"/>
      <c r="F50" s="732">
        <f t="shared" ref="F50:F53" si="15">B50-(SUM(D50:E50))</f>
        <v>-5932666</v>
      </c>
      <c r="G50" s="1692"/>
      <c r="H50" s="1693"/>
      <c r="I50" s="808"/>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'PVAMU FGD'!M75</f>
        <v>85805</v>
      </c>
      <c r="C51" s="87">
        <f t="shared" si="14"/>
        <v>11</v>
      </c>
      <c r="D51" s="91">
        <f>'PVAMU FGD'!F75</f>
        <v>14707249</v>
      </c>
      <c r="E51" s="82"/>
      <c r="F51" s="74">
        <f t="shared" si="15"/>
        <v>-14621444</v>
      </c>
      <c r="G51" s="337"/>
      <c r="J51" s="337"/>
      <c r="K51" s="616"/>
      <c r="L51" s="616"/>
      <c r="M51" s="616"/>
      <c r="N51" s="616"/>
      <c r="O51" s="616"/>
    </row>
    <row r="52" spans="1:31">
      <c r="A52" s="75" t="s">
        <v>51</v>
      </c>
      <c r="B52" s="86">
        <f>'PVAMU FGD'!M76</f>
        <v>0</v>
      </c>
      <c r="C52" s="87">
        <f t="shared" si="14"/>
        <v>0</v>
      </c>
      <c r="D52" s="91">
        <f>'PVAMU FGD'!F76</f>
        <v>0</v>
      </c>
      <c r="E52" s="82"/>
      <c r="F52" s="74">
        <f t="shared" si="15"/>
        <v>0</v>
      </c>
      <c r="G52" s="337"/>
      <c r="J52" s="733"/>
      <c r="K52" s="733"/>
      <c r="L52" s="733"/>
      <c r="M52" s="733"/>
      <c r="N52" s="733"/>
      <c r="O52" s="733"/>
    </row>
    <row r="53" spans="1:31" ht="12" customHeight="1">
      <c r="A53" s="75" t="s">
        <v>46</v>
      </c>
      <c r="B53" s="86">
        <f>'PVAMU FGD'!M77</f>
        <v>-13990006</v>
      </c>
      <c r="C53" s="87">
        <f t="shared" si="14"/>
        <v>-1734</v>
      </c>
      <c r="D53" s="91">
        <f>'PVAMU FGD'!F77</f>
        <v>-5443658</v>
      </c>
      <c r="E53" s="82"/>
      <c r="F53" s="74">
        <f t="shared" si="15"/>
        <v>-8546348</v>
      </c>
      <c r="G53" s="35"/>
      <c r="J53" s="733"/>
      <c r="K53" s="733"/>
      <c r="L53" s="733"/>
      <c r="M53" s="733"/>
      <c r="N53" s="733"/>
      <c r="O53" s="733"/>
      <c r="P53" s="35"/>
      <c r="Q53" s="96"/>
      <c r="R53" s="96"/>
      <c r="S53" s="96"/>
      <c r="T53" s="96"/>
      <c r="U53" s="96"/>
      <c r="V53" s="96"/>
      <c r="W53" s="96"/>
      <c r="X53" s="96"/>
      <c r="Y53" s="96"/>
      <c r="Z53" s="96"/>
      <c r="AA53" s="96"/>
      <c r="AB53" s="96"/>
      <c r="AC53" s="96"/>
      <c r="AD53" s="96"/>
      <c r="AE53" s="96"/>
    </row>
    <row r="54" spans="1:31">
      <c r="A54" s="88" t="s">
        <v>3</v>
      </c>
      <c r="B54" s="89">
        <f>SUM(B50:B53)</f>
        <v>-19836867</v>
      </c>
      <c r="C54" s="89">
        <f>SUM(C50:C53)</f>
        <v>-2458</v>
      </c>
      <c r="D54" s="89">
        <f>SUM(D50:D53)</f>
        <v>9263591</v>
      </c>
      <c r="E54" s="89">
        <f>SUM(E50:E53)</f>
        <v>0</v>
      </c>
      <c r="F54" s="102">
        <f>SUM(F50:F53)</f>
        <v>-29100458</v>
      </c>
      <c r="G54" s="337"/>
      <c r="H54" s="337"/>
      <c r="I54" s="337"/>
      <c r="J54" s="733"/>
      <c r="K54" s="733"/>
      <c r="L54" s="733"/>
      <c r="M54" s="733"/>
      <c r="N54" s="733"/>
      <c r="O54" s="733"/>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'PVAMU FGD'!M81</f>
        <v>30910757</v>
      </c>
      <c r="C57" s="83">
        <f>ROUND(B57/$C$6,0)</f>
        <v>3831</v>
      </c>
      <c r="D57" s="512">
        <f>'PVAMU FGD'!F81</f>
        <v>0</v>
      </c>
      <c r="E57" s="512"/>
      <c r="F57" s="512">
        <f t="shared" ref="F57:F58" si="16">B57-(SUM(D57:E57))</f>
        <v>30910757</v>
      </c>
      <c r="G57" s="337"/>
      <c r="H57" s="337"/>
      <c r="I57" s="337"/>
      <c r="J57" s="337"/>
    </row>
    <row r="58" spans="1:31">
      <c r="A58" s="75" t="s">
        <v>48</v>
      </c>
      <c r="B58" s="86">
        <f>'PVAMU FGD'!M82</f>
        <v>35859004</v>
      </c>
      <c r="C58" s="87">
        <f>ROUND(B58/$C$6,0)</f>
        <v>4444</v>
      </c>
      <c r="D58" s="91">
        <f>'PVAMU FGD'!F82</f>
        <v>0</v>
      </c>
      <c r="E58" s="82"/>
      <c r="F58" s="74">
        <f t="shared" si="16"/>
        <v>35859004</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66769761</v>
      </c>
      <c r="C59" s="89">
        <f>SUM(C57:C58)</f>
        <v>8275</v>
      </c>
      <c r="D59" s="89">
        <f>SUM(D57:D58)</f>
        <v>0</v>
      </c>
      <c r="E59" s="89">
        <f>SUM(E57:E58)</f>
        <v>0</v>
      </c>
      <c r="F59" s="89">
        <f>SUM(F57:F58)</f>
        <v>66769761</v>
      </c>
      <c r="G59" s="367"/>
      <c r="H59" s="367"/>
      <c r="I59" s="367"/>
      <c r="J59" s="367"/>
      <c r="K59" s="266"/>
      <c r="L59" s="266"/>
      <c r="M59" s="266"/>
      <c r="N59" s="266"/>
      <c r="O59" s="266"/>
      <c r="P59" s="266"/>
    </row>
    <row r="60" spans="1:31">
      <c r="B60" s="82"/>
      <c r="C60" s="75"/>
    </row>
    <row r="61" spans="1:31" ht="13.5" thickBot="1">
      <c r="A61" s="103" t="s">
        <v>573</v>
      </c>
      <c r="B61" s="46">
        <f>B33-B47+B54+B59</f>
        <v>97312016</v>
      </c>
      <c r="C61" s="46">
        <f>C33-C47+C54+C59</f>
        <v>12060</v>
      </c>
      <c r="D61" s="46">
        <f>D33-D47+D54+D59</f>
        <v>613789</v>
      </c>
      <c r="E61" s="46">
        <f>E33-E47+E54+E59</f>
        <v>-7762778</v>
      </c>
      <c r="F61" s="46">
        <f>F33-F47+F54+F59</f>
        <v>104461005</v>
      </c>
    </row>
    <row r="62" spans="1:31" ht="13.5" thickTop="1"/>
    <row r="63" spans="1:31">
      <c r="D63" s="512"/>
    </row>
    <row r="65" spans="2:16">
      <c r="B65" s="734">
        <f>'PVAMU FGD'!$M$85</f>
        <v>97312016</v>
      </c>
      <c r="C65" s="75"/>
      <c r="D65" s="734">
        <f>'PVAMU FGD'!$F$85</f>
        <v>613789</v>
      </c>
      <c r="E65" s="734">
        <f>'PVAMU FGD'!$M$62*-1</f>
        <v>-7762778</v>
      </c>
      <c r="F65" s="75"/>
    </row>
    <row r="66" spans="2:16">
      <c r="B66" s="734"/>
      <c r="C66" s="75"/>
      <c r="D66" s="734">
        <f>'PVAMU FGD'!$F$68</f>
        <v>27900736</v>
      </c>
      <c r="E66" s="734">
        <f>+$D$38</f>
        <v>0</v>
      </c>
      <c r="F66" s="734"/>
    </row>
    <row r="67" spans="2:16">
      <c r="B67" s="759"/>
      <c r="C67" s="75"/>
      <c r="D67" s="759">
        <f>-'PVAMU FGD'!$M$68</f>
        <v>-27900736</v>
      </c>
      <c r="E67" s="759"/>
      <c r="F67" s="734"/>
    </row>
    <row r="68" spans="2:16">
      <c r="B68" s="734">
        <f>SUM(B65:B67)</f>
        <v>97312016</v>
      </c>
      <c r="C68" s="75"/>
      <c r="D68" s="734">
        <f>SUM(D65:D67)</f>
        <v>613789</v>
      </c>
      <c r="E68" s="734">
        <f>SUM(E65:E67)</f>
        <v>-7762778</v>
      </c>
      <c r="F68" s="734">
        <f>B68-D68-E68</f>
        <v>104461005</v>
      </c>
    </row>
    <row r="69" spans="2:16">
      <c r="B69" s="734"/>
      <c r="C69" s="75"/>
      <c r="D69" s="734">
        <f>'PVAMU FGD'!F54*-1</f>
        <v>-12774915</v>
      </c>
      <c r="E69" s="734"/>
      <c r="F69" s="734"/>
    </row>
    <row r="70" spans="2:16" ht="12.75" customHeight="1">
      <c r="B70" s="759"/>
      <c r="C70" s="95"/>
      <c r="D70" s="759">
        <f>'PVAMU FGD'!M54</f>
        <v>12774915</v>
      </c>
      <c r="E70" s="759"/>
      <c r="F70" s="759">
        <f>-D70-D69</f>
        <v>0</v>
      </c>
    </row>
    <row r="71" spans="2:16" ht="12.75" customHeight="1">
      <c r="B71" s="734">
        <f>SUM(B68:B70)</f>
        <v>97312016</v>
      </c>
      <c r="C71" s="75"/>
      <c r="D71" s="734">
        <f>SUM(D68:D70)</f>
        <v>613789</v>
      </c>
      <c r="E71" s="734">
        <f>SUM(E68:E70)</f>
        <v>-7762778</v>
      </c>
      <c r="F71" s="734">
        <f>SUM(F68:F70)</f>
        <v>104461005</v>
      </c>
    </row>
    <row r="72" spans="2:16" ht="12.75" customHeight="1">
      <c r="B72" s="734"/>
      <c r="C72" s="75"/>
      <c r="D72" s="734"/>
      <c r="E72" s="734"/>
      <c r="F72" s="734"/>
    </row>
    <row r="73" spans="2:16" ht="12.75" customHeight="1">
      <c r="B73" s="512">
        <f>B61-B71</f>
        <v>0</v>
      </c>
      <c r="C73" s="75"/>
      <c r="D73" s="512">
        <f>D61-D71</f>
        <v>0</v>
      </c>
      <c r="E73" s="512">
        <f>E61-E71</f>
        <v>0</v>
      </c>
      <c r="F73" s="512">
        <f>F61-F71</f>
        <v>0</v>
      </c>
    </row>
    <row r="74" spans="2:16" ht="12.75" customHeight="1">
      <c r="C74" s="75"/>
      <c r="F74" s="617"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G47:H50"/>
    <mergeCell ref="K30:O30"/>
    <mergeCell ref="M31:M34"/>
    <mergeCell ref="G32:H32"/>
    <mergeCell ref="G33:H33"/>
    <mergeCell ref="L31:L34"/>
    <mergeCell ref="K31:K34"/>
    <mergeCell ref="N31:N34"/>
    <mergeCell ref="O31:O34"/>
    <mergeCell ref="J48:J49"/>
    <mergeCell ref="F1:I1"/>
    <mergeCell ref="J1:O1"/>
    <mergeCell ref="D1:E1"/>
    <mergeCell ref="K29:O29"/>
    <mergeCell ref="D4:D5"/>
    <mergeCell ref="E4:E5"/>
  </mergeCells>
  <hyperlinks>
    <hyperlink ref="D1:E1" location="Index!A1" display="Return to Index" xr:uid="{00000000-0004-0000-42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53">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4.85546875" style="164" customWidth="1"/>
    <col min="15" max="15" width="14.42578125" style="261" customWidth="1"/>
    <col min="16" max="16" width="25.7109375" style="264" customWidth="1"/>
    <col min="17" max="17" width="16.42578125" style="264" customWidth="1"/>
    <col min="18" max="18" width="18.42578125" style="264" customWidth="1"/>
    <col min="19" max="19" width="1.7109375" style="264" customWidth="1"/>
    <col min="20" max="20" width="17.140625" style="264" customWidth="1"/>
    <col min="21" max="21" width="16.85546875" style="264" customWidth="1"/>
    <col min="22" max="23" width="19.28515625" style="264" customWidth="1"/>
    <col min="24" max="24" width="19.71093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13" t="str">
        <f>'PVAMU Chrts'!$A$1</f>
        <v>Prairie View A&amp;M University</v>
      </c>
      <c r="C2" s="1713"/>
      <c r="D2" s="1713"/>
      <c r="E2" s="1713"/>
      <c r="F2" s="1742"/>
      <c r="G2" s="160"/>
      <c r="H2" s="161"/>
      <c r="I2" s="320" t="str">
        <f>IF($B$2&lt;&gt;Input!$B$16,"Name Mismatch","")</f>
        <v/>
      </c>
      <c r="J2" s="168"/>
      <c r="K2" s="169"/>
      <c r="L2" s="169"/>
      <c r="M2" s="170"/>
      <c r="O2" s="835" t="s">
        <v>1200</v>
      </c>
      <c r="P2" s="36"/>
    </row>
    <row r="3" spans="1:28" ht="20.25">
      <c r="A3" s="184">
        <v>2</v>
      </c>
      <c r="B3" s="1713" t="str">
        <f>'Smmy Chrts'!$A$2</f>
        <v>For the Year Ended August 31, 2021</v>
      </c>
      <c r="C3" s="1713"/>
      <c r="D3" s="1713"/>
      <c r="E3" s="1713"/>
      <c r="F3" s="1742"/>
      <c r="G3" s="161"/>
      <c r="H3" s="161"/>
      <c r="I3" s="169"/>
      <c r="J3" s="168"/>
      <c r="K3" s="169"/>
      <c r="L3" s="169"/>
      <c r="M3" s="170"/>
      <c r="O3" s="74"/>
    </row>
    <row r="4" spans="1:28" ht="20.25">
      <c r="A4" s="184">
        <v>3</v>
      </c>
      <c r="B4" s="1713" t="str">
        <f>'Smmy Chrts'!$A$3</f>
        <v>Source: FY 2021 Annual Financial Report</v>
      </c>
      <c r="C4" s="1713"/>
      <c r="D4" s="1713"/>
      <c r="E4" s="1713"/>
      <c r="F4" s="1742"/>
      <c r="G4" s="161"/>
      <c r="H4" s="161"/>
      <c r="I4" s="169"/>
      <c r="J4" s="168"/>
      <c r="K4" s="169"/>
      <c r="L4" s="169"/>
      <c r="M4" s="170"/>
      <c r="O4" s="74"/>
      <c r="P4" s="1744" t="s">
        <v>93</v>
      </c>
      <c r="Q4" s="1745"/>
      <c r="T4" s="36" t="s">
        <v>250</v>
      </c>
    </row>
    <row r="5" spans="1:28">
      <c r="A5" s="184">
        <v>4</v>
      </c>
      <c r="B5" s="160"/>
      <c r="C5" s="160"/>
      <c r="D5" s="160"/>
      <c r="E5" s="160"/>
      <c r="F5" s="160"/>
      <c r="G5" s="160"/>
      <c r="H5" s="160"/>
      <c r="I5" s="160"/>
      <c r="J5" s="160"/>
      <c r="K5" s="160"/>
      <c r="L5" s="160"/>
      <c r="M5" s="166"/>
      <c r="O5" s="262"/>
    </row>
    <row r="6" spans="1:28">
      <c r="A6" s="184">
        <v>5</v>
      </c>
      <c r="B6" s="1715" t="str">
        <f>'Smmy Chrts'!$C$32</f>
        <v>Detail Worksheet FY 2021</v>
      </c>
      <c r="C6" s="1715"/>
      <c r="D6" s="1743"/>
      <c r="E6" s="1743"/>
      <c r="F6" s="1743"/>
      <c r="G6" s="1743"/>
      <c r="H6" s="1743"/>
      <c r="I6" s="1743"/>
      <c r="J6" s="1743"/>
      <c r="K6" s="1743"/>
      <c r="L6" s="1743"/>
      <c r="M6" s="1743"/>
      <c r="O6" s="265"/>
    </row>
    <row r="7" spans="1:28">
      <c r="A7" s="184">
        <v>6</v>
      </c>
      <c r="B7" s="172"/>
      <c r="C7" s="172"/>
      <c r="D7" s="160"/>
      <c r="E7" s="160"/>
      <c r="F7" s="160"/>
      <c r="G7" s="160"/>
      <c r="H7" s="160"/>
      <c r="I7" s="160"/>
      <c r="J7" s="160"/>
      <c r="K7" s="160"/>
      <c r="L7" s="160"/>
      <c r="M7" s="173" t="str">
        <f>'Smmy Chrts'!$C$33</f>
        <v>FY 2021</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Input!$M$16</f>
        <v>55711045</v>
      </c>
      <c r="E10" s="372">
        <f>Input!$N$16</f>
        <v>0</v>
      </c>
      <c r="F10" s="372">
        <f>Input!$O$16</f>
        <v>0</v>
      </c>
      <c r="G10" s="372">
        <f>Input!$P$16</f>
        <v>0</v>
      </c>
      <c r="H10" s="372">
        <f>Input!$Q$16</f>
        <v>0</v>
      </c>
      <c r="I10" s="372">
        <f>Input!$R$16</f>
        <v>0</v>
      </c>
      <c r="J10" s="372">
        <f>Input!$S$16</f>
        <v>0</v>
      </c>
      <c r="K10" s="372">
        <f>Input!$T$16</f>
        <v>0</v>
      </c>
      <c r="L10" s="372">
        <f>Input!$U$16</f>
        <v>0</v>
      </c>
      <c r="M10" s="373">
        <f t="shared" ref="M10:M15" si="0">D10+E10+F10+G10+H10+I10+J10+K10+L10</f>
        <v>55711045</v>
      </c>
      <c r="N10" s="160"/>
      <c r="O10" s="271"/>
      <c r="P10" s="1718" t="s">
        <v>575</v>
      </c>
      <c r="U10" s="268"/>
    </row>
    <row r="11" spans="1:28">
      <c r="A11" s="184">
        <v>10</v>
      </c>
      <c r="B11" s="160" t="s">
        <v>2</v>
      </c>
      <c r="C11" s="160"/>
      <c r="D11" s="372">
        <f>Input!$V$16</f>
        <v>62390</v>
      </c>
      <c r="E11" s="372">
        <f>Input!$W$16</f>
        <v>83000</v>
      </c>
      <c r="F11" s="372">
        <f>Input!$X$16</f>
        <v>0</v>
      </c>
      <c r="G11" s="372">
        <f>Input!$Y$16</f>
        <v>12912804</v>
      </c>
      <c r="H11" s="372">
        <f>Input!$Z$16</f>
        <v>0</v>
      </c>
      <c r="I11" s="372">
        <f>Input!$AA$16</f>
        <v>0</v>
      </c>
      <c r="J11" s="372">
        <f>Input!$AB$16</f>
        <v>0</v>
      </c>
      <c r="K11" s="372">
        <f>Input!$AC$16</f>
        <v>0</v>
      </c>
      <c r="L11" s="372">
        <f>Input!$AD$16</f>
        <v>0</v>
      </c>
      <c r="M11" s="373">
        <f t="shared" si="0"/>
        <v>13058194</v>
      </c>
      <c r="N11" s="160"/>
      <c r="O11" s="482"/>
      <c r="P11" s="1719"/>
      <c r="U11" s="268"/>
    </row>
    <row r="12" spans="1:28" ht="12.75" hidden="1" customHeight="1">
      <c r="B12" s="160" t="s">
        <v>1410</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Input!$AN$16</f>
        <v>0</v>
      </c>
      <c r="E13" s="372">
        <f>Input!$AO$16</f>
        <v>0</v>
      </c>
      <c r="F13" s="372">
        <f>Input!$AP$16</f>
        <v>0</v>
      </c>
      <c r="G13" s="372">
        <f>Input!$AQ$16</f>
        <v>0</v>
      </c>
      <c r="H13" s="372">
        <f>Input!$AR$16</f>
        <v>0</v>
      </c>
      <c r="I13" s="372">
        <f>Input!$AS$16</f>
        <v>0</v>
      </c>
      <c r="J13" s="372">
        <f>Input!$AT$16</f>
        <v>0</v>
      </c>
      <c r="K13" s="372">
        <f>Input!$AU$16</f>
        <v>0</v>
      </c>
      <c r="L13" s="372">
        <f>Input!$AV$16</f>
        <v>0</v>
      </c>
      <c r="M13" s="373">
        <f t="shared" si="0"/>
        <v>0</v>
      </c>
      <c r="N13" s="160"/>
      <c r="O13" s="482" t="str">
        <f>IF(P13&lt;&gt;M13,"Out of Balance","Balanced")</f>
        <v>Balanced</v>
      </c>
      <c r="P13" s="484">
        <f>IFERROR(VLOOKUP($B$2,AMTLU,6,FALSE),0)</f>
        <v>0</v>
      </c>
      <c r="U13" s="268"/>
    </row>
    <row r="14" spans="1:28">
      <c r="A14" s="184">
        <v>13</v>
      </c>
      <c r="B14" s="160" t="s">
        <v>49</v>
      </c>
      <c r="C14" s="160"/>
      <c r="D14" s="372">
        <f>Input!$AW$16</f>
        <v>26604505</v>
      </c>
      <c r="E14" s="372">
        <f>Input!$AX$16</f>
        <v>0</v>
      </c>
      <c r="F14" s="372">
        <f>Input!$AY$16</f>
        <v>0</v>
      </c>
      <c r="G14" s="372">
        <f>Input!$AZ$16</f>
        <v>0</v>
      </c>
      <c r="H14" s="372">
        <f>Input!$BA$16</f>
        <v>0</v>
      </c>
      <c r="I14" s="372">
        <f>Input!$BB$16</f>
        <v>0</v>
      </c>
      <c r="J14" s="372">
        <f>Input!$BC$16</f>
        <v>0</v>
      </c>
      <c r="K14" s="372">
        <f>Input!$BD$16</f>
        <v>0</v>
      </c>
      <c r="L14" s="372">
        <f>Input!$BE$16</f>
        <v>0</v>
      </c>
      <c r="M14" s="373">
        <f t="shared" si="0"/>
        <v>26604505</v>
      </c>
      <c r="N14" s="160"/>
      <c r="O14" s="482"/>
      <c r="P14" s="485"/>
    </row>
    <row r="15" spans="1:28" ht="15">
      <c r="A15" s="184">
        <v>14</v>
      </c>
      <c r="B15" s="176" t="s">
        <v>3</v>
      </c>
      <c r="C15" s="176"/>
      <c r="D15" s="374">
        <f t="shared" ref="D15:L15" si="1">SUM(D10:D14)</f>
        <v>82377940</v>
      </c>
      <c r="E15" s="374">
        <f t="shared" si="1"/>
        <v>83000</v>
      </c>
      <c r="F15" s="374">
        <f t="shared" si="1"/>
        <v>0</v>
      </c>
      <c r="G15" s="374">
        <f t="shared" si="1"/>
        <v>12912804</v>
      </c>
      <c r="H15" s="374">
        <f t="shared" si="1"/>
        <v>0</v>
      </c>
      <c r="I15" s="374">
        <f t="shared" si="1"/>
        <v>0</v>
      </c>
      <c r="J15" s="374">
        <f t="shared" si="1"/>
        <v>0</v>
      </c>
      <c r="K15" s="374">
        <f t="shared" si="1"/>
        <v>0</v>
      </c>
      <c r="L15" s="374">
        <f t="shared" si="1"/>
        <v>0</v>
      </c>
      <c r="M15" s="374">
        <f t="shared" si="0"/>
        <v>95373744</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58" t="s">
        <v>1042</v>
      </c>
      <c r="C18" s="558"/>
      <c r="D18" s="374">
        <f t="shared" ref="D18:L18" si="2">D23-SUM(D19:D22)</f>
        <v>25275790</v>
      </c>
      <c r="E18" s="374">
        <f t="shared" si="2"/>
        <v>48598981</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73874771</v>
      </c>
      <c r="V18" s="327"/>
      <c r="X18" s="330"/>
    </row>
    <row r="19" spans="1:26" s="264" customFormat="1" ht="12.75" customHeight="1" thickTop="1" thickBot="1">
      <c r="A19" s="263"/>
      <c r="B19" s="261" t="s">
        <v>722</v>
      </c>
      <c r="C19" s="261"/>
      <c r="D19" s="372">
        <f>Input!$BF$16</f>
        <v>-6328824</v>
      </c>
      <c r="E19" s="372">
        <f>Input!$BG$16</f>
        <v>0</v>
      </c>
      <c r="F19" s="372">
        <f>Input!$BH$16</f>
        <v>0</v>
      </c>
      <c r="G19" s="372">
        <f>Input!$BI$16</f>
        <v>0</v>
      </c>
      <c r="H19" s="372">
        <f>Input!$BJ$16</f>
        <v>0</v>
      </c>
      <c r="I19" s="372">
        <f>Input!$BK$16</f>
        <v>0</v>
      </c>
      <c r="J19" s="372">
        <f>Input!$BL$16</f>
        <v>0</v>
      </c>
      <c r="K19" s="372">
        <f>Input!$BM$16</f>
        <v>0</v>
      </c>
      <c r="L19" s="372">
        <f>Input!$BN$16</f>
        <v>0</v>
      </c>
      <c r="M19" s="373">
        <f t="shared" si="3"/>
        <v>-6328824</v>
      </c>
      <c r="O19" s="1732" t="s">
        <v>1294</v>
      </c>
      <c r="P19" s="1733"/>
      <c r="Q19" s="1733"/>
      <c r="R19" s="1734"/>
      <c r="T19" s="1735" t="s">
        <v>1043</v>
      </c>
      <c r="U19" s="1736"/>
      <c r="V19" s="1736"/>
      <c r="W19" s="1736"/>
      <c r="X19" s="1737"/>
    </row>
    <row r="20" spans="1:26" s="264" customFormat="1" ht="12.75" customHeight="1" thickTop="1">
      <c r="A20" s="263"/>
      <c r="B20" s="261" t="s">
        <v>723</v>
      </c>
      <c r="C20" s="261"/>
      <c r="D20" s="372">
        <f>Input!$BO$16</f>
        <v>0</v>
      </c>
      <c r="E20" s="372">
        <f>Input!$BP$16</f>
        <v>0</v>
      </c>
      <c r="F20" s="372">
        <f>Input!$BQ$16</f>
        <v>0</v>
      </c>
      <c r="G20" s="372">
        <f>Input!$BR$16</f>
        <v>0</v>
      </c>
      <c r="H20" s="372">
        <f>Input!$BS$16</f>
        <v>0</v>
      </c>
      <c r="I20" s="372">
        <f>Input!$BT$16</f>
        <v>0</v>
      </c>
      <c r="J20" s="372">
        <f>Input!$BU$16</f>
        <v>0</v>
      </c>
      <c r="K20" s="372">
        <f>Input!$BV$16</f>
        <v>0</v>
      </c>
      <c r="L20" s="372">
        <f>Input!$BW$16</f>
        <v>0</v>
      </c>
      <c r="M20" s="373">
        <f t="shared" si="3"/>
        <v>0</v>
      </c>
      <c r="O20" s="421" t="s">
        <v>288</v>
      </c>
      <c r="P20" s="422"/>
      <c r="Q20" s="414"/>
      <c r="R20" s="559"/>
      <c r="T20" s="560" t="s">
        <v>1044</v>
      </c>
      <c r="U20" s="266"/>
      <c r="V20" s="266"/>
      <c r="X20" s="425"/>
    </row>
    <row r="21" spans="1:26" s="264" customFormat="1">
      <c r="A21" s="263"/>
      <c r="B21" s="261" t="s">
        <v>724</v>
      </c>
      <c r="C21" s="261"/>
      <c r="D21" s="372">
        <f>Input!$BX$16</f>
        <v>0</v>
      </c>
      <c r="E21" s="372">
        <f>Input!$BY$16</f>
        <v>0</v>
      </c>
      <c r="F21" s="372">
        <f>Input!$BZ$16</f>
        <v>0</v>
      </c>
      <c r="G21" s="372">
        <f>Input!$CA$16</f>
        <v>0</v>
      </c>
      <c r="H21" s="372">
        <f>Input!$CB$16</f>
        <v>0</v>
      </c>
      <c r="I21" s="372">
        <f>Input!$CC$16</f>
        <v>0</v>
      </c>
      <c r="J21" s="372">
        <f>Input!$CD$16</f>
        <v>0</v>
      </c>
      <c r="K21" s="372">
        <f>Input!$CE$16</f>
        <v>0</v>
      </c>
      <c r="L21" s="372">
        <f>Input!$CF$16</f>
        <v>0</v>
      </c>
      <c r="M21" s="373">
        <f t="shared" si="3"/>
        <v>0</v>
      </c>
      <c r="O21" s="434"/>
      <c r="R21" s="561"/>
      <c r="T21" s="650" t="s">
        <v>1045</v>
      </c>
      <c r="U21" s="266"/>
      <c r="V21" s="266"/>
      <c r="W21" s="651">
        <f>M44</f>
        <v>58606512</v>
      </c>
      <c r="X21" s="425"/>
      <c r="Z21" s="330"/>
    </row>
    <row r="22" spans="1:26" s="264" customFormat="1">
      <c r="A22" s="263"/>
      <c r="B22" s="261" t="s">
        <v>725</v>
      </c>
      <c r="C22" s="261"/>
      <c r="D22" s="372">
        <f>Input!$CG$16</f>
        <v>0</v>
      </c>
      <c r="E22" s="372">
        <f>Input!$CH$16</f>
        <v>0</v>
      </c>
      <c r="F22" s="372">
        <f>Input!$CI$16</f>
        <v>0</v>
      </c>
      <c r="G22" s="372">
        <f>Input!$CJ$16</f>
        <v>0</v>
      </c>
      <c r="H22" s="372">
        <f>Input!$CK$16</f>
        <v>0</v>
      </c>
      <c r="I22" s="372">
        <f>Input!$CL$16</f>
        <v>0</v>
      </c>
      <c r="J22" s="372">
        <f>Input!$CM$16</f>
        <v>0</v>
      </c>
      <c r="K22" s="372">
        <f>Input!$CN$16</f>
        <v>0</v>
      </c>
      <c r="L22" s="372">
        <f>Input!$CO$16</f>
        <v>0</v>
      </c>
      <c r="M22" s="373">
        <f t="shared" si="3"/>
        <v>0</v>
      </c>
      <c r="N22" s="270"/>
      <c r="O22" s="434" t="s">
        <v>1046</v>
      </c>
      <c r="P22" s="276"/>
      <c r="Q22" s="424">
        <f>M23</f>
        <v>67545947</v>
      </c>
      <c r="R22" s="562"/>
      <c r="T22" s="650" t="s">
        <v>1047</v>
      </c>
      <c r="U22" s="266"/>
      <c r="V22" s="266"/>
      <c r="W22" s="652">
        <f>R30*-1</f>
        <v>41278880</v>
      </c>
      <c r="X22" s="425"/>
    </row>
    <row r="23" spans="1:26" s="264" customFormat="1" ht="12.75" customHeight="1">
      <c r="A23" s="263"/>
      <c r="B23" s="558" t="s">
        <v>726</v>
      </c>
      <c r="C23" s="563"/>
      <c r="D23" s="564">
        <f>Input!$CP$16</f>
        <v>18946966</v>
      </c>
      <c r="E23" s="564">
        <f>Input!$CQ$16</f>
        <v>48598981</v>
      </c>
      <c r="F23" s="564">
        <f>Input!$CR$16</f>
        <v>0</v>
      </c>
      <c r="G23" s="564">
        <f>Input!$CS$16</f>
        <v>0</v>
      </c>
      <c r="H23" s="564">
        <f>Input!$CT$16</f>
        <v>0</v>
      </c>
      <c r="I23" s="564">
        <f>Input!$CU$16</f>
        <v>0</v>
      </c>
      <c r="J23" s="564">
        <f>Input!$CV$16</f>
        <v>0</v>
      </c>
      <c r="K23" s="564">
        <f>Input!$CW$16</f>
        <v>0</v>
      </c>
      <c r="L23" s="564">
        <f>Input!$CX$16</f>
        <v>0</v>
      </c>
      <c r="M23" s="565">
        <f t="shared" si="3"/>
        <v>67545947</v>
      </c>
      <c r="O23" s="434"/>
      <c r="P23" s="276"/>
      <c r="Q23" s="424"/>
      <c r="R23" s="562"/>
      <c r="T23" s="560" t="s">
        <v>1230</v>
      </c>
      <c r="U23" s="266"/>
      <c r="V23" s="266"/>
      <c r="W23" s="276"/>
      <c r="X23" s="425">
        <f>SUM(W21:W22)</f>
        <v>99885392</v>
      </c>
      <c r="Z23" s="330"/>
    </row>
    <row r="24" spans="1:26" s="264" customFormat="1" ht="12.75" customHeight="1">
      <c r="A24" s="263"/>
      <c r="B24" s="261" t="s">
        <v>727</v>
      </c>
      <c r="C24" s="566"/>
      <c r="D24" s="372">
        <f>Input!$CY$16</f>
        <v>0</v>
      </c>
      <c r="E24" s="372">
        <f>Input!$CZ$16</f>
        <v>0</v>
      </c>
      <c r="F24" s="372">
        <f>Input!$DA$16</f>
        <v>0</v>
      </c>
      <c r="G24" s="372">
        <f>Input!$DB$16</f>
        <v>0</v>
      </c>
      <c r="H24" s="372">
        <f>Input!$DC$16</f>
        <v>0</v>
      </c>
      <c r="I24" s="372">
        <f>Input!$DD$16</f>
        <v>0</v>
      </c>
      <c r="J24" s="372">
        <f>Input!$DE$16</f>
        <v>0</v>
      </c>
      <c r="K24" s="372">
        <f>Input!$DF$16</f>
        <v>0</v>
      </c>
      <c r="L24" s="372">
        <f>Input!$DG$16</f>
        <v>0</v>
      </c>
      <c r="M24" s="567">
        <f t="shared" si="3"/>
        <v>0</v>
      </c>
      <c r="O24" s="417" t="s">
        <v>1048</v>
      </c>
      <c r="P24" s="276"/>
      <c r="Q24" s="327"/>
      <c r="R24" s="646">
        <f>SUM(M24:M28)</f>
        <v>-27078143</v>
      </c>
      <c r="T24" s="560"/>
      <c r="U24" s="266"/>
      <c r="V24" s="266"/>
      <c r="X24" s="425"/>
      <c r="Z24" s="330"/>
    </row>
    <row r="25" spans="1:26" s="264" customFormat="1" ht="12.75" customHeight="1">
      <c r="A25" s="263"/>
      <c r="B25" s="261" t="s">
        <v>728</v>
      </c>
      <c r="C25" s="566"/>
      <c r="D25" s="372">
        <f>Input!$DH$16</f>
        <v>0</v>
      </c>
      <c r="E25" s="372">
        <f>Input!$DI$16</f>
        <v>0</v>
      </c>
      <c r="F25" s="372">
        <f>Input!$DJ$16</f>
        <v>0</v>
      </c>
      <c r="G25" s="372">
        <f>Input!$DK$16</f>
        <v>0</v>
      </c>
      <c r="H25" s="372">
        <f>Input!$DL$16</f>
        <v>0</v>
      </c>
      <c r="I25" s="372">
        <f>Input!$DM$16</f>
        <v>0</v>
      </c>
      <c r="J25" s="372">
        <f>Input!$DN$16</f>
        <v>0</v>
      </c>
      <c r="K25" s="372">
        <f>Input!$DO$16</f>
        <v>0</v>
      </c>
      <c r="L25" s="372">
        <f>Input!$DP$16</f>
        <v>0</v>
      </c>
      <c r="M25" s="567">
        <f t="shared" si="3"/>
        <v>0</v>
      </c>
      <c r="O25" s="434"/>
      <c r="P25" s="276"/>
      <c r="Q25" s="327"/>
      <c r="R25" s="646"/>
      <c r="T25" s="568" t="s">
        <v>1103</v>
      </c>
      <c r="U25" s="569"/>
      <c r="V25" s="569"/>
      <c r="W25" s="653">
        <f>(M26+M39)*-1</f>
        <v>4537459</v>
      </c>
      <c r="X25" s="425"/>
      <c r="Z25" s="330"/>
    </row>
    <row r="26" spans="1:26" s="264" customFormat="1" ht="12.75" customHeight="1">
      <c r="A26" s="263"/>
      <c r="B26" s="261" t="s">
        <v>729</v>
      </c>
      <c r="C26" s="566"/>
      <c r="D26" s="372">
        <f>Input!$DQ$16</f>
        <v>-668437</v>
      </c>
      <c r="E26" s="372">
        <f>Input!$DR$16</f>
        <v>-2177839</v>
      </c>
      <c r="F26" s="372">
        <f>Input!$DS$16</f>
        <v>0</v>
      </c>
      <c r="G26" s="372">
        <f>Input!$DT$16</f>
        <v>0</v>
      </c>
      <c r="H26" s="372">
        <f>Input!$DU$16</f>
        <v>0</v>
      </c>
      <c r="I26" s="372">
        <f>Input!$DV$16</f>
        <v>0</v>
      </c>
      <c r="J26" s="372">
        <f>Input!$DW$16</f>
        <v>0</v>
      </c>
      <c r="K26" s="372">
        <f>Input!$DX$16</f>
        <v>0</v>
      </c>
      <c r="L26" s="372">
        <f>Input!$DY$16</f>
        <v>0</v>
      </c>
      <c r="M26" s="567">
        <f t="shared" si="3"/>
        <v>-2846276</v>
      </c>
      <c r="O26" s="434" t="s">
        <v>1049</v>
      </c>
      <c r="P26" s="276"/>
      <c r="Q26" s="427">
        <f>M36</f>
        <v>32339445</v>
      </c>
      <c r="R26" s="570"/>
      <c r="T26" s="560" t="s">
        <v>1104</v>
      </c>
      <c r="U26" s="266"/>
      <c r="V26" s="266"/>
      <c r="W26" s="571">
        <f>(M21+M34)*-1</f>
        <v>0</v>
      </c>
      <c r="X26" s="425"/>
      <c r="Z26" s="330"/>
    </row>
    <row r="27" spans="1:26" s="264" customFormat="1">
      <c r="A27" s="263"/>
      <c r="B27" s="261" t="s">
        <v>730</v>
      </c>
      <c r="C27" s="566"/>
      <c r="D27" s="372">
        <f>Input!$DZ$16</f>
        <v>0</v>
      </c>
      <c r="E27" s="372">
        <f>Input!$EA$16</f>
        <v>0</v>
      </c>
      <c r="F27" s="372">
        <f>Input!$EB$16</f>
        <v>0</v>
      </c>
      <c r="G27" s="372">
        <f>Input!$EC$16</f>
        <v>0</v>
      </c>
      <c r="H27" s="372">
        <f>Input!$ED$16</f>
        <v>0</v>
      </c>
      <c r="I27" s="372">
        <f>Input!$EE$16</f>
        <v>0</v>
      </c>
      <c r="J27" s="372">
        <f>Input!$EF$16</f>
        <v>0</v>
      </c>
      <c r="K27" s="372">
        <f>Input!$EG$16</f>
        <v>0</v>
      </c>
      <c r="L27" s="372">
        <f>Input!EH6</f>
        <v>0</v>
      </c>
      <c r="M27" s="567">
        <f t="shared" si="3"/>
        <v>0</v>
      </c>
      <c r="O27" s="434"/>
      <c r="P27" s="276"/>
      <c r="Q27" s="427"/>
      <c r="R27" s="570"/>
      <c r="T27" s="650" t="s">
        <v>1105</v>
      </c>
      <c r="U27" s="584"/>
      <c r="V27" s="584"/>
      <c r="W27" s="654">
        <f>SUM(W25:W26)</f>
        <v>4537459</v>
      </c>
      <c r="X27" s="655"/>
    </row>
    <row r="28" spans="1:26" s="264" customFormat="1">
      <c r="A28" s="263"/>
      <c r="B28" s="261" t="s">
        <v>2133</v>
      </c>
      <c r="C28" s="566"/>
      <c r="D28" s="372">
        <f>Input!$EI$16</f>
        <v>-6927114</v>
      </c>
      <c r="E28" s="372">
        <f>Input!$EJ$16</f>
        <v>-17304753</v>
      </c>
      <c r="F28" s="372">
        <f>Input!$EK$16</f>
        <v>0</v>
      </c>
      <c r="G28" s="372">
        <f>Input!$EL$16</f>
        <v>0</v>
      </c>
      <c r="H28" s="372">
        <f>Input!$EM$16</f>
        <v>0</v>
      </c>
      <c r="I28" s="372">
        <f>Input!$EN$16</f>
        <v>0</v>
      </c>
      <c r="J28" s="372">
        <f>Input!$EO$16</f>
        <v>0</v>
      </c>
      <c r="K28" s="372">
        <f>Input!$EP$16</f>
        <v>0</v>
      </c>
      <c r="L28" s="372">
        <f>Input!$EQ$16</f>
        <v>0</v>
      </c>
      <c r="M28" s="567">
        <f t="shared" si="3"/>
        <v>-24231867</v>
      </c>
      <c r="O28" s="417" t="s">
        <v>1050</v>
      </c>
      <c r="Q28" s="429"/>
      <c r="R28" s="646">
        <f>SUM(M37:M41)</f>
        <v>-14200737</v>
      </c>
      <c r="T28" s="560" t="s">
        <v>1106</v>
      </c>
      <c r="U28" s="266"/>
      <c r="V28" s="266"/>
      <c r="W28" s="425">
        <f>(M27+M40)*-1</f>
        <v>0</v>
      </c>
      <c r="X28" s="655"/>
      <c r="Z28" s="330"/>
    </row>
    <row r="29" spans="1:26" s="264" customFormat="1" ht="12" customHeight="1">
      <c r="A29" s="263"/>
      <c r="B29" s="575" t="s">
        <v>39</v>
      </c>
      <c r="C29" s="563"/>
      <c r="D29" s="374">
        <f t="shared" ref="D29:L29" si="4">SUM(D23:D28)</f>
        <v>11351415</v>
      </c>
      <c r="E29" s="374">
        <f t="shared" si="4"/>
        <v>29116389</v>
      </c>
      <c r="F29" s="374">
        <f t="shared" si="4"/>
        <v>0</v>
      </c>
      <c r="G29" s="374">
        <f t="shared" si="4"/>
        <v>0</v>
      </c>
      <c r="H29" s="374">
        <f t="shared" si="4"/>
        <v>0</v>
      </c>
      <c r="I29" s="374">
        <f t="shared" si="4"/>
        <v>0</v>
      </c>
      <c r="J29" s="374">
        <f t="shared" si="4"/>
        <v>0</v>
      </c>
      <c r="K29" s="374">
        <f t="shared" si="4"/>
        <v>0</v>
      </c>
      <c r="L29" s="374">
        <f t="shared" si="4"/>
        <v>0</v>
      </c>
      <c r="M29" s="374">
        <f t="shared" si="3"/>
        <v>40467804</v>
      </c>
      <c r="O29" s="417"/>
      <c r="Q29" s="429"/>
      <c r="R29" s="576"/>
      <c r="T29" s="560" t="s">
        <v>1107</v>
      </c>
      <c r="U29" s="266"/>
      <c r="V29" s="266"/>
      <c r="W29" s="571">
        <f>(M22+M35)*-1</f>
        <v>0</v>
      </c>
      <c r="X29" s="655"/>
    </row>
    <row r="30" spans="1:26" s="264" customFormat="1" ht="16.5" customHeight="1">
      <c r="A30" s="263"/>
      <c r="B30" s="261"/>
      <c r="C30" s="566"/>
      <c r="D30" s="566"/>
      <c r="E30" s="566"/>
      <c r="F30" s="566"/>
      <c r="G30" s="566"/>
      <c r="H30" s="566"/>
      <c r="I30" s="566"/>
      <c r="J30" s="566"/>
      <c r="K30" s="566"/>
      <c r="L30" s="566"/>
      <c r="M30" s="567"/>
      <c r="O30" s="431" t="s">
        <v>289</v>
      </c>
      <c r="P30" s="432"/>
      <c r="Q30" s="433">
        <f>Q26+Q22</f>
        <v>99885392</v>
      </c>
      <c r="R30" s="647">
        <f>R28+R24</f>
        <v>-41278880</v>
      </c>
      <c r="T30" s="650" t="s">
        <v>1108</v>
      </c>
      <c r="U30" s="584"/>
      <c r="V30" s="584"/>
      <c r="W30" s="654">
        <f>SUM(W28:W29)</f>
        <v>0</v>
      </c>
      <c r="X30" s="655"/>
    </row>
    <row r="31" spans="1:26" s="264" customFormat="1" ht="12.75" customHeight="1">
      <c r="A31" s="263"/>
      <c r="B31" s="558" t="s">
        <v>1052</v>
      </c>
      <c r="C31" s="558"/>
      <c r="D31" s="374">
        <f t="shared" ref="D31:L31" si="5">D36-SUM(D32:D35)</f>
        <v>155186</v>
      </c>
      <c r="E31" s="374">
        <f t="shared" si="5"/>
        <v>26396890</v>
      </c>
      <c r="F31" s="374">
        <f t="shared" si="5"/>
        <v>8871409</v>
      </c>
      <c r="G31" s="374">
        <f t="shared" si="5"/>
        <v>-3084040</v>
      </c>
      <c r="H31" s="374">
        <f t="shared" si="5"/>
        <v>0</v>
      </c>
      <c r="I31" s="374">
        <f t="shared" si="5"/>
        <v>0</v>
      </c>
      <c r="J31" s="374">
        <f t="shared" si="5"/>
        <v>0</v>
      </c>
      <c r="K31" s="374">
        <f t="shared" si="5"/>
        <v>0</v>
      </c>
      <c r="L31" s="374">
        <f t="shared" si="5"/>
        <v>0</v>
      </c>
      <c r="M31" s="374">
        <f t="shared" ref="M31:M42" si="6">D31+E31+F31+G31+H31+I31+J31+K31+L31</f>
        <v>32339445</v>
      </c>
      <c r="O31" s="434" t="s">
        <v>290</v>
      </c>
      <c r="P31" s="276"/>
      <c r="Q31" s="335"/>
      <c r="R31" s="562"/>
      <c r="T31" s="572" t="s">
        <v>1109</v>
      </c>
      <c r="U31" s="573"/>
      <c r="V31" s="573"/>
      <c r="W31" s="574">
        <f>W27+W30</f>
        <v>4537459</v>
      </c>
      <c r="X31" s="425"/>
      <c r="Z31" s="330"/>
    </row>
    <row r="32" spans="1:26" s="264" customFormat="1" ht="12.75" customHeight="1">
      <c r="A32" s="263"/>
      <c r="B32" s="261" t="s">
        <v>722</v>
      </c>
      <c r="C32" s="261"/>
      <c r="D32" s="372">
        <f>Input!$ER$16</f>
        <v>0</v>
      </c>
      <c r="E32" s="372">
        <f>Input!$ES$16</f>
        <v>0</v>
      </c>
      <c r="F32" s="372">
        <f>Input!$ET$16</f>
        <v>0</v>
      </c>
      <c r="G32" s="372">
        <f>Input!$EU$16</f>
        <v>0</v>
      </c>
      <c r="H32" s="372">
        <f>Input!$EV$16</f>
        <v>0</v>
      </c>
      <c r="I32" s="372">
        <f>Input!$EW$16</f>
        <v>0</v>
      </c>
      <c r="J32" s="372">
        <f>Input!$EX$16</f>
        <v>0</v>
      </c>
      <c r="K32" s="372">
        <f>Input!$EY$16</f>
        <v>0</v>
      </c>
      <c r="L32" s="372">
        <f>Input!$EZ$16</f>
        <v>0</v>
      </c>
      <c r="M32" s="567">
        <f t="shared" si="6"/>
        <v>0</v>
      </c>
      <c r="O32" s="415" t="s">
        <v>1295</v>
      </c>
      <c r="P32" s="416"/>
      <c r="Q32" s="577">
        <f>Input!$SQ$16</f>
        <v>99885392</v>
      </c>
      <c r="R32" s="578"/>
      <c r="T32" s="560"/>
      <c r="U32" s="266"/>
      <c r="V32" s="266"/>
      <c r="X32" s="425"/>
      <c r="Z32" s="330"/>
    </row>
    <row r="33" spans="1:24" s="264" customFormat="1">
      <c r="A33" s="263"/>
      <c r="B33" s="261" t="s">
        <v>723</v>
      </c>
      <c r="C33" s="261"/>
      <c r="D33" s="372">
        <f>Input!$FA$16</f>
        <v>0</v>
      </c>
      <c r="E33" s="372">
        <f>Input!$FB$16</f>
        <v>0</v>
      </c>
      <c r="F33" s="372">
        <f>Input!$FC$16</f>
        <v>0</v>
      </c>
      <c r="G33" s="372">
        <f>Input!$FD$16</f>
        <v>0</v>
      </c>
      <c r="H33" s="372">
        <f>Input!$FE$16</f>
        <v>0</v>
      </c>
      <c r="I33" s="372">
        <f>Input!$FF$16</f>
        <v>0</v>
      </c>
      <c r="J33" s="372">
        <f>Input!$FG$16</f>
        <v>0</v>
      </c>
      <c r="K33" s="372">
        <f>Input!$FH$16</f>
        <v>0</v>
      </c>
      <c r="L33" s="372">
        <f>Input!$FI$16</f>
        <v>0</v>
      </c>
      <c r="M33" s="567">
        <f t="shared" si="6"/>
        <v>0</v>
      </c>
      <c r="O33" s="415"/>
      <c r="P33" s="416"/>
      <c r="Q33" s="327"/>
      <c r="R33" s="578"/>
      <c r="T33" s="560" t="s">
        <v>1051</v>
      </c>
      <c r="U33" s="266"/>
      <c r="V33" s="266"/>
      <c r="W33" s="334">
        <f>(M19+M32)*-1</f>
        <v>6328824</v>
      </c>
      <c r="X33" s="425"/>
    </row>
    <row r="34" spans="1:24" s="264" customFormat="1">
      <c r="A34" s="263"/>
      <c r="B34" s="261" t="s">
        <v>724</v>
      </c>
      <c r="C34" s="261"/>
      <c r="D34" s="372">
        <f>Input!$FJ$16</f>
        <v>0</v>
      </c>
      <c r="E34" s="372">
        <f>Input!$FK$16</f>
        <v>0</v>
      </c>
      <c r="F34" s="372">
        <f>Input!$FL$16</f>
        <v>0</v>
      </c>
      <c r="G34" s="372">
        <f>Input!$FM$16</f>
        <v>0</v>
      </c>
      <c r="H34" s="372">
        <f>Input!$FN$16</f>
        <v>0</v>
      </c>
      <c r="I34" s="372">
        <f>Input!$FO$16</f>
        <v>0</v>
      </c>
      <c r="J34" s="372">
        <f>Input!$FP$16</f>
        <v>0</v>
      </c>
      <c r="K34" s="372">
        <f>Input!$FQ$16</f>
        <v>0</v>
      </c>
      <c r="L34" s="372">
        <f>Input!$FR$16</f>
        <v>0</v>
      </c>
      <c r="M34" s="567">
        <f t="shared" si="6"/>
        <v>0</v>
      </c>
      <c r="O34" s="435" t="s">
        <v>1296</v>
      </c>
      <c r="P34" s="436"/>
      <c r="Q34" s="264" t="s">
        <v>291</v>
      </c>
      <c r="R34" s="648">
        <f>Input!$SR$16</f>
        <v>-41278880</v>
      </c>
      <c r="T34" s="560" t="s">
        <v>1110</v>
      </c>
      <c r="U34" s="266"/>
      <c r="V34" s="266"/>
      <c r="W34" s="430">
        <f>(M24+M37)*-1</f>
        <v>0</v>
      </c>
      <c r="X34" s="425"/>
    </row>
    <row r="35" spans="1:24" s="264" customFormat="1" ht="13.5" thickBot="1">
      <c r="A35" s="263"/>
      <c r="B35" s="261" t="s">
        <v>725</v>
      </c>
      <c r="C35" s="261"/>
      <c r="D35" s="372">
        <f>Input!$FS$16</f>
        <v>0</v>
      </c>
      <c r="E35" s="372">
        <f>Input!$FT$16</f>
        <v>0</v>
      </c>
      <c r="F35" s="372">
        <f>Input!$FU$16</f>
        <v>0</v>
      </c>
      <c r="G35" s="372">
        <f>Input!$FV$16</f>
        <v>0</v>
      </c>
      <c r="H35" s="372">
        <f>Input!$FW$16</f>
        <v>0</v>
      </c>
      <c r="I35" s="372">
        <f>Input!$FX$16</f>
        <v>0</v>
      </c>
      <c r="J35" s="372">
        <f>Input!$FY$16</f>
        <v>0</v>
      </c>
      <c r="K35" s="372">
        <f>Input!$FZ$16</f>
        <v>0</v>
      </c>
      <c r="L35" s="372">
        <f>Input!$GA$16</f>
        <v>0</v>
      </c>
      <c r="M35" s="567">
        <f t="shared" si="6"/>
        <v>0</v>
      </c>
      <c r="O35" s="418" t="s">
        <v>286</v>
      </c>
      <c r="P35" s="419"/>
      <c r="Q35" s="420">
        <f>Q30-Q32</f>
        <v>0</v>
      </c>
      <c r="R35" s="649">
        <f>R30-R34</f>
        <v>0</v>
      </c>
      <c r="T35" s="650" t="s">
        <v>1111</v>
      </c>
      <c r="U35" s="584"/>
      <c r="V35" s="584"/>
      <c r="W35" s="656">
        <f>SUM(W33:W34)</f>
        <v>6328824</v>
      </c>
      <c r="X35" s="655"/>
    </row>
    <row r="36" spans="1:24" s="264" customFormat="1" ht="13.5" thickTop="1">
      <c r="A36" s="263"/>
      <c r="B36" s="558" t="s">
        <v>732</v>
      </c>
      <c r="C36" s="563"/>
      <c r="D36" s="564">
        <f>Input!$GB$16</f>
        <v>155186</v>
      </c>
      <c r="E36" s="564">
        <f>Input!$GC$16</f>
        <v>26396890</v>
      </c>
      <c r="F36" s="564">
        <f>Input!$GD$16</f>
        <v>8871409</v>
      </c>
      <c r="G36" s="564">
        <f>Input!$GE$16</f>
        <v>-3084040</v>
      </c>
      <c r="H36" s="564">
        <f>Input!$GF$16</f>
        <v>0</v>
      </c>
      <c r="I36" s="564">
        <f>Input!$GG$16</f>
        <v>0</v>
      </c>
      <c r="J36" s="564">
        <f>Input!$GH$16</f>
        <v>0</v>
      </c>
      <c r="K36" s="564">
        <f>Input!$GI$16</f>
        <v>0</v>
      </c>
      <c r="L36" s="564">
        <f>Input!$GJ$16</f>
        <v>0</v>
      </c>
      <c r="M36" s="565">
        <f t="shared" si="6"/>
        <v>32339445</v>
      </c>
      <c r="O36" s="261"/>
      <c r="Q36" s="412" t="str">
        <f>IF(Q30&lt;&gt;Q32,"Out of Balance","Balanced")</f>
        <v>Balanced</v>
      </c>
      <c r="R36" s="412" t="str">
        <f>IF(R30&lt;&gt;R34,"Out of Balance","Balanced")</f>
        <v>Balanced</v>
      </c>
      <c r="T36" s="560" t="s">
        <v>1053</v>
      </c>
      <c r="U36" s="266"/>
      <c r="V36" s="266"/>
      <c r="W36" s="334">
        <f>(M20+M33)*-1</f>
        <v>0</v>
      </c>
      <c r="X36" s="425"/>
    </row>
    <row r="37" spans="1:24" s="264" customFormat="1">
      <c r="A37" s="263"/>
      <c r="B37" s="261" t="s">
        <v>727</v>
      </c>
      <c r="C37" s="566"/>
      <c r="D37" s="372">
        <f>Input!$GK$16</f>
        <v>0</v>
      </c>
      <c r="E37" s="372">
        <f>Input!$GL$16</f>
        <v>0</v>
      </c>
      <c r="F37" s="372">
        <f>Input!$GM$16</f>
        <v>0</v>
      </c>
      <c r="G37" s="372">
        <f>Input!$GN$16</f>
        <v>0</v>
      </c>
      <c r="H37" s="372">
        <f>Input!$GO$16</f>
        <v>0</v>
      </c>
      <c r="I37" s="372">
        <f>Input!$GP$16</f>
        <v>0</v>
      </c>
      <c r="J37" s="372">
        <f>Input!$GQ$16</f>
        <v>0</v>
      </c>
      <c r="K37" s="372">
        <f>Input!$GR$16</f>
        <v>0</v>
      </c>
      <c r="L37" s="372">
        <f>Input!$GS$16</f>
        <v>0</v>
      </c>
      <c r="M37" s="567">
        <f t="shared" si="6"/>
        <v>0</v>
      </c>
      <c r="O37" s="261"/>
      <c r="T37" s="560" t="s">
        <v>1112</v>
      </c>
      <c r="U37" s="266"/>
      <c r="V37" s="266"/>
      <c r="W37" s="430">
        <f>(M25+M38)*-1</f>
        <v>0</v>
      </c>
      <c r="X37" s="655"/>
    </row>
    <row r="38" spans="1:24" s="264" customFormat="1">
      <c r="A38" s="263"/>
      <c r="B38" s="261" t="s">
        <v>728</v>
      </c>
      <c r="C38" s="566"/>
      <c r="D38" s="372">
        <f>Input!$GT$16</f>
        <v>0</v>
      </c>
      <c r="E38" s="372">
        <f>Input!$GU$16</f>
        <v>0</v>
      </c>
      <c r="F38" s="372">
        <f>Input!$GV$16</f>
        <v>0</v>
      </c>
      <c r="G38" s="372">
        <f>Input!$GW$16</f>
        <v>0</v>
      </c>
      <c r="H38" s="372">
        <f>Input!$GX$16</f>
        <v>0</v>
      </c>
      <c r="I38" s="372">
        <f>Input!$GY$16</f>
        <v>0</v>
      </c>
      <c r="J38" s="372">
        <f>Input!$GZ$16</f>
        <v>0</v>
      </c>
      <c r="K38" s="372">
        <f>Input!$HA$16</f>
        <v>0</v>
      </c>
      <c r="L38" s="372">
        <f>Input!$HB$16</f>
        <v>0</v>
      </c>
      <c r="M38" s="567">
        <f t="shared" si="6"/>
        <v>0</v>
      </c>
      <c r="O38" s="261"/>
      <c r="T38" s="650" t="s">
        <v>1113</v>
      </c>
      <c r="U38" s="584"/>
      <c r="V38" s="584"/>
      <c r="W38" s="656">
        <f>SUM(W36:W37)</f>
        <v>0</v>
      </c>
      <c r="X38" s="425"/>
    </row>
    <row r="39" spans="1:24" s="264" customFormat="1">
      <c r="A39" s="263"/>
      <c r="B39" s="261" t="s">
        <v>729</v>
      </c>
      <c r="C39" s="566"/>
      <c r="D39" s="372">
        <f>Input!$HC$16</f>
        <v>0</v>
      </c>
      <c r="E39" s="372">
        <f>Input!$HD$16</f>
        <v>-1358183</v>
      </c>
      <c r="F39" s="372">
        <f>Input!$HE$16</f>
        <v>-333000</v>
      </c>
      <c r="G39" s="372">
        <f>Input!$HF$16</f>
        <v>0</v>
      </c>
      <c r="H39" s="372">
        <f>Input!$HG$16</f>
        <v>0</v>
      </c>
      <c r="I39" s="372">
        <f>Input!$HH$16</f>
        <v>0</v>
      </c>
      <c r="J39" s="372">
        <f>Input!$HI$16</f>
        <v>0</v>
      </c>
      <c r="K39" s="372">
        <f>Input!$HJ$16</f>
        <v>0</v>
      </c>
      <c r="L39" s="372">
        <f>Input!$HK$16</f>
        <v>0</v>
      </c>
      <c r="M39" s="567">
        <f t="shared" si="6"/>
        <v>-1691183</v>
      </c>
      <c r="O39" s="261"/>
      <c r="T39" s="560" t="s">
        <v>1054</v>
      </c>
      <c r="U39" s="266"/>
      <c r="V39" s="266"/>
      <c r="W39" s="334"/>
      <c r="X39" s="425">
        <f>W38+W35</f>
        <v>6328824</v>
      </c>
    </row>
    <row r="40" spans="1:24" s="264" customFormat="1">
      <c r="A40" s="263"/>
      <c r="B40" s="261" t="s">
        <v>730</v>
      </c>
      <c r="C40" s="566"/>
      <c r="D40" s="372">
        <f>Input!$HL$16</f>
        <v>0</v>
      </c>
      <c r="E40" s="372">
        <f>Input!$HM$16</f>
        <v>0</v>
      </c>
      <c r="F40" s="372">
        <f>Input!$HN$16</f>
        <v>0</v>
      </c>
      <c r="G40" s="372">
        <f>Input!$HO$16</f>
        <v>0</v>
      </c>
      <c r="H40" s="372">
        <f>Input!$HP$16</f>
        <v>0</v>
      </c>
      <c r="I40" s="372">
        <f>Input!$HQ$16</f>
        <v>0</v>
      </c>
      <c r="J40" s="372">
        <f>Input!$HR$16</f>
        <v>0</v>
      </c>
      <c r="K40" s="372">
        <f>Input!$HS$16</f>
        <v>0</v>
      </c>
      <c r="L40" s="372">
        <f>Input!$HT$16</f>
        <v>0</v>
      </c>
      <c r="M40" s="567">
        <f t="shared" si="6"/>
        <v>0</v>
      </c>
      <c r="O40" s="261"/>
      <c r="T40" s="560"/>
      <c r="U40" s="261"/>
      <c r="V40" s="261"/>
      <c r="W40" s="261"/>
      <c r="X40" s="655"/>
    </row>
    <row r="41" spans="1:24" s="264" customFormat="1">
      <c r="A41" s="263"/>
      <c r="B41" s="261" t="s">
        <v>2133</v>
      </c>
      <c r="C41" s="566"/>
      <c r="D41" s="372">
        <f>Input!$HU$16</f>
        <v>-62212</v>
      </c>
      <c r="E41" s="372">
        <f>Input!$HV$16</f>
        <v>-9223929</v>
      </c>
      <c r="F41" s="372">
        <f>Input!$HW$16</f>
        <v>-3223413</v>
      </c>
      <c r="G41" s="372">
        <f>Input!$HX$16</f>
        <v>0</v>
      </c>
      <c r="H41" s="372">
        <f>Input!$HY$16</f>
        <v>0</v>
      </c>
      <c r="I41" s="372">
        <f>Input!$HZ$16</f>
        <v>0</v>
      </c>
      <c r="J41" s="372">
        <f>Input!$IA$16</f>
        <v>0</v>
      </c>
      <c r="K41" s="372">
        <f>Input!$IB$16</f>
        <v>0</v>
      </c>
      <c r="L41" s="372">
        <f>Input!$IC$16</f>
        <v>0</v>
      </c>
      <c r="M41" s="567">
        <f t="shared" si="6"/>
        <v>-12509554</v>
      </c>
      <c r="O41"/>
      <c r="P41"/>
      <c r="Q41"/>
      <c r="R41"/>
      <c r="S41"/>
      <c r="T41" s="560" t="s">
        <v>1104</v>
      </c>
      <c r="U41" s="266"/>
      <c r="V41" s="266"/>
      <c r="W41" s="330">
        <f>(M21+M34)*-1</f>
        <v>0</v>
      </c>
      <c r="X41" s="425"/>
    </row>
    <row r="42" spans="1:24" s="264" customFormat="1">
      <c r="A42" s="263"/>
      <c r="B42" s="575" t="s">
        <v>40</v>
      </c>
      <c r="C42" s="563"/>
      <c r="D42" s="374">
        <f t="shared" ref="D42:L42" si="7">SUM(D36:D41)</f>
        <v>92974</v>
      </c>
      <c r="E42" s="374">
        <f t="shared" si="7"/>
        <v>15814778</v>
      </c>
      <c r="F42" s="374">
        <f t="shared" si="7"/>
        <v>5314996</v>
      </c>
      <c r="G42" s="374">
        <f t="shared" si="7"/>
        <v>-3084040</v>
      </c>
      <c r="H42" s="374">
        <f t="shared" si="7"/>
        <v>0</v>
      </c>
      <c r="I42" s="374">
        <f t="shared" si="7"/>
        <v>0</v>
      </c>
      <c r="J42" s="374">
        <f t="shared" si="7"/>
        <v>0</v>
      </c>
      <c r="K42" s="374">
        <f t="shared" si="7"/>
        <v>0</v>
      </c>
      <c r="L42" s="374">
        <f t="shared" si="7"/>
        <v>0</v>
      </c>
      <c r="M42" s="374">
        <f t="shared" si="6"/>
        <v>18138708</v>
      </c>
      <c r="O42"/>
      <c r="P42"/>
      <c r="Q42"/>
      <c r="R42"/>
      <c r="S42"/>
      <c r="T42" s="560" t="s">
        <v>1107</v>
      </c>
      <c r="U42" s="266"/>
      <c r="V42" s="266"/>
      <c r="W42" s="430">
        <f>(M22+M35)*-1</f>
        <v>0</v>
      </c>
      <c r="X42" s="425"/>
    </row>
    <row r="43" spans="1:24" s="264" customFormat="1">
      <c r="A43" s="263"/>
      <c r="B43" s="261"/>
      <c r="C43" s="566"/>
      <c r="D43" s="566"/>
      <c r="E43" s="566"/>
      <c r="F43" s="566"/>
      <c r="G43" s="566"/>
      <c r="H43" s="566"/>
      <c r="I43" s="566"/>
      <c r="J43" s="566"/>
      <c r="K43" s="566"/>
      <c r="L43" s="566"/>
      <c r="M43" s="567"/>
      <c r="O43"/>
      <c r="P43"/>
      <c r="Q43"/>
      <c r="R43"/>
      <c r="S43"/>
      <c r="T43" s="650" t="s">
        <v>1114</v>
      </c>
      <c r="U43" s="584"/>
      <c r="V43" s="584"/>
      <c r="W43" s="656">
        <f>SUM(W41:W42)</f>
        <v>0</v>
      </c>
      <c r="X43" s="655"/>
    </row>
    <row r="44" spans="1:24" s="264" customFormat="1" ht="13.5" customHeight="1">
      <c r="A44" s="263"/>
      <c r="B44" s="575" t="s">
        <v>1055</v>
      </c>
      <c r="C44" s="563"/>
      <c r="D44" s="374">
        <f t="shared" ref="D44:L44" si="8">D42+D29</f>
        <v>11444389</v>
      </c>
      <c r="E44" s="374">
        <f t="shared" si="8"/>
        <v>44931167</v>
      </c>
      <c r="F44" s="374">
        <f t="shared" si="8"/>
        <v>5314996</v>
      </c>
      <c r="G44" s="374">
        <f t="shared" si="8"/>
        <v>-3084040</v>
      </c>
      <c r="H44" s="374">
        <f t="shared" si="8"/>
        <v>0</v>
      </c>
      <c r="I44" s="374">
        <f t="shared" si="8"/>
        <v>0</v>
      </c>
      <c r="J44" s="374">
        <f t="shared" si="8"/>
        <v>0</v>
      </c>
      <c r="K44" s="374">
        <f t="shared" si="8"/>
        <v>0</v>
      </c>
      <c r="L44" s="374">
        <f t="shared" si="8"/>
        <v>0</v>
      </c>
      <c r="M44" s="374">
        <f>D44+E44+F44+G44+H44+I44+J44+K44+L44</f>
        <v>58606512</v>
      </c>
      <c r="O44"/>
      <c r="P44"/>
      <c r="Q44"/>
      <c r="R44"/>
      <c r="S44"/>
      <c r="T44" s="560"/>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0"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0" t="s">
        <v>1112</v>
      </c>
      <c r="U46" s="266"/>
      <c r="V46" s="266"/>
      <c r="W46" s="430">
        <f>(M25+M38)*-1</f>
        <v>0</v>
      </c>
      <c r="X46" s="425"/>
    </row>
    <row r="47" spans="1:24">
      <c r="A47" s="184">
        <v>30</v>
      </c>
      <c r="B47" s="176" t="s">
        <v>7</v>
      </c>
      <c r="C47" s="176"/>
      <c r="D47" s="375">
        <f>Input!$ID$16</f>
        <v>0</v>
      </c>
      <c r="E47" s="375">
        <f>Input!$IE$16</f>
        <v>1825268</v>
      </c>
      <c r="F47" s="375">
        <f>Input!$IF$16</f>
        <v>0</v>
      </c>
      <c r="G47" s="375">
        <f>Input!$IG$16</f>
        <v>102533762</v>
      </c>
      <c r="H47" s="375">
        <f>Input!$IH$16</f>
        <v>0</v>
      </c>
      <c r="I47" s="375">
        <f>Input!$II$16</f>
        <v>0</v>
      </c>
      <c r="J47" s="375">
        <f>Input!$IJ$16</f>
        <v>469634</v>
      </c>
      <c r="K47" s="375">
        <f>Input!$IK$16</f>
        <v>0</v>
      </c>
      <c r="L47" s="375">
        <f>Input!$IL$16</f>
        <v>0</v>
      </c>
      <c r="M47" s="374">
        <f>D47+E47+F47+G47+H47+I47+J47+K47+L47</f>
        <v>104828664</v>
      </c>
      <c r="N47" s="160"/>
      <c r="O47"/>
      <c r="P47"/>
      <c r="Q47"/>
      <c r="R47"/>
      <c r="S47"/>
      <c r="T47" s="657" t="s">
        <v>1115</v>
      </c>
      <c r="U47" s="27"/>
      <c r="V47" s="27"/>
      <c r="W47" s="656">
        <f>SUM(W45:W46)</f>
        <v>0</v>
      </c>
      <c r="X47" s="655"/>
    </row>
    <row r="48" spans="1:24">
      <c r="A48" s="184">
        <v>31</v>
      </c>
      <c r="B48" s="160"/>
      <c r="C48" s="160"/>
      <c r="D48" s="373"/>
      <c r="E48" s="373"/>
      <c r="F48" s="373"/>
      <c r="G48" s="373"/>
      <c r="H48" s="373"/>
      <c r="I48" s="373"/>
      <c r="J48" s="373"/>
      <c r="K48" s="373"/>
      <c r="L48" s="373"/>
      <c r="M48" s="373"/>
      <c r="N48" s="160"/>
      <c r="O48"/>
      <c r="P48"/>
      <c r="Q48"/>
      <c r="R48"/>
      <c r="S48"/>
      <c r="T48" s="560"/>
      <c r="U48" s="261"/>
      <c r="V48" s="261"/>
      <c r="W48" s="261"/>
      <c r="X48" s="658">
        <f>W43-W47</f>
        <v>0</v>
      </c>
    </row>
    <row r="49" spans="1:28">
      <c r="A49" s="184">
        <v>32</v>
      </c>
      <c r="B49" s="172" t="s">
        <v>8</v>
      </c>
      <c r="C49" s="172"/>
      <c r="D49" s="373"/>
      <c r="E49" s="373"/>
      <c r="F49" s="373"/>
      <c r="G49" s="373"/>
      <c r="H49" s="373"/>
      <c r="I49" s="373"/>
      <c r="J49" s="373"/>
      <c r="K49" s="373"/>
      <c r="L49" s="373"/>
      <c r="M49" s="373"/>
      <c r="N49" s="160"/>
      <c r="O49" s="273"/>
      <c r="T49" s="579" t="s">
        <v>287</v>
      </c>
      <c r="U49" s="511"/>
      <c r="V49" s="580"/>
      <c r="W49" s="580"/>
      <c r="X49" s="574">
        <f>SUM(X23:X48)</f>
        <v>106214216</v>
      </c>
    </row>
    <row r="50" spans="1:28">
      <c r="A50" s="184">
        <v>33</v>
      </c>
      <c r="B50" s="160" t="s">
        <v>42</v>
      </c>
      <c r="C50" s="160"/>
      <c r="D50" s="372">
        <f>Input!$IM$16</f>
        <v>105670</v>
      </c>
      <c r="E50" s="372">
        <f>Input!$IN$16</f>
        <v>7709954</v>
      </c>
      <c r="F50" s="372">
        <f>Input!$IO$16</f>
        <v>0</v>
      </c>
      <c r="G50" s="372">
        <f>Input!$IP$16</f>
        <v>319179</v>
      </c>
      <c r="H50" s="372">
        <f>Input!$IQ$16</f>
        <v>0</v>
      </c>
      <c r="I50" s="372">
        <f>Input!$IR$16</f>
        <v>45457</v>
      </c>
      <c r="J50" s="372">
        <f>Input!$IS$16</f>
        <v>0</v>
      </c>
      <c r="K50" s="372">
        <f>Input!$IT$16</f>
        <v>0</v>
      </c>
      <c r="L50" s="372">
        <f>Input!$IU$16</f>
        <v>0</v>
      </c>
      <c r="M50" s="373">
        <f t="shared" ref="M50:M57" si="9">D50+E50+F50+G50+H50+I50+J50+K50+L50</f>
        <v>8180260</v>
      </c>
      <c r="N50" s="160"/>
      <c r="O50" s="273"/>
      <c r="U50" s="275"/>
    </row>
    <row r="51" spans="1:28">
      <c r="A51" s="184">
        <v>34</v>
      </c>
      <c r="B51" s="160" t="s">
        <v>9</v>
      </c>
      <c r="C51" s="160"/>
      <c r="D51" s="372">
        <f>Input!$IV$16</f>
        <v>0</v>
      </c>
      <c r="E51" s="372">
        <f>Input!$IW$16</f>
        <v>0</v>
      </c>
      <c r="F51" s="372">
        <f>Input!$IX$16</f>
        <v>0</v>
      </c>
      <c r="G51" s="372">
        <f>Input!$IY$16</f>
        <v>0</v>
      </c>
      <c r="H51" s="372">
        <f>Input!$IZ$16</f>
        <v>0</v>
      </c>
      <c r="I51" s="372">
        <f>Input!$JA$16</f>
        <v>0</v>
      </c>
      <c r="J51" s="372">
        <f>Input!$JB$16</f>
        <v>0</v>
      </c>
      <c r="K51" s="372">
        <f>Input!$JC$16</f>
        <v>0</v>
      </c>
      <c r="L51" s="372">
        <f>Input!$JD$16</f>
        <v>0</v>
      </c>
      <c r="M51" s="376">
        <f t="shared" si="9"/>
        <v>0</v>
      </c>
      <c r="N51" s="160"/>
      <c r="Y51" s="277"/>
    </row>
    <row r="52" spans="1:28">
      <c r="A52" s="184">
        <v>35</v>
      </c>
      <c r="B52" s="160" t="s">
        <v>10</v>
      </c>
      <c r="C52" s="160"/>
      <c r="D52" s="372">
        <f>Input!$JE$16</f>
        <v>0</v>
      </c>
      <c r="E52" s="372">
        <f>Input!$JF$16</f>
        <v>225955</v>
      </c>
      <c r="F52" s="372">
        <f>Input!$JG$16</f>
        <v>11680</v>
      </c>
      <c r="G52" s="372">
        <f>Input!$JH$16</f>
        <v>34405606</v>
      </c>
      <c r="H52" s="372">
        <f>Input!$JI$16</f>
        <v>0</v>
      </c>
      <c r="I52" s="372">
        <f>Input!$JJ$16</f>
        <v>0</v>
      </c>
      <c r="J52" s="372">
        <f>Input!$JK$16</f>
        <v>0</v>
      </c>
      <c r="K52" s="372">
        <f>Input!$JL$16</f>
        <v>0</v>
      </c>
      <c r="L52" s="372">
        <f>Input!$JM$16</f>
        <v>0</v>
      </c>
      <c r="M52" s="373">
        <f t="shared" si="9"/>
        <v>34643241</v>
      </c>
      <c r="N52" s="160"/>
      <c r="O52" s="273"/>
      <c r="P52" s="278"/>
    </row>
    <row r="53" spans="1:28">
      <c r="A53" s="184">
        <v>36</v>
      </c>
      <c r="B53" s="160" t="s">
        <v>11</v>
      </c>
      <c r="C53" s="160"/>
      <c r="D53" s="372">
        <f>Input!$JN$16</f>
        <v>0</v>
      </c>
      <c r="E53" s="372">
        <f>Input!$JO$16</f>
        <v>762535</v>
      </c>
      <c r="F53" s="372">
        <f>Input!$JP$16</f>
        <v>15983</v>
      </c>
      <c r="G53" s="372">
        <f>Input!$JQ$16</f>
        <v>-78065</v>
      </c>
      <c r="H53" s="372">
        <f>Input!$JR$16</f>
        <v>0</v>
      </c>
      <c r="I53" s="372">
        <f>Input!$JS$16</f>
        <v>0</v>
      </c>
      <c r="J53" s="372">
        <f>Input!$JT$16</f>
        <v>0</v>
      </c>
      <c r="K53" s="372">
        <f>Input!$JU$16</f>
        <v>0</v>
      </c>
      <c r="L53" s="372">
        <f>Input!$JV$16</f>
        <v>0</v>
      </c>
      <c r="M53" s="373">
        <f t="shared" si="9"/>
        <v>700453</v>
      </c>
      <c r="N53" s="160"/>
      <c r="O53" s="273"/>
    </row>
    <row r="54" spans="1:28" ht="13.5" thickBot="1">
      <c r="A54" s="184">
        <v>37</v>
      </c>
      <c r="B54" s="177" t="s">
        <v>2134</v>
      </c>
      <c r="C54" s="177"/>
      <c r="D54" s="372">
        <f>Input!$JW$16</f>
        <v>0</v>
      </c>
      <c r="E54" s="372">
        <f>Input!$JX$16</f>
        <v>0</v>
      </c>
      <c r="F54" s="372">
        <f>Input!$JY$16</f>
        <v>12774915</v>
      </c>
      <c r="G54" s="372">
        <f>Input!$JZ$16</f>
        <v>0</v>
      </c>
      <c r="H54" s="372">
        <f>Input!$KA$16</f>
        <v>0</v>
      </c>
      <c r="I54" s="372">
        <f>Input!$KB$16</f>
        <v>0</v>
      </c>
      <c r="J54" s="372">
        <f>Input!$KC$16</f>
        <v>0</v>
      </c>
      <c r="K54" s="372">
        <f>Input!$KD$16</f>
        <v>0</v>
      </c>
      <c r="L54" s="372">
        <f>Input!$KE$16</f>
        <v>0</v>
      </c>
      <c r="M54" s="373">
        <f t="shared" si="9"/>
        <v>12774915</v>
      </c>
      <c r="N54" s="160"/>
      <c r="O54" s="273"/>
    </row>
    <row r="55" spans="1:28" ht="14.25" thickTop="1" thickBot="1">
      <c r="A55" s="184">
        <v>38</v>
      </c>
      <c r="B55" s="160" t="s">
        <v>43</v>
      </c>
      <c r="C55" s="160"/>
      <c r="D55" s="372">
        <f>Input!$KF$16</f>
        <v>1417271</v>
      </c>
      <c r="E55" s="372">
        <f>Input!$KG$16</f>
        <v>515264</v>
      </c>
      <c r="F55" s="372">
        <f>Input!$KH$16</f>
        <v>1197427</v>
      </c>
      <c r="G55" s="372">
        <f>Input!$KI$16</f>
        <v>447333</v>
      </c>
      <c r="H55" s="372">
        <f>Input!$KJ$16</f>
        <v>0</v>
      </c>
      <c r="I55" s="372">
        <f>Input!$KK$16</f>
        <v>0</v>
      </c>
      <c r="J55" s="372">
        <f>Input!$KL$16</f>
        <v>0</v>
      </c>
      <c r="K55" s="372">
        <f>Input!$KM$16</f>
        <v>0</v>
      </c>
      <c r="L55" s="372">
        <f>Input!$KN$16</f>
        <v>0</v>
      </c>
      <c r="M55" s="373">
        <f t="shared" si="9"/>
        <v>3577295</v>
      </c>
      <c r="N55" s="160"/>
      <c r="O55" s="1616" t="s">
        <v>251</v>
      </c>
      <c r="P55" s="1617"/>
      <c r="Q55" s="1617"/>
      <c r="R55" s="1618"/>
      <c r="S55" s="437"/>
      <c r="T55" s="1619" t="s">
        <v>252</v>
      </c>
      <c r="U55" s="1620"/>
      <c r="V55" s="1620"/>
      <c r="W55" s="1620"/>
      <c r="X55" s="1621"/>
      <c r="Y55" s="320"/>
      <c r="Z55" s="1749" t="s">
        <v>1301</v>
      </c>
      <c r="AA55" s="1750"/>
      <c r="AB55" s="1751"/>
    </row>
    <row r="56" spans="1:28" ht="13.5" customHeight="1" thickTop="1">
      <c r="A56" s="184">
        <v>39</v>
      </c>
      <c r="B56" s="176" t="s">
        <v>3</v>
      </c>
      <c r="C56" s="176"/>
      <c r="D56" s="374">
        <f>SUM(D50:D55)</f>
        <v>1522941</v>
      </c>
      <c r="E56" s="374">
        <f t="shared" ref="E56:L56" si="10">SUM(E50:E55)</f>
        <v>9213708</v>
      </c>
      <c r="F56" s="374">
        <f t="shared" si="10"/>
        <v>14000005</v>
      </c>
      <c r="G56" s="374">
        <f t="shared" si="10"/>
        <v>35094053</v>
      </c>
      <c r="H56" s="374">
        <f t="shared" si="10"/>
        <v>0</v>
      </c>
      <c r="I56" s="374">
        <f t="shared" si="10"/>
        <v>45457</v>
      </c>
      <c r="J56" s="374">
        <f t="shared" si="10"/>
        <v>0</v>
      </c>
      <c r="K56" s="374">
        <f t="shared" si="10"/>
        <v>0</v>
      </c>
      <c r="L56" s="374">
        <f t="shared" si="10"/>
        <v>0</v>
      </c>
      <c r="M56" s="374">
        <f t="shared" si="9"/>
        <v>59876164</v>
      </c>
      <c r="N56" s="160"/>
      <c r="O56" s="1622" t="s">
        <v>1135</v>
      </c>
      <c r="P56" s="1625" t="s">
        <v>254</v>
      </c>
      <c r="Q56" s="1625" t="s">
        <v>292</v>
      </c>
      <c r="R56" s="1628" t="s">
        <v>1063</v>
      </c>
      <c r="S56" s="280"/>
      <c r="T56" s="1739" t="s">
        <v>1136</v>
      </c>
      <c r="U56" s="1637" t="s">
        <v>254</v>
      </c>
      <c r="V56" s="1634" t="s">
        <v>256</v>
      </c>
      <c r="W56" s="1637" t="s">
        <v>257</v>
      </c>
      <c r="X56" s="1638" t="s">
        <v>1064</v>
      </c>
      <c r="Z56" s="1754" t="s">
        <v>1302</v>
      </c>
      <c r="AA56" s="1747" t="s">
        <v>1303</v>
      </c>
      <c r="AB56" s="1752" t="s">
        <v>238</v>
      </c>
    </row>
    <row r="57" spans="1:28">
      <c r="A57" s="184">
        <v>40</v>
      </c>
      <c r="B57" s="162" t="s">
        <v>68</v>
      </c>
      <c r="C57" s="162"/>
      <c r="D57" s="374">
        <f>D15+D44+D47+D56</f>
        <v>95345270</v>
      </c>
      <c r="E57" s="374">
        <f t="shared" ref="E57:L57" si="11">E15+E44+E47+E56</f>
        <v>56053143</v>
      </c>
      <c r="F57" s="374">
        <f t="shared" si="11"/>
        <v>19315001</v>
      </c>
      <c r="G57" s="374">
        <f t="shared" si="11"/>
        <v>147456579</v>
      </c>
      <c r="H57" s="374">
        <f t="shared" si="11"/>
        <v>0</v>
      </c>
      <c r="I57" s="374">
        <f t="shared" si="11"/>
        <v>45457</v>
      </c>
      <c r="J57" s="374">
        <f t="shared" si="11"/>
        <v>469634</v>
      </c>
      <c r="K57" s="374">
        <f t="shared" si="11"/>
        <v>0</v>
      </c>
      <c r="L57" s="374">
        <f t="shared" si="11"/>
        <v>0</v>
      </c>
      <c r="M57" s="374">
        <f t="shared" si="9"/>
        <v>318685084</v>
      </c>
      <c r="N57" s="160"/>
      <c r="O57" s="1623"/>
      <c r="P57" s="1626"/>
      <c r="Q57" s="1626"/>
      <c r="R57" s="1629"/>
      <c r="S57" s="280"/>
      <c r="T57" s="1740"/>
      <c r="U57" s="1626"/>
      <c r="V57" s="1635"/>
      <c r="W57" s="1626"/>
      <c r="X57" s="1639"/>
      <c r="Z57" s="1755"/>
      <c r="AA57" s="1747"/>
      <c r="AB57" s="1752"/>
    </row>
    <row r="58" spans="1:28">
      <c r="A58" s="184">
        <v>41</v>
      </c>
      <c r="B58" s="160"/>
      <c r="C58" s="160"/>
      <c r="D58" s="373"/>
      <c r="E58" s="373"/>
      <c r="F58" s="373"/>
      <c r="G58" s="373"/>
      <c r="H58" s="373"/>
      <c r="I58" s="373"/>
      <c r="J58" s="373"/>
      <c r="K58" s="373"/>
      <c r="L58" s="373"/>
      <c r="M58" s="373"/>
      <c r="N58" s="160"/>
      <c r="O58" s="1623"/>
      <c r="P58" s="1626"/>
      <c r="Q58" s="1626"/>
      <c r="R58" s="1629"/>
      <c r="S58" s="280"/>
      <c r="T58" s="1740"/>
      <c r="U58" s="1626"/>
      <c r="V58" s="1635"/>
      <c r="W58" s="1626"/>
      <c r="X58" s="1639"/>
      <c r="Z58" s="1755"/>
      <c r="AA58" s="1747"/>
      <c r="AB58" s="1752"/>
    </row>
    <row r="59" spans="1:28" ht="14.25" customHeight="1">
      <c r="A59" s="184">
        <v>42</v>
      </c>
      <c r="B59" s="174" t="s">
        <v>72</v>
      </c>
      <c r="C59" s="174"/>
      <c r="D59" s="377"/>
      <c r="E59" s="377"/>
      <c r="F59" s="377"/>
      <c r="G59" s="1746" t="str">
        <f>IF(OR(P105&gt;0,P106&lt;&gt;0,P107&lt;&gt;0),"Do not Enter Cents - Whole Dollars Only","")</f>
        <v/>
      </c>
      <c r="H59" s="1746"/>
      <c r="I59" s="1746"/>
      <c r="J59" s="1746"/>
      <c r="K59" s="1746"/>
      <c r="L59" s="377"/>
      <c r="M59" s="377"/>
      <c r="N59" s="160"/>
      <c r="O59" s="1624"/>
      <c r="P59" s="1627"/>
      <c r="Q59" s="1627"/>
      <c r="R59" s="1630"/>
      <c r="S59" s="280"/>
      <c r="T59" s="1741"/>
      <c r="U59" s="1627"/>
      <c r="V59" s="1636"/>
      <c r="W59" s="1627"/>
      <c r="X59" s="1640"/>
      <c r="Z59" s="1756"/>
      <c r="AA59" s="1748"/>
      <c r="AB59" s="1753"/>
    </row>
    <row r="60" spans="1:28" ht="13.5" thickBot="1">
      <c r="A60" s="184">
        <v>43</v>
      </c>
      <c r="B60" s="160" t="s">
        <v>14</v>
      </c>
      <c r="C60" s="160"/>
      <c r="D60" s="372">
        <f>Input!$KO$16</f>
        <v>45019256</v>
      </c>
      <c r="E60" s="372">
        <f>Input!$KP$16</f>
        <v>4223354</v>
      </c>
      <c r="F60" s="372">
        <f>Input!$KQ$16</f>
        <v>0</v>
      </c>
      <c r="G60" s="372">
        <f>Input!$KR$16</f>
        <v>3062984</v>
      </c>
      <c r="H60" s="372">
        <f>Input!$KS$16</f>
        <v>0</v>
      </c>
      <c r="I60" s="372">
        <f>Input!$KT$16</f>
        <v>0</v>
      </c>
      <c r="J60" s="372">
        <f>Input!$KU$16</f>
        <v>0</v>
      </c>
      <c r="K60" s="372">
        <f>Input!$KV$16</f>
        <v>0</v>
      </c>
      <c r="L60" s="372">
        <f>Input!$KW$16</f>
        <v>0</v>
      </c>
      <c r="M60" s="373">
        <f t="shared" ref="M60:M71" si="12">D60+E60+F60+G60+H60+I60+J60+K60+L60</f>
        <v>52305594</v>
      </c>
      <c r="N60" s="160"/>
      <c r="O60" s="282">
        <f>D60+E60+G60+J60</f>
        <v>52305594</v>
      </c>
      <c r="P60" s="518">
        <f>Input!$SS$16</f>
        <v>82105</v>
      </c>
      <c r="Q60" s="438" t="s">
        <v>259</v>
      </c>
      <c r="R60" s="284">
        <f>SUM(O60:P60)</f>
        <v>52387699</v>
      </c>
      <c r="S60" s="439"/>
      <c r="T60" s="286">
        <f t="shared" ref="T60:T67" si="13">D60+E60+G60</f>
        <v>52305594</v>
      </c>
      <c r="U60" s="287">
        <f t="shared" ref="U60:U67" si="14">P60</f>
        <v>82105</v>
      </c>
      <c r="V60" s="289">
        <f>Input!$TC$16</f>
        <v>0</v>
      </c>
      <c r="W60" s="289">
        <f>Input!$TK$16</f>
        <v>0</v>
      </c>
      <c r="X60" s="290">
        <f t="shared" ref="X60:X66" si="15">T60+U60-V60-W60</f>
        <v>52387699</v>
      </c>
      <c r="Z60" s="292" t="s">
        <v>14</v>
      </c>
      <c r="AA60" s="520">
        <f>Input!$TS$16</f>
        <v>52305594</v>
      </c>
      <c r="AB60" s="293">
        <f t="shared" ref="AB60:AB68" si="16">AA60-M60</f>
        <v>0</v>
      </c>
    </row>
    <row r="61" spans="1:28" ht="14.25" thickTop="1" thickBot="1">
      <c r="A61" s="184">
        <v>44</v>
      </c>
      <c r="B61" s="160" t="s">
        <v>15</v>
      </c>
      <c r="C61" s="160"/>
      <c r="D61" s="372">
        <f>Input!$KX$16</f>
        <v>8725942</v>
      </c>
      <c r="E61" s="372">
        <f>Input!$KY$16</f>
        <v>494737</v>
      </c>
      <c r="F61" s="372">
        <f>Input!$KZ$16</f>
        <v>0</v>
      </c>
      <c r="G61" s="372">
        <f>Input!$LA$16</f>
        <v>8327703</v>
      </c>
      <c r="H61" s="372">
        <f>Input!$LB$16</f>
        <v>0</v>
      </c>
      <c r="I61" s="372">
        <f>Input!$LC$16</f>
        <v>0</v>
      </c>
      <c r="J61" s="372">
        <f>Input!$LD$16</f>
        <v>0</v>
      </c>
      <c r="K61" s="372">
        <f>Input!$LE$16</f>
        <v>0</v>
      </c>
      <c r="L61" s="372">
        <f>Input!$LF$16</f>
        <v>0</v>
      </c>
      <c r="M61" s="373">
        <f t="shared" si="12"/>
        <v>17548382</v>
      </c>
      <c r="N61" s="160"/>
      <c r="O61" s="440">
        <f t="shared" ref="O61:O67" si="17">D61+E61+G61+J61</f>
        <v>17548382</v>
      </c>
      <c r="P61" s="518">
        <f>Input!$ST$16</f>
        <v>445200</v>
      </c>
      <c r="Q61" s="441" t="s">
        <v>259</v>
      </c>
      <c r="R61" s="295">
        <f>SUM(O61:P61)</f>
        <v>17993582</v>
      </c>
      <c r="S61" s="442"/>
      <c r="T61" s="296">
        <f t="shared" si="13"/>
        <v>17548382</v>
      </c>
      <c r="U61" s="297">
        <f t="shared" si="14"/>
        <v>445200</v>
      </c>
      <c r="V61" s="299">
        <f>Input!$TD$16</f>
        <v>117737</v>
      </c>
      <c r="W61" s="299">
        <f>Input!$TL$16</f>
        <v>0</v>
      </c>
      <c r="X61" s="300">
        <f t="shared" si="15"/>
        <v>17875845</v>
      </c>
      <c r="Z61" s="292" t="s">
        <v>15</v>
      </c>
      <c r="AA61" s="518">
        <f>Input!$TT$16</f>
        <v>17548382</v>
      </c>
      <c r="AB61" s="301">
        <f t="shared" si="16"/>
        <v>0</v>
      </c>
    </row>
    <row r="62" spans="1:28" ht="13.5" thickTop="1">
      <c r="A62" s="184">
        <v>45</v>
      </c>
      <c r="B62" s="160" t="s">
        <v>16</v>
      </c>
      <c r="C62" s="160"/>
      <c r="D62" s="372">
        <f>Input!$LG$16</f>
        <v>2523802</v>
      </c>
      <c r="E62" s="372">
        <f>Input!$LH$16</f>
        <v>46289</v>
      </c>
      <c r="F62" s="372">
        <f>Input!$LI$16</f>
        <v>0</v>
      </c>
      <c r="G62" s="372">
        <f>Input!$LJ$16</f>
        <v>5192687</v>
      </c>
      <c r="H62" s="372">
        <f>Input!$LK$16</f>
        <v>0</v>
      </c>
      <c r="I62" s="372">
        <f>Input!$LL$16</f>
        <v>0</v>
      </c>
      <c r="J62" s="372">
        <f>Input!$LM$16</f>
        <v>0</v>
      </c>
      <c r="K62" s="372">
        <f>Input!$LN$16</f>
        <v>0</v>
      </c>
      <c r="L62" s="372">
        <f>Input!$LO$16</f>
        <v>0</v>
      </c>
      <c r="M62" s="373">
        <f t="shared" si="12"/>
        <v>7762778</v>
      </c>
      <c r="N62" s="160"/>
      <c r="O62" s="440">
        <f t="shared" si="17"/>
        <v>7762778</v>
      </c>
      <c r="P62" s="518">
        <f>Input!$SU$16</f>
        <v>234320</v>
      </c>
      <c r="Q62" s="441" t="s">
        <v>259</v>
      </c>
      <c r="R62" s="302" t="s">
        <v>259</v>
      </c>
      <c r="S62" s="442"/>
      <c r="T62" s="296">
        <f t="shared" si="13"/>
        <v>7762778</v>
      </c>
      <c r="U62" s="297">
        <f t="shared" si="14"/>
        <v>234320</v>
      </c>
      <c r="V62" s="299">
        <f>Input!$TE$16</f>
        <v>0</v>
      </c>
      <c r="W62" s="299">
        <f>Input!$TM$16</f>
        <v>0</v>
      </c>
      <c r="X62" s="303">
        <f t="shared" si="15"/>
        <v>7997098</v>
      </c>
      <c r="Z62" s="292" t="s">
        <v>16</v>
      </c>
      <c r="AA62" s="518">
        <f>Input!$TU$16</f>
        <v>7762778</v>
      </c>
      <c r="AB62" s="301">
        <f t="shared" si="16"/>
        <v>0</v>
      </c>
    </row>
    <row r="63" spans="1:28">
      <c r="A63" s="184">
        <v>46</v>
      </c>
      <c r="B63" s="160" t="s">
        <v>17</v>
      </c>
      <c r="C63" s="160"/>
      <c r="D63" s="372">
        <f>Input!$LP$16</f>
        <v>8612754</v>
      </c>
      <c r="E63" s="372">
        <f>Input!$LQ$16</f>
        <v>5832332</v>
      </c>
      <c r="F63" s="372">
        <f>Input!$LR$16</f>
        <v>0</v>
      </c>
      <c r="G63" s="372">
        <f>Input!$LS$16</f>
        <v>7752725</v>
      </c>
      <c r="H63" s="372">
        <f>Input!$LT$16</f>
        <v>0</v>
      </c>
      <c r="I63" s="372">
        <f>Input!$LU$16</f>
        <v>0</v>
      </c>
      <c r="J63" s="372">
        <f>Input!$LV$16</f>
        <v>0</v>
      </c>
      <c r="K63" s="372">
        <f>Input!$LW$16</f>
        <v>0</v>
      </c>
      <c r="L63" s="372">
        <f>Input!$LX$16</f>
        <v>0</v>
      </c>
      <c r="M63" s="373">
        <f t="shared" si="12"/>
        <v>22197811</v>
      </c>
      <c r="N63" s="160"/>
      <c r="O63" s="440">
        <f t="shared" si="17"/>
        <v>22197811</v>
      </c>
      <c r="P63" s="518">
        <f>Input!$SV$16</f>
        <v>1729589</v>
      </c>
      <c r="Q63" s="441" t="s">
        <v>259</v>
      </c>
      <c r="R63" s="295">
        <f t="shared" ref="R63:R65" si="18">SUM(O63:P63)</f>
        <v>23927400</v>
      </c>
      <c r="S63" s="442"/>
      <c r="T63" s="296">
        <f t="shared" si="13"/>
        <v>22197811</v>
      </c>
      <c r="U63" s="297">
        <f t="shared" si="14"/>
        <v>1729589</v>
      </c>
      <c r="V63" s="299">
        <f>Input!$TF$16</f>
        <v>0</v>
      </c>
      <c r="W63" s="299">
        <f>Input!$TN$16</f>
        <v>0</v>
      </c>
      <c r="X63" s="303">
        <f t="shared" si="15"/>
        <v>23927400</v>
      </c>
      <c r="Z63" s="292" t="s">
        <v>17</v>
      </c>
      <c r="AA63" s="518">
        <f>Input!$TV$16</f>
        <v>22197811</v>
      </c>
      <c r="AB63" s="301">
        <f t="shared" si="16"/>
        <v>0</v>
      </c>
    </row>
    <row r="64" spans="1:28">
      <c r="A64" s="184">
        <v>47</v>
      </c>
      <c r="B64" s="160" t="s">
        <v>18</v>
      </c>
      <c r="C64" s="160"/>
      <c r="D64" s="372">
        <f>Input!$LY$16</f>
        <v>5754030</v>
      </c>
      <c r="E64" s="372">
        <f>Input!$LZ$16</f>
        <v>10181767</v>
      </c>
      <c r="F64" s="372">
        <f>Input!$MA$16</f>
        <v>0</v>
      </c>
      <c r="G64" s="372">
        <f>Input!$MB$16</f>
        <v>3594139</v>
      </c>
      <c r="H64" s="372">
        <f>Input!$MC$16</f>
        <v>-23511</v>
      </c>
      <c r="I64" s="372">
        <f>Input!$MD$16</f>
        <v>0</v>
      </c>
      <c r="J64" s="372">
        <f>Input!$ME$16</f>
        <v>0</v>
      </c>
      <c r="K64" s="372">
        <f>Input!$MF$16</f>
        <v>0</v>
      </c>
      <c r="L64" s="372">
        <f>Input!$MG$16</f>
        <v>0</v>
      </c>
      <c r="M64" s="373">
        <f t="shared" si="12"/>
        <v>19506425</v>
      </c>
      <c r="N64" s="160"/>
      <c r="O64" s="440">
        <f t="shared" si="17"/>
        <v>19529936</v>
      </c>
      <c r="P64" s="518">
        <f>Input!$SW$16</f>
        <v>178955</v>
      </c>
      <c r="Q64" s="518">
        <f>Input!$TB$16</f>
        <v>0</v>
      </c>
      <c r="R64" s="295">
        <f>SUM(O64:P64)-Q64</f>
        <v>19708891</v>
      </c>
      <c r="S64" s="442"/>
      <c r="T64" s="296">
        <f t="shared" si="13"/>
        <v>19529936</v>
      </c>
      <c r="U64" s="297">
        <f t="shared" si="14"/>
        <v>178955</v>
      </c>
      <c r="V64" s="299">
        <f>Input!$TG$16</f>
        <v>0</v>
      </c>
      <c r="W64" s="299">
        <f>Input!$TO$16</f>
        <v>0</v>
      </c>
      <c r="X64" s="303">
        <f t="shared" si="15"/>
        <v>19708891</v>
      </c>
      <c r="Z64" s="292" t="s">
        <v>18</v>
      </c>
      <c r="AA64" s="518">
        <f>Input!$TW$16</f>
        <v>19506425</v>
      </c>
      <c r="AB64" s="301">
        <f t="shared" si="16"/>
        <v>0</v>
      </c>
    </row>
    <row r="65" spans="1:28">
      <c r="A65" s="184">
        <v>48</v>
      </c>
      <c r="B65" s="160" t="s">
        <v>19</v>
      </c>
      <c r="C65" s="160"/>
      <c r="D65" s="372">
        <f>Input!$MH$16</f>
        <v>10607398</v>
      </c>
      <c r="E65" s="372">
        <f>Input!$MI$16</f>
        <v>7236898</v>
      </c>
      <c r="F65" s="372">
        <f>Input!$MJ$16</f>
        <v>0</v>
      </c>
      <c r="G65" s="372">
        <f>Input!$MK$16</f>
        <v>1365622</v>
      </c>
      <c r="H65" s="372">
        <f>Input!$ML$16</f>
        <v>0</v>
      </c>
      <c r="I65" s="372">
        <f>Input!$MM$16</f>
        <v>0</v>
      </c>
      <c r="J65" s="372">
        <f>Input!$MN$16</f>
        <v>0</v>
      </c>
      <c r="K65" s="372">
        <f>Input!$MO$16</f>
        <v>0</v>
      </c>
      <c r="L65" s="372">
        <f>Input!$MP$16</f>
        <v>0</v>
      </c>
      <c r="M65" s="373">
        <f t="shared" si="12"/>
        <v>19209918</v>
      </c>
      <c r="N65" s="160"/>
      <c r="O65" s="440">
        <f t="shared" si="17"/>
        <v>19209918</v>
      </c>
      <c r="P65" s="518">
        <f>Input!$SX$16</f>
        <v>26815</v>
      </c>
      <c r="Q65" s="441" t="s">
        <v>259</v>
      </c>
      <c r="R65" s="295">
        <f t="shared" si="18"/>
        <v>19236733</v>
      </c>
      <c r="S65" s="442"/>
      <c r="T65" s="296">
        <f t="shared" si="13"/>
        <v>19209918</v>
      </c>
      <c r="U65" s="297">
        <f t="shared" si="14"/>
        <v>26815</v>
      </c>
      <c r="V65" s="299">
        <f>Input!$TH$16</f>
        <v>0</v>
      </c>
      <c r="W65" s="299">
        <f>Input!$TP$16</f>
        <v>0</v>
      </c>
      <c r="X65" s="303">
        <f t="shared" si="15"/>
        <v>19236733</v>
      </c>
      <c r="Z65" s="292" t="s">
        <v>19</v>
      </c>
      <c r="AA65" s="518">
        <f>Input!$TX$16</f>
        <v>19209918</v>
      </c>
      <c r="AB65" s="301">
        <f t="shared" si="16"/>
        <v>0</v>
      </c>
    </row>
    <row r="66" spans="1:28">
      <c r="A66" s="184">
        <v>49</v>
      </c>
      <c r="B66" s="160" t="s">
        <v>20</v>
      </c>
      <c r="C66" s="160"/>
      <c r="D66" s="372">
        <f>Input!$MQ$16</f>
        <v>3166102</v>
      </c>
      <c r="E66" s="372">
        <f>Input!$MR$16</f>
        <v>14625734</v>
      </c>
      <c r="F66" s="372">
        <f>Input!$MS$16</f>
        <v>0</v>
      </c>
      <c r="G66" s="372">
        <f>Input!$MT$16</f>
        <v>0</v>
      </c>
      <c r="H66" s="372">
        <f>Input!$MU$16</f>
        <v>0</v>
      </c>
      <c r="I66" s="372">
        <f>Input!$MV$16</f>
        <v>0</v>
      </c>
      <c r="J66" s="372">
        <f>Input!$MW$16</f>
        <v>4482287</v>
      </c>
      <c r="K66" s="372">
        <f>Input!$MX$16</f>
        <v>0</v>
      </c>
      <c r="L66" s="372">
        <f>Input!$MY$16</f>
        <v>0</v>
      </c>
      <c r="M66" s="373">
        <f t="shared" si="12"/>
        <v>22274123</v>
      </c>
      <c r="N66" s="160"/>
      <c r="O66" s="440">
        <f t="shared" si="17"/>
        <v>22274123</v>
      </c>
      <c r="P66" s="518">
        <f>Input!$SY$16</f>
        <v>539105</v>
      </c>
      <c r="Q66" s="441" t="s">
        <v>259</v>
      </c>
      <c r="R66" s="304" t="s">
        <v>259</v>
      </c>
      <c r="S66" s="442"/>
      <c r="T66" s="296">
        <f t="shared" si="13"/>
        <v>17791836</v>
      </c>
      <c r="U66" s="297">
        <f t="shared" si="14"/>
        <v>539105</v>
      </c>
      <c r="V66" s="299">
        <f>Input!$TI$16</f>
        <v>0</v>
      </c>
      <c r="W66" s="299">
        <f>Input!$TQ$16</f>
        <v>0</v>
      </c>
      <c r="X66" s="303">
        <f t="shared" si="15"/>
        <v>18330941</v>
      </c>
      <c r="Z66" s="292" t="s">
        <v>260</v>
      </c>
      <c r="AA66" s="518">
        <f>Input!$TY$16</f>
        <v>22274123</v>
      </c>
      <c r="AB66" s="301">
        <f t="shared" si="16"/>
        <v>0</v>
      </c>
    </row>
    <row r="67" spans="1:28" ht="13.5" thickBot="1">
      <c r="A67" s="184">
        <v>50</v>
      </c>
      <c r="B67" s="160" t="s">
        <v>21</v>
      </c>
      <c r="C67" s="160"/>
      <c r="D67" s="372">
        <f>Input!$MZ$16</f>
        <v>3388559</v>
      </c>
      <c r="E67" s="372">
        <f>Input!$NA$16</f>
        <v>11745813</v>
      </c>
      <c r="F67" s="372">
        <f>Input!$NB$16</f>
        <v>0</v>
      </c>
      <c r="G67" s="372">
        <f>Input!$NC$16</f>
        <v>60082721</v>
      </c>
      <c r="H67" s="372">
        <f>Input!$ND$16</f>
        <v>0</v>
      </c>
      <c r="I67" s="372">
        <f>Input!$NE$16</f>
        <v>0</v>
      </c>
      <c r="J67" s="372">
        <f>Input!$NF$16</f>
        <v>0</v>
      </c>
      <c r="K67" s="372">
        <f>Input!$NG$16</f>
        <v>0</v>
      </c>
      <c r="L67" s="372">
        <f>Input!$NH$16</f>
        <v>0</v>
      </c>
      <c r="M67" s="373">
        <f t="shared" si="12"/>
        <v>75217093</v>
      </c>
      <c r="N67" s="160"/>
      <c r="O67" s="440">
        <f t="shared" si="17"/>
        <v>75217093</v>
      </c>
      <c r="P67" s="518">
        <f>Input!$SZ$16</f>
        <v>64067</v>
      </c>
      <c r="Q67" s="441" t="s">
        <v>259</v>
      </c>
      <c r="R67" s="304" t="s">
        <v>259</v>
      </c>
      <c r="S67" s="442"/>
      <c r="T67" s="306">
        <f t="shared" si="13"/>
        <v>75217093</v>
      </c>
      <c r="U67" s="307">
        <f t="shared" si="14"/>
        <v>64067</v>
      </c>
      <c r="V67" s="308">
        <f>Input!$TJ$16</f>
        <v>0</v>
      </c>
      <c r="W67" s="308">
        <f>Input!$TR$16</f>
        <v>0</v>
      </c>
      <c r="X67" s="303">
        <f>U67+T67-V67-W67</f>
        <v>75281160</v>
      </c>
      <c r="Z67" s="292" t="s">
        <v>21</v>
      </c>
      <c r="AA67" s="518">
        <f>Input!$TZ$16</f>
        <v>75217093</v>
      </c>
      <c r="AB67" s="301">
        <f t="shared" si="16"/>
        <v>0</v>
      </c>
    </row>
    <row r="68" spans="1:28" ht="14.25" thickTop="1" thickBot="1">
      <c r="A68" s="184">
        <v>51</v>
      </c>
      <c r="B68" s="160" t="s">
        <v>2135</v>
      </c>
      <c r="C68" s="160"/>
      <c r="D68" s="372">
        <f>Input!$NI$16</f>
        <v>0</v>
      </c>
      <c r="E68" s="372">
        <f>Input!$NJ$16</f>
        <v>0</v>
      </c>
      <c r="F68" s="372">
        <f>Input!$NK$16</f>
        <v>27900736</v>
      </c>
      <c r="G68" s="372">
        <f>Input!$NL$16</f>
        <v>0</v>
      </c>
      <c r="H68" s="372">
        <f>Input!$NM$16</f>
        <v>0</v>
      </c>
      <c r="I68" s="372">
        <f>Input!$NN$16</f>
        <v>0</v>
      </c>
      <c r="J68" s="372">
        <f>Input!$NO$16</f>
        <v>0</v>
      </c>
      <c r="K68" s="372">
        <f>Input!$NP$16</f>
        <v>0</v>
      </c>
      <c r="L68" s="372">
        <f>Input!$NQ$16</f>
        <v>0</v>
      </c>
      <c r="M68" s="373">
        <f t="shared" si="12"/>
        <v>27900736</v>
      </c>
      <c r="N68" s="160"/>
      <c r="O68" s="309" t="s">
        <v>259</v>
      </c>
      <c r="P68" s="519">
        <f>Input!$TA$16</f>
        <v>0</v>
      </c>
      <c r="Q68" s="444" t="s">
        <v>259</v>
      </c>
      <c r="R68" s="311" t="s">
        <v>259</v>
      </c>
      <c r="S68" s="442"/>
      <c r="T68" s="305"/>
      <c r="U68" s="305"/>
      <c r="V68" s="312" t="s">
        <v>261</v>
      </c>
      <c r="W68" s="313"/>
      <c r="X68" s="314">
        <f>SUM(X60:X67)</f>
        <v>234745767</v>
      </c>
      <c r="Z68" s="292" t="s">
        <v>22</v>
      </c>
      <c r="AA68" s="518">
        <f>Input!$UA$16</f>
        <v>27900736</v>
      </c>
      <c r="AB68" s="301">
        <f t="shared" si="16"/>
        <v>0</v>
      </c>
    </row>
    <row r="69" spans="1:28" ht="14.25" thickTop="1" thickBot="1">
      <c r="A69" s="184">
        <v>52</v>
      </c>
      <c r="B69" s="161" t="s">
        <v>59</v>
      </c>
      <c r="C69" s="161"/>
      <c r="D69" s="372">
        <f>Input!$NR$16</f>
        <v>148449</v>
      </c>
      <c r="E69" s="372">
        <f>Input!$NS$16</f>
        <v>598642</v>
      </c>
      <c r="F69" s="372">
        <f>Input!$NT$16</f>
        <v>64067</v>
      </c>
      <c r="G69" s="372">
        <f>Input!$NU$16</f>
        <v>2488998</v>
      </c>
      <c r="H69" s="372">
        <f>Input!$NV$16</f>
        <v>0</v>
      </c>
      <c r="I69" s="372">
        <f>Input!$NW$16</f>
        <v>0</v>
      </c>
      <c r="J69" s="372">
        <f>Input!$NX$16</f>
        <v>0</v>
      </c>
      <c r="K69" s="372">
        <f>Input!$NY$16</f>
        <v>0</v>
      </c>
      <c r="L69" s="372">
        <f>Input!$NZ$16</f>
        <v>0</v>
      </c>
      <c r="M69" s="373">
        <f t="shared" si="12"/>
        <v>3300156</v>
      </c>
      <c r="N69" s="160"/>
      <c r="O69" s="315"/>
      <c r="P69" s="316">
        <f>SUM(P60:P68)</f>
        <v>3300156</v>
      </c>
      <c r="Q69" s="316">
        <f>SUM(Q64:Q68)</f>
        <v>0</v>
      </c>
      <c r="R69" s="317">
        <f>SUM(R60:R65)</f>
        <v>133254305</v>
      </c>
      <c r="S69" s="316"/>
      <c r="T69" s="305"/>
      <c r="U69" s="305"/>
      <c r="V69" s="305"/>
      <c r="W69" s="277"/>
      <c r="X69" s="277"/>
      <c r="Y69" s="277"/>
      <c r="Z69" s="292" t="s">
        <v>285</v>
      </c>
      <c r="AA69" s="445">
        <f>M88*-1</f>
        <v>23402579</v>
      </c>
      <c r="AB69" s="301">
        <f>AA69+M88</f>
        <v>0</v>
      </c>
    </row>
    <row r="70" spans="1:28" ht="14.25" thickTop="1" thickBot="1">
      <c r="A70" s="184">
        <v>53</v>
      </c>
      <c r="B70" s="178" t="s">
        <v>44</v>
      </c>
      <c r="C70" s="178"/>
      <c r="D70" s="378">
        <f>Input!$OA$16</f>
        <v>25565</v>
      </c>
      <c r="E70" s="378">
        <f>Input!$OB$16</f>
        <v>558394</v>
      </c>
      <c r="F70" s="378">
        <f>Input!$OC$16</f>
        <v>0</v>
      </c>
      <c r="G70" s="378">
        <f>Input!$OD$16</f>
        <v>377756</v>
      </c>
      <c r="H70" s="378">
        <f>Input!$OE$16</f>
        <v>0</v>
      </c>
      <c r="I70" s="378">
        <f>Input!$OF$16</f>
        <v>0</v>
      </c>
      <c r="J70" s="378">
        <f>Input!$OG$16</f>
        <v>0</v>
      </c>
      <c r="K70" s="378">
        <f>Input!$OH$16</f>
        <v>0</v>
      </c>
      <c r="L70" s="378">
        <f>Input!$OI$16</f>
        <v>121231</v>
      </c>
      <c r="M70" s="373">
        <f t="shared" si="12"/>
        <v>1082946</v>
      </c>
      <c r="N70" s="160"/>
      <c r="O70" s="320"/>
      <c r="P70" s="516" t="str">
        <f>IF(P69&lt;&gt;M69,"Out of Balance","Balanced")</f>
        <v>Balanced</v>
      </c>
      <c r="Q70" s="318"/>
      <c r="R70" s="305"/>
      <c r="S70" s="305"/>
      <c r="T70" s="305"/>
      <c r="U70" s="277"/>
      <c r="V70" s="1738" t="str">
        <f>IF(X68-INT(X68)&lt;&gt;0,"Whole Dollars Only","")</f>
        <v/>
      </c>
      <c r="W70" s="1738"/>
      <c r="X70" s="537"/>
      <c r="Y70" s="319"/>
      <c r="Z70" s="410" t="s">
        <v>262</v>
      </c>
      <c r="AA70" s="446" t="s">
        <v>259</v>
      </c>
      <c r="AB70" s="411">
        <f>M90</f>
        <v>0</v>
      </c>
    </row>
    <row r="71" spans="1:28" ht="13.5" thickTop="1">
      <c r="A71" s="184">
        <v>54</v>
      </c>
      <c r="B71" s="162" t="s">
        <v>69</v>
      </c>
      <c r="C71" s="162"/>
      <c r="D71" s="374">
        <f>SUM(D60:D70)</f>
        <v>87971857</v>
      </c>
      <c r="E71" s="374">
        <f>SUM(E60:E70)</f>
        <v>55543960</v>
      </c>
      <c r="F71" s="374">
        <f t="shared" ref="F71:L71" si="19">SUM(F60:F70)</f>
        <v>27964803</v>
      </c>
      <c r="G71" s="374">
        <f t="shared" si="19"/>
        <v>92245335</v>
      </c>
      <c r="H71" s="374">
        <f t="shared" si="19"/>
        <v>-23511</v>
      </c>
      <c r="I71" s="374">
        <f t="shared" si="19"/>
        <v>0</v>
      </c>
      <c r="J71" s="374">
        <f t="shared" si="19"/>
        <v>4482287</v>
      </c>
      <c r="K71" s="374">
        <f t="shared" si="19"/>
        <v>0</v>
      </c>
      <c r="L71" s="374">
        <f t="shared" si="19"/>
        <v>121231</v>
      </c>
      <c r="M71" s="374">
        <f t="shared" si="12"/>
        <v>268305962</v>
      </c>
      <c r="N71" s="160"/>
      <c r="O71" s="322"/>
      <c r="P71" s="1738" t="str">
        <f>IF(P69-INT(P69)&lt;&gt;0,"Whole Dollars Only","")</f>
        <v/>
      </c>
      <c r="Q71" s="1738"/>
      <c r="R71" s="323"/>
      <c r="S71" s="323"/>
      <c r="T71" s="323"/>
      <c r="U71" s="291"/>
      <c r="V71" s="324"/>
      <c r="W71" s="321"/>
      <c r="X71" s="321"/>
      <c r="Y71" s="321"/>
      <c r="Z71" s="318"/>
      <c r="AA71" s="325">
        <f>SUM(AA60:AA70)</f>
        <v>287325439</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Input!$OJ$16</f>
        <v>0</v>
      </c>
      <c r="E74" s="372">
        <f>Input!$OK$16</f>
        <v>0</v>
      </c>
      <c r="F74" s="372">
        <f>Input!$OL$16</f>
        <v>0</v>
      </c>
      <c r="G74" s="372">
        <f>Input!$OM$16</f>
        <v>0</v>
      </c>
      <c r="H74" s="372">
        <f>Input!$ON$16</f>
        <v>0</v>
      </c>
      <c r="I74" s="372">
        <f>Input!$OO$16</f>
        <v>0</v>
      </c>
      <c r="J74" s="372">
        <f>Input!$OP$16</f>
        <v>-5932666</v>
      </c>
      <c r="K74" s="372">
        <f>Input!$OQ$16</f>
        <v>0</v>
      </c>
      <c r="L74" s="372">
        <f>Input!$OR$16</f>
        <v>0</v>
      </c>
      <c r="M74" s="373">
        <f>D74+E74+F74+G74+H74+I74+J74+K74+L74</f>
        <v>-5932666</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Input!$OS$16</f>
        <v>2705367</v>
      </c>
      <c r="E75" s="372">
        <f>Input!$OT$16</f>
        <v>14400434</v>
      </c>
      <c r="F75" s="372">
        <f>Input!$OU$16</f>
        <v>14707249</v>
      </c>
      <c r="G75" s="372">
        <f>Input!$OV$16</f>
        <v>-36541635</v>
      </c>
      <c r="H75" s="372">
        <f>Input!$OW$16</f>
        <v>0</v>
      </c>
      <c r="I75" s="372">
        <f>Input!$OX$16</f>
        <v>5765732</v>
      </c>
      <c r="J75" s="372">
        <f>Input!$OY$16</f>
        <v>-951342</v>
      </c>
      <c r="K75" s="372">
        <f>Input!$OZ$16</f>
        <v>0</v>
      </c>
      <c r="L75" s="372">
        <f>Input!$PA$16</f>
        <v>0</v>
      </c>
      <c r="M75" s="373">
        <f>D75+E75+F75+G75+H75+I75+J75+K75+L75</f>
        <v>85805</v>
      </c>
      <c r="N75" s="160"/>
      <c r="O75" s="1723" t="str">
        <f>IF(M85&lt;0,"Footnote 11 is N/A - No Data Entry Required","Footnote 11")</f>
        <v>Footnote 11</v>
      </c>
      <c r="P75" s="1724"/>
      <c r="Q75" s="1724"/>
      <c r="R75" s="1725"/>
      <c r="S75" s="330"/>
      <c r="T75" s="330"/>
      <c r="U75" s="327"/>
      <c r="V75" s="276"/>
      <c r="W75" s="331"/>
      <c r="X75" s="331"/>
      <c r="Y75" s="328"/>
      <c r="Z75" s="328"/>
      <c r="AA75" s="276"/>
      <c r="AB75" s="276" t="s">
        <v>293</v>
      </c>
    </row>
    <row r="76" spans="1:28" ht="13.5" thickTop="1">
      <c r="A76" s="184">
        <v>59</v>
      </c>
      <c r="B76" s="160" t="s">
        <v>45</v>
      </c>
      <c r="C76" s="160"/>
      <c r="D76" s="372">
        <f>Input!$PB$16</f>
        <v>0</v>
      </c>
      <c r="E76" s="372">
        <f>Input!$PC$16</f>
        <v>0</v>
      </c>
      <c r="F76" s="372">
        <f>Input!$PD$16</f>
        <v>0</v>
      </c>
      <c r="G76" s="372">
        <f>Input!$PE$16</f>
        <v>0</v>
      </c>
      <c r="H76" s="372">
        <f>Input!$PF$16</f>
        <v>0</v>
      </c>
      <c r="I76" s="372">
        <f>Input!$PG$16</f>
        <v>0</v>
      </c>
      <c r="J76" s="372">
        <f>Input!$PH$16</f>
        <v>0</v>
      </c>
      <c r="K76" s="372">
        <f>Input!$PI$16</f>
        <v>0</v>
      </c>
      <c r="L76" s="372">
        <f>Input!$PJ$16</f>
        <v>0</v>
      </c>
      <c r="M76" s="373">
        <f>D76+E76+F76+G76+H76+I76+J76+K76+L76</f>
        <v>0</v>
      </c>
      <c r="N76" s="160"/>
      <c r="O76" s="487" t="s">
        <v>583</v>
      </c>
      <c r="P76" s="488"/>
      <c r="Q76" s="489"/>
      <c r="R76" s="490">
        <f>IF($M$85&lt;0,"N/A",$M$85)</f>
        <v>97312016</v>
      </c>
      <c r="S76" s="330"/>
      <c r="T76" s="330"/>
      <c r="U76" s="327"/>
      <c r="V76" s="276"/>
      <c r="W76" s="331"/>
      <c r="X76" s="331"/>
      <c r="Y76" s="331"/>
      <c r="Z76" s="331"/>
      <c r="AA76" s="276"/>
      <c r="AB76" s="276"/>
    </row>
    <row r="77" spans="1:28">
      <c r="A77" s="184">
        <v>60</v>
      </c>
      <c r="B77" s="160" t="s">
        <v>46</v>
      </c>
      <c r="C77" s="160"/>
      <c r="D77" s="372">
        <f>Input!$PK$16</f>
        <v>-6665732</v>
      </c>
      <c r="E77" s="372">
        <f>Input!$PL$16</f>
        <v>-1880616</v>
      </c>
      <c r="F77" s="372">
        <f>Input!$PM$16</f>
        <v>-5443658</v>
      </c>
      <c r="G77" s="372">
        <f>Input!$PN$16</f>
        <v>0</v>
      </c>
      <c r="H77" s="372">
        <f>Input!$PO$16</f>
        <v>0</v>
      </c>
      <c r="I77" s="372">
        <f>Input!$PP$16</f>
        <v>0</v>
      </c>
      <c r="J77" s="372">
        <f>Input!$PQ$16</f>
        <v>0</v>
      </c>
      <c r="K77" s="372">
        <f>Input!$PR$16</f>
        <v>0</v>
      </c>
      <c r="L77" s="372">
        <f>Input!$PS$16</f>
        <v>0</v>
      </c>
      <c r="M77" s="373">
        <f>D77+E77+F77+G77+H77+I77+J77+K77+L77</f>
        <v>-13990006</v>
      </c>
      <c r="N77" s="160"/>
      <c r="O77" s="491" t="s">
        <v>584</v>
      </c>
      <c r="P77" s="334"/>
      <c r="Q77" s="334"/>
      <c r="R77" s="521">
        <f>Input!$UB$16</f>
        <v>30542255</v>
      </c>
      <c r="S77" s="330"/>
      <c r="T77" s="330"/>
      <c r="U77" s="327"/>
      <c r="V77" s="276"/>
      <c r="W77" s="331"/>
      <c r="X77" s="331"/>
      <c r="Y77" s="331"/>
      <c r="Z77" s="331"/>
      <c r="AA77" s="276"/>
      <c r="AB77" s="276"/>
    </row>
    <row r="78" spans="1:28">
      <c r="A78" s="184">
        <v>61</v>
      </c>
      <c r="B78" s="162" t="s">
        <v>3</v>
      </c>
      <c r="C78" s="162"/>
      <c r="D78" s="374">
        <f t="shared" ref="D78:L78" si="20">SUM(D74:D77)</f>
        <v>-3960365</v>
      </c>
      <c r="E78" s="374">
        <f t="shared" si="20"/>
        <v>12519818</v>
      </c>
      <c r="F78" s="374">
        <f t="shared" si="20"/>
        <v>9263591</v>
      </c>
      <c r="G78" s="374">
        <f t="shared" si="20"/>
        <v>-36541635</v>
      </c>
      <c r="H78" s="374">
        <f t="shared" si="20"/>
        <v>0</v>
      </c>
      <c r="I78" s="374">
        <f t="shared" si="20"/>
        <v>5765732</v>
      </c>
      <c r="J78" s="374">
        <f t="shared" si="20"/>
        <v>-6884008</v>
      </c>
      <c r="K78" s="374">
        <f t="shared" si="20"/>
        <v>0</v>
      </c>
      <c r="L78" s="374">
        <f t="shared" si="20"/>
        <v>0</v>
      </c>
      <c r="M78" s="374">
        <f>D78+E78+F78+G78+H78+I78+J78+K78+L78</f>
        <v>-19836867</v>
      </c>
      <c r="N78" s="160"/>
      <c r="O78" s="491" t="s">
        <v>585</v>
      </c>
      <c r="P78" s="276"/>
      <c r="Q78" s="334"/>
      <c r="R78" s="492">
        <f>IF($M$85&lt;0,"",$R$76-$R$77)</f>
        <v>66769761</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3"/>
      <c r="P79" s="276"/>
      <c r="Q79" s="334"/>
      <c r="R79" s="494"/>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5" t="s">
        <v>586</v>
      </c>
      <c r="P80" s="276"/>
      <c r="Q80" s="334"/>
      <c r="R80" s="521">
        <f>Input!$UC$16</f>
        <v>30910757</v>
      </c>
      <c r="S80" s="330"/>
      <c r="T80" s="330"/>
      <c r="U80" s="334"/>
      <c r="V80" s="276"/>
      <c r="W80" s="328"/>
      <c r="X80" s="328"/>
      <c r="Y80" s="331"/>
      <c r="Z80" s="331"/>
      <c r="AA80" s="276"/>
      <c r="AB80" s="276"/>
    </row>
    <row r="81" spans="1:28">
      <c r="A81" s="184">
        <v>64</v>
      </c>
      <c r="B81" s="160" t="s">
        <v>47</v>
      </c>
      <c r="C81" s="160"/>
      <c r="D81" s="372">
        <f>Input!$PT$16</f>
        <v>0</v>
      </c>
      <c r="E81" s="372">
        <f>Input!$PU$16</f>
        <v>14018084</v>
      </c>
      <c r="F81" s="372">
        <f>Input!$PV$16</f>
        <v>0</v>
      </c>
      <c r="G81" s="372">
        <f>Input!$PW$16</f>
        <v>0</v>
      </c>
      <c r="H81" s="372">
        <f>Input!$PX$16</f>
        <v>0</v>
      </c>
      <c r="I81" s="372">
        <f>Input!$PY$16</f>
        <v>16892673</v>
      </c>
      <c r="J81" s="372">
        <f>Input!$PZ$16</f>
        <v>0</v>
      </c>
      <c r="K81" s="372">
        <f>Input!$QA$16</f>
        <v>0</v>
      </c>
      <c r="L81" s="372">
        <f>Input!$QB$16</f>
        <v>0</v>
      </c>
      <c r="M81" s="373">
        <f>D81+E81+F81+G81+H81+I81+J81+K81+L81</f>
        <v>30910757</v>
      </c>
      <c r="N81" s="160"/>
      <c r="O81" s="496" t="s">
        <v>587</v>
      </c>
      <c r="P81" s="276"/>
      <c r="Q81" s="276"/>
      <c r="R81" s="497"/>
      <c r="S81" s="330"/>
      <c r="T81" s="330"/>
      <c r="W81" s="276"/>
      <c r="X81" s="276"/>
      <c r="Y81" s="331"/>
      <c r="Z81" s="331"/>
      <c r="AA81" s="276"/>
      <c r="AB81" s="276"/>
    </row>
    <row r="82" spans="1:28">
      <c r="A82" s="184">
        <v>65</v>
      </c>
      <c r="B82" s="160" t="s">
        <v>48</v>
      </c>
      <c r="C82" s="160"/>
      <c r="D82" s="372">
        <f>Input!$QC$16</f>
        <v>0</v>
      </c>
      <c r="E82" s="372">
        <f>Input!$QD$16</f>
        <v>0</v>
      </c>
      <c r="F82" s="372">
        <f>Input!$QE$16</f>
        <v>0</v>
      </c>
      <c r="G82" s="372">
        <f>Input!$QF$16</f>
        <v>0</v>
      </c>
      <c r="H82" s="372">
        <f>Input!$QG$16</f>
        <v>0</v>
      </c>
      <c r="I82" s="372">
        <f>Input!$QH$16</f>
        <v>35859004</v>
      </c>
      <c r="J82" s="372">
        <f>Input!$QI$16</f>
        <v>0</v>
      </c>
      <c r="K82" s="372">
        <f>Input!$QJ$16</f>
        <v>0</v>
      </c>
      <c r="L82" s="372">
        <f>Input!$QK$16</f>
        <v>0</v>
      </c>
      <c r="M82" s="373">
        <f>D82+E82+F82+G82+H82+I82+J82+K82+L82</f>
        <v>35859004</v>
      </c>
      <c r="N82" s="160"/>
      <c r="O82" s="498" t="s">
        <v>588</v>
      </c>
      <c r="P82" s="276"/>
      <c r="Q82" s="276"/>
      <c r="R82" s="492">
        <f>IFERROR($R$78-$R$80,"")</f>
        <v>35859004</v>
      </c>
      <c r="Y82" s="331"/>
      <c r="Z82" s="401"/>
      <c r="AA82" s="268"/>
      <c r="AB82" s="268"/>
    </row>
    <row r="83" spans="1:28">
      <c r="A83" s="184">
        <v>66</v>
      </c>
      <c r="B83" s="162" t="s">
        <v>3</v>
      </c>
      <c r="C83" s="162"/>
      <c r="D83" s="374">
        <f t="shared" ref="D83:L83" si="21">SUM(D81:D82)</f>
        <v>0</v>
      </c>
      <c r="E83" s="374">
        <f t="shared" si="21"/>
        <v>14018084</v>
      </c>
      <c r="F83" s="374">
        <f t="shared" si="21"/>
        <v>0</v>
      </c>
      <c r="G83" s="374">
        <f t="shared" si="21"/>
        <v>0</v>
      </c>
      <c r="H83" s="374">
        <f t="shared" si="21"/>
        <v>0</v>
      </c>
      <c r="I83" s="374">
        <f t="shared" si="21"/>
        <v>52751677</v>
      </c>
      <c r="J83" s="374">
        <f t="shared" si="21"/>
        <v>0</v>
      </c>
      <c r="K83" s="374">
        <f t="shared" si="21"/>
        <v>0</v>
      </c>
      <c r="L83" s="374">
        <f t="shared" si="21"/>
        <v>0</v>
      </c>
      <c r="M83" s="374">
        <f>D83+E83+F83+G83+H83+I83+J83+K83+L83</f>
        <v>66769761</v>
      </c>
      <c r="N83" s="160"/>
      <c r="O83" s="493"/>
      <c r="P83" s="276"/>
      <c r="Q83" s="276"/>
      <c r="R83" s="497"/>
      <c r="Y83" s="163"/>
      <c r="Z83" s="447"/>
      <c r="AA83" s="439"/>
      <c r="AB83" s="448"/>
    </row>
    <row r="84" spans="1:28" ht="13.5" thickBot="1">
      <c r="A84" s="184">
        <v>67</v>
      </c>
      <c r="B84" s="160"/>
      <c r="C84" s="160"/>
      <c r="D84" s="373"/>
      <c r="E84" s="373"/>
      <c r="F84" s="373"/>
      <c r="G84" s="373"/>
      <c r="H84" s="373"/>
      <c r="I84" s="373"/>
      <c r="J84" s="373"/>
      <c r="K84" s="373"/>
      <c r="L84" s="373"/>
      <c r="M84" s="373"/>
      <c r="N84" s="160"/>
      <c r="O84" s="499" t="s">
        <v>589</v>
      </c>
      <c r="P84" s="500"/>
      <c r="Q84" s="500"/>
      <c r="R84" s="501">
        <f>IFERROR((R82+R80)-R78,"")</f>
        <v>0</v>
      </c>
      <c r="Y84" s="268"/>
      <c r="Z84" s="447"/>
      <c r="AA84" s="439"/>
      <c r="AB84" s="449"/>
    </row>
    <row r="85" spans="1:28" ht="13.5" thickTop="1">
      <c r="A85" s="184">
        <v>68</v>
      </c>
      <c r="B85" s="162" t="s">
        <v>574</v>
      </c>
      <c r="C85" s="162"/>
      <c r="D85" s="374">
        <f t="shared" ref="D85:L85" si="22">D57-D71+D78+D83</f>
        <v>3413048</v>
      </c>
      <c r="E85" s="374">
        <f t="shared" si="22"/>
        <v>27047085</v>
      </c>
      <c r="F85" s="374">
        <f t="shared" si="22"/>
        <v>613789</v>
      </c>
      <c r="G85" s="374">
        <f t="shared" si="22"/>
        <v>18669609</v>
      </c>
      <c r="H85" s="374">
        <f t="shared" si="22"/>
        <v>23511</v>
      </c>
      <c r="I85" s="374">
        <f t="shared" si="22"/>
        <v>58562866</v>
      </c>
      <c r="J85" s="374">
        <f t="shared" si="22"/>
        <v>-10896661</v>
      </c>
      <c r="K85" s="374">
        <f t="shared" si="22"/>
        <v>0</v>
      </c>
      <c r="L85" s="374">
        <f t="shared" si="22"/>
        <v>-121231</v>
      </c>
      <c r="M85" s="374">
        <f>D85+E85+F85+G85+H85+I85+J85+K85+L85</f>
        <v>97312016</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Input!$QL$16</f>
        <v>0</v>
      </c>
      <c r="E87" s="372">
        <f>Input!$QM$16</f>
        <v>0</v>
      </c>
      <c r="F87" s="372">
        <f>Input!$QN$16</f>
        <v>0</v>
      </c>
      <c r="G87" s="372">
        <f>Input!$QO$16</f>
        <v>0</v>
      </c>
      <c r="H87" s="372">
        <f>Input!$QP$16</f>
        <v>0</v>
      </c>
      <c r="I87" s="372">
        <f>Input!$QQ$16</f>
        <v>0</v>
      </c>
      <c r="J87" s="372">
        <f>Input!$QR$16</f>
        <v>0</v>
      </c>
      <c r="K87" s="372">
        <f>Input!$QS$16</f>
        <v>0</v>
      </c>
      <c r="L87" s="372">
        <f>Input!$QT$16</f>
        <v>0</v>
      </c>
      <c r="M87" s="329">
        <f>D87+E87+F87+G87+H87+I87+J87+K87+L87</f>
        <v>0</v>
      </c>
      <c r="N87" s="160"/>
      <c r="Y87" s="268"/>
      <c r="Z87" s="447"/>
      <c r="AA87" s="439"/>
      <c r="AB87" s="449"/>
    </row>
    <row r="88" spans="1:28">
      <c r="A88" s="184">
        <v>72</v>
      </c>
      <c r="B88" s="160" t="s">
        <v>66</v>
      </c>
      <c r="C88" s="160"/>
      <c r="D88" s="372">
        <f>Input!$QU$16</f>
        <v>0</v>
      </c>
      <c r="E88" s="372">
        <f>Input!$QV$16</f>
        <v>0</v>
      </c>
      <c r="F88" s="372">
        <f>Input!$QW$16</f>
        <v>0</v>
      </c>
      <c r="G88" s="372">
        <f>Input!$QX$16</f>
        <v>0</v>
      </c>
      <c r="H88" s="372">
        <f>Input!$QY$16</f>
        <v>0</v>
      </c>
      <c r="I88" s="372">
        <f>Input!$QZ$16</f>
        <v>0</v>
      </c>
      <c r="J88" s="372">
        <f>Input!$RA$16</f>
        <v>0</v>
      </c>
      <c r="K88" s="372">
        <f>Input!$RB$16</f>
        <v>0</v>
      </c>
      <c r="L88" s="372">
        <f>Input!$RC$16</f>
        <v>-23402579</v>
      </c>
      <c r="M88" s="373">
        <f>D88+E88+F88+G88+H88+I88+J88+K88+L88</f>
        <v>-23402579</v>
      </c>
      <c r="N88" s="160"/>
      <c r="O88" s="270"/>
      <c r="P88" s="335"/>
      <c r="Y88" s="268"/>
      <c r="Z88" s="447"/>
      <c r="AA88" s="439"/>
      <c r="AB88" s="449"/>
    </row>
    <row r="89" spans="1:28" s="264" customFormat="1">
      <c r="A89" s="263"/>
      <c r="B89" s="171" t="s">
        <v>216</v>
      </c>
      <c r="C89" s="171"/>
      <c r="D89" s="372">
        <f>Input!$RD$16</f>
        <v>0</v>
      </c>
      <c r="E89" s="372">
        <f>Input!$RE$16</f>
        <v>0</v>
      </c>
      <c r="F89" s="372">
        <f>Input!$RF$16</f>
        <v>0</v>
      </c>
      <c r="G89" s="372">
        <f>Input!$RG$16</f>
        <v>0</v>
      </c>
      <c r="H89" s="372">
        <f>Input!$RH$16</f>
        <v>0</v>
      </c>
      <c r="I89" s="372">
        <f>Input!$RI$16</f>
        <v>0</v>
      </c>
      <c r="J89" s="372">
        <f>Input!$RJ$16</f>
        <v>0</v>
      </c>
      <c r="K89" s="372">
        <f>Input!$RK$16</f>
        <v>0</v>
      </c>
      <c r="L89" s="372">
        <f>Input!$RL$16</f>
        <v>0</v>
      </c>
      <c r="M89" s="373">
        <f t="shared" ref="M89:M91" si="23">D89+E89+F89+G89+H89+I89+J89+K89+L89</f>
        <v>0</v>
      </c>
      <c r="N89" s="160"/>
      <c r="O89" s="1726" t="s">
        <v>1355</v>
      </c>
      <c r="P89" s="1727"/>
      <c r="Q89" s="1727"/>
      <c r="R89" s="1727"/>
      <c r="S89" s="1727"/>
      <c r="T89" s="1727"/>
      <c r="U89" s="1728"/>
      <c r="Y89" s="268"/>
      <c r="Z89" s="447"/>
      <c r="AA89" s="439"/>
      <c r="AB89" s="449"/>
    </row>
    <row r="90" spans="1:28" s="264" customFormat="1">
      <c r="A90" s="263"/>
      <c r="B90" s="171" t="s">
        <v>105</v>
      </c>
      <c r="C90" s="171"/>
      <c r="D90" s="372">
        <f>Input!$RM$16</f>
        <v>0</v>
      </c>
      <c r="E90" s="372">
        <f>Input!$RN$16</f>
        <v>0</v>
      </c>
      <c r="F90" s="372">
        <f>Input!$RO$16</f>
        <v>0</v>
      </c>
      <c r="G90" s="372">
        <f>Input!$RP$16</f>
        <v>0</v>
      </c>
      <c r="H90" s="372">
        <f>Input!$RQ$16</f>
        <v>0</v>
      </c>
      <c r="I90" s="372">
        <f>Input!$RR$16</f>
        <v>0</v>
      </c>
      <c r="J90" s="372">
        <f>Input!$RS$16</f>
        <v>0</v>
      </c>
      <c r="K90" s="372">
        <f>Input!$RT$16</f>
        <v>0</v>
      </c>
      <c r="L90" s="372">
        <f>Input!$RU$16</f>
        <v>0</v>
      </c>
      <c r="M90" s="373">
        <f t="shared" si="23"/>
        <v>0</v>
      </c>
      <c r="N90" s="160"/>
      <c r="O90" s="502" t="s">
        <v>590</v>
      </c>
      <c r="P90" s="423"/>
      <c r="Q90" s="502" t="s">
        <v>591</v>
      </c>
      <c r="R90" s="423"/>
      <c r="S90" s="503"/>
      <c r="T90" s="502" t="s">
        <v>592</v>
      </c>
      <c r="U90" s="423"/>
      <c r="Y90" s="268"/>
      <c r="Z90" s="447"/>
      <c r="AA90" s="439"/>
      <c r="AB90" s="449"/>
    </row>
    <row r="91" spans="1:28" s="264" customFormat="1">
      <c r="A91" s="263"/>
      <c r="B91" s="171" t="s">
        <v>128</v>
      </c>
      <c r="C91" s="171"/>
      <c r="D91" s="372">
        <f>Input!$RV$16</f>
        <v>0</v>
      </c>
      <c r="E91" s="372">
        <f>Input!$RW$16</f>
        <v>0</v>
      </c>
      <c r="F91" s="372">
        <f>Input!$RX$16</f>
        <v>0</v>
      </c>
      <c r="G91" s="372">
        <f>Input!$RY$16</f>
        <v>0</v>
      </c>
      <c r="H91" s="372">
        <f>Input!$RZ$16</f>
        <v>0</v>
      </c>
      <c r="I91" s="372">
        <f>Input!$SA$16</f>
        <v>0</v>
      </c>
      <c r="J91" s="372">
        <f>Input!$SB$16</f>
        <v>0</v>
      </c>
      <c r="K91" s="372">
        <f>Input!$SC$16</f>
        <v>0</v>
      </c>
      <c r="L91" s="372">
        <f>Input!$SD$16</f>
        <v>0</v>
      </c>
      <c r="M91" s="373">
        <f t="shared" si="23"/>
        <v>0</v>
      </c>
      <c r="N91" s="160"/>
      <c r="O91" s="504"/>
      <c r="P91" s="505"/>
      <c r="Q91" s="504"/>
      <c r="R91" s="426"/>
      <c r="S91" s="276"/>
      <c r="T91" s="506"/>
      <c r="U91" s="426"/>
      <c r="Y91" s="268"/>
      <c r="Z91" s="447"/>
      <c r="AA91" s="439"/>
      <c r="AB91" s="449"/>
    </row>
    <row r="92" spans="1:28" s="264" customFormat="1">
      <c r="A92" s="263"/>
      <c r="B92" s="160" t="s">
        <v>67</v>
      </c>
      <c r="C92" s="160"/>
      <c r="D92" s="372">
        <f>Input!$SE$16</f>
        <v>148449</v>
      </c>
      <c r="E92" s="372">
        <f>Input!$SF$16</f>
        <v>598642</v>
      </c>
      <c r="F92" s="372">
        <f>Input!$SG$16</f>
        <v>64067</v>
      </c>
      <c r="G92" s="372">
        <f>Input!$SH$16</f>
        <v>2488998</v>
      </c>
      <c r="H92" s="372">
        <f>Input!$SI$16</f>
        <v>0</v>
      </c>
      <c r="I92" s="372">
        <f>Input!$SJ$16</f>
        <v>0</v>
      </c>
      <c r="J92" s="372">
        <f>Input!$SK$16</f>
        <v>5932666</v>
      </c>
      <c r="K92" s="372">
        <f>Input!$SL$16</f>
        <v>0</v>
      </c>
      <c r="L92" s="372">
        <f>Input!$SM$16</f>
        <v>0</v>
      </c>
      <c r="M92" s="373">
        <f>D92+E92+F92+G92+H92+I92+J92+K92+L92</f>
        <v>9232822</v>
      </c>
      <c r="N92" s="160"/>
      <c r="O92" s="1729" t="str">
        <f>Input!UF$16</f>
        <v>Chris Arrington</v>
      </c>
      <c r="P92" s="1730"/>
      <c r="Q92" s="1729" t="str">
        <f>Input!$UG$16</f>
        <v>979-458-9151</v>
      </c>
      <c r="R92" s="1730"/>
      <c r="S92" s="276"/>
      <c r="T92" s="1731" t="str">
        <f>HYPERLINK("Mailto:"&amp;Input!$UH$16,Input!$UH$16)</f>
        <v>carrington@tamus.edu</v>
      </c>
      <c r="U92" s="1730"/>
      <c r="Y92" s="268"/>
      <c r="Z92" s="447"/>
      <c r="AA92" s="442"/>
      <c r="AB92" s="449"/>
    </row>
    <row r="93" spans="1:28" ht="13.5" thickBot="1">
      <c r="B93" s="179" t="s">
        <v>58</v>
      </c>
      <c r="C93" s="179"/>
      <c r="D93" s="380">
        <f t="shared" ref="D93:K93" si="24">SUM(D85:D92)</f>
        <v>3561497</v>
      </c>
      <c r="E93" s="380">
        <f t="shared" si="24"/>
        <v>27645727</v>
      </c>
      <c r="F93" s="380">
        <f t="shared" si="24"/>
        <v>677856</v>
      </c>
      <c r="G93" s="380">
        <f t="shared" si="24"/>
        <v>21158607</v>
      </c>
      <c r="H93" s="380">
        <f t="shared" si="24"/>
        <v>23511</v>
      </c>
      <c r="I93" s="380">
        <f t="shared" si="24"/>
        <v>58562866</v>
      </c>
      <c r="J93" s="380">
        <f t="shared" si="24"/>
        <v>-4963995</v>
      </c>
      <c r="K93" s="380">
        <f t="shared" si="24"/>
        <v>0</v>
      </c>
      <c r="L93" s="380">
        <f>SUM(L85:L92)</f>
        <v>-23523810</v>
      </c>
      <c r="M93" s="380">
        <f>D93+E93+F93+G93+H93+I93+J93+K93+L93</f>
        <v>83142259</v>
      </c>
      <c r="N93" s="160"/>
      <c r="O93" s="506"/>
      <c r="P93" s="507"/>
      <c r="Q93" s="276"/>
      <c r="R93" s="276"/>
      <c r="S93" s="276"/>
      <c r="T93" s="507"/>
      <c r="U93" s="508"/>
      <c r="Y93" s="268"/>
      <c r="Z93" s="447"/>
      <c r="AA93" s="442"/>
      <c r="AB93" s="449"/>
    </row>
    <row r="94" spans="1:28" ht="13.5" thickTop="1">
      <c r="C94" s="160"/>
      <c r="D94" s="165"/>
      <c r="E94" s="165"/>
      <c r="F94" s="165"/>
      <c r="G94" s="165"/>
      <c r="H94" s="165"/>
      <c r="I94" s="165"/>
      <c r="J94" s="165"/>
      <c r="K94" s="165"/>
      <c r="L94" s="165"/>
      <c r="M94" s="180"/>
      <c r="N94" s="160"/>
      <c r="O94" s="1720" t="s">
        <v>593</v>
      </c>
      <c r="P94" s="1721"/>
      <c r="Q94" s="1721"/>
      <c r="R94" s="1721"/>
      <c r="S94" s="1721"/>
      <c r="T94" s="1721"/>
      <c r="U94" s="1722"/>
      <c r="Y94" s="268"/>
      <c r="Z94" s="451"/>
      <c r="AA94" s="442"/>
      <c r="AB94" s="449"/>
    </row>
    <row r="95" spans="1:28">
      <c r="B95" s="171" t="s">
        <v>1369</v>
      </c>
      <c r="C95" s="169"/>
      <c r="D95" s="165"/>
      <c r="E95" s="165"/>
      <c r="F95" s="165"/>
      <c r="G95" s="165"/>
      <c r="H95" s="165"/>
      <c r="I95" s="165"/>
      <c r="J95" s="165"/>
      <c r="K95" s="165"/>
      <c r="L95" s="165"/>
      <c r="M95" s="180"/>
      <c r="N95" s="160"/>
      <c r="O95" s="1720"/>
      <c r="P95" s="1721"/>
      <c r="Q95" s="1721"/>
      <c r="R95" s="1721"/>
      <c r="S95" s="1721"/>
      <c r="T95" s="1721"/>
      <c r="U95" s="1722"/>
      <c r="Y95" s="268"/>
      <c r="Z95" s="452"/>
      <c r="AA95" s="453"/>
      <c r="AB95" s="454"/>
    </row>
    <row r="96" spans="1:28">
      <c r="B96" s="169" t="s">
        <v>80</v>
      </c>
      <c r="C96" s="160"/>
      <c r="D96" s="165"/>
      <c r="E96" s="165"/>
      <c r="F96" s="165"/>
      <c r="G96" s="165"/>
      <c r="H96" s="165"/>
      <c r="I96" s="165"/>
      <c r="J96" s="165"/>
      <c r="K96" s="165"/>
      <c r="L96" s="165"/>
      <c r="M96" s="180"/>
      <c r="N96" s="160"/>
      <c r="O96" s="509"/>
      <c r="P96" s="510"/>
      <c r="Q96" s="511"/>
      <c r="R96" s="511"/>
      <c r="S96" s="511"/>
      <c r="T96" s="510"/>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Input!$SN$16</f>
        <v>83142259</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3" t="str">
        <f>IF($L$118&lt;&gt;Input!$F$16,"Out of Balance","Balanced")</f>
        <v>Balanced</v>
      </c>
      <c r="M102" s="517"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173176387</v>
      </c>
      <c r="E105" s="373">
        <f>SUM($E$10:$E$14)+SUM($E$19:$E$28)+SUM($E$32:$E$41)+$E$47+SUM($E$50:$E$55)+SUM($E$60:$E$70)+SUM($E$74:$E$77)+SUM($E$81:$E$82)+SUM($E$87:$E$92)</f>
        <v>138733647</v>
      </c>
      <c r="F105" s="373">
        <f>SUM($F$10:$F$14)+SUM($F$19:$F$28)+SUM($F$32:$F$41)+$F$47+SUM($F$50:$F$55)+SUM($F$60:$F$70)+SUM($F$74:$F$77)+SUM($F$81:$F$82)+SUM($F$87:$F$92)</f>
        <v>56607462</v>
      </c>
      <c r="G105" s="373">
        <f>SUM($G$10:$G$14)+SUM($G$19:$G$28)+SUM($G$32:$G$41)+$G$47+SUM($G$50:$G$55)+SUM($G$60:$G$70)+SUM($G$74:$G$77)+SUM($G$81:$G$82)+SUM($G$87:$G$92)</f>
        <v>205649277</v>
      </c>
      <c r="H105" s="373">
        <f>SUM($H$10:$H$14)+SUM($H$19:$H$28)+SUM($H$32:$H$41)+$H$47+SUM($H$50:$H$55)+SUM($H$60:$H$70)+SUM($H$74:$H$77)+SUM($H$81:$H$82)+SUM($H$87:$H$92)</f>
        <v>-23511</v>
      </c>
      <c r="I105" s="373">
        <f>SUM($I$10:$I$14)+SUM($I$19:$I$28)+SUM($I$32:$I$41)+$I$47+SUM($I$50:$I$55)+SUM($I$60:$I$70)+SUM($I$74:$I$77)+SUM($I$81:$I$82)+SUM($I$87:$I$92)</f>
        <v>58562866</v>
      </c>
      <c r="J105" s="373">
        <f>SUM($J$10:$J$14)+SUM($J$19:$J$28)+SUM($J$32:$J$41)+$J$47+SUM($J$50:$J$55)+SUM($J$60:$J$70)+SUM($J$74:$J$77)+SUM($J$81:$J$82)+SUM($J$87:$J$92)</f>
        <v>4000579</v>
      </c>
      <c r="K105" s="373">
        <f>SUM($K$10:$K$14)+SUM($K$19:$K$28)+SUM($K$32:$K$41)+$K$47+SUM($K$50:$K$55)+SUM($K$60:$K$70)+SUM($K$74:$K$77)+SUM($K$81:$K$82)+SUM($K$87:$K$92)</f>
        <v>0</v>
      </c>
      <c r="L105" s="373">
        <f>SUM($L$10:$L$14)+SUM($L$19:$L$28)+SUM($L$32:$L$41)+$L$47+SUM($L$50:$L$55)+SUM($L$60:$L$70)+SUM($L$74:$L$77)+SUM($L$81:$L$82)+SUM($L$87:$L$92)</f>
        <v>-23281348</v>
      </c>
      <c r="M105" s="373"/>
      <c r="N105" s="264"/>
      <c r="O105" s="373"/>
      <c r="P105" s="450">
        <f>M18-INT(M18)</f>
        <v>0</v>
      </c>
    </row>
    <row r="106" spans="2:28">
      <c r="B106" s="261"/>
      <c r="C106" s="261"/>
      <c r="D106" s="261"/>
      <c r="E106" s="261"/>
      <c r="F106" s="261"/>
      <c r="G106" s="261"/>
      <c r="H106" s="261"/>
      <c r="I106" s="261"/>
      <c r="J106" s="261"/>
      <c r="K106" s="261"/>
      <c r="L106" s="373">
        <f>SUM($D$105:$L$105)</f>
        <v>613425359</v>
      </c>
      <c r="M106" s="261"/>
      <c r="N106" s="264"/>
      <c r="O106" s="373"/>
      <c r="P106" s="450">
        <f>M31-INT(M31)</f>
        <v>0</v>
      </c>
    </row>
    <row r="107" spans="2:28">
      <c r="B107" s="261"/>
      <c r="C107" s="261"/>
      <c r="D107" s="261"/>
      <c r="E107" s="261"/>
      <c r="F107" s="261"/>
      <c r="G107" s="261"/>
      <c r="H107" s="261"/>
      <c r="I107" s="261"/>
      <c r="J107" s="261" t="s">
        <v>1299</v>
      </c>
      <c r="K107" s="261"/>
      <c r="L107" s="373">
        <f>$M$100</f>
        <v>83142259</v>
      </c>
      <c r="M107" s="261"/>
      <c r="N107" s="264"/>
      <c r="O107" s="373"/>
      <c r="P107" s="450">
        <f>M93-INT(M93)</f>
        <v>0</v>
      </c>
    </row>
    <row r="108" spans="2:28">
      <c r="B108" s="261"/>
      <c r="C108" s="261"/>
      <c r="D108" s="261"/>
      <c r="E108" s="261"/>
      <c r="F108" s="261"/>
      <c r="G108" s="261"/>
      <c r="H108" s="261"/>
      <c r="I108" s="261"/>
      <c r="J108" s="261" t="s">
        <v>1300</v>
      </c>
      <c r="K108" s="261"/>
      <c r="L108" s="512">
        <f>$Q$32</f>
        <v>99885392</v>
      </c>
      <c r="M108" s="261"/>
      <c r="N108" s="264"/>
      <c r="O108" s="373"/>
    </row>
    <row r="109" spans="2:28">
      <c r="B109" s="261"/>
      <c r="C109" s="261"/>
      <c r="D109" s="261"/>
      <c r="E109" s="261"/>
      <c r="F109" s="261"/>
      <c r="G109" s="261"/>
      <c r="H109" s="261"/>
      <c r="I109" s="261"/>
      <c r="J109" s="261" t="s">
        <v>1300</v>
      </c>
      <c r="K109" s="261"/>
      <c r="L109" s="512">
        <f>$R$34</f>
        <v>-41278880</v>
      </c>
      <c r="M109" s="261"/>
      <c r="N109" s="264"/>
      <c r="O109" s="373"/>
    </row>
    <row r="110" spans="2:28">
      <c r="B110" s="261"/>
      <c r="C110" s="261"/>
      <c r="D110" s="261"/>
      <c r="E110" s="261"/>
      <c r="F110" s="261"/>
      <c r="G110" s="261"/>
      <c r="H110" s="261"/>
      <c r="I110" s="261"/>
      <c r="J110" s="261" t="s">
        <v>29</v>
      </c>
      <c r="K110" s="261"/>
      <c r="L110" s="512">
        <f>SUM($P$60:$P$68)</f>
        <v>3300156</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2">
        <f>SUM($V$60:$V$67)</f>
        <v>117737</v>
      </c>
      <c r="M112" s="261"/>
      <c r="N112" s="264"/>
      <c r="O112" s="373"/>
    </row>
    <row r="113" spans="2:15">
      <c r="B113" s="261"/>
      <c r="C113" s="261"/>
      <c r="D113" s="261"/>
      <c r="E113" s="261"/>
      <c r="F113" s="261"/>
      <c r="G113" s="261"/>
      <c r="H113" s="261"/>
      <c r="I113" s="261"/>
      <c r="J113" s="261" t="s">
        <v>596</v>
      </c>
      <c r="K113" s="261"/>
      <c r="L113" s="512">
        <f>SUM($W$60:$W$67)</f>
        <v>0</v>
      </c>
      <c r="M113" s="261"/>
      <c r="N113" s="264"/>
      <c r="O113" s="373"/>
    </row>
    <row r="114" spans="2:15">
      <c r="B114" s="261"/>
      <c r="C114" s="261"/>
      <c r="D114" s="261"/>
      <c r="E114" s="261"/>
      <c r="F114" s="261"/>
      <c r="G114" s="261"/>
      <c r="H114" s="261"/>
      <c r="I114" s="261"/>
      <c r="J114" s="261" t="s">
        <v>258</v>
      </c>
      <c r="K114" s="261"/>
      <c r="L114" s="512">
        <f>SUM($AA$60:$AA$68)</f>
        <v>263922860</v>
      </c>
      <c r="M114" s="261"/>
      <c r="N114" s="264"/>
      <c r="O114" s="373"/>
    </row>
    <row r="115" spans="2:15">
      <c r="B115" s="261"/>
      <c r="C115" s="261"/>
      <c r="D115" s="261"/>
      <c r="E115" s="261"/>
      <c r="F115" s="261"/>
      <c r="G115" s="261"/>
      <c r="H115" s="261"/>
      <c r="I115" s="261"/>
      <c r="J115" s="261" t="s">
        <v>597</v>
      </c>
      <c r="K115" s="261"/>
      <c r="L115" s="512">
        <f>$R$77</f>
        <v>30542255</v>
      </c>
      <c r="M115" s="261"/>
      <c r="N115" s="264"/>
      <c r="O115" s="373"/>
    </row>
    <row r="116" spans="2:15">
      <c r="B116" s="261"/>
      <c r="C116" s="261"/>
      <c r="D116" s="261"/>
      <c r="E116" s="261"/>
      <c r="F116" s="261"/>
      <c r="G116" s="261"/>
      <c r="H116" s="261"/>
      <c r="I116" s="261"/>
      <c r="J116" s="261" t="s">
        <v>597</v>
      </c>
      <c r="K116" s="261"/>
      <c r="L116" s="512">
        <f>$R$80</f>
        <v>30910757</v>
      </c>
      <c r="M116" s="261"/>
      <c r="N116" s="264"/>
      <c r="O116" s="373"/>
    </row>
    <row r="117" spans="2:15">
      <c r="B117" s="261"/>
      <c r="C117" s="261"/>
      <c r="D117" s="261"/>
      <c r="E117" s="261"/>
      <c r="F117" s="261"/>
      <c r="G117" s="261"/>
      <c r="H117" s="261"/>
      <c r="I117" s="261"/>
      <c r="J117" s="261" t="s">
        <v>1231</v>
      </c>
      <c r="K117" s="261"/>
      <c r="L117" s="1008">
        <f>VLOOKUP(B2,Names!B5:$C$87,2,FALSE)</f>
        <v>3630</v>
      </c>
      <c r="M117" s="261"/>
      <c r="N117" s="264"/>
      <c r="O117" s="373"/>
    </row>
    <row r="118" spans="2:15">
      <c r="B118" s="261"/>
      <c r="C118" s="261"/>
      <c r="D118" s="261"/>
      <c r="E118" s="261"/>
      <c r="F118" s="261"/>
      <c r="G118" s="261"/>
      <c r="H118" s="261"/>
      <c r="I118" s="261"/>
      <c r="J118" s="261"/>
      <c r="K118" s="261"/>
      <c r="L118" s="373">
        <f>SUM(L106:L117)</f>
        <v>1083971525</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V56:V59"/>
    <mergeCell ref="W56:W59"/>
    <mergeCell ref="G59:K59"/>
    <mergeCell ref="AA56:AA59"/>
    <mergeCell ref="Z55:AB55"/>
    <mergeCell ref="R56:R59"/>
    <mergeCell ref="O55:R55"/>
    <mergeCell ref="T55:X55"/>
    <mergeCell ref="X56:X59"/>
    <mergeCell ref="AB56:AB59"/>
    <mergeCell ref="Z56:Z59"/>
    <mergeCell ref="B2:F2"/>
    <mergeCell ref="B3:F3"/>
    <mergeCell ref="B4:F4"/>
    <mergeCell ref="B6:M6"/>
    <mergeCell ref="P4:Q4"/>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s>
  <conditionalFormatting sqref="U87:X88 O88:Q88">
    <cfRule type="cellIs" dxfId="1062" priority="267" stopIfTrue="1" operator="notEqual">
      <formula>#REF!</formula>
    </cfRule>
  </conditionalFormatting>
  <conditionalFormatting sqref="P70">
    <cfRule type="expression" dxfId="1061" priority="246">
      <formula>$P$69&lt;&gt;$M$69</formula>
    </cfRule>
  </conditionalFormatting>
  <conditionalFormatting sqref="AB72">
    <cfRule type="expression" dxfId="1060" priority="245">
      <formula>$AB$71&lt;&gt;0</formula>
    </cfRule>
  </conditionalFormatting>
  <conditionalFormatting sqref="P71">
    <cfRule type="expression" dxfId="1059" priority="244">
      <formula>P69-INT(P69)</formula>
    </cfRule>
  </conditionalFormatting>
  <conditionalFormatting sqref="V70">
    <cfRule type="expression" dxfId="1058" priority="242">
      <formula>X68-INT(X68)</formula>
    </cfRule>
  </conditionalFormatting>
  <conditionalFormatting sqref="O12">
    <cfRule type="expression" dxfId="1057" priority="233">
      <formula>$P$12&lt;&gt;$M$12</formula>
    </cfRule>
  </conditionalFormatting>
  <conditionalFormatting sqref="U87:U88 O88:Q88">
    <cfRule type="cellIs" dxfId="1056" priority="226" stopIfTrue="1" operator="notEqual">
      <formula>#REF!</formula>
    </cfRule>
  </conditionalFormatting>
  <conditionalFormatting sqref="R84">
    <cfRule type="expression" priority="224" stopIfTrue="1">
      <formula>$M$85&lt;0</formula>
    </cfRule>
    <cfRule type="expression" dxfId="1055" priority="225">
      <formula>$S$85&lt;&gt;0</formula>
    </cfRule>
  </conditionalFormatting>
  <conditionalFormatting sqref="R80 R77">
    <cfRule type="expression" dxfId="1054" priority="222" stopIfTrue="1">
      <formula>$M$85&gt;=0</formula>
    </cfRule>
    <cfRule type="expression" priority="223">
      <formula>$M$85&lt;0</formula>
    </cfRule>
  </conditionalFormatting>
  <conditionalFormatting sqref="U87:U88 O88:Q88">
    <cfRule type="cellIs" dxfId="1053" priority="221" stopIfTrue="1" operator="notEqual">
      <formula>#REF!</formula>
    </cfRule>
  </conditionalFormatting>
  <conditionalFormatting sqref="O13">
    <cfRule type="expression" dxfId="1052" priority="205">
      <formula>$P$13&lt;&gt;$M$13</formula>
    </cfRule>
  </conditionalFormatting>
  <conditionalFormatting sqref="U87:U88 O88:Q88">
    <cfRule type="cellIs" dxfId="1051" priority="204" stopIfTrue="1" operator="notEqual">
      <formula>#REF!</formula>
    </cfRule>
  </conditionalFormatting>
  <conditionalFormatting sqref="Q36">
    <cfRule type="expression" dxfId="1050" priority="27">
      <formula>#REF!&lt;&gt;#REF!</formula>
    </cfRule>
  </conditionalFormatting>
  <conditionalFormatting sqref="R35">
    <cfRule type="expression" dxfId="1049" priority="26">
      <formula>#REF!&lt;&gt;0</formula>
    </cfRule>
  </conditionalFormatting>
  <conditionalFormatting sqref="Q35">
    <cfRule type="expression" dxfId="1048" priority="25">
      <formula>#REF!&lt;&gt;0</formula>
    </cfRule>
  </conditionalFormatting>
  <conditionalFormatting sqref="R36">
    <cfRule type="expression" dxfId="1047" priority="24">
      <formula>#REF!&lt;&gt;#REF!</formula>
    </cfRule>
  </conditionalFormatting>
  <conditionalFormatting sqref="D93:M98 T94:T95 R90:S95 U87:X93 T90:T92 Y90:Y95 O88:O92 P88:Q93">
    <cfRule type="cellIs" dxfId="1046" priority="23" stopIfTrue="1" operator="notEqual">
      <formula>#REF!</formula>
    </cfRule>
  </conditionalFormatting>
  <conditionalFormatting sqref="P70">
    <cfRule type="expression" dxfId="1045" priority="22">
      <formula>$P$69&lt;&gt;$M$69</formula>
    </cfRule>
  </conditionalFormatting>
  <conditionalFormatting sqref="AB72">
    <cfRule type="expression" dxfId="1044" priority="21">
      <formula>$AB$71&lt;&gt;0</formula>
    </cfRule>
  </conditionalFormatting>
  <conditionalFormatting sqref="P71">
    <cfRule type="expression" dxfId="1043" priority="20">
      <formula>P69-INT(P69)</formula>
    </cfRule>
  </conditionalFormatting>
  <conditionalFormatting sqref="V70">
    <cfRule type="expression" dxfId="1042" priority="19">
      <formula>X68-INT(X68)</formula>
    </cfRule>
  </conditionalFormatting>
  <conditionalFormatting sqref="O12">
    <cfRule type="expression" dxfId="1041" priority="18">
      <formula>$P$12&lt;&gt;$M$12</formula>
    </cfRule>
  </conditionalFormatting>
  <conditionalFormatting sqref="T94:T95 R90:S95 U87:U93 T90:T92 O88:O92 P88:Q93">
    <cfRule type="cellIs" dxfId="1040" priority="16" stopIfTrue="1" operator="notEqual">
      <formula>#REF!</formula>
    </cfRule>
  </conditionalFormatting>
  <conditionalFormatting sqref="R84">
    <cfRule type="expression" priority="14" stopIfTrue="1">
      <formula>$M$85&lt;0</formula>
    </cfRule>
    <cfRule type="expression" dxfId="1039" priority="15">
      <formula>$S$85&lt;&gt;0</formula>
    </cfRule>
  </conditionalFormatting>
  <conditionalFormatting sqref="R80 R77">
    <cfRule type="expression" dxfId="1038" priority="12" stopIfTrue="1">
      <formula>$M$85&gt;=0</formula>
    </cfRule>
    <cfRule type="expression" priority="13">
      <formula>$M$85&lt;0</formula>
    </cfRule>
  </conditionalFormatting>
  <conditionalFormatting sqref="U87:U88 R89:U92 O88:Q92">
    <cfRule type="cellIs" dxfId="1037" priority="11" stopIfTrue="1" operator="notEqual">
      <formula>#REF!</formula>
    </cfRule>
  </conditionalFormatting>
  <conditionalFormatting sqref="M101">
    <cfRule type="expression" dxfId="1036" priority="10">
      <formula>$M$101&lt;&gt;0</formula>
    </cfRule>
  </conditionalFormatting>
  <conditionalFormatting sqref="M102">
    <cfRule type="expression" dxfId="1035" priority="9">
      <formula>$M$93&lt;&gt;$M$100</formula>
    </cfRule>
  </conditionalFormatting>
  <conditionalFormatting sqref="U87:U92 R90:T92 O88:Q92">
    <cfRule type="cellIs" dxfId="1034" priority="8" stopIfTrue="1" operator="notEqual">
      <formula>#REF!</formula>
    </cfRule>
  </conditionalFormatting>
  <conditionalFormatting sqref="T89:U89 Q91 T90 O89:O90 P89:Q89 R89:S91">
    <cfRule type="cellIs" dxfId="1033" priority="7" stopIfTrue="1" operator="notEqual">
      <formula>#REF!</formula>
    </cfRule>
  </conditionalFormatting>
  <conditionalFormatting sqref="Q36">
    <cfRule type="expression" dxfId="1032" priority="6">
      <formula>#REF!&lt;&gt;#REF!</formula>
    </cfRule>
  </conditionalFormatting>
  <conditionalFormatting sqref="R35">
    <cfRule type="expression" dxfId="1031" priority="5">
      <formula>#REF!&lt;&gt;0</formula>
    </cfRule>
  </conditionalFormatting>
  <conditionalFormatting sqref="Q35">
    <cfRule type="expression" dxfId="1030" priority="4">
      <formula>#REF!&lt;&gt;0</formula>
    </cfRule>
  </conditionalFormatting>
  <conditionalFormatting sqref="R36">
    <cfRule type="expression" dxfId="1029" priority="3">
      <formula>#REF!&lt;&gt;#REF!</formula>
    </cfRule>
  </conditionalFormatting>
  <conditionalFormatting sqref="G59:K59">
    <cfRule type="expression" dxfId="1028" priority="1">
      <formula>OR($P$105&gt;0,$P$106&lt;&gt;0,$P$107&lt;&gt;0)</formula>
    </cfRule>
  </conditionalFormatting>
  <hyperlinks>
    <hyperlink ref="O2" location="Index!A1" display="Return to Index" xr:uid="{00000000-0004-0000-4300-000000000000}"/>
  </hyperlinks>
  <printOptions horizontalCentered="1"/>
  <pageMargins left="0.5" right="0.5" top="0.25" bottom="0.25" header="0" footer="0.25"/>
  <pageSetup scale="10" orientation="landscape"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54"/>
  <dimension ref="A1:G30"/>
  <sheetViews>
    <sheetView showGridLines="0" zoomScale="80" zoomScaleNormal="80" workbookViewId="0">
      <selection activeCell="E74" sqref="E74:F74"/>
    </sheetView>
  </sheetViews>
  <sheetFormatPr defaultColWidth="9.140625" defaultRowHeight="12.75"/>
  <cols>
    <col min="1" max="1" width="7" style="53" customWidth="1"/>
    <col min="2" max="2" width="93.140625" style="53" customWidth="1"/>
    <col min="3" max="3" width="19.140625" style="53" customWidth="1"/>
    <col min="4" max="9" width="9.140625" style="53"/>
    <col min="10" max="10" width="14.5703125" style="53" customWidth="1"/>
    <col min="11" max="16384" width="9.140625" style="53"/>
  </cols>
  <sheetData>
    <row r="1" spans="2:6" ht="18.75" thickBot="1">
      <c r="B1" s="466" t="str">
        <f>'PVAMU Chrts'!$A$1</f>
        <v>Prairie View A&amp;M University</v>
      </c>
      <c r="C1" s="835" t="s">
        <v>1200</v>
      </c>
    </row>
    <row r="2" spans="2:6">
      <c r="B2" s="393" t="str">
        <f>'Smmy Chrts'!$A$2</f>
        <v>For the Year Ended August 31, 2021</v>
      </c>
    </row>
    <row r="3" spans="2:6">
      <c r="B3" s="393" t="str">
        <f>'Smmy Chrts'!$A$3</f>
        <v>Source: FY 2021 Annual Financial Report</v>
      </c>
    </row>
    <row r="5" spans="2:6" customFormat="1">
      <c r="B5" s="529" t="s">
        <v>705</v>
      </c>
    </row>
    <row r="6" spans="2:6" customFormat="1">
      <c r="B6" s="530"/>
    </row>
    <row r="7" spans="2:6" customFormat="1" ht="226.5" customHeight="1">
      <c r="B7" s="531" t="s">
        <v>706</v>
      </c>
      <c r="C7" s="532"/>
    </row>
    <row r="8" spans="2:6" customFormat="1" ht="263.25" customHeight="1">
      <c r="B8" s="531" t="s">
        <v>707</v>
      </c>
    </row>
    <row r="9" spans="2:6" ht="64.5" customHeight="1">
      <c r="B9" s="533" t="str">
        <f>IF('PVAMU FGD'!$R$76="N/A","FN11.  N/A",$B$20&amp;$B$21&amp;$B$22&amp;$B$23&amp;$B$24&amp;$B$25&amp;$B$26&amp;$B$27&amp;$B$28&amp;$B$29&amp;$B$30)</f>
        <v>FN11: Of the net increase of $97,312,016 approximately $30.5 million represents revenues received but not yet expended. This income is fully committed to program expenditures and capital disbursements. The remaining $66.8 million represents non-expendable funds from unrealized gains and additions to permanent endowments of approximately $30.9 million and $35.9 million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TEXT(IF('PVAMU FGD'!$M$85&lt;0,"N/A",'PVAMU FGD'!$M$85),"$* #,##0;$* (#,##0)")</f>
        <v>$97,312,016</v>
      </c>
      <c r="C21" s="480"/>
      <c r="D21" s="480"/>
      <c r="E21" s="480"/>
      <c r="G21" s="105"/>
    </row>
    <row r="22" spans="1:7">
      <c r="B22" s="105" t="s">
        <v>682</v>
      </c>
    </row>
    <row r="23" spans="1:7">
      <c r="A23" s="53">
        <v>61</v>
      </c>
      <c r="B23" s="515" t="str">
        <f>IF(ABS('PVAMU FGD'!$R$77)&gt;=1000000,TEXT('PVAMU FGD'!$R$77/1000000,"$* #,##0.0;$* (#,##0.0)")&amp;" million",IF(ABS('PVAMU FGD'!$R$77)&lt;1000,TEXT('PVAMU FGD'!$R$77,"$* #,##0;$* (#,##0)"),TEXT('PVAMU FGD'!$R$77/1000,"$* #,##0;$* (#,##0)")&amp;" thousand"))</f>
        <v>$30.5 million</v>
      </c>
      <c r="C23" s="515"/>
      <c r="E23" s="515"/>
    </row>
    <row r="24" spans="1:7">
      <c r="B24" s="105" t="s">
        <v>708</v>
      </c>
    </row>
    <row r="25" spans="1:7">
      <c r="A25" s="53">
        <v>62</v>
      </c>
      <c r="B25" s="515" t="str">
        <f>IF(ABS('PVAMU FGD'!$R$78)&gt;=1000000,TEXT('PVAMU FGD'!$R$78/1000000,"$* #,##0.0;$* (#,##0.0)")&amp;" million",IF(ABS('PVAMU FGD'!$R$78)&lt;1000,TEXT('PVAMU FGD'!$R$78,"$* #,##0;$* (#,##0)"),TEXT('PVAMU FGD'!$R$78/1000,"$* #,##0;$* (#,##0)")&amp;" thousand"))</f>
        <v>$66.8 million</v>
      </c>
      <c r="C25" s="515"/>
      <c r="E25" s="515"/>
    </row>
    <row r="26" spans="1:7">
      <c r="B26" s="105" t="s">
        <v>683</v>
      </c>
    </row>
    <row r="27" spans="1:7">
      <c r="A27" s="53">
        <v>64</v>
      </c>
      <c r="B27" s="515" t="str">
        <f>IF(ABS('PVAMU FGD'!$R$80)&gt;=1000000,TEXT('PVAMU FGD'!$R$80/1000000,"$* #,##0.0;$* (#,##0.0)")&amp;" million",IF(ABS('PVAMU FGD'!$R$80)&lt;1000,TEXT('PVAMU FGD'!$R$80,"$* #,##0;$* (#,##0)"),TEXT('PVAMU FGD'!$R$80/1000,"$* #,##0;$* (#,##0)")&amp;" thousand"))</f>
        <v>$30.9 million</v>
      </c>
      <c r="C27" s="515"/>
      <c r="E27" s="515"/>
    </row>
    <row r="28" spans="1:7">
      <c r="B28" s="105" t="s">
        <v>684</v>
      </c>
    </row>
    <row r="29" spans="1:7">
      <c r="A29" s="53">
        <v>66</v>
      </c>
      <c r="B29" s="515" t="str">
        <f>IF(ABS('PVAMU FGD'!$R$82)&gt;=1000000,TEXT('PVAMU FGD'!$R$82/1000000,"$* #,##0.0;$* (#,##0.0)")&amp;" million",IF(ABS('PVAMU FGD'!$R$82)&lt;1000,TEXT('PVAMU FGD'!$R$82,"$* #,##0;$* (#,##0)"),TEXT('PVAMU FGD'!$R$82/1000,"$* #,##0;$* (#,##0)")&amp;" thousand"))</f>
        <v>$35.9 million</v>
      </c>
      <c r="C29" s="515"/>
      <c r="E29" s="515"/>
    </row>
    <row r="30" spans="1:7">
      <c r="B30" s="105" t="s">
        <v>709</v>
      </c>
    </row>
  </sheetData>
  <hyperlinks>
    <hyperlink ref="C1" location="Index!A1" display="Return to Index" xr:uid="{00000000-0004-0000-4400-000000000000}"/>
  </hyperlinks>
  <pageMargins left="0.25" right="0.25" top="0.25" bottom="0.25" header="0" footer="0.25"/>
  <pageSetup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44"/>
  <dimension ref="A1:L73"/>
  <sheetViews>
    <sheetView showGridLines="0" zoomScale="90" zoomScaleNormal="90" workbookViewId="0">
      <pane xSplit="3" ySplit="6" topLeftCell="D7" activePane="bottomRight" state="frozen"/>
      <selection activeCell="F2" sqref="F2"/>
      <selection pane="topRight" activeCell="F2" sqref="F2"/>
      <selection pane="bottomLeft" activeCell="F2" sqref="F2"/>
      <selection pane="bottomRight" activeCell="B4" sqref="B4"/>
    </sheetView>
  </sheetViews>
  <sheetFormatPr defaultColWidth="9.140625" defaultRowHeight="15" customHeight="1"/>
  <cols>
    <col min="1" max="1" width="4.5703125" style="146" customWidth="1"/>
    <col min="2" max="2" width="32.5703125" style="146" customWidth="1"/>
    <col min="3" max="3" width="4.7109375" style="146" customWidth="1"/>
    <col min="4" max="4" width="20" style="191" customWidth="1"/>
    <col min="5" max="5" width="21" style="191" customWidth="1"/>
    <col min="6" max="6" width="21.140625" style="191" customWidth="1"/>
    <col min="7" max="7" width="20.7109375" style="146" customWidth="1"/>
    <col min="8" max="8" width="19.7109375" style="191" customWidth="1"/>
    <col min="9" max="9" width="26.85546875" style="191" customWidth="1"/>
    <col min="10" max="10" width="20.7109375" style="146" customWidth="1"/>
    <col min="11" max="16384" width="9.140625" style="146"/>
  </cols>
  <sheetData>
    <row r="1" spans="1:12" ht="15" customHeight="1" thickBot="1">
      <c r="C1" s="856"/>
      <c r="D1" s="856"/>
      <c r="E1" s="856"/>
      <c r="F1" s="814" t="s">
        <v>1304</v>
      </c>
      <c r="G1" s="856"/>
      <c r="H1" s="855" t="s">
        <v>1200</v>
      </c>
      <c r="I1" s="856"/>
    </row>
    <row r="2" spans="1:12" ht="15" customHeight="1">
      <c r="C2" s="856"/>
      <c r="D2" s="856"/>
      <c r="E2" s="856"/>
      <c r="F2" s="814" t="s">
        <v>222</v>
      </c>
      <c r="G2" s="856"/>
      <c r="H2" s="856"/>
      <c r="I2" s="856"/>
    </row>
    <row r="3" spans="1:12" ht="15" customHeight="1">
      <c r="B3" s="146" t="s">
        <v>1364</v>
      </c>
      <c r="C3" s="856"/>
      <c r="D3" s="856"/>
      <c r="E3" s="856"/>
      <c r="F3" s="814" t="s">
        <v>1352</v>
      </c>
      <c r="G3" s="856"/>
      <c r="H3" s="856"/>
      <c r="I3" s="856"/>
    </row>
    <row r="4" spans="1:12" ht="12.75">
      <c r="C4" s="856"/>
      <c r="D4" s="856"/>
      <c r="E4" s="856"/>
      <c r="F4" s="815"/>
      <c r="G4" s="856"/>
      <c r="H4" s="856"/>
      <c r="I4" s="856"/>
    </row>
    <row r="5" spans="1:12" ht="15" customHeight="1">
      <c r="B5" s="215" t="s">
        <v>239</v>
      </c>
      <c r="C5" s="187"/>
      <c r="D5" s="188"/>
      <c r="E5" s="188"/>
      <c r="F5" s="188"/>
      <c r="H5" s="188"/>
      <c r="I5" s="188"/>
    </row>
    <row r="6" spans="1:12" ht="27" customHeight="1">
      <c r="B6" s="189" t="s">
        <v>217</v>
      </c>
      <c r="C6" s="189"/>
      <c r="D6" s="189" t="s">
        <v>1</v>
      </c>
      <c r="E6" s="190" t="s">
        <v>223</v>
      </c>
      <c r="F6" s="190" t="s">
        <v>224</v>
      </c>
      <c r="G6" s="190" t="s">
        <v>225</v>
      </c>
      <c r="H6" s="190" t="s">
        <v>226</v>
      </c>
      <c r="I6" s="190" t="s">
        <v>227</v>
      </c>
    </row>
    <row r="7" spans="1:12" ht="15" customHeight="1">
      <c r="E7" s="201"/>
      <c r="F7" s="217"/>
      <c r="G7" s="217"/>
      <c r="H7" s="217"/>
      <c r="I7" s="202"/>
    </row>
    <row r="8" spans="1:12" ht="15" customHeight="1">
      <c r="A8" s="407">
        <v>1</v>
      </c>
      <c r="B8" s="193" t="str">
        <f>'RGV1 Sum'!$A$1</f>
        <v>The University of Texas RGV - Academic &amp; Health (A+H)</v>
      </c>
      <c r="C8" s="192"/>
      <c r="D8" s="193">
        <f>'RGV1 Sum'!$B$10</f>
        <v>111961783</v>
      </c>
      <c r="E8" s="218">
        <f>'RGV1 Sum'!$B$11</f>
        <v>40871161</v>
      </c>
      <c r="F8" s="193">
        <f>'RGV1 Sum'!$B$12</f>
        <v>0</v>
      </c>
      <c r="G8" s="193">
        <f>'RGV1 Sum'!$B$13</f>
        <v>0</v>
      </c>
      <c r="H8" s="193">
        <f>'ARL Sum'!$B$14</f>
        <v>0</v>
      </c>
      <c r="I8" s="219">
        <f>SUM(E8:H8)</f>
        <v>40871161</v>
      </c>
      <c r="L8" s="192"/>
    </row>
    <row r="9" spans="1:12" ht="15" customHeight="1">
      <c r="A9" s="407">
        <v>1</v>
      </c>
      <c r="B9" s="194" t="str">
        <f>'P-B Sum'!$A$1</f>
        <v>The University of Texas of the Permian Basin</v>
      </c>
      <c r="C9" s="192"/>
      <c r="D9" s="194">
        <f>'P-B Sum'!$B$10</f>
        <v>33419456</v>
      </c>
      <c r="E9" s="391">
        <f>'P-B Sum'!$B$11</f>
        <v>9597022</v>
      </c>
      <c r="F9" s="194">
        <f>'P-B Sum'!$B$12</f>
        <v>0</v>
      </c>
      <c r="G9" s="194">
        <f>'P-B Sum'!$B$13</f>
        <v>0</v>
      </c>
      <c r="H9" s="194">
        <f>'P-B Sum'!$B$14</f>
        <v>0</v>
      </c>
      <c r="I9" s="220">
        <f t="shared" ref="I9:I22" si="0">SUM(E9:H9)</f>
        <v>9597022</v>
      </c>
      <c r="L9" s="192"/>
    </row>
    <row r="10" spans="1:12" ht="15" customHeight="1">
      <c r="A10" s="407">
        <v>1</v>
      </c>
      <c r="B10" s="194" t="str">
        <f>'TYL Sum'!$A$1</f>
        <v>The University of Texas at Tyler</v>
      </c>
      <c r="C10" s="192"/>
      <c r="D10" s="194">
        <f>'TYL Sum'!$B$10</f>
        <v>40081857</v>
      </c>
      <c r="E10" s="391">
        <f>'TYL Sum'!$B$11</f>
        <v>12773658</v>
      </c>
      <c r="F10" s="194">
        <f>'TYL Sum'!$B$12</f>
        <v>0</v>
      </c>
      <c r="G10" s="194">
        <f>'TYL Sum'!$B$13</f>
        <v>0</v>
      </c>
      <c r="H10" s="194">
        <f>'TYL Sum'!$B$14</f>
        <v>0</v>
      </c>
      <c r="I10" s="220">
        <f t="shared" si="0"/>
        <v>12773658</v>
      </c>
      <c r="L10" s="192"/>
    </row>
    <row r="11" spans="1:12" ht="15" customHeight="1">
      <c r="A11" s="407">
        <v>1</v>
      </c>
      <c r="B11" s="194" t="str">
        <f>'TAMUG Sum'!$A$1</f>
        <v>Texas A&amp;M University at Galveston</v>
      </c>
      <c r="D11" s="194">
        <f>'TAMUG Sum'!$B$10</f>
        <v>70229913</v>
      </c>
      <c r="E11" s="391">
        <f>'TAMUG Sum'!$B$11</f>
        <v>776502</v>
      </c>
      <c r="F11" s="194">
        <f>'TAMUG Sum'!$B$12</f>
        <v>0</v>
      </c>
      <c r="G11" s="194">
        <f>'TAMUG Sum'!$B$13</f>
        <v>0</v>
      </c>
      <c r="H11" s="194">
        <f>'TAMUG Sum'!$B$14</f>
        <v>0</v>
      </c>
      <c r="I11" s="220">
        <f t="shared" si="0"/>
        <v>776502</v>
      </c>
      <c r="L11" s="192"/>
    </row>
    <row r="12" spans="1:12" ht="15" customHeight="1">
      <c r="A12" s="407">
        <v>1</v>
      </c>
      <c r="B12" s="194" t="str">
        <f>'PVAMU Sum'!$A$1</f>
        <v>Prairie View A&amp;M University</v>
      </c>
      <c r="D12" s="194">
        <f>'PVAMU Sum'!$B$10</f>
        <v>55711045</v>
      </c>
      <c r="E12" s="391">
        <f>'PVAMU Sum'!$B$11</f>
        <v>13058194</v>
      </c>
      <c r="F12" s="194">
        <f>'PVAMU Sum'!$B$12</f>
        <v>0</v>
      </c>
      <c r="G12" s="194">
        <f>'PVAMU Sum'!$B$13</f>
        <v>0</v>
      </c>
      <c r="H12" s="194">
        <f>'PVAMU Sum'!$B$14</f>
        <v>26604505</v>
      </c>
      <c r="I12" s="220">
        <f t="shared" si="0"/>
        <v>39662699</v>
      </c>
      <c r="L12" s="192"/>
    </row>
    <row r="13" spans="1:12" ht="15" customHeight="1">
      <c r="A13" s="407">
        <v>1</v>
      </c>
      <c r="B13" s="194" t="str">
        <f>'TARLST Sum'!$A$1</f>
        <v>Tarleton State University</v>
      </c>
      <c r="D13" s="194">
        <f>'TARLST Sum'!$B$10</f>
        <v>53590196</v>
      </c>
      <c r="E13" s="391">
        <f>'TARLST Sum'!$B$11</f>
        <v>9353596</v>
      </c>
      <c r="F13" s="194">
        <f>'TARLST Sum'!$B$12</f>
        <v>0</v>
      </c>
      <c r="G13" s="194">
        <f>'TARLST Sum'!$B$13</f>
        <v>0</v>
      </c>
      <c r="H13" s="194">
        <f>'TARLST Sum'!$B$14</f>
        <v>0</v>
      </c>
      <c r="I13" s="220">
        <f t="shared" si="0"/>
        <v>9353596</v>
      </c>
      <c r="L13" s="192"/>
    </row>
    <row r="14" spans="1:12" ht="15" customHeight="1">
      <c r="A14" s="407">
        <v>1</v>
      </c>
      <c r="B14" s="194" t="str">
        <f>'TAMIU Sum'!$A$1</f>
        <v>Texas A&amp;M International University</v>
      </c>
      <c r="D14" s="194">
        <f>'TAMIU Sum'!$B$10</f>
        <v>36675060</v>
      </c>
      <c r="E14" s="391">
        <f>'TAMIU Sum'!$B$11</f>
        <v>12457632</v>
      </c>
      <c r="F14" s="194">
        <f>'TAMIU Sum'!$B$12</f>
        <v>0</v>
      </c>
      <c r="G14" s="194">
        <f>'TAMIU Sum'!$B$13</f>
        <v>7462394</v>
      </c>
      <c r="H14" s="194">
        <f>'TAMIU Sum'!$B$14</f>
        <v>0</v>
      </c>
      <c r="I14" s="220">
        <f t="shared" si="0"/>
        <v>19920026</v>
      </c>
      <c r="L14" s="192"/>
    </row>
    <row r="15" spans="1:12" ht="15" customHeight="1">
      <c r="A15" s="407">
        <v>1</v>
      </c>
      <c r="B15" s="194" t="str">
        <f>'WTAMU Sum'!$A$1</f>
        <v>West Texas A&amp;M University</v>
      </c>
      <c r="C15" s="192"/>
      <c r="D15" s="194">
        <f>'WTAMU Sum'!$B$10</f>
        <v>41246915</v>
      </c>
      <c r="E15" s="391">
        <f>'WTAMU Sum'!$B$11</f>
        <v>5803580</v>
      </c>
      <c r="F15" s="194">
        <f>'WTAMU Sum'!$B$12</f>
        <v>0</v>
      </c>
      <c r="G15" s="194">
        <f>'WTAMU Sum'!$B$13</f>
        <v>7446495</v>
      </c>
      <c r="H15" s="194">
        <f>'WTAMU Sum'!$B$14</f>
        <v>0</v>
      </c>
      <c r="I15" s="220">
        <f t="shared" si="0"/>
        <v>13250075</v>
      </c>
      <c r="L15" s="192"/>
    </row>
    <row r="16" spans="1:12" ht="15" customHeight="1">
      <c r="A16" s="407">
        <v>1</v>
      </c>
      <c r="B16" s="194" t="str">
        <f>'TAMUT Sum'!$A$1</f>
        <v>Texas A&amp;M University - Texarkana</v>
      </c>
      <c r="C16" s="192"/>
      <c r="D16" s="194">
        <f>'TAMUT Sum'!$B$10</f>
        <v>25514271</v>
      </c>
      <c r="E16" s="391">
        <f>'TAMUT Sum'!$B$11</f>
        <v>1012489</v>
      </c>
      <c r="F16" s="194">
        <f>'TAMUT Sum'!$B$12</f>
        <v>0</v>
      </c>
      <c r="G16" s="194">
        <f>'TAMUT Sum'!$B$13</f>
        <v>2050273</v>
      </c>
      <c r="H16" s="194">
        <f>'TAMUT Sum'!$B$14</f>
        <v>0</v>
      </c>
      <c r="I16" s="220">
        <f t="shared" si="0"/>
        <v>3062762</v>
      </c>
      <c r="L16" s="192"/>
    </row>
    <row r="17" spans="1:12" ht="15" customHeight="1">
      <c r="A17" s="407">
        <v>1</v>
      </c>
      <c r="B17" s="194" t="str">
        <f>'UHCL Sum'!$A$1</f>
        <v>University of Houston - Clear Lake</v>
      </c>
      <c r="C17" s="192"/>
      <c r="D17" s="194">
        <f>'UHCL Sum'!$B$10</f>
        <v>34963937</v>
      </c>
      <c r="E17" s="391">
        <f>'UHCL Sum'!$B$11</f>
        <v>4361218</v>
      </c>
      <c r="F17" s="194">
        <f>'UHCL Sum'!$B$12</f>
        <v>0</v>
      </c>
      <c r="G17" s="194">
        <f>'UHCL Sum'!$B$13</f>
        <v>7726043</v>
      </c>
      <c r="H17" s="194">
        <f>'UHCL Sum'!$B$14</f>
        <v>0</v>
      </c>
      <c r="I17" s="220">
        <f t="shared" si="0"/>
        <v>12087261</v>
      </c>
      <c r="L17" s="192"/>
    </row>
    <row r="18" spans="1:12" ht="15" customHeight="1">
      <c r="A18" s="407">
        <v>1</v>
      </c>
      <c r="B18" s="194" t="str">
        <f>'UHD Sum'!$A$1</f>
        <v>University of Houston - Downtown</v>
      </c>
      <c r="C18" s="192"/>
      <c r="D18" s="194">
        <f>'UHD Sum'!$B$10</f>
        <v>29937476</v>
      </c>
      <c r="E18" s="391">
        <f>'UHD Sum'!$B$11</f>
        <v>8952451</v>
      </c>
      <c r="F18" s="194">
        <f>'UHD Sum'!$B$12</f>
        <v>0</v>
      </c>
      <c r="G18" s="194">
        <f>'UHD Sum'!$B$13</f>
        <v>10828344</v>
      </c>
      <c r="H18" s="194">
        <f>'UHD Sum'!$B$14</f>
        <v>0</v>
      </c>
      <c r="I18" s="220">
        <f t="shared" si="0"/>
        <v>19780795</v>
      </c>
      <c r="L18" s="192"/>
    </row>
    <row r="19" spans="1:12" ht="15" customHeight="1">
      <c r="A19" s="407">
        <v>1</v>
      </c>
      <c r="B19" s="194" t="str">
        <f>'UHV Sum'!$A$1</f>
        <v>University of Houston - Victoria</v>
      </c>
      <c r="C19" s="192"/>
      <c r="D19" s="194">
        <f>'UHV Sum'!$B$10</f>
        <v>17625883</v>
      </c>
      <c r="E19" s="391">
        <f>'UHV Sum'!$B$11</f>
        <v>2242058</v>
      </c>
      <c r="F19" s="194">
        <f>'UHV Sum'!$B$12</f>
        <v>0</v>
      </c>
      <c r="G19" s="194">
        <f>'UHV Sum'!$B$13</f>
        <v>3542817</v>
      </c>
      <c r="H19" s="194">
        <f>'UHV Sum'!$B$14</f>
        <v>0</v>
      </c>
      <c r="I19" s="220">
        <f t="shared" si="0"/>
        <v>5784875</v>
      </c>
      <c r="L19" s="192"/>
    </row>
    <row r="20" spans="1:12" ht="15" customHeight="1">
      <c r="A20" s="407">
        <v>1</v>
      </c>
      <c r="B20" s="194" t="str">
        <f>'ASU Sum'!$A$1</f>
        <v>Angelo State University</v>
      </c>
      <c r="C20" s="192"/>
      <c r="D20" s="194">
        <f>'ASU Sum'!$B$10</f>
        <v>35544538</v>
      </c>
      <c r="E20" s="391">
        <f>'ASU Sum'!$B$11</f>
        <v>6976789</v>
      </c>
      <c r="F20" s="194">
        <f>'ASU Sum'!$B$12</f>
        <v>0</v>
      </c>
      <c r="G20" s="194">
        <f>'ASU Sum'!$B$13</f>
        <v>6792999</v>
      </c>
      <c r="H20" s="194">
        <f>'ASU Sum'!$B$14</f>
        <v>0</v>
      </c>
      <c r="I20" s="220">
        <f t="shared" si="0"/>
        <v>13769788</v>
      </c>
      <c r="L20" s="192"/>
    </row>
    <row r="21" spans="1:12" ht="15" customHeight="1">
      <c r="A21" s="407">
        <v>1</v>
      </c>
      <c r="B21" s="194" t="str">
        <f>'SRSU Sum'!$A$1</f>
        <v>Sul Ross State University</v>
      </c>
      <c r="C21" s="192"/>
      <c r="D21" s="194">
        <f>'SRSU Sum'!$B$10</f>
        <v>19241603</v>
      </c>
      <c r="E21" s="391">
        <f>'SRSU Sum'!$B$11</f>
        <v>1819893</v>
      </c>
      <c r="F21" s="194">
        <f>'SRSU Sum'!$B$12</f>
        <v>0</v>
      </c>
      <c r="G21" s="194">
        <f>'SRSU Sum'!$B$13</f>
        <v>2624613</v>
      </c>
      <c r="H21" s="194">
        <f>'SRSU Sum'!$B$14</f>
        <v>0</v>
      </c>
      <c r="I21" s="220">
        <f t="shared" si="0"/>
        <v>4444506</v>
      </c>
      <c r="L21" s="192"/>
    </row>
    <row r="22" spans="1:12" ht="15" customHeight="1">
      <c r="A22" s="407">
        <v>1</v>
      </c>
      <c r="B22" s="194" t="str">
        <f>'MidWST Sum'!$A$1</f>
        <v>Midwestern State University</v>
      </c>
      <c r="C22" s="192"/>
      <c r="D22" s="194">
        <f>'MidWST Sum'!$B$10</f>
        <v>26399431</v>
      </c>
      <c r="E22" s="391">
        <f>'MidWST Sum'!$B$11</f>
        <v>4315966</v>
      </c>
      <c r="F22" s="194">
        <f>'MidWST Sum'!$B$12</f>
        <v>0</v>
      </c>
      <c r="G22" s="194">
        <f>'MidWST Sum'!$B$13</f>
        <v>4933200</v>
      </c>
      <c r="H22" s="194">
        <f>'MidWST Sum'!$B$14</f>
        <v>0</v>
      </c>
      <c r="I22" s="220">
        <f t="shared" si="0"/>
        <v>9249166</v>
      </c>
      <c r="L22" s="192"/>
    </row>
    <row r="23" spans="1:12" ht="15" customHeight="1">
      <c r="A23" s="407">
        <v>1</v>
      </c>
      <c r="B23" s="194" t="str">
        <f>'UNTD Sum'!$A$1</f>
        <v>University of North Texas at Dallas</v>
      </c>
      <c r="C23" s="192"/>
      <c r="D23" s="194">
        <f>'UNTD Sum'!$B$10</f>
        <v>26574019</v>
      </c>
      <c r="E23" s="391">
        <f>'UNTD Sum'!$B$11</f>
        <v>3499525</v>
      </c>
      <c r="F23" s="194">
        <f>'UNTD Sum'!$B$12</f>
        <v>0</v>
      </c>
      <c r="G23" s="194">
        <f>'UNTD Sum'!$B$13</f>
        <v>3354441</v>
      </c>
      <c r="H23" s="194">
        <f>'UNTD Sum'!$B$14</f>
        <v>0</v>
      </c>
      <c r="I23" s="220">
        <f t="shared" ref="I23" si="1">SUM(E23:H23)</f>
        <v>6853966</v>
      </c>
      <c r="L23" s="192"/>
    </row>
    <row r="24" spans="1:12" ht="15" customHeight="1">
      <c r="A24" s="407">
        <v>1</v>
      </c>
      <c r="B24" s="194" t="str">
        <f>'TAMUCT Sum'!$A$1</f>
        <v>Texas A&amp;M University - Central Texas</v>
      </c>
      <c r="C24" s="192"/>
      <c r="D24" s="194">
        <f>'TAMUCT Sum'!$B$10</f>
        <v>18317955</v>
      </c>
      <c r="E24" s="391">
        <f>'TAMUCT Sum'!$B$11</f>
        <v>476509</v>
      </c>
      <c r="F24" s="194">
        <f>'TAMUCT Sum'!$B$12</f>
        <v>0</v>
      </c>
      <c r="G24" s="194">
        <f>'TAMUCT Sum'!$B$13</f>
        <v>0</v>
      </c>
      <c r="H24" s="194">
        <f>'TAMUCT Sum'!$B$14</f>
        <v>0</v>
      </c>
      <c r="I24" s="220">
        <f>SUM(E24:H24)</f>
        <v>476509</v>
      </c>
      <c r="L24" s="192"/>
    </row>
    <row r="25" spans="1:12" ht="15" customHeight="1">
      <c r="A25" s="407">
        <v>1</v>
      </c>
      <c r="B25" s="194" t="str">
        <f>'TAMUSA Sum'!$A$1</f>
        <v>Texas A&amp;M University - San Antonio</v>
      </c>
      <c r="C25" s="192"/>
      <c r="D25" s="194">
        <f>'TAMUSA Sum'!$B$10</f>
        <v>35219375</v>
      </c>
      <c r="E25" s="223">
        <f>'TAMUSA Sum'!$B$11</f>
        <v>2867314</v>
      </c>
      <c r="F25" s="224">
        <f>'TAMUSA Sum'!$B$12</f>
        <v>0</v>
      </c>
      <c r="G25" s="224">
        <f>'TAMUSA Sum'!$B$13</f>
        <v>0</v>
      </c>
      <c r="H25" s="224">
        <f>'TAMUSA Sum'!$B$14</f>
        <v>0</v>
      </c>
      <c r="I25" s="220">
        <f t="shared" ref="I25" si="2">SUM(E25:H25)</f>
        <v>2867314</v>
      </c>
      <c r="L25" s="192"/>
    </row>
    <row r="26" spans="1:12" ht="15" customHeight="1">
      <c r="B26" s="195" t="s">
        <v>228</v>
      </c>
      <c r="C26" s="195"/>
      <c r="D26" s="196">
        <f t="shared" ref="D26:I26" si="3">SUM(D8:D25)</f>
        <v>712254713</v>
      </c>
      <c r="E26" s="221">
        <f t="shared" si="3"/>
        <v>141215557</v>
      </c>
      <c r="F26" s="216">
        <f t="shared" si="3"/>
        <v>0</v>
      </c>
      <c r="G26" s="216">
        <f t="shared" si="3"/>
        <v>56761619</v>
      </c>
      <c r="H26" s="216">
        <f t="shared" si="3"/>
        <v>26604505</v>
      </c>
      <c r="I26" s="222">
        <f t="shared" si="3"/>
        <v>224581681</v>
      </c>
    </row>
    <row r="27" spans="1:12" ht="15" customHeight="1">
      <c r="D27" s="197" t="s">
        <v>229</v>
      </c>
      <c r="E27" s="223"/>
      <c r="F27" s="224"/>
      <c r="G27" s="224"/>
      <c r="H27" s="224"/>
      <c r="I27" s="225" t="s">
        <v>230</v>
      </c>
    </row>
    <row r="28" spans="1:12" ht="15" customHeight="1">
      <c r="D28" s="194"/>
      <c r="E28" s="194"/>
      <c r="F28" s="194"/>
      <c r="G28" s="194"/>
      <c r="H28" s="194"/>
      <c r="I28" s="198"/>
    </row>
    <row r="29" spans="1:12" ht="15" customHeight="1">
      <c r="A29" s="407">
        <v>1</v>
      </c>
      <c r="B29" s="193" t="str">
        <f>'ARL Sum'!$A$1</f>
        <v>The University of Texas at Arlington</v>
      </c>
      <c r="C29" s="192"/>
      <c r="D29" s="193">
        <f>'ARL Sum'!$B$10</f>
        <v>144637415</v>
      </c>
      <c r="E29" s="231">
        <f>'ARL Sum'!$B$11</f>
        <v>16133769</v>
      </c>
      <c r="F29" s="232">
        <f>'ARL Sum'!$B$12</f>
        <v>0</v>
      </c>
      <c r="G29" s="232">
        <f>'ARL Sum'!$B$13</f>
        <v>0</v>
      </c>
      <c r="H29" s="232">
        <f>'ARL Sum'!$B$14</f>
        <v>0</v>
      </c>
      <c r="I29" s="233">
        <f t="shared" ref="I29:I48" si="4">SUM(E29:H29)</f>
        <v>16133769</v>
      </c>
      <c r="L29" s="192"/>
    </row>
    <row r="30" spans="1:12" ht="15" customHeight="1">
      <c r="A30" s="407">
        <v>1</v>
      </c>
      <c r="B30" s="194" t="str">
        <f>'AUS1 Sum'!$A$1</f>
        <v>The University of Texas at Austin - Academic &amp; Health (A+H)</v>
      </c>
      <c r="C30" s="192"/>
      <c r="D30" s="194">
        <f>'AUS1 Sum'!$B$10</f>
        <v>327739839</v>
      </c>
      <c r="E30" s="391">
        <f>'AUS1 Sum'!$B$11</f>
        <v>59642797</v>
      </c>
      <c r="F30" s="194">
        <f>'AUS1 Sum'!$B$12</f>
        <v>0</v>
      </c>
      <c r="G30" s="194">
        <f>'AUS1 Sum'!$B$13</f>
        <v>0</v>
      </c>
      <c r="H30" s="194">
        <f>'AUS1 Sum'!$B$14</f>
        <v>392376810</v>
      </c>
      <c r="I30" s="220">
        <f t="shared" si="4"/>
        <v>452019607</v>
      </c>
      <c r="L30" s="192"/>
    </row>
    <row r="31" spans="1:12" ht="15" customHeight="1">
      <c r="A31" s="407">
        <v>1</v>
      </c>
      <c r="B31" s="194" t="str">
        <f>'DAL Sum'!$A$1</f>
        <v>The University of Texas at Dallas</v>
      </c>
      <c r="C31" s="192"/>
      <c r="D31" s="194">
        <f>'DAL Sum'!$B$10</f>
        <v>109811580</v>
      </c>
      <c r="E31" s="391">
        <f>'DAL Sum'!$B$11</f>
        <v>19621467</v>
      </c>
      <c r="F31" s="194">
        <f>'DAL Sum'!$B$12</f>
        <v>0</v>
      </c>
      <c r="G31" s="194">
        <f>'DAL Sum'!$B$13</f>
        <v>0</v>
      </c>
      <c r="H31" s="194">
        <f>'DAL Sum'!$B$14</f>
        <v>0</v>
      </c>
      <c r="I31" s="220">
        <f t="shared" si="4"/>
        <v>19621467</v>
      </c>
      <c r="L31" s="192"/>
    </row>
    <row r="32" spans="1:12" ht="15" customHeight="1">
      <c r="A32" s="407">
        <v>1</v>
      </c>
      <c r="B32" s="194" t="str">
        <f>'E-P Sum'!$A$1</f>
        <v>The University of Texas at El Paso</v>
      </c>
      <c r="C32" s="192"/>
      <c r="D32" s="194">
        <f>'E-P Sum'!$B$10</f>
        <v>109854473</v>
      </c>
      <c r="E32" s="391">
        <f>'E-P Sum'!$B$11</f>
        <v>23481120</v>
      </c>
      <c r="F32" s="194">
        <f>'E-P Sum'!$B$12</f>
        <v>0</v>
      </c>
      <c r="G32" s="194">
        <f>'E-P Sum'!$B$13</f>
        <v>0</v>
      </c>
      <c r="H32" s="194">
        <f>'E-P Sum'!$B$14</f>
        <v>0</v>
      </c>
      <c r="I32" s="220">
        <f t="shared" si="4"/>
        <v>23481120</v>
      </c>
      <c r="L32" s="192"/>
    </row>
    <row r="33" spans="1:12" ht="15" customHeight="1">
      <c r="A33" s="407">
        <v>1</v>
      </c>
      <c r="B33" s="194" t="str">
        <f>'AUS Sum'!$A$1</f>
        <v>The University of Texas at Austin -  All Disciplines (A+H+M)</v>
      </c>
      <c r="C33" s="192"/>
      <c r="D33" s="194">
        <f>'AUS Sum'!$B$10</f>
        <v>340023735</v>
      </c>
      <c r="E33" s="391">
        <f>'AUS Sum'!$B$11</f>
        <v>62506757</v>
      </c>
      <c r="F33" s="194">
        <f>'AUS Sum'!$B$12</f>
        <v>0</v>
      </c>
      <c r="G33" s="194">
        <f>'AUS Sum'!$B$13</f>
        <v>0</v>
      </c>
      <c r="H33" s="194">
        <f>'AUS Sum'!$B$14</f>
        <v>417387000</v>
      </c>
      <c r="I33" s="220">
        <f t="shared" si="4"/>
        <v>479893757</v>
      </c>
      <c r="L33" s="192"/>
    </row>
    <row r="34" spans="1:12" ht="15" customHeight="1">
      <c r="A34" s="407">
        <v>1</v>
      </c>
      <c r="B34" s="194" t="str">
        <f>'S-A Sum'!$A$1</f>
        <v>The University of Texas at San Antonio</v>
      </c>
      <c r="C34" s="192"/>
      <c r="D34" s="194">
        <f>'S-A Sum'!$B$10</f>
        <v>136194839</v>
      </c>
      <c r="E34" s="391">
        <f>'S-A Sum'!$B$11</f>
        <v>25981574</v>
      </c>
      <c r="F34" s="194">
        <f>'S-A Sum'!$B$12</f>
        <v>0</v>
      </c>
      <c r="G34" s="194">
        <f>'S-A Sum'!$B$13</f>
        <v>0</v>
      </c>
      <c r="H34" s="194">
        <f>'S-A Sum'!$B$14</f>
        <v>0</v>
      </c>
      <c r="I34" s="220">
        <f t="shared" si="4"/>
        <v>25981574</v>
      </c>
      <c r="L34" s="192"/>
    </row>
    <row r="35" spans="1:12" ht="15" customHeight="1">
      <c r="A35" s="407">
        <v>1</v>
      </c>
      <c r="B35" s="194" t="str">
        <f>'TAMU Sum'!$A$1</f>
        <v>Texas A&amp;M University</v>
      </c>
      <c r="C35" s="192"/>
      <c r="D35" s="194">
        <f>'TAMU Sum'!$B$10</f>
        <v>367550412</v>
      </c>
      <c r="E35" s="391">
        <f>'TAMU Sum'!$B$11</f>
        <v>81571094</v>
      </c>
      <c r="F35" s="194">
        <f>'TAMU Sum'!$B$12</f>
        <v>0</v>
      </c>
      <c r="G35" s="194">
        <f>'TAMU Sum'!$B$13</f>
        <v>0</v>
      </c>
      <c r="H35" s="194">
        <f>'TAMU Sum'!$B$14</f>
        <v>201614294</v>
      </c>
      <c r="I35" s="220">
        <f t="shared" si="4"/>
        <v>283185388</v>
      </c>
      <c r="L35" s="192"/>
    </row>
    <row r="36" spans="1:12" ht="15" customHeight="1">
      <c r="A36" s="407">
        <v>1</v>
      </c>
      <c r="B36" s="194" t="str">
        <f>'TAMUCC Sum'!$A$1</f>
        <v>Texas A&amp;M University - Corpus Christi</v>
      </c>
      <c r="C36" s="192"/>
      <c r="D36" s="194">
        <f>'TAMUCC Sum'!$B$10</f>
        <v>59915259</v>
      </c>
      <c r="E36" s="391">
        <f>'TAMUCC Sum'!$B$11</f>
        <v>9331648</v>
      </c>
      <c r="F36" s="194">
        <f>'TAMUCC Sum'!$B$12</f>
        <v>0</v>
      </c>
      <c r="G36" s="194">
        <f>'TAMUCC Sum'!$B$13</f>
        <v>11478824</v>
      </c>
      <c r="H36" s="194">
        <f>'TAMUCC Sum'!$B$14</f>
        <v>0</v>
      </c>
      <c r="I36" s="220">
        <f t="shared" si="4"/>
        <v>20810472</v>
      </c>
      <c r="L36" s="192"/>
    </row>
    <row r="37" spans="1:12" ht="15" customHeight="1">
      <c r="A37" s="407">
        <v>1</v>
      </c>
      <c r="B37" s="194" t="str">
        <f>'TAMUK Sum'!$A$1</f>
        <v>Texas A&amp;M University - Kingsville</v>
      </c>
      <c r="C37" s="192"/>
      <c r="D37" s="194">
        <f>'TAMUK Sum'!$B$10</f>
        <v>44491731</v>
      </c>
      <c r="E37" s="391">
        <f>'TAMUK Sum'!$B$11</f>
        <v>9132526</v>
      </c>
      <c r="F37" s="194">
        <f>'TAMUK Sum'!$B$12</f>
        <v>0</v>
      </c>
      <c r="G37" s="194">
        <f>'TAMUK Sum'!$B$13</f>
        <v>8858060</v>
      </c>
      <c r="H37" s="194">
        <f>'TAMUK Sum'!$B$14</f>
        <v>0</v>
      </c>
      <c r="I37" s="220">
        <f>SUM(E37:H37)</f>
        <v>17990586</v>
      </c>
      <c r="L37" s="192"/>
    </row>
    <row r="38" spans="1:12" ht="15" customHeight="1">
      <c r="A38" s="407">
        <v>1</v>
      </c>
      <c r="B38" s="194" t="str">
        <f>'TAMUC Sum'!$A$1</f>
        <v>Texas A&amp;M University - Commerce</v>
      </c>
      <c r="C38" s="192"/>
      <c r="D38" s="194">
        <f>'TAMUC Sum'!$B$10</f>
        <v>51928693</v>
      </c>
      <c r="E38" s="391">
        <f>'TAMUC Sum'!$B$11</f>
        <v>7159434</v>
      </c>
      <c r="F38" s="194">
        <f>'TAMUC Sum'!$B$12</f>
        <v>0</v>
      </c>
      <c r="G38" s="194">
        <f>'TAMUC Sum'!$B$13</f>
        <v>11123859</v>
      </c>
      <c r="H38" s="194">
        <f>'TAMUC Sum'!$B$14</f>
        <v>0</v>
      </c>
      <c r="I38" s="220">
        <f t="shared" si="4"/>
        <v>18283293</v>
      </c>
      <c r="L38" s="192"/>
    </row>
    <row r="39" spans="1:12" ht="15" customHeight="1">
      <c r="A39" s="407">
        <v>1</v>
      </c>
      <c r="B39" s="194" t="str">
        <f>'UH1 Sum'!$A$1</f>
        <v>University of Houston - Academic &amp; Health (A+H)</v>
      </c>
      <c r="C39" s="192"/>
      <c r="D39" s="194">
        <f>'UH1 Sum'!$B$10</f>
        <v>204365435</v>
      </c>
      <c r="E39" s="391">
        <f>'UH1 Sum'!$B$11</f>
        <v>44698087</v>
      </c>
      <c r="F39" s="194">
        <f>'UH1 Sum'!$B$12</f>
        <v>0</v>
      </c>
      <c r="G39" s="194">
        <f>'UH1 Sum'!$B$13</f>
        <v>54514004</v>
      </c>
      <c r="H39" s="194">
        <f>'UH1 Sum'!$B$14</f>
        <v>0</v>
      </c>
      <c r="I39" s="220">
        <f t="shared" si="4"/>
        <v>99212091</v>
      </c>
      <c r="L39" s="192"/>
    </row>
    <row r="40" spans="1:12" ht="15" customHeight="1">
      <c r="A40" s="407">
        <v>1</v>
      </c>
      <c r="B40" s="194" t="str">
        <f>'LU Sum'!$A$1</f>
        <v xml:space="preserve">Lamar University </v>
      </c>
      <c r="D40" s="194">
        <f>'LU Sum'!$B$10</f>
        <v>58912199</v>
      </c>
      <c r="E40" s="391">
        <f>'LU Sum'!$B$11</f>
        <v>7016227</v>
      </c>
      <c r="F40" s="194">
        <f>'LU Sum'!$B$12</f>
        <v>0</v>
      </c>
      <c r="G40" s="194">
        <f>'LU Sum'!$B$13</f>
        <v>13141181</v>
      </c>
      <c r="H40" s="194">
        <f>'LU Sum'!$B$14</f>
        <v>0</v>
      </c>
      <c r="I40" s="220">
        <f t="shared" si="4"/>
        <v>20157408</v>
      </c>
      <c r="L40" s="192"/>
    </row>
    <row r="41" spans="1:12" ht="15" customHeight="1">
      <c r="A41" s="407">
        <v>1</v>
      </c>
      <c r="B41" s="194" t="str">
        <f>'shsu1 Sum'!$A$1</f>
        <v>Sam Houston State University - Academic &amp; Health (A+H)</v>
      </c>
      <c r="D41" s="194">
        <f>'shsu1 Sum'!$B$10</f>
        <v>69852319</v>
      </c>
      <c r="E41" s="391">
        <f>'shsu1 Sum'!$B$11</f>
        <v>19252206</v>
      </c>
      <c r="F41" s="194">
        <f>'shsu1 Sum'!$B$12</f>
        <v>0</v>
      </c>
      <c r="G41" s="194">
        <f>'shsu1 Sum'!$B$13</f>
        <v>18236811</v>
      </c>
      <c r="H41" s="194">
        <f>'shsu1 Sum'!$B$14</f>
        <v>0</v>
      </c>
      <c r="I41" s="220">
        <f t="shared" si="4"/>
        <v>37489017</v>
      </c>
      <c r="L41" s="192"/>
    </row>
    <row r="42" spans="1:12" ht="15" customHeight="1">
      <c r="A42" s="407">
        <v>1</v>
      </c>
      <c r="B42" s="194" t="str">
        <f>'TXST Sum'!$A$1</f>
        <v>Texas State University</v>
      </c>
      <c r="D42" s="194">
        <f>'TXST Sum'!$B$10</f>
        <v>138011843</v>
      </c>
      <c r="E42" s="391">
        <f>'TXST Sum'!$B$11</f>
        <v>31224489</v>
      </c>
      <c r="F42" s="194">
        <f>'TXST Sum'!$B$12</f>
        <v>0</v>
      </c>
      <c r="G42" s="194">
        <f>'TXST Sum'!$B$13</f>
        <v>37606478</v>
      </c>
      <c r="H42" s="194">
        <f>'TXST Sum'!$B$14</f>
        <v>0</v>
      </c>
      <c r="I42" s="220">
        <f t="shared" si="4"/>
        <v>68830967</v>
      </c>
      <c r="L42" s="192"/>
    </row>
    <row r="43" spans="1:12" ht="15" customHeight="1">
      <c r="A43" s="407">
        <v>1</v>
      </c>
      <c r="B43" s="194" t="str">
        <f>'TTU Sum'!$A$1</f>
        <v>Texas Tech University</v>
      </c>
      <c r="C43" s="192"/>
      <c r="D43" s="194">
        <f>'TTU Sum'!$B$10</f>
        <v>194264324</v>
      </c>
      <c r="E43" s="391">
        <f>'TTU Sum'!$B$11</f>
        <v>19483316</v>
      </c>
      <c r="F43" s="194">
        <f>'TTU Sum'!$B$12</f>
        <v>0</v>
      </c>
      <c r="G43" s="194">
        <f>'TTU Sum'!$B$13</f>
        <v>49874746</v>
      </c>
      <c r="H43" s="194">
        <f>'TTU Sum'!$B$14</f>
        <v>0</v>
      </c>
      <c r="I43" s="220">
        <f t="shared" si="4"/>
        <v>69358062</v>
      </c>
      <c r="L43" s="192"/>
    </row>
    <row r="44" spans="1:12" ht="15" customHeight="1">
      <c r="A44" s="407">
        <v>1</v>
      </c>
      <c r="B44" s="194" t="str">
        <f>'UNT Sum'!$A$1</f>
        <v>University of North Texas</v>
      </c>
      <c r="C44" s="192"/>
      <c r="D44" s="194">
        <f>'UNT Sum'!$B$10</f>
        <v>134981091</v>
      </c>
      <c r="E44" s="391">
        <f>'UNT Sum'!$B$11</f>
        <v>31665422</v>
      </c>
      <c r="F44" s="194">
        <f>'UNT Sum'!$B$12</f>
        <v>0</v>
      </c>
      <c r="G44" s="194">
        <f>'UNT Sum'!$B$13</f>
        <v>37346563</v>
      </c>
      <c r="H44" s="194">
        <f>'UNT Sum'!$B$14</f>
        <v>0</v>
      </c>
      <c r="I44" s="220">
        <f t="shared" si="4"/>
        <v>69011985</v>
      </c>
      <c r="L44" s="192"/>
    </row>
    <row r="45" spans="1:12" ht="15" customHeight="1">
      <c r="A45" s="407">
        <v>1</v>
      </c>
      <c r="B45" s="194" t="str">
        <f>'SFA Sum'!$A$1</f>
        <v>Stephen F. Austin State University</v>
      </c>
      <c r="C45" s="192"/>
      <c r="D45" s="194">
        <f>'SFA Sum'!$B$10</f>
        <v>47150002</v>
      </c>
      <c r="E45" s="391">
        <f>'SFA Sum'!$B$11</f>
        <v>11746071</v>
      </c>
      <c r="F45" s="194">
        <f>'SFA Sum'!$B$12</f>
        <v>0</v>
      </c>
      <c r="G45" s="194">
        <f>'SFA Sum'!$B$13</f>
        <v>11277793</v>
      </c>
      <c r="H45" s="194">
        <f>'SFA Sum'!$B$14</f>
        <v>0</v>
      </c>
      <c r="I45" s="220">
        <f t="shared" si="4"/>
        <v>23023864</v>
      </c>
      <c r="L45" s="192"/>
    </row>
    <row r="46" spans="1:12" ht="15" customHeight="1">
      <c r="A46" s="407">
        <v>1</v>
      </c>
      <c r="B46" s="194" t="str">
        <f>'TSU Sum'!$A$1</f>
        <v>Texas Southern University</v>
      </c>
      <c r="C46" s="192"/>
      <c r="D46" s="194">
        <f>'TSU Sum'!$B$10</f>
        <v>62046473</v>
      </c>
      <c r="E46" s="391">
        <f>'TSU Sum'!$B$11</f>
        <v>5801875</v>
      </c>
      <c r="F46" s="194">
        <f>'TSU Sum'!$B$12</f>
        <v>0</v>
      </c>
      <c r="G46" s="194">
        <f>'TSU Sum'!$B$13</f>
        <v>11719335</v>
      </c>
      <c r="H46" s="194">
        <f>'TSU Sum'!$B$14</f>
        <v>0</v>
      </c>
      <c r="I46" s="220">
        <f t="shared" si="4"/>
        <v>17521210</v>
      </c>
      <c r="L46" s="192"/>
    </row>
    <row r="47" spans="1:12" ht="15" customHeight="1">
      <c r="A47" s="407">
        <v>1</v>
      </c>
      <c r="B47" s="194" t="str">
        <f>'TWU Sum'!$A$1</f>
        <v>Texas Woman's University</v>
      </c>
      <c r="C47" s="192"/>
      <c r="D47" s="194">
        <f>'TWU Sum'!$B$10</f>
        <v>75097158</v>
      </c>
      <c r="E47" s="391">
        <f>'TWU Sum'!$B$11</f>
        <v>6193003</v>
      </c>
      <c r="F47" s="194">
        <f>'TWU Sum'!$B$12</f>
        <v>0</v>
      </c>
      <c r="G47" s="194">
        <f>'TWU Sum'!$B$13</f>
        <v>14554133</v>
      </c>
      <c r="H47" s="194">
        <f>'TWU Sum'!$B$14</f>
        <v>0</v>
      </c>
      <c r="I47" s="220">
        <f t="shared" si="4"/>
        <v>20747136</v>
      </c>
      <c r="L47" s="192"/>
    </row>
    <row r="48" spans="1:12" ht="15" customHeight="1">
      <c r="B48" s="192"/>
      <c r="C48" s="192"/>
      <c r="D48" s="194"/>
      <c r="E48" s="391"/>
      <c r="F48" s="194"/>
      <c r="G48" s="194"/>
      <c r="H48" s="194"/>
      <c r="I48" s="220">
        <f t="shared" si="4"/>
        <v>0</v>
      </c>
      <c r="L48" s="192"/>
    </row>
    <row r="49" spans="1:10" ht="15" customHeight="1">
      <c r="B49" s="115" t="s">
        <v>231</v>
      </c>
      <c r="C49" s="115"/>
      <c r="D49" s="196">
        <f t="shared" ref="D49:I49" si="5">SUM(D29:D48)</f>
        <v>2676828820</v>
      </c>
      <c r="E49" s="234">
        <f t="shared" si="5"/>
        <v>491642882</v>
      </c>
      <c r="F49" s="89">
        <f t="shared" si="5"/>
        <v>0</v>
      </c>
      <c r="G49" s="89">
        <f t="shared" si="5"/>
        <v>279731787</v>
      </c>
      <c r="H49" s="89">
        <f t="shared" si="5"/>
        <v>1011378104</v>
      </c>
      <c r="I49" s="222">
        <f t="shared" si="5"/>
        <v>1782752773</v>
      </c>
    </row>
    <row r="50" spans="1:10" ht="15" customHeight="1">
      <c r="B50" s="115"/>
      <c r="C50" s="115"/>
      <c r="D50" s="197" t="s">
        <v>232</v>
      </c>
      <c r="E50" s="226"/>
      <c r="F50" s="227"/>
      <c r="G50" s="227"/>
      <c r="H50" s="227"/>
      <c r="I50" s="225" t="s">
        <v>233</v>
      </c>
    </row>
    <row r="51" spans="1:10" ht="15" customHeight="1">
      <c r="B51" s="146">
        <f>COUNT(B7:B48)</f>
        <v>0</v>
      </c>
      <c r="D51" s="194"/>
      <c r="E51" s="194"/>
      <c r="F51" s="194"/>
      <c r="G51" s="194"/>
      <c r="H51" s="194"/>
      <c r="I51" s="198"/>
      <c r="J51" s="228" t="s">
        <v>240</v>
      </c>
    </row>
    <row r="52" spans="1:10" ht="15" customHeight="1" thickBot="1">
      <c r="A52" s="146">
        <f>COUNT(A8:A49)</f>
        <v>37</v>
      </c>
      <c r="B52" s="115" t="s">
        <v>234</v>
      </c>
      <c r="C52" s="115"/>
      <c r="D52" s="199">
        <f t="shared" ref="D52:I52" si="6">D49+D26</f>
        <v>3389083533</v>
      </c>
      <c r="E52" s="199">
        <f t="shared" si="6"/>
        <v>632858439</v>
      </c>
      <c r="F52" s="199">
        <f t="shared" si="6"/>
        <v>0</v>
      </c>
      <c r="G52" s="199">
        <f t="shared" si="6"/>
        <v>336493406</v>
      </c>
      <c r="H52" s="199">
        <f t="shared" si="6"/>
        <v>1037982609</v>
      </c>
      <c r="I52" s="199">
        <f t="shared" si="6"/>
        <v>2007334454</v>
      </c>
      <c r="J52" s="229">
        <f>I52+D52</f>
        <v>5396417987</v>
      </c>
    </row>
    <row r="53" spans="1:10" ht="15" customHeight="1" thickTop="1">
      <c r="A53" s="146" t="s">
        <v>284</v>
      </c>
      <c r="D53" s="194"/>
      <c r="E53" s="194"/>
      <c r="F53" s="194"/>
      <c r="G53" s="198"/>
      <c r="H53" s="194"/>
      <c r="I53" s="194"/>
      <c r="J53" s="230" t="str">
        <f>IF((J52-I48)='Smmy Sum'!B51,"OK","Balance Error")</f>
        <v>Balance Error</v>
      </c>
    </row>
    <row r="54" spans="1:10" ht="15" customHeight="1">
      <c r="B54" s="200" t="s">
        <v>235</v>
      </c>
      <c r="C54" s="200"/>
    </row>
    <row r="55" spans="1:10" ht="15" customHeight="1">
      <c r="B55" s="200"/>
      <c r="C55" s="200"/>
      <c r="E55" s="1040"/>
      <c r="F55" s="1040"/>
      <c r="G55" s="193"/>
      <c r="H55" s="1040"/>
      <c r="I55" s="1040"/>
    </row>
    <row r="56" spans="1:10" ht="15" customHeight="1">
      <c r="B56" s="200"/>
      <c r="C56" s="200"/>
      <c r="E56" s="1040"/>
      <c r="F56" s="1040"/>
      <c r="G56" s="644"/>
      <c r="H56" s="1040"/>
      <c r="I56" s="644"/>
    </row>
    <row r="57" spans="1:10" ht="15" customHeight="1">
      <c r="B57" s="200"/>
      <c r="C57" s="204"/>
      <c r="E57" s="1040"/>
      <c r="F57" s="1040"/>
      <c r="G57" s="1041"/>
      <c r="H57" s="1040"/>
      <c r="I57" s="1041"/>
    </row>
    <row r="58" spans="1:10" ht="15" customHeight="1" thickBot="1">
      <c r="E58" s="1040"/>
      <c r="F58" s="1040"/>
      <c r="G58" s="194"/>
      <c r="H58" s="1040"/>
      <c r="I58" s="1040"/>
    </row>
    <row r="59" spans="1:10" ht="15" customHeight="1" thickBot="1">
      <c r="B59" s="205" t="s">
        <v>237</v>
      </c>
      <c r="E59" s="1040"/>
      <c r="F59" s="1040"/>
      <c r="G59" s="1041"/>
      <c r="H59" s="1042"/>
      <c r="I59" s="1041"/>
    </row>
    <row r="60" spans="1:10" ht="15" customHeight="1">
      <c r="E60" s="1040"/>
      <c r="F60" s="1040"/>
      <c r="G60" s="1042"/>
      <c r="H60" s="1040"/>
      <c r="I60" s="1040"/>
    </row>
    <row r="63" spans="1:10" ht="15" customHeight="1">
      <c r="B63" s="206"/>
      <c r="C63" s="207"/>
      <c r="D63" s="207"/>
      <c r="E63" s="208"/>
    </row>
    <row r="64" spans="1:10" ht="15" customHeight="1">
      <c r="B64" s="209"/>
      <c r="C64" s="210"/>
      <c r="D64" s="210"/>
      <c r="E64" s="211"/>
      <c r="F64" s="114"/>
    </row>
    <row r="65" spans="2:9" ht="15" customHeight="1">
      <c r="B65" s="212"/>
      <c r="C65" s="210"/>
      <c r="D65" s="210"/>
      <c r="E65" s="211"/>
    </row>
    <row r="66" spans="2:9" ht="15" customHeight="1">
      <c r="B66" s="213"/>
      <c r="C66" s="214"/>
      <c r="D66" s="214"/>
      <c r="E66" s="203"/>
    </row>
    <row r="71" spans="2:9" ht="15" customHeight="1">
      <c r="B71" s="146" t="s">
        <v>1348</v>
      </c>
    </row>
    <row r="73" spans="2:9" ht="15" customHeight="1">
      <c r="D73" s="191">
        <f>D71-D52</f>
        <v>-3389083533</v>
      </c>
      <c r="E73" s="191">
        <f t="shared" ref="E73:I73" si="7">E71-E52</f>
        <v>-632858439</v>
      </c>
      <c r="F73" s="191">
        <f t="shared" si="7"/>
        <v>0</v>
      </c>
      <c r="G73" s="191">
        <f t="shared" si="7"/>
        <v>-336493406</v>
      </c>
      <c r="H73" s="191">
        <f t="shared" si="7"/>
        <v>-1037982609</v>
      </c>
      <c r="I73" s="191">
        <f t="shared" si="7"/>
        <v>-2007334454</v>
      </c>
    </row>
  </sheetData>
  <hyperlinks>
    <hyperlink ref="H1" location="Index!A1" display="Return to Index" xr:uid="{00000000-0004-0000-0600-000000000000}"/>
  </hyperlinks>
  <printOptions horizontalCentered="1"/>
  <pageMargins left="0.25" right="0.25" top="0.5" bottom="0.5" header="0.5" footer="0.25"/>
  <pageSetup scale="82" orientation="landscape" r:id="rId1"/>
  <headerFooter alignWithMargins="0">
    <oddFooter>&amp;L&amp;9&amp;F&amp;C&amp;9&amp;P</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55">
    <tabColor indexed="47"/>
    <pageSetUpPr fitToPage="1"/>
  </sheetPr>
  <dimension ref="A1:E165"/>
  <sheetViews>
    <sheetView showGridLines="0" zoomScale="65" zoomScaleNormal="65" zoomScaleSheetLayoutView="65" workbookViewId="0">
      <selection activeCell="E74" sqref="E74:F74"/>
    </sheetView>
  </sheetViews>
  <sheetFormatPr defaultColWidth="9.140625" defaultRowHeight="12.75" customHeight="1"/>
  <cols>
    <col min="1" max="1" width="158.7109375" style="53" customWidth="1"/>
    <col min="2" max="2" width="23.42578125" style="53" customWidth="1"/>
    <col min="3" max="3" width="54.7109375" style="53" customWidth="1"/>
    <col min="4" max="4" width="20.7109375" style="53" customWidth="1"/>
    <col min="5" max="5" width="9.140625" style="679"/>
    <col min="6" max="16384" width="9.140625" style="53"/>
  </cols>
  <sheetData>
    <row r="1" spans="1:5" ht="28.5" thickBot="1">
      <c r="A1" s="159" t="s">
        <v>108</v>
      </c>
      <c r="B1" s="835" t="s">
        <v>1200</v>
      </c>
      <c r="C1" s="53" t="s">
        <v>1329</v>
      </c>
    </row>
    <row r="2" spans="1:5" ht="27.75">
      <c r="A2" s="54" t="str">
        <f>'Smmy Chrts'!$A$2</f>
        <v>For the Year Ended August 31, 2021</v>
      </c>
      <c r="C2" s="55" t="s">
        <v>63</v>
      </c>
    </row>
    <row r="3" spans="1:5" ht="27.75">
      <c r="A3" s="54" t="str">
        <f>'Smmy Chrts'!$A$3</f>
        <v>Source: FY 2021 Annual Financial Report</v>
      </c>
      <c r="C3" s="53" t="s">
        <v>64</v>
      </c>
    </row>
    <row r="4" spans="1:5" ht="12.75" customHeight="1">
      <c r="C4" s="53" t="s">
        <v>267</v>
      </c>
    </row>
    <row r="5" spans="1:5" ht="12.75" customHeight="1">
      <c r="C5" s="53" t="s">
        <v>268</v>
      </c>
    </row>
    <row r="7" spans="1:5" ht="12.75" customHeight="1">
      <c r="C7" s="1687" t="s">
        <v>25</v>
      </c>
      <c r="D7" s="1687"/>
    </row>
    <row r="8" spans="1:5" ht="12.75" customHeight="1">
      <c r="C8" s="57"/>
      <c r="D8" s="58"/>
    </row>
    <row r="9" spans="1:5" ht="12.75" customHeight="1">
      <c r="C9" s="59" t="str">
        <f>'TARLST Sum'!A9</f>
        <v>State of Texas</v>
      </c>
      <c r="D9" s="60">
        <f>'TARLST Sum'!B15</f>
        <v>62943792</v>
      </c>
      <c r="E9" s="680">
        <f>ROUND(D9/$D$14,3)</f>
        <v>0.23</v>
      </c>
    </row>
    <row r="10" spans="1:5" ht="12.75" customHeight="1">
      <c r="C10" s="59" t="str">
        <f>'TARLST Sum'!A17</f>
        <v>Student &amp; Parent</v>
      </c>
      <c r="D10" s="60">
        <f>'TARLST Sum'!B20</f>
        <v>95089628</v>
      </c>
      <c r="E10" s="680">
        <f t="shared" ref="E10:E12" si="0">ROUND(D10/$D$14,3)</f>
        <v>0.34799999999999998</v>
      </c>
    </row>
    <row r="11" spans="1:5" ht="12.75" customHeight="1">
      <c r="C11" s="59" t="str">
        <f>'TARLST Sum'!A22</f>
        <v>Federal Government</v>
      </c>
      <c r="D11" s="60">
        <f>'TARLST Sum'!B23</f>
        <v>57260009</v>
      </c>
      <c r="E11" s="680">
        <f t="shared" si="0"/>
        <v>0.20899999999999999</v>
      </c>
    </row>
    <row r="12" spans="1:5" ht="12.75" customHeight="1">
      <c r="C12" s="59" t="str">
        <f>'TARLST Sum'!A25</f>
        <v>Institutional Resources</v>
      </c>
      <c r="D12" s="60">
        <f>'TARLST Sum'!B32</f>
        <v>58075797</v>
      </c>
      <c r="E12" s="680">
        <f t="shared" si="0"/>
        <v>0.21199999999999999</v>
      </c>
    </row>
    <row r="13" spans="1:5" ht="12.75" customHeight="1">
      <c r="C13" s="57"/>
      <c r="D13" s="58"/>
      <c r="E13" s="680"/>
    </row>
    <row r="14" spans="1:5" ht="12.75" customHeight="1">
      <c r="C14" s="61" t="s">
        <v>68</v>
      </c>
      <c r="D14" s="62">
        <f>SUM(D9:D13)</f>
        <v>273369226</v>
      </c>
      <c r="E14" s="680">
        <f>SUM(E9:E13)</f>
        <v>0.99899999999999989</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86" t="str">
        <f>C14&amp;" "&amp;TEXT(D14,"$#,###")</f>
        <v>Total Operating Sources $273,369,226</v>
      </c>
    </row>
    <row r="48" spans="1:1" ht="12.75" customHeight="1">
      <c r="A48" s="1686"/>
    </row>
    <row r="49" spans="1:5" ht="12.75" customHeight="1">
      <c r="A49" s="56"/>
    </row>
    <row r="52" spans="1:5" ht="12.75" customHeight="1">
      <c r="C52" s="63" t="s">
        <v>25</v>
      </c>
      <c r="D52" s="58"/>
    </row>
    <row r="54" spans="1:5" ht="12.75" customHeight="1">
      <c r="C54" s="59" t="s">
        <v>1</v>
      </c>
      <c r="D54" s="60">
        <f>'TARLST Sum'!B10</f>
        <v>53590196</v>
      </c>
      <c r="E54" s="680">
        <f>ROUND(D54/$D$67,3)</f>
        <v>0.19600000000000001</v>
      </c>
    </row>
    <row r="55" spans="1:5" ht="12.75" customHeight="1">
      <c r="C55" s="59" t="s">
        <v>221</v>
      </c>
      <c r="D55" s="60">
        <f>'TARLST Sum'!B11</f>
        <v>9353596</v>
      </c>
      <c r="E55" s="680">
        <f t="shared" ref="E55:E66" si="1">ROUND(D55/$D$67,3)</f>
        <v>3.4000000000000002E-2</v>
      </c>
    </row>
    <row r="56" spans="1:5" ht="12.75" customHeight="1">
      <c r="C56" s="59"/>
      <c r="D56" s="60"/>
      <c r="E56" s="680"/>
    </row>
    <row r="57" spans="1:5" ht="12.75" customHeight="1">
      <c r="C57" s="1069" t="str">
        <f>'TARLST Sum'!A13</f>
        <v>Higher Education Fund</v>
      </c>
      <c r="D57" s="60">
        <f>'TARLST Sum'!B13</f>
        <v>0</v>
      </c>
      <c r="E57" s="680">
        <f t="shared" si="1"/>
        <v>0</v>
      </c>
    </row>
    <row r="58" spans="1:5" ht="12.75" customHeight="1">
      <c r="C58" s="1069" t="s">
        <v>41</v>
      </c>
      <c r="D58" s="60">
        <f>'TARLST Sum'!B14</f>
        <v>0</v>
      </c>
      <c r="E58" s="680">
        <f t="shared" si="1"/>
        <v>0</v>
      </c>
    </row>
    <row r="59" spans="1:5" ht="12.75" customHeight="1">
      <c r="C59" s="59" t="s">
        <v>87</v>
      </c>
      <c r="D59" s="60">
        <f>'TARLST Sum'!B20</f>
        <v>95089628</v>
      </c>
      <c r="E59" s="680">
        <f t="shared" si="1"/>
        <v>0.34799999999999998</v>
      </c>
    </row>
    <row r="60" spans="1:5" ht="12.75" customHeight="1">
      <c r="C60" s="64" t="s">
        <v>74</v>
      </c>
      <c r="D60" s="60">
        <f>'TARLST Sum'!B23</f>
        <v>57260009</v>
      </c>
      <c r="E60" s="680">
        <f t="shared" si="1"/>
        <v>0.20899999999999999</v>
      </c>
    </row>
    <row r="61" spans="1:5" ht="12.75" customHeight="1">
      <c r="C61" s="59" t="s">
        <v>75</v>
      </c>
      <c r="D61" s="60">
        <f>'TARLST Sum'!B26</f>
        <v>9326536</v>
      </c>
      <c r="E61" s="680">
        <f t="shared" si="1"/>
        <v>3.4000000000000002E-2</v>
      </c>
    </row>
    <row r="62" spans="1:5" ht="12.75" customHeight="1">
      <c r="C62" s="1069" t="s">
        <v>27</v>
      </c>
      <c r="D62" s="60">
        <f>'TARLST Sum'!B27</f>
        <v>0</v>
      </c>
      <c r="E62" s="680">
        <f t="shared" si="1"/>
        <v>0</v>
      </c>
    </row>
    <row r="63" spans="1:5" ht="12.75" customHeight="1">
      <c r="C63" s="59" t="s">
        <v>76</v>
      </c>
      <c r="D63" s="60">
        <f>'TARLST Sum'!B28</f>
        <v>13307438</v>
      </c>
      <c r="E63" s="680">
        <f t="shared" si="1"/>
        <v>4.9000000000000002E-2</v>
      </c>
    </row>
    <row r="64" spans="1:5" ht="12.75" customHeight="1">
      <c r="C64" s="59" t="s">
        <v>77</v>
      </c>
      <c r="D64" s="967">
        <f>'TARLST Sum'!B29</f>
        <v>1832258</v>
      </c>
      <c r="E64" s="680">
        <f t="shared" si="1"/>
        <v>7.0000000000000001E-3</v>
      </c>
    </row>
    <row r="65" spans="1:5" ht="12.75" customHeight="1">
      <c r="C65" s="59" t="s">
        <v>220</v>
      </c>
      <c r="D65" s="60">
        <f>'TARLST Sum'!B30</f>
        <v>31363530</v>
      </c>
      <c r="E65" s="680">
        <f t="shared" si="1"/>
        <v>0.115</v>
      </c>
    </row>
    <row r="66" spans="1:5" ht="12.75" customHeight="1">
      <c r="C66" s="64" t="s">
        <v>52</v>
      </c>
      <c r="D66" s="60">
        <f>'TARLST Sum'!B31</f>
        <v>2246035</v>
      </c>
      <c r="E66" s="680">
        <f t="shared" si="1"/>
        <v>8.0000000000000002E-3</v>
      </c>
    </row>
    <row r="67" spans="1:5" ht="12.75" customHeight="1">
      <c r="C67" s="61" t="s">
        <v>68</v>
      </c>
      <c r="D67" s="62">
        <f>SUM(D54:D66)</f>
        <v>273369226</v>
      </c>
      <c r="E67" s="681">
        <f>SUM(E54:E66)</f>
        <v>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86" t="str">
        <f>C67&amp;" "&amp;TEXT(D67,"$#,###")</f>
        <v>Total Operating Sources $273,369,226</v>
      </c>
    </row>
    <row r="93" spans="1:5" ht="12.75" customHeight="1">
      <c r="A93" s="1686"/>
    </row>
    <row r="94" spans="1:5" ht="12.75" customHeight="1">
      <c r="A94" s="65"/>
    </row>
    <row r="95" spans="1:5" s="68" customFormat="1" ht="12.75" customHeight="1">
      <c r="A95" s="66"/>
      <c r="E95" s="682"/>
    </row>
    <row r="96" spans="1:5" ht="12.75" customHeight="1">
      <c r="A96" s="65"/>
    </row>
    <row r="97" spans="1:5" ht="12.75" customHeight="1">
      <c r="A97" s="65"/>
    </row>
    <row r="98" spans="1:5" ht="12.75" customHeight="1">
      <c r="A98" s="65"/>
    </row>
    <row r="100" spans="1:5" ht="12.75" customHeight="1">
      <c r="C100" s="1687" t="s">
        <v>13</v>
      </c>
      <c r="D100" s="1687"/>
    </row>
    <row r="101" spans="1:5" ht="12.75" customHeight="1">
      <c r="C101" s="1687"/>
      <c r="D101" s="1687"/>
    </row>
    <row r="102" spans="1:5" ht="12.75" customHeight="1">
      <c r="C102" s="69" t="s">
        <v>14</v>
      </c>
      <c r="D102" s="60">
        <f>'TARLST Sum'!B36</f>
        <v>51226635</v>
      </c>
      <c r="E102" s="680">
        <f>ROUND(D102/$D$114,3)</f>
        <v>0.24299999999999999</v>
      </c>
    </row>
    <row r="103" spans="1:5" ht="12.75" customHeight="1">
      <c r="C103" s="69" t="s">
        <v>15</v>
      </c>
      <c r="D103" s="60">
        <f>'TARLST Sum'!B37</f>
        <v>15607662</v>
      </c>
      <c r="E103" s="680">
        <f t="shared" ref="E103:E112" si="2">ROUND(D103/$D$114,3)</f>
        <v>7.3999999999999996E-2</v>
      </c>
    </row>
    <row r="104" spans="1:5" ht="12.75" customHeight="1">
      <c r="C104" s="69" t="s">
        <v>16</v>
      </c>
      <c r="D104" s="60">
        <f>'TARLST Sum'!B38</f>
        <v>2242769</v>
      </c>
      <c r="E104" s="680">
        <f t="shared" si="2"/>
        <v>1.0999999999999999E-2</v>
      </c>
    </row>
    <row r="105" spans="1:5" ht="12.75" customHeight="1">
      <c r="C105" s="69" t="s">
        <v>17</v>
      </c>
      <c r="D105" s="60">
        <f>'TARLST Sum'!B39</f>
        <v>22255061</v>
      </c>
      <c r="E105" s="680">
        <f t="shared" si="2"/>
        <v>0.105</v>
      </c>
    </row>
    <row r="106" spans="1:5" ht="12.75" customHeight="1">
      <c r="C106" s="69" t="s">
        <v>18</v>
      </c>
      <c r="D106" s="60">
        <f>'TARLST Sum'!B40</f>
        <v>12552752</v>
      </c>
      <c r="E106" s="680">
        <f t="shared" si="2"/>
        <v>5.8999999999999997E-2</v>
      </c>
    </row>
    <row r="107" spans="1:5" ht="12.75" customHeight="1">
      <c r="C107" s="69" t="s">
        <v>19</v>
      </c>
      <c r="D107" s="60">
        <f>'TARLST Sum'!B41</f>
        <v>17990353</v>
      </c>
      <c r="E107" s="680">
        <f t="shared" si="2"/>
        <v>8.5000000000000006E-2</v>
      </c>
    </row>
    <row r="108" spans="1:5" ht="12.75" customHeight="1">
      <c r="C108" s="69" t="s">
        <v>78</v>
      </c>
      <c r="D108" s="60">
        <f>'TARLST Sum'!B42</f>
        <v>12241516</v>
      </c>
      <c r="E108" s="680">
        <f t="shared" si="2"/>
        <v>5.8000000000000003E-2</v>
      </c>
    </row>
    <row r="109" spans="1:5" ht="12.75" customHeight="1">
      <c r="C109" s="69" t="s">
        <v>79</v>
      </c>
      <c r="D109" s="60">
        <f>'TARLST Sum'!B43</f>
        <v>33469302</v>
      </c>
      <c r="E109" s="680">
        <f t="shared" si="2"/>
        <v>0.159</v>
      </c>
    </row>
    <row r="110" spans="1:5" ht="12.75" customHeight="1">
      <c r="C110" s="69" t="s">
        <v>22</v>
      </c>
      <c r="D110" s="60">
        <f>'TARLST Sum'!B44</f>
        <v>38683447</v>
      </c>
      <c r="E110" s="680">
        <f t="shared" si="2"/>
        <v>0.183</v>
      </c>
    </row>
    <row r="111" spans="1:5" ht="12.75" customHeight="1">
      <c r="C111" s="64" t="s">
        <v>29</v>
      </c>
      <c r="D111" s="60">
        <f>'TARLST Sum'!B45</f>
        <v>1535773</v>
      </c>
      <c r="E111" s="680">
        <f t="shared" si="2"/>
        <v>7.0000000000000001E-3</v>
      </c>
    </row>
    <row r="112" spans="1:5" ht="12.75" customHeight="1">
      <c r="C112" s="64" t="s">
        <v>53</v>
      </c>
      <c r="D112" s="60">
        <f>'TARLST Sum'!B46</f>
        <v>3337272</v>
      </c>
      <c r="E112" s="680">
        <f t="shared" si="2"/>
        <v>1.6E-2</v>
      </c>
    </row>
    <row r="113" spans="3:5" ht="12.75" customHeight="1">
      <c r="C113" s="57"/>
      <c r="D113" s="57"/>
    </row>
    <row r="114" spans="3:5" ht="12.75" customHeight="1">
      <c r="C114" s="70" t="s">
        <v>69</v>
      </c>
      <c r="D114" s="62">
        <f>SUM(D102:D113)</f>
        <v>211142542</v>
      </c>
      <c r="E114" s="681">
        <f>SUM(E102:E113)</f>
        <v>1</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86" t="str">
        <f>C114&amp;" "&amp;TEXT(D114,"$#,###")</f>
        <v>Total Operating Uses $211,142,542</v>
      </c>
    </row>
    <row r="137" spans="1:1" ht="12.75" customHeight="1">
      <c r="A137" s="1686"/>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45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ransitionEvaluation="1" transitionEntry="1" codeName="Sheet56">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'TARLST Chrts'!$A$1</f>
        <v>Tarleton State University</v>
      </c>
      <c r="B1" s="74"/>
      <c r="C1" s="1"/>
      <c r="D1" s="1704" t="s">
        <v>1200</v>
      </c>
      <c r="E1" s="1705"/>
      <c r="F1" s="1757" t="s">
        <v>1196</v>
      </c>
      <c r="G1" s="1706"/>
      <c r="H1" s="1706"/>
      <c r="I1" s="1706"/>
      <c r="J1" s="1707" t="s">
        <v>1197</v>
      </c>
      <c r="K1" s="1695"/>
      <c r="L1" s="1695"/>
      <c r="M1" s="1695"/>
      <c r="N1" s="1695"/>
      <c r="O1" s="1696"/>
    </row>
    <row r="2" spans="1:15" ht="15.75">
      <c r="A2" s="76" t="str">
        <f>'Smmy Chrts'!$A$2</f>
        <v>For the Year Ended August 31, 2021</v>
      </c>
      <c r="B2" s="74"/>
      <c r="C2" s="1"/>
      <c r="D2" s="37"/>
      <c r="E2" s="37"/>
      <c r="F2" s="37"/>
      <c r="J2" s="37"/>
      <c r="K2" s="37"/>
      <c r="L2" s="37"/>
      <c r="M2" s="37"/>
    </row>
    <row r="3" spans="1:15" ht="15.75">
      <c r="A3" s="76" t="str">
        <f>'Smmy Chrts'!$A$3</f>
        <v>Source: FY 2021 Annual Financial Report</v>
      </c>
      <c r="B3" s="74"/>
      <c r="C3" s="1"/>
    </row>
    <row r="4" spans="1:15" ht="13.5" customHeight="1">
      <c r="B4" s="77"/>
      <c r="C4" s="4"/>
      <c r="D4" s="1711" t="s">
        <v>1142</v>
      </c>
      <c r="E4" s="1711" t="s">
        <v>1143</v>
      </c>
      <c r="F4" s="266"/>
    </row>
    <row r="5" spans="1:15" ht="18">
      <c r="A5" s="39" t="str">
        <f>'Smmy Chrts'!$C$35</f>
        <v>Summary Worksheet FY 2021</v>
      </c>
      <c r="B5" s="40" t="s">
        <v>86</v>
      </c>
      <c r="C5" s="40" t="s">
        <v>129</v>
      </c>
      <c r="D5" s="1712"/>
      <c r="E5" s="1712"/>
      <c r="F5" s="266"/>
      <c r="G5" s="799" t="s">
        <v>1198</v>
      </c>
      <c r="I5" s="822" t="s">
        <v>2157</v>
      </c>
      <c r="J5" s="792" t="s">
        <v>1144</v>
      </c>
    </row>
    <row r="6" spans="1:15" ht="13.5" customHeight="1">
      <c r="A6" s="78" t="s">
        <v>266</v>
      </c>
      <c r="B6" s="41"/>
      <c r="C6" s="42">
        <f>VLOOKUP($A$1,FTSELU,12,FALSE)</f>
        <v>11555.57</v>
      </c>
      <c r="J6" s="712"/>
    </row>
    <row r="7" spans="1:15">
      <c r="I7" s="824" t="s">
        <v>1162</v>
      </c>
      <c r="J7" s="827"/>
    </row>
    <row r="8" spans="1:15">
      <c r="A8" s="81" t="s">
        <v>71</v>
      </c>
      <c r="B8" s="81"/>
      <c r="C8" s="24"/>
      <c r="I8" s="896">
        <f>VLOOKUP(A1,FTSELU,14,FALSE)</f>
        <v>871.73</v>
      </c>
      <c r="J8" s="712"/>
    </row>
    <row r="9" spans="1:15" ht="12.75" customHeight="1" thickBot="1">
      <c r="A9" s="78" t="s">
        <v>0</v>
      </c>
      <c r="B9" s="82"/>
      <c r="C9" s="7"/>
      <c r="J9" s="712"/>
    </row>
    <row r="10" spans="1:15" ht="12.75" customHeight="1" thickTop="1">
      <c r="A10" s="75" t="s">
        <v>1</v>
      </c>
      <c r="B10" s="83">
        <f>'TARLST FGD'!M10</f>
        <v>53590196</v>
      </c>
      <c r="C10" s="83">
        <f>ROUND(B10/$C$6,0)</f>
        <v>4638</v>
      </c>
      <c r="D10" s="512">
        <f>'TARLST FGD'!F10</f>
        <v>0</v>
      </c>
      <c r="E10" s="512"/>
      <c r="F10" s="84">
        <f>B10-(SUM(D10:E10))</f>
        <v>53590196</v>
      </c>
      <c r="G10" s="1143" t="s">
        <v>1</v>
      </c>
      <c r="H10" s="1144"/>
      <c r="I10" s="825" t="s">
        <v>1161</v>
      </c>
      <c r="J10" s="713">
        <f>ROUND(F10/$C$6,0)</f>
        <v>4638</v>
      </c>
    </row>
    <row r="11" spans="1:15" ht="12.75" customHeight="1" thickBot="1">
      <c r="A11" s="75" t="s">
        <v>2</v>
      </c>
      <c r="B11" s="86">
        <f>'TARLST FGD'!M11</f>
        <v>9353596</v>
      </c>
      <c r="C11" s="87">
        <f t="shared" ref="C11:C14" si="0">ROUND(B11/$C$6,0)</f>
        <v>809</v>
      </c>
      <c r="D11" s="86">
        <f>'TARLST FGD'!F11</f>
        <v>0</v>
      </c>
      <c r="E11" s="74"/>
      <c r="F11" s="606">
        <f t="shared" ref="F11:F14" si="1">B11-(SUM(D11:E11))</f>
        <v>9353596</v>
      </c>
      <c r="G11" s="1148">
        <f>SUM(F10:F11)</f>
        <v>62943792</v>
      </c>
      <c r="H11" s="715"/>
      <c r="I11" s="1373">
        <f>ROUND($G$11/$C$6,0)</f>
        <v>5447</v>
      </c>
      <c r="J11" s="716">
        <f t="shared" ref="J11:J14" si="2">ROUND(F11/$C$6,0)</f>
        <v>809</v>
      </c>
    </row>
    <row r="12" spans="1:15" ht="12.75" hidden="1" customHeight="1" thickTop="1" thickBot="1">
      <c r="A12" s="75" t="s">
        <v>1410</v>
      </c>
      <c r="B12" s="86"/>
      <c r="C12" s="87"/>
      <c r="D12" s="86"/>
      <c r="E12" s="74"/>
      <c r="F12" s="607"/>
      <c r="J12" s="716"/>
      <c r="O12" s="608"/>
    </row>
    <row r="13" spans="1:15" ht="12.75" customHeight="1" thickTop="1">
      <c r="A13" s="75" t="s">
        <v>1368</v>
      </c>
      <c r="B13" s="86">
        <f>'TARLST FGD'!M13</f>
        <v>0</v>
      </c>
      <c r="C13" s="87">
        <f t="shared" si="0"/>
        <v>0</v>
      </c>
      <c r="D13" s="86">
        <f>'TARLST FGD'!F13</f>
        <v>0</v>
      </c>
      <c r="E13" s="74"/>
      <c r="F13" s="893">
        <f t="shared" si="1"/>
        <v>0</v>
      </c>
      <c r="G13" s="882" t="s">
        <v>81</v>
      </c>
      <c r="H13" s="894"/>
      <c r="I13" s="826" t="s">
        <v>1163</v>
      </c>
      <c r="J13" s="716">
        <f t="shared" si="2"/>
        <v>0</v>
      </c>
    </row>
    <row r="14" spans="1:15" ht="12.75" customHeight="1" thickBot="1">
      <c r="A14" s="75" t="s">
        <v>49</v>
      </c>
      <c r="B14" s="86">
        <f>'TARLST FGD'!M14</f>
        <v>0</v>
      </c>
      <c r="C14" s="87">
        <f t="shared" si="0"/>
        <v>0</v>
      </c>
      <c r="D14" s="86">
        <f>'TARLST FGD'!F14</f>
        <v>0</v>
      </c>
      <c r="E14" s="74"/>
      <c r="F14" s="607">
        <f t="shared" si="1"/>
        <v>0</v>
      </c>
      <c r="G14" s="800">
        <f>SUM(F13:F14)</f>
        <v>0</v>
      </c>
      <c r="H14" s="895"/>
      <c r="I14" s="1377">
        <f>ROUND($G$11/$I$8,0)</f>
        <v>72206</v>
      </c>
      <c r="J14" s="828">
        <f t="shared" si="2"/>
        <v>0</v>
      </c>
    </row>
    <row r="15" spans="1:15" ht="12.75" customHeight="1" thickTop="1">
      <c r="A15" s="88" t="s">
        <v>3</v>
      </c>
      <c r="B15" s="89">
        <f>SUM(B10:B14)</f>
        <v>62943792</v>
      </c>
      <c r="C15" s="89">
        <f>SUM(C10:C14)</f>
        <v>5447</v>
      </c>
      <c r="D15" s="89">
        <f>SUM(D10:D14)</f>
        <v>0</v>
      </c>
      <c r="E15" s="89">
        <f>SUM(E10:E14)</f>
        <v>0</v>
      </c>
      <c r="F15" s="216">
        <f>SUM(F10:F14)</f>
        <v>62943792</v>
      </c>
      <c r="I15" s="1372"/>
      <c r="J15" s="757">
        <f>SUM(J10:J14)</f>
        <v>5447</v>
      </c>
    </row>
    <row r="16" spans="1:15">
      <c r="B16" s="48"/>
      <c r="C16" s="75"/>
      <c r="J16" s="712"/>
    </row>
    <row r="17" spans="1:31" ht="12.75" customHeight="1">
      <c r="A17" s="78" t="s">
        <v>4</v>
      </c>
      <c r="B17" s="86"/>
      <c r="C17" s="75"/>
      <c r="J17" s="712"/>
    </row>
    <row r="18" spans="1:31">
      <c r="A18" s="75" t="s">
        <v>39</v>
      </c>
      <c r="B18" s="83">
        <f>'TARLST FGD'!M29</f>
        <v>57319298</v>
      </c>
      <c r="C18" s="83">
        <f t="shared" ref="C18:C19" si="3">ROUND(B18/$C$6,0)</f>
        <v>4960</v>
      </c>
      <c r="D18" s="512">
        <f>'TARLST FGD'!$F$29</f>
        <v>0</v>
      </c>
      <c r="E18" s="512"/>
      <c r="F18" s="512">
        <f t="shared" ref="F18:F19" si="4">B18-(SUM(D18:E18))</f>
        <v>57319298</v>
      </c>
      <c r="G18" s="337"/>
      <c r="H18" s="337"/>
      <c r="I18" s="337"/>
      <c r="J18" s="713">
        <f>ROUND(F18/$C$6,0)</f>
        <v>4960</v>
      </c>
    </row>
    <row r="19" spans="1:31" ht="13.5" thickBot="1">
      <c r="A19" s="75" t="s">
        <v>40</v>
      </c>
      <c r="B19" s="86">
        <f>'TARLST FGD'!M42</f>
        <v>37770330</v>
      </c>
      <c r="C19" s="87">
        <f t="shared" si="3"/>
        <v>3269</v>
      </c>
      <c r="D19" s="74">
        <f>'TARLST FGD'!$F$42</f>
        <v>11815873</v>
      </c>
      <c r="E19" s="74"/>
      <c r="F19" s="74">
        <f t="shared" si="4"/>
        <v>25954457</v>
      </c>
      <c r="G19" s="337"/>
      <c r="H19" s="337"/>
      <c r="I19" s="337"/>
      <c r="J19" s="716">
        <f>ROUND(F19/$C$6,0)</f>
        <v>2246</v>
      </c>
    </row>
    <row r="20" spans="1:31" ht="14.25" thickTop="1" thickBot="1">
      <c r="A20" s="88" t="s">
        <v>5</v>
      </c>
      <c r="B20" s="89">
        <f>SUM(B18:B19)</f>
        <v>95089628</v>
      </c>
      <c r="C20" s="89">
        <f>SUM(C18:C19)</f>
        <v>8229</v>
      </c>
      <c r="D20" s="717">
        <f>SUM(D18:D19)</f>
        <v>11815873</v>
      </c>
      <c r="E20" s="718">
        <f>SUM(E18:E19)</f>
        <v>0</v>
      </c>
      <c r="F20" s="801">
        <f>SUM(F18:F19)</f>
        <v>83273755</v>
      </c>
      <c r="G20" s="720" t="s">
        <v>26</v>
      </c>
      <c r="H20" s="366"/>
      <c r="I20" s="367"/>
      <c r="J20" s="721">
        <f>SUM(J18:J19)</f>
        <v>7206</v>
      </c>
    </row>
    <row r="21" spans="1:31" ht="12.75" customHeight="1" thickTop="1">
      <c r="B21" s="91"/>
      <c r="C21" s="75"/>
      <c r="F21" s="804"/>
      <c r="J21" s="712"/>
    </row>
    <row r="22" spans="1:31" ht="14.25" customHeight="1" thickBot="1">
      <c r="A22" s="78" t="s">
        <v>6</v>
      </c>
      <c r="B22" s="91"/>
      <c r="C22" s="75"/>
      <c r="J22" s="712"/>
    </row>
    <row r="23" spans="1:31" ht="14.25" thickTop="1" thickBot="1">
      <c r="A23" s="88" t="s">
        <v>7</v>
      </c>
      <c r="B23" s="92">
        <f>'TARLST FGD'!M47</f>
        <v>57260009</v>
      </c>
      <c r="C23" s="89">
        <f t="shared" ref="C23" si="5">ROUND(B23/$C$6,0)</f>
        <v>4955</v>
      </c>
      <c r="D23" s="717">
        <f>'TARLST FGD'!F47</f>
        <v>0</v>
      </c>
      <c r="E23" s="718"/>
      <c r="F23" s="801">
        <f>B23-(SUM(D23:E23))</f>
        <v>57260009</v>
      </c>
      <c r="G23" s="722" t="s">
        <v>74</v>
      </c>
      <c r="H23" s="366"/>
      <c r="I23" s="367"/>
      <c r="J23" s="756">
        <f>ROUND(F23/$C$6,0)</f>
        <v>4955</v>
      </c>
    </row>
    <row r="24" spans="1:31" ht="13.5" thickTop="1">
      <c r="B24" s="91"/>
      <c r="C24" s="75"/>
      <c r="J24" s="712"/>
    </row>
    <row r="25" spans="1:31">
      <c r="A25" s="78" t="s">
        <v>8</v>
      </c>
      <c r="B25" s="91"/>
      <c r="C25" s="75"/>
      <c r="J25" s="712"/>
    </row>
    <row r="26" spans="1:31">
      <c r="A26" s="75" t="s">
        <v>42</v>
      </c>
      <c r="B26" s="83">
        <f>'TARLST FGD'!M50</f>
        <v>9326536</v>
      </c>
      <c r="C26" s="83">
        <f t="shared" ref="C26:C31" si="6">ROUND(B26/$C$6,0)</f>
        <v>807</v>
      </c>
      <c r="D26" s="512">
        <f>'TARLST FGD'!F50</f>
        <v>1280949</v>
      </c>
      <c r="E26" s="512"/>
      <c r="F26" s="512">
        <f t="shared" ref="F26:F31" si="7">B26-(SUM(D26:E26))</f>
        <v>8045587</v>
      </c>
      <c r="G26" s="337"/>
      <c r="H26" s="337"/>
      <c r="I26" s="337"/>
      <c r="J26" s="713">
        <f>ROUND(F26/$C$6,0)</f>
        <v>696</v>
      </c>
    </row>
    <row r="27" spans="1:31">
      <c r="A27" s="75" t="s">
        <v>9</v>
      </c>
      <c r="B27" s="86">
        <f>'TARLST FGD'!M51</f>
        <v>0</v>
      </c>
      <c r="C27" s="87">
        <f t="shared" si="6"/>
        <v>0</v>
      </c>
      <c r="D27" s="86">
        <f>'TARLST FGD'!F51</f>
        <v>0</v>
      </c>
      <c r="E27" s="74"/>
      <c r="F27" s="74">
        <f t="shared" si="7"/>
        <v>0</v>
      </c>
      <c r="G27" s="337"/>
      <c r="H27" s="337"/>
      <c r="I27" s="337"/>
      <c r="J27" s="716">
        <f t="shared" ref="J27:J31" si="8">ROUND(F27/$C$6,0)</f>
        <v>0</v>
      </c>
    </row>
    <row r="28" spans="1:31" ht="13.5" thickBot="1">
      <c r="A28" s="75" t="s">
        <v>10</v>
      </c>
      <c r="B28" s="86">
        <f>'TARLST FGD'!M52</f>
        <v>13307438</v>
      </c>
      <c r="C28" s="87">
        <f t="shared" si="6"/>
        <v>1152</v>
      </c>
      <c r="D28" s="86">
        <f>'TARLST FGD'!F52</f>
        <v>346280</v>
      </c>
      <c r="E28" s="74"/>
      <c r="F28" s="74">
        <f t="shared" si="7"/>
        <v>12961158</v>
      </c>
      <c r="G28" s="337"/>
      <c r="H28" s="337"/>
      <c r="I28" s="337"/>
      <c r="J28" s="716">
        <f t="shared" si="8"/>
        <v>1122</v>
      </c>
    </row>
    <row r="29" spans="1:31" ht="13.5" thickBot="1">
      <c r="A29" s="75" t="s">
        <v>11</v>
      </c>
      <c r="B29" s="86">
        <f>'TARLST FGD'!M53</f>
        <v>1832258</v>
      </c>
      <c r="C29" s="87">
        <f t="shared" si="6"/>
        <v>159</v>
      </c>
      <c r="D29" s="86">
        <f>'TARLST FGD'!F53</f>
        <v>0</v>
      </c>
      <c r="E29" s="74"/>
      <c r="F29" s="74">
        <f t="shared" si="7"/>
        <v>1832258</v>
      </c>
      <c r="G29" s="337"/>
      <c r="H29" s="337"/>
      <c r="I29" s="337"/>
      <c r="J29" s="716">
        <f t="shared" si="8"/>
        <v>159</v>
      </c>
      <c r="K29" s="1694" t="s">
        <v>1065</v>
      </c>
      <c r="L29" s="1695"/>
      <c r="M29" s="1695"/>
      <c r="N29" s="1695"/>
      <c r="O29" s="1696"/>
    </row>
    <row r="30" spans="1:31" ht="13.5" thickBot="1">
      <c r="A30" s="93" t="s">
        <v>2134</v>
      </c>
      <c r="B30" s="94">
        <f>'TARLST FGD'!M54</f>
        <v>31363530</v>
      </c>
      <c r="C30" s="87">
        <f t="shared" si="6"/>
        <v>2714</v>
      </c>
      <c r="D30" s="729">
        <f>B30</f>
        <v>31363530</v>
      </c>
      <c r="E30" s="74"/>
      <c r="F30" s="74">
        <f t="shared" si="7"/>
        <v>0</v>
      </c>
      <c r="G30" s="337"/>
      <c r="H30" s="337"/>
      <c r="I30" s="337"/>
      <c r="J30" s="716">
        <f t="shared" si="8"/>
        <v>0</v>
      </c>
      <c r="K30" s="1694" t="s">
        <v>1070</v>
      </c>
      <c r="L30" s="1695"/>
      <c r="M30" s="1695"/>
      <c r="N30" s="1695"/>
      <c r="O30" s="1696"/>
    </row>
    <row r="31" spans="1:31" ht="13.5" customHeight="1" thickBot="1">
      <c r="A31" s="95" t="s">
        <v>43</v>
      </c>
      <c r="B31" s="86">
        <f>'TARLST FGD'!M55</f>
        <v>2246035</v>
      </c>
      <c r="C31" s="87">
        <f t="shared" si="6"/>
        <v>194</v>
      </c>
      <c r="D31" s="86">
        <f>'TARLST FGD'!F55</f>
        <v>539497</v>
      </c>
      <c r="E31" s="74"/>
      <c r="F31" s="74">
        <f t="shared" si="7"/>
        <v>1706538</v>
      </c>
      <c r="G31" s="35"/>
      <c r="H31" s="35"/>
      <c r="I31" s="38"/>
      <c r="J31" s="716">
        <f t="shared" si="8"/>
        <v>148</v>
      </c>
      <c r="K31" s="1697" t="s">
        <v>1073</v>
      </c>
      <c r="L31" s="1697" t="s">
        <v>1071</v>
      </c>
      <c r="M31" s="1697" t="s">
        <v>1072</v>
      </c>
      <c r="N31" s="1697" t="s">
        <v>1240</v>
      </c>
      <c r="O31" s="1697"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58075797</v>
      </c>
      <c r="C32" s="89">
        <f>SUM(C26:C31)</f>
        <v>5026</v>
      </c>
      <c r="D32" s="723">
        <f>SUM(D26:D31)</f>
        <v>33530256</v>
      </c>
      <c r="E32" s="723">
        <f>SUM(E26:E31)</f>
        <v>0</v>
      </c>
      <c r="F32" s="802">
        <f>SUM(F26:F31)</f>
        <v>24545541</v>
      </c>
      <c r="G32" s="1708" t="s">
        <v>8</v>
      </c>
      <c r="H32" s="1709"/>
      <c r="I32" s="783" t="s">
        <v>1166</v>
      </c>
      <c r="J32" s="725">
        <f>SUM(J26:J31)</f>
        <v>2125</v>
      </c>
      <c r="K32" s="1698"/>
      <c r="L32" s="1698"/>
      <c r="M32" s="1698"/>
      <c r="N32" s="1698" t="s">
        <v>1074</v>
      </c>
      <c r="O32" s="1698" t="s">
        <v>1075</v>
      </c>
    </row>
    <row r="33" spans="1:31" ht="14.25" thickTop="1" thickBot="1">
      <c r="A33" s="97" t="s">
        <v>68</v>
      </c>
      <c r="B33" s="52">
        <f>B15+B20+B23+B32</f>
        <v>273369226</v>
      </c>
      <c r="C33" s="45">
        <f>C15+C20+C23+C32</f>
        <v>23657</v>
      </c>
      <c r="D33" s="52">
        <f>D15+D20+D23+D32</f>
        <v>45346129</v>
      </c>
      <c r="E33" s="52">
        <f>E15+E20+E23+E32</f>
        <v>0</v>
      </c>
      <c r="F33" s="724">
        <f>F15+F20+F23+F32</f>
        <v>228023097</v>
      </c>
      <c r="G33" s="1758" t="s">
        <v>84</v>
      </c>
      <c r="H33" s="1759"/>
      <c r="I33" s="1375">
        <f>ROUND($G$35/$C$6,0)</f>
        <v>19733</v>
      </c>
      <c r="J33" s="726">
        <f>J15+J20+J23+J32</f>
        <v>19733</v>
      </c>
      <c r="K33" s="1698"/>
      <c r="L33" s="1698"/>
      <c r="M33" s="1698"/>
      <c r="N33" s="1698"/>
      <c r="O33" s="1698"/>
    </row>
    <row r="34" spans="1:31" ht="14.25" thickTop="1" thickBot="1">
      <c r="B34" s="98"/>
      <c r="C34" s="75"/>
      <c r="D34" s="337"/>
      <c r="E34" s="337"/>
      <c r="F34" s="337" t="s">
        <v>1199</v>
      </c>
      <c r="G34" s="787">
        <f>G14*-1</f>
        <v>0</v>
      </c>
      <c r="H34" s="337"/>
      <c r="I34" s="783" t="s">
        <v>1167</v>
      </c>
      <c r="J34" s="727"/>
      <c r="K34" s="1699"/>
      <c r="L34" s="1699"/>
      <c r="M34" s="1699"/>
      <c r="N34" s="1699"/>
      <c r="O34" s="1699"/>
    </row>
    <row r="35" spans="1:31" ht="14.25" thickTop="1" thickBot="1">
      <c r="A35" s="81" t="s">
        <v>72</v>
      </c>
      <c r="B35" s="81"/>
      <c r="C35" s="81"/>
      <c r="D35" s="728"/>
      <c r="E35" s="728"/>
      <c r="F35" s="788" t="s">
        <v>1165</v>
      </c>
      <c r="G35" s="803">
        <f>F33+G34</f>
        <v>228023097</v>
      </c>
      <c r="I35" s="1376">
        <f>ROUND($G$35/$I$8,0)</f>
        <v>261575</v>
      </c>
      <c r="K35" s="609"/>
      <c r="L35" s="609"/>
      <c r="M35" s="609"/>
      <c r="N35" s="609"/>
      <c r="O35" s="609"/>
    </row>
    <row r="36" spans="1:31" ht="13.5" thickTop="1">
      <c r="A36" s="99" t="s">
        <v>14</v>
      </c>
      <c r="B36" s="83">
        <f>'TARLST FGD'!M60</f>
        <v>51226635</v>
      </c>
      <c r="C36" s="83">
        <f t="shared" ref="C36:C46" si="9">ROUND(B36/$C$6,0)</f>
        <v>4433</v>
      </c>
      <c r="D36" s="512">
        <f>'TARLST FGD'!F60</f>
        <v>0</v>
      </c>
      <c r="E36" s="512"/>
      <c r="F36" s="512">
        <f t="shared" ref="F36:F46" si="10">B36-(SUM(D36:E36))</f>
        <v>51226635</v>
      </c>
      <c r="G36" s="337"/>
      <c r="H36" s="1378" t="s">
        <v>2158</v>
      </c>
      <c r="I36" s="1379">
        <f>ROUND(F36/$C$6,0)</f>
        <v>4433</v>
      </c>
      <c r="J36" s="337" t="s">
        <v>752</v>
      </c>
      <c r="K36" s="512">
        <f>F36</f>
        <v>51226635</v>
      </c>
      <c r="L36" s="512">
        <f>K36</f>
        <v>51226635</v>
      </c>
      <c r="M36" s="512"/>
      <c r="N36" s="512"/>
      <c r="O36" s="512"/>
    </row>
    <row r="37" spans="1:31">
      <c r="A37" s="99" t="s">
        <v>15</v>
      </c>
      <c r="B37" s="86">
        <f>'TARLST FGD'!M61</f>
        <v>15607662</v>
      </c>
      <c r="C37" s="87">
        <f t="shared" si="9"/>
        <v>1351</v>
      </c>
      <c r="D37" s="86">
        <f>'TARLST FGD'!F61</f>
        <v>0</v>
      </c>
      <c r="E37" s="74"/>
      <c r="F37" s="74">
        <f t="shared" si="10"/>
        <v>15607662</v>
      </c>
      <c r="G37" s="337"/>
      <c r="H37" s="337"/>
      <c r="J37" s="337" t="s">
        <v>1076</v>
      </c>
      <c r="K37" s="373">
        <f>F37</f>
        <v>15607662</v>
      </c>
      <c r="L37" s="373">
        <f>K37</f>
        <v>15607662</v>
      </c>
      <c r="M37" s="373"/>
      <c r="N37" s="373"/>
      <c r="O37" s="373"/>
    </row>
    <row r="38" spans="1:31">
      <c r="A38" s="99" t="s">
        <v>16</v>
      </c>
      <c r="B38" s="86">
        <f>'TARLST FGD'!M62</f>
        <v>2242769</v>
      </c>
      <c r="C38" s="87">
        <f t="shared" si="9"/>
        <v>194</v>
      </c>
      <c r="D38" s="86">
        <f>'TARLST FGD'!F62</f>
        <v>0</v>
      </c>
      <c r="E38" s="86">
        <f>B38-D38</f>
        <v>2242769</v>
      </c>
      <c r="F38" s="74">
        <f t="shared" si="10"/>
        <v>0</v>
      </c>
      <c r="G38" s="337"/>
      <c r="H38" s="337"/>
      <c r="I38" s="337"/>
      <c r="J38" s="337" t="s">
        <v>1077</v>
      </c>
      <c r="K38" s="736"/>
      <c r="L38" s="737"/>
      <c r="M38" s="737" t="s">
        <v>1152</v>
      </c>
      <c r="N38" s="737"/>
      <c r="O38" s="738"/>
    </row>
    <row r="39" spans="1:31">
      <c r="A39" s="99" t="s">
        <v>17</v>
      </c>
      <c r="B39" s="86">
        <f>'TARLST FGD'!M63</f>
        <v>22255061</v>
      </c>
      <c r="C39" s="87">
        <f t="shared" si="9"/>
        <v>1926</v>
      </c>
      <c r="D39" s="86">
        <f>'TARLST FGD'!F63</f>
        <v>0</v>
      </c>
      <c r="E39" s="74"/>
      <c r="F39" s="74">
        <f t="shared" si="10"/>
        <v>22255061</v>
      </c>
      <c r="G39" s="337"/>
      <c r="H39" s="1378" t="s">
        <v>2159</v>
      </c>
      <c r="I39" s="1379">
        <f>ROUND(F39/$C$6,0)</f>
        <v>1926</v>
      </c>
      <c r="J39" s="337" t="s">
        <v>1078</v>
      </c>
      <c r="K39" s="373">
        <f t="shared" ref="K39:K43" si="11">F39</f>
        <v>22255061</v>
      </c>
      <c r="L39" s="373">
        <f>K39</f>
        <v>22255061</v>
      </c>
      <c r="M39" s="373"/>
      <c r="N39" s="373"/>
      <c r="O39" s="373"/>
    </row>
    <row r="40" spans="1:31">
      <c r="A40" s="99" t="s">
        <v>18</v>
      </c>
      <c r="B40" s="86">
        <f>'TARLST FGD'!M64</f>
        <v>12552752</v>
      </c>
      <c r="C40" s="87">
        <f t="shared" si="9"/>
        <v>1086</v>
      </c>
      <c r="D40" s="86">
        <f>'TARLST FGD'!F64</f>
        <v>0</v>
      </c>
      <c r="E40" s="74"/>
      <c r="F40" s="74">
        <f t="shared" si="10"/>
        <v>12552752</v>
      </c>
      <c r="G40" s="337"/>
      <c r="J40" s="337" t="s">
        <v>1079</v>
      </c>
      <c r="K40" s="373">
        <f t="shared" si="11"/>
        <v>12552752</v>
      </c>
      <c r="L40" s="373"/>
      <c r="M40" s="373">
        <f>K40</f>
        <v>12552752</v>
      </c>
      <c r="N40" s="373"/>
      <c r="O40" s="373"/>
    </row>
    <row r="41" spans="1:31">
      <c r="A41" s="99" t="s">
        <v>19</v>
      </c>
      <c r="B41" s="86">
        <f>'TARLST FGD'!M65</f>
        <v>17990353</v>
      </c>
      <c r="C41" s="87">
        <f t="shared" si="9"/>
        <v>1557</v>
      </c>
      <c r="D41" s="86">
        <f>'TARLST FGD'!F65</f>
        <v>0</v>
      </c>
      <c r="E41" s="74"/>
      <c r="F41" s="74">
        <f t="shared" si="10"/>
        <v>17990353</v>
      </c>
      <c r="G41" s="337"/>
      <c r="H41" s="1378" t="s">
        <v>2160</v>
      </c>
      <c r="I41" s="1379">
        <f>ROUND(F41/$C$6,0)</f>
        <v>1557</v>
      </c>
      <c r="J41" s="337" t="s">
        <v>757</v>
      </c>
      <c r="K41" s="373">
        <f t="shared" si="11"/>
        <v>17990353</v>
      </c>
      <c r="L41" s="373"/>
      <c r="M41" s="373"/>
      <c r="N41" s="373">
        <f>K41</f>
        <v>17990353</v>
      </c>
      <c r="O41" s="373"/>
    </row>
    <row r="42" spans="1:31">
      <c r="A42" s="99" t="s">
        <v>20</v>
      </c>
      <c r="B42" s="86">
        <f>'TARLST FGD'!M66</f>
        <v>12241516</v>
      </c>
      <c r="C42" s="87">
        <f t="shared" si="9"/>
        <v>1059</v>
      </c>
      <c r="D42" s="86">
        <f>'TARLST FGD'!F66</f>
        <v>0</v>
      </c>
      <c r="E42" s="74"/>
      <c r="F42" s="74">
        <f t="shared" si="10"/>
        <v>12241516</v>
      </c>
      <c r="G42" s="337"/>
      <c r="J42" s="337" t="s">
        <v>758</v>
      </c>
      <c r="K42" s="373">
        <f t="shared" si="11"/>
        <v>12241516</v>
      </c>
      <c r="L42" s="373"/>
      <c r="M42" s="373"/>
      <c r="N42" s="373">
        <f>K42</f>
        <v>12241516</v>
      </c>
      <c r="O42" s="373"/>
    </row>
    <row r="43" spans="1:31">
      <c r="A43" s="99" t="s">
        <v>21</v>
      </c>
      <c r="B43" s="86">
        <f>'TARLST FGD'!M67</f>
        <v>33469302</v>
      </c>
      <c r="C43" s="87">
        <f t="shared" si="9"/>
        <v>2896</v>
      </c>
      <c r="D43" s="86">
        <f>'TARLST FGD'!F67</f>
        <v>0</v>
      </c>
      <c r="E43" s="74"/>
      <c r="F43" s="74">
        <f t="shared" si="10"/>
        <v>33469302</v>
      </c>
      <c r="G43" s="337"/>
      <c r="H43" s="337"/>
      <c r="I43" s="337"/>
      <c r="J43" s="337" t="s">
        <v>1145</v>
      </c>
      <c r="K43" s="373">
        <f t="shared" si="11"/>
        <v>33469302</v>
      </c>
      <c r="L43" s="373"/>
      <c r="M43" s="373">
        <f>K43</f>
        <v>33469302</v>
      </c>
      <c r="N43" s="373"/>
      <c r="O43" s="373"/>
    </row>
    <row r="44" spans="1:31">
      <c r="A44" s="99" t="s">
        <v>2135</v>
      </c>
      <c r="B44" s="86">
        <f>'TARLST FGD'!M68</f>
        <v>38683447</v>
      </c>
      <c r="C44" s="87">
        <f t="shared" si="9"/>
        <v>3348</v>
      </c>
      <c r="D44" s="729">
        <f>B44</f>
        <v>38683447</v>
      </c>
      <c r="E44" s="74"/>
      <c r="F44" s="74">
        <f t="shared" si="10"/>
        <v>0</v>
      </c>
      <c r="G44" s="337"/>
      <c r="H44" s="337"/>
      <c r="I44" s="337"/>
      <c r="J44" s="337" t="s">
        <v>743</v>
      </c>
      <c r="K44" s="736"/>
      <c r="L44" s="737"/>
      <c r="M44" s="737" t="s">
        <v>1152</v>
      </c>
      <c r="N44" s="737"/>
      <c r="O44" s="738"/>
    </row>
    <row r="45" spans="1:31">
      <c r="A45" s="99" t="s">
        <v>61</v>
      </c>
      <c r="B45" s="86">
        <f>'TARLST FGD'!M69</f>
        <v>1535773</v>
      </c>
      <c r="C45" s="87">
        <f t="shared" si="9"/>
        <v>133</v>
      </c>
      <c r="D45" s="86">
        <f>'TARLST FGD'!F69</f>
        <v>221133</v>
      </c>
      <c r="E45" s="74"/>
      <c r="F45" s="74">
        <f t="shared" si="10"/>
        <v>1314640</v>
      </c>
      <c r="G45" s="337"/>
      <c r="H45" s="337"/>
      <c r="I45" s="337"/>
      <c r="J45" s="337" t="s">
        <v>1080</v>
      </c>
      <c r="K45" s="373">
        <f t="shared" ref="K45:K46" si="12">F45</f>
        <v>1314640</v>
      </c>
      <c r="L45" s="373"/>
      <c r="M45" s="373"/>
      <c r="N45" s="373"/>
      <c r="O45" s="373">
        <f>K45</f>
        <v>1314640</v>
      </c>
    </row>
    <row r="46" spans="1:31" ht="13.5" thickBot="1">
      <c r="A46" s="75" t="s">
        <v>50</v>
      </c>
      <c r="B46" s="86">
        <f>'TARLST FGD'!M70</f>
        <v>3337272</v>
      </c>
      <c r="C46" s="87">
        <f t="shared" si="9"/>
        <v>289</v>
      </c>
      <c r="D46" s="86">
        <f>'TARLST FGD'!F70</f>
        <v>36640</v>
      </c>
      <c r="E46" s="74"/>
      <c r="F46" s="74">
        <f t="shared" si="10"/>
        <v>3300632</v>
      </c>
      <c r="G46" s="35"/>
      <c r="H46" s="1378" t="s">
        <v>2161</v>
      </c>
      <c r="I46" s="1379">
        <f>ROUND(SUM(F37+F40+F42+F43+F45+F46)/$C$6,0)</f>
        <v>6792</v>
      </c>
      <c r="J46" s="610" t="s">
        <v>1075</v>
      </c>
      <c r="K46" s="373">
        <f t="shared" si="12"/>
        <v>3300632</v>
      </c>
      <c r="L46" s="611"/>
      <c r="M46" s="611"/>
      <c r="N46" s="611"/>
      <c r="O46" s="373">
        <f>K46</f>
        <v>3300632</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211142542</v>
      </c>
      <c r="C47" s="45">
        <f>SUM(C36:C46)</f>
        <v>18272</v>
      </c>
      <c r="D47" s="730">
        <f>SUM(D36:D46)</f>
        <v>38941220</v>
      </c>
      <c r="E47" s="731">
        <f>SUM(E36:E46)</f>
        <v>2242769</v>
      </c>
      <c r="F47" s="719">
        <f>SUM(F36:F46)</f>
        <v>169958553</v>
      </c>
      <c r="G47" s="1688" t="s">
        <v>1176</v>
      </c>
      <c r="H47" s="1689"/>
      <c r="I47" s="785" t="s">
        <v>1164</v>
      </c>
      <c r="J47" s="610" t="s">
        <v>1081</v>
      </c>
      <c r="K47" s="612">
        <f>SUM(K36:K46)</f>
        <v>169958553</v>
      </c>
      <c r="L47" s="612">
        <f>SUM(L36:L46)</f>
        <v>89089358</v>
      </c>
      <c r="M47" s="612">
        <f>SUM(M36:M46)</f>
        <v>46022054</v>
      </c>
      <c r="N47" s="612">
        <f>SUM(N36:N46)</f>
        <v>30231869</v>
      </c>
      <c r="O47" s="612">
        <f>SUM(O36:O46)</f>
        <v>4615272</v>
      </c>
    </row>
    <row r="48" spans="1:31" ht="14.25" thickTop="1" thickBot="1">
      <c r="A48" s="93"/>
      <c r="B48" s="98"/>
      <c r="C48" s="75"/>
      <c r="F48" s="613"/>
      <c r="G48" s="1690"/>
      <c r="H48" s="1691"/>
      <c r="I48" s="823">
        <f>ROUND(F47/C6,0)</f>
        <v>14708</v>
      </c>
      <c r="J48" s="1700" t="s">
        <v>1082</v>
      </c>
      <c r="K48" s="611"/>
      <c r="L48" s="611"/>
      <c r="M48" s="611"/>
      <c r="N48" s="611"/>
      <c r="O48" s="611"/>
    </row>
    <row r="49" spans="1:31" ht="13.5" thickBot="1">
      <c r="A49" s="78" t="s">
        <v>23</v>
      </c>
      <c r="B49" s="82"/>
      <c r="C49" s="75"/>
      <c r="F49" s="614"/>
      <c r="G49" s="1690"/>
      <c r="H49" s="1691"/>
      <c r="I49" s="811"/>
      <c r="J49" s="1700"/>
      <c r="K49" s="615">
        <f>ROUND(K47/$C$6,2)</f>
        <v>14707.93</v>
      </c>
      <c r="L49" s="615">
        <f t="shared" ref="L49:O49" si="13">ROUND(L47/$C$6,2)</f>
        <v>7709.65</v>
      </c>
      <c r="M49" s="615">
        <f t="shared" si="13"/>
        <v>3982.67</v>
      </c>
      <c r="N49" s="615">
        <f t="shared" si="13"/>
        <v>2616.2199999999998</v>
      </c>
      <c r="O49" s="615">
        <f t="shared" si="13"/>
        <v>399.4</v>
      </c>
      <c r="P49" s="35"/>
      <c r="Q49" s="96"/>
      <c r="R49" s="96"/>
      <c r="S49" s="96"/>
      <c r="T49" s="96"/>
      <c r="U49" s="96"/>
      <c r="V49" s="96"/>
      <c r="W49" s="96"/>
      <c r="X49" s="96"/>
      <c r="Y49" s="96"/>
      <c r="Z49" s="96"/>
      <c r="AA49" s="96"/>
      <c r="AB49" s="96"/>
      <c r="AC49" s="96"/>
      <c r="AD49" s="96"/>
      <c r="AE49" s="96"/>
    </row>
    <row r="50" spans="1:31" ht="13.5" thickBot="1">
      <c r="A50" s="75" t="s">
        <v>62</v>
      </c>
      <c r="B50" s="86">
        <f>'TARLST FGD'!M74</f>
        <v>-15777249</v>
      </c>
      <c r="C50" s="83">
        <f t="shared" ref="C50:C53" si="14">ROUND(B50/$C$6,0)</f>
        <v>-1365</v>
      </c>
      <c r="D50" s="512">
        <f>'TARLST FGD'!F74</f>
        <v>0</v>
      </c>
      <c r="E50" s="512"/>
      <c r="F50" s="732">
        <f t="shared" ref="F50:F53" si="15">B50-(SUM(D50:E50))</f>
        <v>-15777249</v>
      </c>
      <c r="G50" s="1692"/>
      <c r="H50" s="1693"/>
      <c r="I50" s="808"/>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'TARLST FGD'!M75</f>
        <v>26092787</v>
      </c>
      <c r="C51" s="87">
        <f t="shared" si="14"/>
        <v>2258</v>
      </c>
      <c r="D51" s="91">
        <f>'TARLST FGD'!F75</f>
        <v>-2843470</v>
      </c>
      <c r="E51" s="82"/>
      <c r="F51" s="74">
        <f t="shared" si="15"/>
        <v>28936257</v>
      </c>
      <c r="G51" s="337"/>
      <c r="J51" s="337"/>
      <c r="K51" s="616"/>
      <c r="L51" s="616"/>
      <c r="M51" s="616"/>
      <c r="N51" s="616"/>
      <c r="O51" s="616"/>
    </row>
    <row r="52" spans="1:31">
      <c r="A52" s="75" t="s">
        <v>51</v>
      </c>
      <c r="B52" s="86">
        <f>'TARLST FGD'!M76</f>
        <v>0</v>
      </c>
      <c r="C52" s="87">
        <f t="shared" si="14"/>
        <v>0</v>
      </c>
      <c r="D52" s="91">
        <f>'TARLST FGD'!F76</f>
        <v>0</v>
      </c>
      <c r="E52" s="82"/>
      <c r="F52" s="74">
        <f t="shared" si="15"/>
        <v>0</v>
      </c>
      <c r="G52" s="337"/>
      <c r="J52" s="733"/>
      <c r="K52" s="733"/>
      <c r="L52" s="733"/>
      <c r="M52" s="733"/>
      <c r="N52" s="733"/>
      <c r="O52" s="733"/>
    </row>
    <row r="53" spans="1:31" ht="12" customHeight="1">
      <c r="A53" s="75" t="s">
        <v>46</v>
      </c>
      <c r="B53" s="86">
        <f>'TARLST FGD'!M77</f>
        <v>-26883723</v>
      </c>
      <c r="C53" s="87">
        <f t="shared" si="14"/>
        <v>-2326</v>
      </c>
      <c r="D53" s="91">
        <f>'TARLST FGD'!F77</f>
        <v>-13703188</v>
      </c>
      <c r="E53" s="82"/>
      <c r="F53" s="74">
        <f t="shared" si="15"/>
        <v>-13180535</v>
      </c>
      <c r="G53" s="35"/>
      <c r="J53" s="733"/>
      <c r="K53" s="733"/>
      <c r="L53" s="733"/>
      <c r="M53" s="733"/>
      <c r="N53" s="733"/>
      <c r="O53" s="733"/>
      <c r="P53" s="35"/>
      <c r="Q53" s="96"/>
      <c r="R53" s="96"/>
      <c r="S53" s="96"/>
      <c r="T53" s="96"/>
      <c r="U53" s="96"/>
      <c r="V53" s="96"/>
      <c r="W53" s="96"/>
      <c r="X53" s="96"/>
      <c r="Y53" s="96"/>
      <c r="Z53" s="96"/>
      <c r="AA53" s="96"/>
      <c r="AB53" s="96"/>
      <c r="AC53" s="96"/>
      <c r="AD53" s="96"/>
      <c r="AE53" s="96"/>
    </row>
    <row r="54" spans="1:31">
      <c r="A54" s="88" t="s">
        <v>3</v>
      </c>
      <c r="B54" s="89">
        <f>SUM(B50:B53)</f>
        <v>-16568185</v>
      </c>
      <c r="C54" s="89">
        <f>SUM(C50:C53)</f>
        <v>-1433</v>
      </c>
      <c r="D54" s="89">
        <f>SUM(D50:D53)</f>
        <v>-16546658</v>
      </c>
      <c r="E54" s="89">
        <f>SUM(E50:E53)</f>
        <v>0</v>
      </c>
      <c r="F54" s="102">
        <f>SUM(F50:F53)</f>
        <v>-21527</v>
      </c>
      <c r="G54" s="337"/>
      <c r="H54" s="337"/>
      <c r="I54" s="337"/>
      <c r="J54" s="733"/>
      <c r="K54" s="733"/>
      <c r="L54" s="733"/>
      <c r="M54" s="733"/>
      <c r="N54" s="733"/>
      <c r="O54" s="733"/>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'TARLST FGD'!M81</f>
        <v>24319656</v>
      </c>
      <c r="C57" s="83">
        <f>ROUND(B57/$C$6,0)</f>
        <v>2105</v>
      </c>
      <c r="D57" s="512">
        <f>'TARLST FGD'!F81</f>
        <v>1259800</v>
      </c>
      <c r="E57" s="512"/>
      <c r="F57" s="512">
        <f t="shared" ref="F57:F58" si="16">B57-(SUM(D57:E57))</f>
        <v>23059856</v>
      </c>
      <c r="G57" s="337"/>
      <c r="H57" s="337"/>
      <c r="I57" s="337"/>
      <c r="J57" s="337"/>
    </row>
    <row r="58" spans="1:31">
      <c r="A58" s="75" t="s">
        <v>48</v>
      </c>
      <c r="B58" s="86">
        <f>'TARLST FGD'!M82</f>
        <v>2378088</v>
      </c>
      <c r="C58" s="87">
        <f>ROUND(B58/$C$6,0)</f>
        <v>206</v>
      </c>
      <c r="D58" s="91">
        <f>'TARLST FGD'!F82</f>
        <v>0</v>
      </c>
      <c r="E58" s="82"/>
      <c r="F58" s="74">
        <f t="shared" si="16"/>
        <v>2378088</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26697744</v>
      </c>
      <c r="C59" s="89">
        <f>SUM(C57:C58)</f>
        <v>2311</v>
      </c>
      <c r="D59" s="89">
        <f>SUM(D57:D58)</f>
        <v>1259800</v>
      </c>
      <c r="E59" s="89">
        <f>SUM(E57:E58)</f>
        <v>0</v>
      </c>
      <c r="F59" s="89">
        <f>SUM(F57:F58)</f>
        <v>25437944</v>
      </c>
      <c r="G59" s="367"/>
      <c r="H59" s="367"/>
      <c r="I59" s="367"/>
      <c r="J59" s="367"/>
      <c r="K59" s="266"/>
      <c r="L59" s="266"/>
      <c r="M59" s="266"/>
      <c r="N59" s="266"/>
      <c r="O59" s="266"/>
      <c r="P59" s="266"/>
    </row>
    <row r="60" spans="1:31">
      <c r="B60" s="82"/>
      <c r="C60" s="75"/>
    </row>
    <row r="61" spans="1:31" ht="13.5" thickBot="1">
      <c r="A61" s="103" t="s">
        <v>573</v>
      </c>
      <c r="B61" s="46">
        <f>B33-B47+B54+B59</f>
        <v>72356243</v>
      </c>
      <c r="C61" s="46">
        <f>C33-C47+C54+C59</f>
        <v>6263</v>
      </c>
      <c r="D61" s="46">
        <f>D33-D47+D54+D59</f>
        <v>-8881949</v>
      </c>
      <c r="E61" s="46">
        <f>E33-E47+E54+E59</f>
        <v>-2242769</v>
      </c>
      <c r="F61" s="46">
        <f>F33-F47+F54+F59</f>
        <v>83480961</v>
      </c>
    </row>
    <row r="62" spans="1:31" ht="13.5" thickTop="1"/>
    <row r="63" spans="1:31">
      <c r="D63" s="512"/>
    </row>
    <row r="65" spans="2:16">
      <c r="B65" s="734">
        <f>'TARLST FGD'!$M$85</f>
        <v>72356243</v>
      </c>
      <c r="C65" s="75"/>
      <c r="D65" s="734">
        <f>'TARLST FGD'!$F$85</f>
        <v>-8881949</v>
      </c>
      <c r="E65" s="734">
        <f>'TARLST FGD'!$M$62*-1</f>
        <v>-2242769</v>
      </c>
      <c r="F65" s="75"/>
    </row>
    <row r="66" spans="2:16">
      <c r="B66" s="734"/>
      <c r="C66" s="75"/>
      <c r="D66" s="734">
        <f>'TARLST FGD'!$F$68</f>
        <v>38683447</v>
      </c>
      <c r="E66" s="734">
        <f>+$D$38</f>
        <v>0</v>
      </c>
      <c r="F66" s="734"/>
    </row>
    <row r="67" spans="2:16">
      <c r="B67" s="759"/>
      <c r="C67" s="75"/>
      <c r="D67" s="759">
        <f>-'TARLST FGD'!$M$68</f>
        <v>-38683447</v>
      </c>
      <c r="E67" s="759"/>
      <c r="F67" s="734"/>
    </row>
    <row r="68" spans="2:16">
      <c r="B68" s="734">
        <f>SUM(B65:B67)</f>
        <v>72356243</v>
      </c>
      <c r="C68" s="75"/>
      <c r="D68" s="734">
        <f>SUM(D65:D67)</f>
        <v>-8881949</v>
      </c>
      <c r="E68" s="734">
        <f>SUM(E65:E67)</f>
        <v>-2242769</v>
      </c>
      <c r="F68" s="734">
        <f>B68-D68-E68</f>
        <v>83480961</v>
      </c>
    </row>
    <row r="69" spans="2:16">
      <c r="B69" s="734"/>
      <c r="C69" s="75"/>
      <c r="D69" s="734">
        <f>'TARLST FGD'!F54*-1</f>
        <v>-31363530</v>
      </c>
      <c r="E69" s="734"/>
      <c r="F69" s="734"/>
    </row>
    <row r="70" spans="2:16" ht="12.75" customHeight="1">
      <c r="B70" s="759"/>
      <c r="C70" s="95"/>
      <c r="D70" s="759">
        <f>'TARLST FGD'!M54</f>
        <v>31363530</v>
      </c>
      <c r="E70" s="759"/>
      <c r="F70" s="759">
        <f>-D70-D69</f>
        <v>0</v>
      </c>
    </row>
    <row r="71" spans="2:16" ht="12.75" customHeight="1">
      <c r="B71" s="734">
        <f>SUM(B68:B70)</f>
        <v>72356243</v>
      </c>
      <c r="C71" s="75"/>
      <c r="D71" s="734">
        <f>SUM(D68:D70)</f>
        <v>-8881949</v>
      </c>
      <c r="E71" s="734">
        <f>SUM(E68:E70)</f>
        <v>-2242769</v>
      </c>
      <c r="F71" s="734">
        <f>SUM(F68:F70)</f>
        <v>83480961</v>
      </c>
    </row>
    <row r="72" spans="2:16" ht="12.75" customHeight="1">
      <c r="B72" s="734"/>
      <c r="C72" s="75"/>
      <c r="D72" s="734"/>
      <c r="E72" s="734"/>
      <c r="F72" s="734"/>
    </row>
    <row r="73" spans="2:16" ht="12.75" customHeight="1">
      <c r="B73" s="512">
        <f>B61-B71</f>
        <v>0</v>
      </c>
      <c r="C73" s="75"/>
      <c r="D73" s="512">
        <f>D61-D71</f>
        <v>0</v>
      </c>
      <c r="E73" s="512">
        <f>E61-E71</f>
        <v>0</v>
      </c>
      <c r="F73" s="512">
        <f>F61-F71</f>
        <v>0</v>
      </c>
    </row>
    <row r="74" spans="2:16" ht="12.75" customHeight="1">
      <c r="C74" s="75"/>
      <c r="F74" s="617"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G47:H50"/>
    <mergeCell ref="K30:O30"/>
    <mergeCell ref="M31:M34"/>
    <mergeCell ref="G32:H32"/>
    <mergeCell ref="G33:H33"/>
    <mergeCell ref="L31:L34"/>
    <mergeCell ref="K31:K34"/>
    <mergeCell ref="N31:N34"/>
    <mergeCell ref="O31:O34"/>
    <mergeCell ref="J48:J49"/>
    <mergeCell ref="F1:I1"/>
    <mergeCell ref="J1:O1"/>
    <mergeCell ref="D1:E1"/>
    <mergeCell ref="K29:O29"/>
    <mergeCell ref="D4:D5"/>
    <mergeCell ref="E4:E5"/>
  </mergeCells>
  <hyperlinks>
    <hyperlink ref="D1:E1" location="Index!A1" display="Return to Index" xr:uid="{00000000-0004-0000-46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57">
    <tabColor indexed="11"/>
    <pageSetUpPr fitToPage="1"/>
  </sheetPr>
  <dimension ref="A1:AB122"/>
  <sheetViews>
    <sheetView showGridLines="0" zoomScale="75" zoomScaleNormal="75" workbookViewId="0">
      <pane xSplit="2" ySplit="8" topLeftCell="H9" activePane="bottomRight" state="frozen"/>
      <selection activeCell="E74" sqref="E74:F74"/>
      <selection pane="topRight" activeCell="E74" sqref="E74:F74"/>
      <selection pane="bottomLeft" activeCell="E74" sqref="E74:F74"/>
      <selection pane="bottomRight" activeCell="P42" sqref="P42"/>
    </sheetView>
  </sheetViews>
  <sheetFormatPr defaultColWidth="9.140625"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4.42578125" style="164" customWidth="1"/>
    <col min="15" max="15" width="14.42578125" style="261" customWidth="1"/>
    <col min="16" max="16" width="25.7109375" style="264" customWidth="1"/>
    <col min="17" max="17" width="16.42578125" style="264" customWidth="1"/>
    <col min="18" max="18" width="18.28515625" style="264" customWidth="1"/>
    <col min="19" max="19" width="1.7109375" style="264" customWidth="1"/>
    <col min="20" max="20" width="17.140625" style="264" customWidth="1"/>
    <col min="21" max="21" width="16.85546875" style="264" customWidth="1"/>
    <col min="22" max="23" width="19.28515625" style="264" customWidth="1"/>
    <col min="24" max="24" width="16.855468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13" t="str">
        <f>'TARLST Chrts'!$A$1</f>
        <v>Tarleton State University</v>
      </c>
      <c r="C2" s="1713"/>
      <c r="D2" s="1713"/>
      <c r="E2" s="1713"/>
      <c r="F2" s="1742"/>
      <c r="G2" s="160"/>
      <c r="H2" s="161"/>
      <c r="I2" s="320" t="str">
        <f>IF($B$2&lt;&gt;Input!$B$17,"Name Mismatch","")</f>
        <v/>
      </c>
      <c r="J2" s="168"/>
      <c r="K2" s="169"/>
      <c r="L2" s="169"/>
      <c r="M2" s="170"/>
      <c r="O2" s="835" t="s">
        <v>1200</v>
      </c>
      <c r="P2" s="36"/>
    </row>
    <row r="3" spans="1:28" ht="20.25">
      <c r="A3" s="184">
        <v>2</v>
      </c>
      <c r="B3" s="1713" t="str">
        <f>'Smmy Chrts'!$A$2</f>
        <v>For the Year Ended August 31, 2021</v>
      </c>
      <c r="C3" s="1713"/>
      <c r="D3" s="1713"/>
      <c r="E3" s="1713"/>
      <c r="F3" s="1742"/>
      <c r="G3" s="161"/>
      <c r="H3" s="161"/>
      <c r="I3" s="169"/>
      <c r="J3" s="168"/>
      <c r="K3" s="169"/>
      <c r="L3" s="169"/>
      <c r="M3" s="170"/>
      <c r="O3" s="74"/>
    </row>
    <row r="4" spans="1:28" ht="20.25">
      <c r="A4" s="184">
        <v>3</v>
      </c>
      <c r="B4" s="1713" t="str">
        <f>'Smmy Chrts'!$A$3</f>
        <v>Source: FY 2021 Annual Financial Report</v>
      </c>
      <c r="C4" s="1713"/>
      <c r="D4" s="1713"/>
      <c r="E4" s="1713"/>
      <c r="F4" s="1742"/>
      <c r="G4" s="161"/>
      <c r="H4" s="161"/>
      <c r="I4" s="169"/>
      <c r="J4" s="168"/>
      <c r="K4" s="169"/>
      <c r="L4" s="169"/>
      <c r="M4" s="170"/>
      <c r="O4" s="74"/>
      <c r="P4" s="1744" t="s">
        <v>93</v>
      </c>
      <c r="Q4" s="1745"/>
      <c r="T4" s="36" t="s">
        <v>250</v>
      </c>
    </row>
    <row r="5" spans="1:28">
      <c r="A5" s="184">
        <v>4</v>
      </c>
      <c r="B5" s="160"/>
      <c r="C5" s="160"/>
      <c r="D5" s="160"/>
      <c r="E5" s="160"/>
      <c r="F5" s="160"/>
      <c r="G5" s="160"/>
      <c r="H5" s="160"/>
      <c r="I5" s="160"/>
      <c r="J5" s="160"/>
      <c r="K5" s="160"/>
      <c r="L5" s="160"/>
      <c r="M5" s="166"/>
      <c r="O5" s="262"/>
    </row>
    <row r="6" spans="1:28">
      <c r="A6" s="184">
        <v>5</v>
      </c>
      <c r="B6" s="1715" t="str">
        <f>'Smmy Chrts'!$C$32</f>
        <v>Detail Worksheet FY 2021</v>
      </c>
      <c r="C6" s="1715"/>
      <c r="D6" s="1743"/>
      <c r="E6" s="1743"/>
      <c r="F6" s="1743"/>
      <c r="G6" s="1743"/>
      <c r="H6" s="1743"/>
      <c r="I6" s="1743"/>
      <c r="J6" s="1743"/>
      <c r="K6" s="1743"/>
      <c r="L6" s="1743"/>
      <c r="M6" s="1743"/>
      <c r="O6" s="265"/>
    </row>
    <row r="7" spans="1:28">
      <c r="A7" s="184">
        <v>6</v>
      </c>
      <c r="B7" s="172"/>
      <c r="C7" s="172"/>
      <c r="D7" s="160"/>
      <c r="E7" s="160"/>
      <c r="F7" s="160"/>
      <c r="G7" s="160"/>
      <c r="H7" s="160"/>
      <c r="I7" s="160"/>
      <c r="J7" s="160"/>
      <c r="K7" s="160"/>
      <c r="L7" s="160"/>
      <c r="M7" s="173" t="str">
        <f>'Smmy Chrts'!$C$33</f>
        <v>FY 2021</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Input!$M$17</f>
        <v>53590196</v>
      </c>
      <c r="E10" s="372">
        <f>Input!$N$17</f>
        <v>0</v>
      </c>
      <c r="F10" s="372">
        <f>Input!$O$17</f>
        <v>0</v>
      </c>
      <c r="G10" s="372">
        <f>Input!$P$17</f>
        <v>0</v>
      </c>
      <c r="H10" s="372">
        <f>Input!$Q$17</f>
        <v>0</v>
      </c>
      <c r="I10" s="372">
        <f>Input!$R$17</f>
        <v>0</v>
      </c>
      <c r="J10" s="372">
        <f>Input!$S$17</f>
        <v>0</v>
      </c>
      <c r="K10" s="372">
        <f>Input!$T$17</f>
        <v>0</v>
      </c>
      <c r="L10" s="372">
        <f>Input!$U$17</f>
        <v>0</v>
      </c>
      <c r="M10" s="373">
        <f t="shared" ref="M10:M15" si="0">D10+E10+F10+G10+H10+I10+J10+K10+L10</f>
        <v>53590196</v>
      </c>
      <c r="N10" s="160"/>
      <c r="O10" s="271"/>
      <c r="P10" s="1718" t="s">
        <v>575</v>
      </c>
      <c r="U10" s="268"/>
    </row>
    <row r="11" spans="1:28">
      <c r="A11" s="184">
        <v>10</v>
      </c>
      <c r="B11" s="160" t="s">
        <v>2</v>
      </c>
      <c r="C11" s="160"/>
      <c r="D11" s="372">
        <f>Input!$V$17</f>
        <v>204380</v>
      </c>
      <c r="E11" s="372">
        <f>Input!$W$17</f>
        <v>171141</v>
      </c>
      <c r="F11" s="372">
        <f>Input!$X$17</f>
        <v>0</v>
      </c>
      <c r="G11" s="372">
        <f>Input!$Y$17</f>
        <v>8978075</v>
      </c>
      <c r="H11" s="372">
        <f>Input!$Z$17</f>
        <v>0</v>
      </c>
      <c r="I11" s="372">
        <f>Input!$AA$17</f>
        <v>0</v>
      </c>
      <c r="J11" s="372">
        <f>Input!$AB$17</f>
        <v>0</v>
      </c>
      <c r="K11" s="372">
        <f>Input!$AC$17</f>
        <v>0</v>
      </c>
      <c r="L11" s="372">
        <f>Input!$AD$17</f>
        <v>0</v>
      </c>
      <c r="M11" s="373">
        <f t="shared" si="0"/>
        <v>9353596</v>
      </c>
      <c r="N11" s="160"/>
      <c r="O11" s="482"/>
      <c r="P11" s="1719"/>
      <c r="U11" s="268"/>
    </row>
    <row r="12" spans="1:28" ht="12.75" hidden="1" customHeight="1">
      <c r="B12" s="160" t="s">
        <v>1410</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Input!$AN$17</f>
        <v>0</v>
      </c>
      <c r="E13" s="372">
        <f>Input!$AO$17</f>
        <v>0</v>
      </c>
      <c r="F13" s="372">
        <f>Input!$AP$17</f>
        <v>0</v>
      </c>
      <c r="G13" s="372">
        <f>Input!$AQ$17</f>
        <v>0</v>
      </c>
      <c r="H13" s="372">
        <f>Input!$AR$17</f>
        <v>0</v>
      </c>
      <c r="I13" s="372">
        <f>Input!$AS$17</f>
        <v>0</v>
      </c>
      <c r="J13" s="372">
        <f>Input!$AT$17</f>
        <v>0</v>
      </c>
      <c r="K13" s="372">
        <f>Input!$AU$17</f>
        <v>0</v>
      </c>
      <c r="L13" s="372">
        <f>Input!$AV$17</f>
        <v>0</v>
      </c>
      <c r="M13" s="373">
        <f t="shared" si="0"/>
        <v>0</v>
      </c>
      <c r="N13" s="160"/>
      <c r="O13" s="482" t="str">
        <f>IF(P13&lt;&gt;M13,"Out of Balance","Balanced")</f>
        <v>Balanced</v>
      </c>
      <c r="P13" s="484">
        <f>IFERROR(VLOOKUP($B$2,AMTLU,6,FALSE),0)</f>
        <v>0</v>
      </c>
      <c r="U13" s="268"/>
    </row>
    <row r="14" spans="1:28">
      <c r="A14" s="184">
        <v>13</v>
      </c>
      <c r="B14" s="160" t="s">
        <v>49</v>
      </c>
      <c r="C14" s="160"/>
      <c r="D14" s="372">
        <f>Input!$AW$17</f>
        <v>0</v>
      </c>
      <c r="E14" s="372">
        <f>Input!$AX$17</f>
        <v>0</v>
      </c>
      <c r="F14" s="372">
        <f>Input!$AY$17</f>
        <v>0</v>
      </c>
      <c r="G14" s="372">
        <f>Input!$AZ$17</f>
        <v>0</v>
      </c>
      <c r="H14" s="372">
        <f>Input!$BA$17</f>
        <v>0</v>
      </c>
      <c r="I14" s="372">
        <f>Input!$BB$17</f>
        <v>0</v>
      </c>
      <c r="J14" s="372">
        <f>Input!$BC$17</f>
        <v>0</v>
      </c>
      <c r="K14" s="372">
        <f>Input!$BD$17</f>
        <v>0</v>
      </c>
      <c r="L14" s="372">
        <f>Input!$BE$17</f>
        <v>0</v>
      </c>
      <c r="M14" s="373">
        <f t="shared" si="0"/>
        <v>0</v>
      </c>
      <c r="N14" s="160"/>
      <c r="O14" s="482"/>
      <c r="P14" s="485"/>
    </row>
    <row r="15" spans="1:28" ht="15">
      <c r="A15" s="184">
        <v>14</v>
      </c>
      <c r="B15" s="176" t="s">
        <v>3</v>
      </c>
      <c r="C15" s="176"/>
      <c r="D15" s="374">
        <f t="shared" ref="D15:L15" si="1">SUM(D10:D14)</f>
        <v>53794576</v>
      </c>
      <c r="E15" s="374">
        <f t="shared" si="1"/>
        <v>171141</v>
      </c>
      <c r="F15" s="374">
        <f t="shared" si="1"/>
        <v>0</v>
      </c>
      <c r="G15" s="374">
        <f t="shared" si="1"/>
        <v>8978075</v>
      </c>
      <c r="H15" s="374">
        <f t="shared" si="1"/>
        <v>0</v>
      </c>
      <c r="I15" s="374">
        <f t="shared" si="1"/>
        <v>0</v>
      </c>
      <c r="J15" s="374">
        <f t="shared" si="1"/>
        <v>0</v>
      </c>
      <c r="K15" s="374">
        <f t="shared" si="1"/>
        <v>0</v>
      </c>
      <c r="L15" s="374">
        <f t="shared" si="1"/>
        <v>0</v>
      </c>
      <c r="M15" s="374">
        <f t="shared" si="0"/>
        <v>62943792</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58" t="s">
        <v>1042</v>
      </c>
      <c r="C18" s="558"/>
      <c r="D18" s="374">
        <f t="shared" ref="D18:L18" si="2">D23-SUM(D19:D22)</f>
        <v>25074542</v>
      </c>
      <c r="E18" s="374">
        <f t="shared" si="2"/>
        <v>54264209</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79338751</v>
      </c>
      <c r="V18" s="327"/>
      <c r="X18" s="330"/>
    </row>
    <row r="19" spans="1:26" s="264" customFormat="1" ht="12.75" customHeight="1" thickTop="1" thickBot="1">
      <c r="A19" s="263"/>
      <c r="B19" s="261" t="s">
        <v>722</v>
      </c>
      <c r="C19" s="261"/>
      <c r="D19" s="372">
        <f>Input!$BF$17</f>
        <v>-3086314</v>
      </c>
      <c r="E19" s="372">
        <f>Input!$BG$17</f>
        <v>0</v>
      </c>
      <c r="F19" s="372">
        <f>Input!$BH$17</f>
        <v>0</v>
      </c>
      <c r="G19" s="372">
        <f>Input!$BI$17</f>
        <v>0</v>
      </c>
      <c r="H19" s="372">
        <f>Input!$BJ$17</f>
        <v>0</v>
      </c>
      <c r="I19" s="372">
        <f>Input!$BK$17</f>
        <v>0</v>
      </c>
      <c r="J19" s="372">
        <f>Input!$BL$17</f>
        <v>0</v>
      </c>
      <c r="K19" s="372">
        <f>Input!$BM$17</f>
        <v>0</v>
      </c>
      <c r="L19" s="372">
        <f>Input!$BN$17</f>
        <v>0</v>
      </c>
      <c r="M19" s="373">
        <f t="shared" si="3"/>
        <v>-3086314</v>
      </c>
      <c r="O19" s="1732" t="s">
        <v>1294</v>
      </c>
      <c r="P19" s="1733"/>
      <c r="Q19" s="1733"/>
      <c r="R19" s="1734"/>
      <c r="T19" s="1735" t="s">
        <v>1043</v>
      </c>
      <c r="U19" s="1736"/>
      <c r="V19" s="1736"/>
      <c r="W19" s="1736"/>
      <c r="X19" s="1737"/>
    </row>
    <row r="20" spans="1:26" s="264" customFormat="1" ht="12.75" customHeight="1" thickTop="1">
      <c r="A20" s="263"/>
      <c r="B20" s="261" t="s">
        <v>723</v>
      </c>
      <c r="C20" s="261"/>
      <c r="D20" s="372">
        <f>Input!$BO$17</f>
        <v>0</v>
      </c>
      <c r="E20" s="372">
        <f>Input!$BP$17</f>
        <v>0</v>
      </c>
      <c r="F20" s="372">
        <f>Input!$BQ$17</f>
        <v>0</v>
      </c>
      <c r="G20" s="372">
        <f>Input!$BR$17</f>
        <v>0</v>
      </c>
      <c r="H20" s="372">
        <f>Input!$BS$17</f>
        <v>0</v>
      </c>
      <c r="I20" s="372">
        <f>Input!$BT$17</f>
        <v>0</v>
      </c>
      <c r="J20" s="372">
        <f>Input!$BU$17</f>
        <v>0</v>
      </c>
      <c r="K20" s="372">
        <f>Input!$BV$17</f>
        <v>0</v>
      </c>
      <c r="L20" s="372">
        <f>Input!$BW$17</f>
        <v>0</v>
      </c>
      <c r="M20" s="373">
        <f t="shared" si="3"/>
        <v>0</v>
      </c>
      <c r="O20" s="421" t="s">
        <v>288</v>
      </c>
      <c r="P20" s="422"/>
      <c r="Q20" s="414"/>
      <c r="R20" s="559"/>
      <c r="T20" s="560" t="s">
        <v>1044</v>
      </c>
      <c r="U20" s="266"/>
      <c r="V20" s="266"/>
      <c r="X20" s="425"/>
    </row>
    <row r="21" spans="1:26" s="264" customFormat="1">
      <c r="A21" s="263"/>
      <c r="B21" s="261" t="s">
        <v>724</v>
      </c>
      <c r="C21" s="261"/>
      <c r="D21" s="372">
        <f>Input!$BX$17</f>
        <v>0</v>
      </c>
      <c r="E21" s="372">
        <f>Input!$BY$17</f>
        <v>0</v>
      </c>
      <c r="F21" s="372">
        <f>Input!$BZ$17</f>
        <v>0</v>
      </c>
      <c r="G21" s="372">
        <f>Input!$CA$17</f>
        <v>0</v>
      </c>
      <c r="H21" s="372">
        <f>Input!$CB$17</f>
        <v>0</v>
      </c>
      <c r="I21" s="372">
        <f>Input!$CC$17</f>
        <v>0</v>
      </c>
      <c r="J21" s="372">
        <f>Input!$CD$17</f>
        <v>0</v>
      </c>
      <c r="K21" s="372">
        <f>Input!$CE$17</f>
        <v>0</v>
      </c>
      <c r="L21" s="372">
        <f>Input!$CF$17</f>
        <v>0</v>
      </c>
      <c r="M21" s="373">
        <f t="shared" si="3"/>
        <v>0</v>
      </c>
      <c r="O21" s="434"/>
      <c r="R21" s="561"/>
      <c r="T21" s="650" t="s">
        <v>1045</v>
      </c>
      <c r="U21" s="266"/>
      <c r="V21" s="266"/>
      <c r="W21" s="651">
        <f>M44</f>
        <v>95089628</v>
      </c>
      <c r="X21" s="425"/>
      <c r="Z21" s="330"/>
    </row>
    <row r="22" spans="1:26" s="264" customFormat="1">
      <c r="A22" s="263"/>
      <c r="B22" s="261" t="s">
        <v>725</v>
      </c>
      <c r="C22" s="261"/>
      <c r="D22" s="372">
        <f>Input!$CG$17</f>
        <v>0</v>
      </c>
      <c r="E22" s="372">
        <f>Input!$CH$17</f>
        <v>0</v>
      </c>
      <c r="F22" s="372">
        <f>Input!$CI$17</f>
        <v>0</v>
      </c>
      <c r="G22" s="372">
        <f>Input!$CJ$17</f>
        <v>0</v>
      </c>
      <c r="H22" s="372">
        <f>Input!$CK$17</f>
        <v>0</v>
      </c>
      <c r="I22" s="372">
        <f>Input!$CL$17</f>
        <v>0</v>
      </c>
      <c r="J22" s="372">
        <f>Input!$CM$17</f>
        <v>0</v>
      </c>
      <c r="K22" s="372">
        <f>Input!$CN$17</f>
        <v>0</v>
      </c>
      <c r="L22" s="372">
        <f>Input!$CO$17</f>
        <v>0</v>
      </c>
      <c r="M22" s="373">
        <f t="shared" si="3"/>
        <v>0</v>
      </c>
      <c r="N22" s="270"/>
      <c r="O22" s="434" t="s">
        <v>1046</v>
      </c>
      <c r="P22" s="276"/>
      <c r="Q22" s="424">
        <f>M23</f>
        <v>76252437</v>
      </c>
      <c r="R22" s="562"/>
      <c r="T22" s="650" t="s">
        <v>1047</v>
      </c>
      <c r="U22" s="266"/>
      <c r="V22" s="266"/>
      <c r="W22" s="652">
        <f>R30*-1</f>
        <v>31491222</v>
      </c>
      <c r="X22" s="425"/>
    </row>
    <row r="23" spans="1:26" s="264" customFormat="1" ht="12.75" customHeight="1">
      <c r="A23" s="263"/>
      <c r="B23" s="558" t="s">
        <v>726</v>
      </c>
      <c r="C23" s="563"/>
      <c r="D23" s="564">
        <f>Input!$CP$17</f>
        <v>21988228</v>
      </c>
      <c r="E23" s="564">
        <f>Input!$CQ$17</f>
        <v>54264209</v>
      </c>
      <c r="F23" s="564">
        <f>Input!$CR$17</f>
        <v>0</v>
      </c>
      <c r="G23" s="564">
        <f>Input!$CS$17</f>
        <v>0</v>
      </c>
      <c r="H23" s="564">
        <f>Input!$CT$17</f>
        <v>0</v>
      </c>
      <c r="I23" s="564">
        <f>Input!$CU$17</f>
        <v>0</v>
      </c>
      <c r="J23" s="564">
        <f>Input!$CV$17</f>
        <v>0</v>
      </c>
      <c r="K23" s="564">
        <f>Input!$CW$17</f>
        <v>0</v>
      </c>
      <c r="L23" s="564">
        <f>Input!$CX$17</f>
        <v>0</v>
      </c>
      <c r="M23" s="565">
        <f t="shared" si="3"/>
        <v>76252437</v>
      </c>
      <c r="O23" s="434"/>
      <c r="P23" s="276"/>
      <c r="Q23" s="424"/>
      <c r="R23" s="562"/>
      <c r="T23" s="560" t="s">
        <v>1230</v>
      </c>
      <c r="U23" s="266"/>
      <c r="V23" s="266"/>
      <c r="W23" s="276"/>
      <c r="X23" s="425">
        <f>SUM(W21:W22)</f>
        <v>126580850</v>
      </c>
      <c r="Z23" s="330"/>
    </row>
    <row r="24" spans="1:26" s="264" customFormat="1" ht="12.75" customHeight="1">
      <c r="A24" s="263"/>
      <c r="B24" s="261" t="s">
        <v>727</v>
      </c>
      <c r="C24" s="566"/>
      <c r="D24" s="372">
        <f>Input!$CY$17</f>
        <v>0</v>
      </c>
      <c r="E24" s="372">
        <f>Input!$CZ$17</f>
        <v>0</v>
      </c>
      <c r="F24" s="372">
        <f>Input!$DA$17</f>
        <v>0</v>
      </c>
      <c r="G24" s="372">
        <f>Input!$DB$17</f>
        <v>0</v>
      </c>
      <c r="H24" s="372">
        <f>Input!$DC$17</f>
        <v>0</v>
      </c>
      <c r="I24" s="372">
        <f>Input!$DD$17</f>
        <v>0</v>
      </c>
      <c r="J24" s="372">
        <f>Input!$DE$17</f>
        <v>0</v>
      </c>
      <c r="K24" s="372">
        <f>Input!$DF$17</f>
        <v>0</v>
      </c>
      <c r="L24" s="372">
        <f>Input!$DG$17</f>
        <v>0</v>
      </c>
      <c r="M24" s="567">
        <f t="shared" si="3"/>
        <v>0</v>
      </c>
      <c r="O24" s="417" t="s">
        <v>1048</v>
      </c>
      <c r="P24" s="276"/>
      <c r="Q24" s="327"/>
      <c r="R24" s="646">
        <f>SUM(M24:M28)</f>
        <v>-18933139</v>
      </c>
      <c r="T24" s="560"/>
      <c r="U24" s="266"/>
      <c r="V24" s="266"/>
      <c r="X24" s="425"/>
      <c r="Z24" s="330"/>
    </row>
    <row r="25" spans="1:26" s="264" customFormat="1" ht="12.75" customHeight="1">
      <c r="A25" s="263"/>
      <c r="B25" s="261" t="s">
        <v>728</v>
      </c>
      <c r="C25" s="566"/>
      <c r="D25" s="372">
        <f>Input!$DH$17</f>
        <v>0</v>
      </c>
      <c r="E25" s="372">
        <f>Input!$DI$17</f>
        <v>0</v>
      </c>
      <c r="F25" s="372">
        <f>Input!$DJ$17</f>
        <v>0</v>
      </c>
      <c r="G25" s="372">
        <f>Input!$DK$17</f>
        <v>0</v>
      </c>
      <c r="H25" s="372">
        <f>Input!$DL$17</f>
        <v>0</v>
      </c>
      <c r="I25" s="372">
        <f>Input!$DM$17</f>
        <v>0</v>
      </c>
      <c r="J25" s="372">
        <f>Input!$DN$17</f>
        <v>0</v>
      </c>
      <c r="K25" s="372">
        <f>Input!$DO$17</f>
        <v>0</v>
      </c>
      <c r="L25" s="372">
        <f>Input!$DP$17</f>
        <v>0</v>
      </c>
      <c r="M25" s="567">
        <f t="shared" si="3"/>
        <v>0</v>
      </c>
      <c r="O25" s="434"/>
      <c r="P25" s="276"/>
      <c r="Q25" s="327"/>
      <c r="R25" s="646"/>
      <c r="T25" s="568" t="s">
        <v>1103</v>
      </c>
      <c r="U25" s="569"/>
      <c r="V25" s="569"/>
      <c r="W25" s="653">
        <f>(M26+M39)*-1</f>
        <v>8137405</v>
      </c>
      <c r="X25" s="425"/>
      <c r="Z25" s="330"/>
    </row>
    <row r="26" spans="1:26" s="264" customFormat="1" ht="12.75" customHeight="1">
      <c r="A26" s="263"/>
      <c r="B26" s="261" t="s">
        <v>729</v>
      </c>
      <c r="C26" s="566"/>
      <c r="D26" s="372">
        <f>Input!$DQ$17</f>
        <v>-1357717</v>
      </c>
      <c r="E26" s="372">
        <f>Input!$DR$17</f>
        <v>-3617011</v>
      </c>
      <c r="F26" s="372">
        <f>Input!$DS$17</f>
        <v>0</v>
      </c>
      <c r="G26" s="372">
        <f>Input!$DT$17</f>
        <v>0</v>
      </c>
      <c r="H26" s="372">
        <f>Input!$DU$17</f>
        <v>0</v>
      </c>
      <c r="I26" s="372">
        <f>Input!$DV$17</f>
        <v>0</v>
      </c>
      <c r="J26" s="372">
        <f>Input!$DW$17</f>
        <v>0</v>
      </c>
      <c r="K26" s="372">
        <f>Input!$DX$17</f>
        <v>0</v>
      </c>
      <c r="L26" s="372">
        <f>Input!$DY$17</f>
        <v>0</v>
      </c>
      <c r="M26" s="567">
        <f t="shared" si="3"/>
        <v>-4974728</v>
      </c>
      <c r="O26" s="434" t="s">
        <v>1049</v>
      </c>
      <c r="P26" s="276"/>
      <c r="Q26" s="427">
        <f>M36</f>
        <v>50328413</v>
      </c>
      <c r="R26" s="570"/>
      <c r="T26" s="560" t="s">
        <v>1104</v>
      </c>
      <c r="U26" s="266"/>
      <c r="V26" s="266"/>
      <c r="W26" s="571">
        <f>(M21+M34)*-1</f>
        <v>0</v>
      </c>
      <c r="X26" s="425"/>
      <c r="Z26" s="330"/>
    </row>
    <row r="27" spans="1:26" s="264" customFormat="1">
      <c r="A27" s="263"/>
      <c r="B27" s="261" t="s">
        <v>730</v>
      </c>
      <c r="C27" s="566"/>
      <c r="D27" s="372">
        <f>Input!$DZ$17</f>
        <v>-277625</v>
      </c>
      <c r="E27" s="372">
        <f>Input!$EA$17</f>
        <v>0</v>
      </c>
      <c r="F27" s="372">
        <f>Input!$EB$17</f>
        <v>0</v>
      </c>
      <c r="G27" s="372">
        <f>Input!$EC$17</f>
        <v>0</v>
      </c>
      <c r="H27" s="372">
        <f>Input!$ED$17</f>
        <v>0</v>
      </c>
      <c r="I27" s="372">
        <f>Input!$EE$17</f>
        <v>0</v>
      </c>
      <c r="J27" s="372">
        <f>Input!$EF$17</f>
        <v>0</v>
      </c>
      <c r="K27" s="372">
        <f>Input!$EG$17</f>
        <v>0</v>
      </c>
      <c r="L27" s="372">
        <f>Input!EH6</f>
        <v>0</v>
      </c>
      <c r="M27" s="567">
        <f t="shared" si="3"/>
        <v>-277625</v>
      </c>
      <c r="O27" s="434"/>
      <c r="P27" s="276"/>
      <c r="Q27" s="427"/>
      <c r="R27" s="570"/>
      <c r="T27" s="650" t="s">
        <v>1105</v>
      </c>
      <c r="U27" s="584"/>
      <c r="V27" s="584"/>
      <c r="W27" s="654">
        <f>SUM(W25:W26)</f>
        <v>8137405</v>
      </c>
      <c r="X27" s="655"/>
    </row>
    <row r="28" spans="1:26" s="264" customFormat="1">
      <c r="A28" s="263"/>
      <c r="B28" s="261" t="s">
        <v>2133</v>
      </c>
      <c r="C28" s="566"/>
      <c r="D28" s="372">
        <f>Input!$EI$17</f>
        <v>-3824237</v>
      </c>
      <c r="E28" s="372">
        <f>Input!$EJ$17</f>
        <v>-9856549</v>
      </c>
      <c r="F28" s="372">
        <f>Input!$EK$17</f>
        <v>0</v>
      </c>
      <c r="G28" s="372">
        <f>Input!$EL$17</f>
        <v>0</v>
      </c>
      <c r="H28" s="372">
        <f>Input!$EM$17</f>
        <v>0</v>
      </c>
      <c r="I28" s="372">
        <f>Input!$EN$17</f>
        <v>0</v>
      </c>
      <c r="J28" s="372">
        <f>Input!$EO$17</f>
        <v>0</v>
      </c>
      <c r="K28" s="372">
        <f>Input!$EP$17</f>
        <v>0</v>
      </c>
      <c r="L28" s="372">
        <f>Input!$EQ$17</f>
        <v>0</v>
      </c>
      <c r="M28" s="567">
        <f t="shared" si="3"/>
        <v>-13680786</v>
      </c>
      <c r="O28" s="417" t="s">
        <v>1050</v>
      </c>
      <c r="Q28" s="429"/>
      <c r="R28" s="646">
        <f>SUM(M37:M41)</f>
        <v>-12558083</v>
      </c>
      <c r="T28" s="560" t="s">
        <v>1106</v>
      </c>
      <c r="U28" s="266"/>
      <c r="V28" s="266"/>
      <c r="W28" s="425">
        <f>(M27+M40)*-1</f>
        <v>277625</v>
      </c>
      <c r="X28" s="655"/>
      <c r="Z28" s="330"/>
    </row>
    <row r="29" spans="1:26" s="264" customFormat="1" ht="12" customHeight="1">
      <c r="A29" s="263"/>
      <c r="B29" s="575" t="s">
        <v>39</v>
      </c>
      <c r="C29" s="563"/>
      <c r="D29" s="374">
        <f t="shared" ref="D29:L29" si="4">SUM(D23:D28)</f>
        <v>16528649</v>
      </c>
      <c r="E29" s="374">
        <f t="shared" si="4"/>
        <v>40790649</v>
      </c>
      <c r="F29" s="374">
        <f t="shared" si="4"/>
        <v>0</v>
      </c>
      <c r="G29" s="374">
        <f t="shared" si="4"/>
        <v>0</v>
      </c>
      <c r="H29" s="374">
        <f t="shared" si="4"/>
        <v>0</v>
      </c>
      <c r="I29" s="374">
        <f t="shared" si="4"/>
        <v>0</v>
      </c>
      <c r="J29" s="374">
        <f t="shared" si="4"/>
        <v>0</v>
      </c>
      <c r="K29" s="374">
        <f t="shared" si="4"/>
        <v>0</v>
      </c>
      <c r="L29" s="374">
        <f t="shared" si="4"/>
        <v>0</v>
      </c>
      <c r="M29" s="374">
        <f t="shared" si="3"/>
        <v>57319298</v>
      </c>
      <c r="O29" s="417"/>
      <c r="Q29" s="429"/>
      <c r="R29" s="576"/>
      <c r="T29" s="560" t="s">
        <v>1107</v>
      </c>
      <c r="U29" s="266"/>
      <c r="V29" s="266"/>
      <c r="W29" s="571">
        <f>(M22+M35)*-1</f>
        <v>0</v>
      </c>
      <c r="X29" s="655"/>
    </row>
    <row r="30" spans="1:26" s="264" customFormat="1" ht="16.5" customHeight="1">
      <c r="A30" s="263"/>
      <c r="B30" s="261"/>
      <c r="C30" s="566"/>
      <c r="D30" s="566"/>
      <c r="E30" s="566"/>
      <c r="F30" s="566"/>
      <c r="G30" s="566"/>
      <c r="H30" s="566"/>
      <c r="I30" s="566"/>
      <c r="J30" s="566"/>
      <c r="K30" s="566"/>
      <c r="L30" s="566"/>
      <c r="M30" s="567"/>
      <c r="O30" s="431" t="s">
        <v>289</v>
      </c>
      <c r="P30" s="432"/>
      <c r="Q30" s="433">
        <f>Q26+Q22</f>
        <v>126580850</v>
      </c>
      <c r="R30" s="647">
        <f>R28+R24</f>
        <v>-31491222</v>
      </c>
      <c r="T30" s="650" t="s">
        <v>1108</v>
      </c>
      <c r="U30" s="584"/>
      <c r="V30" s="584"/>
      <c r="W30" s="654">
        <f>SUM(W28:W29)</f>
        <v>277625</v>
      </c>
      <c r="X30" s="655"/>
    </row>
    <row r="31" spans="1:26" s="264" customFormat="1" ht="12.75" customHeight="1">
      <c r="A31" s="263"/>
      <c r="B31" s="558" t="s">
        <v>1052</v>
      </c>
      <c r="C31" s="558"/>
      <c r="D31" s="374">
        <f t="shared" ref="D31:L31" si="5">D36-SUM(D32:D35)</f>
        <v>74013</v>
      </c>
      <c r="E31" s="374">
        <f t="shared" si="5"/>
        <v>34784376</v>
      </c>
      <c r="F31" s="374">
        <f t="shared" si="5"/>
        <v>15718774</v>
      </c>
      <c r="G31" s="374">
        <f t="shared" si="5"/>
        <v>-248750</v>
      </c>
      <c r="H31" s="374">
        <f t="shared" si="5"/>
        <v>0</v>
      </c>
      <c r="I31" s="374">
        <f t="shared" si="5"/>
        <v>0</v>
      </c>
      <c r="J31" s="374">
        <f t="shared" si="5"/>
        <v>0</v>
      </c>
      <c r="K31" s="374">
        <f t="shared" si="5"/>
        <v>0</v>
      </c>
      <c r="L31" s="374">
        <f t="shared" si="5"/>
        <v>0</v>
      </c>
      <c r="M31" s="374">
        <f t="shared" ref="M31:M42" si="6">D31+E31+F31+G31+H31+I31+J31+K31+L31</f>
        <v>50328413</v>
      </c>
      <c r="O31" s="434" t="s">
        <v>290</v>
      </c>
      <c r="P31" s="276"/>
      <c r="Q31" s="335"/>
      <c r="R31" s="562"/>
      <c r="T31" s="572" t="s">
        <v>1109</v>
      </c>
      <c r="U31" s="573"/>
      <c r="V31" s="573"/>
      <c r="W31" s="574">
        <f>W27+W30</f>
        <v>8415030</v>
      </c>
      <c r="X31" s="425"/>
      <c r="Z31" s="330"/>
    </row>
    <row r="32" spans="1:26" s="264" customFormat="1" ht="12.75" customHeight="1">
      <c r="A32" s="263"/>
      <c r="B32" s="261" t="s">
        <v>722</v>
      </c>
      <c r="C32" s="261"/>
      <c r="D32" s="372">
        <f>Input!$ER$17</f>
        <v>0</v>
      </c>
      <c r="E32" s="372">
        <f>Input!$ES$17</f>
        <v>0</v>
      </c>
      <c r="F32" s="372">
        <f>Input!$ET$17</f>
        <v>0</v>
      </c>
      <c r="G32" s="372">
        <f>Input!$EU$17</f>
        <v>0</v>
      </c>
      <c r="H32" s="372">
        <f>Input!$EV$17</f>
        <v>0</v>
      </c>
      <c r="I32" s="372">
        <f>Input!$EW$17</f>
        <v>0</v>
      </c>
      <c r="J32" s="372">
        <f>Input!$EX$17</f>
        <v>0</v>
      </c>
      <c r="K32" s="372">
        <f>Input!$EY$17</f>
        <v>0</v>
      </c>
      <c r="L32" s="372">
        <f>Input!$EZ$17</f>
        <v>0</v>
      </c>
      <c r="M32" s="567">
        <f t="shared" si="6"/>
        <v>0</v>
      </c>
      <c r="O32" s="415" t="s">
        <v>1295</v>
      </c>
      <c r="P32" s="416"/>
      <c r="Q32" s="577">
        <f>Input!$SQ$17</f>
        <v>126580850</v>
      </c>
      <c r="R32" s="578"/>
      <c r="T32" s="560"/>
      <c r="U32" s="266"/>
      <c r="V32" s="266"/>
      <c r="X32" s="425"/>
      <c r="Z32" s="330"/>
    </row>
    <row r="33" spans="1:24" s="264" customFormat="1">
      <c r="A33" s="263"/>
      <c r="B33" s="261" t="s">
        <v>723</v>
      </c>
      <c r="C33" s="261"/>
      <c r="D33" s="372">
        <f>Input!$FA$17</f>
        <v>0</v>
      </c>
      <c r="E33" s="372">
        <f>Input!$FB$17</f>
        <v>0</v>
      </c>
      <c r="F33" s="372">
        <f>Input!$FC$17</f>
        <v>0</v>
      </c>
      <c r="G33" s="372">
        <f>Input!$FD$17</f>
        <v>0</v>
      </c>
      <c r="H33" s="372">
        <f>Input!$FE$17</f>
        <v>0</v>
      </c>
      <c r="I33" s="372">
        <f>Input!$FF$17</f>
        <v>0</v>
      </c>
      <c r="J33" s="372">
        <f>Input!$FG$17</f>
        <v>0</v>
      </c>
      <c r="K33" s="372">
        <f>Input!$FH$17</f>
        <v>0</v>
      </c>
      <c r="L33" s="372">
        <f>Input!$FI$17</f>
        <v>0</v>
      </c>
      <c r="M33" s="567">
        <f t="shared" si="6"/>
        <v>0</v>
      </c>
      <c r="O33" s="415"/>
      <c r="P33" s="416"/>
      <c r="Q33" s="327"/>
      <c r="R33" s="578"/>
      <c r="T33" s="560" t="s">
        <v>1051</v>
      </c>
      <c r="U33" s="266"/>
      <c r="V33" s="266"/>
      <c r="W33" s="334">
        <f>(M19+M32)*-1</f>
        <v>3086314</v>
      </c>
      <c r="X33" s="425"/>
    </row>
    <row r="34" spans="1:24" s="264" customFormat="1">
      <c r="A34" s="263"/>
      <c r="B34" s="261" t="s">
        <v>724</v>
      </c>
      <c r="C34" s="261"/>
      <c r="D34" s="372">
        <f>Input!$FJ$17</f>
        <v>0</v>
      </c>
      <c r="E34" s="372">
        <f>Input!$FK$17</f>
        <v>0</v>
      </c>
      <c r="F34" s="372">
        <f>Input!$FL$17</f>
        <v>0</v>
      </c>
      <c r="G34" s="372">
        <f>Input!$FM$17</f>
        <v>0</v>
      </c>
      <c r="H34" s="372">
        <f>Input!$FN$17</f>
        <v>0</v>
      </c>
      <c r="I34" s="372">
        <f>Input!$FO$17</f>
        <v>0</v>
      </c>
      <c r="J34" s="372">
        <f>Input!$FP$17</f>
        <v>0</v>
      </c>
      <c r="K34" s="372">
        <f>Input!$FQ$17</f>
        <v>0</v>
      </c>
      <c r="L34" s="372">
        <f>Input!$FR$17</f>
        <v>0</v>
      </c>
      <c r="M34" s="567">
        <f t="shared" si="6"/>
        <v>0</v>
      </c>
      <c r="O34" s="435" t="s">
        <v>1296</v>
      </c>
      <c r="P34" s="436"/>
      <c r="Q34" s="264" t="s">
        <v>291</v>
      </c>
      <c r="R34" s="648">
        <f>Input!$SR$17</f>
        <v>-31491222</v>
      </c>
      <c r="T34" s="560" t="s">
        <v>1110</v>
      </c>
      <c r="U34" s="266"/>
      <c r="V34" s="266"/>
      <c r="W34" s="430">
        <f>(M24+M37)*-1</f>
        <v>0</v>
      </c>
      <c r="X34" s="425"/>
    </row>
    <row r="35" spans="1:24" s="264" customFormat="1" ht="13.5" thickBot="1">
      <c r="A35" s="263"/>
      <c r="B35" s="261" t="s">
        <v>725</v>
      </c>
      <c r="C35" s="261"/>
      <c r="D35" s="372">
        <f>Input!$FS$17</f>
        <v>0</v>
      </c>
      <c r="E35" s="372">
        <f>Input!$FT$17</f>
        <v>0</v>
      </c>
      <c r="F35" s="372">
        <f>Input!$FU$17</f>
        <v>0</v>
      </c>
      <c r="G35" s="372">
        <f>Input!$FV$17</f>
        <v>0</v>
      </c>
      <c r="H35" s="372">
        <f>Input!$FW$17</f>
        <v>0</v>
      </c>
      <c r="I35" s="372">
        <f>Input!$FX$17</f>
        <v>0</v>
      </c>
      <c r="J35" s="372">
        <f>Input!$FY$17</f>
        <v>0</v>
      </c>
      <c r="K35" s="372">
        <f>Input!$FZ$17</f>
        <v>0</v>
      </c>
      <c r="L35" s="372">
        <f>Input!$GA$17</f>
        <v>0</v>
      </c>
      <c r="M35" s="567">
        <f t="shared" si="6"/>
        <v>0</v>
      </c>
      <c r="O35" s="418" t="s">
        <v>286</v>
      </c>
      <c r="P35" s="419"/>
      <c r="Q35" s="420">
        <f>Q30-Q32</f>
        <v>0</v>
      </c>
      <c r="R35" s="649">
        <f>R30-R34</f>
        <v>0</v>
      </c>
      <c r="T35" s="650" t="s">
        <v>1111</v>
      </c>
      <c r="U35" s="584"/>
      <c r="V35" s="584"/>
      <c r="W35" s="656">
        <f>SUM(W33:W34)</f>
        <v>3086314</v>
      </c>
      <c r="X35" s="655"/>
    </row>
    <row r="36" spans="1:24" s="264" customFormat="1" ht="13.5" thickTop="1">
      <c r="A36" s="263"/>
      <c r="B36" s="558" t="s">
        <v>732</v>
      </c>
      <c r="C36" s="563"/>
      <c r="D36" s="564">
        <f>Input!$GB$17</f>
        <v>74013</v>
      </c>
      <c r="E36" s="564">
        <f>Input!$GC$17</f>
        <v>34784376</v>
      </c>
      <c r="F36" s="564">
        <f>Input!$GD$17</f>
        <v>15718774</v>
      </c>
      <c r="G36" s="564">
        <f>Input!$GE$17</f>
        <v>-248750</v>
      </c>
      <c r="H36" s="564">
        <f>Input!$GF$17</f>
        <v>0</v>
      </c>
      <c r="I36" s="564">
        <f>Input!$GG$17</f>
        <v>0</v>
      </c>
      <c r="J36" s="564">
        <f>Input!$GH$17</f>
        <v>0</v>
      </c>
      <c r="K36" s="564">
        <f>Input!$GI$17</f>
        <v>0</v>
      </c>
      <c r="L36" s="564">
        <f>Input!$GJ$17</f>
        <v>0</v>
      </c>
      <c r="M36" s="565">
        <f t="shared" si="6"/>
        <v>50328413</v>
      </c>
      <c r="O36" s="261"/>
      <c r="Q36" s="412" t="str">
        <f>IF(Q30&lt;&gt;Q32,"Out of Balance","Balanced")</f>
        <v>Balanced</v>
      </c>
      <c r="R36" s="412" t="str">
        <f>IF(R30&lt;&gt;R34,"Out of Balance","Balanced")</f>
        <v>Balanced</v>
      </c>
      <c r="T36" s="560" t="s">
        <v>1053</v>
      </c>
      <c r="U36" s="266"/>
      <c r="V36" s="266"/>
      <c r="W36" s="334">
        <f>(M20+M33)*-1</f>
        <v>0</v>
      </c>
      <c r="X36" s="425"/>
    </row>
    <row r="37" spans="1:24" s="264" customFormat="1">
      <c r="A37" s="263"/>
      <c r="B37" s="261" t="s">
        <v>727</v>
      </c>
      <c r="C37" s="566"/>
      <c r="D37" s="372">
        <f>Input!$GK$17</f>
        <v>0</v>
      </c>
      <c r="E37" s="372">
        <f>Input!$GL$17</f>
        <v>0</v>
      </c>
      <c r="F37" s="372">
        <f>Input!$GM$17</f>
        <v>0</v>
      </c>
      <c r="G37" s="372">
        <f>Input!$GN$17</f>
        <v>0</v>
      </c>
      <c r="H37" s="372">
        <f>Input!$GO$17</f>
        <v>0</v>
      </c>
      <c r="I37" s="372">
        <f>Input!$GP$17</f>
        <v>0</v>
      </c>
      <c r="J37" s="372">
        <f>Input!$GQ$17</f>
        <v>0</v>
      </c>
      <c r="K37" s="372">
        <f>Input!$GR$17</f>
        <v>0</v>
      </c>
      <c r="L37" s="372">
        <f>Input!$GS$17</f>
        <v>0</v>
      </c>
      <c r="M37" s="567">
        <f t="shared" si="6"/>
        <v>0</v>
      </c>
      <c r="O37" s="261"/>
      <c r="T37" s="560" t="s">
        <v>1112</v>
      </c>
      <c r="U37" s="266"/>
      <c r="V37" s="266"/>
      <c r="W37" s="430">
        <f>(M25+M38)*-1</f>
        <v>0</v>
      </c>
      <c r="X37" s="655"/>
    </row>
    <row r="38" spans="1:24" s="264" customFormat="1">
      <c r="A38" s="263"/>
      <c r="B38" s="261" t="s">
        <v>728</v>
      </c>
      <c r="C38" s="566"/>
      <c r="D38" s="372">
        <f>Input!$GT$17</f>
        <v>0</v>
      </c>
      <c r="E38" s="372">
        <f>Input!$GU$17</f>
        <v>0</v>
      </c>
      <c r="F38" s="372">
        <f>Input!$GV$17</f>
        <v>0</v>
      </c>
      <c r="G38" s="372">
        <f>Input!$GW$17</f>
        <v>0</v>
      </c>
      <c r="H38" s="372">
        <f>Input!$GX$17</f>
        <v>0</v>
      </c>
      <c r="I38" s="372">
        <f>Input!$GY$17</f>
        <v>0</v>
      </c>
      <c r="J38" s="372">
        <f>Input!$GZ$17</f>
        <v>0</v>
      </c>
      <c r="K38" s="372">
        <f>Input!$HA$17</f>
        <v>0</v>
      </c>
      <c r="L38" s="372">
        <f>Input!$HB$17</f>
        <v>0</v>
      </c>
      <c r="M38" s="567">
        <f t="shared" si="6"/>
        <v>0</v>
      </c>
      <c r="O38" s="261"/>
      <c r="T38" s="650" t="s">
        <v>1113</v>
      </c>
      <c r="U38" s="584"/>
      <c r="V38" s="584"/>
      <c r="W38" s="656">
        <f>SUM(W36:W37)</f>
        <v>0</v>
      </c>
      <c r="X38" s="425"/>
    </row>
    <row r="39" spans="1:24" s="264" customFormat="1">
      <c r="A39" s="263"/>
      <c r="B39" s="261" t="s">
        <v>729</v>
      </c>
      <c r="C39" s="566"/>
      <c r="D39" s="372">
        <f>Input!$HC$17</f>
        <v>-4813</v>
      </c>
      <c r="E39" s="372">
        <f>Input!$HD$17</f>
        <v>-2088154</v>
      </c>
      <c r="F39" s="372">
        <f>Input!$HE$17</f>
        <v>-1069710</v>
      </c>
      <c r="G39" s="372">
        <f>Input!$HF$17</f>
        <v>0</v>
      </c>
      <c r="H39" s="372">
        <f>Input!$HG$17</f>
        <v>0</v>
      </c>
      <c r="I39" s="372">
        <f>Input!$HH$17</f>
        <v>0</v>
      </c>
      <c r="J39" s="372">
        <f>Input!$HI$17</f>
        <v>0</v>
      </c>
      <c r="K39" s="372">
        <f>Input!$HJ$17</f>
        <v>0</v>
      </c>
      <c r="L39" s="372">
        <f>Input!$HK$17</f>
        <v>0</v>
      </c>
      <c r="M39" s="567">
        <f t="shared" si="6"/>
        <v>-3162677</v>
      </c>
      <c r="O39" s="261"/>
      <c r="T39" s="560" t="s">
        <v>1054</v>
      </c>
      <c r="U39" s="266"/>
      <c r="V39" s="266"/>
      <c r="W39" s="334"/>
      <c r="X39" s="425">
        <f>W38+W35</f>
        <v>3086314</v>
      </c>
    </row>
    <row r="40" spans="1:24" s="264" customFormat="1">
      <c r="A40" s="263"/>
      <c r="B40" s="261" t="s">
        <v>730</v>
      </c>
      <c r="C40" s="566"/>
      <c r="D40" s="372">
        <f>Input!$HL$17</f>
        <v>0</v>
      </c>
      <c r="E40" s="372">
        <f>Input!$HM$17</f>
        <v>0</v>
      </c>
      <c r="F40" s="372">
        <f>Input!$HN$17</f>
        <v>0</v>
      </c>
      <c r="G40" s="372">
        <f>Input!$HO$17</f>
        <v>0</v>
      </c>
      <c r="H40" s="372">
        <f>Input!$HP$17</f>
        <v>0</v>
      </c>
      <c r="I40" s="372">
        <f>Input!$HQ$17</f>
        <v>0</v>
      </c>
      <c r="J40" s="372">
        <f>Input!$HR$17</f>
        <v>0</v>
      </c>
      <c r="K40" s="372">
        <f>Input!$HS$17</f>
        <v>0</v>
      </c>
      <c r="L40" s="372">
        <f>Input!$HT$17</f>
        <v>0</v>
      </c>
      <c r="M40" s="567">
        <f t="shared" si="6"/>
        <v>0</v>
      </c>
      <c r="O40" s="261"/>
      <c r="T40" s="560"/>
      <c r="U40" s="261"/>
      <c r="V40" s="261"/>
      <c r="W40" s="261"/>
      <c r="X40" s="655"/>
    </row>
    <row r="41" spans="1:24" s="264" customFormat="1">
      <c r="A41" s="263"/>
      <c r="B41" s="261" t="s">
        <v>2133</v>
      </c>
      <c r="C41" s="566"/>
      <c r="D41" s="372">
        <f>Input!$HU$17</f>
        <v>-13564</v>
      </c>
      <c r="E41" s="372">
        <f>Input!$HV$17</f>
        <v>-6548651</v>
      </c>
      <c r="F41" s="372">
        <f>Input!$HW$17</f>
        <v>-2833191</v>
      </c>
      <c r="G41" s="372">
        <f>Input!$HX$17</f>
        <v>0</v>
      </c>
      <c r="H41" s="372">
        <f>Input!$HY$17</f>
        <v>0</v>
      </c>
      <c r="I41" s="372">
        <f>Input!$HZ$17</f>
        <v>0</v>
      </c>
      <c r="J41" s="372">
        <f>Input!$IA$17</f>
        <v>0</v>
      </c>
      <c r="K41" s="372">
        <f>Input!$IB$17</f>
        <v>0</v>
      </c>
      <c r="L41" s="372">
        <f>Input!$IC$17</f>
        <v>0</v>
      </c>
      <c r="M41" s="567">
        <f t="shared" si="6"/>
        <v>-9395406</v>
      </c>
      <c r="O41"/>
      <c r="P41"/>
      <c r="Q41"/>
      <c r="R41"/>
      <c r="S41"/>
      <c r="T41" s="560" t="s">
        <v>1104</v>
      </c>
      <c r="U41" s="266"/>
      <c r="V41" s="266"/>
      <c r="W41" s="330">
        <f>(M21+M34)*-1</f>
        <v>0</v>
      </c>
      <c r="X41" s="425"/>
    </row>
    <row r="42" spans="1:24" s="264" customFormat="1">
      <c r="A42" s="263"/>
      <c r="B42" s="575" t="s">
        <v>40</v>
      </c>
      <c r="C42" s="563"/>
      <c r="D42" s="374">
        <f t="shared" ref="D42:L42" si="7">SUM(D36:D41)</f>
        <v>55636</v>
      </c>
      <c r="E42" s="374">
        <f t="shared" si="7"/>
        <v>26147571</v>
      </c>
      <c r="F42" s="374">
        <f t="shared" si="7"/>
        <v>11815873</v>
      </c>
      <c r="G42" s="374">
        <f t="shared" si="7"/>
        <v>-248750</v>
      </c>
      <c r="H42" s="374">
        <f t="shared" si="7"/>
        <v>0</v>
      </c>
      <c r="I42" s="374">
        <f t="shared" si="7"/>
        <v>0</v>
      </c>
      <c r="J42" s="374">
        <f t="shared" si="7"/>
        <v>0</v>
      </c>
      <c r="K42" s="374">
        <f t="shared" si="7"/>
        <v>0</v>
      </c>
      <c r="L42" s="374">
        <f t="shared" si="7"/>
        <v>0</v>
      </c>
      <c r="M42" s="374">
        <f t="shared" si="6"/>
        <v>37770330</v>
      </c>
      <c r="O42"/>
      <c r="P42"/>
      <c r="Q42"/>
      <c r="R42"/>
      <c r="S42"/>
      <c r="T42" s="560" t="s">
        <v>1107</v>
      </c>
      <c r="U42" s="266"/>
      <c r="V42" s="266"/>
      <c r="W42" s="430">
        <f>(M22+M35)*-1</f>
        <v>0</v>
      </c>
      <c r="X42" s="425"/>
    </row>
    <row r="43" spans="1:24" s="264" customFormat="1">
      <c r="A43" s="263"/>
      <c r="B43" s="261"/>
      <c r="C43" s="566"/>
      <c r="D43" s="566"/>
      <c r="E43" s="566"/>
      <c r="F43" s="566"/>
      <c r="G43" s="566"/>
      <c r="H43" s="566"/>
      <c r="I43" s="566"/>
      <c r="J43" s="566"/>
      <c r="K43" s="566"/>
      <c r="L43" s="566"/>
      <c r="M43" s="567"/>
      <c r="O43"/>
      <c r="P43"/>
      <c r="Q43"/>
      <c r="R43"/>
      <c r="S43"/>
      <c r="T43" s="650" t="s">
        <v>1114</v>
      </c>
      <c r="U43" s="584"/>
      <c r="V43" s="584"/>
      <c r="W43" s="656">
        <f>SUM(W41:W42)</f>
        <v>0</v>
      </c>
      <c r="X43" s="655"/>
    </row>
    <row r="44" spans="1:24" s="264" customFormat="1" ht="13.5" customHeight="1">
      <c r="A44" s="263"/>
      <c r="B44" s="575" t="s">
        <v>1055</v>
      </c>
      <c r="C44" s="563"/>
      <c r="D44" s="374">
        <f t="shared" ref="D44:L44" si="8">D42+D29</f>
        <v>16584285</v>
      </c>
      <c r="E44" s="374">
        <f t="shared" si="8"/>
        <v>66938220</v>
      </c>
      <c r="F44" s="374">
        <f t="shared" si="8"/>
        <v>11815873</v>
      </c>
      <c r="G44" s="374">
        <f t="shared" si="8"/>
        <v>-248750</v>
      </c>
      <c r="H44" s="374">
        <f t="shared" si="8"/>
        <v>0</v>
      </c>
      <c r="I44" s="374">
        <f t="shared" si="8"/>
        <v>0</v>
      </c>
      <c r="J44" s="374">
        <f t="shared" si="8"/>
        <v>0</v>
      </c>
      <c r="K44" s="374">
        <f t="shared" si="8"/>
        <v>0</v>
      </c>
      <c r="L44" s="374">
        <f t="shared" si="8"/>
        <v>0</v>
      </c>
      <c r="M44" s="374">
        <f>D44+E44+F44+G44+H44+I44+J44+K44+L44</f>
        <v>95089628</v>
      </c>
      <c r="O44"/>
      <c r="P44"/>
      <c r="Q44"/>
      <c r="R44"/>
      <c r="S44"/>
      <c r="T44" s="560"/>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0"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0" t="s">
        <v>1112</v>
      </c>
      <c r="U46" s="266"/>
      <c r="V46" s="266"/>
      <c r="W46" s="430">
        <f>(M25+M38)*-1</f>
        <v>0</v>
      </c>
      <c r="X46" s="425"/>
    </row>
    <row r="47" spans="1:24">
      <c r="A47" s="184">
        <v>30</v>
      </c>
      <c r="B47" s="176" t="s">
        <v>7</v>
      </c>
      <c r="C47" s="176"/>
      <c r="D47" s="375">
        <f>Input!$ID$17</f>
        <v>2908406</v>
      </c>
      <c r="E47" s="375">
        <f>Input!$IE$17</f>
        <v>1773500</v>
      </c>
      <c r="F47" s="375">
        <f>Input!$IF$17</f>
        <v>0</v>
      </c>
      <c r="G47" s="375">
        <f>Input!$IG$17</f>
        <v>52531969</v>
      </c>
      <c r="H47" s="375">
        <f>Input!$IH$17</f>
        <v>0</v>
      </c>
      <c r="I47" s="375">
        <f>Input!$II$17</f>
        <v>0</v>
      </c>
      <c r="J47" s="375">
        <f>Input!$IJ$17</f>
        <v>46134</v>
      </c>
      <c r="K47" s="375">
        <f>Input!$IK$17</f>
        <v>0</v>
      </c>
      <c r="L47" s="375">
        <f>Input!$IL$17</f>
        <v>0</v>
      </c>
      <c r="M47" s="374">
        <f>D47+E47+F47+G47+H47+I47+J47+K47+L47</f>
        <v>57260009</v>
      </c>
      <c r="N47" s="160"/>
      <c r="O47"/>
      <c r="P47"/>
      <c r="Q47"/>
      <c r="R47"/>
      <c r="S47"/>
      <c r="T47" s="657" t="s">
        <v>1115</v>
      </c>
      <c r="U47" s="27"/>
      <c r="V47" s="27"/>
      <c r="W47" s="656">
        <f>SUM(W45:W46)</f>
        <v>0</v>
      </c>
      <c r="X47" s="655"/>
    </row>
    <row r="48" spans="1:24">
      <c r="A48" s="184">
        <v>31</v>
      </c>
      <c r="B48" s="160"/>
      <c r="C48" s="160"/>
      <c r="D48" s="373"/>
      <c r="E48" s="373"/>
      <c r="F48" s="373"/>
      <c r="G48" s="373"/>
      <c r="H48" s="373"/>
      <c r="I48" s="373"/>
      <c r="J48" s="373"/>
      <c r="K48" s="373"/>
      <c r="L48" s="373"/>
      <c r="M48" s="373"/>
      <c r="N48" s="160"/>
      <c r="O48"/>
      <c r="P48"/>
      <c r="Q48"/>
      <c r="R48"/>
      <c r="S48"/>
      <c r="T48" s="560"/>
      <c r="U48" s="261"/>
      <c r="V48" s="261"/>
      <c r="W48" s="261"/>
      <c r="X48" s="658">
        <f>W43-W47</f>
        <v>0</v>
      </c>
    </row>
    <row r="49" spans="1:28">
      <c r="A49" s="184">
        <v>32</v>
      </c>
      <c r="B49" s="172" t="s">
        <v>8</v>
      </c>
      <c r="C49" s="172"/>
      <c r="D49" s="373"/>
      <c r="E49" s="373"/>
      <c r="F49" s="373"/>
      <c r="G49" s="373"/>
      <c r="H49" s="373"/>
      <c r="I49" s="373"/>
      <c r="J49" s="373"/>
      <c r="K49" s="373"/>
      <c r="L49" s="373"/>
      <c r="M49" s="373"/>
      <c r="N49" s="160"/>
      <c r="O49" s="273"/>
      <c r="T49" s="579" t="s">
        <v>287</v>
      </c>
      <c r="U49" s="511"/>
      <c r="V49" s="580"/>
      <c r="W49" s="580"/>
      <c r="X49" s="574">
        <f>SUM(X23:X48)</f>
        <v>129667164</v>
      </c>
    </row>
    <row r="50" spans="1:28">
      <c r="A50" s="184">
        <v>33</v>
      </c>
      <c r="B50" s="160" t="s">
        <v>42</v>
      </c>
      <c r="C50" s="160"/>
      <c r="D50" s="372">
        <f>Input!$IM$17</f>
        <v>30064</v>
      </c>
      <c r="E50" s="372">
        <f>Input!$IN$17</f>
        <v>7211217</v>
      </c>
      <c r="F50" s="372">
        <f>Input!$IO$17</f>
        <v>1280949</v>
      </c>
      <c r="G50" s="372">
        <f>Input!$IP$17</f>
        <v>656962</v>
      </c>
      <c r="H50" s="372">
        <f>Input!$IQ$17</f>
        <v>53870</v>
      </c>
      <c r="I50" s="372">
        <f>Input!$IR$17</f>
        <v>283</v>
      </c>
      <c r="J50" s="372">
        <f>Input!$IS$17</f>
        <v>93191</v>
      </c>
      <c r="K50" s="372">
        <f>Input!$IT$17</f>
        <v>0</v>
      </c>
      <c r="L50" s="372">
        <f>Input!$IU$17</f>
        <v>0</v>
      </c>
      <c r="M50" s="373">
        <f t="shared" ref="M50:M57" si="9">D50+E50+F50+G50+H50+I50+J50+K50+L50</f>
        <v>9326536</v>
      </c>
      <c r="N50" s="160"/>
      <c r="O50" s="273"/>
      <c r="U50" s="275"/>
    </row>
    <row r="51" spans="1:28">
      <c r="A51" s="184">
        <v>34</v>
      </c>
      <c r="B51" s="160" t="s">
        <v>9</v>
      </c>
      <c r="C51" s="160"/>
      <c r="D51" s="372">
        <f>Input!$IV$17</f>
        <v>0</v>
      </c>
      <c r="E51" s="372">
        <f>Input!$IW$17</f>
        <v>0</v>
      </c>
      <c r="F51" s="372">
        <f>Input!$IX$17</f>
        <v>0</v>
      </c>
      <c r="G51" s="372">
        <f>Input!$IY$17</f>
        <v>0</v>
      </c>
      <c r="H51" s="372">
        <f>Input!$IZ$17</f>
        <v>0</v>
      </c>
      <c r="I51" s="372">
        <f>Input!$JA$17</f>
        <v>0</v>
      </c>
      <c r="J51" s="372">
        <f>Input!$JB$17</f>
        <v>0</v>
      </c>
      <c r="K51" s="372">
        <f>Input!$JC$17</f>
        <v>0</v>
      </c>
      <c r="L51" s="372">
        <f>Input!$JD$17</f>
        <v>0</v>
      </c>
      <c r="M51" s="376">
        <f t="shared" si="9"/>
        <v>0</v>
      </c>
      <c r="N51" s="160"/>
      <c r="Y51" s="277"/>
    </row>
    <row r="52" spans="1:28">
      <c r="A52" s="184">
        <v>35</v>
      </c>
      <c r="B52" s="160" t="s">
        <v>10</v>
      </c>
      <c r="C52" s="160"/>
      <c r="D52" s="372">
        <f>Input!$JE$17</f>
        <v>0</v>
      </c>
      <c r="E52" s="372">
        <f>Input!$JF$17</f>
        <v>938250</v>
      </c>
      <c r="F52" s="372">
        <f>Input!$JG$17</f>
        <v>346280</v>
      </c>
      <c r="G52" s="372">
        <f>Input!$JH$17</f>
        <v>12022908</v>
      </c>
      <c r="H52" s="372">
        <f>Input!$JI$17</f>
        <v>0</v>
      </c>
      <c r="I52" s="372">
        <f>Input!$JJ$17</f>
        <v>0</v>
      </c>
      <c r="J52" s="372">
        <f>Input!$JK$17</f>
        <v>0</v>
      </c>
      <c r="K52" s="372">
        <f>Input!$JL$17</f>
        <v>0</v>
      </c>
      <c r="L52" s="372">
        <f>Input!$JM$17</f>
        <v>0</v>
      </c>
      <c r="M52" s="373">
        <f t="shared" si="9"/>
        <v>13307438</v>
      </c>
      <c r="N52" s="160"/>
      <c r="O52" s="273"/>
      <c r="P52" s="278"/>
    </row>
    <row r="53" spans="1:28">
      <c r="A53" s="184">
        <v>36</v>
      </c>
      <c r="B53" s="160" t="s">
        <v>11</v>
      </c>
      <c r="C53" s="160"/>
      <c r="D53" s="372">
        <f>Input!$JN$17</f>
        <v>187325</v>
      </c>
      <c r="E53" s="372">
        <f>Input!$JO$17</f>
        <v>1599989</v>
      </c>
      <c r="F53" s="372">
        <f>Input!$JP$17</f>
        <v>0</v>
      </c>
      <c r="G53" s="372">
        <f>Input!$JQ$17</f>
        <v>44944</v>
      </c>
      <c r="H53" s="372">
        <f>Input!$JR$17</f>
        <v>0</v>
      </c>
      <c r="I53" s="372">
        <f>Input!$JS$17</f>
        <v>0</v>
      </c>
      <c r="J53" s="372">
        <f>Input!$JT$17</f>
        <v>0</v>
      </c>
      <c r="K53" s="372">
        <f>Input!$JU$17</f>
        <v>0</v>
      </c>
      <c r="L53" s="372">
        <f>Input!$JV$17</f>
        <v>0</v>
      </c>
      <c r="M53" s="373">
        <f t="shared" si="9"/>
        <v>1832258</v>
      </c>
      <c r="N53" s="160"/>
      <c r="O53" s="273"/>
    </row>
    <row r="54" spans="1:28" ht="13.5" thickBot="1">
      <c r="A54" s="184">
        <v>37</v>
      </c>
      <c r="B54" s="177" t="s">
        <v>2134</v>
      </c>
      <c r="C54" s="177"/>
      <c r="D54" s="372">
        <f>Input!$JW$17</f>
        <v>0</v>
      </c>
      <c r="E54" s="372">
        <f>Input!$JX$17</f>
        <v>0</v>
      </c>
      <c r="F54" s="372">
        <f>Input!$JY$17</f>
        <v>31363530</v>
      </c>
      <c r="G54" s="372">
        <f>Input!$JZ$17</f>
        <v>0</v>
      </c>
      <c r="H54" s="372">
        <f>Input!$KA$17</f>
        <v>0</v>
      </c>
      <c r="I54" s="372">
        <f>Input!$KB$17</f>
        <v>0</v>
      </c>
      <c r="J54" s="372">
        <f>Input!$KC$17</f>
        <v>0</v>
      </c>
      <c r="K54" s="372">
        <f>Input!$KD$17</f>
        <v>0</v>
      </c>
      <c r="L54" s="372">
        <f>Input!$KE$17</f>
        <v>0</v>
      </c>
      <c r="M54" s="373">
        <f t="shared" si="9"/>
        <v>31363530</v>
      </c>
      <c r="N54" s="160"/>
      <c r="O54" s="273"/>
    </row>
    <row r="55" spans="1:28" ht="14.25" thickTop="1" thickBot="1">
      <c r="A55" s="184">
        <v>38</v>
      </c>
      <c r="B55" s="160" t="s">
        <v>43</v>
      </c>
      <c r="C55" s="160"/>
      <c r="D55" s="372">
        <f>Input!$KF$17</f>
        <v>0</v>
      </c>
      <c r="E55" s="372">
        <f>Input!$KG$17</f>
        <v>3725947</v>
      </c>
      <c r="F55" s="372">
        <f>Input!$KH$17</f>
        <v>539497</v>
      </c>
      <c r="G55" s="372">
        <f>Input!$KI$17</f>
        <v>-3461601</v>
      </c>
      <c r="H55" s="372">
        <f>Input!$KJ$17</f>
        <v>48363</v>
      </c>
      <c r="I55" s="372">
        <f>Input!$KK$17</f>
        <v>0</v>
      </c>
      <c r="J55" s="372">
        <f>Input!$KL$17</f>
        <v>1567943</v>
      </c>
      <c r="K55" s="372">
        <f>Input!$KM$17</f>
        <v>0</v>
      </c>
      <c r="L55" s="372">
        <f>Input!$KN$17</f>
        <v>-174114</v>
      </c>
      <c r="M55" s="373">
        <f t="shared" si="9"/>
        <v>2246035</v>
      </c>
      <c r="N55" s="160"/>
      <c r="O55" s="1616" t="s">
        <v>251</v>
      </c>
      <c r="P55" s="1617"/>
      <c r="Q55" s="1617"/>
      <c r="R55" s="1618"/>
      <c r="S55" s="437"/>
      <c r="T55" s="1619" t="s">
        <v>252</v>
      </c>
      <c r="U55" s="1620"/>
      <c r="V55" s="1620"/>
      <c r="W55" s="1620"/>
      <c r="X55" s="1621"/>
      <c r="Y55" s="320"/>
      <c r="Z55" s="1749" t="s">
        <v>1301</v>
      </c>
      <c r="AA55" s="1750"/>
      <c r="AB55" s="1751"/>
    </row>
    <row r="56" spans="1:28" ht="13.5" customHeight="1" thickTop="1">
      <c r="A56" s="184">
        <v>39</v>
      </c>
      <c r="B56" s="176" t="s">
        <v>3</v>
      </c>
      <c r="C56" s="176"/>
      <c r="D56" s="374">
        <f>SUM(D50:D55)</f>
        <v>217389</v>
      </c>
      <c r="E56" s="374">
        <f t="shared" ref="E56:L56" si="10">SUM(E50:E55)</f>
        <v>13475403</v>
      </c>
      <c r="F56" s="374">
        <f t="shared" si="10"/>
        <v>33530256</v>
      </c>
      <c r="G56" s="374">
        <f t="shared" si="10"/>
        <v>9263213</v>
      </c>
      <c r="H56" s="374">
        <f t="shared" si="10"/>
        <v>102233</v>
      </c>
      <c r="I56" s="374">
        <f t="shared" si="10"/>
        <v>283</v>
      </c>
      <c r="J56" s="374">
        <f t="shared" si="10"/>
        <v>1661134</v>
      </c>
      <c r="K56" s="374">
        <f t="shared" si="10"/>
        <v>0</v>
      </c>
      <c r="L56" s="374">
        <f t="shared" si="10"/>
        <v>-174114</v>
      </c>
      <c r="M56" s="374">
        <f t="shared" si="9"/>
        <v>58075797</v>
      </c>
      <c r="N56" s="160"/>
      <c r="O56" s="1622" t="s">
        <v>1135</v>
      </c>
      <c r="P56" s="1625" t="s">
        <v>254</v>
      </c>
      <c r="Q56" s="1625" t="s">
        <v>292</v>
      </c>
      <c r="R56" s="1628" t="s">
        <v>1063</v>
      </c>
      <c r="S56" s="280"/>
      <c r="T56" s="1739" t="s">
        <v>1136</v>
      </c>
      <c r="U56" s="1637" t="s">
        <v>254</v>
      </c>
      <c r="V56" s="1634" t="s">
        <v>256</v>
      </c>
      <c r="W56" s="1637" t="s">
        <v>257</v>
      </c>
      <c r="X56" s="1638" t="s">
        <v>1064</v>
      </c>
      <c r="Z56" s="1754" t="s">
        <v>1302</v>
      </c>
      <c r="AA56" s="1747" t="s">
        <v>1303</v>
      </c>
      <c r="AB56" s="1752" t="s">
        <v>238</v>
      </c>
    </row>
    <row r="57" spans="1:28">
      <c r="A57" s="184">
        <v>40</v>
      </c>
      <c r="B57" s="162" t="s">
        <v>68</v>
      </c>
      <c r="C57" s="162"/>
      <c r="D57" s="374">
        <f>D15+D44+D47+D56</f>
        <v>73504656</v>
      </c>
      <c r="E57" s="374">
        <f t="shared" ref="E57:L57" si="11">E15+E44+E47+E56</f>
        <v>82358264</v>
      </c>
      <c r="F57" s="374">
        <f t="shared" si="11"/>
        <v>45346129</v>
      </c>
      <c r="G57" s="374">
        <f t="shared" si="11"/>
        <v>70524507</v>
      </c>
      <c r="H57" s="374">
        <f t="shared" si="11"/>
        <v>102233</v>
      </c>
      <c r="I57" s="374">
        <f t="shared" si="11"/>
        <v>283</v>
      </c>
      <c r="J57" s="374">
        <f t="shared" si="11"/>
        <v>1707268</v>
      </c>
      <c r="K57" s="374">
        <f t="shared" si="11"/>
        <v>0</v>
      </c>
      <c r="L57" s="374">
        <f t="shared" si="11"/>
        <v>-174114</v>
      </c>
      <c r="M57" s="374">
        <f t="shared" si="9"/>
        <v>273369226</v>
      </c>
      <c r="N57" s="160"/>
      <c r="O57" s="1623"/>
      <c r="P57" s="1626"/>
      <c r="Q57" s="1626"/>
      <c r="R57" s="1629"/>
      <c r="S57" s="280"/>
      <c r="T57" s="1740"/>
      <c r="U57" s="1626"/>
      <c r="V57" s="1635"/>
      <c r="W57" s="1626"/>
      <c r="X57" s="1639"/>
      <c r="Z57" s="1755"/>
      <c r="AA57" s="1747"/>
      <c r="AB57" s="1752"/>
    </row>
    <row r="58" spans="1:28">
      <c r="A58" s="184">
        <v>41</v>
      </c>
      <c r="B58" s="160"/>
      <c r="C58" s="160"/>
      <c r="D58" s="373"/>
      <c r="E58" s="373"/>
      <c r="F58" s="373"/>
      <c r="G58" s="373"/>
      <c r="H58" s="373"/>
      <c r="I58" s="373"/>
      <c r="J58" s="373"/>
      <c r="K58" s="373"/>
      <c r="L58" s="373"/>
      <c r="M58" s="373"/>
      <c r="N58" s="160"/>
      <c r="O58" s="1623"/>
      <c r="P58" s="1626"/>
      <c r="Q58" s="1626"/>
      <c r="R58" s="1629"/>
      <c r="S58" s="280"/>
      <c r="T58" s="1740"/>
      <c r="U58" s="1626"/>
      <c r="V58" s="1635"/>
      <c r="W58" s="1626"/>
      <c r="X58" s="1639"/>
      <c r="Z58" s="1755"/>
      <c r="AA58" s="1747"/>
      <c r="AB58" s="1752"/>
    </row>
    <row r="59" spans="1:28" ht="14.25" customHeight="1">
      <c r="A59" s="184">
        <v>42</v>
      </c>
      <c r="B59" s="174" t="s">
        <v>72</v>
      </c>
      <c r="C59" s="174"/>
      <c r="D59" s="377"/>
      <c r="E59" s="377"/>
      <c r="F59" s="377"/>
      <c r="G59" s="1746" t="str">
        <f>IF(OR(P105&gt;0,P106&lt;&gt;0,P107&lt;&gt;0),"Do not Enter Cents - Whole Dollars Only","")</f>
        <v/>
      </c>
      <c r="H59" s="1746"/>
      <c r="I59" s="1746"/>
      <c r="J59" s="1746"/>
      <c r="K59" s="1746"/>
      <c r="L59" s="377"/>
      <c r="M59" s="377"/>
      <c r="N59" s="160"/>
      <c r="O59" s="1624"/>
      <c r="P59" s="1627"/>
      <c r="Q59" s="1627"/>
      <c r="R59" s="1630"/>
      <c r="S59" s="280"/>
      <c r="T59" s="1741"/>
      <c r="U59" s="1627"/>
      <c r="V59" s="1636"/>
      <c r="W59" s="1627"/>
      <c r="X59" s="1640"/>
      <c r="Z59" s="1756"/>
      <c r="AA59" s="1748"/>
      <c r="AB59" s="1753"/>
    </row>
    <row r="60" spans="1:28" ht="13.5" thickBot="1">
      <c r="A60" s="184">
        <v>43</v>
      </c>
      <c r="B60" s="160" t="s">
        <v>14</v>
      </c>
      <c r="C60" s="160"/>
      <c r="D60" s="372">
        <f>Input!$KO$17</f>
        <v>29888637</v>
      </c>
      <c r="E60" s="372">
        <f>Input!$KP$17</f>
        <v>20382748</v>
      </c>
      <c r="F60" s="372">
        <f>Input!$KQ$17</f>
        <v>0</v>
      </c>
      <c r="G60" s="372">
        <f>Input!$KR$17</f>
        <v>955250</v>
      </c>
      <c r="H60" s="372">
        <f>Input!$KS$17</f>
        <v>0</v>
      </c>
      <c r="I60" s="372">
        <f>Input!$KT$17</f>
        <v>0</v>
      </c>
      <c r="J60" s="372">
        <f>Input!$KU$17</f>
        <v>0</v>
      </c>
      <c r="K60" s="372">
        <f>Input!$KV$17</f>
        <v>0</v>
      </c>
      <c r="L60" s="372">
        <f>Input!$KW$17</f>
        <v>0</v>
      </c>
      <c r="M60" s="373">
        <f t="shared" ref="M60:M71" si="12">D60+E60+F60+G60+H60+I60+J60+K60+L60</f>
        <v>51226635</v>
      </c>
      <c r="N60" s="160"/>
      <c r="O60" s="282">
        <f>D60+E60+G60+J60</f>
        <v>51226635</v>
      </c>
      <c r="P60" s="518">
        <f>Input!$SS$17</f>
        <v>465081</v>
      </c>
      <c r="Q60" s="438" t="s">
        <v>259</v>
      </c>
      <c r="R60" s="284">
        <f>SUM(O60:P60)</f>
        <v>51691716</v>
      </c>
      <c r="S60" s="439"/>
      <c r="T60" s="286">
        <f t="shared" ref="T60:T67" si="13">D60+E60+G60</f>
        <v>51226635</v>
      </c>
      <c r="U60" s="287">
        <f t="shared" ref="U60:U67" si="14">P60</f>
        <v>465081</v>
      </c>
      <c r="V60" s="289">
        <f>Input!$TC$17</f>
        <v>0</v>
      </c>
      <c r="W60" s="289">
        <f>Input!$TK$17</f>
        <v>0</v>
      </c>
      <c r="X60" s="290">
        <f t="shared" ref="X60:X66" si="15">T60+U60-V60-W60</f>
        <v>51691716</v>
      </c>
      <c r="Z60" s="292" t="s">
        <v>14</v>
      </c>
      <c r="AA60" s="520">
        <f>Input!$TS$17</f>
        <v>51226635</v>
      </c>
      <c r="AB60" s="293">
        <f t="shared" ref="AB60:AB68" si="16">AA60-M60</f>
        <v>0</v>
      </c>
    </row>
    <row r="61" spans="1:28" ht="14.25" thickTop="1" thickBot="1">
      <c r="A61" s="184">
        <v>44</v>
      </c>
      <c r="B61" s="160" t="s">
        <v>15</v>
      </c>
      <c r="C61" s="160"/>
      <c r="D61" s="372">
        <f>Input!$KX$17</f>
        <v>5974226</v>
      </c>
      <c r="E61" s="372">
        <f>Input!$KY$17</f>
        <v>3156051</v>
      </c>
      <c r="F61" s="372">
        <f>Input!$KZ$17</f>
        <v>0</v>
      </c>
      <c r="G61" s="372">
        <f>Input!$LA$17</f>
        <v>6477385</v>
      </c>
      <c r="H61" s="372">
        <f>Input!$LB$17</f>
        <v>0</v>
      </c>
      <c r="I61" s="372">
        <f>Input!$LC$17</f>
        <v>0</v>
      </c>
      <c r="J61" s="372">
        <f>Input!$LD$17</f>
        <v>0</v>
      </c>
      <c r="K61" s="372">
        <f>Input!$LE$17</f>
        <v>0</v>
      </c>
      <c r="L61" s="372">
        <f>Input!$LF$17</f>
        <v>0</v>
      </c>
      <c r="M61" s="373">
        <f t="shared" si="12"/>
        <v>15607662</v>
      </c>
      <c r="N61" s="160"/>
      <c r="O61" s="440">
        <f t="shared" ref="O61:O67" si="17">D61+E61+G61+J61</f>
        <v>15607662</v>
      </c>
      <c r="P61" s="518">
        <f>Input!$ST$17</f>
        <v>202345</v>
      </c>
      <c r="Q61" s="441" t="s">
        <v>259</v>
      </c>
      <c r="R61" s="295">
        <f>SUM(O61:P61)</f>
        <v>15810007</v>
      </c>
      <c r="S61" s="442"/>
      <c r="T61" s="296">
        <f t="shared" si="13"/>
        <v>15607662</v>
      </c>
      <c r="U61" s="297">
        <f t="shared" si="14"/>
        <v>202345</v>
      </c>
      <c r="V61" s="299">
        <f>Input!$TD$17</f>
        <v>105137</v>
      </c>
      <c r="W61" s="299">
        <f>Input!$TL$17</f>
        <v>0</v>
      </c>
      <c r="X61" s="300">
        <f t="shared" si="15"/>
        <v>15704870</v>
      </c>
      <c r="Z61" s="292" t="s">
        <v>15</v>
      </c>
      <c r="AA61" s="518">
        <f>Input!$TT$17</f>
        <v>15607662</v>
      </c>
      <c r="AB61" s="301">
        <f t="shared" si="16"/>
        <v>0</v>
      </c>
    </row>
    <row r="62" spans="1:28" ht="13.5" thickTop="1">
      <c r="A62" s="184">
        <v>45</v>
      </c>
      <c r="B62" s="160" t="s">
        <v>16</v>
      </c>
      <c r="C62" s="160"/>
      <c r="D62" s="372">
        <f>Input!$LG$17</f>
        <v>418108</v>
      </c>
      <c r="E62" s="372">
        <f>Input!$LH$17</f>
        <v>1030094</v>
      </c>
      <c r="F62" s="372">
        <f>Input!$LI$17</f>
        <v>0</v>
      </c>
      <c r="G62" s="372">
        <f>Input!$LJ$17</f>
        <v>794567</v>
      </c>
      <c r="H62" s="372">
        <f>Input!$LK$17</f>
        <v>0</v>
      </c>
      <c r="I62" s="372">
        <f>Input!$LL$17</f>
        <v>0</v>
      </c>
      <c r="J62" s="372">
        <f>Input!$LM$17</f>
        <v>0</v>
      </c>
      <c r="K62" s="372">
        <f>Input!$LN$17</f>
        <v>0</v>
      </c>
      <c r="L62" s="372">
        <f>Input!$LO$17</f>
        <v>0</v>
      </c>
      <c r="M62" s="373">
        <f t="shared" si="12"/>
        <v>2242769</v>
      </c>
      <c r="N62" s="160"/>
      <c r="O62" s="440">
        <f t="shared" si="17"/>
        <v>2242769</v>
      </c>
      <c r="P62" s="518">
        <f>Input!$SU$17</f>
        <v>11565</v>
      </c>
      <c r="Q62" s="441" t="s">
        <v>259</v>
      </c>
      <c r="R62" s="302" t="s">
        <v>259</v>
      </c>
      <c r="S62" s="442"/>
      <c r="T62" s="296">
        <f t="shared" si="13"/>
        <v>2242769</v>
      </c>
      <c r="U62" s="297">
        <f t="shared" si="14"/>
        <v>11565</v>
      </c>
      <c r="V62" s="299">
        <f>Input!$TE$17</f>
        <v>0</v>
      </c>
      <c r="W62" s="299">
        <f>Input!$TM$17</f>
        <v>0</v>
      </c>
      <c r="X62" s="303">
        <f t="shared" si="15"/>
        <v>2254334</v>
      </c>
      <c r="Z62" s="292" t="s">
        <v>16</v>
      </c>
      <c r="AA62" s="518">
        <f>Input!$TU$17</f>
        <v>2242769</v>
      </c>
      <c r="AB62" s="301">
        <f t="shared" si="16"/>
        <v>0</v>
      </c>
    </row>
    <row r="63" spans="1:28">
      <c r="A63" s="184">
        <v>46</v>
      </c>
      <c r="B63" s="160" t="s">
        <v>17</v>
      </c>
      <c r="C63" s="160"/>
      <c r="D63" s="372">
        <f>Input!$LP$17</f>
        <v>12031015</v>
      </c>
      <c r="E63" s="372">
        <f>Input!$LQ$17</f>
        <v>7325194</v>
      </c>
      <c r="F63" s="372">
        <f>Input!$LR$17</f>
        <v>0</v>
      </c>
      <c r="G63" s="372">
        <f>Input!$LS$17</f>
        <v>2898852</v>
      </c>
      <c r="H63" s="372">
        <f>Input!$LT$17</f>
        <v>0</v>
      </c>
      <c r="I63" s="372">
        <f>Input!$LU$17</f>
        <v>0</v>
      </c>
      <c r="J63" s="372">
        <f>Input!$LV$17</f>
        <v>0</v>
      </c>
      <c r="K63" s="372">
        <f>Input!$LW$17</f>
        <v>0</v>
      </c>
      <c r="L63" s="372">
        <f>Input!$LX$17</f>
        <v>0</v>
      </c>
      <c r="M63" s="373">
        <f t="shared" si="12"/>
        <v>22255061</v>
      </c>
      <c r="N63" s="160"/>
      <c r="O63" s="440">
        <f t="shared" si="17"/>
        <v>22255061</v>
      </c>
      <c r="P63" s="518">
        <f>Input!$SV$17</f>
        <v>220014</v>
      </c>
      <c r="Q63" s="441" t="s">
        <v>259</v>
      </c>
      <c r="R63" s="295">
        <f t="shared" ref="R63:R65" si="18">SUM(O63:P63)</f>
        <v>22475075</v>
      </c>
      <c r="S63" s="442"/>
      <c r="T63" s="296">
        <f t="shared" si="13"/>
        <v>22255061</v>
      </c>
      <c r="U63" s="297">
        <f t="shared" si="14"/>
        <v>220014</v>
      </c>
      <c r="V63" s="299">
        <f>Input!$TF$17</f>
        <v>0</v>
      </c>
      <c r="W63" s="299">
        <f>Input!$TN$17</f>
        <v>0</v>
      </c>
      <c r="X63" s="303">
        <f t="shared" si="15"/>
        <v>22475075</v>
      </c>
      <c r="Z63" s="292" t="s">
        <v>17</v>
      </c>
      <c r="AA63" s="518">
        <f>Input!$TV$17</f>
        <v>22255061</v>
      </c>
      <c r="AB63" s="301">
        <f t="shared" si="16"/>
        <v>0</v>
      </c>
    </row>
    <row r="64" spans="1:28">
      <c r="A64" s="184">
        <v>47</v>
      </c>
      <c r="B64" s="160" t="s">
        <v>18</v>
      </c>
      <c r="C64" s="160"/>
      <c r="D64" s="372">
        <f>Input!$LY$17</f>
        <v>3323920</v>
      </c>
      <c r="E64" s="372">
        <f>Input!$LZ$17</f>
        <v>7737300</v>
      </c>
      <c r="F64" s="372">
        <f>Input!$MA$17</f>
        <v>0</v>
      </c>
      <c r="G64" s="372">
        <f>Input!$MB$17</f>
        <v>1436848</v>
      </c>
      <c r="H64" s="372">
        <f>Input!$MC$17</f>
        <v>54684</v>
      </c>
      <c r="I64" s="372">
        <f>Input!$MD$17</f>
        <v>0</v>
      </c>
      <c r="J64" s="372">
        <f>Input!$ME$17</f>
        <v>0</v>
      </c>
      <c r="K64" s="372">
        <f>Input!$MF$17</f>
        <v>0</v>
      </c>
      <c r="L64" s="372">
        <f>Input!$MG$17</f>
        <v>0</v>
      </c>
      <c r="M64" s="373">
        <f t="shared" si="12"/>
        <v>12552752</v>
      </c>
      <c r="N64" s="160"/>
      <c r="O64" s="440">
        <f t="shared" si="17"/>
        <v>12498068</v>
      </c>
      <c r="P64" s="518">
        <f>Input!$SW$17</f>
        <v>137078</v>
      </c>
      <c r="Q64" s="518">
        <f>Input!$TB$17</f>
        <v>0</v>
      </c>
      <c r="R64" s="295">
        <f>SUM(O64:P64)-Q64</f>
        <v>12635146</v>
      </c>
      <c r="S64" s="442"/>
      <c r="T64" s="296">
        <f t="shared" si="13"/>
        <v>12498068</v>
      </c>
      <c r="U64" s="297">
        <f t="shared" si="14"/>
        <v>137078</v>
      </c>
      <c r="V64" s="299">
        <f>Input!$TG$17</f>
        <v>0</v>
      </c>
      <c r="W64" s="299">
        <f>Input!$TO$17</f>
        <v>0</v>
      </c>
      <c r="X64" s="303">
        <f t="shared" si="15"/>
        <v>12635146</v>
      </c>
      <c r="Z64" s="292" t="s">
        <v>18</v>
      </c>
      <c r="AA64" s="518">
        <f>Input!$TW$17</f>
        <v>12552752</v>
      </c>
      <c r="AB64" s="301">
        <f t="shared" si="16"/>
        <v>0</v>
      </c>
    </row>
    <row r="65" spans="1:28">
      <c r="A65" s="184">
        <v>48</v>
      </c>
      <c r="B65" s="160" t="s">
        <v>19</v>
      </c>
      <c r="C65" s="160"/>
      <c r="D65" s="372">
        <f>Input!$MH$17</f>
        <v>7468979</v>
      </c>
      <c r="E65" s="372">
        <f>Input!$MI$17</f>
        <v>9616170</v>
      </c>
      <c r="F65" s="372">
        <f>Input!$MJ$17</f>
        <v>0</v>
      </c>
      <c r="G65" s="372">
        <f>Input!$MK$17</f>
        <v>905204</v>
      </c>
      <c r="H65" s="372">
        <f>Input!$ML$17</f>
        <v>0</v>
      </c>
      <c r="I65" s="372">
        <f>Input!$MM$17</f>
        <v>0</v>
      </c>
      <c r="J65" s="372">
        <f>Input!$MN$17</f>
        <v>0</v>
      </c>
      <c r="K65" s="372">
        <f>Input!$MO$17</f>
        <v>0</v>
      </c>
      <c r="L65" s="372">
        <f>Input!$MP$17</f>
        <v>0</v>
      </c>
      <c r="M65" s="373">
        <f t="shared" si="12"/>
        <v>17990353</v>
      </c>
      <c r="N65" s="160"/>
      <c r="O65" s="440">
        <f t="shared" si="17"/>
        <v>17990353</v>
      </c>
      <c r="P65" s="518">
        <f>Input!$SX$17</f>
        <v>156560</v>
      </c>
      <c r="Q65" s="441" t="s">
        <v>259</v>
      </c>
      <c r="R65" s="295">
        <f t="shared" si="18"/>
        <v>18146913</v>
      </c>
      <c r="S65" s="442"/>
      <c r="T65" s="296">
        <f t="shared" si="13"/>
        <v>17990353</v>
      </c>
      <c r="U65" s="297">
        <f t="shared" si="14"/>
        <v>156560</v>
      </c>
      <c r="V65" s="299">
        <f>Input!$TH$17</f>
        <v>0</v>
      </c>
      <c r="W65" s="299">
        <f>Input!$TP$17</f>
        <v>0</v>
      </c>
      <c r="X65" s="303">
        <f t="shared" si="15"/>
        <v>18146913</v>
      </c>
      <c r="Z65" s="292" t="s">
        <v>19</v>
      </c>
      <c r="AA65" s="518">
        <f>Input!$TX$17</f>
        <v>17990353</v>
      </c>
      <c r="AB65" s="301">
        <f t="shared" si="16"/>
        <v>0</v>
      </c>
    </row>
    <row r="66" spans="1:28">
      <c r="A66" s="184">
        <v>49</v>
      </c>
      <c r="B66" s="160" t="s">
        <v>20</v>
      </c>
      <c r="C66" s="160"/>
      <c r="D66" s="372">
        <f>Input!$MQ$17</f>
        <v>1912622</v>
      </c>
      <c r="E66" s="372">
        <f>Input!$MR$17</f>
        <v>9496004</v>
      </c>
      <c r="F66" s="372">
        <f>Input!$MS$17</f>
        <v>0</v>
      </c>
      <c r="G66" s="372">
        <f>Input!$MT$17</f>
        <v>96390</v>
      </c>
      <c r="H66" s="372">
        <f>Input!$MU$17</f>
        <v>0</v>
      </c>
      <c r="I66" s="372">
        <f>Input!$MV$17</f>
        <v>0</v>
      </c>
      <c r="J66" s="372">
        <f>Input!$MW$17</f>
        <v>736500</v>
      </c>
      <c r="K66" s="372">
        <f>Input!$MX$17</f>
        <v>0</v>
      </c>
      <c r="L66" s="372">
        <f>Input!$MY$17</f>
        <v>0</v>
      </c>
      <c r="M66" s="373">
        <f t="shared" si="12"/>
        <v>12241516</v>
      </c>
      <c r="N66" s="160"/>
      <c r="O66" s="440">
        <f t="shared" si="17"/>
        <v>12241516</v>
      </c>
      <c r="P66" s="518">
        <f>Input!$SY$17</f>
        <v>121997</v>
      </c>
      <c r="Q66" s="441" t="s">
        <v>259</v>
      </c>
      <c r="R66" s="304" t="s">
        <v>259</v>
      </c>
      <c r="S66" s="442"/>
      <c r="T66" s="296">
        <f t="shared" si="13"/>
        <v>11505016</v>
      </c>
      <c r="U66" s="297">
        <f t="shared" si="14"/>
        <v>121997</v>
      </c>
      <c r="V66" s="299">
        <f>Input!$TI$17</f>
        <v>0</v>
      </c>
      <c r="W66" s="299">
        <f>Input!$TQ$17</f>
        <v>0</v>
      </c>
      <c r="X66" s="303">
        <f t="shared" si="15"/>
        <v>11627013</v>
      </c>
      <c r="Z66" s="292" t="s">
        <v>260</v>
      </c>
      <c r="AA66" s="518">
        <f>Input!$TY$17</f>
        <v>12241516</v>
      </c>
      <c r="AB66" s="301">
        <f t="shared" si="16"/>
        <v>0</v>
      </c>
    </row>
    <row r="67" spans="1:28" ht="13.5" thickBot="1">
      <c r="A67" s="184">
        <v>50</v>
      </c>
      <c r="B67" s="160" t="s">
        <v>21</v>
      </c>
      <c r="C67" s="160"/>
      <c r="D67" s="372">
        <f>Input!$MZ$17</f>
        <v>1475531</v>
      </c>
      <c r="E67" s="372">
        <f>Input!$NA$17</f>
        <v>5150851</v>
      </c>
      <c r="F67" s="372">
        <f>Input!$NB$17</f>
        <v>0</v>
      </c>
      <c r="G67" s="372">
        <f>Input!$NC$17</f>
        <v>26842920</v>
      </c>
      <c r="H67" s="372">
        <f>Input!$ND$17</f>
        <v>0</v>
      </c>
      <c r="I67" s="372">
        <f>Input!$NE$17</f>
        <v>0</v>
      </c>
      <c r="J67" s="372">
        <f>Input!$NF$17</f>
        <v>0</v>
      </c>
      <c r="K67" s="372">
        <f>Input!$NG$17</f>
        <v>0</v>
      </c>
      <c r="L67" s="372">
        <f>Input!$NH$17</f>
        <v>0</v>
      </c>
      <c r="M67" s="373">
        <f t="shared" si="12"/>
        <v>33469302</v>
      </c>
      <c r="N67" s="160"/>
      <c r="O67" s="440">
        <f t="shared" si="17"/>
        <v>33469302</v>
      </c>
      <c r="P67" s="518">
        <f>Input!$SZ$17</f>
        <v>0</v>
      </c>
      <c r="Q67" s="441" t="s">
        <v>259</v>
      </c>
      <c r="R67" s="304" t="s">
        <v>259</v>
      </c>
      <c r="S67" s="442"/>
      <c r="T67" s="306">
        <f t="shared" si="13"/>
        <v>33469302</v>
      </c>
      <c r="U67" s="307">
        <f t="shared" si="14"/>
        <v>0</v>
      </c>
      <c r="V67" s="308">
        <f>Input!$TJ$17</f>
        <v>0</v>
      </c>
      <c r="W67" s="308">
        <f>Input!$TR$17</f>
        <v>0</v>
      </c>
      <c r="X67" s="303">
        <f>U67+T67-V67-W67</f>
        <v>33469302</v>
      </c>
      <c r="Z67" s="292" t="s">
        <v>21</v>
      </c>
      <c r="AA67" s="518">
        <f>Input!$TZ$17</f>
        <v>33469302</v>
      </c>
      <c r="AB67" s="301">
        <f t="shared" si="16"/>
        <v>0</v>
      </c>
    </row>
    <row r="68" spans="1:28" ht="14.25" thickTop="1" thickBot="1">
      <c r="A68" s="184">
        <v>51</v>
      </c>
      <c r="B68" s="160" t="s">
        <v>2135</v>
      </c>
      <c r="C68" s="160"/>
      <c r="D68" s="372">
        <f>Input!$NI$17</f>
        <v>0</v>
      </c>
      <c r="E68" s="372">
        <f>Input!$NJ$17</f>
        <v>0</v>
      </c>
      <c r="F68" s="372">
        <f>Input!$NK$17</f>
        <v>38683447</v>
      </c>
      <c r="G68" s="372">
        <f>Input!$NL$17</f>
        <v>0</v>
      </c>
      <c r="H68" s="372">
        <f>Input!$NM$17</f>
        <v>0</v>
      </c>
      <c r="I68" s="372">
        <f>Input!$NN$17</f>
        <v>0</v>
      </c>
      <c r="J68" s="372">
        <f>Input!$NO$17</f>
        <v>0</v>
      </c>
      <c r="K68" s="372">
        <f>Input!$NP$17</f>
        <v>0</v>
      </c>
      <c r="L68" s="372">
        <f>Input!$NQ$17</f>
        <v>0</v>
      </c>
      <c r="M68" s="373">
        <f t="shared" si="12"/>
        <v>38683447</v>
      </c>
      <c r="N68" s="160"/>
      <c r="O68" s="309" t="s">
        <v>259</v>
      </c>
      <c r="P68" s="519">
        <f>Input!$TA$17</f>
        <v>221133</v>
      </c>
      <c r="Q68" s="444" t="s">
        <v>259</v>
      </c>
      <c r="R68" s="311" t="s">
        <v>259</v>
      </c>
      <c r="S68" s="442"/>
      <c r="T68" s="305"/>
      <c r="U68" s="305"/>
      <c r="V68" s="312" t="s">
        <v>261</v>
      </c>
      <c r="W68" s="313"/>
      <c r="X68" s="314">
        <f>SUM(X60:X67)</f>
        <v>168004369</v>
      </c>
      <c r="Z68" s="292" t="s">
        <v>22</v>
      </c>
      <c r="AA68" s="518">
        <f>Input!$UA$17</f>
        <v>38683447</v>
      </c>
      <c r="AB68" s="301">
        <f t="shared" si="16"/>
        <v>0</v>
      </c>
    </row>
    <row r="69" spans="1:28" ht="14.25" thickTop="1" thickBot="1">
      <c r="A69" s="184">
        <v>52</v>
      </c>
      <c r="B69" s="161" t="s">
        <v>59</v>
      </c>
      <c r="C69" s="161"/>
      <c r="D69" s="372">
        <f>Input!$NR$17</f>
        <v>74414</v>
      </c>
      <c r="E69" s="372">
        <f>Input!$NS$17</f>
        <v>993102</v>
      </c>
      <c r="F69" s="372">
        <f>Input!$NT$17</f>
        <v>221133</v>
      </c>
      <c r="G69" s="372">
        <f>Input!$NU$17</f>
        <v>247124</v>
      </c>
      <c r="H69" s="372">
        <f>Input!$NV$17</f>
        <v>0</v>
      </c>
      <c r="I69" s="372">
        <f>Input!$NW$17</f>
        <v>0</v>
      </c>
      <c r="J69" s="372">
        <f>Input!$NX$17</f>
        <v>0</v>
      </c>
      <c r="K69" s="372">
        <f>Input!$NY$17</f>
        <v>0</v>
      </c>
      <c r="L69" s="372">
        <f>Input!$NZ$17</f>
        <v>0</v>
      </c>
      <c r="M69" s="373">
        <f t="shared" si="12"/>
        <v>1535773</v>
      </c>
      <c r="N69" s="160"/>
      <c r="O69" s="315"/>
      <c r="P69" s="316">
        <f>SUM(P60:P68)</f>
        <v>1535773</v>
      </c>
      <c r="Q69" s="316">
        <f>SUM(Q64:Q68)</f>
        <v>0</v>
      </c>
      <c r="R69" s="317">
        <f>SUM(R60:R65)</f>
        <v>120758857</v>
      </c>
      <c r="S69" s="316"/>
      <c r="T69" s="305"/>
      <c r="U69" s="305"/>
      <c r="V69" s="305"/>
      <c r="W69" s="277"/>
      <c r="X69" s="277"/>
      <c r="Y69" s="277"/>
      <c r="Z69" s="292" t="s">
        <v>285</v>
      </c>
      <c r="AA69" s="445">
        <f>M88*-1</f>
        <v>30572355</v>
      </c>
      <c r="AB69" s="301">
        <f>AA69+M88</f>
        <v>0</v>
      </c>
    </row>
    <row r="70" spans="1:28" ht="14.25" thickTop="1" thickBot="1">
      <c r="A70" s="184">
        <v>53</v>
      </c>
      <c r="B70" s="178" t="s">
        <v>44</v>
      </c>
      <c r="C70" s="178"/>
      <c r="D70" s="378">
        <f>Input!$OA$17</f>
        <v>0</v>
      </c>
      <c r="E70" s="378">
        <f>Input!$OB$17</f>
        <v>591938</v>
      </c>
      <c r="F70" s="378">
        <f>Input!$OC$17</f>
        <v>36640</v>
      </c>
      <c r="G70" s="378">
        <f>Input!$OD$17</f>
        <v>0</v>
      </c>
      <c r="H70" s="378">
        <f>Input!$OE$17</f>
        <v>0</v>
      </c>
      <c r="I70" s="378">
        <f>Input!$OF$17</f>
        <v>0</v>
      </c>
      <c r="J70" s="378">
        <f>Input!$OG$17</f>
        <v>0</v>
      </c>
      <c r="K70" s="378">
        <f>Input!$OH$17</f>
        <v>0</v>
      </c>
      <c r="L70" s="378">
        <f>Input!$OI$17</f>
        <v>2708694</v>
      </c>
      <c r="M70" s="373">
        <f t="shared" si="12"/>
        <v>3337272</v>
      </c>
      <c r="N70" s="160"/>
      <c r="O70" s="320"/>
      <c r="P70" s="516" t="str">
        <f>IF(P69&lt;&gt;M69,"Out of Balance","Balanced")</f>
        <v>Balanced</v>
      </c>
      <c r="Q70" s="318"/>
      <c r="R70" s="305"/>
      <c r="S70" s="305"/>
      <c r="T70" s="305"/>
      <c r="U70" s="277"/>
      <c r="V70" s="1738" t="str">
        <f>IF(X68-INT(X68)&lt;&gt;0,"Whole Dollars Only","")</f>
        <v/>
      </c>
      <c r="W70" s="1738"/>
      <c r="X70" s="537"/>
      <c r="Y70" s="319"/>
      <c r="Z70" s="410" t="s">
        <v>262</v>
      </c>
      <c r="AA70" s="446" t="s">
        <v>259</v>
      </c>
      <c r="AB70" s="411">
        <f>M90</f>
        <v>0</v>
      </c>
    </row>
    <row r="71" spans="1:28" ht="13.5" thickTop="1">
      <c r="A71" s="184">
        <v>54</v>
      </c>
      <c r="B71" s="162" t="s">
        <v>69</v>
      </c>
      <c r="C71" s="162"/>
      <c r="D71" s="374">
        <f>SUM(D60:D70)</f>
        <v>62567452</v>
      </c>
      <c r="E71" s="374">
        <f>SUM(E60:E70)</f>
        <v>65479452</v>
      </c>
      <c r="F71" s="374">
        <f t="shared" ref="F71:L71" si="19">SUM(F60:F70)</f>
        <v>38941220</v>
      </c>
      <c r="G71" s="374">
        <f t="shared" si="19"/>
        <v>40654540</v>
      </c>
      <c r="H71" s="374">
        <f t="shared" si="19"/>
        <v>54684</v>
      </c>
      <c r="I71" s="374">
        <f t="shared" si="19"/>
        <v>0</v>
      </c>
      <c r="J71" s="374">
        <f t="shared" si="19"/>
        <v>736500</v>
      </c>
      <c r="K71" s="374">
        <f t="shared" si="19"/>
        <v>0</v>
      </c>
      <c r="L71" s="374">
        <f t="shared" si="19"/>
        <v>2708694</v>
      </c>
      <c r="M71" s="374">
        <f t="shared" si="12"/>
        <v>211142542</v>
      </c>
      <c r="N71" s="160"/>
      <c r="O71" s="322"/>
      <c r="P71" s="1738" t="str">
        <f>IF(P69-INT(P69)&lt;&gt;0,"Whole Dollars Only","")</f>
        <v/>
      </c>
      <c r="Q71" s="1738"/>
      <c r="R71" s="323"/>
      <c r="S71" s="323"/>
      <c r="T71" s="323"/>
      <c r="U71" s="291"/>
      <c r="V71" s="324"/>
      <c r="W71" s="321"/>
      <c r="X71" s="321"/>
      <c r="Y71" s="321"/>
      <c r="Z71" s="318"/>
      <c r="AA71" s="325">
        <f>SUM(AA60:AA70)</f>
        <v>236841852</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Input!$OJ$17</f>
        <v>0</v>
      </c>
      <c r="E74" s="372">
        <f>Input!$OK$17</f>
        <v>0</v>
      </c>
      <c r="F74" s="372">
        <f>Input!$OL$17</f>
        <v>0</v>
      </c>
      <c r="G74" s="372">
        <f>Input!$OM$17</f>
        <v>0</v>
      </c>
      <c r="H74" s="372">
        <f>Input!$ON$17</f>
        <v>0</v>
      </c>
      <c r="I74" s="372">
        <f>Input!$OO$17</f>
        <v>0</v>
      </c>
      <c r="J74" s="372">
        <f>Input!$OP$17</f>
        <v>-15777249</v>
      </c>
      <c r="K74" s="372">
        <f>Input!$OQ$17</f>
        <v>0</v>
      </c>
      <c r="L74" s="372">
        <f>Input!$OR$17</f>
        <v>0</v>
      </c>
      <c r="M74" s="373">
        <f>D74+E74+F74+G74+H74+I74+J74+K74+L74</f>
        <v>-15777249</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Input!$OS$17</f>
        <v>-3294005</v>
      </c>
      <c r="E75" s="372">
        <f>Input!$OT$17</f>
        <v>15382803</v>
      </c>
      <c r="F75" s="372">
        <f>Input!$OU$17</f>
        <v>-2843470</v>
      </c>
      <c r="G75" s="372">
        <f>Input!$OV$17</f>
        <v>-23586930</v>
      </c>
      <c r="H75" s="372">
        <f>Input!$OW$17</f>
        <v>19288</v>
      </c>
      <c r="I75" s="372">
        <f>Input!$OX$17</f>
        <v>1765687</v>
      </c>
      <c r="J75" s="372">
        <f>Input!$OY$17</f>
        <v>38649414</v>
      </c>
      <c r="K75" s="372">
        <f>Input!$OZ$17</f>
        <v>0</v>
      </c>
      <c r="L75" s="372">
        <f>Input!$PA$17</f>
        <v>0</v>
      </c>
      <c r="M75" s="373">
        <f>D75+E75+F75+G75+H75+I75+J75+K75+L75</f>
        <v>26092787</v>
      </c>
      <c r="N75" s="160"/>
      <c r="O75" s="1723" t="str">
        <f>IF(M85&lt;0,"Footnote 11 is N/A - No Data Entry Required","Footnote 11")</f>
        <v>Footnote 11</v>
      </c>
      <c r="P75" s="1724"/>
      <c r="Q75" s="1724"/>
      <c r="R75" s="1725"/>
      <c r="S75" s="330"/>
      <c r="T75" s="330"/>
      <c r="U75" s="327"/>
      <c r="V75" s="276"/>
      <c r="W75" s="331"/>
      <c r="X75" s="331"/>
      <c r="Y75" s="328"/>
      <c r="Z75" s="328"/>
      <c r="AA75" s="276"/>
      <c r="AB75" s="276" t="s">
        <v>293</v>
      </c>
    </row>
    <row r="76" spans="1:28" ht="13.5" thickTop="1">
      <c r="A76" s="184">
        <v>59</v>
      </c>
      <c r="B76" s="160" t="s">
        <v>45</v>
      </c>
      <c r="C76" s="160"/>
      <c r="D76" s="372">
        <f>Input!$PB$17</f>
        <v>0</v>
      </c>
      <c r="E76" s="372">
        <f>Input!$PC$17</f>
        <v>0</v>
      </c>
      <c r="F76" s="372">
        <f>Input!$PD$17</f>
        <v>0</v>
      </c>
      <c r="G76" s="372">
        <f>Input!$PE$17</f>
        <v>0</v>
      </c>
      <c r="H76" s="372">
        <f>Input!$PF$17</f>
        <v>0</v>
      </c>
      <c r="I76" s="372">
        <f>Input!$PG$17</f>
        <v>0</v>
      </c>
      <c r="J76" s="372">
        <f>Input!$PH$17</f>
        <v>0</v>
      </c>
      <c r="K76" s="372">
        <f>Input!$PI$17</f>
        <v>0</v>
      </c>
      <c r="L76" s="372">
        <f>Input!$PJ$17</f>
        <v>0</v>
      </c>
      <c r="M76" s="373">
        <f>D76+E76+F76+G76+H76+I76+J76+K76+L76</f>
        <v>0</v>
      </c>
      <c r="N76" s="160"/>
      <c r="O76" s="487" t="s">
        <v>583</v>
      </c>
      <c r="P76" s="488"/>
      <c r="Q76" s="489"/>
      <c r="R76" s="490">
        <f>IF($M$85&lt;0,"N/A",$M$85)</f>
        <v>72356243</v>
      </c>
      <c r="S76" s="330"/>
      <c r="T76" s="330"/>
      <c r="U76" s="327"/>
      <c r="V76" s="276"/>
      <c r="W76" s="331"/>
      <c r="X76" s="331"/>
      <c r="Y76" s="331"/>
      <c r="Z76" s="331"/>
      <c r="AA76" s="276"/>
      <c r="AB76" s="276"/>
    </row>
    <row r="77" spans="1:28">
      <c r="A77" s="184">
        <v>60</v>
      </c>
      <c r="B77" s="160" t="s">
        <v>46</v>
      </c>
      <c r="C77" s="160"/>
      <c r="D77" s="372">
        <f>Input!$PK$17</f>
        <v>-10730763</v>
      </c>
      <c r="E77" s="372">
        <f>Input!$PL$17</f>
        <v>-1249579</v>
      </c>
      <c r="F77" s="372">
        <f>Input!$PM$17</f>
        <v>-13703188</v>
      </c>
      <c r="G77" s="372">
        <f>Input!$PN$17</f>
        <v>-1200193</v>
      </c>
      <c r="H77" s="372">
        <f>Input!$PO$17</f>
        <v>0</v>
      </c>
      <c r="I77" s="372">
        <f>Input!$PP$17</f>
        <v>0</v>
      </c>
      <c r="J77" s="372">
        <f>Input!$PQ$17</f>
        <v>0</v>
      </c>
      <c r="K77" s="372">
        <f>Input!$PR$17</f>
        <v>0</v>
      </c>
      <c r="L77" s="372">
        <f>Input!$PS$17</f>
        <v>0</v>
      </c>
      <c r="M77" s="373">
        <f>D77+E77+F77+G77+H77+I77+J77+K77+L77</f>
        <v>-26883723</v>
      </c>
      <c r="N77" s="160"/>
      <c r="O77" s="491" t="s">
        <v>584</v>
      </c>
      <c r="P77" s="334"/>
      <c r="Q77" s="334"/>
      <c r="R77" s="521">
        <f>Input!$UB$17</f>
        <v>45658499</v>
      </c>
      <c r="S77" s="330"/>
      <c r="T77" s="330"/>
      <c r="U77" s="327"/>
      <c r="V77" s="276"/>
      <c r="W77" s="331"/>
      <c r="X77" s="331"/>
      <c r="Y77" s="331"/>
      <c r="Z77" s="331"/>
      <c r="AA77" s="276"/>
      <c r="AB77" s="276"/>
    </row>
    <row r="78" spans="1:28">
      <c r="A78" s="184">
        <v>61</v>
      </c>
      <c r="B78" s="162" t="s">
        <v>3</v>
      </c>
      <c r="C78" s="162"/>
      <c r="D78" s="374">
        <f t="shared" ref="D78:L78" si="20">SUM(D74:D77)</f>
        <v>-14024768</v>
      </c>
      <c r="E78" s="374">
        <f t="shared" si="20"/>
        <v>14133224</v>
      </c>
      <c r="F78" s="374">
        <f t="shared" si="20"/>
        <v>-16546658</v>
      </c>
      <c r="G78" s="374">
        <f t="shared" si="20"/>
        <v>-24787123</v>
      </c>
      <c r="H78" s="374">
        <f t="shared" si="20"/>
        <v>19288</v>
      </c>
      <c r="I78" s="374">
        <f t="shared" si="20"/>
        <v>1765687</v>
      </c>
      <c r="J78" s="374">
        <f t="shared" si="20"/>
        <v>22872165</v>
      </c>
      <c r="K78" s="374">
        <f t="shared" si="20"/>
        <v>0</v>
      </c>
      <c r="L78" s="374">
        <f t="shared" si="20"/>
        <v>0</v>
      </c>
      <c r="M78" s="374">
        <f>D78+E78+F78+G78+H78+I78+J78+K78+L78</f>
        <v>-16568185</v>
      </c>
      <c r="N78" s="160"/>
      <c r="O78" s="491" t="s">
        <v>585</v>
      </c>
      <c r="P78" s="276"/>
      <c r="Q78" s="334"/>
      <c r="R78" s="492">
        <f>IF($M$85&lt;0,"",$R$76-$R$77)</f>
        <v>26697744</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3"/>
      <c r="P79" s="276"/>
      <c r="Q79" s="334"/>
      <c r="R79" s="494"/>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5" t="s">
        <v>586</v>
      </c>
      <c r="P80" s="276"/>
      <c r="Q80" s="334"/>
      <c r="R80" s="521">
        <f>Input!$UC$17</f>
        <v>24319656</v>
      </c>
      <c r="S80" s="330"/>
      <c r="T80" s="330"/>
      <c r="U80" s="334"/>
      <c r="V80" s="276"/>
      <c r="W80" s="328"/>
      <c r="X80" s="328"/>
      <c r="Y80" s="331"/>
      <c r="Z80" s="331"/>
      <c r="AA80" s="276"/>
      <c r="AB80" s="276"/>
    </row>
    <row r="81" spans="1:28">
      <c r="A81" s="184">
        <v>64</v>
      </c>
      <c r="B81" s="160" t="s">
        <v>47</v>
      </c>
      <c r="C81" s="160"/>
      <c r="D81" s="372">
        <f>Input!$PT$17</f>
        <v>324869</v>
      </c>
      <c r="E81" s="372">
        <f>Input!$PU$17</f>
        <v>11981110</v>
      </c>
      <c r="F81" s="372">
        <f>Input!$PV$17</f>
        <v>1259800</v>
      </c>
      <c r="G81" s="372">
        <f>Input!$PW$17</f>
        <v>856104</v>
      </c>
      <c r="H81" s="372">
        <f>Input!$PX$17</f>
        <v>302169</v>
      </c>
      <c r="I81" s="372">
        <f>Input!$PY$17</f>
        <v>7746119</v>
      </c>
      <c r="J81" s="372">
        <f>Input!$PZ$17</f>
        <v>1849485</v>
      </c>
      <c r="K81" s="372">
        <f>Input!$QA$17</f>
        <v>0</v>
      </c>
      <c r="L81" s="372">
        <f>Input!$QB$17</f>
        <v>0</v>
      </c>
      <c r="M81" s="373">
        <f>D81+E81+F81+G81+H81+I81+J81+K81+L81</f>
        <v>24319656</v>
      </c>
      <c r="N81" s="160"/>
      <c r="O81" s="496" t="s">
        <v>587</v>
      </c>
      <c r="P81" s="276"/>
      <c r="Q81" s="276"/>
      <c r="R81" s="497"/>
      <c r="S81" s="330"/>
      <c r="T81" s="330"/>
      <c r="W81" s="276"/>
      <c r="X81" s="276"/>
      <c r="Y81" s="331"/>
      <c r="Z81" s="331"/>
      <c r="AA81" s="276"/>
      <c r="AB81" s="276"/>
    </row>
    <row r="82" spans="1:28">
      <c r="A82" s="184">
        <v>65</v>
      </c>
      <c r="B82" s="160" t="s">
        <v>48</v>
      </c>
      <c r="C82" s="160"/>
      <c r="D82" s="372">
        <f>Input!$QC$17</f>
        <v>0</v>
      </c>
      <c r="E82" s="372">
        <f>Input!$QD$17</f>
        <v>0</v>
      </c>
      <c r="F82" s="372">
        <f>Input!$QE$17</f>
        <v>0</v>
      </c>
      <c r="G82" s="372">
        <f>Input!$QF$17</f>
        <v>0</v>
      </c>
      <c r="H82" s="372">
        <f>Input!$QG$17</f>
        <v>0</v>
      </c>
      <c r="I82" s="372">
        <f>Input!$QH$17</f>
        <v>2378088</v>
      </c>
      <c r="J82" s="372">
        <f>Input!$QI$17</f>
        <v>0</v>
      </c>
      <c r="K82" s="372">
        <f>Input!$QJ$17</f>
        <v>0</v>
      </c>
      <c r="L82" s="372">
        <f>Input!$QK$17</f>
        <v>0</v>
      </c>
      <c r="M82" s="373">
        <f>D82+E82+F82+G82+H82+I82+J82+K82+L82</f>
        <v>2378088</v>
      </c>
      <c r="N82" s="160"/>
      <c r="O82" s="498" t="s">
        <v>588</v>
      </c>
      <c r="P82" s="276"/>
      <c r="Q82" s="276"/>
      <c r="R82" s="492">
        <f>IFERROR($R$78-$R$80,"")</f>
        <v>2378088</v>
      </c>
      <c r="Y82" s="331"/>
      <c r="Z82" s="401"/>
      <c r="AA82" s="268"/>
      <c r="AB82" s="268"/>
    </row>
    <row r="83" spans="1:28">
      <c r="A83" s="184">
        <v>66</v>
      </c>
      <c r="B83" s="162" t="s">
        <v>3</v>
      </c>
      <c r="C83" s="162"/>
      <c r="D83" s="374">
        <f t="shared" ref="D83:L83" si="21">SUM(D81:D82)</f>
        <v>324869</v>
      </c>
      <c r="E83" s="374">
        <f t="shared" si="21"/>
        <v>11981110</v>
      </c>
      <c r="F83" s="374">
        <f t="shared" si="21"/>
        <v>1259800</v>
      </c>
      <c r="G83" s="374">
        <f t="shared" si="21"/>
        <v>856104</v>
      </c>
      <c r="H83" s="374">
        <f t="shared" si="21"/>
        <v>302169</v>
      </c>
      <c r="I83" s="374">
        <f t="shared" si="21"/>
        <v>10124207</v>
      </c>
      <c r="J83" s="374">
        <f t="shared" si="21"/>
        <v>1849485</v>
      </c>
      <c r="K83" s="374">
        <f t="shared" si="21"/>
        <v>0</v>
      </c>
      <c r="L83" s="374">
        <f t="shared" si="21"/>
        <v>0</v>
      </c>
      <c r="M83" s="374">
        <f>D83+E83+F83+G83+H83+I83+J83+K83+L83</f>
        <v>26697744</v>
      </c>
      <c r="N83" s="160"/>
      <c r="O83" s="493"/>
      <c r="P83" s="276"/>
      <c r="Q83" s="276"/>
      <c r="R83" s="497"/>
      <c r="Y83" s="163"/>
      <c r="Z83" s="447"/>
      <c r="AA83" s="439"/>
      <c r="AB83" s="448"/>
    </row>
    <row r="84" spans="1:28" ht="13.5" thickBot="1">
      <c r="A84" s="184">
        <v>67</v>
      </c>
      <c r="B84" s="160"/>
      <c r="C84" s="160"/>
      <c r="D84" s="373"/>
      <c r="E84" s="373"/>
      <c r="F84" s="373"/>
      <c r="G84" s="373"/>
      <c r="H84" s="373"/>
      <c r="I84" s="373"/>
      <c r="J84" s="373"/>
      <c r="K84" s="373"/>
      <c r="L84" s="373"/>
      <c r="M84" s="373"/>
      <c r="N84" s="160"/>
      <c r="O84" s="499" t="s">
        <v>589</v>
      </c>
      <c r="P84" s="500"/>
      <c r="Q84" s="500"/>
      <c r="R84" s="501">
        <f>IFERROR((R82+R80)-R78,"")</f>
        <v>0</v>
      </c>
      <c r="Y84" s="268"/>
      <c r="Z84" s="447"/>
      <c r="AA84" s="439"/>
      <c r="AB84" s="449"/>
    </row>
    <row r="85" spans="1:28" ht="13.5" thickTop="1">
      <c r="A85" s="184">
        <v>68</v>
      </c>
      <c r="B85" s="162" t="s">
        <v>574</v>
      </c>
      <c r="C85" s="162"/>
      <c r="D85" s="374">
        <f t="shared" ref="D85:L85" si="22">D57-D71+D78+D83</f>
        <v>-2762695</v>
      </c>
      <c r="E85" s="374">
        <f t="shared" si="22"/>
        <v>42993146</v>
      </c>
      <c r="F85" s="374">
        <f t="shared" si="22"/>
        <v>-8881949</v>
      </c>
      <c r="G85" s="374">
        <f t="shared" si="22"/>
        <v>5938948</v>
      </c>
      <c r="H85" s="374">
        <f t="shared" si="22"/>
        <v>369006</v>
      </c>
      <c r="I85" s="374">
        <f t="shared" si="22"/>
        <v>11890177</v>
      </c>
      <c r="J85" s="374">
        <f t="shared" si="22"/>
        <v>25692418</v>
      </c>
      <c r="K85" s="374">
        <f t="shared" si="22"/>
        <v>0</v>
      </c>
      <c r="L85" s="374">
        <f t="shared" si="22"/>
        <v>-2882808</v>
      </c>
      <c r="M85" s="374">
        <f>D85+E85+F85+G85+H85+I85+J85+K85+L85</f>
        <v>72356243</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Input!$QL$17</f>
        <v>0</v>
      </c>
      <c r="E87" s="372">
        <f>Input!$QM$17</f>
        <v>0</v>
      </c>
      <c r="F87" s="372">
        <f>Input!$QN$17</f>
        <v>0</v>
      </c>
      <c r="G87" s="372">
        <f>Input!$QO$17</f>
        <v>0</v>
      </c>
      <c r="H87" s="372">
        <f>Input!$QP$17</f>
        <v>0</v>
      </c>
      <c r="I87" s="372">
        <f>Input!$QQ$17</f>
        <v>0</v>
      </c>
      <c r="J87" s="372">
        <f>Input!$QR$17</f>
        <v>0</v>
      </c>
      <c r="K87" s="372">
        <f>Input!$QS$17</f>
        <v>0</v>
      </c>
      <c r="L87" s="372">
        <f>Input!$QT$17</f>
        <v>0</v>
      </c>
      <c r="M87" s="329">
        <f>D87+E87+F87+G87+H87+I87+J87+K87+L87</f>
        <v>0</v>
      </c>
      <c r="N87" s="160"/>
      <c r="Y87" s="268"/>
      <c r="Z87" s="447"/>
      <c r="AA87" s="439"/>
      <c r="AB87" s="449"/>
    </row>
    <row r="88" spans="1:28">
      <c r="A88" s="184">
        <v>72</v>
      </c>
      <c r="B88" s="160" t="s">
        <v>66</v>
      </c>
      <c r="C88" s="160"/>
      <c r="D88" s="372">
        <f>Input!$QU$17</f>
        <v>0</v>
      </c>
      <c r="E88" s="372">
        <f>Input!$QV$17</f>
        <v>0</v>
      </c>
      <c r="F88" s="372">
        <f>Input!$QW$17</f>
        <v>0</v>
      </c>
      <c r="G88" s="372">
        <f>Input!$QX$17</f>
        <v>0</v>
      </c>
      <c r="H88" s="372">
        <f>Input!$QY$17</f>
        <v>0</v>
      </c>
      <c r="I88" s="372">
        <f>Input!$QZ$17</f>
        <v>0</v>
      </c>
      <c r="J88" s="372">
        <f>Input!$RA$17</f>
        <v>0</v>
      </c>
      <c r="K88" s="372">
        <f>Input!$RB$17</f>
        <v>0</v>
      </c>
      <c r="L88" s="372">
        <f>Input!$RC$17</f>
        <v>-30572355</v>
      </c>
      <c r="M88" s="373">
        <f>D88+E88+F88+G88+H88+I88+J88+K88+L88</f>
        <v>-30572355</v>
      </c>
      <c r="N88" s="160"/>
      <c r="O88" s="270"/>
      <c r="P88" s="335"/>
      <c r="Y88" s="268"/>
      <c r="Z88" s="447"/>
      <c r="AA88" s="439"/>
      <c r="AB88" s="449"/>
    </row>
    <row r="89" spans="1:28" s="264" customFormat="1">
      <c r="A89" s="263"/>
      <c r="B89" s="171" t="s">
        <v>216</v>
      </c>
      <c r="C89" s="171"/>
      <c r="D89" s="372">
        <f>Input!$RD$17</f>
        <v>0</v>
      </c>
      <c r="E89" s="372">
        <f>Input!$RE$17</f>
        <v>0</v>
      </c>
      <c r="F89" s="372">
        <f>Input!$RF$17</f>
        <v>0</v>
      </c>
      <c r="G89" s="372">
        <f>Input!$RG$17</f>
        <v>0</v>
      </c>
      <c r="H89" s="372">
        <f>Input!$RH$17</f>
        <v>0</v>
      </c>
      <c r="I89" s="372">
        <f>Input!$RI$17</f>
        <v>0</v>
      </c>
      <c r="J89" s="372">
        <f>Input!$RJ$17</f>
        <v>0</v>
      </c>
      <c r="K89" s="372">
        <f>Input!$RK$17</f>
        <v>0</v>
      </c>
      <c r="L89" s="372">
        <f>Input!$RL$17</f>
        <v>20675406</v>
      </c>
      <c r="M89" s="373">
        <f t="shared" ref="M89:M91" si="23">D89+E89+F89+G89+H89+I89+J89+K89+L89</f>
        <v>20675406</v>
      </c>
      <c r="N89" s="160"/>
      <c r="O89" s="1726" t="s">
        <v>1355</v>
      </c>
      <c r="P89" s="1727"/>
      <c r="Q89" s="1727"/>
      <c r="R89" s="1727"/>
      <c r="S89" s="1727"/>
      <c r="T89" s="1727"/>
      <c r="U89" s="1728"/>
      <c r="Y89" s="268"/>
      <c r="Z89" s="447"/>
      <c r="AA89" s="439"/>
      <c r="AB89" s="449"/>
    </row>
    <row r="90" spans="1:28" s="264" customFormat="1">
      <c r="A90" s="263"/>
      <c r="B90" s="171" t="s">
        <v>105</v>
      </c>
      <c r="C90" s="171"/>
      <c r="D90" s="372">
        <f>Input!$RM$17</f>
        <v>0</v>
      </c>
      <c r="E90" s="372">
        <f>Input!$RN$17</f>
        <v>0</v>
      </c>
      <c r="F90" s="372">
        <f>Input!$RO$17</f>
        <v>0</v>
      </c>
      <c r="G90" s="372">
        <f>Input!$RP$17</f>
        <v>0</v>
      </c>
      <c r="H90" s="372">
        <f>Input!$RQ$17</f>
        <v>0</v>
      </c>
      <c r="I90" s="372">
        <f>Input!$RR$17</f>
        <v>0</v>
      </c>
      <c r="J90" s="372">
        <f>Input!$RS$17</f>
        <v>0</v>
      </c>
      <c r="K90" s="372">
        <f>Input!$RT$17</f>
        <v>0</v>
      </c>
      <c r="L90" s="372">
        <f>Input!$RU$17</f>
        <v>0</v>
      </c>
      <c r="M90" s="373">
        <f t="shared" si="23"/>
        <v>0</v>
      </c>
      <c r="N90" s="160"/>
      <c r="O90" s="502" t="s">
        <v>590</v>
      </c>
      <c r="P90" s="423"/>
      <c r="Q90" s="502" t="s">
        <v>591</v>
      </c>
      <c r="R90" s="423"/>
      <c r="S90" s="503"/>
      <c r="T90" s="502" t="s">
        <v>592</v>
      </c>
      <c r="U90" s="423"/>
      <c r="Y90" s="268"/>
      <c r="Z90" s="447"/>
      <c r="AA90" s="439"/>
      <c r="AB90" s="449"/>
    </row>
    <row r="91" spans="1:28" s="264" customFormat="1">
      <c r="A91" s="263"/>
      <c r="B91" s="171" t="s">
        <v>128</v>
      </c>
      <c r="C91" s="171"/>
      <c r="D91" s="372">
        <f>Input!$RV$17</f>
        <v>0</v>
      </c>
      <c r="E91" s="372">
        <f>Input!$RW$17</f>
        <v>0</v>
      </c>
      <c r="F91" s="372">
        <f>Input!$RX$17</f>
        <v>0</v>
      </c>
      <c r="G91" s="372">
        <f>Input!$RY$17</f>
        <v>0</v>
      </c>
      <c r="H91" s="372">
        <f>Input!$RZ$17</f>
        <v>0</v>
      </c>
      <c r="I91" s="372">
        <f>Input!$SA$17</f>
        <v>0</v>
      </c>
      <c r="J91" s="372">
        <f>Input!$SB$17</f>
        <v>0</v>
      </c>
      <c r="K91" s="372">
        <f>Input!$SC$17</f>
        <v>0</v>
      </c>
      <c r="L91" s="372">
        <f>Input!$SD$17</f>
        <v>157067</v>
      </c>
      <c r="M91" s="373">
        <f t="shared" si="23"/>
        <v>157067</v>
      </c>
      <c r="N91" s="160"/>
      <c r="O91" s="504"/>
      <c r="P91" s="505"/>
      <c r="Q91" s="504"/>
      <c r="R91" s="426"/>
      <c r="S91" s="276"/>
      <c r="T91" s="506"/>
      <c r="U91" s="426"/>
      <c r="Y91" s="268"/>
      <c r="Z91" s="447"/>
      <c r="AA91" s="439"/>
      <c r="AB91" s="449"/>
    </row>
    <row r="92" spans="1:28" s="264" customFormat="1">
      <c r="A92" s="263"/>
      <c r="B92" s="160" t="s">
        <v>67</v>
      </c>
      <c r="C92" s="160"/>
      <c r="D92" s="372">
        <f>Input!$SE$17</f>
        <v>74414</v>
      </c>
      <c r="E92" s="372">
        <f>Input!$SF$17</f>
        <v>993102</v>
      </c>
      <c r="F92" s="372">
        <f>Input!$SG$17</f>
        <v>221133</v>
      </c>
      <c r="G92" s="372">
        <f>Input!$SH$17</f>
        <v>247124</v>
      </c>
      <c r="H92" s="372">
        <f>Input!$SI$17</f>
        <v>0</v>
      </c>
      <c r="I92" s="372">
        <f>Input!$SJ$17</f>
        <v>0</v>
      </c>
      <c r="J92" s="372">
        <f>Input!$SK$17</f>
        <v>15777249</v>
      </c>
      <c r="K92" s="372">
        <f>Input!$SL$17</f>
        <v>0</v>
      </c>
      <c r="L92" s="372">
        <f>Input!$SM$17</f>
        <v>0</v>
      </c>
      <c r="M92" s="373">
        <f>D92+E92+F92+G92+H92+I92+J92+K92+L92</f>
        <v>17313022</v>
      </c>
      <c r="N92" s="160"/>
      <c r="O92" s="1729" t="str">
        <f>Input!UF$17</f>
        <v>Chris Arrington</v>
      </c>
      <c r="P92" s="1730"/>
      <c r="Q92" s="1729" t="str">
        <f>Input!$UG$17</f>
        <v>254-968-1643</v>
      </c>
      <c r="R92" s="1730"/>
      <c r="S92" s="276"/>
      <c r="T92" s="1731" t="str">
        <f>HYPERLINK("Mailto:"&amp;Input!$UH$17,Input!$UH$17)</f>
        <v>fincher@tarleton.edu</v>
      </c>
      <c r="U92" s="1730"/>
      <c r="Y92" s="268"/>
      <c r="Z92" s="447"/>
      <c r="AA92" s="442"/>
      <c r="AB92" s="449"/>
    </row>
    <row r="93" spans="1:28" ht="13.5" thickBot="1">
      <c r="B93" s="179" t="s">
        <v>58</v>
      </c>
      <c r="C93" s="179"/>
      <c r="D93" s="380">
        <f t="shared" ref="D93:K93" si="24">SUM(D85:D92)</f>
        <v>-2688281</v>
      </c>
      <c r="E93" s="380">
        <f t="shared" si="24"/>
        <v>43986248</v>
      </c>
      <c r="F93" s="380">
        <f t="shared" si="24"/>
        <v>-8660816</v>
      </c>
      <c r="G93" s="380">
        <f t="shared" si="24"/>
        <v>6186072</v>
      </c>
      <c r="H93" s="380">
        <f t="shared" si="24"/>
        <v>369006</v>
      </c>
      <c r="I93" s="380">
        <f t="shared" si="24"/>
        <v>11890177</v>
      </c>
      <c r="J93" s="380">
        <f t="shared" si="24"/>
        <v>41469667</v>
      </c>
      <c r="K93" s="380">
        <f t="shared" si="24"/>
        <v>0</v>
      </c>
      <c r="L93" s="380">
        <f>SUM(L85:L92)</f>
        <v>-12622690</v>
      </c>
      <c r="M93" s="380">
        <f>D93+E93+F93+G93+H93+I93+J93+K93+L93</f>
        <v>79929383</v>
      </c>
      <c r="N93" s="160"/>
      <c r="O93" s="506"/>
      <c r="P93" s="507"/>
      <c r="Q93" s="276"/>
      <c r="R93" s="276"/>
      <c r="S93" s="276"/>
      <c r="T93" s="507"/>
      <c r="U93" s="508"/>
      <c r="Y93" s="268"/>
      <c r="Z93" s="447"/>
      <c r="AA93" s="442"/>
      <c r="AB93" s="449"/>
    </row>
    <row r="94" spans="1:28" ht="13.5" thickTop="1">
      <c r="C94" s="160"/>
      <c r="D94" s="165"/>
      <c r="E94" s="165"/>
      <c r="F94" s="165"/>
      <c r="G94" s="165"/>
      <c r="H94" s="165"/>
      <c r="I94" s="165"/>
      <c r="J94" s="165"/>
      <c r="K94" s="165"/>
      <c r="L94" s="165"/>
      <c r="M94" s="180"/>
      <c r="N94" s="160"/>
      <c r="O94" s="1720" t="s">
        <v>593</v>
      </c>
      <c r="P94" s="1721"/>
      <c r="Q94" s="1721"/>
      <c r="R94" s="1721"/>
      <c r="S94" s="1721"/>
      <c r="T94" s="1721"/>
      <c r="U94" s="1722"/>
      <c r="Y94" s="268"/>
      <c r="Z94" s="451"/>
      <c r="AA94" s="442"/>
      <c r="AB94" s="449"/>
    </row>
    <row r="95" spans="1:28">
      <c r="B95" s="171" t="s">
        <v>1369</v>
      </c>
      <c r="C95" s="169"/>
      <c r="D95" s="165"/>
      <c r="E95" s="165"/>
      <c r="F95" s="165"/>
      <c r="G95" s="165"/>
      <c r="H95" s="165"/>
      <c r="I95" s="165"/>
      <c r="J95" s="165"/>
      <c r="K95" s="165"/>
      <c r="L95" s="165"/>
      <c r="M95" s="180"/>
      <c r="N95" s="160"/>
      <c r="O95" s="1720"/>
      <c r="P95" s="1721"/>
      <c r="Q95" s="1721"/>
      <c r="R95" s="1721"/>
      <c r="S95" s="1721"/>
      <c r="T95" s="1721"/>
      <c r="U95" s="1722"/>
      <c r="Y95" s="268"/>
      <c r="Z95" s="452"/>
      <c r="AA95" s="453"/>
      <c r="AB95" s="454"/>
    </row>
    <row r="96" spans="1:28">
      <c r="B96" s="169" t="s">
        <v>80</v>
      </c>
      <c r="C96" s="160"/>
      <c r="D96" s="165"/>
      <c r="E96" s="165"/>
      <c r="F96" s="165"/>
      <c r="G96" s="165"/>
      <c r="H96" s="165"/>
      <c r="I96" s="165"/>
      <c r="J96" s="165"/>
      <c r="K96" s="165"/>
      <c r="L96" s="165"/>
      <c r="M96" s="180"/>
      <c r="N96" s="160"/>
      <c r="O96" s="509"/>
      <c r="P96" s="510"/>
      <c r="Q96" s="511"/>
      <c r="R96" s="511"/>
      <c r="S96" s="511"/>
      <c r="T96" s="510"/>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Input!$SN$17</f>
        <v>79929383</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3" t="str">
        <f>IF($L$118&lt;&gt;Input!$F$17,"Out of Balance","Balanced")</f>
        <v>Balanced</v>
      </c>
      <c r="M102" s="517"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119360309</v>
      </c>
      <c r="E105" s="373">
        <f>SUM($E$10:$E$14)+SUM($E$19:$E$28)+SUM($E$32:$E$41)+$E$47+SUM($E$50:$E$55)+SUM($E$60:$E$70)+SUM($E$74:$E$77)+SUM($E$81:$E$82)+SUM($E$87:$E$92)</f>
        <v>174945152</v>
      </c>
      <c r="F105" s="373">
        <f>SUM($F$10:$F$14)+SUM($F$19:$F$28)+SUM($F$32:$F$41)+$F$47+SUM($F$50:$F$55)+SUM($F$60:$F$70)+SUM($F$74:$F$77)+SUM($F$81:$F$82)+SUM($F$87:$F$92)</f>
        <v>69221624</v>
      </c>
      <c r="G105" s="373">
        <f>SUM($G$10:$G$14)+SUM($G$19:$G$28)+SUM($G$32:$G$41)+$G$47+SUM($G$50:$G$55)+SUM($G$60:$G$70)+SUM($G$74:$G$77)+SUM($G$81:$G$82)+SUM($G$87:$G$92)</f>
        <v>87495152</v>
      </c>
      <c r="H105" s="373">
        <f>SUM($H$10:$H$14)+SUM($H$19:$H$28)+SUM($H$32:$H$41)+$H$47+SUM($H$50:$H$55)+SUM($H$60:$H$70)+SUM($H$74:$H$77)+SUM($H$81:$H$82)+SUM($H$87:$H$92)</f>
        <v>478374</v>
      </c>
      <c r="I105" s="373">
        <f>SUM($I$10:$I$14)+SUM($I$19:$I$28)+SUM($I$32:$I$41)+$I$47+SUM($I$50:$I$55)+SUM($I$60:$I$70)+SUM($I$74:$I$77)+SUM($I$81:$I$82)+SUM($I$87:$I$92)</f>
        <v>11890177</v>
      </c>
      <c r="J105" s="373">
        <f>SUM($J$10:$J$14)+SUM($J$19:$J$28)+SUM($J$32:$J$41)+$J$47+SUM($J$50:$J$55)+SUM($J$60:$J$70)+SUM($J$74:$J$77)+SUM($J$81:$J$82)+SUM($J$87:$J$92)</f>
        <v>42942667</v>
      </c>
      <c r="K105" s="373">
        <f>SUM($K$10:$K$14)+SUM($K$19:$K$28)+SUM($K$32:$K$41)+$K$47+SUM($K$50:$K$55)+SUM($K$60:$K$70)+SUM($K$74:$K$77)+SUM($K$81:$K$82)+SUM($K$87:$K$92)</f>
        <v>0</v>
      </c>
      <c r="L105" s="373">
        <f>SUM($L$10:$L$14)+SUM($L$19:$L$28)+SUM($L$32:$L$41)+$L$47+SUM($L$50:$L$55)+SUM($L$60:$L$70)+SUM($L$74:$L$77)+SUM($L$81:$L$82)+SUM($L$87:$L$92)</f>
        <v>-7205302</v>
      </c>
      <c r="M105" s="373"/>
      <c r="N105" s="264"/>
      <c r="O105" s="373"/>
      <c r="P105" s="450">
        <f>M18-INT(M18)</f>
        <v>0</v>
      </c>
    </row>
    <row r="106" spans="2:28">
      <c r="B106" s="261"/>
      <c r="C106" s="261"/>
      <c r="D106" s="261"/>
      <c r="E106" s="261"/>
      <c r="F106" s="261"/>
      <c r="G106" s="261"/>
      <c r="H106" s="261"/>
      <c r="I106" s="261"/>
      <c r="J106" s="261"/>
      <c r="K106" s="261"/>
      <c r="L106" s="373">
        <f>SUM($D$105:$L$105)</f>
        <v>499128153</v>
      </c>
      <c r="M106" s="261"/>
      <c r="N106" s="264"/>
      <c r="O106" s="373"/>
      <c r="P106" s="450">
        <f>M31-INT(M31)</f>
        <v>0</v>
      </c>
    </row>
    <row r="107" spans="2:28">
      <c r="B107" s="261"/>
      <c r="C107" s="261"/>
      <c r="D107" s="261"/>
      <c r="E107" s="261"/>
      <c r="F107" s="261"/>
      <c r="G107" s="261"/>
      <c r="H107" s="261"/>
      <c r="I107" s="261"/>
      <c r="J107" s="261" t="s">
        <v>1299</v>
      </c>
      <c r="K107" s="261"/>
      <c r="L107" s="373">
        <f>$M$100</f>
        <v>79929383</v>
      </c>
      <c r="M107" s="261"/>
      <c r="N107" s="264"/>
      <c r="O107" s="373"/>
      <c r="P107" s="450">
        <f>M93-INT(M93)</f>
        <v>0</v>
      </c>
    </row>
    <row r="108" spans="2:28">
      <c r="B108" s="261"/>
      <c r="C108" s="261"/>
      <c r="D108" s="261"/>
      <c r="E108" s="261"/>
      <c r="F108" s="261"/>
      <c r="G108" s="261"/>
      <c r="H108" s="261"/>
      <c r="I108" s="261"/>
      <c r="J108" s="261" t="s">
        <v>1300</v>
      </c>
      <c r="K108" s="261"/>
      <c r="L108" s="512">
        <f>$Q$32</f>
        <v>126580850</v>
      </c>
      <c r="M108" s="261"/>
      <c r="N108" s="264"/>
      <c r="O108" s="373"/>
    </row>
    <row r="109" spans="2:28">
      <c r="B109" s="261"/>
      <c r="C109" s="261"/>
      <c r="D109" s="261"/>
      <c r="E109" s="261"/>
      <c r="F109" s="261"/>
      <c r="G109" s="261"/>
      <c r="H109" s="261"/>
      <c r="I109" s="261"/>
      <c r="J109" s="261" t="s">
        <v>1300</v>
      </c>
      <c r="K109" s="261"/>
      <c r="L109" s="512">
        <f>$R$34</f>
        <v>-31491222</v>
      </c>
      <c r="M109" s="261"/>
      <c r="N109" s="264"/>
      <c r="O109" s="373"/>
    </row>
    <row r="110" spans="2:28">
      <c r="B110" s="261"/>
      <c r="C110" s="261"/>
      <c r="D110" s="261"/>
      <c r="E110" s="261"/>
      <c r="F110" s="261"/>
      <c r="G110" s="261"/>
      <c r="H110" s="261"/>
      <c r="I110" s="261"/>
      <c r="J110" s="261" t="s">
        <v>29</v>
      </c>
      <c r="K110" s="261"/>
      <c r="L110" s="512">
        <f>SUM($P$60:$P$68)</f>
        <v>1535773</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2">
        <f>SUM($V$60:$V$67)</f>
        <v>105137</v>
      </c>
      <c r="M112" s="261"/>
      <c r="N112" s="264"/>
      <c r="O112" s="373"/>
    </row>
    <row r="113" spans="2:15">
      <c r="B113" s="261"/>
      <c r="C113" s="261"/>
      <c r="D113" s="261"/>
      <c r="E113" s="261"/>
      <c r="F113" s="261"/>
      <c r="G113" s="261"/>
      <c r="H113" s="261"/>
      <c r="I113" s="261"/>
      <c r="J113" s="261" t="s">
        <v>596</v>
      </c>
      <c r="K113" s="261"/>
      <c r="L113" s="512">
        <f>SUM($W$60:$W$67)</f>
        <v>0</v>
      </c>
      <c r="M113" s="261"/>
      <c r="N113" s="264"/>
      <c r="O113" s="373"/>
    </row>
    <row r="114" spans="2:15">
      <c r="B114" s="261"/>
      <c r="C114" s="261"/>
      <c r="D114" s="261"/>
      <c r="E114" s="261"/>
      <c r="F114" s="261"/>
      <c r="G114" s="261"/>
      <c r="H114" s="261"/>
      <c r="I114" s="261"/>
      <c r="J114" s="261" t="s">
        <v>258</v>
      </c>
      <c r="K114" s="261"/>
      <c r="L114" s="512">
        <f>SUM($AA$60:$AA$68)</f>
        <v>206269497</v>
      </c>
      <c r="M114" s="261"/>
      <c r="N114" s="264"/>
      <c r="O114" s="373"/>
    </row>
    <row r="115" spans="2:15">
      <c r="B115" s="261"/>
      <c r="C115" s="261"/>
      <c r="D115" s="261"/>
      <c r="E115" s="261"/>
      <c r="F115" s="261"/>
      <c r="G115" s="261"/>
      <c r="H115" s="261"/>
      <c r="I115" s="261"/>
      <c r="J115" s="261" t="s">
        <v>597</v>
      </c>
      <c r="K115" s="261"/>
      <c r="L115" s="512">
        <f>$R$77</f>
        <v>45658499</v>
      </c>
      <c r="M115" s="261"/>
      <c r="N115" s="264"/>
      <c r="O115" s="373"/>
    </row>
    <row r="116" spans="2:15">
      <c r="B116" s="261"/>
      <c r="C116" s="261"/>
      <c r="D116" s="261"/>
      <c r="E116" s="261"/>
      <c r="F116" s="261"/>
      <c r="G116" s="261"/>
      <c r="H116" s="261"/>
      <c r="I116" s="261"/>
      <c r="J116" s="261" t="s">
        <v>597</v>
      </c>
      <c r="K116" s="261"/>
      <c r="L116" s="512">
        <f>$R$80</f>
        <v>24319656</v>
      </c>
      <c r="M116" s="261"/>
      <c r="N116" s="264"/>
      <c r="O116" s="373"/>
    </row>
    <row r="117" spans="2:15">
      <c r="B117" s="261"/>
      <c r="C117" s="261"/>
      <c r="D117" s="261"/>
      <c r="E117" s="261"/>
      <c r="F117" s="261"/>
      <c r="G117" s="261"/>
      <c r="H117" s="261"/>
      <c r="I117" s="261"/>
      <c r="J117" s="261" t="s">
        <v>1231</v>
      </c>
      <c r="K117" s="261"/>
      <c r="L117" s="1008">
        <f>VLOOKUP(B2,Names!B5:$C$87,2,FALSE)</f>
        <v>3631</v>
      </c>
      <c r="M117" s="261"/>
      <c r="N117" s="264"/>
      <c r="O117" s="373"/>
    </row>
    <row r="118" spans="2:15">
      <c r="B118" s="261"/>
      <c r="C118" s="261"/>
      <c r="D118" s="261"/>
      <c r="E118" s="261"/>
      <c r="F118" s="261"/>
      <c r="G118" s="261"/>
      <c r="H118" s="261"/>
      <c r="I118" s="261"/>
      <c r="J118" s="261"/>
      <c r="K118" s="261"/>
      <c r="L118" s="373">
        <f>SUM(L106:L117)</f>
        <v>952039357</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V56:V59"/>
    <mergeCell ref="W56:W59"/>
    <mergeCell ref="G59:K59"/>
    <mergeCell ref="AA56:AA59"/>
    <mergeCell ref="Z55:AB55"/>
    <mergeCell ref="R56:R59"/>
    <mergeCell ref="O55:R55"/>
    <mergeCell ref="T55:X55"/>
    <mergeCell ref="X56:X59"/>
    <mergeCell ref="AB56:AB59"/>
    <mergeCell ref="Z56:Z59"/>
    <mergeCell ref="B2:F2"/>
    <mergeCell ref="B3:F3"/>
    <mergeCell ref="B4:F4"/>
    <mergeCell ref="B6:M6"/>
    <mergeCell ref="P4:Q4"/>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s>
  <conditionalFormatting sqref="U87:X88 O88:Q88">
    <cfRule type="cellIs" dxfId="1027" priority="260" stopIfTrue="1" operator="notEqual">
      <formula>#REF!</formula>
    </cfRule>
  </conditionalFormatting>
  <conditionalFormatting sqref="P70">
    <cfRule type="expression" dxfId="1026" priority="239">
      <formula>$P$69&lt;&gt;$M$69</formula>
    </cfRule>
  </conditionalFormatting>
  <conditionalFormatting sqref="AB72">
    <cfRule type="expression" dxfId="1025" priority="238">
      <formula>$AB$71&lt;&gt;0</formula>
    </cfRule>
  </conditionalFormatting>
  <conditionalFormatting sqref="P71">
    <cfRule type="expression" dxfId="1024" priority="237">
      <formula>P69-INT(P69)</formula>
    </cfRule>
  </conditionalFormatting>
  <conditionalFormatting sqref="V70">
    <cfRule type="expression" dxfId="1023" priority="235">
      <formula>X68-INT(X68)</formula>
    </cfRule>
  </conditionalFormatting>
  <conditionalFormatting sqref="O12">
    <cfRule type="expression" dxfId="1022" priority="226">
      <formula>$P$12&lt;&gt;$M$12</formula>
    </cfRule>
  </conditionalFormatting>
  <conditionalFormatting sqref="U87:U88 O88:Q88">
    <cfRule type="cellIs" dxfId="1021" priority="219" stopIfTrue="1" operator="notEqual">
      <formula>#REF!</formula>
    </cfRule>
  </conditionalFormatting>
  <conditionalFormatting sqref="R84">
    <cfRule type="expression" priority="217" stopIfTrue="1">
      <formula>$M$85&lt;0</formula>
    </cfRule>
    <cfRule type="expression" dxfId="1020" priority="218">
      <formula>$S$85&lt;&gt;0</formula>
    </cfRule>
  </conditionalFormatting>
  <conditionalFormatting sqref="R80 R77">
    <cfRule type="expression" dxfId="1019" priority="215" stopIfTrue="1">
      <formula>$M$85&gt;=0</formula>
    </cfRule>
    <cfRule type="expression" priority="216">
      <formula>$M$85&lt;0</formula>
    </cfRule>
  </conditionalFormatting>
  <conditionalFormatting sqref="U87:U88 O88:Q88">
    <cfRule type="cellIs" dxfId="1018" priority="214" stopIfTrue="1" operator="notEqual">
      <formula>#REF!</formula>
    </cfRule>
  </conditionalFormatting>
  <conditionalFormatting sqref="O13">
    <cfRule type="expression" dxfId="1017" priority="198">
      <formula>$P$13&lt;&gt;$M$13</formula>
    </cfRule>
  </conditionalFormatting>
  <conditionalFormatting sqref="U87:U88 O88:Q88">
    <cfRule type="cellIs" dxfId="1016" priority="197" stopIfTrue="1" operator="notEqual">
      <formula>#REF!</formula>
    </cfRule>
  </conditionalFormatting>
  <conditionalFormatting sqref="Q36">
    <cfRule type="expression" dxfId="1015" priority="27">
      <formula>#REF!&lt;&gt;#REF!</formula>
    </cfRule>
  </conditionalFormatting>
  <conditionalFormatting sqref="R35">
    <cfRule type="expression" dxfId="1014" priority="26">
      <formula>#REF!&lt;&gt;0</formula>
    </cfRule>
  </conditionalFormatting>
  <conditionalFormatting sqref="Q35">
    <cfRule type="expression" dxfId="1013" priority="25">
      <formula>#REF!&lt;&gt;0</formula>
    </cfRule>
  </conditionalFormatting>
  <conditionalFormatting sqref="R36">
    <cfRule type="expression" dxfId="1012" priority="24">
      <formula>#REF!&lt;&gt;#REF!</formula>
    </cfRule>
  </conditionalFormatting>
  <conditionalFormatting sqref="D93:M98 T94:T95 R90:S95 U87:X93 T90:T92 Y90:Y95 O88:O92 P88:Q93">
    <cfRule type="cellIs" dxfId="1011" priority="23" stopIfTrue="1" operator="notEqual">
      <formula>#REF!</formula>
    </cfRule>
  </conditionalFormatting>
  <conditionalFormatting sqref="P70">
    <cfRule type="expression" dxfId="1010" priority="22">
      <formula>$P$69&lt;&gt;$M$69</formula>
    </cfRule>
  </conditionalFormatting>
  <conditionalFormatting sqref="AB72">
    <cfRule type="expression" dxfId="1009" priority="21">
      <formula>$AB$71&lt;&gt;0</formula>
    </cfRule>
  </conditionalFormatting>
  <conditionalFormatting sqref="P71">
    <cfRule type="expression" dxfId="1008" priority="20">
      <formula>P69-INT(P69)</formula>
    </cfRule>
  </conditionalFormatting>
  <conditionalFormatting sqref="V70">
    <cfRule type="expression" dxfId="1007" priority="19">
      <formula>X68-INT(X68)</formula>
    </cfRule>
  </conditionalFormatting>
  <conditionalFormatting sqref="O12">
    <cfRule type="expression" dxfId="1006" priority="18">
      <formula>$P$12&lt;&gt;$M$12</formula>
    </cfRule>
  </conditionalFormatting>
  <conditionalFormatting sqref="T94:T95 R90:S95 U87:U93 T90:T92 O88:O92 P88:Q93">
    <cfRule type="cellIs" dxfId="1005" priority="16" stopIfTrue="1" operator="notEqual">
      <formula>#REF!</formula>
    </cfRule>
  </conditionalFormatting>
  <conditionalFormatting sqref="R84">
    <cfRule type="expression" priority="14" stopIfTrue="1">
      <formula>$M$85&lt;0</formula>
    </cfRule>
    <cfRule type="expression" dxfId="1004" priority="15">
      <formula>$S$85&lt;&gt;0</formula>
    </cfRule>
  </conditionalFormatting>
  <conditionalFormatting sqref="R80 R77">
    <cfRule type="expression" dxfId="1003" priority="12" stopIfTrue="1">
      <formula>$M$85&gt;=0</formula>
    </cfRule>
    <cfRule type="expression" priority="13">
      <formula>$M$85&lt;0</formula>
    </cfRule>
  </conditionalFormatting>
  <conditionalFormatting sqref="U87:U88 R89:U92 O88:Q92">
    <cfRule type="cellIs" dxfId="1002" priority="11" stopIfTrue="1" operator="notEqual">
      <formula>#REF!</formula>
    </cfRule>
  </conditionalFormatting>
  <conditionalFormatting sqref="M101">
    <cfRule type="expression" dxfId="1001" priority="10">
      <formula>$M$101&lt;&gt;0</formula>
    </cfRule>
  </conditionalFormatting>
  <conditionalFormatting sqref="M102">
    <cfRule type="expression" dxfId="1000" priority="9">
      <formula>$M$93&lt;&gt;$M$100</formula>
    </cfRule>
  </conditionalFormatting>
  <conditionalFormatting sqref="U87:U92 R90:T92 O88:Q92">
    <cfRule type="cellIs" dxfId="999" priority="8" stopIfTrue="1" operator="notEqual">
      <formula>#REF!</formula>
    </cfRule>
  </conditionalFormatting>
  <conditionalFormatting sqref="T89:U89 Q91 T90 O89:O90 P89:Q89 R89:S91">
    <cfRule type="cellIs" dxfId="998" priority="7" stopIfTrue="1" operator="notEqual">
      <formula>#REF!</formula>
    </cfRule>
  </conditionalFormatting>
  <conditionalFormatting sqref="Q36">
    <cfRule type="expression" dxfId="997" priority="6">
      <formula>#REF!&lt;&gt;#REF!</formula>
    </cfRule>
  </conditionalFormatting>
  <conditionalFormatting sqref="R35">
    <cfRule type="expression" dxfId="996" priority="5">
      <formula>#REF!&lt;&gt;0</formula>
    </cfRule>
  </conditionalFormatting>
  <conditionalFormatting sqref="Q35">
    <cfRule type="expression" dxfId="995" priority="4">
      <formula>#REF!&lt;&gt;0</formula>
    </cfRule>
  </conditionalFormatting>
  <conditionalFormatting sqref="R36">
    <cfRule type="expression" dxfId="994" priority="3">
      <formula>#REF!&lt;&gt;#REF!</formula>
    </cfRule>
  </conditionalFormatting>
  <conditionalFormatting sqref="G59:K59">
    <cfRule type="expression" dxfId="993" priority="1">
      <formula>OR($P$105&gt;0,$P$106&lt;&gt;0,$P$107&lt;&gt;0)</formula>
    </cfRule>
  </conditionalFormatting>
  <hyperlinks>
    <hyperlink ref="O2" location="Index!A1" display="Return to Index" xr:uid="{00000000-0004-0000-4700-000000000000}"/>
  </hyperlinks>
  <printOptions horizontalCentered="1"/>
  <pageMargins left="0.5" right="0.5" top="0.25" bottom="0.25" header="0" footer="0.25"/>
  <pageSetup scale="10" orientation="landscape"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58"/>
  <dimension ref="A1:G30"/>
  <sheetViews>
    <sheetView showGridLines="0" zoomScale="80" zoomScaleNormal="80" workbookViewId="0">
      <selection activeCell="E74" sqref="E74:F74"/>
    </sheetView>
  </sheetViews>
  <sheetFormatPr defaultColWidth="9.140625" defaultRowHeight="12.75"/>
  <cols>
    <col min="1" max="1" width="7" style="53" customWidth="1"/>
    <col min="2" max="2" width="93.140625" style="53" customWidth="1"/>
    <col min="3" max="3" width="18.42578125" style="53" customWidth="1"/>
    <col min="4" max="9" width="9.140625" style="53"/>
    <col min="10" max="10" width="15" style="53" customWidth="1"/>
    <col min="11" max="16384" width="9.140625" style="53"/>
  </cols>
  <sheetData>
    <row r="1" spans="2:6" ht="18.75" thickBot="1">
      <c r="B1" s="466" t="str">
        <f>'TARLST Chrts'!$A$1</f>
        <v>Tarleton State University</v>
      </c>
      <c r="C1" s="835" t="s">
        <v>1200</v>
      </c>
    </row>
    <row r="2" spans="2:6">
      <c r="B2" s="393" t="str">
        <f>'Smmy Chrts'!$A$2</f>
        <v>For the Year Ended August 31, 2021</v>
      </c>
    </row>
    <row r="3" spans="2:6">
      <c r="B3" s="393" t="str">
        <f>'Smmy Chrts'!$A$3</f>
        <v>Source: FY 2021 Annual Financial Report</v>
      </c>
    </row>
    <row r="5" spans="2:6" customFormat="1">
      <c r="B5" s="529" t="s">
        <v>705</v>
      </c>
    </row>
    <row r="6" spans="2:6" customFormat="1">
      <c r="B6" s="530"/>
    </row>
    <row r="7" spans="2:6" customFormat="1" ht="226.5" customHeight="1">
      <c r="B7" s="531" t="s">
        <v>706</v>
      </c>
      <c r="C7" s="532"/>
    </row>
    <row r="8" spans="2:6" customFormat="1" ht="263.25" customHeight="1">
      <c r="B8" s="531" t="s">
        <v>707</v>
      </c>
    </row>
    <row r="9" spans="2:6" ht="64.5" customHeight="1">
      <c r="B9" s="533" t="str">
        <f>IF('TARLST FGD'!$R$76="N/A","FN11.  N/A",$B$20&amp;$B$21&amp;$B$22&amp;$B$23&amp;$B$24&amp;$B$25&amp;$B$26&amp;$B$27&amp;$B$28&amp;$B$29&amp;$B$30)</f>
        <v>FN11: Of the net increase of $72,356,243 approximately $45.7 million represents revenues received but not yet expended. This income is fully committed to program expenditures and capital disbursements. The remaining $26.7 million represents non-expendable funds from unrealized gains and additions to permanent endowments of approximately $24.3 million and $2.4 million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TEXT(IF('TARLST FGD'!$M$85&lt;0,"N/A",'TARLST FGD'!$M$85),"$* #,##0;$* (#,##0)")</f>
        <v>$72,356,243</v>
      </c>
      <c r="C21" s="480"/>
      <c r="D21" s="480"/>
      <c r="E21" s="480"/>
      <c r="G21" s="105"/>
    </row>
    <row r="22" spans="1:7">
      <c r="B22" s="105" t="s">
        <v>682</v>
      </c>
    </row>
    <row r="23" spans="1:7">
      <c r="A23" s="53">
        <v>61</v>
      </c>
      <c r="B23" s="515" t="str">
        <f>IF(ABS('TARLST FGD'!$R$77)&gt;=1000000,TEXT('TARLST FGD'!$R$77/1000000,"$* #,##0.0;$* (#,##0.0)")&amp;" million",IF(ABS('TARLST FGD'!$R$77)&lt;1000,TEXT('TARLST FGD'!$R$77,"$* #,##0;$* (#,##0)"),TEXT('TARLST FGD'!$R$77/1000,"$* #,##0;$* (#,##0)")&amp;" thousand"))</f>
        <v>$45.7 million</v>
      </c>
      <c r="C23" s="515"/>
      <c r="E23" s="515"/>
    </row>
    <row r="24" spans="1:7">
      <c r="B24" s="105" t="s">
        <v>708</v>
      </c>
    </row>
    <row r="25" spans="1:7">
      <c r="A25" s="53">
        <v>62</v>
      </c>
      <c r="B25" s="515" t="str">
        <f>IF(ABS('TARLST FGD'!$R$78)&gt;=1000000,TEXT('TARLST FGD'!$R$78/1000000,"$* #,##0.0;$* (#,##0.0)")&amp;" million",IF(ABS('TARLST FGD'!$R$78)&lt;1000,TEXT('TARLST FGD'!$R$78,"$* #,##0;$* (#,##0)"),TEXT('TARLST FGD'!$R$78/1000,"$* #,##0;$* (#,##0)")&amp;" thousand"))</f>
        <v>$26.7 million</v>
      </c>
      <c r="C25" s="515"/>
      <c r="E25" s="515"/>
    </row>
    <row r="26" spans="1:7">
      <c r="B26" s="105" t="s">
        <v>683</v>
      </c>
    </row>
    <row r="27" spans="1:7">
      <c r="A27" s="53">
        <v>64</v>
      </c>
      <c r="B27" s="515" t="str">
        <f>IF(ABS('TARLST FGD'!$R$80)&gt;=1000000,TEXT('TARLST FGD'!$R$80/1000000,"$* #,##0.0;$* (#,##0.0)")&amp;" million",IF(ABS('TARLST FGD'!$R$80)&lt;1000,TEXT('TARLST FGD'!$R$80,"$* #,##0;$* (#,##0)"),TEXT('TARLST FGD'!$R$80/1000,"$* #,##0;$* (#,##0)")&amp;" thousand"))</f>
        <v>$24.3 million</v>
      </c>
      <c r="C27" s="515"/>
      <c r="E27" s="515"/>
    </row>
    <row r="28" spans="1:7">
      <c r="B28" s="105" t="s">
        <v>684</v>
      </c>
    </row>
    <row r="29" spans="1:7">
      <c r="A29" s="53">
        <v>66</v>
      </c>
      <c r="B29" s="515" t="str">
        <f>IF(ABS('TARLST FGD'!$R$82)&gt;=1000000,TEXT('TARLST FGD'!$R$82/1000000,"$* #,##0.0;$* (#,##0.0)")&amp;" million",IF(ABS('TARLST FGD'!$R$82)&lt;1000,TEXT('TARLST FGD'!$R$82,"$* #,##0;$* (#,##0)"),TEXT('TARLST FGD'!$R$82/1000,"$* #,##0;$* (#,##0)")&amp;" thousand"))</f>
        <v>$2.4 million</v>
      </c>
      <c r="C29" s="515"/>
      <c r="E29" s="515"/>
    </row>
    <row r="30" spans="1:7">
      <c r="B30" s="105" t="s">
        <v>709</v>
      </c>
    </row>
  </sheetData>
  <hyperlinks>
    <hyperlink ref="C1" location="Index!A1" display="Return to Index" xr:uid="{00000000-0004-0000-4800-000000000000}"/>
  </hyperlinks>
  <pageMargins left="0.25" right="0.25" top="0.25" bottom="0.25" header="0" footer="0.25"/>
  <pageSetup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59">
    <tabColor indexed="47"/>
    <pageSetUpPr fitToPage="1"/>
  </sheetPr>
  <dimension ref="A1:E165"/>
  <sheetViews>
    <sheetView showGridLines="0" zoomScale="65" zoomScaleNormal="65" zoomScaleSheetLayoutView="65" workbookViewId="0">
      <selection activeCell="B23" sqref="B23"/>
    </sheetView>
  </sheetViews>
  <sheetFormatPr defaultColWidth="9.140625" defaultRowHeight="12.75" customHeight="1"/>
  <cols>
    <col min="1" max="1" width="158.7109375" style="53" customWidth="1"/>
    <col min="2" max="2" width="21.7109375" style="53" customWidth="1"/>
    <col min="3" max="3" width="54.7109375" style="53" customWidth="1"/>
    <col min="4" max="4" width="20.7109375" style="53" customWidth="1"/>
    <col min="5" max="5" width="9.140625" style="679"/>
    <col min="6" max="16384" width="9.140625" style="53"/>
  </cols>
  <sheetData>
    <row r="1" spans="1:5" ht="28.5" thickBot="1">
      <c r="A1" s="159" t="s">
        <v>109</v>
      </c>
      <c r="B1" s="835" t="s">
        <v>1200</v>
      </c>
      <c r="C1" s="53" t="s">
        <v>1329</v>
      </c>
    </row>
    <row r="2" spans="1:5" ht="27.75">
      <c r="A2" s="54" t="str">
        <f>'Smmy Chrts'!$A$2</f>
        <v>For the Year Ended August 31, 2021</v>
      </c>
      <c r="C2" s="55" t="s">
        <v>63</v>
      </c>
    </row>
    <row r="3" spans="1:5" ht="27.75">
      <c r="A3" s="54" t="str">
        <f>'Smmy Chrts'!$A$3</f>
        <v>Source: FY 2021 Annual Financial Report</v>
      </c>
      <c r="C3" s="53" t="s">
        <v>64</v>
      </c>
    </row>
    <row r="4" spans="1:5" ht="12.75" customHeight="1">
      <c r="C4" s="53" t="s">
        <v>267</v>
      </c>
    </row>
    <row r="5" spans="1:5" ht="12.75" customHeight="1">
      <c r="C5" s="53" t="s">
        <v>268</v>
      </c>
    </row>
    <row r="7" spans="1:5" ht="12.75" customHeight="1">
      <c r="C7" s="1687" t="s">
        <v>25</v>
      </c>
      <c r="D7" s="1687"/>
    </row>
    <row r="8" spans="1:5" ht="12.75" customHeight="1">
      <c r="C8" s="57"/>
      <c r="D8" s="58"/>
    </row>
    <row r="9" spans="1:5" ht="12.75" customHeight="1">
      <c r="C9" s="59" t="str">
        <f>'TAMUCC Sum'!A9</f>
        <v>State of Texas</v>
      </c>
      <c r="D9" s="60">
        <f>'TAMUCC Sum'!B15</f>
        <v>80725731</v>
      </c>
      <c r="E9" s="680">
        <f>ROUND(D9/$D$14,3)</f>
        <v>0.308</v>
      </c>
    </row>
    <row r="10" spans="1:5" ht="12.75" customHeight="1">
      <c r="C10" s="59" t="str">
        <f>'TAMUCC Sum'!A17</f>
        <v>Student &amp; Parent</v>
      </c>
      <c r="D10" s="60">
        <f>'TAMUCC Sum'!B20</f>
        <v>82142445</v>
      </c>
      <c r="E10" s="680">
        <f t="shared" ref="E10:E12" si="0">ROUND(D10/$D$14,3)</f>
        <v>0.313</v>
      </c>
    </row>
    <row r="11" spans="1:5" ht="12.75" customHeight="1">
      <c r="C11" s="59" t="str">
        <f>'TAMUCC Sum'!A22</f>
        <v>Federal Government</v>
      </c>
      <c r="D11" s="60">
        <f>'TAMUCC Sum'!B23</f>
        <v>64668767</v>
      </c>
      <c r="E11" s="680">
        <f t="shared" si="0"/>
        <v>0.247</v>
      </c>
    </row>
    <row r="12" spans="1:5" ht="12.75" customHeight="1">
      <c r="C12" s="59" t="str">
        <f>'TAMUCC Sum'!A25</f>
        <v>Institutional Resources</v>
      </c>
      <c r="D12" s="60">
        <f>'TAMUCC Sum'!B32</f>
        <v>34762366</v>
      </c>
      <c r="E12" s="680">
        <f t="shared" si="0"/>
        <v>0.13300000000000001</v>
      </c>
    </row>
    <row r="13" spans="1:5" ht="12.75" customHeight="1">
      <c r="C13" s="57"/>
      <c r="D13" s="58"/>
      <c r="E13" s="680"/>
    </row>
    <row r="14" spans="1:5" ht="12.75" customHeight="1">
      <c r="C14" s="61" t="s">
        <v>68</v>
      </c>
      <c r="D14" s="62">
        <f>SUM(D9:D13)</f>
        <v>262299309</v>
      </c>
      <c r="E14" s="680">
        <f>SUM(E9:E13)</f>
        <v>1.0009999999999999</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86" t="str">
        <f>C14&amp;" "&amp;TEXT(D14,"$#,###")</f>
        <v>Total Operating Sources $262,299,309</v>
      </c>
    </row>
    <row r="48" spans="1:1" ht="12.75" customHeight="1">
      <c r="A48" s="1686"/>
    </row>
    <row r="49" spans="1:5" ht="12.75" customHeight="1">
      <c r="A49" s="56"/>
    </row>
    <row r="52" spans="1:5" ht="12.75" customHeight="1">
      <c r="C52" s="63" t="s">
        <v>25</v>
      </c>
      <c r="D52" s="58"/>
    </row>
    <row r="54" spans="1:5" ht="12.75" customHeight="1">
      <c r="C54" s="59" t="s">
        <v>1</v>
      </c>
      <c r="D54" s="60">
        <f>'TAMUCC Sum'!B10</f>
        <v>59915259</v>
      </c>
      <c r="E54" s="680">
        <f>ROUND(D54/$D$67,3)</f>
        <v>0.22800000000000001</v>
      </c>
    </row>
    <row r="55" spans="1:5" ht="12.75" customHeight="1">
      <c r="C55" s="59" t="s">
        <v>221</v>
      </c>
      <c r="D55" s="60">
        <f>'TAMUCC Sum'!B11</f>
        <v>9331648</v>
      </c>
      <c r="E55" s="680">
        <f t="shared" ref="E55:E66" si="1">ROUND(D55/$D$67,3)</f>
        <v>3.5999999999999997E-2</v>
      </c>
    </row>
    <row r="56" spans="1:5" ht="12.75" customHeight="1">
      <c r="C56" s="59"/>
      <c r="D56" s="60"/>
      <c r="E56" s="680"/>
    </row>
    <row r="57" spans="1:5" ht="12.75" customHeight="1">
      <c r="C57" s="59" t="str">
        <f>'TAMUCC Sum'!A13</f>
        <v>Higher Education Fund</v>
      </c>
      <c r="D57" s="60">
        <f>'TAMUCC Sum'!B13</f>
        <v>11478824</v>
      </c>
      <c r="E57" s="680">
        <f t="shared" si="1"/>
        <v>4.3999999999999997E-2</v>
      </c>
    </row>
    <row r="58" spans="1:5" ht="12.75" customHeight="1">
      <c r="C58" s="1069" t="s">
        <v>41</v>
      </c>
      <c r="D58" s="60">
        <f>'TAMUCC Sum'!B14</f>
        <v>0</v>
      </c>
      <c r="E58" s="680">
        <f t="shared" si="1"/>
        <v>0</v>
      </c>
    </row>
    <row r="59" spans="1:5" ht="12.75" customHeight="1">
      <c r="C59" s="59" t="s">
        <v>87</v>
      </c>
      <c r="D59" s="60">
        <f>'TAMUCC Sum'!B20</f>
        <v>82142445</v>
      </c>
      <c r="E59" s="680">
        <f t="shared" si="1"/>
        <v>0.313</v>
      </c>
    </row>
    <row r="60" spans="1:5" ht="12.75" customHeight="1">
      <c r="C60" s="64" t="s">
        <v>74</v>
      </c>
      <c r="D60" s="60">
        <f>'TAMUCC Sum'!B23</f>
        <v>64668767</v>
      </c>
      <c r="E60" s="680">
        <f t="shared" si="1"/>
        <v>0.247</v>
      </c>
    </row>
    <row r="61" spans="1:5" ht="12.75" customHeight="1">
      <c r="C61" s="59" t="s">
        <v>75</v>
      </c>
      <c r="D61" s="60">
        <f>'TAMUCC Sum'!B26</f>
        <v>7998787</v>
      </c>
      <c r="E61" s="680">
        <f t="shared" si="1"/>
        <v>0.03</v>
      </c>
    </row>
    <row r="62" spans="1:5" ht="12.75" customHeight="1">
      <c r="C62" s="1069" t="s">
        <v>27</v>
      </c>
      <c r="D62" s="60">
        <f>'TAMUCC Sum'!B27</f>
        <v>0</v>
      </c>
      <c r="E62" s="680">
        <f t="shared" si="1"/>
        <v>0</v>
      </c>
    </row>
    <row r="63" spans="1:5" ht="12.75" customHeight="1">
      <c r="C63" s="59" t="s">
        <v>76</v>
      </c>
      <c r="D63" s="60">
        <f>'TAMUCC Sum'!B28</f>
        <v>16017341</v>
      </c>
      <c r="E63" s="680">
        <f t="shared" si="1"/>
        <v>6.0999999999999999E-2</v>
      </c>
    </row>
    <row r="64" spans="1:5" ht="12.75" customHeight="1">
      <c r="C64" s="59" t="s">
        <v>77</v>
      </c>
      <c r="D64" s="60">
        <f>'TAMUCC Sum'!B29</f>
        <v>-80158</v>
      </c>
      <c r="E64" s="680">
        <f t="shared" si="1"/>
        <v>0</v>
      </c>
    </row>
    <row r="65" spans="1:5" ht="12.75" customHeight="1">
      <c r="C65" s="59" t="s">
        <v>220</v>
      </c>
      <c r="D65" s="60">
        <f>'TAMUCC Sum'!B30</f>
        <v>6626824</v>
      </c>
      <c r="E65" s="680">
        <f t="shared" si="1"/>
        <v>2.5000000000000001E-2</v>
      </c>
    </row>
    <row r="66" spans="1:5" ht="12.75" customHeight="1">
      <c r="C66" s="64" t="s">
        <v>52</v>
      </c>
      <c r="D66" s="60">
        <f>'TAMUCC Sum'!B31</f>
        <v>4199572</v>
      </c>
      <c r="E66" s="680">
        <f t="shared" si="1"/>
        <v>1.6E-2</v>
      </c>
    </row>
    <row r="67" spans="1:5" ht="12.75" customHeight="1">
      <c r="C67" s="61" t="s">
        <v>68</v>
      </c>
      <c r="D67" s="62">
        <f>SUM(D54:D66)</f>
        <v>262299309</v>
      </c>
      <c r="E67" s="681">
        <f>SUM(E54:E66)</f>
        <v>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86" t="str">
        <f>C67&amp;" "&amp;TEXT(D67,"$#,###")</f>
        <v>Total Operating Sources $262,299,309</v>
      </c>
    </row>
    <row r="93" spans="1:5" ht="12.75" customHeight="1">
      <c r="A93" s="1686"/>
    </row>
    <row r="94" spans="1:5" ht="12.75" customHeight="1">
      <c r="A94" s="65"/>
    </row>
    <row r="95" spans="1:5" s="68" customFormat="1" ht="12.75" customHeight="1">
      <c r="A95" s="66"/>
      <c r="E95" s="682"/>
    </row>
    <row r="96" spans="1:5" ht="12.75" customHeight="1">
      <c r="A96" s="65"/>
    </row>
    <row r="97" spans="1:5" ht="12.75" customHeight="1">
      <c r="A97" s="65"/>
    </row>
    <row r="98" spans="1:5" ht="12.75" customHeight="1">
      <c r="A98" s="65"/>
    </row>
    <row r="100" spans="1:5" ht="12.75" customHeight="1">
      <c r="C100" s="1687" t="s">
        <v>13</v>
      </c>
      <c r="D100" s="1687"/>
    </row>
    <row r="101" spans="1:5" ht="12.75" customHeight="1">
      <c r="C101" s="1687"/>
      <c r="D101" s="1687"/>
    </row>
    <row r="102" spans="1:5" ht="12.75" customHeight="1">
      <c r="C102" s="69" t="s">
        <v>14</v>
      </c>
      <c r="D102" s="60">
        <f>'TAMUCC Sum'!B36</f>
        <v>64301661</v>
      </c>
      <c r="E102" s="680">
        <f>ROUND(D102/$D$114,3)</f>
        <v>0.27200000000000002</v>
      </c>
    </row>
    <row r="103" spans="1:5" ht="12.75" customHeight="1">
      <c r="C103" s="69" t="s">
        <v>15</v>
      </c>
      <c r="D103" s="60">
        <f>'TAMUCC Sum'!B37</f>
        <v>25788224</v>
      </c>
      <c r="E103" s="680">
        <f t="shared" ref="E103:E112" si="2">ROUND(D103/$D$114,3)</f>
        <v>0.109</v>
      </c>
    </row>
    <row r="104" spans="1:5" ht="12.75" customHeight="1">
      <c r="C104" s="69" t="s">
        <v>16</v>
      </c>
      <c r="D104" s="60">
        <f>'TAMUCC Sum'!B38</f>
        <v>2532832</v>
      </c>
      <c r="E104" s="680">
        <f t="shared" si="2"/>
        <v>1.0999999999999999E-2</v>
      </c>
    </row>
    <row r="105" spans="1:5" ht="12.75" customHeight="1">
      <c r="C105" s="69" t="s">
        <v>17</v>
      </c>
      <c r="D105" s="60">
        <f>'TAMUCC Sum'!B39</f>
        <v>31421664</v>
      </c>
      <c r="E105" s="680">
        <f t="shared" si="2"/>
        <v>0.13300000000000001</v>
      </c>
    </row>
    <row r="106" spans="1:5" ht="12.75" customHeight="1">
      <c r="C106" s="69" t="s">
        <v>18</v>
      </c>
      <c r="D106" s="60">
        <f>'TAMUCC Sum'!B40</f>
        <v>13520213</v>
      </c>
      <c r="E106" s="680">
        <f t="shared" si="2"/>
        <v>5.7000000000000002E-2</v>
      </c>
    </row>
    <row r="107" spans="1:5" ht="12.75" customHeight="1">
      <c r="C107" s="69" t="s">
        <v>19</v>
      </c>
      <c r="D107" s="60">
        <f>'TAMUCC Sum'!B41</f>
        <v>15295194</v>
      </c>
      <c r="E107" s="680">
        <f t="shared" si="2"/>
        <v>6.5000000000000002E-2</v>
      </c>
    </row>
    <row r="108" spans="1:5" ht="12.75" customHeight="1">
      <c r="C108" s="69" t="s">
        <v>78</v>
      </c>
      <c r="D108" s="60">
        <f>'TAMUCC Sum'!B42</f>
        <v>13306374</v>
      </c>
      <c r="E108" s="680">
        <f t="shared" si="2"/>
        <v>5.6000000000000001E-2</v>
      </c>
    </row>
    <row r="109" spans="1:5" ht="12.75" customHeight="1">
      <c r="C109" s="69" t="s">
        <v>79</v>
      </c>
      <c r="D109" s="60">
        <f>'TAMUCC Sum'!B43</f>
        <v>36242293</v>
      </c>
      <c r="E109" s="680">
        <f t="shared" si="2"/>
        <v>0.153</v>
      </c>
    </row>
    <row r="110" spans="1:5" ht="12.75" customHeight="1">
      <c r="C110" s="69" t="s">
        <v>22</v>
      </c>
      <c r="D110" s="60">
        <f>'TAMUCC Sum'!B44</f>
        <v>22877449</v>
      </c>
      <c r="E110" s="680">
        <f t="shared" si="2"/>
        <v>9.7000000000000003E-2</v>
      </c>
    </row>
    <row r="111" spans="1:5" ht="12.75" customHeight="1">
      <c r="C111" s="64" t="s">
        <v>29</v>
      </c>
      <c r="D111" s="60">
        <f>'TAMUCC Sum'!B45</f>
        <v>4432165</v>
      </c>
      <c r="E111" s="680">
        <f t="shared" si="2"/>
        <v>1.9E-2</v>
      </c>
    </row>
    <row r="112" spans="1:5" ht="12.75" customHeight="1">
      <c r="C112" s="64" t="s">
        <v>53</v>
      </c>
      <c r="D112" s="60">
        <f>'TAMUCC Sum'!B46</f>
        <v>6516347</v>
      </c>
      <c r="E112" s="680">
        <f t="shared" si="2"/>
        <v>2.8000000000000001E-2</v>
      </c>
    </row>
    <row r="113" spans="3:5" ht="12.75" customHeight="1">
      <c r="C113" s="57"/>
      <c r="D113" s="57"/>
    </row>
    <row r="114" spans="3:5" ht="12.75" customHeight="1">
      <c r="C114" s="70" t="s">
        <v>69</v>
      </c>
      <c r="D114" s="62">
        <f>SUM(D102:D113)</f>
        <v>236234416</v>
      </c>
      <c r="E114" s="681">
        <f>SUM(E102:E113)</f>
        <v>1</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86" t="str">
        <f>C114&amp;" "&amp;TEXT(D114,"$#,###")</f>
        <v>Total Operating Uses $236,234,416</v>
      </c>
    </row>
    <row r="137" spans="1:1" ht="12.75" customHeight="1">
      <c r="A137" s="1686"/>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49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ransitionEvaluation="1" transitionEntry="1" codeName="Sheet60">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'TAMUCC Chrts'!$A$1</f>
        <v>Texas A&amp;M University - Corpus Christi</v>
      </c>
      <c r="B1" s="74"/>
      <c r="C1" s="1"/>
      <c r="D1" s="1704" t="s">
        <v>1200</v>
      </c>
      <c r="E1" s="1705"/>
      <c r="F1" s="1757" t="s">
        <v>1196</v>
      </c>
      <c r="G1" s="1706"/>
      <c r="H1" s="1706"/>
      <c r="I1" s="1706"/>
      <c r="J1" s="1707" t="s">
        <v>1197</v>
      </c>
      <c r="K1" s="1695"/>
      <c r="L1" s="1695"/>
      <c r="M1" s="1695"/>
      <c r="N1" s="1695"/>
      <c r="O1" s="1696"/>
    </row>
    <row r="2" spans="1:15" ht="15.75">
      <c r="A2" s="76" t="str">
        <f>'Smmy Chrts'!$A$2</f>
        <v>For the Year Ended August 31, 2021</v>
      </c>
      <c r="B2" s="74"/>
      <c r="C2" s="1"/>
      <c r="D2" s="37"/>
      <c r="E2" s="37"/>
      <c r="F2" s="37"/>
      <c r="J2" s="37"/>
      <c r="K2" s="37"/>
      <c r="L2" s="37"/>
      <c r="M2" s="37"/>
    </row>
    <row r="3" spans="1:15" ht="15.75">
      <c r="A3" s="76" t="str">
        <f>'Smmy Chrts'!$A$3</f>
        <v>Source: FY 2021 Annual Financial Report</v>
      </c>
      <c r="B3" s="74"/>
      <c r="C3" s="1"/>
    </row>
    <row r="4" spans="1:15" ht="13.5" customHeight="1">
      <c r="B4" s="77"/>
      <c r="C4" s="4"/>
      <c r="D4" s="1711" t="s">
        <v>1142</v>
      </c>
      <c r="E4" s="1711" t="s">
        <v>1143</v>
      </c>
      <c r="F4" s="266"/>
    </row>
    <row r="5" spans="1:15" ht="18">
      <c r="A5" s="39" t="str">
        <f>'Smmy Chrts'!$C$35</f>
        <v>Summary Worksheet FY 2021</v>
      </c>
      <c r="B5" s="40" t="s">
        <v>86</v>
      </c>
      <c r="C5" s="40" t="s">
        <v>129</v>
      </c>
      <c r="D5" s="1712"/>
      <c r="E5" s="1712"/>
      <c r="F5" s="266"/>
      <c r="G5" s="799" t="s">
        <v>1198</v>
      </c>
      <c r="I5" s="822" t="s">
        <v>2157</v>
      </c>
      <c r="J5" s="792" t="s">
        <v>1144</v>
      </c>
    </row>
    <row r="6" spans="1:15" ht="13.5" customHeight="1">
      <c r="A6" s="78" t="s">
        <v>266</v>
      </c>
      <c r="B6" s="41"/>
      <c r="C6" s="42">
        <f>VLOOKUP($A$1,FTSELU,12,FALSE)</f>
        <v>9336.2800000000007</v>
      </c>
      <c r="J6" s="712"/>
    </row>
    <row r="7" spans="1:15">
      <c r="I7" s="824" t="s">
        <v>1162</v>
      </c>
      <c r="J7" s="827"/>
    </row>
    <row r="8" spans="1:15">
      <c r="A8" s="81" t="s">
        <v>71</v>
      </c>
      <c r="B8" s="81"/>
      <c r="C8" s="24"/>
      <c r="I8" s="896">
        <f>VLOOKUP(A1,FTSELU,14,FALSE)</f>
        <v>828.6</v>
      </c>
      <c r="J8" s="712"/>
    </row>
    <row r="9" spans="1:15" ht="12.75" customHeight="1" thickBot="1">
      <c r="A9" s="78" t="s">
        <v>0</v>
      </c>
      <c r="B9" s="82"/>
      <c r="C9" s="7"/>
      <c r="J9" s="712"/>
    </row>
    <row r="10" spans="1:15" ht="12.75" customHeight="1" thickTop="1">
      <c r="A10" s="75" t="s">
        <v>1</v>
      </c>
      <c r="B10" s="83">
        <f>'TAMUCC FGD'!M10</f>
        <v>59915259</v>
      </c>
      <c r="C10" s="83">
        <f>ROUND(B10/$C$6,0)</f>
        <v>6417</v>
      </c>
      <c r="D10" s="512">
        <f>'TAMUCC FGD'!F10</f>
        <v>0</v>
      </c>
      <c r="E10" s="512"/>
      <c r="F10" s="84">
        <f>B10-(SUM(D10:E10))</f>
        <v>59915259</v>
      </c>
      <c r="G10" s="1143" t="s">
        <v>1</v>
      </c>
      <c r="H10" s="1144"/>
      <c r="I10" s="825" t="s">
        <v>1161</v>
      </c>
      <c r="J10" s="713">
        <f>ROUND(F10/$C$6,0)</f>
        <v>6417</v>
      </c>
    </row>
    <row r="11" spans="1:15" ht="12.75" customHeight="1" thickBot="1">
      <c r="A11" s="75" t="s">
        <v>2</v>
      </c>
      <c r="B11" s="86">
        <f>'TAMUCC FGD'!M11</f>
        <v>9331648</v>
      </c>
      <c r="C11" s="87">
        <f t="shared" ref="C11:C14" si="0">ROUND(B11/$C$6,0)</f>
        <v>1000</v>
      </c>
      <c r="D11" s="86">
        <f>'TAMUCC FGD'!F11</f>
        <v>0</v>
      </c>
      <c r="E11" s="74"/>
      <c r="F11" s="606">
        <f t="shared" ref="F11:F14" si="1">B11-(SUM(D11:E11))</f>
        <v>9331648</v>
      </c>
      <c r="G11" s="1148">
        <f>SUM(F10:F11)</f>
        <v>69246907</v>
      </c>
      <c r="H11" s="715"/>
      <c r="I11" s="1373">
        <f>ROUND($G$11/$C$6,0)</f>
        <v>7417</v>
      </c>
      <c r="J11" s="716">
        <f t="shared" ref="J11:J14" si="2">ROUND(F11/$C$6,0)</f>
        <v>1000</v>
      </c>
    </row>
    <row r="12" spans="1:15" ht="12.75" hidden="1" customHeight="1" thickTop="1" thickBot="1">
      <c r="A12" s="75" t="s">
        <v>1410</v>
      </c>
      <c r="B12" s="86"/>
      <c r="C12" s="87"/>
      <c r="D12" s="86"/>
      <c r="E12" s="74"/>
      <c r="F12" s="607"/>
      <c r="J12" s="716"/>
      <c r="O12" s="608"/>
    </row>
    <row r="13" spans="1:15" ht="12.75" customHeight="1" thickTop="1">
      <c r="A13" s="75" t="s">
        <v>1368</v>
      </c>
      <c r="B13" s="86">
        <f>'TAMUCC FGD'!M13</f>
        <v>11478824</v>
      </c>
      <c r="C13" s="87">
        <f t="shared" si="0"/>
        <v>1229</v>
      </c>
      <c r="D13" s="86">
        <f>'TAMUCC FGD'!F13</f>
        <v>0</v>
      </c>
      <c r="E13" s="74"/>
      <c r="F13" s="893">
        <f t="shared" si="1"/>
        <v>11478824</v>
      </c>
      <c r="G13" s="882" t="s">
        <v>81</v>
      </c>
      <c r="H13" s="894"/>
      <c r="I13" s="826" t="s">
        <v>1163</v>
      </c>
      <c r="J13" s="716">
        <f t="shared" si="2"/>
        <v>1229</v>
      </c>
    </row>
    <row r="14" spans="1:15" ht="12.75" customHeight="1" thickBot="1">
      <c r="A14" s="75" t="s">
        <v>49</v>
      </c>
      <c r="B14" s="86">
        <f>'TAMUCC FGD'!M14</f>
        <v>0</v>
      </c>
      <c r="C14" s="87">
        <f t="shared" si="0"/>
        <v>0</v>
      </c>
      <c r="D14" s="86">
        <f>'TAMUCC FGD'!F14</f>
        <v>0</v>
      </c>
      <c r="E14" s="74"/>
      <c r="F14" s="607">
        <f t="shared" si="1"/>
        <v>0</v>
      </c>
      <c r="G14" s="800">
        <f>SUM(F13:F14)</f>
        <v>11478824</v>
      </c>
      <c r="H14" s="895"/>
      <c r="I14" s="1377">
        <f>ROUND($G$11/$I$8,0)</f>
        <v>83571</v>
      </c>
      <c r="J14" s="828">
        <f t="shared" si="2"/>
        <v>0</v>
      </c>
    </row>
    <row r="15" spans="1:15" ht="12.75" customHeight="1" thickTop="1">
      <c r="A15" s="88" t="s">
        <v>3</v>
      </c>
      <c r="B15" s="89">
        <f>SUM(B10:B14)</f>
        <v>80725731</v>
      </c>
      <c r="C15" s="89">
        <f>SUM(C10:C14)</f>
        <v>8646</v>
      </c>
      <c r="D15" s="89">
        <f>SUM(D10:D14)</f>
        <v>0</v>
      </c>
      <c r="E15" s="89">
        <f>SUM(E10:E14)</f>
        <v>0</v>
      </c>
      <c r="F15" s="216">
        <f>SUM(F10:F14)</f>
        <v>80725731</v>
      </c>
      <c r="I15" s="1372"/>
      <c r="J15" s="757">
        <f>SUM(J10:J14)</f>
        <v>8646</v>
      </c>
    </row>
    <row r="16" spans="1:15">
      <c r="B16" s="48"/>
      <c r="C16" s="75"/>
      <c r="J16" s="712"/>
    </row>
    <row r="17" spans="1:31" ht="12.75" customHeight="1">
      <c r="A17" s="78" t="s">
        <v>4</v>
      </c>
      <c r="B17" s="86"/>
      <c r="C17" s="75"/>
      <c r="J17" s="712"/>
    </row>
    <row r="18" spans="1:31">
      <c r="A18" s="75" t="s">
        <v>39</v>
      </c>
      <c r="B18" s="83">
        <f>'TAMUCC FGD'!M29</f>
        <v>39153742</v>
      </c>
      <c r="C18" s="83">
        <f t="shared" ref="C18:C19" si="3">ROUND(B18/$C$6,0)</f>
        <v>4194</v>
      </c>
      <c r="D18" s="512">
        <f>'TAMUCC FGD'!$F$29</f>
        <v>0</v>
      </c>
      <c r="E18" s="512"/>
      <c r="F18" s="512">
        <f t="shared" ref="F18:F19" si="4">B18-(SUM(D18:E18))</f>
        <v>39153742</v>
      </c>
      <c r="G18" s="337"/>
      <c r="H18" s="337"/>
      <c r="I18" s="337"/>
      <c r="J18" s="713">
        <f>ROUND(F18/$C$6,0)</f>
        <v>4194</v>
      </c>
    </row>
    <row r="19" spans="1:31" ht="13.5" thickBot="1">
      <c r="A19" s="75" t="s">
        <v>40</v>
      </c>
      <c r="B19" s="86">
        <f>'TAMUCC FGD'!M42</f>
        <v>42988703</v>
      </c>
      <c r="C19" s="87">
        <f t="shared" si="3"/>
        <v>4604</v>
      </c>
      <c r="D19" s="74">
        <f>'TAMUCC FGD'!$F$42</f>
        <v>14519728</v>
      </c>
      <c r="E19" s="74"/>
      <c r="F19" s="74">
        <f t="shared" si="4"/>
        <v>28468975</v>
      </c>
      <c r="G19" s="337"/>
      <c r="H19" s="337"/>
      <c r="I19" s="337"/>
      <c r="J19" s="716">
        <f>ROUND(F19/$C$6,0)</f>
        <v>3049</v>
      </c>
    </row>
    <row r="20" spans="1:31" ht="14.25" thickTop="1" thickBot="1">
      <c r="A20" s="88" t="s">
        <v>5</v>
      </c>
      <c r="B20" s="89">
        <f>SUM(B18:B19)</f>
        <v>82142445</v>
      </c>
      <c r="C20" s="89">
        <f>SUM(C18:C19)</f>
        <v>8798</v>
      </c>
      <c r="D20" s="717">
        <f>SUM(D18:D19)</f>
        <v>14519728</v>
      </c>
      <c r="E20" s="718">
        <f>SUM(E18:E19)</f>
        <v>0</v>
      </c>
      <c r="F20" s="801">
        <f>SUM(F18:F19)</f>
        <v>67622717</v>
      </c>
      <c r="G20" s="720" t="s">
        <v>26</v>
      </c>
      <c r="H20" s="366"/>
      <c r="I20" s="367"/>
      <c r="J20" s="721">
        <f>SUM(J18:J19)</f>
        <v>7243</v>
      </c>
    </row>
    <row r="21" spans="1:31" ht="12.75" customHeight="1" thickTop="1">
      <c r="B21" s="91"/>
      <c r="C21" s="75"/>
      <c r="F21" s="804"/>
      <c r="J21" s="712"/>
    </row>
    <row r="22" spans="1:31" ht="14.25" customHeight="1" thickBot="1">
      <c r="A22" s="78" t="s">
        <v>6</v>
      </c>
      <c r="B22" s="91"/>
      <c r="C22" s="75"/>
      <c r="J22" s="712"/>
    </row>
    <row r="23" spans="1:31" ht="14.25" thickTop="1" thickBot="1">
      <c r="A23" s="88" t="s">
        <v>7</v>
      </c>
      <c r="B23" s="92">
        <f>'TAMUCC FGD'!M47</f>
        <v>64668767</v>
      </c>
      <c r="C23" s="89">
        <f t="shared" ref="C23" si="5">ROUND(B23/$C$6,0)</f>
        <v>6927</v>
      </c>
      <c r="D23" s="717">
        <f>'TAMUCC FGD'!F47</f>
        <v>0</v>
      </c>
      <c r="E23" s="718"/>
      <c r="F23" s="801">
        <f>B23-(SUM(D23:E23))</f>
        <v>64668767</v>
      </c>
      <c r="G23" s="722" t="s">
        <v>74</v>
      </c>
      <c r="H23" s="366"/>
      <c r="I23" s="367"/>
      <c r="J23" s="756">
        <f>ROUND(F23/$C$6,0)</f>
        <v>6927</v>
      </c>
    </row>
    <row r="24" spans="1:31" ht="13.5" thickTop="1">
      <c r="B24" s="91"/>
      <c r="C24" s="75"/>
      <c r="J24" s="712"/>
    </row>
    <row r="25" spans="1:31">
      <c r="A25" s="78" t="s">
        <v>8</v>
      </c>
      <c r="B25" s="91"/>
      <c r="C25" s="75"/>
      <c r="J25" s="712"/>
    </row>
    <row r="26" spans="1:31">
      <c r="A26" s="75" t="s">
        <v>42</v>
      </c>
      <c r="B26" s="83">
        <f>'TAMUCC FGD'!M50</f>
        <v>7998787</v>
      </c>
      <c r="C26" s="83">
        <f t="shared" ref="C26:C31" si="6">ROUND(B26/$C$6,0)</f>
        <v>857</v>
      </c>
      <c r="D26" s="512">
        <f>'TAMUCC FGD'!F50</f>
        <v>1435973</v>
      </c>
      <c r="E26" s="512"/>
      <c r="F26" s="512">
        <f t="shared" ref="F26:F31" si="7">B26-(SUM(D26:E26))</f>
        <v>6562814</v>
      </c>
      <c r="G26" s="337"/>
      <c r="H26" s="337"/>
      <c r="I26" s="337"/>
      <c r="J26" s="713">
        <f>ROUND(F26/$C$6,0)</f>
        <v>703</v>
      </c>
    </row>
    <row r="27" spans="1:31">
      <c r="A27" s="75" t="s">
        <v>9</v>
      </c>
      <c r="B27" s="86">
        <f>'TAMUCC FGD'!M51</f>
        <v>0</v>
      </c>
      <c r="C27" s="87">
        <f t="shared" si="6"/>
        <v>0</v>
      </c>
      <c r="D27" s="86">
        <f>'TAMUCC FGD'!F51</f>
        <v>0</v>
      </c>
      <c r="E27" s="74"/>
      <c r="F27" s="74">
        <f t="shared" si="7"/>
        <v>0</v>
      </c>
      <c r="G27" s="337"/>
      <c r="H27" s="337"/>
      <c r="I27" s="337"/>
      <c r="J27" s="716">
        <f t="shared" ref="J27:J31" si="8">ROUND(F27/$C$6,0)</f>
        <v>0</v>
      </c>
    </row>
    <row r="28" spans="1:31" ht="13.5" thickBot="1">
      <c r="A28" s="75" t="s">
        <v>10</v>
      </c>
      <c r="B28" s="86">
        <f>'TAMUCC FGD'!M52</f>
        <v>16017341</v>
      </c>
      <c r="C28" s="87">
        <f t="shared" si="6"/>
        <v>1716</v>
      </c>
      <c r="D28" s="86">
        <f>'TAMUCC FGD'!F52</f>
        <v>1062127</v>
      </c>
      <c r="E28" s="74"/>
      <c r="F28" s="74">
        <f t="shared" si="7"/>
        <v>14955214</v>
      </c>
      <c r="G28" s="337"/>
      <c r="H28" s="337"/>
      <c r="I28" s="337"/>
      <c r="J28" s="716">
        <f t="shared" si="8"/>
        <v>1602</v>
      </c>
    </row>
    <row r="29" spans="1:31" ht="13.5" thickBot="1">
      <c r="A29" s="75" t="s">
        <v>11</v>
      </c>
      <c r="B29" s="86">
        <f>'TAMUCC FGD'!M53</f>
        <v>-80158</v>
      </c>
      <c r="C29" s="87">
        <f t="shared" si="6"/>
        <v>-9</v>
      </c>
      <c r="D29" s="86">
        <f>'TAMUCC FGD'!F53</f>
        <v>0</v>
      </c>
      <c r="E29" s="74"/>
      <c r="F29" s="74">
        <f t="shared" si="7"/>
        <v>-80158</v>
      </c>
      <c r="G29" s="337"/>
      <c r="H29" s="337"/>
      <c r="I29" s="337"/>
      <c r="J29" s="716">
        <f t="shared" si="8"/>
        <v>-9</v>
      </c>
      <c r="K29" s="1694" t="s">
        <v>1065</v>
      </c>
      <c r="L29" s="1695"/>
      <c r="M29" s="1695"/>
      <c r="N29" s="1695"/>
      <c r="O29" s="1696"/>
    </row>
    <row r="30" spans="1:31" ht="13.5" thickBot="1">
      <c r="A30" s="93" t="s">
        <v>2134</v>
      </c>
      <c r="B30" s="94">
        <f>'TAMUCC FGD'!M54</f>
        <v>6626824</v>
      </c>
      <c r="C30" s="87">
        <f t="shared" si="6"/>
        <v>710</v>
      </c>
      <c r="D30" s="729">
        <f>B30</f>
        <v>6626824</v>
      </c>
      <c r="E30" s="74"/>
      <c r="F30" s="74">
        <f t="shared" si="7"/>
        <v>0</v>
      </c>
      <c r="G30" s="337"/>
      <c r="H30" s="337"/>
      <c r="I30" s="337"/>
      <c r="J30" s="716">
        <f t="shared" si="8"/>
        <v>0</v>
      </c>
      <c r="K30" s="1694" t="s">
        <v>1070</v>
      </c>
      <c r="L30" s="1695"/>
      <c r="M30" s="1695"/>
      <c r="N30" s="1695"/>
      <c r="O30" s="1696"/>
    </row>
    <row r="31" spans="1:31" ht="13.5" customHeight="1" thickBot="1">
      <c r="A31" s="95" t="s">
        <v>43</v>
      </c>
      <c r="B31" s="86">
        <f>'TAMUCC FGD'!M55</f>
        <v>4199572</v>
      </c>
      <c r="C31" s="87">
        <f t="shared" si="6"/>
        <v>450</v>
      </c>
      <c r="D31" s="86">
        <f>'TAMUCC FGD'!F55</f>
        <v>1159482</v>
      </c>
      <c r="E31" s="74"/>
      <c r="F31" s="74">
        <f t="shared" si="7"/>
        <v>3040090</v>
      </c>
      <c r="G31" s="35"/>
      <c r="H31" s="35"/>
      <c r="I31" s="38"/>
      <c r="J31" s="716">
        <f t="shared" si="8"/>
        <v>326</v>
      </c>
      <c r="K31" s="1697" t="s">
        <v>1073</v>
      </c>
      <c r="L31" s="1697" t="s">
        <v>1071</v>
      </c>
      <c r="M31" s="1697" t="s">
        <v>1072</v>
      </c>
      <c r="N31" s="1697" t="s">
        <v>1240</v>
      </c>
      <c r="O31" s="1697"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34762366</v>
      </c>
      <c r="C32" s="89">
        <f>SUM(C26:C31)</f>
        <v>3724</v>
      </c>
      <c r="D32" s="723">
        <f>SUM(D26:D31)</f>
        <v>10284406</v>
      </c>
      <c r="E32" s="723">
        <f>SUM(E26:E31)</f>
        <v>0</v>
      </c>
      <c r="F32" s="802">
        <f>SUM(F26:F31)</f>
        <v>24477960</v>
      </c>
      <c r="G32" s="1708" t="s">
        <v>8</v>
      </c>
      <c r="H32" s="1709"/>
      <c r="I32" s="783" t="s">
        <v>1166</v>
      </c>
      <c r="J32" s="725">
        <f>SUM(J26:J31)</f>
        <v>2622</v>
      </c>
      <c r="K32" s="1698"/>
      <c r="L32" s="1698"/>
      <c r="M32" s="1698"/>
      <c r="N32" s="1698" t="s">
        <v>1074</v>
      </c>
      <c r="O32" s="1698" t="s">
        <v>1075</v>
      </c>
    </row>
    <row r="33" spans="1:31" ht="14.25" thickTop="1" thickBot="1">
      <c r="A33" s="97" t="s">
        <v>68</v>
      </c>
      <c r="B33" s="52">
        <f>B15+B20+B23+B32</f>
        <v>262299309</v>
      </c>
      <c r="C33" s="45">
        <f>C15+C20+C23+C32</f>
        <v>28095</v>
      </c>
      <c r="D33" s="52">
        <f>D15+D20+D23+D32</f>
        <v>24804134</v>
      </c>
      <c r="E33" s="52">
        <f>E15+E20+E23+E32</f>
        <v>0</v>
      </c>
      <c r="F33" s="724">
        <f>F15+F20+F23+F32</f>
        <v>237495175</v>
      </c>
      <c r="G33" s="1758" t="s">
        <v>84</v>
      </c>
      <c r="H33" s="1759"/>
      <c r="I33" s="1375">
        <f>ROUND($G$35/$C$6,0)</f>
        <v>24208</v>
      </c>
      <c r="J33" s="726">
        <f>J15+J20+J23+J32</f>
        <v>25438</v>
      </c>
      <c r="K33" s="1698"/>
      <c r="L33" s="1698"/>
      <c r="M33" s="1698"/>
      <c r="N33" s="1698"/>
      <c r="O33" s="1698"/>
    </row>
    <row r="34" spans="1:31" ht="14.25" thickTop="1" thickBot="1">
      <c r="B34" s="98"/>
      <c r="C34" s="75"/>
      <c r="D34" s="337"/>
      <c r="E34" s="337"/>
      <c r="F34" s="337" t="s">
        <v>1199</v>
      </c>
      <c r="G34" s="787">
        <f>G14*-1</f>
        <v>-11478824</v>
      </c>
      <c r="H34" s="337"/>
      <c r="I34" s="783" t="s">
        <v>1167</v>
      </c>
      <c r="J34" s="727"/>
      <c r="K34" s="1699"/>
      <c r="L34" s="1699"/>
      <c r="M34" s="1699"/>
      <c r="N34" s="1699"/>
      <c r="O34" s="1699"/>
    </row>
    <row r="35" spans="1:31" ht="14.25" thickTop="1" thickBot="1">
      <c r="A35" s="81" t="s">
        <v>72</v>
      </c>
      <c r="B35" s="81"/>
      <c r="C35" s="81"/>
      <c r="D35" s="728"/>
      <c r="E35" s="728"/>
      <c r="F35" s="788" t="s">
        <v>1165</v>
      </c>
      <c r="G35" s="803">
        <f>F33+G34</f>
        <v>226016351</v>
      </c>
      <c r="I35" s="1376">
        <f>ROUND($G$35/$I$8,0)</f>
        <v>272769</v>
      </c>
      <c r="K35" s="609"/>
      <c r="L35" s="609"/>
      <c r="M35" s="609"/>
      <c r="N35" s="609"/>
      <c r="O35" s="609"/>
    </row>
    <row r="36" spans="1:31" ht="13.5" thickTop="1">
      <c r="A36" s="99" t="s">
        <v>14</v>
      </c>
      <c r="B36" s="83">
        <f>'TAMUCC FGD'!M60</f>
        <v>64301661</v>
      </c>
      <c r="C36" s="83">
        <f t="shared" ref="C36:C46" si="9">ROUND(B36/$C$6,0)</f>
        <v>6887</v>
      </c>
      <c r="D36" s="512">
        <f>'TAMUCC FGD'!F60</f>
        <v>0</v>
      </c>
      <c r="E36" s="512"/>
      <c r="F36" s="512">
        <f t="shared" ref="F36:F46" si="10">B36-(SUM(D36:E36))</f>
        <v>64301661</v>
      </c>
      <c r="G36" s="337"/>
      <c r="H36" s="1378" t="s">
        <v>2158</v>
      </c>
      <c r="I36" s="1379">
        <f>ROUND(F36/$C$6,0)</f>
        <v>6887</v>
      </c>
      <c r="J36" s="337" t="s">
        <v>752</v>
      </c>
      <c r="K36" s="512">
        <f>F36</f>
        <v>64301661</v>
      </c>
      <c r="L36" s="512">
        <f>K36</f>
        <v>64301661</v>
      </c>
      <c r="M36" s="512"/>
      <c r="N36" s="512"/>
      <c r="O36" s="512"/>
    </row>
    <row r="37" spans="1:31">
      <c r="A37" s="99" t="s">
        <v>15</v>
      </c>
      <c r="B37" s="86">
        <f>'TAMUCC FGD'!M61</f>
        <v>25788224</v>
      </c>
      <c r="C37" s="87">
        <f t="shared" si="9"/>
        <v>2762</v>
      </c>
      <c r="D37" s="86">
        <f>'TAMUCC FGD'!F61</f>
        <v>0</v>
      </c>
      <c r="E37" s="74"/>
      <c r="F37" s="74">
        <f t="shared" si="10"/>
        <v>25788224</v>
      </c>
      <c r="G37" s="337"/>
      <c r="H37" s="337"/>
      <c r="J37" s="337" t="s">
        <v>1076</v>
      </c>
      <c r="K37" s="373">
        <f>F37</f>
        <v>25788224</v>
      </c>
      <c r="L37" s="373">
        <f>K37</f>
        <v>25788224</v>
      </c>
      <c r="M37" s="373"/>
      <c r="N37" s="373"/>
      <c r="O37" s="373"/>
    </row>
    <row r="38" spans="1:31">
      <c r="A38" s="99" t="s">
        <v>16</v>
      </c>
      <c r="B38" s="86">
        <f>'TAMUCC FGD'!M62</f>
        <v>2532832</v>
      </c>
      <c r="C38" s="87">
        <f t="shared" si="9"/>
        <v>271</v>
      </c>
      <c r="D38" s="86">
        <f>'TAMUCC FGD'!F62</f>
        <v>0</v>
      </c>
      <c r="E38" s="86">
        <f>B38-D38</f>
        <v>2532832</v>
      </c>
      <c r="F38" s="74">
        <f t="shared" si="10"/>
        <v>0</v>
      </c>
      <c r="G38" s="337"/>
      <c r="H38" s="337"/>
      <c r="I38" s="337"/>
      <c r="J38" s="337" t="s">
        <v>1077</v>
      </c>
      <c r="K38" s="736"/>
      <c r="L38" s="737"/>
      <c r="M38" s="737" t="s">
        <v>1152</v>
      </c>
      <c r="N38" s="737"/>
      <c r="O38" s="738"/>
    </row>
    <row r="39" spans="1:31">
      <c r="A39" s="99" t="s">
        <v>17</v>
      </c>
      <c r="B39" s="86">
        <f>'TAMUCC FGD'!M63</f>
        <v>31421664</v>
      </c>
      <c r="C39" s="87">
        <f t="shared" si="9"/>
        <v>3366</v>
      </c>
      <c r="D39" s="86">
        <f>'TAMUCC FGD'!F63</f>
        <v>0</v>
      </c>
      <c r="E39" s="74"/>
      <c r="F39" s="74">
        <f t="shared" si="10"/>
        <v>31421664</v>
      </c>
      <c r="G39" s="337"/>
      <c r="H39" s="1378" t="s">
        <v>2159</v>
      </c>
      <c r="I39" s="1379">
        <f>ROUND(F39/$C$6,0)</f>
        <v>3366</v>
      </c>
      <c r="J39" s="337" t="s">
        <v>1078</v>
      </c>
      <c r="K39" s="373">
        <f t="shared" ref="K39:K43" si="11">F39</f>
        <v>31421664</v>
      </c>
      <c r="L39" s="373">
        <f>K39</f>
        <v>31421664</v>
      </c>
      <c r="M39" s="373"/>
      <c r="N39" s="373"/>
      <c r="O39" s="373"/>
    </row>
    <row r="40" spans="1:31">
      <c r="A40" s="99" t="s">
        <v>18</v>
      </c>
      <c r="B40" s="86">
        <f>'TAMUCC FGD'!M64</f>
        <v>13520213</v>
      </c>
      <c r="C40" s="87">
        <f t="shared" si="9"/>
        <v>1448</v>
      </c>
      <c r="D40" s="86">
        <f>'TAMUCC FGD'!F64</f>
        <v>0</v>
      </c>
      <c r="E40" s="74"/>
      <c r="F40" s="74">
        <f t="shared" si="10"/>
        <v>13520213</v>
      </c>
      <c r="G40" s="337"/>
      <c r="J40" s="337" t="s">
        <v>1079</v>
      </c>
      <c r="K40" s="373">
        <f t="shared" si="11"/>
        <v>13520213</v>
      </c>
      <c r="L40" s="373"/>
      <c r="M40" s="373">
        <f>K40</f>
        <v>13520213</v>
      </c>
      <c r="N40" s="373"/>
      <c r="O40" s="373"/>
    </row>
    <row r="41" spans="1:31">
      <c r="A41" s="99" t="s">
        <v>19</v>
      </c>
      <c r="B41" s="86">
        <f>'TAMUCC FGD'!M65</f>
        <v>15295194</v>
      </c>
      <c r="C41" s="87">
        <f t="shared" si="9"/>
        <v>1638</v>
      </c>
      <c r="D41" s="86">
        <f>'TAMUCC FGD'!F65</f>
        <v>0</v>
      </c>
      <c r="E41" s="74"/>
      <c r="F41" s="74">
        <f t="shared" si="10"/>
        <v>15295194</v>
      </c>
      <c r="G41" s="337"/>
      <c r="H41" s="1378" t="s">
        <v>2160</v>
      </c>
      <c r="I41" s="1379">
        <f>ROUND(F41/$C$6,0)</f>
        <v>1638</v>
      </c>
      <c r="J41" s="337" t="s">
        <v>757</v>
      </c>
      <c r="K41" s="373">
        <f t="shared" si="11"/>
        <v>15295194</v>
      </c>
      <c r="L41" s="373"/>
      <c r="M41" s="373"/>
      <c r="N41" s="373">
        <f>K41</f>
        <v>15295194</v>
      </c>
      <c r="O41" s="373"/>
    </row>
    <row r="42" spans="1:31">
      <c r="A42" s="99" t="s">
        <v>20</v>
      </c>
      <c r="B42" s="86">
        <f>'TAMUCC FGD'!M66</f>
        <v>13306374</v>
      </c>
      <c r="C42" s="87">
        <f t="shared" si="9"/>
        <v>1425</v>
      </c>
      <c r="D42" s="86">
        <f>'TAMUCC FGD'!F66</f>
        <v>0</v>
      </c>
      <c r="E42" s="74"/>
      <c r="F42" s="74">
        <f t="shared" si="10"/>
        <v>13306374</v>
      </c>
      <c r="G42" s="337"/>
      <c r="J42" s="337" t="s">
        <v>758</v>
      </c>
      <c r="K42" s="373">
        <f t="shared" si="11"/>
        <v>13306374</v>
      </c>
      <c r="L42" s="373"/>
      <c r="M42" s="373"/>
      <c r="N42" s="373">
        <f>K42</f>
        <v>13306374</v>
      </c>
      <c r="O42" s="373"/>
    </row>
    <row r="43" spans="1:31">
      <c r="A43" s="99" t="s">
        <v>21</v>
      </c>
      <c r="B43" s="86">
        <f>'TAMUCC FGD'!M67</f>
        <v>36242293</v>
      </c>
      <c r="C43" s="87">
        <f t="shared" si="9"/>
        <v>3882</v>
      </c>
      <c r="D43" s="86">
        <f>'TAMUCC FGD'!F67</f>
        <v>0</v>
      </c>
      <c r="E43" s="74"/>
      <c r="F43" s="74">
        <f t="shared" si="10"/>
        <v>36242293</v>
      </c>
      <c r="G43" s="337"/>
      <c r="H43" s="337"/>
      <c r="I43" s="337"/>
      <c r="J43" s="337" t="s">
        <v>1145</v>
      </c>
      <c r="K43" s="373">
        <f t="shared" si="11"/>
        <v>36242293</v>
      </c>
      <c r="L43" s="373"/>
      <c r="M43" s="373">
        <f>K43</f>
        <v>36242293</v>
      </c>
      <c r="N43" s="373"/>
      <c r="O43" s="373"/>
    </row>
    <row r="44" spans="1:31">
      <c r="A44" s="99" t="s">
        <v>2135</v>
      </c>
      <c r="B44" s="86">
        <f>'TAMUCC FGD'!M68</f>
        <v>22877449</v>
      </c>
      <c r="C44" s="87">
        <f t="shared" si="9"/>
        <v>2450</v>
      </c>
      <c r="D44" s="729">
        <f>B44</f>
        <v>22877449</v>
      </c>
      <c r="E44" s="74"/>
      <c r="F44" s="74">
        <f t="shared" si="10"/>
        <v>0</v>
      </c>
      <c r="G44" s="337"/>
      <c r="H44" s="337"/>
      <c r="I44" s="337"/>
      <c r="J44" s="337" t="s">
        <v>743</v>
      </c>
      <c r="K44" s="736"/>
      <c r="L44" s="737"/>
      <c r="M44" s="737" t="s">
        <v>1152</v>
      </c>
      <c r="N44" s="737"/>
      <c r="O44" s="738"/>
    </row>
    <row r="45" spans="1:31">
      <c r="A45" s="99" t="s">
        <v>61</v>
      </c>
      <c r="B45" s="86">
        <f>'TAMUCC FGD'!M69</f>
        <v>4432165</v>
      </c>
      <c r="C45" s="87">
        <f t="shared" si="9"/>
        <v>475</v>
      </c>
      <c r="D45" s="86">
        <f>'TAMUCC FGD'!F69</f>
        <v>50065</v>
      </c>
      <c r="E45" s="74"/>
      <c r="F45" s="74">
        <f t="shared" si="10"/>
        <v>4382100</v>
      </c>
      <c r="G45" s="337"/>
      <c r="H45" s="337"/>
      <c r="I45" s="337"/>
      <c r="J45" s="337" t="s">
        <v>1080</v>
      </c>
      <c r="K45" s="373">
        <f t="shared" ref="K45:K46" si="12">F45</f>
        <v>4382100</v>
      </c>
      <c r="L45" s="373"/>
      <c r="M45" s="373"/>
      <c r="N45" s="373"/>
      <c r="O45" s="373">
        <f>K45</f>
        <v>4382100</v>
      </c>
    </row>
    <row r="46" spans="1:31" ht="13.5" thickBot="1">
      <c r="A46" s="75" t="s">
        <v>50</v>
      </c>
      <c r="B46" s="86">
        <f>'TAMUCC FGD'!M70</f>
        <v>6516347</v>
      </c>
      <c r="C46" s="87">
        <f t="shared" si="9"/>
        <v>698</v>
      </c>
      <c r="D46" s="86">
        <f>'TAMUCC FGD'!F70</f>
        <v>201000</v>
      </c>
      <c r="E46" s="74"/>
      <c r="F46" s="74">
        <f t="shared" si="10"/>
        <v>6315347</v>
      </c>
      <c r="G46" s="35"/>
      <c r="H46" s="1378" t="s">
        <v>2161</v>
      </c>
      <c r="I46" s="1379">
        <f>ROUND(SUM(F37+F40+F42+F43+F45+F46)/$C$6,0)</f>
        <v>10663</v>
      </c>
      <c r="J46" s="610" t="s">
        <v>1075</v>
      </c>
      <c r="K46" s="373">
        <f t="shared" si="12"/>
        <v>6315347</v>
      </c>
      <c r="L46" s="611"/>
      <c r="M46" s="611"/>
      <c r="N46" s="611"/>
      <c r="O46" s="373">
        <f>K46</f>
        <v>6315347</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236234416</v>
      </c>
      <c r="C47" s="45">
        <f>SUM(C36:C46)</f>
        <v>25302</v>
      </c>
      <c r="D47" s="730">
        <f>SUM(D36:D46)</f>
        <v>23128514</v>
      </c>
      <c r="E47" s="731">
        <f>SUM(E36:E46)</f>
        <v>2532832</v>
      </c>
      <c r="F47" s="719">
        <f>SUM(F36:F46)</f>
        <v>210573070</v>
      </c>
      <c r="G47" s="1688" t="s">
        <v>1176</v>
      </c>
      <c r="H47" s="1689"/>
      <c r="I47" s="785" t="s">
        <v>1164</v>
      </c>
      <c r="J47" s="610" t="s">
        <v>1081</v>
      </c>
      <c r="K47" s="612">
        <f>SUM(K36:K46)</f>
        <v>210573070</v>
      </c>
      <c r="L47" s="612">
        <f>SUM(L36:L46)</f>
        <v>121511549</v>
      </c>
      <c r="M47" s="612">
        <f>SUM(M36:M46)</f>
        <v>49762506</v>
      </c>
      <c r="N47" s="612">
        <f>SUM(N36:N46)</f>
        <v>28601568</v>
      </c>
      <c r="O47" s="612">
        <f>SUM(O36:O46)</f>
        <v>10697447</v>
      </c>
    </row>
    <row r="48" spans="1:31" ht="14.25" thickTop="1" thickBot="1">
      <c r="A48" s="93"/>
      <c r="B48" s="98"/>
      <c r="C48" s="75"/>
      <c r="F48" s="613"/>
      <c r="G48" s="1690"/>
      <c r="H48" s="1691"/>
      <c r="I48" s="823">
        <f>ROUND(F47/C6,0)</f>
        <v>22554</v>
      </c>
      <c r="J48" s="1700" t="s">
        <v>1082</v>
      </c>
      <c r="K48" s="611"/>
      <c r="L48" s="611"/>
      <c r="M48" s="611"/>
      <c r="N48" s="611"/>
      <c r="O48" s="611"/>
    </row>
    <row r="49" spans="1:31" ht="13.5" thickBot="1">
      <c r="A49" s="78" t="s">
        <v>23</v>
      </c>
      <c r="B49" s="82"/>
      <c r="C49" s="75"/>
      <c r="F49" s="614"/>
      <c r="G49" s="1690"/>
      <c r="H49" s="1691"/>
      <c r="I49" s="811"/>
      <c r="J49" s="1700"/>
      <c r="K49" s="615">
        <f>ROUND(K47/$C$6,2)</f>
        <v>22554.28</v>
      </c>
      <c r="L49" s="615">
        <f t="shared" ref="L49:O49" si="13">ROUND(L47/$C$6,2)</f>
        <v>13014.99</v>
      </c>
      <c r="M49" s="615">
        <f t="shared" si="13"/>
        <v>5330.01</v>
      </c>
      <c r="N49" s="615">
        <f t="shared" si="13"/>
        <v>3063.49</v>
      </c>
      <c r="O49" s="615">
        <f t="shared" si="13"/>
        <v>1145.79</v>
      </c>
      <c r="P49" s="35"/>
      <c r="Q49" s="96"/>
      <c r="R49" s="96"/>
      <c r="S49" s="96"/>
      <c r="T49" s="96"/>
      <c r="U49" s="96"/>
      <c r="V49" s="96"/>
      <c r="W49" s="96"/>
      <c r="X49" s="96"/>
      <c r="Y49" s="96"/>
      <c r="Z49" s="96"/>
      <c r="AA49" s="96"/>
      <c r="AB49" s="96"/>
      <c r="AC49" s="96"/>
      <c r="AD49" s="96"/>
      <c r="AE49" s="96"/>
    </row>
    <row r="50" spans="1:31" ht="13.5" thickBot="1">
      <c r="A50" s="75" t="s">
        <v>62</v>
      </c>
      <c r="B50" s="86">
        <f>'TAMUCC FGD'!M74</f>
        <v>-15740659</v>
      </c>
      <c r="C50" s="83">
        <f t="shared" ref="C50:C53" si="14">ROUND(B50/$C$6,0)</f>
        <v>-1686</v>
      </c>
      <c r="D50" s="512">
        <f>'TAMUCC FGD'!F74</f>
        <v>0</v>
      </c>
      <c r="E50" s="512"/>
      <c r="F50" s="732">
        <f t="shared" ref="F50:F53" si="15">B50-(SUM(D50:E50))</f>
        <v>-15740659</v>
      </c>
      <c r="G50" s="1692"/>
      <c r="H50" s="1693"/>
      <c r="I50" s="808"/>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'TAMUCC FGD'!M75</f>
        <v>22691115</v>
      </c>
      <c r="C51" s="87">
        <f t="shared" si="14"/>
        <v>2430</v>
      </c>
      <c r="D51" s="91">
        <f>'TAMUCC FGD'!F75</f>
        <v>12369165</v>
      </c>
      <c r="E51" s="82"/>
      <c r="F51" s="74">
        <f t="shared" si="15"/>
        <v>10321950</v>
      </c>
      <c r="G51" s="337"/>
      <c r="J51" s="337"/>
      <c r="K51" s="616"/>
      <c r="L51" s="616"/>
      <c r="M51" s="616"/>
      <c r="N51" s="616"/>
      <c r="O51" s="616"/>
    </row>
    <row r="52" spans="1:31">
      <c r="A52" s="75" t="s">
        <v>51</v>
      </c>
      <c r="B52" s="86">
        <f>'TAMUCC FGD'!M76</f>
        <v>0</v>
      </c>
      <c r="C52" s="87">
        <f t="shared" si="14"/>
        <v>0</v>
      </c>
      <c r="D52" s="91">
        <f>'TAMUCC FGD'!F76</f>
        <v>0</v>
      </c>
      <c r="E52" s="82"/>
      <c r="F52" s="74">
        <f t="shared" si="15"/>
        <v>0</v>
      </c>
      <c r="G52" s="337"/>
      <c r="J52" s="733"/>
      <c r="K52" s="733"/>
      <c r="L52" s="733"/>
      <c r="M52" s="733"/>
      <c r="N52" s="733"/>
      <c r="O52" s="733"/>
    </row>
    <row r="53" spans="1:31" ht="12" customHeight="1">
      <c r="A53" s="75" t="s">
        <v>46</v>
      </c>
      <c r="B53" s="86">
        <f>'TAMUCC FGD'!M77</f>
        <v>-16983773</v>
      </c>
      <c r="C53" s="87">
        <f t="shared" si="14"/>
        <v>-1819</v>
      </c>
      <c r="D53" s="91">
        <f>'TAMUCC FGD'!F77</f>
        <v>-4593760</v>
      </c>
      <c r="E53" s="82"/>
      <c r="F53" s="74">
        <f t="shared" si="15"/>
        <v>-12390013</v>
      </c>
      <c r="G53" s="35"/>
      <c r="J53" s="733"/>
      <c r="K53" s="733"/>
      <c r="L53" s="733"/>
      <c r="M53" s="733"/>
      <c r="N53" s="733"/>
      <c r="O53" s="733"/>
      <c r="P53" s="35"/>
      <c r="Q53" s="96"/>
      <c r="R53" s="96"/>
      <c r="S53" s="96"/>
      <c r="T53" s="96"/>
      <c r="U53" s="96"/>
      <c r="V53" s="96"/>
      <c r="W53" s="96"/>
      <c r="X53" s="96"/>
      <c r="Y53" s="96"/>
      <c r="Z53" s="96"/>
      <c r="AA53" s="96"/>
      <c r="AB53" s="96"/>
      <c r="AC53" s="96"/>
      <c r="AD53" s="96"/>
      <c r="AE53" s="96"/>
    </row>
    <row r="54" spans="1:31">
      <c r="A54" s="88" t="s">
        <v>3</v>
      </c>
      <c r="B54" s="89">
        <f>SUM(B50:B53)</f>
        <v>-10033317</v>
      </c>
      <c r="C54" s="89">
        <f>SUM(C50:C53)</f>
        <v>-1075</v>
      </c>
      <c r="D54" s="89">
        <f>SUM(D50:D53)</f>
        <v>7775405</v>
      </c>
      <c r="E54" s="89">
        <f>SUM(E50:E53)</f>
        <v>0</v>
      </c>
      <c r="F54" s="102">
        <f>SUM(F50:F53)</f>
        <v>-17808722</v>
      </c>
      <c r="G54" s="337"/>
      <c r="H54" s="337"/>
      <c r="I54" s="337"/>
      <c r="J54" s="733"/>
      <c r="K54" s="733"/>
      <c r="L54" s="733"/>
      <c r="M54" s="733"/>
      <c r="N54" s="733"/>
      <c r="O54" s="733"/>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'TAMUCC FGD'!M81</f>
        <v>18777300</v>
      </c>
      <c r="C57" s="83">
        <f>ROUND(B57/$C$6,0)</f>
        <v>2011</v>
      </c>
      <c r="D57" s="512">
        <f>'TAMUCC FGD'!F81</f>
        <v>4993249</v>
      </c>
      <c r="E57" s="512"/>
      <c r="F57" s="512">
        <f t="shared" ref="F57:F58" si="16">B57-(SUM(D57:E57))</f>
        <v>13784051</v>
      </c>
      <c r="G57" s="337"/>
      <c r="H57" s="337"/>
      <c r="I57" s="337"/>
      <c r="J57" s="337"/>
    </row>
    <row r="58" spans="1:31">
      <c r="A58" s="75" t="s">
        <v>48</v>
      </c>
      <c r="B58" s="86">
        <f>'TAMUCC FGD'!M82</f>
        <v>420152</v>
      </c>
      <c r="C58" s="87">
        <f>ROUND(B58/$C$6,0)</f>
        <v>45</v>
      </c>
      <c r="D58" s="91">
        <f>'TAMUCC FGD'!F82</f>
        <v>0</v>
      </c>
      <c r="E58" s="82"/>
      <c r="F58" s="74">
        <f t="shared" si="16"/>
        <v>420152</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19197452</v>
      </c>
      <c r="C59" s="89">
        <f>SUM(C57:C58)</f>
        <v>2056</v>
      </c>
      <c r="D59" s="89">
        <f>SUM(D57:D58)</f>
        <v>4993249</v>
      </c>
      <c r="E59" s="89">
        <f>SUM(E57:E58)</f>
        <v>0</v>
      </c>
      <c r="F59" s="89">
        <f>SUM(F57:F58)</f>
        <v>14204203</v>
      </c>
      <c r="G59" s="367"/>
      <c r="H59" s="367"/>
      <c r="I59" s="367"/>
      <c r="J59" s="367"/>
      <c r="K59" s="266"/>
      <c r="L59" s="266"/>
      <c r="M59" s="266"/>
      <c r="N59" s="266"/>
      <c r="O59" s="266"/>
      <c r="P59" s="266"/>
    </row>
    <row r="60" spans="1:31">
      <c r="B60" s="82"/>
      <c r="C60" s="75"/>
    </row>
    <row r="61" spans="1:31" ht="13.5" thickBot="1">
      <c r="A61" s="103" t="s">
        <v>573</v>
      </c>
      <c r="B61" s="46">
        <f>B33-B47+B54+B59</f>
        <v>35229028</v>
      </c>
      <c r="C61" s="46">
        <f>C33-C47+C54+C59</f>
        <v>3774</v>
      </c>
      <c r="D61" s="46">
        <f>D33-D47+D54+D59</f>
        <v>14444274</v>
      </c>
      <c r="E61" s="46">
        <f>E33-E47+E54+E59</f>
        <v>-2532832</v>
      </c>
      <c r="F61" s="46">
        <f>F33-F47+F54+F59</f>
        <v>23317586</v>
      </c>
    </row>
    <row r="62" spans="1:31" ht="13.5" thickTop="1"/>
    <row r="63" spans="1:31">
      <c r="D63" s="512"/>
    </row>
    <row r="65" spans="2:16">
      <c r="B65" s="734">
        <f>'TAMUCC FGD'!$M$85</f>
        <v>35229028</v>
      </c>
      <c r="C65" s="75"/>
      <c r="D65" s="734">
        <f>'TAMUCC FGD'!$F$85</f>
        <v>14444274</v>
      </c>
      <c r="E65" s="734">
        <f>'TAMUCC FGD'!$M$62*-1</f>
        <v>-2532832</v>
      </c>
      <c r="F65" s="75"/>
    </row>
    <row r="66" spans="2:16">
      <c r="B66" s="734"/>
      <c r="C66" s="75"/>
      <c r="D66" s="734">
        <f>'TAMUCC FGD'!$F$68</f>
        <v>22877449</v>
      </c>
      <c r="E66" s="734">
        <f>+$D$38</f>
        <v>0</v>
      </c>
      <c r="F66" s="734"/>
    </row>
    <row r="67" spans="2:16">
      <c r="B67" s="759"/>
      <c r="C67" s="75"/>
      <c r="D67" s="759">
        <f>-'TAMUCC FGD'!$M$68</f>
        <v>-22877449</v>
      </c>
      <c r="E67" s="759"/>
      <c r="F67" s="734"/>
    </row>
    <row r="68" spans="2:16">
      <c r="B68" s="734">
        <f>SUM(B65:B67)</f>
        <v>35229028</v>
      </c>
      <c r="C68" s="75"/>
      <c r="D68" s="734">
        <f>SUM(D65:D67)</f>
        <v>14444274</v>
      </c>
      <c r="E68" s="734">
        <f>SUM(E65:E67)</f>
        <v>-2532832</v>
      </c>
      <c r="F68" s="734">
        <f>B68-D68-E68</f>
        <v>23317586</v>
      </c>
    </row>
    <row r="69" spans="2:16">
      <c r="B69" s="734"/>
      <c r="C69" s="75"/>
      <c r="D69" s="734">
        <f>'TAMUCC FGD'!F54*-1</f>
        <v>-6626824</v>
      </c>
      <c r="E69" s="734"/>
      <c r="F69" s="734"/>
    </row>
    <row r="70" spans="2:16" ht="12.75" customHeight="1">
      <c r="B70" s="759"/>
      <c r="C70" s="95"/>
      <c r="D70" s="759">
        <f>'TAMUCC FGD'!M54</f>
        <v>6626824</v>
      </c>
      <c r="E70" s="759"/>
      <c r="F70" s="759">
        <f>-D70-D69</f>
        <v>0</v>
      </c>
    </row>
    <row r="71" spans="2:16" ht="12.75" customHeight="1">
      <c r="B71" s="734">
        <f>SUM(B68:B70)</f>
        <v>35229028</v>
      </c>
      <c r="C71" s="75"/>
      <c r="D71" s="734">
        <f>SUM(D68:D70)</f>
        <v>14444274</v>
      </c>
      <c r="E71" s="734">
        <f>SUM(E68:E70)</f>
        <v>-2532832</v>
      </c>
      <c r="F71" s="734">
        <f>SUM(F68:F70)</f>
        <v>23317586</v>
      </c>
    </row>
    <row r="72" spans="2:16" ht="12.75" customHeight="1">
      <c r="B72" s="734"/>
      <c r="C72" s="75"/>
      <c r="D72" s="734"/>
      <c r="E72" s="734"/>
      <c r="F72" s="734"/>
    </row>
    <row r="73" spans="2:16" ht="12.75" customHeight="1">
      <c r="B73" s="512">
        <f>B61-B71</f>
        <v>0</v>
      </c>
      <c r="C73" s="75"/>
      <c r="D73" s="512">
        <f>D61-D71</f>
        <v>0</v>
      </c>
      <c r="E73" s="512">
        <f>E61-E71</f>
        <v>0</v>
      </c>
      <c r="F73" s="512">
        <f>F61-F71</f>
        <v>0</v>
      </c>
    </row>
    <row r="74" spans="2:16" ht="12.75" customHeight="1">
      <c r="C74" s="75"/>
      <c r="F74" s="617"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G47:H50"/>
    <mergeCell ref="K30:O30"/>
    <mergeCell ref="M31:M34"/>
    <mergeCell ref="G32:H32"/>
    <mergeCell ref="G33:H33"/>
    <mergeCell ref="L31:L34"/>
    <mergeCell ref="K31:K34"/>
    <mergeCell ref="N31:N34"/>
    <mergeCell ref="O31:O34"/>
    <mergeCell ref="J48:J49"/>
    <mergeCell ref="F1:I1"/>
    <mergeCell ref="J1:O1"/>
    <mergeCell ref="D1:E1"/>
    <mergeCell ref="K29:O29"/>
    <mergeCell ref="D4:D5"/>
    <mergeCell ref="E4:E5"/>
  </mergeCells>
  <hyperlinks>
    <hyperlink ref="D1:E1" location="Index!A1" display="Return to Index" xr:uid="{00000000-0004-0000-4A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61">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5.42578125" style="164" customWidth="1"/>
    <col min="15" max="15" width="14.42578125" style="261" customWidth="1"/>
    <col min="16" max="16" width="25.7109375" style="264" customWidth="1"/>
    <col min="17" max="17" width="16.42578125" style="264" customWidth="1"/>
    <col min="18" max="18" width="17.140625" style="264" customWidth="1"/>
    <col min="19" max="19" width="1.7109375" style="264" customWidth="1"/>
    <col min="20" max="20" width="17.140625" style="264" customWidth="1"/>
    <col min="21" max="21" width="16.85546875" style="264" customWidth="1"/>
    <col min="22" max="23" width="19.28515625" style="264" customWidth="1"/>
    <col min="24" max="24" width="20.71093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13" t="str">
        <f>'TAMUCC Chrts'!$A$1</f>
        <v>Texas A&amp;M University - Corpus Christi</v>
      </c>
      <c r="C2" s="1713"/>
      <c r="D2" s="1713"/>
      <c r="E2" s="1713"/>
      <c r="F2" s="1742"/>
      <c r="G2" s="160"/>
      <c r="H2" s="161"/>
      <c r="I2" s="320" t="str">
        <f>IF($B$2&lt;&gt;Input!$B$18,"Name Mismatch","")</f>
        <v/>
      </c>
      <c r="J2" s="168"/>
      <c r="K2" s="169"/>
      <c r="L2" s="169"/>
      <c r="M2" s="170"/>
      <c r="O2" s="835" t="s">
        <v>1200</v>
      </c>
      <c r="P2" s="36"/>
    </row>
    <row r="3" spans="1:28" ht="20.25">
      <c r="A3" s="184">
        <v>2</v>
      </c>
      <c r="B3" s="1713" t="str">
        <f>'Smmy Chrts'!$A$2</f>
        <v>For the Year Ended August 31, 2021</v>
      </c>
      <c r="C3" s="1713"/>
      <c r="D3" s="1713"/>
      <c r="E3" s="1713"/>
      <c r="F3" s="1742"/>
      <c r="G3" s="161"/>
      <c r="H3" s="161"/>
      <c r="I3" s="169"/>
      <c r="J3" s="168"/>
      <c r="K3" s="169"/>
      <c r="L3" s="169"/>
      <c r="M3" s="170"/>
      <c r="O3" s="74"/>
    </row>
    <row r="4" spans="1:28" ht="20.25">
      <c r="A4" s="184">
        <v>3</v>
      </c>
      <c r="B4" s="1713" t="str">
        <f>'Smmy Chrts'!$A$3</f>
        <v>Source: FY 2021 Annual Financial Report</v>
      </c>
      <c r="C4" s="1713"/>
      <c r="D4" s="1713"/>
      <c r="E4" s="1713"/>
      <c r="F4" s="1742"/>
      <c r="G4" s="161"/>
      <c r="H4" s="161"/>
      <c r="I4" s="169"/>
      <c r="J4" s="168"/>
      <c r="K4" s="169"/>
      <c r="L4" s="169"/>
      <c r="M4" s="170"/>
      <c r="O4" s="74"/>
      <c r="P4" s="1744" t="s">
        <v>93</v>
      </c>
      <c r="Q4" s="1745"/>
      <c r="T4" s="36" t="s">
        <v>250</v>
      </c>
    </row>
    <row r="5" spans="1:28">
      <c r="A5" s="184">
        <v>4</v>
      </c>
      <c r="B5" s="160"/>
      <c r="C5" s="160"/>
      <c r="D5" s="160"/>
      <c r="E5" s="160"/>
      <c r="F5" s="160"/>
      <c r="G5" s="160"/>
      <c r="H5" s="160"/>
      <c r="I5" s="160"/>
      <c r="J5" s="160"/>
      <c r="K5" s="160"/>
      <c r="L5" s="160"/>
      <c r="M5" s="166"/>
      <c r="O5" s="262"/>
    </row>
    <row r="6" spans="1:28">
      <c r="A6" s="184">
        <v>5</v>
      </c>
      <c r="B6" s="1715" t="str">
        <f>'Smmy Chrts'!$C$32</f>
        <v>Detail Worksheet FY 2021</v>
      </c>
      <c r="C6" s="1715"/>
      <c r="D6" s="1743"/>
      <c r="E6" s="1743"/>
      <c r="F6" s="1743"/>
      <c r="G6" s="1743"/>
      <c r="H6" s="1743"/>
      <c r="I6" s="1743"/>
      <c r="J6" s="1743"/>
      <c r="K6" s="1743"/>
      <c r="L6" s="1743"/>
      <c r="M6" s="1743"/>
      <c r="O6" s="265"/>
    </row>
    <row r="7" spans="1:28">
      <c r="A7" s="184">
        <v>6</v>
      </c>
      <c r="B7" s="172"/>
      <c r="C7" s="172"/>
      <c r="D7" s="160"/>
      <c r="E7" s="160"/>
      <c r="F7" s="160"/>
      <c r="G7" s="160"/>
      <c r="H7" s="160"/>
      <c r="I7" s="160"/>
      <c r="J7" s="160"/>
      <c r="K7" s="160"/>
      <c r="L7" s="160"/>
      <c r="M7" s="173" t="str">
        <f>'Smmy Chrts'!$C$33</f>
        <v>FY 2021</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Input!$M$18</f>
        <v>59915259</v>
      </c>
      <c r="E10" s="372">
        <f>Input!$N$18</f>
        <v>0</v>
      </c>
      <c r="F10" s="372">
        <f>Input!$O$18</f>
        <v>0</v>
      </c>
      <c r="G10" s="372">
        <f>Input!$P$18</f>
        <v>0</v>
      </c>
      <c r="H10" s="372">
        <f>Input!$Q$18</f>
        <v>0</v>
      </c>
      <c r="I10" s="372">
        <f>Input!$R$18</f>
        <v>0</v>
      </c>
      <c r="J10" s="372">
        <f>Input!$S$18</f>
        <v>0</v>
      </c>
      <c r="K10" s="372">
        <f>Input!$T$18</f>
        <v>0</v>
      </c>
      <c r="L10" s="372">
        <f>Input!$U$18</f>
        <v>0</v>
      </c>
      <c r="M10" s="373">
        <f t="shared" ref="M10:M15" si="0">D10+E10+F10+G10+H10+I10+J10+K10+L10</f>
        <v>59915259</v>
      </c>
      <c r="N10" s="160"/>
      <c r="O10" s="271"/>
      <c r="P10" s="1718" t="s">
        <v>575</v>
      </c>
      <c r="U10" s="268"/>
    </row>
    <row r="11" spans="1:28">
      <c r="A11" s="184">
        <v>10</v>
      </c>
      <c r="B11" s="160" t="s">
        <v>2</v>
      </c>
      <c r="C11" s="160"/>
      <c r="D11" s="372">
        <f>Input!$V$18</f>
        <v>149201</v>
      </c>
      <c r="E11" s="372">
        <f>Input!$W$18</f>
        <v>85763</v>
      </c>
      <c r="F11" s="372">
        <f>Input!$X$18</f>
        <v>0</v>
      </c>
      <c r="G11" s="372">
        <f>Input!$Y$18</f>
        <v>9096684</v>
      </c>
      <c r="H11" s="372">
        <f>Input!$Z$18</f>
        <v>0</v>
      </c>
      <c r="I11" s="372">
        <f>Input!$AA$18</f>
        <v>0</v>
      </c>
      <c r="J11" s="372">
        <f>Input!$AB$18</f>
        <v>0</v>
      </c>
      <c r="K11" s="372">
        <f>Input!$AC$18</f>
        <v>0</v>
      </c>
      <c r="L11" s="372">
        <f>Input!$AD$18</f>
        <v>0</v>
      </c>
      <c r="M11" s="373">
        <f t="shared" si="0"/>
        <v>9331648</v>
      </c>
      <c r="N11" s="160"/>
      <c r="O11" s="482"/>
      <c r="P11" s="1719"/>
      <c r="U11" s="268"/>
    </row>
    <row r="12" spans="1:28" ht="12.75" hidden="1" customHeight="1">
      <c r="B12" s="160" t="s">
        <v>1410</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Input!$AN$18</f>
        <v>11478824</v>
      </c>
      <c r="E13" s="372">
        <f>Input!$AO$18</f>
        <v>0</v>
      </c>
      <c r="F13" s="372">
        <f>Input!$AP$18</f>
        <v>0</v>
      </c>
      <c r="G13" s="372">
        <f>Input!$AQ$18</f>
        <v>0</v>
      </c>
      <c r="H13" s="372">
        <f>Input!$AR$18</f>
        <v>0</v>
      </c>
      <c r="I13" s="372">
        <f>Input!$AS$18</f>
        <v>0</v>
      </c>
      <c r="J13" s="372">
        <f>Input!$AT$18</f>
        <v>0</v>
      </c>
      <c r="K13" s="372">
        <f>Input!$AU$18</f>
        <v>0</v>
      </c>
      <c r="L13" s="372">
        <f>Input!$AV$18</f>
        <v>0</v>
      </c>
      <c r="M13" s="373">
        <f t="shared" si="0"/>
        <v>11478824</v>
      </c>
      <c r="N13" s="160"/>
      <c r="O13" s="482" t="str">
        <f>IF(P13&lt;&gt;M13,"Out of Balance","Balanced")</f>
        <v>Balanced</v>
      </c>
      <c r="P13" s="484">
        <f>IFERROR(VLOOKUP($B$2,AMTLU,6,FALSE),0)</f>
        <v>11478824</v>
      </c>
      <c r="U13" s="268"/>
    </row>
    <row r="14" spans="1:28">
      <c r="A14" s="184">
        <v>13</v>
      </c>
      <c r="B14" s="160" t="s">
        <v>49</v>
      </c>
      <c r="C14" s="160"/>
      <c r="D14" s="372">
        <f>Input!$AW$18</f>
        <v>0</v>
      </c>
      <c r="E14" s="372">
        <f>Input!$AX$18</f>
        <v>0</v>
      </c>
      <c r="F14" s="372">
        <f>Input!$AY$18</f>
        <v>0</v>
      </c>
      <c r="G14" s="372">
        <f>Input!$AZ$18</f>
        <v>0</v>
      </c>
      <c r="H14" s="372">
        <f>Input!$BA$18</f>
        <v>0</v>
      </c>
      <c r="I14" s="372">
        <f>Input!$BB$18</f>
        <v>0</v>
      </c>
      <c r="J14" s="372">
        <f>Input!$BC$18</f>
        <v>0</v>
      </c>
      <c r="K14" s="372">
        <f>Input!$BD$18</f>
        <v>0</v>
      </c>
      <c r="L14" s="372">
        <f>Input!$BE$18</f>
        <v>0</v>
      </c>
      <c r="M14" s="373">
        <f t="shared" si="0"/>
        <v>0</v>
      </c>
      <c r="N14" s="160"/>
      <c r="O14" s="482"/>
      <c r="P14" s="485"/>
    </row>
    <row r="15" spans="1:28" ht="15">
      <c r="A15" s="184">
        <v>14</v>
      </c>
      <c r="B15" s="176" t="s">
        <v>3</v>
      </c>
      <c r="C15" s="176"/>
      <c r="D15" s="374">
        <f t="shared" ref="D15:L15" si="1">SUM(D10:D14)</f>
        <v>71543284</v>
      </c>
      <c r="E15" s="374">
        <f t="shared" si="1"/>
        <v>85763</v>
      </c>
      <c r="F15" s="374">
        <f t="shared" si="1"/>
        <v>0</v>
      </c>
      <c r="G15" s="374">
        <f t="shared" si="1"/>
        <v>9096684</v>
      </c>
      <c r="H15" s="374">
        <f t="shared" si="1"/>
        <v>0</v>
      </c>
      <c r="I15" s="374">
        <f t="shared" si="1"/>
        <v>0</v>
      </c>
      <c r="J15" s="374">
        <f t="shared" si="1"/>
        <v>0</v>
      </c>
      <c r="K15" s="374">
        <f t="shared" si="1"/>
        <v>0</v>
      </c>
      <c r="L15" s="374">
        <f t="shared" si="1"/>
        <v>0</v>
      </c>
      <c r="M15" s="374">
        <f t="shared" si="0"/>
        <v>80725731</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58" t="s">
        <v>1042</v>
      </c>
      <c r="C18" s="558"/>
      <c r="D18" s="374">
        <f t="shared" ref="D18:L18" si="2">D23-SUM(D19:D22)</f>
        <v>20946816</v>
      </c>
      <c r="E18" s="374">
        <f t="shared" si="2"/>
        <v>36344267</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57291083</v>
      </c>
      <c r="V18" s="327"/>
      <c r="X18" s="330"/>
    </row>
    <row r="19" spans="1:26" s="264" customFormat="1" ht="12.75" customHeight="1" thickTop="1" thickBot="1">
      <c r="A19" s="263"/>
      <c r="B19" s="261" t="s">
        <v>722</v>
      </c>
      <c r="C19" s="261"/>
      <c r="D19" s="372">
        <f>Input!$BF$18</f>
        <v>-3221002</v>
      </c>
      <c r="E19" s="372">
        <f>Input!$BG$18</f>
        <v>0</v>
      </c>
      <c r="F19" s="372">
        <f>Input!$BH$18</f>
        <v>0</v>
      </c>
      <c r="G19" s="372">
        <f>Input!$BI$18</f>
        <v>0</v>
      </c>
      <c r="H19" s="372">
        <f>Input!$BJ$18</f>
        <v>0</v>
      </c>
      <c r="I19" s="372">
        <f>Input!$BK$18</f>
        <v>0</v>
      </c>
      <c r="J19" s="372">
        <f>Input!$BL$18</f>
        <v>0</v>
      </c>
      <c r="K19" s="372">
        <f>Input!$BM$18</f>
        <v>0</v>
      </c>
      <c r="L19" s="372">
        <f>Input!$BN$18</f>
        <v>0</v>
      </c>
      <c r="M19" s="373">
        <f t="shared" si="3"/>
        <v>-3221002</v>
      </c>
      <c r="O19" s="1732" t="s">
        <v>1294</v>
      </c>
      <c r="P19" s="1733"/>
      <c r="Q19" s="1733"/>
      <c r="R19" s="1734"/>
      <c r="T19" s="1735" t="s">
        <v>1043</v>
      </c>
      <c r="U19" s="1736"/>
      <c r="V19" s="1736"/>
      <c r="W19" s="1736"/>
      <c r="X19" s="1737"/>
    </row>
    <row r="20" spans="1:26" s="264" customFormat="1" ht="12.75" customHeight="1" thickTop="1">
      <c r="A20" s="263"/>
      <c r="B20" s="261" t="s">
        <v>723</v>
      </c>
      <c r="C20" s="261"/>
      <c r="D20" s="372">
        <f>Input!$BO$18</f>
        <v>0</v>
      </c>
      <c r="E20" s="372">
        <f>Input!$BP$18</f>
        <v>0</v>
      </c>
      <c r="F20" s="372">
        <f>Input!$BQ$18</f>
        <v>0</v>
      </c>
      <c r="G20" s="372">
        <f>Input!$BR$18</f>
        <v>0</v>
      </c>
      <c r="H20" s="372">
        <f>Input!$BS$18</f>
        <v>0</v>
      </c>
      <c r="I20" s="372">
        <f>Input!$BT$18</f>
        <v>0</v>
      </c>
      <c r="J20" s="372">
        <f>Input!$BU$18</f>
        <v>0</v>
      </c>
      <c r="K20" s="372">
        <f>Input!$BV$18</f>
        <v>0</v>
      </c>
      <c r="L20" s="372">
        <f>Input!$BW$18</f>
        <v>0</v>
      </c>
      <c r="M20" s="373">
        <f t="shared" si="3"/>
        <v>0</v>
      </c>
      <c r="O20" s="421" t="s">
        <v>288</v>
      </c>
      <c r="P20" s="422"/>
      <c r="Q20" s="414"/>
      <c r="R20" s="559"/>
      <c r="T20" s="560" t="s">
        <v>1044</v>
      </c>
      <c r="U20" s="266"/>
      <c r="V20" s="266"/>
      <c r="X20" s="425"/>
    </row>
    <row r="21" spans="1:26" s="264" customFormat="1">
      <c r="A21" s="263"/>
      <c r="B21" s="261" t="s">
        <v>724</v>
      </c>
      <c r="C21" s="261"/>
      <c r="D21" s="372">
        <f>Input!$BX$18</f>
        <v>0</v>
      </c>
      <c r="E21" s="372">
        <f>Input!$BY$18</f>
        <v>0</v>
      </c>
      <c r="F21" s="372">
        <f>Input!$BZ$18</f>
        <v>0</v>
      </c>
      <c r="G21" s="372">
        <f>Input!$CA$18</f>
        <v>0</v>
      </c>
      <c r="H21" s="372">
        <f>Input!$CB$18</f>
        <v>0</v>
      </c>
      <c r="I21" s="372">
        <f>Input!$CC$18</f>
        <v>0</v>
      </c>
      <c r="J21" s="372">
        <f>Input!$CD$18</f>
        <v>0</v>
      </c>
      <c r="K21" s="372">
        <f>Input!$CE$18</f>
        <v>0</v>
      </c>
      <c r="L21" s="372">
        <f>Input!$CF$18</f>
        <v>0</v>
      </c>
      <c r="M21" s="373">
        <f t="shared" si="3"/>
        <v>0</v>
      </c>
      <c r="O21" s="434"/>
      <c r="R21" s="561"/>
      <c r="T21" s="650" t="s">
        <v>1045</v>
      </c>
      <c r="U21" s="266"/>
      <c r="V21" s="266"/>
      <c r="W21" s="651">
        <f>M44</f>
        <v>82142445</v>
      </c>
      <c r="X21" s="425"/>
      <c r="Z21" s="330"/>
    </row>
    <row r="22" spans="1:26" s="264" customFormat="1">
      <c r="A22" s="263"/>
      <c r="B22" s="261" t="s">
        <v>725</v>
      </c>
      <c r="C22" s="261"/>
      <c r="D22" s="372">
        <f>Input!$CG$18</f>
        <v>0</v>
      </c>
      <c r="E22" s="372">
        <f>Input!$CH$18</f>
        <v>0</v>
      </c>
      <c r="F22" s="372">
        <f>Input!$CI$18</f>
        <v>0</v>
      </c>
      <c r="G22" s="372">
        <f>Input!$CJ$18</f>
        <v>0</v>
      </c>
      <c r="H22" s="372">
        <f>Input!$CK$18</f>
        <v>0</v>
      </c>
      <c r="I22" s="372">
        <f>Input!$CL$18</f>
        <v>0</v>
      </c>
      <c r="J22" s="372">
        <f>Input!$CM$18</f>
        <v>0</v>
      </c>
      <c r="K22" s="372">
        <f>Input!$CN$18</f>
        <v>0</v>
      </c>
      <c r="L22" s="372">
        <f>Input!$CO$18</f>
        <v>0</v>
      </c>
      <c r="M22" s="373">
        <f t="shared" si="3"/>
        <v>0</v>
      </c>
      <c r="N22" s="270"/>
      <c r="O22" s="434" t="s">
        <v>1046</v>
      </c>
      <c r="P22" s="276"/>
      <c r="Q22" s="424">
        <f>M23</f>
        <v>54070081</v>
      </c>
      <c r="R22" s="562"/>
      <c r="T22" s="650" t="s">
        <v>1047</v>
      </c>
      <c r="U22" s="266"/>
      <c r="V22" s="266"/>
      <c r="W22" s="652">
        <f>R30*-1</f>
        <v>31293676</v>
      </c>
      <c r="X22" s="425"/>
    </row>
    <row r="23" spans="1:26" s="264" customFormat="1" ht="12.75" customHeight="1">
      <c r="A23" s="263"/>
      <c r="B23" s="558" t="s">
        <v>726</v>
      </c>
      <c r="C23" s="563"/>
      <c r="D23" s="564">
        <f>Input!$CP$18</f>
        <v>17725814</v>
      </c>
      <c r="E23" s="564">
        <f>Input!$CQ$18</f>
        <v>36344267</v>
      </c>
      <c r="F23" s="564">
        <f>Input!$CR$18</f>
        <v>0</v>
      </c>
      <c r="G23" s="564">
        <f>Input!$CS$18</f>
        <v>0</v>
      </c>
      <c r="H23" s="564">
        <f>Input!$CT$18</f>
        <v>0</v>
      </c>
      <c r="I23" s="564">
        <f>Input!$CU$18</f>
        <v>0</v>
      </c>
      <c r="J23" s="564">
        <f>Input!$CV$18</f>
        <v>0</v>
      </c>
      <c r="K23" s="564">
        <f>Input!$CW$18</f>
        <v>0</v>
      </c>
      <c r="L23" s="564">
        <f>Input!$CX$18</f>
        <v>0</v>
      </c>
      <c r="M23" s="565">
        <f t="shared" si="3"/>
        <v>54070081</v>
      </c>
      <c r="O23" s="434"/>
      <c r="P23" s="276"/>
      <c r="Q23" s="424"/>
      <c r="R23" s="562"/>
      <c r="T23" s="560" t="s">
        <v>1230</v>
      </c>
      <c r="U23" s="266"/>
      <c r="V23" s="266"/>
      <c r="W23" s="276"/>
      <c r="X23" s="425">
        <f>SUM(W21:W22)</f>
        <v>113436121</v>
      </c>
      <c r="Z23" s="330"/>
    </row>
    <row r="24" spans="1:26" s="264" customFormat="1" ht="12.75" customHeight="1">
      <c r="A24" s="263"/>
      <c r="B24" s="261" t="s">
        <v>727</v>
      </c>
      <c r="C24" s="566"/>
      <c r="D24" s="372">
        <f>Input!$CY$18</f>
        <v>-122856</v>
      </c>
      <c r="E24" s="372">
        <f>Input!$CZ$18</f>
        <v>-37355</v>
      </c>
      <c r="F24" s="372">
        <f>Input!$DA$18</f>
        <v>0</v>
      </c>
      <c r="G24" s="372">
        <f>Input!$DB$18</f>
        <v>0</v>
      </c>
      <c r="H24" s="372">
        <f>Input!$DC$18</f>
        <v>0</v>
      </c>
      <c r="I24" s="372">
        <f>Input!$DD$18</f>
        <v>0</v>
      </c>
      <c r="J24" s="372">
        <f>Input!$DE$18</f>
        <v>0</v>
      </c>
      <c r="K24" s="372">
        <f>Input!$DF$18</f>
        <v>0</v>
      </c>
      <c r="L24" s="372">
        <f>Input!$DG$18</f>
        <v>0</v>
      </c>
      <c r="M24" s="567">
        <f t="shared" si="3"/>
        <v>-160211</v>
      </c>
      <c r="O24" s="417" t="s">
        <v>1048</v>
      </c>
      <c r="P24" s="276"/>
      <c r="Q24" s="327"/>
      <c r="R24" s="646">
        <f>SUM(M24:M28)</f>
        <v>-14916339</v>
      </c>
      <c r="T24" s="560"/>
      <c r="U24" s="266"/>
      <c r="V24" s="266"/>
      <c r="X24" s="425"/>
      <c r="Z24" s="330"/>
    </row>
    <row r="25" spans="1:26" s="264" customFormat="1" ht="12.75" customHeight="1">
      <c r="A25" s="263"/>
      <c r="B25" s="261" t="s">
        <v>728</v>
      </c>
      <c r="C25" s="566"/>
      <c r="D25" s="372">
        <f>Input!$DH$18</f>
        <v>0</v>
      </c>
      <c r="E25" s="372">
        <f>Input!$DI$18</f>
        <v>0</v>
      </c>
      <c r="F25" s="372">
        <f>Input!$DJ$18</f>
        <v>0</v>
      </c>
      <c r="G25" s="372">
        <f>Input!$DK$18</f>
        <v>0</v>
      </c>
      <c r="H25" s="372">
        <f>Input!$DL$18</f>
        <v>0</v>
      </c>
      <c r="I25" s="372">
        <f>Input!$DM$18</f>
        <v>0</v>
      </c>
      <c r="J25" s="372">
        <f>Input!$DN$18</f>
        <v>0</v>
      </c>
      <c r="K25" s="372">
        <f>Input!$DO$18</f>
        <v>0</v>
      </c>
      <c r="L25" s="372">
        <f>Input!$DP$18</f>
        <v>0</v>
      </c>
      <c r="M25" s="567">
        <f t="shared" si="3"/>
        <v>0</v>
      </c>
      <c r="O25" s="434"/>
      <c r="P25" s="276"/>
      <c r="Q25" s="327"/>
      <c r="R25" s="646"/>
      <c r="T25" s="568" t="s">
        <v>1103</v>
      </c>
      <c r="U25" s="569"/>
      <c r="V25" s="569"/>
      <c r="W25" s="653">
        <f>(M26+M39)*-1</f>
        <v>10358748</v>
      </c>
      <c r="X25" s="425"/>
      <c r="Z25" s="330"/>
    </row>
    <row r="26" spans="1:26" s="264" customFormat="1" ht="12.75" customHeight="1">
      <c r="A26" s="263"/>
      <c r="B26" s="261" t="s">
        <v>729</v>
      </c>
      <c r="C26" s="566"/>
      <c r="D26" s="372">
        <f>Input!$DQ$18</f>
        <v>-1189087</v>
      </c>
      <c r="E26" s="372">
        <f>Input!$DR$18</f>
        <v>-3199402</v>
      </c>
      <c r="F26" s="372">
        <f>Input!$DS$18</f>
        <v>0</v>
      </c>
      <c r="G26" s="372">
        <f>Input!$DT$18</f>
        <v>0</v>
      </c>
      <c r="H26" s="372">
        <f>Input!$DU$18</f>
        <v>0</v>
      </c>
      <c r="I26" s="372">
        <f>Input!$DV$18</f>
        <v>0</v>
      </c>
      <c r="J26" s="372">
        <f>Input!$DW$18</f>
        <v>0</v>
      </c>
      <c r="K26" s="372">
        <f>Input!$DX$18</f>
        <v>0</v>
      </c>
      <c r="L26" s="372">
        <f>Input!$DY$18</f>
        <v>0</v>
      </c>
      <c r="M26" s="567">
        <f t="shared" si="3"/>
        <v>-4388489</v>
      </c>
      <c r="O26" s="434" t="s">
        <v>1049</v>
      </c>
      <c r="P26" s="276"/>
      <c r="Q26" s="427">
        <f>M36</f>
        <v>59366040</v>
      </c>
      <c r="R26" s="570"/>
      <c r="T26" s="560" t="s">
        <v>1104</v>
      </c>
      <c r="U26" s="266"/>
      <c r="V26" s="266"/>
      <c r="W26" s="571">
        <f>(M21+M34)*-1</f>
        <v>0</v>
      </c>
      <c r="X26" s="425"/>
      <c r="Z26" s="330"/>
    </row>
    <row r="27" spans="1:26" s="264" customFormat="1">
      <c r="A27" s="263"/>
      <c r="B27" s="261" t="s">
        <v>730</v>
      </c>
      <c r="C27" s="566"/>
      <c r="D27" s="372">
        <f>Input!$DZ$18</f>
        <v>0</v>
      </c>
      <c r="E27" s="372">
        <f>Input!$EA$18</f>
        <v>0</v>
      </c>
      <c r="F27" s="372">
        <f>Input!$EB$18</f>
        <v>0</v>
      </c>
      <c r="G27" s="372">
        <f>Input!$EC$18</f>
        <v>0</v>
      </c>
      <c r="H27" s="372">
        <f>Input!$ED$18</f>
        <v>0</v>
      </c>
      <c r="I27" s="372">
        <f>Input!$EE$18</f>
        <v>0</v>
      </c>
      <c r="J27" s="372">
        <f>Input!$EF$18</f>
        <v>0</v>
      </c>
      <c r="K27" s="372">
        <f>Input!$EG$18</f>
        <v>0</v>
      </c>
      <c r="L27" s="372">
        <f>Input!EH6</f>
        <v>0</v>
      </c>
      <c r="M27" s="567">
        <f t="shared" si="3"/>
        <v>0</v>
      </c>
      <c r="O27" s="434"/>
      <c r="P27" s="276"/>
      <c r="Q27" s="427"/>
      <c r="R27" s="570"/>
      <c r="T27" s="650" t="s">
        <v>1105</v>
      </c>
      <c r="U27" s="584"/>
      <c r="V27" s="584"/>
      <c r="W27" s="654">
        <f>SUM(W25:W26)</f>
        <v>10358748</v>
      </c>
      <c r="X27" s="655"/>
    </row>
    <row r="28" spans="1:26" s="264" customFormat="1">
      <c r="A28" s="263"/>
      <c r="B28" s="261" t="s">
        <v>2133</v>
      </c>
      <c r="C28" s="566"/>
      <c r="D28" s="372">
        <f>Input!$EI$18</f>
        <v>-3578086</v>
      </c>
      <c r="E28" s="372">
        <f>Input!$EJ$18</f>
        <v>-6789553</v>
      </c>
      <c r="F28" s="372">
        <f>Input!$EK$18</f>
        <v>0</v>
      </c>
      <c r="G28" s="372">
        <f>Input!$EL$18</f>
        <v>0</v>
      </c>
      <c r="H28" s="372">
        <f>Input!$EM$18</f>
        <v>0</v>
      </c>
      <c r="I28" s="372">
        <f>Input!$EN$18</f>
        <v>0</v>
      </c>
      <c r="J28" s="372">
        <f>Input!$EO$18</f>
        <v>0</v>
      </c>
      <c r="K28" s="372">
        <f>Input!$EP$18</f>
        <v>0</v>
      </c>
      <c r="L28" s="372">
        <f>Input!$EQ$18</f>
        <v>0</v>
      </c>
      <c r="M28" s="567">
        <f t="shared" si="3"/>
        <v>-10367639</v>
      </c>
      <c r="O28" s="417" t="s">
        <v>1050</v>
      </c>
      <c r="Q28" s="429"/>
      <c r="R28" s="646">
        <f>SUM(M37:M41)</f>
        <v>-16377337</v>
      </c>
      <c r="T28" s="560" t="s">
        <v>1106</v>
      </c>
      <c r="U28" s="266"/>
      <c r="V28" s="266"/>
      <c r="W28" s="425">
        <f>(M27+M40)*-1</f>
        <v>0</v>
      </c>
      <c r="X28" s="655"/>
      <c r="Z28" s="330"/>
    </row>
    <row r="29" spans="1:26" s="264" customFormat="1" ht="12" customHeight="1">
      <c r="A29" s="263"/>
      <c r="B29" s="575" t="s">
        <v>39</v>
      </c>
      <c r="C29" s="563"/>
      <c r="D29" s="374">
        <f t="shared" ref="D29:L29" si="4">SUM(D23:D28)</f>
        <v>12835785</v>
      </c>
      <c r="E29" s="374">
        <f t="shared" si="4"/>
        <v>26317957</v>
      </c>
      <c r="F29" s="374">
        <f t="shared" si="4"/>
        <v>0</v>
      </c>
      <c r="G29" s="374">
        <f t="shared" si="4"/>
        <v>0</v>
      </c>
      <c r="H29" s="374">
        <f t="shared" si="4"/>
        <v>0</v>
      </c>
      <c r="I29" s="374">
        <f t="shared" si="4"/>
        <v>0</v>
      </c>
      <c r="J29" s="374">
        <f t="shared" si="4"/>
        <v>0</v>
      </c>
      <c r="K29" s="374">
        <f t="shared" si="4"/>
        <v>0</v>
      </c>
      <c r="L29" s="374">
        <f t="shared" si="4"/>
        <v>0</v>
      </c>
      <c r="M29" s="374">
        <f t="shared" si="3"/>
        <v>39153742</v>
      </c>
      <c r="O29" s="417"/>
      <c r="Q29" s="429"/>
      <c r="R29" s="576"/>
      <c r="T29" s="560" t="s">
        <v>1107</v>
      </c>
      <c r="U29" s="266"/>
      <c r="V29" s="266"/>
      <c r="W29" s="571">
        <f>(M22+M35)*-1</f>
        <v>0</v>
      </c>
      <c r="X29" s="655"/>
    </row>
    <row r="30" spans="1:26" s="264" customFormat="1" ht="16.5" customHeight="1">
      <c r="A30" s="263"/>
      <c r="B30" s="261"/>
      <c r="C30" s="566"/>
      <c r="D30" s="566"/>
      <c r="E30" s="566"/>
      <c r="F30" s="566"/>
      <c r="G30" s="566"/>
      <c r="H30" s="566"/>
      <c r="I30" s="566"/>
      <c r="J30" s="566"/>
      <c r="K30" s="566"/>
      <c r="L30" s="566"/>
      <c r="M30" s="567"/>
      <c r="O30" s="431" t="s">
        <v>289</v>
      </c>
      <c r="P30" s="432"/>
      <c r="Q30" s="433">
        <f>Q26+Q22</f>
        <v>113436121</v>
      </c>
      <c r="R30" s="647">
        <f>R28+R24</f>
        <v>-31293676</v>
      </c>
      <c r="T30" s="650" t="s">
        <v>1108</v>
      </c>
      <c r="U30" s="584"/>
      <c r="V30" s="584"/>
      <c r="W30" s="654">
        <f>SUM(W28:W29)</f>
        <v>0</v>
      </c>
      <c r="X30" s="655"/>
    </row>
    <row r="31" spans="1:26" s="264" customFormat="1" ht="12.75" customHeight="1">
      <c r="A31" s="263"/>
      <c r="B31" s="558" t="s">
        <v>1052</v>
      </c>
      <c r="C31" s="558"/>
      <c r="D31" s="374">
        <f t="shared" ref="D31:L31" si="5">D36-SUM(D32:D35)</f>
        <v>259682</v>
      </c>
      <c r="E31" s="374">
        <f t="shared" si="5"/>
        <v>39055073</v>
      </c>
      <c r="F31" s="374">
        <f t="shared" si="5"/>
        <v>20051285</v>
      </c>
      <c r="G31" s="374">
        <f t="shared" si="5"/>
        <v>0</v>
      </c>
      <c r="H31" s="374">
        <f t="shared" si="5"/>
        <v>0</v>
      </c>
      <c r="I31" s="374">
        <f t="shared" si="5"/>
        <v>0</v>
      </c>
      <c r="J31" s="374">
        <f t="shared" si="5"/>
        <v>0</v>
      </c>
      <c r="K31" s="374">
        <f t="shared" si="5"/>
        <v>0</v>
      </c>
      <c r="L31" s="374">
        <f t="shared" si="5"/>
        <v>0</v>
      </c>
      <c r="M31" s="374">
        <f t="shared" ref="M31:M42" si="6">D31+E31+F31+G31+H31+I31+J31+K31+L31</f>
        <v>59366040</v>
      </c>
      <c r="O31" s="434" t="s">
        <v>290</v>
      </c>
      <c r="P31" s="276"/>
      <c r="Q31" s="335"/>
      <c r="R31" s="562"/>
      <c r="T31" s="572" t="s">
        <v>1109</v>
      </c>
      <c r="U31" s="573"/>
      <c r="V31" s="573"/>
      <c r="W31" s="574">
        <f>W27+W30</f>
        <v>10358748</v>
      </c>
      <c r="X31" s="425"/>
      <c r="Z31" s="330"/>
    </row>
    <row r="32" spans="1:26" s="264" customFormat="1" ht="12.75" customHeight="1">
      <c r="A32" s="263"/>
      <c r="B32" s="261" t="s">
        <v>722</v>
      </c>
      <c r="C32" s="261"/>
      <c r="D32" s="372">
        <f>Input!$ER$18</f>
        <v>0</v>
      </c>
      <c r="E32" s="372">
        <f>Input!$ES$18</f>
        <v>0</v>
      </c>
      <c r="F32" s="372">
        <f>Input!$ET$18</f>
        <v>0</v>
      </c>
      <c r="G32" s="372">
        <f>Input!$EU$18</f>
        <v>0</v>
      </c>
      <c r="H32" s="372">
        <f>Input!$EV$18</f>
        <v>0</v>
      </c>
      <c r="I32" s="372">
        <f>Input!$EW$18</f>
        <v>0</v>
      </c>
      <c r="J32" s="372">
        <f>Input!$EX$18</f>
        <v>0</v>
      </c>
      <c r="K32" s="372">
        <f>Input!$EY$18</f>
        <v>0</v>
      </c>
      <c r="L32" s="372">
        <f>Input!$EZ$18</f>
        <v>0</v>
      </c>
      <c r="M32" s="567">
        <f t="shared" si="6"/>
        <v>0</v>
      </c>
      <c r="O32" s="415" t="s">
        <v>1295</v>
      </c>
      <c r="P32" s="416"/>
      <c r="Q32" s="577">
        <f>Input!$SQ$18</f>
        <v>113436121</v>
      </c>
      <c r="R32" s="578"/>
      <c r="T32" s="560"/>
      <c r="U32" s="266"/>
      <c r="V32" s="266"/>
      <c r="X32" s="425"/>
      <c r="Z32" s="330"/>
    </row>
    <row r="33" spans="1:24" s="264" customFormat="1">
      <c r="A33" s="263"/>
      <c r="B33" s="261" t="s">
        <v>723</v>
      </c>
      <c r="C33" s="261"/>
      <c r="D33" s="372">
        <f>Input!$FA$18</f>
        <v>0</v>
      </c>
      <c r="E33" s="372">
        <f>Input!$FB$18</f>
        <v>0</v>
      </c>
      <c r="F33" s="372">
        <f>Input!$FC$18</f>
        <v>0</v>
      </c>
      <c r="G33" s="372">
        <f>Input!$FD$18</f>
        <v>0</v>
      </c>
      <c r="H33" s="372">
        <f>Input!$FE$18</f>
        <v>0</v>
      </c>
      <c r="I33" s="372">
        <f>Input!$FF$18</f>
        <v>0</v>
      </c>
      <c r="J33" s="372">
        <f>Input!$FG$18</f>
        <v>0</v>
      </c>
      <c r="K33" s="372">
        <f>Input!$FH$18</f>
        <v>0</v>
      </c>
      <c r="L33" s="372">
        <f>Input!$FI$18</f>
        <v>0</v>
      </c>
      <c r="M33" s="567">
        <f t="shared" si="6"/>
        <v>0</v>
      </c>
      <c r="O33" s="415"/>
      <c r="P33" s="416"/>
      <c r="Q33" s="327"/>
      <c r="R33" s="578"/>
      <c r="T33" s="560" t="s">
        <v>1051</v>
      </c>
      <c r="U33" s="266"/>
      <c r="V33" s="266"/>
      <c r="W33" s="334">
        <f>(M19+M32)*-1</f>
        <v>3221002</v>
      </c>
      <c r="X33" s="425"/>
    </row>
    <row r="34" spans="1:24" s="264" customFormat="1">
      <c r="A34" s="263"/>
      <c r="B34" s="261" t="s">
        <v>724</v>
      </c>
      <c r="C34" s="261"/>
      <c r="D34" s="372">
        <f>Input!$FJ$18</f>
        <v>0</v>
      </c>
      <c r="E34" s="372">
        <f>Input!$FK$18</f>
        <v>0</v>
      </c>
      <c r="F34" s="372">
        <f>Input!$FL$18</f>
        <v>0</v>
      </c>
      <c r="G34" s="372">
        <f>Input!$FM$18</f>
        <v>0</v>
      </c>
      <c r="H34" s="372">
        <f>Input!$FN$18</f>
        <v>0</v>
      </c>
      <c r="I34" s="372">
        <f>Input!$FO$18</f>
        <v>0</v>
      </c>
      <c r="J34" s="372">
        <f>Input!$FP$18</f>
        <v>0</v>
      </c>
      <c r="K34" s="372">
        <f>Input!$FQ$18</f>
        <v>0</v>
      </c>
      <c r="L34" s="372">
        <f>Input!$FR$18</f>
        <v>0</v>
      </c>
      <c r="M34" s="567">
        <f t="shared" si="6"/>
        <v>0</v>
      </c>
      <c r="O34" s="435" t="s">
        <v>1296</v>
      </c>
      <c r="P34" s="436"/>
      <c r="Q34" s="264" t="s">
        <v>291</v>
      </c>
      <c r="R34" s="648">
        <f>Input!$SR$18</f>
        <v>-31293676</v>
      </c>
      <c r="T34" s="560" t="s">
        <v>1110</v>
      </c>
      <c r="U34" s="266"/>
      <c r="V34" s="266"/>
      <c r="W34" s="430">
        <f>(M24+M37)*-1</f>
        <v>160211</v>
      </c>
      <c r="X34" s="425"/>
    </row>
    <row r="35" spans="1:24" s="264" customFormat="1" ht="13.5" thickBot="1">
      <c r="A35" s="263"/>
      <c r="B35" s="261" t="s">
        <v>725</v>
      </c>
      <c r="C35" s="261"/>
      <c r="D35" s="372">
        <f>Input!$FS$18</f>
        <v>0</v>
      </c>
      <c r="E35" s="372">
        <f>Input!$FT$18</f>
        <v>0</v>
      </c>
      <c r="F35" s="372">
        <f>Input!$FU$18</f>
        <v>0</v>
      </c>
      <c r="G35" s="372">
        <f>Input!$FV$18</f>
        <v>0</v>
      </c>
      <c r="H35" s="372">
        <f>Input!$FW$18</f>
        <v>0</v>
      </c>
      <c r="I35" s="372">
        <f>Input!$FX$18</f>
        <v>0</v>
      </c>
      <c r="J35" s="372">
        <f>Input!$FY$18</f>
        <v>0</v>
      </c>
      <c r="K35" s="372">
        <f>Input!$FZ$18</f>
        <v>0</v>
      </c>
      <c r="L35" s="372">
        <f>Input!$GA$18</f>
        <v>0</v>
      </c>
      <c r="M35" s="567">
        <f t="shared" si="6"/>
        <v>0</v>
      </c>
      <c r="O35" s="418" t="s">
        <v>286</v>
      </c>
      <c r="P35" s="419"/>
      <c r="Q35" s="420">
        <f>Q30-Q32</f>
        <v>0</v>
      </c>
      <c r="R35" s="649">
        <f>R30-R34</f>
        <v>0</v>
      </c>
      <c r="T35" s="650" t="s">
        <v>1111</v>
      </c>
      <c r="U35" s="584"/>
      <c r="V35" s="584"/>
      <c r="W35" s="656">
        <f>SUM(W33:W34)</f>
        <v>3381213</v>
      </c>
      <c r="X35" s="655"/>
    </row>
    <row r="36" spans="1:24" s="264" customFormat="1" ht="13.5" thickTop="1">
      <c r="A36" s="263"/>
      <c r="B36" s="558" t="s">
        <v>732</v>
      </c>
      <c r="C36" s="563"/>
      <c r="D36" s="564">
        <f>Input!$GB$18</f>
        <v>259682</v>
      </c>
      <c r="E36" s="564">
        <f>Input!$GC$18</f>
        <v>39055073</v>
      </c>
      <c r="F36" s="564">
        <f>Input!$GD$18</f>
        <v>20051285</v>
      </c>
      <c r="G36" s="564">
        <f>Input!$GE$18</f>
        <v>0</v>
      </c>
      <c r="H36" s="564">
        <f>Input!$GF$18</f>
        <v>0</v>
      </c>
      <c r="I36" s="564">
        <f>Input!$GG$18</f>
        <v>0</v>
      </c>
      <c r="J36" s="564">
        <f>Input!$GH$18</f>
        <v>0</v>
      </c>
      <c r="K36" s="564">
        <f>Input!$GI$18</f>
        <v>0</v>
      </c>
      <c r="L36" s="564">
        <f>Input!$GJ$18</f>
        <v>0</v>
      </c>
      <c r="M36" s="565">
        <f t="shared" si="6"/>
        <v>59366040</v>
      </c>
      <c r="O36" s="261"/>
      <c r="Q36" s="412" t="str">
        <f>IF(Q30&lt;&gt;Q32,"Out of Balance","Balanced")</f>
        <v>Balanced</v>
      </c>
      <c r="R36" s="412" t="str">
        <f>IF(R30&lt;&gt;R34,"Out of Balance","Balanced")</f>
        <v>Balanced</v>
      </c>
      <c r="T36" s="560" t="s">
        <v>1053</v>
      </c>
      <c r="U36" s="266"/>
      <c r="V36" s="266"/>
      <c r="W36" s="334">
        <f>(M20+M33)*-1</f>
        <v>0</v>
      </c>
      <c r="X36" s="425"/>
    </row>
    <row r="37" spans="1:24" s="264" customFormat="1">
      <c r="A37" s="263"/>
      <c r="B37" s="261" t="s">
        <v>727</v>
      </c>
      <c r="C37" s="566"/>
      <c r="D37" s="372">
        <f>Input!$GK$18</f>
        <v>0</v>
      </c>
      <c r="E37" s="372">
        <f>Input!$GL$18</f>
        <v>0</v>
      </c>
      <c r="F37" s="372">
        <f>Input!$GM$18</f>
        <v>0</v>
      </c>
      <c r="G37" s="372">
        <f>Input!$GN$18</f>
        <v>0</v>
      </c>
      <c r="H37" s="372">
        <f>Input!$GO$18</f>
        <v>0</v>
      </c>
      <c r="I37" s="372">
        <f>Input!$GP$18</f>
        <v>0</v>
      </c>
      <c r="J37" s="372">
        <f>Input!$GQ$18</f>
        <v>0</v>
      </c>
      <c r="K37" s="372">
        <f>Input!$GR$18</f>
        <v>0</v>
      </c>
      <c r="L37" s="372">
        <f>Input!$GS$18</f>
        <v>0</v>
      </c>
      <c r="M37" s="567">
        <f t="shared" si="6"/>
        <v>0</v>
      </c>
      <c r="O37" s="261"/>
      <c r="T37" s="560" t="s">
        <v>1112</v>
      </c>
      <c r="U37" s="266"/>
      <c r="V37" s="266"/>
      <c r="W37" s="430">
        <f>(M25+M38)*-1</f>
        <v>0</v>
      </c>
      <c r="X37" s="655"/>
    </row>
    <row r="38" spans="1:24" s="264" customFormat="1">
      <c r="A38" s="263"/>
      <c r="B38" s="261" t="s">
        <v>728</v>
      </c>
      <c r="C38" s="566"/>
      <c r="D38" s="372">
        <f>Input!$GT$18</f>
        <v>0</v>
      </c>
      <c r="E38" s="372">
        <f>Input!$GU$18</f>
        <v>0</v>
      </c>
      <c r="F38" s="372">
        <f>Input!$GV$18</f>
        <v>0</v>
      </c>
      <c r="G38" s="372">
        <f>Input!$GW$18</f>
        <v>0</v>
      </c>
      <c r="H38" s="372">
        <f>Input!$GX$18</f>
        <v>0</v>
      </c>
      <c r="I38" s="372">
        <f>Input!$GY$18</f>
        <v>0</v>
      </c>
      <c r="J38" s="372">
        <f>Input!$GZ$18</f>
        <v>0</v>
      </c>
      <c r="K38" s="372">
        <f>Input!$HA$18</f>
        <v>0</v>
      </c>
      <c r="L38" s="372">
        <f>Input!$HB$18</f>
        <v>0</v>
      </c>
      <c r="M38" s="567">
        <f t="shared" si="6"/>
        <v>0</v>
      </c>
      <c r="O38" s="261"/>
      <c r="T38" s="650" t="s">
        <v>1113</v>
      </c>
      <c r="U38" s="584"/>
      <c r="V38" s="584"/>
      <c r="W38" s="656">
        <f>SUM(W36:W37)</f>
        <v>0</v>
      </c>
      <c r="X38" s="425"/>
    </row>
    <row r="39" spans="1:24" s="264" customFormat="1">
      <c r="A39" s="263"/>
      <c r="B39" s="261" t="s">
        <v>729</v>
      </c>
      <c r="C39" s="566"/>
      <c r="D39" s="372">
        <f>Input!$HC$18</f>
        <v>-285530</v>
      </c>
      <c r="E39" s="372">
        <f>Input!$HD$18</f>
        <v>-2860151</v>
      </c>
      <c r="F39" s="372">
        <f>Input!$HE$18</f>
        <v>-2824578</v>
      </c>
      <c r="G39" s="372">
        <f>Input!$HF$18</f>
        <v>0</v>
      </c>
      <c r="H39" s="372">
        <f>Input!$HG$18</f>
        <v>0</v>
      </c>
      <c r="I39" s="372">
        <f>Input!$HH$18</f>
        <v>0</v>
      </c>
      <c r="J39" s="372">
        <f>Input!$HI$18</f>
        <v>0</v>
      </c>
      <c r="K39" s="372">
        <f>Input!$HJ$18</f>
        <v>0</v>
      </c>
      <c r="L39" s="372">
        <f>Input!$HK$18</f>
        <v>0</v>
      </c>
      <c r="M39" s="567">
        <f t="shared" si="6"/>
        <v>-5970259</v>
      </c>
      <c r="O39" s="261"/>
      <c r="T39" s="560" t="s">
        <v>1054</v>
      </c>
      <c r="U39" s="266"/>
      <c r="V39" s="266"/>
      <c r="W39" s="334"/>
      <c r="X39" s="425">
        <f>W38+W35</f>
        <v>3381213</v>
      </c>
    </row>
    <row r="40" spans="1:24" s="264" customFormat="1">
      <c r="A40" s="263"/>
      <c r="B40" s="261" t="s">
        <v>730</v>
      </c>
      <c r="C40" s="566"/>
      <c r="D40" s="372">
        <f>Input!$HL$18</f>
        <v>0</v>
      </c>
      <c r="E40" s="372">
        <f>Input!$HM$18</f>
        <v>0</v>
      </c>
      <c r="F40" s="372">
        <f>Input!$HN$18</f>
        <v>0</v>
      </c>
      <c r="G40" s="372">
        <f>Input!$HO$18</f>
        <v>0</v>
      </c>
      <c r="H40" s="372">
        <f>Input!$HP$18</f>
        <v>0</v>
      </c>
      <c r="I40" s="372">
        <f>Input!$HQ$18</f>
        <v>0</v>
      </c>
      <c r="J40" s="372">
        <f>Input!$HR$18</f>
        <v>0</v>
      </c>
      <c r="K40" s="372">
        <f>Input!$HS$18</f>
        <v>0</v>
      </c>
      <c r="L40" s="372">
        <f>Input!$HT$18</f>
        <v>0</v>
      </c>
      <c r="M40" s="567">
        <f t="shared" si="6"/>
        <v>0</v>
      </c>
      <c r="O40" s="261"/>
      <c r="T40" s="560"/>
      <c r="U40" s="261"/>
      <c r="V40" s="261"/>
      <c r="W40" s="261"/>
      <c r="X40" s="655"/>
    </row>
    <row r="41" spans="1:24" s="264" customFormat="1">
      <c r="A41" s="263"/>
      <c r="B41" s="261" t="s">
        <v>2133</v>
      </c>
      <c r="C41" s="566"/>
      <c r="D41" s="372">
        <f>Input!$HU$18</f>
        <v>213891</v>
      </c>
      <c r="E41" s="372">
        <f>Input!$HV$18</f>
        <v>-7913990</v>
      </c>
      <c r="F41" s="372">
        <f>Input!$HW$18</f>
        <v>-2706979</v>
      </c>
      <c r="G41" s="372">
        <f>Input!$HX$18</f>
        <v>0</v>
      </c>
      <c r="H41" s="372">
        <f>Input!$HY$18</f>
        <v>0</v>
      </c>
      <c r="I41" s="372">
        <f>Input!$HZ$18</f>
        <v>0</v>
      </c>
      <c r="J41" s="372">
        <f>Input!$IA$18</f>
        <v>0</v>
      </c>
      <c r="K41" s="372">
        <f>Input!$IB$18</f>
        <v>0</v>
      </c>
      <c r="L41" s="372">
        <f>Input!$IC$18</f>
        <v>0</v>
      </c>
      <c r="M41" s="567">
        <f t="shared" si="6"/>
        <v>-10407078</v>
      </c>
      <c r="O41"/>
      <c r="P41"/>
      <c r="Q41"/>
      <c r="R41"/>
      <c r="S41"/>
      <c r="T41" s="560" t="s">
        <v>1104</v>
      </c>
      <c r="U41" s="266"/>
      <c r="V41" s="266"/>
      <c r="W41" s="330">
        <f>(M21+M34)*-1</f>
        <v>0</v>
      </c>
      <c r="X41" s="425"/>
    </row>
    <row r="42" spans="1:24" s="264" customFormat="1">
      <c r="A42" s="263"/>
      <c r="B42" s="575" t="s">
        <v>40</v>
      </c>
      <c r="C42" s="563"/>
      <c r="D42" s="374">
        <f t="shared" ref="D42:L42" si="7">SUM(D36:D41)</f>
        <v>188043</v>
      </c>
      <c r="E42" s="374">
        <f t="shared" si="7"/>
        <v>28280932</v>
      </c>
      <c r="F42" s="374">
        <f t="shared" si="7"/>
        <v>14519728</v>
      </c>
      <c r="G42" s="374">
        <f t="shared" si="7"/>
        <v>0</v>
      </c>
      <c r="H42" s="374">
        <f t="shared" si="7"/>
        <v>0</v>
      </c>
      <c r="I42" s="374">
        <f t="shared" si="7"/>
        <v>0</v>
      </c>
      <c r="J42" s="374">
        <f t="shared" si="7"/>
        <v>0</v>
      </c>
      <c r="K42" s="374">
        <f t="shared" si="7"/>
        <v>0</v>
      </c>
      <c r="L42" s="374">
        <f t="shared" si="7"/>
        <v>0</v>
      </c>
      <c r="M42" s="374">
        <f t="shared" si="6"/>
        <v>42988703</v>
      </c>
      <c r="O42"/>
      <c r="P42"/>
      <c r="Q42"/>
      <c r="R42"/>
      <c r="S42"/>
      <c r="T42" s="560" t="s">
        <v>1107</v>
      </c>
      <c r="U42" s="266"/>
      <c r="V42" s="266"/>
      <c r="W42" s="430">
        <f>(M22+M35)*-1</f>
        <v>0</v>
      </c>
      <c r="X42" s="425"/>
    </row>
    <row r="43" spans="1:24" s="264" customFormat="1">
      <c r="A43" s="263"/>
      <c r="B43" s="261"/>
      <c r="C43" s="566"/>
      <c r="D43" s="566"/>
      <c r="E43" s="566"/>
      <c r="F43" s="566"/>
      <c r="G43" s="566"/>
      <c r="H43" s="566"/>
      <c r="I43" s="566"/>
      <c r="J43" s="566"/>
      <c r="K43" s="566"/>
      <c r="L43" s="566"/>
      <c r="M43" s="567"/>
      <c r="O43"/>
      <c r="P43"/>
      <c r="Q43"/>
      <c r="R43"/>
      <c r="S43"/>
      <c r="T43" s="650" t="s">
        <v>1114</v>
      </c>
      <c r="U43" s="584"/>
      <c r="V43" s="584"/>
      <c r="W43" s="656">
        <f>SUM(W41:W42)</f>
        <v>0</v>
      </c>
      <c r="X43" s="655"/>
    </row>
    <row r="44" spans="1:24" s="264" customFormat="1" ht="13.5" customHeight="1">
      <c r="A44" s="263"/>
      <c r="B44" s="575" t="s">
        <v>1055</v>
      </c>
      <c r="C44" s="563"/>
      <c r="D44" s="374">
        <f t="shared" ref="D44:L44" si="8">D42+D29</f>
        <v>13023828</v>
      </c>
      <c r="E44" s="374">
        <f t="shared" si="8"/>
        <v>54598889</v>
      </c>
      <c r="F44" s="374">
        <f t="shared" si="8"/>
        <v>14519728</v>
      </c>
      <c r="G44" s="374">
        <f t="shared" si="8"/>
        <v>0</v>
      </c>
      <c r="H44" s="374">
        <f t="shared" si="8"/>
        <v>0</v>
      </c>
      <c r="I44" s="374">
        <f t="shared" si="8"/>
        <v>0</v>
      </c>
      <c r="J44" s="374">
        <f t="shared" si="8"/>
        <v>0</v>
      </c>
      <c r="K44" s="374">
        <f t="shared" si="8"/>
        <v>0</v>
      </c>
      <c r="L44" s="374">
        <f t="shared" si="8"/>
        <v>0</v>
      </c>
      <c r="M44" s="374">
        <f>D44+E44+F44+G44+H44+I44+J44+K44+L44</f>
        <v>82142445</v>
      </c>
      <c r="O44"/>
      <c r="P44"/>
      <c r="Q44"/>
      <c r="R44"/>
      <c r="S44"/>
      <c r="T44" s="560"/>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0" t="s">
        <v>1110</v>
      </c>
      <c r="U45" s="266"/>
      <c r="V45" s="266"/>
      <c r="W45" s="334">
        <f>(M24+M37)*-1</f>
        <v>160211</v>
      </c>
      <c r="X45" s="425"/>
    </row>
    <row r="46" spans="1:24">
      <c r="A46" s="184">
        <v>29</v>
      </c>
      <c r="B46" s="172" t="s">
        <v>6</v>
      </c>
      <c r="C46" s="172"/>
      <c r="D46" s="373"/>
      <c r="E46" s="373"/>
      <c r="F46" s="373"/>
      <c r="G46" s="373"/>
      <c r="H46" s="373"/>
      <c r="I46" s="373"/>
      <c r="J46" s="373"/>
      <c r="K46" s="373"/>
      <c r="L46" s="373"/>
      <c r="M46" s="373"/>
      <c r="N46" s="160"/>
      <c r="O46"/>
      <c r="P46"/>
      <c r="Q46"/>
      <c r="R46"/>
      <c r="S46"/>
      <c r="T46" s="560" t="s">
        <v>1112</v>
      </c>
      <c r="U46" s="266"/>
      <c r="V46" s="266"/>
      <c r="W46" s="430">
        <f>(M25+M38)*-1</f>
        <v>0</v>
      </c>
      <c r="X46" s="425"/>
    </row>
    <row r="47" spans="1:24">
      <c r="A47" s="184">
        <v>30</v>
      </c>
      <c r="B47" s="176" t="s">
        <v>7</v>
      </c>
      <c r="C47" s="176"/>
      <c r="D47" s="375">
        <f>Input!$ID$18</f>
        <v>2065922</v>
      </c>
      <c r="E47" s="375">
        <f>Input!$IE$18</f>
        <v>3333462</v>
      </c>
      <c r="F47" s="375">
        <f>Input!$IF$18</f>
        <v>0</v>
      </c>
      <c r="G47" s="375">
        <f>Input!$IG$18</f>
        <v>59269383</v>
      </c>
      <c r="H47" s="375">
        <f>Input!$IH$18</f>
        <v>0</v>
      </c>
      <c r="I47" s="375">
        <f>Input!$II$18</f>
        <v>0</v>
      </c>
      <c r="J47" s="375">
        <f>Input!$IJ$18</f>
        <v>0</v>
      </c>
      <c r="K47" s="375">
        <f>Input!$IK$18</f>
        <v>0</v>
      </c>
      <c r="L47" s="375">
        <f>Input!$IL$18</f>
        <v>0</v>
      </c>
      <c r="M47" s="374">
        <f>D47+E47+F47+G47+H47+I47+J47+K47+L47</f>
        <v>64668767</v>
      </c>
      <c r="N47" s="160"/>
      <c r="O47"/>
      <c r="P47"/>
      <c r="Q47"/>
      <c r="R47"/>
      <c r="S47"/>
      <c r="T47" s="657" t="s">
        <v>1115</v>
      </c>
      <c r="U47" s="27"/>
      <c r="V47" s="27"/>
      <c r="W47" s="656">
        <f>SUM(W45:W46)</f>
        <v>160211</v>
      </c>
      <c r="X47" s="655"/>
    </row>
    <row r="48" spans="1:24">
      <c r="A48" s="184">
        <v>31</v>
      </c>
      <c r="B48" s="160"/>
      <c r="C48" s="160"/>
      <c r="D48" s="373"/>
      <c r="E48" s="373"/>
      <c r="F48" s="373"/>
      <c r="G48" s="373"/>
      <c r="H48" s="373"/>
      <c r="I48" s="373"/>
      <c r="J48" s="373"/>
      <c r="K48" s="373"/>
      <c r="L48" s="373"/>
      <c r="M48" s="373"/>
      <c r="N48" s="160"/>
      <c r="O48"/>
      <c r="P48"/>
      <c r="Q48"/>
      <c r="R48"/>
      <c r="S48"/>
      <c r="T48" s="560"/>
      <c r="U48" s="261"/>
      <c r="V48" s="261"/>
      <c r="W48" s="261"/>
      <c r="X48" s="658">
        <f>W43-W47</f>
        <v>-160211</v>
      </c>
    </row>
    <row r="49" spans="1:28">
      <c r="A49" s="184">
        <v>32</v>
      </c>
      <c r="B49" s="172" t="s">
        <v>8</v>
      </c>
      <c r="C49" s="172"/>
      <c r="D49" s="373"/>
      <c r="E49" s="373"/>
      <c r="F49" s="373"/>
      <c r="G49" s="373"/>
      <c r="H49" s="373"/>
      <c r="I49" s="373"/>
      <c r="J49" s="373"/>
      <c r="K49" s="373"/>
      <c r="L49" s="373"/>
      <c r="M49" s="373"/>
      <c r="N49" s="160"/>
      <c r="O49" s="273"/>
      <c r="T49" s="579" t="s">
        <v>287</v>
      </c>
      <c r="U49" s="511"/>
      <c r="V49" s="580"/>
      <c r="W49" s="580"/>
      <c r="X49" s="574">
        <f>SUM(X23:X48)</f>
        <v>116657123</v>
      </c>
    </row>
    <row r="50" spans="1:28">
      <c r="A50" s="184">
        <v>33</v>
      </c>
      <c r="B50" s="160" t="s">
        <v>42</v>
      </c>
      <c r="C50" s="160"/>
      <c r="D50" s="372">
        <f>Input!$IM$18</f>
        <v>27864</v>
      </c>
      <c r="E50" s="372">
        <f>Input!$IN$18</f>
        <v>6058088</v>
      </c>
      <c r="F50" s="372">
        <f>Input!$IO$18</f>
        <v>1435973</v>
      </c>
      <c r="G50" s="372">
        <f>Input!$IP$18</f>
        <v>410551</v>
      </c>
      <c r="H50" s="372">
        <f>Input!$IQ$18</f>
        <v>57863</v>
      </c>
      <c r="I50" s="372">
        <f>Input!$IR$18</f>
        <v>8448</v>
      </c>
      <c r="J50" s="372">
        <f>Input!$IS$18</f>
        <v>0</v>
      </c>
      <c r="K50" s="372">
        <f>Input!$IT$18</f>
        <v>0</v>
      </c>
      <c r="L50" s="372">
        <f>Input!$IU$18</f>
        <v>0</v>
      </c>
      <c r="M50" s="373">
        <f t="shared" ref="M50:M57" si="9">D50+E50+F50+G50+H50+I50+J50+K50+L50</f>
        <v>7998787</v>
      </c>
      <c r="N50" s="160"/>
      <c r="O50" s="273"/>
      <c r="U50" s="275"/>
    </row>
    <row r="51" spans="1:28">
      <c r="A51" s="184">
        <v>34</v>
      </c>
      <c r="B51" s="160" t="s">
        <v>9</v>
      </c>
      <c r="C51" s="160"/>
      <c r="D51" s="372">
        <f>Input!$IV$18</f>
        <v>0</v>
      </c>
      <c r="E51" s="372">
        <f>Input!$IW$18</f>
        <v>0</v>
      </c>
      <c r="F51" s="372">
        <f>Input!$IX$18</f>
        <v>0</v>
      </c>
      <c r="G51" s="372">
        <f>Input!$IY$18</f>
        <v>0</v>
      </c>
      <c r="H51" s="372">
        <f>Input!$IZ$18</f>
        <v>0</v>
      </c>
      <c r="I51" s="372">
        <f>Input!$JA$18</f>
        <v>0</v>
      </c>
      <c r="J51" s="372">
        <f>Input!$JB$18</f>
        <v>0</v>
      </c>
      <c r="K51" s="372">
        <f>Input!$JC$18</f>
        <v>0</v>
      </c>
      <c r="L51" s="372">
        <f>Input!$JD$18</f>
        <v>0</v>
      </c>
      <c r="M51" s="376">
        <f t="shared" si="9"/>
        <v>0</v>
      </c>
      <c r="N51" s="160"/>
      <c r="Y51" s="277"/>
    </row>
    <row r="52" spans="1:28">
      <c r="A52" s="184">
        <v>35</v>
      </c>
      <c r="B52" s="160" t="s">
        <v>10</v>
      </c>
      <c r="C52" s="160"/>
      <c r="D52" s="372">
        <f>Input!$JE$18</f>
        <v>0</v>
      </c>
      <c r="E52" s="372">
        <f>Input!$JF$18</f>
        <v>1930509</v>
      </c>
      <c r="F52" s="372">
        <f>Input!$JG$18</f>
        <v>1062127</v>
      </c>
      <c r="G52" s="372">
        <f>Input!$JH$18</f>
        <v>13024484</v>
      </c>
      <c r="H52" s="372">
        <f>Input!$JI$18</f>
        <v>0</v>
      </c>
      <c r="I52" s="372">
        <f>Input!$JJ$18</f>
        <v>0</v>
      </c>
      <c r="J52" s="372">
        <f>Input!$JK$18</f>
        <v>221</v>
      </c>
      <c r="K52" s="372">
        <f>Input!$JL$18</f>
        <v>0</v>
      </c>
      <c r="L52" s="372">
        <f>Input!$JM$18</f>
        <v>0</v>
      </c>
      <c r="M52" s="373">
        <f t="shared" si="9"/>
        <v>16017341</v>
      </c>
      <c r="N52" s="160"/>
      <c r="O52" s="273"/>
      <c r="P52" s="278"/>
    </row>
    <row r="53" spans="1:28">
      <c r="A53" s="184">
        <v>36</v>
      </c>
      <c r="B53" s="160" t="s">
        <v>11</v>
      </c>
      <c r="C53" s="160"/>
      <c r="D53" s="372">
        <f>Input!$JN$18</f>
        <v>0</v>
      </c>
      <c r="E53" s="372">
        <f>Input!$JO$18</f>
        <v>2086293</v>
      </c>
      <c r="F53" s="372">
        <f>Input!$JP$18</f>
        <v>0</v>
      </c>
      <c r="G53" s="372">
        <f>Input!$JQ$18</f>
        <v>-2166451</v>
      </c>
      <c r="H53" s="372">
        <f>Input!$JR$18</f>
        <v>0</v>
      </c>
      <c r="I53" s="372">
        <f>Input!$JS$18</f>
        <v>0</v>
      </c>
      <c r="J53" s="372">
        <f>Input!$JT$18</f>
        <v>0</v>
      </c>
      <c r="K53" s="372">
        <f>Input!$JU$18</f>
        <v>0</v>
      </c>
      <c r="L53" s="372">
        <f>Input!$JV$18</f>
        <v>0</v>
      </c>
      <c r="M53" s="373">
        <f t="shared" si="9"/>
        <v>-80158</v>
      </c>
      <c r="N53" s="160"/>
      <c r="O53" s="273"/>
    </row>
    <row r="54" spans="1:28" ht="13.5" thickBot="1">
      <c r="A54" s="184">
        <v>37</v>
      </c>
      <c r="B54" s="177" t="s">
        <v>2134</v>
      </c>
      <c r="C54" s="177"/>
      <c r="D54" s="372">
        <f>Input!$JW$18</f>
        <v>0</v>
      </c>
      <c r="E54" s="372">
        <f>Input!$JX$18</f>
        <v>0</v>
      </c>
      <c r="F54" s="372">
        <f>Input!$JY$18</f>
        <v>6626824</v>
      </c>
      <c r="G54" s="372">
        <f>Input!$JZ$18</f>
        <v>0</v>
      </c>
      <c r="H54" s="372">
        <f>Input!$KA$18</f>
        <v>0</v>
      </c>
      <c r="I54" s="372">
        <f>Input!$KB$18</f>
        <v>0</v>
      </c>
      <c r="J54" s="372">
        <f>Input!$KC$18</f>
        <v>0</v>
      </c>
      <c r="K54" s="372">
        <f>Input!$KD$18</f>
        <v>0</v>
      </c>
      <c r="L54" s="372">
        <f>Input!$KE$18</f>
        <v>0</v>
      </c>
      <c r="M54" s="373">
        <f t="shared" si="9"/>
        <v>6626824</v>
      </c>
      <c r="N54" s="160"/>
      <c r="O54" s="273"/>
    </row>
    <row r="55" spans="1:28" ht="14.25" thickTop="1" thickBot="1">
      <c r="A55" s="184">
        <v>38</v>
      </c>
      <c r="B55" s="160" t="s">
        <v>43</v>
      </c>
      <c r="C55" s="160"/>
      <c r="D55" s="372">
        <f>Input!$KF$18</f>
        <v>184421</v>
      </c>
      <c r="E55" s="372">
        <f>Input!$KG$18</f>
        <v>6480689</v>
      </c>
      <c r="F55" s="372">
        <f>Input!$KH$18</f>
        <v>1159482</v>
      </c>
      <c r="G55" s="372">
        <f>Input!$KI$18</f>
        <v>-4030565</v>
      </c>
      <c r="H55" s="372">
        <f>Input!$KJ$18</f>
        <v>0</v>
      </c>
      <c r="I55" s="372">
        <f>Input!$KK$18</f>
        <v>0</v>
      </c>
      <c r="J55" s="372">
        <f>Input!$KL$18</f>
        <v>372532</v>
      </c>
      <c r="K55" s="372">
        <f>Input!$KM$18</f>
        <v>0</v>
      </c>
      <c r="L55" s="372">
        <f>Input!$KN$18</f>
        <v>33013</v>
      </c>
      <c r="M55" s="373">
        <f t="shared" si="9"/>
        <v>4199572</v>
      </c>
      <c r="N55" s="160"/>
      <c r="O55" s="1616" t="s">
        <v>251</v>
      </c>
      <c r="P55" s="1617"/>
      <c r="Q55" s="1617"/>
      <c r="R55" s="1618"/>
      <c r="S55" s="437"/>
      <c r="T55" s="1619" t="s">
        <v>252</v>
      </c>
      <c r="U55" s="1620"/>
      <c r="V55" s="1620"/>
      <c r="W55" s="1620"/>
      <c r="X55" s="1621"/>
      <c r="Y55" s="320"/>
      <c r="Z55" s="1749" t="s">
        <v>1301</v>
      </c>
      <c r="AA55" s="1750"/>
      <c r="AB55" s="1751"/>
    </row>
    <row r="56" spans="1:28" ht="13.5" customHeight="1" thickTop="1">
      <c r="A56" s="184">
        <v>39</v>
      </c>
      <c r="B56" s="176" t="s">
        <v>3</v>
      </c>
      <c r="C56" s="176"/>
      <c r="D56" s="374">
        <f>SUM(D50:D55)</f>
        <v>212285</v>
      </c>
      <c r="E56" s="374">
        <f t="shared" ref="E56:L56" si="10">SUM(E50:E55)</f>
        <v>16555579</v>
      </c>
      <c r="F56" s="374">
        <f t="shared" si="10"/>
        <v>10284406</v>
      </c>
      <c r="G56" s="374">
        <f t="shared" si="10"/>
        <v>7238019</v>
      </c>
      <c r="H56" s="374">
        <f t="shared" si="10"/>
        <v>57863</v>
      </c>
      <c r="I56" s="374">
        <f t="shared" si="10"/>
        <v>8448</v>
      </c>
      <c r="J56" s="374">
        <f t="shared" si="10"/>
        <v>372753</v>
      </c>
      <c r="K56" s="374">
        <f t="shared" si="10"/>
        <v>0</v>
      </c>
      <c r="L56" s="374">
        <f t="shared" si="10"/>
        <v>33013</v>
      </c>
      <c r="M56" s="374">
        <f t="shared" si="9"/>
        <v>34762366</v>
      </c>
      <c r="N56" s="160"/>
      <c r="O56" s="1622" t="s">
        <v>1135</v>
      </c>
      <c r="P56" s="1625" t="s">
        <v>254</v>
      </c>
      <c r="Q56" s="1625" t="s">
        <v>292</v>
      </c>
      <c r="R56" s="1628" t="s">
        <v>1063</v>
      </c>
      <c r="S56" s="280"/>
      <c r="T56" s="1739" t="s">
        <v>1136</v>
      </c>
      <c r="U56" s="1637" t="s">
        <v>254</v>
      </c>
      <c r="V56" s="1634" t="s">
        <v>256</v>
      </c>
      <c r="W56" s="1637" t="s">
        <v>257</v>
      </c>
      <c r="X56" s="1638" t="s">
        <v>1064</v>
      </c>
      <c r="Z56" s="1754" t="s">
        <v>1302</v>
      </c>
      <c r="AA56" s="1747" t="s">
        <v>1303</v>
      </c>
      <c r="AB56" s="1752" t="s">
        <v>238</v>
      </c>
    </row>
    <row r="57" spans="1:28">
      <c r="A57" s="184">
        <v>40</v>
      </c>
      <c r="B57" s="162" t="s">
        <v>68</v>
      </c>
      <c r="C57" s="162"/>
      <c r="D57" s="374">
        <f>D15+D44+D47+D56</f>
        <v>86845319</v>
      </c>
      <c r="E57" s="374">
        <f t="shared" ref="E57:L57" si="11">E15+E44+E47+E56</f>
        <v>74573693</v>
      </c>
      <c r="F57" s="374">
        <f t="shared" si="11"/>
        <v>24804134</v>
      </c>
      <c r="G57" s="374">
        <f t="shared" si="11"/>
        <v>75604086</v>
      </c>
      <c r="H57" s="374">
        <f t="shared" si="11"/>
        <v>57863</v>
      </c>
      <c r="I57" s="374">
        <f t="shared" si="11"/>
        <v>8448</v>
      </c>
      <c r="J57" s="374">
        <f t="shared" si="11"/>
        <v>372753</v>
      </c>
      <c r="K57" s="374">
        <f t="shared" si="11"/>
        <v>0</v>
      </c>
      <c r="L57" s="374">
        <f t="shared" si="11"/>
        <v>33013</v>
      </c>
      <c r="M57" s="374">
        <f t="shared" si="9"/>
        <v>262299309</v>
      </c>
      <c r="N57" s="160"/>
      <c r="O57" s="1623"/>
      <c r="P57" s="1626"/>
      <c r="Q57" s="1626"/>
      <c r="R57" s="1629"/>
      <c r="S57" s="280"/>
      <c r="T57" s="1740"/>
      <c r="U57" s="1626"/>
      <c r="V57" s="1635"/>
      <c r="W57" s="1626"/>
      <c r="X57" s="1639"/>
      <c r="Z57" s="1755"/>
      <c r="AA57" s="1747"/>
      <c r="AB57" s="1752"/>
    </row>
    <row r="58" spans="1:28">
      <c r="A58" s="184">
        <v>41</v>
      </c>
      <c r="B58" s="160"/>
      <c r="C58" s="160"/>
      <c r="D58" s="373"/>
      <c r="E58" s="373"/>
      <c r="F58" s="373"/>
      <c r="G58" s="373"/>
      <c r="H58" s="373"/>
      <c r="I58" s="373"/>
      <c r="J58" s="373"/>
      <c r="K58" s="373"/>
      <c r="L58" s="373"/>
      <c r="M58" s="373"/>
      <c r="N58" s="160"/>
      <c r="O58" s="1623"/>
      <c r="P58" s="1626"/>
      <c r="Q58" s="1626"/>
      <c r="R58" s="1629"/>
      <c r="S58" s="280"/>
      <c r="T58" s="1740"/>
      <c r="U58" s="1626"/>
      <c r="V58" s="1635"/>
      <c r="W58" s="1626"/>
      <c r="X58" s="1639"/>
      <c r="Z58" s="1755"/>
      <c r="AA58" s="1747"/>
      <c r="AB58" s="1752"/>
    </row>
    <row r="59" spans="1:28" ht="14.25" customHeight="1">
      <c r="A59" s="184">
        <v>42</v>
      </c>
      <c r="B59" s="174" t="s">
        <v>72</v>
      </c>
      <c r="C59" s="174"/>
      <c r="D59" s="377"/>
      <c r="E59" s="377"/>
      <c r="F59" s="377"/>
      <c r="G59" s="1746" t="str">
        <f>IF(OR(P105&gt;0,P106&lt;&gt;0,P107&lt;&gt;0),"Do not Enter Cents - Whole Dollars Only","")</f>
        <v/>
      </c>
      <c r="H59" s="1746"/>
      <c r="I59" s="1746"/>
      <c r="J59" s="1746"/>
      <c r="K59" s="1746"/>
      <c r="L59" s="377"/>
      <c r="M59" s="377"/>
      <c r="N59" s="160"/>
      <c r="O59" s="1624"/>
      <c r="P59" s="1627"/>
      <c r="Q59" s="1627"/>
      <c r="R59" s="1630"/>
      <c r="S59" s="280"/>
      <c r="T59" s="1741"/>
      <c r="U59" s="1627"/>
      <c r="V59" s="1636"/>
      <c r="W59" s="1627"/>
      <c r="X59" s="1640"/>
      <c r="Z59" s="1756"/>
      <c r="AA59" s="1748"/>
      <c r="AB59" s="1753"/>
    </row>
    <row r="60" spans="1:28" ht="13.5" thickBot="1">
      <c r="A60" s="184">
        <v>43</v>
      </c>
      <c r="B60" s="160" t="s">
        <v>14</v>
      </c>
      <c r="C60" s="160"/>
      <c r="D60" s="372">
        <f>Input!$KO$18</f>
        <v>36173030</v>
      </c>
      <c r="E60" s="372">
        <f>Input!$KP$18</f>
        <v>23960562</v>
      </c>
      <c r="F60" s="372">
        <f>Input!$KQ$18</f>
        <v>0</v>
      </c>
      <c r="G60" s="372">
        <f>Input!$KR$18</f>
        <v>4168069</v>
      </c>
      <c r="H60" s="372">
        <f>Input!$KS$18</f>
        <v>0</v>
      </c>
      <c r="I60" s="372">
        <f>Input!$KT$18</f>
        <v>0</v>
      </c>
      <c r="J60" s="372">
        <f>Input!$KU$18</f>
        <v>0</v>
      </c>
      <c r="K60" s="372">
        <f>Input!$KV$18</f>
        <v>0</v>
      </c>
      <c r="L60" s="372">
        <f>Input!$KW$18</f>
        <v>0</v>
      </c>
      <c r="M60" s="373">
        <f t="shared" ref="M60:M71" si="12">D60+E60+F60+G60+H60+I60+J60+K60+L60</f>
        <v>64301661</v>
      </c>
      <c r="N60" s="160"/>
      <c r="O60" s="282">
        <f>D60+E60+G60+J60</f>
        <v>64301661</v>
      </c>
      <c r="P60" s="518">
        <f>Input!$SS$18</f>
        <v>613000</v>
      </c>
      <c r="Q60" s="438" t="s">
        <v>259</v>
      </c>
      <c r="R60" s="284">
        <f>SUM(O60:P60)</f>
        <v>64914661</v>
      </c>
      <c r="S60" s="439"/>
      <c r="T60" s="286">
        <f t="shared" ref="T60:T67" si="13">D60+E60+G60</f>
        <v>64301661</v>
      </c>
      <c r="U60" s="287">
        <f t="shared" ref="U60:U67" si="14">P60</f>
        <v>613000</v>
      </c>
      <c r="V60" s="289">
        <f>Input!$TC$18</f>
        <v>81015</v>
      </c>
      <c r="W60" s="289">
        <f>Input!$TK$18</f>
        <v>0</v>
      </c>
      <c r="X60" s="290">
        <f t="shared" ref="X60:X66" si="15">T60+U60-V60-W60</f>
        <v>64833646</v>
      </c>
      <c r="Z60" s="292" t="s">
        <v>14</v>
      </c>
      <c r="AA60" s="520">
        <f>Input!$TS$18</f>
        <v>64301661</v>
      </c>
      <c r="AB60" s="293">
        <f t="shared" ref="AB60:AB68" si="16">AA60-M60</f>
        <v>0</v>
      </c>
    </row>
    <row r="61" spans="1:28" ht="14.25" thickTop="1" thickBot="1">
      <c r="A61" s="184">
        <v>44</v>
      </c>
      <c r="B61" s="160" t="s">
        <v>15</v>
      </c>
      <c r="C61" s="160"/>
      <c r="D61" s="372">
        <f>Input!$KX$18</f>
        <v>5734599</v>
      </c>
      <c r="E61" s="372">
        <f>Input!$KY$18</f>
        <v>2306414</v>
      </c>
      <c r="F61" s="372">
        <f>Input!$KZ$18</f>
        <v>0</v>
      </c>
      <c r="G61" s="372">
        <f>Input!$LA$18</f>
        <v>17747211</v>
      </c>
      <c r="H61" s="372">
        <f>Input!$LB$18</f>
        <v>0</v>
      </c>
      <c r="I61" s="372">
        <f>Input!$LC$18</f>
        <v>0</v>
      </c>
      <c r="J61" s="372">
        <f>Input!$LD$18</f>
        <v>0</v>
      </c>
      <c r="K61" s="372">
        <f>Input!$LE$18</f>
        <v>0</v>
      </c>
      <c r="L61" s="372">
        <f>Input!$LF$18</f>
        <v>0</v>
      </c>
      <c r="M61" s="373">
        <f t="shared" si="12"/>
        <v>25788224</v>
      </c>
      <c r="N61" s="160"/>
      <c r="O61" s="440">
        <f t="shared" ref="O61:O67" si="17">D61+E61+G61+J61</f>
        <v>25788224</v>
      </c>
      <c r="P61" s="518">
        <f>Input!$ST$18</f>
        <v>1139085</v>
      </c>
      <c r="Q61" s="441" t="s">
        <v>259</v>
      </c>
      <c r="R61" s="295">
        <f>SUM(O61:P61)</f>
        <v>26927309</v>
      </c>
      <c r="S61" s="442"/>
      <c r="T61" s="296">
        <f t="shared" si="13"/>
        <v>25788224</v>
      </c>
      <c r="U61" s="297">
        <f t="shared" si="14"/>
        <v>1139085</v>
      </c>
      <c r="V61" s="299">
        <f>Input!$TD$18</f>
        <v>322680</v>
      </c>
      <c r="W61" s="299">
        <f>Input!$TL$18</f>
        <v>0</v>
      </c>
      <c r="X61" s="300">
        <f t="shared" si="15"/>
        <v>26604629</v>
      </c>
      <c r="Z61" s="292" t="s">
        <v>15</v>
      </c>
      <c r="AA61" s="518">
        <f>Input!$TT$18</f>
        <v>25788224</v>
      </c>
      <c r="AB61" s="301">
        <f t="shared" si="16"/>
        <v>0</v>
      </c>
    </row>
    <row r="62" spans="1:28" ht="13.5" thickTop="1">
      <c r="A62" s="184">
        <v>45</v>
      </c>
      <c r="B62" s="160" t="s">
        <v>16</v>
      </c>
      <c r="C62" s="160"/>
      <c r="D62" s="372">
        <f>Input!$LG$18</f>
        <v>870306</v>
      </c>
      <c r="E62" s="372">
        <f>Input!$LH$18</f>
        <v>634102</v>
      </c>
      <c r="F62" s="372">
        <f>Input!$LI$18</f>
        <v>0</v>
      </c>
      <c r="G62" s="372">
        <f>Input!$LJ$18</f>
        <v>1028424</v>
      </c>
      <c r="H62" s="372">
        <f>Input!$LK$18</f>
        <v>0</v>
      </c>
      <c r="I62" s="372">
        <f>Input!$LL$18</f>
        <v>0</v>
      </c>
      <c r="J62" s="372">
        <f>Input!$LM$18</f>
        <v>0</v>
      </c>
      <c r="K62" s="372">
        <f>Input!$LN$18</f>
        <v>0</v>
      </c>
      <c r="L62" s="372">
        <f>Input!$LO$18</f>
        <v>0</v>
      </c>
      <c r="M62" s="373">
        <f t="shared" si="12"/>
        <v>2532832</v>
      </c>
      <c r="N62" s="160"/>
      <c r="O62" s="440">
        <f t="shared" si="17"/>
        <v>2532832</v>
      </c>
      <c r="P62" s="518">
        <f>Input!$SU$18</f>
        <v>25253</v>
      </c>
      <c r="Q62" s="441" t="s">
        <v>259</v>
      </c>
      <c r="R62" s="302" t="s">
        <v>259</v>
      </c>
      <c r="S62" s="442"/>
      <c r="T62" s="296">
        <f t="shared" si="13"/>
        <v>2532832</v>
      </c>
      <c r="U62" s="297">
        <f t="shared" si="14"/>
        <v>25253</v>
      </c>
      <c r="V62" s="299">
        <f>Input!$TE$18</f>
        <v>0</v>
      </c>
      <c r="W62" s="299">
        <f>Input!$TM$18</f>
        <v>0</v>
      </c>
      <c r="X62" s="303">
        <f t="shared" si="15"/>
        <v>2558085</v>
      </c>
      <c r="Z62" s="292" t="s">
        <v>16</v>
      </c>
      <c r="AA62" s="518">
        <f>Input!$TU$18</f>
        <v>2532832</v>
      </c>
      <c r="AB62" s="301">
        <f t="shared" si="16"/>
        <v>0</v>
      </c>
    </row>
    <row r="63" spans="1:28">
      <c r="A63" s="184">
        <v>46</v>
      </c>
      <c r="B63" s="160" t="s">
        <v>17</v>
      </c>
      <c r="C63" s="160"/>
      <c r="D63" s="372">
        <f>Input!$LP$18</f>
        <v>12637945</v>
      </c>
      <c r="E63" s="372">
        <f>Input!$LQ$18</f>
        <v>16934988</v>
      </c>
      <c r="F63" s="372">
        <f>Input!$LR$18</f>
        <v>0</v>
      </c>
      <c r="G63" s="372">
        <f>Input!$LS$18</f>
        <v>1848731</v>
      </c>
      <c r="H63" s="372">
        <f>Input!$LT$18</f>
        <v>0</v>
      </c>
      <c r="I63" s="372">
        <f>Input!$LU$18</f>
        <v>0</v>
      </c>
      <c r="J63" s="372">
        <f>Input!$LV$18</f>
        <v>0</v>
      </c>
      <c r="K63" s="372">
        <f>Input!$LW$18</f>
        <v>0</v>
      </c>
      <c r="L63" s="372">
        <f>Input!$LX$18</f>
        <v>0</v>
      </c>
      <c r="M63" s="373">
        <f t="shared" si="12"/>
        <v>31421664</v>
      </c>
      <c r="N63" s="160"/>
      <c r="O63" s="440">
        <f t="shared" si="17"/>
        <v>31421664</v>
      </c>
      <c r="P63" s="518">
        <f>Input!$SV$18</f>
        <v>1748950</v>
      </c>
      <c r="Q63" s="441" t="s">
        <v>259</v>
      </c>
      <c r="R63" s="295">
        <f t="shared" ref="R63:R65" si="18">SUM(O63:P63)</f>
        <v>33170614</v>
      </c>
      <c r="S63" s="442"/>
      <c r="T63" s="296">
        <f t="shared" si="13"/>
        <v>31421664</v>
      </c>
      <c r="U63" s="297">
        <f t="shared" si="14"/>
        <v>1748950</v>
      </c>
      <c r="V63" s="299">
        <f>Input!$TF$18</f>
        <v>0</v>
      </c>
      <c r="W63" s="299">
        <f>Input!$TN$18</f>
        <v>0</v>
      </c>
      <c r="X63" s="303">
        <f t="shared" si="15"/>
        <v>33170614</v>
      </c>
      <c r="Z63" s="292" t="s">
        <v>17</v>
      </c>
      <c r="AA63" s="518">
        <f>Input!$TV$18</f>
        <v>31421664</v>
      </c>
      <c r="AB63" s="301">
        <f t="shared" si="16"/>
        <v>0</v>
      </c>
    </row>
    <row r="64" spans="1:28">
      <c r="A64" s="184">
        <v>47</v>
      </c>
      <c r="B64" s="160" t="s">
        <v>18</v>
      </c>
      <c r="C64" s="160"/>
      <c r="D64" s="372">
        <f>Input!$LY$18</f>
        <v>4272410</v>
      </c>
      <c r="E64" s="372">
        <f>Input!$LZ$18</f>
        <v>8373911</v>
      </c>
      <c r="F64" s="372">
        <f>Input!$MA$18</f>
        <v>0</v>
      </c>
      <c r="G64" s="372">
        <f>Input!$MB$18</f>
        <v>380604</v>
      </c>
      <c r="H64" s="372">
        <f>Input!$MC$18</f>
        <v>493268</v>
      </c>
      <c r="I64" s="372">
        <f>Input!$MD$18</f>
        <v>0</v>
      </c>
      <c r="J64" s="372">
        <f>Input!$ME$18</f>
        <v>20</v>
      </c>
      <c r="K64" s="372">
        <f>Input!$MF$18</f>
        <v>0</v>
      </c>
      <c r="L64" s="372">
        <f>Input!$MG$18</f>
        <v>0</v>
      </c>
      <c r="M64" s="373">
        <f t="shared" si="12"/>
        <v>13520213</v>
      </c>
      <c r="N64" s="160"/>
      <c r="O64" s="440">
        <f t="shared" si="17"/>
        <v>13026945</v>
      </c>
      <c r="P64" s="518">
        <f>Input!$SW$18</f>
        <v>450982</v>
      </c>
      <c r="Q64" s="518">
        <f>Input!$TB$18</f>
        <v>0</v>
      </c>
      <c r="R64" s="295">
        <f>SUM(O64:P64)-Q64</f>
        <v>13477927</v>
      </c>
      <c r="S64" s="442"/>
      <c r="T64" s="296">
        <f t="shared" si="13"/>
        <v>13026925</v>
      </c>
      <c r="U64" s="297">
        <f t="shared" si="14"/>
        <v>450982</v>
      </c>
      <c r="V64" s="299">
        <f>Input!$TG$18</f>
        <v>0</v>
      </c>
      <c r="W64" s="299">
        <f>Input!$TO$18</f>
        <v>0</v>
      </c>
      <c r="X64" s="303">
        <f t="shared" si="15"/>
        <v>13477907</v>
      </c>
      <c r="Z64" s="292" t="s">
        <v>18</v>
      </c>
      <c r="AA64" s="518">
        <f>Input!$TW$18</f>
        <v>13520213</v>
      </c>
      <c r="AB64" s="301">
        <f t="shared" si="16"/>
        <v>0</v>
      </c>
    </row>
    <row r="65" spans="1:28">
      <c r="A65" s="184">
        <v>48</v>
      </c>
      <c r="B65" s="160" t="s">
        <v>19</v>
      </c>
      <c r="C65" s="160"/>
      <c r="D65" s="372">
        <f>Input!$MH$18</f>
        <v>6170259</v>
      </c>
      <c r="E65" s="372">
        <f>Input!$MI$18</f>
        <v>8168738</v>
      </c>
      <c r="F65" s="372">
        <f>Input!$MJ$18</f>
        <v>0</v>
      </c>
      <c r="G65" s="372">
        <f>Input!$MK$18</f>
        <v>956197</v>
      </c>
      <c r="H65" s="372">
        <f>Input!$ML$18</f>
        <v>0</v>
      </c>
      <c r="I65" s="372">
        <f>Input!$MM$18</f>
        <v>0</v>
      </c>
      <c r="J65" s="372">
        <f>Input!$MN$18</f>
        <v>0</v>
      </c>
      <c r="K65" s="372">
        <f>Input!$MO$18</f>
        <v>0</v>
      </c>
      <c r="L65" s="372">
        <f>Input!$MP$18</f>
        <v>0</v>
      </c>
      <c r="M65" s="373">
        <f t="shared" si="12"/>
        <v>15295194</v>
      </c>
      <c r="N65" s="160"/>
      <c r="O65" s="440">
        <f t="shared" si="17"/>
        <v>15295194</v>
      </c>
      <c r="P65" s="518">
        <f>Input!$SX$18</f>
        <v>374553</v>
      </c>
      <c r="Q65" s="441" t="s">
        <v>259</v>
      </c>
      <c r="R65" s="295">
        <f t="shared" si="18"/>
        <v>15669747</v>
      </c>
      <c r="S65" s="442"/>
      <c r="T65" s="296">
        <f t="shared" si="13"/>
        <v>15295194</v>
      </c>
      <c r="U65" s="297">
        <f t="shared" si="14"/>
        <v>374553</v>
      </c>
      <c r="V65" s="299">
        <f>Input!$TH$18</f>
        <v>0</v>
      </c>
      <c r="W65" s="299">
        <f>Input!$TP$18</f>
        <v>0</v>
      </c>
      <c r="X65" s="303">
        <f t="shared" si="15"/>
        <v>15669747</v>
      </c>
      <c r="Z65" s="292" t="s">
        <v>19</v>
      </c>
      <c r="AA65" s="518">
        <f>Input!$TX$18</f>
        <v>15295194</v>
      </c>
      <c r="AB65" s="301">
        <f t="shared" si="16"/>
        <v>0</v>
      </c>
    </row>
    <row r="66" spans="1:28">
      <c r="A66" s="184">
        <v>49</v>
      </c>
      <c r="B66" s="160" t="s">
        <v>20</v>
      </c>
      <c r="C66" s="160"/>
      <c r="D66" s="372">
        <f>Input!$MQ$18</f>
        <v>2952249</v>
      </c>
      <c r="E66" s="372">
        <f>Input!$MR$18</f>
        <v>10155042</v>
      </c>
      <c r="F66" s="372">
        <f>Input!$MS$18</f>
        <v>0</v>
      </c>
      <c r="G66" s="372">
        <f>Input!$MT$18</f>
        <v>199083</v>
      </c>
      <c r="H66" s="372">
        <f>Input!$MU$18</f>
        <v>0</v>
      </c>
      <c r="I66" s="372">
        <f>Input!$MV$18</f>
        <v>0</v>
      </c>
      <c r="J66" s="372">
        <f>Input!$MW$18</f>
        <v>0</v>
      </c>
      <c r="K66" s="372">
        <f>Input!$MX$18</f>
        <v>0</v>
      </c>
      <c r="L66" s="372">
        <f>Input!$MY$18</f>
        <v>0</v>
      </c>
      <c r="M66" s="373">
        <f t="shared" si="12"/>
        <v>13306374</v>
      </c>
      <c r="N66" s="160"/>
      <c r="O66" s="440">
        <f t="shared" si="17"/>
        <v>13306374</v>
      </c>
      <c r="P66" s="518">
        <f>Input!$SY$18</f>
        <v>28502</v>
      </c>
      <c r="Q66" s="441" t="s">
        <v>259</v>
      </c>
      <c r="R66" s="304" t="s">
        <v>259</v>
      </c>
      <c r="S66" s="442"/>
      <c r="T66" s="296">
        <f t="shared" si="13"/>
        <v>13306374</v>
      </c>
      <c r="U66" s="297">
        <f t="shared" si="14"/>
        <v>28502</v>
      </c>
      <c r="V66" s="299">
        <f>Input!$TI$18</f>
        <v>0</v>
      </c>
      <c r="W66" s="299">
        <f>Input!$TQ$18</f>
        <v>0</v>
      </c>
      <c r="X66" s="303">
        <f t="shared" si="15"/>
        <v>13334876</v>
      </c>
      <c r="Z66" s="292" t="s">
        <v>260</v>
      </c>
      <c r="AA66" s="518">
        <f>Input!$TY$18</f>
        <v>13306374</v>
      </c>
      <c r="AB66" s="301">
        <f t="shared" si="16"/>
        <v>0</v>
      </c>
    </row>
    <row r="67" spans="1:28" ht="13.5" thickBot="1">
      <c r="A67" s="184">
        <v>50</v>
      </c>
      <c r="B67" s="160" t="s">
        <v>21</v>
      </c>
      <c r="C67" s="160"/>
      <c r="D67" s="372">
        <f>Input!$MZ$18</f>
        <v>2609503</v>
      </c>
      <c r="E67" s="372">
        <f>Input!$NA$18</f>
        <v>8005718</v>
      </c>
      <c r="F67" s="372">
        <f>Input!$NB$18</f>
        <v>0</v>
      </c>
      <c r="G67" s="372">
        <f>Input!$NC$18</f>
        <v>25627072</v>
      </c>
      <c r="H67" s="372">
        <f>Input!$ND$18</f>
        <v>0</v>
      </c>
      <c r="I67" s="372">
        <f>Input!$NE$18</f>
        <v>0</v>
      </c>
      <c r="J67" s="372">
        <f>Input!$NF$18</f>
        <v>0</v>
      </c>
      <c r="K67" s="372">
        <f>Input!$NG$18</f>
        <v>0</v>
      </c>
      <c r="L67" s="372">
        <f>Input!$NH$18</f>
        <v>0</v>
      </c>
      <c r="M67" s="373">
        <f t="shared" si="12"/>
        <v>36242293</v>
      </c>
      <c r="N67" s="160"/>
      <c r="O67" s="440">
        <f t="shared" si="17"/>
        <v>36242293</v>
      </c>
      <c r="P67" s="518">
        <f>Input!$SZ$18</f>
        <v>1775</v>
      </c>
      <c r="Q67" s="441" t="s">
        <v>259</v>
      </c>
      <c r="R67" s="304" t="s">
        <v>259</v>
      </c>
      <c r="S67" s="442"/>
      <c r="T67" s="306">
        <f t="shared" si="13"/>
        <v>36242293</v>
      </c>
      <c r="U67" s="307">
        <f t="shared" si="14"/>
        <v>1775</v>
      </c>
      <c r="V67" s="308">
        <f>Input!$TJ$18</f>
        <v>0</v>
      </c>
      <c r="W67" s="308">
        <f>Input!$TR$18</f>
        <v>0</v>
      </c>
      <c r="X67" s="303">
        <f>U67+T67-V67-W67</f>
        <v>36244068</v>
      </c>
      <c r="Z67" s="292" t="s">
        <v>21</v>
      </c>
      <c r="AA67" s="518">
        <f>Input!$TZ$18</f>
        <v>36242293</v>
      </c>
      <c r="AB67" s="301">
        <f t="shared" si="16"/>
        <v>0</v>
      </c>
    </row>
    <row r="68" spans="1:28" ht="14.25" thickTop="1" thickBot="1">
      <c r="A68" s="184">
        <v>51</v>
      </c>
      <c r="B68" s="160" t="s">
        <v>2135</v>
      </c>
      <c r="C68" s="160"/>
      <c r="D68" s="372">
        <f>Input!$NI$18</f>
        <v>0</v>
      </c>
      <c r="E68" s="372">
        <f>Input!$NJ$18</f>
        <v>0</v>
      </c>
      <c r="F68" s="372">
        <f>Input!$NK$18</f>
        <v>22877449</v>
      </c>
      <c r="G68" s="372">
        <f>Input!$NL$18</f>
        <v>0</v>
      </c>
      <c r="H68" s="372">
        <f>Input!$NM$18</f>
        <v>0</v>
      </c>
      <c r="I68" s="372">
        <f>Input!$NN$18</f>
        <v>0</v>
      </c>
      <c r="J68" s="372">
        <f>Input!$NO$18</f>
        <v>0</v>
      </c>
      <c r="K68" s="372">
        <f>Input!$NP$18</f>
        <v>0</v>
      </c>
      <c r="L68" s="372">
        <f>Input!$NQ$18</f>
        <v>0</v>
      </c>
      <c r="M68" s="373">
        <f t="shared" si="12"/>
        <v>22877449</v>
      </c>
      <c r="N68" s="160"/>
      <c r="O68" s="309" t="s">
        <v>259</v>
      </c>
      <c r="P68" s="519">
        <f>Input!$TA$18</f>
        <v>50065</v>
      </c>
      <c r="Q68" s="444" t="s">
        <v>259</v>
      </c>
      <c r="R68" s="311" t="s">
        <v>259</v>
      </c>
      <c r="S68" s="442"/>
      <c r="T68" s="305"/>
      <c r="U68" s="305"/>
      <c r="V68" s="312" t="s">
        <v>261</v>
      </c>
      <c r="W68" s="313"/>
      <c r="X68" s="314">
        <f>SUM(X60:X67)</f>
        <v>205893572</v>
      </c>
      <c r="Z68" s="292" t="s">
        <v>22</v>
      </c>
      <c r="AA68" s="518">
        <f>Input!$UA$18</f>
        <v>22877449</v>
      </c>
      <c r="AB68" s="301">
        <f t="shared" si="16"/>
        <v>0</v>
      </c>
    </row>
    <row r="69" spans="1:28" ht="14.25" thickTop="1" thickBot="1">
      <c r="A69" s="184">
        <v>52</v>
      </c>
      <c r="B69" s="161" t="s">
        <v>59</v>
      </c>
      <c r="C69" s="161"/>
      <c r="D69" s="372">
        <f>Input!$NR$18</f>
        <v>2173892</v>
      </c>
      <c r="E69" s="372">
        <f>Input!$NS$18</f>
        <v>737817</v>
      </c>
      <c r="F69" s="372">
        <f>Input!$NT$18</f>
        <v>50065</v>
      </c>
      <c r="G69" s="372">
        <f>Input!$NU$18</f>
        <v>1470391</v>
      </c>
      <c r="H69" s="372">
        <f>Input!$NV$18</f>
        <v>0</v>
      </c>
      <c r="I69" s="372">
        <f>Input!$NW$18</f>
        <v>0</v>
      </c>
      <c r="J69" s="372">
        <f>Input!$NX$18</f>
        <v>0</v>
      </c>
      <c r="K69" s="372">
        <f>Input!$NY$18</f>
        <v>0</v>
      </c>
      <c r="L69" s="372">
        <f>Input!$NZ$18</f>
        <v>0</v>
      </c>
      <c r="M69" s="373">
        <f t="shared" si="12"/>
        <v>4432165</v>
      </c>
      <c r="N69" s="160"/>
      <c r="O69" s="315"/>
      <c r="P69" s="316">
        <f>SUM(P60:P68)</f>
        <v>4432165</v>
      </c>
      <c r="Q69" s="316">
        <f>SUM(Q64:Q68)</f>
        <v>0</v>
      </c>
      <c r="R69" s="317">
        <f>SUM(R60:R65)</f>
        <v>154160258</v>
      </c>
      <c r="S69" s="316"/>
      <c r="T69" s="305"/>
      <c r="U69" s="305"/>
      <c r="V69" s="305"/>
      <c r="W69" s="277"/>
      <c r="X69" s="277"/>
      <c r="Y69" s="277"/>
      <c r="Z69" s="292" t="s">
        <v>285</v>
      </c>
      <c r="AA69" s="445">
        <f>M88*-1</f>
        <v>27397707</v>
      </c>
      <c r="AB69" s="301">
        <f>AA69+M88</f>
        <v>0</v>
      </c>
    </row>
    <row r="70" spans="1:28" ht="14.25" thickTop="1" thickBot="1">
      <c r="A70" s="184">
        <v>53</v>
      </c>
      <c r="B70" s="178" t="s">
        <v>44</v>
      </c>
      <c r="C70" s="178"/>
      <c r="D70" s="378">
        <f>Input!$OA$18</f>
        <v>1786131</v>
      </c>
      <c r="E70" s="378">
        <f>Input!$OB$18</f>
        <v>474703</v>
      </c>
      <c r="F70" s="378">
        <f>Input!$OC$18</f>
        <v>201000</v>
      </c>
      <c r="G70" s="378">
        <f>Input!$OD$18</f>
        <v>114312</v>
      </c>
      <c r="H70" s="378">
        <f>Input!$OE$18</f>
        <v>35280</v>
      </c>
      <c r="I70" s="378">
        <f>Input!$OF$18</f>
        <v>376</v>
      </c>
      <c r="J70" s="378">
        <f>Input!$OG$18</f>
        <v>0</v>
      </c>
      <c r="K70" s="378">
        <f>Input!$OH$18</f>
        <v>0</v>
      </c>
      <c r="L70" s="378">
        <f>Input!$OI$18</f>
        <v>3904545</v>
      </c>
      <c r="M70" s="373">
        <f t="shared" si="12"/>
        <v>6516347</v>
      </c>
      <c r="N70" s="160"/>
      <c r="O70" s="320"/>
      <c r="P70" s="516" t="str">
        <f>IF(P69&lt;&gt;M69,"Out of Balance","Balanced")</f>
        <v>Balanced</v>
      </c>
      <c r="Q70" s="318"/>
      <c r="R70" s="305"/>
      <c r="S70" s="305"/>
      <c r="T70" s="305"/>
      <c r="U70" s="277"/>
      <c r="V70" s="1738" t="str">
        <f>IF(X68-INT(X68)&lt;&gt;0,"Whole Dollars Only","")</f>
        <v/>
      </c>
      <c r="W70" s="1738"/>
      <c r="X70" s="537"/>
      <c r="Y70" s="319"/>
      <c r="Z70" s="410" t="s">
        <v>262</v>
      </c>
      <c r="AA70" s="446" t="s">
        <v>259</v>
      </c>
      <c r="AB70" s="411">
        <f>M90</f>
        <v>0</v>
      </c>
    </row>
    <row r="71" spans="1:28" ht="13.5" thickTop="1">
      <c r="A71" s="184">
        <v>54</v>
      </c>
      <c r="B71" s="162" t="s">
        <v>69</v>
      </c>
      <c r="C71" s="162"/>
      <c r="D71" s="374">
        <f>SUM(D60:D70)</f>
        <v>75380324</v>
      </c>
      <c r="E71" s="374">
        <f>SUM(E60:E70)</f>
        <v>79751995</v>
      </c>
      <c r="F71" s="374">
        <f t="shared" ref="F71:L71" si="19">SUM(F60:F70)</f>
        <v>23128514</v>
      </c>
      <c r="G71" s="374">
        <f t="shared" si="19"/>
        <v>53540094</v>
      </c>
      <c r="H71" s="374">
        <f t="shared" si="19"/>
        <v>528548</v>
      </c>
      <c r="I71" s="374">
        <f t="shared" si="19"/>
        <v>376</v>
      </c>
      <c r="J71" s="374">
        <f t="shared" si="19"/>
        <v>20</v>
      </c>
      <c r="K71" s="374">
        <f t="shared" si="19"/>
        <v>0</v>
      </c>
      <c r="L71" s="374">
        <f t="shared" si="19"/>
        <v>3904545</v>
      </c>
      <c r="M71" s="374">
        <f t="shared" si="12"/>
        <v>236234416</v>
      </c>
      <c r="N71" s="160"/>
      <c r="O71" s="322"/>
      <c r="P71" s="1738" t="str">
        <f>IF(P69-INT(P69)&lt;&gt;0,"Whole Dollars Only","")</f>
        <v/>
      </c>
      <c r="Q71" s="1738"/>
      <c r="R71" s="323"/>
      <c r="S71" s="323"/>
      <c r="T71" s="323"/>
      <c r="U71" s="291"/>
      <c r="V71" s="324"/>
      <c r="W71" s="321"/>
      <c r="X71" s="321"/>
      <c r="Y71" s="321"/>
      <c r="Z71" s="318"/>
      <c r="AA71" s="325">
        <f>SUM(AA60:AA70)</f>
        <v>252683611</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Input!$OJ$18</f>
        <v>0</v>
      </c>
      <c r="E74" s="372">
        <f>Input!$OK$18</f>
        <v>0</v>
      </c>
      <c r="F74" s="372">
        <f>Input!$OL$18</f>
        <v>0</v>
      </c>
      <c r="G74" s="372">
        <f>Input!$OM$18</f>
        <v>0</v>
      </c>
      <c r="H74" s="372">
        <f>Input!$ON$18</f>
        <v>0</v>
      </c>
      <c r="I74" s="372">
        <f>Input!$OO$18</f>
        <v>0</v>
      </c>
      <c r="J74" s="372">
        <f>Input!$OP$18</f>
        <v>-15740659</v>
      </c>
      <c r="K74" s="372">
        <f>Input!$OQ$18</f>
        <v>0</v>
      </c>
      <c r="L74" s="372">
        <f>Input!$OR$18</f>
        <v>0</v>
      </c>
      <c r="M74" s="373">
        <f>D74+E74+F74+G74+H74+I74+J74+K74+L74</f>
        <v>-15740659</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Input!$OS$18</f>
        <v>-1986535</v>
      </c>
      <c r="E75" s="372">
        <f>Input!$OT$18</f>
        <v>11841562</v>
      </c>
      <c r="F75" s="372">
        <f>Input!$OU$18</f>
        <v>12369165</v>
      </c>
      <c r="G75" s="372">
        <f>Input!$OV$18</f>
        <v>-20949337</v>
      </c>
      <c r="H75" s="372">
        <f>Input!$OW$18</f>
        <v>247133</v>
      </c>
      <c r="I75" s="372">
        <f>Input!$OX$18</f>
        <v>1081849</v>
      </c>
      <c r="J75" s="372">
        <f>Input!$OY$18</f>
        <v>20087278</v>
      </c>
      <c r="K75" s="372">
        <f>Input!$OZ$18</f>
        <v>0</v>
      </c>
      <c r="L75" s="372">
        <f>Input!$PA$18</f>
        <v>0</v>
      </c>
      <c r="M75" s="373">
        <f>D75+E75+F75+G75+H75+I75+J75+K75+L75</f>
        <v>22691115</v>
      </c>
      <c r="N75" s="160"/>
      <c r="O75" s="1723" t="str">
        <f>IF(M85&lt;0,"Footnote 11 is N/A - No Data Entry Required","Footnote 11")</f>
        <v>Footnote 11</v>
      </c>
      <c r="P75" s="1724"/>
      <c r="Q75" s="1724"/>
      <c r="R75" s="1725"/>
      <c r="S75" s="330"/>
      <c r="T75" s="330"/>
      <c r="U75" s="327"/>
      <c r="V75" s="276"/>
      <c r="W75" s="331"/>
      <c r="X75" s="331"/>
      <c r="Y75" s="328"/>
      <c r="Z75" s="328"/>
      <c r="AA75" s="276"/>
      <c r="AB75" s="276" t="s">
        <v>293</v>
      </c>
    </row>
    <row r="76" spans="1:28" ht="13.5" thickTop="1">
      <c r="A76" s="184">
        <v>59</v>
      </c>
      <c r="B76" s="160" t="s">
        <v>45</v>
      </c>
      <c r="C76" s="160"/>
      <c r="D76" s="372">
        <f>Input!$PB$18</f>
        <v>0</v>
      </c>
      <c r="E76" s="372">
        <f>Input!$PC$18</f>
        <v>0</v>
      </c>
      <c r="F76" s="372">
        <f>Input!$PD$18</f>
        <v>0</v>
      </c>
      <c r="G76" s="372">
        <f>Input!$PE$18</f>
        <v>0</v>
      </c>
      <c r="H76" s="372">
        <f>Input!$PF$18</f>
        <v>0</v>
      </c>
      <c r="I76" s="372">
        <f>Input!$PG$18</f>
        <v>0</v>
      </c>
      <c r="J76" s="372">
        <f>Input!$PH$18</f>
        <v>0</v>
      </c>
      <c r="K76" s="372">
        <f>Input!$PI$18</f>
        <v>0</v>
      </c>
      <c r="L76" s="372">
        <f>Input!$PJ$18</f>
        <v>0</v>
      </c>
      <c r="M76" s="373">
        <f>D76+E76+F76+G76+H76+I76+J76+K76+L76</f>
        <v>0</v>
      </c>
      <c r="N76" s="160"/>
      <c r="O76" s="487" t="s">
        <v>583</v>
      </c>
      <c r="P76" s="488"/>
      <c r="Q76" s="489"/>
      <c r="R76" s="490">
        <f>IF($M$85&lt;0,"N/A",$M$85)</f>
        <v>35229028</v>
      </c>
      <c r="S76" s="330"/>
      <c r="T76" s="330"/>
      <c r="U76" s="327"/>
      <c r="V76" s="276"/>
      <c r="W76" s="331"/>
      <c r="X76" s="331"/>
      <c r="Y76" s="331"/>
      <c r="Z76" s="331"/>
      <c r="AA76" s="276"/>
      <c r="AB76" s="276"/>
    </row>
    <row r="77" spans="1:28">
      <c r="A77" s="184">
        <v>60</v>
      </c>
      <c r="B77" s="160" t="s">
        <v>46</v>
      </c>
      <c r="C77" s="160"/>
      <c r="D77" s="372">
        <f>Input!$PK$18</f>
        <v>-11730997</v>
      </c>
      <c r="E77" s="372">
        <f>Input!$PL$18</f>
        <v>-659016</v>
      </c>
      <c r="F77" s="372">
        <f>Input!$PM$18</f>
        <v>-4593760</v>
      </c>
      <c r="G77" s="372">
        <f>Input!$PN$18</f>
        <v>0</v>
      </c>
      <c r="H77" s="372">
        <f>Input!$PO$18</f>
        <v>0</v>
      </c>
      <c r="I77" s="372">
        <f>Input!$PP$18</f>
        <v>0</v>
      </c>
      <c r="J77" s="372">
        <f>Input!$PQ$18</f>
        <v>0</v>
      </c>
      <c r="K77" s="372">
        <f>Input!$PR$18</f>
        <v>0</v>
      </c>
      <c r="L77" s="372">
        <f>Input!$PS$18</f>
        <v>0</v>
      </c>
      <c r="M77" s="373">
        <f>D77+E77+F77+G77+H77+I77+J77+K77+L77</f>
        <v>-16983773</v>
      </c>
      <c r="N77" s="160"/>
      <c r="O77" s="491" t="s">
        <v>584</v>
      </c>
      <c r="P77" s="334"/>
      <c r="Q77" s="334"/>
      <c r="R77" s="521">
        <f>Input!$UB$18</f>
        <v>16031576</v>
      </c>
      <c r="S77" s="330"/>
      <c r="T77" s="330"/>
      <c r="U77" s="327"/>
      <c r="V77" s="276"/>
      <c r="W77" s="331"/>
      <c r="X77" s="331"/>
      <c r="Y77" s="331"/>
      <c r="Z77" s="331"/>
      <c r="AA77" s="276"/>
      <c r="AB77" s="276"/>
    </row>
    <row r="78" spans="1:28">
      <c r="A78" s="184">
        <v>61</v>
      </c>
      <c r="B78" s="162" t="s">
        <v>3</v>
      </c>
      <c r="C78" s="162"/>
      <c r="D78" s="374">
        <f t="shared" ref="D78:L78" si="20">SUM(D74:D77)</f>
        <v>-13717532</v>
      </c>
      <c r="E78" s="374">
        <f t="shared" si="20"/>
        <v>11182546</v>
      </c>
      <c r="F78" s="374">
        <f t="shared" si="20"/>
        <v>7775405</v>
      </c>
      <c r="G78" s="374">
        <f t="shared" si="20"/>
        <v>-20949337</v>
      </c>
      <c r="H78" s="374">
        <f t="shared" si="20"/>
        <v>247133</v>
      </c>
      <c r="I78" s="374">
        <f t="shared" si="20"/>
        <v>1081849</v>
      </c>
      <c r="J78" s="374">
        <f t="shared" si="20"/>
        <v>4346619</v>
      </c>
      <c r="K78" s="374">
        <f t="shared" si="20"/>
        <v>0</v>
      </c>
      <c r="L78" s="374">
        <f t="shared" si="20"/>
        <v>0</v>
      </c>
      <c r="M78" s="374">
        <f>D78+E78+F78+G78+H78+I78+J78+K78+L78</f>
        <v>-10033317</v>
      </c>
      <c r="N78" s="160"/>
      <c r="O78" s="491" t="s">
        <v>585</v>
      </c>
      <c r="P78" s="276"/>
      <c r="Q78" s="334"/>
      <c r="R78" s="492">
        <f>IF($M$85&lt;0,"",$R$76-$R$77)</f>
        <v>19197452</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3"/>
      <c r="P79" s="276"/>
      <c r="Q79" s="334"/>
      <c r="R79" s="494"/>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5" t="s">
        <v>586</v>
      </c>
      <c r="P80" s="276"/>
      <c r="Q80" s="334"/>
      <c r="R80" s="521">
        <f>Input!$UC$18</f>
        <v>18777300</v>
      </c>
      <c r="S80" s="330"/>
      <c r="T80" s="330"/>
      <c r="U80" s="334"/>
      <c r="V80" s="276"/>
      <c r="W80" s="328"/>
      <c r="X80" s="328"/>
      <c r="Y80" s="331"/>
      <c r="Z80" s="331"/>
      <c r="AA80" s="276"/>
      <c r="AB80" s="276"/>
    </row>
    <row r="81" spans="1:28">
      <c r="A81" s="184">
        <v>64</v>
      </c>
      <c r="B81" s="160" t="s">
        <v>47</v>
      </c>
      <c r="C81" s="160"/>
      <c r="D81" s="372">
        <f>Input!$PT$18</f>
        <v>0</v>
      </c>
      <c r="E81" s="372">
        <f>Input!$PU$18</f>
        <v>13890053</v>
      </c>
      <c r="F81" s="372">
        <f>Input!$PV$18</f>
        <v>4993249</v>
      </c>
      <c r="G81" s="372">
        <f>Input!$PW$18</f>
        <v>-4066727</v>
      </c>
      <c r="H81" s="372">
        <f>Input!$PX$18</f>
        <v>251380</v>
      </c>
      <c r="I81" s="372">
        <f>Input!$PY$18</f>
        <v>3099403</v>
      </c>
      <c r="J81" s="372">
        <f>Input!$PZ$18</f>
        <v>609942</v>
      </c>
      <c r="K81" s="372">
        <f>Input!$QA$18</f>
        <v>0</v>
      </c>
      <c r="L81" s="372">
        <f>Input!$QB$18</f>
        <v>0</v>
      </c>
      <c r="M81" s="373">
        <f>D81+E81+F81+G81+H81+I81+J81+K81+L81</f>
        <v>18777300</v>
      </c>
      <c r="N81" s="160"/>
      <c r="O81" s="496" t="s">
        <v>587</v>
      </c>
      <c r="P81" s="276"/>
      <c r="Q81" s="276"/>
      <c r="R81" s="497"/>
      <c r="S81" s="330"/>
      <c r="T81" s="330"/>
      <c r="W81" s="276"/>
      <c r="X81" s="276"/>
      <c r="Y81" s="331"/>
      <c r="Z81" s="331"/>
      <c r="AA81" s="276"/>
      <c r="AB81" s="276"/>
    </row>
    <row r="82" spans="1:28">
      <c r="A82" s="184">
        <v>65</v>
      </c>
      <c r="B82" s="160" t="s">
        <v>48</v>
      </c>
      <c r="C82" s="160"/>
      <c r="D82" s="372">
        <f>Input!$QC$18</f>
        <v>0</v>
      </c>
      <c r="E82" s="372">
        <f>Input!$QD$18</f>
        <v>0</v>
      </c>
      <c r="F82" s="372">
        <f>Input!$QE$18</f>
        <v>0</v>
      </c>
      <c r="G82" s="372">
        <f>Input!$QF$18</f>
        <v>0</v>
      </c>
      <c r="H82" s="372">
        <f>Input!$QG$18</f>
        <v>0</v>
      </c>
      <c r="I82" s="372">
        <f>Input!$QH$18</f>
        <v>420152</v>
      </c>
      <c r="J82" s="372">
        <f>Input!$QI$18</f>
        <v>0</v>
      </c>
      <c r="K82" s="372">
        <f>Input!$QJ$18</f>
        <v>0</v>
      </c>
      <c r="L82" s="372">
        <f>Input!$QK$18</f>
        <v>0</v>
      </c>
      <c r="M82" s="373">
        <f>D82+E82+F82+G82+H82+I82+J82+K82+L82</f>
        <v>420152</v>
      </c>
      <c r="N82" s="160"/>
      <c r="O82" s="498" t="s">
        <v>588</v>
      </c>
      <c r="P82" s="276"/>
      <c r="Q82" s="276"/>
      <c r="R82" s="492">
        <f>IFERROR($R$78-$R$80,"")</f>
        <v>420152</v>
      </c>
      <c r="Y82" s="331"/>
      <c r="Z82" s="401"/>
      <c r="AA82" s="268"/>
      <c r="AB82" s="268"/>
    </row>
    <row r="83" spans="1:28">
      <c r="A83" s="184">
        <v>66</v>
      </c>
      <c r="B83" s="162" t="s">
        <v>3</v>
      </c>
      <c r="C83" s="162"/>
      <c r="D83" s="374">
        <f t="shared" ref="D83:L83" si="21">SUM(D81:D82)</f>
        <v>0</v>
      </c>
      <c r="E83" s="374">
        <f t="shared" si="21"/>
        <v>13890053</v>
      </c>
      <c r="F83" s="374">
        <f t="shared" si="21"/>
        <v>4993249</v>
      </c>
      <c r="G83" s="374">
        <f t="shared" si="21"/>
        <v>-4066727</v>
      </c>
      <c r="H83" s="374">
        <f t="shared" si="21"/>
        <v>251380</v>
      </c>
      <c r="I83" s="374">
        <f t="shared" si="21"/>
        <v>3519555</v>
      </c>
      <c r="J83" s="374">
        <f t="shared" si="21"/>
        <v>609942</v>
      </c>
      <c r="K83" s="374">
        <f t="shared" si="21"/>
        <v>0</v>
      </c>
      <c r="L83" s="374">
        <f t="shared" si="21"/>
        <v>0</v>
      </c>
      <c r="M83" s="374">
        <f>D83+E83+F83+G83+H83+I83+J83+K83+L83</f>
        <v>19197452</v>
      </c>
      <c r="N83" s="160"/>
      <c r="O83" s="493"/>
      <c r="P83" s="276"/>
      <c r="Q83" s="276"/>
      <c r="R83" s="497"/>
      <c r="Y83" s="163"/>
      <c r="Z83" s="447"/>
      <c r="AA83" s="439"/>
      <c r="AB83" s="448"/>
    </row>
    <row r="84" spans="1:28" ht="13.5" thickBot="1">
      <c r="A84" s="184">
        <v>67</v>
      </c>
      <c r="B84" s="160"/>
      <c r="C84" s="160"/>
      <c r="D84" s="373"/>
      <c r="E84" s="373"/>
      <c r="F84" s="373"/>
      <c r="G84" s="373"/>
      <c r="H84" s="373"/>
      <c r="I84" s="373"/>
      <c r="J84" s="373"/>
      <c r="K84" s="373"/>
      <c r="L84" s="373"/>
      <c r="M84" s="373"/>
      <c r="N84" s="160"/>
      <c r="O84" s="499" t="s">
        <v>589</v>
      </c>
      <c r="P84" s="500"/>
      <c r="Q84" s="500"/>
      <c r="R84" s="501">
        <f>IFERROR((R82+R80)-R78,"")</f>
        <v>0</v>
      </c>
      <c r="Y84" s="268"/>
      <c r="Z84" s="447"/>
      <c r="AA84" s="439"/>
      <c r="AB84" s="449"/>
    </row>
    <row r="85" spans="1:28" ht="13.5" thickTop="1">
      <c r="A85" s="184">
        <v>68</v>
      </c>
      <c r="B85" s="162" t="s">
        <v>574</v>
      </c>
      <c r="C85" s="162"/>
      <c r="D85" s="374">
        <f t="shared" ref="D85:L85" si="22">D57-D71+D78+D83</f>
        <v>-2252537</v>
      </c>
      <c r="E85" s="374">
        <f t="shared" si="22"/>
        <v>19894297</v>
      </c>
      <c r="F85" s="374">
        <f t="shared" si="22"/>
        <v>14444274</v>
      </c>
      <c r="G85" s="374">
        <f t="shared" si="22"/>
        <v>-2952072</v>
      </c>
      <c r="H85" s="374">
        <f t="shared" si="22"/>
        <v>27828</v>
      </c>
      <c r="I85" s="374">
        <f t="shared" si="22"/>
        <v>4609476</v>
      </c>
      <c r="J85" s="374">
        <f t="shared" si="22"/>
        <v>5329294</v>
      </c>
      <c r="K85" s="374">
        <f t="shared" si="22"/>
        <v>0</v>
      </c>
      <c r="L85" s="374">
        <f t="shared" si="22"/>
        <v>-3871532</v>
      </c>
      <c r="M85" s="374">
        <f>D85+E85+F85+G85+H85+I85+J85+K85+L85</f>
        <v>35229028</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Input!$QL$18</f>
        <v>0</v>
      </c>
      <c r="E87" s="372">
        <f>Input!$QM$18</f>
        <v>0</v>
      </c>
      <c r="F87" s="372">
        <f>Input!$QN$18</f>
        <v>0</v>
      </c>
      <c r="G87" s="372">
        <f>Input!$QO$18</f>
        <v>0</v>
      </c>
      <c r="H87" s="372">
        <f>Input!$QP$18</f>
        <v>0</v>
      </c>
      <c r="I87" s="372">
        <f>Input!$QQ$18</f>
        <v>0</v>
      </c>
      <c r="J87" s="372">
        <f>Input!$QR$18</f>
        <v>0</v>
      </c>
      <c r="K87" s="372">
        <f>Input!$QS$18</f>
        <v>0</v>
      </c>
      <c r="L87" s="372">
        <f>Input!$QT$18</f>
        <v>0</v>
      </c>
      <c r="M87" s="329">
        <f>D87+E87+F87+G87+H87+I87+J87+K87+L87</f>
        <v>0</v>
      </c>
      <c r="N87" s="160"/>
      <c r="Y87" s="268"/>
      <c r="Z87" s="447"/>
      <c r="AA87" s="439"/>
      <c r="AB87" s="449"/>
    </row>
    <row r="88" spans="1:28">
      <c r="A88" s="184">
        <v>72</v>
      </c>
      <c r="B88" s="160" t="s">
        <v>66</v>
      </c>
      <c r="C88" s="160"/>
      <c r="D88" s="372">
        <f>Input!$QU$18</f>
        <v>0</v>
      </c>
      <c r="E88" s="372">
        <f>Input!$QV$18</f>
        <v>0</v>
      </c>
      <c r="F88" s="372">
        <f>Input!$QW$18</f>
        <v>0</v>
      </c>
      <c r="G88" s="372">
        <f>Input!$QX$18</f>
        <v>0</v>
      </c>
      <c r="H88" s="372">
        <f>Input!$QY$18</f>
        <v>0</v>
      </c>
      <c r="I88" s="372">
        <f>Input!$QZ$18</f>
        <v>0</v>
      </c>
      <c r="J88" s="372">
        <f>Input!$RA$18</f>
        <v>0</v>
      </c>
      <c r="K88" s="372">
        <f>Input!$RB$18</f>
        <v>0</v>
      </c>
      <c r="L88" s="372">
        <f>Input!$RC$18</f>
        <v>-27397707</v>
      </c>
      <c r="M88" s="373">
        <f>D88+E88+F88+G88+H88+I88+J88+K88+L88</f>
        <v>-27397707</v>
      </c>
      <c r="N88" s="160"/>
      <c r="O88" s="270"/>
      <c r="P88" s="335"/>
      <c r="Y88" s="268"/>
      <c r="Z88" s="447"/>
      <c r="AA88" s="439"/>
      <c r="AB88" s="449"/>
    </row>
    <row r="89" spans="1:28" s="264" customFormat="1">
      <c r="A89" s="263"/>
      <c r="B89" s="171" t="s">
        <v>216</v>
      </c>
      <c r="C89" s="171"/>
      <c r="D89" s="372">
        <f>Input!$RD$18</f>
        <v>0</v>
      </c>
      <c r="E89" s="372">
        <f>Input!$RE$18</f>
        <v>0</v>
      </c>
      <c r="F89" s="372">
        <f>Input!$RF$18</f>
        <v>0</v>
      </c>
      <c r="G89" s="372">
        <f>Input!$RG$18</f>
        <v>0</v>
      </c>
      <c r="H89" s="372">
        <f>Input!$RH$18</f>
        <v>0</v>
      </c>
      <c r="I89" s="372">
        <f>Input!$RI$18</f>
        <v>0</v>
      </c>
      <c r="J89" s="372">
        <f>Input!$RJ$18</f>
        <v>0</v>
      </c>
      <c r="K89" s="372">
        <f>Input!$RK$18</f>
        <v>0</v>
      </c>
      <c r="L89" s="372">
        <f>Input!$RL$18</f>
        <v>162792953</v>
      </c>
      <c r="M89" s="373">
        <f t="shared" ref="M89:M91" si="23">D89+E89+F89+G89+H89+I89+J89+K89+L89</f>
        <v>162792953</v>
      </c>
      <c r="N89" s="160"/>
      <c r="O89" s="1726" t="s">
        <v>1355</v>
      </c>
      <c r="P89" s="1727"/>
      <c r="Q89" s="1727"/>
      <c r="R89" s="1727"/>
      <c r="S89" s="1727"/>
      <c r="T89" s="1727"/>
      <c r="U89" s="1728"/>
      <c r="Y89" s="268"/>
      <c r="Z89" s="447"/>
      <c r="AA89" s="439"/>
      <c r="AB89" s="449"/>
    </row>
    <row r="90" spans="1:28" s="264" customFormat="1">
      <c r="A90" s="263"/>
      <c r="B90" s="171" t="s">
        <v>105</v>
      </c>
      <c r="C90" s="171"/>
      <c r="D90" s="372">
        <f>Input!$RM$18</f>
        <v>0</v>
      </c>
      <c r="E90" s="372">
        <f>Input!$RN$18</f>
        <v>0</v>
      </c>
      <c r="F90" s="372">
        <f>Input!$RO$18</f>
        <v>0</v>
      </c>
      <c r="G90" s="372">
        <f>Input!$RP$18</f>
        <v>0</v>
      </c>
      <c r="H90" s="372">
        <f>Input!$RQ$18</f>
        <v>0</v>
      </c>
      <c r="I90" s="372">
        <f>Input!$RR$18</f>
        <v>0</v>
      </c>
      <c r="J90" s="372">
        <f>Input!$RS$18</f>
        <v>0</v>
      </c>
      <c r="K90" s="372">
        <f>Input!$RT$18</f>
        <v>0</v>
      </c>
      <c r="L90" s="372">
        <f>Input!$RU$18</f>
        <v>0</v>
      </c>
      <c r="M90" s="373">
        <f t="shared" si="23"/>
        <v>0</v>
      </c>
      <c r="N90" s="160"/>
      <c r="O90" s="502" t="s">
        <v>590</v>
      </c>
      <c r="P90" s="423"/>
      <c r="Q90" s="502" t="s">
        <v>591</v>
      </c>
      <c r="R90" s="423"/>
      <c r="S90" s="503"/>
      <c r="T90" s="502" t="s">
        <v>592</v>
      </c>
      <c r="U90" s="423"/>
      <c r="Y90" s="268"/>
      <c r="Z90" s="447"/>
      <c r="AA90" s="439"/>
      <c r="AB90" s="449"/>
    </row>
    <row r="91" spans="1:28" s="264" customFormat="1">
      <c r="A91" s="263"/>
      <c r="B91" s="171" t="s">
        <v>128</v>
      </c>
      <c r="C91" s="171"/>
      <c r="D91" s="372">
        <f>Input!$RV$18</f>
        <v>0</v>
      </c>
      <c r="E91" s="372">
        <f>Input!$RW$18</f>
        <v>0</v>
      </c>
      <c r="F91" s="372">
        <f>Input!$RX$18</f>
        <v>0</v>
      </c>
      <c r="G91" s="372">
        <f>Input!$RY$18</f>
        <v>0</v>
      </c>
      <c r="H91" s="372">
        <f>Input!$RZ$18</f>
        <v>0</v>
      </c>
      <c r="I91" s="372">
        <f>Input!$SA$18</f>
        <v>0</v>
      </c>
      <c r="J91" s="372">
        <f>Input!$SB$18</f>
        <v>0</v>
      </c>
      <c r="K91" s="372">
        <f>Input!$SC$18</f>
        <v>0</v>
      </c>
      <c r="L91" s="372">
        <f>Input!$SD$18</f>
        <v>0</v>
      </c>
      <c r="M91" s="373">
        <f t="shared" si="23"/>
        <v>0</v>
      </c>
      <c r="N91" s="160"/>
      <c r="O91" s="504"/>
      <c r="P91" s="505"/>
      <c r="Q91" s="504"/>
      <c r="R91" s="426"/>
      <c r="S91" s="276"/>
      <c r="T91" s="506"/>
      <c r="U91" s="426"/>
      <c r="Y91" s="268"/>
      <c r="Z91" s="447"/>
      <c r="AA91" s="439"/>
      <c r="AB91" s="449"/>
    </row>
    <row r="92" spans="1:28" s="264" customFormat="1">
      <c r="A92" s="263"/>
      <c r="B92" s="160" t="s">
        <v>67</v>
      </c>
      <c r="C92" s="160"/>
      <c r="D92" s="372">
        <f>Input!$SE$18</f>
        <v>2173892</v>
      </c>
      <c r="E92" s="372">
        <f>Input!$SF$18</f>
        <v>737817</v>
      </c>
      <c r="F92" s="372">
        <f>Input!$SG$18</f>
        <v>50065</v>
      </c>
      <c r="G92" s="372">
        <f>Input!$SH$18</f>
        <v>1470391</v>
      </c>
      <c r="H92" s="372">
        <f>Input!$SI$18</f>
        <v>0</v>
      </c>
      <c r="I92" s="372">
        <f>Input!$SJ$18</f>
        <v>0</v>
      </c>
      <c r="J92" s="372">
        <f>Input!$SK$18</f>
        <v>15740659</v>
      </c>
      <c r="K92" s="372">
        <f>Input!$SL$18</f>
        <v>0</v>
      </c>
      <c r="L92" s="372">
        <f>Input!$SM$18</f>
        <v>0</v>
      </c>
      <c r="M92" s="373">
        <f>D92+E92+F92+G92+H92+I92+J92+K92+L92</f>
        <v>20172824</v>
      </c>
      <c r="N92" s="160"/>
      <c r="O92" s="1729" t="str">
        <f>Input!UF$18</f>
        <v>Chris Arrington</v>
      </c>
      <c r="P92" s="1730"/>
      <c r="Q92" s="1729" t="str">
        <f>Input!$UG$18</f>
        <v>979-458-9151</v>
      </c>
      <c r="R92" s="1730"/>
      <c r="S92" s="276"/>
      <c r="T92" s="1731" t="str">
        <f>HYPERLINK("Mailto:"&amp;Input!$UH$18,Input!$UH$18)</f>
        <v>carrington@tamus.edu</v>
      </c>
      <c r="U92" s="1730"/>
      <c r="Y92" s="268"/>
      <c r="Z92" s="447"/>
      <c r="AA92" s="442"/>
      <c r="AB92" s="449"/>
    </row>
    <row r="93" spans="1:28" ht="13.5" thickBot="1">
      <c r="B93" s="179" t="s">
        <v>58</v>
      </c>
      <c r="C93" s="179"/>
      <c r="D93" s="380">
        <f t="shared" ref="D93:K93" si="24">SUM(D85:D92)</f>
        <v>-78645</v>
      </c>
      <c r="E93" s="380">
        <f t="shared" si="24"/>
        <v>20632114</v>
      </c>
      <c r="F93" s="380">
        <f t="shared" si="24"/>
        <v>14494339</v>
      </c>
      <c r="G93" s="380">
        <f t="shared" si="24"/>
        <v>-1481681</v>
      </c>
      <c r="H93" s="380">
        <f t="shared" si="24"/>
        <v>27828</v>
      </c>
      <c r="I93" s="380">
        <f t="shared" si="24"/>
        <v>4609476</v>
      </c>
      <c r="J93" s="380">
        <f t="shared" si="24"/>
        <v>21069953</v>
      </c>
      <c r="K93" s="380">
        <f t="shared" si="24"/>
        <v>0</v>
      </c>
      <c r="L93" s="380">
        <f>SUM(L85:L92)</f>
        <v>131523714</v>
      </c>
      <c r="M93" s="380">
        <f>D93+E93+F93+G93+H93+I93+J93+K93+L93</f>
        <v>190797098</v>
      </c>
      <c r="N93" s="160"/>
      <c r="O93" s="506"/>
      <c r="P93" s="507"/>
      <c r="Q93" s="276"/>
      <c r="R93" s="276"/>
      <c r="S93" s="276"/>
      <c r="T93" s="507"/>
      <c r="U93" s="508"/>
      <c r="Y93" s="268"/>
      <c r="Z93" s="447"/>
      <c r="AA93" s="442"/>
      <c r="AB93" s="449"/>
    </row>
    <row r="94" spans="1:28" ht="13.5" thickTop="1">
      <c r="C94" s="160"/>
      <c r="D94" s="165"/>
      <c r="E94" s="165"/>
      <c r="F94" s="165"/>
      <c r="G94" s="165"/>
      <c r="H94" s="165"/>
      <c r="I94" s="165"/>
      <c r="J94" s="165"/>
      <c r="K94" s="165"/>
      <c r="L94" s="165"/>
      <c r="M94" s="180"/>
      <c r="N94" s="160"/>
      <c r="O94" s="1720" t="s">
        <v>593</v>
      </c>
      <c r="P94" s="1721"/>
      <c r="Q94" s="1721"/>
      <c r="R94" s="1721"/>
      <c r="S94" s="1721"/>
      <c r="T94" s="1721"/>
      <c r="U94" s="1722"/>
      <c r="Y94" s="268"/>
      <c r="Z94" s="451"/>
      <c r="AA94" s="442"/>
      <c r="AB94" s="449"/>
    </row>
    <row r="95" spans="1:28">
      <c r="B95" s="171" t="s">
        <v>1369</v>
      </c>
      <c r="C95" s="169"/>
      <c r="D95" s="165"/>
      <c r="E95" s="165"/>
      <c r="F95" s="165"/>
      <c r="G95" s="165"/>
      <c r="H95" s="165"/>
      <c r="I95" s="165"/>
      <c r="J95" s="165"/>
      <c r="K95" s="165"/>
      <c r="L95" s="165"/>
      <c r="M95" s="180"/>
      <c r="N95" s="160"/>
      <c r="O95" s="1720"/>
      <c r="P95" s="1721"/>
      <c r="Q95" s="1721"/>
      <c r="R95" s="1721"/>
      <c r="S95" s="1721"/>
      <c r="T95" s="1721"/>
      <c r="U95" s="1722"/>
      <c r="Y95" s="268"/>
      <c r="Z95" s="452"/>
      <c r="AA95" s="453"/>
      <c r="AB95" s="454"/>
    </row>
    <row r="96" spans="1:28">
      <c r="B96" s="169" t="s">
        <v>80</v>
      </c>
      <c r="C96" s="160"/>
      <c r="D96" s="165"/>
      <c r="E96" s="165"/>
      <c r="F96" s="165"/>
      <c r="G96" s="165"/>
      <c r="H96" s="165"/>
      <c r="I96" s="165"/>
      <c r="J96" s="165"/>
      <c r="K96" s="165"/>
      <c r="L96" s="165"/>
      <c r="M96" s="180"/>
      <c r="N96" s="160"/>
      <c r="O96" s="509"/>
      <c r="P96" s="510"/>
      <c r="Q96" s="511"/>
      <c r="R96" s="511"/>
      <c r="S96" s="511"/>
      <c r="T96" s="510"/>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Input!$SN$18</f>
        <v>190797098</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3" t="str">
        <f>IF($L$118&lt;&gt;Input!$F$18,"Out of Balance","Balanced")</f>
        <v>Balanced</v>
      </c>
      <c r="M102" s="517"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147461001</v>
      </c>
      <c r="E105" s="373">
        <f>SUM($E$10:$E$14)+SUM($E$19:$E$28)+SUM($E$32:$E$41)+$E$47+SUM($E$50:$E$55)+SUM($E$60:$E$70)+SUM($E$74:$E$77)+SUM($E$81:$E$82)+SUM($E$87:$E$92)</f>
        <v>180136104</v>
      </c>
      <c r="F105" s="373">
        <f>SUM($F$10:$F$14)+SUM($F$19:$F$28)+SUM($F$32:$F$41)+$F$47+SUM($F$50:$F$55)+SUM($F$60:$F$70)+SUM($F$74:$F$77)+SUM($F$81:$F$82)+SUM($F$87:$F$92)</f>
        <v>60751367</v>
      </c>
      <c r="G105" s="373">
        <f>SUM($G$10:$G$14)+SUM($G$19:$G$28)+SUM($G$32:$G$41)+$G$47+SUM($G$50:$G$55)+SUM($G$60:$G$70)+SUM($G$74:$G$77)+SUM($G$81:$G$82)+SUM($G$87:$G$92)</f>
        <v>105598507</v>
      </c>
      <c r="H105" s="373">
        <f>SUM($H$10:$H$14)+SUM($H$19:$H$28)+SUM($H$32:$H$41)+$H$47+SUM($H$50:$H$55)+SUM($H$60:$H$70)+SUM($H$74:$H$77)+SUM($H$81:$H$82)+SUM($H$87:$H$92)</f>
        <v>1084924</v>
      </c>
      <c r="I105" s="373">
        <f>SUM($I$10:$I$14)+SUM($I$19:$I$28)+SUM($I$32:$I$41)+$I$47+SUM($I$50:$I$55)+SUM($I$60:$I$70)+SUM($I$74:$I$77)+SUM($I$81:$I$82)+SUM($I$87:$I$92)</f>
        <v>4610228</v>
      </c>
      <c r="J105" s="373">
        <f>SUM($J$10:$J$14)+SUM($J$19:$J$28)+SUM($J$32:$J$41)+$J$47+SUM($J$50:$J$55)+SUM($J$60:$J$70)+SUM($J$74:$J$77)+SUM($J$81:$J$82)+SUM($J$87:$J$92)</f>
        <v>21069993</v>
      </c>
      <c r="K105" s="373">
        <f>SUM($K$10:$K$14)+SUM($K$19:$K$28)+SUM($K$32:$K$41)+$K$47+SUM($K$50:$K$55)+SUM($K$60:$K$70)+SUM($K$74:$K$77)+SUM($K$81:$K$82)+SUM($K$87:$K$92)</f>
        <v>0</v>
      </c>
      <c r="L105" s="373">
        <f>SUM($L$10:$L$14)+SUM($L$19:$L$28)+SUM($L$32:$L$41)+$L$47+SUM($L$50:$L$55)+SUM($L$60:$L$70)+SUM($L$74:$L$77)+SUM($L$81:$L$82)+SUM($L$87:$L$92)</f>
        <v>139332804</v>
      </c>
      <c r="M105" s="373"/>
      <c r="N105" s="264"/>
      <c r="O105" s="373"/>
      <c r="P105" s="450">
        <f>M18-INT(M18)</f>
        <v>0</v>
      </c>
    </row>
    <row r="106" spans="2:28">
      <c r="B106" s="261"/>
      <c r="C106" s="261"/>
      <c r="D106" s="261"/>
      <c r="E106" s="261"/>
      <c r="F106" s="261"/>
      <c r="G106" s="261"/>
      <c r="H106" s="261"/>
      <c r="I106" s="261"/>
      <c r="J106" s="261"/>
      <c r="K106" s="261"/>
      <c r="L106" s="373">
        <f>SUM($D$105:$L$105)</f>
        <v>660044928</v>
      </c>
      <c r="M106" s="261"/>
      <c r="N106" s="264"/>
      <c r="O106" s="373"/>
      <c r="P106" s="450">
        <f>M31-INT(M31)</f>
        <v>0</v>
      </c>
    </row>
    <row r="107" spans="2:28">
      <c r="B107" s="261"/>
      <c r="C107" s="261"/>
      <c r="D107" s="261"/>
      <c r="E107" s="261"/>
      <c r="F107" s="261"/>
      <c r="G107" s="261"/>
      <c r="H107" s="261"/>
      <c r="I107" s="261"/>
      <c r="J107" s="261" t="s">
        <v>1299</v>
      </c>
      <c r="K107" s="261"/>
      <c r="L107" s="373">
        <f>$M$100</f>
        <v>190797098</v>
      </c>
      <c r="M107" s="261"/>
      <c r="N107" s="264"/>
      <c r="O107" s="373"/>
      <c r="P107" s="450">
        <f>M93-INT(M93)</f>
        <v>0</v>
      </c>
    </row>
    <row r="108" spans="2:28">
      <c r="B108" s="261"/>
      <c r="C108" s="261"/>
      <c r="D108" s="261"/>
      <c r="E108" s="261"/>
      <c r="F108" s="261"/>
      <c r="G108" s="261"/>
      <c r="H108" s="261"/>
      <c r="I108" s="261"/>
      <c r="J108" s="261" t="s">
        <v>1300</v>
      </c>
      <c r="K108" s="261"/>
      <c r="L108" s="512">
        <f>$Q$32</f>
        <v>113436121</v>
      </c>
      <c r="M108" s="261"/>
      <c r="N108" s="264"/>
      <c r="O108" s="373"/>
    </row>
    <row r="109" spans="2:28">
      <c r="B109" s="261"/>
      <c r="C109" s="261"/>
      <c r="D109" s="261"/>
      <c r="E109" s="261"/>
      <c r="F109" s="261"/>
      <c r="G109" s="261"/>
      <c r="H109" s="261"/>
      <c r="I109" s="261"/>
      <c r="J109" s="261" t="s">
        <v>1300</v>
      </c>
      <c r="K109" s="261"/>
      <c r="L109" s="512">
        <f>$R$34</f>
        <v>-31293676</v>
      </c>
      <c r="M109" s="261"/>
      <c r="N109" s="264"/>
      <c r="O109" s="373"/>
    </row>
    <row r="110" spans="2:28">
      <c r="B110" s="261"/>
      <c r="C110" s="261"/>
      <c r="D110" s="261"/>
      <c r="E110" s="261"/>
      <c r="F110" s="261"/>
      <c r="G110" s="261"/>
      <c r="H110" s="261"/>
      <c r="I110" s="261"/>
      <c r="J110" s="261" t="s">
        <v>29</v>
      </c>
      <c r="K110" s="261"/>
      <c r="L110" s="512">
        <f>SUM($P$60:$P$68)</f>
        <v>4432165</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2">
        <f>SUM($V$60:$V$67)</f>
        <v>403695</v>
      </c>
      <c r="M112" s="261"/>
      <c r="N112" s="264"/>
      <c r="O112" s="373"/>
    </row>
    <row r="113" spans="2:15">
      <c r="B113" s="261"/>
      <c r="C113" s="261"/>
      <c r="D113" s="261"/>
      <c r="E113" s="261"/>
      <c r="F113" s="261"/>
      <c r="G113" s="261"/>
      <c r="H113" s="261"/>
      <c r="I113" s="261"/>
      <c r="J113" s="261" t="s">
        <v>596</v>
      </c>
      <c r="K113" s="261"/>
      <c r="L113" s="512">
        <f>SUM($W$60:$W$67)</f>
        <v>0</v>
      </c>
      <c r="M113" s="261"/>
      <c r="N113" s="264"/>
      <c r="O113" s="373"/>
    </row>
    <row r="114" spans="2:15">
      <c r="B114" s="261"/>
      <c r="C114" s="261"/>
      <c r="D114" s="261"/>
      <c r="E114" s="261"/>
      <c r="F114" s="261"/>
      <c r="G114" s="261"/>
      <c r="H114" s="261"/>
      <c r="I114" s="261"/>
      <c r="J114" s="261" t="s">
        <v>258</v>
      </c>
      <c r="K114" s="261"/>
      <c r="L114" s="512">
        <f>SUM($AA$60:$AA$68)</f>
        <v>225285904</v>
      </c>
      <c r="M114" s="261"/>
      <c r="N114" s="264"/>
      <c r="O114" s="373"/>
    </row>
    <row r="115" spans="2:15">
      <c r="B115" s="261"/>
      <c r="C115" s="261"/>
      <c r="D115" s="261"/>
      <c r="E115" s="261"/>
      <c r="F115" s="261"/>
      <c r="G115" s="261"/>
      <c r="H115" s="261"/>
      <c r="I115" s="261"/>
      <c r="J115" s="261" t="s">
        <v>597</v>
      </c>
      <c r="K115" s="261"/>
      <c r="L115" s="512">
        <f>$R$77</f>
        <v>16031576</v>
      </c>
      <c r="M115" s="261"/>
      <c r="N115" s="264"/>
      <c r="O115" s="373"/>
    </row>
    <row r="116" spans="2:15">
      <c r="B116" s="261"/>
      <c r="C116" s="261"/>
      <c r="D116" s="261"/>
      <c r="E116" s="261"/>
      <c r="F116" s="261"/>
      <c r="G116" s="261"/>
      <c r="H116" s="261"/>
      <c r="I116" s="261"/>
      <c r="J116" s="261" t="s">
        <v>597</v>
      </c>
      <c r="K116" s="261"/>
      <c r="L116" s="512">
        <f>$R$80</f>
        <v>18777300</v>
      </c>
      <c r="M116" s="261"/>
      <c r="N116" s="264"/>
      <c r="O116" s="373"/>
    </row>
    <row r="117" spans="2:15">
      <c r="B117" s="261"/>
      <c r="C117" s="261"/>
      <c r="D117" s="261"/>
      <c r="E117" s="261"/>
      <c r="F117" s="261"/>
      <c r="G117" s="261"/>
      <c r="H117" s="261"/>
      <c r="I117" s="261"/>
      <c r="J117" s="261" t="s">
        <v>1231</v>
      </c>
      <c r="K117" s="261"/>
      <c r="L117" s="1008">
        <f>VLOOKUP(B2,Names!B5:$C$87,2,FALSE)</f>
        <v>11161</v>
      </c>
      <c r="M117" s="261"/>
      <c r="N117" s="264"/>
      <c r="O117" s="373"/>
    </row>
    <row r="118" spans="2:15">
      <c r="B118" s="261"/>
      <c r="C118" s="261"/>
      <c r="D118" s="261"/>
      <c r="E118" s="261"/>
      <c r="F118" s="261"/>
      <c r="G118" s="261"/>
      <c r="H118" s="261"/>
      <c r="I118" s="261"/>
      <c r="J118" s="261"/>
      <c r="K118" s="261"/>
      <c r="L118" s="373">
        <f>SUM(L106:L117)</f>
        <v>1197926272</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V56:V59"/>
    <mergeCell ref="W56:W59"/>
    <mergeCell ref="G59:K59"/>
    <mergeCell ref="AA56:AA59"/>
    <mergeCell ref="Z55:AB55"/>
    <mergeCell ref="R56:R59"/>
    <mergeCell ref="O55:R55"/>
    <mergeCell ref="T55:X55"/>
    <mergeCell ref="X56:X59"/>
    <mergeCell ref="AB56:AB59"/>
    <mergeCell ref="Z56:Z59"/>
    <mergeCell ref="B2:F2"/>
    <mergeCell ref="B3:F3"/>
    <mergeCell ref="B4:F4"/>
    <mergeCell ref="B6:M6"/>
    <mergeCell ref="P4:Q4"/>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s>
  <conditionalFormatting sqref="U87:X88 O88:Q88">
    <cfRule type="cellIs" dxfId="992" priority="258" stopIfTrue="1" operator="notEqual">
      <formula>#REF!</formula>
    </cfRule>
  </conditionalFormatting>
  <conditionalFormatting sqref="P70">
    <cfRule type="expression" dxfId="991" priority="236">
      <formula>$P$69&lt;&gt;$M$69</formula>
    </cfRule>
  </conditionalFormatting>
  <conditionalFormatting sqref="AB72">
    <cfRule type="expression" dxfId="990" priority="235">
      <formula>$AB$71&lt;&gt;0</formula>
    </cfRule>
  </conditionalFormatting>
  <conditionalFormatting sqref="P71">
    <cfRule type="expression" dxfId="989" priority="234">
      <formula>P69-INT(P69)</formula>
    </cfRule>
  </conditionalFormatting>
  <conditionalFormatting sqref="V70">
    <cfRule type="expression" dxfId="988" priority="232">
      <formula>X68-INT(X68)</formula>
    </cfRule>
  </conditionalFormatting>
  <conditionalFormatting sqref="O12">
    <cfRule type="expression" dxfId="987" priority="223">
      <formula>$P$12&lt;&gt;$M$12</formula>
    </cfRule>
  </conditionalFormatting>
  <conditionalFormatting sqref="U87:U88 O88:Q88">
    <cfRule type="cellIs" dxfId="986" priority="216" stopIfTrue="1" operator="notEqual">
      <formula>#REF!</formula>
    </cfRule>
  </conditionalFormatting>
  <conditionalFormatting sqref="R84">
    <cfRule type="expression" priority="214" stopIfTrue="1">
      <formula>$M$85&lt;0</formula>
    </cfRule>
    <cfRule type="expression" dxfId="985" priority="215">
      <formula>$S$85&lt;&gt;0</formula>
    </cfRule>
  </conditionalFormatting>
  <conditionalFormatting sqref="R80 R77">
    <cfRule type="expression" dxfId="984" priority="212" stopIfTrue="1">
      <formula>$M$85&gt;=0</formula>
    </cfRule>
    <cfRule type="expression" priority="213">
      <formula>$M$85&lt;0</formula>
    </cfRule>
  </conditionalFormatting>
  <conditionalFormatting sqref="U87:U88 O88:Q88">
    <cfRule type="cellIs" dxfId="983" priority="211" stopIfTrue="1" operator="notEqual">
      <formula>#REF!</formula>
    </cfRule>
  </conditionalFormatting>
  <conditionalFormatting sqref="O13">
    <cfRule type="expression" dxfId="982" priority="195">
      <formula>$P$13&lt;&gt;$M$13</formula>
    </cfRule>
  </conditionalFormatting>
  <conditionalFormatting sqref="U87:U88 O88:Q88">
    <cfRule type="cellIs" dxfId="981" priority="194" stopIfTrue="1" operator="notEqual">
      <formula>#REF!</formula>
    </cfRule>
  </conditionalFormatting>
  <conditionalFormatting sqref="Q36">
    <cfRule type="expression" dxfId="980" priority="31">
      <formula>#REF!&lt;&gt;#REF!</formula>
    </cfRule>
  </conditionalFormatting>
  <conditionalFormatting sqref="R35">
    <cfRule type="expression" dxfId="979" priority="30">
      <formula>#REF!&lt;&gt;0</formula>
    </cfRule>
  </conditionalFormatting>
  <conditionalFormatting sqref="Q35">
    <cfRule type="expression" dxfId="978" priority="29">
      <formula>#REF!&lt;&gt;0</formula>
    </cfRule>
  </conditionalFormatting>
  <conditionalFormatting sqref="R36">
    <cfRule type="expression" dxfId="977" priority="28">
      <formula>#REF!&lt;&gt;#REF!</formula>
    </cfRule>
  </conditionalFormatting>
  <conditionalFormatting sqref="D93:M98 T94:T95 R90:S95 U87:X91 T90:T91 Y90:Y95 O88:O92 P88:Q93 U93:X93 V92:X92">
    <cfRule type="cellIs" dxfId="976" priority="27" stopIfTrue="1" operator="notEqual">
      <formula>#REF!</formula>
    </cfRule>
  </conditionalFormatting>
  <conditionalFormatting sqref="P70">
    <cfRule type="expression" dxfId="975" priority="26">
      <formula>$P$69&lt;&gt;$M$69</formula>
    </cfRule>
  </conditionalFormatting>
  <conditionalFormatting sqref="AB72">
    <cfRule type="expression" dxfId="974" priority="25">
      <formula>$AB$71&lt;&gt;0</formula>
    </cfRule>
  </conditionalFormatting>
  <conditionalFormatting sqref="P71">
    <cfRule type="expression" dxfId="973" priority="24">
      <formula>P69-INT(P69)</formula>
    </cfRule>
  </conditionalFormatting>
  <conditionalFormatting sqref="V70">
    <cfRule type="expression" dxfId="972" priority="23">
      <formula>X68-INT(X68)</formula>
    </cfRule>
  </conditionalFormatting>
  <conditionalFormatting sqref="O12">
    <cfRule type="expression" dxfId="971" priority="22">
      <formula>$P$12&lt;&gt;$M$12</formula>
    </cfRule>
  </conditionalFormatting>
  <conditionalFormatting sqref="T94:T95 R90:S95 U87:U91 T90:T91 O88:O92 P88:Q93 U93">
    <cfRule type="cellIs" dxfId="970" priority="20" stopIfTrue="1" operator="notEqual">
      <formula>#REF!</formula>
    </cfRule>
  </conditionalFormatting>
  <conditionalFormatting sqref="R84">
    <cfRule type="expression" priority="18" stopIfTrue="1">
      <formula>$M$85&lt;0</formula>
    </cfRule>
    <cfRule type="expression" dxfId="969" priority="19">
      <formula>$S$85&lt;&gt;0</formula>
    </cfRule>
  </conditionalFormatting>
  <conditionalFormatting sqref="R80 R77">
    <cfRule type="expression" dxfId="968" priority="16" stopIfTrue="1">
      <formula>$M$85&gt;=0</formula>
    </cfRule>
    <cfRule type="expression" priority="17">
      <formula>$M$85&lt;0</formula>
    </cfRule>
  </conditionalFormatting>
  <conditionalFormatting sqref="U87:U88 R89:U91 O88:Q92 R92:S92">
    <cfRule type="cellIs" dxfId="967" priority="15" stopIfTrue="1" operator="notEqual">
      <formula>#REF!</formula>
    </cfRule>
  </conditionalFormatting>
  <conditionalFormatting sqref="M101">
    <cfRule type="expression" dxfId="966" priority="14">
      <formula>$M$101&lt;&gt;0</formula>
    </cfRule>
  </conditionalFormatting>
  <conditionalFormatting sqref="M102">
    <cfRule type="expression" dxfId="965" priority="13">
      <formula>$M$93&lt;&gt;$M$100</formula>
    </cfRule>
  </conditionalFormatting>
  <conditionalFormatting sqref="U87:U91 R90:T91 O88:Q92 R92:S92">
    <cfRule type="cellIs" dxfId="964" priority="12" stopIfTrue="1" operator="notEqual">
      <formula>#REF!</formula>
    </cfRule>
  </conditionalFormatting>
  <conditionalFormatting sqref="T89:U89 Q91 T90 O89:O90 P89:Q89 R89:S91">
    <cfRule type="cellIs" dxfId="963" priority="11" stopIfTrue="1" operator="notEqual">
      <formula>#REF!</formula>
    </cfRule>
  </conditionalFormatting>
  <conditionalFormatting sqref="Q36">
    <cfRule type="expression" dxfId="962" priority="10">
      <formula>#REF!&lt;&gt;#REF!</formula>
    </cfRule>
  </conditionalFormatting>
  <conditionalFormatting sqref="R35">
    <cfRule type="expression" dxfId="961" priority="9">
      <formula>#REF!&lt;&gt;0</formula>
    </cfRule>
  </conditionalFormatting>
  <conditionalFormatting sqref="Q35">
    <cfRule type="expression" dxfId="960" priority="8">
      <formula>#REF!&lt;&gt;0</formula>
    </cfRule>
  </conditionalFormatting>
  <conditionalFormatting sqref="R36">
    <cfRule type="expression" dxfId="959" priority="7">
      <formula>#REF!&lt;&gt;#REF!</formula>
    </cfRule>
  </conditionalFormatting>
  <conditionalFormatting sqref="G59:K59">
    <cfRule type="expression" dxfId="958" priority="5">
      <formula>OR($P$105&gt;0,$P$106&lt;&gt;0,$P$107&lt;&gt;0)</formula>
    </cfRule>
  </conditionalFormatting>
  <conditionalFormatting sqref="T92:U92">
    <cfRule type="cellIs" dxfId="957" priority="4" stopIfTrue="1" operator="notEqual">
      <formula>#REF!</formula>
    </cfRule>
  </conditionalFormatting>
  <conditionalFormatting sqref="T92:U92">
    <cfRule type="cellIs" dxfId="956" priority="3" stopIfTrue="1" operator="notEqual">
      <formula>#REF!</formula>
    </cfRule>
  </conditionalFormatting>
  <conditionalFormatting sqref="T92:U92">
    <cfRule type="cellIs" dxfId="955" priority="2" stopIfTrue="1" operator="notEqual">
      <formula>#REF!</formula>
    </cfRule>
  </conditionalFormatting>
  <conditionalFormatting sqref="T92:U92">
    <cfRule type="cellIs" dxfId="954" priority="1" stopIfTrue="1" operator="notEqual">
      <formula>#REF!</formula>
    </cfRule>
  </conditionalFormatting>
  <hyperlinks>
    <hyperlink ref="O2" location="Index!A1" display="Return to Index" xr:uid="{00000000-0004-0000-4B00-000000000000}"/>
  </hyperlinks>
  <printOptions horizontalCentered="1"/>
  <pageMargins left="0.5" right="0.5" top="0.25" bottom="0.25" header="0" footer="0.25"/>
  <pageSetup scale="10"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62"/>
  <dimension ref="A1:G30"/>
  <sheetViews>
    <sheetView showGridLines="0" zoomScale="80" zoomScaleNormal="80" workbookViewId="0">
      <selection activeCell="E74" sqref="E74:F74"/>
    </sheetView>
  </sheetViews>
  <sheetFormatPr defaultColWidth="9.140625" defaultRowHeight="12.75"/>
  <cols>
    <col min="1" max="1" width="7" style="53" customWidth="1"/>
    <col min="2" max="2" width="93.140625" style="53" customWidth="1"/>
    <col min="3" max="3" width="19.85546875" style="53" customWidth="1"/>
    <col min="4" max="9" width="9.140625" style="53"/>
    <col min="10" max="10" width="15" style="53" customWidth="1"/>
    <col min="11" max="16384" width="9.140625" style="53"/>
  </cols>
  <sheetData>
    <row r="1" spans="2:6" ht="18.75" thickBot="1">
      <c r="B1" s="466" t="str">
        <f>'TAMUCC Chrts'!$A$1</f>
        <v>Texas A&amp;M University - Corpus Christi</v>
      </c>
      <c r="C1" s="835" t="s">
        <v>1200</v>
      </c>
    </row>
    <row r="2" spans="2:6">
      <c r="B2" s="393" t="str">
        <f>'Smmy Chrts'!$A$2</f>
        <v>For the Year Ended August 31, 2021</v>
      </c>
    </row>
    <row r="3" spans="2:6">
      <c r="B3" s="393" t="str">
        <f>'Smmy Chrts'!$A$3</f>
        <v>Source: FY 2021 Annual Financial Report</v>
      </c>
    </row>
    <row r="5" spans="2:6" customFormat="1">
      <c r="B5" s="529" t="s">
        <v>705</v>
      </c>
    </row>
    <row r="6" spans="2:6" customFormat="1">
      <c r="B6" s="530"/>
    </row>
    <row r="7" spans="2:6" customFormat="1" ht="226.5" customHeight="1">
      <c r="B7" s="531" t="s">
        <v>706</v>
      </c>
      <c r="C7" s="532"/>
    </row>
    <row r="8" spans="2:6" customFormat="1" ht="263.25" customHeight="1">
      <c r="B8" s="531" t="s">
        <v>707</v>
      </c>
    </row>
    <row r="9" spans="2:6" ht="64.5" customHeight="1">
      <c r="B9" s="533" t="str">
        <f>IF('TAMUCC FGD'!$R$76="N/A","FN11.  N/A",$B$20&amp;$B$21&amp;$B$22&amp;$B$23&amp;$B$24&amp;$B$25&amp;$B$26&amp;$B$27&amp;$B$28&amp;$B$29&amp;$B$30)</f>
        <v>FN11: Of the net increase of $35,229,028 approximately $16.0 million represents revenues received but not yet expended. This income is fully committed to program expenditures and capital disbursements. The remaining $19.2 million represents non-expendable funds from unrealized gains and additions to permanent endowments of approximately $18.8 million and $420 thousand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TEXT(IF('TAMUCC FGD'!$M$85&lt;0,"N/A",'TAMUCC FGD'!$M$85),"$* #,##0;$* (#,##0)")</f>
        <v>$35,229,028</v>
      </c>
      <c r="C21" s="480"/>
      <c r="D21" s="480"/>
      <c r="E21" s="480"/>
      <c r="G21" s="105"/>
    </row>
    <row r="22" spans="1:7">
      <c r="B22" s="105" t="s">
        <v>682</v>
      </c>
    </row>
    <row r="23" spans="1:7">
      <c r="A23" s="53">
        <v>61</v>
      </c>
      <c r="B23" s="515" t="str">
        <f>IF(ABS('TAMUCC FGD'!$R$77)&gt;=1000000,TEXT('TAMUCC FGD'!$R$77/1000000,"$* #,##0.0;$* (#,##0.0)")&amp;" million",IF(ABS('TAMUCC FGD'!$R$77)&lt;1000,TEXT('TAMUCC FGD'!$R$77,"$* #,##0;$* (#,##0)"),TEXT('TAMUCC FGD'!$R$77/1000,"$* #,##0;$* (#,##0)")&amp;" thousand"))</f>
        <v>$16.0 million</v>
      </c>
      <c r="C23" s="515"/>
      <c r="E23" s="515"/>
    </row>
    <row r="24" spans="1:7">
      <c r="B24" s="105" t="s">
        <v>708</v>
      </c>
    </row>
    <row r="25" spans="1:7">
      <c r="A25" s="53">
        <v>62</v>
      </c>
      <c r="B25" s="515" t="str">
        <f>IF(ABS('TAMUCC FGD'!$R$78)&gt;=1000000,TEXT('TAMUCC FGD'!$R$78/1000000,"$* #,##0.0;$* (#,##0.0)")&amp;" million",IF(ABS('TAMUCC FGD'!$R$78)&lt;1000,TEXT('TAMUCC FGD'!$R$78,"$* #,##0;$* (#,##0)"),TEXT('TAMUCC FGD'!$R$78/1000,"$* #,##0;$* (#,##0)")&amp;" thousand"))</f>
        <v>$19.2 million</v>
      </c>
      <c r="C25" s="515"/>
      <c r="E25" s="515"/>
    </row>
    <row r="26" spans="1:7">
      <c r="B26" s="105" t="s">
        <v>683</v>
      </c>
    </row>
    <row r="27" spans="1:7">
      <c r="A27" s="53">
        <v>64</v>
      </c>
      <c r="B27" s="515" t="str">
        <f>IF(ABS('TAMUCC FGD'!$R$80)&gt;=1000000,TEXT('TAMUCC FGD'!$R$80/1000000,"$* #,##0.0;$* (#,##0.0)")&amp;" million",IF(ABS('TAMUCC FGD'!$R$80)&lt;1000,TEXT('TAMUCC FGD'!$R$80,"$* #,##0;$* (#,##0)"),TEXT('TAMUCC FGD'!$R$80/1000,"$* #,##0;$* (#,##0)")&amp;" thousand"))</f>
        <v>$18.8 million</v>
      </c>
      <c r="C27" s="515"/>
      <c r="E27" s="515"/>
    </row>
    <row r="28" spans="1:7">
      <c r="B28" s="105" t="s">
        <v>684</v>
      </c>
    </row>
    <row r="29" spans="1:7">
      <c r="A29" s="53">
        <v>66</v>
      </c>
      <c r="B29" s="515" t="str">
        <f>IF(ABS('TAMUCC FGD'!$R$82)&gt;=1000000,TEXT('TAMUCC FGD'!$R$82/1000000,"$* #,##0.0;$* (#,##0.0)")&amp;" million",IF(ABS('TAMUCC FGD'!$R$82)&lt;1000,TEXT('TAMUCC FGD'!$R$82,"$* #,##0;$* (#,##0)"),TEXT('TAMUCC FGD'!$R$82/1000,"$* #,##0;$* (#,##0)")&amp;" thousand"))</f>
        <v>$420 thousand</v>
      </c>
      <c r="C29" s="515"/>
      <c r="E29" s="515"/>
    </row>
    <row r="30" spans="1:7">
      <c r="B30" s="105" t="s">
        <v>709</v>
      </c>
    </row>
  </sheetData>
  <hyperlinks>
    <hyperlink ref="C1" location="Index!A1" display="Return to Index" xr:uid="{00000000-0004-0000-4C00-000000000000}"/>
  </hyperlinks>
  <pageMargins left="0.25" right="0.25" top="0.25" bottom="0.25" header="0" footer="0.25"/>
  <pageSetup orientation="portrait"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63">
    <tabColor indexed="47"/>
    <pageSetUpPr fitToPage="1"/>
  </sheetPr>
  <dimension ref="A1:E165"/>
  <sheetViews>
    <sheetView showGridLines="0" zoomScale="65" zoomScaleNormal="65" zoomScaleSheetLayoutView="65" workbookViewId="0">
      <selection activeCell="B40" sqref="B40"/>
    </sheetView>
  </sheetViews>
  <sheetFormatPr defaultColWidth="9.140625" defaultRowHeight="12.75" customHeight="1"/>
  <cols>
    <col min="1" max="1" width="158.7109375" style="53" customWidth="1"/>
    <col min="2" max="2" width="21.7109375" style="53" customWidth="1"/>
    <col min="3" max="3" width="54.7109375" style="53" customWidth="1"/>
    <col min="4" max="4" width="20.7109375" style="53" customWidth="1"/>
    <col min="5" max="5" width="9.140625" style="679"/>
    <col min="6" max="16384" width="9.140625" style="53"/>
  </cols>
  <sheetData>
    <row r="1" spans="1:5" ht="28.5" thickBot="1">
      <c r="A1" s="159" t="s">
        <v>110</v>
      </c>
      <c r="B1" s="835" t="s">
        <v>1200</v>
      </c>
      <c r="C1" s="53" t="s">
        <v>1329</v>
      </c>
    </row>
    <row r="2" spans="1:5" ht="27.75">
      <c r="A2" s="54" t="str">
        <f>'Smmy Chrts'!$A$2</f>
        <v>For the Year Ended August 31, 2021</v>
      </c>
      <c r="C2" s="55" t="s">
        <v>63</v>
      </c>
    </row>
    <row r="3" spans="1:5" ht="27.75">
      <c r="A3" s="54" t="str">
        <f>'Smmy Chrts'!$A$3</f>
        <v>Source: FY 2021 Annual Financial Report</v>
      </c>
      <c r="C3" s="53" t="s">
        <v>64</v>
      </c>
    </row>
    <row r="4" spans="1:5" ht="12.75" customHeight="1">
      <c r="C4" s="53" t="s">
        <v>267</v>
      </c>
    </row>
    <row r="5" spans="1:5" ht="12.75" customHeight="1">
      <c r="C5" s="53" t="s">
        <v>268</v>
      </c>
    </row>
    <row r="7" spans="1:5" ht="12.75" customHeight="1">
      <c r="C7" s="1687" t="s">
        <v>25</v>
      </c>
      <c r="D7" s="1687"/>
    </row>
    <row r="8" spans="1:5" ht="12.75" customHeight="1">
      <c r="C8" s="57"/>
      <c r="D8" s="58"/>
    </row>
    <row r="9" spans="1:5" ht="12.75" customHeight="1">
      <c r="C9" s="59" t="str">
        <f>'TAMUK Sum'!A9</f>
        <v>State of Texas</v>
      </c>
      <c r="D9" s="60">
        <f>'TAMUK Sum'!B15</f>
        <v>62482317</v>
      </c>
      <c r="E9" s="680">
        <f>ROUND(D9/$D$14,3)</f>
        <v>0.34399999999999997</v>
      </c>
    </row>
    <row r="10" spans="1:5" ht="12.75" customHeight="1">
      <c r="C10" s="59" t="str">
        <f>'TAMUK Sum'!A17</f>
        <v>Student &amp; Parent</v>
      </c>
      <c r="D10" s="60">
        <f>'TAMUK Sum'!B20</f>
        <v>39587132</v>
      </c>
      <c r="E10" s="680">
        <f t="shared" ref="E10:E12" si="0">ROUND(D10/$D$14,3)</f>
        <v>0.218</v>
      </c>
    </row>
    <row r="11" spans="1:5" ht="12.75" customHeight="1">
      <c r="C11" s="59" t="str">
        <f>'TAMUK Sum'!A22</f>
        <v>Federal Government</v>
      </c>
      <c r="D11" s="60">
        <f>'TAMUK Sum'!B23</f>
        <v>47273104</v>
      </c>
      <c r="E11" s="680">
        <f t="shared" si="0"/>
        <v>0.26</v>
      </c>
    </row>
    <row r="12" spans="1:5" ht="12.75" customHeight="1">
      <c r="C12" s="59" t="str">
        <f>'TAMUK Sum'!A25</f>
        <v>Institutional Resources</v>
      </c>
      <c r="D12" s="60">
        <f>'TAMUK Sum'!B32</f>
        <v>32402076</v>
      </c>
      <c r="E12" s="680">
        <f t="shared" si="0"/>
        <v>0.17799999999999999</v>
      </c>
    </row>
    <row r="13" spans="1:5" ht="12.75" customHeight="1">
      <c r="C13" s="57"/>
      <c r="D13" s="58"/>
      <c r="E13" s="680"/>
    </row>
    <row r="14" spans="1:5" ht="12.75" customHeight="1">
      <c r="C14" s="61" t="s">
        <v>68</v>
      </c>
      <c r="D14" s="62">
        <f>SUM(D9:D13)</f>
        <v>181744629</v>
      </c>
      <c r="E14" s="680">
        <f>SUM(E9:E13)</f>
        <v>1</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86" t="str">
        <f>C14&amp;" "&amp;TEXT(D14,"$#,###")</f>
        <v>Total Operating Sources $181,744,629</v>
      </c>
    </row>
    <row r="48" spans="1:1" ht="12.75" customHeight="1">
      <c r="A48" s="1686"/>
    </row>
    <row r="49" spans="1:5" ht="12.75" customHeight="1">
      <c r="A49" s="56"/>
    </row>
    <row r="52" spans="1:5" ht="12.75" customHeight="1">
      <c r="C52" s="63" t="s">
        <v>25</v>
      </c>
      <c r="D52" s="58"/>
    </row>
    <row r="54" spans="1:5" ht="12.75" customHeight="1">
      <c r="C54" s="59" t="s">
        <v>1</v>
      </c>
      <c r="D54" s="60">
        <f>'TAMUK Sum'!B10</f>
        <v>44491731</v>
      </c>
      <c r="E54" s="680">
        <f>ROUND(D54/$D$67,3)</f>
        <v>0.245</v>
      </c>
    </row>
    <row r="55" spans="1:5" ht="12.75" customHeight="1">
      <c r="C55" s="59" t="s">
        <v>221</v>
      </c>
      <c r="D55" s="60">
        <f>'TAMUK Sum'!B11</f>
        <v>9132526</v>
      </c>
      <c r="E55" s="680">
        <f t="shared" ref="E55:E66" si="1">ROUND(D55/$D$67,3)</f>
        <v>0.05</v>
      </c>
    </row>
    <row r="56" spans="1:5" ht="12.75" customHeight="1">
      <c r="C56" s="59"/>
      <c r="D56" s="60"/>
      <c r="E56" s="680"/>
    </row>
    <row r="57" spans="1:5" ht="12.75" customHeight="1">
      <c r="C57" s="59" t="str">
        <f>'TAMUK Sum'!A13</f>
        <v>Higher Education Fund</v>
      </c>
      <c r="D57" s="60">
        <f>'TAMUK Sum'!B13</f>
        <v>8858060</v>
      </c>
      <c r="E57" s="680">
        <f t="shared" si="1"/>
        <v>4.9000000000000002E-2</v>
      </c>
    </row>
    <row r="58" spans="1:5" ht="12.75" customHeight="1">
      <c r="C58" s="1069" t="s">
        <v>41</v>
      </c>
      <c r="D58" s="60">
        <f>'TAMUK Sum'!B14</f>
        <v>0</v>
      </c>
      <c r="E58" s="680">
        <f t="shared" si="1"/>
        <v>0</v>
      </c>
    </row>
    <row r="59" spans="1:5" ht="12.75" customHeight="1">
      <c r="C59" s="59" t="s">
        <v>87</v>
      </c>
      <c r="D59" s="60">
        <f>'TAMUK Sum'!B20</f>
        <v>39587132</v>
      </c>
      <c r="E59" s="680">
        <f t="shared" si="1"/>
        <v>0.218</v>
      </c>
    </row>
    <row r="60" spans="1:5" ht="12.75" customHeight="1">
      <c r="C60" s="64" t="s">
        <v>74</v>
      </c>
      <c r="D60" s="60">
        <f>'TAMUK Sum'!B23</f>
        <v>47273104</v>
      </c>
      <c r="E60" s="680">
        <f t="shared" si="1"/>
        <v>0.26</v>
      </c>
    </row>
    <row r="61" spans="1:5" ht="12.75" customHeight="1">
      <c r="C61" s="59" t="s">
        <v>75</v>
      </c>
      <c r="D61" s="60">
        <f>'TAMUK Sum'!B26</f>
        <v>6346344</v>
      </c>
      <c r="E61" s="680">
        <f t="shared" si="1"/>
        <v>3.5000000000000003E-2</v>
      </c>
    </row>
    <row r="62" spans="1:5" ht="12.75" customHeight="1">
      <c r="C62" s="1069" t="s">
        <v>27</v>
      </c>
      <c r="D62" s="60">
        <f>'TAMUK Sum'!B27</f>
        <v>0</v>
      </c>
      <c r="E62" s="680">
        <f t="shared" si="1"/>
        <v>0</v>
      </c>
    </row>
    <row r="63" spans="1:5" ht="12.75" customHeight="1">
      <c r="C63" s="59" t="s">
        <v>76</v>
      </c>
      <c r="D63" s="60">
        <f>'TAMUK Sum'!B28</f>
        <v>10154485</v>
      </c>
      <c r="E63" s="680">
        <f t="shared" si="1"/>
        <v>5.6000000000000001E-2</v>
      </c>
    </row>
    <row r="64" spans="1:5" ht="12.75" customHeight="1">
      <c r="C64" s="59" t="s">
        <v>77</v>
      </c>
      <c r="D64" s="60">
        <f>'TAMUK Sum'!B29</f>
        <v>1557732</v>
      </c>
      <c r="E64" s="680">
        <f t="shared" si="1"/>
        <v>8.9999999999999993E-3</v>
      </c>
    </row>
    <row r="65" spans="1:5" ht="12.75" customHeight="1">
      <c r="C65" s="59" t="s">
        <v>220</v>
      </c>
      <c r="D65" s="60">
        <f>'TAMUK Sum'!B30</f>
        <v>10375585</v>
      </c>
      <c r="E65" s="680">
        <f t="shared" si="1"/>
        <v>5.7000000000000002E-2</v>
      </c>
    </row>
    <row r="66" spans="1:5" ht="12.75" customHeight="1">
      <c r="C66" s="64" t="s">
        <v>52</v>
      </c>
      <c r="D66" s="60">
        <f>'TAMUK Sum'!B31</f>
        <v>3967930</v>
      </c>
      <c r="E66" s="680">
        <f t="shared" si="1"/>
        <v>2.1999999999999999E-2</v>
      </c>
    </row>
    <row r="67" spans="1:5" ht="12.75" customHeight="1">
      <c r="C67" s="61" t="s">
        <v>68</v>
      </c>
      <c r="D67" s="62">
        <f>SUM(D54:D66)</f>
        <v>181744629</v>
      </c>
      <c r="E67" s="681">
        <f>SUM(E54:E66)</f>
        <v>1.0010000000000001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86" t="str">
        <f>C67&amp;" "&amp;TEXT(D67,"$#,###")</f>
        <v>Total Operating Sources $181,744,629</v>
      </c>
    </row>
    <row r="93" spans="1:5" ht="12.75" customHeight="1">
      <c r="A93" s="1686"/>
    </row>
    <row r="94" spans="1:5" ht="12.75" customHeight="1">
      <c r="A94" s="65"/>
    </row>
    <row r="95" spans="1:5" s="68" customFormat="1" ht="12.75" customHeight="1">
      <c r="A95" s="66"/>
      <c r="E95" s="682"/>
    </row>
    <row r="96" spans="1:5" ht="12.75" customHeight="1">
      <c r="A96" s="65"/>
    </row>
    <row r="97" spans="1:5" ht="12.75" customHeight="1">
      <c r="A97" s="65"/>
    </row>
    <row r="98" spans="1:5" ht="12.75" customHeight="1">
      <c r="A98" s="65"/>
    </row>
    <row r="100" spans="1:5" ht="12.75" customHeight="1">
      <c r="C100" s="1687" t="s">
        <v>13</v>
      </c>
      <c r="D100" s="1687"/>
    </row>
    <row r="101" spans="1:5" ht="12.75" customHeight="1">
      <c r="C101" s="1687"/>
      <c r="D101" s="1687"/>
    </row>
    <row r="102" spans="1:5" ht="12.75" customHeight="1">
      <c r="C102" s="69" t="s">
        <v>14</v>
      </c>
      <c r="D102" s="60">
        <f>'TAMUK Sum'!B36</f>
        <v>42177217</v>
      </c>
      <c r="E102" s="680">
        <f>ROUND(D102/$D$114,3)</f>
        <v>0.27800000000000002</v>
      </c>
    </row>
    <row r="103" spans="1:5" ht="12.75" customHeight="1">
      <c r="C103" s="69" t="s">
        <v>15</v>
      </c>
      <c r="D103" s="60">
        <f>'TAMUK Sum'!B37</f>
        <v>19181940</v>
      </c>
      <c r="E103" s="680">
        <f t="shared" ref="E103:E112" si="2">ROUND(D103/$D$114,3)</f>
        <v>0.127</v>
      </c>
    </row>
    <row r="104" spans="1:5" ht="12.75" customHeight="1">
      <c r="C104" s="69" t="s">
        <v>16</v>
      </c>
      <c r="D104" s="60">
        <f>'TAMUK Sum'!B38</f>
        <v>382600</v>
      </c>
      <c r="E104" s="680">
        <f t="shared" si="2"/>
        <v>3.0000000000000001E-3</v>
      </c>
    </row>
    <row r="105" spans="1:5" ht="12.75" customHeight="1">
      <c r="C105" s="69" t="s">
        <v>17</v>
      </c>
      <c r="D105" s="60">
        <f>'TAMUK Sum'!B39</f>
        <v>12607756</v>
      </c>
      <c r="E105" s="680">
        <f t="shared" si="2"/>
        <v>8.3000000000000004E-2</v>
      </c>
    </row>
    <row r="106" spans="1:5" ht="12.75" customHeight="1">
      <c r="C106" s="69" t="s">
        <v>18</v>
      </c>
      <c r="D106" s="60">
        <f>'TAMUK Sum'!B40</f>
        <v>13277146</v>
      </c>
      <c r="E106" s="680">
        <f t="shared" si="2"/>
        <v>8.7999999999999995E-2</v>
      </c>
    </row>
    <row r="107" spans="1:5" ht="12.75" customHeight="1">
      <c r="C107" s="69" t="s">
        <v>19</v>
      </c>
      <c r="D107" s="60">
        <f>'TAMUK Sum'!B41</f>
        <v>11394161</v>
      </c>
      <c r="E107" s="680">
        <f t="shared" si="2"/>
        <v>7.4999999999999997E-2</v>
      </c>
    </row>
    <row r="108" spans="1:5" ht="12.75" customHeight="1">
      <c r="C108" s="69" t="s">
        <v>78</v>
      </c>
      <c r="D108" s="60">
        <f>'TAMUK Sum'!B42</f>
        <v>12419709</v>
      </c>
      <c r="E108" s="680">
        <f t="shared" si="2"/>
        <v>8.2000000000000003E-2</v>
      </c>
    </row>
    <row r="109" spans="1:5" ht="12.75" customHeight="1">
      <c r="C109" s="69" t="s">
        <v>79</v>
      </c>
      <c r="D109" s="60">
        <f>'TAMUK Sum'!B43</f>
        <v>17085572</v>
      </c>
      <c r="E109" s="680">
        <f t="shared" si="2"/>
        <v>0.113</v>
      </c>
    </row>
    <row r="110" spans="1:5" ht="12.75" customHeight="1">
      <c r="C110" s="69" t="s">
        <v>22</v>
      </c>
      <c r="D110" s="60">
        <f>'TAMUK Sum'!B44</f>
        <v>19468544</v>
      </c>
      <c r="E110" s="680">
        <f t="shared" si="2"/>
        <v>0.128</v>
      </c>
    </row>
    <row r="111" spans="1:5" ht="12.75" customHeight="1">
      <c r="C111" s="64" t="s">
        <v>29</v>
      </c>
      <c r="D111" s="60">
        <f>'TAMUK Sum'!B45</f>
        <v>2014998</v>
      </c>
      <c r="E111" s="680">
        <f t="shared" si="2"/>
        <v>1.2999999999999999E-2</v>
      </c>
    </row>
    <row r="112" spans="1:5" ht="12.75" customHeight="1">
      <c r="C112" s="64" t="s">
        <v>53</v>
      </c>
      <c r="D112" s="60">
        <f>'TAMUK Sum'!B46</f>
        <v>1614828</v>
      </c>
      <c r="E112" s="680">
        <f t="shared" si="2"/>
        <v>1.0999999999999999E-2</v>
      </c>
    </row>
    <row r="113" spans="3:5" ht="12.75" customHeight="1">
      <c r="C113" s="57"/>
      <c r="D113" s="57"/>
    </row>
    <row r="114" spans="3:5" ht="12.75" customHeight="1">
      <c r="C114" s="70" t="s">
        <v>69</v>
      </c>
      <c r="D114" s="62">
        <f>SUM(D102:D113)</f>
        <v>151624471</v>
      </c>
      <c r="E114" s="681">
        <f>SUM(E102:E113)</f>
        <v>1.0009999999999999</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86" t="str">
        <f>C114&amp;" "&amp;TEXT(D114,"$#,###")</f>
        <v>Total Operating Uses $151,624,471</v>
      </c>
    </row>
    <row r="137" spans="1:1" ht="12.75" customHeight="1">
      <c r="A137" s="1686"/>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4D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ransitionEvaluation="1" transitionEntry="1" codeName="Sheet64">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'TAMUK Chrts'!$A$1</f>
        <v>Texas A&amp;M University - Kingsville</v>
      </c>
      <c r="B1" s="74"/>
      <c r="C1" s="1"/>
      <c r="D1" s="1704" t="s">
        <v>1200</v>
      </c>
      <c r="E1" s="1705"/>
      <c r="F1" s="1757" t="s">
        <v>1196</v>
      </c>
      <c r="G1" s="1706"/>
      <c r="H1" s="1706"/>
      <c r="I1" s="1706"/>
      <c r="J1" s="1707" t="s">
        <v>1197</v>
      </c>
      <c r="K1" s="1695"/>
      <c r="L1" s="1695"/>
      <c r="M1" s="1695"/>
      <c r="N1" s="1695"/>
      <c r="O1" s="1696"/>
    </row>
    <row r="2" spans="1:15" ht="15.75">
      <c r="A2" s="76" t="str">
        <f>'Smmy Chrts'!$A$2</f>
        <v>For the Year Ended August 31, 2021</v>
      </c>
      <c r="B2" s="74"/>
      <c r="C2" s="1"/>
      <c r="D2" s="37"/>
      <c r="E2" s="37"/>
      <c r="F2" s="37"/>
      <c r="J2" s="37"/>
      <c r="K2" s="37"/>
      <c r="L2" s="37"/>
      <c r="M2" s="37"/>
    </row>
    <row r="3" spans="1:15" ht="15.75">
      <c r="A3" s="76" t="str">
        <f>'Smmy Chrts'!$A$3</f>
        <v>Source: FY 2021 Annual Financial Report</v>
      </c>
      <c r="B3" s="74"/>
      <c r="C3" s="1"/>
    </row>
    <row r="4" spans="1:15" ht="13.5" customHeight="1">
      <c r="B4" s="77"/>
      <c r="C4" s="4"/>
      <c r="D4" s="1711" t="s">
        <v>1142</v>
      </c>
      <c r="E4" s="1711" t="s">
        <v>1143</v>
      </c>
      <c r="F4" s="266"/>
    </row>
    <row r="5" spans="1:15" ht="18">
      <c r="A5" s="39" t="str">
        <f>'Smmy Chrts'!$C$35</f>
        <v>Summary Worksheet FY 2021</v>
      </c>
      <c r="B5" s="40" t="s">
        <v>86</v>
      </c>
      <c r="C5" s="40" t="s">
        <v>129</v>
      </c>
      <c r="D5" s="1712"/>
      <c r="E5" s="1712"/>
      <c r="F5" s="266"/>
      <c r="G5" s="799" t="s">
        <v>1198</v>
      </c>
      <c r="I5" s="822" t="s">
        <v>2157</v>
      </c>
      <c r="J5" s="792" t="s">
        <v>1144</v>
      </c>
    </row>
    <row r="6" spans="1:15" ht="13.5" customHeight="1">
      <c r="A6" s="78" t="s">
        <v>266</v>
      </c>
      <c r="B6" s="41"/>
      <c r="C6" s="42">
        <f>VLOOKUP($A$1,FTSELU,12,FALSE)</f>
        <v>5616.08</v>
      </c>
      <c r="J6" s="712"/>
    </row>
    <row r="7" spans="1:15">
      <c r="I7" s="824" t="s">
        <v>1162</v>
      </c>
      <c r="J7" s="827"/>
    </row>
    <row r="8" spans="1:15">
      <c r="A8" s="81" t="s">
        <v>71</v>
      </c>
      <c r="B8" s="81"/>
      <c r="C8" s="24"/>
      <c r="I8" s="896">
        <f>VLOOKUP(A1,FTSELU,14,FALSE)</f>
        <v>671.01</v>
      </c>
      <c r="J8" s="712"/>
    </row>
    <row r="9" spans="1:15" ht="12.75" customHeight="1" thickBot="1">
      <c r="A9" s="78" t="s">
        <v>0</v>
      </c>
      <c r="B9" s="82"/>
      <c r="C9" s="7"/>
      <c r="J9" s="712"/>
    </row>
    <row r="10" spans="1:15" ht="12.75" customHeight="1" thickTop="1">
      <c r="A10" s="75" t="s">
        <v>1</v>
      </c>
      <c r="B10" s="83">
        <f>'TAMUK FGD'!M10</f>
        <v>44491731</v>
      </c>
      <c r="C10" s="83">
        <f>ROUND(B10/$C$6,0)</f>
        <v>7922</v>
      </c>
      <c r="D10" s="512">
        <f>'TAMUK FGD'!F10</f>
        <v>0</v>
      </c>
      <c r="E10" s="512"/>
      <c r="F10" s="84">
        <f>B10-(SUM(D10:E10))</f>
        <v>44491731</v>
      </c>
      <c r="G10" s="1143" t="s">
        <v>1</v>
      </c>
      <c r="H10" s="1144"/>
      <c r="I10" s="825" t="s">
        <v>1161</v>
      </c>
      <c r="J10" s="713">
        <f>ROUND(F10/$C$6,0)</f>
        <v>7922</v>
      </c>
    </row>
    <row r="11" spans="1:15" ht="12.75" customHeight="1" thickBot="1">
      <c r="A11" s="75" t="s">
        <v>2</v>
      </c>
      <c r="B11" s="86">
        <f>'TAMUK FGD'!M11</f>
        <v>9132526</v>
      </c>
      <c r="C11" s="87">
        <f t="shared" ref="C11:C14" si="0">ROUND(B11/$C$6,0)</f>
        <v>1626</v>
      </c>
      <c r="D11" s="86">
        <f>'TAMUK FGD'!F11</f>
        <v>0</v>
      </c>
      <c r="E11" s="74"/>
      <c r="F11" s="606">
        <f t="shared" ref="F11:F14" si="1">B11-(SUM(D11:E11))</f>
        <v>9132526</v>
      </c>
      <c r="G11" s="1148">
        <f>SUM(F10:F11)</f>
        <v>53624257</v>
      </c>
      <c r="H11" s="715"/>
      <c r="I11" s="1373">
        <f>ROUND($G$11/$C$6,0)</f>
        <v>9548</v>
      </c>
      <c r="J11" s="716">
        <f t="shared" ref="J11:J14" si="2">ROUND(F11/$C$6,0)</f>
        <v>1626</v>
      </c>
    </row>
    <row r="12" spans="1:15" ht="12.75" hidden="1" customHeight="1" thickTop="1" thickBot="1">
      <c r="A12" s="75" t="s">
        <v>1410</v>
      </c>
      <c r="B12" s="86"/>
      <c r="C12" s="87"/>
      <c r="D12" s="86"/>
      <c r="E12" s="74"/>
      <c r="F12" s="607"/>
      <c r="J12" s="716"/>
      <c r="O12" s="608"/>
    </row>
    <row r="13" spans="1:15" ht="12.75" customHeight="1" thickTop="1">
      <c r="A13" s="75" t="s">
        <v>1368</v>
      </c>
      <c r="B13" s="86">
        <f>'TAMUK FGD'!M13</f>
        <v>8858060</v>
      </c>
      <c r="C13" s="87">
        <f t="shared" si="0"/>
        <v>1577</v>
      </c>
      <c r="D13" s="86">
        <f>'TAMUK FGD'!F13</f>
        <v>0</v>
      </c>
      <c r="E13" s="74"/>
      <c r="F13" s="893">
        <f t="shared" si="1"/>
        <v>8858060</v>
      </c>
      <c r="G13" s="882" t="s">
        <v>81</v>
      </c>
      <c r="H13" s="894"/>
      <c r="I13" s="826" t="s">
        <v>1163</v>
      </c>
      <c r="J13" s="716">
        <f t="shared" si="2"/>
        <v>1577</v>
      </c>
    </row>
    <row r="14" spans="1:15" ht="12.75" customHeight="1" thickBot="1">
      <c r="A14" s="75" t="s">
        <v>49</v>
      </c>
      <c r="B14" s="86">
        <f>'TAMUK FGD'!M14</f>
        <v>0</v>
      </c>
      <c r="C14" s="87">
        <f t="shared" si="0"/>
        <v>0</v>
      </c>
      <c r="D14" s="86">
        <f>'TAMUK FGD'!F14</f>
        <v>0</v>
      </c>
      <c r="E14" s="74"/>
      <c r="F14" s="607">
        <f t="shared" si="1"/>
        <v>0</v>
      </c>
      <c r="G14" s="800">
        <f>SUM(F13:F14)</f>
        <v>8858060</v>
      </c>
      <c r="H14" s="895"/>
      <c r="I14" s="1377">
        <f>ROUND($G$11/$I$8,0)</f>
        <v>79916</v>
      </c>
      <c r="J14" s="828">
        <f t="shared" si="2"/>
        <v>0</v>
      </c>
    </row>
    <row r="15" spans="1:15" ht="12.75" customHeight="1" thickTop="1">
      <c r="A15" s="88" t="s">
        <v>3</v>
      </c>
      <c r="B15" s="89">
        <f>SUM(B10:B14)</f>
        <v>62482317</v>
      </c>
      <c r="C15" s="89">
        <f>SUM(C10:C14)</f>
        <v>11125</v>
      </c>
      <c r="D15" s="89">
        <f>SUM(D10:D14)</f>
        <v>0</v>
      </c>
      <c r="E15" s="89">
        <f>SUM(E10:E14)</f>
        <v>0</v>
      </c>
      <c r="F15" s="216">
        <f>SUM(F10:F14)</f>
        <v>62482317</v>
      </c>
      <c r="I15" s="1372"/>
      <c r="J15" s="757">
        <f>SUM(J10:J14)</f>
        <v>11125</v>
      </c>
    </row>
    <row r="16" spans="1:15">
      <c r="B16" s="48"/>
      <c r="C16" s="75"/>
      <c r="J16" s="712"/>
    </row>
    <row r="17" spans="1:31" ht="12.75" customHeight="1">
      <c r="A17" s="78" t="s">
        <v>4</v>
      </c>
      <c r="B17" s="86"/>
      <c r="C17" s="75"/>
      <c r="J17" s="712"/>
    </row>
    <row r="18" spans="1:31">
      <c r="A18" s="75" t="s">
        <v>39</v>
      </c>
      <c r="B18" s="83">
        <f>'TAMUK FGD'!M29</f>
        <v>21005168</v>
      </c>
      <c r="C18" s="83">
        <f t="shared" ref="C18:C19" si="3">ROUND(B18/$C$6,0)</f>
        <v>3740</v>
      </c>
      <c r="D18" s="512">
        <f>'TAMUK FGD'!$F$29</f>
        <v>0</v>
      </c>
      <c r="E18" s="512"/>
      <c r="F18" s="512">
        <f t="shared" ref="F18:F19" si="4">B18-(SUM(D18:E18))</f>
        <v>21005168</v>
      </c>
      <c r="G18" s="337"/>
      <c r="H18" s="337"/>
      <c r="I18" s="337"/>
      <c r="J18" s="713">
        <f>ROUND(F18/$C$6,0)</f>
        <v>3740</v>
      </c>
    </row>
    <row r="19" spans="1:31" ht="13.5" thickBot="1">
      <c r="A19" s="75" t="s">
        <v>40</v>
      </c>
      <c r="B19" s="86">
        <f>'TAMUK FGD'!M42</f>
        <v>18581964</v>
      </c>
      <c r="C19" s="87">
        <f t="shared" si="3"/>
        <v>3309</v>
      </c>
      <c r="D19" s="74">
        <f>'TAMUK FGD'!$F$42</f>
        <v>5421325</v>
      </c>
      <c r="E19" s="74"/>
      <c r="F19" s="74">
        <f t="shared" si="4"/>
        <v>13160639</v>
      </c>
      <c r="G19" s="337"/>
      <c r="H19" s="337"/>
      <c r="I19" s="337"/>
      <c r="J19" s="716">
        <f>ROUND(F19/$C$6,0)</f>
        <v>2343</v>
      </c>
    </row>
    <row r="20" spans="1:31" ht="14.25" thickTop="1" thickBot="1">
      <c r="A20" s="88" t="s">
        <v>5</v>
      </c>
      <c r="B20" s="89">
        <f>SUM(B18:B19)</f>
        <v>39587132</v>
      </c>
      <c r="C20" s="89">
        <f>SUM(C18:C19)</f>
        <v>7049</v>
      </c>
      <c r="D20" s="717">
        <f>SUM(D18:D19)</f>
        <v>5421325</v>
      </c>
      <c r="E20" s="718">
        <f>SUM(E18:E19)</f>
        <v>0</v>
      </c>
      <c r="F20" s="801">
        <f>SUM(F18:F19)</f>
        <v>34165807</v>
      </c>
      <c r="G20" s="720" t="s">
        <v>26</v>
      </c>
      <c r="H20" s="366"/>
      <c r="I20" s="367"/>
      <c r="J20" s="721">
        <f>SUM(J18:J19)</f>
        <v>6083</v>
      </c>
    </row>
    <row r="21" spans="1:31" ht="12.75" customHeight="1" thickTop="1">
      <c r="B21" s="91"/>
      <c r="C21" s="75"/>
      <c r="F21" s="804"/>
      <c r="J21" s="712"/>
    </row>
    <row r="22" spans="1:31" ht="14.25" customHeight="1" thickBot="1">
      <c r="A22" s="78" t="s">
        <v>6</v>
      </c>
      <c r="B22" s="91"/>
      <c r="C22" s="75"/>
      <c r="J22" s="712"/>
    </row>
    <row r="23" spans="1:31" ht="14.25" thickTop="1" thickBot="1">
      <c r="A23" s="88" t="s">
        <v>7</v>
      </c>
      <c r="B23" s="92">
        <f>'TAMUK FGD'!M47</f>
        <v>47273104</v>
      </c>
      <c r="C23" s="89">
        <f t="shared" ref="C23" si="5">ROUND(B23/$C$6,0)</f>
        <v>8417</v>
      </c>
      <c r="D23" s="717">
        <f>'TAMUK FGD'!F47</f>
        <v>0</v>
      </c>
      <c r="E23" s="718"/>
      <c r="F23" s="801">
        <f>B23-(SUM(D23:E23))</f>
        <v>47273104</v>
      </c>
      <c r="G23" s="722" t="s">
        <v>74</v>
      </c>
      <c r="H23" s="366"/>
      <c r="I23" s="367"/>
      <c r="J23" s="756">
        <f>ROUND(F23/$C$6,0)</f>
        <v>8417</v>
      </c>
    </row>
    <row r="24" spans="1:31" ht="13.5" thickTop="1">
      <c r="B24" s="91"/>
      <c r="C24" s="75"/>
      <c r="J24" s="712"/>
    </row>
    <row r="25" spans="1:31">
      <c r="A25" s="78" t="s">
        <v>8</v>
      </c>
      <c r="B25" s="91"/>
      <c r="C25" s="75"/>
      <c r="J25" s="712"/>
    </row>
    <row r="26" spans="1:31">
      <c r="A26" s="75" t="s">
        <v>42</v>
      </c>
      <c r="B26" s="83">
        <f>'TAMUK FGD'!M50</f>
        <v>6346344</v>
      </c>
      <c r="C26" s="83">
        <f t="shared" ref="C26:C31" si="6">ROUND(B26/$C$6,0)</f>
        <v>1130</v>
      </c>
      <c r="D26" s="512">
        <f>'TAMUK FGD'!F50</f>
        <v>17</v>
      </c>
      <c r="E26" s="512"/>
      <c r="F26" s="512">
        <f t="shared" ref="F26:F31" si="7">B26-(SUM(D26:E26))</f>
        <v>6346327</v>
      </c>
      <c r="G26" s="337"/>
      <c r="H26" s="337"/>
      <c r="I26" s="337"/>
      <c r="J26" s="713">
        <f>ROUND(F26/$C$6,0)</f>
        <v>1130</v>
      </c>
    </row>
    <row r="27" spans="1:31">
      <c r="A27" s="75" t="s">
        <v>9</v>
      </c>
      <c r="B27" s="86">
        <f>'TAMUK FGD'!M51</f>
        <v>0</v>
      </c>
      <c r="C27" s="87">
        <f t="shared" si="6"/>
        <v>0</v>
      </c>
      <c r="D27" s="86">
        <f>'TAMUK FGD'!F51</f>
        <v>0</v>
      </c>
      <c r="E27" s="74"/>
      <c r="F27" s="74">
        <f t="shared" si="7"/>
        <v>0</v>
      </c>
      <c r="G27" s="337"/>
      <c r="H27" s="337"/>
      <c r="I27" s="337"/>
      <c r="J27" s="716">
        <f t="shared" ref="J27:J31" si="8">ROUND(F27/$C$6,0)</f>
        <v>0</v>
      </c>
    </row>
    <row r="28" spans="1:31" ht="13.5" thickBot="1">
      <c r="A28" s="75" t="s">
        <v>10</v>
      </c>
      <c r="B28" s="86">
        <f>'TAMUK FGD'!M52</f>
        <v>10154485</v>
      </c>
      <c r="C28" s="87">
        <f t="shared" si="6"/>
        <v>1808</v>
      </c>
      <c r="D28" s="86">
        <f>'TAMUK FGD'!F52</f>
        <v>35689</v>
      </c>
      <c r="E28" s="74"/>
      <c r="F28" s="74">
        <f t="shared" si="7"/>
        <v>10118796</v>
      </c>
      <c r="G28" s="337"/>
      <c r="H28" s="337"/>
      <c r="I28" s="337"/>
      <c r="J28" s="716">
        <f t="shared" si="8"/>
        <v>1802</v>
      </c>
    </row>
    <row r="29" spans="1:31" ht="13.5" thickBot="1">
      <c r="A29" s="75" t="s">
        <v>11</v>
      </c>
      <c r="B29" s="86">
        <f>'TAMUK FGD'!M53</f>
        <v>1557732</v>
      </c>
      <c r="C29" s="87">
        <f t="shared" si="6"/>
        <v>277</v>
      </c>
      <c r="D29" s="86">
        <f>'TAMUK FGD'!F53</f>
        <v>0</v>
      </c>
      <c r="E29" s="74"/>
      <c r="F29" s="74">
        <f t="shared" si="7"/>
        <v>1557732</v>
      </c>
      <c r="G29" s="337"/>
      <c r="H29" s="337"/>
      <c r="I29" s="337"/>
      <c r="J29" s="716">
        <f t="shared" si="8"/>
        <v>277</v>
      </c>
      <c r="K29" s="1694" t="s">
        <v>1065</v>
      </c>
      <c r="L29" s="1695"/>
      <c r="M29" s="1695"/>
      <c r="N29" s="1695"/>
      <c r="O29" s="1696"/>
    </row>
    <row r="30" spans="1:31" ht="13.5" thickBot="1">
      <c r="A30" s="93" t="s">
        <v>2134</v>
      </c>
      <c r="B30" s="94">
        <f>'TAMUK FGD'!M54</f>
        <v>10375585</v>
      </c>
      <c r="C30" s="87">
        <f t="shared" si="6"/>
        <v>1847</v>
      </c>
      <c r="D30" s="729">
        <f>B30</f>
        <v>10375585</v>
      </c>
      <c r="E30" s="74"/>
      <c r="F30" s="74">
        <f t="shared" si="7"/>
        <v>0</v>
      </c>
      <c r="G30" s="337"/>
      <c r="H30" s="337"/>
      <c r="I30" s="337"/>
      <c r="J30" s="716">
        <f t="shared" si="8"/>
        <v>0</v>
      </c>
      <c r="K30" s="1694" t="s">
        <v>1070</v>
      </c>
      <c r="L30" s="1695"/>
      <c r="M30" s="1695"/>
      <c r="N30" s="1695"/>
      <c r="O30" s="1696"/>
    </row>
    <row r="31" spans="1:31" ht="13.5" customHeight="1" thickBot="1">
      <c r="A31" s="95" t="s">
        <v>43</v>
      </c>
      <c r="B31" s="86">
        <f>'TAMUK FGD'!M55</f>
        <v>3967930</v>
      </c>
      <c r="C31" s="87">
        <f t="shared" si="6"/>
        <v>707</v>
      </c>
      <c r="D31" s="86">
        <f>'TAMUK FGD'!F55</f>
        <v>454839</v>
      </c>
      <c r="E31" s="74"/>
      <c r="F31" s="74">
        <f t="shared" si="7"/>
        <v>3513091</v>
      </c>
      <c r="G31" s="35"/>
      <c r="H31" s="35"/>
      <c r="I31" s="38"/>
      <c r="J31" s="716">
        <f t="shared" si="8"/>
        <v>626</v>
      </c>
      <c r="K31" s="1697" t="s">
        <v>1073</v>
      </c>
      <c r="L31" s="1697" t="s">
        <v>1071</v>
      </c>
      <c r="M31" s="1697" t="s">
        <v>1072</v>
      </c>
      <c r="N31" s="1697" t="s">
        <v>1240</v>
      </c>
      <c r="O31" s="1697"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32402076</v>
      </c>
      <c r="C32" s="89">
        <f>SUM(C26:C31)</f>
        <v>5769</v>
      </c>
      <c r="D32" s="723">
        <f>SUM(D26:D31)</f>
        <v>10866130</v>
      </c>
      <c r="E32" s="723">
        <f>SUM(E26:E31)</f>
        <v>0</v>
      </c>
      <c r="F32" s="802">
        <f>SUM(F26:F31)</f>
        <v>21535946</v>
      </c>
      <c r="G32" s="1708" t="s">
        <v>8</v>
      </c>
      <c r="H32" s="1709"/>
      <c r="I32" s="783" t="s">
        <v>1166</v>
      </c>
      <c r="J32" s="725">
        <f>SUM(J26:J31)</f>
        <v>3835</v>
      </c>
      <c r="K32" s="1698"/>
      <c r="L32" s="1698"/>
      <c r="M32" s="1698"/>
      <c r="N32" s="1698" t="s">
        <v>1074</v>
      </c>
      <c r="O32" s="1698" t="s">
        <v>1075</v>
      </c>
    </row>
    <row r="33" spans="1:31" ht="14.25" thickTop="1" thickBot="1">
      <c r="A33" s="97" t="s">
        <v>68</v>
      </c>
      <c r="B33" s="52">
        <f>B15+B20+B23+B32</f>
        <v>181744629</v>
      </c>
      <c r="C33" s="45">
        <f>C15+C20+C23+C32</f>
        <v>32360</v>
      </c>
      <c r="D33" s="52">
        <f>D15+D20+D23+D32</f>
        <v>16287455</v>
      </c>
      <c r="E33" s="52">
        <f>E15+E20+E23+E32</f>
        <v>0</v>
      </c>
      <c r="F33" s="724">
        <f>F15+F20+F23+F32</f>
        <v>165457174</v>
      </c>
      <c r="G33" s="1758" t="s">
        <v>84</v>
      </c>
      <c r="H33" s="1759"/>
      <c r="I33" s="1375">
        <f>ROUND($G$35/$C$6,0)</f>
        <v>27884</v>
      </c>
      <c r="J33" s="726">
        <f>J15+J20+J23+J32</f>
        <v>29460</v>
      </c>
      <c r="K33" s="1698"/>
      <c r="L33" s="1698"/>
      <c r="M33" s="1698"/>
      <c r="N33" s="1698"/>
      <c r="O33" s="1698"/>
    </row>
    <row r="34" spans="1:31" ht="14.25" thickTop="1" thickBot="1">
      <c r="B34" s="98"/>
      <c r="C34" s="75"/>
      <c r="D34" s="337"/>
      <c r="E34" s="337"/>
      <c r="F34" s="337" t="s">
        <v>1199</v>
      </c>
      <c r="G34" s="787">
        <f>G14*-1</f>
        <v>-8858060</v>
      </c>
      <c r="H34" s="337"/>
      <c r="I34" s="783" t="s">
        <v>1167</v>
      </c>
      <c r="J34" s="727"/>
      <c r="K34" s="1699"/>
      <c r="L34" s="1699"/>
      <c r="M34" s="1699"/>
      <c r="N34" s="1699"/>
      <c r="O34" s="1699"/>
    </row>
    <row r="35" spans="1:31" ht="14.25" thickTop="1" thickBot="1">
      <c r="A35" s="81" t="s">
        <v>72</v>
      </c>
      <c r="B35" s="81"/>
      <c r="C35" s="81"/>
      <c r="D35" s="728"/>
      <c r="E35" s="728"/>
      <c r="F35" s="788" t="s">
        <v>1165</v>
      </c>
      <c r="G35" s="803">
        <f>F33+G34</f>
        <v>156599114</v>
      </c>
      <c r="I35" s="1376">
        <f>ROUND($G$35/$I$8,0)</f>
        <v>233378</v>
      </c>
      <c r="K35" s="609"/>
      <c r="L35" s="609"/>
      <c r="M35" s="609"/>
      <c r="N35" s="609"/>
      <c r="O35" s="609"/>
    </row>
    <row r="36" spans="1:31" ht="13.5" thickTop="1">
      <c r="A36" s="99" t="s">
        <v>14</v>
      </c>
      <c r="B36" s="83">
        <f>'TAMUK FGD'!M60</f>
        <v>42177217</v>
      </c>
      <c r="C36" s="83">
        <f t="shared" ref="C36:C46" si="9">ROUND(B36/$C$6,0)</f>
        <v>7510</v>
      </c>
      <c r="D36" s="512">
        <f>'TAMUK FGD'!F60</f>
        <v>0</v>
      </c>
      <c r="E36" s="512"/>
      <c r="F36" s="512">
        <f t="shared" ref="F36:F46" si="10">B36-(SUM(D36:E36))</f>
        <v>42177217</v>
      </c>
      <c r="G36" s="337"/>
      <c r="H36" s="1378" t="s">
        <v>2158</v>
      </c>
      <c r="I36" s="1379">
        <f>ROUND(F36/$C$6,0)</f>
        <v>7510</v>
      </c>
      <c r="J36" s="337" t="s">
        <v>752</v>
      </c>
      <c r="K36" s="512">
        <f>F36</f>
        <v>42177217</v>
      </c>
      <c r="L36" s="512">
        <f>K36</f>
        <v>42177217</v>
      </c>
      <c r="M36" s="512"/>
      <c r="N36" s="512"/>
      <c r="O36" s="512"/>
    </row>
    <row r="37" spans="1:31">
      <c r="A37" s="99" t="s">
        <v>15</v>
      </c>
      <c r="B37" s="86">
        <f>'TAMUK FGD'!M61</f>
        <v>19181940</v>
      </c>
      <c r="C37" s="87">
        <f t="shared" si="9"/>
        <v>3416</v>
      </c>
      <c r="D37" s="86">
        <f>'TAMUK FGD'!F61</f>
        <v>0</v>
      </c>
      <c r="E37" s="74"/>
      <c r="F37" s="74">
        <f t="shared" si="10"/>
        <v>19181940</v>
      </c>
      <c r="G37" s="337"/>
      <c r="H37" s="337"/>
      <c r="J37" s="337" t="s">
        <v>1076</v>
      </c>
      <c r="K37" s="373">
        <f>F37</f>
        <v>19181940</v>
      </c>
      <c r="L37" s="373">
        <f>K37</f>
        <v>19181940</v>
      </c>
      <c r="M37" s="373"/>
      <c r="N37" s="373"/>
      <c r="O37" s="373"/>
    </row>
    <row r="38" spans="1:31">
      <c r="A38" s="99" t="s">
        <v>16</v>
      </c>
      <c r="B38" s="86">
        <f>'TAMUK FGD'!M62</f>
        <v>382600</v>
      </c>
      <c r="C38" s="87">
        <f t="shared" si="9"/>
        <v>68</v>
      </c>
      <c r="D38" s="86">
        <f>'TAMUK FGD'!F62</f>
        <v>0</v>
      </c>
      <c r="E38" s="86">
        <f>B38-D38</f>
        <v>382600</v>
      </c>
      <c r="F38" s="74">
        <f t="shared" si="10"/>
        <v>0</v>
      </c>
      <c r="G38" s="337"/>
      <c r="H38" s="337"/>
      <c r="I38" s="337"/>
      <c r="J38" s="337" t="s">
        <v>1077</v>
      </c>
      <c r="K38" s="736"/>
      <c r="L38" s="737"/>
      <c r="M38" s="737" t="s">
        <v>1152</v>
      </c>
      <c r="N38" s="737"/>
      <c r="O38" s="738"/>
    </row>
    <row r="39" spans="1:31">
      <c r="A39" s="99" t="s">
        <v>17</v>
      </c>
      <c r="B39" s="86">
        <f>'TAMUK FGD'!M63</f>
        <v>12607756</v>
      </c>
      <c r="C39" s="87">
        <f t="shared" si="9"/>
        <v>2245</v>
      </c>
      <c r="D39" s="86">
        <f>'TAMUK FGD'!F63</f>
        <v>0</v>
      </c>
      <c r="E39" s="74"/>
      <c r="F39" s="74">
        <f t="shared" si="10"/>
        <v>12607756</v>
      </c>
      <c r="G39" s="337"/>
      <c r="H39" s="1378" t="s">
        <v>2159</v>
      </c>
      <c r="I39" s="1379">
        <f>ROUND(F39/$C$6,0)</f>
        <v>2245</v>
      </c>
      <c r="J39" s="337" t="s">
        <v>1078</v>
      </c>
      <c r="K39" s="373">
        <f t="shared" ref="K39:K43" si="11">F39</f>
        <v>12607756</v>
      </c>
      <c r="L39" s="373">
        <f>K39</f>
        <v>12607756</v>
      </c>
      <c r="M39" s="373"/>
      <c r="N39" s="373"/>
      <c r="O39" s="373"/>
    </row>
    <row r="40" spans="1:31">
      <c r="A40" s="99" t="s">
        <v>18</v>
      </c>
      <c r="B40" s="86">
        <f>'TAMUK FGD'!M64</f>
        <v>13277146</v>
      </c>
      <c r="C40" s="87">
        <f t="shared" si="9"/>
        <v>2364</v>
      </c>
      <c r="D40" s="86">
        <f>'TAMUK FGD'!F64</f>
        <v>0</v>
      </c>
      <c r="E40" s="74"/>
      <c r="F40" s="74">
        <f t="shared" si="10"/>
        <v>13277146</v>
      </c>
      <c r="G40" s="337"/>
      <c r="J40" s="337" t="s">
        <v>1079</v>
      </c>
      <c r="K40" s="373">
        <f t="shared" si="11"/>
        <v>13277146</v>
      </c>
      <c r="L40" s="373"/>
      <c r="M40" s="373">
        <f>K40</f>
        <v>13277146</v>
      </c>
      <c r="N40" s="373"/>
      <c r="O40" s="373"/>
    </row>
    <row r="41" spans="1:31">
      <c r="A41" s="99" t="s">
        <v>19</v>
      </c>
      <c r="B41" s="86">
        <f>'TAMUK FGD'!M65</f>
        <v>11394161</v>
      </c>
      <c r="C41" s="87">
        <f t="shared" si="9"/>
        <v>2029</v>
      </c>
      <c r="D41" s="86">
        <f>'TAMUK FGD'!F65</f>
        <v>0</v>
      </c>
      <c r="E41" s="74"/>
      <c r="F41" s="74">
        <f t="shared" si="10"/>
        <v>11394161</v>
      </c>
      <c r="G41" s="337"/>
      <c r="H41" s="1378" t="s">
        <v>2160</v>
      </c>
      <c r="I41" s="1379">
        <f>ROUND(F41/$C$6,0)</f>
        <v>2029</v>
      </c>
      <c r="J41" s="337" t="s">
        <v>757</v>
      </c>
      <c r="K41" s="373">
        <f t="shared" si="11"/>
        <v>11394161</v>
      </c>
      <c r="L41" s="373"/>
      <c r="M41" s="373"/>
      <c r="N41" s="373">
        <f>K41</f>
        <v>11394161</v>
      </c>
      <c r="O41" s="373"/>
    </row>
    <row r="42" spans="1:31">
      <c r="A42" s="99" t="s">
        <v>20</v>
      </c>
      <c r="B42" s="86">
        <f>'TAMUK FGD'!M66</f>
        <v>12419709</v>
      </c>
      <c r="C42" s="87">
        <f t="shared" si="9"/>
        <v>2211</v>
      </c>
      <c r="D42" s="86">
        <f>'TAMUK FGD'!F66</f>
        <v>0</v>
      </c>
      <c r="E42" s="74"/>
      <c r="F42" s="74">
        <f t="shared" si="10"/>
        <v>12419709</v>
      </c>
      <c r="G42" s="337"/>
      <c r="J42" s="337" t="s">
        <v>758</v>
      </c>
      <c r="K42" s="373">
        <f t="shared" si="11"/>
        <v>12419709</v>
      </c>
      <c r="L42" s="373"/>
      <c r="M42" s="373"/>
      <c r="N42" s="373">
        <f>K42</f>
        <v>12419709</v>
      </c>
      <c r="O42" s="373"/>
    </row>
    <row r="43" spans="1:31">
      <c r="A43" s="99" t="s">
        <v>21</v>
      </c>
      <c r="B43" s="86">
        <f>'TAMUK FGD'!M67</f>
        <v>17085572</v>
      </c>
      <c r="C43" s="87">
        <f t="shared" si="9"/>
        <v>3042</v>
      </c>
      <c r="D43" s="86">
        <f>'TAMUK FGD'!F67</f>
        <v>0</v>
      </c>
      <c r="E43" s="74"/>
      <c r="F43" s="74">
        <f t="shared" si="10"/>
        <v>17085572</v>
      </c>
      <c r="G43" s="337"/>
      <c r="H43" s="337"/>
      <c r="I43" s="337"/>
      <c r="J43" s="337" t="s">
        <v>1145</v>
      </c>
      <c r="K43" s="373">
        <f t="shared" si="11"/>
        <v>17085572</v>
      </c>
      <c r="L43" s="373"/>
      <c r="M43" s="373">
        <f>K43</f>
        <v>17085572</v>
      </c>
      <c r="N43" s="373"/>
      <c r="O43" s="373"/>
    </row>
    <row r="44" spans="1:31">
      <c r="A44" s="99" t="s">
        <v>2135</v>
      </c>
      <c r="B44" s="86">
        <f>'TAMUK FGD'!M68</f>
        <v>19468544</v>
      </c>
      <c r="C44" s="87">
        <f t="shared" si="9"/>
        <v>3467</v>
      </c>
      <c r="D44" s="729">
        <f>B44</f>
        <v>19468544</v>
      </c>
      <c r="E44" s="74"/>
      <c r="F44" s="74">
        <f t="shared" si="10"/>
        <v>0</v>
      </c>
      <c r="G44" s="337"/>
      <c r="H44" s="337"/>
      <c r="I44" s="337"/>
      <c r="J44" s="337" t="s">
        <v>743</v>
      </c>
      <c r="K44" s="736"/>
      <c r="L44" s="737"/>
      <c r="M44" s="737" t="s">
        <v>1152</v>
      </c>
      <c r="N44" s="737"/>
      <c r="O44" s="738"/>
    </row>
    <row r="45" spans="1:31">
      <c r="A45" s="99" t="s">
        <v>61</v>
      </c>
      <c r="B45" s="86">
        <f>'TAMUK FGD'!M69</f>
        <v>2014998</v>
      </c>
      <c r="C45" s="87">
        <f t="shared" si="9"/>
        <v>359</v>
      </c>
      <c r="D45" s="86">
        <f>'TAMUK FGD'!F69</f>
        <v>87111</v>
      </c>
      <c r="E45" s="74"/>
      <c r="F45" s="74">
        <f t="shared" si="10"/>
        <v>1927887</v>
      </c>
      <c r="G45" s="337"/>
      <c r="H45" s="337"/>
      <c r="I45" s="337"/>
      <c r="J45" s="337" t="s">
        <v>1080</v>
      </c>
      <c r="K45" s="373">
        <f t="shared" ref="K45:K46" si="12">F45</f>
        <v>1927887</v>
      </c>
      <c r="L45" s="373"/>
      <c r="M45" s="373"/>
      <c r="N45" s="373"/>
      <c r="O45" s="373">
        <f>K45</f>
        <v>1927887</v>
      </c>
    </row>
    <row r="46" spans="1:31" ht="13.5" thickBot="1">
      <c r="A46" s="75" t="s">
        <v>50</v>
      </c>
      <c r="B46" s="86">
        <f>'TAMUK FGD'!M70</f>
        <v>1614828</v>
      </c>
      <c r="C46" s="87">
        <f t="shared" si="9"/>
        <v>288</v>
      </c>
      <c r="D46" s="86">
        <f>'TAMUK FGD'!F70</f>
        <v>0</v>
      </c>
      <c r="E46" s="74"/>
      <c r="F46" s="74">
        <f t="shared" si="10"/>
        <v>1614828</v>
      </c>
      <c r="G46" s="35"/>
      <c r="H46" s="1378" t="s">
        <v>2161</v>
      </c>
      <c r="I46" s="1379">
        <f>ROUND(SUM(F37+F40+F42+F43+F45+F46)/$C$6,0)</f>
        <v>11664</v>
      </c>
      <c r="J46" s="610" t="s">
        <v>1075</v>
      </c>
      <c r="K46" s="373">
        <f t="shared" si="12"/>
        <v>1614828</v>
      </c>
      <c r="L46" s="611"/>
      <c r="M46" s="611"/>
      <c r="N46" s="611"/>
      <c r="O46" s="373">
        <f>K46</f>
        <v>1614828</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151624471</v>
      </c>
      <c r="C47" s="45">
        <f>SUM(C36:C46)</f>
        <v>26999</v>
      </c>
      <c r="D47" s="730">
        <f>SUM(D36:D46)</f>
        <v>19555655</v>
      </c>
      <c r="E47" s="731">
        <f>SUM(E36:E46)</f>
        <v>382600</v>
      </c>
      <c r="F47" s="719">
        <f>SUM(F36:F46)</f>
        <v>131686216</v>
      </c>
      <c r="G47" s="1688" t="s">
        <v>1176</v>
      </c>
      <c r="H47" s="1689"/>
      <c r="I47" s="785" t="s">
        <v>1164</v>
      </c>
      <c r="J47" s="610" t="s">
        <v>1081</v>
      </c>
      <c r="K47" s="612">
        <f>SUM(K36:K46)</f>
        <v>131686216</v>
      </c>
      <c r="L47" s="612">
        <f>SUM(L36:L46)</f>
        <v>73966913</v>
      </c>
      <c r="M47" s="612">
        <f>SUM(M36:M46)</f>
        <v>30362718</v>
      </c>
      <c r="N47" s="612">
        <f>SUM(N36:N46)</f>
        <v>23813870</v>
      </c>
      <c r="O47" s="612">
        <f>SUM(O36:O46)</f>
        <v>3542715</v>
      </c>
    </row>
    <row r="48" spans="1:31" ht="14.25" thickTop="1" thickBot="1">
      <c r="A48" s="93"/>
      <c r="B48" s="98"/>
      <c r="C48" s="75"/>
      <c r="F48" s="613"/>
      <c r="G48" s="1690"/>
      <c r="H48" s="1691"/>
      <c r="I48" s="823">
        <f>ROUND(F47/C6,0)</f>
        <v>23448</v>
      </c>
      <c r="J48" s="1700" t="s">
        <v>1082</v>
      </c>
      <c r="K48" s="611"/>
      <c r="L48" s="611"/>
      <c r="M48" s="611"/>
      <c r="N48" s="611"/>
      <c r="O48" s="611"/>
    </row>
    <row r="49" spans="1:31" ht="13.5" thickBot="1">
      <c r="A49" s="78" t="s">
        <v>23</v>
      </c>
      <c r="B49" s="82"/>
      <c r="C49" s="75"/>
      <c r="F49" s="614"/>
      <c r="G49" s="1690"/>
      <c r="H49" s="1691"/>
      <c r="I49" s="811"/>
      <c r="J49" s="1700"/>
      <c r="K49" s="615">
        <f>ROUND(K47/$C$6,2)</f>
        <v>23448.07</v>
      </c>
      <c r="L49" s="615">
        <f t="shared" ref="L49:O49" si="13">ROUND(L47/$C$6,2)</f>
        <v>13170.56</v>
      </c>
      <c r="M49" s="615">
        <f t="shared" si="13"/>
        <v>5406.39</v>
      </c>
      <c r="N49" s="615">
        <f t="shared" si="13"/>
        <v>4240.3</v>
      </c>
      <c r="O49" s="615">
        <f t="shared" si="13"/>
        <v>630.82000000000005</v>
      </c>
      <c r="P49" s="35"/>
      <c r="Q49" s="96"/>
      <c r="R49" s="96"/>
      <c r="S49" s="96"/>
      <c r="T49" s="96"/>
      <c r="U49" s="96"/>
      <c r="V49" s="96"/>
      <c r="W49" s="96"/>
      <c r="X49" s="96"/>
      <c r="Y49" s="96"/>
      <c r="Z49" s="96"/>
      <c r="AA49" s="96"/>
      <c r="AB49" s="96"/>
      <c r="AC49" s="96"/>
      <c r="AD49" s="96"/>
      <c r="AE49" s="96"/>
    </row>
    <row r="50" spans="1:31" ht="13.5" thickBot="1">
      <c r="A50" s="75" t="s">
        <v>62</v>
      </c>
      <c r="B50" s="86">
        <f>'TAMUK FGD'!M74</f>
        <v>-4109446</v>
      </c>
      <c r="C50" s="83">
        <f t="shared" ref="C50:C53" si="14">ROUND(B50/$C$6,0)</f>
        <v>-732</v>
      </c>
      <c r="D50" s="512">
        <f>'TAMUK FGD'!F74</f>
        <v>0</v>
      </c>
      <c r="E50" s="512"/>
      <c r="F50" s="732">
        <f t="shared" ref="F50:F53" si="15">B50-(SUM(D50:E50))</f>
        <v>-4109446</v>
      </c>
      <c r="G50" s="1692"/>
      <c r="H50" s="1693"/>
      <c r="I50" s="808"/>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'TAMUK FGD'!M75</f>
        <v>5228072</v>
      </c>
      <c r="C51" s="87">
        <f t="shared" si="14"/>
        <v>931</v>
      </c>
      <c r="D51" s="91">
        <f>'TAMUK FGD'!F75</f>
        <v>9732619</v>
      </c>
      <c r="E51" s="82"/>
      <c r="F51" s="74">
        <f t="shared" si="15"/>
        <v>-4504547</v>
      </c>
      <c r="G51" s="337"/>
      <c r="J51" s="337"/>
      <c r="K51" s="616"/>
      <c r="L51" s="616"/>
      <c r="M51" s="616"/>
      <c r="N51" s="616"/>
      <c r="O51" s="616"/>
    </row>
    <row r="52" spans="1:31">
      <c r="A52" s="75" t="s">
        <v>51</v>
      </c>
      <c r="B52" s="86">
        <f>'TAMUK FGD'!M76</f>
        <v>0</v>
      </c>
      <c r="C52" s="87">
        <f t="shared" si="14"/>
        <v>0</v>
      </c>
      <c r="D52" s="91">
        <f>'TAMUK FGD'!F76</f>
        <v>0</v>
      </c>
      <c r="E52" s="82"/>
      <c r="F52" s="74">
        <f t="shared" si="15"/>
        <v>0</v>
      </c>
      <c r="G52" s="337"/>
      <c r="J52" s="733"/>
      <c r="K52" s="733"/>
      <c r="L52" s="733"/>
      <c r="M52" s="733"/>
      <c r="N52" s="733"/>
      <c r="O52" s="733"/>
    </row>
    <row r="53" spans="1:31" ht="12" customHeight="1">
      <c r="A53" s="75" t="s">
        <v>46</v>
      </c>
      <c r="B53" s="86">
        <f>'TAMUK FGD'!M77</f>
        <v>-13671028</v>
      </c>
      <c r="C53" s="87">
        <f t="shared" si="14"/>
        <v>-2434</v>
      </c>
      <c r="D53" s="91">
        <f>'TAMUK FGD'!F77</f>
        <v>-5381502</v>
      </c>
      <c r="E53" s="82"/>
      <c r="F53" s="74">
        <f t="shared" si="15"/>
        <v>-8289526</v>
      </c>
      <c r="G53" s="35"/>
      <c r="J53" s="733"/>
      <c r="K53" s="733"/>
      <c r="L53" s="733"/>
      <c r="M53" s="733"/>
      <c r="N53" s="733"/>
      <c r="O53" s="733"/>
      <c r="P53" s="35"/>
      <c r="Q53" s="96"/>
      <c r="R53" s="96"/>
      <c r="S53" s="96"/>
      <c r="T53" s="96"/>
      <c r="U53" s="96"/>
      <c r="V53" s="96"/>
      <c r="W53" s="96"/>
      <c r="X53" s="96"/>
      <c r="Y53" s="96"/>
      <c r="Z53" s="96"/>
      <c r="AA53" s="96"/>
      <c r="AB53" s="96"/>
      <c r="AC53" s="96"/>
      <c r="AD53" s="96"/>
      <c r="AE53" s="96"/>
    </row>
    <row r="54" spans="1:31">
      <c r="A54" s="88" t="s">
        <v>3</v>
      </c>
      <c r="B54" s="89">
        <f>SUM(B50:B53)</f>
        <v>-12552402</v>
      </c>
      <c r="C54" s="89">
        <f>SUM(C50:C53)</f>
        <v>-2235</v>
      </c>
      <c r="D54" s="89">
        <f>SUM(D50:D53)</f>
        <v>4351117</v>
      </c>
      <c r="E54" s="89">
        <f>SUM(E50:E53)</f>
        <v>0</v>
      </c>
      <c r="F54" s="102">
        <f>SUM(F50:F53)</f>
        <v>-16903519</v>
      </c>
      <c r="G54" s="337"/>
      <c r="H54" s="337"/>
      <c r="I54" s="337"/>
      <c r="J54" s="733"/>
      <c r="K54" s="733"/>
      <c r="L54" s="733"/>
      <c r="M54" s="733"/>
      <c r="N54" s="733"/>
      <c r="O54" s="733"/>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'TAMUK FGD'!M81</f>
        <v>16232608</v>
      </c>
      <c r="C57" s="83">
        <f>ROUND(B57/$C$6,0)</f>
        <v>2890</v>
      </c>
      <c r="D57" s="512">
        <f>'TAMUK FGD'!F81</f>
        <v>0</v>
      </c>
      <c r="E57" s="512"/>
      <c r="F57" s="512">
        <f t="shared" ref="F57:F58" si="16">B57-(SUM(D57:E57))</f>
        <v>16232608</v>
      </c>
      <c r="G57" s="337"/>
      <c r="H57" s="337"/>
      <c r="I57" s="337"/>
      <c r="J57" s="337"/>
    </row>
    <row r="58" spans="1:31">
      <c r="A58" s="75" t="s">
        <v>48</v>
      </c>
      <c r="B58" s="86">
        <f>'TAMUK FGD'!M82</f>
        <v>23257</v>
      </c>
      <c r="C58" s="87">
        <f>ROUND(B58/$C$6,0)</f>
        <v>4</v>
      </c>
      <c r="D58" s="91">
        <f>'TAMUK FGD'!F82</f>
        <v>0</v>
      </c>
      <c r="E58" s="82"/>
      <c r="F58" s="74">
        <f t="shared" si="16"/>
        <v>23257</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16255865</v>
      </c>
      <c r="C59" s="89">
        <f>SUM(C57:C58)</f>
        <v>2894</v>
      </c>
      <c r="D59" s="89">
        <f>SUM(D57:D58)</f>
        <v>0</v>
      </c>
      <c r="E59" s="89">
        <f>SUM(E57:E58)</f>
        <v>0</v>
      </c>
      <c r="F59" s="89">
        <f>SUM(F57:F58)</f>
        <v>16255865</v>
      </c>
      <c r="G59" s="367"/>
      <c r="H59" s="367"/>
      <c r="I59" s="367"/>
      <c r="J59" s="367"/>
      <c r="K59" s="266"/>
      <c r="L59" s="266"/>
      <c r="M59" s="266"/>
      <c r="N59" s="266"/>
      <c r="O59" s="266"/>
      <c r="P59" s="266"/>
    </row>
    <row r="60" spans="1:31">
      <c r="B60" s="82"/>
      <c r="C60" s="75"/>
    </row>
    <row r="61" spans="1:31" ht="13.5" thickBot="1">
      <c r="A61" s="103" t="s">
        <v>573</v>
      </c>
      <c r="B61" s="46">
        <f>B33-B47+B54+B59</f>
        <v>33823621</v>
      </c>
      <c r="C61" s="46">
        <f>C33-C47+C54+C59</f>
        <v>6020</v>
      </c>
      <c r="D61" s="46">
        <f>D33-D47+D54+D59</f>
        <v>1082917</v>
      </c>
      <c r="E61" s="46">
        <f>E33-E47+E54+E59</f>
        <v>-382600</v>
      </c>
      <c r="F61" s="46">
        <f>F33-F47+F54+F59</f>
        <v>33123304</v>
      </c>
    </row>
    <row r="62" spans="1:31" ht="13.5" thickTop="1"/>
    <row r="63" spans="1:31">
      <c r="D63" s="512"/>
    </row>
    <row r="65" spans="2:16">
      <c r="B65" s="734">
        <f>'TAMUK FGD'!$M$85</f>
        <v>33823621</v>
      </c>
      <c r="C65" s="75"/>
      <c r="D65" s="734">
        <f>'TAMUK FGD'!$F$85</f>
        <v>1082917</v>
      </c>
      <c r="E65" s="734">
        <f>'TAMUK FGD'!$M$62*-1</f>
        <v>-382600</v>
      </c>
      <c r="F65" s="75"/>
    </row>
    <row r="66" spans="2:16">
      <c r="B66" s="734"/>
      <c r="C66" s="75"/>
      <c r="D66" s="734">
        <f>'TAMUK FGD'!$F$68</f>
        <v>19468544</v>
      </c>
      <c r="E66" s="734">
        <f>+$D$38</f>
        <v>0</v>
      </c>
      <c r="F66" s="734"/>
    </row>
    <row r="67" spans="2:16">
      <c r="B67" s="759"/>
      <c r="C67" s="75"/>
      <c r="D67" s="759">
        <f>-'TAMUK FGD'!$M$68</f>
        <v>-19468544</v>
      </c>
      <c r="E67" s="759"/>
      <c r="F67" s="734"/>
    </row>
    <row r="68" spans="2:16">
      <c r="B68" s="734">
        <f>SUM(B65:B67)</f>
        <v>33823621</v>
      </c>
      <c r="C68" s="75"/>
      <c r="D68" s="734">
        <f>SUM(D65:D67)</f>
        <v>1082917</v>
      </c>
      <c r="E68" s="734">
        <f>SUM(E65:E67)</f>
        <v>-382600</v>
      </c>
      <c r="F68" s="734">
        <f>B68-D68-E68</f>
        <v>33123304</v>
      </c>
    </row>
    <row r="69" spans="2:16">
      <c r="B69" s="734"/>
      <c r="C69" s="75"/>
      <c r="D69" s="734">
        <f>'TAMUK FGD'!F54*-1</f>
        <v>-10375585</v>
      </c>
      <c r="E69" s="734"/>
      <c r="F69" s="734"/>
    </row>
    <row r="70" spans="2:16" ht="12.75" customHeight="1">
      <c r="B70" s="759"/>
      <c r="C70" s="95"/>
      <c r="D70" s="759">
        <f>'TAMUK FGD'!M54</f>
        <v>10375585</v>
      </c>
      <c r="E70" s="759"/>
      <c r="F70" s="759">
        <f>-D70-D69</f>
        <v>0</v>
      </c>
    </row>
    <row r="71" spans="2:16" ht="12.75" customHeight="1">
      <c r="B71" s="734">
        <f>SUM(B68:B70)</f>
        <v>33823621</v>
      </c>
      <c r="C71" s="75"/>
      <c r="D71" s="734">
        <f>SUM(D68:D70)</f>
        <v>1082917</v>
      </c>
      <c r="E71" s="734">
        <f>SUM(E68:E70)</f>
        <v>-382600</v>
      </c>
      <c r="F71" s="734">
        <f>SUM(F68:F70)</f>
        <v>33123304</v>
      </c>
    </row>
    <row r="72" spans="2:16" ht="12.75" customHeight="1">
      <c r="B72" s="734"/>
      <c r="C72" s="75"/>
      <c r="D72" s="734"/>
      <c r="E72" s="734"/>
      <c r="F72" s="734"/>
    </row>
    <row r="73" spans="2:16" ht="12.75" customHeight="1">
      <c r="B73" s="512">
        <f>B61-B71</f>
        <v>0</v>
      </c>
      <c r="C73" s="75"/>
      <c r="D73" s="512">
        <f>D61-D71</f>
        <v>0</v>
      </c>
      <c r="E73" s="512">
        <f>E61-E71</f>
        <v>0</v>
      </c>
      <c r="F73" s="512">
        <f>F61-F71</f>
        <v>0</v>
      </c>
    </row>
    <row r="74" spans="2:16" ht="12.75" customHeight="1">
      <c r="C74" s="75"/>
      <c r="F74" s="617"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G47:H50"/>
    <mergeCell ref="K30:O30"/>
    <mergeCell ref="M31:M34"/>
    <mergeCell ref="G32:H32"/>
    <mergeCell ref="G33:H33"/>
    <mergeCell ref="L31:L34"/>
    <mergeCell ref="K31:K34"/>
    <mergeCell ref="N31:N34"/>
    <mergeCell ref="O31:O34"/>
    <mergeCell ref="J48:J49"/>
    <mergeCell ref="F1:I1"/>
    <mergeCell ref="J1:O1"/>
    <mergeCell ref="D1:E1"/>
    <mergeCell ref="K29:O29"/>
    <mergeCell ref="D4:D5"/>
    <mergeCell ref="E4:E5"/>
  </mergeCells>
  <hyperlinks>
    <hyperlink ref="D1:E1" location="Index!A1" display="Return to Index" xr:uid="{00000000-0004-0000-4E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7C80"/>
    <pageSetUpPr fitToPage="1"/>
  </sheetPr>
  <dimension ref="A1:AK806"/>
  <sheetViews>
    <sheetView showGridLines="0" zoomScale="85" zoomScaleNormal="85" workbookViewId="0">
      <pane xSplit="4" ySplit="10" topLeftCell="E11" activePane="bottomRight" state="frozen"/>
      <selection activeCell="F74" sqref="E74:F74"/>
      <selection pane="topRight" activeCell="F74" sqref="E74:F74"/>
      <selection pane="bottomLeft" activeCell="F74" sqref="E74:F74"/>
      <selection pane="bottomRight"/>
    </sheetView>
  </sheetViews>
  <sheetFormatPr defaultColWidth="9.140625" defaultRowHeight="12.75"/>
  <cols>
    <col min="1" max="1" width="6.85546875" style="480" customWidth="1"/>
    <col min="2" max="2" width="8.140625" style="53" customWidth="1"/>
    <col min="3" max="3" width="6.7109375" style="53" customWidth="1"/>
    <col min="4" max="4" width="25.140625" style="53" customWidth="1"/>
    <col min="5" max="5" width="15.5703125" style="154" customWidth="1"/>
    <col min="6" max="6" width="15.28515625" style="53" customWidth="1"/>
    <col min="7" max="9" width="13.28515625" style="154" customWidth="1"/>
    <col min="10" max="10" width="14.85546875" style="154" customWidth="1"/>
    <col min="11" max="12" width="13.28515625" style="154" customWidth="1"/>
    <col min="13" max="13" width="14.28515625" style="53" customWidth="1"/>
    <col min="14" max="14" width="13.28515625" style="53" customWidth="1"/>
    <col min="15" max="15" width="16" style="53" customWidth="1"/>
    <col min="16" max="16" width="17" style="53" customWidth="1"/>
    <col min="17" max="28" width="17.7109375" style="53" customWidth="1"/>
    <col min="29" max="29" width="14.85546875" style="53" customWidth="1"/>
    <col min="30" max="30" width="16.85546875" style="53" customWidth="1"/>
    <col min="31" max="31" width="14.7109375" style="53" customWidth="1"/>
    <col min="32" max="32" width="30.7109375" style="53" customWidth="1"/>
    <col min="33" max="33" width="13.28515625" style="480" customWidth="1"/>
    <col min="34" max="34" width="17.28515625" style="53" customWidth="1"/>
    <col min="35" max="35" width="15.85546875" style="53" customWidth="1"/>
    <col min="36" max="36" width="16.7109375" style="53" customWidth="1"/>
    <col min="37" max="37" width="15" style="53" customWidth="1"/>
    <col min="38" max="16384" width="9.140625" style="53"/>
  </cols>
  <sheetData>
    <row r="1" spans="1:37" ht="13.5" thickBot="1">
      <c r="E1" s="114"/>
      <c r="G1" s="814" t="s">
        <v>131</v>
      </c>
      <c r="H1" s="814"/>
      <c r="I1" s="814"/>
      <c r="J1" s="814"/>
      <c r="K1" s="814"/>
      <c r="L1" s="814"/>
      <c r="M1" s="114"/>
      <c r="P1" s="855" t="s">
        <v>1200</v>
      </c>
    </row>
    <row r="2" spans="1:37">
      <c r="E2" s="114"/>
      <c r="G2" s="814" t="s">
        <v>2383</v>
      </c>
      <c r="H2" s="814"/>
      <c r="I2" s="814"/>
      <c r="J2" s="814"/>
      <c r="K2" s="814"/>
      <c r="L2" s="814"/>
      <c r="M2" s="114"/>
    </row>
    <row r="3" spans="1:37">
      <c r="E3" s="114"/>
      <c r="G3" s="908" t="s">
        <v>2484</v>
      </c>
      <c r="H3" s="814"/>
      <c r="I3" s="814"/>
      <c r="J3" s="814"/>
      <c r="K3" s="814"/>
      <c r="M3" s="114"/>
    </row>
    <row r="4" spans="1:37">
      <c r="A4" s="667" t="s">
        <v>1116</v>
      </c>
      <c r="E4" s="114"/>
      <c r="G4" s="114"/>
      <c r="H4" s="114"/>
      <c r="I4" s="114"/>
      <c r="J4" s="114"/>
      <c r="K4" s="114"/>
      <c r="L4" s="114"/>
      <c r="M4" s="114"/>
    </row>
    <row r="5" spans="1:37">
      <c r="B5" s="215"/>
      <c r="E5" s="114"/>
      <c r="G5" s="114"/>
      <c r="H5" s="114"/>
      <c r="I5" s="114"/>
      <c r="J5" s="114"/>
      <c r="K5" s="114"/>
      <c r="L5" s="114"/>
      <c r="M5" s="114"/>
    </row>
    <row r="6" spans="1:37">
      <c r="B6" s="215"/>
      <c r="E6" s="114"/>
      <c r="G6" s="114"/>
      <c r="H6" s="114"/>
      <c r="I6" s="114"/>
      <c r="J6" s="114"/>
      <c r="K6" s="114"/>
      <c r="L6" s="114"/>
      <c r="M6" s="114"/>
    </row>
    <row r="7" spans="1:37">
      <c r="A7" s="480" t="s">
        <v>1125</v>
      </c>
      <c r="B7" s="215"/>
      <c r="E7" s="114"/>
      <c r="G7" s="114"/>
      <c r="H7" s="114"/>
      <c r="I7" s="114"/>
      <c r="J7" s="114"/>
      <c r="K7" s="114"/>
      <c r="L7" s="114"/>
      <c r="M7" s="114"/>
    </row>
    <row r="8" spans="1:37" ht="13.5" thickBot="1">
      <c r="A8" s="480" t="s">
        <v>1124</v>
      </c>
      <c r="B8" s="215"/>
      <c r="C8" s="53" t="s">
        <v>2384</v>
      </c>
      <c r="E8" s="480">
        <v>18</v>
      </c>
      <c r="F8" s="480">
        <v>19</v>
      </c>
      <c r="G8" s="480">
        <v>20</v>
      </c>
      <c r="H8" s="480">
        <v>21</v>
      </c>
      <c r="I8" s="480">
        <v>22</v>
      </c>
      <c r="J8" s="480">
        <v>23</v>
      </c>
      <c r="K8" s="480">
        <v>24</v>
      </c>
      <c r="L8" s="480">
        <v>25</v>
      </c>
      <c r="M8" s="480">
        <v>26</v>
      </c>
      <c r="N8" s="480">
        <v>27</v>
      </c>
      <c r="O8" s="480">
        <v>28</v>
      </c>
      <c r="P8" s="480">
        <v>29</v>
      </c>
      <c r="Q8" s="480">
        <v>31</v>
      </c>
      <c r="R8" s="480">
        <v>32</v>
      </c>
      <c r="S8" s="480">
        <v>33</v>
      </c>
      <c r="T8" s="480">
        <v>34</v>
      </c>
      <c r="U8" s="480">
        <v>35</v>
      </c>
      <c r="V8" s="480">
        <v>36</v>
      </c>
      <c r="W8" s="480">
        <v>37</v>
      </c>
      <c r="X8" s="480">
        <v>38</v>
      </c>
      <c r="Y8" s="480">
        <v>39</v>
      </c>
      <c r="Z8" s="480">
        <v>40</v>
      </c>
      <c r="AA8" s="480">
        <v>41</v>
      </c>
      <c r="AB8" s="480">
        <v>42</v>
      </c>
    </row>
    <row r="9" spans="1:37" ht="15.75" customHeight="1">
      <c r="A9" s="480" t="s">
        <v>1337</v>
      </c>
      <c r="B9" s="215"/>
      <c r="E9" s="1641" t="s">
        <v>2183</v>
      </c>
      <c r="F9" s="1642"/>
      <c r="G9" s="1642"/>
      <c r="H9" s="1642"/>
      <c r="I9" s="1642"/>
      <c r="J9" s="1642"/>
      <c r="K9" s="1642"/>
      <c r="L9" s="1642"/>
      <c r="M9" s="1642"/>
      <c r="N9" s="1642"/>
      <c r="O9" s="1642"/>
      <c r="P9" s="1642"/>
      <c r="Q9" s="1643" t="s">
        <v>2184</v>
      </c>
      <c r="R9" s="1644"/>
      <c r="S9" s="1644"/>
      <c r="T9" s="1644"/>
      <c r="U9" s="1644"/>
      <c r="V9" s="1644"/>
      <c r="W9" s="1644"/>
      <c r="X9" s="1644"/>
      <c r="Y9" s="1644"/>
      <c r="Z9" s="1644"/>
      <c r="AA9" s="1644"/>
      <c r="AB9" s="1645"/>
      <c r="AC9" s="1427"/>
      <c r="AD9" s="1646" t="s">
        <v>1084</v>
      </c>
      <c r="AE9" s="1647"/>
      <c r="AF9" s="1648"/>
    </row>
    <row r="10" spans="1:37" s="123" customFormat="1" ht="51.75" customHeight="1">
      <c r="A10" s="906" t="s">
        <v>1123</v>
      </c>
      <c r="B10" s="118" t="s">
        <v>132</v>
      </c>
      <c r="C10" s="118" t="s">
        <v>133</v>
      </c>
      <c r="D10" s="118"/>
      <c r="E10" s="1428" t="s">
        <v>1042</v>
      </c>
      <c r="F10" s="548" t="s">
        <v>2185</v>
      </c>
      <c r="G10" s="548" t="s">
        <v>2186</v>
      </c>
      <c r="H10" s="548" t="s">
        <v>2187</v>
      </c>
      <c r="I10" s="548" t="s">
        <v>2188</v>
      </c>
      <c r="J10" s="1429" t="s">
        <v>726</v>
      </c>
      <c r="K10" s="548" t="s">
        <v>2189</v>
      </c>
      <c r="L10" s="548" t="s">
        <v>2190</v>
      </c>
      <c r="M10" s="548" t="s">
        <v>2191</v>
      </c>
      <c r="N10" s="548" t="s">
        <v>2191</v>
      </c>
      <c r="O10" s="548" t="s">
        <v>2192</v>
      </c>
      <c r="P10" s="662" t="s">
        <v>39</v>
      </c>
      <c r="Q10" s="1428" t="s">
        <v>1052</v>
      </c>
      <c r="R10" s="548" t="s">
        <v>2185</v>
      </c>
      <c r="S10" s="548" t="s">
        <v>2186</v>
      </c>
      <c r="T10" s="548" t="s">
        <v>2187</v>
      </c>
      <c r="U10" s="548" t="s">
        <v>2188</v>
      </c>
      <c r="V10" s="1429" t="s">
        <v>732</v>
      </c>
      <c r="W10" s="548" t="s">
        <v>2189</v>
      </c>
      <c r="X10" s="548" t="s">
        <v>2190</v>
      </c>
      <c r="Y10" s="548" t="s">
        <v>2193</v>
      </c>
      <c r="Z10" s="548" t="s">
        <v>2194</v>
      </c>
      <c r="AA10" s="548" t="s">
        <v>2192</v>
      </c>
      <c r="AB10" s="1430" t="s">
        <v>40</v>
      </c>
      <c r="AC10" s="1431" t="s">
        <v>1055</v>
      </c>
      <c r="AD10" s="1432" t="s">
        <v>299</v>
      </c>
      <c r="AE10" s="642" t="s">
        <v>703</v>
      </c>
      <c r="AF10" s="1433" t="s">
        <v>704</v>
      </c>
      <c r="AG10" s="661"/>
    </row>
    <row r="11" spans="1:37" ht="12.75" customHeight="1">
      <c r="A11" s="480">
        <v>40</v>
      </c>
      <c r="B11" s="1000">
        <v>3656</v>
      </c>
      <c r="C11" s="481" t="str">
        <f t="shared" ref="C11:C46" si="0">$C$8</f>
        <v>FY 21</v>
      </c>
      <c r="D11" s="53" t="s">
        <v>176</v>
      </c>
      <c r="E11" s="1434">
        <f>'ARL FGD'!$M$18</f>
        <v>346999072</v>
      </c>
      <c r="F11" s="993">
        <f>'ARL FGD'!$M$19</f>
        <v>-28058283</v>
      </c>
      <c r="G11" s="993">
        <f>'ARL FGD'!$M$20</f>
        <v>0</v>
      </c>
      <c r="H11" s="993">
        <f>'ARL FGD'!$M$21</f>
        <v>0</v>
      </c>
      <c r="I11" s="993">
        <f>'ARL FGD'!$M$22</f>
        <v>0</v>
      </c>
      <c r="J11" s="993">
        <f>'ARL FGD'!$M$23</f>
        <v>318940789</v>
      </c>
      <c r="K11" s="993">
        <f>'ARL FGD'!$M$24</f>
        <v>0</v>
      </c>
      <c r="L11" s="993">
        <f>'ARL FGD'!$M$25</f>
        <v>0</v>
      </c>
      <c r="M11" s="993">
        <f>'ARL FGD'!$M$26</f>
        <v>-12131783</v>
      </c>
      <c r="N11" s="993">
        <f>'ARL FGD'!$M$27</f>
        <v>0</v>
      </c>
      <c r="O11" s="993">
        <f>'ARL FGD'!$M$28</f>
        <v>-67520253</v>
      </c>
      <c r="P11" s="993">
        <f>'ARL FGD'!$M$29</f>
        <v>239288753</v>
      </c>
      <c r="Q11" s="1434">
        <f>'ARL FGD'!$M$31</f>
        <v>150133280</v>
      </c>
      <c r="R11" s="993">
        <f>'ARL FGD'!$M$32</f>
        <v>-4951603</v>
      </c>
      <c r="S11" s="993">
        <f>'ARL FGD'!$M$33</f>
        <v>0</v>
      </c>
      <c r="T11" s="993">
        <f>'ARL FGD'!$M$34</f>
        <v>0</v>
      </c>
      <c r="U11" s="993">
        <f>'ARL FGD'!$M$35</f>
        <v>0</v>
      </c>
      <c r="V11" s="993">
        <f>'ARL FGD'!$M$36</f>
        <v>145181677</v>
      </c>
      <c r="W11" s="993">
        <f>'ARL FGD'!$M$37</f>
        <v>0</v>
      </c>
      <c r="X11" s="993">
        <f>'ARL FGD'!$M$38</f>
        <v>0</v>
      </c>
      <c r="Y11" s="993">
        <f>'ARL FGD'!$M$39</f>
        <v>-2140903</v>
      </c>
      <c r="Z11" s="993">
        <f>'ARL FGD'!$M$40</f>
        <v>0</v>
      </c>
      <c r="AA11" s="993">
        <f>'ARL FGD'!$M$41</f>
        <v>-33849593</v>
      </c>
      <c r="AB11" s="1435">
        <f>'ARL FGD'!$M$42</f>
        <v>109191181</v>
      </c>
      <c r="AC11" s="1436">
        <f>'ARL FGD'!$M$44</f>
        <v>348479934</v>
      </c>
      <c r="AD11" s="1437" t="str">
        <f>'ARL FGD'!$O$92</f>
        <v>Ting Chen</v>
      </c>
      <c r="AE11" s="1039" t="str">
        <f>'ARL FGD'!$Q$92</f>
        <v>817-272-7489</v>
      </c>
      <c r="AF11" s="1438" t="str">
        <f>'ARL FGD'!$T$92</f>
        <v>ting.chen@uta.edu</v>
      </c>
      <c r="AG11" s="665" t="str">
        <f>IF(SUM(E11:I11)&lt;&gt;J11,"Error","Balanced")</f>
        <v>Balanced</v>
      </c>
      <c r="AH11" s="665" t="str">
        <f>IF(SUM(J11:O11)&lt;&gt;P11,"Error","Balanced")</f>
        <v>Balanced</v>
      </c>
      <c r="AI11" s="665" t="str">
        <f>IF(SUM(Q11:U11)&lt;&gt;V11,"Error","Balanced")</f>
        <v>Balanced</v>
      </c>
      <c r="AJ11" s="665" t="str">
        <f>IF(SUM(V11:AA11)&lt;&gt;AB11,"Error","Balanced")</f>
        <v>Balanced</v>
      </c>
      <c r="AK11" s="665" t="str">
        <f>IF(P11+AB11&lt;&gt;AC11,"Error","Balanced")</f>
        <v>Balanced</v>
      </c>
    </row>
    <row r="12" spans="1:37">
      <c r="A12" s="480">
        <v>51</v>
      </c>
      <c r="B12" s="1000">
        <v>3658</v>
      </c>
      <c r="C12" s="481" t="str">
        <f t="shared" si="0"/>
        <v>FY 21</v>
      </c>
      <c r="D12" s="1130" t="s">
        <v>1404</v>
      </c>
      <c r="E12" s="1439">
        <f>'AUS1 FGD'!$M$18</f>
        <v>683255442</v>
      </c>
      <c r="F12" s="644">
        <f>'AUS1 FGD'!$M$19</f>
        <v>-62509153</v>
      </c>
      <c r="G12" s="644">
        <f>'AUS1 FGD'!$M$20</f>
        <v>0</v>
      </c>
      <c r="H12" s="644">
        <f>'AUS1 FGD'!$M$21</f>
        <v>0</v>
      </c>
      <c r="I12" s="644">
        <f>'AUS1 FGD'!$M$22</f>
        <v>0</v>
      </c>
      <c r="J12" s="644">
        <f>'AUS1 FGD'!$M$23</f>
        <v>620746289</v>
      </c>
      <c r="K12" s="644">
        <f>'AUS1 FGD'!$M$24</f>
        <v>0</v>
      </c>
      <c r="L12" s="644">
        <f>'AUS1 FGD'!$M$25</f>
        <v>0</v>
      </c>
      <c r="M12" s="644">
        <f>'AUS1 FGD'!$M$26</f>
        <v>-18592467</v>
      </c>
      <c r="N12" s="644">
        <f>'AUS1 FGD'!$M$27</f>
        <v>0</v>
      </c>
      <c r="O12" s="644">
        <f>'AUS1 FGD'!$M$28</f>
        <v>-150439834</v>
      </c>
      <c r="P12" s="644">
        <f>'AUS1 FGD'!$M$29</f>
        <v>451713988</v>
      </c>
      <c r="Q12" s="1439">
        <f>'AUS1 FGD'!$M$31</f>
        <v>92462176</v>
      </c>
      <c r="R12" s="644">
        <f>'AUS1 FGD'!$M$32</f>
        <v>0</v>
      </c>
      <c r="S12" s="644">
        <f>'AUS1 FGD'!$M$33</f>
        <v>0</v>
      </c>
      <c r="T12" s="644">
        <f>'AUS1 FGD'!$M$34</f>
        <v>0</v>
      </c>
      <c r="U12" s="644">
        <f>'AUS1 FGD'!$M$35</f>
        <v>0</v>
      </c>
      <c r="V12" s="644">
        <f>'AUS1 FGD'!$M$36</f>
        <v>92462176</v>
      </c>
      <c r="W12" s="644">
        <f>'AUS1 FGD'!$M$37</f>
        <v>0</v>
      </c>
      <c r="X12" s="644">
        <f>'AUS1 FGD'!$M$38</f>
        <v>0</v>
      </c>
      <c r="Y12" s="644">
        <f>'AUS1 FGD'!$M$39</f>
        <v>-1189957</v>
      </c>
      <c r="Z12" s="644">
        <f>'AUS1 FGD'!$M$40</f>
        <v>0</v>
      </c>
      <c r="AA12" s="644">
        <f>'AUS1 FGD'!$M$41</f>
        <v>-21621471</v>
      </c>
      <c r="AB12" s="1440">
        <f>'AUS1 FGD'!$M$42</f>
        <v>69650748</v>
      </c>
      <c r="AC12" s="1441">
        <f>'AUS1 FGD'!$M$44</f>
        <v>521364736</v>
      </c>
      <c r="AD12" s="1437" t="str">
        <f>'AUS1 FGD'!$O$92</f>
        <v>Marcy Lowther</v>
      </c>
      <c r="AE12" s="1039" t="str">
        <f>'AUS1 FGD'!$Q$92</f>
        <v>512-471-2808</v>
      </c>
      <c r="AF12" s="1438" t="str">
        <f>'AUS1 FGD'!$T$92</f>
        <v>mlowther@austin.utexas.edu</v>
      </c>
      <c r="AG12" s="665" t="str">
        <f t="shared" ref="AG12:AG46" si="1">IF(SUM(E12:I12)&lt;&gt;J12,"Error","Balanced")</f>
        <v>Balanced</v>
      </c>
      <c r="AH12" s="665" t="str">
        <f t="shared" ref="AH12:AH46" si="2">IF(SUM(J12:O12)&lt;&gt;P12,"Error","Balanced")</f>
        <v>Balanced</v>
      </c>
      <c r="AI12" s="665" t="str">
        <f t="shared" ref="AI12:AI46" si="3">IF(SUM(Q12:U12)&lt;&gt;V12,"Error","Balanced")</f>
        <v>Balanced</v>
      </c>
      <c r="AJ12" s="665" t="str">
        <f t="shared" ref="AJ12:AJ46" si="4">IF(SUM(V12:AA12)&lt;&gt;AB12,"Error","Balanced")</f>
        <v>Balanced</v>
      </c>
      <c r="AK12" s="665" t="str">
        <f t="shared" ref="AK12:AK46" si="5">IF(P12+AB12&lt;&gt;AC12,"Error","Balanced")</f>
        <v>Balanced</v>
      </c>
    </row>
    <row r="13" spans="1:37">
      <c r="A13" s="480">
        <v>60</v>
      </c>
      <c r="B13" s="1000">
        <v>9741</v>
      </c>
      <c r="C13" s="481" t="str">
        <f t="shared" si="0"/>
        <v>FY 21</v>
      </c>
      <c r="D13" s="53" t="s">
        <v>186</v>
      </c>
      <c r="E13" s="1439">
        <f>'DAL FGD'!$M$18</f>
        <v>371079227</v>
      </c>
      <c r="F13" s="644">
        <f>'DAL FGD'!$M$19</f>
        <v>-44156128</v>
      </c>
      <c r="G13" s="644">
        <f>'DAL FGD'!$M$20</f>
        <v>0</v>
      </c>
      <c r="H13" s="644">
        <f>'DAL FGD'!$M$21</f>
        <v>0</v>
      </c>
      <c r="I13" s="644">
        <f>'DAL FGD'!$M$22</f>
        <v>0</v>
      </c>
      <c r="J13" s="644">
        <f>'DAL FGD'!$M$23</f>
        <v>326923099</v>
      </c>
      <c r="K13" s="644">
        <f>'DAL FGD'!$M$24</f>
        <v>0</v>
      </c>
      <c r="L13" s="644">
        <f>'DAL FGD'!$M$25</f>
        <v>0</v>
      </c>
      <c r="M13" s="644">
        <f>'DAL FGD'!$M$26</f>
        <v>-8088507</v>
      </c>
      <c r="N13" s="644">
        <f>'DAL FGD'!$M$27</f>
        <v>0</v>
      </c>
      <c r="O13" s="644">
        <f>'DAL FGD'!$M$28</f>
        <v>-121626094</v>
      </c>
      <c r="P13" s="644">
        <f>'DAL FGD'!$M$29</f>
        <v>197208498</v>
      </c>
      <c r="Q13" s="1439">
        <f>'DAL FGD'!$M$31</f>
        <v>112482382</v>
      </c>
      <c r="R13" s="644">
        <f>'DAL FGD'!$M$32</f>
        <v>-75460</v>
      </c>
      <c r="S13" s="644">
        <f>'DAL FGD'!$M$33</f>
        <v>0</v>
      </c>
      <c r="T13" s="644">
        <f>'DAL FGD'!$M$34</f>
        <v>1157</v>
      </c>
      <c r="U13" s="644">
        <f>'DAL FGD'!$M$35</f>
        <v>0</v>
      </c>
      <c r="V13" s="644">
        <f>'DAL FGD'!$M$36</f>
        <v>112408079</v>
      </c>
      <c r="W13" s="644">
        <f>'DAL FGD'!$M$37</f>
        <v>0</v>
      </c>
      <c r="X13" s="644">
        <f>'DAL FGD'!$M$38</f>
        <v>0</v>
      </c>
      <c r="Y13" s="644">
        <f>'DAL FGD'!$M$39</f>
        <v>-661597</v>
      </c>
      <c r="Z13" s="644">
        <f>'DAL FGD'!$M$40</f>
        <v>0</v>
      </c>
      <c r="AA13" s="644">
        <f>'DAL FGD'!$M$41</f>
        <v>-9030722</v>
      </c>
      <c r="AB13" s="1440">
        <f>'DAL FGD'!$M$42</f>
        <v>102715760</v>
      </c>
      <c r="AC13" s="1441">
        <f>'DAL FGD'!$M$44</f>
        <v>299924258</v>
      </c>
      <c r="AD13" s="1437" t="str">
        <f>'DAL FGD'!$O$92</f>
        <v>Cindy Milligan</v>
      </c>
      <c r="AE13" s="1039" t="str">
        <f>'DAL FGD'!$Q$92</f>
        <v>(972) 883-2632</v>
      </c>
      <c r="AF13" s="1438" t="str">
        <f>'DAL FGD'!$T$92</f>
        <v>cxm133830@utdallas.edu</v>
      </c>
      <c r="AG13" s="665" t="str">
        <f t="shared" si="1"/>
        <v>Balanced</v>
      </c>
      <c r="AH13" s="665" t="str">
        <f t="shared" si="2"/>
        <v>Balanced</v>
      </c>
      <c r="AI13" s="665" t="str">
        <f t="shared" si="3"/>
        <v>Balanced</v>
      </c>
      <c r="AJ13" s="665" t="str">
        <f t="shared" si="4"/>
        <v>Balanced</v>
      </c>
      <c r="AK13" s="665" t="str">
        <f t="shared" si="5"/>
        <v>Balanced</v>
      </c>
    </row>
    <row r="14" spans="1:37">
      <c r="A14" s="480">
        <v>70</v>
      </c>
      <c r="B14" s="1000">
        <v>3661</v>
      </c>
      <c r="C14" s="481" t="str">
        <f t="shared" si="0"/>
        <v>FY 21</v>
      </c>
      <c r="D14" s="53" t="s">
        <v>180</v>
      </c>
      <c r="E14" s="1439">
        <f>'E-P FGD'!$M$18</f>
        <v>170787101</v>
      </c>
      <c r="F14" s="644">
        <f>'E-P FGD'!$M$19</f>
        <v>-20423317</v>
      </c>
      <c r="G14" s="644">
        <f>'E-P FGD'!$M$20</f>
        <v>0</v>
      </c>
      <c r="H14" s="644">
        <f>'E-P FGD'!$M$21</f>
        <v>0</v>
      </c>
      <c r="I14" s="644">
        <f>'E-P FGD'!$M$22</f>
        <v>0</v>
      </c>
      <c r="J14" s="644">
        <f>'E-P FGD'!$M$23</f>
        <v>150363784</v>
      </c>
      <c r="K14" s="644">
        <f>'E-P FGD'!$M$24</f>
        <v>0</v>
      </c>
      <c r="L14" s="644">
        <f>'E-P FGD'!$M$25</f>
        <v>0</v>
      </c>
      <c r="M14" s="644">
        <f>'E-P FGD'!$M$26</f>
        <v>-5568394</v>
      </c>
      <c r="N14" s="644">
        <f>'E-P FGD'!$M$27</f>
        <v>0</v>
      </c>
      <c r="O14" s="644">
        <f>'E-P FGD'!$M$28</f>
        <v>-35109785</v>
      </c>
      <c r="P14" s="644">
        <f>'E-P FGD'!$M$29</f>
        <v>109685605</v>
      </c>
      <c r="Q14" s="1439">
        <f>'E-P FGD'!$M$31</f>
        <v>53875093</v>
      </c>
      <c r="R14" s="644">
        <f>'E-P FGD'!$M$32</f>
        <v>-7242</v>
      </c>
      <c r="S14" s="644">
        <f>'E-P FGD'!$M$33</f>
        <v>0</v>
      </c>
      <c r="T14" s="644">
        <f>'E-P FGD'!$M$34</f>
        <v>0</v>
      </c>
      <c r="U14" s="644">
        <f>'E-P FGD'!$M$35</f>
        <v>0</v>
      </c>
      <c r="V14" s="644">
        <f>'E-P FGD'!$M$36</f>
        <v>53867851</v>
      </c>
      <c r="W14" s="644">
        <f>'E-P FGD'!$M$37</f>
        <v>0</v>
      </c>
      <c r="X14" s="644">
        <f>'E-P FGD'!$M$38</f>
        <v>0</v>
      </c>
      <c r="Y14" s="644">
        <f>'E-P FGD'!$M$39</f>
        <v>-1353855</v>
      </c>
      <c r="Z14" s="644">
        <f>'E-P FGD'!$M$40</f>
        <v>0</v>
      </c>
      <c r="AA14" s="644">
        <f>'E-P FGD'!$M$41</f>
        <v>-13210707</v>
      </c>
      <c r="AB14" s="1440">
        <f>'E-P FGD'!$M$42</f>
        <v>39303289</v>
      </c>
      <c r="AC14" s="1441">
        <f>'E-P FGD'!$M$44</f>
        <v>148988894</v>
      </c>
      <c r="AD14" s="1437" t="str">
        <f>'E-P FGD'!$O$92</f>
        <v>Daniel Dominguez</v>
      </c>
      <c r="AE14" s="1039" t="str">
        <f>'E-P FGD'!$Q$92</f>
        <v>(915)747-5083</v>
      </c>
      <c r="AF14" s="1438" t="str">
        <f>'E-P FGD'!$T$92</f>
        <v>drdominguez@utep.edu</v>
      </c>
      <c r="AG14" s="665" t="str">
        <f t="shared" si="1"/>
        <v>Balanced</v>
      </c>
      <c r="AH14" s="665" t="str">
        <f t="shared" si="2"/>
        <v>Balanced</v>
      </c>
      <c r="AI14" s="665" t="str">
        <f t="shared" si="3"/>
        <v>Balanced</v>
      </c>
      <c r="AJ14" s="665" t="str">
        <f t="shared" si="4"/>
        <v>Balanced</v>
      </c>
      <c r="AK14" s="665" t="str">
        <f t="shared" si="5"/>
        <v>Balanced</v>
      </c>
    </row>
    <row r="15" spans="1:37">
      <c r="A15" s="480">
        <v>91</v>
      </c>
      <c r="B15" s="1000">
        <v>3599</v>
      </c>
      <c r="C15" s="481" t="str">
        <f t="shared" si="0"/>
        <v>FY 21</v>
      </c>
      <c r="D15" s="116" t="s">
        <v>1403</v>
      </c>
      <c r="E15" s="1439">
        <f>'RGV1 FGD'!$M$18</f>
        <v>231267781</v>
      </c>
      <c r="F15" s="644">
        <f>'RGV1 FGD'!$M$19</f>
        <v>-7967341</v>
      </c>
      <c r="G15" s="644">
        <f>'RGV1 FGD'!$M$20</f>
        <v>-5458</v>
      </c>
      <c r="H15" s="644">
        <f>'RGV1 FGD'!$M$21</f>
        <v>0</v>
      </c>
      <c r="I15" s="644">
        <f>'RGV1 FGD'!$M$22</f>
        <v>0</v>
      </c>
      <c r="J15" s="644">
        <f>'RGV1 FGD'!$M$23</f>
        <v>223294982</v>
      </c>
      <c r="K15" s="644">
        <f>'RGV1 FGD'!$M$24</f>
        <v>0</v>
      </c>
      <c r="L15" s="644">
        <f>'RGV1 FGD'!$M$25</f>
        <v>0</v>
      </c>
      <c r="M15" s="644">
        <f>'RGV1 FGD'!$M$26</f>
        <v>-8071791</v>
      </c>
      <c r="N15" s="644">
        <f>'RGV1 FGD'!$M$27</f>
        <v>0</v>
      </c>
      <c r="O15" s="644">
        <f>'RGV1 FGD'!$M$28</f>
        <v>-117640776</v>
      </c>
      <c r="P15" s="644">
        <f>'RGV1 FGD'!$M$29</f>
        <v>97582415</v>
      </c>
      <c r="Q15" s="1439">
        <f>'RGV1 FGD'!$M$31</f>
        <v>53980109</v>
      </c>
      <c r="R15" s="644">
        <f>'RGV1 FGD'!$M$32</f>
        <v>0</v>
      </c>
      <c r="S15" s="644">
        <f>'RGV1 FGD'!$M$33</f>
        <v>0</v>
      </c>
      <c r="T15" s="644">
        <f>'RGV1 FGD'!$M$34</f>
        <v>0</v>
      </c>
      <c r="U15" s="644">
        <f>'RGV1 FGD'!$M$35</f>
        <v>0</v>
      </c>
      <c r="V15" s="644">
        <f>'RGV1 FGD'!$M$36</f>
        <v>53980109</v>
      </c>
      <c r="W15" s="644">
        <f>'RGV1 FGD'!$M$37</f>
        <v>0</v>
      </c>
      <c r="X15" s="644">
        <f>'RGV1 FGD'!$M$38</f>
        <v>0</v>
      </c>
      <c r="Y15" s="644">
        <f>'RGV1 FGD'!$M$39</f>
        <v>-992344</v>
      </c>
      <c r="Z15" s="644">
        <f>'RGV1 FGD'!$M$40</f>
        <v>0</v>
      </c>
      <c r="AA15" s="644">
        <f>'RGV1 FGD'!$M$41</f>
        <v>-10651243</v>
      </c>
      <c r="AB15" s="1440">
        <f>'RGV1 FGD'!$M$42</f>
        <v>42336522</v>
      </c>
      <c r="AC15" s="1441">
        <f>'RGV1 FGD'!$M$44</f>
        <v>139918937</v>
      </c>
      <c r="AD15" s="1437" t="str">
        <f>'RGV1 FGD'!$O$92</f>
        <v>Lilia M. St. Clair</v>
      </c>
      <c r="AE15" s="1039" t="str">
        <f>'RGV1 FGD'!$Q$92</f>
        <v>956-665-7906</v>
      </c>
      <c r="AF15" s="1438" t="str">
        <f>'RGV1 FGD'!$T$92</f>
        <v>lilia.stclair@utrgv.edu</v>
      </c>
      <c r="AG15" s="665" t="str">
        <f t="shared" si="1"/>
        <v>Balanced</v>
      </c>
      <c r="AH15" s="665" t="str">
        <f t="shared" si="2"/>
        <v>Balanced</v>
      </c>
      <c r="AI15" s="665" t="str">
        <f t="shared" si="3"/>
        <v>Balanced</v>
      </c>
      <c r="AJ15" s="665" t="str">
        <f t="shared" si="4"/>
        <v>Balanced</v>
      </c>
      <c r="AK15" s="665" t="str">
        <f t="shared" si="5"/>
        <v>Balanced</v>
      </c>
    </row>
    <row r="16" spans="1:37">
      <c r="A16" s="480">
        <v>100</v>
      </c>
      <c r="B16" s="1000">
        <v>9930</v>
      </c>
      <c r="C16" s="481" t="str">
        <f t="shared" si="0"/>
        <v>FY 21</v>
      </c>
      <c r="D16" s="53" t="s">
        <v>188</v>
      </c>
      <c r="E16" s="1439">
        <f>'P-B FGD'!$M$18</f>
        <v>30365686</v>
      </c>
      <c r="F16" s="644">
        <f>'P-B FGD'!$M$19</f>
        <v>-1887262</v>
      </c>
      <c r="G16" s="644">
        <f>'P-B FGD'!$M$20</f>
        <v>0</v>
      </c>
      <c r="H16" s="644">
        <f>'P-B FGD'!$M$21</f>
        <v>0</v>
      </c>
      <c r="I16" s="644">
        <f>'P-B FGD'!$M$22</f>
        <v>0</v>
      </c>
      <c r="J16" s="644">
        <f>'P-B FGD'!$M$23</f>
        <v>28478424</v>
      </c>
      <c r="K16" s="644">
        <f>'P-B FGD'!$M$24</f>
        <v>0</v>
      </c>
      <c r="L16" s="644">
        <f>'P-B FGD'!$M$25</f>
        <v>0</v>
      </c>
      <c r="M16" s="644">
        <f>'P-B FGD'!$M$26</f>
        <v>-1654428</v>
      </c>
      <c r="N16" s="644">
        <f>'P-B FGD'!$M$27</f>
        <v>0</v>
      </c>
      <c r="O16" s="644">
        <f>'P-B FGD'!$M$28</f>
        <v>-9456006</v>
      </c>
      <c r="P16" s="644">
        <f>'P-B FGD'!$M$29</f>
        <v>17367990</v>
      </c>
      <c r="Q16" s="1439">
        <f>'P-B FGD'!$M$31</f>
        <v>15651728</v>
      </c>
      <c r="R16" s="644">
        <f>'P-B FGD'!$M$32</f>
        <v>0</v>
      </c>
      <c r="S16" s="644">
        <f>'P-B FGD'!$M$33</f>
        <v>0</v>
      </c>
      <c r="T16" s="644">
        <f>'P-B FGD'!$M$34</f>
        <v>0</v>
      </c>
      <c r="U16" s="644">
        <f>'P-B FGD'!$M$35</f>
        <v>0</v>
      </c>
      <c r="V16" s="644">
        <f>'P-B FGD'!$M$36</f>
        <v>15651728</v>
      </c>
      <c r="W16" s="644">
        <f>'P-B FGD'!$M$37</f>
        <v>0</v>
      </c>
      <c r="X16" s="644">
        <f>'P-B FGD'!$M$38</f>
        <v>0</v>
      </c>
      <c r="Y16" s="644">
        <f>'P-B FGD'!$M$39</f>
        <v>-92958</v>
      </c>
      <c r="Z16" s="644">
        <f>'P-B FGD'!$M$40</f>
        <v>0</v>
      </c>
      <c r="AA16" s="644">
        <f>'P-B FGD'!$M$41</f>
        <v>-413654</v>
      </c>
      <c r="AB16" s="1440">
        <f>'P-B FGD'!$M$42</f>
        <v>15145116</v>
      </c>
      <c r="AC16" s="1441">
        <f>'P-B FGD'!$M$44</f>
        <v>32513106</v>
      </c>
      <c r="AD16" s="1437" t="str">
        <f>'P-B FGD'!$O$92</f>
        <v>Jana Juarez</v>
      </c>
      <c r="AE16" s="1039" t="str">
        <f>'P-B FGD'!$Q$92</f>
        <v>432-552-2717</v>
      </c>
      <c r="AF16" s="1438" t="str">
        <f>'P-B FGD'!$T$92</f>
        <v>juarez_j@utpb.edu</v>
      </c>
      <c r="AG16" s="665" t="str">
        <f t="shared" si="1"/>
        <v>Balanced</v>
      </c>
      <c r="AH16" s="665" t="str">
        <f t="shared" si="2"/>
        <v>Balanced</v>
      </c>
      <c r="AI16" s="665" t="str">
        <f t="shared" si="3"/>
        <v>Balanced</v>
      </c>
      <c r="AJ16" s="665" t="str">
        <f t="shared" si="4"/>
        <v>Balanced</v>
      </c>
      <c r="AK16" s="665" t="str">
        <f t="shared" si="5"/>
        <v>Balanced</v>
      </c>
    </row>
    <row r="17" spans="1:37">
      <c r="A17" s="480">
        <v>110</v>
      </c>
      <c r="B17" s="1000">
        <v>10115</v>
      </c>
      <c r="C17" s="481" t="str">
        <f t="shared" si="0"/>
        <v>FY 21</v>
      </c>
      <c r="D17" s="53" t="s">
        <v>190</v>
      </c>
      <c r="E17" s="1439">
        <f>'S-A FGD'!$M$18</f>
        <v>243543440</v>
      </c>
      <c r="F17" s="644">
        <f>'S-A FGD'!$M$19</f>
        <v>-11667359</v>
      </c>
      <c r="G17" s="644">
        <f>'S-A FGD'!$M$20</f>
        <v>0</v>
      </c>
      <c r="H17" s="644">
        <f>'S-A FGD'!$M$21</f>
        <v>0</v>
      </c>
      <c r="I17" s="644">
        <f>'S-A FGD'!$M$22</f>
        <v>0</v>
      </c>
      <c r="J17" s="644">
        <f>'S-A FGD'!$M$23</f>
        <v>231876081</v>
      </c>
      <c r="K17" s="644">
        <f>'S-A FGD'!$M$24</f>
        <v>0</v>
      </c>
      <c r="L17" s="644">
        <f>'S-A FGD'!$M$25</f>
        <v>0</v>
      </c>
      <c r="M17" s="644">
        <f>'S-A FGD'!$M$26</f>
        <v>-20788789</v>
      </c>
      <c r="N17" s="644">
        <f>'S-A FGD'!$M$27</f>
        <v>0</v>
      </c>
      <c r="O17" s="644">
        <f>'S-A FGD'!$M$28</f>
        <v>-51095846</v>
      </c>
      <c r="P17" s="644">
        <f>'S-A FGD'!$M$29</f>
        <v>159991446</v>
      </c>
      <c r="Q17" s="1439">
        <f>'S-A FGD'!$M$31</f>
        <v>132698710</v>
      </c>
      <c r="R17" s="644">
        <f>'S-A FGD'!$M$32</f>
        <v>0</v>
      </c>
      <c r="S17" s="644">
        <f>'S-A FGD'!$M$33</f>
        <v>0</v>
      </c>
      <c r="T17" s="644">
        <f>'S-A FGD'!$M$34</f>
        <v>0</v>
      </c>
      <c r="U17" s="644">
        <f>'S-A FGD'!$M$35</f>
        <v>0</v>
      </c>
      <c r="V17" s="644">
        <f>'S-A FGD'!$M$36</f>
        <v>132698710</v>
      </c>
      <c r="W17" s="644">
        <f>'S-A FGD'!$M$37</f>
        <v>0</v>
      </c>
      <c r="X17" s="644">
        <f>'S-A FGD'!$M$38</f>
        <v>0</v>
      </c>
      <c r="Y17" s="644">
        <f>'S-A FGD'!$M$39</f>
        <v>-2350335</v>
      </c>
      <c r="Z17" s="644">
        <f>'S-A FGD'!$M$40</f>
        <v>0</v>
      </c>
      <c r="AA17" s="644">
        <f>'S-A FGD'!$M$41</f>
        <v>-38640385</v>
      </c>
      <c r="AB17" s="1440">
        <f>'S-A FGD'!$M$42</f>
        <v>91707990</v>
      </c>
      <c r="AC17" s="1441">
        <f>'S-A FGD'!$M$44</f>
        <v>251699436</v>
      </c>
      <c r="AD17" s="1437" t="str">
        <f>'S-A FGD'!$O$92</f>
        <v>Sheri Hardison</v>
      </c>
      <c r="AE17" s="1039" t="str">
        <f>'S-A FGD'!$Q$92</f>
        <v>210-458-6774</v>
      </c>
      <c r="AF17" s="1438" t="str">
        <f>'S-A FGD'!$T$92</f>
        <v>sheri.hardison@utsa.edu</v>
      </c>
      <c r="AG17" s="665" t="str">
        <f t="shared" si="1"/>
        <v>Balanced</v>
      </c>
      <c r="AH17" s="665" t="str">
        <f t="shared" si="2"/>
        <v>Balanced</v>
      </c>
      <c r="AI17" s="665" t="str">
        <f t="shared" si="3"/>
        <v>Balanced</v>
      </c>
      <c r="AJ17" s="665" t="str">
        <f t="shared" si="4"/>
        <v>Balanced</v>
      </c>
      <c r="AK17" s="665" t="str">
        <f t="shared" si="5"/>
        <v>Balanced</v>
      </c>
    </row>
    <row r="18" spans="1:37">
      <c r="A18" s="480">
        <v>120</v>
      </c>
      <c r="B18" s="1000">
        <v>11163</v>
      </c>
      <c r="C18" s="481" t="str">
        <f t="shared" si="0"/>
        <v>FY 21</v>
      </c>
      <c r="D18" s="53" t="s">
        <v>196</v>
      </c>
      <c r="E18" s="1439">
        <f>'TYL FGD'!$M$18</f>
        <v>66636547</v>
      </c>
      <c r="F18" s="644">
        <f>'TYL FGD'!$M$19</f>
        <v>-3042502</v>
      </c>
      <c r="G18" s="644">
        <f>'TYL FGD'!$M$20</f>
        <v>0</v>
      </c>
      <c r="H18" s="644">
        <f>'TYL FGD'!$M$21</f>
        <v>0</v>
      </c>
      <c r="I18" s="644">
        <f>'TYL FGD'!$M$22</f>
        <v>0</v>
      </c>
      <c r="J18" s="644">
        <f>'TYL FGD'!$M$23</f>
        <v>63594045</v>
      </c>
      <c r="K18" s="644">
        <f>'TYL FGD'!$M$24</f>
        <v>0</v>
      </c>
      <c r="L18" s="644">
        <f>'TYL FGD'!$M$25</f>
        <v>0</v>
      </c>
      <c r="M18" s="644">
        <f>'TYL FGD'!$M$26</f>
        <v>-4147383</v>
      </c>
      <c r="N18" s="644">
        <f>'TYL FGD'!$M$27</f>
        <v>0</v>
      </c>
      <c r="O18" s="644">
        <f>'TYL FGD'!$M$28</f>
        <v>-23478301</v>
      </c>
      <c r="P18" s="644">
        <f>'TYL FGD'!$M$29</f>
        <v>35968361</v>
      </c>
      <c r="Q18" s="1439">
        <f>'TYL FGD'!$M$31</f>
        <v>23787690</v>
      </c>
      <c r="R18" s="644">
        <f>'TYL FGD'!$M$32</f>
        <v>0</v>
      </c>
      <c r="S18" s="644">
        <f>'TYL FGD'!$M$33</f>
        <v>0</v>
      </c>
      <c r="T18" s="644">
        <f>'TYL FGD'!$M$34</f>
        <v>0</v>
      </c>
      <c r="U18" s="644">
        <f>'TYL FGD'!$M$35</f>
        <v>0</v>
      </c>
      <c r="V18" s="644">
        <f>'TYL FGD'!$M$36</f>
        <v>23787690</v>
      </c>
      <c r="W18" s="644">
        <f>'TYL FGD'!$M$37</f>
        <v>0</v>
      </c>
      <c r="X18" s="644">
        <f>'TYL FGD'!$M$38</f>
        <v>0</v>
      </c>
      <c r="Y18" s="644">
        <f>'TYL FGD'!$M$39</f>
        <v>-148737</v>
      </c>
      <c r="Z18" s="644">
        <f>'TYL FGD'!$M$40</f>
        <v>-2265399</v>
      </c>
      <c r="AA18" s="644">
        <f>'TYL FGD'!$M$41</f>
        <v>0</v>
      </c>
      <c r="AB18" s="1440">
        <f>'TYL FGD'!$M$42</f>
        <v>21373554</v>
      </c>
      <c r="AC18" s="1441">
        <f>'TYL FGD'!$M$44</f>
        <v>57341915</v>
      </c>
      <c r="AD18" s="1437" t="str">
        <f>'TYL FGD'!$O$92</f>
        <v>Brenda Golemon</v>
      </c>
      <c r="AE18" s="1039" t="str">
        <f>'TYL FGD'!$Q$92</f>
        <v>903-566-7319</v>
      </c>
      <c r="AF18" s="1438" t="str">
        <f>'TYL FGD'!$T$92</f>
        <v>bgolemon@gmail.com</v>
      </c>
      <c r="AG18" s="665" t="str">
        <f t="shared" si="1"/>
        <v>Balanced</v>
      </c>
      <c r="AH18" s="665" t="str">
        <f t="shared" si="2"/>
        <v>Balanced</v>
      </c>
      <c r="AI18" s="665" t="str">
        <f t="shared" si="3"/>
        <v>Balanced</v>
      </c>
      <c r="AJ18" s="665" t="str">
        <f t="shared" si="4"/>
        <v>Balanced</v>
      </c>
      <c r="AK18" s="665" t="str">
        <f t="shared" si="5"/>
        <v>Balanced</v>
      </c>
    </row>
    <row r="19" spans="1:37">
      <c r="A19" s="480">
        <v>130</v>
      </c>
      <c r="B19" s="1000">
        <v>3632</v>
      </c>
      <c r="C19" s="481" t="str">
        <f t="shared" si="0"/>
        <v>FY 21</v>
      </c>
      <c r="D19" s="53" t="s">
        <v>164</v>
      </c>
      <c r="E19" s="1439">
        <f>'TAMU FGD'!$M$18</f>
        <v>644360194</v>
      </c>
      <c r="F19" s="644">
        <f>'TAMU FGD'!$M$19</f>
        <v>-74666007</v>
      </c>
      <c r="G19" s="644">
        <f>'TAMU FGD'!$M$20</f>
        <v>-997840</v>
      </c>
      <c r="H19" s="644">
        <f>'TAMU FGD'!$M$21</f>
        <v>0</v>
      </c>
      <c r="I19" s="644">
        <f>'TAMU FGD'!$M$22</f>
        <v>0</v>
      </c>
      <c r="J19" s="644">
        <f>'TAMU FGD'!$M$23</f>
        <v>568696347</v>
      </c>
      <c r="K19" s="644">
        <f>'TAMU FGD'!$M$24</f>
        <v>0</v>
      </c>
      <c r="L19" s="644">
        <f>'TAMU FGD'!$M$25</f>
        <v>0</v>
      </c>
      <c r="M19" s="644">
        <f>'TAMU FGD'!$M$26</f>
        <v>-26779046</v>
      </c>
      <c r="N19" s="644">
        <f>'TAMU FGD'!$M$27</f>
        <v>0</v>
      </c>
      <c r="O19" s="644">
        <f>'TAMU FGD'!$M$28</f>
        <v>-99434778</v>
      </c>
      <c r="P19" s="644">
        <f>'TAMU FGD'!$M$29</f>
        <v>442482523</v>
      </c>
      <c r="Q19" s="1439">
        <f>'TAMU FGD'!$M$31</f>
        <v>305000220</v>
      </c>
      <c r="R19" s="644">
        <f>'TAMU FGD'!$M$32</f>
        <v>-87128</v>
      </c>
      <c r="S19" s="644">
        <f>'TAMU FGD'!$M$33</f>
        <v>-120494</v>
      </c>
      <c r="T19" s="644">
        <f>'TAMU FGD'!$M$34</f>
        <v>0</v>
      </c>
      <c r="U19" s="644">
        <f>'TAMU FGD'!$M$35</f>
        <v>0</v>
      </c>
      <c r="V19" s="644">
        <f>'TAMU FGD'!$M$36</f>
        <v>304792598</v>
      </c>
      <c r="W19" s="644">
        <f>'TAMU FGD'!$M$37</f>
        <v>0</v>
      </c>
      <c r="X19" s="644">
        <f>'TAMU FGD'!$M$38</f>
        <v>0</v>
      </c>
      <c r="Y19" s="644">
        <f>'TAMU FGD'!$M$39</f>
        <v>-12454439</v>
      </c>
      <c r="Z19" s="644">
        <f>'TAMU FGD'!$M$40</f>
        <v>0</v>
      </c>
      <c r="AA19" s="644">
        <f>'TAMU FGD'!$M$41</f>
        <v>-55189814</v>
      </c>
      <c r="AB19" s="1440">
        <f>'TAMU FGD'!$M$42</f>
        <v>237148345</v>
      </c>
      <c r="AC19" s="1441">
        <f>'TAMU FGD'!$M$44</f>
        <v>679630868</v>
      </c>
      <c r="AD19" s="1437" t="str">
        <f>'TAMU FGD'!$O$92</f>
        <v>Chris Arrington</v>
      </c>
      <c r="AE19" s="1039" t="str">
        <f>'TAMU FGD'!$Q$92</f>
        <v>979-458-9151</v>
      </c>
      <c r="AF19" s="1438" t="str">
        <f>'TAMU FGD'!$T$92</f>
        <v>carrington@tamus.edu</v>
      </c>
      <c r="AG19" s="665" t="str">
        <f t="shared" si="1"/>
        <v>Balanced</v>
      </c>
      <c r="AH19" s="665" t="str">
        <f t="shared" si="2"/>
        <v>Balanced</v>
      </c>
      <c r="AI19" s="665" t="str">
        <f t="shared" si="3"/>
        <v>Balanced</v>
      </c>
      <c r="AJ19" s="665" t="str">
        <f t="shared" si="4"/>
        <v>Balanced</v>
      </c>
      <c r="AK19" s="665" t="str">
        <f t="shared" si="5"/>
        <v>Balanced</v>
      </c>
    </row>
    <row r="20" spans="1:37">
      <c r="A20" s="480">
        <v>140</v>
      </c>
      <c r="B20" s="1000">
        <v>10298</v>
      </c>
      <c r="C20" s="481" t="str">
        <f t="shared" si="0"/>
        <v>FY 21</v>
      </c>
      <c r="D20" s="53" t="s">
        <v>192</v>
      </c>
      <c r="E20" s="1439">
        <f>'TAMUG FGD'!$M$18</f>
        <v>16417255</v>
      </c>
      <c r="F20" s="644">
        <f>'TAMUG FGD'!$M$19</f>
        <v>-1042341</v>
      </c>
      <c r="G20" s="644">
        <f>'TAMUG FGD'!$M$20</f>
        <v>-76274</v>
      </c>
      <c r="H20" s="644">
        <f>'TAMUG FGD'!$M$21</f>
        <v>0</v>
      </c>
      <c r="I20" s="644">
        <f>'TAMUG FGD'!$M$22</f>
        <v>0</v>
      </c>
      <c r="J20" s="644">
        <f>'TAMUG FGD'!$M$23</f>
        <v>15298640</v>
      </c>
      <c r="K20" s="644">
        <f>'TAMUG FGD'!$M$24</f>
        <v>0</v>
      </c>
      <c r="L20" s="644">
        <f>'TAMUG FGD'!$M$25</f>
        <v>0</v>
      </c>
      <c r="M20" s="644">
        <f>'TAMUG FGD'!$M$26</f>
        <v>-1109273</v>
      </c>
      <c r="N20" s="644">
        <f>'TAMUG FGD'!$M$27</f>
        <v>0</v>
      </c>
      <c r="O20" s="644">
        <f>'TAMUG FGD'!$M$28</f>
        <v>-1513697</v>
      </c>
      <c r="P20" s="644">
        <f>'TAMUG FGD'!$M$29</f>
        <v>12675670</v>
      </c>
      <c r="Q20" s="1439">
        <f>'TAMUG FGD'!$M$31</f>
        <v>10482997</v>
      </c>
      <c r="R20" s="644">
        <f>'TAMUG FGD'!$M$32</f>
        <v>-4500</v>
      </c>
      <c r="S20" s="644">
        <f>'TAMUG FGD'!$M$33</f>
        <v>-5911</v>
      </c>
      <c r="T20" s="644">
        <f>'TAMUG FGD'!$M$34</f>
        <v>0</v>
      </c>
      <c r="U20" s="644">
        <f>'TAMUG FGD'!$M$35</f>
        <v>0</v>
      </c>
      <c r="V20" s="644">
        <f>'TAMUG FGD'!$M$36</f>
        <v>10472586</v>
      </c>
      <c r="W20" s="644">
        <f>'TAMUG FGD'!$M$37</f>
        <v>0</v>
      </c>
      <c r="X20" s="644">
        <f>'TAMUG FGD'!$M$38</f>
        <v>0</v>
      </c>
      <c r="Y20" s="644">
        <f>'TAMUG FGD'!$M$39</f>
        <v>-578986</v>
      </c>
      <c r="Z20" s="644">
        <f>'TAMUG FGD'!$M$40</f>
        <v>0</v>
      </c>
      <c r="AA20" s="644">
        <f>'TAMUG FGD'!$M$41</f>
        <v>-1216550</v>
      </c>
      <c r="AB20" s="1440">
        <f>'TAMUG FGD'!$M$42</f>
        <v>8677050</v>
      </c>
      <c r="AC20" s="1441">
        <f>'TAMUG FGD'!$M$44</f>
        <v>21352720</v>
      </c>
      <c r="AD20" s="1437" t="str">
        <f>'TAMUG FGD'!$O$92</f>
        <v>Chris Arrington</v>
      </c>
      <c r="AE20" s="1039" t="str">
        <f>'TAMUG FGD'!$Q$92</f>
        <v>979-458-9151</v>
      </c>
      <c r="AF20" s="1438" t="str">
        <f>'TAMUG FGD'!$T$92</f>
        <v>carrington@tamus.edu</v>
      </c>
      <c r="AG20" s="665" t="str">
        <f t="shared" si="1"/>
        <v>Balanced</v>
      </c>
      <c r="AH20" s="665" t="str">
        <f t="shared" si="2"/>
        <v>Balanced</v>
      </c>
      <c r="AI20" s="665" t="str">
        <f t="shared" si="3"/>
        <v>Balanced</v>
      </c>
      <c r="AJ20" s="665" t="str">
        <f t="shared" si="4"/>
        <v>Balanced</v>
      </c>
      <c r="AK20" s="665" t="str">
        <f t="shared" si="5"/>
        <v>Balanced</v>
      </c>
    </row>
    <row r="21" spans="1:37">
      <c r="A21" s="480">
        <v>150</v>
      </c>
      <c r="B21" s="1000">
        <v>3630</v>
      </c>
      <c r="C21" s="481" t="str">
        <f t="shared" si="0"/>
        <v>FY 21</v>
      </c>
      <c r="D21" s="53" t="s">
        <v>160</v>
      </c>
      <c r="E21" s="1439">
        <f>'PVAMU FGD'!$M$18</f>
        <v>73874771</v>
      </c>
      <c r="F21" s="644">
        <f>'PVAMU FGD'!$M$19</f>
        <v>-6328824</v>
      </c>
      <c r="G21" s="644">
        <f>'PVAMU FGD'!$M$20</f>
        <v>0</v>
      </c>
      <c r="H21" s="644">
        <f>'PVAMU FGD'!$M$21</f>
        <v>0</v>
      </c>
      <c r="I21" s="644">
        <f>'PVAMU FGD'!$M$22</f>
        <v>0</v>
      </c>
      <c r="J21" s="644">
        <f>'PVAMU FGD'!$M$23</f>
        <v>67545947</v>
      </c>
      <c r="K21" s="644">
        <f>'PVAMU FGD'!$M$24</f>
        <v>0</v>
      </c>
      <c r="L21" s="644">
        <f>'PVAMU FGD'!$M$25</f>
        <v>0</v>
      </c>
      <c r="M21" s="644">
        <f>'PVAMU FGD'!$M$26</f>
        <v>-2846276</v>
      </c>
      <c r="N21" s="644">
        <f>'PVAMU FGD'!$M$27</f>
        <v>0</v>
      </c>
      <c r="O21" s="644">
        <f>'PVAMU FGD'!$M$28</f>
        <v>-24231867</v>
      </c>
      <c r="P21" s="644">
        <f>'PVAMU FGD'!$M$29</f>
        <v>40467804</v>
      </c>
      <c r="Q21" s="1439">
        <f>'PVAMU FGD'!$M$31</f>
        <v>32339445</v>
      </c>
      <c r="R21" s="644">
        <f>'PVAMU FGD'!$M$32</f>
        <v>0</v>
      </c>
      <c r="S21" s="644">
        <f>'PVAMU FGD'!$M$33</f>
        <v>0</v>
      </c>
      <c r="T21" s="644">
        <f>'PVAMU FGD'!$M$34</f>
        <v>0</v>
      </c>
      <c r="U21" s="644">
        <f>'PVAMU FGD'!$M$35</f>
        <v>0</v>
      </c>
      <c r="V21" s="644">
        <f>'PVAMU FGD'!$M$36</f>
        <v>32339445</v>
      </c>
      <c r="W21" s="644">
        <f>'PVAMU FGD'!$M$37</f>
        <v>0</v>
      </c>
      <c r="X21" s="644">
        <f>'PVAMU FGD'!$M$38</f>
        <v>0</v>
      </c>
      <c r="Y21" s="644">
        <f>'PVAMU FGD'!$M$39</f>
        <v>-1691183</v>
      </c>
      <c r="Z21" s="644">
        <f>'PVAMU FGD'!$M$40</f>
        <v>0</v>
      </c>
      <c r="AA21" s="644">
        <f>'PVAMU FGD'!$M$41</f>
        <v>-12509554</v>
      </c>
      <c r="AB21" s="1440">
        <f>'PVAMU FGD'!$M$42</f>
        <v>18138708</v>
      </c>
      <c r="AC21" s="1441">
        <f>'PVAMU FGD'!$M$44</f>
        <v>58606512</v>
      </c>
      <c r="AD21" s="1437" t="str">
        <f>'TARLST FGD'!$O$92</f>
        <v>Chris Arrington</v>
      </c>
      <c r="AE21" s="1039" t="str">
        <f>'TARLST FGD'!$Q$92</f>
        <v>254-968-1643</v>
      </c>
      <c r="AF21" s="1438" t="str">
        <f>'TARLST FGD'!$T$92</f>
        <v>fincher@tarleton.edu</v>
      </c>
      <c r="AG21" s="665" t="str">
        <f t="shared" si="1"/>
        <v>Balanced</v>
      </c>
      <c r="AH21" s="665" t="str">
        <f t="shared" si="2"/>
        <v>Balanced</v>
      </c>
      <c r="AI21" s="665" t="str">
        <f t="shared" si="3"/>
        <v>Balanced</v>
      </c>
      <c r="AJ21" s="665" t="str">
        <f t="shared" si="4"/>
        <v>Balanced</v>
      </c>
      <c r="AK21" s="665" t="str">
        <f t="shared" si="5"/>
        <v>Balanced</v>
      </c>
    </row>
    <row r="22" spans="1:37">
      <c r="A22" s="480">
        <v>160</v>
      </c>
      <c r="B22" s="1000">
        <v>3631</v>
      </c>
      <c r="C22" s="481" t="str">
        <f t="shared" si="0"/>
        <v>FY 21</v>
      </c>
      <c r="D22" s="53" t="s">
        <v>162</v>
      </c>
      <c r="E22" s="1439">
        <f>'TARLST FGD'!$M$18</f>
        <v>79338751</v>
      </c>
      <c r="F22" s="644">
        <f>'TARLST FGD'!$M$19</f>
        <v>-3086314</v>
      </c>
      <c r="G22" s="644">
        <f>'TARLST FGD'!$M$20</f>
        <v>0</v>
      </c>
      <c r="H22" s="644">
        <f>'TARLST FGD'!$M$21</f>
        <v>0</v>
      </c>
      <c r="I22" s="644">
        <f>'TARLST FGD'!$M$22</f>
        <v>0</v>
      </c>
      <c r="J22" s="644">
        <f>'TARLST FGD'!$M$23</f>
        <v>76252437</v>
      </c>
      <c r="K22" s="644">
        <f>'TARLST FGD'!$M$24</f>
        <v>0</v>
      </c>
      <c r="L22" s="644">
        <f>'TARLST FGD'!$M$25</f>
        <v>0</v>
      </c>
      <c r="M22" s="644">
        <f>'TARLST FGD'!$M$26</f>
        <v>-4974728</v>
      </c>
      <c r="N22" s="644">
        <f>'TARLST FGD'!$M$27</f>
        <v>-277625</v>
      </c>
      <c r="O22" s="644">
        <f>'TARLST FGD'!$M$28</f>
        <v>-13680786</v>
      </c>
      <c r="P22" s="644">
        <f>'TARLST FGD'!$M$29</f>
        <v>57319298</v>
      </c>
      <c r="Q22" s="1439">
        <f>'TARLST FGD'!$M$31</f>
        <v>50328413</v>
      </c>
      <c r="R22" s="644">
        <f>'TARLST FGD'!$M$32</f>
        <v>0</v>
      </c>
      <c r="S22" s="644">
        <f>'TARLST FGD'!$M$33</f>
        <v>0</v>
      </c>
      <c r="T22" s="644">
        <f>'TARLST FGD'!$M$34</f>
        <v>0</v>
      </c>
      <c r="U22" s="644">
        <f>'TARLST FGD'!$M$35</f>
        <v>0</v>
      </c>
      <c r="V22" s="644">
        <f>'TARLST FGD'!$M$36</f>
        <v>50328413</v>
      </c>
      <c r="W22" s="644">
        <f>'TARLST FGD'!$M$37</f>
        <v>0</v>
      </c>
      <c r="X22" s="644">
        <f>'TARLST FGD'!$M$38</f>
        <v>0</v>
      </c>
      <c r="Y22" s="644">
        <f>'TARLST FGD'!$M$39</f>
        <v>-3162677</v>
      </c>
      <c r="Z22" s="644">
        <f>'TARLST FGD'!$M$40</f>
        <v>0</v>
      </c>
      <c r="AA22" s="644">
        <f>'TARLST FGD'!$M$41</f>
        <v>-9395406</v>
      </c>
      <c r="AB22" s="1440">
        <f>'TARLST FGD'!$M$42</f>
        <v>37770330</v>
      </c>
      <c r="AC22" s="1441">
        <f>'TARLST FGD'!$M$44</f>
        <v>95089628</v>
      </c>
      <c r="AD22" s="1437" t="str">
        <f>'TARLST FGD'!$O$92</f>
        <v>Chris Arrington</v>
      </c>
      <c r="AE22" s="1039" t="str">
        <f>'TARLST FGD'!$Q$92</f>
        <v>254-968-1643</v>
      </c>
      <c r="AF22" s="1438" t="str">
        <f>'TARLST FGD'!$T$92</f>
        <v>fincher@tarleton.edu</v>
      </c>
      <c r="AG22" s="665" t="str">
        <f t="shared" si="1"/>
        <v>Balanced</v>
      </c>
      <c r="AH22" s="665" t="str">
        <f t="shared" si="2"/>
        <v>Balanced</v>
      </c>
      <c r="AI22" s="665" t="str">
        <f t="shared" si="3"/>
        <v>Balanced</v>
      </c>
      <c r="AJ22" s="665" t="str">
        <f t="shared" si="4"/>
        <v>Balanced</v>
      </c>
      <c r="AK22" s="665" t="str">
        <f t="shared" si="5"/>
        <v>Balanced</v>
      </c>
    </row>
    <row r="23" spans="1:37">
      <c r="A23" s="480">
        <v>170</v>
      </c>
      <c r="B23" s="1000">
        <v>11161</v>
      </c>
      <c r="C23" s="481" t="str">
        <f t="shared" si="0"/>
        <v>FY 21</v>
      </c>
      <c r="D23" s="53" t="s">
        <v>194</v>
      </c>
      <c r="E23" s="1439">
        <f>'TAMUCC FGD'!$M$18</f>
        <v>57291083</v>
      </c>
      <c r="F23" s="644">
        <f>'TAMUCC FGD'!$M$19</f>
        <v>-3221002</v>
      </c>
      <c r="G23" s="644">
        <f>'TAMUCC FGD'!$M$20</f>
        <v>0</v>
      </c>
      <c r="H23" s="644">
        <f>'TAMUCC FGD'!$M$21</f>
        <v>0</v>
      </c>
      <c r="I23" s="644">
        <f>'TAMUCC FGD'!$M$22</f>
        <v>0</v>
      </c>
      <c r="J23" s="644">
        <f>'TAMUCC FGD'!$M$23</f>
        <v>54070081</v>
      </c>
      <c r="K23" s="644">
        <f>'TAMUCC FGD'!$M$24</f>
        <v>-160211</v>
      </c>
      <c r="L23" s="644">
        <f>'TAMUCC FGD'!$M$25</f>
        <v>0</v>
      </c>
      <c r="M23" s="644">
        <f>'TAMUCC FGD'!$M$26</f>
        <v>-4388489</v>
      </c>
      <c r="N23" s="644">
        <f>'TAMUCC FGD'!$M$27</f>
        <v>0</v>
      </c>
      <c r="O23" s="644">
        <f>'TAMUCC FGD'!$M$28</f>
        <v>-10367639</v>
      </c>
      <c r="P23" s="644">
        <f>'TAMUCC FGD'!$M$29</f>
        <v>39153742</v>
      </c>
      <c r="Q23" s="1439">
        <f>'TAMUCC FGD'!$M$31</f>
        <v>59366040</v>
      </c>
      <c r="R23" s="644">
        <f>'TAMUCC FGD'!$M$32</f>
        <v>0</v>
      </c>
      <c r="S23" s="644">
        <f>'TAMUCC FGD'!$M$33</f>
        <v>0</v>
      </c>
      <c r="T23" s="644">
        <f>'TAMUCC FGD'!$M$34</f>
        <v>0</v>
      </c>
      <c r="U23" s="644">
        <f>'TAMUCC FGD'!$M$35</f>
        <v>0</v>
      </c>
      <c r="V23" s="644">
        <f>'TAMUCC FGD'!$M$36</f>
        <v>59366040</v>
      </c>
      <c r="W23" s="644">
        <f>'TAMUCC FGD'!$M$37</f>
        <v>0</v>
      </c>
      <c r="X23" s="644">
        <f>'TAMUCC FGD'!$M$38</f>
        <v>0</v>
      </c>
      <c r="Y23" s="644">
        <f>'TAMUCC FGD'!$M$39</f>
        <v>-5970259</v>
      </c>
      <c r="Z23" s="644">
        <f>'TAMUCC FGD'!$M$40</f>
        <v>0</v>
      </c>
      <c r="AA23" s="644">
        <f>'TAMUCC FGD'!$M$41</f>
        <v>-10407078</v>
      </c>
      <c r="AB23" s="1440">
        <f>'TAMUCC FGD'!$M$42</f>
        <v>42988703</v>
      </c>
      <c r="AC23" s="1441">
        <f>'TAMUCC FGD'!$M$44</f>
        <v>82142445</v>
      </c>
      <c r="AD23" s="1437" t="str">
        <f>'TAMUCC FGD'!$O$92</f>
        <v>Chris Arrington</v>
      </c>
      <c r="AE23" s="1039" t="str">
        <f>'TAMUCC FGD'!$Q$92</f>
        <v>979-458-9151</v>
      </c>
      <c r="AF23" s="1438" t="str">
        <f>'TAMUCC FGD'!$T$92</f>
        <v>carrington@tamus.edu</v>
      </c>
      <c r="AG23" s="665" t="str">
        <f t="shared" si="1"/>
        <v>Balanced</v>
      </c>
      <c r="AH23" s="665" t="str">
        <f t="shared" si="2"/>
        <v>Balanced</v>
      </c>
      <c r="AI23" s="665" t="str">
        <f t="shared" si="3"/>
        <v>Balanced</v>
      </c>
      <c r="AJ23" s="665" t="str">
        <f t="shared" si="4"/>
        <v>Balanced</v>
      </c>
      <c r="AK23" s="665" t="str">
        <f t="shared" si="5"/>
        <v>Balanced</v>
      </c>
    </row>
    <row r="24" spans="1:37">
      <c r="A24" s="480">
        <v>180</v>
      </c>
      <c r="B24" s="1000">
        <v>3639</v>
      </c>
      <c r="C24" s="481" t="str">
        <f t="shared" si="0"/>
        <v>FY 21</v>
      </c>
      <c r="D24" s="53" t="s">
        <v>166</v>
      </c>
      <c r="E24" s="1439">
        <f>'TAMUK FGD'!$M$18</f>
        <v>34371172</v>
      </c>
      <c r="F24" s="644">
        <f>'TAMUK FGD'!$M$19</f>
        <v>-2358812</v>
      </c>
      <c r="G24" s="644">
        <f>'TAMUK FGD'!$M$20</f>
        <v>0</v>
      </c>
      <c r="H24" s="644">
        <f>'TAMUK FGD'!$M$21</f>
        <v>0</v>
      </c>
      <c r="I24" s="644">
        <f>'TAMUK FGD'!$M$22</f>
        <v>0</v>
      </c>
      <c r="J24" s="644">
        <f>'TAMUK FGD'!$M$23</f>
        <v>32012360</v>
      </c>
      <c r="K24" s="644">
        <f>'TAMUK FGD'!$M$24</f>
        <v>-2721</v>
      </c>
      <c r="L24" s="644">
        <f>'TAMUK FGD'!$M$25</f>
        <v>0</v>
      </c>
      <c r="M24" s="644">
        <f>'TAMUK FGD'!$M$26</f>
        <v>-1715410</v>
      </c>
      <c r="N24" s="644">
        <f>'TAMUK FGD'!$M$27</f>
        <v>0</v>
      </c>
      <c r="O24" s="644">
        <f>'TAMUK FGD'!$M$28</f>
        <v>-9289061</v>
      </c>
      <c r="P24" s="644">
        <f>'TAMUK FGD'!$M$29</f>
        <v>21005168</v>
      </c>
      <c r="Q24" s="1439">
        <f>'TAMUK FGD'!$M$31</f>
        <v>28319340</v>
      </c>
      <c r="R24" s="644">
        <f>'TAMUK FGD'!$M$32</f>
        <v>0</v>
      </c>
      <c r="S24" s="644">
        <f>'TAMUK FGD'!$M$33</f>
        <v>0</v>
      </c>
      <c r="T24" s="644">
        <f>'TAMUK FGD'!$M$34</f>
        <v>0</v>
      </c>
      <c r="U24" s="644">
        <f>'TAMUK FGD'!$M$35</f>
        <v>0</v>
      </c>
      <c r="V24" s="644">
        <f>'TAMUK FGD'!$M$36</f>
        <v>28319340</v>
      </c>
      <c r="W24" s="644">
        <f>'TAMUK FGD'!$M$37</f>
        <v>0</v>
      </c>
      <c r="X24" s="644">
        <f>'TAMUK FGD'!$M$38</f>
        <v>0</v>
      </c>
      <c r="Y24" s="644">
        <f>'TAMUK FGD'!$M$39</f>
        <v>-1847465</v>
      </c>
      <c r="Z24" s="644">
        <f>'TAMUK FGD'!$M$40</f>
        <v>0</v>
      </c>
      <c r="AA24" s="644">
        <f>'TAMUK FGD'!$M$41</f>
        <v>-7889911</v>
      </c>
      <c r="AB24" s="1440">
        <f>'TAMUK FGD'!$M$42</f>
        <v>18581964</v>
      </c>
      <c r="AC24" s="1441">
        <f>'TAMUK FGD'!$M$44</f>
        <v>39587132</v>
      </c>
      <c r="AD24" s="1437" t="str">
        <f>'TAMUK FGD'!$O$92</f>
        <v>Chris Arrington</v>
      </c>
      <c r="AE24" s="1039" t="str">
        <f>'TAMUK FGD'!$Q$92</f>
        <v>979-458-9151</v>
      </c>
      <c r="AF24" s="1438" t="str">
        <f>'TAMUK FGD'!$T$92</f>
        <v>carrington@tamus.edu</v>
      </c>
      <c r="AG24" s="665" t="str">
        <f t="shared" si="1"/>
        <v>Balanced</v>
      </c>
      <c r="AH24" s="665" t="str">
        <f t="shared" si="2"/>
        <v>Balanced</v>
      </c>
      <c r="AI24" s="665" t="str">
        <f t="shared" si="3"/>
        <v>Balanced</v>
      </c>
      <c r="AJ24" s="665" t="str">
        <f t="shared" si="4"/>
        <v>Balanced</v>
      </c>
      <c r="AK24" s="665" t="str">
        <f t="shared" si="5"/>
        <v>Balanced</v>
      </c>
    </row>
    <row r="25" spans="1:37">
      <c r="A25" s="480">
        <v>190</v>
      </c>
      <c r="B25" s="1000">
        <v>9651</v>
      </c>
      <c r="C25" s="481" t="str">
        <f t="shared" si="0"/>
        <v>FY 21</v>
      </c>
      <c r="D25" s="53" t="s">
        <v>184</v>
      </c>
      <c r="E25" s="1439">
        <f>'TAMIU FGD'!$M$18</f>
        <v>36874550</v>
      </c>
      <c r="F25" s="644">
        <f>'TAMIU FGD'!$M$19</f>
        <v>-2237442</v>
      </c>
      <c r="G25" s="644">
        <f>'TAMIU FGD'!$M$20</f>
        <v>0</v>
      </c>
      <c r="H25" s="644">
        <f>'TAMIU FGD'!$M$21</f>
        <v>-1018971</v>
      </c>
      <c r="I25" s="644">
        <f>'TAMIU FGD'!$M$22</f>
        <v>0</v>
      </c>
      <c r="J25" s="644">
        <f>'TAMIU FGD'!$M$23</f>
        <v>33618137</v>
      </c>
      <c r="K25" s="644">
        <f>'TAMIU FGD'!$M$24</f>
        <v>0</v>
      </c>
      <c r="L25" s="644">
        <f>'TAMIU FGD'!$M$25</f>
        <v>0</v>
      </c>
      <c r="M25" s="644">
        <f>'TAMIU FGD'!$M$26</f>
        <v>-1131264</v>
      </c>
      <c r="N25" s="644">
        <f>'TAMIU FGD'!$M$27</f>
        <v>0</v>
      </c>
      <c r="O25" s="644">
        <f>'TAMIU FGD'!$M$28</f>
        <v>-14383524</v>
      </c>
      <c r="P25" s="644">
        <f>'TAMIU FGD'!$M$29</f>
        <v>18103349</v>
      </c>
      <c r="Q25" s="1439">
        <f>'TAMIU FGD'!$M$31</f>
        <v>35163652</v>
      </c>
      <c r="R25" s="644">
        <f>'TAMIU FGD'!$M$32</f>
        <v>-338468</v>
      </c>
      <c r="S25" s="644">
        <f>'TAMIU FGD'!$M$33</f>
        <v>0</v>
      </c>
      <c r="T25" s="644">
        <f>'TAMIU FGD'!$M$34</f>
        <v>-2021772</v>
      </c>
      <c r="U25" s="644">
        <f>'TAMIU FGD'!$M$35</f>
        <v>0</v>
      </c>
      <c r="V25" s="644">
        <f>'TAMIU FGD'!$M$36</f>
        <v>32803412</v>
      </c>
      <c r="W25" s="644">
        <f>'TAMIU FGD'!$M$37</f>
        <v>0</v>
      </c>
      <c r="X25" s="644">
        <f>'TAMIU FGD'!$M$38</f>
        <v>0</v>
      </c>
      <c r="Y25" s="644">
        <f>'TAMIU FGD'!$M$39</f>
        <v>-930840</v>
      </c>
      <c r="Z25" s="644">
        <f>'TAMIU FGD'!$M$40</f>
        <v>0</v>
      </c>
      <c r="AA25" s="644">
        <f>'TAMIU FGD'!$M$41</f>
        <v>-14207911</v>
      </c>
      <c r="AB25" s="1440">
        <f>'TAMIU FGD'!$M$42</f>
        <v>17664661</v>
      </c>
      <c r="AC25" s="1441">
        <f>'TAMIU FGD'!$M$44</f>
        <v>35768010</v>
      </c>
      <c r="AD25" s="1437" t="str">
        <f>'TAMIU FGD'!$O$92</f>
        <v>Chris Arrington</v>
      </c>
      <c r="AE25" s="1039" t="str">
        <f>'TAMIU FGD'!$Q$92</f>
        <v>979-458-9151</v>
      </c>
      <c r="AF25" s="1438" t="str">
        <f>'TAMIU FGD'!$T$92</f>
        <v>carrington@tamus.edu</v>
      </c>
      <c r="AG25" s="665" t="str">
        <f t="shared" si="1"/>
        <v>Balanced</v>
      </c>
      <c r="AH25" s="665" t="str">
        <f t="shared" si="2"/>
        <v>Balanced</v>
      </c>
      <c r="AI25" s="665" t="str">
        <f t="shared" si="3"/>
        <v>Balanced</v>
      </c>
      <c r="AJ25" s="665" t="str">
        <f t="shared" si="4"/>
        <v>Balanced</v>
      </c>
      <c r="AK25" s="665" t="str">
        <f t="shared" si="5"/>
        <v>Balanced</v>
      </c>
    </row>
    <row r="26" spans="1:37">
      <c r="A26" s="480">
        <v>200</v>
      </c>
      <c r="B26" s="1001">
        <v>3665</v>
      </c>
      <c r="C26" s="481" t="str">
        <f t="shared" si="0"/>
        <v>FY 21</v>
      </c>
      <c r="D26" s="56" t="s">
        <v>182</v>
      </c>
      <c r="E26" s="1439">
        <f>'WTAMU FGD'!$M$18</f>
        <v>70691705</v>
      </c>
      <c r="F26" s="644">
        <f>'WTAMU FGD'!$M$19</f>
        <v>-14243182</v>
      </c>
      <c r="G26" s="644">
        <f>'WTAMU FGD'!$M$20</f>
        <v>0</v>
      </c>
      <c r="H26" s="644">
        <f>'WTAMU FGD'!$M$21</f>
        <v>0</v>
      </c>
      <c r="I26" s="644">
        <f>'WTAMU FGD'!$M$22</f>
        <v>0</v>
      </c>
      <c r="J26" s="644">
        <f>'WTAMU FGD'!$M$23</f>
        <v>56448523</v>
      </c>
      <c r="K26" s="644">
        <f>'WTAMU FGD'!$M$24</f>
        <v>0</v>
      </c>
      <c r="L26" s="644">
        <f>'WTAMU FGD'!$M$25</f>
        <v>0</v>
      </c>
      <c r="M26" s="644">
        <f>'WTAMU FGD'!$M$26</f>
        <v>-4085106</v>
      </c>
      <c r="N26" s="644">
        <f>'WTAMU FGD'!$M$27</f>
        <v>0</v>
      </c>
      <c r="O26" s="644">
        <f>'WTAMU FGD'!$M$28</f>
        <v>-11923744</v>
      </c>
      <c r="P26" s="644">
        <f>'WTAMU FGD'!$M$29</f>
        <v>40439673</v>
      </c>
      <c r="Q26" s="1439">
        <f>'WTAMU FGD'!$M$31</f>
        <v>28953630</v>
      </c>
      <c r="R26" s="644">
        <f>'WTAMU FGD'!$M$32</f>
        <v>0</v>
      </c>
      <c r="S26" s="644">
        <f>'WTAMU FGD'!$M$33</f>
        <v>0</v>
      </c>
      <c r="T26" s="644">
        <f>'WTAMU FGD'!$M$34</f>
        <v>0</v>
      </c>
      <c r="U26" s="644">
        <f>'WTAMU FGD'!$M$35</f>
        <v>0</v>
      </c>
      <c r="V26" s="644">
        <f>'WTAMU FGD'!$M$36</f>
        <v>28953630</v>
      </c>
      <c r="W26" s="644">
        <f>'WTAMU FGD'!$M$37</f>
        <v>0</v>
      </c>
      <c r="X26" s="644">
        <f>'WTAMU FGD'!$M$38</f>
        <v>0</v>
      </c>
      <c r="Y26" s="644">
        <f>'WTAMU FGD'!$M$39</f>
        <v>-2734657</v>
      </c>
      <c r="Z26" s="644">
        <f>'WTAMU FGD'!$M$40</f>
        <v>0</v>
      </c>
      <c r="AA26" s="644">
        <f>'WTAMU FGD'!$M$41</f>
        <v>-5476617</v>
      </c>
      <c r="AB26" s="1440">
        <f>'WTAMU FGD'!$M$42</f>
        <v>20742356</v>
      </c>
      <c r="AC26" s="1441">
        <f>'WTAMU FGD'!$M$44</f>
        <v>61182029</v>
      </c>
      <c r="AD26" s="1437" t="str">
        <f>'WTAMU FGD'!$O$92</f>
        <v>Chris Arrington</v>
      </c>
      <c r="AE26" s="1039" t="str">
        <f>'WTAMU FGD'!$Q$92</f>
        <v>979-458-9151</v>
      </c>
      <c r="AF26" s="1438" t="str">
        <f>'WTAMU FGD'!$T$92</f>
        <v>carrington@tamus.edu</v>
      </c>
      <c r="AG26" s="665" t="str">
        <f t="shared" si="1"/>
        <v>Balanced</v>
      </c>
      <c r="AH26" s="665" t="str">
        <f t="shared" si="2"/>
        <v>Balanced</v>
      </c>
      <c r="AI26" s="665" t="str">
        <f t="shared" si="3"/>
        <v>Balanced</v>
      </c>
      <c r="AJ26" s="665" t="str">
        <f t="shared" si="4"/>
        <v>Balanced</v>
      </c>
      <c r="AK26" s="665" t="str">
        <f t="shared" si="5"/>
        <v>Balanced</v>
      </c>
    </row>
    <row r="27" spans="1:37">
      <c r="A27" s="480">
        <v>210</v>
      </c>
      <c r="B27" s="1000">
        <v>3565</v>
      </c>
      <c r="C27" s="481" t="str">
        <f t="shared" si="0"/>
        <v>FY 21</v>
      </c>
      <c r="D27" s="53" t="s">
        <v>142</v>
      </c>
      <c r="E27" s="1439">
        <f>'TAMUC FGD'!$M$18</f>
        <v>47071090</v>
      </c>
      <c r="F27" s="644">
        <f>'TAMUC FGD'!$M$19</f>
        <v>-1809864</v>
      </c>
      <c r="G27" s="644">
        <f>'TAMUC FGD'!$M$20</f>
        <v>0</v>
      </c>
      <c r="H27" s="644">
        <f>'TAMUC FGD'!$M$21</f>
        <v>0</v>
      </c>
      <c r="I27" s="644">
        <f>'TAMUC FGD'!$M$22</f>
        <v>0</v>
      </c>
      <c r="J27" s="644">
        <f>'TAMUC FGD'!$M$23</f>
        <v>45261226</v>
      </c>
      <c r="K27" s="644">
        <f>'TAMUC FGD'!$M$24</f>
        <v>0</v>
      </c>
      <c r="L27" s="644">
        <f>'TAMUC FGD'!$M$25</f>
        <v>0</v>
      </c>
      <c r="M27" s="644">
        <f>'TAMUC FGD'!$M$26</f>
        <v>-4203329</v>
      </c>
      <c r="N27" s="644">
        <f>'TAMUC FGD'!$M$27</f>
        <v>0</v>
      </c>
      <c r="O27" s="644">
        <f>'TAMUC FGD'!$M$28</f>
        <v>-6865185</v>
      </c>
      <c r="P27" s="644">
        <f>'TAMUC FGD'!$M$29</f>
        <v>34192712</v>
      </c>
      <c r="Q27" s="1439">
        <f>'TAMUC FGD'!$M$31</f>
        <v>66869164</v>
      </c>
      <c r="R27" s="644">
        <f>'TAMUC FGD'!$M$32</f>
        <v>-6053495</v>
      </c>
      <c r="S27" s="644">
        <f>'TAMUC FGD'!$M$33</f>
        <v>0</v>
      </c>
      <c r="T27" s="644">
        <f>'TAMUC FGD'!$M$34</f>
        <v>0</v>
      </c>
      <c r="U27" s="644">
        <f>'TAMUC FGD'!$M$35</f>
        <v>0</v>
      </c>
      <c r="V27" s="644">
        <f>'TAMUC FGD'!$M$36</f>
        <v>60815669</v>
      </c>
      <c r="W27" s="644">
        <f>'TAMUC FGD'!$M$37</f>
        <v>0</v>
      </c>
      <c r="X27" s="644">
        <f>'TAMUC FGD'!$M$38</f>
        <v>0</v>
      </c>
      <c r="Y27" s="644">
        <f>'TAMUC FGD'!$M$39</f>
        <v>-647049</v>
      </c>
      <c r="Z27" s="644">
        <f>'TAMUC FGD'!$M$40</f>
        <v>0</v>
      </c>
      <c r="AA27" s="644">
        <f>'TAMUC FGD'!$M$41</f>
        <v>-14260639</v>
      </c>
      <c r="AB27" s="1440">
        <f>'TAMUC FGD'!$M$42</f>
        <v>45907981</v>
      </c>
      <c r="AC27" s="1441">
        <f>'TAMUC FGD'!$M$44</f>
        <v>80100693</v>
      </c>
      <c r="AD27" s="1437" t="str">
        <f>'TAMUC FGD'!$O$92</f>
        <v>Chris Arrington</v>
      </c>
      <c r="AE27" s="1039" t="str">
        <f>'TAMUC FGD'!$Q$92</f>
        <v>979-458-9151</v>
      </c>
      <c r="AF27" s="1438" t="str">
        <f>'TAMUC FGD'!$T$92</f>
        <v>carrington@tamus.edu</v>
      </c>
      <c r="AG27" s="665" t="str">
        <f t="shared" si="1"/>
        <v>Balanced</v>
      </c>
      <c r="AH27" s="665" t="str">
        <f t="shared" si="2"/>
        <v>Balanced</v>
      </c>
      <c r="AI27" s="665" t="str">
        <f t="shared" si="3"/>
        <v>Balanced</v>
      </c>
      <c r="AJ27" s="665" t="str">
        <f t="shared" si="4"/>
        <v>Balanced</v>
      </c>
      <c r="AK27" s="665" t="str">
        <f t="shared" si="5"/>
        <v>Balanced</v>
      </c>
    </row>
    <row r="28" spans="1:37">
      <c r="A28" s="480">
        <v>220</v>
      </c>
      <c r="B28" s="1000">
        <v>29269</v>
      </c>
      <c r="C28" s="481" t="str">
        <f t="shared" si="0"/>
        <v>FY 21</v>
      </c>
      <c r="D28" s="53" t="s">
        <v>204</v>
      </c>
      <c r="E28" s="1439">
        <f>'TAMUT FGD'!$M$18</f>
        <v>15053002</v>
      </c>
      <c r="F28" s="644">
        <f>'TAMUT FGD'!$M$19</f>
        <v>-4518700</v>
      </c>
      <c r="G28" s="644">
        <f>'TAMUT FGD'!$M$20</f>
        <v>0</v>
      </c>
      <c r="H28" s="644">
        <f>'TAMUT FGD'!$M$21</f>
        <v>0</v>
      </c>
      <c r="I28" s="644">
        <f>'TAMUT FGD'!$M$22</f>
        <v>0</v>
      </c>
      <c r="J28" s="644">
        <f>'TAMUT FGD'!$M$23</f>
        <v>10534302</v>
      </c>
      <c r="K28" s="644">
        <f>'TAMUT FGD'!$M$24</f>
        <v>0</v>
      </c>
      <c r="L28" s="644">
        <f>'TAMUT FGD'!$M$25</f>
        <v>0</v>
      </c>
      <c r="M28" s="644">
        <f>'TAMUT FGD'!$M$26</f>
        <v>-602126</v>
      </c>
      <c r="N28" s="644">
        <f>'TAMUT FGD'!$M$27</f>
        <v>0</v>
      </c>
      <c r="O28" s="644">
        <f>'TAMUT FGD'!$M$28</f>
        <v>-2283130</v>
      </c>
      <c r="P28" s="644">
        <f>'TAMUT FGD'!$M$29</f>
        <v>7649046</v>
      </c>
      <c r="Q28" s="1439">
        <f>'TAMUT FGD'!$M$31</f>
        <v>5112838</v>
      </c>
      <c r="R28" s="644">
        <f>'TAMUT FGD'!$M$32</f>
        <v>0</v>
      </c>
      <c r="S28" s="644">
        <f>'TAMUT FGD'!$M$33</f>
        <v>0</v>
      </c>
      <c r="T28" s="644">
        <f>'TAMUT FGD'!$M$34</f>
        <v>0</v>
      </c>
      <c r="U28" s="644">
        <f>'TAMUT FGD'!$M$35</f>
        <v>0</v>
      </c>
      <c r="V28" s="644">
        <f>'TAMUT FGD'!$M$36</f>
        <v>5112838</v>
      </c>
      <c r="W28" s="644">
        <f>'TAMUT FGD'!$M$37</f>
        <v>0</v>
      </c>
      <c r="X28" s="644">
        <f>'TAMUT FGD'!$M$38</f>
        <v>0</v>
      </c>
      <c r="Y28" s="644">
        <f>'TAMUT FGD'!$M$39</f>
        <v>-283785</v>
      </c>
      <c r="Z28" s="644">
        <f>'TAMUT FGD'!$M$40</f>
        <v>0</v>
      </c>
      <c r="AA28" s="644">
        <f>'TAMUT FGD'!$M$41</f>
        <v>-1116578</v>
      </c>
      <c r="AB28" s="1440">
        <f>'TAMUT FGD'!$M$42</f>
        <v>3712475</v>
      </c>
      <c r="AC28" s="1441">
        <f>'TAMUT FGD'!$M$44</f>
        <v>11361521</v>
      </c>
      <c r="AD28" s="1437" t="str">
        <f>'TAMUT FGD'!$O$92</f>
        <v>Chris Arrington</v>
      </c>
      <c r="AE28" s="1039" t="str">
        <f>'TAMUT FGD'!$Q$92</f>
        <v>979-458-9151</v>
      </c>
      <c r="AF28" s="1438" t="str">
        <f>'TAMUT FGD'!$T$92</f>
        <v>carrington@tamus.edu</v>
      </c>
      <c r="AG28" s="665" t="str">
        <f t="shared" si="1"/>
        <v>Balanced</v>
      </c>
      <c r="AH28" s="665" t="str">
        <f t="shared" si="2"/>
        <v>Balanced</v>
      </c>
      <c r="AI28" s="665" t="str">
        <f t="shared" si="3"/>
        <v>Balanced</v>
      </c>
      <c r="AJ28" s="665" t="str">
        <f t="shared" si="4"/>
        <v>Balanced</v>
      </c>
      <c r="AK28" s="665" t="str">
        <f t="shared" si="5"/>
        <v>Balanced</v>
      </c>
    </row>
    <row r="29" spans="1:37">
      <c r="A29" s="480">
        <v>223</v>
      </c>
      <c r="B29" s="1000">
        <v>42295</v>
      </c>
      <c r="C29" s="481" t="str">
        <f t="shared" si="0"/>
        <v>FY 21</v>
      </c>
      <c r="D29" s="53" t="s">
        <v>278</v>
      </c>
      <c r="E29" s="1439">
        <f>'TAMUCT FGD'!$M$18</f>
        <v>12625913</v>
      </c>
      <c r="F29" s="644">
        <f>'TAMUCT FGD'!$M$19</f>
        <v>-861313</v>
      </c>
      <c r="G29" s="644">
        <f>'TAMUCT FGD'!$M$20</f>
        <v>0</v>
      </c>
      <c r="H29" s="644">
        <f>'TAMUCT FGD'!$M$21</f>
        <v>0</v>
      </c>
      <c r="I29" s="644">
        <f>'TAMUCT FGD'!$M$22</f>
        <v>0</v>
      </c>
      <c r="J29" s="644">
        <f>'TAMUCT FGD'!$M$23</f>
        <v>11764600</v>
      </c>
      <c r="K29" s="644">
        <f>'TAMUCT FGD'!$M$24</f>
        <v>0</v>
      </c>
      <c r="L29" s="644">
        <f>'TAMUCT FGD'!$M$25</f>
        <v>0</v>
      </c>
      <c r="M29" s="644">
        <f>'TAMUCT FGD'!$M$26</f>
        <v>-1567660</v>
      </c>
      <c r="N29" s="644">
        <f>'TAMUCT FGD'!$M$27</f>
        <v>0</v>
      </c>
      <c r="O29" s="644">
        <f>'TAMUCT FGD'!$M$28</f>
        <v>-1421672</v>
      </c>
      <c r="P29" s="644">
        <f>'TAMUCT FGD'!$M$29</f>
        <v>8775268</v>
      </c>
      <c r="Q29" s="1439">
        <f>'TAMUCT FGD'!$M$31</f>
        <v>5208319</v>
      </c>
      <c r="R29" s="644">
        <f>'TAMUCT FGD'!$M$32</f>
        <v>0</v>
      </c>
      <c r="S29" s="644">
        <f>'TAMUCT FGD'!$M$33</f>
        <v>0</v>
      </c>
      <c r="T29" s="644">
        <f>'TAMUCT FGD'!$M$34</f>
        <v>0</v>
      </c>
      <c r="U29" s="644">
        <f>'TAMUCT FGD'!$M$35</f>
        <v>0</v>
      </c>
      <c r="V29" s="644">
        <f>'TAMUCT FGD'!$M$36</f>
        <v>5208319</v>
      </c>
      <c r="W29" s="644">
        <f>'TAMUCT FGD'!$M$37</f>
        <v>0</v>
      </c>
      <c r="X29" s="644">
        <f>'TAMUCT FGD'!$M$38</f>
        <v>0</v>
      </c>
      <c r="Y29" s="644">
        <f>'TAMUCT FGD'!$M$39</f>
        <v>0</v>
      </c>
      <c r="Z29" s="644">
        <f>'TAMUCT FGD'!$M$40</f>
        <v>0</v>
      </c>
      <c r="AA29" s="644">
        <f>'TAMUCT FGD'!$M$41</f>
        <v>-1323188</v>
      </c>
      <c r="AB29" s="1440">
        <f>'TAMUCT FGD'!$M$42</f>
        <v>3885131</v>
      </c>
      <c r="AC29" s="1441">
        <f>'TAMUCT FGD'!$M$44</f>
        <v>12660399</v>
      </c>
      <c r="AD29" s="1437" t="str">
        <f>'TAMUCT FGD'!$O$92</f>
        <v>Chris Arrington</v>
      </c>
      <c r="AE29" s="1039" t="str">
        <f>'TAMUCT FGD'!$Q$92</f>
        <v>979-458-9151</v>
      </c>
      <c r="AF29" s="1438" t="str">
        <f>'TAMUCT FGD'!$T$92</f>
        <v>fincher@tarleton.edu</v>
      </c>
      <c r="AG29" s="665" t="str">
        <f t="shared" si="1"/>
        <v>Balanced</v>
      </c>
      <c r="AH29" s="665" t="str">
        <f t="shared" si="2"/>
        <v>Balanced</v>
      </c>
      <c r="AI29" s="665" t="str">
        <f t="shared" si="3"/>
        <v>Balanced</v>
      </c>
      <c r="AJ29" s="665" t="str">
        <f t="shared" si="4"/>
        <v>Balanced</v>
      </c>
      <c r="AK29" s="665" t="str">
        <f t="shared" si="5"/>
        <v>Balanced</v>
      </c>
    </row>
    <row r="30" spans="1:37">
      <c r="A30" s="480">
        <v>226</v>
      </c>
      <c r="B30" s="1000">
        <v>42485</v>
      </c>
      <c r="C30" s="481" t="str">
        <f t="shared" si="0"/>
        <v>FY 21</v>
      </c>
      <c r="D30" s="53" t="s">
        <v>279</v>
      </c>
      <c r="E30" s="1439">
        <f>'TAMUSA FGD'!$M$18</f>
        <v>24221161</v>
      </c>
      <c r="F30" s="644">
        <f>'TAMUSA FGD'!$M$19</f>
        <v>-249081</v>
      </c>
      <c r="G30" s="644">
        <f>'TAMUSA FGD'!$M$20</f>
        <v>0</v>
      </c>
      <c r="H30" s="644">
        <f>'TAMUSA FGD'!$M$21</f>
        <v>0</v>
      </c>
      <c r="I30" s="644">
        <f>'TAMUSA FGD'!$M$22</f>
        <v>0</v>
      </c>
      <c r="J30" s="644">
        <f>'TAMUSA FGD'!$M$23</f>
        <v>23972080</v>
      </c>
      <c r="K30" s="644">
        <f>'TAMUSA FGD'!$M$24</f>
        <v>0</v>
      </c>
      <c r="L30" s="644">
        <f>'TAMUSA FGD'!$M$25</f>
        <v>0</v>
      </c>
      <c r="M30" s="644">
        <f>'TAMUSA FGD'!$M$26</f>
        <v>-2282902</v>
      </c>
      <c r="N30" s="644">
        <f>'TAMUSA FGD'!$M$27</f>
        <v>0</v>
      </c>
      <c r="O30" s="644">
        <f>'TAMUSA FGD'!$M$28</f>
        <v>-5857646</v>
      </c>
      <c r="P30" s="644">
        <f>'TAMUSA FGD'!$M$29</f>
        <v>15831532</v>
      </c>
      <c r="Q30" s="1439">
        <f>'TAMUSA FGD'!$M$31</f>
        <v>21099934</v>
      </c>
      <c r="R30" s="644">
        <f>'TAMUSA FGD'!$M$32</f>
        <v>0</v>
      </c>
      <c r="S30" s="644">
        <f>'TAMUSA FGD'!$M$33</f>
        <v>0</v>
      </c>
      <c r="T30" s="644">
        <f>'TAMUSA FGD'!$M$34</f>
        <v>0</v>
      </c>
      <c r="U30" s="644">
        <f>'TAMUSA FGD'!$M$35</f>
        <v>0</v>
      </c>
      <c r="V30" s="644">
        <f>'TAMUSA FGD'!$M$36</f>
        <v>21099934</v>
      </c>
      <c r="W30" s="644">
        <f>'TAMUSA FGD'!$M$37</f>
        <v>0</v>
      </c>
      <c r="X30" s="644">
        <f>'TAMUSA FGD'!$M$38</f>
        <v>0</v>
      </c>
      <c r="Y30" s="644">
        <f>'TAMUSA FGD'!$M$39</f>
        <v>-1689415</v>
      </c>
      <c r="Z30" s="644">
        <f>'TAMUSA FGD'!$M$40</f>
        <v>0</v>
      </c>
      <c r="AA30" s="644">
        <f>'TAMUSA FGD'!$M$41</f>
        <v>-5745677</v>
      </c>
      <c r="AB30" s="1440">
        <f>'TAMUSA FGD'!$M$42</f>
        <v>13664842</v>
      </c>
      <c r="AC30" s="1441">
        <f>'TAMUSA FGD'!$M$44</f>
        <v>29496374</v>
      </c>
      <c r="AD30" s="1437" t="str">
        <f>'TAMUSA FGD'!$O$92</f>
        <v>Chris Arrington</v>
      </c>
      <c r="AE30" s="1039" t="str">
        <f>'TAMUSA FGD'!$Q$92</f>
        <v>979-458-9151</v>
      </c>
      <c r="AF30" s="1438" t="str">
        <f>'TAMUSA FGD'!$T$92</f>
        <v>carrington@tamus.edu</v>
      </c>
      <c r="AG30" s="665" t="str">
        <f t="shared" si="1"/>
        <v>Balanced</v>
      </c>
      <c r="AH30" s="665" t="str">
        <f t="shared" si="2"/>
        <v>Balanced</v>
      </c>
      <c r="AI30" s="665" t="str">
        <f t="shared" si="3"/>
        <v>Balanced</v>
      </c>
      <c r="AJ30" s="665" t="str">
        <f t="shared" si="4"/>
        <v>Balanced</v>
      </c>
      <c r="AK30" s="665" t="str">
        <f t="shared" si="5"/>
        <v>Balanced</v>
      </c>
    </row>
    <row r="31" spans="1:37">
      <c r="A31" s="480">
        <v>231</v>
      </c>
      <c r="B31" s="1000">
        <v>3652</v>
      </c>
      <c r="C31" s="481" t="str">
        <f t="shared" si="0"/>
        <v>FY 21</v>
      </c>
      <c r="D31" s="116" t="s">
        <v>2261</v>
      </c>
      <c r="E31" s="1439">
        <f>'UH1 FGD'!$M$18</f>
        <v>439700757</v>
      </c>
      <c r="F31" s="644">
        <f>'UH1 FGD'!$M$19</f>
        <v>-31194272</v>
      </c>
      <c r="G31" s="644">
        <f>'UH1 FGD'!$M$20</f>
        <v>0</v>
      </c>
      <c r="H31" s="644">
        <f>'UH1 FGD'!$M$21</f>
        <v>0</v>
      </c>
      <c r="I31" s="644">
        <f>'UH1 FGD'!$M$22</f>
        <v>0</v>
      </c>
      <c r="J31" s="644">
        <f>'UH1 FGD'!$M$23</f>
        <v>408506485</v>
      </c>
      <c r="K31" s="644">
        <f>'UH1 FGD'!$M$24</f>
        <v>0</v>
      </c>
      <c r="L31" s="644">
        <f>'UH1 FGD'!$M$25</f>
        <v>0</v>
      </c>
      <c r="M31" s="644">
        <f>'UH1 FGD'!$M$26</f>
        <v>-10996289</v>
      </c>
      <c r="N31" s="644">
        <f>'UH1 FGD'!$M$27</f>
        <v>0</v>
      </c>
      <c r="O31" s="644">
        <f>'UH1 FGD'!$M$28</f>
        <v>-107097289</v>
      </c>
      <c r="P31" s="644">
        <f>'UH1 FGD'!$M$29</f>
        <v>290412907</v>
      </c>
      <c r="Q31" s="1439">
        <f>'UH1 FGD'!$M$31</f>
        <v>154726296</v>
      </c>
      <c r="R31" s="644">
        <f>'UH1 FGD'!$M$32</f>
        <v>-1422</v>
      </c>
      <c r="S31" s="644">
        <f>'UH1 FGD'!$M$33</f>
        <v>0</v>
      </c>
      <c r="T31" s="644">
        <f>'UH1 FGD'!$M$34</f>
        <v>0</v>
      </c>
      <c r="U31" s="644">
        <f>'UH1 FGD'!$M$35</f>
        <v>0</v>
      </c>
      <c r="V31" s="644">
        <f>'UH1 FGD'!$M$36</f>
        <v>154724874</v>
      </c>
      <c r="W31" s="644">
        <f>'UH1 FGD'!$M$37</f>
        <v>0</v>
      </c>
      <c r="X31" s="644">
        <f>'UH1 FGD'!$M$38</f>
        <v>0</v>
      </c>
      <c r="Y31" s="644">
        <f>'UH1 FGD'!$M$39</f>
        <v>-3428318</v>
      </c>
      <c r="Z31" s="644">
        <f>'UH1 FGD'!$M$40</f>
        <v>0</v>
      </c>
      <c r="AA31" s="644">
        <f>'UH1 FGD'!$M$41</f>
        <v>-41137370</v>
      </c>
      <c r="AB31" s="1440">
        <f>'UH1 FGD'!$M$42</f>
        <v>110159186</v>
      </c>
      <c r="AC31" s="1441">
        <f>'UH1 FGD'!$M$44</f>
        <v>400572093</v>
      </c>
      <c r="AD31" s="1437" t="str">
        <f>'UH1 FGD'!$O$92</f>
        <v>CHARLOTTE HOTZ</v>
      </c>
      <c r="AE31" s="1039" t="str">
        <f>'UH1 FGD'!$Q$92</f>
        <v>713.743.5296</v>
      </c>
      <c r="AF31" s="1438" t="str">
        <f>'UH1 FGD'!$T$92</f>
        <v>cahotz@uh.edu</v>
      </c>
      <c r="AG31" s="665" t="str">
        <f t="shared" si="1"/>
        <v>Balanced</v>
      </c>
      <c r="AH31" s="665" t="str">
        <f t="shared" si="2"/>
        <v>Balanced</v>
      </c>
      <c r="AI31" s="665" t="str">
        <f t="shared" si="3"/>
        <v>Balanced</v>
      </c>
      <c r="AJ31" s="665" t="str">
        <f t="shared" si="4"/>
        <v>Balanced</v>
      </c>
      <c r="AK31" s="665" t="str">
        <f t="shared" si="5"/>
        <v>Balanced</v>
      </c>
    </row>
    <row r="32" spans="1:37">
      <c r="A32" s="480">
        <v>240</v>
      </c>
      <c r="B32" s="1000">
        <v>11711</v>
      </c>
      <c r="C32" s="481" t="str">
        <f t="shared" si="0"/>
        <v>FY 21</v>
      </c>
      <c r="D32" s="53" t="s">
        <v>198</v>
      </c>
      <c r="E32" s="1439">
        <f>'UHCL FGD'!$M$18</f>
        <v>63219294</v>
      </c>
      <c r="F32" s="644">
        <f>'UHCL FGD'!$M$19</f>
        <v>-2867183</v>
      </c>
      <c r="G32" s="644">
        <f>'UHCL FGD'!$M$20</f>
        <v>0</v>
      </c>
      <c r="H32" s="644">
        <f>'UHCL FGD'!$M$21</f>
        <v>0</v>
      </c>
      <c r="I32" s="644">
        <f>'UHCL FGD'!$M$22</f>
        <v>0</v>
      </c>
      <c r="J32" s="644">
        <f>'UHCL FGD'!$M$23</f>
        <v>60352111</v>
      </c>
      <c r="K32" s="644">
        <f>'UHCL FGD'!$M$24</f>
        <v>0</v>
      </c>
      <c r="L32" s="644">
        <f>'UHCL FGD'!$M$25</f>
        <v>0</v>
      </c>
      <c r="M32" s="644">
        <f>'UHCL FGD'!$M$26</f>
        <v>-2022174</v>
      </c>
      <c r="N32" s="644">
        <f>'UHCL FGD'!$M$27</f>
        <v>0</v>
      </c>
      <c r="O32" s="644">
        <f>'UHCL FGD'!$M$28</f>
        <v>-14625774</v>
      </c>
      <c r="P32" s="644">
        <f>'UHCL FGD'!$M$29</f>
        <v>43704163</v>
      </c>
      <c r="Q32" s="1439">
        <f>'UHCL FGD'!$M$31</f>
        <v>18711903</v>
      </c>
      <c r="R32" s="644">
        <f>'UHCL FGD'!$M$32</f>
        <v>-151690</v>
      </c>
      <c r="S32" s="644">
        <f>'UHCL FGD'!$M$33</f>
        <v>0</v>
      </c>
      <c r="T32" s="644">
        <f>'UHCL FGD'!$M$34</f>
        <v>0</v>
      </c>
      <c r="U32" s="644">
        <f>'UHCL FGD'!$M$35</f>
        <v>0</v>
      </c>
      <c r="V32" s="644">
        <f>'UHCL FGD'!$M$36</f>
        <v>18560213</v>
      </c>
      <c r="W32" s="644">
        <f>'UHCL FGD'!$M$37</f>
        <v>0</v>
      </c>
      <c r="X32" s="644">
        <f>'UHCL FGD'!$M$38</f>
        <v>0</v>
      </c>
      <c r="Y32" s="644">
        <f>'UHCL FGD'!$M$39</f>
        <v>-497426</v>
      </c>
      <c r="Z32" s="644">
        <f>'UHCL FGD'!$M$40</f>
        <v>0</v>
      </c>
      <c r="AA32" s="644">
        <f>'UHCL FGD'!$M$41</f>
        <v>-4430102</v>
      </c>
      <c r="AB32" s="1440">
        <f>'UHCL FGD'!$M$42</f>
        <v>13632685</v>
      </c>
      <c r="AC32" s="1441">
        <f>'UHCL FGD'!$M$44</f>
        <v>57336848</v>
      </c>
      <c r="AD32" s="1437" t="str">
        <f>'UHCL FGD'!$O$92</f>
        <v>Mila Bautista</v>
      </c>
      <c r="AE32" s="1039" t="str">
        <f>'UHCL FGD'!$Q$92</f>
        <v>281-283-2129</v>
      </c>
      <c r="AF32" s="1438" t="str">
        <f>'UHCL FGD'!$T$92</f>
        <v>BautistaM@uhcl.edu</v>
      </c>
      <c r="AG32" s="665" t="str">
        <f t="shared" si="1"/>
        <v>Balanced</v>
      </c>
      <c r="AH32" s="665" t="str">
        <f t="shared" si="2"/>
        <v>Balanced</v>
      </c>
      <c r="AI32" s="665" t="str">
        <f t="shared" si="3"/>
        <v>Balanced</v>
      </c>
      <c r="AJ32" s="665" t="str">
        <f t="shared" si="4"/>
        <v>Balanced</v>
      </c>
      <c r="AK32" s="665" t="str">
        <f t="shared" si="5"/>
        <v>Balanced</v>
      </c>
    </row>
    <row r="33" spans="1:37">
      <c r="A33" s="480">
        <v>250</v>
      </c>
      <c r="B33" s="1000">
        <v>12826</v>
      </c>
      <c r="C33" s="481" t="str">
        <f t="shared" si="0"/>
        <v>FY 21</v>
      </c>
      <c r="D33" s="53" t="s">
        <v>200</v>
      </c>
      <c r="E33" s="1439">
        <f>'UHD FGD'!$M$18</f>
        <v>92036529</v>
      </c>
      <c r="F33" s="644">
        <f>'UHD FGD'!$M$19</f>
        <v>-608814</v>
      </c>
      <c r="G33" s="644">
        <f>'UHD FGD'!$M$20</f>
        <v>0</v>
      </c>
      <c r="H33" s="644">
        <f>'UHD FGD'!$M$21</f>
        <v>0</v>
      </c>
      <c r="I33" s="644">
        <f>'UHD FGD'!$M$22</f>
        <v>0</v>
      </c>
      <c r="J33" s="644">
        <f>'UHD FGD'!$M$23</f>
        <v>91427715</v>
      </c>
      <c r="K33" s="644">
        <f>'UHD FGD'!$M$24</f>
        <v>0</v>
      </c>
      <c r="L33" s="644">
        <f>'UHD FGD'!$M$25</f>
        <v>0</v>
      </c>
      <c r="M33" s="644">
        <f>'UHD FGD'!$M$26</f>
        <v>-2043393</v>
      </c>
      <c r="N33" s="644">
        <f>'UHD FGD'!$M$27</f>
        <v>0</v>
      </c>
      <c r="O33" s="644">
        <f>'UHD FGD'!$M$28</f>
        <v>-33937584</v>
      </c>
      <c r="P33" s="644">
        <f>'UHD FGD'!$M$29</f>
        <v>55446738</v>
      </c>
      <c r="Q33" s="1439">
        <f>'UHD FGD'!$M$31</f>
        <v>27621308</v>
      </c>
      <c r="R33" s="644">
        <f>'UHD FGD'!$M$32</f>
        <v>-5729</v>
      </c>
      <c r="S33" s="644">
        <f>'UHD FGD'!$M$33</f>
        <v>0</v>
      </c>
      <c r="T33" s="644">
        <f>'UHD FGD'!$M$34</f>
        <v>0</v>
      </c>
      <c r="U33" s="644">
        <f>'UHD FGD'!$M$35</f>
        <v>0</v>
      </c>
      <c r="V33" s="644">
        <f>'UHD FGD'!$M$36</f>
        <v>27615579</v>
      </c>
      <c r="W33" s="644">
        <f>'UHD FGD'!$M$37</f>
        <v>0</v>
      </c>
      <c r="X33" s="644">
        <f>'UHD FGD'!$M$38</f>
        <v>0</v>
      </c>
      <c r="Y33" s="644">
        <f>'UHD FGD'!$M$39</f>
        <v>-1848377</v>
      </c>
      <c r="Z33" s="644">
        <f>'UHD FGD'!$M$40</f>
        <v>0</v>
      </c>
      <c r="AA33" s="644">
        <f>'UHD FGD'!$M$41</f>
        <v>-9124930</v>
      </c>
      <c r="AB33" s="1440">
        <f>'UHD FGD'!$M$42</f>
        <v>16642272</v>
      </c>
      <c r="AC33" s="1441">
        <f>'UHD FGD'!$M$44</f>
        <v>72089010</v>
      </c>
      <c r="AD33" s="1437" t="str">
        <f>'UHD FGD'!$O$92</f>
        <v>Alice Tsai</v>
      </c>
      <c r="AE33" s="1039" t="str">
        <f>'UHD FGD'!$Q$92</f>
        <v>713-221-8098</v>
      </c>
      <c r="AF33" s="1438" t="str">
        <f>'UHD FGD'!$T$92</f>
        <v>Tsaia@uhd.edu</v>
      </c>
      <c r="AG33" s="665" t="str">
        <f t="shared" si="1"/>
        <v>Balanced</v>
      </c>
      <c r="AH33" s="665" t="str">
        <f t="shared" si="2"/>
        <v>Balanced</v>
      </c>
      <c r="AI33" s="665" t="str">
        <f t="shared" si="3"/>
        <v>Balanced</v>
      </c>
      <c r="AJ33" s="665" t="str">
        <f t="shared" si="4"/>
        <v>Balanced</v>
      </c>
      <c r="AK33" s="665" t="str">
        <f t="shared" si="5"/>
        <v>Balanced</v>
      </c>
    </row>
    <row r="34" spans="1:37">
      <c r="A34" s="480">
        <v>260</v>
      </c>
      <c r="B34" s="1000">
        <v>13231</v>
      </c>
      <c r="C34" s="481" t="str">
        <f t="shared" si="0"/>
        <v>FY 21</v>
      </c>
      <c r="D34" s="53" t="s">
        <v>202</v>
      </c>
      <c r="E34" s="1439">
        <f>'UHV FGD'!$M$18</f>
        <v>25697963</v>
      </c>
      <c r="F34" s="644">
        <f>'UHV FGD'!$M$19</f>
        <v>-488714</v>
      </c>
      <c r="G34" s="644">
        <f>'UHV FGD'!$M$20</f>
        <v>0</v>
      </c>
      <c r="H34" s="644">
        <f>'UHV FGD'!$M$21</f>
        <v>0</v>
      </c>
      <c r="I34" s="644">
        <f>'UHV FGD'!$M$22</f>
        <v>0</v>
      </c>
      <c r="J34" s="644">
        <f>'UHV FGD'!$M$23</f>
        <v>25209249</v>
      </c>
      <c r="K34" s="644">
        <f>'UHV FGD'!$M$24</f>
        <v>0</v>
      </c>
      <c r="L34" s="644">
        <f>'UHV FGD'!$M$25</f>
        <v>0</v>
      </c>
      <c r="M34" s="644">
        <f>'UHV FGD'!$M$26</f>
        <v>-1202254</v>
      </c>
      <c r="N34" s="644">
        <f>'UHV FGD'!$M$27</f>
        <v>0</v>
      </c>
      <c r="O34" s="644">
        <f>'UHV FGD'!$M$28</f>
        <v>-5528404</v>
      </c>
      <c r="P34" s="644">
        <f>'UHV FGD'!$M$29</f>
        <v>18478591</v>
      </c>
      <c r="Q34" s="1439">
        <f>'UHV FGD'!$M$31</f>
        <v>11358014</v>
      </c>
      <c r="R34" s="644">
        <f>'UHV FGD'!$M$32</f>
        <v>0</v>
      </c>
      <c r="S34" s="644">
        <f>'UHV FGD'!$M$33</f>
        <v>0</v>
      </c>
      <c r="T34" s="644">
        <f>'UHV FGD'!$M$34</f>
        <v>0</v>
      </c>
      <c r="U34" s="644">
        <f>'UHV FGD'!$M$35</f>
        <v>0</v>
      </c>
      <c r="V34" s="644">
        <f>'UHV FGD'!$M$36</f>
        <v>11358014</v>
      </c>
      <c r="W34" s="644">
        <f>'UHV FGD'!$M$37</f>
        <v>0</v>
      </c>
      <c r="X34" s="644">
        <f>'UHV FGD'!$M$38</f>
        <v>0</v>
      </c>
      <c r="Y34" s="644">
        <f>'UHV FGD'!$M$39</f>
        <v>-422632</v>
      </c>
      <c r="Z34" s="644">
        <f>'UHV FGD'!$M$40</f>
        <v>0</v>
      </c>
      <c r="AA34" s="644">
        <f>'UHV FGD'!$M$41</f>
        <v>-2609635</v>
      </c>
      <c r="AB34" s="1440">
        <f>'UHV FGD'!$M$42</f>
        <v>8325747</v>
      </c>
      <c r="AC34" s="1441">
        <f>'UHV FGD'!$M$44</f>
        <v>26804338</v>
      </c>
      <c r="AD34" s="1437" t="str">
        <f>'UHV FGD'!$O$92</f>
        <v>June Nelson</v>
      </c>
      <c r="AE34" s="1039" t="str">
        <f>'UHV FGD'!$Q$92</f>
        <v>361-570-4873</v>
      </c>
      <c r="AF34" s="1438" t="str">
        <f>'UHV FGD'!$T$92</f>
        <v>nelsonj@uhv.edu</v>
      </c>
      <c r="AG34" s="665" t="str">
        <f t="shared" si="1"/>
        <v>Balanced</v>
      </c>
      <c r="AH34" s="665" t="str">
        <f t="shared" si="2"/>
        <v>Balanced</v>
      </c>
      <c r="AI34" s="665" t="str">
        <f t="shared" si="3"/>
        <v>Balanced</v>
      </c>
      <c r="AJ34" s="665" t="str">
        <f t="shared" si="4"/>
        <v>Balanced</v>
      </c>
      <c r="AK34" s="665" t="str">
        <f t="shared" si="5"/>
        <v>Balanced</v>
      </c>
    </row>
    <row r="35" spans="1:37">
      <c r="A35" s="480">
        <v>270</v>
      </c>
      <c r="B35" s="1000">
        <v>3581</v>
      </c>
      <c r="C35" s="481" t="str">
        <f t="shared" si="0"/>
        <v>FY 21</v>
      </c>
      <c r="D35" s="53" t="s">
        <v>144</v>
      </c>
      <c r="E35" s="1439">
        <f>'LU FGD'!$M$18</f>
        <v>108480043</v>
      </c>
      <c r="F35" s="644">
        <f>'LU FGD'!$M$19</f>
        <v>-4406982</v>
      </c>
      <c r="G35" s="644">
        <f>'LU FGD'!$M$20</f>
        <v>0</v>
      </c>
      <c r="H35" s="644">
        <f>'LU FGD'!$M$21</f>
        <v>0</v>
      </c>
      <c r="I35" s="644">
        <f>'LU FGD'!$M$22</f>
        <v>0</v>
      </c>
      <c r="J35" s="644">
        <f>'LU FGD'!$M$23</f>
        <v>104073061</v>
      </c>
      <c r="K35" s="644">
        <f>'LU FGD'!$M$24</f>
        <v>0</v>
      </c>
      <c r="L35" s="644">
        <f>'LU FGD'!$M$25</f>
        <v>0</v>
      </c>
      <c r="M35" s="644">
        <f>'LU FGD'!$M$26</f>
        <v>-4692551</v>
      </c>
      <c r="N35" s="644">
        <f>'LU FGD'!$M$27</f>
        <v>0</v>
      </c>
      <c r="O35" s="644">
        <f>'LU FGD'!$M$28</f>
        <v>-16069509</v>
      </c>
      <c r="P35" s="644">
        <f>'LU FGD'!$M$29</f>
        <v>83311001</v>
      </c>
      <c r="Q35" s="1439">
        <f>'LU FGD'!$M$31</f>
        <v>35725488</v>
      </c>
      <c r="R35" s="644">
        <f>'LU FGD'!$M$32</f>
        <v>0</v>
      </c>
      <c r="S35" s="644">
        <f>'LU FGD'!$M$33</f>
        <v>0</v>
      </c>
      <c r="T35" s="644">
        <f>'LU FGD'!$M$34</f>
        <v>0</v>
      </c>
      <c r="U35" s="644">
        <f>'LU FGD'!$M$35</f>
        <v>0</v>
      </c>
      <c r="V35" s="644">
        <f>'LU FGD'!$M$36</f>
        <v>35725488</v>
      </c>
      <c r="W35" s="644">
        <f>'LU FGD'!$M$37</f>
        <v>0</v>
      </c>
      <c r="X35" s="644">
        <f>'LU FGD'!$M$38</f>
        <v>0</v>
      </c>
      <c r="Y35" s="644">
        <f>'LU FGD'!$M$39</f>
        <v>-1503143</v>
      </c>
      <c r="Z35" s="644">
        <f>'LU FGD'!$M$40</f>
        <v>0</v>
      </c>
      <c r="AA35" s="644">
        <f>'LU FGD'!$M$41</f>
        <v>-5342831</v>
      </c>
      <c r="AB35" s="1440">
        <f>'LU FGD'!$M$42</f>
        <v>28879514</v>
      </c>
      <c r="AC35" s="1441">
        <f>'LU FGD'!$M$44</f>
        <v>112190515</v>
      </c>
      <c r="AD35" s="1437" t="str">
        <f>'LU FGD'!$O$92</f>
        <v>Cynthia Brown</v>
      </c>
      <c r="AE35" s="1039" t="str">
        <f>'LU FGD'!$Q$92</f>
        <v>409-880-7925</v>
      </c>
      <c r="AF35" s="1438" t="str">
        <f>'LU FGD'!$T$92</f>
        <v>clbrown@lamar.edu</v>
      </c>
      <c r="AG35" s="665" t="str">
        <f t="shared" si="1"/>
        <v>Balanced</v>
      </c>
      <c r="AH35" s="665" t="str">
        <f t="shared" si="2"/>
        <v>Balanced</v>
      </c>
      <c r="AI35" s="665" t="str">
        <f t="shared" si="3"/>
        <v>Balanced</v>
      </c>
      <c r="AJ35" s="665" t="str">
        <f t="shared" si="4"/>
        <v>Balanced</v>
      </c>
      <c r="AK35" s="665" t="str">
        <f t="shared" si="5"/>
        <v>Balanced</v>
      </c>
    </row>
    <row r="36" spans="1:37">
      <c r="A36" s="480">
        <v>281</v>
      </c>
      <c r="B36" s="1000">
        <v>3606</v>
      </c>
      <c r="C36" s="481" t="str">
        <f t="shared" si="0"/>
        <v>FY 21</v>
      </c>
      <c r="D36" s="116" t="s">
        <v>2262</v>
      </c>
      <c r="E36" s="1439">
        <f>'shsu1 FGD'!$M$18</f>
        <v>147136486</v>
      </c>
      <c r="F36" s="644">
        <f>'shsu1 FGD'!$M$19</f>
        <v>0</v>
      </c>
      <c r="G36" s="644">
        <f>'shsu1 FGD'!$M$20</f>
        <v>0</v>
      </c>
      <c r="H36" s="644">
        <f>'shsu1 FGD'!$M$21</f>
        <v>0</v>
      </c>
      <c r="I36" s="644">
        <f>'shsu1 FGD'!$M$22</f>
        <v>0</v>
      </c>
      <c r="J36" s="644">
        <f>'shsu1 FGD'!$M$23</f>
        <v>147136486</v>
      </c>
      <c r="K36" s="644">
        <f>'shsu1 FGD'!$M$24</f>
        <v>-5119780</v>
      </c>
      <c r="L36" s="644">
        <f>'shsu1 FGD'!$M$25</f>
        <v>0</v>
      </c>
      <c r="M36" s="644">
        <f>'shsu1 FGD'!$M$26</f>
        <v>-10760728</v>
      </c>
      <c r="N36" s="644">
        <f>'shsu1 FGD'!$M$27</f>
        <v>0</v>
      </c>
      <c r="O36" s="644">
        <f>'shsu1 FGD'!$M$28</f>
        <v>-42289638</v>
      </c>
      <c r="P36" s="644">
        <f>'shsu1 FGD'!$M$29</f>
        <v>88966340</v>
      </c>
      <c r="Q36" s="1439">
        <f>'shsu1 FGD'!$M$31</f>
        <v>95032379</v>
      </c>
      <c r="R36" s="644">
        <f>'shsu1 FGD'!$M$32</f>
        <v>0</v>
      </c>
      <c r="S36" s="644">
        <f>'shsu1 FGD'!$M$33</f>
        <v>0</v>
      </c>
      <c r="T36" s="644">
        <f>'shsu1 FGD'!$M$34</f>
        <v>0</v>
      </c>
      <c r="U36" s="644">
        <f>'shsu1 FGD'!$M$35</f>
        <v>0</v>
      </c>
      <c r="V36" s="644">
        <f>'shsu1 FGD'!$M$36</f>
        <v>95032379</v>
      </c>
      <c r="W36" s="644">
        <f>'shsu1 FGD'!$M$37</f>
        <v>0</v>
      </c>
      <c r="X36" s="644">
        <f>'shsu1 FGD'!$M$38</f>
        <v>0</v>
      </c>
      <c r="Y36" s="644">
        <f>'shsu1 FGD'!$M$39</f>
        <v>-7131972</v>
      </c>
      <c r="Z36" s="644">
        <f>'shsu1 FGD'!$M$40</f>
        <v>0</v>
      </c>
      <c r="AA36" s="644">
        <f>'shsu1 FGD'!$M$41</f>
        <v>0</v>
      </c>
      <c r="AB36" s="1440">
        <f>'shsu1 FGD'!$M$42</f>
        <v>87900407</v>
      </c>
      <c r="AC36" s="1441">
        <f>'shsu1 FGD'!$M$44</f>
        <v>176866747</v>
      </c>
      <c r="AD36" s="1437" t="str">
        <f>'UNT FGD'!$O$92</f>
        <v>Leydi Carter</v>
      </c>
      <c r="AE36" s="1039" t="str">
        <f>'UNT FGD'!$Q$92</f>
        <v>(940) 369-5089</v>
      </c>
      <c r="AF36" s="1438" t="str">
        <f>'UNT FGD'!$T$92</f>
        <v>Leydi.Carter@untsystem.edu</v>
      </c>
      <c r="AG36" s="665" t="str">
        <f t="shared" si="1"/>
        <v>Balanced</v>
      </c>
      <c r="AH36" s="665" t="str">
        <f t="shared" si="2"/>
        <v>Balanced</v>
      </c>
      <c r="AI36" s="665" t="str">
        <f t="shared" si="3"/>
        <v>Balanced</v>
      </c>
      <c r="AJ36" s="665" t="str">
        <f t="shared" si="4"/>
        <v>Balanced</v>
      </c>
      <c r="AK36" s="665" t="str">
        <f t="shared" si="5"/>
        <v>Balanced</v>
      </c>
    </row>
    <row r="37" spans="1:37">
      <c r="A37" s="480">
        <v>290</v>
      </c>
      <c r="B37" s="1000">
        <v>3615</v>
      </c>
      <c r="C37" s="481" t="str">
        <f t="shared" si="0"/>
        <v>FY 21</v>
      </c>
      <c r="D37" s="53" t="s">
        <v>2155</v>
      </c>
      <c r="E37" s="1439">
        <f>'TXST FGD'!$M$18</f>
        <v>298001920</v>
      </c>
      <c r="F37" s="644">
        <f>'TXST FGD'!$M$19</f>
        <v>-7639816</v>
      </c>
      <c r="G37" s="644">
        <f>'TXST FGD'!$M$20</f>
        <v>0</v>
      </c>
      <c r="H37" s="644">
        <f>'TXST FGD'!$M$21</f>
        <v>0</v>
      </c>
      <c r="I37" s="644">
        <f>'TXST FGD'!$M$22</f>
        <v>0</v>
      </c>
      <c r="J37" s="644">
        <f>'TXST FGD'!$M$23</f>
        <v>290362104</v>
      </c>
      <c r="K37" s="644">
        <f>'TXST FGD'!$M$24</f>
        <v>0</v>
      </c>
      <c r="L37" s="644">
        <f>'TXST FGD'!$M$25</f>
        <v>0</v>
      </c>
      <c r="M37" s="644">
        <f>'TXST FGD'!$M$26</f>
        <v>-19223868</v>
      </c>
      <c r="N37" s="644">
        <f>'TXST FGD'!$M$27</f>
        <v>0</v>
      </c>
      <c r="O37" s="644">
        <f>'TXST FGD'!$M$28</f>
        <v>-68927810</v>
      </c>
      <c r="P37" s="644">
        <f>'TXST FGD'!$M$29</f>
        <v>202210426</v>
      </c>
      <c r="Q37" s="1439">
        <f>'TXST FGD'!$M$31</f>
        <v>115225845</v>
      </c>
      <c r="R37" s="644">
        <f>'TXST FGD'!$M$32</f>
        <v>-241065</v>
      </c>
      <c r="S37" s="644">
        <f>'TXST FGD'!$M$33</f>
        <v>0</v>
      </c>
      <c r="T37" s="644">
        <f>'TXST FGD'!$M$34</f>
        <v>0</v>
      </c>
      <c r="U37" s="644">
        <f>'TXST FGD'!$M$35</f>
        <v>0</v>
      </c>
      <c r="V37" s="644">
        <f>'TXST FGD'!$M$36</f>
        <v>114984780</v>
      </c>
      <c r="W37" s="644">
        <f>'TXST FGD'!$M$37</f>
        <v>0</v>
      </c>
      <c r="X37" s="644">
        <f>'TXST FGD'!$M$38</f>
        <v>0</v>
      </c>
      <c r="Y37" s="644">
        <f>'TXST FGD'!$M$39</f>
        <v>-18056022</v>
      </c>
      <c r="Z37" s="644">
        <f>'TXST FGD'!$M$40</f>
        <v>0</v>
      </c>
      <c r="AA37" s="644">
        <f>'TXST FGD'!$M$41</f>
        <v>-13457177</v>
      </c>
      <c r="AB37" s="1440">
        <f>'TXST FGD'!$M$42</f>
        <v>83471581</v>
      </c>
      <c r="AC37" s="1441">
        <f>'TXST FGD'!$M$44</f>
        <v>285682007</v>
      </c>
      <c r="AD37" s="1437" t="str">
        <f>'TXST FGD'!$O$92</f>
        <v>Cindy Haley</v>
      </c>
      <c r="AE37" s="1039" t="str">
        <f>'TXST FGD'!$Q$92</f>
        <v>512-245-2087</v>
      </c>
      <c r="AF37" s="1438" t="str">
        <f>'TXST FGD'!$T$92</f>
        <v>cindy.haley@txstate.edu</v>
      </c>
      <c r="AG37" s="665" t="str">
        <f t="shared" si="1"/>
        <v>Balanced</v>
      </c>
      <c r="AH37" s="665" t="str">
        <f t="shared" si="2"/>
        <v>Balanced</v>
      </c>
      <c r="AI37" s="665" t="str">
        <f t="shared" si="3"/>
        <v>Balanced</v>
      </c>
      <c r="AJ37" s="665" t="str">
        <f t="shared" si="4"/>
        <v>Balanced</v>
      </c>
      <c r="AK37" s="665" t="str">
        <f t="shared" si="5"/>
        <v>Balanced</v>
      </c>
    </row>
    <row r="38" spans="1:37">
      <c r="A38" s="480">
        <v>300</v>
      </c>
      <c r="B38" s="1000">
        <v>3625</v>
      </c>
      <c r="C38" s="481" t="str">
        <f t="shared" si="0"/>
        <v>FY 21</v>
      </c>
      <c r="D38" s="53" t="s">
        <v>158</v>
      </c>
      <c r="E38" s="1439">
        <f>'SRSU FGD'!$M$18</f>
        <v>10369872</v>
      </c>
      <c r="F38" s="644">
        <f>'SRSU FGD'!$M$19</f>
        <v>0</v>
      </c>
      <c r="G38" s="644">
        <f>'SRSU FGD'!$M$20</f>
        <v>0</v>
      </c>
      <c r="H38" s="644">
        <f>'SRSU FGD'!$M$21</f>
        <v>0</v>
      </c>
      <c r="I38" s="644">
        <f>'SRSU FGD'!$M$22</f>
        <v>0</v>
      </c>
      <c r="J38" s="644">
        <f>'SRSU FGD'!$M$23</f>
        <v>10369872</v>
      </c>
      <c r="K38" s="644">
        <f>'SRSU FGD'!$M$24</f>
        <v>-118051</v>
      </c>
      <c r="L38" s="644">
        <f>'SRSU FGD'!$M$25</f>
        <v>-13704</v>
      </c>
      <c r="M38" s="644">
        <f>'SRSU FGD'!$M$26</f>
        <v>-105764</v>
      </c>
      <c r="N38" s="644">
        <f>'SRSU FGD'!$M$27</f>
        <v>0</v>
      </c>
      <c r="O38" s="644">
        <f>'SRSU FGD'!$M$28</f>
        <v>-3814981</v>
      </c>
      <c r="P38" s="644">
        <f>'SRSU FGD'!$M$29</f>
        <v>6317372</v>
      </c>
      <c r="Q38" s="1439">
        <f>'SRSU FGD'!$M$31</f>
        <v>4802981</v>
      </c>
      <c r="R38" s="644">
        <f>'SRSU FGD'!$M$32</f>
        <v>0</v>
      </c>
      <c r="S38" s="644">
        <f>'SRSU FGD'!$M$33</f>
        <v>0</v>
      </c>
      <c r="T38" s="644">
        <f>'SRSU FGD'!$M$34</f>
        <v>0</v>
      </c>
      <c r="U38" s="644">
        <f>'SRSU FGD'!$M$35</f>
        <v>0</v>
      </c>
      <c r="V38" s="644">
        <f>'SRSU FGD'!$M$36</f>
        <v>4802981</v>
      </c>
      <c r="W38" s="644">
        <f>'SRSU FGD'!$M$37</f>
        <v>-799769</v>
      </c>
      <c r="X38" s="644">
        <f>'SRSU FGD'!$M$38</f>
        <v>0</v>
      </c>
      <c r="Y38" s="644">
        <f>'SRSU FGD'!$M$39</f>
        <v>-641997</v>
      </c>
      <c r="Z38" s="644">
        <f>'SRSU FGD'!$M$40</f>
        <v>0</v>
      </c>
      <c r="AA38" s="644">
        <f>'SRSU FGD'!$M$41</f>
        <v>0</v>
      </c>
      <c r="AB38" s="1440">
        <f>'SRSU FGD'!$M$42</f>
        <v>3361215</v>
      </c>
      <c r="AC38" s="1441">
        <f>'SRSU FGD'!$M$44</f>
        <v>9678587</v>
      </c>
      <c r="AD38" s="1437" t="str">
        <f>'AUS FGD'!$O$99</f>
        <v>Marcy Lowther</v>
      </c>
      <c r="AE38" s="1039" t="str">
        <f>'AUS FGD'!$Q$99</f>
        <v>512-471-2808</v>
      </c>
      <c r="AF38" s="1438" t="str">
        <f>'AUS FGD'!$T$99</f>
        <v>mlowther@austin.utexas.edu</v>
      </c>
      <c r="AG38" s="665" t="str">
        <f t="shared" si="1"/>
        <v>Balanced</v>
      </c>
      <c r="AH38" s="665" t="str">
        <f t="shared" si="2"/>
        <v>Balanced</v>
      </c>
      <c r="AI38" s="665" t="str">
        <f t="shared" si="3"/>
        <v>Balanced</v>
      </c>
      <c r="AJ38" s="665" t="str">
        <f t="shared" si="4"/>
        <v>Balanced</v>
      </c>
      <c r="AK38" s="665" t="str">
        <f t="shared" si="5"/>
        <v>Balanced</v>
      </c>
    </row>
    <row r="39" spans="1:37">
      <c r="A39" s="480">
        <v>310</v>
      </c>
      <c r="B39" s="1000">
        <v>3644</v>
      </c>
      <c r="C39" s="481" t="str">
        <f t="shared" si="0"/>
        <v>FY 21</v>
      </c>
      <c r="D39" s="53" t="s">
        <v>170</v>
      </c>
      <c r="E39" s="1439">
        <f>'TTU FGD'!$M$18</f>
        <v>366667440</v>
      </c>
      <c r="F39" s="644">
        <f>'TTU FGD'!$M$19</f>
        <v>-39328111</v>
      </c>
      <c r="G39" s="644">
        <f>'TTU FGD'!$M$20</f>
        <v>0</v>
      </c>
      <c r="H39" s="644">
        <f>'TTU FGD'!$M$21</f>
        <v>0</v>
      </c>
      <c r="I39" s="644">
        <f>'TTU FGD'!$M$22</f>
        <v>0</v>
      </c>
      <c r="J39" s="644">
        <f>'TTU FGD'!$M$23</f>
        <v>327339329</v>
      </c>
      <c r="K39" s="644">
        <f>'TTU FGD'!$M$24</f>
        <v>0</v>
      </c>
      <c r="L39" s="644">
        <f>'TTU FGD'!$M$25</f>
        <v>0</v>
      </c>
      <c r="M39" s="644">
        <f>'TTU FGD'!$M$26</f>
        <v>-18435849</v>
      </c>
      <c r="N39" s="644">
        <f>'TTU FGD'!$M$27</f>
        <v>0</v>
      </c>
      <c r="O39" s="644">
        <f>'TTU FGD'!$M$28</f>
        <v>-64339052</v>
      </c>
      <c r="P39" s="644">
        <f>'TTU FGD'!$M$29</f>
        <v>244564428</v>
      </c>
      <c r="Q39" s="1439">
        <f>'TTU FGD'!$M$31</f>
        <v>151011071</v>
      </c>
      <c r="R39" s="644">
        <f>'TTU FGD'!$M$32</f>
        <v>0</v>
      </c>
      <c r="S39" s="644">
        <f>'TTU FGD'!$M$33</f>
        <v>0</v>
      </c>
      <c r="T39" s="644">
        <f>'TTU FGD'!$M$34</f>
        <v>0</v>
      </c>
      <c r="U39" s="644">
        <f>'TTU FGD'!$M$35</f>
        <v>0</v>
      </c>
      <c r="V39" s="644">
        <f>'TTU FGD'!$M$36</f>
        <v>151011071</v>
      </c>
      <c r="W39" s="644">
        <f>'TTU FGD'!$M$37</f>
        <v>0</v>
      </c>
      <c r="X39" s="644">
        <f>'TTU FGD'!$M$38</f>
        <v>0</v>
      </c>
      <c r="Y39" s="644">
        <f>'TTU FGD'!$M$39</f>
        <v>-8594237</v>
      </c>
      <c r="Z39" s="644">
        <f>'TTU FGD'!$M$40</f>
        <v>0</v>
      </c>
      <c r="AA39" s="644">
        <f>'TTU FGD'!$M$41</f>
        <v>-29686424</v>
      </c>
      <c r="AB39" s="1440">
        <f>'TTU FGD'!$M$42</f>
        <v>112730410</v>
      </c>
      <c r="AC39" s="1441">
        <f>'TTU FGD'!$M$44</f>
        <v>357294838</v>
      </c>
      <c r="AD39" s="1437" t="str">
        <f>'TTU FGD'!$O$92</f>
        <v>Lori Eppler</v>
      </c>
      <c r="AE39" s="1039" t="str">
        <f>'TTU FGD'!$Q$92</f>
        <v>806-834-4640</v>
      </c>
      <c r="AF39" s="1438" t="str">
        <f>'TTU FGD'!$T$92</f>
        <v>lori.eppler@ttu.edu</v>
      </c>
      <c r="AG39" s="665" t="str">
        <f t="shared" si="1"/>
        <v>Balanced</v>
      </c>
      <c r="AH39" s="665" t="str">
        <f t="shared" si="2"/>
        <v>Balanced</v>
      </c>
      <c r="AI39" s="665" t="str">
        <f t="shared" si="3"/>
        <v>Balanced</v>
      </c>
      <c r="AJ39" s="665" t="str">
        <f t="shared" si="4"/>
        <v>Balanced</v>
      </c>
      <c r="AK39" s="665" t="str">
        <f t="shared" si="5"/>
        <v>Balanced</v>
      </c>
    </row>
    <row r="40" spans="1:37">
      <c r="A40" s="480">
        <v>320</v>
      </c>
      <c r="B40" s="1000">
        <v>3541</v>
      </c>
      <c r="C40" s="481" t="str">
        <f t="shared" si="0"/>
        <v>FY 21</v>
      </c>
      <c r="D40" s="53" t="s">
        <v>140</v>
      </c>
      <c r="E40" s="1439">
        <f>'ASU FGD'!$M$18</f>
        <v>46102016</v>
      </c>
      <c r="F40" s="644">
        <f>'ASU FGD'!$M$19</f>
        <v>-3874804</v>
      </c>
      <c r="G40" s="644">
        <f>'ASU FGD'!$M$20</f>
        <v>-1522154</v>
      </c>
      <c r="H40" s="644">
        <f>'ASU FGD'!$M$21</f>
        <v>0</v>
      </c>
      <c r="I40" s="644">
        <f>'ASU FGD'!$M$22</f>
        <v>0</v>
      </c>
      <c r="J40" s="644">
        <f>'ASU FGD'!$M$23</f>
        <v>40705058</v>
      </c>
      <c r="K40" s="644">
        <f>'ASU FGD'!$M$24</f>
        <v>0</v>
      </c>
      <c r="L40" s="644">
        <f>'ASU FGD'!$M$25</f>
        <v>0</v>
      </c>
      <c r="M40" s="644">
        <f>'ASU FGD'!$M$26</f>
        <v>-2809591</v>
      </c>
      <c r="N40" s="644">
        <f>'ASU FGD'!$M$27</f>
        <v>-53949</v>
      </c>
      <c r="O40" s="644">
        <f>'ASU FGD'!$M$28</f>
        <v>-11484817</v>
      </c>
      <c r="P40" s="644">
        <f>'ASU FGD'!$M$29</f>
        <v>26356701</v>
      </c>
      <c r="Q40" s="1439">
        <f>'ASU FGD'!$M$31</f>
        <v>27975353</v>
      </c>
      <c r="R40" s="644">
        <f>'ASU FGD'!$M$32</f>
        <v>0</v>
      </c>
      <c r="S40" s="644">
        <f>'ASU FGD'!$M$33</f>
        <v>0</v>
      </c>
      <c r="T40" s="644">
        <f>'ASU FGD'!$M$34</f>
        <v>0</v>
      </c>
      <c r="U40" s="644">
        <f>'ASU FGD'!$M$35</f>
        <v>0</v>
      </c>
      <c r="V40" s="644">
        <f>'ASU FGD'!$M$36</f>
        <v>27975353</v>
      </c>
      <c r="W40" s="644">
        <f>'ASU FGD'!$M$37</f>
        <v>0</v>
      </c>
      <c r="X40" s="644">
        <f>'ASU FGD'!$M$38</f>
        <v>0</v>
      </c>
      <c r="Y40" s="644">
        <f>'ASU FGD'!$M$39</f>
        <v>-1562652</v>
      </c>
      <c r="Z40" s="644">
        <f>'ASU FGD'!$M$40</f>
        <v>-13934</v>
      </c>
      <c r="AA40" s="644">
        <f>'ASU FGD'!$M$41</f>
        <v>-8011968</v>
      </c>
      <c r="AB40" s="1440">
        <f>'ASU FGD'!$M$42</f>
        <v>18386799</v>
      </c>
      <c r="AC40" s="1441">
        <f>'ASU FGD'!$M$44</f>
        <v>44743500</v>
      </c>
      <c r="AD40" s="1437" t="str">
        <f>'ASU FGD'!$O$92</f>
        <v>Janet Coleman</v>
      </c>
      <c r="AE40" s="1039" t="str">
        <f>'ASU FGD'!$Q$92</f>
        <v>325-942-2014</v>
      </c>
      <c r="AF40" s="1438" t="str">
        <f>'ASU FGD'!$T$92</f>
        <v>janet.coleman@angelo.edu</v>
      </c>
      <c r="AG40" s="665" t="str">
        <f t="shared" si="1"/>
        <v>Balanced</v>
      </c>
      <c r="AH40" s="665" t="str">
        <f t="shared" si="2"/>
        <v>Balanced</v>
      </c>
      <c r="AI40" s="665" t="str">
        <f t="shared" si="3"/>
        <v>Balanced</v>
      </c>
      <c r="AJ40" s="665" t="str">
        <f t="shared" si="4"/>
        <v>Balanced</v>
      </c>
      <c r="AK40" s="665" t="str">
        <f t="shared" si="5"/>
        <v>Balanced</v>
      </c>
    </row>
    <row r="41" spans="1:37">
      <c r="A41" s="480">
        <v>330</v>
      </c>
      <c r="B41" s="1000">
        <v>3594</v>
      </c>
      <c r="C41" s="481" t="str">
        <f t="shared" si="0"/>
        <v>FY 21</v>
      </c>
      <c r="D41" s="53" t="s">
        <v>148</v>
      </c>
      <c r="E41" s="1439">
        <f>'UNT FGD'!$M$18</f>
        <v>398094170</v>
      </c>
      <c r="F41" s="644">
        <f>'UNT FGD'!$M$19</f>
        <v>-25644131</v>
      </c>
      <c r="G41" s="644">
        <f>'UNT FGD'!$M$20</f>
        <v>-1510689</v>
      </c>
      <c r="H41" s="644">
        <f>'UNT FGD'!$M$21</f>
        <v>-21164253</v>
      </c>
      <c r="I41" s="644">
        <f>'UNT FGD'!$M$22</f>
        <v>-3897437</v>
      </c>
      <c r="J41" s="644">
        <f>'UNT FGD'!$M$23</f>
        <v>345877660</v>
      </c>
      <c r="K41" s="644">
        <f>'UNT FGD'!$M$24</f>
        <v>0</v>
      </c>
      <c r="L41" s="644">
        <f>'UNT FGD'!$M$25</f>
        <v>0</v>
      </c>
      <c r="M41" s="644">
        <f>'UNT FGD'!$M$26</f>
        <v>0</v>
      </c>
      <c r="N41" s="644">
        <f>'UNT FGD'!$M$27</f>
        <v>0</v>
      </c>
      <c r="O41" s="644">
        <f>'UNT FGD'!$M$28</f>
        <v>-33809704</v>
      </c>
      <c r="P41" s="644">
        <f>'UNT FGD'!$M$29</f>
        <v>312067956</v>
      </c>
      <c r="Q41" s="1439">
        <f>'UNT FGD'!$M$31</f>
        <v>145907322</v>
      </c>
      <c r="R41" s="644">
        <f>'UNT FGD'!$M$32</f>
        <v>0</v>
      </c>
      <c r="S41" s="644">
        <f>'UNT FGD'!$M$33</f>
        <v>0</v>
      </c>
      <c r="T41" s="644">
        <f>'UNT FGD'!$M$34</f>
        <v>0</v>
      </c>
      <c r="U41" s="644">
        <f>'UNT FGD'!$M$35</f>
        <v>0</v>
      </c>
      <c r="V41" s="644">
        <f>'UNT FGD'!$M$36</f>
        <v>145907322</v>
      </c>
      <c r="W41" s="644">
        <f>'UNT FGD'!$M$37</f>
        <v>0</v>
      </c>
      <c r="X41" s="644">
        <f>'UNT FGD'!$M$38</f>
        <v>0</v>
      </c>
      <c r="Y41" s="644">
        <f>'UNT FGD'!$M$39</f>
        <v>0</v>
      </c>
      <c r="Z41" s="644">
        <f>'UNT FGD'!$M$40</f>
        <v>0</v>
      </c>
      <c r="AA41" s="644">
        <f>'UNT FGD'!$M$41</f>
        <v>-94450627</v>
      </c>
      <c r="AB41" s="1440">
        <f>'UNT FGD'!$M$42</f>
        <v>51456695</v>
      </c>
      <c r="AC41" s="1441">
        <f>'UNT FGD'!$M$44</f>
        <v>363524651</v>
      </c>
      <c r="AD41" s="1437" t="str">
        <f>'UNT FGD'!$O$92</f>
        <v>Leydi Carter</v>
      </c>
      <c r="AE41" s="1039" t="str">
        <f>'UNT FGD'!$Q$92</f>
        <v>(940) 369-5089</v>
      </c>
      <c r="AF41" s="1438" t="str">
        <f>'UNT FGD'!$T$92</f>
        <v>Leydi.Carter@untsystem.edu</v>
      </c>
      <c r="AG41" s="665" t="str">
        <f t="shared" si="1"/>
        <v>Balanced</v>
      </c>
      <c r="AH41" s="665" t="str">
        <f t="shared" si="2"/>
        <v>Balanced</v>
      </c>
      <c r="AI41" s="665" t="str">
        <f t="shared" si="3"/>
        <v>Balanced</v>
      </c>
      <c r="AJ41" s="665" t="str">
        <f t="shared" si="4"/>
        <v>Balanced</v>
      </c>
      <c r="AK41" s="665" t="str">
        <f t="shared" si="5"/>
        <v>Balanced</v>
      </c>
    </row>
    <row r="42" spans="1:37">
      <c r="A42" s="480">
        <v>333</v>
      </c>
      <c r="B42" s="1001">
        <v>42421</v>
      </c>
      <c r="C42" s="481" t="str">
        <f t="shared" si="0"/>
        <v>FY 21</v>
      </c>
      <c r="D42" s="56" t="s">
        <v>276</v>
      </c>
      <c r="E42" s="1439">
        <f>'UNTD FGD'!$M$18</f>
        <v>32944390</v>
      </c>
      <c r="F42" s="644">
        <f>'UNTD FGD'!$M$19</f>
        <v>-145362</v>
      </c>
      <c r="G42" s="644">
        <f>'UNTD FGD'!$M$20</f>
        <v>0</v>
      </c>
      <c r="H42" s="644">
        <f>'UNTD FGD'!$M$21</f>
        <v>-1519131</v>
      </c>
      <c r="I42" s="644">
        <f>'UNTD FGD'!$M$22</f>
        <v>0</v>
      </c>
      <c r="J42" s="644">
        <f>'UNTD FGD'!$M$23</f>
        <v>31279897</v>
      </c>
      <c r="K42" s="644">
        <f>'UNTD FGD'!$M$24</f>
        <v>0</v>
      </c>
      <c r="L42" s="644">
        <f>'UNTD FGD'!$M$25</f>
        <v>0</v>
      </c>
      <c r="M42" s="644">
        <f>'UNTD FGD'!$M$26</f>
        <v>0</v>
      </c>
      <c r="N42" s="644">
        <f>'UNTD FGD'!$M$27</f>
        <v>0</v>
      </c>
      <c r="O42" s="644">
        <f>'UNTD FGD'!$M$28</f>
        <v>-7385299</v>
      </c>
      <c r="P42" s="644">
        <f>'UNTD FGD'!$M$29</f>
        <v>23894598</v>
      </c>
      <c r="Q42" s="1439">
        <f>'UNTD FGD'!$M$31</f>
        <v>6466914</v>
      </c>
      <c r="R42" s="644">
        <f>'UNTD FGD'!$M$32</f>
        <v>0</v>
      </c>
      <c r="S42" s="644">
        <f>'UNTD FGD'!$M$33</f>
        <v>0</v>
      </c>
      <c r="T42" s="644">
        <f>'UNTD FGD'!$M$34</f>
        <v>0</v>
      </c>
      <c r="U42" s="644">
        <f>'UNTD FGD'!$M$35</f>
        <v>0</v>
      </c>
      <c r="V42" s="644">
        <f>'UNTD FGD'!$M$36</f>
        <v>6466914</v>
      </c>
      <c r="W42" s="644">
        <f>'UNTD FGD'!$M$37</f>
        <v>0</v>
      </c>
      <c r="X42" s="644">
        <f>'UNTD FGD'!$M$38</f>
        <v>0</v>
      </c>
      <c r="Y42" s="644">
        <f>'UNTD FGD'!$M$39</f>
        <v>0</v>
      </c>
      <c r="Z42" s="644">
        <f>'UNTD FGD'!$M$40</f>
        <v>0</v>
      </c>
      <c r="AA42" s="644">
        <f>'UNTD FGD'!$M$41</f>
        <v>0</v>
      </c>
      <c r="AB42" s="1440">
        <f>'UNTD FGD'!$M$42</f>
        <v>6466914</v>
      </c>
      <c r="AC42" s="1441">
        <f>'UNTD FGD'!$M$44</f>
        <v>30361512</v>
      </c>
      <c r="AD42" s="1437" t="str">
        <f>'UNTD FGD'!$O$92</f>
        <v>Gia Doss</v>
      </c>
      <c r="AE42" s="1039">
        <f>'UNTD FGD'!$Q$92</f>
        <v>0</v>
      </c>
      <c r="AF42" s="1438" t="str">
        <f>'UNTD FGD'!$T$92</f>
        <v>Gia.Doss@untsystem.edu</v>
      </c>
      <c r="AG42" s="665" t="str">
        <f t="shared" si="1"/>
        <v>Balanced</v>
      </c>
      <c r="AH42" s="665" t="str">
        <f t="shared" si="2"/>
        <v>Balanced</v>
      </c>
      <c r="AI42" s="665" t="str">
        <f t="shared" si="3"/>
        <v>Balanced</v>
      </c>
      <c r="AJ42" s="665" t="str">
        <f t="shared" si="4"/>
        <v>Balanced</v>
      </c>
      <c r="AK42" s="665" t="str">
        <f t="shared" si="5"/>
        <v>Balanced</v>
      </c>
    </row>
    <row r="43" spans="1:37">
      <c r="A43" s="480">
        <v>340</v>
      </c>
      <c r="B43" s="1000">
        <v>3592</v>
      </c>
      <c r="C43" s="481" t="str">
        <f t="shared" si="0"/>
        <v>FY 21</v>
      </c>
      <c r="D43" s="53" t="s">
        <v>146</v>
      </c>
      <c r="E43" s="1439">
        <f>'MidWST FGD'!$M$18</f>
        <v>30431293</v>
      </c>
      <c r="F43" s="644">
        <f>'MidWST FGD'!$M$19</f>
        <v>-3442502</v>
      </c>
      <c r="G43" s="644">
        <f>'MidWST FGD'!$M$20</f>
        <v>0</v>
      </c>
      <c r="H43" s="644">
        <f>'MidWST FGD'!$M$21</f>
        <v>0</v>
      </c>
      <c r="I43" s="644">
        <f>'MidWST FGD'!$M$22</f>
        <v>0</v>
      </c>
      <c r="J43" s="644">
        <f>'MidWST FGD'!$M$23</f>
        <v>26988791</v>
      </c>
      <c r="K43" s="644">
        <f>'MidWST FGD'!$M$24</f>
        <v>0</v>
      </c>
      <c r="L43" s="644">
        <f>'MidWST FGD'!$M$25</f>
        <v>0</v>
      </c>
      <c r="M43" s="644">
        <f>'MidWST FGD'!$M$26</f>
        <v>-1533740</v>
      </c>
      <c r="N43" s="644">
        <f>'MidWST FGD'!$M$27</f>
        <v>-132158</v>
      </c>
      <c r="O43" s="644">
        <f>'MidWST FGD'!$M$28</f>
        <v>-7930588</v>
      </c>
      <c r="P43" s="644">
        <f>'MidWST FGD'!$M$29</f>
        <v>17392305</v>
      </c>
      <c r="Q43" s="1439">
        <f>'MidWST FGD'!$M$31</f>
        <v>25511774</v>
      </c>
      <c r="R43" s="644">
        <f>'MidWST FGD'!$M$32</f>
        <v>0</v>
      </c>
      <c r="S43" s="644">
        <f>'MidWST FGD'!$M$33</f>
        <v>0</v>
      </c>
      <c r="T43" s="644">
        <f>'MidWST FGD'!$M$34</f>
        <v>0</v>
      </c>
      <c r="U43" s="644">
        <f>'MidWST FGD'!$M$35</f>
        <v>0</v>
      </c>
      <c r="V43" s="644">
        <f>'MidWST FGD'!$M$36</f>
        <v>25511774</v>
      </c>
      <c r="W43" s="644">
        <f>'MidWST FGD'!$M$37</f>
        <v>0</v>
      </c>
      <c r="X43" s="644">
        <f>'MidWST FGD'!$M$38</f>
        <v>0</v>
      </c>
      <c r="Y43" s="644">
        <f>'MidWST FGD'!$M$39</f>
        <v>-1142680</v>
      </c>
      <c r="Z43" s="644">
        <f>'MidWST FGD'!$M$40</f>
        <v>-1132069</v>
      </c>
      <c r="AA43" s="644">
        <f>'MidWST FGD'!$M$41</f>
        <v>-6796550</v>
      </c>
      <c r="AB43" s="1440">
        <f>'MidWST FGD'!$M$42</f>
        <v>16440475</v>
      </c>
      <c r="AC43" s="1441">
        <f>'MidWST FGD'!$M$44</f>
        <v>33832780</v>
      </c>
      <c r="AD43" s="1437" t="str">
        <f>'MidWST FGD'!$O$92</f>
        <v>Chris Stovall</v>
      </c>
      <c r="AE43" s="1039" t="str">
        <f>'MidWST FGD'!$Q$92</f>
        <v>(940) 397-4273</v>
      </c>
      <c r="AF43" s="1438" t="str">
        <f>'MidWST FGD'!$T$92</f>
        <v>chris.stovall@msutexas.edu</v>
      </c>
      <c r="AG43" s="665" t="str">
        <f t="shared" si="1"/>
        <v>Balanced</v>
      </c>
      <c r="AH43" s="665" t="str">
        <f t="shared" si="2"/>
        <v>Balanced</v>
      </c>
      <c r="AI43" s="665" t="str">
        <f t="shared" si="3"/>
        <v>Balanced</v>
      </c>
      <c r="AJ43" s="665" t="str">
        <f t="shared" si="4"/>
        <v>Balanced</v>
      </c>
      <c r="AK43" s="665" t="str">
        <f t="shared" si="5"/>
        <v>Balanced</v>
      </c>
    </row>
    <row r="44" spans="1:37">
      <c r="A44" s="480">
        <v>350</v>
      </c>
      <c r="B44" s="1000">
        <v>3624</v>
      </c>
      <c r="C44" s="481" t="str">
        <f t="shared" si="0"/>
        <v>FY 21</v>
      </c>
      <c r="D44" s="53" t="s">
        <v>156</v>
      </c>
      <c r="E44" s="1439">
        <f>'SFA FGD'!$M$18</f>
        <v>90785187</v>
      </c>
      <c r="F44" s="644">
        <f>'SFA FGD'!$M$19</f>
        <v>-329901</v>
      </c>
      <c r="G44" s="644">
        <f>'SFA FGD'!$M$20</f>
        <v>0</v>
      </c>
      <c r="H44" s="644">
        <f>'SFA FGD'!$M$21</f>
        <v>0</v>
      </c>
      <c r="I44" s="644">
        <f>'SFA FGD'!$M$22</f>
        <v>0</v>
      </c>
      <c r="J44" s="644">
        <f>'SFA FGD'!$M$23</f>
        <v>90455286</v>
      </c>
      <c r="K44" s="644">
        <f>'SFA FGD'!$M$24</f>
        <v>0</v>
      </c>
      <c r="L44" s="644">
        <f>'SFA FGD'!$M$25</f>
        <v>0</v>
      </c>
      <c r="M44" s="644">
        <f>'SFA FGD'!$M$26</f>
        <v>-11179523</v>
      </c>
      <c r="N44" s="644">
        <f>'SFA FGD'!$M$27</f>
        <v>0</v>
      </c>
      <c r="O44" s="644">
        <f>'SFA FGD'!$M$28</f>
        <v>-22234181</v>
      </c>
      <c r="P44" s="644">
        <f>'SFA FGD'!$M$29</f>
        <v>57041582</v>
      </c>
      <c r="Q44" s="1439">
        <f>'SFA FGD'!$M$31</f>
        <v>37845988</v>
      </c>
      <c r="R44" s="644">
        <f>'SFA FGD'!$M$32</f>
        <v>0</v>
      </c>
      <c r="S44" s="644">
        <f>'SFA FGD'!$M$33</f>
        <v>0</v>
      </c>
      <c r="T44" s="644">
        <f>'SFA FGD'!$M$34</f>
        <v>0</v>
      </c>
      <c r="U44" s="644">
        <f>'SFA FGD'!$M$35</f>
        <v>0</v>
      </c>
      <c r="V44" s="644">
        <f>'SFA FGD'!$M$36</f>
        <v>37845988</v>
      </c>
      <c r="W44" s="644">
        <f>'SFA FGD'!$M$37</f>
        <v>0</v>
      </c>
      <c r="X44" s="644">
        <f>'SFA FGD'!$M$38</f>
        <v>0</v>
      </c>
      <c r="Y44" s="644">
        <f>'SFA FGD'!$M$39</f>
        <v>-5060841</v>
      </c>
      <c r="Z44" s="644">
        <f>'SFA FGD'!$M$40</f>
        <v>0</v>
      </c>
      <c r="AA44" s="644">
        <f>'SFA FGD'!$M$41</f>
        <v>-9298687</v>
      </c>
      <c r="AB44" s="1440">
        <f>'SFA FGD'!$M$42</f>
        <v>23486460</v>
      </c>
      <c r="AC44" s="1441">
        <f>'SFA FGD'!$M$44</f>
        <v>80528042</v>
      </c>
      <c r="AD44" s="1437" t="str">
        <f>'UNTD FGD'!$O$92</f>
        <v>Gia Doss</v>
      </c>
      <c r="AE44" s="1039">
        <f>'UNTD FGD'!$Q$92</f>
        <v>0</v>
      </c>
      <c r="AF44" s="1438" t="str">
        <f>'UNTD FGD'!$T$92</f>
        <v>Gia.Doss@untsystem.edu</v>
      </c>
      <c r="AG44" s="665" t="str">
        <f t="shared" si="1"/>
        <v>Balanced</v>
      </c>
      <c r="AH44" s="665" t="str">
        <f t="shared" si="2"/>
        <v>Balanced</v>
      </c>
      <c r="AI44" s="665" t="str">
        <f t="shared" si="3"/>
        <v>Balanced</v>
      </c>
      <c r="AJ44" s="665" t="str">
        <f t="shared" si="4"/>
        <v>Balanced</v>
      </c>
      <c r="AK44" s="665" t="str">
        <f t="shared" si="5"/>
        <v>Balanced</v>
      </c>
    </row>
    <row r="45" spans="1:37">
      <c r="A45" s="480">
        <v>360</v>
      </c>
      <c r="B45" s="1000">
        <v>3642</v>
      </c>
      <c r="C45" s="481" t="str">
        <f t="shared" si="0"/>
        <v>FY 21</v>
      </c>
      <c r="D45" s="53" t="s">
        <v>168</v>
      </c>
      <c r="E45" s="1439">
        <f>'TSU FGD'!$M$18</f>
        <v>66859377</v>
      </c>
      <c r="F45" s="644">
        <f>'TSU FGD'!$M$19</f>
        <v>-4872104</v>
      </c>
      <c r="G45" s="644">
        <f>'TSU FGD'!$M$20</f>
        <v>0</v>
      </c>
      <c r="H45" s="644">
        <f>'TSU FGD'!$M$21</f>
        <v>0</v>
      </c>
      <c r="I45" s="644">
        <f>'TSU FGD'!$M$22</f>
        <v>0</v>
      </c>
      <c r="J45" s="644">
        <f>'TSU FGD'!$M$23</f>
        <v>61987273</v>
      </c>
      <c r="K45" s="644">
        <f>'TSU FGD'!$M$24</f>
        <v>0</v>
      </c>
      <c r="L45" s="644">
        <f>'TSU FGD'!$M$25</f>
        <v>0</v>
      </c>
      <c r="M45" s="644">
        <f>'TSU FGD'!$M$26</f>
        <v>-3192164</v>
      </c>
      <c r="N45" s="644">
        <f>'TSU FGD'!$M$27</f>
        <v>0</v>
      </c>
      <c r="O45" s="644">
        <f>'TSU FGD'!$M$28</f>
        <v>-16762697</v>
      </c>
      <c r="P45" s="644">
        <f>'TSU FGD'!$M$29</f>
        <v>42032412</v>
      </c>
      <c r="Q45" s="1439">
        <f>'TSU FGD'!$M$31</f>
        <v>16245038</v>
      </c>
      <c r="R45" s="644">
        <f>'TSU FGD'!$M$32</f>
        <v>0</v>
      </c>
      <c r="S45" s="644">
        <f>'TSU FGD'!$M$33</f>
        <v>0</v>
      </c>
      <c r="T45" s="644">
        <f>'TSU FGD'!$M$34</f>
        <v>0</v>
      </c>
      <c r="U45" s="644">
        <f>'TSU FGD'!$M$35</f>
        <v>0</v>
      </c>
      <c r="V45" s="644">
        <f>'TSU FGD'!$M$36</f>
        <v>16245038</v>
      </c>
      <c r="W45" s="644">
        <f>'TSU FGD'!$M$37</f>
        <v>0</v>
      </c>
      <c r="X45" s="644">
        <f>'TSU FGD'!$M$38</f>
        <v>0</v>
      </c>
      <c r="Y45" s="644">
        <f>'TSU FGD'!$M$39</f>
        <v>0</v>
      </c>
      <c r="Z45" s="644">
        <f>'TSU FGD'!$M$40</f>
        <v>0</v>
      </c>
      <c r="AA45" s="644">
        <f>'TSU FGD'!$M$41</f>
        <v>-4627556</v>
      </c>
      <c r="AB45" s="1440">
        <f>'TSU FGD'!$M$42</f>
        <v>11617482</v>
      </c>
      <c r="AC45" s="1441">
        <f>'TSU FGD'!$M$44</f>
        <v>53649894</v>
      </c>
      <c r="AD45" s="1437" t="str">
        <f>'TSU FGD'!$O$92</f>
        <v>Bobbie Phelps</v>
      </c>
      <c r="AE45" s="1039" t="str">
        <f>'TSU FGD'!$Q$92</f>
        <v>713-313-6890</v>
      </c>
      <c r="AF45" s="1438" t="str">
        <f>'TSU FGD'!$T$92</f>
        <v>bobbie.phelps@tsu.edu</v>
      </c>
      <c r="AG45" s="665" t="str">
        <f t="shared" si="1"/>
        <v>Balanced</v>
      </c>
      <c r="AH45" s="665" t="str">
        <f t="shared" si="2"/>
        <v>Balanced</v>
      </c>
      <c r="AI45" s="665" t="str">
        <f t="shared" si="3"/>
        <v>Balanced</v>
      </c>
      <c r="AJ45" s="665" t="str">
        <f t="shared" si="4"/>
        <v>Balanced</v>
      </c>
      <c r="AK45" s="665" t="str">
        <f t="shared" si="5"/>
        <v>Balanced</v>
      </c>
    </row>
    <row r="46" spans="1:37" ht="13.5" thickBot="1">
      <c r="A46" s="480">
        <v>370</v>
      </c>
      <c r="B46" s="1002">
        <v>3646</v>
      </c>
      <c r="C46" s="481" t="str">
        <f t="shared" si="0"/>
        <v>FY 21</v>
      </c>
      <c r="D46" s="133" t="s">
        <v>172</v>
      </c>
      <c r="E46" s="1439">
        <f>'TWU FGD'!$M$18</f>
        <v>124471943</v>
      </c>
      <c r="F46" s="644">
        <f>'TWU FGD'!$M$19</f>
        <v>0</v>
      </c>
      <c r="G46" s="644">
        <f>'TWU FGD'!$M$20</f>
        <v>0</v>
      </c>
      <c r="H46" s="644">
        <f>'TWU FGD'!$M$21</f>
        <v>0</v>
      </c>
      <c r="I46" s="644">
        <f>'TWU FGD'!$M$22</f>
        <v>0</v>
      </c>
      <c r="J46" s="644">
        <f>'TWU FGD'!$M$23</f>
        <v>124471943</v>
      </c>
      <c r="K46" s="644">
        <f>'TWU FGD'!$M$24</f>
        <v>-5958562</v>
      </c>
      <c r="L46" s="644">
        <f>'TWU FGD'!$M$25</f>
        <v>-40224</v>
      </c>
      <c r="M46" s="644">
        <f>'TWU FGD'!$M$26</f>
        <v>-2419468</v>
      </c>
      <c r="N46" s="644">
        <f>'TWU FGD'!$M$27</f>
        <v>-2881523</v>
      </c>
      <c r="O46" s="644">
        <f>'TWU FGD'!$M$28</f>
        <v>0</v>
      </c>
      <c r="P46" s="644">
        <f>'TWU FGD'!$M$29</f>
        <v>113172166</v>
      </c>
      <c r="Q46" s="1439">
        <f>'TWU FGD'!$M$31</f>
        <v>19075819</v>
      </c>
      <c r="R46" s="644">
        <f>'TWU FGD'!$M$32</f>
        <v>0</v>
      </c>
      <c r="S46" s="644">
        <f>'TWU FGD'!$M$33</f>
        <v>0</v>
      </c>
      <c r="T46" s="644">
        <f>'TWU FGD'!$M$34</f>
        <v>0</v>
      </c>
      <c r="U46" s="644">
        <f>'TWU FGD'!$M$35</f>
        <v>0</v>
      </c>
      <c r="V46" s="644">
        <f>'TWU FGD'!$M$36</f>
        <v>19075819</v>
      </c>
      <c r="W46" s="644">
        <f>'TWU FGD'!$M$37</f>
        <v>-87170</v>
      </c>
      <c r="X46" s="644">
        <f>'TWU FGD'!$M$38</f>
        <v>-2325</v>
      </c>
      <c r="Y46" s="644">
        <f>'TWU FGD'!$M$39</f>
        <v>-3136288</v>
      </c>
      <c r="Z46" s="644">
        <f>'TWU FGD'!$M$40</f>
        <v>-921</v>
      </c>
      <c r="AA46" s="644">
        <f>'TWU FGD'!$M$41</f>
        <v>-39859947</v>
      </c>
      <c r="AB46" s="1440">
        <f>'TWU FGD'!$M$42</f>
        <v>-24010832</v>
      </c>
      <c r="AC46" s="1442">
        <f>'TWU FGD'!$M$44</f>
        <v>89161334</v>
      </c>
      <c r="AD46" s="1443" t="str">
        <f>'TWU FGD'!$O$92</f>
        <v>June Orth</v>
      </c>
      <c r="AE46" s="1444" t="str">
        <f>'TWU FGD'!$Q$92</f>
        <v>940-898-3522</v>
      </c>
      <c r="AF46" s="1445" t="str">
        <f>'TWU FGD'!$T$92</f>
        <v>borth@twu.edu</v>
      </c>
      <c r="AG46" s="665" t="str">
        <f t="shared" si="1"/>
        <v>Balanced</v>
      </c>
      <c r="AH46" s="665" t="str">
        <f t="shared" si="2"/>
        <v>Balanced</v>
      </c>
      <c r="AI46" s="665" t="str">
        <f t="shared" si="3"/>
        <v>Balanced</v>
      </c>
      <c r="AJ46" s="665" t="str">
        <f t="shared" si="4"/>
        <v>Balanced</v>
      </c>
      <c r="AK46" s="665" t="str">
        <f t="shared" si="5"/>
        <v>Balanced</v>
      </c>
    </row>
    <row r="47" spans="1:37" ht="13.5" thickBot="1">
      <c r="A47" s="139"/>
      <c r="B47" s="1370"/>
      <c r="C47" s="139">
        <f>COUNTA(C11:C46)</f>
        <v>36</v>
      </c>
      <c r="D47" s="140" t="s">
        <v>207</v>
      </c>
      <c r="E47" s="142">
        <f t="shared" ref="E47:AC47" si="6">SUM(E11:E46)</f>
        <v>5597123623</v>
      </c>
      <c r="F47" s="142">
        <f t="shared" si="6"/>
        <v>-419176923</v>
      </c>
      <c r="G47" s="142">
        <f t="shared" si="6"/>
        <v>-4112415</v>
      </c>
      <c r="H47" s="142">
        <f t="shared" si="6"/>
        <v>-23702355</v>
      </c>
      <c r="I47" s="142">
        <f t="shared" si="6"/>
        <v>-3897437</v>
      </c>
      <c r="J47" s="142">
        <f t="shared" si="6"/>
        <v>5146234493</v>
      </c>
      <c r="K47" s="142">
        <f t="shared" si="6"/>
        <v>-11359325</v>
      </c>
      <c r="L47" s="142">
        <f t="shared" si="6"/>
        <v>-53928</v>
      </c>
      <c r="M47" s="142">
        <f t="shared" si="6"/>
        <v>-225346507</v>
      </c>
      <c r="N47" s="142">
        <f t="shared" si="6"/>
        <v>-3345255</v>
      </c>
      <c r="O47" s="142">
        <f t="shared" si="6"/>
        <v>-1233856951</v>
      </c>
      <c r="P47" s="142">
        <f t="shared" si="6"/>
        <v>3672272527</v>
      </c>
      <c r="Q47" s="142">
        <f t="shared" si="6"/>
        <v>2176558653</v>
      </c>
      <c r="R47" s="142">
        <f t="shared" si="6"/>
        <v>-11917802</v>
      </c>
      <c r="S47" s="142">
        <f t="shared" si="6"/>
        <v>-126405</v>
      </c>
      <c r="T47" s="142">
        <f t="shared" si="6"/>
        <v>-2020615</v>
      </c>
      <c r="U47" s="142">
        <f t="shared" si="6"/>
        <v>0</v>
      </c>
      <c r="V47" s="142">
        <f t="shared" si="6"/>
        <v>2162493831</v>
      </c>
      <c r="W47" s="142">
        <f t="shared" si="6"/>
        <v>-886939</v>
      </c>
      <c r="X47" s="142">
        <f t="shared" si="6"/>
        <v>-2325</v>
      </c>
      <c r="Y47" s="142">
        <f t="shared" si="6"/>
        <v>-93948026</v>
      </c>
      <c r="Z47" s="142">
        <f t="shared" si="6"/>
        <v>-3412323</v>
      </c>
      <c r="AA47" s="142">
        <f t="shared" si="6"/>
        <v>-534990502</v>
      </c>
      <c r="AB47" s="142">
        <f t="shared" si="6"/>
        <v>1529253716</v>
      </c>
      <c r="AC47" s="1446">
        <f t="shared" si="6"/>
        <v>5201526243</v>
      </c>
    </row>
    <row r="48" spans="1:37" s="114" customFormat="1" ht="13.5" thickTop="1">
      <c r="A48" s="145"/>
      <c r="AG48" s="145"/>
    </row>
    <row r="49" spans="1:33" s="114" customFormat="1">
      <c r="A49" s="145"/>
      <c r="B49" s="1037"/>
      <c r="C49" s="114" t="s">
        <v>1397</v>
      </c>
      <c r="AG49" s="145"/>
    </row>
    <row r="50" spans="1:33" s="114" customFormat="1">
      <c r="A50" s="145"/>
      <c r="D50" s="146"/>
      <c r="AG50" s="145"/>
    </row>
    <row r="51" spans="1:33" s="114" customFormat="1">
      <c r="A51" s="145"/>
      <c r="B51" s="1037"/>
      <c r="AC51" s="145" t="str">
        <f>IF(AC47&lt;&gt;'Smmy FGD'!$M$1160,"Error","Balanced")</f>
        <v>Balanced</v>
      </c>
      <c r="AG51" s="145"/>
    </row>
    <row r="52" spans="1:33" s="114" customFormat="1">
      <c r="A52" s="145"/>
      <c r="AG52" s="145"/>
    </row>
    <row r="53" spans="1:33" s="114" customFormat="1">
      <c r="A53" s="145"/>
      <c r="AG53" s="145"/>
    </row>
    <row r="54" spans="1:33" s="114" customFormat="1">
      <c r="A54" s="145"/>
      <c r="AG54" s="145"/>
    </row>
    <row r="55" spans="1:33" s="114" customFormat="1">
      <c r="A55" s="145"/>
      <c r="AG55" s="145"/>
    </row>
    <row r="56" spans="1:33" s="114" customFormat="1">
      <c r="A56" s="145"/>
      <c r="AG56" s="145"/>
    </row>
    <row r="57" spans="1:33" s="114" customFormat="1">
      <c r="A57" s="145"/>
      <c r="AG57" s="145"/>
    </row>
    <row r="58" spans="1:33" s="114" customFormat="1">
      <c r="A58" s="145"/>
      <c r="AG58" s="145"/>
    </row>
    <row r="59" spans="1:33" s="114" customFormat="1">
      <c r="A59" s="145"/>
      <c r="AG59" s="145"/>
    </row>
    <row r="60" spans="1:33" s="114" customFormat="1">
      <c r="A60" s="145"/>
      <c r="AG60" s="145"/>
    </row>
    <row r="61" spans="1:33" s="114" customFormat="1">
      <c r="A61" s="145"/>
      <c r="B61" s="145"/>
      <c r="C61" s="158"/>
      <c r="AG61" s="145"/>
    </row>
    <row r="62" spans="1:33" s="114" customFormat="1">
      <c r="A62" s="145"/>
      <c r="B62" s="145"/>
      <c r="F62" s="158"/>
      <c r="AG62" s="145"/>
    </row>
    <row r="63" spans="1:33" s="114" customFormat="1">
      <c r="A63" s="145"/>
      <c r="B63" s="53"/>
      <c r="C63" s="53"/>
      <c r="D63" s="53"/>
      <c r="E63" s="528"/>
      <c r="F63" s="528"/>
      <c r="AG63" s="145"/>
    </row>
    <row r="64" spans="1:33" s="114" customFormat="1">
      <c r="A64" s="145"/>
      <c r="B64" s="53"/>
      <c r="C64" s="53"/>
      <c r="D64" s="53"/>
      <c r="E64" s="528"/>
      <c r="F64" s="528"/>
      <c r="AG64" s="145"/>
    </row>
    <row r="65" spans="1:33" s="114" customFormat="1">
      <c r="A65" s="145"/>
      <c r="B65" s="228" t="s">
        <v>2487</v>
      </c>
      <c r="C65" s="53"/>
      <c r="D65" s="53"/>
      <c r="E65" s="528"/>
      <c r="F65" s="528"/>
      <c r="AG65" s="145"/>
    </row>
    <row r="66" spans="1:33" s="114" customFormat="1" ht="13.5" thickBot="1">
      <c r="A66" s="145"/>
      <c r="B66" s="53"/>
      <c r="C66" s="53"/>
      <c r="D66" s="53" t="s">
        <v>1348</v>
      </c>
      <c r="E66" s="142">
        <v>5597123623</v>
      </c>
      <c r="F66" s="668">
        <v>-419176923</v>
      </c>
      <c r="G66" s="142">
        <v>-4112415</v>
      </c>
      <c r="H66" s="142">
        <v>-23702355</v>
      </c>
      <c r="I66" s="142">
        <v>-3897437</v>
      </c>
      <c r="J66" s="142">
        <v>5146234493</v>
      </c>
      <c r="K66" s="142">
        <v>-11359325</v>
      </c>
      <c r="L66" s="142">
        <v>-53928</v>
      </c>
      <c r="M66" s="142">
        <v>-225346507</v>
      </c>
      <c r="N66" s="142">
        <v>-3345255</v>
      </c>
      <c r="O66" s="142">
        <v>-1233856951</v>
      </c>
      <c r="P66" s="142">
        <v>3672272527</v>
      </c>
      <c r="Q66" s="142">
        <v>2176558653</v>
      </c>
      <c r="R66" s="142">
        <v>-11917802</v>
      </c>
      <c r="S66" s="142">
        <v>-126405</v>
      </c>
      <c r="T66" s="142">
        <v>-2020615</v>
      </c>
      <c r="U66" s="142">
        <v>0</v>
      </c>
      <c r="V66" s="142">
        <v>2162493831</v>
      </c>
      <c r="W66" s="142">
        <v>-886939</v>
      </c>
      <c r="X66" s="142">
        <v>-2325</v>
      </c>
      <c r="Y66" s="142">
        <v>-93948026</v>
      </c>
      <c r="Z66" s="142">
        <v>-3412323</v>
      </c>
      <c r="AA66" s="142">
        <v>-534990502</v>
      </c>
      <c r="AB66" s="142">
        <v>1529253716</v>
      </c>
      <c r="AC66" s="142">
        <v>5201526243</v>
      </c>
      <c r="AG66" s="145"/>
    </row>
    <row r="67" spans="1:33" s="114" customFormat="1" ht="13.5" thickTop="1">
      <c r="A67" s="145"/>
      <c r="B67" s="53"/>
      <c r="C67" s="53"/>
      <c r="D67" s="963">
        <v>44553</v>
      </c>
      <c r="E67" s="528"/>
      <c r="F67" s="528"/>
      <c r="AG67" s="145"/>
    </row>
    <row r="68" spans="1:33" s="114" customFormat="1">
      <c r="A68" s="145"/>
      <c r="B68" s="53"/>
      <c r="C68" s="53"/>
      <c r="D68" s="53"/>
      <c r="E68" s="528">
        <f>E66-E47</f>
        <v>0</v>
      </c>
      <c r="F68" s="528">
        <f t="shared" ref="F68:AC68" si="7">F66-F47</f>
        <v>0</v>
      </c>
      <c r="G68" s="528">
        <f t="shared" si="7"/>
        <v>0</v>
      </c>
      <c r="H68" s="528"/>
      <c r="I68" s="528"/>
      <c r="J68" s="528"/>
      <c r="K68" s="528"/>
      <c r="L68" s="528"/>
      <c r="M68" s="528">
        <f t="shared" si="7"/>
        <v>0</v>
      </c>
      <c r="N68" s="528">
        <f t="shared" si="7"/>
        <v>0</v>
      </c>
      <c r="O68" s="528">
        <f t="shared" si="7"/>
        <v>0</v>
      </c>
      <c r="P68" s="528">
        <f t="shared" si="7"/>
        <v>0</v>
      </c>
      <c r="Q68" s="528">
        <f t="shared" si="7"/>
        <v>0</v>
      </c>
      <c r="R68" s="528">
        <f t="shared" si="7"/>
        <v>0</v>
      </c>
      <c r="S68" s="528">
        <f t="shared" si="7"/>
        <v>0</v>
      </c>
      <c r="T68" s="528">
        <f t="shared" si="7"/>
        <v>0</v>
      </c>
      <c r="U68" s="528">
        <f t="shared" si="7"/>
        <v>0</v>
      </c>
      <c r="V68" s="528">
        <f t="shared" si="7"/>
        <v>0</v>
      </c>
      <c r="W68" s="528">
        <f t="shared" si="7"/>
        <v>0</v>
      </c>
      <c r="X68" s="528">
        <f t="shared" si="7"/>
        <v>0</v>
      </c>
      <c r="Y68" s="528">
        <f t="shared" si="7"/>
        <v>0</v>
      </c>
      <c r="Z68" s="528">
        <f t="shared" si="7"/>
        <v>0</v>
      </c>
      <c r="AA68" s="528">
        <f t="shared" si="7"/>
        <v>0</v>
      </c>
      <c r="AB68" s="528">
        <f t="shared" si="7"/>
        <v>0</v>
      </c>
      <c r="AC68" s="528">
        <f t="shared" si="7"/>
        <v>0</v>
      </c>
      <c r="AG68" s="145"/>
    </row>
    <row r="69" spans="1:33" s="114" customFormat="1">
      <c r="A69" s="145"/>
      <c r="AG69" s="145"/>
    </row>
    <row r="70" spans="1:33" s="114" customFormat="1">
      <c r="A70" s="145"/>
      <c r="AG70" s="145"/>
    </row>
    <row r="71" spans="1:33" s="114" customFormat="1">
      <c r="A71" s="145"/>
      <c r="AG71" s="145"/>
    </row>
    <row r="72" spans="1:33" s="114" customFormat="1">
      <c r="A72" s="145"/>
      <c r="AG72" s="145"/>
    </row>
    <row r="73" spans="1:33" s="114" customFormat="1">
      <c r="A73" s="145"/>
      <c r="AG73" s="145"/>
    </row>
    <row r="74" spans="1:33" s="114" customFormat="1">
      <c r="A74" s="145"/>
      <c r="AG74" s="145"/>
    </row>
    <row r="75" spans="1:33" s="114" customFormat="1">
      <c r="A75" s="145"/>
      <c r="AG75" s="145"/>
    </row>
    <row r="76" spans="1:33" s="114" customFormat="1">
      <c r="A76" s="145"/>
      <c r="AG76" s="145"/>
    </row>
    <row r="77" spans="1:33" s="114" customFormat="1">
      <c r="A77" s="145"/>
      <c r="AG77" s="145"/>
    </row>
    <row r="78" spans="1:33" s="114" customFormat="1">
      <c r="A78" s="145"/>
      <c r="AG78" s="145"/>
    </row>
    <row r="79" spans="1:33" s="114" customFormat="1">
      <c r="A79" s="145"/>
      <c r="AG79" s="145"/>
    </row>
    <row r="80" spans="1:33" s="114" customFormat="1">
      <c r="A80" s="145"/>
      <c r="AG80" s="145"/>
    </row>
    <row r="81" spans="1:33" s="114" customFormat="1">
      <c r="A81" s="145"/>
      <c r="AG81" s="145"/>
    </row>
    <row r="82" spans="1:33" s="114" customFormat="1">
      <c r="A82" s="145"/>
      <c r="AG82" s="145"/>
    </row>
    <row r="83" spans="1:33" s="114" customFormat="1">
      <c r="A83" s="145"/>
      <c r="AG83" s="145"/>
    </row>
    <row r="84" spans="1:33" s="114" customFormat="1">
      <c r="A84" s="145"/>
      <c r="AG84" s="145"/>
    </row>
    <row r="85" spans="1:33" s="114" customFormat="1">
      <c r="A85" s="145"/>
      <c r="AG85" s="145"/>
    </row>
    <row r="86" spans="1:33" s="114" customFormat="1">
      <c r="A86" s="145"/>
      <c r="AG86" s="145"/>
    </row>
    <row r="87" spans="1:33" s="114" customFormat="1">
      <c r="A87" s="145"/>
      <c r="AG87" s="145"/>
    </row>
    <row r="88" spans="1:33" s="114" customFormat="1">
      <c r="A88" s="145"/>
      <c r="AG88" s="145"/>
    </row>
    <row r="89" spans="1:33" s="114" customFormat="1">
      <c r="A89" s="145"/>
      <c r="AG89" s="145"/>
    </row>
    <row r="90" spans="1:33" s="114" customFormat="1">
      <c r="A90" s="145"/>
      <c r="AG90" s="145"/>
    </row>
    <row r="91" spans="1:33" s="114" customFormat="1">
      <c r="A91" s="145"/>
      <c r="AG91" s="145"/>
    </row>
    <row r="92" spans="1:33" s="114" customFormat="1">
      <c r="A92" s="145"/>
      <c r="AG92" s="145"/>
    </row>
    <row r="93" spans="1:33" s="114" customFormat="1">
      <c r="A93" s="145"/>
      <c r="AG93" s="145"/>
    </row>
    <row r="94" spans="1:33" s="114" customFormat="1">
      <c r="A94" s="145"/>
      <c r="AG94" s="145"/>
    </row>
    <row r="95" spans="1:33" s="114" customFormat="1">
      <c r="A95" s="145"/>
      <c r="AG95" s="145"/>
    </row>
    <row r="96" spans="1:33" s="114" customFormat="1">
      <c r="A96" s="145"/>
      <c r="AG96" s="145"/>
    </row>
    <row r="97" spans="1:33" s="114" customFormat="1">
      <c r="A97" s="145"/>
      <c r="AG97" s="145"/>
    </row>
    <row r="98" spans="1:33" s="114" customFormat="1">
      <c r="A98" s="145"/>
      <c r="AG98" s="145"/>
    </row>
    <row r="99" spans="1:33" s="114" customFormat="1">
      <c r="A99" s="145"/>
      <c r="AG99" s="145"/>
    </row>
    <row r="100" spans="1:33" s="114" customFormat="1">
      <c r="A100" s="145"/>
      <c r="AG100" s="145"/>
    </row>
    <row r="101" spans="1:33" s="114" customFormat="1">
      <c r="A101" s="145"/>
      <c r="AG101" s="145"/>
    </row>
    <row r="102" spans="1:33" s="114" customFormat="1">
      <c r="A102" s="145"/>
      <c r="AG102" s="145"/>
    </row>
    <row r="103" spans="1:33" s="114" customFormat="1">
      <c r="A103" s="145"/>
      <c r="AG103" s="145"/>
    </row>
    <row r="104" spans="1:33" s="114" customFormat="1">
      <c r="A104" s="145"/>
      <c r="AG104" s="145"/>
    </row>
    <row r="105" spans="1:33" s="114" customFormat="1">
      <c r="A105" s="145"/>
      <c r="AG105" s="145"/>
    </row>
    <row r="106" spans="1:33" s="114" customFormat="1">
      <c r="A106" s="145"/>
      <c r="AG106" s="145"/>
    </row>
    <row r="107" spans="1:33" s="114" customFormat="1">
      <c r="A107" s="145"/>
      <c r="AG107" s="145"/>
    </row>
    <row r="108" spans="1:33" s="114" customFormat="1">
      <c r="A108" s="145"/>
      <c r="AG108" s="145"/>
    </row>
    <row r="109" spans="1:33" s="114" customFormat="1">
      <c r="A109" s="145"/>
      <c r="AG109" s="145"/>
    </row>
    <row r="110" spans="1:33" s="114" customFormat="1">
      <c r="A110" s="145"/>
      <c r="AG110" s="145"/>
    </row>
    <row r="111" spans="1:33" s="114" customFormat="1">
      <c r="A111" s="145"/>
      <c r="AG111" s="145"/>
    </row>
    <row r="112" spans="1:33" s="114" customFormat="1">
      <c r="A112" s="145"/>
      <c r="AG112" s="145"/>
    </row>
    <row r="113" spans="1:33" s="114" customFormat="1">
      <c r="A113" s="145"/>
      <c r="AG113" s="145"/>
    </row>
    <row r="114" spans="1:33" s="114" customFormat="1">
      <c r="A114" s="145"/>
      <c r="AG114" s="145"/>
    </row>
    <row r="115" spans="1:33" s="114" customFormat="1">
      <c r="A115" s="145"/>
      <c r="AG115" s="145"/>
    </row>
    <row r="116" spans="1:33" s="114" customFormat="1">
      <c r="A116" s="145"/>
      <c r="AG116" s="145"/>
    </row>
    <row r="117" spans="1:33" s="114" customFormat="1">
      <c r="A117" s="145"/>
      <c r="AG117" s="145"/>
    </row>
    <row r="118" spans="1:33" s="114" customFormat="1">
      <c r="A118" s="145"/>
      <c r="AG118" s="145"/>
    </row>
    <row r="119" spans="1:33" s="114" customFormat="1">
      <c r="A119" s="145"/>
      <c r="AG119" s="145"/>
    </row>
    <row r="120" spans="1:33" s="114" customFormat="1">
      <c r="A120" s="145"/>
      <c r="AG120" s="145"/>
    </row>
    <row r="121" spans="1:33" s="114" customFormat="1">
      <c r="A121" s="145"/>
      <c r="AG121" s="145"/>
    </row>
    <row r="122" spans="1:33" s="114" customFormat="1">
      <c r="A122" s="145"/>
      <c r="AG122" s="145"/>
    </row>
    <row r="123" spans="1:33" s="114" customFormat="1">
      <c r="A123" s="145"/>
      <c r="AG123" s="145"/>
    </row>
    <row r="124" spans="1:33" s="114" customFormat="1">
      <c r="A124" s="145"/>
      <c r="AG124" s="145"/>
    </row>
    <row r="125" spans="1:33" s="114" customFormat="1">
      <c r="A125" s="145"/>
      <c r="AG125" s="145"/>
    </row>
    <row r="126" spans="1:33" s="114" customFormat="1">
      <c r="A126" s="145"/>
      <c r="AG126" s="145"/>
    </row>
    <row r="127" spans="1:33" s="114" customFormat="1">
      <c r="A127" s="145"/>
      <c r="AG127" s="145"/>
    </row>
    <row r="128" spans="1:33" s="114" customFormat="1">
      <c r="A128" s="145"/>
      <c r="AG128" s="145"/>
    </row>
    <row r="129" spans="1:33" s="114" customFormat="1">
      <c r="A129" s="145"/>
      <c r="AG129" s="145"/>
    </row>
    <row r="130" spans="1:33" s="114" customFormat="1">
      <c r="A130" s="145"/>
      <c r="AG130" s="145"/>
    </row>
    <row r="131" spans="1:33" s="114" customFormat="1">
      <c r="A131" s="145"/>
      <c r="AG131" s="145"/>
    </row>
    <row r="132" spans="1:33" s="114" customFormat="1">
      <c r="A132" s="145"/>
      <c r="AG132" s="145"/>
    </row>
    <row r="133" spans="1:33" s="114" customFormat="1">
      <c r="A133" s="145"/>
      <c r="AG133" s="145"/>
    </row>
    <row r="134" spans="1:33" s="114" customFormat="1">
      <c r="A134" s="145"/>
      <c r="AG134" s="145"/>
    </row>
    <row r="135" spans="1:33" s="114" customFormat="1">
      <c r="A135" s="145"/>
      <c r="AG135" s="145"/>
    </row>
    <row r="136" spans="1:33" s="114" customFormat="1">
      <c r="A136" s="145"/>
      <c r="AG136" s="145"/>
    </row>
    <row r="137" spans="1:33" s="114" customFormat="1">
      <c r="A137" s="145"/>
      <c r="AG137" s="145"/>
    </row>
    <row r="138" spans="1:33" s="114" customFormat="1">
      <c r="A138" s="145"/>
      <c r="AG138" s="145"/>
    </row>
    <row r="139" spans="1:33" s="114" customFormat="1">
      <c r="A139" s="145"/>
      <c r="AG139" s="145"/>
    </row>
    <row r="140" spans="1:33" s="114" customFormat="1">
      <c r="A140" s="145"/>
      <c r="AG140" s="145"/>
    </row>
    <row r="141" spans="1:33" s="114" customFormat="1">
      <c r="A141" s="145"/>
      <c r="AG141" s="145"/>
    </row>
    <row r="142" spans="1:33" s="114" customFormat="1">
      <c r="A142" s="145"/>
      <c r="AG142" s="145"/>
    </row>
    <row r="143" spans="1:33" s="114" customFormat="1">
      <c r="A143" s="145"/>
      <c r="AG143" s="145"/>
    </row>
    <row r="144" spans="1:33" s="114" customFormat="1">
      <c r="A144" s="145"/>
      <c r="AG144" s="145"/>
    </row>
    <row r="145" spans="1:33" s="114" customFormat="1">
      <c r="A145" s="145"/>
      <c r="AG145" s="145"/>
    </row>
    <row r="146" spans="1:33" s="114" customFormat="1">
      <c r="A146" s="145"/>
      <c r="AG146" s="145"/>
    </row>
    <row r="147" spans="1:33" s="114" customFormat="1">
      <c r="A147" s="145"/>
      <c r="AG147" s="145"/>
    </row>
    <row r="148" spans="1:33" s="114" customFormat="1">
      <c r="A148" s="145"/>
      <c r="AG148" s="145"/>
    </row>
    <row r="149" spans="1:33" s="114" customFormat="1">
      <c r="A149" s="145"/>
      <c r="AG149" s="145"/>
    </row>
    <row r="150" spans="1:33" s="114" customFormat="1">
      <c r="A150" s="145"/>
      <c r="AG150" s="145"/>
    </row>
    <row r="151" spans="1:33" s="114" customFormat="1">
      <c r="A151" s="145"/>
      <c r="AG151" s="145"/>
    </row>
    <row r="152" spans="1:33" s="114" customFormat="1">
      <c r="A152" s="145"/>
      <c r="AG152" s="145"/>
    </row>
    <row r="153" spans="1:33" s="114" customFormat="1">
      <c r="A153" s="145"/>
      <c r="AG153" s="145"/>
    </row>
    <row r="154" spans="1:33" s="114" customFormat="1">
      <c r="A154" s="145"/>
      <c r="AG154" s="145"/>
    </row>
    <row r="155" spans="1:33" s="114" customFormat="1">
      <c r="A155" s="145"/>
      <c r="AG155" s="145"/>
    </row>
    <row r="156" spans="1:33" s="114" customFormat="1">
      <c r="A156" s="145"/>
      <c r="AG156" s="145"/>
    </row>
    <row r="157" spans="1:33" s="114" customFormat="1">
      <c r="A157" s="145"/>
      <c r="AG157" s="145"/>
    </row>
    <row r="158" spans="1:33" s="114" customFormat="1">
      <c r="A158" s="145"/>
      <c r="AG158" s="145"/>
    </row>
    <row r="159" spans="1:33" s="114" customFormat="1">
      <c r="A159" s="145"/>
      <c r="AG159" s="145"/>
    </row>
    <row r="160" spans="1:33" s="114" customFormat="1">
      <c r="A160" s="145"/>
      <c r="AG160" s="145"/>
    </row>
    <row r="161" spans="1:33" s="114" customFormat="1">
      <c r="A161" s="145"/>
      <c r="AG161" s="145"/>
    </row>
    <row r="162" spans="1:33" s="114" customFormat="1">
      <c r="A162" s="145"/>
      <c r="AG162" s="145"/>
    </row>
    <row r="163" spans="1:33" s="114" customFormat="1">
      <c r="A163" s="145"/>
      <c r="AG163" s="145"/>
    </row>
    <row r="164" spans="1:33" s="114" customFormat="1">
      <c r="A164" s="145"/>
      <c r="AG164" s="145"/>
    </row>
    <row r="165" spans="1:33" s="114" customFormat="1">
      <c r="A165" s="145"/>
      <c r="AG165" s="145"/>
    </row>
    <row r="166" spans="1:33" s="114" customFormat="1">
      <c r="A166" s="145"/>
      <c r="AG166" s="145"/>
    </row>
    <row r="167" spans="1:33" s="114" customFormat="1">
      <c r="A167" s="145"/>
      <c r="AG167" s="145"/>
    </row>
    <row r="168" spans="1:33" s="114" customFormat="1">
      <c r="A168" s="145"/>
      <c r="AG168" s="145"/>
    </row>
    <row r="169" spans="1:33" s="114" customFormat="1">
      <c r="A169" s="145"/>
      <c r="AG169" s="145"/>
    </row>
    <row r="170" spans="1:33" s="114" customFormat="1">
      <c r="A170" s="145"/>
      <c r="AG170" s="145"/>
    </row>
    <row r="171" spans="1:33" s="114" customFormat="1">
      <c r="A171" s="145"/>
      <c r="AG171" s="145"/>
    </row>
    <row r="172" spans="1:33" s="114" customFormat="1">
      <c r="A172" s="145"/>
      <c r="AG172" s="145"/>
    </row>
    <row r="173" spans="1:33" s="114" customFormat="1">
      <c r="A173" s="145"/>
      <c r="AG173" s="145"/>
    </row>
    <row r="174" spans="1:33" s="114" customFormat="1">
      <c r="A174" s="145"/>
      <c r="AG174" s="145"/>
    </row>
    <row r="175" spans="1:33" s="114" customFormat="1">
      <c r="A175" s="145"/>
      <c r="AG175" s="145"/>
    </row>
    <row r="176" spans="1:33" s="114" customFormat="1">
      <c r="A176" s="145"/>
      <c r="AG176" s="145"/>
    </row>
    <row r="177" spans="1:33" s="114" customFormat="1">
      <c r="A177" s="145"/>
      <c r="AG177" s="145"/>
    </row>
    <row r="178" spans="1:33" s="114" customFormat="1">
      <c r="A178" s="145"/>
      <c r="AG178" s="145"/>
    </row>
    <row r="179" spans="1:33" s="114" customFormat="1">
      <c r="A179" s="145"/>
      <c r="AG179" s="145"/>
    </row>
    <row r="180" spans="1:33" s="114" customFormat="1">
      <c r="A180" s="145"/>
      <c r="AG180" s="145"/>
    </row>
    <row r="181" spans="1:33" s="114" customFormat="1">
      <c r="A181" s="145"/>
      <c r="AG181" s="145"/>
    </row>
    <row r="182" spans="1:33" s="114" customFormat="1">
      <c r="A182" s="145"/>
      <c r="AG182" s="145"/>
    </row>
    <row r="183" spans="1:33" s="114" customFormat="1">
      <c r="A183" s="145"/>
      <c r="AG183" s="145"/>
    </row>
    <row r="184" spans="1:33" s="114" customFormat="1">
      <c r="A184" s="145"/>
      <c r="AG184" s="145"/>
    </row>
    <row r="185" spans="1:33" s="114" customFormat="1">
      <c r="A185" s="145"/>
      <c r="AG185" s="145"/>
    </row>
    <row r="186" spans="1:33" s="114" customFormat="1">
      <c r="A186" s="145"/>
      <c r="AG186" s="145"/>
    </row>
    <row r="187" spans="1:33" s="114" customFormat="1">
      <c r="A187" s="145"/>
      <c r="AG187" s="145"/>
    </row>
    <row r="188" spans="1:33" s="114" customFormat="1">
      <c r="A188" s="145"/>
      <c r="AG188" s="145"/>
    </row>
    <row r="189" spans="1:33" s="114" customFormat="1">
      <c r="A189" s="145"/>
      <c r="AG189" s="145"/>
    </row>
    <row r="190" spans="1:33" s="114" customFormat="1">
      <c r="A190" s="145"/>
      <c r="AG190" s="145"/>
    </row>
    <row r="191" spans="1:33" s="114" customFormat="1">
      <c r="A191" s="145"/>
      <c r="AG191" s="145"/>
    </row>
    <row r="192" spans="1:33" s="114" customFormat="1">
      <c r="A192" s="145"/>
      <c r="AG192" s="145"/>
    </row>
    <row r="193" spans="1:33" s="114" customFormat="1">
      <c r="A193" s="145"/>
      <c r="AG193" s="145"/>
    </row>
    <row r="194" spans="1:33" s="114" customFormat="1">
      <c r="A194" s="145"/>
      <c r="AG194" s="145"/>
    </row>
    <row r="195" spans="1:33" s="114" customFormat="1">
      <c r="A195" s="145"/>
      <c r="AG195" s="145"/>
    </row>
    <row r="196" spans="1:33" s="114" customFormat="1">
      <c r="A196" s="145"/>
      <c r="AG196" s="145"/>
    </row>
    <row r="197" spans="1:33" s="114" customFormat="1">
      <c r="A197" s="145"/>
      <c r="AG197" s="145"/>
    </row>
    <row r="198" spans="1:33" s="114" customFormat="1">
      <c r="A198" s="145"/>
      <c r="AG198" s="145"/>
    </row>
    <row r="199" spans="1:33" s="114" customFormat="1">
      <c r="A199" s="145"/>
      <c r="AG199" s="145"/>
    </row>
    <row r="200" spans="1:33" s="114" customFormat="1">
      <c r="A200" s="145"/>
      <c r="AG200" s="145"/>
    </row>
    <row r="201" spans="1:33" s="114" customFormat="1">
      <c r="A201" s="145"/>
      <c r="AG201" s="145"/>
    </row>
    <row r="202" spans="1:33" s="114" customFormat="1">
      <c r="A202" s="145"/>
      <c r="AG202" s="145"/>
    </row>
    <row r="203" spans="1:33" s="114" customFormat="1">
      <c r="A203" s="145"/>
      <c r="AG203" s="145"/>
    </row>
    <row r="204" spans="1:33" s="114" customFormat="1">
      <c r="A204" s="145"/>
      <c r="AG204" s="145"/>
    </row>
    <row r="205" spans="1:33" s="114" customFormat="1">
      <c r="A205" s="145"/>
      <c r="AG205" s="145"/>
    </row>
    <row r="206" spans="1:33" s="114" customFormat="1">
      <c r="A206" s="145"/>
      <c r="AG206" s="145"/>
    </row>
    <row r="207" spans="1:33" s="114" customFormat="1">
      <c r="A207" s="145"/>
      <c r="AG207" s="145"/>
    </row>
    <row r="208" spans="1:33" s="114" customFormat="1">
      <c r="A208" s="145"/>
      <c r="AG208" s="145"/>
    </row>
    <row r="209" spans="1:33" s="114" customFormat="1">
      <c r="A209" s="145"/>
      <c r="AG209" s="145"/>
    </row>
    <row r="210" spans="1:33" s="114" customFormat="1">
      <c r="A210" s="145"/>
      <c r="AG210" s="145"/>
    </row>
    <row r="211" spans="1:33" s="114" customFormat="1">
      <c r="A211" s="145"/>
      <c r="AG211" s="145"/>
    </row>
    <row r="212" spans="1:33" s="114" customFormat="1">
      <c r="A212" s="145"/>
      <c r="AG212" s="145"/>
    </row>
    <row r="213" spans="1:33" s="114" customFormat="1">
      <c r="A213" s="145"/>
      <c r="AG213" s="145"/>
    </row>
    <row r="214" spans="1:33" s="114" customFormat="1">
      <c r="A214" s="145"/>
      <c r="AG214" s="145"/>
    </row>
    <row r="215" spans="1:33" s="114" customFormat="1">
      <c r="A215" s="145"/>
      <c r="AG215" s="145"/>
    </row>
    <row r="216" spans="1:33" s="114" customFormat="1">
      <c r="A216" s="145"/>
      <c r="AG216" s="145"/>
    </row>
    <row r="217" spans="1:33" s="114" customFormat="1">
      <c r="A217" s="145"/>
      <c r="AG217" s="145"/>
    </row>
    <row r="218" spans="1:33" s="114" customFormat="1">
      <c r="A218" s="145"/>
      <c r="AG218" s="145"/>
    </row>
    <row r="219" spans="1:33" s="114" customFormat="1">
      <c r="A219" s="145"/>
      <c r="AG219" s="145"/>
    </row>
    <row r="220" spans="1:33" s="114" customFormat="1">
      <c r="A220" s="145"/>
      <c r="AG220" s="145"/>
    </row>
    <row r="221" spans="1:33" s="114" customFormat="1">
      <c r="A221" s="145"/>
      <c r="AG221" s="145"/>
    </row>
    <row r="222" spans="1:33" s="114" customFormat="1">
      <c r="A222" s="145"/>
      <c r="AG222" s="145"/>
    </row>
    <row r="223" spans="1:33" s="114" customFormat="1">
      <c r="A223" s="145"/>
      <c r="AG223" s="145"/>
    </row>
    <row r="224" spans="1:33" s="114" customFormat="1">
      <c r="A224" s="145"/>
      <c r="AG224" s="145"/>
    </row>
    <row r="225" spans="1:33" s="114" customFormat="1">
      <c r="A225" s="145"/>
      <c r="AG225" s="145"/>
    </row>
    <row r="226" spans="1:33" s="114" customFormat="1">
      <c r="A226" s="145"/>
      <c r="AG226" s="145"/>
    </row>
    <row r="227" spans="1:33" s="114" customFormat="1">
      <c r="A227" s="145"/>
      <c r="AG227" s="145"/>
    </row>
    <row r="228" spans="1:33" s="114" customFormat="1">
      <c r="A228" s="145"/>
      <c r="AG228" s="145"/>
    </row>
    <row r="229" spans="1:33" s="114" customFormat="1">
      <c r="A229" s="145"/>
      <c r="AG229" s="145"/>
    </row>
    <row r="230" spans="1:33" s="114" customFormat="1">
      <c r="A230" s="145"/>
      <c r="AG230" s="145"/>
    </row>
    <row r="231" spans="1:33" s="114" customFormat="1">
      <c r="A231" s="145"/>
      <c r="AG231" s="145"/>
    </row>
    <row r="232" spans="1:33" s="114" customFormat="1">
      <c r="A232" s="145"/>
      <c r="AG232" s="145"/>
    </row>
    <row r="233" spans="1:33" s="114" customFormat="1">
      <c r="A233" s="145"/>
      <c r="AG233" s="145"/>
    </row>
    <row r="234" spans="1:33" s="114" customFormat="1">
      <c r="A234" s="145"/>
      <c r="AG234" s="145"/>
    </row>
    <row r="235" spans="1:33" s="114" customFormat="1">
      <c r="A235" s="145"/>
      <c r="AG235" s="145"/>
    </row>
    <row r="236" spans="1:33" s="114" customFormat="1">
      <c r="A236" s="145"/>
      <c r="AG236" s="145"/>
    </row>
    <row r="237" spans="1:33" s="114" customFormat="1">
      <c r="A237" s="145"/>
      <c r="AG237" s="145"/>
    </row>
    <row r="238" spans="1:33" s="114" customFormat="1">
      <c r="A238" s="145"/>
      <c r="AG238" s="145"/>
    </row>
    <row r="239" spans="1:33" s="114" customFormat="1">
      <c r="A239" s="145"/>
      <c r="AG239" s="145"/>
    </row>
    <row r="240" spans="1:33" s="114" customFormat="1">
      <c r="A240" s="145"/>
      <c r="AG240" s="145"/>
    </row>
    <row r="241" spans="1:33" s="114" customFormat="1">
      <c r="A241" s="145"/>
      <c r="AG241" s="145"/>
    </row>
    <row r="242" spans="1:33" s="114" customFormat="1">
      <c r="A242" s="145"/>
      <c r="AG242" s="145"/>
    </row>
    <row r="243" spans="1:33" s="114" customFormat="1">
      <c r="A243" s="145"/>
      <c r="AG243" s="145"/>
    </row>
    <row r="244" spans="1:33" s="114" customFormat="1">
      <c r="A244" s="145"/>
      <c r="AG244" s="145"/>
    </row>
    <row r="245" spans="1:33" s="114" customFormat="1">
      <c r="A245" s="145"/>
      <c r="AG245" s="145"/>
    </row>
    <row r="246" spans="1:33" s="114" customFormat="1">
      <c r="A246" s="145"/>
      <c r="AG246" s="145"/>
    </row>
    <row r="247" spans="1:33" s="114" customFormat="1">
      <c r="A247" s="145"/>
      <c r="AG247" s="145"/>
    </row>
    <row r="248" spans="1:33" s="114" customFormat="1">
      <c r="A248" s="145"/>
      <c r="AG248" s="145"/>
    </row>
    <row r="249" spans="1:33" s="114" customFormat="1">
      <c r="A249" s="145"/>
      <c r="AG249" s="145"/>
    </row>
    <row r="250" spans="1:33" s="114" customFormat="1">
      <c r="A250" s="145"/>
      <c r="AG250" s="145"/>
    </row>
    <row r="251" spans="1:33" s="114" customFormat="1">
      <c r="A251" s="145"/>
      <c r="AG251" s="145"/>
    </row>
    <row r="252" spans="1:33" s="114" customFormat="1">
      <c r="A252" s="145"/>
      <c r="AG252" s="145"/>
    </row>
    <row r="253" spans="1:33" s="114" customFormat="1">
      <c r="A253" s="145"/>
      <c r="AG253" s="145"/>
    </row>
    <row r="254" spans="1:33" s="114" customFormat="1">
      <c r="A254" s="145"/>
      <c r="AG254" s="145"/>
    </row>
    <row r="255" spans="1:33" s="114" customFormat="1">
      <c r="A255" s="145"/>
      <c r="AG255" s="145"/>
    </row>
    <row r="256" spans="1:33" s="114" customFormat="1">
      <c r="A256" s="145"/>
      <c r="AG256" s="145"/>
    </row>
    <row r="257" spans="1:33" s="114" customFormat="1">
      <c r="A257" s="145"/>
      <c r="AG257" s="145"/>
    </row>
    <row r="258" spans="1:33" s="114" customFormat="1">
      <c r="A258" s="145"/>
      <c r="AG258" s="145"/>
    </row>
    <row r="259" spans="1:33" s="114" customFormat="1">
      <c r="A259" s="145"/>
      <c r="AG259" s="145"/>
    </row>
    <row r="260" spans="1:33" s="114" customFormat="1">
      <c r="A260" s="145"/>
      <c r="AG260" s="145"/>
    </row>
    <row r="261" spans="1:33" s="114" customFormat="1">
      <c r="A261" s="145"/>
      <c r="AG261" s="145"/>
    </row>
    <row r="262" spans="1:33" s="114" customFormat="1">
      <c r="A262" s="145"/>
      <c r="AG262" s="145"/>
    </row>
    <row r="263" spans="1:33" s="114" customFormat="1">
      <c r="A263" s="145"/>
      <c r="AG263" s="145"/>
    </row>
    <row r="264" spans="1:33" s="114" customFormat="1">
      <c r="A264" s="145"/>
      <c r="AG264" s="145"/>
    </row>
    <row r="265" spans="1:33" s="114" customFormat="1">
      <c r="A265" s="145"/>
      <c r="AG265" s="145"/>
    </row>
    <row r="266" spans="1:33" s="114" customFormat="1">
      <c r="A266" s="145"/>
      <c r="AG266" s="145"/>
    </row>
    <row r="267" spans="1:33" s="114" customFormat="1">
      <c r="A267" s="145"/>
      <c r="AG267" s="145"/>
    </row>
    <row r="268" spans="1:33" s="114" customFormat="1">
      <c r="A268" s="145"/>
      <c r="AG268" s="145"/>
    </row>
    <row r="269" spans="1:33" s="114" customFormat="1">
      <c r="A269" s="145"/>
      <c r="AG269" s="145"/>
    </row>
    <row r="270" spans="1:33" s="114" customFormat="1">
      <c r="A270" s="145"/>
      <c r="AG270" s="145"/>
    </row>
    <row r="271" spans="1:33" s="114" customFormat="1">
      <c r="A271" s="145"/>
      <c r="AG271" s="145"/>
    </row>
    <row r="272" spans="1:33" s="114" customFormat="1">
      <c r="A272" s="145"/>
      <c r="AG272" s="145"/>
    </row>
    <row r="273" spans="1:33" s="114" customFormat="1">
      <c r="A273" s="145"/>
      <c r="AG273" s="145"/>
    </row>
    <row r="274" spans="1:33" s="114" customFormat="1">
      <c r="A274" s="145"/>
      <c r="AG274" s="145"/>
    </row>
    <row r="275" spans="1:33" s="114" customFormat="1">
      <c r="A275" s="145"/>
      <c r="AG275" s="145"/>
    </row>
    <row r="276" spans="1:33" s="114" customFormat="1">
      <c r="A276" s="145"/>
      <c r="AG276" s="145"/>
    </row>
    <row r="277" spans="1:33" s="114" customFormat="1">
      <c r="A277" s="145"/>
      <c r="AG277" s="145"/>
    </row>
    <row r="278" spans="1:33" s="114" customFormat="1">
      <c r="A278" s="145"/>
      <c r="AG278" s="145"/>
    </row>
    <row r="279" spans="1:33" s="114" customFormat="1">
      <c r="A279" s="145"/>
      <c r="AG279" s="145"/>
    </row>
    <row r="280" spans="1:33" s="114" customFormat="1">
      <c r="A280" s="145"/>
      <c r="AG280" s="145"/>
    </row>
    <row r="281" spans="1:33" s="114" customFormat="1">
      <c r="A281" s="145"/>
      <c r="AG281" s="145"/>
    </row>
    <row r="282" spans="1:33" s="114" customFormat="1">
      <c r="A282" s="145"/>
      <c r="AG282" s="145"/>
    </row>
    <row r="283" spans="1:33" s="114" customFormat="1">
      <c r="A283" s="145"/>
      <c r="AG283" s="145"/>
    </row>
    <row r="284" spans="1:33" s="114" customFormat="1">
      <c r="A284" s="145"/>
      <c r="AG284" s="145"/>
    </row>
    <row r="285" spans="1:33" s="114" customFormat="1">
      <c r="A285" s="145"/>
      <c r="AG285" s="145"/>
    </row>
    <row r="286" spans="1:33" s="114" customFormat="1">
      <c r="A286" s="145"/>
      <c r="AG286" s="145"/>
    </row>
    <row r="287" spans="1:33" s="114" customFormat="1">
      <c r="A287" s="145"/>
      <c r="AG287" s="145"/>
    </row>
    <row r="288" spans="1:33" s="114" customFormat="1">
      <c r="A288" s="145"/>
      <c r="AG288" s="145"/>
    </row>
    <row r="289" spans="1:33" s="114" customFormat="1">
      <c r="A289" s="145"/>
      <c r="AG289" s="145"/>
    </row>
    <row r="290" spans="1:33" s="114" customFormat="1">
      <c r="A290" s="145"/>
      <c r="AG290" s="145"/>
    </row>
    <row r="291" spans="1:33" s="114" customFormat="1">
      <c r="A291" s="145"/>
      <c r="AG291" s="145"/>
    </row>
    <row r="292" spans="1:33" s="114" customFormat="1">
      <c r="A292" s="145"/>
      <c r="AG292" s="145"/>
    </row>
    <row r="293" spans="1:33" s="114" customFormat="1">
      <c r="A293" s="145"/>
      <c r="AG293" s="145"/>
    </row>
    <row r="294" spans="1:33" s="114" customFormat="1">
      <c r="A294" s="145"/>
      <c r="AG294" s="145"/>
    </row>
    <row r="295" spans="1:33" s="114" customFormat="1">
      <c r="A295" s="145"/>
      <c r="AG295" s="145"/>
    </row>
    <row r="296" spans="1:33" s="114" customFormat="1">
      <c r="A296" s="145"/>
      <c r="AG296" s="145"/>
    </row>
    <row r="297" spans="1:33" s="114" customFormat="1">
      <c r="A297" s="145"/>
      <c r="AG297" s="145"/>
    </row>
    <row r="298" spans="1:33" s="114" customFormat="1">
      <c r="A298" s="145"/>
      <c r="AG298" s="145"/>
    </row>
    <row r="299" spans="1:33" s="114" customFormat="1">
      <c r="A299" s="145"/>
      <c r="AG299" s="145"/>
    </row>
    <row r="300" spans="1:33" s="114" customFormat="1">
      <c r="A300" s="145"/>
      <c r="AG300" s="145"/>
    </row>
    <row r="301" spans="1:33" s="114" customFormat="1">
      <c r="A301" s="145"/>
      <c r="AG301" s="145"/>
    </row>
    <row r="302" spans="1:33" s="114" customFormat="1">
      <c r="A302" s="145"/>
      <c r="AG302" s="145"/>
    </row>
    <row r="303" spans="1:33" s="114" customFormat="1">
      <c r="A303" s="145"/>
      <c r="AG303" s="145"/>
    </row>
    <row r="304" spans="1:33" s="114" customFormat="1">
      <c r="A304" s="145"/>
      <c r="AG304" s="145"/>
    </row>
    <row r="305" spans="1:33" s="114" customFormat="1">
      <c r="A305" s="145"/>
      <c r="AG305" s="145"/>
    </row>
    <row r="306" spans="1:33" s="114" customFormat="1">
      <c r="A306" s="145"/>
      <c r="AG306" s="145"/>
    </row>
    <row r="307" spans="1:33" s="114" customFormat="1">
      <c r="A307" s="145"/>
      <c r="AG307" s="145"/>
    </row>
    <row r="308" spans="1:33" s="114" customFormat="1">
      <c r="A308" s="145"/>
      <c r="AG308" s="145"/>
    </row>
    <row r="309" spans="1:33" s="114" customFormat="1">
      <c r="A309" s="145"/>
      <c r="AG309" s="145"/>
    </row>
    <row r="310" spans="1:33" s="114" customFormat="1">
      <c r="A310" s="145"/>
      <c r="AG310" s="145"/>
    </row>
    <row r="311" spans="1:33" s="114" customFormat="1">
      <c r="A311" s="145"/>
      <c r="AG311" s="145"/>
    </row>
    <row r="312" spans="1:33" s="114" customFormat="1">
      <c r="A312" s="145"/>
      <c r="AG312" s="145"/>
    </row>
    <row r="313" spans="1:33" s="114" customFormat="1">
      <c r="A313" s="145"/>
      <c r="AG313" s="145"/>
    </row>
    <row r="314" spans="1:33" s="114" customFormat="1">
      <c r="A314" s="145"/>
      <c r="AG314" s="145"/>
    </row>
    <row r="315" spans="1:33" s="114" customFormat="1">
      <c r="A315" s="145"/>
      <c r="AG315" s="145"/>
    </row>
    <row r="316" spans="1:33" s="114" customFormat="1">
      <c r="A316" s="145"/>
      <c r="AG316" s="145"/>
    </row>
    <row r="317" spans="1:33" s="114" customFormat="1">
      <c r="A317" s="145"/>
      <c r="AG317" s="145"/>
    </row>
    <row r="318" spans="1:33" s="114" customFormat="1">
      <c r="A318" s="145"/>
      <c r="AG318" s="145"/>
    </row>
    <row r="319" spans="1:33" s="114" customFormat="1">
      <c r="A319" s="145"/>
      <c r="AG319" s="145"/>
    </row>
    <row r="320" spans="1:33" s="114" customFormat="1">
      <c r="A320" s="145"/>
      <c r="AG320" s="145"/>
    </row>
    <row r="321" spans="1:33" s="114" customFormat="1">
      <c r="A321" s="145"/>
      <c r="AG321" s="145"/>
    </row>
    <row r="322" spans="1:33" s="114" customFormat="1">
      <c r="A322" s="145"/>
      <c r="AG322" s="145"/>
    </row>
    <row r="323" spans="1:33" s="114" customFormat="1">
      <c r="A323" s="145"/>
      <c r="AG323" s="145"/>
    </row>
    <row r="324" spans="1:33" s="114" customFormat="1">
      <c r="A324" s="145"/>
      <c r="AG324" s="145"/>
    </row>
    <row r="325" spans="1:33" s="114" customFormat="1">
      <c r="A325" s="145"/>
      <c r="AG325" s="145"/>
    </row>
    <row r="326" spans="1:33" s="114" customFormat="1">
      <c r="A326" s="145"/>
      <c r="AG326" s="145"/>
    </row>
    <row r="327" spans="1:33" s="114" customFormat="1">
      <c r="A327" s="145"/>
      <c r="AG327" s="145"/>
    </row>
    <row r="328" spans="1:33" s="114" customFormat="1">
      <c r="A328" s="145"/>
      <c r="AG328" s="145"/>
    </row>
    <row r="329" spans="1:33" s="114" customFormat="1">
      <c r="A329" s="145"/>
      <c r="AG329" s="145"/>
    </row>
    <row r="330" spans="1:33" s="114" customFormat="1">
      <c r="A330" s="145"/>
      <c r="AG330" s="145"/>
    </row>
    <row r="331" spans="1:33" s="114" customFormat="1">
      <c r="A331" s="145"/>
      <c r="AG331" s="145"/>
    </row>
    <row r="332" spans="1:33" s="114" customFormat="1">
      <c r="A332" s="145"/>
      <c r="AG332" s="145"/>
    </row>
    <row r="333" spans="1:33" s="114" customFormat="1">
      <c r="A333" s="145"/>
      <c r="AG333" s="145"/>
    </row>
    <row r="334" spans="1:33" s="114" customFormat="1">
      <c r="A334" s="145"/>
      <c r="AG334" s="145"/>
    </row>
    <row r="335" spans="1:33" s="114" customFormat="1">
      <c r="A335" s="145"/>
      <c r="AG335" s="145"/>
    </row>
    <row r="336" spans="1:33" s="114" customFormat="1">
      <c r="A336" s="145"/>
      <c r="AG336" s="145"/>
    </row>
    <row r="337" spans="1:33" s="114" customFormat="1">
      <c r="A337" s="145"/>
      <c r="AG337" s="145"/>
    </row>
    <row r="338" spans="1:33" s="114" customFormat="1">
      <c r="A338" s="145"/>
      <c r="AG338" s="145"/>
    </row>
    <row r="339" spans="1:33" s="114" customFormat="1">
      <c r="A339" s="145"/>
      <c r="AG339" s="145"/>
    </row>
    <row r="340" spans="1:33" s="114" customFormat="1">
      <c r="A340" s="145"/>
      <c r="AG340" s="145"/>
    </row>
    <row r="341" spans="1:33" s="114" customFormat="1">
      <c r="A341" s="145"/>
      <c r="AG341" s="145"/>
    </row>
    <row r="342" spans="1:33" s="114" customFormat="1">
      <c r="A342" s="145"/>
      <c r="AG342" s="145"/>
    </row>
    <row r="343" spans="1:33" s="114" customFormat="1">
      <c r="A343" s="145"/>
      <c r="AG343" s="145"/>
    </row>
    <row r="344" spans="1:33" s="114" customFormat="1">
      <c r="A344" s="145"/>
      <c r="AG344" s="145"/>
    </row>
    <row r="345" spans="1:33" s="114" customFormat="1">
      <c r="A345" s="145"/>
      <c r="AG345" s="145"/>
    </row>
    <row r="346" spans="1:33" s="114" customFormat="1">
      <c r="A346" s="145"/>
      <c r="AG346" s="145"/>
    </row>
    <row r="347" spans="1:33" s="114" customFormat="1">
      <c r="A347" s="145"/>
      <c r="AG347" s="145"/>
    </row>
    <row r="348" spans="1:33" s="114" customFormat="1">
      <c r="A348" s="145"/>
      <c r="AG348" s="145"/>
    </row>
    <row r="349" spans="1:33" s="114" customFormat="1">
      <c r="A349" s="145"/>
      <c r="AG349" s="145"/>
    </row>
    <row r="350" spans="1:33" s="114" customFormat="1">
      <c r="A350" s="145"/>
      <c r="AG350" s="145"/>
    </row>
    <row r="351" spans="1:33" s="114" customFormat="1">
      <c r="A351" s="145"/>
      <c r="AG351" s="145"/>
    </row>
    <row r="352" spans="1:33" s="114" customFormat="1">
      <c r="A352" s="145"/>
      <c r="AG352" s="145"/>
    </row>
    <row r="353" spans="1:33" s="114" customFormat="1">
      <c r="A353" s="145"/>
      <c r="AG353" s="145"/>
    </row>
    <row r="354" spans="1:33" s="114" customFormat="1">
      <c r="A354" s="145"/>
      <c r="AG354" s="145"/>
    </row>
    <row r="355" spans="1:33" s="114" customFormat="1">
      <c r="A355" s="145"/>
      <c r="AG355" s="145"/>
    </row>
    <row r="356" spans="1:33" s="114" customFormat="1">
      <c r="A356" s="145"/>
      <c r="AG356" s="145"/>
    </row>
    <row r="357" spans="1:33" s="114" customFormat="1">
      <c r="A357" s="145"/>
      <c r="AG357" s="145"/>
    </row>
    <row r="358" spans="1:33" s="114" customFormat="1">
      <c r="A358" s="145"/>
      <c r="AG358" s="145"/>
    </row>
    <row r="359" spans="1:33" s="114" customFormat="1">
      <c r="A359" s="145"/>
      <c r="AG359" s="145"/>
    </row>
    <row r="360" spans="1:33" s="114" customFormat="1">
      <c r="A360" s="145"/>
      <c r="AG360" s="145"/>
    </row>
    <row r="361" spans="1:33" s="114" customFormat="1">
      <c r="A361" s="145"/>
      <c r="AG361" s="145"/>
    </row>
    <row r="362" spans="1:33" s="114" customFormat="1">
      <c r="A362" s="145"/>
      <c r="AG362" s="145"/>
    </row>
    <row r="363" spans="1:33" s="114" customFormat="1">
      <c r="A363" s="145"/>
      <c r="AG363" s="145"/>
    </row>
    <row r="364" spans="1:33" s="114" customFormat="1">
      <c r="A364" s="145"/>
      <c r="AG364" s="145"/>
    </row>
    <row r="365" spans="1:33" s="114" customFormat="1">
      <c r="A365" s="145"/>
      <c r="AG365" s="145"/>
    </row>
    <row r="366" spans="1:33" s="114" customFormat="1">
      <c r="A366" s="145"/>
      <c r="AG366" s="145"/>
    </row>
    <row r="367" spans="1:33" s="114" customFormat="1">
      <c r="A367" s="145"/>
      <c r="AG367" s="145"/>
    </row>
    <row r="368" spans="1:33" s="114" customFormat="1">
      <c r="A368" s="145"/>
      <c r="AG368" s="145"/>
    </row>
    <row r="369" spans="1:33" s="114" customFormat="1">
      <c r="A369" s="145"/>
      <c r="AG369" s="145"/>
    </row>
    <row r="370" spans="1:33" s="114" customFormat="1">
      <c r="A370" s="145"/>
      <c r="AG370" s="145"/>
    </row>
    <row r="371" spans="1:33" s="114" customFormat="1">
      <c r="A371" s="145"/>
      <c r="AG371" s="145"/>
    </row>
    <row r="372" spans="1:33" s="114" customFormat="1">
      <c r="A372" s="145"/>
      <c r="AG372" s="145"/>
    </row>
    <row r="373" spans="1:33" s="114" customFormat="1">
      <c r="A373" s="145"/>
      <c r="AG373" s="145"/>
    </row>
    <row r="374" spans="1:33" s="114" customFormat="1">
      <c r="A374" s="145"/>
      <c r="AG374" s="145"/>
    </row>
    <row r="375" spans="1:33" s="114" customFormat="1">
      <c r="A375" s="145"/>
      <c r="AG375" s="145"/>
    </row>
    <row r="376" spans="1:33" s="114" customFormat="1">
      <c r="A376" s="145"/>
      <c r="AG376" s="145"/>
    </row>
    <row r="377" spans="1:33" s="114" customFormat="1">
      <c r="A377" s="145"/>
      <c r="AG377" s="145"/>
    </row>
    <row r="378" spans="1:33" s="114" customFormat="1">
      <c r="A378" s="145"/>
      <c r="AG378" s="145"/>
    </row>
    <row r="379" spans="1:33" s="114" customFormat="1">
      <c r="A379" s="145"/>
      <c r="AG379" s="145"/>
    </row>
    <row r="380" spans="1:33" s="114" customFormat="1">
      <c r="A380" s="145"/>
      <c r="AG380" s="145"/>
    </row>
    <row r="381" spans="1:33" s="114" customFormat="1">
      <c r="A381" s="145"/>
      <c r="AG381" s="145"/>
    </row>
    <row r="382" spans="1:33" s="114" customFormat="1">
      <c r="A382" s="145"/>
      <c r="AG382" s="145"/>
    </row>
    <row r="383" spans="1:33" s="114" customFormat="1">
      <c r="A383" s="145"/>
      <c r="AG383" s="145"/>
    </row>
    <row r="384" spans="1:33" s="114" customFormat="1">
      <c r="A384" s="145"/>
      <c r="AG384" s="145"/>
    </row>
    <row r="385" spans="1:33" s="114" customFormat="1">
      <c r="A385" s="145"/>
      <c r="AG385" s="145"/>
    </row>
    <row r="386" spans="1:33" s="114" customFormat="1">
      <c r="A386" s="145"/>
      <c r="AG386" s="145"/>
    </row>
    <row r="387" spans="1:33" s="114" customFormat="1">
      <c r="A387" s="145"/>
      <c r="AG387" s="145"/>
    </row>
    <row r="388" spans="1:33" s="114" customFormat="1">
      <c r="A388" s="145"/>
      <c r="AG388" s="145"/>
    </row>
    <row r="389" spans="1:33" s="114" customFormat="1">
      <c r="A389" s="145"/>
      <c r="AG389" s="145"/>
    </row>
    <row r="390" spans="1:33" s="114" customFormat="1">
      <c r="A390" s="145"/>
      <c r="AG390" s="145"/>
    </row>
    <row r="391" spans="1:33" s="114" customFormat="1">
      <c r="A391" s="145"/>
      <c r="AG391" s="145"/>
    </row>
    <row r="392" spans="1:33" s="114" customFormat="1">
      <c r="A392" s="145"/>
      <c r="AG392" s="145"/>
    </row>
    <row r="393" spans="1:33" s="114" customFormat="1">
      <c r="A393" s="145"/>
      <c r="AG393" s="145"/>
    </row>
    <row r="394" spans="1:33" s="114" customFormat="1">
      <c r="A394" s="145"/>
      <c r="AG394" s="145"/>
    </row>
    <row r="395" spans="1:33" s="114" customFormat="1">
      <c r="A395" s="145"/>
      <c r="AG395" s="145"/>
    </row>
    <row r="396" spans="1:33" s="114" customFormat="1">
      <c r="A396" s="145"/>
      <c r="AG396" s="145"/>
    </row>
    <row r="397" spans="1:33" s="114" customFormat="1">
      <c r="A397" s="145"/>
      <c r="AG397" s="145"/>
    </row>
    <row r="398" spans="1:33" s="114" customFormat="1">
      <c r="A398" s="145"/>
      <c r="AG398" s="145"/>
    </row>
    <row r="399" spans="1:33" s="114" customFormat="1">
      <c r="A399" s="145"/>
      <c r="AG399" s="145"/>
    </row>
    <row r="400" spans="1:33" s="114" customFormat="1">
      <c r="A400" s="145"/>
      <c r="AG400" s="145"/>
    </row>
    <row r="401" spans="1:33" s="114" customFormat="1">
      <c r="A401" s="145"/>
      <c r="AG401" s="145"/>
    </row>
    <row r="402" spans="1:33" s="114" customFormat="1">
      <c r="A402" s="145"/>
      <c r="AG402" s="145"/>
    </row>
    <row r="403" spans="1:33" s="114" customFormat="1">
      <c r="A403" s="145"/>
      <c r="AG403" s="145"/>
    </row>
    <row r="404" spans="1:33" s="114" customFormat="1">
      <c r="A404" s="145"/>
      <c r="AG404" s="145"/>
    </row>
    <row r="405" spans="1:33" s="114" customFormat="1">
      <c r="A405" s="145"/>
      <c r="AG405" s="145"/>
    </row>
    <row r="406" spans="1:33" s="114" customFormat="1">
      <c r="A406" s="145"/>
      <c r="AG406" s="145"/>
    </row>
    <row r="407" spans="1:33" s="114" customFormat="1">
      <c r="A407" s="145"/>
      <c r="AG407" s="145"/>
    </row>
    <row r="408" spans="1:33" s="114" customFormat="1">
      <c r="A408" s="145"/>
      <c r="AG408" s="145"/>
    </row>
    <row r="409" spans="1:33" s="114" customFormat="1">
      <c r="A409" s="145"/>
      <c r="AG409" s="145"/>
    </row>
    <row r="410" spans="1:33" s="114" customFormat="1">
      <c r="A410" s="145"/>
      <c r="AG410" s="145"/>
    </row>
    <row r="411" spans="1:33" s="114" customFormat="1">
      <c r="A411" s="145"/>
      <c r="AG411" s="145"/>
    </row>
    <row r="412" spans="1:33" s="114" customFormat="1">
      <c r="A412" s="145"/>
      <c r="AG412" s="145"/>
    </row>
    <row r="413" spans="1:33" s="114" customFormat="1">
      <c r="A413" s="145"/>
      <c r="AG413" s="145"/>
    </row>
    <row r="414" spans="1:33" s="114" customFormat="1">
      <c r="A414" s="145"/>
      <c r="AG414" s="145"/>
    </row>
    <row r="415" spans="1:33" s="114" customFormat="1">
      <c r="A415" s="145"/>
      <c r="AG415" s="145"/>
    </row>
    <row r="416" spans="1:33" s="114" customFormat="1">
      <c r="A416" s="145"/>
      <c r="AG416" s="145"/>
    </row>
    <row r="417" spans="1:33" s="114" customFormat="1">
      <c r="A417" s="145"/>
      <c r="AG417" s="145"/>
    </row>
    <row r="418" spans="1:33" s="114" customFormat="1">
      <c r="A418" s="145"/>
      <c r="AG418" s="145"/>
    </row>
    <row r="419" spans="1:33" s="114" customFormat="1">
      <c r="A419" s="145"/>
      <c r="AG419" s="145"/>
    </row>
    <row r="420" spans="1:33" s="114" customFormat="1">
      <c r="A420" s="145"/>
      <c r="AG420" s="145"/>
    </row>
    <row r="421" spans="1:33" s="114" customFormat="1">
      <c r="A421" s="145"/>
      <c r="AG421" s="145"/>
    </row>
    <row r="422" spans="1:33" s="114" customFormat="1">
      <c r="A422" s="145"/>
      <c r="AG422" s="145"/>
    </row>
    <row r="423" spans="1:33" s="114" customFormat="1">
      <c r="A423" s="145"/>
      <c r="AG423" s="145"/>
    </row>
    <row r="424" spans="1:33" s="114" customFormat="1">
      <c r="A424" s="145"/>
      <c r="AG424" s="145"/>
    </row>
    <row r="425" spans="1:33" s="114" customFormat="1">
      <c r="A425" s="145"/>
      <c r="AG425" s="145"/>
    </row>
    <row r="426" spans="1:33" s="114" customFormat="1">
      <c r="A426" s="145"/>
      <c r="AG426" s="145"/>
    </row>
    <row r="427" spans="1:33" s="114" customFormat="1">
      <c r="A427" s="145"/>
      <c r="AG427" s="145"/>
    </row>
    <row r="428" spans="1:33" s="114" customFormat="1">
      <c r="A428" s="145"/>
      <c r="AG428" s="145"/>
    </row>
    <row r="429" spans="1:33" s="114" customFormat="1">
      <c r="A429" s="145"/>
      <c r="AG429" s="145"/>
    </row>
    <row r="430" spans="1:33" s="114" customFormat="1">
      <c r="A430" s="145"/>
      <c r="AG430" s="145"/>
    </row>
    <row r="431" spans="1:33" s="114" customFormat="1">
      <c r="A431" s="145"/>
      <c r="AG431" s="145"/>
    </row>
    <row r="432" spans="1:33" s="114" customFormat="1">
      <c r="A432" s="145"/>
      <c r="AG432" s="145"/>
    </row>
    <row r="433" spans="1:33" s="114" customFormat="1">
      <c r="A433" s="145"/>
      <c r="AG433" s="145"/>
    </row>
    <row r="434" spans="1:33" s="114" customFormat="1">
      <c r="A434" s="145"/>
      <c r="AG434" s="145"/>
    </row>
    <row r="435" spans="1:33" s="114" customFormat="1">
      <c r="A435" s="145"/>
      <c r="AG435" s="145"/>
    </row>
    <row r="436" spans="1:33" s="114" customFormat="1">
      <c r="A436" s="145"/>
      <c r="AG436" s="145"/>
    </row>
    <row r="437" spans="1:33" s="114" customFormat="1">
      <c r="A437" s="145"/>
      <c r="AG437" s="145"/>
    </row>
    <row r="438" spans="1:33" s="114" customFormat="1">
      <c r="A438" s="145"/>
      <c r="AG438" s="145"/>
    </row>
    <row r="439" spans="1:33" s="114" customFormat="1">
      <c r="A439" s="145"/>
      <c r="AG439" s="145"/>
    </row>
    <row r="440" spans="1:33" s="114" customFormat="1">
      <c r="A440" s="145"/>
      <c r="AG440" s="145"/>
    </row>
    <row r="441" spans="1:33" s="114" customFormat="1">
      <c r="A441" s="145"/>
      <c r="AG441" s="145"/>
    </row>
    <row r="442" spans="1:33" s="114" customFormat="1">
      <c r="A442" s="145"/>
      <c r="AG442" s="145"/>
    </row>
    <row r="443" spans="1:33" s="114" customFormat="1">
      <c r="A443" s="145"/>
      <c r="AG443" s="145"/>
    </row>
    <row r="444" spans="1:33" s="114" customFormat="1">
      <c r="A444" s="145"/>
      <c r="AG444" s="145"/>
    </row>
    <row r="445" spans="1:33" s="114" customFormat="1">
      <c r="A445" s="145"/>
      <c r="AG445" s="145"/>
    </row>
    <row r="446" spans="1:33" s="114" customFormat="1">
      <c r="A446" s="145"/>
      <c r="AG446" s="145"/>
    </row>
    <row r="447" spans="1:33" s="114" customFormat="1">
      <c r="A447" s="145"/>
      <c r="AG447" s="145"/>
    </row>
    <row r="448" spans="1:33" s="114" customFormat="1">
      <c r="A448" s="145"/>
      <c r="AG448" s="145"/>
    </row>
    <row r="449" spans="1:33" s="114" customFormat="1">
      <c r="A449" s="145"/>
      <c r="AG449" s="145"/>
    </row>
    <row r="450" spans="1:33" s="114" customFormat="1">
      <c r="A450" s="145"/>
      <c r="AG450" s="145"/>
    </row>
    <row r="451" spans="1:33" s="114" customFormat="1">
      <c r="A451" s="145"/>
      <c r="AG451" s="145"/>
    </row>
    <row r="452" spans="1:33" s="114" customFormat="1">
      <c r="A452" s="145"/>
      <c r="AG452" s="145"/>
    </row>
    <row r="453" spans="1:33" s="114" customFormat="1">
      <c r="A453" s="145"/>
      <c r="AG453" s="145"/>
    </row>
    <row r="454" spans="1:33" s="114" customFormat="1">
      <c r="A454" s="145"/>
      <c r="AG454" s="145"/>
    </row>
    <row r="455" spans="1:33" s="114" customFormat="1">
      <c r="A455" s="145"/>
      <c r="AG455" s="145"/>
    </row>
    <row r="456" spans="1:33" s="114" customFormat="1">
      <c r="A456" s="145"/>
      <c r="AG456" s="145"/>
    </row>
    <row r="457" spans="1:33" s="114" customFormat="1">
      <c r="A457" s="145"/>
      <c r="AG457" s="145"/>
    </row>
    <row r="458" spans="1:33" s="114" customFormat="1">
      <c r="A458" s="145"/>
      <c r="AG458" s="145"/>
    </row>
    <row r="459" spans="1:33" s="114" customFormat="1">
      <c r="A459" s="145"/>
      <c r="AG459" s="145"/>
    </row>
    <row r="460" spans="1:33" s="114" customFormat="1">
      <c r="A460" s="145"/>
      <c r="AG460" s="145"/>
    </row>
    <row r="461" spans="1:33" s="114" customFormat="1">
      <c r="A461" s="145"/>
      <c r="AG461" s="145"/>
    </row>
    <row r="462" spans="1:33" s="114" customFormat="1">
      <c r="A462" s="145"/>
      <c r="AG462" s="145"/>
    </row>
    <row r="463" spans="1:33" s="114" customFormat="1">
      <c r="A463" s="145"/>
      <c r="AG463" s="145"/>
    </row>
    <row r="464" spans="1:33" s="114" customFormat="1">
      <c r="A464" s="145"/>
      <c r="AG464" s="145"/>
    </row>
    <row r="465" spans="1:33" s="114" customFormat="1">
      <c r="A465" s="145"/>
      <c r="AG465" s="145"/>
    </row>
    <row r="466" spans="1:33" s="114" customFormat="1">
      <c r="A466" s="145"/>
      <c r="AG466" s="145"/>
    </row>
    <row r="467" spans="1:33" s="114" customFormat="1">
      <c r="A467" s="145"/>
      <c r="AG467" s="145"/>
    </row>
    <row r="468" spans="1:33" s="114" customFormat="1">
      <c r="A468" s="145"/>
      <c r="AG468" s="145"/>
    </row>
    <row r="469" spans="1:33" s="114" customFormat="1">
      <c r="A469" s="145"/>
      <c r="AG469" s="145"/>
    </row>
    <row r="470" spans="1:33" s="114" customFormat="1">
      <c r="A470" s="145"/>
      <c r="AG470" s="145"/>
    </row>
    <row r="471" spans="1:33" s="114" customFormat="1">
      <c r="A471" s="145"/>
      <c r="AG471" s="145"/>
    </row>
    <row r="472" spans="1:33" s="114" customFormat="1">
      <c r="A472" s="145"/>
      <c r="AG472" s="145"/>
    </row>
    <row r="473" spans="1:33" s="114" customFormat="1">
      <c r="A473" s="145"/>
      <c r="AG473" s="145"/>
    </row>
    <row r="474" spans="1:33" s="114" customFormat="1">
      <c r="A474" s="145"/>
      <c r="AG474" s="145"/>
    </row>
    <row r="475" spans="1:33" s="114" customFormat="1">
      <c r="A475" s="145"/>
      <c r="AG475" s="145"/>
    </row>
    <row r="476" spans="1:33" s="114" customFormat="1">
      <c r="A476" s="145"/>
      <c r="AG476" s="145"/>
    </row>
    <row r="477" spans="1:33" s="114" customFormat="1">
      <c r="A477" s="145"/>
      <c r="AG477" s="145"/>
    </row>
    <row r="478" spans="1:33" s="114" customFormat="1">
      <c r="A478" s="145"/>
      <c r="AG478" s="145"/>
    </row>
    <row r="479" spans="1:33" s="114" customFormat="1">
      <c r="A479" s="145"/>
      <c r="AG479" s="145"/>
    </row>
    <row r="480" spans="1:33" s="114" customFormat="1">
      <c r="A480" s="145"/>
      <c r="AG480" s="145"/>
    </row>
    <row r="481" spans="1:33" s="114" customFormat="1">
      <c r="A481" s="145"/>
      <c r="AG481" s="145"/>
    </row>
    <row r="482" spans="1:33" s="114" customFormat="1">
      <c r="A482" s="145"/>
      <c r="AG482" s="145"/>
    </row>
    <row r="483" spans="1:33" s="114" customFormat="1">
      <c r="A483" s="145"/>
      <c r="AG483" s="145"/>
    </row>
    <row r="484" spans="1:33" s="114" customFormat="1">
      <c r="A484" s="145"/>
      <c r="AG484" s="145"/>
    </row>
    <row r="485" spans="1:33" s="114" customFormat="1">
      <c r="A485" s="145"/>
      <c r="AG485" s="145"/>
    </row>
    <row r="486" spans="1:33" s="114" customFormat="1">
      <c r="A486" s="145"/>
      <c r="AG486" s="145"/>
    </row>
    <row r="487" spans="1:33" s="114" customFormat="1">
      <c r="A487" s="145"/>
      <c r="AG487" s="145"/>
    </row>
    <row r="488" spans="1:33" s="114" customFormat="1">
      <c r="A488" s="145"/>
      <c r="AG488" s="145"/>
    </row>
    <row r="489" spans="1:33" s="114" customFormat="1">
      <c r="A489" s="145"/>
      <c r="AG489" s="145"/>
    </row>
    <row r="490" spans="1:33" s="114" customFormat="1">
      <c r="A490" s="145"/>
      <c r="AG490" s="145"/>
    </row>
    <row r="491" spans="1:33" s="114" customFormat="1">
      <c r="A491" s="145"/>
      <c r="AG491" s="145"/>
    </row>
    <row r="492" spans="1:33" s="114" customFormat="1">
      <c r="A492" s="145"/>
      <c r="AG492" s="145"/>
    </row>
    <row r="493" spans="1:33" s="114" customFormat="1">
      <c r="A493" s="145"/>
      <c r="AG493" s="145"/>
    </row>
    <row r="494" spans="1:33" s="114" customFormat="1">
      <c r="A494" s="145"/>
      <c r="AG494" s="145"/>
    </row>
    <row r="495" spans="1:33" s="114" customFormat="1">
      <c r="A495" s="145"/>
      <c r="AG495" s="145"/>
    </row>
    <row r="496" spans="1:33" s="114" customFormat="1">
      <c r="A496" s="145"/>
      <c r="AG496" s="145"/>
    </row>
    <row r="497" spans="1:33" s="114" customFormat="1">
      <c r="A497" s="145"/>
      <c r="AG497" s="145"/>
    </row>
    <row r="498" spans="1:33" s="114" customFormat="1">
      <c r="A498" s="145"/>
      <c r="AG498" s="145"/>
    </row>
    <row r="499" spans="1:33" s="114" customFormat="1">
      <c r="A499" s="145"/>
      <c r="AG499" s="145"/>
    </row>
    <row r="500" spans="1:33" s="114" customFormat="1">
      <c r="A500" s="145"/>
      <c r="AG500" s="145"/>
    </row>
    <row r="501" spans="1:33" s="114" customFormat="1">
      <c r="A501" s="145"/>
      <c r="AG501" s="145"/>
    </row>
    <row r="502" spans="1:33" s="114" customFormat="1">
      <c r="A502" s="145"/>
      <c r="AG502" s="145"/>
    </row>
    <row r="503" spans="1:33" s="114" customFormat="1">
      <c r="A503" s="145"/>
      <c r="AG503" s="145"/>
    </row>
    <row r="504" spans="1:33" s="114" customFormat="1">
      <c r="A504" s="145"/>
      <c r="AG504" s="145"/>
    </row>
    <row r="505" spans="1:33" s="114" customFormat="1">
      <c r="A505" s="145"/>
      <c r="AG505" s="145"/>
    </row>
    <row r="506" spans="1:33" s="114" customFormat="1">
      <c r="A506" s="145"/>
      <c r="AG506" s="145"/>
    </row>
    <row r="507" spans="1:33" s="114" customFormat="1">
      <c r="A507" s="145"/>
      <c r="AG507" s="145"/>
    </row>
    <row r="508" spans="1:33" s="114" customFormat="1">
      <c r="A508" s="145"/>
      <c r="AG508" s="145"/>
    </row>
    <row r="509" spans="1:33" s="114" customFormat="1">
      <c r="A509" s="145"/>
      <c r="AG509" s="145"/>
    </row>
    <row r="510" spans="1:33" s="114" customFormat="1">
      <c r="A510" s="145"/>
      <c r="AG510" s="145"/>
    </row>
    <row r="511" spans="1:33" s="114" customFormat="1">
      <c r="A511" s="145"/>
      <c r="AG511" s="145"/>
    </row>
    <row r="512" spans="1:33" s="114" customFormat="1">
      <c r="A512" s="145"/>
      <c r="AG512" s="145"/>
    </row>
    <row r="513" spans="1:33" s="114" customFormat="1">
      <c r="A513" s="145"/>
      <c r="AG513" s="145"/>
    </row>
    <row r="514" spans="1:33" s="114" customFormat="1">
      <c r="A514" s="145"/>
      <c r="AG514" s="145"/>
    </row>
    <row r="515" spans="1:33" s="114" customFormat="1">
      <c r="A515" s="145"/>
      <c r="AG515" s="145"/>
    </row>
    <row r="516" spans="1:33" s="114" customFormat="1">
      <c r="A516" s="145"/>
      <c r="AG516" s="145"/>
    </row>
    <row r="517" spans="1:33" s="114" customFormat="1">
      <c r="A517" s="145"/>
      <c r="AG517" s="145"/>
    </row>
    <row r="518" spans="1:33" s="114" customFormat="1">
      <c r="A518" s="145"/>
      <c r="AG518" s="145"/>
    </row>
    <row r="519" spans="1:33" s="114" customFormat="1">
      <c r="A519" s="145"/>
      <c r="AG519" s="145"/>
    </row>
    <row r="520" spans="1:33" s="114" customFormat="1">
      <c r="A520" s="145"/>
      <c r="AG520" s="145"/>
    </row>
    <row r="521" spans="1:33" s="114" customFormat="1">
      <c r="A521" s="145"/>
      <c r="AG521" s="145"/>
    </row>
    <row r="522" spans="1:33" s="114" customFormat="1">
      <c r="A522" s="145"/>
      <c r="AG522" s="145"/>
    </row>
    <row r="523" spans="1:33" s="114" customFormat="1">
      <c r="A523" s="145"/>
      <c r="AG523" s="145"/>
    </row>
    <row r="524" spans="1:33" s="114" customFormat="1">
      <c r="A524" s="145"/>
      <c r="AG524" s="145"/>
    </row>
    <row r="525" spans="1:33" s="114" customFormat="1">
      <c r="A525" s="145"/>
      <c r="AG525" s="145"/>
    </row>
    <row r="526" spans="1:33" s="114" customFormat="1">
      <c r="A526" s="145"/>
      <c r="AG526" s="145"/>
    </row>
    <row r="527" spans="1:33" s="114" customFormat="1">
      <c r="A527" s="145"/>
      <c r="AG527" s="145"/>
    </row>
    <row r="528" spans="1:33" s="114" customFormat="1">
      <c r="A528" s="145"/>
      <c r="AG528" s="145"/>
    </row>
    <row r="529" spans="1:33" s="114" customFormat="1">
      <c r="A529" s="145"/>
      <c r="AG529" s="145"/>
    </row>
    <row r="530" spans="1:33" s="114" customFormat="1">
      <c r="A530" s="145"/>
      <c r="AG530" s="145"/>
    </row>
    <row r="531" spans="1:33" s="114" customFormat="1">
      <c r="A531" s="145"/>
      <c r="AG531" s="145"/>
    </row>
    <row r="532" spans="1:33" s="114" customFormat="1">
      <c r="A532" s="145"/>
      <c r="AG532" s="145"/>
    </row>
    <row r="533" spans="1:33" s="114" customFormat="1">
      <c r="A533" s="145"/>
      <c r="AG533" s="145"/>
    </row>
    <row r="534" spans="1:33" s="114" customFormat="1">
      <c r="A534" s="145"/>
      <c r="AG534" s="145"/>
    </row>
    <row r="535" spans="1:33" s="114" customFormat="1">
      <c r="A535" s="145"/>
      <c r="AG535" s="145"/>
    </row>
    <row r="536" spans="1:33" s="114" customFormat="1">
      <c r="A536" s="145"/>
      <c r="AG536" s="145"/>
    </row>
    <row r="537" spans="1:33" s="114" customFormat="1">
      <c r="A537" s="145"/>
      <c r="AG537" s="145"/>
    </row>
    <row r="538" spans="1:33" s="114" customFormat="1">
      <c r="A538" s="145"/>
      <c r="AG538" s="145"/>
    </row>
    <row r="539" spans="1:33" s="114" customFormat="1">
      <c r="A539" s="145"/>
      <c r="AG539" s="145"/>
    </row>
    <row r="540" spans="1:33" s="114" customFormat="1">
      <c r="A540" s="145"/>
      <c r="AG540" s="145"/>
    </row>
    <row r="541" spans="1:33" s="114" customFormat="1">
      <c r="A541" s="145"/>
      <c r="AG541" s="145"/>
    </row>
    <row r="542" spans="1:33" s="114" customFormat="1">
      <c r="A542" s="145"/>
      <c r="AG542" s="145"/>
    </row>
    <row r="543" spans="1:33" s="114" customFormat="1">
      <c r="A543" s="145"/>
      <c r="AG543" s="145"/>
    </row>
    <row r="544" spans="1:33" s="114" customFormat="1">
      <c r="A544" s="145"/>
      <c r="AG544" s="145"/>
    </row>
    <row r="545" spans="1:33" s="114" customFormat="1">
      <c r="A545" s="145"/>
      <c r="AG545" s="145"/>
    </row>
    <row r="546" spans="1:33" s="114" customFormat="1">
      <c r="A546" s="145"/>
      <c r="AG546" s="145"/>
    </row>
    <row r="547" spans="1:33" s="114" customFormat="1">
      <c r="A547" s="145"/>
      <c r="AG547" s="145"/>
    </row>
    <row r="548" spans="1:33" s="114" customFormat="1">
      <c r="A548" s="145"/>
      <c r="AG548" s="145"/>
    </row>
    <row r="549" spans="1:33" s="114" customFormat="1">
      <c r="A549" s="145"/>
      <c r="AG549" s="145"/>
    </row>
    <row r="550" spans="1:33" s="114" customFormat="1">
      <c r="A550" s="145"/>
      <c r="AG550" s="145"/>
    </row>
    <row r="551" spans="1:33" s="114" customFormat="1">
      <c r="A551" s="145"/>
      <c r="AG551" s="145"/>
    </row>
    <row r="552" spans="1:33" s="114" customFormat="1">
      <c r="A552" s="145"/>
      <c r="AG552" s="145"/>
    </row>
    <row r="553" spans="1:33" s="114" customFormat="1">
      <c r="A553" s="145"/>
      <c r="AG553" s="145"/>
    </row>
    <row r="554" spans="1:33" s="114" customFormat="1">
      <c r="A554" s="145"/>
      <c r="AG554" s="145"/>
    </row>
    <row r="555" spans="1:33" s="114" customFormat="1">
      <c r="A555" s="145"/>
      <c r="AG555" s="145"/>
    </row>
    <row r="556" spans="1:33" s="114" customFormat="1">
      <c r="A556" s="145"/>
      <c r="AG556" s="145"/>
    </row>
    <row r="557" spans="1:33" s="114" customFormat="1">
      <c r="A557" s="145"/>
      <c r="AG557" s="145"/>
    </row>
    <row r="558" spans="1:33" s="114" customFormat="1">
      <c r="A558" s="145"/>
      <c r="AG558" s="145"/>
    </row>
    <row r="559" spans="1:33" s="114" customFormat="1">
      <c r="A559" s="145"/>
      <c r="AG559" s="145"/>
    </row>
    <row r="560" spans="1:33" s="114" customFormat="1">
      <c r="A560" s="145"/>
      <c r="AG560" s="145"/>
    </row>
    <row r="561" spans="1:33" s="114" customFormat="1">
      <c r="A561" s="145"/>
      <c r="AG561" s="145"/>
    </row>
    <row r="562" spans="1:33" s="114" customFormat="1">
      <c r="A562" s="145"/>
      <c r="AG562" s="145"/>
    </row>
    <row r="563" spans="1:33" s="114" customFormat="1">
      <c r="A563" s="145"/>
      <c r="AG563" s="145"/>
    </row>
    <row r="564" spans="1:33" s="114" customFormat="1">
      <c r="A564" s="145"/>
      <c r="AG564" s="145"/>
    </row>
    <row r="565" spans="1:33" s="114" customFormat="1">
      <c r="A565" s="145"/>
      <c r="AG565" s="145"/>
    </row>
    <row r="566" spans="1:33" s="114" customFormat="1">
      <c r="A566" s="145"/>
      <c r="AG566" s="145"/>
    </row>
    <row r="567" spans="1:33" s="114" customFormat="1">
      <c r="A567" s="145"/>
      <c r="AG567" s="145"/>
    </row>
    <row r="568" spans="1:33" s="114" customFormat="1">
      <c r="A568" s="145"/>
      <c r="AG568" s="145"/>
    </row>
    <row r="569" spans="1:33" s="114" customFormat="1">
      <c r="A569" s="145"/>
      <c r="AG569" s="145"/>
    </row>
    <row r="570" spans="1:33" s="114" customFormat="1">
      <c r="A570" s="145"/>
      <c r="AG570" s="145"/>
    </row>
    <row r="571" spans="1:33" s="114" customFormat="1">
      <c r="A571" s="145"/>
      <c r="AG571" s="145"/>
    </row>
    <row r="572" spans="1:33" s="114" customFormat="1">
      <c r="A572" s="145"/>
      <c r="AG572" s="145"/>
    </row>
    <row r="573" spans="1:33" s="114" customFormat="1">
      <c r="A573" s="145"/>
      <c r="AG573" s="145"/>
    </row>
    <row r="574" spans="1:33" s="114" customFormat="1">
      <c r="A574" s="145"/>
      <c r="AG574" s="145"/>
    </row>
    <row r="575" spans="1:33" s="114" customFormat="1">
      <c r="A575" s="145"/>
      <c r="AG575" s="145"/>
    </row>
    <row r="576" spans="1:33" s="114" customFormat="1">
      <c r="A576" s="145"/>
      <c r="AG576" s="145"/>
    </row>
    <row r="577" spans="1:33" s="114" customFormat="1">
      <c r="A577" s="145"/>
      <c r="AG577" s="145"/>
    </row>
    <row r="578" spans="1:33" s="114" customFormat="1">
      <c r="A578" s="145"/>
      <c r="AG578" s="145"/>
    </row>
    <row r="579" spans="1:33" s="114" customFormat="1">
      <c r="A579" s="145"/>
      <c r="AG579" s="145"/>
    </row>
    <row r="580" spans="1:33" s="114" customFormat="1">
      <c r="A580" s="145"/>
      <c r="AG580" s="145"/>
    </row>
    <row r="581" spans="1:33" s="114" customFormat="1">
      <c r="A581" s="145"/>
      <c r="AG581" s="145"/>
    </row>
    <row r="582" spans="1:33" s="114" customFormat="1">
      <c r="A582" s="145"/>
      <c r="AG582" s="145"/>
    </row>
    <row r="583" spans="1:33" s="114" customFormat="1">
      <c r="A583" s="145"/>
      <c r="AG583" s="145"/>
    </row>
    <row r="584" spans="1:33" s="114" customFormat="1">
      <c r="A584" s="145"/>
      <c r="AG584" s="145"/>
    </row>
    <row r="585" spans="1:33" s="114" customFormat="1">
      <c r="A585" s="145"/>
      <c r="AG585" s="145"/>
    </row>
    <row r="586" spans="1:33" s="114" customFormat="1">
      <c r="A586" s="145"/>
      <c r="AG586" s="145"/>
    </row>
    <row r="587" spans="1:33" s="114" customFormat="1">
      <c r="A587" s="145"/>
      <c r="AG587" s="145"/>
    </row>
    <row r="588" spans="1:33" s="114" customFormat="1">
      <c r="A588" s="145"/>
      <c r="AG588" s="145"/>
    </row>
    <row r="589" spans="1:33" s="114" customFormat="1">
      <c r="A589" s="145"/>
      <c r="AG589" s="145"/>
    </row>
    <row r="590" spans="1:33" s="114" customFormat="1">
      <c r="A590" s="145"/>
      <c r="AG590" s="145"/>
    </row>
    <row r="591" spans="1:33" s="114" customFormat="1">
      <c r="A591" s="145"/>
      <c r="AG591" s="145"/>
    </row>
    <row r="592" spans="1:33" s="114" customFormat="1">
      <c r="A592" s="145"/>
      <c r="AG592" s="145"/>
    </row>
    <row r="593" spans="1:33" s="114" customFormat="1">
      <c r="A593" s="145"/>
      <c r="AG593" s="145"/>
    </row>
    <row r="594" spans="1:33" s="114" customFormat="1">
      <c r="A594" s="145"/>
      <c r="AG594" s="145"/>
    </row>
    <row r="595" spans="1:33" s="114" customFormat="1">
      <c r="A595" s="145"/>
      <c r="AG595" s="145"/>
    </row>
    <row r="596" spans="1:33" s="114" customFormat="1">
      <c r="A596" s="145"/>
      <c r="AG596" s="145"/>
    </row>
    <row r="597" spans="1:33" s="114" customFormat="1">
      <c r="A597" s="145"/>
      <c r="AG597" s="145"/>
    </row>
    <row r="598" spans="1:33" s="114" customFormat="1">
      <c r="A598" s="145"/>
      <c r="AG598" s="145"/>
    </row>
    <row r="599" spans="1:33" s="114" customFormat="1">
      <c r="A599" s="145"/>
      <c r="AG599" s="145"/>
    </row>
    <row r="600" spans="1:33" s="114" customFormat="1">
      <c r="A600" s="145"/>
      <c r="AG600" s="145"/>
    </row>
    <row r="601" spans="1:33" s="114" customFormat="1">
      <c r="A601" s="145"/>
      <c r="AG601" s="145"/>
    </row>
    <row r="602" spans="1:33" s="114" customFormat="1">
      <c r="A602" s="145"/>
      <c r="AG602" s="145"/>
    </row>
    <row r="603" spans="1:33" s="114" customFormat="1">
      <c r="A603" s="145"/>
      <c r="AG603" s="145"/>
    </row>
    <row r="604" spans="1:33" s="114" customFormat="1">
      <c r="A604" s="145"/>
      <c r="AG604" s="145"/>
    </row>
    <row r="605" spans="1:33" s="114" customFormat="1">
      <c r="A605" s="145"/>
      <c r="AG605" s="145"/>
    </row>
    <row r="606" spans="1:33" s="114" customFormat="1">
      <c r="A606" s="145"/>
      <c r="AG606" s="145"/>
    </row>
    <row r="607" spans="1:33" s="114" customFormat="1">
      <c r="A607" s="145"/>
      <c r="AG607" s="145"/>
    </row>
    <row r="608" spans="1:33" s="114" customFormat="1">
      <c r="A608" s="145"/>
      <c r="AG608" s="145"/>
    </row>
    <row r="609" spans="1:33" s="114" customFormat="1">
      <c r="A609" s="145"/>
      <c r="AG609" s="145"/>
    </row>
    <row r="610" spans="1:33" s="114" customFormat="1">
      <c r="A610" s="145"/>
      <c r="AG610" s="145"/>
    </row>
    <row r="611" spans="1:33" s="114" customFormat="1">
      <c r="A611" s="145"/>
      <c r="AG611" s="145"/>
    </row>
    <row r="612" spans="1:33" s="114" customFormat="1">
      <c r="A612" s="145"/>
      <c r="AG612" s="145"/>
    </row>
    <row r="613" spans="1:33" s="114" customFormat="1">
      <c r="A613" s="145"/>
      <c r="AG613" s="145"/>
    </row>
    <row r="614" spans="1:33" s="114" customFormat="1">
      <c r="A614" s="145"/>
      <c r="AG614" s="145"/>
    </row>
    <row r="615" spans="1:33" s="114" customFormat="1">
      <c r="A615" s="145"/>
      <c r="AG615" s="145"/>
    </row>
    <row r="616" spans="1:33" s="114" customFormat="1">
      <c r="A616" s="145"/>
      <c r="AG616" s="145"/>
    </row>
    <row r="617" spans="1:33" s="114" customFormat="1">
      <c r="A617" s="145"/>
      <c r="AG617" s="145"/>
    </row>
    <row r="618" spans="1:33" s="114" customFormat="1">
      <c r="A618" s="145"/>
      <c r="AG618" s="145"/>
    </row>
    <row r="619" spans="1:33" s="114" customFormat="1">
      <c r="A619" s="145"/>
      <c r="AG619" s="145"/>
    </row>
    <row r="620" spans="1:33" s="114" customFormat="1">
      <c r="A620" s="145"/>
      <c r="AG620" s="145"/>
    </row>
    <row r="621" spans="1:33" s="114" customFormat="1">
      <c r="A621" s="145"/>
      <c r="AG621" s="145"/>
    </row>
    <row r="622" spans="1:33" s="114" customFormat="1">
      <c r="A622" s="145"/>
      <c r="AG622" s="145"/>
    </row>
    <row r="623" spans="1:33" s="114" customFormat="1">
      <c r="A623" s="145"/>
      <c r="AG623" s="145"/>
    </row>
    <row r="624" spans="1:33" s="114" customFormat="1">
      <c r="A624" s="145"/>
      <c r="AG624" s="145"/>
    </row>
    <row r="625" spans="1:33" s="114" customFormat="1">
      <c r="A625" s="145"/>
      <c r="AG625" s="145"/>
    </row>
    <row r="626" spans="1:33" s="114" customFormat="1">
      <c r="A626" s="145"/>
      <c r="AG626" s="145"/>
    </row>
    <row r="627" spans="1:33" s="114" customFormat="1">
      <c r="A627" s="145"/>
      <c r="AG627" s="145"/>
    </row>
    <row r="628" spans="1:33" s="114" customFormat="1">
      <c r="A628" s="145"/>
      <c r="AG628" s="145"/>
    </row>
    <row r="629" spans="1:33" s="114" customFormat="1">
      <c r="A629" s="145"/>
      <c r="AG629" s="145"/>
    </row>
    <row r="630" spans="1:33" s="114" customFormat="1">
      <c r="A630" s="145"/>
      <c r="AG630" s="145"/>
    </row>
    <row r="631" spans="1:33" s="114" customFormat="1">
      <c r="A631" s="145"/>
      <c r="AG631" s="145"/>
    </row>
    <row r="632" spans="1:33" s="114" customFormat="1">
      <c r="A632" s="145"/>
      <c r="AG632" s="145"/>
    </row>
    <row r="633" spans="1:33" s="114" customFormat="1">
      <c r="A633" s="145"/>
      <c r="AG633" s="145"/>
    </row>
    <row r="634" spans="1:33" s="114" customFormat="1">
      <c r="A634" s="145"/>
      <c r="AG634" s="145"/>
    </row>
    <row r="635" spans="1:33" s="114" customFormat="1">
      <c r="A635" s="145"/>
      <c r="AG635" s="145"/>
    </row>
    <row r="636" spans="1:33" s="114" customFormat="1">
      <c r="A636" s="145"/>
      <c r="AG636" s="145"/>
    </row>
    <row r="637" spans="1:33" s="114" customFormat="1">
      <c r="A637" s="145"/>
      <c r="AG637" s="145"/>
    </row>
    <row r="638" spans="1:33" s="114" customFormat="1">
      <c r="A638" s="145"/>
      <c r="AG638" s="145"/>
    </row>
    <row r="639" spans="1:33" s="114" customFormat="1">
      <c r="A639" s="145"/>
      <c r="AG639" s="145"/>
    </row>
    <row r="640" spans="1:33" s="114" customFormat="1">
      <c r="A640" s="145"/>
      <c r="AG640" s="145"/>
    </row>
    <row r="641" spans="1:33" s="114" customFormat="1">
      <c r="A641" s="145"/>
      <c r="AG641" s="145"/>
    </row>
    <row r="642" spans="1:33" s="114" customFormat="1">
      <c r="A642" s="145"/>
      <c r="AG642" s="145"/>
    </row>
    <row r="643" spans="1:33" s="114" customFormat="1">
      <c r="A643" s="145"/>
      <c r="AG643" s="145"/>
    </row>
    <row r="644" spans="1:33" s="114" customFormat="1">
      <c r="A644" s="145"/>
      <c r="AG644" s="145"/>
    </row>
    <row r="645" spans="1:33" s="114" customFormat="1">
      <c r="A645" s="145"/>
      <c r="AG645" s="145"/>
    </row>
    <row r="646" spans="1:33" s="114" customFormat="1">
      <c r="A646" s="145"/>
      <c r="AG646" s="145"/>
    </row>
    <row r="647" spans="1:33" s="114" customFormat="1">
      <c r="A647" s="145"/>
      <c r="AG647" s="145"/>
    </row>
    <row r="648" spans="1:33" s="114" customFormat="1">
      <c r="A648" s="145"/>
      <c r="AG648" s="145"/>
    </row>
    <row r="649" spans="1:33" s="114" customFormat="1">
      <c r="A649" s="145"/>
      <c r="AG649" s="145"/>
    </row>
    <row r="650" spans="1:33" s="114" customFormat="1">
      <c r="A650" s="145"/>
      <c r="AG650" s="145"/>
    </row>
    <row r="651" spans="1:33" s="114" customFormat="1">
      <c r="A651" s="145"/>
      <c r="AG651" s="145"/>
    </row>
    <row r="652" spans="1:33" s="114" customFormat="1">
      <c r="A652" s="145"/>
      <c r="AG652" s="145"/>
    </row>
    <row r="653" spans="1:33" s="114" customFormat="1">
      <c r="A653" s="145"/>
      <c r="AG653" s="145"/>
    </row>
    <row r="654" spans="1:33" s="114" customFormat="1">
      <c r="A654" s="145"/>
      <c r="AG654" s="145"/>
    </row>
    <row r="655" spans="1:33" s="114" customFormat="1">
      <c r="A655" s="145"/>
      <c r="AG655" s="145"/>
    </row>
    <row r="656" spans="1:33" s="114" customFormat="1">
      <c r="A656" s="145"/>
      <c r="AG656" s="145"/>
    </row>
    <row r="657" spans="1:33" s="114" customFormat="1">
      <c r="A657" s="145"/>
      <c r="AG657" s="145"/>
    </row>
    <row r="658" spans="1:33" s="114" customFormat="1">
      <c r="A658" s="145"/>
      <c r="AG658" s="145"/>
    </row>
    <row r="659" spans="1:33" s="114" customFormat="1">
      <c r="A659" s="145"/>
      <c r="AG659" s="145"/>
    </row>
    <row r="660" spans="1:33" s="114" customFormat="1">
      <c r="A660" s="145"/>
      <c r="AG660" s="145"/>
    </row>
    <row r="661" spans="1:33" s="114" customFormat="1">
      <c r="A661" s="145"/>
      <c r="AG661" s="145"/>
    </row>
    <row r="662" spans="1:33" s="114" customFormat="1">
      <c r="A662" s="145"/>
      <c r="AG662" s="145"/>
    </row>
    <row r="663" spans="1:33" s="114" customFormat="1">
      <c r="A663" s="145"/>
      <c r="AG663" s="145"/>
    </row>
    <row r="664" spans="1:33" s="114" customFormat="1">
      <c r="A664" s="145"/>
      <c r="AG664" s="145"/>
    </row>
    <row r="665" spans="1:33" s="114" customFormat="1">
      <c r="A665" s="145"/>
      <c r="AG665" s="145"/>
    </row>
    <row r="666" spans="1:33" s="114" customFormat="1">
      <c r="A666" s="145"/>
      <c r="AG666" s="145"/>
    </row>
    <row r="667" spans="1:33" s="114" customFormat="1">
      <c r="A667" s="145"/>
      <c r="AG667" s="145"/>
    </row>
    <row r="668" spans="1:33" s="114" customFormat="1">
      <c r="A668" s="145"/>
      <c r="AG668" s="145"/>
    </row>
    <row r="669" spans="1:33" s="114" customFormat="1">
      <c r="A669" s="145"/>
      <c r="AG669" s="145"/>
    </row>
    <row r="670" spans="1:33" s="114" customFormat="1">
      <c r="A670" s="145"/>
      <c r="AG670" s="145"/>
    </row>
    <row r="671" spans="1:33" s="114" customFormat="1">
      <c r="A671" s="145"/>
      <c r="AG671" s="145"/>
    </row>
    <row r="672" spans="1:33" s="114" customFormat="1">
      <c r="A672" s="145"/>
      <c r="AG672" s="145"/>
    </row>
    <row r="673" spans="1:33" s="114" customFormat="1">
      <c r="A673" s="145"/>
      <c r="AG673" s="145"/>
    </row>
    <row r="674" spans="1:33" s="114" customFormat="1">
      <c r="A674" s="145"/>
      <c r="AG674" s="145"/>
    </row>
    <row r="675" spans="1:33" s="114" customFormat="1">
      <c r="A675" s="145"/>
      <c r="AG675" s="145"/>
    </row>
    <row r="676" spans="1:33" s="114" customFormat="1">
      <c r="A676" s="145"/>
      <c r="AG676" s="145"/>
    </row>
    <row r="677" spans="1:33" s="114" customFormat="1">
      <c r="A677" s="145"/>
      <c r="AG677" s="145"/>
    </row>
    <row r="678" spans="1:33" s="114" customFormat="1">
      <c r="A678" s="145"/>
      <c r="AG678" s="145"/>
    </row>
    <row r="679" spans="1:33" s="114" customFormat="1">
      <c r="A679" s="145"/>
      <c r="AG679" s="145"/>
    </row>
    <row r="680" spans="1:33" s="114" customFormat="1">
      <c r="A680" s="145"/>
      <c r="AG680" s="145"/>
    </row>
    <row r="681" spans="1:33" s="114" customFormat="1">
      <c r="A681" s="145"/>
      <c r="AG681" s="145"/>
    </row>
    <row r="682" spans="1:33" s="114" customFormat="1">
      <c r="A682" s="145"/>
      <c r="AG682" s="145"/>
    </row>
    <row r="683" spans="1:33" s="114" customFormat="1">
      <c r="A683" s="145"/>
      <c r="AG683" s="145"/>
    </row>
    <row r="684" spans="1:33" s="114" customFormat="1">
      <c r="A684" s="145"/>
      <c r="AG684" s="145"/>
    </row>
    <row r="685" spans="1:33" s="114" customFormat="1">
      <c r="A685" s="145"/>
      <c r="AG685" s="145"/>
    </row>
    <row r="686" spans="1:33" s="114" customFormat="1">
      <c r="A686" s="145"/>
      <c r="AG686" s="145"/>
    </row>
    <row r="687" spans="1:33" s="114" customFormat="1">
      <c r="A687" s="145"/>
      <c r="AG687" s="145"/>
    </row>
    <row r="688" spans="1:33" s="114" customFormat="1">
      <c r="A688" s="145"/>
      <c r="AG688" s="145"/>
    </row>
    <row r="689" spans="1:33" s="114" customFormat="1">
      <c r="A689" s="145"/>
      <c r="AG689" s="145"/>
    </row>
    <row r="690" spans="1:33" s="114" customFormat="1">
      <c r="A690" s="145"/>
      <c r="AG690" s="145"/>
    </row>
    <row r="691" spans="1:33" s="114" customFormat="1">
      <c r="A691" s="145"/>
      <c r="AG691" s="145"/>
    </row>
    <row r="692" spans="1:33" s="114" customFormat="1">
      <c r="A692" s="145"/>
      <c r="AG692" s="145"/>
    </row>
    <row r="693" spans="1:33" s="114" customFormat="1">
      <c r="A693" s="145"/>
      <c r="AG693" s="145"/>
    </row>
    <row r="694" spans="1:33" s="114" customFormat="1">
      <c r="A694" s="145"/>
      <c r="AG694" s="145"/>
    </row>
    <row r="695" spans="1:33" s="114" customFormat="1">
      <c r="A695" s="145"/>
      <c r="AG695" s="145"/>
    </row>
    <row r="696" spans="1:33" s="114" customFormat="1">
      <c r="A696" s="145"/>
      <c r="AG696" s="145"/>
    </row>
    <row r="697" spans="1:33" s="114" customFormat="1">
      <c r="A697" s="145"/>
      <c r="AG697" s="145"/>
    </row>
    <row r="698" spans="1:33" s="114" customFormat="1">
      <c r="A698" s="145"/>
      <c r="AG698" s="145"/>
    </row>
    <row r="699" spans="1:33" s="114" customFormat="1">
      <c r="A699" s="145"/>
      <c r="AG699" s="145"/>
    </row>
    <row r="700" spans="1:33" s="114" customFormat="1">
      <c r="A700" s="145"/>
      <c r="AG700" s="145"/>
    </row>
    <row r="701" spans="1:33" s="114" customFormat="1">
      <c r="A701" s="145"/>
      <c r="AG701" s="145"/>
    </row>
    <row r="702" spans="1:33" s="114" customFormat="1">
      <c r="A702" s="145"/>
      <c r="AG702" s="145"/>
    </row>
    <row r="703" spans="1:33" s="114" customFormat="1">
      <c r="A703" s="145"/>
      <c r="AG703" s="145"/>
    </row>
    <row r="704" spans="1:33" s="114" customFormat="1">
      <c r="A704" s="145"/>
      <c r="AG704" s="145"/>
    </row>
    <row r="705" spans="1:33" s="114" customFormat="1">
      <c r="A705" s="145"/>
      <c r="AG705" s="145"/>
    </row>
    <row r="706" spans="1:33" s="114" customFormat="1">
      <c r="A706" s="145"/>
      <c r="AG706" s="145"/>
    </row>
    <row r="707" spans="1:33" s="114" customFormat="1">
      <c r="A707" s="145"/>
      <c r="AG707" s="145"/>
    </row>
    <row r="708" spans="1:33" s="114" customFormat="1">
      <c r="A708" s="145"/>
      <c r="AG708" s="145"/>
    </row>
    <row r="709" spans="1:33" s="114" customFormat="1">
      <c r="A709" s="145"/>
      <c r="AG709" s="145"/>
    </row>
    <row r="710" spans="1:33" s="114" customFormat="1">
      <c r="A710" s="145"/>
      <c r="AG710" s="145"/>
    </row>
    <row r="711" spans="1:33" s="114" customFormat="1">
      <c r="A711" s="145"/>
      <c r="AG711" s="145"/>
    </row>
    <row r="712" spans="1:33" s="114" customFormat="1">
      <c r="A712" s="145"/>
      <c r="AG712" s="145"/>
    </row>
    <row r="713" spans="1:33" s="114" customFormat="1">
      <c r="A713" s="145"/>
      <c r="AG713" s="145"/>
    </row>
    <row r="714" spans="1:33" s="114" customFormat="1">
      <c r="A714" s="145"/>
      <c r="AG714" s="145"/>
    </row>
    <row r="715" spans="1:33" s="114" customFormat="1">
      <c r="A715" s="145"/>
      <c r="AG715" s="145"/>
    </row>
    <row r="716" spans="1:33" s="114" customFormat="1">
      <c r="A716" s="145"/>
      <c r="AG716" s="145"/>
    </row>
    <row r="717" spans="1:33" s="114" customFormat="1">
      <c r="A717" s="145"/>
      <c r="AG717" s="145"/>
    </row>
    <row r="718" spans="1:33" s="114" customFormat="1">
      <c r="A718" s="145"/>
      <c r="AG718" s="145"/>
    </row>
    <row r="719" spans="1:33" s="114" customFormat="1">
      <c r="A719" s="145"/>
      <c r="AG719" s="145"/>
    </row>
    <row r="720" spans="1:33" s="114" customFormat="1">
      <c r="A720" s="145"/>
      <c r="AG720" s="145"/>
    </row>
    <row r="721" spans="1:33" s="114" customFormat="1">
      <c r="A721" s="145"/>
      <c r="AG721" s="145"/>
    </row>
    <row r="722" spans="1:33" s="114" customFormat="1">
      <c r="A722" s="145"/>
      <c r="AG722" s="145"/>
    </row>
    <row r="723" spans="1:33" s="114" customFormat="1">
      <c r="A723" s="145"/>
      <c r="AG723" s="145"/>
    </row>
    <row r="724" spans="1:33" s="114" customFormat="1">
      <c r="A724" s="145"/>
      <c r="AG724" s="145"/>
    </row>
    <row r="725" spans="1:33" s="114" customFormat="1">
      <c r="A725" s="145"/>
      <c r="AG725" s="145"/>
    </row>
    <row r="726" spans="1:33" s="114" customFormat="1">
      <c r="A726" s="145"/>
      <c r="AG726" s="145"/>
    </row>
    <row r="727" spans="1:33" s="114" customFormat="1">
      <c r="A727" s="145"/>
      <c r="AG727" s="145"/>
    </row>
    <row r="728" spans="1:33" s="114" customFormat="1">
      <c r="A728" s="145"/>
      <c r="AG728" s="145"/>
    </row>
    <row r="729" spans="1:33" s="114" customFormat="1">
      <c r="A729" s="145"/>
      <c r="AG729" s="145"/>
    </row>
    <row r="730" spans="1:33" s="114" customFormat="1">
      <c r="A730" s="145"/>
      <c r="AG730" s="145"/>
    </row>
    <row r="731" spans="1:33" s="114" customFormat="1">
      <c r="A731" s="145"/>
      <c r="AG731" s="145"/>
    </row>
    <row r="732" spans="1:33" s="114" customFormat="1">
      <c r="A732" s="145"/>
      <c r="AG732" s="145"/>
    </row>
    <row r="733" spans="1:33" s="114" customFormat="1">
      <c r="A733" s="145"/>
      <c r="AG733" s="145"/>
    </row>
    <row r="734" spans="1:33" s="114" customFormat="1">
      <c r="A734" s="145"/>
      <c r="AG734" s="145"/>
    </row>
    <row r="735" spans="1:33" s="114" customFormat="1">
      <c r="A735" s="145"/>
      <c r="AG735" s="145"/>
    </row>
    <row r="736" spans="1:33" s="114" customFormat="1">
      <c r="A736" s="145"/>
      <c r="AG736" s="145"/>
    </row>
    <row r="737" spans="1:33" s="114" customFormat="1">
      <c r="A737" s="145"/>
      <c r="AG737" s="145"/>
    </row>
    <row r="738" spans="1:33" s="114" customFormat="1">
      <c r="A738" s="145"/>
      <c r="AG738" s="145"/>
    </row>
    <row r="739" spans="1:33" s="114" customFormat="1">
      <c r="A739" s="145"/>
      <c r="AG739" s="145"/>
    </row>
    <row r="740" spans="1:33" s="114" customFormat="1">
      <c r="A740" s="145"/>
      <c r="AG740" s="145"/>
    </row>
    <row r="741" spans="1:33" s="114" customFormat="1">
      <c r="A741" s="145"/>
      <c r="AG741" s="145"/>
    </row>
    <row r="742" spans="1:33" s="114" customFormat="1">
      <c r="A742" s="145"/>
      <c r="AG742" s="145"/>
    </row>
    <row r="743" spans="1:33" s="114" customFormat="1">
      <c r="A743" s="145"/>
      <c r="AG743" s="145"/>
    </row>
    <row r="744" spans="1:33" s="114" customFormat="1">
      <c r="A744" s="145"/>
      <c r="AG744" s="145"/>
    </row>
    <row r="745" spans="1:33" s="114" customFormat="1">
      <c r="A745" s="145"/>
      <c r="AG745" s="145"/>
    </row>
    <row r="746" spans="1:33" s="114" customFormat="1">
      <c r="A746" s="145"/>
      <c r="AG746" s="145"/>
    </row>
    <row r="747" spans="1:33" s="114" customFormat="1">
      <c r="A747" s="145"/>
      <c r="AG747" s="145"/>
    </row>
    <row r="748" spans="1:33" s="114" customFormat="1">
      <c r="A748" s="145"/>
      <c r="AG748" s="145"/>
    </row>
    <row r="749" spans="1:33" s="114" customFormat="1">
      <c r="A749" s="145"/>
      <c r="AG749" s="145"/>
    </row>
    <row r="750" spans="1:33" s="114" customFormat="1">
      <c r="A750" s="145"/>
      <c r="AG750" s="145"/>
    </row>
    <row r="751" spans="1:33" s="114" customFormat="1">
      <c r="A751" s="145"/>
      <c r="AG751" s="145"/>
    </row>
    <row r="752" spans="1:33" s="114" customFormat="1">
      <c r="A752" s="145"/>
      <c r="AG752" s="145"/>
    </row>
    <row r="753" spans="1:33" s="114" customFormat="1">
      <c r="A753" s="145"/>
      <c r="AG753" s="145"/>
    </row>
    <row r="754" spans="1:33" s="114" customFormat="1">
      <c r="A754" s="145"/>
      <c r="AG754" s="145"/>
    </row>
    <row r="755" spans="1:33" s="114" customFormat="1">
      <c r="A755" s="145"/>
      <c r="AG755" s="145"/>
    </row>
    <row r="756" spans="1:33" s="114" customFormat="1">
      <c r="A756" s="145"/>
      <c r="AG756" s="145"/>
    </row>
    <row r="757" spans="1:33" s="114" customFormat="1">
      <c r="A757" s="145"/>
      <c r="AG757" s="145"/>
    </row>
    <row r="758" spans="1:33" s="114" customFormat="1">
      <c r="A758" s="145"/>
      <c r="AG758" s="145"/>
    </row>
    <row r="759" spans="1:33" s="114" customFormat="1">
      <c r="A759" s="145"/>
      <c r="AG759" s="145"/>
    </row>
    <row r="760" spans="1:33" s="114" customFormat="1">
      <c r="A760" s="145"/>
      <c r="AG760" s="145"/>
    </row>
    <row r="761" spans="1:33" s="114" customFormat="1">
      <c r="A761" s="145"/>
      <c r="AG761" s="145"/>
    </row>
    <row r="762" spans="1:33" s="114" customFormat="1">
      <c r="A762" s="145"/>
      <c r="AG762" s="145"/>
    </row>
    <row r="763" spans="1:33" s="114" customFormat="1">
      <c r="A763" s="145"/>
      <c r="AG763" s="145"/>
    </row>
    <row r="764" spans="1:33" s="114" customFormat="1">
      <c r="A764" s="145"/>
      <c r="AG764" s="145"/>
    </row>
    <row r="765" spans="1:33" s="114" customFormat="1">
      <c r="A765" s="145"/>
      <c r="AG765" s="145"/>
    </row>
    <row r="766" spans="1:33" s="114" customFormat="1">
      <c r="A766" s="145"/>
      <c r="AG766" s="145"/>
    </row>
    <row r="767" spans="1:33" s="114" customFormat="1">
      <c r="A767" s="145"/>
      <c r="AG767" s="145"/>
    </row>
    <row r="768" spans="1:33" s="114" customFormat="1">
      <c r="A768" s="145"/>
      <c r="AG768" s="145"/>
    </row>
    <row r="769" spans="1:33" s="114" customFormat="1">
      <c r="A769" s="145"/>
      <c r="AG769" s="145"/>
    </row>
    <row r="770" spans="1:33" s="114" customFormat="1">
      <c r="A770" s="145"/>
      <c r="AG770" s="145"/>
    </row>
    <row r="771" spans="1:33" s="114" customFormat="1">
      <c r="A771" s="145"/>
      <c r="AG771" s="145"/>
    </row>
    <row r="772" spans="1:33" s="114" customFormat="1">
      <c r="A772" s="145"/>
      <c r="AG772" s="145"/>
    </row>
    <row r="773" spans="1:33" s="114" customFormat="1">
      <c r="A773" s="145"/>
      <c r="AG773" s="145"/>
    </row>
    <row r="774" spans="1:33" s="114" customFormat="1">
      <c r="A774" s="145"/>
      <c r="AG774" s="145"/>
    </row>
    <row r="775" spans="1:33" s="114" customFormat="1">
      <c r="A775" s="145"/>
      <c r="AG775" s="145"/>
    </row>
    <row r="776" spans="1:33" s="114" customFormat="1">
      <c r="A776" s="145"/>
      <c r="AG776" s="145"/>
    </row>
    <row r="777" spans="1:33" s="114" customFormat="1">
      <c r="A777" s="145"/>
      <c r="AG777" s="145"/>
    </row>
    <row r="778" spans="1:33" s="114" customFormat="1">
      <c r="A778" s="145"/>
      <c r="AG778" s="145"/>
    </row>
    <row r="779" spans="1:33" s="114" customFormat="1">
      <c r="A779" s="145"/>
      <c r="AG779" s="145"/>
    </row>
    <row r="780" spans="1:33" s="114" customFormat="1">
      <c r="A780" s="145"/>
      <c r="AG780" s="145"/>
    </row>
    <row r="781" spans="1:33" s="114" customFormat="1">
      <c r="A781" s="145"/>
      <c r="AG781" s="145"/>
    </row>
    <row r="782" spans="1:33" s="114" customFormat="1">
      <c r="A782" s="145"/>
      <c r="AG782" s="145"/>
    </row>
    <row r="783" spans="1:33" s="114" customFormat="1">
      <c r="A783" s="145"/>
      <c r="AG783" s="145"/>
    </row>
    <row r="784" spans="1:33" s="114" customFormat="1">
      <c r="A784" s="145"/>
      <c r="AG784" s="145"/>
    </row>
    <row r="785" spans="1:33" s="114" customFormat="1">
      <c r="A785" s="145"/>
      <c r="AG785" s="145"/>
    </row>
    <row r="786" spans="1:33" s="114" customFormat="1">
      <c r="A786" s="145"/>
      <c r="AG786" s="145"/>
    </row>
    <row r="787" spans="1:33" s="114" customFormat="1">
      <c r="A787" s="145"/>
      <c r="AG787" s="145"/>
    </row>
    <row r="788" spans="1:33" s="114" customFormat="1">
      <c r="A788" s="145"/>
      <c r="AG788" s="145"/>
    </row>
    <row r="789" spans="1:33" s="114" customFormat="1">
      <c r="A789" s="145"/>
      <c r="AG789" s="145"/>
    </row>
    <row r="790" spans="1:33" s="114" customFormat="1">
      <c r="A790" s="145"/>
      <c r="AG790" s="145"/>
    </row>
    <row r="791" spans="1:33" s="114" customFormat="1">
      <c r="A791" s="145"/>
      <c r="AG791" s="145"/>
    </row>
    <row r="792" spans="1:33" s="114" customFormat="1">
      <c r="A792" s="145"/>
      <c r="AG792" s="145"/>
    </row>
    <row r="793" spans="1:33" s="114" customFormat="1">
      <c r="A793" s="145"/>
      <c r="AG793" s="145"/>
    </row>
    <row r="794" spans="1:33" s="114" customFormat="1">
      <c r="A794" s="145"/>
      <c r="AG794" s="145"/>
    </row>
    <row r="795" spans="1:33" s="114" customFormat="1">
      <c r="A795" s="145"/>
      <c r="AG795" s="145"/>
    </row>
    <row r="796" spans="1:33" s="114" customFormat="1">
      <c r="A796" s="145"/>
      <c r="AG796" s="145"/>
    </row>
    <row r="797" spans="1:33" s="114" customFormat="1">
      <c r="A797" s="145"/>
      <c r="AG797" s="145"/>
    </row>
    <row r="798" spans="1:33" s="114" customFormat="1">
      <c r="A798" s="145"/>
      <c r="AG798" s="145"/>
    </row>
    <row r="799" spans="1:33" s="114" customFormat="1">
      <c r="A799" s="145"/>
      <c r="AG799" s="145"/>
    </row>
    <row r="800" spans="1:33" s="114" customFormat="1">
      <c r="A800" s="145"/>
      <c r="AG800" s="145"/>
    </row>
    <row r="801" spans="1:34" s="114" customFormat="1">
      <c r="A801" s="145"/>
      <c r="AG801" s="145"/>
    </row>
    <row r="802" spans="1:34" s="114" customFormat="1">
      <c r="A802" s="145"/>
      <c r="AG802" s="145"/>
    </row>
    <row r="803" spans="1:34" s="114" customFormat="1">
      <c r="A803" s="145"/>
      <c r="AG803" s="145"/>
    </row>
    <row r="804" spans="1:34" s="114" customFormat="1">
      <c r="A804" s="145"/>
      <c r="AG804" s="145"/>
    </row>
    <row r="805" spans="1:34" s="114" customFormat="1">
      <c r="A805" s="145"/>
      <c r="AG805" s="145"/>
    </row>
    <row r="806" spans="1:34" s="154" customFormat="1">
      <c r="A806" s="666"/>
      <c r="B806" s="53"/>
      <c r="C806" s="53"/>
      <c r="D806" s="114"/>
      <c r="E806" s="114"/>
      <c r="F806" s="114"/>
      <c r="M806" s="53"/>
      <c r="N806" s="53"/>
      <c r="O806" s="53"/>
      <c r="P806" s="53"/>
      <c r="Q806" s="53"/>
      <c r="R806" s="53"/>
      <c r="S806" s="53"/>
      <c r="T806" s="53"/>
      <c r="U806" s="53"/>
      <c r="V806" s="53"/>
      <c r="W806" s="53"/>
      <c r="X806" s="53"/>
      <c r="Y806" s="53"/>
      <c r="Z806" s="53"/>
      <c r="AA806" s="53"/>
      <c r="AB806" s="53"/>
      <c r="AC806" s="53"/>
      <c r="AD806" s="53"/>
      <c r="AE806" s="53"/>
      <c r="AF806" s="53"/>
      <c r="AG806" s="480"/>
      <c r="AH806" s="53"/>
    </row>
  </sheetData>
  <mergeCells count="3">
    <mergeCell ref="E9:P9"/>
    <mergeCell ref="Q9:AB9"/>
    <mergeCell ref="AD9:AF9"/>
  </mergeCells>
  <hyperlinks>
    <hyperlink ref="P1" location="Index!A1" display="Return to Index" xr:uid="{00000000-0004-0000-0700-000000000000}"/>
  </hyperlinks>
  <printOptions horizontalCentered="1"/>
  <pageMargins left="0.25" right="0.25" top="0.5" bottom="0.5" header="0.5" footer="0.5"/>
  <pageSetup scale="14" orientation="landscape" horizontalDpi="1200" verticalDpi="1200" r:id="rId1"/>
  <headerFooter alignWithMargins="0">
    <oddFooter>&amp;L&amp;8Planning &amp; Accountability&amp;R&amp;8&amp;D</oddFooter>
  </headerFooter>
  <rowBreaks count="1" manualBreakCount="1">
    <brk id="48" max="13" man="1"/>
  </rowBreak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65">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5.140625" style="164" customWidth="1"/>
    <col min="15" max="15" width="14.42578125" style="261" customWidth="1"/>
    <col min="16" max="16" width="25.7109375" style="264" customWidth="1"/>
    <col min="17" max="17" width="16.42578125" style="264" customWidth="1"/>
    <col min="18" max="18" width="17.140625" style="264" customWidth="1"/>
    <col min="19" max="19" width="1.7109375" style="264" customWidth="1"/>
    <col min="20" max="20" width="17.140625" style="264" customWidth="1"/>
    <col min="21" max="21" width="16.85546875" style="264" customWidth="1"/>
    <col min="22" max="23" width="19.28515625" style="264" customWidth="1"/>
    <col min="24" max="24" width="16.855468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13" t="str">
        <f>'TAMUK Chrts'!$A$1</f>
        <v>Texas A&amp;M University - Kingsville</v>
      </c>
      <c r="C2" s="1713"/>
      <c r="D2" s="1713"/>
      <c r="E2" s="1713"/>
      <c r="F2" s="1742"/>
      <c r="G2" s="160"/>
      <c r="H2" s="161"/>
      <c r="I2" s="320" t="str">
        <f>IF($B$2&lt;&gt;Input!$B$19,"Name Mismatch","")</f>
        <v/>
      </c>
      <c r="J2" s="168"/>
      <c r="K2" s="169"/>
      <c r="L2" s="169"/>
      <c r="M2" s="170"/>
      <c r="O2" s="835" t="s">
        <v>1200</v>
      </c>
      <c r="P2" s="36"/>
    </row>
    <row r="3" spans="1:28" ht="20.25">
      <c r="A3" s="184">
        <v>2</v>
      </c>
      <c r="B3" s="1713" t="str">
        <f>'Smmy Chrts'!$A$2</f>
        <v>For the Year Ended August 31, 2021</v>
      </c>
      <c r="C3" s="1713"/>
      <c r="D3" s="1713"/>
      <c r="E3" s="1713"/>
      <c r="F3" s="1742"/>
      <c r="G3" s="161"/>
      <c r="H3" s="161"/>
      <c r="I3" s="169"/>
      <c r="J3" s="168"/>
      <c r="K3" s="169"/>
      <c r="L3" s="169"/>
      <c r="M3" s="170"/>
      <c r="O3" s="74"/>
    </row>
    <row r="4" spans="1:28" ht="20.25">
      <c r="A4" s="184">
        <v>3</v>
      </c>
      <c r="B4" s="1713" t="str">
        <f>'Smmy Chrts'!$A$3</f>
        <v>Source: FY 2021 Annual Financial Report</v>
      </c>
      <c r="C4" s="1713"/>
      <c r="D4" s="1713"/>
      <c r="E4" s="1713"/>
      <c r="F4" s="1742"/>
      <c r="G4" s="161"/>
      <c r="H4" s="161"/>
      <c r="I4" s="169"/>
      <c r="J4" s="168"/>
      <c r="K4" s="169"/>
      <c r="L4" s="169"/>
      <c r="M4" s="170"/>
      <c r="O4" s="74"/>
      <c r="P4" s="1744" t="s">
        <v>93</v>
      </c>
      <c r="Q4" s="1745"/>
      <c r="T4" s="36" t="s">
        <v>250</v>
      </c>
    </row>
    <row r="5" spans="1:28">
      <c r="A5" s="184">
        <v>4</v>
      </c>
      <c r="B5" s="160"/>
      <c r="C5" s="160"/>
      <c r="D5" s="160"/>
      <c r="E5" s="160"/>
      <c r="F5" s="160"/>
      <c r="G5" s="160"/>
      <c r="H5" s="160"/>
      <c r="I5" s="160"/>
      <c r="J5" s="160"/>
      <c r="K5" s="160"/>
      <c r="L5" s="160"/>
      <c r="M5" s="166"/>
      <c r="O5" s="262"/>
    </row>
    <row r="6" spans="1:28">
      <c r="A6" s="184">
        <v>5</v>
      </c>
      <c r="B6" s="1715" t="str">
        <f>'Smmy Chrts'!$C$32</f>
        <v>Detail Worksheet FY 2021</v>
      </c>
      <c r="C6" s="1715"/>
      <c r="D6" s="1743"/>
      <c r="E6" s="1743"/>
      <c r="F6" s="1743"/>
      <c r="G6" s="1743"/>
      <c r="H6" s="1743"/>
      <c r="I6" s="1743"/>
      <c r="J6" s="1743"/>
      <c r="K6" s="1743"/>
      <c r="L6" s="1743"/>
      <c r="M6" s="1743"/>
      <c r="O6" s="265"/>
    </row>
    <row r="7" spans="1:28">
      <c r="A7" s="184">
        <v>6</v>
      </c>
      <c r="B7" s="172"/>
      <c r="C7" s="172"/>
      <c r="D7" s="160"/>
      <c r="E7" s="160"/>
      <c r="F7" s="160"/>
      <c r="G7" s="160"/>
      <c r="H7" s="160"/>
      <c r="I7" s="160"/>
      <c r="J7" s="160"/>
      <c r="K7" s="160"/>
      <c r="L7" s="160"/>
      <c r="M7" s="173" t="str">
        <f>'Smmy Chrts'!$C$33</f>
        <v>FY 2021</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Input!$M$19</f>
        <v>44491731</v>
      </c>
      <c r="E10" s="372">
        <f>Input!$N$19</f>
        <v>0</v>
      </c>
      <c r="F10" s="372">
        <f>Input!$O$19</f>
        <v>0</v>
      </c>
      <c r="G10" s="372">
        <f>Input!$P$19</f>
        <v>0</v>
      </c>
      <c r="H10" s="372">
        <f>Input!$Q$19</f>
        <v>0</v>
      </c>
      <c r="I10" s="372">
        <f>Input!$R$19</f>
        <v>0</v>
      </c>
      <c r="J10" s="372">
        <f>Input!$S$19</f>
        <v>0</v>
      </c>
      <c r="K10" s="372">
        <f>Input!$T$19</f>
        <v>0</v>
      </c>
      <c r="L10" s="372">
        <f>Input!$U$19</f>
        <v>0</v>
      </c>
      <c r="M10" s="373">
        <f t="shared" ref="M10:M15" si="0">D10+E10+F10+G10+H10+I10+J10+K10+L10</f>
        <v>44491731</v>
      </c>
      <c r="N10" s="160"/>
      <c r="O10" s="271"/>
      <c r="P10" s="1718" t="s">
        <v>575</v>
      </c>
      <c r="U10" s="268"/>
    </row>
    <row r="11" spans="1:28">
      <c r="A11" s="184">
        <v>10</v>
      </c>
      <c r="B11" s="160" t="s">
        <v>2</v>
      </c>
      <c r="C11" s="160"/>
      <c r="D11" s="372">
        <f>Input!$V$19</f>
        <v>1258323</v>
      </c>
      <c r="E11" s="372">
        <f>Input!$W$19</f>
        <v>72857</v>
      </c>
      <c r="F11" s="372">
        <f>Input!$X$19</f>
        <v>0</v>
      </c>
      <c r="G11" s="372">
        <f>Input!$Y$19</f>
        <v>7801346</v>
      </c>
      <c r="H11" s="372">
        <f>Input!$Z$19</f>
        <v>0</v>
      </c>
      <c r="I11" s="372">
        <f>Input!$AA$19</f>
        <v>0</v>
      </c>
      <c r="J11" s="372">
        <f>Input!$AB$19</f>
        <v>0</v>
      </c>
      <c r="K11" s="372">
        <f>Input!$AC$19</f>
        <v>0</v>
      </c>
      <c r="L11" s="372">
        <f>Input!$AD$19</f>
        <v>0</v>
      </c>
      <c r="M11" s="373">
        <f t="shared" si="0"/>
        <v>9132526</v>
      </c>
      <c r="N11" s="160"/>
      <c r="O11" s="482"/>
      <c r="P11" s="1719"/>
      <c r="U11" s="268"/>
    </row>
    <row r="12" spans="1:28" ht="12.75" hidden="1" customHeight="1">
      <c r="B12" s="160" t="s">
        <v>1410</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Input!$AN$19</f>
        <v>8858060</v>
      </c>
      <c r="E13" s="372">
        <f>Input!$AO$19</f>
        <v>0</v>
      </c>
      <c r="F13" s="372">
        <f>Input!$AP$19</f>
        <v>0</v>
      </c>
      <c r="G13" s="372">
        <f>Input!$AQ$19</f>
        <v>0</v>
      </c>
      <c r="H13" s="372">
        <f>Input!$AR$19</f>
        <v>0</v>
      </c>
      <c r="I13" s="372">
        <f>Input!$AS$19</f>
        <v>0</v>
      </c>
      <c r="J13" s="372">
        <f>Input!$AT$19</f>
        <v>0</v>
      </c>
      <c r="K13" s="372">
        <f>Input!$AU$19</f>
        <v>0</v>
      </c>
      <c r="L13" s="372">
        <f>Input!$AV$19</f>
        <v>0</v>
      </c>
      <c r="M13" s="373">
        <f t="shared" si="0"/>
        <v>8858060</v>
      </c>
      <c r="N13" s="160"/>
      <c r="O13" s="482" t="str">
        <f>IF(P13&lt;&gt;M13,"Out of Balance","Balanced")</f>
        <v>Balanced</v>
      </c>
      <c r="P13" s="484">
        <f>IFERROR(VLOOKUP($B$2,AMTLU,6,FALSE),0)</f>
        <v>8858060</v>
      </c>
      <c r="U13" s="268"/>
    </row>
    <row r="14" spans="1:28">
      <c r="A14" s="184">
        <v>13</v>
      </c>
      <c r="B14" s="160" t="s">
        <v>49</v>
      </c>
      <c r="C14" s="160"/>
      <c r="D14" s="372">
        <f>Input!$AW$19</f>
        <v>0</v>
      </c>
      <c r="E14" s="372">
        <f>Input!$AX$19</f>
        <v>0</v>
      </c>
      <c r="F14" s="372">
        <f>Input!$AY$19</f>
        <v>0</v>
      </c>
      <c r="G14" s="372">
        <f>Input!$AZ$19</f>
        <v>0</v>
      </c>
      <c r="H14" s="372">
        <f>Input!$BA$19</f>
        <v>0</v>
      </c>
      <c r="I14" s="372">
        <f>Input!$BB$19</f>
        <v>0</v>
      </c>
      <c r="J14" s="372">
        <f>Input!$BC$19</f>
        <v>0</v>
      </c>
      <c r="K14" s="372">
        <f>Input!$BD$19</f>
        <v>0</v>
      </c>
      <c r="L14" s="372">
        <f>Input!$BE$19</f>
        <v>0</v>
      </c>
      <c r="M14" s="373">
        <f t="shared" si="0"/>
        <v>0</v>
      </c>
      <c r="N14" s="160"/>
      <c r="O14" s="482"/>
      <c r="P14" s="485"/>
    </row>
    <row r="15" spans="1:28" ht="15">
      <c r="A15" s="184">
        <v>14</v>
      </c>
      <c r="B15" s="176" t="s">
        <v>3</v>
      </c>
      <c r="C15" s="176"/>
      <c r="D15" s="374">
        <f t="shared" ref="D15:L15" si="1">SUM(D10:D14)</f>
        <v>54608114</v>
      </c>
      <c r="E15" s="374">
        <f t="shared" si="1"/>
        <v>72857</v>
      </c>
      <c r="F15" s="374">
        <f t="shared" si="1"/>
        <v>0</v>
      </c>
      <c r="G15" s="374">
        <f t="shared" si="1"/>
        <v>7801346</v>
      </c>
      <c r="H15" s="374">
        <f t="shared" si="1"/>
        <v>0</v>
      </c>
      <c r="I15" s="374">
        <f t="shared" si="1"/>
        <v>0</v>
      </c>
      <c r="J15" s="374">
        <f t="shared" si="1"/>
        <v>0</v>
      </c>
      <c r="K15" s="374">
        <f t="shared" si="1"/>
        <v>0</v>
      </c>
      <c r="L15" s="374">
        <f t="shared" si="1"/>
        <v>0</v>
      </c>
      <c r="M15" s="374">
        <f t="shared" si="0"/>
        <v>62482317</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58" t="s">
        <v>1042</v>
      </c>
      <c r="C18" s="558"/>
      <c r="D18" s="374">
        <f t="shared" ref="D18:L18" si="2">D23-SUM(D19:D22)</f>
        <v>16862217</v>
      </c>
      <c r="E18" s="374">
        <f t="shared" si="2"/>
        <v>19586739</v>
      </c>
      <c r="F18" s="374">
        <f t="shared" si="2"/>
        <v>0</v>
      </c>
      <c r="G18" s="374">
        <f t="shared" si="2"/>
        <v>-2077784</v>
      </c>
      <c r="H18" s="374">
        <f t="shared" si="2"/>
        <v>0</v>
      </c>
      <c r="I18" s="374">
        <f t="shared" si="2"/>
        <v>0</v>
      </c>
      <c r="J18" s="374">
        <f t="shared" si="2"/>
        <v>0</v>
      </c>
      <c r="K18" s="374">
        <f t="shared" si="2"/>
        <v>0</v>
      </c>
      <c r="L18" s="374">
        <f t="shared" si="2"/>
        <v>0</v>
      </c>
      <c r="M18" s="374">
        <f t="shared" ref="M18:M29" si="3">D18+E18+F18+G18+H18+I18+J18+K18+L18</f>
        <v>34371172</v>
      </c>
      <c r="V18" s="327"/>
      <c r="X18" s="330"/>
    </row>
    <row r="19" spans="1:26" s="264" customFormat="1" ht="12.75" customHeight="1" thickTop="1" thickBot="1">
      <c r="A19" s="263"/>
      <c r="B19" s="261" t="s">
        <v>722</v>
      </c>
      <c r="C19" s="261"/>
      <c r="D19" s="372">
        <f>Input!$BF$19</f>
        <v>-2358812</v>
      </c>
      <c r="E19" s="372">
        <f>Input!$BG$19</f>
        <v>0</v>
      </c>
      <c r="F19" s="372">
        <f>Input!$BH$19</f>
        <v>0</v>
      </c>
      <c r="G19" s="372">
        <f>Input!$BI$19</f>
        <v>0</v>
      </c>
      <c r="H19" s="372">
        <f>Input!$BJ$19</f>
        <v>0</v>
      </c>
      <c r="I19" s="372">
        <f>Input!$BK$19</f>
        <v>0</v>
      </c>
      <c r="J19" s="372">
        <f>Input!$BL$19</f>
        <v>0</v>
      </c>
      <c r="K19" s="372">
        <f>Input!$BM$19</f>
        <v>0</v>
      </c>
      <c r="L19" s="372">
        <f>Input!$BN$19</f>
        <v>0</v>
      </c>
      <c r="M19" s="373">
        <f t="shared" si="3"/>
        <v>-2358812</v>
      </c>
      <c r="O19" s="1732" t="s">
        <v>1294</v>
      </c>
      <c r="P19" s="1733"/>
      <c r="Q19" s="1733"/>
      <c r="R19" s="1734"/>
      <c r="T19" s="1735" t="s">
        <v>1043</v>
      </c>
      <c r="U19" s="1736"/>
      <c r="V19" s="1736"/>
      <c r="W19" s="1736"/>
      <c r="X19" s="1737"/>
    </row>
    <row r="20" spans="1:26" s="264" customFormat="1" ht="12.75" customHeight="1" thickTop="1">
      <c r="A20" s="263"/>
      <c r="B20" s="261" t="s">
        <v>723</v>
      </c>
      <c r="C20" s="261"/>
      <c r="D20" s="372">
        <f>Input!$BO$19</f>
        <v>0</v>
      </c>
      <c r="E20" s="372">
        <f>Input!$BP$19</f>
        <v>0</v>
      </c>
      <c r="F20" s="372">
        <f>Input!$BQ$19</f>
        <v>0</v>
      </c>
      <c r="G20" s="372">
        <f>Input!$BR$19</f>
        <v>0</v>
      </c>
      <c r="H20" s="372">
        <f>Input!$BS$19</f>
        <v>0</v>
      </c>
      <c r="I20" s="372">
        <f>Input!$BT$19</f>
        <v>0</v>
      </c>
      <c r="J20" s="372">
        <f>Input!$BU$19</f>
        <v>0</v>
      </c>
      <c r="K20" s="372">
        <f>Input!$BV$19</f>
        <v>0</v>
      </c>
      <c r="L20" s="372">
        <f>Input!$BW$19</f>
        <v>0</v>
      </c>
      <c r="M20" s="373">
        <f t="shared" si="3"/>
        <v>0</v>
      </c>
      <c r="O20" s="421" t="s">
        <v>288</v>
      </c>
      <c r="P20" s="422"/>
      <c r="Q20" s="414"/>
      <c r="R20" s="559"/>
      <c r="T20" s="560" t="s">
        <v>1044</v>
      </c>
      <c r="U20" s="266"/>
      <c r="V20" s="266"/>
      <c r="X20" s="425"/>
    </row>
    <row r="21" spans="1:26" s="264" customFormat="1">
      <c r="A21" s="263"/>
      <c r="B21" s="261" t="s">
        <v>724</v>
      </c>
      <c r="C21" s="261"/>
      <c r="D21" s="372">
        <f>Input!$BX$19</f>
        <v>0</v>
      </c>
      <c r="E21" s="372">
        <f>Input!$BY$19</f>
        <v>0</v>
      </c>
      <c r="F21" s="372">
        <f>Input!$BZ$19</f>
        <v>0</v>
      </c>
      <c r="G21" s="372">
        <f>Input!$CA$19</f>
        <v>0</v>
      </c>
      <c r="H21" s="372">
        <f>Input!$CB$19</f>
        <v>0</v>
      </c>
      <c r="I21" s="372">
        <f>Input!$CC$19</f>
        <v>0</v>
      </c>
      <c r="J21" s="372">
        <f>Input!$CD$19</f>
        <v>0</v>
      </c>
      <c r="K21" s="372">
        <f>Input!$CE$19</f>
        <v>0</v>
      </c>
      <c r="L21" s="372">
        <f>Input!$CF$19</f>
        <v>0</v>
      </c>
      <c r="M21" s="373">
        <f t="shared" si="3"/>
        <v>0</v>
      </c>
      <c r="O21" s="434"/>
      <c r="R21" s="561"/>
      <c r="T21" s="650" t="s">
        <v>1045</v>
      </c>
      <c r="U21" s="266"/>
      <c r="V21" s="266"/>
      <c r="W21" s="651">
        <f>M44</f>
        <v>39587132</v>
      </c>
      <c r="X21" s="425"/>
      <c r="Z21" s="330"/>
    </row>
    <row r="22" spans="1:26" s="264" customFormat="1">
      <c r="A22" s="263"/>
      <c r="B22" s="261" t="s">
        <v>725</v>
      </c>
      <c r="C22" s="261"/>
      <c r="D22" s="372">
        <f>Input!$CG$19</f>
        <v>0</v>
      </c>
      <c r="E22" s="372">
        <f>Input!$CH$19</f>
        <v>0</v>
      </c>
      <c r="F22" s="372">
        <f>Input!$CI$19</f>
        <v>0</v>
      </c>
      <c r="G22" s="372">
        <f>Input!$CJ$19</f>
        <v>0</v>
      </c>
      <c r="H22" s="372">
        <f>Input!$CK$19</f>
        <v>0</v>
      </c>
      <c r="I22" s="372">
        <f>Input!$CL$19</f>
        <v>0</v>
      </c>
      <c r="J22" s="372">
        <f>Input!$CM$19</f>
        <v>0</v>
      </c>
      <c r="K22" s="372">
        <f>Input!$CN$19</f>
        <v>0</v>
      </c>
      <c r="L22" s="372">
        <f>Input!$CO$19</f>
        <v>0</v>
      </c>
      <c r="M22" s="373">
        <f t="shared" si="3"/>
        <v>0</v>
      </c>
      <c r="N22" s="270"/>
      <c r="O22" s="434" t="s">
        <v>1046</v>
      </c>
      <c r="P22" s="276"/>
      <c r="Q22" s="424">
        <f>M23</f>
        <v>32012360</v>
      </c>
      <c r="R22" s="562"/>
      <c r="T22" s="650" t="s">
        <v>1047</v>
      </c>
      <c r="U22" s="266"/>
      <c r="V22" s="266"/>
      <c r="W22" s="652">
        <f>R30*-1</f>
        <v>20744568</v>
      </c>
      <c r="X22" s="425"/>
    </row>
    <row r="23" spans="1:26" s="264" customFormat="1" ht="12.75" customHeight="1">
      <c r="A23" s="263"/>
      <c r="B23" s="558" t="s">
        <v>726</v>
      </c>
      <c r="C23" s="563"/>
      <c r="D23" s="564">
        <f>Input!$CP$19</f>
        <v>14503405</v>
      </c>
      <c r="E23" s="564">
        <f>Input!$CQ$19</f>
        <v>19586739</v>
      </c>
      <c r="F23" s="564">
        <f>Input!$CR$19</f>
        <v>0</v>
      </c>
      <c r="G23" s="564">
        <f>Input!$CS$19</f>
        <v>-2077784</v>
      </c>
      <c r="H23" s="564">
        <f>Input!$CT$19</f>
        <v>0</v>
      </c>
      <c r="I23" s="564">
        <f>Input!$CU$19</f>
        <v>0</v>
      </c>
      <c r="J23" s="564">
        <f>Input!$CV$19</f>
        <v>0</v>
      </c>
      <c r="K23" s="564">
        <f>Input!$CW$19</f>
        <v>0</v>
      </c>
      <c r="L23" s="564">
        <f>Input!$CX$19</f>
        <v>0</v>
      </c>
      <c r="M23" s="565">
        <f t="shared" si="3"/>
        <v>32012360</v>
      </c>
      <c r="O23" s="434"/>
      <c r="P23" s="276"/>
      <c r="Q23" s="424"/>
      <c r="R23" s="562"/>
      <c r="T23" s="560" t="s">
        <v>1230</v>
      </c>
      <c r="U23" s="266"/>
      <c r="V23" s="266"/>
      <c r="W23" s="276"/>
      <c r="X23" s="425">
        <f>SUM(W21:W22)</f>
        <v>60331700</v>
      </c>
      <c r="Z23" s="330"/>
    </row>
    <row r="24" spans="1:26" s="264" customFormat="1" ht="12.75" customHeight="1">
      <c r="A24" s="263"/>
      <c r="B24" s="261" t="s">
        <v>727</v>
      </c>
      <c r="C24" s="566"/>
      <c r="D24" s="372">
        <f>Input!$CY$19</f>
        <v>-1148</v>
      </c>
      <c r="E24" s="372">
        <f>Input!$CZ$19</f>
        <v>-1573</v>
      </c>
      <c r="F24" s="372">
        <f>Input!$DA$19</f>
        <v>0</v>
      </c>
      <c r="G24" s="372">
        <f>Input!$DB$19</f>
        <v>0</v>
      </c>
      <c r="H24" s="372">
        <f>Input!$DC$19</f>
        <v>0</v>
      </c>
      <c r="I24" s="372">
        <f>Input!$DD$19</f>
        <v>0</v>
      </c>
      <c r="J24" s="372">
        <f>Input!$DE$19</f>
        <v>0</v>
      </c>
      <c r="K24" s="372">
        <f>Input!$DF$19</f>
        <v>0</v>
      </c>
      <c r="L24" s="372">
        <f>Input!$DG$19</f>
        <v>0</v>
      </c>
      <c r="M24" s="567">
        <f t="shared" si="3"/>
        <v>-2721</v>
      </c>
      <c r="O24" s="417" t="s">
        <v>1048</v>
      </c>
      <c r="P24" s="276"/>
      <c r="Q24" s="327"/>
      <c r="R24" s="646">
        <f>SUM(M24:M28)</f>
        <v>-11007192</v>
      </c>
      <c r="T24" s="560"/>
      <c r="U24" s="266"/>
      <c r="V24" s="266"/>
      <c r="X24" s="425"/>
      <c r="Z24" s="330"/>
    </row>
    <row r="25" spans="1:26" s="264" customFormat="1" ht="12.75" customHeight="1">
      <c r="A25" s="263"/>
      <c r="B25" s="261" t="s">
        <v>728</v>
      </c>
      <c r="C25" s="566"/>
      <c r="D25" s="372">
        <f>Input!$DH$19</f>
        <v>0</v>
      </c>
      <c r="E25" s="372">
        <f>Input!$DI$19</f>
        <v>0</v>
      </c>
      <c r="F25" s="372">
        <f>Input!$DJ$19</f>
        <v>0</v>
      </c>
      <c r="G25" s="372">
        <f>Input!$DK$19</f>
        <v>0</v>
      </c>
      <c r="H25" s="372">
        <f>Input!$DL$19</f>
        <v>0</v>
      </c>
      <c r="I25" s="372">
        <f>Input!$DM$19</f>
        <v>0</v>
      </c>
      <c r="J25" s="372">
        <f>Input!$DN$19</f>
        <v>0</v>
      </c>
      <c r="K25" s="372">
        <f>Input!$DO$19</f>
        <v>0</v>
      </c>
      <c r="L25" s="372">
        <f>Input!$DP$19</f>
        <v>0</v>
      </c>
      <c r="M25" s="567">
        <f t="shared" si="3"/>
        <v>0</v>
      </c>
      <c r="O25" s="434"/>
      <c r="P25" s="276"/>
      <c r="Q25" s="327"/>
      <c r="R25" s="646"/>
      <c r="T25" s="568" t="s">
        <v>1103</v>
      </c>
      <c r="U25" s="569"/>
      <c r="V25" s="569"/>
      <c r="W25" s="653">
        <f>(M26+M39)*-1</f>
        <v>3562875</v>
      </c>
      <c r="X25" s="425"/>
      <c r="Z25" s="330"/>
    </row>
    <row r="26" spans="1:26" s="264" customFormat="1" ht="12.75" customHeight="1">
      <c r="A26" s="263"/>
      <c r="B26" s="261" t="s">
        <v>729</v>
      </c>
      <c r="C26" s="566"/>
      <c r="D26" s="372">
        <f>Input!$DQ$19</f>
        <v>-567283</v>
      </c>
      <c r="E26" s="372">
        <f>Input!$DR$19</f>
        <v>-1148127</v>
      </c>
      <c r="F26" s="372">
        <f>Input!$DS$19</f>
        <v>0</v>
      </c>
      <c r="G26" s="372">
        <f>Input!$DT$19</f>
        <v>0</v>
      </c>
      <c r="H26" s="372">
        <f>Input!$DU$19</f>
        <v>0</v>
      </c>
      <c r="I26" s="372">
        <f>Input!$DV$19</f>
        <v>0</v>
      </c>
      <c r="J26" s="372">
        <f>Input!$DW$19</f>
        <v>0</v>
      </c>
      <c r="K26" s="372">
        <f>Input!$DX$19</f>
        <v>0</v>
      </c>
      <c r="L26" s="372">
        <f>Input!$DY$19</f>
        <v>0</v>
      </c>
      <c r="M26" s="567">
        <f t="shared" si="3"/>
        <v>-1715410</v>
      </c>
      <c r="O26" s="434" t="s">
        <v>1049</v>
      </c>
      <c r="P26" s="276"/>
      <c r="Q26" s="427">
        <f>M36</f>
        <v>28319340</v>
      </c>
      <c r="R26" s="570"/>
      <c r="T26" s="560" t="s">
        <v>1104</v>
      </c>
      <c r="U26" s="266"/>
      <c r="V26" s="266"/>
      <c r="W26" s="571">
        <f>(M21+M34)*-1</f>
        <v>0</v>
      </c>
      <c r="X26" s="425"/>
      <c r="Z26" s="330"/>
    </row>
    <row r="27" spans="1:26" s="264" customFormat="1">
      <c r="A27" s="263"/>
      <c r="B27" s="261" t="s">
        <v>730</v>
      </c>
      <c r="C27" s="566"/>
      <c r="D27" s="372">
        <f>Input!$DZ$19</f>
        <v>0</v>
      </c>
      <c r="E27" s="372">
        <f>Input!$EA$19</f>
        <v>0</v>
      </c>
      <c r="F27" s="372">
        <f>Input!$EB$19</f>
        <v>0</v>
      </c>
      <c r="G27" s="372">
        <f>Input!$EC$19</f>
        <v>0</v>
      </c>
      <c r="H27" s="372">
        <f>Input!$ED$19</f>
        <v>0</v>
      </c>
      <c r="I27" s="372">
        <f>Input!$EE$19</f>
        <v>0</v>
      </c>
      <c r="J27" s="372">
        <f>Input!$EF$19</f>
        <v>0</v>
      </c>
      <c r="K27" s="372">
        <f>Input!$EG$19</f>
        <v>0</v>
      </c>
      <c r="L27" s="372">
        <f>Input!EH6</f>
        <v>0</v>
      </c>
      <c r="M27" s="567">
        <f t="shared" si="3"/>
        <v>0</v>
      </c>
      <c r="O27" s="434"/>
      <c r="P27" s="276"/>
      <c r="Q27" s="427"/>
      <c r="R27" s="570"/>
      <c r="T27" s="650" t="s">
        <v>1105</v>
      </c>
      <c r="U27" s="584"/>
      <c r="V27" s="584"/>
      <c r="W27" s="654">
        <f>SUM(W25:W26)</f>
        <v>3562875</v>
      </c>
      <c r="X27" s="655"/>
    </row>
    <row r="28" spans="1:26" s="264" customFormat="1">
      <c r="A28" s="263"/>
      <c r="B28" s="261" t="s">
        <v>2133</v>
      </c>
      <c r="C28" s="566"/>
      <c r="D28" s="372">
        <f>Input!$EI$19</f>
        <v>-3704019</v>
      </c>
      <c r="E28" s="372">
        <f>Input!$EJ$19</f>
        <v>-5585042</v>
      </c>
      <c r="F28" s="372">
        <f>Input!$EK$19</f>
        <v>0</v>
      </c>
      <c r="G28" s="372">
        <f>Input!$EL$19</f>
        <v>0</v>
      </c>
      <c r="H28" s="372">
        <f>Input!$EM$19</f>
        <v>0</v>
      </c>
      <c r="I28" s="372">
        <f>Input!$EN$19</f>
        <v>0</v>
      </c>
      <c r="J28" s="372">
        <f>Input!$EO$19</f>
        <v>0</v>
      </c>
      <c r="K28" s="372">
        <f>Input!$EP$19</f>
        <v>0</v>
      </c>
      <c r="L28" s="372">
        <f>Input!$EQ$19</f>
        <v>0</v>
      </c>
      <c r="M28" s="567">
        <f t="shared" si="3"/>
        <v>-9289061</v>
      </c>
      <c r="O28" s="417" t="s">
        <v>1050</v>
      </c>
      <c r="Q28" s="429"/>
      <c r="R28" s="646">
        <f>SUM(M37:M41)</f>
        <v>-9737376</v>
      </c>
      <c r="T28" s="560" t="s">
        <v>1106</v>
      </c>
      <c r="U28" s="266"/>
      <c r="V28" s="266"/>
      <c r="W28" s="425">
        <f>(M27+M40)*-1</f>
        <v>0</v>
      </c>
      <c r="X28" s="655"/>
      <c r="Z28" s="330"/>
    </row>
    <row r="29" spans="1:26" s="264" customFormat="1" ht="12" customHeight="1">
      <c r="A29" s="263"/>
      <c r="B29" s="575" t="s">
        <v>39</v>
      </c>
      <c r="C29" s="563"/>
      <c r="D29" s="374">
        <f t="shared" ref="D29:L29" si="4">SUM(D23:D28)</f>
        <v>10230955</v>
      </c>
      <c r="E29" s="374">
        <f t="shared" si="4"/>
        <v>12851997</v>
      </c>
      <c r="F29" s="374">
        <f t="shared" si="4"/>
        <v>0</v>
      </c>
      <c r="G29" s="374">
        <f t="shared" si="4"/>
        <v>-2077784</v>
      </c>
      <c r="H29" s="374">
        <f t="shared" si="4"/>
        <v>0</v>
      </c>
      <c r="I29" s="374">
        <f t="shared" si="4"/>
        <v>0</v>
      </c>
      <c r="J29" s="374">
        <f t="shared" si="4"/>
        <v>0</v>
      </c>
      <c r="K29" s="374">
        <f t="shared" si="4"/>
        <v>0</v>
      </c>
      <c r="L29" s="374">
        <f t="shared" si="4"/>
        <v>0</v>
      </c>
      <c r="M29" s="374">
        <f t="shared" si="3"/>
        <v>21005168</v>
      </c>
      <c r="O29" s="417"/>
      <c r="Q29" s="429"/>
      <c r="R29" s="576"/>
      <c r="T29" s="560" t="s">
        <v>1107</v>
      </c>
      <c r="U29" s="266"/>
      <c r="V29" s="266"/>
      <c r="W29" s="571">
        <f>(M22+M35)*-1</f>
        <v>0</v>
      </c>
      <c r="X29" s="655"/>
    </row>
    <row r="30" spans="1:26" s="264" customFormat="1" ht="16.5" customHeight="1">
      <c r="A30" s="263"/>
      <c r="B30" s="261"/>
      <c r="C30" s="566"/>
      <c r="D30" s="566"/>
      <c r="E30" s="566"/>
      <c r="F30" s="566"/>
      <c r="G30" s="566"/>
      <c r="H30" s="566"/>
      <c r="I30" s="566"/>
      <c r="J30" s="566"/>
      <c r="K30" s="566"/>
      <c r="L30" s="566"/>
      <c r="M30" s="567"/>
      <c r="O30" s="431" t="s">
        <v>289</v>
      </c>
      <c r="P30" s="432"/>
      <c r="Q30" s="433">
        <f>Q26+Q22</f>
        <v>60331700</v>
      </c>
      <c r="R30" s="647">
        <f>R28+R24</f>
        <v>-20744568</v>
      </c>
      <c r="T30" s="650" t="s">
        <v>1108</v>
      </c>
      <c r="U30" s="584"/>
      <c r="V30" s="584"/>
      <c r="W30" s="654">
        <f>SUM(W28:W29)</f>
        <v>0</v>
      </c>
      <c r="X30" s="655"/>
    </row>
    <row r="31" spans="1:26" s="264" customFormat="1" ht="12.75" customHeight="1">
      <c r="A31" s="263"/>
      <c r="B31" s="558" t="s">
        <v>1052</v>
      </c>
      <c r="C31" s="558"/>
      <c r="D31" s="374">
        <f t="shared" ref="D31:L31" si="5">D36-SUM(D32:D35)</f>
        <v>298279</v>
      </c>
      <c r="E31" s="374">
        <f t="shared" si="5"/>
        <v>20201160</v>
      </c>
      <c r="F31" s="374">
        <f t="shared" si="5"/>
        <v>8141833</v>
      </c>
      <c r="G31" s="374">
        <f t="shared" si="5"/>
        <v>-321932</v>
      </c>
      <c r="H31" s="374">
        <f t="shared" si="5"/>
        <v>0</v>
      </c>
      <c r="I31" s="374">
        <f t="shared" si="5"/>
        <v>0</v>
      </c>
      <c r="J31" s="374">
        <f t="shared" si="5"/>
        <v>0</v>
      </c>
      <c r="K31" s="374">
        <f t="shared" si="5"/>
        <v>0</v>
      </c>
      <c r="L31" s="374">
        <f t="shared" si="5"/>
        <v>0</v>
      </c>
      <c r="M31" s="374">
        <f t="shared" ref="M31:M42" si="6">D31+E31+F31+G31+H31+I31+J31+K31+L31</f>
        <v>28319340</v>
      </c>
      <c r="O31" s="434" t="s">
        <v>290</v>
      </c>
      <c r="P31" s="276"/>
      <c r="Q31" s="335"/>
      <c r="R31" s="562"/>
      <c r="T31" s="572" t="s">
        <v>1109</v>
      </c>
      <c r="U31" s="573"/>
      <c r="V31" s="573"/>
      <c r="W31" s="574">
        <f>W27+W30</f>
        <v>3562875</v>
      </c>
      <c r="X31" s="425"/>
      <c r="Z31" s="330"/>
    </row>
    <row r="32" spans="1:26" s="264" customFormat="1" ht="12.75" customHeight="1">
      <c r="A32" s="263"/>
      <c r="B32" s="261" t="s">
        <v>722</v>
      </c>
      <c r="C32" s="261"/>
      <c r="D32" s="372">
        <f>Input!$ER$19</f>
        <v>0</v>
      </c>
      <c r="E32" s="372">
        <f>Input!$ES$19</f>
        <v>0</v>
      </c>
      <c r="F32" s="372">
        <f>Input!$ET$19</f>
        <v>0</v>
      </c>
      <c r="G32" s="372">
        <f>Input!$EU$19</f>
        <v>0</v>
      </c>
      <c r="H32" s="372">
        <f>Input!$EV$19</f>
        <v>0</v>
      </c>
      <c r="I32" s="372">
        <f>Input!$EW$19</f>
        <v>0</v>
      </c>
      <c r="J32" s="372">
        <f>Input!$EX$19</f>
        <v>0</v>
      </c>
      <c r="K32" s="372">
        <f>Input!$EY$19</f>
        <v>0</v>
      </c>
      <c r="L32" s="372">
        <f>Input!$EZ$19</f>
        <v>0</v>
      </c>
      <c r="M32" s="567">
        <f t="shared" si="6"/>
        <v>0</v>
      </c>
      <c r="O32" s="415" t="s">
        <v>1295</v>
      </c>
      <c r="P32" s="416"/>
      <c r="Q32" s="577">
        <f>Input!$SQ$19</f>
        <v>60331700</v>
      </c>
      <c r="R32" s="578"/>
      <c r="T32" s="560"/>
      <c r="U32" s="266"/>
      <c r="V32" s="266"/>
      <c r="X32" s="425"/>
      <c r="Z32" s="330"/>
    </row>
    <row r="33" spans="1:24" s="264" customFormat="1">
      <c r="A33" s="263"/>
      <c r="B33" s="261" t="s">
        <v>723</v>
      </c>
      <c r="C33" s="261"/>
      <c r="D33" s="372">
        <f>Input!$FA$19</f>
        <v>0</v>
      </c>
      <c r="E33" s="372">
        <f>Input!$FB$19</f>
        <v>0</v>
      </c>
      <c r="F33" s="372">
        <f>Input!$FC$19</f>
        <v>0</v>
      </c>
      <c r="G33" s="372">
        <f>Input!$FD$19</f>
        <v>0</v>
      </c>
      <c r="H33" s="372">
        <f>Input!$FE$19</f>
        <v>0</v>
      </c>
      <c r="I33" s="372">
        <f>Input!$FF$19</f>
        <v>0</v>
      </c>
      <c r="J33" s="372">
        <f>Input!$FG$19</f>
        <v>0</v>
      </c>
      <c r="K33" s="372">
        <f>Input!$FH$19</f>
        <v>0</v>
      </c>
      <c r="L33" s="372">
        <f>Input!$FI$19</f>
        <v>0</v>
      </c>
      <c r="M33" s="567">
        <f t="shared" si="6"/>
        <v>0</v>
      </c>
      <c r="O33" s="415"/>
      <c r="P33" s="416"/>
      <c r="Q33" s="327"/>
      <c r="R33" s="578"/>
      <c r="T33" s="560" t="s">
        <v>1051</v>
      </c>
      <c r="U33" s="266"/>
      <c r="V33" s="266"/>
      <c r="W33" s="334">
        <f>(M19+M32)*-1</f>
        <v>2358812</v>
      </c>
      <c r="X33" s="425"/>
    </row>
    <row r="34" spans="1:24" s="264" customFormat="1">
      <c r="A34" s="263"/>
      <c r="B34" s="261" t="s">
        <v>724</v>
      </c>
      <c r="C34" s="261"/>
      <c r="D34" s="372">
        <f>Input!$FJ$19</f>
        <v>0</v>
      </c>
      <c r="E34" s="372">
        <f>Input!$FK$19</f>
        <v>0</v>
      </c>
      <c r="F34" s="372">
        <f>Input!$FL$19</f>
        <v>0</v>
      </c>
      <c r="G34" s="372">
        <f>Input!$FM$19</f>
        <v>0</v>
      </c>
      <c r="H34" s="372">
        <f>Input!$FN$19</f>
        <v>0</v>
      </c>
      <c r="I34" s="372">
        <f>Input!$FO$19</f>
        <v>0</v>
      </c>
      <c r="J34" s="372">
        <f>Input!$FP$19</f>
        <v>0</v>
      </c>
      <c r="K34" s="372">
        <f>Input!$FQ$19</f>
        <v>0</v>
      </c>
      <c r="L34" s="372">
        <f>Input!$FR$19</f>
        <v>0</v>
      </c>
      <c r="M34" s="567">
        <f t="shared" si="6"/>
        <v>0</v>
      </c>
      <c r="O34" s="435" t="s">
        <v>1296</v>
      </c>
      <c r="P34" s="436"/>
      <c r="Q34" s="264" t="s">
        <v>291</v>
      </c>
      <c r="R34" s="648">
        <f>Input!$SR$19</f>
        <v>-20744568</v>
      </c>
      <c r="T34" s="560" t="s">
        <v>1110</v>
      </c>
      <c r="U34" s="266"/>
      <c r="V34" s="266"/>
      <c r="W34" s="430">
        <f>(M24+M37)*-1</f>
        <v>2721</v>
      </c>
      <c r="X34" s="425"/>
    </row>
    <row r="35" spans="1:24" s="264" customFormat="1" ht="13.5" thickBot="1">
      <c r="A35" s="263"/>
      <c r="B35" s="261" t="s">
        <v>725</v>
      </c>
      <c r="C35" s="261"/>
      <c r="D35" s="372">
        <f>Input!$FS$19</f>
        <v>0</v>
      </c>
      <c r="E35" s="372">
        <f>Input!$FT$19</f>
        <v>0</v>
      </c>
      <c r="F35" s="372">
        <f>Input!$FU$19</f>
        <v>0</v>
      </c>
      <c r="G35" s="372">
        <f>Input!$FV$19</f>
        <v>0</v>
      </c>
      <c r="H35" s="372">
        <f>Input!$FW$19</f>
        <v>0</v>
      </c>
      <c r="I35" s="372">
        <f>Input!$FX$19</f>
        <v>0</v>
      </c>
      <c r="J35" s="372">
        <f>Input!$FY$19</f>
        <v>0</v>
      </c>
      <c r="K35" s="372">
        <f>Input!$FZ$19</f>
        <v>0</v>
      </c>
      <c r="L35" s="372">
        <f>Input!$GA$19</f>
        <v>0</v>
      </c>
      <c r="M35" s="567">
        <f t="shared" si="6"/>
        <v>0</v>
      </c>
      <c r="O35" s="418" t="s">
        <v>286</v>
      </c>
      <c r="P35" s="419"/>
      <c r="Q35" s="420">
        <f>Q30-Q32</f>
        <v>0</v>
      </c>
      <c r="R35" s="649">
        <f>R30-R34</f>
        <v>0</v>
      </c>
      <c r="T35" s="650" t="s">
        <v>1111</v>
      </c>
      <c r="U35" s="584"/>
      <c r="V35" s="584"/>
      <c r="W35" s="656">
        <f>SUM(W33:W34)</f>
        <v>2361533</v>
      </c>
      <c r="X35" s="655"/>
    </row>
    <row r="36" spans="1:24" s="264" customFormat="1" ht="13.5" thickTop="1">
      <c r="A36" s="263"/>
      <c r="B36" s="558" t="s">
        <v>732</v>
      </c>
      <c r="C36" s="563"/>
      <c r="D36" s="564">
        <f>Input!$GB$19</f>
        <v>298279</v>
      </c>
      <c r="E36" s="564">
        <f>Input!$GC$19</f>
        <v>20201160</v>
      </c>
      <c r="F36" s="564">
        <f>Input!$GD$19</f>
        <v>8141833</v>
      </c>
      <c r="G36" s="564">
        <f>Input!$GE$19</f>
        <v>-321932</v>
      </c>
      <c r="H36" s="564">
        <f>Input!$GF$19</f>
        <v>0</v>
      </c>
      <c r="I36" s="564">
        <f>Input!$GG$19</f>
        <v>0</v>
      </c>
      <c r="J36" s="564">
        <f>Input!$GH$19</f>
        <v>0</v>
      </c>
      <c r="K36" s="564">
        <f>Input!$GI$19</f>
        <v>0</v>
      </c>
      <c r="L36" s="564">
        <f>Input!$GJ$19</f>
        <v>0</v>
      </c>
      <c r="M36" s="565">
        <f t="shared" si="6"/>
        <v>28319340</v>
      </c>
      <c r="O36" s="261"/>
      <c r="Q36" s="412" t="str">
        <f>IF(Q30&lt;&gt;Q32,"Out of Balance","Balanced")</f>
        <v>Balanced</v>
      </c>
      <c r="R36" s="412" t="str">
        <f>IF(R30&lt;&gt;R34,"Out of Balance","Balanced")</f>
        <v>Balanced</v>
      </c>
      <c r="T36" s="560" t="s">
        <v>1053</v>
      </c>
      <c r="U36" s="266"/>
      <c r="V36" s="266"/>
      <c r="W36" s="334">
        <f>(M20+M33)*-1</f>
        <v>0</v>
      </c>
      <c r="X36" s="425"/>
    </row>
    <row r="37" spans="1:24" s="264" customFormat="1">
      <c r="A37" s="263"/>
      <c r="B37" s="261" t="s">
        <v>727</v>
      </c>
      <c r="C37" s="566"/>
      <c r="D37" s="372">
        <f>Input!$GK$19</f>
        <v>0</v>
      </c>
      <c r="E37" s="372">
        <f>Input!$GL$19</f>
        <v>0</v>
      </c>
      <c r="F37" s="372">
        <f>Input!$GM$19</f>
        <v>0</v>
      </c>
      <c r="G37" s="372">
        <f>Input!$GN$19</f>
        <v>0</v>
      </c>
      <c r="H37" s="372">
        <f>Input!$GO$19</f>
        <v>0</v>
      </c>
      <c r="I37" s="372">
        <f>Input!$GP$19</f>
        <v>0</v>
      </c>
      <c r="J37" s="372">
        <f>Input!$GQ$19</f>
        <v>0</v>
      </c>
      <c r="K37" s="372">
        <f>Input!$GR$19</f>
        <v>0</v>
      </c>
      <c r="L37" s="372">
        <f>Input!$GS$19</f>
        <v>0</v>
      </c>
      <c r="M37" s="567">
        <f t="shared" si="6"/>
        <v>0</v>
      </c>
      <c r="O37" s="261"/>
      <c r="T37" s="560" t="s">
        <v>1112</v>
      </c>
      <c r="U37" s="266"/>
      <c r="V37" s="266"/>
      <c r="W37" s="430">
        <f>(M25+M38)*-1</f>
        <v>0</v>
      </c>
      <c r="X37" s="655"/>
    </row>
    <row r="38" spans="1:24" s="264" customFormat="1">
      <c r="A38" s="263"/>
      <c r="B38" s="261" t="s">
        <v>728</v>
      </c>
      <c r="C38" s="566"/>
      <c r="D38" s="372">
        <f>Input!$GT$19</f>
        <v>0</v>
      </c>
      <c r="E38" s="372">
        <f>Input!$GU$19</f>
        <v>0</v>
      </c>
      <c r="F38" s="372">
        <f>Input!$GV$19</f>
        <v>0</v>
      </c>
      <c r="G38" s="372">
        <f>Input!$GW$19</f>
        <v>0</v>
      </c>
      <c r="H38" s="372">
        <f>Input!$GX$19</f>
        <v>0</v>
      </c>
      <c r="I38" s="372">
        <f>Input!$GY$19</f>
        <v>0</v>
      </c>
      <c r="J38" s="372">
        <f>Input!$GZ$19</f>
        <v>0</v>
      </c>
      <c r="K38" s="372">
        <f>Input!$HA$19</f>
        <v>0</v>
      </c>
      <c r="L38" s="372">
        <f>Input!$HB$19</f>
        <v>0</v>
      </c>
      <c r="M38" s="567">
        <f t="shared" si="6"/>
        <v>0</v>
      </c>
      <c r="O38" s="261"/>
      <c r="T38" s="650" t="s">
        <v>1113</v>
      </c>
      <c r="U38" s="584"/>
      <c r="V38" s="584"/>
      <c r="W38" s="656">
        <f>SUM(W36:W37)</f>
        <v>0</v>
      </c>
      <c r="X38" s="425"/>
    </row>
    <row r="39" spans="1:24" s="264" customFormat="1">
      <c r="A39" s="263"/>
      <c r="B39" s="261" t="s">
        <v>729</v>
      </c>
      <c r="C39" s="566"/>
      <c r="D39" s="372">
        <f>Input!$HC$19</f>
        <v>0</v>
      </c>
      <c r="E39" s="372">
        <f>Input!$HD$19</f>
        <v>-1302722</v>
      </c>
      <c r="F39" s="372">
        <f>Input!$HE$19</f>
        <v>-544743</v>
      </c>
      <c r="G39" s="372">
        <f>Input!$HF$19</f>
        <v>0</v>
      </c>
      <c r="H39" s="372">
        <f>Input!$HG$19</f>
        <v>0</v>
      </c>
      <c r="I39" s="372">
        <f>Input!$HH$19</f>
        <v>0</v>
      </c>
      <c r="J39" s="372">
        <f>Input!$HI$19</f>
        <v>0</v>
      </c>
      <c r="K39" s="372">
        <f>Input!$HJ$19</f>
        <v>0</v>
      </c>
      <c r="L39" s="372">
        <f>Input!$HK$19</f>
        <v>0</v>
      </c>
      <c r="M39" s="567">
        <f t="shared" si="6"/>
        <v>-1847465</v>
      </c>
      <c r="O39" s="261"/>
      <c r="T39" s="560" t="s">
        <v>1054</v>
      </c>
      <c r="U39" s="266"/>
      <c r="V39" s="266"/>
      <c r="W39" s="334"/>
      <c r="X39" s="425">
        <f>W38+W35</f>
        <v>2361533</v>
      </c>
    </row>
    <row r="40" spans="1:24" s="264" customFormat="1">
      <c r="A40" s="263"/>
      <c r="B40" s="261" t="s">
        <v>730</v>
      </c>
      <c r="C40" s="566"/>
      <c r="D40" s="372">
        <f>Input!$HL$19</f>
        <v>0</v>
      </c>
      <c r="E40" s="372">
        <f>Input!$HM$19</f>
        <v>0</v>
      </c>
      <c r="F40" s="372">
        <f>Input!$HN$19</f>
        <v>0</v>
      </c>
      <c r="G40" s="372">
        <f>Input!$HO$19</f>
        <v>0</v>
      </c>
      <c r="H40" s="372">
        <f>Input!$HP$19</f>
        <v>0</v>
      </c>
      <c r="I40" s="372">
        <f>Input!$HQ$19</f>
        <v>0</v>
      </c>
      <c r="J40" s="372">
        <f>Input!$HR$19</f>
        <v>0</v>
      </c>
      <c r="K40" s="372">
        <f>Input!$HS$19</f>
        <v>0</v>
      </c>
      <c r="L40" s="372">
        <f>Input!$HT$19</f>
        <v>0</v>
      </c>
      <c r="M40" s="567">
        <f t="shared" si="6"/>
        <v>0</v>
      </c>
      <c r="O40" s="261"/>
      <c r="T40" s="560"/>
      <c r="U40" s="261"/>
      <c r="V40" s="261"/>
      <c r="W40" s="261"/>
      <c r="X40" s="655"/>
    </row>
    <row r="41" spans="1:24" s="264" customFormat="1">
      <c r="A41" s="263"/>
      <c r="B41" s="261" t="s">
        <v>2133</v>
      </c>
      <c r="C41" s="566"/>
      <c r="D41" s="372">
        <f>Input!$HU$19</f>
        <v>-98295</v>
      </c>
      <c r="E41" s="372">
        <f>Input!$HV$19</f>
        <v>-5615851</v>
      </c>
      <c r="F41" s="372">
        <f>Input!$HW$19</f>
        <v>-2175765</v>
      </c>
      <c r="G41" s="372">
        <f>Input!$HX$19</f>
        <v>0</v>
      </c>
      <c r="H41" s="372">
        <f>Input!$HY$19</f>
        <v>0</v>
      </c>
      <c r="I41" s="372">
        <f>Input!$HZ$19</f>
        <v>0</v>
      </c>
      <c r="J41" s="372">
        <f>Input!$IA$19</f>
        <v>0</v>
      </c>
      <c r="K41" s="372">
        <f>Input!$IB$19</f>
        <v>0</v>
      </c>
      <c r="L41" s="372">
        <f>Input!$IC$19</f>
        <v>0</v>
      </c>
      <c r="M41" s="567">
        <f t="shared" si="6"/>
        <v>-7889911</v>
      </c>
      <c r="O41"/>
      <c r="P41"/>
      <c r="Q41"/>
      <c r="R41"/>
      <c r="S41"/>
      <c r="T41" s="560" t="s">
        <v>1104</v>
      </c>
      <c r="U41" s="266"/>
      <c r="V41" s="266"/>
      <c r="W41" s="330">
        <f>(M21+M34)*-1</f>
        <v>0</v>
      </c>
      <c r="X41" s="425"/>
    </row>
    <row r="42" spans="1:24" s="264" customFormat="1">
      <c r="A42" s="263"/>
      <c r="B42" s="575" t="s">
        <v>40</v>
      </c>
      <c r="C42" s="563"/>
      <c r="D42" s="374">
        <f t="shared" ref="D42:L42" si="7">SUM(D36:D41)</f>
        <v>199984</v>
      </c>
      <c r="E42" s="374">
        <f t="shared" si="7"/>
        <v>13282587</v>
      </c>
      <c r="F42" s="374">
        <f t="shared" si="7"/>
        <v>5421325</v>
      </c>
      <c r="G42" s="374">
        <f t="shared" si="7"/>
        <v>-321932</v>
      </c>
      <c r="H42" s="374">
        <f t="shared" si="7"/>
        <v>0</v>
      </c>
      <c r="I42" s="374">
        <f t="shared" si="7"/>
        <v>0</v>
      </c>
      <c r="J42" s="374">
        <f t="shared" si="7"/>
        <v>0</v>
      </c>
      <c r="K42" s="374">
        <f t="shared" si="7"/>
        <v>0</v>
      </c>
      <c r="L42" s="374">
        <f t="shared" si="7"/>
        <v>0</v>
      </c>
      <c r="M42" s="374">
        <f t="shared" si="6"/>
        <v>18581964</v>
      </c>
      <c r="O42"/>
      <c r="P42"/>
      <c r="Q42"/>
      <c r="R42"/>
      <c r="S42"/>
      <c r="T42" s="560" t="s">
        <v>1107</v>
      </c>
      <c r="U42" s="266"/>
      <c r="V42" s="266"/>
      <c r="W42" s="430">
        <f>(M22+M35)*-1</f>
        <v>0</v>
      </c>
      <c r="X42" s="425"/>
    </row>
    <row r="43" spans="1:24" s="264" customFormat="1">
      <c r="A43" s="263"/>
      <c r="B43" s="261"/>
      <c r="C43" s="566"/>
      <c r="D43" s="566"/>
      <c r="E43" s="566"/>
      <c r="F43" s="566"/>
      <c r="G43" s="566"/>
      <c r="H43" s="566"/>
      <c r="I43" s="566"/>
      <c r="J43" s="566"/>
      <c r="K43" s="566"/>
      <c r="L43" s="566"/>
      <c r="M43" s="567"/>
      <c r="O43"/>
      <c r="P43"/>
      <c r="Q43"/>
      <c r="R43"/>
      <c r="S43"/>
      <c r="T43" s="650" t="s">
        <v>1114</v>
      </c>
      <c r="U43" s="584"/>
      <c r="V43" s="584"/>
      <c r="W43" s="656">
        <f>SUM(W41:W42)</f>
        <v>0</v>
      </c>
      <c r="X43" s="655"/>
    </row>
    <row r="44" spans="1:24" s="264" customFormat="1" ht="13.5" customHeight="1">
      <c r="A44" s="263"/>
      <c r="B44" s="575" t="s">
        <v>1055</v>
      </c>
      <c r="C44" s="563"/>
      <c r="D44" s="374">
        <f t="shared" ref="D44:L44" si="8">D42+D29</f>
        <v>10430939</v>
      </c>
      <c r="E44" s="374">
        <f t="shared" si="8"/>
        <v>26134584</v>
      </c>
      <c r="F44" s="374">
        <f t="shared" si="8"/>
        <v>5421325</v>
      </c>
      <c r="G44" s="374">
        <f t="shared" si="8"/>
        <v>-2399716</v>
      </c>
      <c r="H44" s="374">
        <f t="shared" si="8"/>
        <v>0</v>
      </c>
      <c r="I44" s="374">
        <f t="shared" si="8"/>
        <v>0</v>
      </c>
      <c r="J44" s="374">
        <f t="shared" si="8"/>
        <v>0</v>
      </c>
      <c r="K44" s="374">
        <f t="shared" si="8"/>
        <v>0</v>
      </c>
      <c r="L44" s="374">
        <f t="shared" si="8"/>
        <v>0</v>
      </c>
      <c r="M44" s="374">
        <f>D44+E44+F44+G44+H44+I44+J44+K44+L44</f>
        <v>39587132</v>
      </c>
      <c r="O44"/>
      <c r="P44"/>
      <c r="Q44"/>
      <c r="R44"/>
      <c r="S44"/>
      <c r="T44" s="560"/>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0" t="s">
        <v>1110</v>
      </c>
      <c r="U45" s="266"/>
      <c r="V45" s="266"/>
      <c r="W45" s="334">
        <f>(M24+M37)*-1</f>
        <v>2721</v>
      </c>
      <c r="X45" s="425"/>
    </row>
    <row r="46" spans="1:24">
      <c r="A46" s="184">
        <v>29</v>
      </c>
      <c r="B46" s="172" t="s">
        <v>6</v>
      </c>
      <c r="C46" s="172"/>
      <c r="D46" s="373"/>
      <c r="E46" s="373"/>
      <c r="F46" s="373"/>
      <c r="G46" s="373"/>
      <c r="H46" s="373"/>
      <c r="I46" s="373"/>
      <c r="J46" s="373"/>
      <c r="K46" s="373"/>
      <c r="L46" s="373"/>
      <c r="M46" s="373"/>
      <c r="N46" s="160"/>
      <c r="O46"/>
      <c r="P46"/>
      <c r="Q46"/>
      <c r="R46"/>
      <c r="S46"/>
      <c r="T46" s="560" t="s">
        <v>1112</v>
      </c>
      <c r="U46" s="266"/>
      <c r="V46" s="266"/>
      <c r="W46" s="430">
        <f>(M25+M38)*-1</f>
        <v>0</v>
      </c>
      <c r="X46" s="425"/>
    </row>
    <row r="47" spans="1:24">
      <c r="A47" s="184">
        <v>30</v>
      </c>
      <c r="B47" s="176" t="s">
        <v>7</v>
      </c>
      <c r="C47" s="176"/>
      <c r="D47" s="375">
        <f>Input!$ID$19</f>
        <v>1635710</v>
      </c>
      <c r="E47" s="375">
        <f>Input!$IE$19</f>
        <v>2191480</v>
      </c>
      <c r="F47" s="375">
        <f>Input!$IF$19</f>
        <v>0</v>
      </c>
      <c r="G47" s="375">
        <f>Input!$IG$19</f>
        <v>43445914</v>
      </c>
      <c r="H47" s="375">
        <f>Input!$IH$19</f>
        <v>0</v>
      </c>
      <c r="I47" s="375">
        <f>Input!$II$19</f>
        <v>0</v>
      </c>
      <c r="J47" s="375">
        <f>Input!$IJ$19</f>
        <v>0</v>
      </c>
      <c r="K47" s="375">
        <f>Input!$IK$19</f>
        <v>0</v>
      </c>
      <c r="L47" s="375">
        <f>Input!$IL$19</f>
        <v>0</v>
      </c>
      <c r="M47" s="374">
        <f>D47+E47+F47+G47+H47+I47+J47+K47+L47</f>
        <v>47273104</v>
      </c>
      <c r="N47" s="160"/>
      <c r="O47"/>
      <c r="P47"/>
      <c r="Q47"/>
      <c r="R47"/>
      <c r="S47"/>
      <c r="T47" s="657" t="s">
        <v>1115</v>
      </c>
      <c r="U47" s="27"/>
      <c r="V47" s="27"/>
      <c r="W47" s="656">
        <f>SUM(W45:W46)</f>
        <v>2721</v>
      </c>
      <c r="X47" s="655"/>
    </row>
    <row r="48" spans="1:24">
      <c r="A48" s="184">
        <v>31</v>
      </c>
      <c r="B48" s="160"/>
      <c r="C48" s="160"/>
      <c r="D48" s="373"/>
      <c r="E48" s="373"/>
      <c r="F48" s="373"/>
      <c r="G48" s="373"/>
      <c r="H48" s="373"/>
      <c r="I48" s="373"/>
      <c r="J48" s="373"/>
      <c r="K48" s="373"/>
      <c r="L48" s="373"/>
      <c r="M48" s="373"/>
      <c r="N48" s="160"/>
      <c r="O48"/>
      <c r="P48"/>
      <c r="Q48"/>
      <c r="R48"/>
      <c r="S48"/>
      <c r="T48" s="560"/>
      <c r="U48" s="261"/>
      <c r="V48" s="261"/>
      <c r="W48" s="261"/>
      <c r="X48" s="658">
        <f>W43-W47</f>
        <v>-2721</v>
      </c>
    </row>
    <row r="49" spans="1:28">
      <c r="A49" s="184">
        <v>32</v>
      </c>
      <c r="B49" s="172" t="s">
        <v>8</v>
      </c>
      <c r="C49" s="172"/>
      <c r="D49" s="373"/>
      <c r="E49" s="373"/>
      <c r="F49" s="373"/>
      <c r="G49" s="373"/>
      <c r="H49" s="373"/>
      <c r="I49" s="373"/>
      <c r="J49" s="373"/>
      <c r="K49" s="373"/>
      <c r="L49" s="373"/>
      <c r="M49" s="373"/>
      <c r="N49" s="160"/>
      <c r="O49" s="273"/>
      <c r="T49" s="579" t="s">
        <v>287</v>
      </c>
      <c r="U49" s="511"/>
      <c r="V49" s="580"/>
      <c r="W49" s="580"/>
      <c r="X49" s="574">
        <f>SUM(X23:X48)</f>
        <v>62690512</v>
      </c>
    </row>
    <row r="50" spans="1:28">
      <c r="A50" s="184">
        <v>33</v>
      </c>
      <c r="B50" s="160" t="s">
        <v>42</v>
      </c>
      <c r="C50" s="160"/>
      <c r="D50" s="372">
        <f>Input!$IM$19</f>
        <v>27927</v>
      </c>
      <c r="E50" s="372">
        <f>Input!$IN$19</f>
        <v>4080751</v>
      </c>
      <c r="F50" s="372">
        <f>Input!$IO$19</f>
        <v>17</v>
      </c>
      <c r="G50" s="372">
        <f>Input!$IP$19</f>
        <v>2158930</v>
      </c>
      <c r="H50" s="372">
        <f>Input!$IQ$19</f>
        <v>77907</v>
      </c>
      <c r="I50" s="372">
        <f>Input!$IR$19</f>
        <v>812</v>
      </c>
      <c r="J50" s="372">
        <f>Input!$IS$19</f>
        <v>0</v>
      </c>
      <c r="K50" s="372">
        <f>Input!$IT$19</f>
        <v>0</v>
      </c>
      <c r="L50" s="372">
        <f>Input!$IU$19</f>
        <v>0</v>
      </c>
      <c r="M50" s="373">
        <f t="shared" ref="M50:M57" si="9">D50+E50+F50+G50+H50+I50+J50+K50+L50</f>
        <v>6346344</v>
      </c>
      <c r="N50" s="160"/>
      <c r="O50" s="273"/>
      <c r="U50" s="275"/>
    </row>
    <row r="51" spans="1:28">
      <c r="A51" s="184">
        <v>34</v>
      </c>
      <c r="B51" s="160" t="s">
        <v>9</v>
      </c>
      <c r="C51" s="160"/>
      <c r="D51" s="372">
        <f>Input!$IV$19</f>
        <v>0</v>
      </c>
      <c r="E51" s="372">
        <f>Input!$IW$19</f>
        <v>0</v>
      </c>
      <c r="F51" s="372">
        <f>Input!$IX$19</f>
        <v>0</v>
      </c>
      <c r="G51" s="372">
        <f>Input!$IY$19</f>
        <v>0</v>
      </c>
      <c r="H51" s="372">
        <f>Input!$IZ$19</f>
        <v>0</v>
      </c>
      <c r="I51" s="372">
        <f>Input!$JA$19</f>
        <v>0</v>
      </c>
      <c r="J51" s="372">
        <f>Input!$JB$19</f>
        <v>0</v>
      </c>
      <c r="K51" s="372">
        <f>Input!$JC$19</f>
        <v>0</v>
      </c>
      <c r="L51" s="372">
        <f>Input!$JD$19</f>
        <v>0</v>
      </c>
      <c r="M51" s="376">
        <f t="shared" si="9"/>
        <v>0</v>
      </c>
      <c r="N51" s="160"/>
      <c r="Y51" s="277"/>
    </row>
    <row r="52" spans="1:28">
      <c r="A52" s="184">
        <v>35</v>
      </c>
      <c r="B52" s="160" t="s">
        <v>10</v>
      </c>
      <c r="C52" s="160"/>
      <c r="D52" s="372">
        <f>Input!$JE$19</f>
        <v>0</v>
      </c>
      <c r="E52" s="372">
        <f>Input!$JF$19</f>
        <v>242115</v>
      </c>
      <c r="F52" s="372">
        <f>Input!$JG$19</f>
        <v>35689</v>
      </c>
      <c r="G52" s="372">
        <f>Input!$JH$19</f>
        <v>9876681</v>
      </c>
      <c r="H52" s="372">
        <f>Input!$JI$19</f>
        <v>0</v>
      </c>
      <c r="I52" s="372">
        <f>Input!$JJ$19</f>
        <v>0</v>
      </c>
      <c r="J52" s="372">
        <f>Input!$JK$19</f>
        <v>0</v>
      </c>
      <c r="K52" s="372">
        <f>Input!$JL$19</f>
        <v>0</v>
      </c>
      <c r="L52" s="372">
        <f>Input!$JM$19</f>
        <v>0</v>
      </c>
      <c r="M52" s="373">
        <f t="shared" si="9"/>
        <v>10154485</v>
      </c>
      <c r="N52" s="160"/>
      <c r="O52" s="273"/>
      <c r="P52" s="278"/>
    </row>
    <row r="53" spans="1:28">
      <c r="A53" s="184">
        <v>36</v>
      </c>
      <c r="B53" s="160" t="s">
        <v>11</v>
      </c>
      <c r="C53" s="160"/>
      <c r="D53" s="372">
        <f>Input!$JN$19</f>
        <v>123300</v>
      </c>
      <c r="E53" s="372">
        <f>Input!$JO$19</f>
        <v>2926258</v>
      </c>
      <c r="F53" s="372">
        <f>Input!$JP$19</f>
        <v>0</v>
      </c>
      <c r="G53" s="372">
        <f>Input!$JQ$19</f>
        <v>-1491826</v>
      </c>
      <c r="H53" s="372">
        <f>Input!$JR$19</f>
        <v>0</v>
      </c>
      <c r="I53" s="372">
        <f>Input!$JS$19</f>
        <v>0</v>
      </c>
      <c r="J53" s="372">
        <f>Input!$JT$19</f>
        <v>0</v>
      </c>
      <c r="K53" s="372">
        <f>Input!$JU$19</f>
        <v>0</v>
      </c>
      <c r="L53" s="372">
        <f>Input!$JV$19</f>
        <v>0</v>
      </c>
      <c r="M53" s="373">
        <f t="shared" si="9"/>
        <v>1557732</v>
      </c>
      <c r="N53" s="160"/>
      <c r="O53" s="273"/>
    </row>
    <row r="54" spans="1:28" ht="13.5" thickBot="1">
      <c r="A54" s="184">
        <v>37</v>
      </c>
      <c r="B54" s="177" t="s">
        <v>2134</v>
      </c>
      <c r="C54" s="177"/>
      <c r="D54" s="372">
        <f>Input!$JW$19</f>
        <v>0</v>
      </c>
      <c r="E54" s="372">
        <f>Input!$JX$19</f>
        <v>0</v>
      </c>
      <c r="F54" s="372">
        <f>Input!$JY$19</f>
        <v>10375585</v>
      </c>
      <c r="G54" s="372">
        <f>Input!$JZ$19</f>
        <v>0</v>
      </c>
      <c r="H54" s="372">
        <f>Input!$KA$19</f>
        <v>0</v>
      </c>
      <c r="I54" s="372">
        <f>Input!$KB$19</f>
        <v>0</v>
      </c>
      <c r="J54" s="372">
        <f>Input!$KC$19</f>
        <v>0</v>
      </c>
      <c r="K54" s="372">
        <f>Input!$KD$19</f>
        <v>0</v>
      </c>
      <c r="L54" s="372">
        <f>Input!$KE$19</f>
        <v>0</v>
      </c>
      <c r="M54" s="373">
        <f t="shared" si="9"/>
        <v>10375585</v>
      </c>
      <c r="N54" s="160"/>
      <c r="O54" s="273"/>
    </row>
    <row r="55" spans="1:28" ht="14.25" thickTop="1" thickBot="1">
      <c r="A55" s="184">
        <v>38</v>
      </c>
      <c r="B55" s="160" t="s">
        <v>43</v>
      </c>
      <c r="C55" s="160"/>
      <c r="D55" s="372">
        <f>Input!$KF$19</f>
        <v>2183</v>
      </c>
      <c r="E55" s="372">
        <f>Input!$KG$19</f>
        <v>7332820</v>
      </c>
      <c r="F55" s="372">
        <f>Input!$KH$19</f>
        <v>454839</v>
      </c>
      <c r="G55" s="372">
        <f>Input!$KI$19</f>
        <v>-3469999</v>
      </c>
      <c r="H55" s="372">
        <f>Input!$KJ$19</f>
        <v>-3063</v>
      </c>
      <c r="I55" s="372">
        <f>Input!$KK$19</f>
        <v>0</v>
      </c>
      <c r="J55" s="372">
        <f>Input!$KL$19</f>
        <v>0</v>
      </c>
      <c r="K55" s="372">
        <f>Input!$KM$19</f>
        <v>0</v>
      </c>
      <c r="L55" s="372">
        <f>Input!$KN$19</f>
        <v>-348850</v>
      </c>
      <c r="M55" s="373">
        <f t="shared" si="9"/>
        <v>3967930</v>
      </c>
      <c r="N55" s="160"/>
      <c r="O55" s="1616" t="s">
        <v>251</v>
      </c>
      <c r="P55" s="1617"/>
      <c r="Q55" s="1617"/>
      <c r="R55" s="1618"/>
      <c r="S55" s="437"/>
      <c r="T55" s="1619" t="s">
        <v>252</v>
      </c>
      <c r="U55" s="1620"/>
      <c r="V55" s="1620"/>
      <c r="W55" s="1620"/>
      <c r="X55" s="1621"/>
      <c r="Y55" s="320"/>
      <c r="Z55" s="1749" t="s">
        <v>1301</v>
      </c>
      <c r="AA55" s="1750"/>
      <c r="AB55" s="1751"/>
    </row>
    <row r="56" spans="1:28" ht="13.5" customHeight="1" thickTop="1">
      <c r="A56" s="184">
        <v>39</v>
      </c>
      <c r="B56" s="176" t="s">
        <v>3</v>
      </c>
      <c r="C56" s="176"/>
      <c r="D56" s="374">
        <f>SUM(D50:D55)</f>
        <v>153410</v>
      </c>
      <c r="E56" s="374">
        <f t="shared" ref="E56:L56" si="10">SUM(E50:E55)</f>
        <v>14581944</v>
      </c>
      <c r="F56" s="374">
        <f t="shared" si="10"/>
        <v>10866130</v>
      </c>
      <c r="G56" s="374">
        <f t="shared" si="10"/>
        <v>7073786</v>
      </c>
      <c r="H56" s="374">
        <f t="shared" si="10"/>
        <v>74844</v>
      </c>
      <c r="I56" s="374">
        <f t="shared" si="10"/>
        <v>812</v>
      </c>
      <c r="J56" s="374">
        <f t="shared" si="10"/>
        <v>0</v>
      </c>
      <c r="K56" s="374">
        <f t="shared" si="10"/>
        <v>0</v>
      </c>
      <c r="L56" s="374">
        <f t="shared" si="10"/>
        <v>-348850</v>
      </c>
      <c r="M56" s="374">
        <f t="shared" si="9"/>
        <v>32402076</v>
      </c>
      <c r="N56" s="160"/>
      <c r="O56" s="1622" t="s">
        <v>1135</v>
      </c>
      <c r="P56" s="1625" t="s">
        <v>254</v>
      </c>
      <c r="Q56" s="1625" t="s">
        <v>292</v>
      </c>
      <c r="R56" s="1628" t="s">
        <v>1063</v>
      </c>
      <c r="S56" s="280"/>
      <c r="T56" s="1739" t="s">
        <v>1136</v>
      </c>
      <c r="U56" s="1637" t="s">
        <v>254</v>
      </c>
      <c r="V56" s="1634" t="s">
        <v>256</v>
      </c>
      <c r="W56" s="1637" t="s">
        <v>257</v>
      </c>
      <c r="X56" s="1638" t="s">
        <v>1064</v>
      </c>
      <c r="Z56" s="1754" t="s">
        <v>1302</v>
      </c>
      <c r="AA56" s="1747" t="s">
        <v>1303</v>
      </c>
      <c r="AB56" s="1752" t="s">
        <v>238</v>
      </c>
    </row>
    <row r="57" spans="1:28">
      <c r="A57" s="184">
        <v>40</v>
      </c>
      <c r="B57" s="162" t="s">
        <v>68</v>
      </c>
      <c r="C57" s="162"/>
      <c r="D57" s="374">
        <f>D15+D44+D47+D56</f>
        <v>66828173</v>
      </c>
      <c r="E57" s="374">
        <f t="shared" ref="E57:L57" si="11">E15+E44+E47+E56</f>
        <v>42980865</v>
      </c>
      <c r="F57" s="374">
        <f t="shared" si="11"/>
        <v>16287455</v>
      </c>
      <c r="G57" s="374">
        <f t="shared" si="11"/>
        <v>55921330</v>
      </c>
      <c r="H57" s="374">
        <f t="shared" si="11"/>
        <v>74844</v>
      </c>
      <c r="I57" s="374">
        <f t="shared" si="11"/>
        <v>812</v>
      </c>
      <c r="J57" s="374">
        <f t="shared" si="11"/>
        <v>0</v>
      </c>
      <c r="K57" s="374">
        <f t="shared" si="11"/>
        <v>0</v>
      </c>
      <c r="L57" s="374">
        <f t="shared" si="11"/>
        <v>-348850</v>
      </c>
      <c r="M57" s="374">
        <f t="shared" si="9"/>
        <v>181744629</v>
      </c>
      <c r="N57" s="160"/>
      <c r="O57" s="1623"/>
      <c r="P57" s="1626"/>
      <c r="Q57" s="1626"/>
      <c r="R57" s="1629"/>
      <c r="S57" s="280"/>
      <c r="T57" s="1740"/>
      <c r="U57" s="1626"/>
      <c r="V57" s="1635"/>
      <c r="W57" s="1626"/>
      <c r="X57" s="1639"/>
      <c r="Z57" s="1755"/>
      <c r="AA57" s="1747"/>
      <c r="AB57" s="1752"/>
    </row>
    <row r="58" spans="1:28">
      <c r="A58" s="184">
        <v>41</v>
      </c>
      <c r="B58" s="160"/>
      <c r="C58" s="160"/>
      <c r="D58" s="373"/>
      <c r="E58" s="373"/>
      <c r="F58" s="373"/>
      <c r="G58" s="373"/>
      <c r="H58" s="373"/>
      <c r="I58" s="373"/>
      <c r="J58" s="373"/>
      <c r="K58" s="373"/>
      <c r="L58" s="373"/>
      <c r="M58" s="373"/>
      <c r="N58" s="160"/>
      <c r="O58" s="1623"/>
      <c r="P58" s="1626"/>
      <c r="Q58" s="1626"/>
      <c r="R58" s="1629"/>
      <c r="S58" s="280"/>
      <c r="T58" s="1740"/>
      <c r="U58" s="1626"/>
      <c r="V58" s="1635"/>
      <c r="W58" s="1626"/>
      <c r="X58" s="1639"/>
      <c r="Z58" s="1755"/>
      <c r="AA58" s="1747"/>
      <c r="AB58" s="1752"/>
    </row>
    <row r="59" spans="1:28" ht="14.25" customHeight="1">
      <c r="A59" s="184">
        <v>42</v>
      </c>
      <c r="B59" s="174" t="s">
        <v>72</v>
      </c>
      <c r="C59" s="174"/>
      <c r="D59" s="377"/>
      <c r="E59" s="377"/>
      <c r="F59" s="377"/>
      <c r="G59" s="1746" t="str">
        <f>IF(OR(P105&gt;0,P106&lt;&gt;0,P107&lt;&gt;0),"Do not Enter Cents - Whole Dollars Only","")</f>
        <v/>
      </c>
      <c r="H59" s="1746"/>
      <c r="I59" s="1746"/>
      <c r="J59" s="1746"/>
      <c r="K59" s="1746"/>
      <c r="L59" s="377"/>
      <c r="M59" s="377"/>
      <c r="N59" s="160"/>
      <c r="O59" s="1624"/>
      <c r="P59" s="1627"/>
      <c r="Q59" s="1627"/>
      <c r="R59" s="1630"/>
      <c r="S59" s="280"/>
      <c r="T59" s="1741"/>
      <c r="U59" s="1627"/>
      <c r="V59" s="1636"/>
      <c r="W59" s="1627"/>
      <c r="X59" s="1640"/>
      <c r="Z59" s="1756"/>
      <c r="AA59" s="1748"/>
      <c r="AB59" s="1753"/>
    </row>
    <row r="60" spans="1:28" ht="13.5" thickBot="1">
      <c r="A60" s="184">
        <v>43</v>
      </c>
      <c r="B60" s="160" t="s">
        <v>14</v>
      </c>
      <c r="C60" s="160"/>
      <c r="D60" s="372">
        <f>Input!$KO$19</f>
        <v>32134317</v>
      </c>
      <c r="E60" s="372">
        <f>Input!$KP$19</f>
        <v>7824424</v>
      </c>
      <c r="F60" s="372">
        <f>Input!$KQ$19</f>
        <v>0</v>
      </c>
      <c r="G60" s="372">
        <f>Input!$KR$19</f>
        <v>2218476</v>
      </c>
      <c r="H60" s="372">
        <f>Input!$KS$19</f>
        <v>0</v>
      </c>
      <c r="I60" s="372">
        <f>Input!$KT$19</f>
        <v>0</v>
      </c>
      <c r="J60" s="372">
        <f>Input!$KU$19</f>
        <v>0</v>
      </c>
      <c r="K60" s="372">
        <f>Input!$KV$19</f>
        <v>0</v>
      </c>
      <c r="L60" s="372">
        <f>Input!$KW$19</f>
        <v>0</v>
      </c>
      <c r="M60" s="373">
        <f t="shared" ref="M60:M71" si="12">D60+E60+F60+G60+H60+I60+J60+K60+L60</f>
        <v>42177217</v>
      </c>
      <c r="N60" s="160"/>
      <c r="O60" s="282">
        <f>D60+E60+G60+J60</f>
        <v>42177217</v>
      </c>
      <c r="P60" s="518">
        <f>Input!$SS$19</f>
        <v>170081</v>
      </c>
      <c r="Q60" s="438" t="s">
        <v>259</v>
      </c>
      <c r="R60" s="284">
        <f>SUM(O60:P60)</f>
        <v>42347298</v>
      </c>
      <c r="S60" s="439"/>
      <c r="T60" s="286">
        <f t="shared" ref="T60:T67" si="13">D60+E60+G60</f>
        <v>42177217</v>
      </c>
      <c r="U60" s="287">
        <f t="shared" ref="U60:U67" si="14">P60</f>
        <v>170081</v>
      </c>
      <c r="V60" s="289">
        <f>Input!$TC$19</f>
        <v>0</v>
      </c>
      <c r="W60" s="289">
        <f>Input!$TK$19</f>
        <v>0</v>
      </c>
      <c r="X60" s="290">
        <f t="shared" ref="X60:X66" si="15">T60+U60-V60-W60</f>
        <v>42347298</v>
      </c>
      <c r="Z60" s="292" t="s">
        <v>14</v>
      </c>
      <c r="AA60" s="520">
        <f>Input!$TS$19</f>
        <v>42177217</v>
      </c>
      <c r="AB60" s="293">
        <f t="shared" ref="AB60:AB68" si="16">AA60-M60</f>
        <v>0</v>
      </c>
    </row>
    <row r="61" spans="1:28" ht="14.25" thickTop="1" thickBot="1">
      <c r="A61" s="184">
        <v>44</v>
      </c>
      <c r="B61" s="160" t="s">
        <v>15</v>
      </c>
      <c r="C61" s="160"/>
      <c r="D61" s="372">
        <f>Input!$KX$19</f>
        <v>2244412</v>
      </c>
      <c r="E61" s="372">
        <f>Input!$KY$19</f>
        <v>863068</v>
      </c>
      <c r="F61" s="372">
        <f>Input!$KZ$19</f>
        <v>0</v>
      </c>
      <c r="G61" s="372">
        <f>Input!$LA$19</f>
        <v>16074460</v>
      </c>
      <c r="H61" s="372">
        <f>Input!$LB$19</f>
        <v>0</v>
      </c>
      <c r="I61" s="372">
        <f>Input!$LC$19</f>
        <v>0</v>
      </c>
      <c r="J61" s="372">
        <f>Input!$LD$19</f>
        <v>0</v>
      </c>
      <c r="K61" s="372">
        <f>Input!$LE$19</f>
        <v>0</v>
      </c>
      <c r="L61" s="372">
        <f>Input!$LF$19</f>
        <v>0</v>
      </c>
      <c r="M61" s="373">
        <f t="shared" si="12"/>
        <v>19181940</v>
      </c>
      <c r="N61" s="160"/>
      <c r="O61" s="440">
        <f t="shared" ref="O61:O67" si="17">D61+E61+G61+J61</f>
        <v>19181940</v>
      </c>
      <c r="P61" s="518">
        <f>Input!$ST$19</f>
        <v>443778</v>
      </c>
      <c r="Q61" s="441" t="s">
        <v>259</v>
      </c>
      <c r="R61" s="295">
        <f>SUM(O61:P61)</f>
        <v>19625718</v>
      </c>
      <c r="S61" s="442"/>
      <c r="T61" s="296">
        <f t="shared" si="13"/>
        <v>19181940</v>
      </c>
      <c r="U61" s="297">
        <f t="shared" si="14"/>
        <v>443778</v>
      </c>
      <c r="V61" s="299">
        <f>Input!$TD$19</f>
        <v>362210</v>
      </c>
      <c r="W61" s="299">
        <f>Input!$TL$19</f>
        <v>0</v>
      </c>
      <c r="X61" s="300">
        <f t="shared" si="15"/>
        <v>19263508</v>
      </c>
      <c r="Z61" s="292" t="s">
        <v>15</v>
      </c>
      <c r="AA61" s="518">
        <f>Input!$TT$19</f>
        <v>19181940</v>
      </c>
      <c r="AB61" s="301">
        <f t="shared" si="16"/>
        <v>0</v>
      </c>
    </row>
    <row r="62" spans="1:28" ht="13.5" thickTop="1">
      <c r="A62" s="184">
        <v>45</v>
      </c>
      <c r="B62" s="160" t="s">
        <v>16</v>
      </c>
      <c r="C62" s="160"/>
      <c r="D62" s="372">
        <f>Input!$LG$19</f>
        <v>37359</v>
      </c>
      <c r="E62" s="372">
        <f>Input!$LH$19</f>
        <v>252997</v>
      </c>
      <c r="F62" s="372">
        <f>Input!$LI$19</f>
        <v>0</v>
      </c>
      <c r="G62" s="372">
        <f>Input!$LJ$19</f>
        <v>92244</v>
      </c>
      <c r="H62" s="372">
        <f>Input!$LK$19</f>
        <v>0</v>
      </c>
      <c r="I62" s="372">
        <f>Input!$LL$19</f>
        <v>0</v>
      </c>
      <c r="J62" s="372">
        <f>Input!$LM$19</f>
        <v>0</v>
      </c>
      <c r="K62" s="372">
        <f>Input!$LN$19</f>
        <v>0</v>
      </c>
      <c r="L62" s="372">
        <f>Input!$LO$19</f>
        <v>0</v>
      </c>
      <c r="M62" s="373">
        <f t="shared" si="12"/>
        <v>382600</v>
      </c>
      <c r="N62" s="160"/>
      <c r="O62" s="440">
        <f t="shared" si="17"/>
        <v>382600</v>
      </c>
      <c r="P62" s="518">
        <f>Input!$SU$19</f>
        <v>312</v>
      </c>
      <c r="Q62" s="441" t="s">
        <v>259</v>
      </c>
      <c r="R62" s="302" t="s">
        <v>259</v>
      </c>
      <c r="S62" s="442"/>
      <c r="T62" s="296">
        <f t="shared" si="13"/>
        <v>382600</v>
      </c>
      <c r="U62" s="297">
        <f t="shared" si="14"/>
        <v>312</v>
      </c>
      <c r="V62" s="299">
        <f>Input!$TE$19</f>
        <v>0</v>
      </c>
      <c r="W62" s="299">
        <f>Input!$TM$19</f>
        <v>0</v>
      </c>
      <c r="X62" s="303">
        <f t="shared" si="15"/>
        <v>382912</v>
      </c>
      <c r="Z62" s="292" t="s">
        <v>16</v>
      </c>
      <c r="AA62" s="518">
        <f>Input!$TU$19</f>
        <v>382600</v>
      </c>
      <c r="AB62" s="301">
        <f t="shared" si="16"/>
        <v>0</v>
      </c>
    </row>
    <row r="63" spans="1:28">
      <c r="A63" s="184">
        <v>46</v>
      </c>
      <c r="B63" s="160" t="s">
        <v>17</v>
      </c>
      <c r="C63" s="160"/>
      <c r="D63" s="372">
        <f>Input!$LP$19</f>
        <v>8405819</v>
      </c>
      <c r="E63" s="372">
        <f>Input!$LQ$19</f>
        <v>3457654</v>
      </c>
      <c r="F63" s="372">
        <f>Input!$LR$19</f>
        <v>0</v>
      </c>
      <c r="G63" s="372">
        <f>Input!$LS$19</f>
        <v>744283</v>
      </c>
      <c r="H63" s="372">
        <f>Input!$LT$19</f>
        <v>0</v>
      </c>
      <c r="I63" s="372">
        <f>Input!$LU$19</f>
        <v>0</v>
      </c>
      <c r="J63" s="372">
        <f>Input!$LV$19</f>
        <v>0</v>
      </c>
      <c r="K63" s="372">
        <f>Input!$LW$19</f>
        <v>0</v>
      </c>
      <c r="L63" s="372">
        <f>Input!$LX$19</f>
        <v>0</v>
      </c>
      <c r="M63" s="373">
        <f t="shared" si="12"/>
        <v>12607756</v>
      </c>
      <c r="N63" s="160"/>
      <c r="O63" s="440">
        <f t="shared" si="17"/>
        <v>12607756</v>
      </c>
      <c r="P63" s="518">
        <f>Input!$SV$19</f>
        <v>54735</v>
      </c>
      <c r="Q63" s="441" t="s">
        <v>259</v>
      </c>
      <c r="R63" s="295">
        <f t="shared" ref="R63:R65" si="18">SUM(O63:P63)</f>
        <v>12662491</v>
      </c>
      <c r="S63" s="442"/>
      <c r="T63" s="296">
        <f t="shared" si="13"/>
        <v>12607756</v>
      </c>
      <c r="U63" s="297">
        <f t="shared" si="14"/>
        <v>54735</v>
      </c>
      <c r="V63" s="299">
        <f>Input!$TF$19</f>
        <v>0</v>
      </c>
      <c r="W63" s="299">
        <f>Input!$TN$19</f>
        <v>0</v>
      </c>
      <c r="X63" s="303">
        <f t="shared" si="15"/>
        <v>12662491</v>
      </c>
      <c r="Z63" s="292" t="s">
        <v>17</v>
      </c>
      <c r="AA63" s="518">
        <f>Input!$TV$19</f>
        <v>12607756</v>
      </c>
      <c r="AB63" s="301">
        <f t="shared" si="16"/>
        <v>0</v>
      </c>
    </row>
    <row r="64" spans="1:28">
      <c r="A64" s="184">
        <v>47</v>
      </c>
      <c r="B64" s="160" t="s">
        <v>18</v>
      </c>
      <c r="C64" s="160"/>
      <c r="D64" s="372">
        <f>Input!$LY$19</f>
        <v>3497023</v>
      </c>
      <c r="E64" s="372">
        <f>Input!$LZ$19</f>
        <v>6662764</v>
      </c>
      <c r="F64" s="372">
        <f>Input!$MA$19</f>
        <v>0</v>
      </c>
      <c r="G64" s="372">
        <f>Input!$MB$19</f>
        <v>3104219</v>
      </c>
      <c r="H64" s="372">
        <f>Input!$MC$19</f>
        <v>13140</v>
      </c>
      <c r="I64" s="372">
        <f>Input!$MD$19</f>
        <v>0</v>
      </c>
      <c r="J64" s="372">
        <f>Input!$ME$19</f>
        <v>0</v>
      </c>
      <c r="K64" s="372">
        <f>Input!$MF$19</f>
        <v>0</v>
      </c>
      <c r="L64" s="372">
        <f>Input!$MG$19</f>
        <v>0</v>
      </c>
      <c r="M64" s="373">
        <f t="shared" si="12"/>
        <v>13277146</v>
      </c>
      <c r="N64" s="160"/>
      <c r="O64" s="440">
        <f t="shared" si="17"/>
        <v>13264006</v>
      </c>
      <c r="P64" s="518">
        <f>Input!$SW$19</f>
        <v>4496</v>
      </c>
      <c r="Q64" s="518">
        <f>Input!$TB$19</f>
        <v>0</v>
      </c>
      <c r="R64" s="295">
        <f>SUM(O64:P64)-Q64</f>
        <v>13268502</v>
      </c>
      <c r="S64" s="442"/>
      <c r="T64" s="296">
        <f t="shared" si="13"/>
        <v>13264006</v>
      </c>
      <c r="U64" s="297">
        <f t="shared" si="14"/>
        <v>4496</v>
      </c>
      <c r="V64" s="299">
        <f>Input!$TG$19</f>
        <v>0</v>
      </c>
      <c r="W64" s="299">
        <f>Input!$TO$19</f>
        <v>0</v>
      </c>
      <c r="X64" s="303">
        <f t="shared" si="15"/>
        <v>13268502</v>
      </c>
      <c r="Z64" s="292" t="s">
        <v>18</v>
      </c>
      <c r="AA64" s="518">
        <f>Input!$TW$19</f>
        <v>13277146</v>
      </c>
      <c r="AB64" s="301">
        <f t="shared" si="16"/>
        <v>0</v>
      </c>
    </row>
    <row r="65" spans="1:28">
      <c r="A65" s="184">
        <v>48</v>
      </c>
      <c r="B65" s="160" t="s">
        <v>19</v>
      </c>
      <c r="C65" s="160"/>
      <c r="D65" s="372">
        <f>Input!$MH$19</f>
        <v>5830677</v>
      </c>
      <c r="E65" s="372">
        <f>Input!$MI$19</f>
        <v>4373454</v>
      </c>
      <c r="F65" s="372">
        <f>Input!$MJ$19</f>
        <v>0</v>
      </c>
      <c r="G65" s="372">
        <f>Input!$MK$19</f>
        <v>1190030</v>
      </c>
      <c r="H65" s="372">
        <f>Input!$ML$19</f>
        <v>0</v>
      </c>
      <c r="I65" s="372">
        <f>Input!$MM$19</f>
        <v>0</v>
      </c>
      <c r="J65" s="372">
        <f>Input!$MN$19</f>
        <v>0</v>
      </c>
      <c r="K65" s="372">
        <f>Input!$MO$19</f>
        <v>0</v>
      </c>
      <c r="L65" s="372">
        <f>Input!$MP$19</f>
        <v>0</v>
      </c>
      <c r="M65" s="373">
        <f t="shared" si="12"/>
        <v>11394161</v>
      </c>
      <c r="N65" s="160"/>
      <c r="O65" s="440">
        <f t="shared" si="17"/>
        <v>11394161</v>
      </c>
      <c r="P65" s="518">
        <f>Input!$SX$19</f>
        <v>88806</v>
      </c>
      <c r="Q65" s="441" t="s">
        <v>259</v>
      </c>
      <c r="R65" s="295">
        <f t="shared" si="18"/>
        <v>11482967</v>
      </c>
      <c r="S65" s="442"/>
      <c r="T65" s="296">
        <f t="shared" si="13"/>
        <v>11394161</v>
      </c>
      <c r="U65" s="297">
        <f t="shared" si="14"/>
        <v>88806</v>
      </c>
      <c r="V65" s="299">
        <f>Input!$TH$19</f>
        <v>0</v>
      </c>
      <c r="W65" s="299">
        <f>Input!$TP$19</f>
        <v>0</v>
      </c>
      <c r="X65" s="303">
        <f t="shared" si="15"/>
        <v>11482967</v>
      </c>
      <c r="Z65" s="292" t="s">
        <v>19</v>
      </c>
      <c r="AA65" s="518">
        <f>Input!$TX$19</f>
        <v>11394161</v>
      </c>
      <c r="AB65" s="301">
        <f t="shared" si="16"/>
        <v>0</v>
      </c>
    </row>
    <row r="66" spans="1:28">
      <c r="A66" s="184">
        <v>49</v>
      </c>
      <c r="B66" s="160" t="s">
        <v>20</v>
      </c>
      <c r="C66" s="160"/>
      <c r="D66" s="372">
        <f>Input!$MQ$19</f>
        <v>2017582</v>
      </c>
      <c r="E66" s="372">
        <f>Input!$MR$19</f>
        <v>8464811</v>
      </c>
      <c r="F66" s="372">
        <f>Input!$MS$19</f>
        <v>0</v>
      </c>
      <c r="G66" s="372">
        <f>Input!$MT$19</f>
        <v>0</v>
      </c>
      <c r="H66" s="372">
        <f>Input!$MU$19</f>
        <v>0</v>
      </c>
      <c r="I66" s="372">
        <f>Input!$MV$19</f>
        <v>0</v>
      </c>
      <c r="J66" s="372">
        <f>Input!$MW$19</f>
        <v>1937316</v>
      </c>
      <c r="K66" s="372">
        <f>Input!$MX$19</f>
        <v>0</v>
      </c>
      <c r="L66" s="372">
        <f>Input!$MY$19</f>
        <v>0</v>
      </c>
      <c r="M66" s="373">
        <f t="shared" si="12"/>
        <v>12419709</v>
      </c>
      <c r="N66" s="160"/>
      <c r="O66" s="440">
        <f t="shared" si="17"/>
        <v>12419709</v>
      </c>
      <c r="P66" s="518">
        <f>Input!$SY$19</f>
        <v>1165679</v>
      </c>
      <c r="Q66" s="441" t="s">
        <v>259</v>
      </c>
      <c r="R66" s="304" t="s">
        <v>259</v>
      </c>
      <c r="S66" s="442"/>
      <c r="T66" s="296">
        <f t="shared" si="13"/>
        <v>10482393</v>
      </c>
      <c r="U66" s="297">
        <f t="shared" si="14"/>
        <v>1165679</v>
      </c>
      <c r="V66" s="299">
        <f>Input!$TI$19</f>
        <v>0</v>
      </c>
      <c r="W66" s="299">
        <f>Input!$TQ$19</f>
        <v>0</v>
      </c>
      <c r="X66" s="303">
        <f t="shared" si="15"/>
        <v>11648072</v>
      </c>
      <c r="Z66" s="292" t="s">
        <v>260</v>
      </c>
      <c r="AA66" s="518">
        <f>Input!$TY$19</f>
        <v>12419709</v>
      </c>
      <c r="AB66" s="301">
        <f t="shared" si="16"/>
        <v>0</v>
      </c>
    </row>
    <row r="67" spans="1:28" ht="13.5" thickBot="1">
      <c r="A67" s="184">
        <v>50</v>
      </c>
      <c r="B67" s="160" t="s">
        <v>21</v>
      </c>
      <c r="C67" s="160"/>
      <c r="D67" s="372">
        <f>Input!$MZ$19</f>
        <v>1234605</v>
      </c>
      <c r="E67" s="372">
        <f>Input!$NA$19</f>
        <v>3878104</v>
      </c>
      <c r="F67" s="372">
        <f>Input!$NB$19</f>
        <v>0</v>
      </c>
      <c r="G67" s="372">
        <f>Input!$NC$19</f>
        <v>11972863</v>
      </c>
      <c r="H67" s="372">
        <f>Input!$ND$19</f>
        <v>0</v>
      </c>
      <c r="I67" s="372">
        <f>Input!$NE$19</f>
        <v>0</v>
      </c>
      <c r="J67" s="372">
        <f>Input!$NF$19</f>
        <v>0</v>
      </c>
      <c r="K67" s="372">
        <f>Input!$NG$19</f>
        <v>0</v>
      </c>
      <c r="L67" s="372">
        <f>Input!$NH$19</f>
        <v>0</v>
      </c>
      <c r="M67" s="373">
        <f t="shared" si="12"/>
        <v>17085572</v>
      </c>
      <c r="N67" s="160"/>
      <c r="O67" s="440">
        <f t="shared" si="17"/>
        <v>17085572</v>
      </c>
      <c r="P67" s="518">
        <f>Input!$SZ$19</f>
        <v>0</v>
      </c>
      <c r="Q67" s="441" t="s">
        <v>259</v>
      </c>
      <c r="R67" s="304" t="s">
        <v>259</v>
      </c>
      <c r="S67" s="442"/>
      <c r="T67" s="306">
        <f t="shared" si="13"/>
        <v>17085572</v>
      </c>
      <c r="U67" s="307">
        <f t="shared" si="14"/>
        <v>0</v>
      </c>
      <c r="V67" s="308">
        <f>Input!$TJ$19</f>
        <v>0</v>
      </c>
      <c r="W67" s="308">
        <f>Input!$TR$19</f>
        <v>0</v>
      </c>
      <c r="X67" s="303">
        <f>U67+T67-V67-W67</f>
        <v>17085572</v>
      </c>
      <c r="Z67" s="292" t="s">
        <v>21</v>
      </c>
      <c r="AA67" s="518">
        <f>Input!$TZ$19</f>
        <v>17085572</v>
      </c>
      <c r="AB67" s="301">
        <f t="shared" si="16"/>
        <v>0</v>
      </c>
    </row>
    <row r="68" spans="1:28" ht="14.25" thickTop="1" thickBot="1">
      <c r="A68" s="184">
        <v>51</v>
      </c>
      <c r="B68" s="160" t="s">
        <v>2135</v>
      </c>
      <c r="C68" s="160"/>
      <c r="D68" s="372">
        <f>Input!$NI$19</f>
        <v>0</v>
      </c>
      <c r="E68" s="372">
        <f>Input!$NJ$19</f>
        <v>0</v>
      </c>
      <c r="F68" s="372">
        <f>Input!$NK$19</f>
        <v>19468544</v>
      </c>
      <c r="G68" s="372">
        <f>Input!$NL$19</f>
        <v>0</v>
      </c>
      <c r="H68" s="372">
        <f>Input!$NM$19</f>
        <v>0</v>
      </c>
      <c r="I68" s="372">
        <f>Input!$NN$19</f>
        <v>0</v>
      </c>
      <c r="J68" s="372">
        <f>Input!$NO$19</f>
        <v>0</v>
      </c>
      <c r="K68" s="372">
        <f>Input!$NP$19</f>
        <v>0</v>
      </c>
      <c r="L68" s="372">
        <f>Input!$NQ$19</f>
        <v>0</v>
      </c>
      <c r="M68" s="373">
        <f t="shared" si="12"/>
        <v>19468544</v>
      </c>
      <c r="N68" s="160"/>
      <c r="O68" s="309" t="s">
        <v>259</v>
      </c>
      <c r="P68" s="519">
        <f>Input!$TA$19</f>
        <v>87111</v>
      </c>
      <c r="Q68" s="444" t="s">
        <v>259</v>
      </c>
      <c r="R68" s="311" t="s">
        <v>259</v>
      </c>
      <c r="S68" s="442"/>
      <c r="T68" s="305"/>
      <c r="U68" s="305"/>
      <c r="V68" s="312" t="s">
        <v>261</v>
      </c>
      <c r="W68" s="313"/>
      <c r="X68" s="314">
        <f>SUM(X60:X67)</f>
        <v>128141322</v>
      </c>
      <c r="Z68" s="292" t="s">
        <v>22</v>
      </c>
      <c r="AA68" s="518">
        <f>Input!$UA$19</f>
        <v>19468544</v>
      </c>
      <c r="AB68" s="301">
        <f t="shared" si="16"/>
        <v>0</v>
      </c>
    </row>
    <row r="69" spans="1:28" ht="14.25" thickTop="1" thickBot="1">
      <c r="A69" s="184">
        <v>52</v>
      </c>
      <c r="B69" s="161" t="s">
        <v>59</v>
      </c>
      <c r="C69" s="161"/>
      <c r="D69" s="372">
        <f>Input!$NR$19</f>
        <v>221284</v>
      </c>
      <c r="E69" s="372">
        <f>Input!$NS$19</f>
        <v>1397121</v>
      </c>
      <c r="F69" s="372">
        <f>Input!$NT$19</f>
        <v>87111</v>
      </c>
      <c r="G69" s="372">
        <f>Input!$NU$19</f>
        <v>309482</v>
      </c>
      <c r="H69" s="372">
        <f>Input!$NV$19</f>
        <v>0</v>
      </c>
      <c r="I69" s="372">
        <f>Input!$NW$19</f>
        <v>0</v>
      </c>
      <c r="J69" s="372">
        <f>Input!$NX$19</f>
        <v>0</v>
      </c>
      <c r="K69" s="372">
        <f>Input!$NY$19</f>
        <v>0</v>
      </c>
      <c r="L69" s="372">
        <f>Input!$NZ$19</f>
        <v>0</v>
      </c>
      <c r="M69" s="373">
        <f t="shared" si="12"/>
        <v>2014998</v>
      </c>
      <c r="N69" s="160"/>
      <c r="O69" s="315"/>
      <c r="P69" s="316">
        <f>SUM(P60:P68)</f>
        <v>2014998</v>
      </c>
      <c r="Q69" s="316">
        <f>SUM(Q64:Q68)</f>
        <v>0</v>
      </c>
      <c r="R69" s="317">
        <f>SUM(R60:R65)</f>
        <v>99386976</v>
      </c>
      <c r="S69" s="316"/>
      <c r="T69" s="305"/>
      <c r="U69" s="305"/>
      <c r="V69" s="305"/>
      <c r="W69" s="277"/>
      <c r="X69" s="277"/>
      <c r="Y69" s="277"/>
      <c r="Z69" s="292" t="s">
        <v>285</v>
      </c>
      <c r="AA69" s="445">
        <f>M88*-1</f>
        <v>12971337</v>
      </c>
      <c r="AB69" s="301">
        <f>AA69+M88</f>
        <v>0</v>
      </c>
    </row>
    <row r="70" spans="1:28" ht="14.25" thickTop="1" thickBot="1">
      <c r="A70" s="184">
        <v>53</v>
      </c>
      <c r="B70" s="178" t="s">
        <v>44</v>
      </c>
      <c r="C70" s="178"/>
      <c r="D70" s="378">
        <f>Input!$OA$19</f>
        <v>0</v>
      </c>
      <c r="E70" s="378">
        <f>Input!$OB$19</f>
        <v>430165</v>
      </c>
      <c r="F70" s="378">
        <f>Input!$OC$19</f>
        <v>0</v>
      </c>
      <c r="G70" s="378">
        <f>Input!$OD$19</f>
        <v>0</v>
      </c>
      <c r="H70" s="378">
        <f>Input!$OE$19</f>
        <v>0</v>
      </c>
      <c r="I70" s="378">
        <f>Input!$OF$19</f>
        <v>0</v>
      </c>
      <c r="J70" s="378">
        <f>Input!$OG$19</f>
        <v>0</v>
      </c>
      <c r="K70" s="378">
        <f>Input!$OH$19</f>
        <v>0</v>
      </c>
      <c r="L70" s="378">
        <f>Input!$OI$19</f>
        <v>1184663</v>
      </c>
      <c r="M70" s="373">
        <f t="shared" si="12"/>
        <v>1614828</v>
      </c>
      <c r="N70" s="160"/>
      <c r="O70" s="320"/>
      <c r="P70" s="516" t="str">
        <f>IF(P69&lt;&gt;M69,"Out of Balance","Balanced")</f>
        <v>Balanced</v>
      </c>
      <c r="Q70" s="318"/>
      <c r="R70" s="305"/>
      <c r="S70" s="305"/>
      <c r="T70" s="305"/>
      <c r="U70" s="277"/>
      <c r="V70" s="1738" t="str">
        <f>IF(X68-INT(X68)&lt;&gt;0,"Whole Dollars Only","")</f>
        <v/>
      </c>
      <c r="W70" s="1738"/>
      <c r="X70" s="537"/>
      <c r="Y70" s="319"/>
      <c r="Z70" s="410" t="s">
        <v>262</v>
      </c>
      <c r="AA70" s="446" t="s">
        <v>259</v>
      </c>
      <c r="AB70" s="411">
        <f>M90</f>
        <v>0</v>
      </c>
    </row>
    <row r="71" spans="1:28" ht="13.5" thickTop="1">
      <c r="A71" s="184">
        <v>54</v>
      </c>
      <c r="B71" s="162" t="s">
        <v>69</v>
      </c>
      <c r="C71" s="162"/>
      <c r="D71" s="374">
        <f>SUM(D60:D70)</f>
        <v>55623078</v>
      </c>
      <c r="E71" s="374">
        <f>SUM(E60:E70)</f>
        <v>37604562</v>
      </c>
      <c r="F71" s="374">
        <f t="shared" ref="F71:L71" si="19">SUM(F60:F70)</f>
        <v>19555655</v>
      </c>
      <c r="G71" s="374">
        <f t="shared" si="19"/>
        <v>35706057</v>
      </c>
      <c r="H71" s="374">
        <f t="shared" si="19"/>
        <v>13140</v>
      </c>
      <c r="I71" s="374">
        <f t="shared" si="19"/>
        <v>0</v>
      </c>
      <c r="J71" s="374">
        <f t="shared" si="19"/>
        <v>1937316</v>
      </c>
      <c r="K71" s="374">
        <f t="shared" si="19"/>
        <v>0</v>
      </c>
      <c r="L71" s="374">
        <f t="shared" si="19"/>
        <v>1184663</v>
      </c>
      <c r="M71" s="374">
        <f t="shared" si="12"/>
        <v>151624471</v>
      </c>
      <c r="N71" s="160"/>
      <c r="O71" s="322"/>
      <c r="P71" s="1738" t="str">
        <f>IF(P69-INT(P69)&lt;&gt;0,"Whole Dollars Only","")</f>
        <v/>
      </c>
      <c r="Q71" s="1738"/>
      <c r="R71" s="323"/>
      <c r="S71" s="323"/>
      <c r="T71" s="323"/>
      <c r="U71" s="291"/>
      <c r="V71" s="324"/>
      <c r="W71" s="321"/>
      <c r="X71" s="321"/>
      <c r="Y71" s="321"/>
      <c r="Z71" s="318"/>
      <c r="AA71" s="325">
        <f>SUM(AA60:AA70)</f>
        <v>160965982</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Input!$OJ$19</f>
        <v>0</v>
      </c>
      <c r="E74" s="372">
        <f>Input!$OK$19</f>
        <v>0</v>
      </c>
      <c r="F74" s="372">
        <f>Input!$OL$19</f>
        <v>0</v>
      </c>
      <c r="G74" s="372">
        <f>Input!$OM$19</f>
        <v>0</v>
      </c>
      <c r="H74" s="372">
        <f>Input!$ON$19</f>
        <v>0</v>
      </c>
      <c r="I74" s="372">
        <f>Input!$OO$19</f>
        <v>0</v>
      </c>
      <c r="J74" s="372">
        <f>Input!$OP$19</f>
        <v>-4109446</v>
      </c>
      <c r="K74" s="372">
        <f>Input!$OQ$19</f>
        <v>0</v>
      </c>
      <c r="L74" s="372">
        <f>Input!$OR$19</f>
        <v>0</v>
      </c>
      <c r="M74" s="373">
        <f>D74+E74+F74+G74+H74+I74+J74+K74+L74</f>
        <v>-4109446</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Input!$OS$19</f>
        <v>1888857</v>
      </c>
      <c r="E75" s="372">
        <f>Input!$OT$19</f>
        <v>902600</v>
      </c>
      <c r="F75" s="372">
        <f>Input!$OU$19</f>
        <v>9732619</v>
      </c>
      <c r="G75" s="372">
        <f>Input!$OV$19</f>
        <v>-16708661</v>
      </c>
      <c r="H75" s="372">
        <f>Input!$OW$19</f>
        <v>-732763</v>
      </c>
      <c r="I75" s="372">
        <f>Input!$OX$19</f>
        <v>983365</v>
      </c>
      <c r="J75" s="372">
        <f>Input!$OY$19</f>
        <v>9162055</v>
      </c>
      <c r="K75" s="372">
        <f>Input!$OZ$19</f>
        <v>0</v>
      </c>
      <c r="L75" s="372">
        <f>Input!$PA$19</f>
        <v>0</v>
      </c>
      <c r="M75" s="373">
        <f>D75+E75+F75+G75+H75+I75+J75+K75+L75</f>
        <v>5228072</v>
      </c>
      <c r="N75" s="160"/>
      <c r="O75" s="1723" t="str">
        <f>IF(M85&lt;0,"Footnote 11 is N/A - No Data Entry Required","Footnote 11")</f>
        <v>Footnote 11</v>
      </c>
      <c r="P75" s="1724"/>
      <c r="Q75" s="1724"/>
      <c r="R75" s="1725"/>
      <c r="S75" s="330"/>
      <c r="T75" s="330"/>
      <c r="U75" s="327"/>
      <c r="V75" s="276"/>
      <c r="W75" s="331"/>
      <c r="X75" s="331"/>
      <c r="Y75" s="328"/>
      <c r="Z75" s="328"/>
      <c r="AA75" s="276"/>
      <c r="AB75" s="276" t="s">
        <v>293</v>
      </c>
    </row>
    <row r="76" spans="1:28" ht="13.5" thickTop="1">
      <c r="A76" s="184">
        <v>59</v>
      </c>
      <c r="B76" s="160" t="s">
        <v>45</v>
      </c>
      <c r="C76" s="160"/>
      <c r="D76" s="372">
        <f>Input!$PB$19</f>
        <v>0</v>
      </c>
      <c r="E76" s="372">
        <f>Input!$PC$19</f>
        <v>0</v>
      </c>
      <c r="F76" s="372">
        <f>Input!$PD$19</f>
        <v>0</v>
      </c>
      <c r="G76" s="372">
        <f>Input!$PE$19</f>
        <v>0</v>
      </c>
      <c r="H76" s="372">
        <f>Input!$PF$19</f>
        <v>0</v>
      </c>
      <c r="I76" s="372">
        <f>Input!$PG$19</f>
        <v>0</v>
      </c>
      <c r="J76" s="372">
        <f>Input!$PH$19</f>
        <v>0</v>
      </c>
      <c r="K76" s="372">
        <f>Input!$PI$19</f>
        <v>0</v>
      </c>
      <c r="L76" s="372">
        <f>Input!$PJ$19</f>
        <v>0</v>
      </c>
      <c r="M76" s="373">
        <f>D76+E76+F76+G76+H76+I76+J76+K76+L76</f>
        <v>0</v>
      </c>
      <c r="N76" s="160"/>
      <c r="O76" s="487" t="s">
        <v>583</v>
      </c>
      <c r="P76" s="488"/>
      <c r="Q76" s="489"/>
      <c r="R76" s="490">
        <f>IF($M$85&lt;0,"N/A",$M$85)</f>
        <v>33823621</v>
      </c>
      <c r="S76" s="330"/>
      <c r="T76" s="330"/>
      <c r="U76" s="327"/>
      <c r="V76" s="276"/>
      <c r="W76" s="331"/>
      <c r="X76" s="331"/>
      <c r="Y76" s="331"/>
      <c r="Z76" s="331"/>
      <c r="AA76" s="276"/>
      <c r="AB76" s="276"/>
    </row>
    <row r="77" spans="1:28">
      <c r="A77" s="184">
        <v>60</v>
      </c>
      <c r="B77" s="160" t="s">
        <v>46</v>
      </c>
      <c r="C77" s="160"/>
      <c r="D77" s="372">
        <f>Input!$PK$19</f>
        <v>-8004990</v>
      </c>
      <c r="E77" s="372">
        <f>Input!$PL$19</f>
        <v>-284536</v>
      </c>
      <c r="F77" s="372">
        <f>Input!$PM$19</f>
        <v>-5381502</v>
      </c>
      <c r="G77" s="372">
        <f>Input!$PN$19</f>
        <v>0</v>
      </c>
      <c r="H77" s="372">
        <f>Input!$PO$19</f>
        <v>0</v>
      </c>
      <c r="I77" s="372">
        <f>Input!$PP$19</f>
        <v>0</v>
      </c>
      <c r="J77" s="372">
        <f>Input!$PQ$19</f>
        <v>0</v>
      </c>
      <c r="K77" s="372">
        <f>Input!$PR$19</f>
        <v>0</v>
      </c>
      <c r="L77" s="372">
        <f>Input!$PS$19</f>
        <v>0</v>
      </c>
      <c r="M77" s="373">
        <f>D77+E77+F77+G77+H77+I77+J77+K77+L77</f>
        <v>-13671028</v>
      </c>
      <c r="N77" s="160"/>
      <c r="O77" s="491" t="s">
        <v>584</v>
      </c>
      <c r="P77" s="334"/>
      <c r="Q77" s="334"/>
      <c r="R77" s="521">
        <f>Input!$UB$19</f>
        <v>17567756</v>
      </c>
      <c r="S77" s="330"/>
      <c r="T77" s="330"/>
      <c r="U77" s="327"/>
      <c r="V77" s="276"/>
      <c r="W77" s="331"/>
      <c r="X77" s="331"/>
      <c r="Y77" s="331"/>
      <c r="Z77" s="331"/>
      <c r="AA77" s="276"/>
      <c r="AB77" s="276"/>
    </row>
    <row r="78" spans="1:28">
      <c r="A78" s="184">
        <v>61</v>
      </c>
      <c r="B78" s="162" t="s">
        <v>3</v>
      </c>
      <c r="C78" s="162"/>
      <c r="D78" s="374">
        <f t="shared" ref="D78:L78" si="20">SUM(D74:D77)</f>
        <v>-6116133</v>
      </c>
      <c r="E78" s="374">
        <f t="shared" si="20"/>
        <v>618064</v>
      </c>
      <c r="F78" s="374">
        <f t="shared" si="20"/>
        <v>4351117</v>
      </c>
      <c r="G78" s="374">
        <f t="shared" si="20"/>
        <v>-16708661</v>
      </c>
      <c r="H78" s="374">
        <f t="shared" si="20"/>
        <v>-732763</v>
      </c>
      <c r="I78" s="374">
        <f t="shared" si="20"/>
        <v>983365</v>
      </c>
      <c r="J78" s="374">
        <f t="shared" si="20"/>
        <v>5052609</v>
      </c>
      <c r="K78" s="374">
        <f t="shared" si="20"/>
        <v>0</v>
      </c>
      <c r="L78" s="374">
        <f t="shared" si="20"/>
        <v>0</v>
      </c>
      <c r="M78" s="374">
        <f>D78+E78+F78+G78+H78+I78+J78+K78+L78</f>
        <v>-12552402</v>
      </c>
      <c r="N78" s="160"/>
      <c r="O78" s="491" t="s">
        <v>585</v>
      </c>
      <c r="P78" s="276"/>
      <c r="Q78" s="334"/>
      <c r="R78" s="492">
        <f>IF($M$85&lt;0,"",$R$76-$R$77)</f>
        <v>16255865</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3"/>
      <c r="P79" s="276"/>
      <c r="Q79" s="334"/>
      <c r="R79" s="494"/>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5" t="s">
        <v>586</v>
      </c>
      <c r="P80" s="276"/>
      <c r="Q80" s="334"/>
      <c r="R80" s="521">
        <f>Input!$UC$19</f>
        <v>16232608</v>
      </c>
      <c r="S80" s="330"/>
      <c r="T80" s="330"/>
      <c r="U80" s="334"/>
      <c r="V80" s="276"/>
      <c r="W80" s="328"/>
      <c r="X80" s="328"/>
      <c r="Y80" s="331"/>
      <c r="Z80" s="331"/>
      <c r="AA80" s="276"/>
      <c r="AB80" s="276"/>
    </row>
    <row r="81" spans="1:28">
      <c r="A81" s="184">
        <v>64</v>
      </c>
      <c r="B81" s="160" t="s">
        <v>47</v>
      </c>
      <c r="C81" s="160"/>
      <c r="D81" s="372">
        <f>Input!$PT$19</f>
        <v>0</v>
      </c>
      <c r="E81" s="372">
        <f>Input!$PU$19</f>
        <v>8775136</v>
      </c>
      <c r="F81" s="372">
        <f>Input!$PV$19</f>
        <v>0</v>
      </c>
      <c r="G81" s="372">
        <f>Input!$PW$19</f>
        <v>2973914</v>
      </c>
      <c r="H81" s="372">
        <f>Input!$PX$19</f>
        <v>72625</v>
      </c>
      <c r="I81" s="372">
        <f>Input!$PY$19</f>
        <v>4410933</v>
      </c>
      <c r="J81" s="372">
        <f>Input!$PZ$19</f>
        <v>0</v>
      </c>
      <c r="K81" s="372">
        <f>Input!$QA$19</f>
        <v>0</v>
      </c>
      <c r="L81" s="372">
        <f>Input!$QB$19</f>
        <v>0</v>
      </c>
      <c r="M81" s="373">
        <f>D81+E81+F81+G81+H81+I81+J81+K81+L81</f>
        <v>16232608</v>
      </c>
      <c r="N81" s="160"/>
      <c r="O81" s="496" t="s">
        <v>587</v>
      </c>
      <c r="P81" s="276"/>
      <c r="Q81" s="276"/>
      <c r="R81" s="497"/>
      <c r="S81" s="330"/>
      <c r="T81" s="330"/>
      <c r="W81" s="276"/>
      <c r="X81" s="276"/>
      <c r="Y81" s="331"/>
      <c r="Z81" s="331"/>
      <c r="AA81" s="276"/>
      <c r="AB81" s="276"/>
    </row>
    <row r="82" spans="1:28">
      <c r="A82" s="184">
        <v>65</v>
      </c>
      <c r="B82" s="160" t="s">
        <v>48</v>
      </c>
      <c r="C82" s="160"/>
      <c r="D82" s="372">
        <f>Input!$QC$19</f>
        <v>0</v>
      </c>
      <c r="E82" s="372">
        <f>Input!$QD$19</f>
        <v>0</v>
      </c>
      <c r="F82" s="372">
        <f>Input!$QE$19</f>
        <v>0</v>
      </c>
      <c r="G82" s="372">
        <f>Input!$QF$19</f>
        <v>0</v>
      </c>
      <c r="H82" s="372">
        <f>Input!$QG$19</f>
        <v>0</v>
      </c>
      <c r="I82" s="372">
        <f>Input!$QH$19</f>
        <v>23257</v>
      </c>
      <c r="J82" s="372">
        <f>Input!$QI$19</f>
        <v>0</v>
      </c>
      <c r="K82" s="372">
        <f>Input!$QJ$19</f>
        <v>0</v>
      </c>
      <c r="L82" s="372">
        <f>Input!$QK$19</f>
        <v>0</v>
      </c>
      <c r="M82" s="373">
        <f>D82+E82+F82+G82+H82+I82+J82+K82+L82</f>
        <v>23257</v>
      </c>
      <c r="N82" s="160"/>
      <c r="O82" s="498" t="s">
        <v>588</v>
      </c>
      <c r="P82" s="276"/>
      <c r="Q82" s="276"/>
      <c r="R82" s="492">
        <f>IFERROR($R$78-$R$80,"")</f>
        <v>23257</v>
      </c>
      <c r="Y82" s="331"/>
      <c r="Z82" s="401"/>
      <c r="AA82" s="268"/>
      <c r="AB82" s="268"/>
    </row>
    <row r="83" spans="1:28">
      <c r="A83" s="184">
        <v>66</v>
      </c>
      <c r="B83" s="162" t="s">
        <v>3</v>
      </c>
      <c r="C83" s="162"/>
      <c r="D83" s="374">
        <f t="shared" ref="D83:L83" si="21">SUM(D81:D82)</f>
        <v>0</v>
      </c>
      <c r="E83" s="374">
        <f t="shared" si="21"/>
        <v>8775136</v>
      </c>
      <c r="F83" s="374">
        <f t="shared" si="21"/>
        <v>0</v>
      </c>
      <c r="G83" s="374">
        <f t="shared" si="21"/>
        <v>2973914</v>
      </c>
      <c r="H83" s="374">
        <f t="shared" si="21"/>
        <v>72625</v>
      </c>
      <c r="I83" s="374">
        <f t="shared" si="21"/>
        <v>4434190</v>
      </c>
      <c r="J83" s="374">
        <f t="shared" si="21"/>
        <v>0</v>
      </c>
      <c r="K83" s="374">
        <f t="shared" si="21"/>
        <v>0</v>
      </c>
      <c r="L83" s="374">
        <f t="shared" si="21"/>
        <v>0</v>
      </c>
      <c r="M83" s="374">
        <f>D83+E83+F83+G83+H83+I83+J83+K83+L83</f>
        <v>16255865</v>
      </c>
      <c r="N83" s="160"/>
      <c r="O83" s="493"/>
      <c r="P83" s="276"/>
      <c r="Q83" s="276"/>
      <c r="R83" s="497"/>
      <c r="Y83" s="163"/>
      <c r="Z83" s="447"/>
      <c r="AA83" s="439"/>
      <c r="AB83" s="448"/>
    </row>
    <row r="84" spans="1:28" ht="13.5" thickBot="1">
      <c r="A84" s="184">
        <v>67</v>
      </c>
      <c r="B84" s="160"/>
      <c r="C84" s="160"/>
      <c r="D84" s="373"/>
      <c r="E84" s="373"/>
      <c r="F84" s="373"/>
      <c r="G84" s="373"/>
      <c r="H84" s="373"/>
      <c r="I84" s="373"/>
      <c r="J84" s="373"/>
      <c r="K84" s="373"/>
      <c r="L84" s="373"/>
      <c r="M84" s="373"/>
      <c r="N84" s="160"/>
      <c r="O84" s="499" t="s">
        <v>589</v>
      </c>
      <c r="P84" s="500"/>
      <c r="Q84" s="500"/>
      <c r="R84" s="501">
        <f>IFERROR((R82+R80)-R78,"")</f>
        <v>0</v>
      </c>
      <c r="Y84" s="268"/>
      <c r="Z84" s="447"/>
      <c r="AA84" s="439"/>
      <c r="AB84" s="449"/>
    </row>
    <row r="85" spans="1:28" ht="13.5" thickTop="1">
      <c r="A85" s="184">
        <v>68</v>
      </c>
      <c r="B85" s="162" t="s">
        <v>574</v>
      </c>
      <c r="C85" s="162"/>
      <c r="D85" s="374">
        <f t="shared" ref="D85:L85" si="22">D57-D71+D78+D83</f>
        <v>5088962</v>
      </c>
      <c r="E85" s="374">
        <f t="shared" si="22"/>
        <v>14769503</v>
      </c>
      <c r="F85" s="374">
        <f t="shared" si="22"/>
        <v>1082917</v>
      </c>
      <c r="G85" s="374">
        <f t="shared" si="22"/>
        <v>6480526</v>
      </c>
      <c r="H85" s="374">
        <f t="shared" si="22"/>
        <v>-598434</v>
      </c>
      <c r="I85" s="374">
        <f t="shared" si="22"/>
        <v>5418367</v>
      </c>
      <c r="J85" s="374">
        <f t="shared" si="22"/>
        <v>3115293</v>
      </c>
      <c r="K85" s="374">
        <f t="shared" si="22"/>
        <v>0</v>
      </c>
      <c r="L85" s="374">
        <f t="shared" si="22"/>
        <v>-1533513</v>
      </c>
      <c r="M85" s="374">
        <f>D85+E85+F85+G85+H85+I85+J85+K85+L85</f>
        <v>33823621</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Input!$QL$19</f>
        <v>0</v>
      </c>
      <c r="E87" s="372">
        <f>Input!$QM$19</f>
        <v>0</v>
      </c>
      <c r="F87" s="372">
        <f>Input!$QN$19</f>
        <v>0</v>
      </c>
      <c r="G87" s="372">
        <f>Input!$QO$19</f>
        <v>0</v>
      </c>
      <c r="H87" s="372">
        <f>Input!$QP$19</f>
        <v>0</v>
      </c>
      <c r="I87" s="372">
        <f>Input!$QQ$19</f>
        <v>0</v>
      </c>
      <c r="J87" s="372">
        <f>Input!$QR$19</f>
        <v>0</v>
      </c>
      <c r="K87" s="372">
        <f>Input!$QS$19</f>
        <v>0</v>
      </c>
      <c r="L87" s="372">
        <f>Input!$QT$19</f>
        <v>0</v>
      </c>
      <c r="M87" s="329">
        <f>D87+E87+F87+G87+H87+I87+J87+K87+L87</f>
        <v>0</v>
      </c>
      <c r="N87" s="160"/>
      <c r="Y87" s="268"/>
      <c r="Z87" s="447"/>
      <c r="AA87" s="439"/>
      <c r="AB87" s="449"/>
    </row>
    <row r="88" spans="1:28">
      <c r="A88" s="184">
        <v>72</v>
      </c>
      <c r="B88" s="160" t="s">
        <v>66</v>
      </c>
      <c r="C88" s="160"/>
      <c r="D88" s="372">
        <f>Input!$QU$19</f>
        <v>0</v>
      </c>
      <c r="E88" s="372">
        <f>Input!$QV$19</f>
        <v>0</v>
      </c>
      <c r="F88" s="372">
        <f>Input!$QW$19</f>
        <v>0</v>
      </c>
      <c r="G88" s="372">
        <f>Input!$QX$19</f>
        <v>0</v>
      </c>
      <c r="H88" s="372">
        <f>Input!$QY$19</f>
        <v>0</v>
      </c>
      <c r="I88" s="372">
        <f>Input!$QZ$19</f>
        <v>0</v>
      </c>
      <c r="J88" s="372">
        <f>Input!$RA$19</f>
        <v>0</v>
      </c>
      <c r="K88" s="372">
        <f>Input!$RB$19</f>
        <v>0</v>
      </c>
      <c r="L88" s="372">
        <f>Input!$RC$19</f>
        <v>-12971337</v>
      </c>
      <c r="M88" s="373">
        <f>D88+E88+F88+G88+H88+I88+J88+K88+L88</f>
        <v>-12971337</v>
      </c>
      <c r="N88" s="160"/>
      <c r="O88" s="270"/>
      <c r="P88" s="335"/>
      <c r="Y88" s="268"/>
      <c r="Z88" s="447"/>
      <c r="AA88" s="439"/>
      <c r="AB88" s="449"/>
    </row>
    <row r="89" spans="1:28" s="264" customFormat="1">
      <c r="A89" s="263"/>
      <c r="B89" s="171" t="s">
        <v>216</v>
      </c>
      <c r="C89" s="171"/>
      <c r="D89" s="372">
        <f>Input!$RD$19</f>
        <v>0</v>
      </c>
      <c r="E89" s="372">
        <f>Input!$RE$19</f>
        <v>0</v>
      </c>
      <c r="F89" s="372">
        <f>Input!$RF$19</f>
        <v>0</v>
      </c>
      <c r="G89" s="372">
        <f>Input!$RG$19</f>
        <v>0</v>
      </c>
      <c r="H89" s="372">
        <f>Input!$RH$19</f>
        <v>0</v>
      </c>
      <c r="I89" s="372">
        <f>Input!$RI$19</f>
        <v>0</v>
      </c>
      <c r="J89" s="372">
        <f>Input!$RJ$19</f>
        <v>0</v>
      </c>
      <c r="K89" s="372">
        <f>Input!$RK$19</f>
        <v>0</v>
      </c>
      <c r="L89" s="372">
        <f>Input!$RL$19</f>
        <v>890150</v>
      </c>
      <c r="M89" s="373">
        <f t="shared" ref="M89:M91" si="23">D89+E89+F89+G89+H89+I89+J89+K89+L89</f>
        <v>890150</v>
      </c>
      <c r="N89" s="160"/>
      <c r="O89" s="1726" t="s">
        <v>1355</v>
      </c>
      <c r="P89" s="1727"/>
      <c r="Q89" s="1727"/>
      <c r="R89" s="1727"/>
      <c r="S89" s="1727"/>
      <c r="T89" s="1727"/>
      <c r="U89" s="1728"/>
      <c r="Y89" s="268"/>
      <c r="Z89" s="447"/>
      <c r="AA89" s="439"/>
      <c r="AB89" s="449"/>
    </row>
    <row r="90" spans="1:28" s="264" customFormat="1">
      <c r="A90" s="263"/>
      <c r="B90" s="171" t="s">
        <v>105</v>
      </c>
      <c r="C90" s="171"/>
      <c r="D90" s="372">
        <f>Input!$RM$19</f>
        <v>0</v>
      </c>
      <c r="E90" s="372">
        <f>Input!$RN$19</f>
        <v>0</v>
      </c>
      <c r="F90" s="372">
        <f>Input!$RO$19</f>
        <v>0</v>
      </c>
      <c r="G90" s="372">
        <f>Input!$RP$19</f>
        <v>0</v>
      </c>
      <c r="H90" s="372">
        <f>Input!$RQ$19</f>
        <v>0</v>
      </c>
      <c r="I90" s="372">
        <f>Input!$RR$19</f>
        <v>0</v>
      </c>
      <c r="J90" s="372">
        <f>Input!$RS$19</f>
        <v>0</v>
      </c>
      <c r="K90" s="372">
        <f>Input!$RT$19</f>
        <v>0</v>
      </c>
      <c r="L90" s="372">
        <f>Input!$RU$19</f>
        <v>0</v>
      </c>
      <c r="M90" s="373">
        <f t="shared" si="23"/>
        <v>0</v>
      </c>
      <c r="N90" s="160"/>
      <c r="O90" s="502" t="s">
        <v>590</v>
      </c>
      <c r="P90" s="423"/>
      <c r="Q90" s="502" t="s">
        <v>591</v>
      </c>
      <c r="R90" s="423"/>
      <c r="S90" s="503"/>
      <c r="T90" s="502" t="s">
        <v>592</v>
      </c>
      <c r="U90" s="423"/>
      <c r="Y90" s="268"/>
      <c r="Z90" s="447"/>
      <c r="AA90" s="439"/>
      <c r="AB90" s="449"/>
    </row>
    <row r="91" spans="1:28" s="264" customFormat="1">
      <c r="A91" s="263"/>
      <c r="B91" s="171" t="s">
        <v>128</v>
      </c>
      <c r="C91" s="171"/>
      <c r="D91" s="372">
        <f>Input!$RV$19</f>
        <v>0</v>
      </c>
      <c r="E91" s="372">
        <f>Input!$RW$19</f>
        <v>0</v>
      </c>
      <c r="F91" s="372">
        <f>Input!$RX$19</f>
        <v>0</v>
      </c>
      <c r="G91" s="372">
        <f>Input!$RY$19</f>
        <v>0</v>
      </c>
      <c r="H91" s="372">
        <f>Input!$RZ$19</f>
        <v>0</v>
      </c>
      <c r="I91" s="372">
        <f>Input!$SA$19</f>
        <v>0</v>
      </c>
      <c r="J91" s="372">
        <f>Input!$SB$19</f>
        <v>0</v>
      </c>
      <c r="K91" s="372">
        <f>Input!$SC$19</f>
        <v>0</v>
      </c>
      <c r="L91" s="372">
        <f>Input!$SD$19</f>
        <v>64411</v>
      </c>
      <c r="M91" s="373">
        <f t="shared" si="23"/>
        <v>64411</v>
      </c>
      <c r="N91" s="160"/>
      <c r="O91" s="504"/>
      <c r="P91" s="505"/>
      <c r="Q91" s="504"/>
      <c r="R91" s="426"/>
      <c r="S91" s="276"/>
      <c r="T91" s="506"/>
      <c r="U91" s="426"/>
      <c r="Y91" s="268"/>
      <c r="Z91" s="447"/>
      <c r="AA91" s="439"/>
      <c r="AB91" s="449"/>
    </row>
    <row r="92" spans="1:28" s="264" customFormat="1">
      <c r="A92" s="263"/>
      <c r="B92" s="160" t="s">
        <v>67</v>
      </c>
      <c r="C92" s="160"/>
      <c r="D92" s="372">
        <f>Input!$SE$19</f>
        <v>221284</v>
      </c>
      <c r="E92" s="372">
        <f>Input!$SF$19</f>
        <v>1397121</v>
      </c>
      <c r="F92" s="372">
        <f>Input!$SG$19</f>
        <v>87111</v>
      </c>
      <c r="G92" s="372">
        <f>Input!$SH$19</f>
        <v>309482</v>
      </c>
      <c r="H92" s="372">
        <f>Input!$SI$19</f>
        <v>0</v>
      </c>
      <c r="I92" s="372">
        <f>Input!$SJ$19</f>
        <v>0</v>
      </c>
      <c r="J92" s="372">
        <f>Input!$SK$19</f>
        <v>4109446</v>
      </c>
      <c r="K92" s="372">
        <f>Input!$SL$19</f>
        <v>0</v>
      </c>
      <c r="L92" s="372">
        <f>Input!$SM$19</f>
        <v>0</v>
      </c>
      <c r="M92" s="373">
        <f>D92+E92+F92+G92+H92+I92+J92+K92+L92</f>
        <v>6124444</v>
      </c>
      <c r="N92" s="160"/>
      <c r="O92" s="1729" t="str">
        <f>Input!UF$19</f>
        <v>Chris Arrington</v>
      </c>
      <c r="P92" s="1730"/>
      <c r="Q92" s="1729" t="str">
        <f>Input!$UG$19</f>
        <v>979-458-9151</v>
      </c>
      <c r="R92" s="1730"/>
      <c r="S92" s="276"/>
      <c r="T92" s="1731" t="str">
        <f>HYPERLINK("Mailto:"&amp;Input!$UH$19,Input!$UH$19)</f>
        <v>carrington@tamus.edu</v>
      </c>
      <c r="U92" s="1730"/>
      <c r="Y92" s="268"/>
      <c r="Z92" s="447"/>
      <c r="AA92" s="442"/>
      <c r="AB92" s="449"/>
    </row>
    <row r="93" spans="1:28" ht="13.5" thickBot="1">
      <c r="B93" s="179" t="s">
        <v>58</v>
      </c>
      <c r="C93" s="179"/>
      <c r="D93" s="380">
        <f t="shared" ref="D93:K93" si="24">SUM(D85:D92)</f>
        <v>5310246</v>
      </c>
      <c r="E93" s="380">
        <f t="shared" si="24"/>
        <v>16166624</v>
      </c>
      <c r="F93" s="380">
        <f t="shared" si="24"/>
        <v>1170028</v>
      </c>
      <c r="G93" s="380">
        <f t="shared" si="24"/>
        <v>6790008</v>
      </c>
      <c r="H93" s="380">
        <f t="shared" si="24"/>
        <v>-598434</v>
      </c>
      <c r="I93" s="380">
        <f t="shared" si="24"/>
        <v>5418367</v>
      </c>
      <c r="J93" s="380">
        <f t="shared" si="24"/>
        <v>7224739</v>
      </c>
      <c r="K93" s="380">
        <f t="shared" si="24"/>
        <v>0</v>
      </c>
      <c r="L93" s="380">
        <f>SUM(L85:L92)</f>
        <v>-13550289</v>
      </c>
      <c r="M93" s="380">
        <f>D93+E93+F93+G93+H93+I93+J93+K93+L93</f>
        <v>27931289</v>
      </c>
      <c r="N93" s="160"/>
      <c r="O93" s="506"/>
      <c r="P93" s="507"/>
      <c r="Q93" s="276"/>
      <c r="R93" s="276"/>
      <c r="S93" s="276"/>
      <c r="T93" s="507"/>
      <c r="U93" s="508"/>
      <c r="Y93" s="268"/>
      <c r="Z93" s="447"/>
      <c r="AA93" s="442"/>
      <c r="AB93" s="449"/>
    </row>
    <row r="94" spans="1:28" ht="13.5" thickTop="1">
      <c r="C94" s="160"/>
      <c r="D94" s="165"/>
      <c r="E94" s="165"/>
      <c r="F94" s="165"/>
      <c r="G94" s="165"/>
      <c r="H94" s="165"/>
      <c r="I94" s="165"/>
      <c r="J94" s="165"/>
      <c r="K94" s="165"/>
      <c r="L94" s="165"/>
      <c r="M94" s="180"/>
      <c r="N94" s="160"/>
      <c r="O94" s="1720" t="s">
        <v>593</v>
      </c>
      <c r="P94" s="1721"/>
      <c r="Q94" s="1721"/>
      <c r="R94" s="1721"/>
      <c r="S94" s="1721"/>
      <c r="T94" s="1721"/>
      <c r="U94" s="1722"/>
      <c r="Y94" s="268"/>
      <c r="Z94" s="451"/>
      <c r="AA94" s="442"/>
      <c r="AB94" s="449"/>
    </row>
    <row r="95" spans="1:28">
      <c r="B95" s="171" t="s">
        <v>1369</v>
      </c>
      <c r="C95" s="169"/>
      <c r="D95" s="165"/>
      <c r="E95" s="165"/>
      <c r="F95" s="165"/>
      <c r="G95" s="165"/>
      <c r="H95" s="165"/>
      <c r="I95" s="165"/>
      <c r="J95" s="165"/>
      <c r="K95" s="165"/>
      <c r="L95" s="165"/>
      <c r="M95" s="180"/>
      <c r="N95" s="160"/>
      <c r="O95" s="1720"/>
      <c r="P95" s="1721"/>
      <c r="Q95" s="1721"/>
      <c r="R95" s="1721"/>
      <c r="S95" s="1721"/>
      <c r="T95" s="1721"/>
      <c r="U95" s="1722"/>
      <c r="Y95" s="268"/>
      <c r="Z95" s="452"/>
      <c r="AA95" s="453"/>
      <c r="AB95" s="454"/>
    </row>
    <row r="96" spans="1:28">
      <c r="B96" s="169" t="s">
        <v>80</v>
      </c>
      <c r="C96" s="160"/>
      <c r="D96" s="165"/>
      <c r="E96" s="165"/>
      <c r="F96" s="165"/>
      <c r="G96" s="165"/>
      <c r="H96" s="165"/>
      <c r="I96" s="165"/>
      <c r="J96" s="165"/>
      <c r="K96" s="165"/>
      <c r="L96" s="165"/>
      <c r="M96" s="180"/>
      <c r="N96" s="160"/>
      <c r="O96" s="509"/>
      <c r="P96" s="510"/>
      <c r="Q96" s="511"/>
      <c r="R96" s="511"/>
      <c r="S96" s="511"/>
      <c r="T96" s="510"/>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Input!$SN$19</f>
        <v>27931289</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3" t="str">
        <f>IF($L$118&lt;&gt;Input!$F$19,"Out of Balance","Balanced")</f>
        <v>Balanced</v>
      </c>
      <c r="M102" s="517"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114197590</v>
      </c>
      <c r="E105" s="373">
        <f>SUM($E$10:$E$14)+SUM($E$19:$E$28)+SUM($E$32:$E$41)+$E$47+SUM($E$50:$E$55)+SUM($E$60:$E$70)+SUM($E$74:$E$77)+SUM($E$81:$E$82)+SUM($E$87:$E$92)</f>
        <v>91375748</v>
      </c>
      <c r="F105" s="373">
        <f>SUM($F$10:$F$14)+SUM($F$19:$F$28)+SUM($F$32:$F$41)+$F$47+SUM($F$50:$F$55)+SUM($F$60:$F$70)+SUM($F$74:$F$77)+SUM($F$81:$F$82)+SUM($F$87:$F$92)</f>
        <v>40281338</v>
      </c>
      <c r="G105" s="373">
        <f>SUM($G$10:$G$14)+SUM($G$19:$G$28)+SUM($G$32:$G$41)+$G$47+SUM($G$50:$G$55)+SUM($G$60:$G$70)+SUM($G$74:$G$77)+SUM($G$81:$G$82)+SUM($G$87:$G$92)</f>
        <v>78202122</v>
      </c>
      <c r="H105" s="373">
        <f>SUM($H$10:$H$14)+SUM($H$19:$H$28)+SUM($H$32:$H$41)+$H$47+SUM($H$50:$H$55)+SUM($H$60:$H$70)+SUM($H$74:$H$77)+SUM($H$81:$H$82)+SUM($H$87:$H$92)</f>
        <v>-572154</v>
      </c>
      <c r="I105" s="373">
        <f>SUM($I$10:$I$14)+SUM($I$19:$I$28)+SUM($I$32:$I$41)+$I$47+SUM($I$50:$I$55)+SUM($I$60:$I$70)+SUM($I$74:$I$77)+SUM($I$81:$I$82)+SUM($I$87:$I$92)</f>
        <v>5418367</v>
      </c>
      <c r="J105" s="373">
        <f>SUM($J$10:$J$14)+SUM($J$19:$J$28)+SUM($J$32:$J$41)+$J$47+SUM($J$50:$J$55)+SUM($J$60:$J$70)+SUM($J$74:$J$77)+SUM($J$81:$J$82)+SUM($J$87:$J$92)</f>
        <v>11099371</v>
      </c>
      <c r="K105" s="373">
        <f>SUM($K$10:$K$14)+SUM($K$19:$K$28)+SUM($K$32:$K$41)+$K$47+SUM($K$50:$K$55)+SUM($K$60:$K$70)+SUM($K$74:$K$77)+SUM($K$81:$K$82)+SUM($K$87:$K$92)</f>
        <v>0</v>
      </c>
      <c r="L105" s="373">
        <f>SUM($L$10:$L$14)+SUM($L$19:$L$28)+SUM($L$32:$L$41)+$L$47+SUM($L$50:$L$55)+SUM($L$60:$L$70)+SUM($L$74:$L$77)+SUM($L$81:$L$82)+SUM($L$87:$L$92)</f>
        <v>-11180963</v>
      </c>
      <c r="M105" s="373"/>
      <c r="N105" s="264"/>
      <c r="O105" s="373"/>
      <c r="P105" s="450">
        <f>M18-INT(M18)</f>
        <v>0</v>
      </c>
    </row>
    <row r="106" spans="2:28">
      <c r="B106" s="261"/>
      <c r="C106" s="261"/>
      <c r="D106" s="261"/>
      <c r="E106" s="261"/>
      <c r="F106" s="261"/>
      <c r="G106" s="261"/>
      <c r="H106" s="261"/>
      <c r="I106" s="261"/>
      <c r="J106" s="261"/>
      <c r="K106" s="261"/>
      <c r="L106" s="373">
        <f>SUM($D$105:$L$105)</f>
        <v>328821419</v>
      </c>
      <c r="M106" s="261"/>
      <c r="N106" s="264"/>
      <c r="O106" s="373"/>
      <c r="P106" s="450">
        <f>M31-INT(M31)</f>
        <v>0</v>
      </c>
    </row>
    <row r="107" spans="2:28">
      <c r="B107" s="261"/>
      <c r="C107" s="261"/>
      <c r="D107" s="261"/>
      <c r="E107" s="261"/>
      <c r="F107" s="261"/>
      <c r="G107" s="261"/>
      <c r="H107" s="261"/>
      <c r="I107" s="261"/>
      <c r="J107" s="261" t="s">
        <v>1299</v>
      </c>
      <c r="K107" s="261"/>
      <c r="L107" s="373">
        <f>$M$100</f>
        <v>27931289</v>
      </c>
      <c r="M107" s="261"/>
      <c r="N107" s="264"/>
      <c r="O107" s="373"/>
      <c r="P107" s="450">
        <f>M93-INT(M93)</f>
        <v>0</v>
      </c>
    </row>
    <row r="108" spans="2:28">
      <c r="B108" s="261"/>
      <c r="C108" s="261"/>
      <c r="D108" s="261"/>
      <c r="E108" s="261"/>
      <c r="F108" s="261"/>
      <c r="G108" s="261"/>
      <c r="H108" s="261"/>
      <c r="I108" s="261"/>
      <c r="J108" s="261" t="s">
        <v>1300</v>
      </c>
      <c r="K108" s="261"/>
      <c r="L108" s="512">
        <f>$Q$32</f>
        <v>60331700</v>
      </c>
      <c r="M108" s="261"/>
      <c r="N108" s="264"/>
      <c r="O108" s="373"/>
    </row>
    <row r="109" spans="2:28">
      <c r="B109" s="261"/>
      <c r="C109" s="261"/>
      <c r="D109" s="261"/>
      <c r="E109" s="261"/>
      <c r="F109" s="261"/>
      <c r="G109" s="261"/>
      <c r="H109" s="261"/>
      <c r="I109" s="261"/>
      <c r="J109" s="261" t="s">
        <v>1300</v>
      </c>
      <c r="K109" s="261"/>
      <c r="L109" s="512">
        <f>$R$34</f>
        <v>-20744568</v>
      </c>
      <c r="M109" s="261"/>
      <c r="N109" s="264"/>
      <c r="O109" s="373"/>
    </row>
    <row r="110" spans="2:28">
      <c r="B110" s="261"/>
      <c r="C110" s="261"/>
      <c r="D110" s="261"/>
      <c r="E110" s="261"/>
      <c r="F110" s="261"/>
      <c r="G110" s="261"/>
      <c r="H110" s="261"/>
      <c r="I110" s="261"/>
      <c r="J110" s="261" t="s">
        <v>29</v>
      </c>
      <c r="K110" s="261"/>
      <c r="L110" s="512">
        <f>SUM($P$60:$P$68)</f>
        <v>2014998</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2">
        <f>SUM($V$60:$V$67)</f>
        <v>362210</v>
      </c>
      <c r="M112" s="261"/>
      <c r="N112" s="264"/>
      <c r="O112" s="373"/>
    </row>
    <row r="113" spans="2:15">
      <c r="B113" s="261"/>
      <c r="C113" s="261"/>
      <c r="D113" s="261"/>
      <c r="E113" s="261"/>
      <c r="F113" s="261"/>
      <c r="G113" s="261"/>
      <c r="H113" s="261"/>
      <c r="I113" s="261"/>
      <c r="J113" s="261" t="s">
        <v>596</v>
      </c>
      <c r="K113" s="261"/>
      <c r="L113" s="512">
        <f>SUM($W$60:$W$67)</f>
        <v>0</v>
      </c>
      <c r="M113" s="261"/>
      <c r="N113" s="264"/>
      <c r="O113" s="373"/>
    </row>
    <row r="114" spans="2:15">
      <c r="B114" s="261"/>
      <c r="C114" s="261"/>
      <c r="D114" s="261"/>
      <c r="E114" s="261"/>
      <c r="F114" s="261"/>
      <c r="G114" s="261"/>
      <c r="H114" s="261"/>
      <c r="I114" s="261"/>
      <c r="J114" s="261" t="s">
        <v>258</v>
      </c>
      <c r="K114" s="261"/>
      <c r="L114" s="512">
        <f>SUM($AA$60:$AA$68)</f>
        <v>147994645</v>
      </c>
      <c r="M114" s="261"/>
      <c r="N114" s="264"/>
      <c r="O114" s="373"/>
    </row>
    <row r="115" spans="2:15">
      <c r="B115" s="261"/>
      <c r="C115" s="261"/>
      <c r="D115" s="261"/>
      <c r="E115" s="261"/>
      <c r="F115" s="261"/>
      <c r="G115" s="261"/>
      <c r="H115" s="261"/>
      <c r="I115" s="261"/>
      <c r="J115" s="261" t="s">
        <v>597</v>
      </c>
      <c r="K115" s="261"/>
      <c r="L115" s="512">
        <f>$R$77</f>
        <v>17567756</v>
      </c>
      <c r="M115" s="261"/>
      <c r="N115" s="264"/>
      <c r="O115" s="373"/>
    </row>
    <row r="116" spans="2:15">
      <c r="B116" s="261"/>
      <c r="C116" s="261"/>
      <c r="D116" s="261"/>
      <c r="E116" s="261"/>
      <c r="F116" s="261"/>
      <c r="G116" s="261"/>
      <c r="H116" s="261"/>
      <c r="I116" s="261"/>
      <c r="J116" s="261" t="s">
        <v>597</v>
      </c>
      <c r="K116" s="261"/>
      <c r="L116" s="512">
        <f>$R$80</f>
        <v>16232608</v>
      </c>
      <c r="M116" s="261"/>
      <c r="N116" s="264"/>
      <c r="O116" s="373"/>
    </row>
    <row r="117" spans="2:15">
      <c r="B117" s="261"/>
      <c r="C117" s="261"/>
      <c r="D117" s="261"/>
      <c r="E117" s="261"/>
      <c r="F117" s="261"/>
      <c r="G117" s="261"/>
      <c r="H117" s="261"/>
      <c r="I117" s="261"/>
      <c r="J117" s="261" t="s">
        <v>1231</v>
      </c>
      <c r="K117" s="261"/>
      <c r="L117" s="1008">
        <f>VLOOKUP(B2,Names!B5:$C$87,2,FALSE)</f>
        <v>3639</v>
      </c>
      <c r="M117" s="261"/>
      <c r="N117" s="264"/>
      <c r="O117" s="373"/>
    </row>
    <row r="118" spans="2:15">
      <c r="B118" s="261"/>
      <c r="C118" s="261"/>
      <c r="D118" s="261"/>
      <c r="E118" s="261"/>
      <c r="F118" s="261"/>
      <c r="G118" s="261"/>
      <c r="H118" s="261"/>
      <c r="I118" s="261"/>
      <c r="J118" s="261"/>
      <c r="K118" s="261"/>
      <c r="L118" s="373">
        <f>SUM(L106:L117)</f>
        <v>580515696</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V56:V59"/>
    <mergeCell ref="W56:W59"/>
    <mergeCell ref="G59:K59"/>
    <mergeCell ref="AA56:AA59"/>
    <mergeCell ref="Z55:AB55"/>
    <mergeCell ref="R56:R59"/>
    <mergeCell ref="O55:R55"/>
    <mergeCell ref="T55:X55"/>
    <mergeCell ref="X56:X59"/>
    <mergeCell ref="AB56:AB59"/>
    <mergeCell ref="Z56:Z59"/>
    <mergeCell ref="B2:F2"/>
    <mergeCell ref="B3:F3"/>
    <mergeCell ref="B4:F4"/>
    <mergeCell ref="B6:M6"/>
    <mergeCell ref="P4:Q4"/>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s>
  <conditionalFormatting sqref="U87:X88 O88:Q88">
    <cfRule type="cellIs" dxfId="953" priority="246" stopIfTrue="1" operator="notEqual">
      <formula>#REF!</formula>
    </cfRule>
  </conditionalFormatting>
  <conditionalFormatting sqref="P70">
    <cfRule type="expression" dxfId="952" priority="225">
      <formula>$P$69&lt;&gt;$M$69</formula>
    </cfRule>
  </conditionalFormatting>
  <conditionalFormatting sqref="AB72">
    <cfRule type="expression" dxfId="951" priority="224">
      <formula>$AB$71&lt;&gt;0</formula>
    </cfRule>
  </conditionalFormatting>
  <conditionalFormatting sqref="P71">
    <cfRule type="expression" dxfId="950" priority="223">
      <formula>P69-INT(P69)</formula>
    </cfRule>
  </conditionalFormatting>
  <conditionalFormatting sqref="V70">
    <cfRule type="expression" dxfId="949" priority="221">
      <formula>X68-INT(X68)</formula>
    </cfRule>
  </conditionalFormatting>
  <conditionalFormatting sqref="O12">
    <cfRule type="expression" dxfId="948" priority="212">
      <formula>$P$12&lt;&gt;$M$12</formula>
    </cfRule>
  </conditionalFormatting>
  <conditionalFormatting sqref="U87:U88 O88:Q88">
    <cfRule type="cellIs" dxfId="947" priority="205" stopIfTrue="1" operator="notEqual">
      <formula>#REF!</formula>
    </cfRule>
  </conditionalFormatting>
  <conditionalFormatting sqref="R84">
    <cfRule type="expression" priority="203" stopIfTrue="1">
      <formula>$M$85&lt;0</formula>
    </cfRule>
    <cfRule type="expression" dxfId="946" priority="204">
      <formula>$S$85&lt;&gt;0</formula>
    </cfRule>
  </conditionalFormatting>
  <conditionalFormatting sqref="R80 R77">
    <cfRule type="expression" dxfId="945" priority="201" stopIfTrue="1">
      <formula>$M$85&gt;=0</formula>
    </cfRule>
    <cfRule type="expression" priority="202">
      <formula>$M$85&lt;0</formula>
    </cfRule>
  </conditionalFormatting>
  <conditionalFormatting sqref="U87:U88 O88:Q88">
    <cfRule type="cellIs" dxfId="944" priority="200" stopIfTrue="1" operator="notEqual">
      <formula>#REF!</formula>
    </cfRule>
  </conditionalFormatting>
  <conditionalFormatting sqref="O13">
    <cfRule type="expression" dxfId="943" priority="184">
      <formula>$P$13&lt;&gt;$M$13</formula>
    </cfRule>
  </conditionalFormatting>
  <conditionalFormatting sqref="U87:U88 O88:Q88">
    <cfRule type="cellIs" dxfId="942" priority="183" stopIfTrue="1" operator="notEqual">
      <formula>#REF!</formula>
    </cfRule>
  </conditionalFormatting>
  <conditionalFormatting sqref="Q36">
    <cfRule type="expression" dxfId="941" priority="27">
      <formula>#REF!&lt;&gt;#REF!</formula>
    </cfRule>
  </conditionalFormatting>
  <conditionalFormatting sqref="R35">
    <cfRule type="expression" dxfId="940" priority="26">
      <formula>#REF!&lt;&gt;0</formula>
    </cfRule>
  </conditionalFormatting>
  <conditionalFormatting sqref="Q35">
    <cfRule type="expression" dxfId="939" priority="25">
      <formula>#REF!&lt;&gt;0</formula>
    </cfRule>
  </conditionalFormatting>
  <conditionalFormatting sqref="R36">
    <cfRule type="expression" dxfId="938" priority="24">
      <formula>#REF!&lt;&gt;#REF!</formula>
    </cfRule>
  </conditionalFormatting>
  <conditionalFormatting sqref="D93:M98 T94:T95 R90:S95 U87:X93 T90:T92 Y90:Y95 O88:O92 P88:Q93">
    <cfRule type="cellIs" dxfId="937" priority="23" stopIfTrue="1" operator="notEqual">
      <formula>#REF!</formula>
    </cfRule>
  </conditionalFormatting>
  <conditionalFormatting sqref="P70">
    <cfRule type="expression" dxfId="936" priority="22">
      <formula>$P$69&lt;&gt;$M$69</formula>
    </cfRule>
  </conditionalFormatting>
  <conditionalFormatting sqref="AB72">
    <cfRule type="expression" dxfId="935" priority="21">
      <formula>$AB$71&lt;&gt;0</formula>
    </cfRule>
  </conditionalFormatting>
  <conditionalFormatting sqref="P71">
    <cfRule type="expression" dxfId="934" priority="20">
      <formula>P69-INT(P69)</formula>
    </cfRule>
  </conditionalFormatting>
  <conditionalFormatting sqref="V70">
    <cfRule type="expression" dxfId="933" priority="19">
      <formula>X68-INT(X68)</formula>
    </cfRule>
  </conditionalFormatting>
  <conditionalFormatting sqref="O12">
    <cfRule type="expression" dxfId="932" priority="18">
      <formula>$P$12&lt;&gt;$M$12</formula>
    </cfRule>
  </conditionalFormatting>
  <conditionalFormatting sqref="T94:T95 R90:S95 U87:U93 T90:T92 O88:O92 P88:Q93">
    <cfRule type="cellIs" dxfId="931" priority="16" stopIfTrue="1" operator="notEqual">
      <formula>#REF!</formula>
    </cfRule>
  </conditionalFormatting>
  <conditionalFormatting sqref="R84">
    <cfRule type="expression" priority="14" stopIfTrue="1">
      <formula>$M$85&lt;0</formula>
    </cfRule>
    <cfRule type="expression" dxfId="930" priority="15">
      <formula>$S$85&lt;&gt;0</formula>
    </cfRule>
  </conditionalFormatting>
  <conditionalFormatting sqref="R80 R77">
    <cfRule type="expression" dxfId="929" priority="12" stopIfTrue="1">
      <formula>$M$85&gt;=0</formula>
    </cfRule>
    <cfRule type="expression" priority="13">
      <formula>$M$85&lt;0</formula>
    </cfRule>
  </conditionalFormatting>
  <conditionalFormatting sqref="U87:U88 R89:U92 O88:Q92">
    <cfRule type="cellIs" dxfId="928" priority="11" stopIfTrue="1" operator="notEqual">
      <formula>#REF!</formula>
    </cfRule>
  </conditionalFormatting>
  <conditionalFormatting sqref="M101">
    <cfRule type="expression" dxfId="927" priority="10">
      <formula>$M$101&lt;&gt;0</formula>
    </cfRule>
  </conditionalFormatting>
  <conditionalFormatting sqref="M102">
    <cfRule type="expression" dxfId="926" priority="9">
      <formula>$M$93&lt;&gt;$M$100</formula>
    </cfRule>
  </conditionalFormatting>
  <conditionalFormatting sqref="U87:U92 R90:T92 O88:Q92">
    <cfRule type="cellIs" dxfId="925" priority="8" stopIfTrue="1" operator="notEqual">
      <formula>#REF!</formula>
    </cfRule>
  </conditionalFormatting>
  <conditionalFormatting sqref="T89:U89 Q91 T90 O89:O90 P89:Q89 R89:S91">
    <cfRule type="cellIs" dxfId="924" priority="7" stopIfTrue="1" operator="notEqual">
      <formula>#REF!</formula>
    </cfRule>
  </conditionalFormatting>
  <conditionalFormatting sqref="Q36">
    <cfRule type="expression" dxfId="923" priority="6">
      <formula>#REF!&lt;&gt;#REF!</formula>
    </cfRule>
  </conditionalFormatting>
  <conditionalFormatting sqref="R35">
    <cfRule type="expression" dxfId="922" priority="5">
      <formula>#REF!&lt;&gt;0</formula>
    </cfRule>
  </conditionalFormatting>
  <conditionalFormatting sqref="Q35">
    <cfRule type="expression" dxfId="921" priority="4">
      <formula>#REF!&lt;&gt;0</formula>
    </cfRule>
  </conditionalFormatting>
  <conditionalFormatting sqref="R36">
    <cfRule type="expression" dxfId="920" priority="3">
      <formula>#REF!&lt;&gt;#REF!</formula>
    </cfRule>
  </conditionalFormatting>
  <conditionalFormatting sqref="G59:K59">
    <cfRule type="expression" dxfId="919" priority="1">
      <formula>OR($P$105&gt;0,$P$106&lt;&gt;0,$P$107&lt;&gt;0)</formula>
    </cfRule>
  </conditionalFormatting>
  <hyperlinks>
    <hyperlink ref="O2" location="Index!A1" display="Return to Index" xr:uid="{00000000-0004-0000-4F00-000000000000}"/>
  </hyperlinks>
  <printOptions horizontalCentered="1"/>
  <pageMargins left="0.5" right="0.5" top="0.25" bottom="0.25" header="0" footer="0.25"/>
  <pageSetup scale="10" orientation="landscape"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66"/>
  <dimension ref="A1:G30"/>
  <sheetViews>
    <sheetView showGridLines="0" zoomScale="80" zoomScaleNormal="80" workbookViewId="0">
      <selection activeCell="E74" sqref="E74:F74"/>
    </sheetView>
  </sheetViews>
  <sheetFormatPr defaultColWidth="9.140625" defaultRowHeight="12.75"/>
  <cols>
    <col min="1" max="1" width="7" style="53" customWidth="1"/>
    <col min="2" max="2" width="93.140625" style="53" customWidth="1"/>
    <col min="3" max="3" width="17.5703125" style="53" customWidth="1"/>
    <col min="4" max="9" width="9.140625" style="53"/>
    <col min="10" max="10" width="15" style="53" customWidth="1"/>
    <col min="11" max="16384" width="9.140625" style="53"/>
  </cols>
  <sheetData>
    <row r="1" spans="2:6" ht="18.75" thickBot="1">
      <c r="B1" s="466" t="str">
        <f>'TAMUK Chrts'!$A$1</f>
        <v>Texas A&amp;M University - Kingsville</v>
      </c>
      <c r="C1" s="835" t="s">
        <v>1200</v>
      </c>
    </row>
    <row r="2" spans="2:6">
      <c r="B2" s="393" t="str">
        <f>'Smmy Chrts'!$A$2</f>
        <v>For the Year Ended August 31, 2021</v>
      </c>
    </row>
    <row r="3" spans="2:6">
      <c r="B3" s="393" t="str">
        <f>'Smmy Chrts'!$A$3</f>
        <v>Source: FY 2021 Annual Financial Report</v>
      </c>
    </row>
    <row r="5" spans="2:6" customFormat="1">
      <c r="B5" s="529" t="s">
        <v>705</v>
      </c>
    </row>
    <row r="6" spans="2:6" customFormat="1">
      <c r="B6" s="530"/>
    </row>
    <row r="7" spans="2:6" customFormat="1" ht="226.5" customHeight="1">
      <c r="B7" s="531" t="s">
        <v>706</v>
      </c>
      <c r="C7" s="532"/>
    </row>
    <row r="8" spans="2:6" customFormat="1" ht="263.25" customHeight="1">
      <c r="B8" s="531" t="s">
        <v>707</v>
      </c>
    </row>
    <row r="9" spans="2:6" ht="64.5" customHeight="1">
      <c r="B9" s="533" t="str">
        <f>IF('TAMUK FGD'!$R$76="N/A","FN11.  N/A",$B$20&amp;$B$21&amp;$B$22&amp;$B$23&amp;$B$24&amp;$B$25&amp;$B$26&amp;$B$27&amp;$B$28&amp;$B$29&amp;$B$30)</f>
        <v>FN11: Of the net increase of $33,823,621 approximately $17.6 million represents revenues received but not yet expended. This income is fully committed to program expenditures and capital disbursements. The remaining $16.3 million represents non-expendable funds from unrealized gains and additions to permanent endowments of approximately $16.2 million and $23 thousand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TEXT(IF('TAMUK FGD'!$M$85&lt;0,"N/A",'TAMUK FGD'!$M$85),"$* #,##0;$* (#,##0)")</f>
        <v>$33,823,621</v>
      </c>
      <c r="C21" s="480"/>
      <c r="D21" s="480"/>
      <c r="E21" s="480"/>
      <c r="G21" s="105"/>
    </row>
    <row r="22" spans="1:7">
      <c r="B22" s="105" t="s">
        <v>682</v>
      </c>
    </row>
    <row r="23" spans="1:7">
      <c r="A23" s="53">
        <v>61</v>
      </c>
      <c r="B23" s="515" t="str">
        <f>IF(ABS('TAMUK FGD'!$R$77)&gt;=1000000,TEXT('TAMUK FGD'!$R$77/1000000,"$* #,##0.0;$* (#,##0.0)")&amp;" million",IF(ABS('TAMUK FGD'!$R$77)&lt;1000,TEXT('TAMUK FGD'!$R$77,"$* #,##0;$* (#,##0)"),TEXT('TAMUK FGD'!$R$77/1000,"$* #,##0;$* (#,##0)")&amp;" thousand"))</f>
        <v>$17.6 million</v>
      </c>
      <c r="C23" s="515"/>
      <c r="E23" s="515"/>
    </row>
    <row r="24" spans="1:7">
      <c r="B24" s="105" t="s">
        <v>708</v>
      </c>
    </row>
    <row r="25" spans="1:7">
      <c r="A25" s="53">
        <v>62</v>
      </c>
      <c r="B25" s="515" t="str">
        <f>IF(ABS('TAMUK FGD'!$R$78)&gt;=1000000,TEXT('TAMUK FGD'!$R$78/1000000,"$* #,##0.0;$* (#,##0.0)")&amp;" million",IF(ABS('TAMUK FGD'!$R$78)&lt;1000,TEXT('TAMUK FGD'!$R$78,"$* #,##0;$* (#,##0)"),TEXT('TAMUK FGD'!$R$78/1000,"$* #,##0;$* (#,##0)")&amp;" thousand"))</f>
        <v>$16.3 million</v>
      </c>
      <c r="C25" s="515"/>
      <c r="E25" s="515"/>
    </row>
    <row r="26" spans="1:7">
      <c r="B26" s="105" t="s">
        <v>683</v>
      </c>
    </row>
    <row r="27" spans="1:7">
      <c r="A27" s="53">
        <v>64</v>
      </c>
      <c r="B27" s="515" t="str">
        <f>IF(ABS('TAMUK FGD'!$R$80)&gt;=1000000,TEXT('TAMUK FGD'!$R$80/1000000,"$* #,##0.0;$* (#,##0.0)")&amp;" million",IF(ABS('TAMUK FGD'!$R$80)&lt;1000,TEXT('TAMUK FGD'!$R$80,"$* #,##0;$* (#,##0)"),TEXT('TAMUK FGD'!$R$80/1000,"$* #,##0;$* (#,##0)")&amp;" thousand"))</f>
        <v>$16.2 million</v>
      </c>
      <c r="C27" s="515"/>
      <c r="E27" s="515"/>
    </row>
    <row r="28" spans="1:7">
      <c r="B28" s="105" t="s">
        <v>684</v>
      </c>
    </row>
    <row r="29" spans="1:7">
      <c r="A29" s="53">
        <v>66</v>
      </c>
      <c r="B29" s="515" t="str">
        <f>IF(ABS('TAMUK FGD'!$R$82)&gt;=1000000,TEXT('TAMUK FGD'!$R$82/1000000,"$* #,##0.0;$* (#,##0.0)")&amp;" million",IF(ABS('TAMUK FGD'!$R$82)&lt;1000,TEXT('TAMUK FGD'!$R$82,"$* #,##0;$* (#,##0)"),TEXT('TAMUK FGD'!$R$82/1000,"$* #,##0;$* (#,##0)")&amp;" thousand"))</f>
        <v>$23 thousand</v>
      </c>
      <c r="C29" s="515"/>
      <c r="E29" s="515"/>
    </row>
    <row r="30" spans="1:7">
      <c r="B30" s="105" t="s">
        <v>709</v>
      </c>
    </row>
  </sheetData>
  <hyperlinks>
    <hyperlink ref="C1" location="Index!A1" display="Return to Index" xr:uid="{00000000-0004-0000-5000-000000000000}"/>
  </hyperlinks>
  <pageMargins left="0.25" right="0.25" top="0.25" bottom="0.25" header="0" footer="0.25"/>
  <pageSetup orientation="portrait"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67">
    <tabColor indexed="47"/>
    <pageSetUpPr fitToPage="1"/>
  </sheetPr>
  <dimension ref="A1:E165"/>
  <sheetViews>
    <sheetView showGridLines="0" zoomScale="65" zoomScaleNormal="65" zoomScaleSheetLayoutView="65" workbookViewId="0">
      <selection activeCell="B124" sqref="B124"/>
    </sheetView>
  </sheetViews>
  <sheetFormatPr defaultColWidth="9.140625" defaultRowHeight="12.75" customHeight="1"/>
  <cols>
    <col min="1" max="1" width="158.7109375" style="53" customWidth="1"/>
    <col min="2" max="2" width="23.140625" style="53" customWidth="1"/>
    <col min="3" max="3" width="54.7109375" style="53" customWidth="1"/>
    <col min="4" max="4" width="20.7109375" style="53" customWidth="1"/>
    <col min="5" max="5" width="9.140625" style="679"/>
    <col min="6" max="16384" width="9.140625" style="53"/>
  </cols>
  <sheetData>
    <row r="1" spans="1:5" ht="28.5" thickBot="1">
      <c r="A1" s="159" t="s">
        <v>111</v>
      </c>
      <c r="B1" s="835" t="s">
        <v>1200</v>
      </c>
      <c r="C1" s="53" t="s">
        <v>1329</v>
      </c>
    </row>
    <row r="2" spans="1:5" ht="27.75">
      <c r="A2" s="54" t="str">
        <f>'Smmy Chrts'!$A$2</f>
        <v>For the Year Ended August 31, 2021</v>
      </c>
      <c r="C2" s="55" t="s">
        <v>63</v>
      </c>
    </row>
    <row r="3" spans="1:5" ht="27.75">
      <c r="A3" s="54" t="str">
        <f>'Smmy Chrts'!$A$3</f>
        <v>Source: FY 2021 Annual Financial Report</v>
      </c>
      <c r="C3" s="53" t="s">
        <v>64</v>
      </c>
    </row>
    <row r="4" spans="1:5" ht="12.75" customHeight="1">
      <c r="C4" s="53" t="s">
        <v>267</v>
      </c>
    </row>
    <row r="5" spans="1:5" ht="12.75" customHeight="1">
      <c r="C5" s="53" t="s">
        <v>268</v>
      </c>
    </row>
    <row r="7" spans="1:5" ht="12.75" customHeight="1">
      <c r="C7" s="1687" t="s">
        <v>25</v>
      </c>
      <c r="D7" s="1687"/>
    </row>
    <row r="8" spans="1:5" ht="12.75" customHeight="1">
      <c r="C8" s="57"/>
      <c r="D8" s="58"/>
    </row>
    <row r="9" spans="1:5" ht="12.75" customHeight="1">
      <c r="C9" s="59" t="str">
        <f>'TAMIU Sum'!A9</f>
        <v>State of Texas</v>
      </c>
      <c r="D9" s="60">
        <f>'TAMIU Sum'!B15</f>
        <v>56595086</v>
      </c>
      <c r="E9" s="680">
        <f>ROUND(D9/$D$14,3)</f>
        <v>0.35399999999999998</v>
      </c>
    </row>
    <row r="10" spans="1:5" ht="12.75" customHeight="1">
      <c r="C10" s="59" t="str">
        <f>'TAMIU Sum'!A17</f>
        <v>Student &amp; Parent</v>
      </c>
      <c r="D10" s="60">
        <f>'TAMIU Sum'!B20</f>
        <v>35768010</v>
      </c>
      <c r="E10" s="680">
        <f t="shared" ref="E10:E12" si="0">ROUND(D10/$D$14,3)</f>
        <v>0.223</v>
      </c>
    </row>
    <row r="11" spans="1:5" ht="12.75" customHeight="1">
      <c r="C11" s="59" t="str">
        <f>'TAMIU Sum'!A22</f>
        <v>Federal Government</v>
      </c>
      <c r="D11" s="60">
        <f>'TAMIU Sum'!B23</f>
        <v>51758469</v>
      </c>
      <c r="E11" s="680">
        <f t="shared" si="0"/>
        <v>0.32300000000000001</v>
      </c>
    </row>
    <row r="12" spans="1:5" ht="12.75" customHeight="1">
      <c r="C12" s="59" t="str">
        <f>'TAMIU Sum'!A25</f>
        <v>Institutional Resources</v>
      </c>
      <c r="D12" s="60">
        <f>'TAMIU Sum'!B32</f>
        <v>15925126</v>
      </c>
      <c r="E12" s="680">
        <f t="shared" si="0"/>
        <v>0.1</v>
      </c>
    </row>
    <row r="13" spans="1:5" ht="12.75" customHeight="1">
      <c r="C13" s="57"/>
      <c r="D13" s="58"/>
      <c r="E13" s="680"/>
    </row>
    <row r="14" spans="1:5" ht="12.75" customHeight="1">
      <c r="C14" s="61" t="s">
        <v>68</v>
      </c>
      <c r="D14" s="62">
        <f>SUM(D9:D13)</f>
        <v>160046691</v>
      </c>
      <c r="E14" s="680">
        <f>SUM(E9:E13)</f>
        <v>0.99999999999999989</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86" t="str">
        <f>C14&amp;" "&amp;TEXT(D14,"$#,###")</f>
        <v>Total Operating Sources $160,046,691</v>
      </c>
    </row>
    <row r="48" spans="1:1" ht="12.75" customHeight="1">
      <c r="A48" s="1686"/>
    </row>
    <row r="49" spans="1:5" ht="12.75" customHeight="1">
      <c r="A49" s="56"/>
    </row>
    <row r="52" spans="1:5" ht="12.75" customHeight="1">
      <c r="C52" s="63" t="s">
        <v>25</v>
      </c>
      <c r="D52" s="58"/>
    </row>
    <row r="54" spans="1:5" ht="12.75" customHeight="1">
      <c r="C54" s="59" t="s">
        <v>1</v>
      </c>
      <c r="D54" s="60">
        <f>'TAMIU Sum'!B10</f>
        <v>36675060</v>
      </c>
      <c r="E54" s="680">
        <f>ROUND(D54/$D$67,3)</f>
        <v>0.22900000000000001</v>
      </c>
    </row>
    <row r="55" spans="1:5" ht="12.75" customHeight="1">
      <c r="C55" s="59" t="s">
        <v>221</v>
      </c>
      <c r="D55" s="60">
        <f>'TAMIU Sum'!B11</f>
        <v>12457632</v>
      </c>
      <c r="E55" s="680">
        <f t="shared" ref="E55:E66" si="1">ROUND(D55/$D$67,3)</f>
        <v>7.8E-2</v>
      </c>
    </row>
    <row r="56" spans="1:5" ht="12.75" customHeight="1">
      <c r="C56" s="59"/>
      <c r="D56" s="60"/>
      <c r="E56" s="680"/>
    </row>
    <row r="57" spans="1:5" ht="12.75" customHeight="1">
      <c r="C57" s="59" t="str">
        <f>'TAMIU Sum'!A13</f>
        <v>Higher Education Fund</v>
      </c>
      <c r="D57" s="60">
        <f>'TAMIU Sum'!B13</f>
        <v>7462394</v>
      </c>
      <c r="E57" s="680">
        <f t="shared" si="1"/>
        <v>4.7E-2</v>
      </c>
    </row>
    <row r="58" spans="1:5" ht="12.75" customHeight="1">
      <c r="C58" s="1069" t="s">
        <v>41</v>
      </c>
      <c r="D58" s="60">
        <f>'TAMIU Sum'!B14</f>
        <v>0</v>
      </c>
      <c r="E58" s="680">
        <f t="shared" si="1"/>
        <v>0</v>
      </c>
    </row>
    <row r="59" spans="1:5" ht="12.75" customHeight="1">
      <c r="C59" s="59" t="s">
        <v>87</v>
      </c>
      <c r="D59" s="60">
        <f>'TAMIU Sum'!B20</f>
        <v>35768010</v>
      </c>
      <c r="E59" s="680">
        <f t="shared" si="1"/>
        <v>0.223</v>
      </c>
    </row>
    <row r="60" spans="1:5" ht="12.75" customHeight="1">
      <c r="C60" s="64" t="s">
        <v>74</v>
      </c>
      <c r="D60" s="60">
        <f>'TAMIU Sum'!B23</f>
        <v>51758469</v>
      </c>
      <c r="E60" s="680">
        <f t="shared" si="1"/>
        <v>0.32300000000000001</v>
      </c>
    </row>
    <row r="61" spans="1:5" ht="12.75" customHeight="1">
      <c r="C61" s="59" t="s">
        <v>75</v>
      </c>
      <c r="D61" s="60">
        <f>'TAMIU Sum'!B26</f>
        <v>5427885</v>
      </c>
      <c r="E61" s="680">
        <f t="shared" si="1"/>
        <v>3.4000000000000002E-2</v>
      </c>
    </row>
    <row r="62" spans="1:5" ht="12.75" customHeight="1">
      <c r="C62" s="1069" t="s">
        <v>27</v>
      </c>
      <c r="D62" s="60">
        <f>'TAMIU Sum'!B27</f>
        <v>0</v>
      </c>
      <c r="E62" s="680">
        <f t="shared" si="1"/>
        <v>0</v>
      </c>
    </row>
    <row r="63" spans="1:5" ht="12.75" customHeight="1">
      <c r="C63" s="59" t="s">
        <v>76</v>
      </c>
      <c r="D63" s="60">
        <f>'TAMIU Sum'!B28</f>
        <v>4248680</v>
      </c>
      <c r="E63" s="680">
        <f t="shared" si="1"/>
        <v>2.7E-2</v>
      </c>
    </row>
    <row r="64" spans="1:5" ht="12.75" customHeight="1">
      <c r="C64" s="59" t="s">
        <v>77</v>
      </c>
      <c r="D64" s="967">
        <f>'TAMIU Sum'!B29</f>
        <v>841177</v>
      </c>
      <c r="E64" s="680">
        <f t="shared" si="1"/>
        <v>5.0000000000000001E-3</v>
      </c>
    </row>
    <row r="65" spans="1:5" ht="12.75" customHeight="1">
      <c r="C65" s="59" t="s">
        <v>220</v>
      </c>
      <c r="D65" s="60">
        <f>'TAMIU Sum'!B30</f>
        <v>2014515</v>
      </c>
      <c r="E65" s="680">
        <f t="shared" si="1"/>
        <v>1.2999999999999999E-2</v>
      </c>
    </row>
    <row r="66" spans="1:5" ht="12.75" customHeight="1">
      <c r="C66" s="64" t="s">
        <v>52</v>
      </c>
      <c r="D66" s="60">
        <f>'TAMIU Sum'!B31</f>
        <v>3392869</v>
      </c>
      <c r="E66" s="680">
        <f t="shared" si="1"/>
        <v>2.1000000000000001E-2</v>
      </c>
    </row>
    <row r="67" spans="1:5" ht="12.75" customHeight="1">
      <c r="C67" s="61" t="s">
        <v>68</v>
      </c>
      <c r="D67" s="62">
        <f>SUM(D54:D66)</f>
        <v>160046691</v>
      </c>
      <c r="E67" s="681">
        <f>SUM(E54:E66)</f>
        <v>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86" t="str">
        <f>C67&amp;" "&amp;TEXT(D67,"$#,###")</f>
        <v>Total Operating Sources $160,046,691</v>
      </c>
    </row>
    <row r="93" spans="1:5" ht="12.75" customHeight="1">
      <c r="A93" s="1686"/>
    </row>
    <row r="94" spans="1:5" ht="12.75" customHeight="1">
      <c r="A94" s="65"/>
    </row>
    <row r="95" spans="1:5" s="68" customFormat="1" ht="12.75" customHeight="1">
      <c r="A95" s="66"/>
      <c r="E95" s="682"/>
    </row>
    <row r="96" spans="1:5" ht="12.75" customHeight="1">
      <c r="A96" s="65"/>
    </row>
    <row r="97" spans="1:5" ht="12.75" customHeight="1">
      <c r="A97" s="65"/>
    </row>
    <row r="98" spans="1:5" ht="12.75" customHeight="1">
      <c r="A98" s="65"/>
    </row>
    <row r="100" spans="1:5" ht="12.75" customHeight="1">
      <c r="C100" s="1687" t="s">
        <v>13</v>
      </c>
      <c r="D100" s="1687"/>
    </row>
    <row r="101" spans="1:5" ht="12.75" customHeight="1">
      <c r="C101" s="1687"/>
      <c r="D101" s="1687"/>
    </row>
    <row r="102" spans="1:5" ht="12.75" customHeight="1">
      <c r="C102" s="69" t="s">
        <v>14</v>
      </c>
      <c r="D102" s="60">
        <f>'TAMIU Sum'!B36</f>
        <v>33780408</v>
      </c>
      <c r="E102" s="680">
        <f>ROUND(D102/$D$114,3)</f>
        <v>0.26200000000000001</v>
      </c>
    </row>
    <row r="103" spans="1:5" ht="12.75" customHeight="1">
      <c r="C103" s="69" t="s">
        <v>15</v>
      </c>
      <c r="D103" s="60">
        <f>'TAMIU Sum'!B37</f>
        <v>2825306</v>
      </c>
      <c r="E103" s="680">
        <f t="shared" ref="E103:E112" si="2">ROUND(D103/$D$114,3)</f>
        <v>2.1999999999999999E-2</v>
      </c>
    </row>
    <row r="104" spans="1:5" ht="12.75" customHeight="1">
      <c r="C104" s="69" t="s">
        <v>16</v>
      </c>
      <c r="D104" s="60">
        <f>'TAMIU Sum'!B38</f>
        <v>2362868</v>
      </c>
      <c r="E104" s="680">
        <f t="shared" si="2"/>
        <v>1.7999999999999999E-2</v>
      </c>
    </row>
    <row r="105" spans="1:5" ht="12.75" customHeight="1">
      <c r="C105" s="69" t="s">
        <v>17</v>
      </c>
      <c r="D105" s="60">
        <f>'TAMIU Sum'!B39</f>
        <v>19230853</v>
      </c>
      <c r="E105" s="680">
        <f t="shared" si="2"/>
        <v>0.14899999999999999</v>
      </c>
    </row>
    <row r="106" spans="1:5" ht="12.75" customHeight="1">
      <c r="C106" s="69" t="s">
        <v>18</v>
      </c>
      <c r="D106" s="60">
        <f>'TAMIU Sum'!B40</f>
        <v>8129536</v>
      </c>
      <c r="E106" s="680">
        <f t="shared" si="2"/>
        <v>6.3E-2</v>
      </c>
    </row>
    <row r="107" spans="1:5" ht="12.75" customHeight="1">
      <c r="C107" s="69" t="s">
        <v>19</v>
      </c>
      <c r="D107" s="60">
        <f>'TAMIU Sum'!B41</f>
        <v>7056819</v>
      </c>
      <c r="E107" s="680">
        <f t="shared" si="2"/>
        <v>5.5E-2</v>
      </c>
    </row>
    <row r="108" spans="1:5" ht="12.75" customHeight="1">
      <c r="C108" s="69" t="s">
        <v>78</v>
      </c>
      <c r="D108" s="60">
        <f>'TAMIU Sum'!B42</f>
        <v>14202881</v>
      </c>
      <c r="E108" s="680">
        <f t="shared" si="2"/>
        <v>0.11</v>
      </c>
    </row>
    <row r="109" spans="1:5" ht="12.75" customHeight="1">
      <c r="C109" s="69" t="s">
        <v>79</v>
      </c>
      <c r="D109" s="60">
        <f>'TAMIU Sum'!B43</f>
        <v>29744153</v>
      </c>
      <c r="E109" s="680">
        <f t="shared" si="2"/>
        <v>0.23100000000000001</v>
      </c>
    </row>
    <row r="110" spans="1:5" ht="12.75" customHeight="1">
      <c r="C110" s="69" t="s">
        <v>22</v>
      </c>
      <c r="D110" s="60">
        <f>'TAMIU Sum'!B44</f>
        <v>7874983</v>
      </c>
      <c r="E110" s="680">
        <f t="shared" si="2"/>
        <v>6.0999999999999999E-2</v>
      </c>
    </row>
    <row r="111" spans="1:5" ht="12.75" customHeight="1">
      <c r="C111" s="64" t="s">
        <v>29</v>
      </c>
      <c r="D111" s="60">
        <f>'TAMIU Sum'!B45</f>
        <v>1749653</v>
      </c>
      <c r="E111" s="680">
        <f t="shared" si="2"/>
        <v>1.4E-2</v>
      </c>
    </row>
    <row r="112" spans="1:5" ht="12.75" customHeight="1">
      <c r="C112" s="64" t="s">
        <v>53</v>
      </c>
      <c r="D112" s="60">
        <f>'TAMIU Sum'!B46</f>
        <v>1731166</v>
      </c>
      <c r="E112" s="680">
        <f t="shared" si="2"/>
        <v>1.2999999999999999E-2</v>
      </c>
    </row>
    <row r="113" spans="3:5" ht="12.75" customHeight="1">
      <c r="C113" s="57"/>
      <c r="D113" s="57"/>
    </row>
    <row r="114" spans="3:5" ht="12.75" customHeight="1">
      <c r="C114" s="70" t="s">
        <v>69</v>
      </c>
      <c r="D114" s="62">
        <f>SUM(D102:D113)</f>
        <v>128688626</v>
      </c>
      <c r="E114" s="681">
        <f>SUM(E102:E113)</f>
        <v>0.99800000000000011</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86" t="str">
        <f>C114&amp;" "&amp;TEXT(D114,"$#,###")</f>
        <v>Total Operating Uses $128,688,626</v>
      </c>
    </row>
    <row r="137" spans="1:1" ht="12.75" customHeight="1">
      <c r="A137" s="1686"/>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51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ransitionEvaluation="1" transitionEntry="1" codeName="Sheet68">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'TAMIU Chrts'!$A$1</f>
        <v>Texas A&amp;M International University</v>
      </c>
      <c r="B1" s="74"/>
      <c r="C1" s="1"/>
      <c r="D1" s="1704" t="s">
        <v>1200</v>
      </c>
      <c r="E1" s="1705"/>
      <c r="F1" s="1757" t="s">
        <v>1196</v>
      </c>
      <c r="G1" s="1706"/>
      <c r="H1" s="1706"/>
      <c r="I1" s="1706"/>
      <c r="J1" s="1707" t="s">
        <v>1197</v>
      </c>
      <c r="K1" s="1695"/>
      <c r="L1" s="1695"/>
      <c r="M1" s="1695"/>
      <c r="N1" s="1695"/>
      <c r="O1" s="1696"/>
    </row>
    <row r="2" spans="1:15" ht="15.75">
      <c r="A2" s="76" t="str">
        <f>'Smmy Chrts'!$A$2</f>
        <v>For the Year Ended August 31, 2021</v>
      </c>
      <c r="B2" s="74"/>
      <c r="C2" s="1"/>
      <c r="D2" s="37"/>
      <c r="E2" s="37"/>
      <c r="F2" s="37"/>
      <c r="J2" s="37"/>
      <c r="K2" s="37"/>
      <c r="L2" s="37"/>
      <c r="M2" s="37"/>
    </row>
    <row r="3" spans="1:15" ht="15.75">
      <c r="A3" s="76" t="str">
        <f>'Smmy Chrts'!$A$3</f>
        <v>Source: FY 2021 Annual Financial Report</v>
      </c>
      <c r="B3" s="74"/>
      <c r="C3" s="1"/>
    </row>
    <row r="4" spans="1:15" ht="13.5" customHeight="1">
      <c r="B4" s="77"/>
      <c r="C4" s="4"/>
      <c r="D4" s="1711" t="s">
        <v>1142</v>
      </c>
      <c r="E4" s="1711" t="s">
        <v>1143</v>
      </c>
      <c r="F4" s="266"/>
    </row>
    <row r="5" spans="1:15" ht="18">
      <c r="A5" s="39" t="str">
        <f>'Smmy Chrts'!$C$35</f>
        <v>Summary Worksheet FY 2021</v>
      </c>
      <c r="B5" s="40" t="s">
        <v>86</v>
      </c>
      <c r="C5" s="40" t="s">
        <v>129</v>
      </c>
      <c r="D5" s="1712"/>
      <c r="E5" s="1712"/>
      <c r="F5" s="266"/>
      <c r="G5" s="799" t="s">
        <v>1198</v>
      </c>
      <c r="I5" s="822" t="s">
        <v>2157</v>
      </c>
      <c r="J5" s="792" t="s">
        <v>1144</v>
      </c>
    </row>
    <row r="6" spans="1:15" ht="13.5" customHeight="1">
      <c r="A6" s="78" t="s">
        <v>266</v>
      </c>
      <c r="B6" s="41"/>
      <c r="C6" s="42">
        <f>VLOOKUP($A$1,FTSELU,12,FALSE)</f>
        <v>6962.28</v>
      </c>
      <c r="J6" s="712"/>
    </row>
    <row r="7" spans="1:15">
      <c r="I7" s="824" t="s">
        <v>1162</v>
      </c>
      <c r="J7" s="827"/>
    </row>
    <row r="8" spans="1:15">
      <c r="A8" s="81" t="s">
        <v>71</v>
      </c>
      <c r="B8" s="81"/>
      <c r="C8" s="24"/>
      <c r="I8" s="896">
        <f>VLOOKUP(A1,FTSELU,14,FALSE)</f>
        <v>452.36</v>
      </c>
      <c r="J8" s="712"/>
    </row>
    <row r="9" spans="1:15" ht="12.75" customHeight="1" thickBot="1">
      <c r="A9" s="78" t="s">
        <v>0</v>
      </c>
      <c r="B9" s="82"/>
      <c r="C9" s="7"/>
      <c r="J9" s="712"/>
    </row>
    <row r="10" spans="1:15" ht="12.75" customHeight="1" thickTop="1">
      <c r="A10" s="75" t="s">
        <v>1</v>
      </c>
      <c r="B10" s="83">
        <f>'TAMIU FGD'!M10</f>
        <v>36675060</v>
      </c>
      <c r="C10" s="83">
        <f>ROUND(B10/$C$6,0)</f>
        <v>5268</v>
      </c>
      <c r="D10" s="512">
        <f>'TAMIU FGD'!F10</f>
        <v>0</v>
      </c>
      <c r="E10" s="512"/>
      <c r="F10" s="84">
        <f>B10-(SUM(D10:E10))</f>
        <v>36675060</v>
      </c>
      <c r="G10" s="1143" t="s">
        <v>1</v>
      </c>
      <c r="H10" s="1144"/>
      <c r="I10" s="825" t="s">
        <v>1161</v>
      </c>
      <c r="J10" s="713">
        <f>ROUND(F10/$C$6,0)</f>
        <v>5268</v>
      </c>
    </row>
    <row r="11" spans="1:15" ht="12.75" customHeight="1" thickBot="1">
      <c r="A11" s="75" t="s">
        <v>2</v>
      </c>
      <c r="B11" s="86">
        <f>'TAMIU FGD'!M11</f>
        <v>12457632</v>
      </c>
      <c r="C11" s="87">
        <f t="shared" ref="C11:C14" si="0">ROUND(B11/$C$6,0)</f>
        <v>1789</v>
      </c>
      <c r="D11" s="86">
        <f>'TAMIU FGD'!F11</f>
        <v>0</v>
      </c>
      <c r="E11" s="74"/>
      <c r="F11" s="606">
        <f t="shared" ref="F11:F14" si="1">B11-(SUM(D11:E11))</f>
        <v>12457632</v>
      </c>
      <c r="G11" s="1148">
        <f>SUM(F10:F11)</f>
        <v>49132692</v>
      </c>
      <c r="H11" s="715"/>
      <c r="I11" s="1373">
        <f>ROUND($G$11/$C$6,0)</f>
        <v>7057</v>
      </c>
      <c r="J11" s="716">
        <f t="shared" ref="J11:J14" si="2">ROUND(F11/$C$6,0)</f>
        <v>1789</v>
      </c>
    </row>
    <row r="12" spans="1:15" ht="12.75" hidden="1" customHeight="1" thickTop="1" thickBot="1">
      <c r="A12" s="75" t="s">
        <v>1410</v>
      </c>
      <c r="B12" s="86"/>
      <c r="C12" s="87"/>
      <c r="D12" s="86"/>
      <c r="E12" s="74"/>
      <c r="F12" s="607"/>
      <c r="J12" s="716"/>
      <c r="O12" s="608"/>
    </row>
    <row r="13" spans="1:15" ht="12.75" customHeight="1" thickTop="1">
      <c r="A13" s="75" t="s">
        <v>1368</v>
      </c>
      <c r="B13" s="86">
        <f>'TAMIU FGD'!M13</f>
        <v>7462394</v>
      </c>
      <c r="C13" s="87">
        <f t="shared" si="0"/>
        <v>1072</v>
      </c>
      <c r="D13" s="86">
        <f>'TAMIU FGD'!F13</f>
        <v>0</v>
      </c>
      <c r="E13" s="74"/>
      <c r="F13" s="893">
        <f t="shared" si="1"/>
        <v>7462394</v>
      </c>
      <c r="G13" s="882" t="s">
        <v>81</v>
      </c>
      <c r="H13" s="894"/>
      <c r="I13" s="826" t="s">
        <v>1163</v>
      </c>
      <c r="J13" s="716">
        <f t="shared" si="2"/>
        <v>1072</v>
      </c>
    </row>
    <row r="14" spans="1:15" ht="12.75" customHeight="1" thickBot="1">
      <c r="A14" s="75" t="s">
        <v>49</v>
      </c>
      <c r="B14" s="86">
        <f>'TAMIU FGD'!M14</f>
        <v>0</v>
      </c>
      <c r="C14" s="87">
        <f t="shared" si="0"/>
        <v>0</v>
      </c>
      <c r="D14" s="86">
        <f>'TAMIU FGD'!F14</f>
        <v>0</v>
      </c>
      <c r="E14" s="74"/>
      <c r="F14" s="607">
        <f t="shared" si="1"/>
        <v>0</v>
      </c>
      <c r="G14" s="800">
        <f>SUM(F13:F14)</f>
        <v>7462394</v>
      </c>
      <c r="H14" s="895"/>
      <c r="I14" s="1377">
        <f>ROUND($G$11/$I$8,0)</f>
        <v>108614</v>
      </c>
      <c r="J14" s="828">
        <f t="shared" si="2"/>
        <v>0</v>
      </c>
    </row>
    <row r="15" spans="1:15" ht="12.75" customHeight="1" thickTop="1">
      <c r="A15" s="88" t="s">
        <v>3</v>
      </c>
      <c r="B15" s="89">
        <f>SUM(B10:B14)</f>
        <v>56595086</v>
      </c>
      <c r="C15" s="89">
        <f>SUM(C10:C14)</f>
        <v>8129</v>
      </c>
      <c r="D15" s="89">
        <f>SUM(D10:D14)</f>
        <v>0</v>
      </c>
      <c r="E15" s="89">
        <f>SUM(E10:E14)</f>
        <v>0</v>
      </c>
      <c r="F15" s="216">
        <f>SUM(F10:F14)</f>
        <v>56595086</v>
      </c>
      <c r="I15" s="1372"/>
      <c r="J15" s="757">
        <f>SUM(J10:J14)</f>
        <v>8129</v>
      </c>
    </row>
    <row r="16" spans="1:15">
      <c r="B16" s="48"/>
      <c r="C16" s="75"/>
      <c r="J16" s="712"/>
    </row>
    <row r="17" spans="1:31" ht="12.75" customHeight="1">
      <c r="A17" s="78" t="s">
        <v>4</v>
      </c>
      <c r="B17" s="86"/>
      <c r="C17" s="75"/>
      <c r="J17" s="712"/>
    </row>
    <row r="18" spans="1:31">
      <c r="A18" s="75" t="s">
        <v>39</v>
      </c>
      <c r="B18" s="83">
        <f>'TAMIU FGD'!M29</f>
        <v>18103349</v>
      </c>
      <c r="C18" s="83">
        <f t="shared" ref="C18:C19" si="3">ROUND(B18/$C$6,0)</f>
        <v>2600</v>
      </c>
      <c r="D18" s="512">
        <f>'TAMIU FGD'!$F$29</f>
        <v>0</v>
      </c>
      <c r="E18" s="512"/>
      <c r="F18" s="512">
        <f t="shared" ref="F18:F19" si="4">B18-(SUM(D18:E18))</f>
        <v>18103349</v>
      </c>
      <c r="G18" s="337"/>
      <c r="H18" s="337"/>
      <c r="I18" s="337"/>
      <c r="J18" s="713">
        <f>ROUND(F18/$C$6,0)</f>
        <v>2600</v>
      </c>
    </row>
    <row r="19" spans="1:31" ht="13.5" thickBot="1">
      <c r="A19" s="75" t="s">
        <v>40</v>
      </c>
      <c r="B19" s="86">
        <f>'TAMIU FGD'!M42</f>
        <v>17664661</v>
      </c>
      <c r="C19" s="87">
        <f t="shared" si="3"/>
        <v>2537</v>
      </c>
      <c r="D19" s="74">
        <f>'TAMIU FGD'!$F$42</f>
        <v>4380414</v>
      </c>
      <c r="E19" s="74"/>
      <c r="F19" s="74">
        <f t="shared" si="4"/>
        <v>13284247</v>
      </c>
      <c r="G19" s="337"/>
      <c r="H19" s="337"/>
      <c r="I19" s="337"/>
      <c r="J19" s="716">
        <f>ROUND(F19/$C$6,0)</f>
        <v>1908</v>
      </c>
    </row>
    <row r="20" spans="1:31" ht="14.25" thickTop="1" thickBot="1">
      <c r="A20" s="88" t="s">
        <v>5</v>
      </c>
      <c r="B20" s="89">
        <f>SUM(B18:B19)</f>
        <v>35768010</v>
      </c>
      <c r="C20" s="89">
        <f>SUM(C18:C19)</f>
        <v>5137</v>
      </c>
      <c r="D20" s="717">
        <f>SUM(D18:D19)</f>
        <v>4380414</v>
      </c>
      <c r="E20" s="718">
        <f>SUM(E18:E19)</f>
        <v>0</v>
      </c>
      <c r="F20" s="801">
        <f>SUM(F18:F19)</f>
        <v>31387596</v>
      </c>
      <c r="G20" s="720" t="s">
        <v>26</v>
      </c>
      <c r="H20" s="366"/>
      <c r="I20" s="367"/>
      <c r="J20" s="721">
        <f>SUM(J18:J19)</f>
        <v>4508</v>
      </c>
    </row>
    <row r="21" spans="1:31" ht="12.75" customHeight="1" thickTop="1">
      <c r="B21" s="91"/>
      <c r="C21" s="75"/>
      <c r="F21" s="804"/>
      <c r="J21" s="712"/>
    </row>
    <row r="22" spans="1:31" ht="14.25" customHeight="1" thickBot="1">
      <c r="A22" s="78" t="s">
        <v>6</v>
      </c>
      <c r="B22" s="91"/>
      <c r="C22" s="75"/>
      <c r="J22" s="712"/>
    </row>
    <row r="23" spans="1:31" ht="14.25" thickTop="1" thickBot="1">
      <c r="A23" s="88" t="s">
        <v>7</v>
      </c>
      <c r="B23" s="92">
        <f>'TAMIU FGD'!M47</f>
        <v>51758469</v>
      </c>
      <c r="C23" s="89">
        <f t="shared" ref="C23" si="5">ROUND(B23/$C$6,0)</f>
        <v>7434</v>
      </c>
      <c r="D23" s="717">
        <f>'TAMIU FGD'!F47</f>
        <v>0</v>
      </c>
      <c r="E23" s="718"/>
      <c r="F23" s="801">
        <f>B23-(SUM(D23:E23))</f>
        <v>51758469</v>
      </c>
      <c r="G23" s="722" t="s">
        <v>74</v>
      </c>
      <c r="H23" s="366"/>
      <c r="I23" s="367"/>
      <c r="J23" s="756">
        <f>ROUND(F23/$C$6,0)</f>
        <v>7434</v>
      </c>
    </row>
    <row r="24" spans="1:31" ht="13.5" thickTop="1">
      <c r="B24" s="91"/>
      <c r="C24" s="75"/>
      <c r="J24" s="712"/>
    </row>
    <row r="25" spans="1:31">
      <c r="A25" s="78" t="s">
        <v>8</v>
      </c>
      <c r="B25" s="91"/>
      <c r="C25" s="75"/>
      <c r="J25" s="712"/>
    </row>
    <row r="26" spans="1:31">
      <c r="A26" s="75" t="s">
        <v>42</v>
      </c>
      <c r="B26" s="83">
        <f>'TAMIU FGD'!M50</f>
        <v>5427885</v>
      </c>
      <c r="C26" s="83">
        <f t="shared" ref="C26:C31" si="6">ROUND(B26/$C$6,0)</f>
        <v>780</v>
      </c>
      <c r="D26" s="512">
        <f>'TAMIU FGD'!F50</f>
        <v>548231</v>
      </c>
      <c r="E26" s="512"/>
      <c r="F26" s="512">
        <f t="shared" ref="F26:F31" si="7">B26-(SUM(D26:E26))</f>
        <v>4879654</v>
      </c>
      <c r="G26" s="337"/>
      <c r="H26" s="337"/>
      <c r="I26" s="337"/>
      <c r="J26" s="713">
        <f>ROUND(F26/$C$6,0)</f>
        <v>701</v>
      </c>
    </row>
    <row r="27" spans="1:31">
      <c r="A27" s="75" t="s">
        <v>9</v>
      </c>
      <c r="B27" s="86">
        <f>'TAMIU FGD'!M51</f>
        <v>0</v>
      </c>
      <c r="C27" s="87">
        <f t="shared" si="6"/>
        <v>0</v>
      </c>
      <c r="D27" s="86">
        <f>'TAMIU FGD'!F51</f>
        <v>0</v>
      </c>
      <c r="E27" s="74"/>
      <c r="F27" s="74">
        <f t="shared" si="7"/>
        <v>0</v>
      </c>
      <c r="G27" s="337"/>
      <c r="H27" s="337"/>
      <c r="I27" s="337"/>
      <c r="J27" s="716">
        <f t="shared" ref="J27:J31" si="8">ROUND(F27/$C$6,0)</f>
        <v>0</v>
      </c>
    </row>
    <row r="28" spans="1:31" ht="13.5" thickBot="1">
      <c r="A28" s="75" t="s">
        <v>10</v>
      </c>
      <c r="B28" s="86">
        <f>'TAMIU FGD'!M52</f>
        <v>4248680</v>
      </c>
      <c r="C28" s="87">
        <f t="shared" si="6"/>
        <v>610</v>
      </c>
      <c r="D28" s="86">
        <f>'TAMIU FGD'!F52</f>
        <v>95000</v>
      </c>
      <c r="E28" s="74"/>
      <c r="F28" s="74">
        <f t="shared" si="7"/>
        <v>4153680</v>
      </c>
      <c r="G28" s="337"/>
      <c r="H28" s="337"/>
      <c r="I28" s="337"/>
      <c r="J28" s="716">
        <f t="shared" si="8"/>
        <v>597</v>
      </c>
    </row>
    <row r="29" spans="1:31" ht="13.5" thickBot="1">
      <c r="A29" s="75" t="s">
        <v>11</v>
      </c>
      <c r="B29" s="86">
        <f>'TAMIU FGD'!M53</f>
        <v>841177</v>
      </c>
      <c r="C29" s="87">
        <f t="shared" si="6"/>
        <v>121</v>
      </c>
      <c r="D29" s="86">
        <f>'TAMIU FGD'!F53</f>
        <v>0</v>
      </c>
      <c r="E29" s="74"/>
      <c r="F29" s="74">
        <f t="shared" si="7"/>
        <v>841177</v>
      </c>
      <c r="G29" s="337"/>
      <c r="H29" s="337"/>
      <c r="I29" s="337"/>
      <c r="J29" s="716">
        <f t="shared" si="8"/>
        <v>121</v>
      </c>
      <c r="K29" s="1694" t="s">
        <v>1065</v>
      </c>
      <c r="L29" s="1695"/>
      <c r="M29" s="1695"/>
      <c r="N29" s="1695"/>
      <c r="O29" s="1696"/>
    </row>
    <row r="30" spans="1:31" ht="13.5" thickBot="1">
      <c r="A30" s="93" t="s">
        <v>2134</v>
      </c>
      <c r="B30" s="94">
        <f>'TAMIU FGD'!M54</f>
        <v>2014515</v>
      </c>
      <c r="C30" s="87">
        <f t="shared" si="6"/>
        <v>289</v>
      </c>
      <c r="D30" s="729">
        <f>B30</f>
        <v>2014515</v>
      </c>
      <c r="E30" s="74"/>
      <c r="F30" s="74">
        <f t="shared" si="7"/>
        <v>0</v>
      </c>
      <c r="G30" s="337"/>
      <c r="H30" s="337"/>
      <c r="I30" s="337"/>
      <c r="J30" s="716">
        <f t="shared" si="8"/>
        <v>0</v>
      </c>
      <c r="K30" s="1694" t="s">
        <v>1070</v>
      </c>
      <c r="L30" s="1695"/>
      <c r="M30" s="1695"/>
      <c r="N30" s="1695"/>
      <c r="O30" s="1696"/>
    </row>
    <row r="31" spans="1:31" ht="13.5" customHeight="1" thickBot="1">
      <c r="A31" s="95" t="s">
        <v>43</v>
      </c>
      <c r="B31" s="86">
        <f>'TAMIU FGD'!M55</f>
        <v>3392869</v>
      </c>
      <c r="C31" s="87">
        <f t="shared" si="6"/>
        <v>487</v>
      </c>
      <c r="D31" s="86">
        <f>'TAMIU FGD'!F55</f>
        <v>22469</v>
      </c>
      <c r="E31" s="74"/>
      <c r="F31" s="74">
        <f t="shared" si="7"/>
        <v>3370400</v>
      </c>
      <c r="G31" s="35"/>
      <c r="H31" s="35"/>
      <c r="I31" s="38"/>
      <c r="J31" s="716">
        <f t="shared" si="8"/>
        <v>484</v>
      </c>
      <c r="K31" s="1697" t="s">
        <v>1073</v>
      </c>
      <c r="L31" s="1697" t="s">
        <v>1071</v>
      </c>
      <c r="M31" s="1697" t="s">
        <v>1072</v>
      </c>
      <c r="N31" s="1697" t="s">
        <v>1240</v>
      </c>
      <c r="O31" s="1697"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15925126</v>
      </c>
      <c r="C32" s="89">
        <f>SUM(C26:C31)</f>
        <v>2287</v>
      </c>
      <c r="D32" s="723">
        <f>SUM(D26:D31)</f>
        <v>2680215</v>
      </c>
      <c r="E32" s="723">
        <f>SUM(E26:E31)</f>
        <v>0</v>
      </c>
      <c r="F32" s="802">
        <f>SUM(F26:F31)</f>
        <v>13244911</v>
      </c>
      <c r="G32" s="1708" t="s">
        <v>8</v>
      </c>
      <c r="H32" s="1709"/>
      <c r="I32" s="783" t="s">
        <v>1166</v>
      </c>
      <c r="J32" s="725">
        <f>SUM(J26:J31)</f>
        <v>1903</v>
      </c>
      <c r="K32" s="1698"/>
      <c r="L32" s="1698"/>
      <c r="M32" s="1698"/>
      <c r="N32" s="1698" t="s">
        <v>1074</v>
      </c>
      <c r="O32" s="1698" t="s">
        <v>1075</v>
      </c>
    </row>
    <row r="33" spans="1:31" ht="14.25" thickTop="1" thickBot="1">
      <c r="A33" s="97" t="s">
        <v>68</v>
      </c>
      <c r="B33" s="52">
        <f>B15+B20+B23+B32</f>
        <v>160046691</v>
      </c>
      <c r="C33" s="45">
        <f>C15+C20+C23+C32</f>
        <v>22987</v>
      </c>
      <c r="D33" s="52">
        <f>D15+D20+D23+D32</f>
        <v>7060629</v>
      </c>
      <c r="E33" s="52">
        <f>E15+E20+E23+E32</f>
        <v>0</v>
      </c>
      <c r="F33" s="724">
        <f>F15+F20+F23+F32</f>
        <v>152986062</v>
      </c>
      <c r="G33" s="1758" t="s">
        <v>84</v>
      </c>
      <c r="H33" s="1759"/>
      <c r="I33" s="1375">
        <f>ROUND($G$35/$C$6,0)</f>
        <v>20902</v>
      </c>
      <c r="J33" s="726">
        <f>J15+J20+J23+J32</f>
        <v>21974</v>
      </c>
      <c r="K33" s="1698"/>
      <c r="L33" s="1698"/>
      <c r="M33" s="1698"/>
      <c r="N33" s="1698"/>
      <c r="O33" s="1698"/>
    </row>
    <row r="34" spans="1:31" ht="14.25" thickTop="1" thickBot="1">
      <c r="B34" s="98"/>
      <c r="C34" s="75"/>
      <c r="D34" s="337"/>
      <c r="E34" s="337"/>
      <c r="F34" s="337" t="s">
        <v>1199</v>
      </c>
      <c r="G34" s="787">
        <f>G14*-1</f>
        <v>-7462394</v>
      </c>
      <c r="H34" s="337"/>
      <c r="I34" s="783" t="s">
        <v>1167</v>
      </c>
      <c r="J34" s="727"/>
      <c r="K34" s="1699"/>
      <c r="L34" s="1699"/>
      <c r="M34" s="1699"/>
      <c r="N34" s="1699"/>
      <c r="O34" s="1699"/>
    </row>
    <row r="35" spans="1:31" ht="14.25" thickTop="1" thickBot="1">
      <c r="A35" s="81" t="s">
        <v>72</v>
      </c>
      <c r="B35" s="81"/>
      <c r="C35" s="81"/>
      <c r="D35" s="728"/>
      <c r="E35" s="728"/>
      <c r="F35" s="788" t="s">
        <v>1165</v>
      </c>
      <c r="G35" s="803">
        <f>F33+G34</f>
        <v>145523668</v>
      </c>
      <c r="I35" s="1376">
        <f>ROUND($G$35/$I$8,0)</f>
        <v>321699</v>
      </c>
      <c r="K35" s="609"/>
      <c r="L35" s="609"/>
      <c r="M35" s="609"/>
      <c r="N35" s="609"/>
      <c r="O35" s="609"/>
    </row>
    <row r="36" spans="1:31" ht="13.5" thickTop="1">
      <c r="A36" s="99" t="s">
        <v>14</v>
      </c>
      <c r="B36" s="83">
        <f>'TAMIU FGD'!M60</f>
        <v>33780408</v>
      </c>
      <c r="C36" s="83">
        <f t="shared" ref="C36:C46" si="9">ROUND(B36/$C$6,0)</f>
        <v>4852</v>
      </c>
      <c r="D36" s="512">
        <f>'TAMIU FGD'!F60</f>
        <v>0</v>
      </c>
      <c r="E36" s="512"/>
      <c r="F36" s="512">
        <f t="shared" ref="F36:F46" si="10">B36-(SUM(D36:E36))</f>
        <v>33780408</v>
      </c>
      <c r="G36" s="337"/>
      <c r="H36" s="1378" t="s">
        <v>2158</v>
      </c>
      <c r="I36" s="1379">
        <f>ROUND(F36/$C$6,0)</f>
        <v>4852</v>
      </c>
      <c r="J36" s="337" t="s">
        <v>752</v>
      </c>
      <c r="K36" s="512">
        <f>F36</f>
        <v>33780408</v>
      </c>
      <c r="L36" s="512">
        <f>K36</f>
        <v>33780408</v>
      </c>
      <c r="M36" s="512"/>
      <c r="N36" s="512"/>
      <c r="O36" s="512"/>
    </row>
    <row r="37" spans="1:31">
      <c r="A37" s="99" t="s">
        <v>15</v>
      </c>
      <c r="B37" s="86">
        <f>'TAMIU FGD'!M61</f>
        <v>2825306</v>
      </c>
      <c r="C37" s="87">
        <f t="shared" si="9"/>
        <v>406</v>
      </c>
      <c r="D37" s="86">
        <f>'TAMIU FGD'!F61</f>
        <v>0</v>
      </c>
      <c r="E37" s="74"/>
      <c r="F37" s="74">
        <f t="shared" si="10"/>
        <v>2825306</v>
      </c>
      <c r="G37" s="337"/>
      <c r="H37" s="337"/>
      <c r="J37" s="337" t="s">
        <v>1076</v>
      </c>
      <c r="K37" s="373">
        <f>F37</f>
        <v>2825306</v>
      </c>
      <c r="L37" s="373">
        <f>K37</f>
        <v>2825306</v>
      </c>
      <c r="M37" s="373"/>
      <c r="N37" s="373"/>
      <c r="O37" s="373"/>
    </row>
    <row r="38" spans="1:31">
      <c r="A38" s="99" t="s">
        <v>16</v>
      </c>
      <c r="B38" s="86">
        <f>'TAMIU FGD'!M62</f>
        <v>2362868</v>
      </c>
      <c r="C38" s="87">
        <f t="shared" si="9"/>
        <v>339</v>
      </c>
      <c r="D38" s="86">
        <f>'TAMIU FGD'!F62</f>
        <v>0</v>
      </c>
      <c r="E38" s="86">
        <f>B38-D38</f>
        <v>2362868</v>
      </c>
      <c r="F38" s="74">
        <f t="shared" si="10"/>
        <v>0</v>
      </c>
      <c r="G38" s="337"/>
      <c r="H38" s="337"/>
      <c r="I38" s="337"/>
      <c r="J38" s="337" t="s">
        <v>1077</v>
      </c>
      <c r="K38" s="736"/>
      <c r="L38" s="737"/>
      <c r="M38" s="737" t="s">
        <v>1152</v>
      </c>
      <c r="N38" s="737"/>
      <c r="O38" s="738"/>
    </row>
    <row r="39" spans="1:31">
      <c r="A39" s="99" t="s">
        <v>17</v>
      </c>
      <c r="B39" s="86">
        <f>'TAMIU FGD'!M63</f>
        <v>19230853</v>
      </c>
      <c r="C39" s="87">
        <f t="shared" si="9"/>
        <v>2762</v>
      </c>
      <c r="D39" s="86">
        <f>'TAMIU FGD'!F63</f>
        <v>0</v>
      </c>
      <c r="E39" s="74"/>
      <c r="F39" s="74">
        <f t="shared" si="10"/>
        <v>19230853</v>
      </c>
      <c r="G39" s="337"/>
      <c r="H39" s="1378" t="s">
        <v>2159</v>
      </c>
      <c r="I39" s="1379">
        <f>ROUND(F39/$C$6,0)</f>
        <v>2762</v>
      </c>
      <c r="J39" s="337" t="s">
        <v>1078</v>
      </c>
      <c r="K39" s="373">
        <f t="shared" ref="K39:K43" si="11">F39</f>
        <v>19230853</v>
      </c>
      <c r="L39" s="373">
        <f>K39</f>
        <v>19230853</v>
      </c>
      <c r="M39" s="373"/>
      <c r="N39" s="373"/>
      <c r="O39" s="373"/>
    </row>
    <row r="40" spans="1:31">
      <c r="A40" s="99" t="s">
        <v>18</v>
      </c>
      <c r="B40" s="86">
        <f>'TAMIU FGD'!M64</f>
        <v>8129536</v>
      </c>
      <c r="C40" s="87">
        <f t="shared" si="9"/>
        <v>1168</v>
      </c>
      <c r="D40" s="86">
        <f>'TAMIU FGD'!F64</f>
        <v>0</v>
      </c>
      <c r="E40" s="74"/>
      <c r="F40" s="74">
        <f t="shared" si="10"/>
        <v>8129536</v>
      </c>
      <c r="G40" s="337"/>
      <c r="J40" s="337" t="s">
        <v>1079</v>
      </c>
      <c r="K40" s="373">
        <f t="shared" si="11"/>
        <v>8129536</v>
      </c>
      <c r="L40" s="373"/>
      <c r="M40" s="373">
        <f>K40</f>
        <v>8129536</v>
      </c>
      <c r="N40" s="373"/>
      <c r="O40" s="373"/>
    </row>
    <row r="41" spans="1:31">
      <c r="A41" s="99" t="s">
        <v>19</v>
      </c>
      <c r="B41" s="86">
        <f>'TAMIU FGD'!M65</f>
        <v>7056819</v>
      </c>
      <c r="C41" s="87">
        <f t="shared" si="9"/>
        <v>1014</v>
      </c>
      <c r="D41" s="86">
        <f>'TAMIU FGD'!F65</f>
        <v>0</v>
      </c>
      <c r="E41" s="74"/>
      <c r="F41" s="74">
        <f t="shared" si="10"/>
        <v>7056819</v>
      </c>
      <c r="G41" s="337"/>
      <c r="H41" s="1378" t="s">
        <v>2160</v>
      </c>
      <c r="I41" s="1379">
        <f>ROUND(F41/$C$6,0)</f>
        <v>1014</v>
      </c>
      <c r="J41" s="337" t="s">
        <v>757</v>
      </c>
      <c r="K41" s="373">
        <f t="shared" si="11"/>
        <v>7056819</v>
      </c>
      <c r="L41" s="373"/>
      <c r="M41" s="373"/>
      <c r="N41" s="373">
        <f>K41</f>
        <v>7056819</v>
      </c>
      <c r="O41" s="373"/>
    </row>
    <row r="42" spans="1:31">
      <c r="A42" s="99" t="s">
        <v>20</v>
      </c>
      <c r="B42" s="86">
        <f>'TAMIU FGD'!M66</f>
        <v>14202881</v>
      </c>
      <c r="C42" s="87">
        <f t="shared" si="9"/>
        <v>2040</v>
      </c>
      <c r="D42" s="86">
        <f>'TAMIU FGD'!F66</f>
        <v>0</v>
      </c>
      <c r="E42" s="74"/>
      <c r="F42" s="74">
        <f t="shared" si="10"/>
        <v>14202881</v>
      </c>
      <c r="G42" s="337"/>
      <c r="J42" s="337" t="s">
        <v>758</v>
      </c>
      <c r="K42" s="373">
        <f t="shared" si="11"/>
        <v>14202881</v>
      </c>
      <c r="L42" s="373"/>
      <c r="M42" s="373"/>
      <c r="N42" s="373">
        <f>K42</f>
        <v>14202881</v>
      </c>
      <c r="O42" s="373"/>
    </row>
    <row r="43" spans="1:31">
      <c r="A43" s="99" t="s">
        <v>21</v>
      </c>
      <c r="B43" s="86">
        <f>'TAMIU FGD'!M67</f>
        <v>29744153</v>
      </c>
      <c r="C43" s="87">
        <f t="shared" si="9"/>
        <v>4272</v>
      </c>
      <c r="D43" s="86">
        <f>'TAMIU FGD'!F67</f>
        <v>0</v>
      </c>
      <c r="E43" s="74"/>
      <c r="F43" s="74">
        <f t="shared" si="10"/>
        <v>29744153</v>
      </c>
      <c r="G43" s="337"/>
      <c r="H43" s="337"/>
      <c r="I43" s="337"/>
      <c r="J43" s="337" t="s">
        <v>1145</v>
      </c>
      <c r="K43" s="373">
        <f t="shared" si="11"/>
        <v>29744153</v>
      </c>
      <c r="L43" s="373"/>
      <c r="M43" s="373">
        <f>K43</f>
        <v>29744153</v>
      </c>
      <c r="N43" s="373"/>
      <c r="O43" s="373"/>
    </row>
    <row r="44" spans="1:31">
      <c r="A44" s="99" t="s">
        <v>2135</v>
      </c>
      <c r="B44" s="86">
        <f>'TAMIU FGD'!M68</f>
        <v>7874983</v>
      </c>
      <c r="C44" s="87">
        <f t="shared" si="9"/>
        <v>1131</v>
      </c>
      <c r="D44" s="729">
        <f>B44</f>
        <v>7874983</v>
      </c>
      <c r="E44" s="74"/>
      <c r="F44" s="74">
        <f t="shared" si="10"/>
        <v>0</v>
      </c>
      <c r="G44" s="337"/>
      <c r="H44" s="337"/>
      <c r="I44" s="337"/>
      <c r="J44" s="337" t="s">
        <v>743</v>
      </c>
      <c r="K44" s="736"/>
      <c r="L44" s="737"/>
      <c r="M44" s="737" t="s">
        <v>1152</v>
      </c>
      <c r="N44" s="737"/>
      <c r="O44" s="738"/>
    </row>
    <row r="45" spans="1:31">
      <c r="A45" s="99" t="s">
        <v>61</v>
      </c>
      <c r="B45" s="86">
        <f>'TAMIU FGD'!M69</f>
        <v>1749653</v>
      </c>
      <c r="C45" s="87">
        <f t="shared" si="9"/>
        <v>251</v>
      </c>
      <c r="D45" s="86">
        <f>'TAMIU FGD'!F69</f>
        <v>111414</v>
      </c>
      <c r="E45" s="74"/>
      <c r="F45" s="74">
        <f t="shared" si="10"/>
        <v>1638239</v>
      </c>
      <c r="G45" s="337"/>
      <c r="H45" s="337"/>
      <c r="I45" s="337"/>
      <c r="J45" s="337" t="s">
        <v>1080</v>
      </c>
      <c r="K45" s="373">
        <f t="shared" ref="K45:K46" si="12">F45</f>
        <v>1638239</v>
      </c>
      <c r="L45" s="373"/>
      <c r="M45" s="373"/>
      <c r="N45" s="373"/>
      <c r="O45" s="373">
        <f>K45</f>
        <v>1638239</v>
      </c>
    </row>
    <row r="46" spans="1:31" ht="13.5" thickBot="1">
      <c r="A46" s="75" t="s">
        <v>50</v>
      </c>
      <c r="B46" s="86">
        <f>'TAMIU FGD'!M70</f>
        <v>1731166</v>
      </c>
      <c r="C46" s="87">
        <f t="shared" si="9"/>
        <v>249</v>
      </c>
      <c r="D46" s="86">
        <f>'TAMIU FGD'!F70</f>
        <v>39966</v>
      </c>
      <c r="E46" s="74"/>
      <c r="F46" s="74">
        <f t="shared" si="10"/>
        <v>1691200</v>
      </c>
      <c r="G46" s="35"/>
      <c r="H46" s="1378" t="s">
        <v>2161</v>
      </c>
      <c r="I46" s="1379">
        <f>ROUND(SUM(F37+F40+F42+F43+F45+F46)/$C$6,0)</f>
        <v>8364</v>
      </c>
      <c r="J46" s="610" t="s">
        <v>1075</v>
      </c>
      <c r="K46" s="373">
        <f t="shared" si="12"/>
        <v>1691200</v>
      </c>
      <c r="L46" s="611"/>
      <c r="M46" s="611"/>
      <c r="N46" s="611"/>
      <c r="O46" s="373">
        <f>K46</f>
        <v>1691200</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128688626</v>
      </c>
      <c r="C47" s="45">
        <f>SUM(C36:C46)</f>
        <v>18484</v>
      </c>
      <c r="D47" s="730">
        <f>SUM(D36:D46)</f>
        <v>8026363</v>
      </c>
      <c r="E47" s="731">
        <f>SUM(E36:E46)</f>
        <v>2362868</v>
      </c>
      <c r="F47" s="719">
        <f>SUM(F36:F46)</f>
        <v>118299395</v>
      </c>
      <c r="G47" s="1688" t="s">
        <v>1176</v>
      </c>
      <c r="H47" s="1689"/>
      <c r="I47" s="785" t="s">
        <v>1164</v>
      </c>
      <c r="J47" s="610" t="s">
        <v>1081</v>
      </c>
      <c r="K47" s="612">
        <f>SUM(K36:K46)</f>
        <v>118299395</v>
      </c>
      <c r="L47" s="612">
        <f>SUM(L36:L46)</f>
        <v>55836567</v>
      </c>
      <c r="M47" s="612">
        <f>SUM(M36:M46)</f>
        <v>37873689</v>
      </c>
      <c r="N47" s="612">
        <f>SUM(N36:N46)</f>
        <v>21259700</v>
      </c>
      <c r="O47" s="612">
        <f>SUM(O36:O46)</f>
        <v>3329439</v>
      </c>
    </row>
    <row r="48" spans="1:31" ht="14.25" thickTop="1" thickBot="1">
      <c r="A48" s="93"/>
      <c r="B48" s="98"/>
      <c r="C48" s="75"/>
      <c r="F48" s="613"/>
      <c r="G48" s="1690"/>
      <c r="H48" s="1691"/>
      <c r="I48" s="823">
        <f>ROUND(F47/C6,0)</f>
        <v>16991</v>
      </c>
      <c r="J48" s="1700" t="s">
        <v>1082</v>
      </c>
      <c r="K48" s="611"/>
      <c r="L48" s="611"/>
      <c r="M48" s="611"/>
      <c r="N48" s="611"/>
      <c r="O48" s="611"/>
    </row>
    <row r="49" spans="1:31" ht="13.5" thickBot="1">
      <c r="A49" s="78" t="s">
        <v>23</v>
      </c>
      <c r="B49" s="82"/>
      <c r="C49" s="75"/>
      <c r="F49" s="614"/>
      <c r="G49" s="1690"/>
      <c r="H49" s="1691"/>
      <c r="I49" s="811"/>
      <c r="J49" s="1700"/>
      <c r="K49" s="615">
        <f>ROUND(K47/$C$6,2)</f>
        <v>16991.47</v>
      </c>
      <c r="L49" s="615">
        <f t="shared" ref="L49:O49" si="13">ROUND(L47/$C$6,2)</f>
        <v>8019.87</v>
      </c>
      <c r="M49" s="615">
        <f t="shared" si="13"/>
        <v>5439.84</v>
      </c>
      <c r="N49" s="615">
        <f t="shared" si="13"/>
        <v>3053.55</v>
      </c>
      <c r="O49" s="615">
        <f t="shared" si="13"/>
        <v>478.21</v>
      </c>
      <c r="P49" s="35"/>
      <c r="Q49" s="96"/>
      <c r="R49" s="96"/>
      <c r="S49" s="96"/>
      <c r="T49" s="96"/>
      <c r="U49" s="96"/>
      <c r="V49" s="96"/>
      <c r="W49" s="96"/>
      <c r="X49" s="96"/>
      <c r="Y49" s="96"/>
      <c r="Z49" s="96"/>
      <c r="AA49" s="96"/>
      <c r="AB49" s="96"/>
      <c r="AC49" s="96"/>
      <c r="AD49" s="96"/>
      <c r="AE49" s="96"/>
    </row>
    <row r="50" spans="1:31" ht="13.5" thickBot="1">
      <c r="A50" s="75" t="s">
        <v>62</v>
      </c>
      <c r="B50" s="86">
        <f>'TAMIU FGD'!M74</f>
        <v>-369520</v>
      </c>
      <c r="C50" s="83">
        <f t="shared" ref="C50:C53" si="14">ROUND(B50/$C$6,0)</f>
        <v>-53</v>
      </c>
      <c r="D50" s="512">
        <f>'TAMIU FGD'!F74</f>
        <v>0</v>
      </c>
      <c r="E50" s="512"/>
      <c r="F50" s="732">
        <f t="shared" ref="F50:F53" si="15">B50-(SUM(D50:E50))</f>
        <v>-369520</v>
      </c>
      <c r="G50" s="1692"/>
      <c r="H50" s="1693"/>
      <c r="I50" s="808"/>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'TAMIU FGD'!M75</f>
        <v>6893979</v>
      </c>
      <c r="C51" s="87">
        <f t="shared" si="14"/>
        <v>990</v>
      </c>
      <c r="D51" s="91">
        <f>'TAMIU FGD'!F75</f>
        <v>2869378</v>
      </c>
      <c r="E51" s="82"/>
      <c r="F51" s="74">
        <f t="shared" si="15"/>
        <v>4024601</v>
      </c>
      <c r="G51" s="337"/>
      <c r="J51" s="337"/>
      <c r="K51" s="616"/>
      <c r="L51" s="616"/>
      <c r="M51" s="616"/>
      <c r="N51" s="616"/>
      <c r="O51" s="616"/>
    </row>
    <row r="52" spans="1:31">
      <c r="A52" s="75" t="s">
        <v>51</v>
      </c>
      <c r="B52" s="86">
        <f>'TAMIU FGD'!M76</f>
        <v>0</v>
      </c>
      <c r="C52" s="87">
        <f t="shared" si="14"/>
        <v>0</v>
      </c>
      <c r="D52" s="91">
        <f>'TAMIU FGD'!F76</f>
        <v>0</v>
      </c>
      <c r="E52" s="82"/>
      <c r="F52" s="74">
        <f t="shared" si="15"/>
        <v>0</v>
      </c>
      <c r="G52" s="337"/>
      <c r="J52" s="733"/>
      <c r="K52" s="733"/>
      <c r="L52" s="733"/>
      <c r="M52" s="733"/>
      <c r="N52" s="733"/>
      <c r="O52" s="733"/>
    </row>
    <row r="53" spans="1:31" ht="12" customHeight="1">
      <c r="A53" s="75" t="s">
        <v>46</v>
      </c>
      <c r="B53" s="86">
        <f>'TAMIU FGD'!M77</f>
        <v>-10900198</v>
      </c>
      <c r="C53" s="87">
        <f t="shared" si="14"/>
        <v>-1566</v>
      </c>
      <c r="D53" s="91">
        <f>'TAMIU FGD'!F77</f>
        <v>-1921255</v>
      </c>
      <c r="E53" s="82"/>
      <c r="F53" s="74">
        <f t="shared" si="15"/>
        <v>-8978943</v>
      </c>
      <c r="G53" s="35"/>
      <c r="J53" s="733"/>
      <c r="K53" s="733"/>
      <c r="L53" s="733"/>
      <c r="M53" s="733"/>
      <c r="N53" s="733"/>
      <c r="O53" s="733"/>
      <c r="P53" s="35"/>
      <c r="Q53" s="96"/>
      <c r="R53" s="96"/>
      <c r="S53" s="96"/>
      <c r="T53" s="96"/>
      <c r="U53" s="96"/>
      <c r="V53" s="96"/>
      <c r="W53" s="96"/>
      <c r="X53" s="96"/>
      <c r="Y53" s="96"/>
      <c r="Z53" s="96"/>
      <c r="AA53" s="96"/>
      <c r="AB53" s="96"/>
      <c r="AC53" s="96"/>
      <c r="AD53" s="96"/>
      <c r="AE53" s="96"/>
    </row>
    <row r="54" spans="1:31">
      <c r="A54" s="88" t="s">
        <v>3</v>
      </c>
      <c r="B54" s="89">
        <f>SUM(B50:B53)</f>
        <v>-4375739</v>
      </c>
      <c r="C54" s="89">
        <f>SUM(C50:C53)</f>
        <v>-629</v>
      </c>
      <c r="D54" s="89">
        <f>SUM(D50:D53)</f>
        <v>948123</v>
      </c>
      <c r="E54" s="89">
        <f>SUM(E50:E53)</f>
        <v>0</v>
      </c>
      <c r="F54" s="102">
        <f>SUM(F50:F53)</f>
        <v>-5323862</v>
      </c>
      <c r="G54" s="337"/>
      <c r="H54" s="337"/>
      <c r="I54" s="337"/>
      <c r="J54" s="733"/>
      <c r="K54" s="733"/>
      <c r="L54" s="733"/>
      <c r="M54" s="733"/>
      <c r="N54" s="733"/>
      <c r="O54" s="733"/>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'TAMIU FGD'!M81</f>
        <v>23460142</v>
      </c>
      <c r="C57" s="83">
        <f>ROUND(B57/$C$6,0)</f>
        <v>3370</v>
      </c>
      <c r="D57" s="512">
        <f>'TAMIU FGD'!F81</f>
        <v>735726</v>
      </c>
      <c r="E57" s="512"/>
      <c r="F57" s="512">
        <f t="shared" ref="F57:F58" si="16">B57-(SUM(D57:E57))</f>
        <v>22724416</v>
      </c>
      <c r="G57" s="337"/>
      <c r="H57" s="337"/>
      <c r="I57" s="337"/>
      <c r="J57" s="337"/>
    </row>
    <row r="58" spans="1:31">
      <c r="A58" s="75" t="s">
        <v>48</v>
      </c>
      <c r="B58" s="86">
        <f>'TAMIU FGD'!M82</f>
        <v>41530514</v>
      </c>
      <c r="C58" s="87">
        <f>ROUND(B58/$C$6,0)</f>
        <v>5965</v>
      </c>
      <c r="D58" s="91">
        <f>'TAMIU FGD'!F82</f>
        <v>0</v>
      </c>
      <c r="E58" s="82"/>
      <c r="F58" s="74">
        <f t="shared" si="16"/>
        <v>41530514</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64990656</v>
      </c>
      <c r="C59" s="89">
        <f>SUM(C57:C58)</f>
        <v>9335</v>
      </c>
      <c r="D59" s="89">
        <f>SUM(D57:D58)</f>
        <v>735726</v>
      </c>
      <c r="E59" s="89">
        <f>SUM(E57:E58)</f>
        <v>0</v>
      </c>
      <c r="F59" s="89">
        <f>SUM(F57:F58)</f>
        <v>64254930</v>
      </c>
      <c r="G59" s="367"/>
      <c r="H59" s="367"/>
      <c r="I59" s="367"/>
      <c r="J59" s="367"/>
      <c r="K59" s="266"/>
      <c r="L59" s="266"/>
      <c r="M59" s="266"/>
      <c r="N59" s="266"/>
      <c r="O59" s="266"/>
      <c r="P59" s="266"/>
    </row>
    <row r="60" spans="1:31">
      <c r="B60" s="82"/>
      <c r="C60" s="75"/>
    </row>
    <row r="61" spans="1:31" ht="13.5" thickBot="1">
      <c r="A61" s="103" t="s">
        <v>573</v>
      </c>
      <c r="B61" s="46">
        <f>B33-B47+B54+B59</f>
        <v>91972982</v>
      </c>
      <c r="C61" s="46">
        <f>C33-C47+C54+C59</f>
        <v>13209</v>
      </c>
      <c r="D61" s="46">
        <f>D33-D47+D54+D59</f>
        <v>718115</v>
      </c>
      <c r="E61" s="46">
        <f>E33-E47+E54+E59</f>
        <v>-2362868</v>
      </c>
      <c r="F61" s="46">
        <f>F33-F47+F54+F59</f>
        <v>93617735</v>
      </c>
    </row>
    <row r="62" spans="1:31" ht="13.5" thickTop="1"/>
    <row r="63" spans="1:31">
      <c r="D63" s="512"/>
    </row>
    <row r="65" spans="2:16">
      <c r="B65" s="734">
        <f>'TAMIU FGD'!$M$85</f>
        <v>91972982</v>
      </c>
      <c r="C65" s="75"/>
      <c r="D65" s="734">
        <f>'TAMIU FGD'!$F$85</f>
        <v>718115</v>
      </c>
      <c r="E65" s="734">
        <f>'TAMIU FGD'!$M$62*-1</f>
        <v>-2362868</v>
      </c>
      <c r="F65" s="75"/>
    </row>
    <row r="66" spans="2:16">
      <c r="B66" s="734"/>
      <c r="C66" s="75"/>
      <c r="D66" s="734">
        <f>'TAMIU FGD'!$F$68</f>
        <v>7874983</v>
      </c>
      <c r="E66" s="734">
        <f>+$D$38</f>
        <v>0</v>
      </c>
      <c r="F66" s="734"/>
    </row>
    <row r="67" spans="2:16">
      <c r="B67" s="759"/>
      <c r="C67" s="75"/>
      <c r="D67" s="759">
        <f>-'TAMIU FGD'!$M$68</f>
        <v>-7874983</v>
      </c>
      <c r="E67" s="759"/>
      <c r="F67" s="734"/>
    </row>
    <row r="68" spans="2:16">
      <c r="B68" s="734">
        <f>SUM(B65:B67)</f>
        <v>91972982</v>
      </c>
      <c r="C68" s="75"/>
      <c r="D68" s="734">
        <f>SUM(D65:D67)</f>
        <v>718115</v>
      </c>
      <c r="E68" s="734">
        <f>SUM(E65:E67)</f>
        <v>-2362868</v>
      </c>
      <c r="F68" s="734">
        <f>B68-D68-E68</f>
        <v>93617735</v>
      </c>
    </row>
    <row r="69" spans="2:16">
      <c r="B69" s="734"/>
      <c r="C69" s="75"/>
      <c r="D69" s="734">
        <f>'TAMIU FGD'!F54*-1</f>
        <v>-2014515</v>
      </c>
      <c r="E69" s="734"/>
      <c r="F69" s="734"/>
    </row>
    <row r="70" spans="2:16" ht="12.75" customHeight="1">
      <c r="B70" s="759"/>
      <c r="C70" s="95"/>
      <c r="D70" s="759">
        <f>'TAMIU FGD'!M54</f>
        <v>2014515</v>
      </c>
      <c r="E70" s="759"/>
      <c r="F70" s="759">
        <f>-D70-D69</f>
        <v>0</v>
      </c>
    </row>
    <row r="71" spans="2:16" ht="12.75" customHeight="1">
      <c r="B71" s="734">
        <f>SUM(B68:B70)</f>
        <v>91972982</v>
      </c>
      <c r="C71" s="75"/>
      <c r="D71" s="734">
        <f>SUM(D68:D70)</f>
        <v>718115</v>
      </c>
      <c r="E71" s="734">
        <f>SUM(E68:E70)</f>
        <v>-2362868</v>
      </c>
      <c r="F71" s="734">
        <f>SUM(F68:F70)</f>
        <v>93617735</v>
      </c>
    </row>
    <row r="72" spans="2:16" ht="12.75" customHeight="1">
      <c r="B72" s="734"/>
      <c r="C72" s="75"/>
      <c r="D72" s="734"/>
      <c r="E72" s="734"/>
      <c r="F72" s="734"/>
    </row>
    <row r="73" spans="2:16" ht="12.75" customHeight="1">
      <c r="B73" s="512">
        <f>B61-B71</f>
        <v>0</v>
      </c>
      <c r="C73" s="75"/>
      <c r="D73" s="512">
        <f>D61-D71</f>
        <v>0</v>
      </c>
      <c r="E73" s="512">
        <f>E61-E71</f>
        <v>0</v>
      </c>
      <c r="F73" s="512">
        <f>F61-F71</f>
        <v>0</v>
      </c>
    </row>
    <row r="74" spans="2:16" ht="12.75" customHeight="1">
      <c r="C74" s="75"/>
      <c r="F74" s="617"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G47:H50"/>
    <mergeCell ref="K30:O30"/>
    <mergeCell ref="M31:M34"/>
    <mergeCell ref="G32:H32"/>
    <mergeCell ref="G33:H33"/>
    <mergeCell ref="L31:L34"/>
    <mergeCell ref="K31:K34"/>
    <mergeCell ref="N31:N34"/>
    <mergeCell ref="O31:O34"/>
    <mergeCell ref="J48:J49"/>
    <mergeCell ref="F1:I1"/>
    <mergeCell ref="J1:O1"/>
    <mergeCell ref="D1:E1"/>
    <mergeCell ref="K29:O29"/>
    <mergeCell ref="D4:D5"/>
    <mergeCell ref="E4:E5"/>
  </mergeCells>
  <hyperlinks>
    <hyperlink ref="D1:E1" location="Index!A1" display="Return to Index" xr:uid="{00000000-0004-0000-52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69">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D11" sqref="D11"/>
    </sheetView>
  </sheetViews>
  <sheetFormatPr defaultColWidth="9.140625"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5.140625" style="164" customWidth="1"/>
    <col min="15" max="15" width="14.42578125" style="261" customWidth="1"/>
    <col min="16" max="16" width="25.7109375" style="264" customWidth="1"/>
    <col min="17" max="17" width="16.42578125" style="264" customWidth="1"/>
    <col min="18" max="18" width="16.85546875" style="264" customWidth="1"/>
    <col min="19" max="19" width="1.7109375" style="264" customWidth="1"/>
    <col min="20" max="20" width="17.140625" style="264" customWidth="1"/>
    <col min="21" max="21" width="16.85546875" style="264" customWidth="1"/>
    <col min="22" max="23" width="19.28515625" style="264" customWidth="1"/>
    <col min="24" max="24" width="16.855468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13" t="str">
        <f>'TAMIU Chrts'!$A$1</f>
        <v>Texas A&amp;M International University</v>
      </c>
      <c r="C2" s="1713"/>
      <c r="D2" s="1713"/>
      <c r="E2" s="1713"/>
      <c r="F2" s="1742"/>
      <c r="G2" s="160"/>
      <c r="H2" s="161"/>
      <c r="I2" s="320" t="str">
        <f>IF($B$2&lt;&gt;Input!$B$20,"Name Mismatch","")</f>
        <v/>
      </c>
      <c r="J2" s="168"/>
      <c r="K2" s="169"/>
      <c r="L2" s="169"/>
      <c r="M2" s="170"/>
      <c r="O2" s="835" t="s">
        <v>1200</v>
      </c>
      <c r="P2" s="36"/>
    </row>
    <row r="3" spans="1:28" ht="20.25">
      <c r="A3" s="184">
        <v>2</v>
      </c>
      <c r="B3" s="1713" t="str">
        <f>'Smmy Chrts'!$A$2</f>
        <v>For the Year Ended August 31, 2021</v>
      </c>
      <c r="C3" s="1713"/>
      <c r="D3" s="1713"/>
      <c r="E3" s="1713"/>
      <c r="F3" s="1742"/>
      <c r="G3" s="161"/>
      <c r="H3" s="161"/>
      <c r="I3" s="169"/>
      <c r="J3" s="168"/>
      <c r="K3" s="169"/>
      <c r="L3" s="169"/>
      <c r="M3" s="170"/>
      <c r="O3" s="74"/>
    </row>
    <row r="4" spans="1:28" ht="20.25">
      <c r="A4" s="184">
        <v>3</v>
      </c>
      <c r="B4" s="1713" t="str">
        <f>'Smmy Chrts'!$A$3</f>
        <v>Source: FY 2021 Annual Financial Report</v>
      </c>
      <c r="C4" s="1713"/>
      <c r="D4" s="1713"/>
      <c r="E4" s="1713"/>
      <c r="F4" s="1742"/>
      <c r="G4" s="161"/>
      <c r="H4" s="161"/>
      <c r="I4" s="169"/>
      <c r="J4" s="168"/>
      <c r="K4" s="169"/>
      <c r="L4" s="169"/>
      <c r="M4" s="170"/>
      <c r="O4" s="74"/>
      <c r="P4" s="1744" t="s">
        <v>93</v>
      </c>
      <c r="Q4" s="1745"/>
      <c r="T4" s="36" t="s">
        <v>250</v>
      </c>
    </row>
    <row r="5" spans="1:28">
      <c r="A5" s="184">
        <v>4</v>
      </c>
      <c r="B5" s="160"/>
      <c r="C5" s="160"/>
      <c r="D5" s="160"/>
      <c r="E5" s="160"/>
      <c r="F5" s="160"/>
      <c r="G5" s="160"/>
      <c r="H5" s="160"/>
      <c r="I5" s="160"/>
      <c r="J5" s="160"/>
      <c r="K5" s="160"/>
      <c r="L5" s="160"/>
      <c r="M5" s="166"/>
      <c r="O5" s="262"/>
    </row>
    <row r="6" spans="1:28">
      <c r="A6" s="184">
        <v>5</v>
      </c>
      <c r="B6" s="1715" t="str">
        <f>'Smmy Chrts'!$C$32</f>
        <v>Detail Worksheet FY 2021</v>
      </c>
      <c r="C6" s="1715"/>
      <c r="D6" s="1743"/>
      <c r="E6" s="1743"/>
      <c r="F6" s="1743"/>
      <c r="G6" s="1743"/>
      <c r="H6" s="1743"/>
      <c r="I6" s="1743"/>
      <c r="J6" s="1743"/>
      <c r="K6" s="1743"/>
      <c r="L6" s="1743"/>
      <c r="M6" s="1743"/>
      <c r="O6" s="265"/>
    </row>
    <row r="7" spans="1:28">
      <c r="A7" s="184">
        <v>6</v>
      </c>
      <c r="B7" s="172"/>
      <c r="C7" s="172"/>
      <c r="D7" s="160"/>
      <c r="E7" s="160"/>
      <c r="F7" s="160"/>
      <c r="G7" s="160"/>
      <c r="H7" s="160"/>
      <c r="I7" s="160"/>
      <c r="J7" s="160"/>
      <c r="K7" s="160"/>
      <c r="L7" s="160"/>
      <c r="M7" s="173" t="str">
        <f>'Smmy Chrts'!$C$33</f>
        <v>FY 2021</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Input!$M$20</f>
        <v>36675060</v>
      </c>
      <c r="E10" s="372">
        <f>Input!$N$20</f>
        <v>0</v>
      </c>
      <c r="F10" s="372">
        <f>Input!$O$20</f>
        <v>0</v>
      </c>
      <c r="G10" s="372">
        <f>Input!$P$20</f>
        <v>0</v>
      </c>
      <c r="H10" s="372">
        <f>Input!$Q$20</f>
        <v>0</v>
      </c>
      <c r="I10" s="372">
        <f>Input!$R$20</f>
        <v>0</v>
      </c>
      <c r="J10" s="372">
        <f>Input!$S$20</f>
        <v>0</v>
      </c>
      <c r="K10" s="372">
        <f>Input!$T$20</f>
        <v>0</v>
      </c>
      <c r="L10" s="372">
        <f>Input!$U$20</f>
        <v>0</v>
      </c>
      <c r="M10" s="373">
        <f t="shared" ref="M10:M15" si="0">D10+E10+F10+G10+H10+I10+J10+K10+L10</f>
        <v>36675060</v>
      </c>
      <c r="N10" s="160"/>
      <c r="O10" s="271"/>
      <c r="P10" s="1718" t="s">
        <v>575</v>
      </c>
      <c r="U10" s="268"/>
    </row>
    <row r="11" spans="1:28">
      <c r="A11" s="184">
        <v>10</v>
      </c>
      <c r="B11" s="160" t="s">
        <v>2</v>
      </c>
      <c r="C11" s="160"/>
      <c r="D11" s="372">
        <f>Input!$V$20</f>
        <v>237379</v>
      </c>
      <c r="E11" s="372">
        <f>Input!$W$20</f>
        <v>95661</v>
      </c>
      <c r="F11" s="372">
        <f>Input!$X$20</f>
        <v>0</v>
      </c>
      <c r="G11" s="372">
        <f>Input!$Y$20</f>
        <v>12124592</v>
      </c>
      <c r="H11" s="372">
        <f>Input!$Z$20</f>
        <v>0</v>
      </c>
      <c r="I11" s="372">
        <f>Input!$AA$20</f>
        <v>0</v>
      </c>
      <c r="J11" s="372">
        <f>Input!$AB$20</f>
        <v>0</v>
      </c>
      <c r="K11" s="372">
        <f>Input!$AC$20</f>
        <v>0</v>
      </c>
      <c r="L11" s="372">
        <f>Input!$AD$20</f>
        <v>0</v>
      </c>
      <c r="M11" s="373">
        <f t="shared" si="0"/>
        <v>12457632</v>
      </c>
      <c r="N11" s="160"/>
      <c r="O11" s="482"/>
      <c r="P11" s="1719"/>
      <c r="U11" s="268"/>
    </row>
    <row r="12" spans="1:28" ht="12.75" hidden="1" customHeight="1">
      <c r="B12" s="160" t="s">
        <v>1410</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Input!$AN$20</f>
        <v>7462394</v>
      </c>
      <c r="E13" s="372">
        <f>Input!$AO$20</f>
        <v>0</v>
      </c>
      <c r="F13" s="372">
        <f>Input!$AP$20</f>
        <v>0</v>
      </c>
      <c r="G13" s="372">
        <f>Input!$AQ$20</f>
        <v>0</v>
      </c>
      <c r="H13" s="372">
        <f>Input!$AR$20</f>
        <v>0</v>
      </c>
      <c r="I13" s="372">
        <f>Input!$AS$20</f>
        <v>0</v>
      </c>
      <c r="J13" s="372">
        <f>Input!$AT$20</f>
        <v>0</v>
      </c>
      <c r="K13" s="372">
        <f>Input!$AU$20</f>
        <v>0</v>
      </c>
      <c r="L13" s="372">
        <f>Input!$AV$20</f>
        <v>0</v>
      </c>
      <c r="M13" s="373">
        <f t="shared" si="0"/>
        <v>7462394</v>
      </c>
      <c r="N13" s="160"/>
      <c r="O13" s="482" t="str">
        <f>IF(P13&lt;&gt;M13,"Out of Balance","Balanced")</f>
        <v>Balanced</v>
      </c>
      <c r="P13" s="484">
        <f>IFERROR(VLOOKUP($B$2,AMTLU,6,FALSE),0)</f>
        <v>7462394</v>
      </c>
      <c r="U13" s="268"/>
    </row>
    <row r="14" spans="1:28">
      <c r="A14" s="184">
        <v>13</v>
      </c>
      <c r="B14" s="160" t="s">
        <v>49</v>
      </c>
      <c r="C14" s="160"/>
      <c r="D14" s="372">
        <f>Input!$AW$20</f>
        <v>0</v>
      </c>
      <c r="E14" s="372">
        <f>Input!$AX$20</f>
        <v>0</v>
      </c>
      <c r="F14" s="372">
        <f>Input!$AY$20</f>
        <v>0</v>
      </c>
      <c r="G14" s="372">
        <f>Input!$AZ$20</f>
        <v>0</v>
      </c>
      <c r="H14" s="372">
        <f>Input!$BA$20</f>
        <v>0</v>
      </c>
      <c r="I14" s="372">
        <f>Input!$BB$20</f>
        <v>0</v>
      </c>
      <c r="J14" s="372">
        <f>Input!$BC$20</f>
        <v>0</v>
      </c>
      <c r="K14" s="372">
        <f>Input!$BD$20</f>
        <v>0</v>
      </c>
      <c r="L14" s="372">
        <f>Input!$BE$20</f>
        <v>0</v>
      </c>
      <c r="M14" s="373">
        <f t="shared" si="0"/>
        <v>0</v>
      </c>
      <c r="N14" s="160"/>
      <c r="O14" s="482"/>
      <c r="P14" s="485"/>
    </row>
    <row r="15" spans="1:28" ht="15">
      <c r="A15" s="184">
        <v>14</v>
      </c>
      <c r="B15" s="176" t="s">
        <v>3</v>
      </c>
      <c r="C15" s="176"/>
      <c r="D15" s="374">
        <f t="shared" ref="D15:L15" si="1">SUM(D10:D14)</f>
        <v>44374833</v>
      </c>
      <c r="E15" s="374">
        <f t="shared" si="1"/>
        <v>95661</v>
      </c>
      <c r="F15" s="374">
        <f t="shared" si="1"/>
        <v>0</v>
      </c>
      <c r="G15" s="374">
        <f t="shared" si="1"/>
        <v>12124592</v>
      </c>
      <c r="H15" s="374">
        <f t="shared" si="1"/>
        <v>0</v>
      </c>
      <c r="I15" s="374">
        <f t="shared" si="1"/>
        <v>0</v>
      </c>
      <c r="J15" s="374">
        <f t="shared" si="1"/>
        <v>0</v>
      </c>
      <c r="K15" s="374">
        <f t="shared" si="1"/>
        <v>0</v>
      </c>
      <c r="L15" s="374">
        <f t="shared" si="1"/>
        <v>0</v>
      </c>
      <c r="M15" s="374">
        <f t="shared" si="0"/>
        <v>56595086</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58" t="s">
        <v>1042</v>
      </c>
      <c r="C18" s="558"/>
      <c r="D18" s="374">
        <f t="shared" ref="D18:L18" si="2">D23-SUM(D19:D22)</f>
        <v>14130616</v>
      </c>
      <c r="E18" s="374">
        <f t="shared" si="2"/>
        <v>22743934</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36874550</v>
      </c>
      <c r="V18" s="327"/>
      <c r="X18" s="330"/>
    </row>
    <row r="19" spans="1:26" s="264" customFormat="1" ht="12.75" customHeight="1" thickTop="1" thickBot="1">
      <c r="A19" s="263"/>
      <c r="B19" s="261" t="s">
        <v>722</v>
      </c>
      <c r="C19" s="261"/>
      <c r="D19" s="372">
        <f>Input!$BF$20</f>
        <v>-2218786</v>
      </c>
      <c r="E19" s="372">
        <f>Input!$BG$20</f>
        <v>-18656</v>
      </c>
      <c r="F19" s="372">
        <f>Input!$BH$20</f>
        <v>0</v>
      </c>
      <c r="G19" s="372">
        <f>Input!$BI$20</f>
        <v>0</v>
      </c>
      <c r="H19" s="372">
        <f>Input!$BJ$20</f>
        <v>0</v>
      </c>
      <c r="I19" s="372">
        <f>Input!$BK$20</f>
        <v>0</v>
      </c>
      <c r="J19" s="372">
        <f>Input!$BL$20</f>
        <v>0</v>
      </c>
      <c r="K19" s="372">
        <f>Input!$BM$20</f>
        <v>0</v>
      </c>
      <c r="L19" s="372">
        <f>Input!$BN$20</f>
        <v>0</v>
      </c>
      <c r="M19" s="373">
        <f t="shared" si="3"/>
        <v>-2237442</v>
      </c>
      <c r="O19" s="1732" t="s">
        <v>1294</v>
      </c>
      <c r="P19" s="1733"/>
      <c r="Q19" s="1733"/>
      <c r="R19" s="1734"/>
      <c r="T19" s="1735" t="s">
        <v>1043</v>
      </c>
      <c r="U19" s="1736"/>
      <c r="V19" s="1736"/>
      <c r="W19" s="1736"/>
      <c r="X19" s="1737"/>
    </row>
    <row r="20" spans="1:26" s="264" customFormat="1" ht="12.75" customHeight="1" thickTop="1">
      <c r="A20" s="263"/>
      <c r="B20" s="261" t="s">
        <v>723</v>
      </c>
      <c r="C20" s="261"/>
      <c r="D20" s="372">
        <f>Input!$BO$20</f>
        <v>0</v>
      </c>
      <c r="E20" s="372">
        <f>Input!$BP$20</f>
        <v>0</v>
      </c>
      <c r="F20" s="372">
        <f>Input!$BQ$20</f>
        <v>0</v>
      </c>
      <c r="G20" s="372">
        <f>Input!$BR$20</f>
        <v>0</v>
      </c>
      <c r="H20" s="372">
        <f>Input!$BS$20</f>
        <v>0</v>
      </c>
      <c r="I20" s="372">
        <f>Input!$BT$20</f>
        <v>0</v>
      </c>
      <c r="J20" s="372">
        <f>Input!$BU$20</f>
        <v>0</v>
      </c>
      <c r="K20" s="372">
        <f>Input!$BV$20</f>
        <v>0</v>
      </c>
      <c r="L20" s="372">
        <f>Input!$BW$20</f>
        <v>0</v>
      </c>
      <c r="M20" s="373">
        <f t="shared" si="3"/>
        <v>0</v>
      </c>
      <c r="O20" s="421" t="s">
        <v>288</v>
      </c>
      <c r="P20" s="422"/>
      <c r="Q20" s="414"/>
      <c r="R20" s="559"/>
      <c r="T20" s="560" t="s">
        <v>1044</v>
      </c>
      <c r="U20" s="266"/>
      <c r="V20" s="266"/>
      <c r="X20" s="425"/>
    </row>
    <row r="21" spans="1:26" s="264" customFormat="1">
      <c r="A21" s="263"/>
      <c r="B21" s="261" t="s">
        <v>724</v>
      </c>
      <c r="C21" s="261"/>
      <c r="D21" s="372">
        <f>Input!$BX$20</f>
        <v>-624434</v>
      </c>
      <c r="E21" s="372">
        <f>Input!$BY$20</f>
        <v>-394537</v>
      </c>
      <c r="F21" s="372">
        <f>Input!$BZ$20</f>
        <v>0</v>
      </c>
      <c r="G21" s="372">
        <f>Input!$CA$20</f>
        <v>0</v>
      </c>
      <c r="H21" s="372">
        <f>Input!$CB$20</f>
        <v>0</v>
      </c>
      <c r="I21" s="372">
        <f>Input!$CC$20</f>
        <v>0</v>
      </c>
      <c r="J21" s="372">
        <f>Input!$CD$20</f>
        <v>0</v>
      </c>
      <c r="K21" s="372">
        <f>Input!$CE$20</f>
        <v>0</v>
      </c>
      <c r="L21" s="372">
        <f>Input!$CF$20</f>
        <v>0</v>
      </c>
      <c r="M21" s="373">
        <f t="shared" si="3"/>
        <v>-1018971</v>
      </c>
      <c r="O21" s="434"/>
      <c r="R21" s="561"/>
      <c r="T21" s="650" t="s">
        <v>1045</v>
      </c>
      <c r="U21" s="266"/>
      <c r="V21" s="266"/>
      <c r="W21" s="651">
        <f>M44</f>
        <v>35768010</v>
      </c>
      <c r="X21" s="425"/>
      <c r="Z21" s="330"/>
    </row>
    <row r="22" spans="1:26" s="264" customFormat="1">
      <c r="A22" s="263"/>
      <c r="B22" s="261" t="s">
        <v>725</v>
      </c>
      <c r="C22" s="261"/>
      <c r="D22" s="372">
        <f>Input!$CG$20</f>
        <v>0</v>
      </c>
      <c r="E22" s="372">
        <f>Input!$CH$20</f>
        <v>0</v>
      </c>
      <c r="F22" s="372">
        <f>Input!$CI$20</f>
        <v>0</v>
      </c>
      <c r="G22" s="372">
        <f>Input!$CJ$20</f>
        <v>0</v>
      </c>
      <c r="H22" s="372">
        <f>Input!$CK$20</f>
        <v>0</v>
      </c>
      <c r="I22" s="372">
        <f>Input!$CL$20</f>
        <v>0</v>
      </c>
      <c r="J22" s="372">
        <f>Input!$CM$20</f>
        <v>0</v>
      </c>
      <c r="K22" s="372">
        <f>Input!$CN$20</f>
        <v>0</v>
      </c>
      <c r="L22" s="372">
        <f>Input!$CO$20</f>
        <v>0</v>
      </c>
      <c r="M22" s="373">
        <f t="shared" si="3"/>
        <v>0</v>
      </c>
      <c r="N22" s="270"/>
      <c r="O22" s="434" t="s">
        <v>1046</v>
      </c>
      <c r="P22" s="276"/>
      <c r="Q22" s="424">
        <f>M23</f>
        <v>33618137</v>
      </c>
      <c r="R22" s="562"/>
      <c r="T22" s="650" t="s">
        <v>1047</v>
      </c>
      <c r="U22" s="266"/>
      <c r="V22" s="266"/>
      <c r="W22" s="652">
        <f>R30*-1</f>
        <v>30653539</v>
      </c>
      <c r="X22" s="425"/>
    </row>
    <row r="23" spans="1:26" s="264" customFormat="1" ht="12.75" customHeight="1">
      <c r="A23" s="263"/>
      <c r="B23" s="558" t="s">
        <v>726</v>
      </c>
      <c r="C23" s="563"/>
      <c r="D23" s="564">
        <f>Input!$CP$20</f>
        <v>11287396</v>
      </c>
      <c r="E23" s="564">
        <f>Input!$CQ$20</f>
        <v>22330741</v>
      </c>
      <c r="F23" s="564">
        <f>Input!$CR$20</f>
        <v>0</v>
      </c>
      <c r="G23" s="564">
        <f>Input!$CS$20</f>
        <v>0</v>
      </c>
      <c r="H23" s="564">
        <f>Input!$CT$20</f>
        <v>0</v>
      </c>
      <c r="I23" s="564">
        <f>Input!$CU$20</f>
        <v>0</v>
      </c>
      <c r="J23" s="564">
        <f>Input!$CV$20</f>
        <v>0</v>
      </c>
      <c r="K23" s="564">
        <f>Input!$CW$20</f>
        <v>0</v>
      </c>
      <c r="L23" s="564">
        <f>Input!$CX$20</f>
        <v>0</v>
      </c>
      <c r="M23" s="565">
        <f t="shared" si="3"/>
        <v>33618137</v>
      </c>
      <c r="O23" s="434"/>
      <c r="P23" s="276"/>
      <c r="Q23" s="424"/>
      <c r="R23" s="562"/>
      <c r="T23" s="560" t="s">
        <v>1230</v>
      </c>
      <c r="U23" s="266"/>
      <c r="V23" s="266"/>
      <c r="W23" s="276"/>
      <c r="X23" s="425">
        <f>SUM(W21:W22)</f>
        <v>66421549</v>
      </c>
      <c r="Z23" s="330"/>
    </row>
    <row r="24" spans="1:26" s="264" customFormat="1" ht="12.75" customHeight="1">
      <c r="A24" s="263"/>
      <c r="B24" s="261" t="s">
        <v>727</v>
      </c>
      <c r="C24" s="566"/>
      <c r="D24" s="372">
        <f>Input!$CY$20</f>
        <v>0</v>
      </c>
      <c r="E24" s="372">
        <f>Input!$CZ$20</f>
        <v>0</v>
      </c>
      <c r="F24" s="372">
        <f>Input!$DA$20</f>
        <v>0</v>
      </c>
      <c r="G24" s="372">
        <f>Input!$DB$20</f>
        <v>0</v>
      </c>
      <c r="H24" s="372">
        <f>Input!$DC$20</f>
        <v>0</v>
      </c>
      <c r="I24" s="372">
        <f>Input!$DD$20</f>
        <v>0</v>
      </c>
      <c r="J24" s="372">
        <f>Input!$DE$20</f>
        <v>0</v>
      </c>
      <c r="K24" s="372">
        <f>Input!$DF$20</f>
        <v>0</v>
      </c>
      <c r="L24" s="372">
        <f>Input!$DG$20</f>
        <v>0</v>
      </c>
      <c r="M24" s="567">
        <f t="shared" si="3"/>
        <v>0</v>
      </c>
      <c r="O24" s="417" t="s">
        <v>1048</v>
      </c>
      <c r="P24" s="276"/>
      <c r="Q24" s="327"/>
      <c r="R24" s="646">
        <f>SUM(M24:M28)</f>
        <v>-15514788</v>
      </c>
      <c r="T24" s="560"/>
      <c r="U24" s="266"/>
      <c r="V24" s="266"/>
      <c r="X24" s="425"/>
      <c r="Z24" s="330"/>
    </row>
    <row r="25" spans="1:26" s="264" customFormat="1" ht="12.75" customHeight="1">
      <c r="A25" s="263"/>
      <c r="B25" s="261" t="s">
        <v>728</v>
      </c>
      <c r="C25" s="566"/>
      <c r="D25" s="372">
        <f>Input!$DH$20</f>
        <v>0</v>
      </c>
      <c r="E25" s="372">
        <f>Input!$DI$20</f>
        <v>0</v>
      </c>
      <c r="F25" s="372">
        <f>Input!$DJ$20</f>
        <v>0</v>
      </c>
      <c r="G25" s="372">
        <f>Input!$DK$20</f>
        <v>0</v>
      </c>
      <c r="H25" s="372">
        <f>Input!$DL$20</f>
        <v>0</v>
      </c>
      <c r="I25" s="372">
        <f>Input!$DM$20</f>
        <v>0</v>
      </c>
      <c r="J25" s="372">
        <f>Input!$DN$20</f>
        <v>0</v>
      </c>
      <c r="K25" s="372">
        <f>Input!$DO$20</f>
        <v>0</v>
      </c>
      <c r="L25" s="372">
        <f>Input!$DP$20</f>
        <v>0</v>
      </c>
      <c r="M25" s="567">
        <f t="shared" si="3"/>
        <v>0</v>
      </c>
      <c r="O25" s="434"/>
      <c r="P25" s="276"/>
      <c r="Q25" s="327"/>
      <c r="R25" s="646"/>
      <c r="T25" s="568" t="s">
        <v>1103</v>
      </c>
      <c r="U25" s="569"/>
      <c r="V25" s="569"/>
      <c r="W25" s="653">
        <f>(M26+M39)*-1</f>
        <v>2062104</v>
      </c>
      <c r="X25" s="425"/>
      <c r="Z25" s="330"/>
    </row>
    <row r="26" spans="1:26" s="264" customFormat="1" ht="12.75" customHeight="1">
      <c r="A26" s="263"/>
      <c r="B26" s="261" t="s">
        <v>729</v>
      </c>
      <c r="C26" s="566"/>
      <c r="D26" s="372">
        <f>Input!$DQ$20</f>
        <v>-371078</v>
      </c>
      <c r="E26" s="372">
        <f>Input!$DR$20</f>
        <v>-760186</v>
      </c>
      <c r="F26" s="372">
        <f>Input!$DS$20</f>
        <v>0</v>
      </c>
      <c r="G26" s="372">
        <f>Input!$DT$20</f>
        <v>0</v>
      </c>
      <c r="H26" s="372">
        <f>Input!$DU$20</f>
        <v>0</v>
      </c>
      <c r="I26" s="372">
        <f>Input!$DV$20</f>
        <v>0</v>
      </c>
      <c r="J26" s="372">
        <f>Input!$DW$20</f>
        <v>0</v>
      </c>
      <c r="K26" s="372">
        <f>Input!$DX$20</f>
        <v>0</v>
      </c>
      <c r="L26" s="372">
        <f>Input!$DY$20</f>
        <v>0</v>
      </c>
      <c r="M26" s="567">
        <f t="shared" si="3"/>
        <v>-1131264</v>
      </c>
      <c r="O26" s="434" t="s">
        <v>1049</v>
      </c>
      <c r="P26" s="276"/>
      <c r="Q26" s="427">
        <f>M36</f>
        <v>32803412</v>
      </c>
      <c r="R26" s="570"/>
      <c r="T26" s="560" t="s">
        <v>1104</v>
      </c>
      <c r="U26" s="266"/>
      <c r="V26" s="266"/>
      <c r="W26" s="571">
        <f>(M21+M34)*-1</f>
        <v>3040743</v>
      </c>
      <c r="X26" s="425"/>
      <c r="Z26" s="330"/>
    </row>
    <row r="27" spans="1:26" s="264" customFormat="1">
      <c r="A27" s="263"/>
      <c r="B27" s="261" t="s">
        <v>730</v>
      </c>
      <c r="C27" s="566"/>
      <c r="D27" s="372">
        <f>Input!$DZ$20</f>
        <v>0</v>
      </c>
      <c r="E27" s="372">
        <f>Input!$EA$20</f>
        <v>0</v>
      </c>
      <c r="F27" s="372">
        <f>Input!$EB$20</f>
        <v>0</v>
      </c>
      <c r="G27" s="372">
        <f>Input!$EC$20</f>
        <v>0</v>
      </c>
      <c r="H27" s="372">
        <f>Input!$ED$20</f>
        <v>0</v>
      </c>
      <c r="I27" s="372">
        <f>Input!$EE$20</f>
        <v>0</v>
      </c>
      <c r="J27" s="372">
        <f>Input!$EF$20</f>
        <v>0</v>
      </c>
      <c r="K27" s="372">
        <f>Input!$EG$20</f>
        <v>0</v>
      </c>
      <c r="L27" s="372">
        <f>Input!EH6</f>
        <v>0</v>
      </c>
      <c r="M27" s="567">
        <f t="shared" si="3"/>
        <v>0</v>
      </c>
      <c r="O27" s="434"/>
      <c r="P27" s="276"/>
      <c r="Q27" s="427"/>
      <c r="R27" s="570"/>
      <c r="T27" s="650" t="s">
        <v>1105</v>
      </c>
      <c r="U27" s="584"/>
      <c r="V27" s="584"/>
      <c r="W27" s="654">
        <f>SUM(W25:W26)</f>
        <v>5102847</v>
      </c>
      <c r="X27" s="655"/>
    </row>
    <row r="28" spans="1:26" s="264" customFormat="1">
      <c r="A28" s="263"/>
      <c r="B28" s="261" t="s">
        <v>2133</v>
      </c>
      <c r="C28" s="566"/>
      <c r="D28" s="372">
        <f>Input!$EI$20</f>
        <v>-4838061</v>
      </c>
      <c r="E28" s="372">
        <f>Input!$EJ$20</f>
        <v>-9545463</v>
      </c>
      <c r="F28" s="372">
        <f>Input!$EK$20</f>
        <v>0</v>
      </c>
      <c r="G28" s="372">
        <f>Input!$EL$20</f>
        <v>0</v>
      </c>
      <c r="H28" s="372">
        <f>Input!$EM$20</f>
        <v>0</v>
      </c>
      <c r="I28" s="372">
        <f>Input!$EN$20</f>
        <v>0</v>
      </c>
      <c r="J28" s="372">
        <f>Input!$EO$20</f>
        <v>0</v>
      </c>
      <c r="K28" s="372">
        <f>Input!$EP$20</f>
        <v>0</v>
      </c>
      <c r="L28" s="372">
        <f>Input!$EQ$20</f>
        <v>0</v>
      </c>
      <c r="M28" s="567">
        <f t="shared" si="3"/>
        <v>-14383524</v>
      </c>
      <c r="O28" s="417" t="s">
        <v>1050</v>
      </c>
      <c r="Q28" s="429"/>
      <c r="R28" s="646">
        <f>SUM(M37:M41)</f>
        <v>-15138751</v>
      </c>
      <c r="T28" s="560" t="s">
        <v>1106</v>
      </c>
      <c r="U28" s="266"/>
      <c r="V28" s="266"/>
      <c r="W28" s="425">
        <f>(M27+M40)*-1</f>
        <v>0</v>
      </c>
      <c r="X28" s="655"/>
      <c r="Z28" s="330"/>
    </row>
    <row r="29" spans="1:26" s="264" customFormat="1" ht="12" customHeight="1">
      <c r="A29" s="263"/>
      <c r="B29" s="575" t="s">
        <v>39</v>
      </c>
      <c r="C29" s="563"/>
      <c r="D29" s="374">
        <f t="shared" ref="D29:L29" si="4">SUM(D23:D28)</f>
        <v>6078257</v>
      </c>
      <c r="E29" s="374">
        <f t="shared" si="4"/>
        <v>12025092</v>
      </c>
      <c r="F29" s="374">
        <f t="shared" si="4"/>
        <v>0</v>
      </c>
      <c r="G29" s="374">
        <f t="shared" si="4"/>
        <v>0</v>
      </c>
      <c r="H29" s="374">
        <f t="shared" si="4"/>
        <v>0</v>
      </c>
      <c r="I29" s="374">
        <f t="shared" si="4"/>
        <v>0</v>
      </c>
      <c r="J29" s="374">
        <f t="shared" si="4"/>
        <v>0</v>
      </c>
      <c r="K29" s="374">
        <f t="shared" si="4"/>
        <v>0</v>
      </c>
      <c r="L29" s="374">
        <f t="shared" si="4"/>
        <v>0</v>
      </c>
      <c r="M29" s="374">
        <f t="shared" si="3"/>
        <v>18103349</v>
      </c>
      <c r="O29" s="417"/>
      <c r="Q29" s="429"/>
      <c r="R29" s="576"/>
      <c r="T29" s="560" t="s">
        <v>1107</v>
      </c>
      <c r="U29" s="266"/>
      <c r="V29" s="266"/>
      <c r="W29" s="571">
        <f>(M22+M35)*-1</f>
        <v>0</v>
      </c>
      <c r="X29" s="655"/>
    </row>
    <row r="30" spans="1:26" s="264" customFormat="1" ht="16.5" customHeight="1">
      <c r="A30" s="263"/>
      <c r="B30" s="261"/>
      <c r="C30" s="566"/>
      <c r="D30" s="566"/>
      <c r="E30" s="566"/>
      <c r="F30" s="566"/>
      <c r="G30" s="566"/>
      <c r="H30" s="566"/>
      <c r="I30" s="566"/>
      <c r="J30" s="566"/>
      <c r="K30" s="566"/>
      <c r="L30" s="566"/>
      <c r="M30" s="567"/>
      <c r="O30" s="431" t="s">
        <v>289</v>
      </c>
      <c r="P30" s="432"/>
      <c r="Q30" s="433">
        <f>Q26+Q22</f>
        <v>66421549</v>
      </c>
      <c r="R30" s="647">
        <f>R28+R24</f>
        <v>-30653539</v>
      </c>
      <c r="T30" s="650" t="s">
        <v>1108</v>
      </c>
      <c r="U30" s="584"/>
      <c r="V30" s="584"/>
      <c r="W30" s="654">
        <f>SUM(W28:W29)</f>
        <v>0</v>
      </c>
      <c r="X30" s="655"/>
    </row>
    <row r="31" spans="1:26" s="264" customFormat="1" ht="12.75" customHeight="1">
      <c r="A31" s="263"/>
      <c r="B31" s="558" t="s">
        <v>1052</v>
      </c>
      <c r="C31" s="558"/>
      <c r="D31" s="374">
        <f t="shared" ref="D31:L31" si="5">D36-SUM(D32:D35)</f>
        <v>487923</v>
      </c>
      <c r="E31" s="374">
        <f t="shared" si="5"/>
        <v>25291016</v>
      </c>
      <c r="F31" s="374">
        <f t="shared" si="5"/>
        <v>9384625</v>
      </c>
      <c r="G31" s="374">
        <f t="shared" si="5"/>
        <v>88</v>
      </c>
      <c r="H31" s="374">
        <f t="shared" si="5"/>
        <v>0</v>
      </c>
      <c r="I31" s="374">
        <f t="shared" si="5"/>
        <v>0</v>
      </c>
      <c r="J31" s="374">
        <f t="shared" si="5"/>
        <v>0</v>
      </c>
      <c r="K31" s="374">
        <f t="shared" si="5"/>
        <v>0</v>
      </c>
      <c r="L31" s="374">
        <f t="shared" si="5"/>
        <v>0</v>
      </c>
      <c r="M31" s="374">
        <f t="shared" ref="M31:M42" si="6">D31+E31+F31+G31+H31+I31+J31+K31+L31</f>
        <v>35163652</v>
      </c>
      <c r="O31" s="434" t="s">
        <v>290</v>
      </c>
      <c r="P31" s="276"/>
      <c r="Q31" s="335"/>
      <c r="R31" s="562"/>
      <c r="T31" s="572" t="s">
        <v>1109</v>
      </c>
      <c r="U31" s="573"/>
      <c r="V31" s="573"/>
      <c r="W31" s="574">
        <f>W27+W30</f>
        <v>5102847</v>
      </c>
      <c r="X31" s="425"/>
      <c r="Z31" s="330"/>
    </row>
    <row r="32" spans="1:26" s="264" customFormat="1" ht="12.75" customHeight="1">
      <c r="A32" s="263"/>
      <c r="B32" s="261" t="s">
        <v>722</v>
      </c>
      <c r="C32" s="261"/>
      <c r="D32" s="372">
        <f>Input!$ER$20</f>
        <v>0</v>
      </c>
      <c r="E32" s="372">
        <f>Input!$ES$20</f>
        <v>-324957</v>
      </c>
      <c r="F32" s="372">
        <f>Input!$ET$20</f>
        <v>-13511</v>
      </c>
      <c r="G32" s="372">
        <f>Input!$EU$20</f>
        <v>0</v>
      </c>
      <c r="H32" s="372">
        <f>Input!$EV$20</f>
        <v>0</v>
      </c>
      <c r="I32" s="372">
        <f>Input!$EW$20</f>
        <v>0</v>
      </c>
      <c r="J32" s="372">
        <f>Input!$EX$20</f>
        <v>0</v>
      </c>
      <c r="K32" s="372">
        <f>Input!$EY$20</f>
        <v>0</v>
      </c>
      <c r="L32" s="372">
        <f>Input!$EZ$20</f>
        <v>0</v>
      </c>
      <c r="M32" s="567">
        <f t="shared" si="6"/>
        <v>-338468</v>
      </c>
      <c r="O32" s="415" t="s">
        <v>1295</v>
      </c>
      <c r="P32" s="416"/>
      <c r="Q32" s="577">
        <f>Input!$SQ$20</f>
        <v>66421549</v>
      </c>
      <c r="R32" s="578"/>
      <c r="T32" s="560"/>
      <c r="U32" s="266"/>
      <c r="V32" s="266"/>
      <c r="X32" s="425"/>
      <c r="Z32" s="330"/>
    </row>
    <row r="33" spans="1:24" s="264" customFormat="1">
      <c r="A33" s="263"/>
      <c r="B33" s="261" t="s">
        <v>723</v>
      </c>
      <c r="C33" s="261"/>
      <c r="D33" s="372">
        <f>Input!$FA$20</f>
        <v>0</v>
      </c>
      <c r="E33" s="372">
        <f>Input!$FB$20</f>
        <v>0</v>
      </c>
      <c r="F33" s="372">
        <f>Input!$FC$20</f>
        <v>0</v>
      </c>
      <c r="G33" s="372">
        <f>Input!$FD$20</f>
        <v>0</v>
      </c>
      <c r="H33" s="372">
        <f>Input!$FE$20</f>
        <v>0</v>
      </c>
      <c r="I33" s="372">
        <f>Input!$FF$20</f>
        <v>0</v>
      </c>
      <c r="J33" s="372">
        <f>Input!$FG$20</f>
        <v>0</v>
      </c>
      <c r="K33" s="372">
        <f>Input!$FH$20</f>
        <v>0</v>
      </c>
      <c r="L33" s="372">
        <f>Input!$FI$20</f>
        <v>0</v>
      </c>
      <c r="M33" s="567">
        <f t="shared" si="6"/>
        <v>0</v>
      </c>
      <c r="O33" s="415"/>
      <c r="P33" s="416"/>
      <c r="Q33" s="327"/>
      <c r="R33" s="578"/>
      <c r="T33" s="560" t="s">
        <v>1051</v>
      </c>
      <c r="U33" s="266"/>
      <c r="V33" s="266"/>
      <c r="W33" s="334">
        <f>(M19+M32)*-1</f>
        <v>2575910</v>
      </c>
      <c r="X33" s="425"/>
    </row>
    <row r="34" spans="1:24" s="264" customFormat="1">
      <c r="A34" s="263"/>
      <c r="B34" s="261" t="s">
        <v>724</v>
      </c>
      <c r="C34" s="261"/>
      <c r="D34" s="372">
        <f>Input!$FJ$20</f>
        <v>0</v>
      </c>
      <c r="E34" s="372">
        <f>Input!$FK$20</f>
        <v>-785140</v>
      </c>
      <c r="F34" s="372">
        <f>Input!$FL$20</f>
        <v>-1236632</v>
      </c>
      <c r="G34" s="372">
        <f>Input!$FM$20</f>
        <v>0</v>
      </c>
      <c r="H34" s="372">
        <f>Input!$FN$20</f>
        <v>0</v>
      </c>
      <c r="I34" s="372">
        <f>Input!$FO$20</f>
        <v>0</v>
      </c>
      <c r="J34" s="372">
        <f>Input!$FP$20</f>
        <v>0</v>
      </c>
      <c r="K34" s="372">
        <f>Input!$FQ$20</f>
        <v>0</v>
      </c>
      <c r="L34" s="372">
        <f>Input!$FR$20</f>
        <v>0</v>
      </c>
      <c r="M34" s="567">
        <f t="shared" si="6"/>
        <v>-2021772</v>
      </c>
      <c r="O34" s="435" t="s">
        <v>1296</v>
      </c>
      <c r="P34" s="436"/>
      <c r="Q34" s="264" t="s">
        <v>291</v>
      </c>
      <c r="R34" s="648">
        <f>Input!$SR$20</f>
        <v>-30653539</v>
      </c>
      <c r="T34" s="560" t="s">
        <v>1110</v>
      </c>
      <c r="U34" s="266"/>
      <c r="V34" s="266"/>
      <c r="W34" s="430">
        <f>(M24+M37)*-1</f>
        <v>0</v>
      </c>
      <c r="X34" s="425"/>
    </row>
    <row r="35" spans="1:24" s="264" customFormat="1" ht="13.5" thickBot="1">
      <c r="A35" s="263"/>
      <c r="B35" s="261" t="s">
        <v>725</v>
      </c>
      <c r="C35" s="261"/>
      <c r="D35" s="372">
        <f>Input!$FS$20</f>
        <v>0</v>
      </c>
      <c r="E35" s="372">
        <f>Input!$FT$20</f>
        <v>0</v>
      </c>
      <c r="F35" s="372">
        <f>Input!$FU$20</f>
        <v>0</v>
      </c>
      <c r="G35" s="372">
        <f>Input!$FV$20</f>
        <v>0</v>
      </c>
      <c r="H35" s="372">
        <f>Input!$FW$20</f>
        <v>0</v>
      </c>
      <c r="I35" s="372">
        <f>Input!$FX$20</f>
        <v>0</v>
      </c>
      <c r="J35" s="372">
        <f>Input!$FY$20</f>
        <v>0</v>
      </c>
      <c r="K35" s="372">
        <f>Input!$FZ$20</f>
        <v>0</v>
      </c>
      <c r="L35" s="372">
        <f>Input!$GA$20</f>
        <v>0</v>
      </c>
      <c r="M35" s="567">
        <f t="shared" si="6"/>
        <v>0</v>
      </c>
      <c r="O35" s="418" t="s">
        <v>286</v>
      </c>
      <c r="P35" s="419"/>
      <c r="Q35" s="420">
        <f>Q30-Q32</f>
        <v>0</v>
      </c>
      <c r="R35" s="649">
        <f>R30-R34</f>
        <v>0</v>
      </c>
      <c r="T35" s="650" t="s">
        <v>1111</v>
      </c>
      <c r="U35" s="584"/>
      <c r="V35" s="584"/>
      <c r="W35" s="656">
        <f>SUM(W33:W34)</f>
        <v>2575910</v>
      </c>
      <c r="X35" s="655"/>
    </row>
    <row r="36" spans="1:24" s="264" customFormat="1" ht="13.5" thickTop="1">
      <c r="A36" s="263"/>
      <c r="B36" s="558" t="s">
        <v>732</v>
      </c>
      <c r="C36" s="563"/>
      <c r="D36" s="564">
        <f>Input!$GB$20</f>
        <v>487923</v>
      </c>
      <c r="E36" s="564">
        <f>Input!$GC$20</f>
        <v>24180919</v>
      </c>
      <c r="F36" s="564">
        <f>Input!$GD$20</f>
        <v>8134482</v>
      </c>
      <c r="G36" s="564">
        <f>Input!$GE$20</f>
        <v>88</v>
      </c>
      <c r="H36" s="564">
        <f>Input!$GF$20</f>
        <v>0</v>
      </c>
      <c r="I36" s="564">
        <f>Input!$GG$20</f>
        <v>0</v>
      </c>
      <c r="J36" s="564">
        <f>Input!$GH$20</f>
        <v>0</v>
      </c>
      <c r="K36" s="564">
        <f>Input!$GI$20</f>
        <v>0</v>
      </c>
      <c r="L36" s="564">
        <f>Input!$GJ$20</f>
        <v>0</v>
      </c>
      <c r="M36" s="565">
        <f t="shared" si="6"/>
        <v>32803412</v>
      </c>
      <c r="O36" s="261"/>
      <c r="Q36" s="412" t="str">
        <f>IF(Q30&lt;&gt;Q32,"Out of Balance","Balanced")</f>
        <v>Balanced</v>
      </c>
      <c r="R36" s="412" t="str">
        <f>IF(R30&lt;&gt;R34,"Out of Balance","Balanced")</f>
        <v>Balanced</v>
      </c>
      <c r="T36" s="560" t="s">
        <v>1053</v>
      </c>
      <c r="U36" s="266"/>
      <c r="V36" s="266"/>
      <c r="W36" s="334">
        <f>(M20+M33)*-1</f>
        <v>0</v>
      </c>
      <c r="X36" s="425"/>
    </row>
    <row r="37" spans="1:24" s="264" customFormat="1">
      <c r="A37" s="263"/>
      <c r="B37" s="261" t="s">
        <v>727</v>
      </c>
      <c r="C37" s="566"/>
      <c r="D37" s="372">
        <f>Input!$GK$20</f>
        <v>0</v>
      </c>
      <c r="E37" s="372">
        <f>Input!$GL$20</f>
        <v>0</v>
      </c>
      <c r="F37" s="372">
        <f>Input!$GM$20</f>
        <v>0</v>
      </c>
      <c r="G37" s="372">
        <f>Input!$GN$20</f>
        <v>0</v>
      </c>
      <c r="H37" s="372">
        <f>Input!$GO$20</f>
        <v>0</v>
      </c>
      <c r="I37" s="372">
        <f>Input!$GP$20</f>
        <v>0</v>
      </c>
      <c r="J37" s="372">
        <f>Input!$GQ$20</f>
        <v>0</v>
      </c>
      <c r="K37" s="372">
        <f>Input!$GR$20</f>
        <v>0</v>
      </c>
      <c r="L37" s="372">
        <f>Input!$GS$20</f>
        <v>0</v>
      </c>
      <c r="M37" s="567">
        <f t="shared" si="6"/>
        <v>0</v>
      </c>
      <c r="O37" s="261"/>
      <c r="T37" s="560" t="s">
        <v>1112</v>
      </c>
      <c r="U37" s="266"/>
      <c r="V37" s="266"/>
      <c r="W37" s="430">
        <f>(M25+M38)*-1</f>
        <v>0</v>
      </c>
      <c r="X37" s="655"/>
    </row>
    <row r="38" spans="1:24" s="264" customFormat="1">
      <c r="A38" s="263"/>
      <c r="B38" s="261" t="s">
        <v>728</v>
      </c>
      <c r="C38" s="566"/>
      <c r="D38" s="372">
        <f>Input!$GT$20</f>
        <v>0</v>
      </c>
      <c r="E38" s="372">
        <f>Input!$GU$20</f>
        <v>0</v>
      </c>
      <c r="F38" s="372">
        <f>Input!$GV$20</f>
        <v>0</v>
      </c>
      <c r="G38" s="372">
        <f>Input!$GW$20</f>
        <v>0</v>
      </c>
      <c r="H38" s="372">
        <f>Input!$GX$20</f>
        <v>0</v>
      </c>
      <c r="I38" s="372">
        <f>Input!$GY$20</f>
        <v>0</v>
      </c>
      <c r="J38" s="372">
        <f>Input!$GZ$20</f>
        <v>0</v>
      </c>
      <c r="K38" s="372">
        <f>Input!$HA$20</f>
        <v>0</v>
      </c>
      <c r="L38" s="372">
        <f>Input!$HB$20</f>
        <v>0</v>
      </c>
      <c r="M38" s="567">
        <f t="shared" si="6"/>
        <v>0</v>
      </c>
      <c r="O38" s="261"/>
      <c r="T38" s="650" t="s">
        <v>1113</v>
      </c>
      <c r="U38" s="584"/>
      <c r="V38" s="584"/>
      <c r="W38" s="656">
        <f>SUM(W36:W37)</f>
        <v>0</v>
      </c>
      <c r="X38" s="425"/>
    </row>
    <row r="39" spans="1:24" s="264" customFormat="1">
      <c r="A39" s="263"/>
      <c r="B39" s="261" t="s">
        <v>729</v>
      </c>
      <c r="C39" s="566"/>
      <c r="D39" s="372">
        <f>Input!$HC$20</f>
        <v>-1590</v>
      </c>
      <c r="E39" s="372">
        <f>Input!$HD$20</f>
        <v>-635245</v>
      </c>
      <c r="F39" s="372">
        <f>Input!$HE$20</f>
        <v>-294005</v>
      </c>
      <c r="G39" s="372">
        <f>Input!$HF$20</f>
        <v>0</v>
      </c>
      <c r="H39" s="372">
        <f>Input!$HG$20</f>
        <v>0</v>
      </c>
      <c r="I39" s="372">
        <f>Input!$HH$20</f>
        <v>0</v>
      </c>
      <c r="J39" s="372">
        <f>Input!$HI$20</f>
        <v>0</v>
      </c>
      <c r="K39" s="372">
        <f>Input!$HJ$20</f>
        <v>0</v>
      </c>
      <c r="L39" s="372">
        <f>Input!$HK$20</f>
        <v>0</v>
      </c>
      <c r="M39" s="567">
        <f t="shared" si="6"/>
        <v>-930840</v>
      </c>
      <c r="O39" s="261"/>
      <c r="T39" s="560" t="s">
        <v>1054</v>
      </c>
      <c r="U39" s="266"/>
      <c r="V39" s="266"/>
      <c r="W39" s="334"/>
      <c r="X39" s="425">
        <f>W38+W35</f>
        <v>2575910</v>
      </c>
    </row>
    <row r="40" spans="1:24" s="264" customFormat="1">
      <c r="A40" s="263"/>
      <c r="B40" s="261" t="s">
        <v>730</v>
      </c>
      <c r="C40" s="566"/>
      <c r="D40" s="372">
        <f>Input!$HL$20</f>
        <v>0</v>
      </c>
      <c r="E40" s="372">
        <f>Input!$HM$20</f>
        <v>0</v>
      </c>
      <c r="F40" s="372">
        <f>Input!$HN$20</f>
        <v>0</v>
      </c>
      <c r="G40" s="372">
        <f>Input!$HO$20</f>
        <v>0</v>
      </c>
      <c r="H40" s="372">
        <f>Input!$HP$20</f>
        <v>0</v>
      </c>
      <c r="I40" s="372">
        <f>Input!$HQ$20</f>
        <v>0</v>
      </c>
      <c r="J40" s="372">
        <f>Input!$HR$20</f>
        <v>0</v>
      </c>
      <c r="K40" s="372">
        <f>Input!$HS$20</f>
        <v>0</v>
      </c>
      <c r="L40" s="372">
        <f>Input!$HT$20</f>
        <v>0</v>
      </c>
      <c r="M40" s="567">
        <f t="shared" si="6"/>
        <v>0</v>
      </c>
      <c r="O40" s="261"/>
      <c r="T40" s="560"/>
      <c r="U40" s="261"/>
      <c r="V40" s="261"/>
      <c r="W40" s="261"/>
      <c r="X40" s="655"/>
    </row>
    <row r="41" spans="1:24" s="264" customFormat="1">
      <c r="A41" s="263"/>
      <c r="B41" s="261" t="s">
        <v>2133</v>
      </c>
      <c r="C41" s="566"/>
      <c r="D41" s="372">
        <f>Input!$HU$20</f>
        <v>-223587</v>
      </c>
      <c r="E41" s="372">
        <f>Input!$HV$20</f>
        <v>-10524261</v>
      </c>
      <c r="F41" s="372">
        <f>Input!$HW$20</f>
        <v>-3460063</v>
      </c>
      <c r="G41" s="372">
        <f>Input!$HX$20</f>
        <v>0</v>
      </c>
      <c r="H41" s="372">
        <f>Input!$HY$20</f>
        <v>0</v>
      </c>
      <c r="I41" s="372">
        <f>Input!$HZ$20</f>
        <v>0</v>
      </c>
      <c r="J41" s="372">
        <f>Input!$IA$20</f>
        <v>0</v>
      </c>
      <c r="K41" s="372">
        <f>Input!$IB$20</f>
        <v>0</v>
      </c>
      <c r="L41" s="372">
        <f>Input!$IC$20</f>
        <v>0</v>
      </c>
      <c r="M41" s="567">
        <f t="shared" si="6"/>
        <v>-14207911</v>
      </c>
      <c r="O41"/>
      <c r="P41"/>
      <c r="Q41"/>
      <c r="R41"/>
      <c r="S41"/>
      <c r="T41" s="560" t="s">
        <v>1104</v>
      </c>
      <c r="U41" s="266"/>
      <c r="V41" s="266"/>
      <c r="W41" s="330">
        <f>(M21+M34)*-1</f>
        <v>3040743</v>
      </c>
      <c r="X41" s="425"/>
    </row>
    <row r="42" spans="1:24" s="264" customFormat="1">
      <c r="A42" s="263"/>
      <c r="B42" s="575" t="s">
        <v>40</v>
      </c>
      <c r="C42" s="563"/>
      <c r="D42" s="374">
        <f t="shared" ref="D42:L42" si="7">SUM(D36:D41)</f>
        <v>262746</v>
      </c>
      <c r="E42" s="374">
        <f t="shared" si="7"/>
        <v>13021413</v>
      </c>
      <c r="F42" s="374">
        <f t="shared" si="7"/>
        <v>4380414</v>
      </c>
      <c r="G42" s="374">
        <f t="shared" si="7"/>
        <v>88</v>
      </c>
      <c r="H42" s="374">
        <f t="shared" si="7"/>
        <v>0</v>
      </c>
      <c r="I42" s="374">
        <f t="shared" si="7"/>
        <v>0</v>
      </c>
      <c r="J42" s="374">
        <f t="shared" si="7"/>
        <v>0</v>
      </c>
      <c r="K42" s="374">
        <f t="shared" si="7"/>
        <v>0</v>
      </c>
      <c r="L42" s="374">
        <f t="shared" si="7"/>
        <v>0</v>
      </c>
      <c r="M42" s="374">
        <f t="shared" si="6"/>
        <v>17664661</v>
      </c>
      <c r="O42"/>
      <c r="P42"/>
      <c r="Q42"/>
      <c r="R42"/>
      <c r="S42"/>
      <c r="T42" s="560" t="s">
        <v>1107</v>
      </c>
      <c r="U42" s="266"/>
      <c r="V42" s="266"/>
      <c r="W42" s="430">
        <f>(M22+M35)*-1</f>
        <v>0</v>
      </c>
      <c r="X42" s="425"/>
    </row>
    <row r="43" spans="1:24" s="264" customFormat="1">
      <c r="A43" s="263"/>
      <c r="B43" s="261"/>
      <c r="C43" s="566"/>
      <c r="D43" s="566"/>
      <c r="E43" s="566"/>
      <c r="F43" s="566"/>
      <c r="G43" s="566"/>
      <c r="H43" s="566"/>
      <c r="I43" s="566"/>
      <c r="J43" s="566"/>
      <c r="K43" s="566"/>
      <c r="L43" s="566"/>
      <c r="M43" s="567"/>
      <c r="O43"/>
      <c r="P43"/>
      <c r="Q43"/>
      <c r="R43"/>
      <c r="S43"/>
      <c r="T43" s="650" t="s">
        <v>1114</v>
      </c>
      <c r="U43" s="584"/>
      <c r="V43" s="584"/>
      <c r="W43" s="656">
        <f>SUM(W41:W42)</f>
        <v>3040743</v>
      </c>
      <c r="X43" s="655"/>
    </row>
    <row r="44" spans="1:24" s="264" customFormat="1" ht="13.5" customHeight="1">
      <c r="A44" s="263"/>
      <c r="B44" s="575" t="s">
        <v>1055</v>
      </c>
      <c r="C44" s="563"/>
      <c r="D44" s="374">
        <f t="shared" ref="D44:L44" si="8">D42+D29</f>
        <v>6341003</v>
      </c>
      <c r="E44" s="374">
        <f t="shared" si="8"/>
        <v>25046505</v>
      </c>
      <c r="F44" s="374">
        <f t="shared" si="8"/>
        <v>4380414</v>
      </c>
      <c r="G44" s="374">
        <f t="shared" si="8"/>
        <v>88</v>
      </c>
      <c r="H44" s="374">
        <f t="shared" si="8"/>
        <v>0</v>
      </c>
      <c r="I44" s="374">
        <f t="shared" si="8"/>
        <v>0</v>
      </c>
      <c r="J44" s="374">
        <f t="shared" si="8"/>
        <v>0</v>
      </c>
      <c r="K44" s="374">
        <f t="shared" si="8"/>
        <v>0</v>
      </c>
      <c r="L44" s="374">
        <f t="shared" si="8"/>
        <v>0</v>
      </c>
      <c r="M44" s="374">
        <f>D44+E44+F44+G44+H44+I44+J44+K44+L44</f>
        <v>35768010</v>
      </c>
      <c r="O44"/>
      <c r="P44"/>
      <c r="Q44"/>
      <c r="R44"/>
      <c r="S44"/>
      <c r="T44" s="560"/>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0"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0" t="s">
        <v>1112</v>
      </c>
      <c r="U46" s="266"/>
      <c r="V46" s="266"/>
      <c r="W46" s="430">
        <f>(M25+M38)*-1</f>
        <v>0</v>
      </c>
      <c r="X46" s="425"/>
    </row>
    <row r="47" spans="1:24">
      <c r="A47" s="184">
        <v>30</v>
      </c>
      <c r="B47" s="176" t="s">
        <v>7</v>
      </c>
      <c r="C47" s="176"/>
      <c r="D47" s="375">
        <f>Input!$ID$20</f>
        <v>2292122</v>
      </c>
      <c r="E47" s="375">
        <f>Input!$IE$20</f>
        <v>2876744</v>
      </c>
      <c r="F47" s="375">
        <f>Input!$IF$20</f>
        <v>0</v>
      </c>
      <c r="G47" s="375">
        <f>Input!$IG$20</f>
        <v>46589603</v>
      </c>
      <c r="H47" s="375">
        <f>Input!$IH$20</f>
        <v>0</v>
      </c>
      <c r="I47" s="375">
        <f>Input!$II$20</f>
        <v>0</v>
      </c>
      <c r="J47" s="375">
        <f>Input!$IJ$20</f>
        <v>0</v>
      </c>
      <c r="K47" s="375">
        <f>Input!$IK$20</f>
        <v>0</v>
      </c>
      <c r="L47" s="375">
        <f>Input!$IL$20</f>
        <v>0</v>
      </c>
      <c r="M47" s="374">
        <f>D47+E47+F47+G47+H47+I47+J47+K47+L47</f>
        <v>51758469</v>
      </c>
      <c r="N47" s="160"/>
      <c r="O47"/>
      <c r="P47"/>
      <c r="Q47"/>
      <c r="R47"/>
      <c r="S47"/>
      <c r="T47" s="657" t="s">
        <v>1115</v>
      </c>
      <c r="U47" s="27"/>
      <c r="V47" s="27"/>
      <c r="W47" s="656">
        <f>SUM(W45:W46)</f>
        <v>0</v>
      </c>
      <c r="X47" s="655"/>
    </row>
    <row r="48" spans="1:24">
      <c r="A48" s="184">
        <v>31</v>
      </c>
      <c r="B48" s="160"/>
      <c r="C48" s="160"/>
      <c r="D48" s="373"/>
      <c r="E48" s="373"/>
      <c r="F48" s="373"/>
      <c r="G48" s="373"/>
      <c r="H48" s="373"/>
      <c r="I48" s="373"/>
      <c r="J48" s="373"/>
      <c r="K48" s="373"/>
      <c r="L48" s="373"/>
      <c r="M48" s="373"/>
      <c r="N48" s="160"/>
      <c r="O48"/>
      <c r="P48"/>
      <c r="Q48"/>
      <c r="R48"/>
      <c r="S48"/>
      <c r="T48" s="560"/>
      <c r="U48" s="261"/>
      <c r="V48" s="261"/>
      <c r="W48" s="261"/>
      <c r="X48" s="658">
        <f>W43-W47</f>
        <v>3040743</v>
      </c>
    </row>
    <row r="49" spans="1:28">
      <c r="A49" s="184">
        <v>32</v>
      </c>
      <c r="B49" s="172" t="s">
        <v>8</v>
      </c>
      <c r="C49" s="172"/>
      <c r="D49" s="373"/>
      <c r="E49" s="373"/>
      <c r="F49" s="373"/>
      <c r="G49" s="373"/>
      <c r="H49" s="373"/>
      <c r="I49" s="373"/>
      <c r="J49" s="373"/>
      <c r="K49" s="373"/>
      <c r="L49" s="373"/>
      <c r="M49" s="373"/>
      <c r="N49" s="160"/>
      <c r="O49" s="273"/>
      <c r="T49" s="579" t="s">
        <v>287</v>
      </c>
      <c r="U49" s="511"/>
      <c r="V49" s="580"/>
      <c r="W49" s="580"/>
      <c r="X49" s="574">
        <f>SUM(X23:X48)</f>
        <v>72038202</v>
      </c>
    </row>
    <row r="50" spans="1:28">
      <c r="A50" s="184">
        <v>33</v>
      </c>
      <c r="B50" s="160" t="s">
        <v>42</v>
      </c>
      <c r="C50" s="160"/>
      <c r="D50" s="372">
        <f>Input!$IM$20</f>
        <v>73677</v>
      </c>
      <c r="E50" s="372">
        <f>Input!$IN$20</f>
        <v>4384883</v>
      </c>
      <c r="F50" s="372">
        <f>Input!$IO$20</f>
        <v>548231</v>
      </c>
      <c r="G50" s="372">
        <f>Input!$IP$20</f>
        <v>276884</v>
      </c>
      <c r="H50" s="372">
        <f>Input!$IQ$20</f>
        <v>114435</v>
      </c>
      <c r="I50" s="372">
        <f>Input!$IR$20</f>
        <v>540</v>
      </c>
      <c r="J50" s="372">
        <f>Input!$IS$20</f>
        <v>29235</v>
      </c>
      <c r="K50" s="372">
        <f>Input!$IT$20</f>
        <v>0</v>
      </c>
      <c r="L50" s="372">
        <f>Input!$IU$20</f>
        <v>0</v>
      </c>
      <c r="M50" s="373">
        <f t="shared" ref="M50:M57" si="9">D50+E50+F50+G50+H50+I50+J50+K50+L50</f>
        <v>5427885</v>
      </c>
      <c r="N50" s="160"/>
      <c r="O50" s="273"/>
      <c r="U50" s="275"/>
    </row>
    <row r="51" spans="1:28">
      <c r="A51" s="184">
        <v>34</v>
      </c>
      <c r="B51" s="160" t="s">
        <v>9</v>
      </c>
      <c r="C51" s="160"/>
      <c r="D51" s="372">
        <f>Input!$IV$20</f>
        <v>0</v>
      </c>
      <c r="E51" s="372">
        <f>Input!$IW$20</f>
        <v>0</v>
      </c>
      <c r="F51" s="372">
        <f>Input!$IX$20</f>
        <v>0</v>
      </c>
      <c r="G51" s="372">
        <f>Input!$IY$20</f>
        <v>0</v>
      </c>
      <c r="H51" s="372">
        <f>Input!$IZ$20</f>
        <v>0</v>
      </c>
      <c r="I51" s="372">
        <f>Input!$JA$20</f>
        <v>0</v>
      </c>
      <c r="J51" s="372">
        <f>Input!$JB$20</f>
        <v>0</v>
      </c>
      <c r="K51" s="372">
        <f>Input!$JC$20</f>
        <v>0</v>
      </c>
      <c r="L51" s="372">
        <f>Input!$JD$20</f>
        <v>0</v>
      </c>
      <c r="M51" s="376">
        <f t="shared" si="9"/>
        <v>0</v>
      </c>
      <c r="N51" s="160"/>
      <c r="Y51" s="277"/>
    </row>
    <row r="52" spans="1:28">
      <c r="A52" s="184">
        <v>35</v>
      </c>
      <c r="B52" s="160" t="s">
        <v>10</v>
      </c>
      <c r="C52" s="160"/>
      <c r="D52" s="372">
        <f>Input!$JE$20</f>
        <v>0</v>
      </c>
      <c r="E52" s="372">
        <f>Input!$JF$20</f>
        <v>268233</v>
      </c>
      <c r="F52" s="372">
        <f>Input!$JG$20</f>
        <v>95000</v>
      </c>
      <c r="G52" s="372">
        <f>Input!$JH$20</f>
        <v>3885447</v>
      </c>
      <c r="H52" s="372">
        <f>Input!$JI$20</f>
        <v>0</v>
      </c>
      <c r="I52" s="372">
        <f>Input!$JJ$20</f>
        <v>0</v>
      </c>
      <c r="J52" s="372">
        <f>Input!$JK$20</f>
        <v>0</v>
      </c>
      <c r="K52" s="372">
        <f>Input!$JL$20</f>
        <v>0</v>
      </c>
      <c r="L52" s="372">
        <f>Input!$JM$20</f>
        <v>0</v>
      </c>
      <c r="M52" s="373">
        <f t="shared" si="9"/>
        <v>4248680</v>
      </c>
      <c r="N52" s="160"/>
      <c r="O52" s="273"/>
      <c r="P52" s="278"/>
    </row>
    <row r="53" spans="1:28">
      <c r="A53" s="184">
        <v>36</v>
      </c>
      <c r="B53" s="160" t="s">
        <v>11</v>
      </c>
      <c r="C53" s="160"/>
      <c r="D53" s="372">
        <f>Input!$JN$20</f>
        <v>42346</v>
      </c>
      <c r="E53" s="372">
        <f>Input!$JO$20</f>
        <v>388454</v>
      </c>
      <c r="F53" s="372">
        <f>Input!$JP$20</f>
        <v>0</v>
      </c>
      <c r="G53" s="372">
        <f>Input!$JQ$20</f>
        <v>410377</v>
      </c>
      <c r="H53" s="372">
        <f>Input!$JR$20</f>
        <v>0</v>
      </c>
      <c r="I53" s="372">
        <f>Input!$JS$20</f>
        <v>0</v>
      </c>
      <c r="J53" s="372">
        <f>Input!$JT$20</f>
        <v>0</v>
      </c>
      <c r="K53" s="372">
        <f>Input!$JU$20</f>
        <v>0</v>
      </c>
      <c r="L53" s="372">
        <f>Input!$JV$20</f>
        <v>0</v>
      </c>
      <c r="M53" s="373">
        <f t="shared" si="9"/>
        <v>841177</v>
      </c>
      <c r="N53" s="160"/>
      <c r="O53" s="273"/>
    </row>
    <row r="54" spans="1:28" ht="13.5" thickBot="1">
      <c r="A54" s="184">
        <v>37</v>
      </c>
      <c r="B54" s="177" t="s">
        <v>2134</v>
      </c>
      <c r="C54" s="177"/>
      <c r="D54" s="372">
        <f>Input!$JW$20</f>
        <v>0</v>
      </c>
      <c r="E54" s="372">
        <f>Input!$JX$20</f>
        <v>0</v>
      </c>
      <c r="F54" s="372">
        <f>Input!$JY$20</f>
        <v>2014515</v>
      </c>
      <c r="G54" s="372">
        <f>Input!$JZ$20</f>
        <v>0</v>
      </c>
      <c r="H54" s="372">
        <f>Input!$KA$20</f>
        <v>0</v>
      </c>
      <c r="I54" s="372">
        <f>Input!$KB$20</f>
        <v>0</v>
      </c>
      <c r="J54" s="372">
        <f>Input!$KC$20</f>
        <v>0</v>
      </c>
      <c r="K54" s="372">
        <f>Input!$KD$20</f>
        <v>0</v>
      </c>
      <c r="L54" s="372">
        <f>Input!$KE$20</f>
        <v>0</v>
      </c>
      <c r="M54" s="373">
        <f t="shared" si="9"/>
        <v>2014515</v>
      </c>
      <c r="N54" s="160"/>
      <c r="O54" s="273"/>
    </row>
    <row r="55" spans="1:28" ht="14.25" thickTop="1" thickBot="1">
      <c r="A55" s="184">
        <v>38</v>
      </c>
      <c r="B55" s="160" t="s">
        <v>43</v>
      </c>
      <c r="C55" s="160"/>
      <c r="D55" s="372">
        <f>Input!$KF$20</f>
        <v>1712</v>
      </c>
      <c r="E55" s="372">
        <f>Input!$KG$20</f>
        <v>3161712</v>
      </c>
      <c r="F55" s="372">
        <f>Input!$KH$20</f>
        <v>22469</v>
      </c>
      <c r="G55" s="372">
        <f>Input!$KI$20</f>
        <v>-1311242</v>
      </c>
      <c r="H55" s="372">
        <f>Input!$KJ$20</f>
        <v>36888</v>
      </c>
      <c r="I55" s="372">
        <f>Input!$KK$20</f>
        <v>1481330</v>
      </c>
      <c r="J55" s="372">
        <f>Input!$KL$20</f>
        <v>0</v>
      </c>
      <c r="K55" s="372">
        <f>Input!$KM$20</f>
        <v>0</v>
      </c>
      <c r="L55" s="372">
        <f>Input!$KN$20</f>
        <v>0</v>
      </c>
      <c r="M55" s="373">
        <f t="shared" si="9"/>
        <v>3392869</v>
      </c>
      <c r="N55" s="160"/>
      <c r="O55" s="1616" t="s">
        <v>251</v>
      </c>
      <c r="P55" s="1617"/>
      <c r="Q55" s="1617"/>
      <c r="R55" s="1618"/>
      <c r="S55" s="437"/>
      <c r="T55" s="1619" t="s">
        <v>252</v>
      </c>
      <c r="U55" s="1620"/>
      <c r="V55" s="1620"/>
      <c r="W55" s="1620"/>
      <c r="X55" s="1621"/>
      <c r="Y55" s="320"/>
      <c r="Z55" s="1749" t="s">
        <v>1301</v>
      </c>
      <c r="AA55" s="1750"/>
      <c r="AB55" s="1751"/>
    </row>
    <row r="56" spans="1:28" ht="13.5" customHeight="1" thickTop="1">
      <c r="A56" s="184">
        <v>39</v>
      </c>
      <c r="B56" s="176" t="s">
        <v>3</v>
      </c>
      <c r="C56" s="176"/>
      <c r="D56" s="374">
        <f>SUM(D50:D55)</f>
        <v>117735</v>
      </c>
      <c r="E56" s="374">
        <f t="shared" ref="E56:L56" si="10">SUM(E50:E55)</f>
        <v>8203282</v>
      </c>
      <c r="F56" s="374">
        <f t="shared" si="10"/>
        <v>2680215</v>
      </c>
      <c r="G56" s="374">
        <f t="shared" si="10"/>
        <v>3261466</v>
      </c>
      <c r="H56" s="374">
        <f t="shared" si="10"/>
        <v>151323</v>
      </c>
      <c r="I56" s="374">
        <f t="shared" si="10"/>
        <v>1481870</v>
      </c>
      <c r="J56" s="374">
        <f t="shared" si="10"/>
        <v>29235</v>
      </c>
      <c r="K56" s="374">
        <f t="shared" si="10"/>
        <v>0</v>
      </c>
      <c r="L56" s="374">
        <f t="shared" si="10"/>
        <v>0</v>
      </c>
      <c r="M56" s="374">
        <f t="shared" si="9"/>
        <v>15925126</v>
      </c>
      <c r="N56" s="160"/>
      <c r="O56" s="1622" t="s">
        <v>1135</v>
      </c>
      <c r="P56" s="1625" t="s">
        <v>254</v>
      </c>
      <c r="Q56" s="1625" t="s">
        <v>292</v>
      </c>
      <c r="R56" s="1628" t="s">
        <v>1063</v>
      </c>
      <c r="S56" s="280"/>
      <c r="T56" s="1739" t="s">
        <v>1136</v>
      </c>
      <c r="U56" s="1637" t="s">
        <v>254</v>
      </c>
      <c r="V56" s="1634" t="s">
        <v>256</v>
      </c>
      <c r="W56" s="1637" t="s">
        <v>257</v>
      </c>
      <c r="X56" s="1638" t="s">
        <v>1064</v>
      </c>
      <c r="Z56" s="1754" t="s">
        <v>1302</v>
      </c>
      <c r="AA56" s="1747" t="s">
        <v>1303</v>
      </c>
      <c r="AB56" s="1752" t="s">
        <v>238</v>
      </c>
    </row>
    <row r="57" spans="1:28">
      <c r="A57" s="184">
        <v>40</v>
      </c>
      <c r="B57" s="162" t="s">
        <v>68</v>
      </c>
      <c r="C57" s="162"/>
      <c r="D57" s="374">
        <f>D15+D44+D47+D56</f>
        <v>53125693</v>
      </c>
      <c r="E57" s="374">
        <f t="shared" ref="E57:L57" si="11">E15+E44+E47+E56</f>
        <v>36222192</v>
      </c>
      <c r="F57" s="374">
        <f t="shared" si="11"/>
        <v>7060629</v>
      </c>
      <c r="G57" s="374">
        <f t="shared" si="11"/>
        <v>61975749</v>
      </c>
      <c r="H57" s="374">
        <f t="shared" si="11"/>
        <v>151323</v>
      </c>
      <c r="I57" s="374">
        <f t="shared" si="11"/>
        <v>1481870</v>
      </c>
      <c r="J57" s="374">
        <f t="shared" si="11"/>
        <v>29235</v>
      </c>
      <c r="K57" s="374">
        <f t="shared" si="11"/>
        <v>0</v>
      </c>
      <c r="L57" s="374">
        <f t="shared" si="11"/>
        <v>0</v>
      </c>
      <c r="M57" s="374">
        <f t="shared" si="9"/>
        <v>160046691</v>
      </c>
      <c r="N57" s="160"/>
      <c r="O57" s="1623"/>
      <c r="P57" s="1626"/>
      <c r="Q57" s="1626"/>
      <c r="R57" s="1629"/>
      <c r="S57" s="280"/>
      <c r="T57" s="1740"/>
      <c r="U57" s="1626"/>
      <c r="V57" s="1635"/>
      <c r="W57" s="1626"/>
      <c r="X57" s="1639"/>
      <c r="Z57" s="1755"/>
      <c r="AA57" s="1747"/>
      <c r="AB57" s="1752"/>
    </row>
    <row r="58" spans="1:28">
      <c r="A58" s="184">
        <v>41</v>
      </c>
      <c r="B58" s="160"/>
      <c r="C58" s="160"/>
      <c r="D58" s="373"/>
      <c r="E58" s="373"/>
      <c r="F58" s="373"/>
      <c r="G58" s="373"/>
      <c r="H58" s="373"/>
      <c r="I58" s="373"/>
      <c r="J58" s="373"/>
      <c r="K58" s="373"/>
      <c r="L58" s="373"/>
      <c r="M58" s="373"/>
      <c r="N58" s="160"/>
      <c r="O58" s="1623"/>
      <c r="P58" s="1626"/>
      <c r="Q58" s="1626"/>
      <c r="R58" s="1629"/>
      <c r="S58" s="280"/>
      <c r="T58" s="1740"/>
      <c r="U58" s="1626"/>
      <c r="V58" s="1635"/>
      <c r="W58" s="1626"/>
      <c r="X58" s="1639"/>
      <c r="Z58" s="1755"/>
      <c r="AA58" s="1747"/>
      <c r="AB58" s="1752"/>
    </row>
    <row r="59" spans="1:28" ht="14.25" customHeight="1">
      <c r="A59" s="184">
        <v>42</v>
      </c>
      <c r="B59" s="174" t="s">
        <v>72</v>
      </c>
      <c r="C59" s="174"/>
      <c r="D59" s="377"/>
      <c r="E59" s="377"/>
      <c r="F59" s="377"/>
      <c r="G59" s="1746" t="str">
        <f>IF(OR(P105&gt;0,P106&lt;&gt;0,P107&lt;&gt;0),"Do not Enter Cents - Whole Dollars Only","")</f>
        <v/>
      </c>
      <c r="H59" s="1746"/>
      <c r="I59" s="1746"/>
      <c r="J59" s="1746"/>
      <c r="K59" s="1746"/>
      <c r="L59" s="377"/>
      <c r="M59" s="377"/>
      <c r="N59" s="160"/>
      <c r="O59" s="1624"/>
      <c r="P59" s="1627"/>
      <c r="Q59" s="1627"/>
      <c r="R59" s="1630"/>
      <c r="S59" s="280"/>
      <c r="T59" s="1741"/>
      <c r="U59" s="1627"/>
      <c r="V59" s="1636"/>
      <c r="W59" s="1627"/>
      <c r="X59" s="1640"/>
      <c r="Z59" s="1756"/>
      <c r="AA59" s="1748"/>
      <c r="AB59" s="1753"/>
    </row>
    <row r="60" spans="1:28" ht="13.5" thickBot="1">
      <c r="A60" s="184">
        <v>43</v>
      </c>
      <c r="B60" s="160" t="s">
        <v>14</v>
      </c>
      <c r="C60" s="160"/>
      <c r="D60" s="372">
        <f>Input!$KO$20</f>
        <v>27458880</v>
      </c>
      <c r="E60" s="372">
        <f>Input!$KP$20</f>
        <v>3910500</v>
      </c>
      <c r="F60" s="372">
        <f>Input!$KQ$20</f>
        <v>0</v>
      </c>
      <c r="G60" s="372">
        <f>Input!$KR$20</f>
        <v>2411028</v>
      </c>
      <c r="H60" s="372">
        <f>Input!$KS$20</f>
        <v>0</v>
      </c>
      <c r="I60" s="372">
        <f>Input!$KT$20</f>
        <v>0</v>
      </c>
      <c r="J60" s="372">
        <f>Input!$KU$20</f>
        <v>0</v>
      </c>
      <c r="K60" s="372">
        <f>Input!$KV$20</f>
        <v>0</v>
      </c>
      <c r="L60" s="372">
        <f>Input!$KW$20</f>
        <v>0</v>
      </c>
      <c r="M60" s="373">
        <f t="shared" ref="M60:M71" si="12">D60+E60+F60+G60+H60+I60+J60+K60+L60</f>
        <v>33780408</v>
      </c>
      <c r="N60" s="160"/>
      <c r="O60" s="282">
        <f>D60+E60+G60+J60</f>
        <v>33780408</v>
      </c>
      <c r="P60" s="518">
        <f>Input!$SS$20</f>
        <v>622717</v>
      </c>
      <c r="Q60" s="438" t="s">
        <v>259</v>
      </c>
      <c r="R60" s="284">
        <f>SUM(O60:P60)</f>
        <v>34403125</v>
      </c>
      <c r="S60" s="439"/>
      <c r="T60" s="286">
        <f t="shared" ref="T60:T67" si="13">D60+E60+G60</f>
        <v>33780408</v>
      </c>
      <c r="U60" s="287">
        <f t="shared" ref="U60:U67" si="14">P60</f>
        <v>622717</v>
      </c>
      <c r="V60" s="289">
        <f>Input!$TC$20</f>
        <v>0</v>
      </c>
      <c r="W60" s="289">
        <f>Input!$TK$20</f>
        <v>0</v>
      </c>
      <c r="X60" s="290">
        <f t="shared" ref="X60:X66" si="15">T60+U60-V60-W60</f>
        <v>34403125</v>
      </c>
      <c r="Z60" s="292" t="s">
        <v>14</v>
      </c>
      <c r="AA60" s="520">
        <f>Input!$TS$20</f>
        <v>33780408</v>
      </c>
      <c r="AB60" s="293">
        <f t="shared" ref="AB60:AB68" si="16">AA60-M60</f>
        <v>0</v>
      </c>
    </row>
    <row r="61" spans="1:28" ht="14.25" thickTop="1" thickBot="1">
      <c r="A61" s="184">
        <v>44</v>
      </c>
      <c r="B61" s="160" t="s">
        <v>15</v>
      </c>
      <c r="C61" s="160"/>
      <c r="D61" s="372">
        <f>Input!$KX$20</f>
        <v>595708</v>
      </c>
      <c r="E61" s="372">
        <f>Input!$KY$20</f>
        <v>387225</v>
      </c>
      <c r="F61" s="372">
        <f>Input!$KZ$20</f>
        <v>0</v>
      </c>
      <c r="G61" s="372">
        <f>Input!$LA$20</f>
        <v>1842373</v>
      </c>
      <c r="H61" s="372">
        <f>Input!$LB$20</f>
        <v>0</v>
      </c>
      <c r="I61" s="372">
        <f>Input!$LC$20</f>
        <v>0</v>
      </c>
      <c r="J61" s="372">
        <f>Input!$LD$20</f>
        <v>0</v>
      </c>
      <c r="K61" s="372">
        <f>Input!$LE$20</f>
        <v>0</v>
      </c>
      <c r="L61" s="372">
        <f>Input!$LF$20</f>
        <v>0</v>
      </c>
      <c r="M61" s="373">
        <f t="shared" si="12"/>
        <v>2825306</v>
      </c>
      <c r="N61" s="160"/>
      <c r="O61" s="440">
        <f t="shared" ref="O61:O67" si="17">D61+E61+G61+J61</f>
        <v>2825306</v>
      </c>
      <c r="P61" s="518">
        <f>Input!$ST$20</f>
        <v>246632</v>
      </c>
      <c r="Q61" s="441" t="s">
        <v>259</v>
      </c>
      <c r="R61" s="295">
        <f>SUM(O61:P61)</f>
        <v>3071938</v>
      </c>
      <c r="S61" s="442"/>
      <c r="T61" s="296">
        <f t="shared" si="13"/>
        <v>2825306</v>
      </c>
      <c r="U61" s="297">
        <f t="shared" si="14"/>
        <v>246632</v>
      </c>
      <c r="V61" s="299">
        <f>Input!$TD$20</f>
        <v>0</v>
      </c>
      <c r="W61" s="299">
        <f>Input!$TL$20</f>
        <v>0</v>
      </c>
      <c r="X61" s="300">
        <f t="shared" si="15"/>
        <v>3071938</v>
      </c>
      <c r="Z61" s="292" t="s">
        <v>15</v>
      </c>
      <c r="AA61" s="518">
        <f>Input!$TT$20</f>
        <v>2825306</v>
      </c>
      <c r="AB61" s="301">
        <f t="shared" si="16"/>
        <v>0</v>
      </c>
    </row>
    <row r="62" spans="1:28" ht="13.5" thickTop="1">
      <c r="A62" s="184">
        <v>45</v>
      </c>
      <c r="B62" s="160" t="s">
        <v>16</v>
      </c>
      <c r="C62" s="160"/>
      <c r="D62" s="372">
        <f>Input!$LG$20</f>
        <v>628734</v>
      </c>
      <c r="E62" s="372">
        <f>Input!$LH$20</f>
        <v>560859</v>
      </c>
      <c r="F62" s="372">
        <f>Input!$LI$20</f>
        <v>0</v>
      </c>
      <c r="G62" s="372">
        <f>Input!$LJ$20</f>
        <v>1173275</v>
      </c>
      <c r="H62" s="372">
        <f>Input!$LK$20</f>
        <v>0</v>
      </c>
      <c r="I62" s="372">
        <f>Input!$LL$20</f>
        <v>0</v>
      </c>
      <c r="J62" s="372">
        <f>Input!$LM$20</f>
        <v>0</v>
      </c>
      <c r="K62" s="372">
        <f>Input!$LN$20</f>
        <v>0</v>
      </c>
      <c r="L62" s="372">
        <f>Input!$LO$20</f>
        <v>0</v>
      </c>
      <c r="M62" s="373">
        <f t="shared" si="12"/>
        <v>2362868</v>
      </c>
      <c r="N62" s="160"/>
      <c r="O62" s="440">
        <f t="shared" si="17"/>
        <v>2362868</v>
      </c>
      <c r="P62" s="518">
        <f>Input!$SU$20</f>
        <v>0</v>
      </c>
      <c r="Q62" s="441" t="s">
        <v>259</v>
      </c>
      <c r="R62" s="302" t="s">
        <v>259</v>
      </c>
      <c r="S62" s="442"/>
      <c r="T62" s="296">
        <f t="shared" si="13"/>
        <v>2362868</v>
      </c>
      <c r="U62" s="297">
        <f t="shared" si="14"/>
        <v>0</v>
      </c>
      <c r="V62" s="299">
        <f>Input!$TE$20</f>
        <v>39043</v>
      </c>
      <c r="W62" s="299">
        <f>Input!$TM$20</f>
        <v>0</v>
      </c>
      <c r="X62" s="303">
        <f t="shared" si="15"/>
        <v>2323825</v>
      </c>
      <c r="Z62" s="292" t="s">
        <v>16</v>
      </c>
      <c r="AA62" s="518">
        <f>Input!$TU$20</f>
        <v>2362868</v>
      </c>
      <c r="AB62" s="301">
        <f t="shared" si="16"/>
        <v>0</v>
      </c>
    </row>
    <row r="63" spans="1:28">
      <c r="A63" s="184">
        <v>46</v>
      </c>
      <c r="B63" s="160" t="s">
        <v>17</v>
      </c>
      <c r="C63" s="160"/>
      <c r="D63" s="372">
        <f>Input!$LP$20</f>
        <v>6444059</v>
      </c>
      <c r="E63" s="372">
        <f>Input!$LQ$20</f>
        <v>10028745</v>
      </c>
      <c r="F63" s="372">
        <f>Input!$LR$20</f>
        <v>0</v>
      </c>
      <c r="G63" s="372">
        <f>Input!$LS$20</f>
        <v>2758049</v>
      </c>
      <c r="H63" s="372">
        <f>Input!$LT$20</f>
        <v>0</v>
      </c>
      <c r="I63" s="372">
        <f>Input!$LU$20</f>
        <v>0</v>
      </c>
      <c r="J63" s="372">
        <f>Input!$LV$20</f>
        <v>0</v>
      </c>
      <c r="K63" s="372">
        <f>Input!$LW$20</f>
        <v>0</v>
      </c>
      <c r="L63" s="372">
        <f>Input!$LX$20</f>
        <v>0</v>
      </c>
      <c r="M63" s="373">
        <f t="shared" si="12"/>
        <v>19230853</v>
      </c>
      <c r="N63" s="160"/>
      <c r="O63" s="440">
        <f t="shared" si="17"/>
        <v>19230853</v>
      </c>
      <c r="P63" s="518">
        <f>Input!$SV$20</f>
        <v>431046</v>
      </c>
      <c r="Q63" s="441" t="s">
        <v>259</v>
      </c>
      <c r="R63" s="295">
        <f t="shared" ref="R63:R65" si="18">SUM(O63:P63)</f>
        <v>19661899</v>
      </c>
      <c r="S63" s="442"/>
      <c r="T63" s="296">
        <f t="shared" si="13"/>
        <v>19230853</v>
      </c>
      <c r="U63" s="297">
        <f t="shared" si="14"/>
        <v>431046</v>
      </c>
      <c r="V63" s="299">
        <f>Input!$TF$20</f>
        <v>0</v>
      </c>
      <c r="W63" s="299">
        <f>Input!$TN$20</f>
        <v>0</v>
      </c>
      <c r="X63" s="303">
        <f t="shared" si="15"/>
        <v>19661899</v>
      </c>
      <c r="Z63" s="292" t="s">
        <v>17</v>
      </c>
      <c r="AA63" s="518">
        <f>Input!$TV$20</f>
        <v>19230853</v>
      </c>
      <c r="AB63" s="301">
        <f t="shared" si="16"/>
        <v>0</v>
      </c>
    </row>
    <row r="64" spans="1:28">
      <c r="A64" s="184">
        <v>47</v>
      </c>
      <c r="B64" s="160" t="s">
        <v>18</v>
      </c>
      <c r="C64" s="160"/>
      <c r="D64" s="372">
        <f>Input!$LY$20</f>
        <v>953114</v>
      </c>
      <c r="E64" s="372">
        <f>Input!$LZ$20</f>
        <v>5535575</v>
      </c>
      <c r="F64" s="372">
        <f>Input!$MA$20</f>
        <v>0</v>
      </c>
      <c r="G64" s="372">
        <f>Input!$MB$20</f>
        <v>1640632</v>
      </c>
      <c r="H64" s="372">
        <f>Input!$MC$20</f>
        <v>215</v>
      </c>
      <c r="I64" s="372">
        <f>Input!$MD$20</f>
        <v>0</v>
      </c>
      <c r="J64" s="372">
        <f>Input!$ME$20</f>
        <v>0</v>
      </c>
      <c r="K64" s="372">
        <f>Input!$MF$20</f>
        <v>0</v>
      </c>
      <c r="L64" s="372">
        <f>Input!$MG$20</f>
        <v>0</v>
      </c>
      <c r="M64" s="373">
        <f t="shared" si="12"/>
        <v>8129536</v>
      </c>
      <c r="N64" s="160"/>
      <c r="O64" s="440">
        <f t="shared" si="17"/>
        <v>8129321</v>
      </c>
      <c r="P64" s="518">
        <f>Input!$SW$20</f>
        <v>229</v>
      </c>
      <c r="Q64" s="518">
        <f>Input!$TB$20</f>
        <v>0</v>
      </c>
      <c r="R64" s="295">
        <f>SUM(O64:P64)-Q64</f>
        <v>8129550</v>
      </c>
      <c r="S64" s="442"/>
      <c r="T64" s="296">
        <f t="shared" si="13"/>
        <v>8129321</v>
      </c>
      <c r="U64" s="297">
        <f t="shared" si="14"/>
        <v>229</v>
      </c>
      <c r="V64" s="299">
        <f>Input!$TG$20</f>
        <v>0</v>
      </c>
      <c r="W64" s="299">
        <f>Input!$TO$20</f>
        <v>0</v>
      </c>
      <c r="X64" s="303">
        <f t="shared" si="15"/>
        <v>8129550</v>
      </c>
      <c r="Z64" s="292" t="s">
        <v>18</v>
      </c>
      <c r="AA64" s="518">
        <f>Input!$TW$20</f>
        <v>8129536</v>
      </c>
      <c r="AB64" s="301">
        <f t="shared" si="16"/>
        <v>0</v>
      </c>
    </row>
    <row r="65" spans="1:28">
      <c r="A65" s="184">
        <v>48</v>
      </c>
      <c r="B65" s="160" t="s">
        <v>19</v>
      </c>
      <c r="C65" s="160"/>
      <c r="D65" s="372">
        <f>Input!$MH$20</f>
        <v>720349</v>
      </c>
      <c r="E65" s="372">
        <f>Input!$MI$20</f>
        <v>6287604</v>
      </c>
      <c r="F65" s="372">
        <f>Input!$MJ$20</f>
        <v>0</v>
      </c>
      <c r="G65" s="372">
        <f>Input!$MK$20</f>
        <v>48866</v>
      </c>
      <c r="H65" s="372">
        <f>Input!$ML$20</f>
        <v>0</v>
      </c>
      <c r="I65" s="372">
        <f>Input!$MM$20</f>
        <v>0</v>
      </c>
      <c r="J65" s="372">
        <f>Input!$MN$20</f>
        <v>0</v>
      </c>
      <c r="K65" s="372">
        <f>Input!$MO$20</f>
        <v>0</v>
      </c>
      <c r="L65" s="372">
        <f>Input!$MP$20</f>
        <v>0</v>
      </c>
      <c r="M65" s="373">
        <f t="shared" si="12"/>
        <v>7056819</v>
      </c>
      <c r="N65" s="160"/>
      <c r="O65" s="440">
        <f t="shared" si="17"/>
        <v>7056819</v>
      </c>
      <c r="P65" s="518">
        <f>Input!$SX$20</f>
        <v>12384</v>
      </c>
      <c r="Q65" s="441" t="s">
        <v>259</v>
      </c>
      <c r="R65" s="295">
        <f t="shared" si="18"/>
        <v>7069203</v>
      </c>
      <c r="S65" s="442"/>
      <c r="T65" s="296">
        <f t="shared" si="13"/>
        <v>7056819</v>
      </c>
      <c r="U65" s="297">
        <f t="shared" si="14"/>
        <v>12384</v>
      </c>
      <c r="V65" s="299">
        <f>Input!$TH$20</f>
        <v>0</v>
      </c>
      <c r="W65" s="299">
        <f>Input!$TP$20</f>
        <v>0</v>
      </c>
      <c r="X65" s="303">
        <f t="shared" si="15"/>
        <v>7069203</v>
      </c>
      <c r="Z65" s="292" t="s">
        <v>19</v>
      </c>
      <c r="AA65" s="518">
        <f>Input!$TX$20</f>
        <v>7056819</v>
      </c>
      <c r="AB65" s="301">
        <f t="shared" si="16"/>
        <v>0</v>
      </c>
    </row>
    <row r="66" spans="1:28">
      <c r="A66" s="184">
        <v>49</v>
      </c>
      <c r="B66" s="160" t="s">
        <v>20</v>
      </c>
      <c r="C66" s="160"/>
      <c r="D66" s="372">
        <f>Input!$MQ$20</f>
        <v>2626787</v>
      </c>
      <c r="E66" s="372">
        <f>Input!$MR$20</f>
        <v>7994106</v>
      </c>
      <c r="F66" s="372">
        <f>Input!$MS$20</f>
        <v>0</v>
      </c>
      <c r="G66" s="372">
        <f>Input!$MT$20</f>
        <v>3581933</v>
      </c>
      <c r="H66" s="372">
        <f>Input!$MU$20</f>
        <v>0</v>
      </c>
      <c r="I66" s="372">
        <f>Input!$MV$20</f>
        <v>0</v>
      </c>
      <c r="J66" s="372">
        <f>Input!$MW$20</f>
        <v>55</v>
      </c>
      <c r="K66" s="372">
        <f>Input!$MX$20</f>
        <v>0</v>
      </c>
      <c r="L66" s="372">
        <f>Input!$MY$20</f>
        <v>0</v>
      </c>
      <c r="M66" s="373">
        <f t="shared" si="12"/>
        <v>14202881</v>
      </c>
      <c r="N66" s="160"/>
      <c r="O66" s="440">
        <f t="shared" si="17"/>
        <v>14202881</v>
      </c>
      <c r="P66" s="518">
        <f>Input!$SY$20</f>
        <v>325231</v>
      </c>
      <c r="Q66" s="441" t="s">
        <v>259</v>
      </c>
      <c r="R66" s="304" t="s">
        <v>259</v>
      </c>
      <c r="S66" s="442"/>
      <c r="T66" s="296">
        <f t="shared" si="13"/>
        <v>14202826</v>
      </c>
      <c r="U66" s="297">
        <f t="shared" si="14"/>
        <v>325231</v>
      </c>
      <c r="V66" s="299">
        <f>Input!$TI$20</f>
        <v>0</v>
      </c>
      <c r="W66" s="299">
        <f>Input!$TQ$20</f>
        <v>0</v>
      </c>
      <c r="X66" s="303">
        <f t="shared" si="15"/>
        <v>14528057</v>
      </c>
      <c r="Z66" s="292" t="s">
        <v>260</v>
      </c>
      <c r="AA66" s="518">
        <f>Input!$TY$20</f>
        <v>14202881</v>
      </c>
      <c r="AB66" s="301">
        <f t="shared" si="16"/>
        <v>0</v>
      </c>
    </row>
    <row r="67" spans="1:28" ht="13.5" thickBot="1">
      <c r="A67" s="184">
        <v>50</v>
      </c>
      <c r="B67" s="160" t="s">
        <v>21</v>
      </c>
      <c r="C67" s="160"/>
      <c r="D67" s="372">
        <f>Input!$MZ$20</f>
        <v>1269721</v>
      </c>
      <c r="E67" s="372">
        <f>Input!$NA$20</f>
        <v>4370731</v>
      </c>
      <c r="F67" s="372">
        <f>Input!$NB$20</f>
        <v>0</v>
      </c>
      <c r="G67" s="372">
        <f>Input!$NC$20</f>
        <v>24103701</v>
      </c>
      <c r="H67" s="372">
        <f>Input!$ND$20</f>
        <v>0</v>
      </c>
      <c r="I67" s="372">
        <f>Input!$NE$20</f>
        <v>0</v>
      </c>
      <c r="J67" s="372">
        <f>Input!$NF$20</f>
        <v>0</v>
      </c>
      <c r="K67" s="372">
        <f>Input!$NG$20</f>
        <v>0</v>
      </c>
      <c r="L67" s="372">
        <f>Input!$NH$20</f>
        <v>0</v>
      </c>
      <c r="M67" s="373">
        <f t="shared" si="12"/>
        <v>29744153</v>
      </c>
      <c r="N67" s="160"/>
      <c r="O67" s="440">
        <f t="shared" si="17"/>
        <v>29744153</v>
      </c>
      <c r="P67" s="518">
        <f>Input!$SZ$20</f>
        <v>0</v>
      </c>
      <c r="Q67" s="441" t="s">
        <v>259</v>
      </c>
      <c r="R67" s="304" t="s">
        <v>259</v>
      </c>
      <c r="S67" s="442"/>
      <c r="T67" s="306">
        <f t="shared" si="13"/>
        <v>29744153</v>
      </c>
      <c r="U67" s="307">
        <f t="shared" si="14"/>
        <v>0</v>
      </c>
      <c r="V67" s="308">
        <f>Input!$TJ$20</f>
        <v>0</v>
      </c>
      <c r="W67" s="308">
        <f>Input!$TR$20</f>
        <v>0</v>
      </c>
      <c r="X67" s="303">
        <f>U67+T67-V67-W67</f>
        <v>29744153</v>
      </c>
      <c r="Z67" s="292" t="s">
        <v>21</v>
      </c>
      <c r="AA67" s="518">
        <f>Input!$TZ$20</f>
        <v>29744153</v>
      </c>
      <c r="AB67" s="301">
        <f t="shared" si="16"/>
        <v>0</v>
      </c>
    </row>
    <row r="68" spans="1:28" ht="14.25" thickTop="1" thickBot="1">
      <c r="A68" s="184">
        <v>51</v>
      </c>
      <c r="B68" s="160" t="s">
        <v>2135</v>
      </c>
      <c r="C68" s="160"/>
      <c r="D68" s="372">
        <f>Input!$NI$20</f>
        <v>0</v>
      </c>
      <c r="E68" s="372">
        <f>Input!$NJ$20</f>
        <v>0</v>
      </c>
      <c r="F68" s="372">
        <f>Input!$NK$20</f>
        <v>7874983</v>
      </c>
      <c r="G68" s="372">
        <f>Input!$NL$20</f>
        <v>0</v>
      </c>
      <c r="H68" s="372">
        <f>Input!$NM$20</f>
        <v>0</v>
      </c>
      <c r="I68" s="372">
        <f>Input!$NN$20</f>
        <v>0</v>
      </c>
      <c r="J68" s="372">
        <f>Input!$NO$20</f>
        <v>0</v>
      </c>
      <c r="K68" s="372">
        <f>Input!$NP$20</f>
        <v>0</v>
      </c>
      <c r="L68" s="372">
        <f>Input!$NQ$20</f>
        <v>0</v>
      </c>
      <c r="M68" s="373">
        <f t="shared" si="12"/>
        <v>7874983</v>
      </c>
      <c r="N68" s="160"/>
      <c r="O68" s="309" t="s">
        <v>259</v>
      </c>
      <c r="P68" s="519">
        <f>Input!$TA$20</f>
        <v>111414</v>
      </c>
      <c r="Q68" s="444" t="s">
        <v>259</v>
      </c>
      <c r="R68" s="311" t="s">
        <v>259</v>
      </c>
      <c r="S68" s="442"/>
      <c r="T68" s="305"/>
      <c r="U68" s="305"/>
      <c r="V68" s="312" t="s">
        <v>261</v>
      </c>
      <c r="W68" s="313"/>
      <c r="X68" s="314">
        <f>SUM(X60:X67)</f>
        <v>118931750</v>
      </c>
      <c r="Z68" s="292" t="s">
        <v>22</v>
      </c>
      <c r="AA68" s="518">
        <f>Input!$UA$20</f>
        <v>7874983</v>
      </c>
      <c r="AB68" s="301">
        <f t="shared" si="16"/>
        <v>0</v>
      </c>
    </row>
    <row r="69" spans="1:28" ht="14.25" thickTop="1" thickBot="1">
      <c r="A69" s="184">
        <v>52</v>
      </c>
      <c r="B69" s="161" t="s">
        <v>59</v>
      </c>
      <c r="C69" s="161"/>
      <c r="D69" s="372">
        <f>Input!$NR$20</f>
        <v>1103271</v>
      </c>
      <c r="E69" s="372">
        <f>Input!$NS$20</f>
        <v>64725</v>
      </c>
      <c r="F69" s="372">
        <f>Input!$NT$20</f>
        <v>111414</v>
      </c>
      <c r="G69" s="372">
        <f>Input!$NU$20</f>
        <v>470243</v>
      </c>
      <c r="H69" s="372">
        <f>Input!$NV$20</f>
        <v>0</v>
      </c>
      <c r="I69" s="372">
        <f>Input!$NW$20</f>
        <v>0</v>
      </c>
      <c r="J69" s="372">
        <f>Input!$NX$20</f>
        <v>0</v>
      </c>
      <c r="K69" s="372">
        <f>Input!$NY$20</f>
        <v>0</v>
      </c>
      <c r="L69" s="372">
        <f>Input!$NZ$20</f>
        <v>0</v>
      </c>
      <c r="M69" s="373">
        <f t="shared" si="12"/>
        <v>1749653</v>
      </c>
      <c r="N69" s="160"/>
      <c r="O69" s="315"/>
      <c r="P69" s="316">
        <f>SUM(P60:P68)</f>
        <v>1749653</v>
      </c>
      <c r="Q69" s="316">
        <f>SUM(Q64:Q68)</f>
        <v>0</v>
      </c>
      <c r="R69" s="317">
        <f>SUM(R60:R65)</f>
        <v>72335715</v>
      </c>
      <c r="S69" s="316"/>
      <c r="T69" s="305"/>
      <c r="U69" s="305"/>
      <c r="V69" s="305"/>
      <c r="W69" s="277"/>
      <c r="X69" s="277"/>
      <c r="Y69" s="277"/>
      <c r="Z69" s="292" t="s">
        <v>285</v>
      </c>
      <c r="AA69" s="445">
        <f>M88*-1</f>
        <v>11214168</v>
      </c>
      <c r="AB69" s="301">
        <f>AA69+M88</f>
        <v>0</v>
      </c>
    </row>
    <row r="70" spans="1:28" ht="14.25" thickTop="1" thickBot="1">
      <c r="A70" s="184">
        <v>53</v>
      </c>
      <c r="B70" s="178" t="s">
        <v>44</v>
      </c>
      <c r="C70" s="178"/>
      <c r="D70" s="378">
        <f>Input!$OA$20</f>
        <v>0</v>
      </c>
      <c r="E70" s="378">
        <f>Input!$OB$20</f>
        <v>359783</v>
      </c>
      <c r="F70" s="378">
        <f>Input!$OC$20</f>
        <v>39966</v>
      </c>
      <c r="G70" s="378">
        <f>Input!$OD$20</f>
        <v>1585</v>
      </c>
      <c r="H70" s="378">
        <f>Input!$OE$20</f>
        <v>8303</v>
      </c>
      <c r="I70" s="378">
        <f>Input!$OF$20</f>
        <v>1318830</v>
      </c>
      <c r="J70" s="378">
        <f>Input!$OG$20</f>
        <v>-526181</v>
      </c>
      <c r="K70" s="378">
        <f>Input!$OH$20</f>
        <v>0</v>
      </c>
      <c r="L70" s="378">
        <f>Input!$OI$20</f>
        <v>528880</v>
      </c>
      <c r="M70" s="373">
        <f t="shared" si="12"/>
        <v>1731166</v>
      </c>
      <c r="N70" s="160"/>
      <c r="O70" s="320"/>
      <c r="P70" s="516" t="str">
        <f>IF(P69&lt;&gt;M69,"Out of Balance","Balanced")</f>
        <v>Balanced</v>
      </c>
      <c r="Q70" s="318"/>
      <c r="R70" s="305"/>
      <c r="S70" s="305"/>
      <c r="T70" s="305"/>
      <c r="U70" s="277"/>
      <c r="V70" s="1738" t="str">
        <f>IF(X68-INT(X68)&lt;&gt;0,"Whole Dollars Only","")</f>
        <v/>
      </c>
      <c r="W70" s="1738"/>
      <c r="X70" s="537"/>
      <c r="Y70" s="319"/>
      <c r="Z70" s="410" t="s">
        <v>262</v>
      </c>
      <c r="AA70" s="446" t="s">
        <v>259</v>
      </c>
      <c r="AB70" s="411">
        <f>M90</f>
        <v>0</v>
      </c>
    </row>
    <row r="71" spans="1:28" ht="13.5" thickTop="1">
      <c r="A71" s="184">
        <v>54</v>
      </c>
      <c r="B71" s="162" t="s">
        <v>69</v>
      </c>
      <c r="C71" s="162"/>
      <c r="D71" s="374">
        <f>SUM(D60:D70)</f>
        <v>41800623</v>
      </c>
      <c r="E71" s="374">
        <f>SUM(E60:E70)</f>
        <v>39499853</v>
      </c>
      <c r="F71" s="374">
        <f t="shared" ref="F71:L71" si="19">SUM(F60:F70)</f>
        <v>8026363</v>
      </c>
      <c r="G71" s="374">
        <f t="shared" si="19"/>
        <v>38031685</v>
      </c>
      <c r="H71" s="374">
        <f t="shared" si="19"/>
        <v>8518</v>
      </c>
      <c r="I71" s="374">
        <f t="shared" si="19"/>
        <v>1318830</v>
      </c>
      <c r="J71" s="374">
        <f t="shared" si="19"/>
        <v>-526126</v>
      </c>
      <c r="K71" s="374">
        <f t="shared" si="19"/>
        <v>0</v>
      </c>
      <c r="L71" s="374">
        <f t="shared" si="19"/>
        <v>528880</v>
      </c>
      <c r="M71" s="374">
        <f t="shared" si="12"/>
        <v>128688626</v>
      </c>
      <c r="N71" s="160"/>
      <c r="O71" s="322"/>
      <c r="P71" s="1738" t="str">
        <f>IF(P69-INT(P69)&lt;&gt;0,"Whole Dollars Only","")</f>
        <v/>
      </c>
      <c r="Q71" s="1738"/>
      <c r="R71" s="323"/>
      <c r="S71" s="323"/>
      <c r="T71" s="323"/>
      <c r="U71" s="291"/>
      <c r="V71" s="324"/>
      <c r="W71" s="321"/>
      <c r="X71" s="321"/>
      <c r="Y71" s="321"/>
      <c r="Z71" s="318"/>
      <c r="AA71" s="325">
        <f>SUM(AA60:AA70)</f>
        <v>136421975</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Input!$OJ$20</f>
        <v>0</v>
      </c>
      <c r="E74" s="372">
        <f>Input!$OK$20</f>
        <v>0</v>
      </c>
      <c r="F74" s="372">
        <f>Input!$OL$20</f>
        <v>0</v>
      </c>
      <c r="G74" s="372">
        <f>Input!$OM$20</f>
        <v>0</v>
      </c>
      <c r="H74" s="372">
        <f>Input!$ON$20</f>
        <v>0</v>
      </c>
      <c r="I74" s="372">
        <f>Input!$OO$20</f>
        <v>0</v>
      </c>
      <c r="J74" s="372">
        <f>Input!$OP$20</f>
        <v>-369520</v>
      </c>
      <c r="K74" s="372">
        <f>Input!$OQ$20</f>
        <v>0</v>
      </c>
      <c r="L74" s="372">
        <f>Input!$OR$20</f>
        <v>0</v>
      </c>
      <c r="M74" s="373">
        <f>D74+E74+F74+G74+H74+I74+J74+K74+L74</f>
        <v>-369520</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Input!$OS$20</f>
        <v>3891247</v>
      </c>
      <c r="E75" s="372">
        <f>Input!$OT$20</f>
        <v>18383132</v>
      </c>
      <c r="F75" s="372">
        <f>Input!$OU$20</f>
        <v>2869378</v>
      </c>
      <c r="G75" s="372">
        <f>Input!$OV$20</f>
        <v>-22079937</v>
      </c>
      <c r="H75" s="372">
        <f>Input!$OW$20</f>
        <v>144783</v>
      </c>
      <c r="I75" s="372">
        <f>Input!$OX$20</f>
        <v>3685376</v>
      </c>
      <c r="J75" s="372">
        <f>Input!$OY$20</f>
        <v>0</v>
      </c>
      <c r="K75" s="372">
        <f>Input!$OZ$20</f>
        <v>0</v>
      </c>
      <c r="L75" s="372">
        <f>Input!$PA$20</f>
        <v>0</v>
      </c>
      <c r="M75" s="373">
        <f>D75+E75+F75+G75+H75+I75+J75+K75+L75</f>
        <v>6893979</v>
      </c>
      <c r="N75" s="160"/>
      <c r="O75" s="1723" t="str">
        <f>IF(M85&lt;0,"Footnote 11 is N/A - No Data Entry Required","Footnote 11")</f>
        <v>Footnote 11</v>
      </c>
      <c r="P75" s="1724"/>
      <c r="Q75" s="1724"/>
      <c r="R75" s="1725"/>
      <c r="S75" s="330"/>
      <c r="T75" s="330"/>
      <c r="U75" s="327"/>
      <c r="V75" s="276"/>
      <c r="W75" s="331"/>
      <c r="X75" s="331"/>
      <c r="Y75" s="328"/>
      <c r="Z75" s="328"/>
      <c r="AA75" s="276"/>
      <c r="AB75" s="276" t="s">
        <v>293</v>
      </c>
    </row>
    <row r="76" spans="1:28" ht="13.5" thickTop="1">
      <c r="A76" s="184">
        <v>59</v>
      </c>
      <c r="B76" s="160" t="s">
        <v>45</v>
      </c>
      <c r="C76" s="160"/>
      <c r="D76" s="372">
        <f>Input!$PB$20</f>
        <v>0</v>
      </c>
      <c r="E76" s="372">
        <f>Input!$PC$20</f>
        <v>0</v>
      </c>
      <c r="F76" s="372">
        <f>Input!$PD$20</f>
        <v>0</v>
      </c>
      <c r="G76" s="372">
        <f>Input!$PE$20</f>
        <v>0</v>
      </c>
      <c r="H76" s="372">
        <f>Input!$PF$20</f>
        <v>0</v>
      </c>
      <c r="I76" s="372">
        <f>Input!$PG$20</f>
        <v>0</v>
      </c>
      <c r="J76" s="372">
        <f>Input!$PH$20</f>
        <v>0</v>
      </c>
      <c r="K76" s="372">
        <f>Input!$PI$20</f>
        <v>0</v>
      </c>
      <c r="L76" s="372">
        <f>Input!$PJ$20</f>
        <v>0</v>
      </c>
      <c r="M76" s="373">
        <f>D76+E76+F76+G76+H76+I76+J76+K76+L76</f>
        <v>0</v>
      </c>
      <c r="N76" s="160"/>
      <c r="O76" s="487" t="s">
        <v>583</v>
      </c>
      <c r="P76" s="488"/>
      <c r="Q76" s="489"/>
      <c r="R76" s="490">
        <f>IF($M$85&lt;0,"N/A",$M$85)</f>
        <v>91972982</v>
      </c>
      <c r="S76" s="330"/>
      <c r="T76" s="330"/>
      <c r="U76" s="327"/>
      <c r="V76" s="276"/>
      <c r="W76" s="331"/>
      <c r="X76" s="331"/>
      <c r="Y76" s="331"/>
      <c r="Z76" s="331"/>
      <c r="AA76" s="276"/>
      <c r="AB76" s="276"/>
    </row>
    <row r="77" spans="1:28">
      <c r="A77" s="184">
        <v>60</v>
      </c>
      <c r="B77" s="160" t="s">
        <v>46</v>
      </c>
      <c r="C77" s="160"/>
      <c r="D77" s="372">
        <f>Input!$PK$20</f>
        <v>-8575585</v>
      </c>
      <c r="E77" s="372">
        <f>Input!$PL$20</f>
        <v>-403358</v>
      </c>
      <c r="F77" s="372">
        <f>Input!$PM$20</f>
        <v>-1921255</v>
      </c>
      <c r="G77" s="372">
        <f>Input!$PN$20</f>
        <v>0</v>
      </c>
      <c r="H77" s="372">
        <f>Input!$PO$20</f>
        <v>0</v>
      </c>
      <c r="I77" s="372">
        <f>Input!$PP$20</f>
        <v>0</v>
      </c>
      <c r="J77" s="372">
        <f>Input!$PQ$20</f>
        <v>0</v>
      </c>
      <c r="K77" s="372">
        <f>Input!$PR$20</f>
        <v>0</v>
      </c>
      <c r="L77" s="372">
        <f>Input!$PS$20</f>
        <v>0</v>
      </c>
      <c r="M77" s="373">
        <f>D77+E77+F77+G77+H77+I77+J77+K77+L77</f>
        <v>-10900198</v>
      </c>
      <c r="N77" s="160"/>
      <c r="O77" s="491" t="s">
        <v>584</v>
      </c>
      <c r="P77" s="334"/>
      <c r="Q77" s="334"/>
      <c r="R77" s="521">
        <f>Input!$UB$20</f>
        <v>26982326</v>
      </c>
      <c r="S77" s="330"/>
      <c r="T77" s="330"/>
      <c r="U77" s="327"/>
      <c r="V77" s="276"/>
      <c r="W77" s="331"/>
      <c r="X77" s="331"/>
      <c r="Y77" s="331"/>
      <c r="Z77" s="331"/>
      <c r="AA77" s="276"/>
      <c r="AB77" s="276"/>
    </row>
    <row r="78" spans="1:28">
      <c r="A78" s="184">
        <v>61</v>
      </c>
      <c r="B78" s="162" t="s">
        <v>3</v>
      </c>
      <c r="C78" s="162"/>
      <c r="D78" s="374">
        <f t="shared" ref="D78:L78" si="20">SUM(D74:D77)</f>
        <v>-4684338</v>
      </c>
      <c r="E78" s="374">
        <f t="shared" si="20"/>
        <v>17979774</v>
      </c>
      <c r="F78" s="374">
        <f t="shared" si="20"/>
        <v>948123</v>
      </c>
      <c r="G78" s="374">
        <f t="shared" si="20"/>
        <v>-22079937</v>
      </c>
      <c r="H78" s="374">
        <f t="shared" si="20"/>
        <v>144783</v>
      </c>
      <c r="I78" s="374">
        <f t="shared" si="20"/>
        <v>3685376</v>
      </c>
      <c r="J78" s="374">
        <f t="shared" si="20"/>
        <v>-369520</v>
      </c>
      <c r="K78" s="374">
        <f t="shared" si="20"/>
        <v>0</v>
      </c>
      <c r="L78" s="374">
        <f t="shared" si="20"/>
        <v>0</v>
      </c>
      <c r="M78" s="374">
        <f>D78+E78+F78+G78+H78+I78+J78+K78+L78</f>
        <v>-4375739</v>
      </c>
      <c r="N78" s="160"/>
      <c r="O78" s="491" t="s">
        <v>585</v>
      </c>
      <c r="P78" s="276"/>
      <c r="Q78" s="334"/>
      <c r="R78" s="492">
        <f>IF($M$85&lt;0,"",$R$76-$R$77)</f>
        <v>64990656</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3"/>
      <c r="P79" s="276"/>
      <c r="Q79" s="334"/>
      <c r="R79" s="494"/>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5" t="s">
        <v>586</v>
      </c>
      <c r="P80" s="276"/>
      <c r="Q80" s="334"/>
      <c r="R80" s="521">
        <f>Input!$UC$20</f>
        <v>23460142</v>
      </c>
      <c r="S80" s="330"/>
      <c r="T80" s="330"/>
      <c r="U80" s="334"/>
      <c r="V80" s="276"/>
      <c r="W80" s="328"/>
      <c r="X80" s="328"/>
      <c r="Y80" s="331"/>
      <c r="Z80" s="331"/>
      <c r="AA80" s="276"/>
      <c r="AB80" s="276"/>
    </row>
    <row r="81" spans="1:28">
      <c r="A81" s="184">
        <v>64</v>
      </c>
      <c r="B81" s="160" t="s">
        <v>47</v>
      </c>
      <c r="C81" s="160"/>
      <c r="D81" s="372">
        <f>Input!$PT$20</f>
        <v>8186343</v>
      </c>
      <c r="E81" s="372">
        <f>Input!$PU$20</f>
        <v>3045137</v>
      </c>
      <c r="F81" s="372">
        <f>Input!$PV$20</f>
        <v>735726</v>
      </c>
      <c r="G81" s="372">
        <f>Input!$PW$20</f>
        <v>349162</v>
      </c>
      <c r="H81" s="372">
        <f>Input!$PX$20</f>
        <v>0</v>
      </c>
      <c r="I81" s="372">
        <f>Input!$PY$20</f>
        <v>11143774</v>
      </c>
      <c r="J81" s="372">
        <f>Input!$PZ$20</f>
        <v>0</v>
      </c>
      <c r="K81" s="372">
        <f>Input!$QA$20</f>
        <v>0</v>
      </c>
      <c r="L81" s="372">
        <f>Input!$QB$20</f>
        <v>0</v>
      </c>
      <c r="M81" s="373">
        <f>D81+E81+F81+G81+H81+I81+J81+K81+L81</f>
        <v>23460142</v>
      </c>
      <c r="N81" s="160"/>
      <c r="O81" s="496" t="s">
        <v>587</v>
      </c>
      <c r="P81" s="276"/>
      <c r="Q81" s="276"/>
      <c r="R81" s="497"/>
      <c r="S81" s="330"/>
      <c r="T81" s="330"/>
      <c r="W81" s="276"/>
      <c r="X81" s="276"/>
      <c r="Y81" s="331"/>
      <c r="Z81" s="331"/>
      <c r="AA81" s="276"/>
      <c r="AB81" s="276"/>
    </row>
    <row r="82" spans="1:28">
      <c r="A82" s="184">
        <v>65</v>
      </c>
      <c r="B82" s="160" t="s">
        <v>48</v>
      </c>
      <c r="C82" s="160"/>
      <c r="D82" s="372">
        <f>Input!$QC$20</f>
        <v>0</v>
      </c>
      <c r="E82" s="372">
        <f>Input!$QD$20</f>
        <v>0</v>
      </c>
      <c r="F82" s="372">
        <f>Input!$QE$20</f>
        <v>0</v>
      </c>
      <c r="G82" s="372">
        <f>Input!$QF$20</f>
        <v>0</v>
      </c>
      <c r="H82" s="372">
        <f>Input!$QG$20</f>
        <v>0</v>
      </c>
      <c r="I82" s="372">
        <f>Input!$QH$20</f>
        <v>41530514</v>
      </c>
      <c r="J82" s="372">
        <f>Input!$QI$20</f>
        <v>0</v>
      </c>
      <c r="K82" s="372">
        <f>Input!$QJ$20</f>
        <v>0</v>
      </c>
      <c r="L82" s="372">
        <f>Input!$QK$20</f>
        <v>0</v>
      </c>
      <c r="M82" s="373">
        <f>D82+E82+F82+G82+H82+I82+J82+K82+L82</f>
        <v>41530514</v>
      </c>
      <c r="N82" s="160"/>
      <c r="O82" s="498" t="s">
        <v>588</v>
      </c>
      <c r="P82" s="276"/>
      <c r="Q82" s="276"/>
      <c r="R82" s="492">
        <f>IFERROR($R$78-$R$80,"")</f>
        <v>41530514</v>
      </c>
      <c r="Y82" s="331"/>
      <c r="Z82" s="401"/>
      <c r="AA82" s="268"/>
      <c r="AB82" s="268"/>
    </row>
    <row r="83" spans="1:28">
      <c r="A83" s="184">
        <v>66</v>
      </c>
      <c r="B83" s="162" t="s">
        <v>3</v>
      </c>
      <c r="C83" s="162"/>
      <c r="D83" s="374">
        <f t="shared" ref="D83:L83" si="21">SUM(D81:D82)</f>
        <v>8186343</v>
      </c>
      <c r="E83" s="374">
        <f t="shared" si="21"/>
        <v>3045137</v>
      </c>
      <c r="F83" s="374">
        <f t="shared" si="21"/>
        <v>735726</v>
      </c>
      <c r="G83" s="374">
        <f t="shared" si="21"/>
        <v>349162</v>
      </c>
      <c r="H83" s="374">
        <f t="shared" si="21"/>
        <v>0</v>
      </c>
      <c r="I83" s="374">
        <f t="shared" si="21"/>
        <v>52674288</v>
      </c>
      <c r="J83" s="374">
        <f t="shared" si="21"/>
        <v>0</v>
      </c>
      <c r="K83" s="374">
        <f t="shared" si="21"/>
        <v>0</v>
      </c>
      <c r="L83" s="374">
        <f t="shared" si="21"/>
        <v>0</v>
      </c>
      <c r="M83" s="374">
        <f>D83+E83+F83+G83+H83+I83+J83+K83+L83</f>
        <v>64990656</v>
      </c>
      <c r="N83" s="160"/>
      <c r="O83" s="493"/>
      <c r="P83" s="276"/>
      <c r="Q83" s="276"/>
      <c r="R83" s="497"/>
      <c r="Y83" s="163"/>
      <c r="Z83" s="447"/>
      <c r="AA83" s="439"/>
      <c r="AB83" s="448"/>
    </row>
    <row r="84" spans="1:28" ht="13.5" thickBot="1">
      <c r="A84" s="184">
        <v>67</v>
      </c>
      <c r="B84" s="160"/>
      <c r="C84" s="160"/>
      <c r="D84" s="373"/>
      <c r="E84" s="373"/>
      <c r="F84" s="373"/>
      <c r="G84" s="373"/>
      <c r="H84" s="373"/>
      <c r="I84" s="373"/>
      <c r="J84" s="373"/>
      <c r="K84" s="373"/>
      <c r="L84" s="373"/>
      <c r="M84" s="373"/>
      <c r="N84" s="160"/>
      <c r="O84" s="499" t="s">
        <v>589</v>
      </c>
      <c r="P84" s="500"/>
      <c r="Q84" s="500"/>
      <c r="R84" s="501">
        <f>IFERROR((R82+R80)-R78,"")</f>
        <v>0</v>
      </c>
      <c r="Y84" s="268"/>
      <c r="Z84" s="447"/>
      <c r="AA84" s="439"/>
      <c r="AB84" s="449"/>
    </row>
    <row r="85" spans="1:28" ht="13.5" thickTop="1">
      <c r="A85" s="184">
        <v>68</v>
      </c>
      <c r="B85" s="162" t="s">
        <v>574</v>
      </c>
      <c r="C85" s="162"/>
      <c r="D85" s="374">
        <f t="shared" ref="D85:L85" si="22">D57-D71+D78+D83</f>
        <v>14827075</v>
      </c>
      <c r="E85" s="374">
        <f t="shared" si="22"/>
        <v>17747250</v>
      </c>
      <c r="F85" s="374">
        <f t="shared" si="22"/>
        <v>718115</v>
      </c>
      <c r="G85" s="374">
        <f t="shared" si="22"/>
        <v>2213289</v>
      </c>
      <c r="H85" s="374">
        <f t="shared" si="22"/>
        <v>287588</v>
      </c>
      <c r="I85" s="374">
        <f t="shared" si="22"/>
        <v>56522704</v>
      </c>
      <c r="J85" s="374">
        <f t="shared" si="22"/>
        <v>185841</v>
      </c>
      <c r="K85" s="374">
        <f t="shared" si="22"/>
        <v>0</v>
      </c>
      <c r="L85" s="374">
        <f t="shared" si="22"/>
        <v>-528880</v>
      </c>
      <c r="M85" s="374">
        <f>D85+E85+F85+G85+H85+I85+J85+K85+L85</f>
        <v>91972982</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Input!$QL$20</f>
        <v>0</v>
      </c>
      <c r="E87" s="372">
        <f>Input!$QM$20</f>
        <v>0</v>
      </c>
      <c r="F87" s="372">
        <f>Input!$QN$20</f>
        <v>0</v>
      </c>
      <c r="G87" s="372">
        <f>Input!$QO$20</f>
        <v>0</v>
      </c>
      <c r="H87" s="372">
        <f>Input!$QP$20</f>
        <v>0</v>
      </c>
      <c r="I87" s="372">
        <f>Input!$QQ$20</f>
        <v>0</v>
      </c>
      <c r="J87" s="372">
        <f>Input!$QR$20</f>
        <v>0</v>
      </c>
      <c r="K87" s="372">
        <f>Input!$QS$20</f>
        <v>0</v>
      </c>
      <c r="L87" s="372">
        <f>Input!$QT$20</f>
        <v>0</v>
      </c>
      <c r="M87" s="329">
        <f>D87+E87+F87+G87+H87+I87+J87+K87+L87</f>
        <v>0</v>
      </c>
      <c r="N87" s="160"/>
      <c r="Y87" s="268"/>
      <c r="Z87" s="447"/>
      <c r="AA87" s="439"/>
      <c r="AB87" s="449"/>
    </row>
    <row r="88" spans="1:28">
      <c r="A88" s="184">
        <v>72</v>
      </c>
      <c r="B88" s="160" t="s">
        <v>66</v>
      </c>
      <c r="C88" s="160"/>
      <c r="D88" s="372">
        <f>Input!$QU$20</f>
        <v>0</v>
      </c>
      <c r="E88" s="372">
        <f>Input!$QV$20</f>
        <v>0</v>
      </c>
      <c r="F88" s="372">
        <f>Input!$QW$20</f>
        <v>0</v>
      </c>
      <c r="G88" s="372">
        <f>Input!$QX$20</f>
        <v>0</v>
      </c>
      <c r="H88" s="372">
        <f>Input!$QY$20</f>
        <v>0</v>
      </c>
      <c r="I88" s="372">
        <f>Input!$QZ$20</f>
        <v>0</v>
      </c>
      <c r="J88" s="372">
        <f>Input!$RA$20</f>
        <v>0</v>
      </c>
      <c r="K88" s="372">
        <f>Input!$RB$20</f>
        <v>0</v>
      </c>
      <c r="L88" s="372">
        <f>Input!$RC$20</f>
        <v>-11214168</v>
      </c>
      <c r="M88" s="373">
        <f>D88+E88+F88+G88+H88+I88+J88+K88+L88</f>
        <v>-11214168</v>
      </c>
      <c r="N88" s="160"/>
      <c r="O88" s="270"/>
      <c r="P88" s="335"/>
      <c r="Y88" s="268"/>
      <c r="Z88" s="447"/>
      <c r="AA88" s="439"/>
      <c r="AB88" s="449"/>
    </row>
    <row r="89" spans="1:28" s="264" customFormat="1">
      <c r="A89" s="263"/>
      <c r="B89" s="171" t="s">
        <v>216</v>
      </c>
      <c r="C89" s="171"/>
      <c r="D89" s="372">
        <f>Input!$RD$20</f>
        <v>0</v>
      </c>
      <c r="E89" s="372">
        <f>Input!$RE$20</f>
        <v>0</v>
      </c>
      <c r="F89" s="372">
        <f>Input!$RF$20</f>
        <v>0</v>
      </c>
      <c r="G89" s="372">
        <f>Input!$RG$20</f>
        <v>0</v>
      </c>
      <c r="H89" s="372">
        <f>Input!$RH$20</f>
        <v>0</v>
      </c>
      <c r="I89" s="372">
        <f>Input!$RI$20</f>
        <v>0</v>
      </c>
      <c r="J89" s="372">
        <f>Input!$RJ$20</f>
        <v>0</v>
      </c>
      <c r="K89" s="372">
        <f>Input!$RK$20</f>
        <v>0</v>
      </c>
      <c r="L89" s="372">
        <f>Input!$RL$20</f>
        <v>528302</v>
      </c>
      <c r="M89" s="373">
        <f t="shared" ref="M89:M91" si="23">D89+E89+F89+G89+H89+I89+J89+K89+L89</f>
        <v>528302</v>
      </c>
      <c r="N89" s="160"/>
      <c r="O89" s="1726" t="s">
        <v>1355</v>
      </c>
      <c r="P89" s="1727"/>
      <c r="Q89" s="1727"/>
      <c r="R89" s="1727"/>
      <c r="S89" s="1727"/>
      <c r="T89" s="1727"/>
      <c r="U89" s="1728"/>
      <c r="Y89" s="268"/>
      <c r="Z89" s="447"/>
      <c r="AA89" s="439"/>
      <c r="AB89" s="449"/>
    </row>
    <row r="90" spans="1:28" s="264" customFormat="1">
      <c r="A90" s="263"/>
      <c r="B90" s="171" t="s">
        <v>105</v>
      </c>
      <c r="C90" s="171"/>
      <c r="D90" s="372">
        <f>Input!$RM$20</f>
        <v>0</v>
      </c>
      <c r="E90" s="372">
        <f>Input!$RN$20</f>
        <v>0</v>
      </c>
      <c r="F90" s="372">
        <f>Input!$RO$20</f>
        <v>0</v>
      </c>
      <c r="G90" s="372">
        <f>Input!$RP$20</f>
        <v>0</v>
      </c>
      <c r="H90" s="372">
        <f>Input!$RQ$20</f>
        <v>0</v>
      </c>
      <c r="I90" s="372">
        <f>Input!$RR$20</f>
        <v>0</v>
      </c>
      <c r="J90" s="372">
        <f>Input!$RS$20</f>
        <v>0</v>
      </c>
      <c r="K90" s="372">
        <f>Input!$RT$20</f>
        <v>0</v>
      </c>
      <c r="L90" s="372">
        <f>Input!$RU$20</f>
        <v>0</v>
      </c>
      <c r="M90" s="373">
        <f t="shared" si="23"/>
        <v>0</v>
      </c>
      <c r="N90" s="160"/>
      <c r="O90" s="502" t="s">
        <v>590</v>
      </c>
      <c r="P90" s="423"/>
      <c r="Q90" s="502" t="s">
        <v>591</v>
      </c>
      <c r="R90" s="423"/>
      <c r="S90" s="503"/>
      <c r="T90" s="502" t="s">
        <v>592</v>
      </c>
      <c r="U90" s="423"/>
      <c r="Y90" s="268"/>
      <c r="Z90" s="447"/>
      <c r="AA90" s="439"/>
      <c r="AB90" s="449"/>
    </row>
    <row r="91" spans="1:28" s="264" customFormat="1">
      <c r="A91" s="263"/>
      <c r="B91" s="171" t="s">
        <v>128</v>
      </c>
      <c r="C91" s="171"/>
      <c r="D91" s="372">
        <f>Input!$RV$20</f>
        <v>0</v>
      </c>
      <c r="E91" s="372">
        <f>Input!$RW$20</f>
        <v>0</v>
      </c>
      <c r="F91" s="372">
        <f>Input!$RX$20</f>
        <v>0</v>
      </c>
      <c r="G91" s="372">
        <f>Input!$RY$20</f>
        <v>0</v>
      </c>
      <c r="H91" s="372">
        <f>Input!$RZ$20</f>
        <v>0</v>
      </c>
      <c r="I91" s="372">
        <f>Input!$SA$20</f>
        <v>0</v>
      </c>
      <c r="J91" s="372">
        <f>Input!$SB$20</f>
        <v>0</v>
      </c>
      <c r="K91" s="372">
        <f>Input!$SC$20</f>
        <v>0</v>
      </c>
      <c r="L91" s="372">
        <f>Input!$SD$20</f>
        <v>0</v>
      </c>
      <c r="M91" s="373">
        <f t="shared" si="23"/>
        <v>0</v>
      </c>
      <c r="N91" s="160"/>
      <c r="O91" s="504"/>
      <c r="P91" s="505"/>
      <c r="Q91" s="504"/>
      <c r="R91" s="426"/>
      <c r="S91" s="276"/>
      <c r="T91" s="506"/>
      <c r="U91" s="426"/>
      <c r="Y91" s="268"/>
      <c r="Z91" s="447"/>
      <c r="AA91" s="439"/>
      <c r="AB91" s="449"/>
    </row>
    <row r="92" spans="1:28" s="264" customFormat="1">
      <c r="A92" s="263"/>
      <c r="B92" s="160" t="s">
        <v>67</v>
      </c>
      <c r="C92" s="160"/>
      <c r="D92" s="372">
        <f>Input!$SE$20</f>
        <v>1103271</v>
      </c>
      <c r="E92" s="372">
        <f>Input!$SF$20</f>
        <v>64725</v>
      </c>
      <c r="F92" s="372">
        <f>Input!$SG$20</f>
        <v>111414</v>
      </c>
      <c r="G92" s="372">
        <f>Input!$SH$20</f>
        <v>470243</v>
      </c>
      <c r="H92" s="372">
        <f>Input!$SI$20</f>
        <v>0</v>
      </c>
      <c r="I92" s="372">
        <f>Input!$SJ$20</f>
        <v>0</v>
      </c>
      <c r="J92" s="372">
        <f>Input!$SK$20</f>
        <v>369520</v>
      </c>
      <c r="K92" s="372">
        <f>Input!$SL$20</f>
        <v>0</v>
      </c>
      <c r="L92" s="372">
        <f>Input!$SM$20</f>
        <v>0</v>
      </c>
      <c r="M92" s="373">
        <f>D92+E92+F92+G92+H92+I92+J92+K92+L92</f>
        <v>2119173</v>
      </c>
      <c r="N92" s="160"/>
      <c r="O92" s="1729" t="str">
        <f>Input!UF$20</f>
        <v>Chris Arrington</v>
      </c>
      <c r="P92" s="1730"/>
      <c r="Q92" s="1729" t="str">
        <f>Input!$UG$20</f>
        <v>979-458-9151</v>
      </c>
      <c r="R92" s="1730"/>
      <c r="S92" s="276"/>
      <c r="T92" s="1731" t="str">
        <f>HYPERLINK("Mailto:"&amp;Input!$UH$20,Input!$UH$20)</f>
        <v>carrington@tamus.edu</v>
      </c>
      <c r="U92" s="1730"/>
      <c r="Y92" s="268"/>
      <c r="Z92" s="447"/>
      <c r="AA92" s="442"/>
      <c r="AB92" s="449"/>
    </row>
    <row r="93" spans="1:28" ht="13.5" thickBot="1">
      <c r="B93" s="179" t="s">
        <v>58</v>
      </c>
      <c r="C93" s="179"/>
      <c r="D93" s="380">
        <f t="shared" ref="D93:K93" si="24">SUM(D85:D92)</f>
        <v>15930346</v>
      </c>
      <c r="E93" s="380">
        <f t="shared" si="24"/>
        <v>17811975</v>
      </c>
      <c r="F93" s="380">
        <f t="shared" si="24"/>
        <v>829529</v>
      </c>
      <c r="G93" s="380">
        <f t="shared" si="24"/>
        <v>2683532</v>
      </c>
      <c r="H93" s="380">
        <f t="shared" si="24"/>
        <v>287588</v>
      </c>
      <c r="I93" s="380">
        <f t="shared" si="24"/>
        <v>56522704</v>
      </c>
      <c r="J93" s="380">
        <f t="shared" si="24"/>
        <v>555361</v>
      </c>
      <c r="K93" s="380">
        <f t="shared" si="24"/>
        <v>0</v>
      </c>
      <c r="L93" s="380">
        <f>SUM(L85:L92)</f>
        <v>-11214746</v>
      </c>
      <c r="M93" s="380">
        <f>D93+E93+F93+G93+H93+I93+J93+K93+L93</f>
        <v>83406289</v>
      </c>
      <c r="N93" s="160"/>
      <c r="O93" s="506"/>
      <c r="P93" s="507"/>
      <c r="Q93" s="276"/>
      <c r="R93" s="276"/>
      <c r="S93" s="276"/>
      <c r="T93" s="507"/>
      <c r="U93" s="508"/>
      <c r="Y93" s="268"/>
      <c r="Z93" s="447"/>
      <c r="AA93" s="442"/>
      <c r="AB93" s="449"/>
    </row>
    <row r="94" spans="1:28" ht="13.5" thickTop="1">
      <c r="C94" s="160"/>
      <c r="D94" s="165"/>
      <c r="E94" s="165"/>
      <c r="F94" s="165"/>
      <c r="G94" s="165"/>
      <c r="H94" s="165"/>
      <c r="I94" s="165"/>
      <c r="J94" s="165"/>
      <c r="K94" s="165"/>
      <c r="L94" s="165"/>
      <c r="M94" s="180"/>
      <c r="N94" s="160"/>
      <c r="O94" s="1720" t="s">
        <v>593</v>
      </c>
      <c r="P94" s="1721"/>
      <c r="Q94" s="1721"/>
      <c r="R94" s="1721"/>
      <c r="S94" s="1721"/>
      <c r="T94" s="1721"/>
      <c r="U94" s="1722"/>
      <c r="Y94" s="268"/>
      <c r="Z94" s="451"/>
      <c r="AA94" s="442"/>
      <c r="AB94" s="449"/>
    </row>
    <row r="95" spans="1:28">
      <c r="B95" s="171" t="s">
        <v>1369</v>
      </c>
      <c r="C95" s="169"/>
      <c r="D95" s="165"/>
      <c r="E95" s="165"/>
      <c r="F95" s="165"/>
      <c r="G95" s="165"/>
      <c r="H95" s="165"/>
      <c r="I95" s="165"/>
      <c r="J95" s="165"/>
      <c r="K95" s="165"/>
      <c r="L95" s="165"/>
      <c r="M95" s="180"/>
      <c r="N95" s="160"/>
      <c r="O95" s="1720"/>
      <c r="P95" s="1721"/>
      <c r="Q95" s="1721"/>
      <c r="R95" s="1721"/>
      <c r="S95" s="1721"/>
      <c r="T95" s="1721"/>
      <c r="U95" s="1722"/>
      <c r="Y95" s="268"/>
      <c r="Z95" s="452"/>
      <c r="AA95" s="453"/>
      <c r="AB95" s="454"/>
    </row>
    <row r="96" spans="1:28">
      <c r="B96" s="169" t="s">
        <v>80</v>
      </c>
      <c r="C96" s="160"/>
      <c r="D96" s="165"/>
      <c r="E96" s="165"/>
      <c r="F96" s="165"/>
      <c r="G96" s="165"/>
      <c r="H96" s="165"/>
      <c r="I96" s="165"/>
      <c r="J96" s="165"/>
      <c r="K96" s="165"/>
      <c r="L96" s="165"/>
      <c r="M96" s="180"/>
      <c r="N96" s="160"/>
      <c r="O96" s="509"/>
      <c r="P96" s="510"/>
      <c r="Q96" s="511"/>
      <c r="R96" s="511"/>
      <c r="S96" s="511"/>
      <c r="T96" s="510"/>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Input!$SN$20</f>
        <v>83406289</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3" t="str">
        <f>IF($L$118&lt;&gt;Input!$F$20,"Out of Balance","Balanced")</f>
        <v>Balanced</v>
      </c>
      <c r="M102" s="517"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96688372</v>
      </c>
      <c r="E105" s="373">
        <f>SUM($E$10:$E$14)+SUM($E$19:$E$28)+SUM($E$32:$E$41)+$E$47+SUM($E$50:$E$55)+SUM($E$60:$E$70)+SUM($E$74:$E$77)+SUM($E$81:$E$82)+SUM($E$87:$E$92)</f>
        <v>95288391</v>
      </c>
      <c r="F105" s="373">
        <f>SUM($F$10:$F$14)+SUM($F$19:$F$28)+SUM($F$32:$F$41)+$F$47+SUM($F$50:$F$55)+SUM($F$60:$F$70)+SUM($F$74:$F$77)+SUM($F$81:$F$82)+SUM($F$87:$F$92)</f>
        <v>15632112</v>
      </c>
      <c r="G105" s="373">
        <f>SUM($G$10:$G$14)+SUM($G$19:$G$28)+SUM($G$32:$G$41)+$G$47+SUM($G$50:$G$55)+SUM($G$60:$G$70)+SUM($G$74:$G$77)+SUM($G$81:$G$82)+SUM($G$87:$G$92)</f>
        <v>78746902</v>
      </c>
      <c r="H105" s="373">
        <f>SUM($H$10:$H$14)+SUM($H$19:$H$28)+SUM($H$32:$H$41)+$H$47+SUM($H$50:$H$55)+SUM($H$60:$H$70)+SUM($H$74:$H$77)+SUM($H$81:$H$82)+SUM($H$87:$H$92)</f>
        <v>304624</v>
      </c>
      <c r="I105" s="373">
        <f>SUM($I$10:$I$14)+SUM($I$19:$I$28)+SUM($I$32:$I$41)+$I$47+SUM($I$50:$I$55)+SUM($I$60:$I$70)+SUM($I$74:$I$77)+SUM($I$81:$I$82)+SUM($I$87:$I$92)</f>
        <v>59160364</v>
      </c>
      <c r="J105" s="373">
        <f>SUM($J$10:$J$14)+SUM($J$19:$J$28)+SUM($J$32:$J$41)+$J$47+SUM($J$50:$J$55)+SUM($J$60:$J$70)+SUM($J$74:$J$77)+SUM($J$81:$J$82)+SUM($J$87:$J$92)</f>
        <v>-496891</v>
      </c>
      <c r="K105" s="373">
        <f>SUM($K$10:$K$14)+SUM($K$19:$K$28)+SUM($K$32:$K$41)+$K$47+SUM($K$50:$K$55)+SUM($K$60:$K$70)+SUM($K$74:$K$77)+SUM($K$81:$K$82)+SUM($K$87:$K$92)</f>
        <v>0</v>
      </c>
      <c r="L105" s="373">
        <f>SUM($L$10:$L$14)+SUM($L$19:$L$28)+SUM($L$32:$L$41)+$L$47+SUM($L$50:$L$55)+SUM($L$60:$L$70)+SUM($L$74:$L$77)+SUM($L$81:$L$82)+SUM($L$87:$L$92)</f>
        <v>-10156986</v>
      </c>
      <c r="M105" s="373"/>
      <c r="N105" s="264"/>
      <c r="O105" s="373"/>
      <c r="P105" s="450">
        <f>M18-INT(M18)</f>
        <v>0</v>
      </c>
    </row>
    <row r="106" spans="2:28">
      <c r="B106" s="261"/>
      <c r="C106" s="261"/>
      <c r="D106" s="261"/>
      <c r="E106" s="261"/>
      <c r="F106" s="261"/>
      <c r="G106" s="261"/>
      <c r="H106" s="261"/>
      <c r="I106" s="261"/>
      <c r="J106" s="261"/>
      <c r="K106" s="261"/>
      <c r="L106" s="373">
        <f>SUM($D$105:$L$105)</f>
        <v>335166888</v>
      </c>
      <c r="M106" s="261"/>
      <c r="N106" s="264"/>
      <c r="O106" s="373"/>
      <c r="P106" s="450">
        <f>M31-INT(M31)</f>
        <v>0</v>
      </c>
    </row>
    <row r="107" spans="2:28">
      <c r="B107" s="261"/>
      <c r="C107" s="261"/>
      <c r="D107" s="261"/>
      <c r="E107" s="261"/>
      <c r="F107" s="261"/>
      <c r="G107" s="261"/>
      <c r="H107" s="261"/>
      <c r="I107" s="261"/>
      <c r="J107" s="261" t="s">
        <v>1299</v>
      </c>
      <c r="K107" s="261"/>
      <c r="L107" s="373">
        <f>$M$100</f>
        <v>83406289</v>
      </c>
      <c r="M107" s="261"/>
      <c r="N107" s="264"/>
      <c r="O107" s="373"/>
      <c r="P107" s="450">
        <f>M93-INT(M93)</f>
        <v>0</v>
      </c>
    </row>
    <row r="108" spans="2:28">
      <c r="B108" s="261"/>
      <c r="C108" s="261"/>
      <c r="D108" s="261"/>
      <c r="E108" s="261"/>
      <c r="F108" s="261"/>
      <c r="G108" s="261"/>
      <c r="H108" s="261"/>
      <c r="I108" s="261"/>
      <c r="J108" s="261" t="s">
        <v>1300</v>
      </c>
      <c r="K108" s="261"/>
      <c r="L108" s="512">
        <f>$Q$32</f>
        <v>66421549</v>
      </c>
      <c r="M108" s="261"/>
      <c r="N108" s="264"/>
      <c r="O108" s="373"/>
    </row>
    <row r="109" spans="2:28">
      <c r="B109" s="261"/>
      <c r="C109" s="261"/>
      <c r="D109" s="261"/>
      <c r="E109" s="261"/>
      <c r="F109" s="261"/>
      <c r="G109" s="261"/>
      <c r="H109" s="261"/>
      <c r="I109" s="261"/>
      <c r="J109" s="261" t="s">
        <v>1300</v>
      </c>
      <c r="K109" s="261"/>
      <c r="L109" s="512">
        <f>$R$34</f>
        <v>-30653539</v>
      </c>
      <c r="M109" s="261"/>
      <c r="N109" s="264"/>
      <c r="O109" s="373"/>
    </row>
    <row r="110" spans="2:28">
      <c r="B110" s="261"/>
      <c r="C110" s="261"/>
      <c r="D110" s="261"/>
      <c r="E110" s="261"/>
      <c r="F110" s="261"/>
      <c r="G110" s="261"/>
      <c r="H110" s="261"/>
      <c r="I110" s="261"/>
      <c r="J110" s="261" t="s">
        <v>29</v>
      </c>
      <c r="K110" s="261"/>
      <c r="L110" s="512">
        <f>SUM($P$60:$P$68)</f>
        <v>1749653</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2">
        <f>SUM($V$60:$V$67)</f>
        <v>39043</v>
      </c>
      <c r="M112" s="261"/>
      <c r="N112" s="264"/>
      <c r="O112" s="373"/>
    </row>
    <row r="113" spans="2:15">
      <c r="B113" s="261"/>
      <c r="C113" s="261"/>
      <c r="D113" s="261"/>
      <c r="E113" s="261"/>
      <c r="F113" s="261"/>
      <c r="G113" s="261"/>
      <c r="H113" s="261"/>
      <c r="I113" s="261"/>
      <c r="J113" s="261" t="s">
        <v>596</v>
      </c>
      <c r="K113" s="261"/>
      <c r="L113" s="512">
        <f>SUM($W$60:$W$67)</f>
        <v>0</v>
      </c>
      <c r="M113" s="261"/>
      <c r="N113" s="264"/>
      <c r="O113" s="373"/>
    </row>
    <row r="114" spans="2:15">
      <c r="B114" s="261"/>
      <c r="C114" s="261"/>
      <c r="D114" s="261"/>
      <c r="E114" s="261"/>
      <c r="F114" s="261"/>
      <c r="G114" s="261"/>
      <c r="H114" s="261"/>
      <c r="I114" s="261"/>
      <c r="J114" s="261" t="s">
        <v>258</v>
      </c>
      <c r="K114" s="261"/>
      <c r="L114" s="512">
        <f>SUM($AA$60:$AA$68)</f>
        <v>125207807</v>
      </c>
      <c r="M114" s="261"/>
      <c r="N114" s="264"/>
      <c r="O114" s="373"/>
    </row>
    <row r="115" spans="2:15">
      <c r="B115" s="261"/>
      <c r="C115" s="261"/>
      <c r="D115" s="261"/>
      <c r="E115" s="261"/>
      <c r="F115" s="261"/>
      <c r="G115" s="261"/>
      <c r="H115" s="261"/>
      <c r="I115" s="261"/>
      <c r="J115" s="261" t="s">
        <v>597</v>
      </c>
      <c r="K115" s="261"/>
      <c r="L115" s="512">
        <f>$R$77</f>
        <v>26982326</v>
      </c>
      <c r="M115" s="261"/>
      <c r="N115" s="264"/>
      <c r="O115" s="373"/>
    </row>
    <row r="116" spans="2:15">
      <c r="B116" s="261"/>
      <c r="C116" s="261"/>
      <c r="D116" s="261"/>
      <c r="E116" s="261"/>
      <c r="F116" s="261"/>
      <c r="G116" s="261"/>
      <c r="H116" s="261"/>
      <c r="I116" s="261"/>
      <c r="J116" s="261" t="s">
        <v>597</v>
      </c>
      <c r="K116" s="261"/>
      <c r="L116" s="512">
        <f>$R$80</f>
        <v>23460142</v>
      </c>
      <c r="M116" s="261"/>
      <c r="N116" s="264"/>
      <c r="O116" s="373"/>
    </row>
    <row r="117" spans="2:15">
      <c r="B117" s="261"/>
      <c r="C117" s="261"/>
      <c r="D117" s="261"/>
      <c r="E117" s="261"/>
      <c r="F117" s="261"/>
      <c r="G117" s="261"/>
      <c r="H117" s="261"/>
      <c r="I117" s="261"/>
      <c r="J117" s="261" t="s">
        <v>1231</v>
      </c>
      <c r="K117" s="261"/>
      <c r="L117" s="1008">
        <f>VLOOKUP(B2,Names!B5:$C$87,2,FALSE)</f>
        <v>9651</v>
      </c>
      <c r="M117" s="261"/>
      <c r="N117" s="264"/>
      <c r="O117" s="373"/>
    </row>
    <row r="118" spans="2:15">
      <c r="B118" s="261"/>
      <c r="C118" s="261"/>
      <c r="D118" s="261"/>
      <c r="E118" s="261"/>
      <c r="F118" s="261"/>
      <c r="G118" s="261"/>
      <c r="H118" s="261"/>
      <c r="I118" s="261"/>
      <c r="J118" s="261"/>
      <c r="K118" s="261"/>
      <c r="L118" s="373">
        <f>SUM(L106:L117)</f>
        <v>631789809</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V56:V59"/>
    <mergeCell ref="W56:W59"/>
    <mergeCell ref="G59:K59"/>
    <mergeCell ref="AA56:AA59"/>
    <mergeCell ref="Z55:AB55"/>
    <mergeCell ref="R56:R59"/>
    <mergeCell ref="O55:R55"/>
    <mergeCell ref="T55:X55"/>
    <mergeCell ref="X56:X59"/>
    <mergeCell ref="AB56:AB59"/>
    <mergeCell ref="Z56:Z59"/>
    <mergeCell ref="B2:F2"/>
    <mergeCell ref="B3:F3"/>
    <mergeCell ref="B4:F4"/>
    <mergeCell ref="B6:M6"/>
    <mergeCell ref="P4:Q4"/>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s>
  <conditionalFormatting sqref="U87:X88 O88:Q88">
    <cfRule type="cellIs" dxfId="918" priority="239" stopIfTrue="1" operator="notEqual">
      <formula>#REF!</formula>
    </cfRule>
  </conditionalFormatting>
  <conditionalFormatting sqref="P70">
    <cfRule type="expression" dxfId="917" priority="218">
      <formula>$P$69&lt;&gt;$M$69</formula>
    </cfRule>
  </conditionalFormatting>
  <conditionalFormatting sqref="AB72">
    <cfRule type="expression" dxfId="916" priority="217">
      <formula>$AB$71&lt;&gt;0</formula>
    </cfRule>
  </conditionalFormatting>
  <conditionalFormatting sqref="P71">
    <cfRule type="expression" dxfId="915" priority="216">
      <formula>P69-INT(P69)</formula>
    </cfRule>
  </conditionalFormatting>
  <conditionalFormatting sqref="V70">
    <cfRule type="expression" dxfId="914" priority="214">
      <formula>X68-INT(X68)</formula>
    </cfRule>
  </conditionalFormatting>
  <conditionalFormatting sqref="O12">
    <cfRule type="expression" dxfId="913" priority="205">
      <formula>$P$12&lt;&gt;$M$12</formula>
    </cfRule>
  </conditionalFormatting>
  <conditionalFormatting sqref="U87:U88 O88:Q88">
    <cfRule type="cellIs" dxfId="912" priority="198" stopIfTrue="1" operator="notEqual">
      <formula>#REF!</formula>
    </cfRule>
  </conditionalFormatting>
  <conditionalFormatting sqref="R84">
    <cfRule type="expression" priority="196" stopIfTrue="1">
      <formula>$M$85&lt;0</formula>
    </cfRule>
    <cfRule type="expression" dxfId="911" priority="197">
      <formula>$S$85&lt;&gt;0</formula>
    </cfRule>
  </conditionalFormatting>
  <conditionalFormatting sqref="R80 R77">
    <cfRule type="expression" dxfId="910" priority="194" stopIfTrue="1">
      <formula>$M$85&gt;=0</formula>
    </cfRule>
    <cfRule type="expression" priority="195">
      <formula>$M$85&lt;0</formula>
    </cfRule>
  </conditionalFormatting>
  <conditionalFormatting sqref="U87:U88 O88:Q88">
    <cfRule type="cellIs" dxfId="909" priority="193" stopIfTrue="1" operator="notEqual">
      <formula>#REF!</formula>
    </cfRule>
  </conditionalFormatting>
  <conditionalFormatting sqref="O13">
    <cfRule type="expression" dxfId="908" priority="177">
      <formula>$P$13&lt;&gt;$M$13</formula>
    </cfRule>
  </conditionalFormatting>
  <conditionalFormatting sqref="U87:U88 O88:Q88">
    <cfRule type="cellIs" dxfId="907" priority="176" stopIfTrue="1" operator="notEqual">
      <formula>#REF!</formula>
    </cfRule>
  </conditionalFormatting>
  <conditionalFormatting sqref="Q36">
    <cfRule type="expression" dxfId="906" priority="27">
      <formula>#REF!&lt;&gt;#REF!</formula>
    </cfRule>
  </conditionalFormatting>
  <conditionalFormatting sqref="R35">
    <cfRule type="expression" dxfId="905" priority="26">
      <formula>#REF!&lt;&gt;0</formula>
    </cfRule>
  </conditionalFormatting>
  <conditionalFormatting sqref="Q35">
    <cfRule type="expression" dxfId="904" priority="25">
      <formula>#REF!&lt;&gt;0</formula>
    </cfRule>
  </conditionalFormatting>
  <conditionalFormatting sqref="R36">
    <cfRule type="expression" dxfId="903" priority="24">
      <formula>#REF!&lt;&gt;#REF!</formula>
    </cfRule>
  </conditionalFormatting>
  <conditionalFormatting sqref="D93:M98 T94:T95 R90:S95 U87:X93 T90:T92 Y90:Y95 O88:O92 P88:Q93">
    <cfRule type="cellIs" dxfId="902" priority="23" stopIfTrue="1" operator="notEqual">
      <formula>#REF!</formula>
    </cfRule>
  </conditionalFormatting>
  <conditionalFormatting sqref="P70">
    <cfRule type="expression" dxfId="901" priority="22">
      <formula>$P$69&lt;&gt;$M$69</formula>
    </cfRule>
  </conditionalFormatting>
  <conditionalFormatting sqref="AB72">
    <cfRule type="expression" dxfId="900" priority="21">
      <formula>$AB$71&lt;&gt;0</formula>
    </cfRule>
  </conditionalFormatting>
  <conditionalFormatting sqref="P71">
    <cfRule type="expression" dxfId="899" priority="20">
      <formula>P69-INT(P69)</formula>
    </cfRule>
  </conditionalFormatting>
  <conditionalFormatting sqref="V70">
    <cfRule type="expression" dxfId="898" priority="19">
      <formula>X68-INT(X68)</formula>
    </cfRule>
  </conditionalFormatting>
  <conditionalFormatting sqref="O12">
    <cfRule type="expression" dxfId="897" priority="18">
      <formula>$P$12&lt;&gt;$M$12</formula>
    </cfRule>
  </conditionalFormatting>
  <conditionalFormatting sqref="T94:T95 R90:S95 U87:U93 T90:T92 O88:O92 P88:Q93">
    <cfRule type="cellIs" dxfId="896" priority="16" stopIfTrue="1" operator="notEqual">
      <formula>#REF!</formula>
    </cfRule>
  </conditionalFormatting>
  <conditionalFormatting sqref="R84">
    <cfRule type="expression" priority="14" stopIfTrue="1">
      <formula>$M$85&lt;0</formula>
    </cfRule>
    <cfRule type="expression" dxfId="895" priority="15">
      <formula>$S$85&lt;&gt;0</formula>
    </cfRule>
  </conditionalFormatting>
  <conditionalFormatting sqref="R80 R77">
    <cfRule type="expression" dxfId="894" priority="12" stopIfTrue="1">
      <formula>$M$85&gt;=0</formula>
    </cfRule>
    <cfRule type="expression" priority="13">
      <formula>$M$85&lt;0</formula>
    </cfRule>
  </conditionalFormatting>
  <conditionalFormatting sqref="U87:U88 R89:U92 O88:Q92">
    <cfRule type="cellIs" dxfId="893" priority="11" stopIfTrue="1" operator="notEqual">
      <formula>#REF!</formula>
    </cfRule>
  </conditionalFormatting>
  <conditionalFormatting sqref="M101">
    <cfRule type="expression" dxfId="892" priority="10">
      <formula>$M$101&lt;&gt;0</formula>
    </cfRule>
  </conditionalFormatting>
  <conditionalFormatting sqref="M102">
    <cfRule type="expression" dxfId="891" priority="9">
      <formula>$M$93&lt;&gt;$M$100</formula>
    </cfRule>
  </conditionalFormatting>
  <conditionalFormatting sqref="U87:U92 R90:T92 O88:Q92">
    <cfRule type="cellIs" dxfId="890" priority="8" stopIfTrue="1" operator="notEqual">
      <formula>#REF!</formula>
    </cfRule>
  </conditionalFormatting>
  <conditionalFormatting sqref="T89:U89 Q91 T90 O89:O90 P89:Q89 R89:S91">
    <cfRule type="cellIs" dxfId="889" priority="7" stopIfTrue="1" operator="notEqual">
      <formula>#REF!</formula>
    </cfRule>
  </conditionalFormatting>
  <conditionalFormatting sqref="Q36">
    <cfRule type="expression" dxfId="888" priority="6">
      <formula>#REF!&lt;&gt;#REF!</formula>
    </cfRule>
  </conditionalFormatting>
  <conditionalFormatting sqref="R35">
    <cfRule type="expression" dxfId="887" priority="5">
      <formula>#REF!&lt;&gt;0</formula>
    </cfRule>
  </conditionalFormatting>
  <conditionalFormatting sqref="Q35">
    <cfRule type="expression" dxfId="886" priority="4">
      <formula>#REF!&lt;&gt;0</formula>
    </cfRule>
  </conditionalFormatting>
  <conditionalFormatting sqref="R36">
    <cfRule type="expression" dxfId="885" priority="3">
      <formula>#REF!&lt;&gt;#REF!</formula>
    </cfRule>
  </conditionalFormatting>
  <conditionalFormatting sqref="G59:K59">
    <cfRule type="expression" dxfId="884" priority="1">
      <formula>OR($P$105&gt;0,$P$106&lt;&gt;0,$P$107&lt;&gt;0)</formula>
    </cfRule>
  </conditionalFormatting>
  <hyperlinks>
    <hyperlink ref="O2" location="Index!A1" display="Return to Index" xr:uid="{00000000-0004-0000-5300-000000000000}"/>
  </hyperlinks>
  <printOptions horizontalCentered="1"/>
  <pageMargins left="0.5" right="0.5" top="0.25" bottom="0.25" header="0" footer="0.25"/>
  <pageSetup scale="10"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70"/>
  <dimension ref="A1:G30"/>
  <sheetViews>
    <sheetView showGridLines="0" zoomScale="80" zoomScaleNormal="80" workbookViewId="0">
      <selection activeCell="E74" sqref="E74:F74"/>
    </sheetView>
  </sheetViews>
  <sheetFormatPr defaultColWidth="9.140625" defaultRowHeight="12.75"/>
  <cols>
    <col min="1" max="1" width="7" style="53" customWidth="1"/>
    <col min="2" max="2" width="93.140625" style="53" customWidth="1"/>
    <col min="3" max="3" width="20.42578125" style="53" customWidth="1"/>
    <col min="4" max="9" width="9.140625" style="53"/>
    <col min="10" max="10" width="14.85546875" style="53" customWidth="1"/>
    <col min="11" max="16384" width="9.140625" style="53"/>
  </cols>
  <sheetData>
    <row r="1" spans="2:6" ht="18.75" thickBot="1">
      <c r="B1" s="466" t="str">
        <f>'TAMIU Chrts'!$A$1</f>
        <v>Texas A&amp;M International University</v>
      </c>
      <c r="C1" s="835" t="s">
        <v>1200</v>
      </c>
    </row>
    <row r="2" spans="2:6">
      <c r="B2" s="393" t="str">
        <f>'Smmy Chrts'!$A$2</f>
        <v>For the Year Ended August 31, 2021</v>
      </c>
    </row>
    <row r="3" spans="2:6">
      <c r="B3" s="393" t="str">
        <f>'Smmy Chrts'!$A$3</f>
        <v>Source: FY 2021 Annual Financial Report</v>
      </c>
    </row>
    <row r="5" spans="2:6" customFormat="1">
      <c r="B5" s="529" t="s">
        <v>705</v>
      </c>
    </row>
    <row r="6" spans="2:6" customFormat="1">
      <c r="B6" s="530"/>
    </row>
    <row r="7" spans="2:6" customFormat="1" ht="226.5" customHeight="1">
      <c r="B7" s="531" t="s">
        <v>706</v>
      </c>
      <c r="C7" s="532"/>
    </row>
    <row r="8" spans="2:6" customFormat="1" ht="263.25" customHeight="1">
      <c r="B8" s="531" t="s">
        <v>707</v>
      </c>
    </row>
    <row r="9" spans="2:6" ht="64.5" customHeight="1">
      <c r="B9" s="533" t="str">
        <f>IF('TAMIU FGD'!$R$76="N/A","FN11.  N/A",$B$20&amp;$B$21&amp;$B$22&amp;$B$23&amp;$B$24&amp;$B$25&amp;$B$26&amp;$B$27&amp;$B$28&amp;$B$29&amp;$B$30)</f>
        <v>FN11: Of the net increase of $91,972,982 approximately $27.0 million represents revenues received but not yet expended. This income is fully committed to program expenditures and capital disbursements. The remaining $65.0 million represents non-expendable funds from unrealized gains and additions to permanent endowments of approximately $23.5 million and $41.5 million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TEXT(IF('TAMIU FGD'!$M$85&lt;0,"N/A",'TAMIU FGD'!$M$85),"$* #,##0;$* (#,##0)")</f>
        <v>$91,972,982</v>
      </c>
      <c r="C21" s="480"/>
      <c r="D21" s="480"/>
      <c r="E21" s="480"/>
      <c r="G21" s="105"/>
    </row>
    <row r="22" spans="1:7">
      <c r="B22" s="105" t="s">
        <v>682</v>
      </c>
    </row>
    <row r="23" spans="1:7">
      <c r="A23" s="53">
        <v>61</v>
      </c>
      <c r="B23" s="515" t="str">
        <f>IF(ABS('TAMIU FGD'!$R$77)&gt;=1000000,TEXT('TAMIU FGD'!$R$77/1000000,"$* #,##0.0;$* (#,##0.0)")&amp;" million",IF(ABS('TAMIU FGD'!$R$77)&lt;1000,TEXT('TAMIU FGD'!$R$77,"$* #,##0;$* (#,##0)"),TEXT('TAMIU FGD'!$R$77/1000,"$* #,##0;$* (#,##0)")&amp;" thousand"))</f>
        <v>$27.0 million</v>
      </c>
      <c r="C23" s="515"/>
      <c r="E23" s="515"/>
    </row>
    <row r="24" spans="1:7">
      <c r="B24" s="105" t="s">
        <v>708</v>
      </c>
    </row>
    <row r="25" spans="1:7">
      <c r="A25" s="53">
        <v>62</v>
      </c>
      <c r="B25" s="515" t="str">
        <f>IF(ABS('TAMIU FGD'!$R$78)&gt;=1000000,TEXT('TAMIU FGD'!$R$78/1000000,"$* #,##0.0;$* (#,##0.0)")&amp;" million",IF(ABS('TAMIU FGD'!$R$78)&lt;1000,TEXT('TAMIU FGD'!$R$78,"$* #,##0;$* (#,##0)"),TEXT('TAMIU FGD'!$R$78/1000,"$* #,##0;$* (#,##0)")&amp;" thousand"))</f>
        <v>$65.0 million</v>
      </c>
      <c r="C25" s="515"/>
      <c r="E25" s="515"/>
    </row>
    <row r="26" spans="1:7">
      <c r="B26" s="105" t="s">
        <v>683</v>
      </c>
    </row>
    <row r="27" spans="1:7">
      <c r="A27" s="53">
        <v>64</v>
      </c>
      <c r="B27" s="515" t="str">
        <f>IF(ABS('TAMIU FGD'!$R$80)&gt;=1000000,TEXT('TAMIU FGD'!$R$80/1000000,"$* #,##0.0;$* (#,##0.0)")&amp;" million",IF(ABS('TAMIU FGD'!$R$80)&lt;1000,TEXT('TAMIU FGD'!$R$80,"$* #,##0;$* (#,##0)"),TEXT('TAMIU FGD'!$R$80/1000,"$* #,##0;$* (#,##0)")&amp;" thousand"))</f>
        <v>$23.5 million</v>
      </c>
      <c r="C27" s="515"/>
      <c r="E27" s="515"/>
    </row>
    <row r="28" spans="1:7">
      <c r="B28" s="105" t="s">
        <v>684</v>
      </c>
    </row>
    <row r="29" spans="1:7">
      <c r="A29" s="53">
        <v>66</v>
      </c>
      <c r="B29" s="515" t="str">
        <f>IF(ABS('TAMIU FGD'!$R$82)&gt;=1000000,TEXT('TAMIU FGD'!$R$82/1000000,"$* #,##0.0;$* (#,##0.0)")&amp;" million",IF(ABS('TAMIU FGD'!$R$82)&lt;1000,TEXT('TAMIU FGD'!$R$82,"$* #,##0;$* (#,##0)"),TEXT('TAMIU FGD'!$R$82/1000,"$* #,##0;$* (#,##0)")&amp;" thousand"))</f>
        <v>$41.5 million</v>
      </c>
      <c r="C29" s="515"/>
      <c r="E29" s="515"/>
    </row>
    <row r="30" spans="1:7">
      <c r="B30" s="105" t="s">
        <v>709</v>
      </c>
    </row>
  </sheetData>
  <hyperlinks>
    <hyperlink ref="C1" location="Index!A1" display="Return to Index" xr:uid="{00000000-0004-0000-5400-000000000000}"/>
  </hyperlinks>
  <pageMargins left="0.25" right="0.25" top="0.25" bottom="0.25" header="0" footer="0.25"/>
  <pageSetup orientation="portrait"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71">
    <tabColor indexed="47"/>
    <pageSetUpPr fitToPage="1"/>
  </sheetPr>
  <dimension ref="A1:E165"/>
  <sheetViews>
    <sheetView showGridLines="0" zoomScale="65" zoomScaleNormal="65" zoomScaleSheetLayoutView="65" workbookViewId="0">
      <selection activeCell="C32" sqref="C32"/>
    </sheetView>
  </sheetViews>
  <sheetFormatPr defaultColWidth="9.140625" defaultRowHeight="12.75" customHeight="1"/>
  <cols>
    <col min="1" max="1" width="158.7109375" style="53" customWidth="1"/>
    <col min="2" max="2" width="22.5703125" style="53" customWidth="1"/>
    <col min="3" max="3" width="54.7109375" style="53" customWidth="1"/>
    <col min="4" max="4" width="20.7109375" style="53" customWidth="1"/>
    <col min="5" max="5" width="9.140625" style="679"/>
    <col min="6" max="16384" width="9.140625" style="53"/>
  </cols>
  <sheetData>
    <row r="1" spans="1:5" ht="28.5" thickBot="1">
      <c r="A1" s="159" t="s">
        <v>112</v>
      </c>
      <c r="B1" s="835" t="s">
        <v>1200</v>
      </c>
      <c r="C1" s="53" t="s">
        <v>1329</v>
      </c>
    </row>
    <row r="2" spans="1:5" ht="27.75">
      <c r="A2" s="54" t="str">
        <f>'Smmy Chrts'!$A$2</f>
        <v>For the Year Ended August 31, 2021</v>
      </c>
      <c r="C2" s="55" t="s">
        <v>63</v>
      </c>
    </row>
    <row r="3" spans="1:5" ht="27.75">
      <c r="A3" s="54" t="str">
        <f>'Smmy Chrts'!$A$3</f>
        <v>Source: FY 2021 Annual Financial Report</v>
      </c>
      <c r="C3" s="53" t="s">
        <v>64</v>
      </c>
    </row>
    <row r="4" spans="1:5" ht="12.75" customHeight="1">
      <c r="C4" s="53" t="s">
        <v>267</v>
      </c>
    </row>
    <row r="5" spans="1:5" ht="12.75" customHeight="1">
      <c r="C5" s="53" t="s">
        <v>268</v>
      </c>
    </row>
    <row r="7" spans="1:5" ht="12.75" customHeight="1">
      <c r="C7" s="1687" t="s">
        <v>25</v>
      </c>
      <c r="D7" s="1687"/>
    </row>
    <row r="8" spans="1:5" ht="12.75" customHeight="1">
      <c r="C8" s="57"/>
      <c r="D8" s="58"/>
    </row>
    <row r="9" spans="1:5" ht="12.75" customHeight="1">
      <c r="C9" s="59" t="str">
        <f>'WTAMU Sum'!A9</f>
        <v>State of Texas</v>
      </c>
      <c r="D9" s="60">
        <f>'WTAMU Sum'!B15</f>
        <v>54496990</v>
      </c>
      <c r="E9" s="680">
        <f>ROUND(D9/$D$14,3)</f>
        <v>0.28599999999999998</v>
      </c>
    </row>
    <row r="10" spans="1:5" ht="12.75" customHeight="1">
      <c r="C10" s="59" t="str">
        <f>'WTAMU Sum'!A17</f>
        <v>Student &amp; Parent</v>
      </c>
      <c r="D10" s="60">
        <f>'WTAMU Sum'!B20</f>
        <v>61182029</v>
      </c>
      <c r="E10" s="680">
        <f t="shared" ref="E10:E12" si="0">ROUND(D10/$D$14,3)</f>
        <v>0.32100000000000001</v>
      </c>
    </row>
    <row r="11" spans="1:5" ht="12.75" customHeight="1">
      <c r="C11" s="59" t="str">
        <f>'WTAMU Sum'!A22</f>
        <v>Federal Government</v>
      </c>
      <c r="D11" s="60">
        <f>'WTAMU Sum'!B23</f>
        <v>34173176</v>
      </c>
      <c r="E11" s="680">
        <f t="shared" si="0"/>
        <v>0.17899999999999999</v>
      </c>
    </row>
    <row r="12" spans="1:5" ht="12.75" customHeight="1">
      <c r="C12" s="59" t="str">
        <f>'WTAMU Sum'!A25</f>
        <v>Institutional Resources</v>
      </c>
      <c r="D12" s="60">
        <f>'WTAMU Sum'!B32</f>
        <v>40971933</v>
      </c>
      <c r="E12" s="680">
        <f t="shared" si="0"/>
        <v>0.215</v>
      </c>
    </row>
    <row r="13" spans="1:5" ht="12.75" customHeight="1">
      <c r="C13" s="57"/>
      <c r="D13" s="58"/>
      <c r="E13" s="680"/>
    </row>
    <row r="14" spans="1:5" ht="12.75" customHeight="1">
      <c r="C14" s="61" t="s">
        <v>68</v>
      </c>
      <c r="D14" s="62">
        <f>SUM(D9:D13)</f>
        <v>190824128</v>
      </c>
      <c r="E14" s="680">
        <f>SUM(E9:E13)</f>
        <v>1.0010000000000001</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86" t="str">
        <f>C14&amp;" "&amp;TEXT(D14,"$#,###")</f>
        <v>Total Operating Sources $190,824,128</v>
      </c>
    </row>
    <row r="48" spans="1:1" ht="12.75" customHeight="1">
      <c r="A48" s="1686"/>
    </row>
    <row r="49" spans="1:5" ht="12.75" customHeight="1">
      <c r="A49" s="56"/>
    </row>
    <row r="52" spans="1:5" ht="12.75" customHeight="1">
      <c r="C52" s="63" t="s">
        <v>25</v>
      </c>
      <c r="D52" s="58"/>
    </row>
    <row r="54" spans="1:5" ht="12.75" customHeight="1">
      <c r="C54" s="59" t="s">
        <v>1</v>
      </c>
      <c r="D54" s="60">
        <f>'WTAMU Sum'!B10</f>
        <v>41246915</v>
      </c>
      <c r="E54" s="680">
        <f>ROUND(D54/$D$67,3)</f>
        <v>0.216</v>
      </c>
    </row>
    <row r="55" spans="1:5" ht="12.75" customHeight="1">
      <c r="C55" s="59" t="s">
        <v>221</v>
      </c>
      <c r="D55" s="60">
        <f>'WTAMU Sum'!B11</f>
        <v>5803580</v>
      </c>
      <c r="E55" s="680">
        <f t="shared" ref="E55:E66" si="1">ROUND(D55/$D$67,3)</f>
        <v>0.03</v>
      </c>
    </row>
    <row r="56" spans="1:5" ht="12.75" customHeight="1">
      <c r="C56" s="59"/>
      <c r="D56" s="60"/>
      <c r="E56" s="680"/>
    </row>
    <row r="57" spans="1:5" ht="12.75" customHeight="1">
      <c r="C57" s="59" t="str">
        <f>'WTAMU Sum'!A13</f>
        <v>Higher Education Fund</v>
      </c>
      <c r="D57" s="60">
        <f>'WTAMU Sum'!B13</f>
        <v>7446495</v>
      </c>
      <c r="E57" s="680">
        <f t="shared" si="1"/>
        <v>3.9E-2</v>
      </c>
    </row>
    <row r="58" spans="1:5" ht="12.75" customHeight="1">
      <c r="C58" s="1069" t="s">
        <v>41</v>
      </c>
      <c r="D58" s="60">
        <f>'WTAMU Sum'!B14</f>
        <v>0</v>
      </c>
      <c r="E58" s="680">
        <f t="shared" si="1"/>
        <v>0</v>
      </c>
    </row>
    <row r="59" spans="1:5" ht="12.75" customHeight="1">
      <c r="C59" s="59" t="s">
        <v>87</v>
      </c>
      <c r="D59" s="60">
        <f>'WTAMU Sum'!B20</f>
        <v>61182029</v>
      </c>
      <c r="E59" s="680">
        <f t="shared" si="1"/>
        <v>0.32100000000000001</v>
      </c>
    </row>
    <row r="60" spans="1:5" ht="12.75" customHeight="1">
      <c r="C60" s="64" t="s">
        <v>74</v>
      </c>
      <c r="D60" s="60">
        <f>'WTAMU Sum'!B23</f>
        <v>34173176</v>
      </c>
      <c r="E60" s="680">
        <f t="shared" si="1"/>
        <v>0.17899999999999999</v>
      </c>
    </row>
    <row r="61" spans="1:5" ht="12.75" customHeight="1">
      <c r="C61" s="59" t="s">
        <v>75</v>
      </c>
      <c r="D61" s="60">
        <f>'WTAMU Sum'!B26</f>
        <v>7755605</v>
      </c>
      <c r="E61" s="680">
        <f t="shared" si="1"/>
        <v>4.1000000000000002E-2</v>
      </c>
    </row>
    <row r="62" spans="1:5" ht="12.75" customHeight="1">
      <c r="C62" s="1069" t="s">
        <v>27</v>
      </c>
      <c r="D62" s="60">
        <f>'WTAMU Sum'!B27</f>
        <v>0</v>
      </c>
      <c r="E62" s="680">
        <f t="shared" si="1"/>
        <v>0</v>
      </c>
    </row>
    <row r="63" spans="1:5" ht="12.75" customHeight="1">
      <c r="C63" s="59" t="s">
        <v>76</v>
      </c>
      <c r="D63" s="60">
        <f>'WTAMU Sum'!B28</f>
        <v>8365113</v>
      </c>
      <c r="E63" s="680">
        <f t="shared" si="1"/>
        <v>4.3999999999999997E-2</v>
      </c>
    </row>
    <row r="64" spans="1:5" ht="12.75" customHeight="1">
      <c r="C64" s="59" t="s">
        <v>77</v>
      </c>
      <c r="D64" s="60">
        <f>'WTAMU Sum'!B29</f>
        <v>11732350</v>
      </c>
      <c r="E64" s="680">
        <f t="shared" si="1"/>
        <v>6.0999999999999999E-2</v>
      </c>
    </row>
    <row r="65" spans="1:5" ht="12.75" customHeight="1">
      <c r="C65" s="59" t="s">
        <v>220</v>
      </c>
      <c r="D65" s="60">
        <f>'WTAMU Sum'!B30</f>
        <v>12079249</v>
      </c>
      <c r="E65" s="680">
        <f t="shared" si="1"/>
        <v>6.3E-2</v>
      </c>
    </row>
    <row r="66" spans="1:5" ht="12.75" customHeight="1">
      <c r="C66" s="64" t="s">
        <v>52</v>
      </c>
      <c r="D66" s="967">
        <f>'WTAMU Sum'!B31</f>
        <v>1039616</v>
      </c>
      <c r="E66" s="680">
        <f t="shared" si="1"/>
        <v>5.0000000000000001E-3</v>
      </c>
    </row>
    <row r="67" spans="1:5" ht="12.75" customHeight="1">
      <c r="C67" s="61" t="s">
        <v>68</v>
      </c>
      <c r="D67" s="62">
        <f>SUM(D54:D66)</f>
        <v>190824128</v>
      </c>
      <c r="E67" s="681">
        <f>SUM(E54:E66)</f>
        <v>0.999</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86" t="str">
        <f>C67&amp;" "&amp;TEXT(D67,"$#,###")</f>
        <v>Total Operating Sources $190,824,128</v>
      </c>
    </row>
    <row r="93" spans="1:5" ht="12.75" customHeight="1">
      <c r="A93" s="1686"/>
    </row>
    <row r="94" spans="1:5" ht="12.75" customHeight="1">
      <c r="A94" s="65"/>
    </row>
    <row r="95" spans="1:5" s="68" customFormat="1" ht="12.75" customHeight="1">
      <c r="A95" s="66"/>
      <c r="E95" s="682"/>
    </row>
    <row r="96" spans="1:5" ht="12.75" customHeight="1">
      <c r="A96" s="65"/>
    </row>
    <row r="97" spans="1:5" ht="12.75" customHeight="1">
      <c r="A97" s="65"/>
    </row>
    <row r="98" spans="1:5" ht="12.75" customHeight="1">
      <c r="A98" s="65"/>
    </row>
    <row r="100" spans="1:5" ht="12.75" customHeight="1">
      <c r="C100" s="1687" t="s">
        <v>13</v>
      </c>
      <c r="D100" s="1687"/>
    </row>
    <row r="101" spans="1:5" ht="12.75" customHeight="1">
      <c r="C101" s="1687"/>
      <c r="D101" s="1687"/>
    </row>
    <row r="102" spans="1:5" ht="12.75" customHeight="1">
      <c r="C102" s="69" t="s">
        <v>14</v>
      </c>
      <c r="D102" s="60">
        <f>'WTAMU Sum'!B36</f>
        <v>42446932</v>
      </c>
      <c r="E102" s="680">
        <f>ROUND(D102/$D$114,3)</f>
        <v>0.27400000000000002</v>
      </c>
    </row>
    <row r="103" spans="1:5" ht="12.75" customHeight="1">
      <c r="C103" s="69" t="s">
        <v>15</v>
      </c>
      <c r="D103" s="60">
        <f>'WTAMU Sum'!B37</f>
        <v>7693680</v>
      </c>
      <c r="E103" s="680">
        <f t="shared" ref="E103:E112" si="2">ROUND(D103/$D$114,3)</f>
        <v>0.05</v>
      </c>
    </row>
    <row r="104" spans="1:5" ht="12.75" customHeight="1">
      <c r="C104" s="69" t="s">
        <v>16</v>
      </c>
      <c r="D104" s="60">
        <f>'WTAMU Sum'!B38</f>
        <v>4034086</v>
      </c>
      <c r="E104" s="680">
        <f t="shared" si="2"/>
        <v>2.5999999999999999E-2</v>
      </c>
    </row>
    <row r="105" spans="1:5" ht="12.75" customHeight="1">
      <c r="C105" s="69" t="s">
        <v>17</v>
      </c>
      <c r="D105" s="60">
        <f>'WTAMU Sum'!B39</f>
        <v>16987660</v>
      </c>
      <c r="E105" s="680">
        <f t="shared" si="2"/>
        <v>0.109</v>
      </c>
    </row>
    <row r="106" spans="1:5" ht="12.75" customHeight="1">
      <c r="C106" s="69" t="s">
        <v>18</v>
      </c>
      <c r="D106" s="60">
        <f>'WTAMU Sum'!B40</f>
        <v>11154760</v>
      </c>
      <c r="E106" s="680">
        <f t="shared" si="2"/>
        <v>7.1999999999999995E-2</v>
      </c>
    </row>
    <row r="107" spans="1:5" ht="12.75" customHeight="1">
      <c r="C107" s="69" t="s">
        <v>19</v>
      </c>
      <c r="D107" s="60">
        <f>'WTAMU Sum'!B41</f>
        <v>13231196</v>
      </c>
      <c r="E107" s="680">
        <f t="shared" si="2"/>
        <v>8.5000000000000006E-2</v>
      </c>
    </row>
    <row r="108" spans="1:5" ht="12.75" customHeight="1">
      <c r="C108" s="69" t="s">
        <v>78</v>
      </c>
      <c r="D108" s="60">
        <f>'WTAMU Sum'!B42</f>
        <v>19976237</v>
      </c>
      <c r="E108" s="680">
        <f t="shared" si="2"/>
        <v>0.129</v>
      </c>
    </row>
    <row r="109" spans="1:5" ht="12.75" customHeight="1">
      <c r="C109" s="69" t="s">
        <v>79</v>
      </c>
      <c r="D109" s="60">
        <f>'WTAMU Sum'!B43</f>
        <v>16726818</v>
      </c>
      <c r="E109" s="680">
        <f t="shared" si="2"/>
        <v>0.108</v>
      </c>
    </row>
    <row r="110" spans="1:5" ht="12.75" customHeight="1">
      <c r="C110" s="69" t="s">
        <v>22</v>
      </c>
      <c r="D110" s="60">
        <f>'WTAMU Sum'!B44</f>
        <v>19924182</v>
      </c>
      <c r="E110" s="680">
        <f t="shared" si="2"/>
        <v>0.128</v>
      </c>
    </row>
    <row r="111" spans="1:5" ht="12.75" customHeight="1">
      <c r="C111" s="64" t="s">
        <v>29</v>
      </c>
      <c r="D111" s="60">
        <f>'WTAMU Sum'!B45</f>
        <v>2476174</v>
      </c>
      <c r="E111" s="680">
        <f t="shared" si="2"/>
        <v>1.6E-2</v>
      </c>
    </row>
    <row r="112" spans="1:5" ht="12.75" customHeight="1">
      <c r="C112" s="64" t="s">
        <v>53</v>
      </c>
      <c r="D112" s="60">
        <f>'WTAMU Sum'!B46</f>
        <v>537619</v>
      </c>
      <c r="E112" s="680">
        <f t="shared" si="2"/>
        <v>3.0000000000000001E-3</v>
      </c>
    </row>
    <row r="113" spans="3:5" ht="12.75" customHeight="1">
      <c r="C113" s="57"/>
      <c r="D113" s="57"/>
    </row>
    <row r="114" spans="3:5" ht="12.75" customHeight="1">
      <c r="C114" s="70" t="s">
        <v>69</v>
      </c>
      <c r="D114" s="62">
        <f>SUM(D102:D113)</f>
        <v>155189344</v>
      </c>
      <c r="E114" s="681">
        <f>SUM(E102:E113)</f>
        <v>1</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86" t="str">
        <f>C114&amp;" "&amp;TEXT(D114,"$#,###")</f>
        <v>Total Operating Uses $155,189,344</v>
      </c>
    </row>
    <row r="137" spans="1:1" ht="12.75" customHeight="1">
      <c r="A137" s="1686"/>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55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transitionEvaluation="1" transitionEntry="1" codeName="Sheet72">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I8" sqref="I8"/>
    </sheetView>
  </sheetViews>
  <sheetFormatPr defaultColWidth="9.140625"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'WTAMU Chrts'!$A$1</f>
        <v>West Texas A&amp;M University</v>
      </c>
      <c r="B1" s="74"/>
      <c r="C1" s="1"/>
      <c r="D1" s="1704" t="s">
        <v>1200</v>
      </c>
      <c r="E1" s="1705"/>
      <c r="F1" s="1757" t="s">
        <v>1196</v>
      </c>
      <c r="G1" s="1706"/>
      <c r="H1" s="1706"/>
      <c r="I1" s="1706"/>
      <c r="J1" s="1707" t="s">
        <v>1197</v>
      </c>
      <c r="K1" s="1695"/>
      <c r="L1" s="1695"/>
      <c r="M1" s="1695"/>
      <c r="N1" s="1695"/>
      <c r="O1" s="1696"/>
    </row>
    <row r="2" spans="1:15" ht="15.75">
      <c r="A2" s="76" t="str">
        <f>'Smmy Chrts'!$A$2</f>
        <v>For the Year Ended August 31, 2021</v>
      </c>
      <c r="B2" s="74"/>
      <c r="C2" s="1"/>
      <c r="D2" s="37"/>
      <c r="E2" s="37"/>
      <c r="F2" s="37"/>
      <c r="J2" s="37"/>
      <c r="K2" s="37"/>
      <c r="L2" s="37"/>
      <c r="M2" s="37"/>
    </row>
    <row r="3" spans="1:15" ht="15.75">
      <c r="A3" s="76" t="str">
        <f>'Smmy Chrts'!$A$3</f>
        <v>Source: FY 2021 Annual Financial Report</v>
      </c>
      <c r="B3" s="74"/>
      <c r="C3" s="1"/>
    </row>
    <row r="4" spans="1:15" ht="13.5" customHeight="1">
      <c r="B4" s="77"/>
      <c r="C4" s="4"/>
      <c r="D4" s="1711" t="s">
        <v>1142</v>
      </c>
      <c r="E4" s="1711" t="s">
        <v>1143</v>
      </c>
      <c r="F4" s="266"/>
    </row>
    <row r="5" spans="1:15" ht="18">
      <c r="A5" s="39" t="str">
        <f>'Smmy Chrts'!$C$35</f>
        <v>Summary Worksheet FY 2021</v>
      </c>
      <c r="B5" s="40" t="s">
        <v>86</v>
      </c>
      <c r="C5" s="40" t="s">
        <v>129</v>
      </c>
      <c r="D5" s="1712"/>
      <c r="E5" s="1712"/>
      <c r="F5" s="266"/>
      <c r="G5" s="799" t="s">
        <v>1198</v>
      </c>
      <c r="I5" s="822" t="s">
        <v>2157</v>
      </c>
      <c r="J5" s="792" t="s">
        <v>1144</v>
      </c>
    </row>
    <row r="6" spans="1:15" ht="13.5" customHeight="1">
      <c r="A6" s="78" t="s">
        <v>266</v>
      </c>
      <c r="B6" s="41"/>
      <c r="C6" s="42">
        <f>VLOOKUP($A$1,FTSELU,12,FALSE)</f>
        <v>7724.93</v>
      </c>
      <c r="J6" s="712"/>
    </row>
    <row r="7" spans="1:15">
      <c r="I7" s="824" t="s">
        <v>1162</v>
      </c>
      <c r="J7" s="827"/>
    </row>
    <row r="8" spans="1:15">
      <c r="A8" s="81" t="s">
        <v>71</v>
      </c>
      <c r="B8" s="81"/>
      <c r="C8" s="24"/>
      <c r="I8" s="896">
        <f>VLOOKUP(A1,FTSELU,14,FALSE)</f>
        <v>769.66000000000008</v>
      </c>
      <c r="J8" s="712"/>
    </row>
    <row r="9" spans="1:15" ht="12.75" customHeight="1" thickBot="1">
      <c r="A9" s="78" t="s">
        <v>0</v>
      </c>
      <c r="B9" s="82"/>
      <c r="C9" s="7"/>
      <c r="J9" s="712"/>
    </row>
    <row r="10" spans="1:15" ht="12.75" customHeight="1" thickTop="1">
      <c r="A10" s="75" t="s">
        <v>1</v>
      </c>
      <c r="B10" s="83">
        <f>'WTAMU FGD'!M10</f>
        <v>41246915</v>
      </c>
      <c r="C10" s="83">
        <f>ROUND(B10/$C$6,0)</f>
        <v>5339</v>
      </c>
      <c r="D10" s="512">
        <f>'WTAMU FGD'!F10</f>
        <v>0</v>
      </c>
      <c r="E10" s="512"/>
      <c r="F10" s="84">
        <f>B10-(SUM(D10:E10))</f>
        <v>41246915</v>
      </c>
      <c r="G10" s="1143" t="s">
        <v>1</v>
      </c>
      <c r="H10" s="1144"/>
      <c r="I10" s="825" t="s">
        <v>1161</v>
      </c>
      <c r="J10" s="713">
        <f>ROUND(F10/$C$6,0)</f>
        <v>5339</v>
      </c>
    </row>
    <row r="11" spans="1:15" ht="12.75" customHeight="1" thickBot="1">
      <c r="A11" s="75" t="s">
        <v>2</v>
      </c>
      <c r="B11" s="86">
        <f>'WTAMU FGD'!M11</f>
        <v>5803580</v>
      </c>
      <c r="C11" s="87">
        <f t="shared" ref="C11:C14" si="0">ROUND(B11/$C$6,0)</f>
        <v>751</v>
      </c>
      <c r="D11" s="86">
        <f>'WTAMU FGD'!F11</f>
        <v>0</v>
      </c>
      <c r="E11" s="74"/>
      <c r="F11" s="606">
        <f t="shared" ref="F11:F14" si="1">B11-(SUM(D11:E11))</f>
        <v>5803580</v>
      </c>
      <c r="G11" s="1148">
        <f>SUM(F10:F11)</f>
        <v>47050495</v>
      </c>
      <c r="H11" s="715"/>
      <c r="I11" s="1373">
        <f>ROUND($G$11/$C$6,0)</f>
        <v>6091</v>
      </c>
      <c r="J11" s="716">
        <f t="shared" ref="J11:J14" si="2">ROUND(F11/$C$6,0)</f>
        <v>751</v>
      </c>
    </row>
    <row r="12" spans="1:15" ht="12.75" hidden="1" customHeight="1" thickTop="1" thickBot="1">
      <c r="A12" s="75" t="s">
        <v>1410</v>
      </c>
      <c r="B12" s="86"/>
      <c r="C12" s="87"/>
      <c r="D12" s="86"/>
      <c r="E12" s="74"/>
      <c r="F12" s="607"/>
      <c r="J12" s="716"/>
      <c r="O12" s="608"/>
    </row>
    <row r="13" spans="1:15" ht="12.75" customHeight="1" thickTop="1">
      <c r="A13" s="75" t="s">
        <v>1368</v>
      </c>
      <c r="B13" s="86">
        <f>'WTAMU FGD'!M13</f>
        <v>7446495</v>
      </c>
      <c r="C13" s="87">
        <f t="shared" si="0"/>
        <v>964</v>
      </c>
      <c r="D13" s="86">
        <f>'WTAMU FGD'!F13</f>
        <v>0</v>
      </c>
      <c r="E13" s="74"/>
      <c r="F13" s="893">
        <f t="shared" si="1"/>
        <v>7446495</v>
      </c>
      <c r="G13" s="882" t="s">
        <v>81</v>
      </c>
      <c r="H13" s="894"/>
      <c r="I13" s="826" t="s">
        <v>1163</v>
      </c>
      <c r="J13" s="716">
        <f t="shared" si="2"/>
        <v>964</v>
      </c>
    </row>
    <row r="14" spans="1:15" ht="12.75" customHeight="1" thickBot="1">
      <c r="A14" s="75" t="s">
        <v>49</v>
      </c>
      <c r="B14" s="86">
        <f>'WTAMU FGD'!M14</f>
        <v>0</v>
      </c>
      <c r="C14" s="87">
        <f t="shared" si="0"/>
        <v>0</v>
      </c>
      <c r="D14" s="86">
        <f>'WTAMU FGD'!F14</f>
        <v>0</v>
      </c>
      <c r="E14" s="74"/>
      <c r="F14" s="607">
        <f t="shared" si="1"/>
        <v>0</v>
      </c>
      <c r="G14" s="800">
        <f>SUM(F13:F14)</f>
        <v>7446495</v>
      </c>
      <c r="H14" s="895"/>
      <c r="I14" s="1377">
        <f>ROUND($G$11/$I$8,0)</f>
        <v>61132</v>
      </c>
      <c r="J14" s="828">
        <f t="shared" si="2"/>
        <v>0</v>
      </c>
    </row>
    <row r="15" spans="1:15" ht="12.75" customHeight="1" thickTop="1">
      <c r="A15" s="88" t="s">
        <v>3</v>
      </c>
      <c r="B15" s="89">
        <f>SUM(B10:B14)</f>
        <v>54496990</v>
      </c>
      <c r="C15" s="89">
        <f>SUM(C10:C14)</f>
        <v>7054</v>
      </c>
      <c r="D15" s="89">
        <f>SUM(D10:D14)</f>
        <v>0</v>
      </c>
      <c r="E15" s="89">
        <f>SUM(E10:E14)</f>
        <v>0</v>
      </c>
      <c r="F15" s="216">
        <f>SUM(F10:F14)</f>
        <v>54496990</v>
      </c>
      <c r="I15" s="1372"/>
      <c r="J15" s="757">
        <f>SUM(J10:J14)</f>
        <v>7054</v>
      </c>
    </row>
    <row r="16" spans="1:15">
      <c r="B16" s="48"/>
      <c r="C16" s="75"/>
      <c r="J16" s="712"/>
    </row>
    <row r="17" spans="1:31" ht="12.75" customHeight="1">
      <c r="A17" s="78" t="s">
        <v>4</v>
      </c>
      <c r="B17" s="86"/>
      <c r="C17" s="75"/>
      <c r="J17" s="712"/>
    </row>
    <row r="18" spans="1:31">
      <c r="A18" s="75" t="s">
        <v>39</v>
      </c>
      <c r="B18" s="83">
        <f>'WTAMU FGD'!M29</f>
        <v>40439673</v>
      </c>
      <c r="C18" s="83">
        <f t="shared" ref="C18:C19" si="3">ROUND(B18/$C$6,0)</f>
        <v>5235</v>
      </c>
      <c r="D18" s="512">
        <f>'WTAMU FGD'!$F$29</f>
        <v>0</v>
      </c>
      <c r="E18" s="512"/>
      <c r="F18" s="512">
        <f t="shared" ref="F18:F19" si="4">B18-(SUM(D18:E18))</f>
        <v>40439673</v>
      </c>
      <c r="G18" s="337"/>
      <c r="H18" s="337"/>
      <c r="I18" s="337"/>
      <c r="J18" s="713">
        <f>ROUND(F18/$C$6,0)</f>
        <v>5235</v>
      </c>
    </row>
    <row r="19" spans="1:31" ht="13.5" thickBot="1">
      <c r="A19" s="75" t="s">
        <v>40</v>
      </c>
      <c r="B19" s="86">
        <f>'WTAMU FGD'!M42</f>
        <v>20742356</v>
      </c>
      <c r="C19" s="87">
        <f t="shared" si="3"/>
        <v>2685</v>
      </c>
      <c r="D19" s="74">
        <f>'WTAMU FGD'!$F$42</f>
        <v>9564506</v>
      </c>
      <c r="E19" s="74"/>
      <c r="F19" s="74">
        <f t="shared" si="4"/>
        <v>11177850</v>
      </c>
      <c r="G19" s="337"/>
      <c r="H19" s="337"/>
      <c r="I19" s="337"/>
      <c r="J19" s="716">
        <f>ROUND(F19/$C$6,0)</f>
        <v>1447</v>
      </c>
    </row>
    <row r="20" spans="1:31" ht="14.25" thickTop="1" thickBot="1">
      <c r="A20" s="88" t="s">
        <v>5</v>
      </c>
      <c r="B20" s="89">
        <f>SUM(B18:B19)</f>
        <v>61182029</v>
      </c>
      <c r="C20" s="89">
        <f>SUM(C18:C19)</f>
        <v>7920</v>
      </c>
      <c r="D20" s="717">
        <f>SUM(D18:D19)</f>
        <v>9564506</v>
      </c>
      <c r="E20" s="718">
        <f>SUM(E18:E19)</f>
        <v>0</v>
      </c>
      <c r="F20" s="801">
        <f>SUM(F18:F19)</f>
        <v>51617523</v>
      </c>
      <c r="G20" s="720" t="s">
        <v>26</v>
      </c>
      <c r="H20" s="366"/>
      <c r="I20" s="367"/>
      <c r="J20" s="721">
        <f>SUM(J18:J19)</f>
        <v>6682</v>
      </c>
    </row>
    <row r="21" spans="1:31" ht="12.75" customHeight="1" thickTop="1">
      <c r="B21" s="91"/>
      <c r="C21" s="75"/>
      <c r="F21" s="804"/>
      <c r="J21" s="712"/>
    </row>
    <row r="22" spans="1:31" ht="14.25" customHeight="1" thickBot="1">
      <c r="A22" s="78" t="s">
        <v>6</v>
      </c>
      <c r="B22" s="91"/>
      <c r="C22" s="75"/>
      <c r="J22" s="712"/>
    </row>
    <row r="23" spans="1:31" ht="14.25" thickTop="1" thickBot="1">
      <c r="A23" s="88" t="s">
        <v>7</v>
      </c>
      <c r="B23" s="92">
        <f>'WTAMU FGD'!M47</f>
        <v>34173176</v>
      </c>
      <c r="C23" s="89">
        <f t="shared" ref="C23" si="5">ROUND(B23/$C$6,0)</f>
        <v>4424</v>
      </c>
      <c r="D23" s="717">
        <f>'WTAMU FGD'!F47</f>
        <v>0</v>
      </c>
      <c r="E23" s="718"/>
      <c r="F23" s="801">
        <f>B23-(SUM(D23:E23))</f>
        <v>34173176</v>
      </c>
      <c r="G23" s="722" t="s">
        <v>74</v>
      </c>
      <c r="H23" s="366"/>
      <c r="I23" s="367"/>
      <c r="J23" s="756">
        <f>ROUND(F23/$C$6,0)</f>
        <v>4424</v>
      </c>
    </row>
    <row r="24" spans="1:31" ht="13.5" thickTop="1">
      <c r="B24" s="91"/>
      <c r="C24" s="75"/>
      <c r="J24" s="712"/>
    </row>
    <row r="25" spans="1:31">
      <c r="A25" s="78" t="s">
        <v>8</v>
      </c>
      <c r="B25" s="91"/>
      <c r="C25" s="75"/>
      <c r="J25" s="712"/>
    </row>
    <row r="26" spans="1:31">
      <c r="A26" s="75" t="s">
        <v>42</v>
      </c>
      <c r="B26" s="83">
        <f>'WTAMU FGD'!M50</f>
        <v>7755605</v>
      </c>
      <c r="C26" s="83">
        <f t="shared" ref="C26:C31" si="6">ROUND(B26/$C$6,0)</f>
        <v>1004</v>
      </c>
      <c r="D26" s="512">
        <f>'WTAMU FGD'!F50</f>
        <v>0</v>
      </c>
      <c r="E26" s="512"/>
      <c r="F26" s="512">
        <f t="shared" ref="F26:F31" si="7">B26-(SUM(D26:E26))</f>
        <v>7755605</v>
      </c>
      <c r="G26" s="337"/>
      <c r="H26" s="337"/>
      <c r="I26" s="337"/>
      <c r="J26" s="713">
        <f>ROUND(F26/$C$6,0)</f>
        <v>1004</v>
      </c>
    </row>
    <row r="27" spans="1:31">
      <c r="A27" s="75" t="s">
        <v>9</v>
      </c>
      <c r="B27" s="86">
        <f>'WTAMU FGD'!M51</f>
        <v>0</v>
      </c>
      <c r="C27" s="87">
        <f t="shared" si="6"/>
        <v>0</v>
      </c>
      <c r="D27" s="86">
        <f>'WTAMU FGD'!F51</f>
        <v>0</v>
      </c>
      <c r="E27" s="74"/>
      <c r="F27" s="74">
        <f t="shared" si="7"/>
        <v>0</v>
      </c>
      <c r="G27" s="337"/>
      <c r="H27" s="337"/>
      <c r="I27" s="337"/>
      <c r="J27" s="716">
        <f t="shared" ref="J27:J31" si="8">ROUND(F27/$C$6,0)</f>
        <v>0</v>
      </c>
    </row>
    <row r="28" spans="1:31" ht="13.5" thickBot="1">
      <c r="A28" s="75" t="s">
        <v>10</v>
      </c>
      <c r="B28" s="86">
        <f>'WTAMU FGD'!M52</f>
        <v>8365113</v>
      </c>
      <c r="C28" s="87">
        <f t="shared" si="6"/>
        <v>1083</v>
      </c>
      <c r="D28" s="86">
        <f>'WTAMU FGD'!F52</f>
        <v>708255</v>
      </c>
      <c r="E28" s="74"/>
      <c r="F28" s="74">
        <f t="shared" si="7"/>
        <v>7656858</v>
      </c>
      <c r="G28" s="337"/>
      <c r="H28" s="337"/>
      <c r="I28" s="337"/>
      <c r="J28" s="716">
        <f t="shared" si="8"/>
        <v>991</v>
      </c>
    </row>
    <row r="29" spans="1:31" ht="13.5" thickBot="1">
      <c r="A29" s="75" t="s">
        <v>11</v>
      </c>
      <c r="B29" s="86">
        <f>'WTAMU FGD'!M53</f>
        <v>11732350</v>
      </c>
      <c r="C29" s="87">
        <f t="shared" si="6"/>
        <v>1519</v>
      </c>
      <c r="D29" s="86">
        <f>'WTAMU FGD'!F53</f>
        <v>0</v>
      </c>
      <c r="E29" s="74"/>
      <c r="F29" s="74">
        <f t="shared" si="7"/>
        <v>11732350</v>
      </c>
      <c r="G29" s="337"/>
      <c r="H29" s="337"/>
      <c r="I29" s="337"/>
      <c r="J29" s="716">
        <f t="shared" si="8"/>
        <v>1519</v>
      </c>
      <c r="K29" s="1694" t="s">
        <v>1065</v>
      </c>
      <c r="L29" s="1695"/>
      <c r="M29" s="1695"/>
      <c r="N29" s="1695"/>
      <c r="O29" s="1696"/>
    </row>
    <row r="30" spans="1:31" ht="13.5" thickBot="1">
      <c r="A30" s="93" t="s">
        <v>2134</v>
      </c>
      <c r="B30" s="94">
        <f>'WTAMU FGD'!M54</f>
        <v>12079249</v>
      </c>
      <c r="C30" s="87">
        <f t="shared" si="6"/>
        <v>1564</v>
      </c>
      <c r="D30" s="729">
        <f>B30</f>
        <v>12079249</v>
      </c>
      <c r="E30" s="74"/>
      <c r="F30" s="74">
        <f t="shared" si="7"/>
        <v>0</v>
      </c>
      <c r="G30" s="337"/>
      <c r="H30" s="337"/>
      <c r="I30" s="337"/>
      <c r="J30" s="716">
        <f t="shared" si="8"/>
        <v>0</v>
      </c>
      <c r="K30" s="1694" t="s">
        <v>1070</v>
      </c>
      <c r="L30" s="1695"/>
      <c r="M30" s="1695"/>
      <c r="N30" s="1695"/>
      <c r="O30" s="1696"/>
    </row>
    <row r="31" spans="1:31" ht="13.5" customHeight="1" thickBot="1">
      <c r="A31" s="95" t="s">
        <v>43</v>
      </c>
      <c r="B31" s="86">
        <f>'WTAMU FGD'!M55</f>
        <v>1039616</v>
      </c>
      <c r="C31" s="87">
        <f t="shared" si="6"/>
        <v>135</v>
      </c>
      <c r="D31" s="86">
        <f>'WTAMU FGD'!F55</f>
        <v>222430</v>
      </c>
      <c r="E31" s="74"/>
      <c r="F31" s="74">
        <f t="shared" si="7"/>
        <v>817186</v>
      </c>
      <c r="G31" s="35"/>
      <c r="H31" s="35"/>
      <c r="I31" s="38"/>
      <c r="J31" s="716">
        <f t="shared" si="8"/>
        <v>106</v>
      </c>
      <c r="K31" s="1697" t="s">
        <v>1073</v>
      </c>
      <c r="L31" s="1697" t="s">
        <v>1071</v>
      </c>
      <c r="M31" s="1697" t="s">
        <v>1072</v>
      </c>
      <c r="N31" s="1697" t="s">
        <v>1240</v>
      </c>
      <c r="O31" s="1697"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40971933</v>
      </c>
      <c r="C32" s="89">
        <f>SUM(C26:C31)</f>
        <v>5305</v>
      </c>
      <c r="D32" s="723">
        <f>SUM(D26:D31)</f>
        <v>13009934</v>
      </c>
      <c r="E32" s="723">
        <f>SUM(E26:E31)</f>
        <v>0</v>
      </c>
      <c r="F32" s="802">
        <f>SUM(F26:F31)</f>
        <v>27961999</v>
      </c>
      <c r="G32" s="1708" t="s">
        <v>8</v>
      </c>
      <c r="H32" s="1709"/>
      <c r="I32" s="783" t="s">
        <v>1166</v>
      </c>
      <c r="J32" s="725">
        <f>SUM(J26:J31)</f>
        <v>3620</v>
      </c>
      <c r="K32" s="1698"/>
      <c r="L32" s="1698"/>
      <c r="M32" s="1698"/>
      <c r="N32" s="1698" t="s">
        <v>1074</v>
      </c>
      <c r="O32" s="1698" t="s">
        <v>1075</v>
      </c>
    </row>
    <row r="33" spans="1:31" ht="14.25" thickTop="1" thickBot="1">
      <c r="A33" s="97" t="s">
        <v>68</v>
      </c>
      <c r="B33" s="52">
        <f>B15+B20+B23+B32</f>
        <v>190824128</v>
      </c>
      <c r="C33" s="45">
        <f>C15+C20+C23+C32</f>
        <v>24703</v>
      </c>
      <c r="D33" s="52">
        <f>D15+D20+D23+D32</f>
        <v>22574440</v>
      </c>
      <c r="E33" s="52">
        <f>E15+E20+E23+E32</f>
        <v>0</v>
      </c>
      <c r="F33" s="724">
        <f>F15+F20+F23+F32</f>
        <v>168249688</v>
      </c>
      <c r="G33" s="1758" t="s">
        <v>84</v>
      </c>
      <c r="H33" s="1759"/>
      <c r="I33" s="1375">
        <f>ROUND($G$35/$C$6,0)</f>
        <v>20816</v>
      </c>
      <c r="J33" s="726">
        <f>J15+J20+J23+J32</f>
        <v>21780</v>
      </c>
      <c r="K33" s="1698"/>
      <c r="L33" s="1698"/>
      <c r="M33" s="1698"/>
      <c r="N33" s="1698"/>
      <c r="O33" s="1698"/>
    </row>
    <row r="34" spans="1:31" ht="14.25" thickTop="1" thickBot="1">
      <c r="B34" s="98"/>
      <c r="C34" s="75"/>
      <c r="D34" s="337"/>
      <c r="E34" s="337"/>
      <c r="F34" s="337" t="s">
        <v>1199</v>
      </c>
      <c r="G34" s="787">
        <f>G14*-1</f>
        <v>-7446495</v>
      </c>
      <c r="H34" s="337"/>
      <c r="I34" s="783" t="s">
        <v>1167</v>
      </c>
      <c r="J34" s="727"/>
      <c r="K34" s="1699"/>
      <c r="L34" s="1699"/>
      <c r="M34" s="1699"/>
      <c r="N34" s="1699"/>
      <c r="O34" s="1699"/>
    </row>
    <row r="35" spans="1:31" ht="14.25" thickTop="1" thickBot="1">
      <c r="A35" s="81" t="s">
        <v>72</v>
      </c>
      <c r="B35" s="81"/>
      <c r="C35" s="81"/>
      <c r="D35" s="728"/>
      <c r="E35" s="728"/>
      <c r="F35" s="788" t="s">
        <v>1165</v>
      </c>
      <c r="G35" s="803">
        <f>F33+G34</f>
        <v>160803193</v>
      </c>
      <c r="I35" s="1376">
        <f>ROUND($G$35/$I$8,0)</f>
        <v>208928</v>
      </c>
      <c r="K35" s="609"/>
      <c r="L35" s="609"/>
      <c r="M35" s="609"/>
      <c r="N35" s="609"/>
      <c r="O35" s="609"/>
    </row>
    <row r="36" spans="1:31" ht="13.5" thickTop="1">
      <c r="A36" s="99" t="s">
        <v>14</v>
      </c>
      <c r="B36" s="83">
        <f>'WTAMU FGD'!M60</f>
        <v>42446932</v>
      </c>
      <c r="C36" s="83">
        <f t="shared" ref="C36:C46" si="9">ROUND(B36/$C$6,0)</f>
        <v>5495</v>
      </c>
      <c r="D36" s="512">
        <f>'WTAMU FGD'!F60</f>
        <v>0</v>
      </c>
      <c r="E36" s="512"/>
      <c r="F36" s="512">
        <f t="shared" ref="F36:F46" si="10">B36-(SUM(D36:E36))</f>
        <v>42446932</v>
      </c>
      <c r="G36" s="337"/>
      <c r="H36" s="1378" t="s">
        <v>2158</v>
      </c>
      <c r="I36" s="1379">
        <f>ROUND(F36/$C$6,0)</f>
        <v>5495</v>
      </c>
      <c r="J36" s="337" t="s">
        <v>752</v>
      </c>
      <c r="K36" s="512">
        <f>F36</f>
        <v>42446932</v>
      </c>
      <c r="L36" s="512">
        <f>K36</f>
        <v>42446932</v>
      </c>
      <c r="M36" s="512"/>
      <c r="N36" s="512"/>
      <c r="O36" s="512"/>
    </row>
    <row r="37" spans="1:31">
      <c r="A37" s="99" t="s">
        <v>15</v>
      </c>
      <c r="B37" s="86">
        <f>'WTAMU FGD'!M61</f>
        <v>7693680</v>
      </c>
      <c r="C37" s="87">
        <f t="shared" si="9"/>
        <v>996</v>
      </c>
      <c r="D37" s="86">
        <f>'WTAMU FGD'!F61</f>
        <v>0</v>
      </c>
      <c r="E37" s="74"/>
      <c r="F37" s="74">
        <f t="shared" si="10"/>
        <v>7693680</v>
      </c>
      <c r="G37" s="337"/>
      <c r="H37" s="337"/>
      <c r="J37" s="337" t="s">
        <v>1076</v>
      </c>
      <c r="K37" s="373">
        <f>F37</f>
        <v>7693680</v>
      </c>
      <c r="L37" s="373">
        <f>K37</f>
        <v>7693680</v>
      </c>
      <c r="M37" s="373"/>
      <c r="N37" s="373"/>
      <c r="O37" s="373"/>
    </row>
    <row r="38" spans="1:31">
      <c r="A38" s="99" t="s">
        <v>16</v>
      </c>
      <c r="B38" s="86">
        <f>'WTAMU FGD'!M62</f>
        <v>4034086</v>
      </c>
      <c r="C38" s="87">
        <f t="shared" si="9"/>
        <v>522</v>
      </c>
      <c r="D38" s="86">
        <f>'WTAMU FGD'!F62</f>
        <v>0</v>
      </c>
      <c r="E38" s="86">
        <f>B38-D38</f>
        <v>4034086</v>
      </c>
      <c r="F38" s="74">
        <f t="shared" si="10"/>
        <v>0</v>
      </c>
      <c r="G38" s="337"/>
      <c r="H38" s="337"/>
      <c r="I38" s="337"/>
      <c r="J38" s="337" t="s">
        <v>1077</v>
      </c>
      <c r="K38" s="736"/>
      <c r="L38" s="737"/>
      <c r="M38" s="737" t="s">
        <v>1152</v>
      </c>
      <c r="N38" s="737"/>
      <c r="O38" s="738"/>
    </row>
    <row r="39" spans="1:31">
      <c r="A39" s="99" t="s">
        <v>17</v>
      </c>
      <c r="B39" s="86">
        <f>'WTAMU FGD'!M63</f>
        <v>16987660</v>
      </c>
      <c r="C39" s="87">
        <f t="shared" si="9"/>
        <v>2199</v>
      </c>
      <c r="D39" s="86">
        <f>'WTAMU FGD'!F63</f>
        <v>0</v>
      </c>
      <c r="E39" s="74"/>
      <c r="F39" s="74">
        <f t="shared" si="10"/>
        <v>16987660</v>
      </c>
      <c r="G39" s="337"/>
      <c r="H39" s="1378" t="s">
        <v>2159</v>
      </c>
      <c r="I39" s="1379">
        <f>ROUND(F39/$C$6,0)</f>
        <v>2199</v>
      </c>
      <c r="J39" s="337" t="s">
        <v>1078</v>
      </c>
      <c r="K39" s="373">
        <f t="shared" ref="K39:K43" si="11">F39</f>
        <v>16987660</v>
      </c>
      <c r="L39" s="373">
        <f>K39</f>
        <v>16987660</v>
      </c>
      <c r="M39" s="373"/>
      <c r="N39" s="373"/>
      <c r="O39" s="373"/>
    </row>
    <row r="40" spans="1:31">
      <c r="A40" s="99" t="s">
        <v>18</v>
      </c>
      <c r="B40" s="86">
        <f>'WTAMU FGD'!M64</f>
        <v>11154760</v>
      </c>
      <c r="C40" s="87">
        <f t="shared" si="9"/>
        <v>1444</v>
      </c>
      <c r="D40" s="86">
        <f>'WTAMU FGD'!F64</f>
        <v>0</v>
      </c>
      <c r="E40" s="74"/>
      <c r="F40" s="74">
        <f t="shared" si="10"/>
        <v>11154760</v>
      </c>
      <c r="G40" s="337"/>
      <c r="J40" s="337" t="s">
        <v>1079</v>
      </c>
      <c r="K40" s="373">
        <f t="shared" si="11"/>
        <v>11154760</v>
      </c>
      <c r="L40" s="373"/>
      <c r="M40" s="373">
        <f>K40</f>
        <v>11154760</v>
      </c>
      <c r="N40" s="373"/>
      <c r="O40" s="373"/>
    </row>
    <row r="41" spans="1:31">
      <c r="A41" s="99" t="s">
        <v>19</v>
      </c>
      <c r="B41" s="86">
        <f>'WTAMU FGD'!M65</f>
        <v>13231196</v>
      </c>
      <c r="C41" s="87">
        <f t="shared" si="9"/>
        <v>1713</v>
      </c>
      <c r="D41" s="86">
        <f>'WTAMU FGD'!F65</f>
        <v>0</v>
      </c>
      <c r="E41" s="74"/>
      <c r="F41" s="74">
        <f t="shared" si="10"/>
        <v>13231196</v>
      </c>
      <c r="G41" s="337"/>
      <c r="H41" s="1378" t="s">
        <v>2160</v>
      </c>
      <c r="I41" s="1379">
        <f>ROUND(F41/$C$6,0)</f>
        <v>1713</v>
      </c>
      <c r="J41" s="337" t="s">
        <v>757</v>
      </c>
      <c r="K41" s="373">
        <f t="shared" si="11"/>
        <v>13231196</v>
      </c>
      <c r="L41" s="373"/>
      <c r="M41" s="373"/>
      <c r="N41" s="373">
        <f>K41</f>
        <v>13231196</v>
      </c>
      <c r="O41" s="373"/>
    </row>
    <row r="42" spans="1:31">
      <c r="A42" s="99" t="s">
        <v>20</v>
      </c>
      <c r="B42" s="86">
        <f>'WTAMU FGD'!M66</f>
        <v>19976237</v>
      </c>
      <c r="C42" s="87">
        <f t="shared" si="9"/>
        <v>2586</v>
      </c>
      <c r="D42" s="86">
        <f>'WTAMU FGD'!F66</f>
        <v>0</v>
      </c>
      <c r="E42" s="74"/>
      <c r="F42" s="74">
        <f t="shared" si="10"/>
        <v>19976237</v>
      </c>
      <c r="G42" s="337"/>
      <c r="J42" s="337" t="s">
        <v>758</v>
      </c>
      <c r="K42" s="373">
        <f t="shared" si="11"/>
        <v>19976237</v>
      </c>
      <c r="L42" s="373"/>
      <c r="M42" s="373"/>
      <c r="N42" s="373">
        <f>K42</f>
        <v>19976237</v>
      </c>
      <c r="O42" s="373"/>
    </row>
    <row r="43" spans="1:31">
      <c r="A43" s="99" t="s">
        <v>21</v>
      </c>
      <c r="B43" s="86">
        <f>'WTAMU FGD'!M67</f>
        <v>16726818</v>
      </c>
      <c r="C43" s="87">
        <f t="shared" si="9"/>
        <v>2165</v>
      </c>
      <c r="D43" s="86">
        <f>'WTAMU FGD'!F67</f>
        <v>0</v>
      </c>
      <c r="E43" s="74"/>
      <c r="F43" s="74">
        <f t="shared" si="10"/>
        <v>16726818</v>
      </c>
      <c r="G43" s="337"/>
      <c r="H43" s="337"/>
      <c r="I43" s="337"/>
      <c r="J43" s="337" t="s">
        <v>1145</v>
      </c>
      <c r="K43" s="373">
        <f t="shared" si="11"/>
        <v>16726818</v>
      </c>
      <c r="L43" s="373"/>
      <c r="M43" s="373">
        <f>K43</f>
        <v>16726818</v>
      </c>
      <c r="N43" s="373"/>
      <c r="O43" s="373"/>
    </row>
    <row r="44" spans="1:31">
      <c r="A44" s="99" t="s">
        <v>2135</v>
      </c>
      <c r="B44" s="86">
        <f>'WTAMU FGD'!M68</f>
        <v>19924182</v>
      </c>
      <c r="C44" s="87">
        <f t="shared" si="9"/>
        <v>2579</v>
      </c>
      <c r="D44" s="729">
        <f>B44</f>
        <v>19924182</v>
      </c>
      <c r="E44" s="74"/>
      <c r="F44" s="74">
        <f t="shared" si="10"/>
        <v>0</v>
      </c>
      <c r="G44" s="337"/>
      <c r="H44" s="337"/>
      <c r="I44" s="337"/>
      <c r="J44" s="337" t="s">
        <v>743</v>
      </c>
      <c r="K44" s="736"/>
      <c r="L44" s="737"/>
      <c r="M44" s="737" t="s">
        <v>1152</v>
      </c>
      <c r="N44" s="737"/>
      <c r="O44" s="738"/>
    </row>
    <row r="45" spans="1:31">
      <c r="A45" s="99" t="s">
        <v>61</v>
      </c>
      <c r="B45" s="86">
        <f>'WTAMU FGD'!M69</f>
        <v>2476174</v>
      </c>
      <c r="C45" s="87">
        <f t="shared" si="9"/>
        <v>321</v>
      </c>
      <c r="D45" s="86">
        <f>'WTAMU FGD'!F69</f>
        <v>6197</v>
      </c>
      <c r="E45" s="74"/>
      <c r="F45" s="74">
        <f t="shared" si="10"/>
        <v>2469977</v>
      </c>
      <c r="G45" s="337"/>
      <c r="H45" s="337"/>
      <c r="I45" s="337"/>
      <c r="J45" s="337" t="s">
        <v>1080</v>
      </c>
      <c r="K45" s="373">
        <f t="shared" ref="K45:K46" si="12">F45</f>
        <v>2469977</v>
      </c>
      <c r="L45" s="373"/>
      <c r="M45" s="373"/>
      <c r="N45" s="373"/>
      <c r="O45" s="373">
        <f>K45</f>
        <v>2469977</v>
      </c>
    </row>
    <row r="46" spans="1:31" ht="13.5" thickBot="1">
      <c r="A46" s="75" t="s">
        <v>50</v>
      </c>
      <c r="B46" s="86">
        <f>'WTAMU FGD'!M70</f>
        <v>537619</v>
      </c>
      <c r="C46" s="87">
        <f t="shared" si="9"/>
        <v>70</v>
      </c>
      <c r="D46" s="86">
        <f>'WTAMU FGD'!F70</f>
        <v>0</v>
      </c>
      <c r="E46" s="74"/>
      <c r="F46" s="74">
        <f t="shared" si="10"/>
        <v>537619</v>
      </c>
      <c r="G46" s="35"/>
      <c r="H46" s="1378" t="s">
        <v>2161</v>
      </c>
      <c r="I46" s="1379">
        <f>ROUND(SUM(F37+F40+F42+F43+F45+F46)/$C$6,0)</f>
        <v>7581</v>
      </c>
      <c r="J46" s="610" t="s">
        <v>1075</v>
      </c>
      <c r="K46" s="373">
        <f t="shared" si="12"/>
        <v>537619</v>
      </c>
      <c r="L46" s="611"/>
      <c r="M46" s="611"/>
      <c r="N46" s="611"/>
      <c r="O46" s="373">
        <f>K46</f>
        <v>537619</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155189344</v>
      </c>
      <c r="C47" s="45">
        <f>SUM(C36:C46)</f>
        <v>20090</v>
      </c>
      <c r="D47" s="730">
        <f>SUM(D36:D46)</f>
        <v>19930379</v>
      </c>
      <c r="E47" s="731">
        <f>SUM(E36:E46)</f>
        <v>4034086</v>
      </c>
      <c r="F47" s="719">
        <f>SUM(F36:F46)</f>
        <v>131224879</v>
      </c>
      <c r="G47" s="1688" t="s">
        <v>1176</v>
      </c>
      <c r="H47" s="1689"/>
      <c r="I47" s="785" t="s">
        <v>1164</v>
      </c>
      <c r="J47" s="610" t="s">
        <v>1081</v>
      </c>
      <c r="K47" s="612">
        <f>SUM(K36:K46)</f>
        <v>131224879</v>
      </c>
      <c r="L47" s="612">
        <f>SUM(L36:L46)</f>
        <v>67128272</v>
      </c>
      <c r="M47" s="612">
        <f>SUM(M36:M46)</f>
        <v>27881578</v>
      </c>
      <c r="N47" s="612">
        <f>SUM(N36:N46)</f>
        <v>33207433</v>
      </c>
      <c r="O47" s="612">
        <f>SUM(O36:O46)</f>
        <v>3007596</v>
      </c>
    </row>
    <row r="48" spans="1:31" ht="14.25" thickTop="1" thickBot="1">
      <c r="A48" s="93"/>
      <c r="B48" s="98"/>
      <c r="C48" s="75"/>
      <c r="F48" s="613"/>
      <c r="G48" s="1690"/>
      <c r="H48" s="1691"/>
      <c r="I48" s="823">
        <f>ROUND(F47/C6,0)</f>
        <v>16987</v>
      </c>
      <c r="J48" s="1700" t="s">
        <v>1082</v>
      </c>
      <c r="K48" s="611"/>
      <c r="L48" s="611"/>
      <c r="M48" s="611"/>
      <c r="N48" s="611"/>
      <c r="O48" s="611"/>
    </row>
    <row r="49" spans="1:31" ht="13.5" thickBot="1">
      <c r="A49" s="78" t="s">
        <v>23</v>
      </c>
      <c r="B49" s="82"/>
      <c r="C49" s="75"/>
      <c r="F49" s="614"/>
      <c r="G49" s="1690"/>
      <c r="H49" s="1691"/>
      <c r="I49" s="811"/>
      <c r="J49" s="1700"/>
      <c r="K49" s="615">
        <f>ROUND(K47/$C$6,2)</f>
        <v>16987.189999999999</v>
      </c>
      <c r="L49" s="615">
        <f t="shared" ref="L49:O49" si="13">ROUND(L47/$C$6,2)</f>
        <v>8689.82</v>
      </c>
      <c r="M49" s="615">
        <f t="shared" si="13"/>
        <v>3609.3</v>
      </c>
      <c r="N49" s="615">
        <f t="shared" si="13"/>
        <v>4298.74</v>
      </c>
      <c r="O49" s="615">
        <f t="shared" si="13"/>
        <v>389.34</v>
      </c>
      <c r="P49" s="35"/>
      <c r="Q49" s="96"/>
      <c r="R49" s="96"/>
      <c r="S49" s="96"/>
      <c r="T49" s="96"/>
      <c r="U49" s="96"/>
      <c r="V49" s="96"/>
      <c r="W49" s="96"/>
      <c r="X49" s="96"/>
      <c r="Y49" s="96"/>
      <c r="Z49" s="96"/>
      <c r="AA49" s="96"/>
      <c r="AB49" s="96"/>
      <c r="AC49" s="96"/>
      <c r="AD49" s="96"/>
      <c r="AE49" s="96"/>
    </row>
    <row r="50" spans="1:31" ht="13.5" thickBot="1">
      <c r="A50" s="75" t="s">
        <v>62</v>
      </c>
      <c r="B50" s="86">
        <f>'WTAMU FGD'!M74</f>
        <v>-72847</v>
      </c>
      <c r="C50" s="83">
        <f t="shared" ref="C50:C53" si="14">ROUND(B50/$C$6,0)</f>
        <v>-9</v>
      </c>
      <c r="D50" s="512">
        <f>'WTAMU FGD'!F74</f>
        <v>0</v>
      </c>
      <c r="E50" s="512"/>
      <c r="F50" s="732">
        <f t="shared" ref="F50:F53" si="15">B50-(SUM(D50:E50))</f>
        <v>-72847</v>
      </c>
      <c r="G50" s="1692"/>
      <c r="H50" s="1693"/>
      <c r="I50" s="808"/>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'WTAMU FGD'!M75</f>
        <v>2018012</v>
      </c>
      <c r="C51" s="87">
        <f t="shared" si="14"/>
        <v>261</v>
      </c>
      <c r="D51" s="91">
        <f>'WTAMU FGD'!F75</f>
        <v>3284053</v>
      </c>
      <c r="E51" s="82"/>
      <c r="F51" s="74">
        <f t="shared" si="15"/>
        <v>-1266041</v>
      </c>
      <c r="G51" s="337"/>
      <c r="J51" s="337"/>
      <c r="K51" s="616"/>
      <c r="L51" s="616"/>
      <c r="M51" s="616"/>
      <c r="N51" s="616"/>
      <c r="O51" s="616"/>
    </row>
    <row r="52" spans="1:31">
      <c r="A52" s="75" t="s">
        <v>51</v>
      </c>
      <c r="B52" s="86">
        <f>'WTAMU FGD'!M76</f>
        <v>0</v>
      </c>
      <c r="C52" s="87">
        <f t="shared" si="14"/>
        <v>0</v>
      </c>
      <c r="D52" s="91">
        <f>'WTAMU FGD'!F76</f>
        <v>0</v>
      </c>
      <c r="E52" s="82"/>
      <c r="F52" s="74">
        <f t="shared" si="15"/>
        <v>0</v>
      </c>
      <c r="G52" s="337"/>
      <c r="J52" s="733"/>
      <c r="K52" s="733"/>
      <c r="L52" s="733"/>
      <c r="M52" s="733"/>
      <c r="N52" s="733"/>
      <c r="O52" s="733"/>
    </row>
    <row r="53" spans="1:31" ht="12" customHeight="1">
      <c r="A53" s="75" t="s">
        <v>46</v>
      </c>
      <c r="B53" s="86">
        <f>'WTAMU FGD'!M77</f>
        <v>-16162831</v>
      </c>
      <c r="C53" s="87">
        <f t="shared" si="14"/>
        <v>-2092</v>
      </c>
      <c r="D53" s="91">
        <f>'WTAMU FGD'!F77</f>
        <v>-6748720</v>
      </c>
      <c r="E53" s="82"/>
      <c r="F53" s="74">
        <f t="shared" si="15"/>
        <v>-9414111</v>
      </c>
      <c r="G53" s="35"/>
      <c r="J53" s="733"/>
      <c r="K53" s="733"/>
      <c r="L53" s="733"/>
      <c r="M53" s="733"/>
      <c r="N53" s="733"/>
      <c r="O53" s="733"/>
      <c r="P53" s="35"/>
      <c r="Q53" s="96"/>
      <c r="R53" s="96"/>
      <c r="S53" s="96"/>
      <c r="T53" s="96"/>
      <c r="U53" s="96"/>
      <c r="V53" s="96"/>
      <c r="W53" s="96"/>
      <c r="X53" s="96"/>
      <c r="Y53" s="96"/>
      <c r="Z53" s="96"/>
      <c r="AA53" s="96"/>
      <c r="AB53" s="96"/>
      <c r="AC53" s="96"/>
      <c r="AD53" s="96"/>
      <c r="AE53" s="96"/>
    </row>
    <row r="54" spans="1:31">
      <c r="A54" s="88" t="s">
        <v>3</v>
      </c>
      <c r="B54" s="89">
        <f>SUM(B50:B53)</f>
        <v>-14217666</v>
      </c>
      <c r="C54" s="89">
        <f>SUM(C50:C53)</f>
        <v>-1840</v>
      </c>
      <c r="D54" s="89">
        <f>SUM(D50:D53)</f>
        <v>-3464667</v>
      </c>
      <c r="E54" s="89">
        <f>SUM(E50:E53)</f>
        <v>0</v>
      </c>
      <c r="F54" s="102">
        <f>SUM(F50:F53)</f>
        <v>-10752999</v>
      </c>
      <c r="G54" s="337"/>
      <c r="H54" s="337"/>
      <c r="I54" s="337"/>
      <c r="J54" s="733"/>
      <c r="K54" s="733"/>
      <c r="L54" s="733"/>
      <c r="M54" s="733"/>
      <c r="N54" s="733"/>
      <c r="O54" s="733"/>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'WTAMU FGD'!M81</f>
        <v>19561098</v>
      </c>
      <c r="C57" s="83">
        <f>ROUND(B57/$C$6,0)</f>
        <v>2532</v>
      </c>
      <c r="D57" s="512">
        <f>'WTAMU FGD'!F81</f>
        <v>2034607</v>
      </c>
      <c r="E57" s="512"/>
      <c r="F57" s="512">
        <f t="shared" ref="F57:F58" si="16">B57-(SUM(D57:E57))</f>
        <v>17526491</v>
      </c>
      <c r="G57" s="337"/>
      <c r="H57" s="337"/>
      <c r="I57" s="337"/>
      <c r="J57" s="337"/>
    </row>
    <row r="58" spans="1:31">
      <c r="A58" s="75" t="s">
        <v>48</v>
      </c>
      <c r="B58" s="86">
        <f>'WTAMU FGD'!M82</f>
        <v>38897</v>
      </c>
      <c r="C58" s="87">
        <f>ROUND(B58/$C$6,0)</f>
        <v>5</v>
      </c>
      <c r="D58" s="91">
        <f>'WTAMU FGD'!F82</f>
        <v>0</v>
      </c>
      <c r="E58" s="82"/>
      <c r="F58" s="74">
        <f t="shared" si="16"/>
        <v>38897</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19599995</v>
      </c>
      <c r="C59" s="89">
        <f>SUM(C57:C58)</f>
        <v>2537</v>
      </c>
      <c r="D59" s="89">
        <f>SUM(D57:D58)</f>
        <v>2034607</v>
      </c>
      <c r="E59" s="89">
        <f>SUM(E57:E58)</f>
        <v>0</v>
      </c>
      <c r="F59" s="89">
        <f>SUM(F57:F58)</f>
        <v>17565388</v>
      </c>
      <c r="G59" s="367"/>
      <c r="H59" s="367"/>
      <c r="I59" s="367"/>
      <c r="J59" s="367"/>
      <c r="K59" s="266"/>
      <c r="L59" s="266"/>
      <c r="M59" s="266"/>
      <c r="N59" s="266"/>
      <c r="O59" s="266"/>
      <c r="P59" s="266"/>
    </row>
    <row r="60" spans="1:31">
      <c r="B60" s="82"/>
      <c r="C60" s="75"/>
    </row>
    <row r="61" spans="1:31" ht="13.5" thickBot="1">
      <c r="A61" s="103" t="s">
        <v>573</v>
      </c>
      <c r="B61" s="46">
        <f>B33-B47+B54+B59</f>
        <v>41017113</v>
      </c>
      <c r="C61" s="46">
        <f>C33-C47+C54+C59</f>
        <v>5310</v>
      </c>
      <c r="D61" s="46">
        <f>D33-D47+D54+D59</f>
        <v>1214001</v>
      </c>
      <c r="E61" s="46">
        <f>E33-E47+E54+E59</f>
        <v>-4034086</v>
      </c>
      <c r="F61" s="46">
        <f>F33-F47+F54+F59</f>
        <v>43837198</v>
      </c>
    </row>
    <row r="62" spans="1:31" ht="13.5" thickTop="1"/>
    <row r="63" spans="1:31">
      <c r="D63" s="512"/>
    </row>
    <row r="65" spans="2:16">
      <c r="B65" s="734">
        <f>'WTAMU FGD'!$M$85</f>
        <v>41017113</v>
      </c>
      <c r="C65" s="75"/>
      <c r="D65" s="734">
        <f>'WTAMU FGD'!$F$85</f>
        <v>1214001</v>
      </c>
      <c r="E65" s="734">
        <f>'WTAMU FGD'!$M$62*-1</f>
        <v>-4034086</v>
      </c>
      <c r="F65" s="75"/>
    </row>
    <row r="66" spans="2:16">
      <c r="B66" s="734"/>
      <c r="C66" s="75"/>
      <c r="D66" s="734">
        <f>'WTAMU FGD'!$F$68</f>
        <v>19924182</v>
      </c>
      <c r="E66" s="734">
        <f>+$D$38</f>
        <v>0</v>
      </c>
      <c r="F66" s="734"/>
    </row>
    <row r="67" spans="2:16">
      <c r="B67" s="759"/>
      <c r="C67" s="75"/>
      <c r="D67" s="759">
        <f>-'WTAMU FGD'!$M$68</f>
        <v>-19924182</v>
      </c>
      <c r="E67" s="759"/>
      <c r="F67" s="734"/>
    </row>
    <row r="68" spans="2:16">
      <c r="B68" s="734">
        <f>SUM(B65:B67)</f>
        <v>41017113</v>
      </c>
      <c r="C68" s="75"/>
      <c r="D68" s="734">
        <f>SUM(D65:D67)</f>
        <v>1214001</v>
      </c>
      <c r="E68" s="734">
        <f>SUM(E65:E67)</f>
        <v>-4034086</v>
      </c>
      <c r="F68" s="734">
        <f>B68-D68-E68</f>
        <v>43837198</v>
      </c>
    </row>
    <row r="69" spans="2:16">
      <c r="B69" s="734"/>
      <c r="C69" s="75"/>
      <c r="D69" s="734">
        <f>'WTAMU FGD'!F54*-1</f>
        <v>-12079249</v>
      </c>
      <c r="E69" s="734"/>
      <c r="F69" s="734"/>
    </row>
    <row r="70" spans="2:16" ht="12.75" customHeight="1">
      <c r="B70" s="759"/>
      <c r="C70" s="95"/>
      <c r="D70" s="759">
        <f>'WTAMU FGD'!M54</f>
        <v>12079249</v>
      </c>
      <c r="E70" s="759"/>
      <c r="F70" s="759">
        <f>-D70-D69</f>
        <v>0</v>
      </c>
    </row>
    <row r="71" spans="2:16" ht="12.75" customHeight="1">
      <c r="B71" s="734">
        <f>SUM(B68:B70)</f>
        <v>41017113</v>
      </c>
      <c r="C71" s="75"/>
      <c r="D71" s="734">
        <f>SUM(D68:D70)</f>
        <v>1214001</v>
      </c>
      <c r="E71" s="734">
        <f>SUM(E68:E70)</f>
        <v>-4034086</v>
      </c>
      <c r="F71" s="734">
        <f>SUM(F68:F70)</f>
        <v>43837198</v>
      </c>
    </row>
    <row r="72" spans="2:16" ht="12.75" customHeight="1">
      <c r="B72" s="734"/>
      <c r="C72" s="75"/>
      <c r="D72" s="734"/>
      <c r="E72" s="734"/>
      <c r="F72" s="734"/>
    </row>
    <row r="73" spans="2:16" ht="12.75" customHeight="1">
      <c r="B73" s="512">
        <f>B61-B71</f>
        <v>0</v>
      </c>
      <c r="C73" s="75"/>
      <c r="D73" s="512">
        <f>D61-D71</f>
        <v>0</v>
      </c>
      <c r="E73" s="512">
        <f>E61-E71</f>
        <v>0</v>
      </c>
      <c r="F73" s="512">
        <f>F61-F71</f>
        <v>0</v>
      </c>
    </row>
    <row r="74" spans="2:16" ht="12.75" customHeight="1">
      <c r="C74" s="75"/>
      <c r="F74" s="617"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G47:H50"/>
    <mergeCell ref="K30:O30"/>
    <mergeCell ref="M31:M34"/>
    <mergeCell ref="G32:H32"/>
    <mergeCell ref="G33:H33"/>
    <mergeCell ref="L31:L34"/>
    <mergeCell ref="K31:K34"/>
    <mergeCell ref="N31:N34"/>
    <mergeCell ref="O31:O34"/>
    <mergeCell ref="J48:J49"/>
    <mergeCell ref="F1:I1"/>
    <mergeCell ref="J1:O1"/>
    <mergeCell ref="D1:E1"/>
    <mergeCell ref="K29:O29"/>
    <mergeCell ref="D4:D5"/>
    <mergeCell ref="E4:E5"/>
  </mergeCells>
  <hyperlinks>
    <hyperlink ref="D1:E1" location="Index!A1" display="Return to Index" xr:uid="{00000000-0004-0000-56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73">
    <tabColor indexed="11"/>
    <pageSetUpPr fitToPage="1"/>
  </sheetPr>
  <dimension ref="A1:AB122"/>
  <sheetViews>
    <sheetView showGridLines="0" topLeftCell="B2" zoomScale="75" zoomScaleNormal="75" zoomScaleSheetLayoutView="70" workbookViewId="0">
      <pane xSplit="2" ySplit="7" topLeftCell="D43" activePane="bottomRight" state="frozen"/>
      <selection activeCell="E74" sqref="E74:F74"/>
      <selection pane="topRight" activeCell="E74" sqref="E74:F74"/>
      <selection pane="bottomLeft" activeCell="E74" sqref="E74:F74"/>
      <selection pane="bottomRight" activeCell="J31" sqref="J31"/>
    </sheetView>
  </sheetViews>
  <sheetFormatPr defaultColWidth="9.140625"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4.140625" style="164" customWidth="1"/>
    <col min="15" max="15" width="14.42578125" style="261" customWidth="1"/>
    <col min="16" max="16" width="25.7109375" style="264" customWidth="1"/>
    <col min="17" max="17" width="16.42578125" style="264" customWidth="1"/>
    <col min="18" max="18" width="16.7109375" style="264" customWidth="1"/>
    <col min="19" max="19" width="1.7109375" style="264" customWidth="1"/>
    <col min="20" max="20" width="17.140625" style="264" customWidth="1"/>
    <col min="21" max="21" width="16.85546875" style="264" customWidth="1"/>
    <col min="22" max="23" width="19.28515625" style="264" customWidth="1"/>
    <col min="24" max="24" width="16.855468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13" t="str">
        <f>'WTAMU Chrts'!$A$1</f>
        <v>West Texas A&amp;M University</v>
      </c>
      <c r="C2" s="1713"/>
      <c r="D2" s="1713"/>
      <c r="E2" s="1713"/>
      <c r="F2" s="1742"/>
      <c r="G2" s="160"/>
      <c r="H2" s="161"/>
      <c r="I2" s="320" t="str">
        <f>IF($B$2&lt;&gt;Input!$B$21,"Name Mismatch","")</f>
        <v/>
      </c>
      <c r="J2" s="168"/>
      <c r="K2" s="169"/>
      <c r="L2" s="169"/>
      <c r="M2" s="170"/>
      <c r="O2" s="835" t="s">
        <v>1200</v>
      </c>
      <c r="P2" s="36"/>
    </row>
    <row r="3" spans="1:28" ht="20.25">
      <c r="A3" s="184">
        <v>2</v>
      </c>
      <c r="B3" s="1713" t="str">
        <f>'Smmy Chrts'!$A$2</f>
        <v>For the Year Ended August 31, 2021</v>
      </c>
      <c r="C3" s="1713"/>
      <c r="D3" s="1713"/>
      <c r="E3" s="1713"/>
      <c r="F3" s="1742"/>
      <c r="G3" s="161"/>
      <c r="H3" s="161"/>
      <c r="I3" s="169"/>
      <c r="J3" s="168"/>
      <c r="K3" s="169"/>
      <c r="L3" s="169"/>
      <c r="M3" s="170"/>
      <c r="O3" s="74"/>
    </row>
    <row r="4" spans="1:28" ht="20.25">
      <c r="A4" s="184">
        <v>3</v>
      </c>
      <c r="B4" s="1713" t="str">
        <f>'Smmy Chrts'!$A$3</f>
        <v>Source: FY 2021 Annual Financial Report</v>
      </c>
      <c r="C4" s="1713"/>
      <c r="D4" s="1713"/>
      <c r="E4" s="1713"/>
      <c r="F4" s="1742"/>
      <c r="G4" s="161"/>
      <c r="H4" s="161"/>
      <c r="I4" s="169"/>
      <c r="J4" s="168"/>
      <c r="K4" s="169"/>
      <c r="L4" s="169"/>
      <c r="M4" s="170"/>
      <c r="O4" s="74"/>
      <c r="P4" s="1744" t="s">
        <v>93</v>
      </c>
      <c r="Q4" s="1745"/>
      <c r="T4" s="36" t="s">
        <v>250</v>
      </c>
    </row>
    <row r="5" spans="1:28">
      <c r="A5" s="184">
        <v>4</v>
      </c>
      <c r="B5" s="160"/>
      <c r="C5" s="160"/>
      <c r="D5" s="160"/>
      <c r="E5" s="160"/>
      <c r="F5" s="160"/>
      <c r="G5" s="160"/>
      <c r="H5" s="160"/>
      <c r="I5" s="160"/>
      <c r="J5" s="160"/>
      <c r="K5" s="160"/>
      <c r="L5" s="160"/>
      <c r="M5" s="166"/>
      <c r="O5" s="262"/>
    </row>
    <row r="6" spans="1:28">
      <c r="A6" s="184">
        <v>5</v>
      </c>
      <c r="B6" s="1715" t="str">
        <f>'Smmy Chrts'!$C$32</f>
        <v>Detail Worksheet FY 2021</v>
      </c>
      <c r="C6" s="1715"/>
      <c r="D6" s="1743"/>
      <c r="E6" s="1743"/>
      <c r="F6" s="1743"/>
      <c r="G6" s="1743"/>
      <c r="H6" s="1743"/>
      <c r="I6" s="1743"/>
      <c r="J6" s="1743"/>
      <c r="K6" s="1743"/>
      <c r="L6" s="1743"/>
      <c r="M6" s="1743"/>
      <c r="O6" s="265"/>
    </row>
    <row r="7" spans="1:28">
      <c r="A7" s="184">
        <v>6</v>
      </c>
      <c r="B7" s="172"/>
      <c r="C7" s="172"/>
      <c r="D7" s="160"/>
      <c r="E7" s="160"/>
      <c r="F7" s="160"/>
      <c r="G7" s="160"/>
      <c r="H7" s="160"/>
      <c r="I7" s="160"/>
      <c r="J7" s="160"/>
      <c r="K7" s="160"/>
      <c r="L7" s="160"/>
      <c r="M7" s="173" t="str">
        <f>'Smmy Chrts'!$C$33</f>
        <v>FY 2021</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Input!$M$21</f>
        <v>41246915</v>
      </c>
      <c r="E10" s="372">
        <f>Input!$N$21</f>
        <v>0</v>
      </c>
      <c r="F10" s="372">
        <f>Input!$O$21</f>
        <v>0</v>
      </c>
      <c r="G10" s="372">
        <f>Input!$P$21</f>
        <v>0</v>
      </c>
      <c r="H10" s="372">
        <f>Input!$Q$21</f>
        <v>0</v>
      </c>
      <c r="I10" s="372">
        <f>Input!$R$21</f>
        <v>0</v>
      </c>
      <c r="J10" s="372">
        <f>Input!$S$21</f>
        <v>0</v>
      </c>
      <c r="K10" s="372">
        <f>Input!$T$21</f>
        <v>0</v>
      </c>
      <c r="L10" s="372">
        <f>Input!$U$21</f>
        <v>0</v>
      </c>
      <c r="M10" s="373">
        <f t="shared" ref="M10:M15" si="0">D10+E10+F10+G10+H10+I10+J10+K10+L10</f>
        <v>41246915</v>
      </c>
      <c r="N10" s="160"/>
      <c r="O10" s="271"/>
      <c r="P10" s="1718" t="s">
        <v>575</v>
      </c>
      <c r="U10" s="268"/>
    </row>
    <row r="11" spans="1:28">
      <c r="A11" s="184">
        <v>10</v>
      </c>
      <c r="B11" s="160" t="s">
        <v>2</v>
      </c>
      <c r="C11" s="160"/>
      <c r="D11" s="372">
        <f>Input!$V$21</f>
        <v>79447</v>
      </c>
      <c r="E11" s="372">
        <f>Input!$W$21</f>
        <v>39000</v>
      </c>
      <c r="F11" s="372">
        <f>Input!$X$21</f>
        <v>0</v>
      </c>
      <c r="G11" s="372">
        <f>Input!$Y$21</f>
        <v>5685133</v>
      </c>
      <c r="H11" s="372">
        <f>Input!$Z$21</f>
        <v>0</v>
      </c>
      <c r="I11" s="372">
        <f>Input!$AA$21</f>
        <v>0</v>
      </c>
      <c r="J11" s="372">
        <f>Input!$AB$21</f>
        <v>0</v>
      </c>
      <c r="K11" s="372">
        <f>Input!$AC$21</f>
        <v>0</v>
      </c>
      <c r="L11" s="372">
        <f>Input!$AD$21</f>
        <v>0</v>
      </c>
      <c r="M11" s="373">
        <f t="shared" si="0"/>
        <v>5803580</v>
      </c>
      <c r="N11" s="160"/>
      <c r="O11" s="482"/>
      <c r="P11" s="1719"/>
      <c r="U11" s="268"/>
    </row>
    <row r="12" spans="1:28" ht="12.75" hidden="1" customHeight="1">
      <c r="B12" s="160" t="s">
        <v>1410</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Input!$AN$21</f>
        <v>7446495</v>
      </c>
      <c r="E13" s="372">
        <f>Input!$AO$21</f>
        <v>0</v>
      </c>
      <c r="F13" s="372">
        <f>Input!$AP$21</f>
        <v>0</v>
      </c>
      <c r="G13" s="372">
        <f>Input!$AQ$21</f>
        <v>0</v>
      </c>
      <c r="H13" s="372">
        <f>Input!$AR$21</f>
        <v>0</v>
      </c>
      <c r="I13" s="372">
        <f>Input!$AS$21</f>
        <v>0</v>
      </c>
      <c r="J13" s="372">
        <f>Input!$AT$21</f>
        <v>0</v>
      </c>
      <c r="K13" s="372">
        <f>Input!$AU$21</f>
        <v>0</v>
      </c>
      <c r="L13" s="372">
        <f>Input!$AV$21</f>
        <v>0</v>
      </c>
      <c r="M13" s="373">
        <f t="shared" si="0"/>
        <v>7446495</v>
      </c>
      <c r="N13" s="160"/>
      <c r="O13" s="482" t="str">
        <f>IF(P13&lt;&gt;M13,"Out of Balance","Balanced")</f>
        <v>Balanced</v>
      </c>
      <c r="P13" s="484">
        <f>IFERROR(VLOOKUP($B$2,AMTLU,6,FALSE),0)</f>
        <v>7446495</v>
      </c>
      <c r="U13" s="268"/>
    </row>
    <row r="14" spans="1:28">
      <c r="A14" s="184">
        <v>13</v>
      </c>
      <c r="B14" s="160" t="s">
        <v>49</v>
      </c>
      <c r="C14" s="160"/>
      <c r="D14" s="372">
        <f>Input!$AW$21</f>
        <v>0</v>
      </c>
      <c r="E14" s="372">
        <f>Input!$AX$21</f>
        <v>0</v>
      </c>
      <c r="F14" s="372">
        <f>Input!$AY$21</f>
        <v>0</v>
      </c>
      <c r="G14" s="372">
        <f>Input!$AZ$21</f>
        <v>0</v>
      </c>
      <c r="H14" s="372">
        <f>Input!$BA$21</f>
        <v>0</v>
      </c>
      <c r="I14" s="372">
        <f>Input!$BB$21</f>
        <v>0</v>
      </c>
      <c r="J14" s="372">
        <f>Input!$BC$21</f>
        <v>0</v>
      </c>
      <c r="K14" s="372">
        <f>Input!$BD$21</f>
        <v>0</v>
      </c>
      <c r="L14" s="372">
        <f>Input!$BE$21</f>
        <v>0</v>
      </c>
      <c r="M14" s="373">
        <f t="shared" si="0"/>
        <v>0</v>
      </c>
      <c r="N14" s="160"/>
      <c r="O14" s="482"/>
      <c r="P14" s="485"/>
    </row>
    <row r="15" spans="1:28" ht="15">
      <c r="A15" s="184">
        <v>14</v>
      </c>
      <c r="B15" s="176" t="s">
        <v>3</v>
      </c>
      <c r="C15" s="176"/>
      <c r="D15" s="374">
        <f t="shared" ref="D15:L15" si="1">SUM(D10:D14)</f>
        <v>48772857</v>
      </c>
      <c r="E15" s="374">
        <f t="shared" si="1"/>
        <v>39000</v>
      </c>
      <c r="F15" s="374">
        <f t="shared" si="1"/>
        <v>0</v>
      </c>
      <c r="G15" s="374">
        <f t="shared" si="1"/>
        <v>5685133</v>
      </c>
      <c r="H15" s="374">
        <f t="shared" si="1"/>
        <v>0</v>
      </c>
      <c r="I15" s="374">
        <f t="shared" si="1"/>
        <v>0</v>
      </c>
      <c r="J15" s="374">
        <f t="shared" si="1"/>
        <v>0</v>
      </c>
      <c r="K15" s="374">
        <f t="shared" si="1"/>
        <v>0</v>
      </c>
      <c r="L15" s="374">
        <f t="shared" si="1"/>
        <v>0</v>
      </c>
      <c r="M15" s="374">
        <f t="shared" si="0"/>
        <v>54496990</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58" t="s">
        <v>1042</v>
      </c>
      <c r="C18" s="558"/>
      <c r="D18" s="374">
        <f t="shared" ref="D18:L18" si="2">D23-SUM(D19:D22)</f>
        <v>28918362</v>
      </c>
      <c r="E18" s="374">
        <f t="shared" si="2"/>
        <v>41773343</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70691705</v>
      </c>
      <c r="V18" s="327"/>
      <c r="X18" s="330"/>
    </row>
    <row r="19" spans="1:26" s="264" customFormat="1" ht="12.75" customHeight="1" thickTop="1" thickBot="1">
      <c r="A19" s="263"/>
      <c r="B19" s="261" t="s">
        <v>722</v>
      </c>
      <c r="C19" s="261"/>
      <c r="D19" s="372">
        <f>Input!$BF$21</f>
        <v>-14243182</v>
      </c>
      <c r="E19" s="372">
        <f>Input!$BG$21</f>
        <v>0</v>
      </c>
      <c r="F19" s="372">
        <f>Input!$BH$21</f>
        <v>0</v>
      </c>
      <c r="G19" s="372">
        <f>Input!$BI$21</f>
        <v>0</v>
      </c>
      <c r="H19" s="372">
        <f>Input!$BJ$21</f>
        <v>0</v>
      </c>
      <c r="I19" s="372">
        <f>Input!$BK$21</f>
        <v>0</v>
      </c>
      <c r="J19" s="372">
        <f>Input!$BL$21</f>
        <v>0</v>
      </c>
      <c r="K19" s="372">
        <f>Input!$BM$21</f>
        <v>0</v>
      </c>
      <c r="L19" s="372">
        <f>Input!$BN$21</f>
        <v>0</v>
      </c>
      <c r="M19" s="373">
        <f t="shared" si="3"/>
        <v>-14243182</v>
      </c>
      <c r="O19" s="1732" t="s">
        <v>1294</v>
      </c>
      <c r="P19" s="1733"/>
      <c r="Q19" s="1733"/>
      <c r="R19" s="1734"/>
      <c r="T19" s="1735" t="s">
        <v>1043</v>
      </c>
      <c r="U19" s="1736"/>
      <c r="V19" s="1736"/>
      <c r="W19" s="1736"/>
      <c r="X19" s="1737"/>
    </row>
    <row r="20" spans="1:26" s="264" customFormat="1" ht="12.75" customHeight="1" thickTop="1">
      <c r="A20" s="263"/>
      <c r="B20" s="261" t="s">
        <v>723</v>
      </c>
      <c r="C20" s="261"/>
      <c r="D20" s="372">
        <f>Input!$BO$21</f>
        <v>0</v>
      </c>
      <c r="E20" s="372">
        <f>Input!$BP$21</f>
        <v>0</v>
      </c>
      <c r="F20" s="372">
        <f>Input!$BQ$21</f>
        <v>0</v>
      </c>
      <c r="G20" s="372">
        <f>Input!$BR$21</f>
        <v>0</v>
      </c>
      <c r="H20" s="372">
        <f>Input!$BS$21</f>
        <v>0</v>
      </c>
      <c r="I20" s="372">
        <f>Input!$BT$21</f>
        <v>0</v>
      </c>
      <c r="J20" s="372">
        <f>Input!$BU$21</f>
        <v>0</v>
      </c>
      <c r="K20" s="372">
        <f>Input!$BV$21</f>
        <v>0</v>
      </c>
      <c r="L20" s="372">
        <f>Input!$BW$21</f>
        <v>0</v>
      </c>
      <c r="M20" s="373">
        <f t="shared" si="3"/>
        <v>0</v>
      </c>
      <c r="O20" s="421" t="s">
        <v>288</v>
      </c>
      <c r="P20" s="422"/>
      <c r="Q20" s="414"/>
      <c r="R20" s="559"/>
      <c r="T20" s="560" t="s">
        <v>1044</v>
      </c>
      <c r="U20" s="266"/>
      <c r="V20" s="266"/>
      <c r="X20" s="425"/>
    </row>
    <row r="21" spans="1:26" s="264" customFormat="1">
      <c r="A21" s="263"/>
      <c r="B21" s="261" t="s">
        <v>724</v>
      </c>
      <c r="C21" s="261"/>
      <c r="D21" s="372">
        <f>Input!$BX$21</f>
        <v>0</v>
      </c>
      <c r="E21" s="372">
        <f>Input!$BY$21</f>
        <v>0</v>
      </c>
      <c r="F21" s="372">
        <f>Input!$BZ$21</f>
        <v>0</v>
      </c>
      <c r="G21" s="372">
        <f>Input!$CA$21</f>
        <v>0</v>
      </c>
      <c r="H21" s="372">
        <f>Input!$CB$21</f>
        <v>0</v>
      </c>
      <c r="I21" s="372">
        <f>Input!$CC$21</f>
        <v>0</v>
      </c>
      <c r="J21" s="372">
        <f>Input!$CD$21</f>
        <v>0</v>
      </c>
      <c r="K21" s="372">
        <f>Input!$CE$21</f>
        <v>0</v>
      </c>
      <c r="L21" s="372">
        <f>Input!$CF$21</f>
        <v>0</v>
      </c>
      <c r="M21" s="373">
        <f t="shared" si="3"/>
        <v>0</v>
      </c>
      <c r="O21" s="434"/>
      <c r="R21" s="561"/>
      <c r="T21" s="650" t="s">
        <v>1045</v>
      </c>
      <c r="U21" s="266"/>
      <c r="V21" s="266"/>
      <c r="W21" s="651">
        <f>M44</f>
        <v>61182029</v>
      </c>
      <c r="X21" s="425"/>
      <c r="Z21" s="330"/>
    </row>
    <row r="22" spans="1:26" s="264" customFormat="1">
      <c r="A22" s="263"/>
      <c r="B22" s="261" t="s">
        <v>725</v>
      </c>
      <c r="C22" s="261"/>
      <c r="D22" s="372">
        <f>Input!$CG$21</f>
        <v>0</v>
      </c>
      <c r="E22" s="372">
        <f>Input!$CH$21</f>
        <v>0</v>
      </c>
      <c r="F22" s="372">
        <f>Input!$CI$21</f>
        <v>0</v>
      </c>
      <c r="G22" s="372">
        <f>Input!$CJ$21</f>
        <v>0</v>
      </c>
      <c r="H22" s="372">
        <f>Input!$CK$21</f>
        <v>0</v>
      </c>
      <c r="I22" s="372">
        <f>Input!$CL$21</f>
        <v>0</v>
      </c>
      <c r="J22" s="372">
        <f>Input!$CM$21</f>
        <v>0</v>
      </c>
      <c r="K22" s="372">
        <f>Input!$CN$21</f>
        <v>0</v>
      </c>
      <c r="L22" s="372">
        <f>Input!$CO$21</f>
        <v>0</v>
      </c>
      <c r="M22" s="373">
        <f t="shared" si="3"/>
        <v>0</v>
      </c>
      <c r="N22" s="270"/>
      <c r="O22" s="434" t="s">
        <v>1046</v>
      </c>
      <c r="P22" s="276"/>
      <c r="Q22" s="424">
        <f>M23</f>
        <v>56448523</v>
      </c>
      <c r="R22" s="562"/>
      <c r="T22" s="650" t="s">
        <v>1047</v>
      </c>
      <c r="U22" s="266"/>
      <c r="V22" s="266"/>
      <c r="W22" s="652">
        <f>R30*-1</f>
        <v>24220124</v>
      </c>
      <c r="X22" s="425"/>
    </row>
    <row r="23" spans="1:26" s="264" customFormat="1" ht="12.75" customHeight="1">
      <c r="A23" s="263"/>
      <c r="B23" s="558" t="s">
        <v>726</v>
      </c>
      <c r="C23" s="563"/>
      <c r="D23" s="564">
        <f>Input!$CP$21</f>
        <v>14675180</v>
      </c>
      <c r="E23" s="564">
        <f>Input!$CQ$21</f>
        <v>41773343</v>
      </c>
      <c r="F23" s="564">
        <f>Input!$CR$21</f>
        <v>0</v>
      </c>
      <c r="G23" s="564">
        <f>Input!$CS$21</f>
        <v>0</v>
      </c>
      <c r="H23" s="564">
        <f>Input!$CT$21</f>
        <v>0</v>
      </c>
      <c r="I23" s="564">
        <f>Input!$CU$21</f>
        <v>0</v>
      </c>
      <c r="J23" s="564">
        <f>Input!$CV$21</f>
        <v>0</v>
      </c>
      <c r="K23" s="564">
        <f>Input!$CW$21</f>
        <v>0</v>
      </c>
      <c r="L23" s="564">
        <f>Input!$CX$21</f>
        <v>0</v>
      </c>
      <c r="M23" s="565">
        <f t="shared" si="3"/>
        <v>56448523</v>
      </c>
      <c r="O23" s="434"/>
      <c r="P23" s="276"/>
      <c r="Q23" s="424"/>
      <c r="R23" s="562"/>
      <c r="T23" s="560" t="s">
        <v>1230</v>
      </c>
      <c r="U23" s="266"/>
      <c r="V23" s="266"/>
      <c r="W23" s="276"/>
      <c r="X23" s="425">
        <f>SUM(W21:W22)</f>
        <v>85402153</v>
      </c>
      <c r="Z23" s="330"/>
    </row>
    <row r="24" spans="1:26" s="264" customFormat="1" ht="12.75" customHeight="1">
      <c r="A24" s="263"/>
      <c r="B24" s="261" t="s">
        <v>727</v>
      </c>
      <c r="C24" s="566"/>
      <c r="D24" s="372">
        <f>Input!$CY$21</f>
        <v>0</v>
      </c>
      <c r="E24" s="372">
        <f>Input!$CZ$21</f>
        <v>0</v>
      </c>
      <c r="F24" s="372">
        <f>Input!$DA$21</f>
        <v>0</v>
      </c>
      <c r="G24" s="372">
        <f>Input!$DB$21</f>
        <v>0</v>
      </c>
      <c r="H24" s="372">
        <f>Input!$DC$21</f>
        <v>0</v>
      </c>
      <c r="I24" s="372">
        <f>Input!$DD$21</f>
        <v>0</v>
      </c>
      <c r="J24" s="372">
        <f>Input!$DE$21</f>
        <v>0</v>
      </c>
      <c r="K24" s="372">
        <f>Input!$DF$21</f>
        <v>0</v>
      </c>
      <c r="L24" s="372">
        <f>Input!$DG$21</f>
        <v>0</v>
      </c>
      <c r="M24" s="567">
        <f t="shared" si="3"/>
        <v>0</v>
      </c>
      <c r="O24" s="417" t="s">
        <v>1048</v>
      </c>
      <c r="P24" s="276"/>
      <c r="Q24" s="327"/>
      <c r="R24" s="646">
        <f>SUM(M24:M28)</f>
        <v>-16008850</v>
      </c>
      <c r="T24" s="560"/>
      <c r="U24" s="266"/>
      <c r="V24" s="266"/>
      <c r="X24" s="425"/>
      <c r="Z24" s="330"/>
    </row>
    <row r="25" spans="1:26" s="264" customFormat="1" ht="12.75" customHeight="1">
      <c r="A25" s="263"/>
      <c r="B25" s="261" t="s">
        <v>728</v>
      </c>
      <c r="C25" s="566"/>
      <c r="D25" s="372">
        <f>Input!$DH$21</f>
        <v>0</v>
      </c>
      <c r="E25" s="372">
        <f>Input!$DI$21</f>
        <v>0</v>
      </c>
      <c r="F25" s="372">
        <f>Input!$DJ$21</f>
        <v>0</v>
      </c>
      <c r="G25" s="372">
        <f>Input!$DK$21</f>
        <v>0</v>
      </c>
      <c r="H25" s="372">
        <f>Input!$DL$21</f>
        <v>0</v>
      </c>
      <c r="I25" s="372">
        <f>Input!$DM$21</f>
        <v>0</v>
      </c>
      <c r="J25" s="372">
        <f>Input!$DN$21</f>
        <v>0</v>
      </c>
      <c r="K25" s="372">
        <f>Input!$DO$21</f>
        <v>0</v>
      </c>
      <c r="L25" s="372">
        <f>Input!$DP$21</f>
        <v>0</v>
      </c>
      <c r="M25" s="567">
        <f t="shared" si="3"/>
        <v>0</v>
      </c>
      <c r="O25" s="434"/>
      <c r="P25" s="276"/>
      <c r="Q25" s="327"/>
      <c r="R25" s="646"/>
      <c r="T25" s="568" t="s">
        <v>1103</v>
      </c>
      <c r="U25" s="569"/>
      <c r="V25" s="569"/>
      <c r="W25" s="653">
        <f>(M26+M39)*-1</f>
        <v>6819763</v>
      </c>
      <c r="X25" s="425"/>
      <c r="Z25" s="330"/>
    </row>
    <row r="26" spans="1:26" s="264" customFormat="1" ht="12.75" customHeight="1">
      <c r="A26" s="263"/>
      <c r="B26" s="261" t="s">
        <v>729</v>
      </c>
      <c r="C26" s="566"/>
      <c r="D26" s="372">
        <f>Input!$DQ$21</f>
        <v>-712481</v>
      </c>
      <c r="E26" s="372">
        <f>Input!$DR$21</f>
        <v>-3372625</v>
      </c>
      <c r="F26" s="372">
        <f>Input!$DS$21</f>
        <v>0</v>
      </c>
      <c r="G26" s="372">
        <f>Input!$DT$21</f>
        <v>0</v>
      </c>
      <c r="H26" s="372">
        <f>Input!$DU$21</f>
        <v>0</v>
      </c>
      <c r="I26" s="372">
        <f>Input!$DV$21</f>
        <v>0</v>
      </c>
      <c r="J26" s="372">
        <f>Input!$DW$21</f>
        <v>0</v>
      </c>
      <c r="K26" s="372">
        <f>Input!$DX$21</f>
        <v>0</v>
      </c>
      <c r="L26" s="372">
        <f>Input!$DY$21</f>
        <v>0</v>
      </c>
      <c r="M26" s="567">
        <f t="shared" si="3"/>
        <v>-4085106</v>
      </c>
      <c r="O26" s="434" t="s">
        <v>1049</v>
      </c>
      <c r="P26" s="276"/>
      <c r="Q26" s="427">
        <f>M36</f>
        <v>28953630</v>
      </c>
      <c r="R26" s="570"/>
      <c r="T26" s="560" t="s">
        <v>1104</v>
      </c>
      <c r="U26" s="266"/>
      <c r="V26" s="266"/>
      <c r="W26" s="571">
        <f>(M21+M34)*-1</f>
        <v>0</v>
      </c>
      <c r="X26" s="425"/>
      <c r="Z26" s="330"/>
    </row>
    <row r="27" spans="1:26" s="264" customFormat="1">
      <c r="A27" s="263"/>
      <c r="B27" s="261" t="s">
        <v>730</v>
      </c>
      <c r="C27" s="566"/>
      <c r="D27" s="372">
        <f>Input!$DZ$21</f>
        <v>0</v>
      </c>
      <c r="E27" s="372">
        <f>Input!$EA$21</f>
        <v>0</v>
      </c>
      <c r="F27" s="372">
        <f>Input!$EB$21</f>
        <v>0</v>
      </c>
      <c r="G27" s="372">
        <f>Input!$EC$21</f>
        <v>0</v>
      </c>
      <c r="H27" s="372">
        <f>Input!$ED$21</f>
        <v>0</v>
      </c>
      <c r="I27" s="372">
        <f>Input!$EE$21</f>
        <v>0</v>
      </c>
      <c r="J27" s="372">
        <f>Input!$EF$21</f>
        <v>0</v>
      </c>
      <c r="K27" s="372">
        <f>Input!$EG$21</f>
        <v>0</v>
      </c>
      <c r="L27" s="372">
        <f>Input!EH6</f>
        <v>0</v>
      </c>
      <c r="M27" s="567">
        <f t="shared" si="3"/>
        <v>0</v>
      </c>
      <c r="O27" s="434"/>
      <c r="P27" s="276"/>
      <c r="Q27" s="427"/>
      <c r="R27" s="570"/>
      <c r="T27" s="650" t="s">
        <v>1105</v>
      </c>
      <c r="U27" s="584"/>
      <c r="V27" s="584"/>
      <c r="W27" s="654">
        <f>SUM(W25:W26)</f>
        <v>6819763</v>
      </c>
      <c r="X27" s="655"/>
    </row>
    <row r="28" spans="1:26" s="264" customFormat="1">
      <c r="A28" s="263"/>
      <c r="B28" s="261" t="s">
        <v>2133</v>
      </c>
      <c r="C28" s="566"/>
      <c r="D28" s="372">
        <f>Input!$EI$21</f>
        <v>-3449413</v>
      </c>
      <c r="E28" s="372">
        <f>Input!$EJ$21</f>
        <v>-8474331</v>
      </c>
      <c r="F28" s="372">
        <f>Input!$EK$21</f>
        <v>0</v>
      </c>
      <c r="G28" s="372">
        <f>Input!$EL$21</f>
        <v>0</v>
      </c>
      <c r="H28" s="372">
        <f>Input!$EM$21</f>
        <v>0</v>
      </c>
      <c r="I28" s="372">
        <f>Input!$EN$21</f>
        <v>0</v>
      </c>
      <c r="J28" s="372">
        <f>Input!$EO$21</f>
        <v>0</v>
      </c>
      <c r="K28" s="372">
        <f>Input!$EP$21</f>
        <v>0</v>
      </c>
      <c r="L28" s="372">
        <f>Input!$EQ$21</f>
        <v>0</v>
      </c>
      <c r="M28" s="567">
        <f t="shared" si="3"/>
        <v>-11923744</v>
      </c>
      <c r="O28" s="417" t="s">
        <v>1050</v>
      </c>
      <c r="Q28" s="429"/>
      <c r="R28" s="646">
        <f>SUM(M37:M41)</f>
        <v>-8211274</v>
      </c>
      <c r="T28" s="560" t="s">
        <v>1106</v>
      </c>
      <c r="U28" s="266"/>
      <c r="V28" s="266"/>
      <c r="W28" s="425">
        <f>(M27+M40)*-1</f>
        <v>0</v>
      </c>
      <c r="X28" s="655"/>
      <c r="Z28" s="330"/>
    </row>
    <row r="29" spans="1:26" s="264" customFormat="1" ht="12" customHeight="1">
      <c r="A29" s="263"/>
      <c r="B29" s="575" t="s">
        <v>39</v>
      </c>
      <c r="C29" s="563"/>
      <c r="D29" s="374">
        <f t="shared" ref="D29:L29" si="4">SUM(D23:D28)</f>
        <v>10513286</v>
      </c>
      <c r="E29" s="374">
        <f t="shared" si="4"/>
        <v>29926387</v>
      </c>
      <c r="F29" s="374">
        <f t="shared" si="4"/>
        <v>0</v>
      </c>
      <c r="G29" s="374">
        <f t="shared" si="4"/>
        <v>0</v>
      </c>
      <c r="H29" s="374">
        <f t="shared" si="4"/>
        <v>0</v>
      </c>
      <c r="I29" s="374">
        <f t="shared" si="4"/>
        <v>0</v>
      </c>
      <c r="J29" s="374">
        <f t="shared" si="4"/>
        <v>0</v>
      </c>
      <c r="K29" s="374">
        <f t="shared" si="4"/>
        <v>0</v>
      </c>
      <c r="L29" s="374">
        <f t="shared" si="4"/>
        <v>0</v>
      </c>
      <c r="M29" s="374">
        <f t="shared" si="3"/>
        <v>40439673</v>
      </c>
      <c r="O29" s="417"/>
      <c r="Q29" s="429"/>
      <c r="R29" s="576"/>
      <c r="T29" s="560" t="s">
        <v>1107</v>
      </c>
      <c r="U29" s="266"/>
      <c r="V29" s="266"/>
      <c r="W29" s="571">
        <f>(M22+M35)*-1</f>
        <v>0</v>
      </c>
      <c r="X29" s="655"/>
    </row>
    <row r="30" spans="1:26" s="264" customFormat="1" ht="16.5" customHeight="1">
      <c r="A30" s="263"/>
      <c r="B30" s="261"/>
      <c r="C30" s="566"/>
      <c r="D30" s="566"/>
      <c r="E30" s="566"/>
      <c r="F30" s="566"/>
      <c r="G30" s="566"/>
      <c r="H30" s="566"/>
      <c r="I30" s="566"/>
      <c r="J30" s="566"/>
      <c r="K30" s="566"/>
      <c r="L30" s="566"/>
      <c r="M30" s="567"/>
      <c r="O30" s="431" t="s">
        <v>289</v>
      </c>
      <c r="P30" s="432"/>
      <c r="Q30" s="433">
        <f>Q26+Q22</f>
        <v>85402153</v>
      </c>
      <c r="R30" s="647">
        <f>R28+R24</f>
        <v>-24220124</v>
      </c>
      <c r="T30" s="650" t="s">
        <v>1108</v>
      </c>
      <c r="U30" s="584"/>
      <c r="V30" s="584"/>
      <c r="W30" s="654">
        <f>SUM(W28:W29)</f>
        <v>0</v>
      </c>
      <c r="X30" s="655"/>
    </row>
    <row r="31" spans="1:26" s="264" customFormat="1" ht="12.75" customHeight="1">
      <c r="A31" s="263"/>
      <c r="B31" s="558" t="s">
        <v>1052</v>
      </c>
      <c r="C31" s="558"/>
      <c r="D31" s="374">
        <f t="shared" ref="D31:L31" si="5">D36-SUM(D32:D35)</f>
        <v>11682</v>
      </c>
      <c r="E31" s="374">
        <f t="shared" si="5"/>
        <v>15591142</v>
      </c>
      <c r="F31" s="374">
        <f t="shared" si="5"/>
        <v>13350806</v>
      </c>
      <c r="G31" s="374">
        <f t="shared" si="5"/>
        <v>0</v>
      </c>
      <c r="H31" s="374">
        <f t="shared" si="5"/>
        <v>0</v>
      </c>
      <c r="I31" s="374">
        <f t="shared" si="5"/>
        <v>0</v>
      </c>
      <c r="J31" s="374">
        <f t="shared" si="5"/>
        <v>0</v>
      </c>
      <c r="K31" s="374">
        <f t="shared" si="5"/>
        <v>0</v>
      </c>
      <c r="L31" s="374">
        <f t="shared" si="5"/>
        <v>0</v>
      </c>
      <c r="M31" s="374">
        <f t="shared" ref="M31:M42" si="6">D31+E31+F31+G31+H31+I31+J31+K31+L31</f>
        <v>28953630</v>
      </c>
      <c r="O31" s="434" t="s">
        <v>290</v>
      </c>
      <c r="P31" s="276"/>
      <c r="Q31" s="335"/>
      <c r="R31" s="562"/>
      <c r="T31" s="572" t="s">
        <v>1109</v>
      </c>
      <c r="U31" s="573"/>
      <c r="V31" s="573"/>
      <c r="W31" s="574">
        <f>W27+W30</f>
        <v>6819763</v>
      </c>
      <c r="X31" s="425"/>
      <c r="Z31" s="330"/>
    </row>
    <row r="32" spans="1:26" s="264" customFormat="1" ht="12.75" customHeight="1">
      <c r="A32" s="263"/>
      <c r="B32" s="261" t="s">
        <v>722</v>
      </c>
      <c r="C32" s="261"/>
      <c r="D32" s="372">
        <f>Input!$ER$21</f>
        <v>0</v>
      </c>
      <c r="E32" s="372">
        <f>Input!$ES$21</f>
        <v>0</v>
      </c>
      <c r="F32" s="372">
        <f>Input!$ET$21</f>
        <v>0</v>
      </c>
      <c r="G32" s="372">
        <f>Input!$EU$21</f>
        <v>0</v>
      </c>
      <c r="H32" s="372">
        <f>Input!$EV$21</f>
        <v>0</v>
      </c>
      <c r="I32" s="372">
        <f>Input!$EW$21</f>
        <v>0</v>
      </c>
      <c r="J32" s="372">
        <f>Input!$EX$21</f>
        <v>0</v>
      </c>
      <c r="K32" s="372">
        <f>Input!$EY$21</f>
        <v>0</v>
      </c>
      <c r="L32" s="372">
        <f>Input!$EZ$21</f>
        <v>0</v>
      </c>
      <c r="M32" s="567">
        <f t="shared" si="6"/>
        <v>0</v>
      </c>
      <c r="O32" s="415" t="s">
        <v>1295</v>
      </c>
      <c r="P32" s="416"/>
      <c r="Q32" s="577">
        <f>Input!$SQ$21</f>
        <v>85402153</v>
      </c>
      <c r="R32" s="578"/>
      <c r="T32" s="560"/>
      <c r="U32" s="266"/>
      <c r="V32" s="266"/>
      <c r="X32" s="425"/>
      <c r="Z32" s="330"/>
    </row>
    <row r="33" spans="1:24" s="264" customFormat="1">
      <c r="A33" s="263"/>
      <c r="B33" s="261" t="s">
        <v>723</v>
      </c>
      <c r="C33" s="261"/>
      <c r="D33" s="372">
        <f>Input!$FA$21</f>
        <v>0</v>
      </c>
      <c r="E33" s="372">
        <f>Input!$FB$21</f>
        <v>0</v>
      </c>
      <c r="F33" s="372">
        <f>Input!$FC$21</f>
        <v>0</v>
      </c>
      <c r="G33" s="372">
        <f>Input!$FD$21</f>
        <v>0</v>
      </c>
      <c r="H33" s="372">
        <f>Input!$FE$21</f>
        <v>0</v>
      </c>
      <c r="I33" s="372">
        <f>Input!$FF$21</f>
        <v>0</v>
      </c>
      <c r="J33" s="372">
        <f>Input!$FG$21</f>
        <v>0</v>
      </c>
      <c r="K33" s="372">
        <f>Input!$FH$21</f>
        <v>0</v>
      </c>
      <c r="L33" s="372">
        <f>Input!$FI$21</f>
        <v>0</v>
      </c>
      <c r="M33" s="567">
        <f t="shared" si="6"/>
        <v>0</v>
      </c>
      <c r="O33" s="415"/>
      <c r="P33" s="416"/>
      <c r="Q33" s="327"/>
      <c r="R33" s="578"/>
      <c r="T33" s="560" t="s">
        <v>1051</v>
      </c>
      <c r="U33" s="266"/>
      <c r="V33" s="266"/>
      <c r="W33" s="334">
        <f>(M19+M32)*-1</f>
        <v>14243182</v>
      </c>
      <c r="X33" s="425"/>
    </row>
    <row r="34" spans="1:24" s="264" customFormat="1">
      <c r="A34" s="263"/>
      <c r="B34" s="261" t="s">
        <v>724</v>
      </c>
      <c r="C34" s="261"/>
      <c r="D34" s="372">
        <f>Input!$FJ$21</f>
        <v>0</v>
      </c>
      <c r="E34" s="372">
        <f>Input!$FK$21</f>
        <v>0</v>
      </c>
      <c r="F34" s="372">
        <f>Input!$FL$21</f>
        <v>0</v>
      </c>
      <c r="G34" s="372">
        <f>Input!$FM$21</f>
        <v>0</v>
      </c>
      <c r="H34" s="372">
        <f>Input!$FN$21</f>
        <v>0</v>
      </c>
      <c r="I34" s="372">
        <f>Input!$FO$21</f>
        <v>0</v>
      </c>
      <c r="J34" s="372">
        <f>Input!$FP$21</f>
        <v>0</v>
      </c>
      <c r="K34" s="372">
        <f>Input!$FQ$21</f>
        <v>0</v>
      </c>
      <c r="L34" s="372">
        <f>Input!$FR$21</f>
        <v>0</v>
      </c>
      <c r="M34" s="567">
        <f t="shared" si="6"/>
        <v>0</v>
      </c>
      <c r="O34" s="435" t="s">
        <v>1296</v>
      </c>
      <c r="P34" s="436"/>
      <c r="Q34" s="264" t="s">
        <v>291</v>
      </c>
      <c r="R34" s="648">
        <f>Input!$SR$21</f>
        <v>-24220124</v>
      </c>
      <c r="T34" s="560" t="s">
        <v>1110</v>
      </c>
      <c r="U34" s="266"/>
      <c r="V34" s="266"/>
      <c r="W34" s="430">
        <f>(M24+M37)*-1</f>
        <v>0</v>
      </c>
      <c r="X34" s="425"/>
    </row>
    <row r="35" spans="1:24" s="264" customFormat="1" ht="13.5" thickBot="1">
      <c r="A35" s="263"/>
      <c r="B35" s="261" t="s">
        <v>725</v>
      </c>
      <c r="C35" s="261"/>
      <c r="D35" s="372">
        <f>Input!$FS$21</f>
        <v>0</v>
      </c>
      <c r="E35" s="372">
        <f>Input!$FT$21</f>
        <v>0</v>
      </c>
      <c r="F35" s="372">
        <f>Input!$FU$21</f>
        <v>0</v>
      </c>
      <c r="G35" s="372">
        <f>Input!$FV$21</f>
        <v>0</v>
      </c>
      <c r="H35" s="372">
        <f>Input!$FW$21</f>
        <v>0</v>
      </c>
      <c r="I35" s="372">
        <f>Input!$FX$21</f>
        <v>0</v>
      </c>
      <c r="J35" s="372">
        <f>Input!$FY$21</f>
        <v>0</v>
      </c>
      <c r="K35" s="372">
        <f>Input!$FZ$21</f>
        <v>0</v>
      </c>
      <c r="L35" s="372">
        <f>Input!$GA$21</f>
        <v>0</v>
      </c>
      <c r="M35" s="567">
        <f t="shared" si="6"/>
        <v>0</v>
      </c>
      <c r="O35" s="418" t="s">
        <v>286</v>
      </c>
      <c r="P35" s="419"/>
      <c r="Q35" s="420">
        <f>Q30-Q32</f>
        <v>0</v>
      </c>
      <c r="R35" s="649">
        <f>R30-R34</f>
        <v>0</v>
      </c>
      <c r="T35" s="650" t="s">
        <v>1111</v>
      </c>
      <c r="U35" s="584"/>
      <c r="V35" s="584"/>
      <c r="W35" s="656">
        <f>SUM(W33:W34)</f>
        <v>14243182</v>
      </c>
      <c r="X35" s="655"/>
    </row>
    <row r="36" spans="1:24" s="264" customFormat="1" ht="13.5" thickTop="1">
      <c r="A36" s="263"/>
      <c r="B36" s="558" t="s">
        <v>732</v>
      </c>
      <c r="C36" s="563"/>
      <c r="D36" s="564">
        <f>Input!$GB$21</f>
        <v>11682</v>
      </c>
      <c r="E36" s="564">
        <f>Input!$GC$21</f>
        <v>15591142</v>
      </c>
      <c r="F36" s="564">
        <f>Input!$GD$21</f>
        <v>13350806</v>
      </c>
      <c r="G36" s="564">
        <f>Input!$GE$21</f>
        <v>0</v>
      </c>
      <c r="H36" s="564">
        <f>Input!$GF$21</f>
        <v>0</v>
      </c>
      <c r="I36" s="564">
        <f>Input!$GG$21</f>
        <v>0</v>
      </c>
      <c r="J36" s="564">
        <f>Input!$GH$21</f>
        <v>0</v>
      </c>
      <c r="K36" s="564">
        <f>Input!$GI$21</f>
        <v>0</v>
      </c>
      <c r="L36" s="564">
        <f>Input!$GJ$21</f>
        <v>0</v>
      </c>
      <c r="M36" s="565">
        <f t="shared" si="6"/>
        <v>28953630</v>
      </c>
      <c r="O36" s="261"/>
      <c r="Q36" s="412" t="str">
        <f>IF(Q30&lt;&gt;Q32,"Out of Balance","Balanced")</f>
        <v>Balanced</v>
      </c>
      <c r="R36" s="412" t="str">
        <f>IF(R30&lt;&gt;R34,"Out of Balance","Balanced")</f>
        <v>Balanced</v>
      </c>
      <c r="T36" s="560" t="s">
        <v>1053</v>
      </c>
      <c r="U36" s="266"/>
      <c r="V36" s="266"/>
      <c r="W36" s="334">
        <f>(M20+M33)*-1</f>
        <v>0</v>
      </c>
      <c r="X36" s="425"/>
    </row>
    <row r="37" spans="1:24" s="264" customFormat="1">
      <c r="A37" s="263"/>
      <c r="B37" s="261" t="s">
        <v>727</v>
      </c>
      <c r="C37" s="566"/>
      <c r="D37" s="372">
        <f>Input!$GK$21</f>
        <v>0</v>
      </c>
      <c r="E37" s="372">
        <f>Input!$GL$21</f>
        <v>0</v>
      </c>
      <c r="F37" s="372">
        <f>Input!$GM$21</f>
        <v>0</v>
      </c>
      <c r="G37" s="372">
        <f>Input!$GN$21</f>
        <v>0</v>
      </c>
      <c r="H37" s="372">
        <f>Input!$GO$21</f>
        <v>0</v>
      </c>
      <c r="I37" s="372">
        <f>Input!$GP$21</f>
        <v>0</v>
      </c>
      <c r="J37" s="372">
        <f>Input!$GQ$21</f>
        <v>0</v>
      </c>
      <c r="K37" s="372">
        <f>Input!$GR$21</f>
        <v>0</v>
      </c>
      <c r="L37" s="372">
        <f>Input!$GS$21</f>
        <v>0</v>
      </c>
      <c r="M37" s="567">
        <f t="shared" si="6"/>
        <v>0</v>
      </c>
      <c r="O37" s="261"/>
      <c r="T37" s="560" t="s">
        <v>1112</v>
      </c>
      <c r="U37" s="266"/>
      <c r="V37" s="266"/>
      <c r="W37" s="430">
        <f>(M25+M38)*-1</f>
        <v>0</v>
      </c>
      <c r="X37" s="655"/>
    </row>
    <row r="38" spans="1:24" s="264" customFormat="1">
      <c r="A38" s="263"/>
      <c r="B38" s="261" t="s">
        <v>728</v>
      </c>
      <c r="C38" s="566"/>
      <c r="D38" s="372">
        <f>Input!$GT$21</f>
        <v>0</v>
      </c>
      <c r="E38" s="372">
        <f>Input!$GU$21</f>
        <v>0</v>
      </c>
      <c r="F38" s="372">
        <f>Input!$GV$21</f>
        <v>0</v>
      </c>
      <c r="G38" s="372">
        <f>Input!$GW$21</f>
        <v>0</v>
      </c>
      <c r="H38" s="372">
        <f>Input!$GX$21</f>
        <v>0</v>
      </c>
      <c r="I38" s="372">
        <f>Input!$GY$21</f>
        <v>0</v>
      </c>
      <c r="J38" s="372">
        <f>Input!$GZ$21</f>
        <v>0</v>
      </c>
      <c r="K38" s="372">
        <f>Input!$HA$21</f>
        <v>0</v>
      </c>
      <c r="L38" s="372">
        <f>Input!$HB$21</f>
        <v>0</v>
      </c>
      <c r="M38" s="567">
        <f t="shared" si="6"/>
        <v>0</v>
      </c>
      <c r="O38" s="261"/>
      <c r="T38" s="650" t="s">
        <v>1113</v>
      </c>
      <c r="U38" s="584"/>
      <c r="V38" s="584"/>
      <c r="W38" s="656">
        <f>SUM(W36:W37)</f>
        <v>0</v>
      </c>
      <c r="X38" s="425"/>
    </row>
    <row r="39" spans="1:24" s="264" customFormat="1">
      <c r="A39" s="263"/>
      <c r="B39" s="261" t="s">
        <v>729</v>
      </c>
      <c r="C39" s="566"/>
      <c r="D39" s="372">
        <f>Input!$HC$21</f>
        <v>0</v>
      </c>
      <c r="E39" s="372">
        <f>Input!$HD$21</f>
        <v>0</v>
      </c>
      <c r="F39" s="372">
        <f>Input!$HE$21</f>
        <v>-2734657</v>
      </c>
      <c r="G39" s="372">
        <f>Input!$HF$21</f>
        <v>0</v>
      </c>
      <c r="H39" s="372">
        <f>Input!$HG$21</f>
        <v>0</v>
      </c>
      <c r="I39" s="372">
        <f>Input!$HH$21</f>
        <v>0</v>
      </c>
      <c r="J39" s="372">
        <f>Input!$HI$21</f>
        <v>0</v>
      </c>
      <c r="K39" s="372">
        <f>Input!$HJ$21</f>
        <v>0</v>
      </c>
      <c r="L39" s="372">
        <f>Input!$HK$21</f>
        <v>0</v>
      </c>
      <c r="M39" s="567">
        <f t="shared" si="6"/>
        <v>-2734657</v>
      </c>
      <c r="O39" s="261"/>
      <c r="T39" s="560" t="s">
        <v>1054</v>
      </c>
      <c r="U39" s="266"/>
      <c r="V39" s="266"/>
      <c r="W39" s="334"/>
      <c r="X39" s="425">
        <f>W38+W35</f>
        <v>14243182</v>
      </c>
    </row>
    <row r="40" spans="1:24" s="264" customFormat="1">
      <c r="A40" s="263"/>
      <c r="B40" s="261" t="s">
        <v>730</v>
      </c>
      <c r="C40" s="566"/>
      <c r="D40" s="372">
        <f>Input!$HL$21</f>
        <v>0</v>
      </c>
      <c r="E40" s="372">
        <f>Input!$HM$21</f>
        <v>0</v>
      </c>
      <c r="F40" s="372">
        <f>Input!$HN$21</f>
        <v>0</v>
      </c>
      <c r="G40" s="372">
        <f>Input!$HO$21</f>
        <v>0</v>
      </c>
      <c r="H40" s="372">
        <f>Input!$HP$21</f>
        <v>0</v>
      </c>
      <c r="I40" s="372">
        <f>Input!$HQ$21</f>
        <v>0</v>
      </c>
      <c r="J40" s="372">
        <f>Input!$HR$21</f>
        <v>0</v>
      </c>
      <c r="K40" s="372">
        <f>Input!$HS$21</f>
        <v>0</v>
      </c>
      <c r="L40" s="372">
        <f>Input!$HT$21</f>
        <v>0</v>
      </c>
      <c r="M40" s="567">
        <f t="shared" si="6"/>
        <v>0</v>
      </c>
      <c r="O40" s="261"/>
      <c r="T40" s="560"/>
      <c r="U40" s="261"/>
      <c r="V40" s="261"/>
      <c r="W40" s="261"/>
      <c r="X40" s="655"/>
    </row>
    <row r="41" spans="1:24" s="264" customFormat="1">
      <c r="A41" s="263"/>
      <c r="B41" s="261" t="s">
        <v>2133</v>
      </c>
      <c r="C41" s="566"/>
      <c r="D41" s="372">
        <f>Input!$HU$21</f>
        <v>-3313</v>
      </c>
      <c r="E41" s="372">
        <f>Input!$HV$21</f>
        <v>-4421661</v>
      </c>
      <c r="F41" s="372">
        <f>Input!$HW$21</f>
        <v>-1051643</v>
      </c>
      <c r="G41" s="372">
        <f>Input!$HX$21</f>
        <v>0</v>
      </c>
      <c r="H41" s="372">
        <f>Input!$HY$21</f>
        <v>0</v>
      </c>
      <c r="I41" s="372">
        <f>Input!$HZ$21</f>
        <v>0</v>
      </c>
      <c r="J41" s="372">
        <f>Input!$IA$21</f>
        <v>0</v>
      </c>
      <c r="K41" s="372">
        <f>Input!$IB$21</f>
        <v>0</v>
      </c>
      <c r="L41" s="372">
        <f>Input!$IC$21</f>
        <v>0</v>
      </c>
      <c r="M41" s="567">
        <f t="shared" si="6"/>
        <v>-5476617</v>
      </c>
      <c r="O41"/>
      <c r="P41"/>
      <c r="Q41"/>
      <c r="R41"/>
      <c r="S41"/>
      <c r="T41" s="560" t="s">
        <v>1104</v>
      </c>
      <c r="U41" s="266"/>
      <c r="V41" s="266"/>
      <c r="W41" s="330">
        <f>(M21+M34)*-1</f>
        <v>0</v>
      </c>
      <c r="X41" s="425"/>
    </row>
    <row r="42" spans="1:24" s="264" customFormat="1">
      <c r="A42" s="263"/>
      <c r="B42" s="575" t="s">
        <v>40</v>
      </c>
      <c r="C42" s="563"/>
      <c r="D42" s="374">
        <f t="shared" ref="D42:L42" si="7">SUM(D36:D41)</f>
        <v>8369</v>
      </c>
      <c r="E42" s="374">
        <f t="shared" si="7"/>
        <v>11169481</v>
      </c>
      <c r="F42" s="374">
        <f t="shared" si="7"/>
        <v>9564506</v>
      </c>
      <c r="G42" s="374">
        <f t="shared" si="7"/>
        <v>0</v>
      </c>
      <c r="H42" s="374">
        <f t="shared" si="7"/>
        <v>0</v>
      </c>
      <c r="I42" s="374">
        <f t="shared" si="7"/>
        <v>0</v>
      </c>
      <c r="J42" s="374">
        <f t="shared" si="7"/>
        <v>0</v>
      </c>
      <c r="K42" s="374">
        <f t="shared" si="7"/>
        <v>0</v>
      </c>
      <c r="L42" s="374">
        <f t="shared" si="7"/>
        <v>0</v>
      </c>
      <c r="M42" s="374">
        <f t="shared" si="6"/>
        <v>20742356</v>
      </c>
      <c r="O42"/>
      <c r="P42"/>
      <c r="Q42"/>
      <c r="R42"/>
      <c r="S42"/>
      <c r="T42" s="560" t="s">
        <v>1107</v>
      </c>
      <c r="U42" s="266"/>
      <c r="V42" s="266"/>
      <c r="W42" s="430">
        <f>(M22+M35)*-1</f>
        <v>0</v>
      </c>
      <c r="X42" s="425"/>
    </row>
    <row r="43" spans="1:24" s="264" customFormat="1">
      <c r="A43" s="263"/>
      <c r="B43" s="261"/>
      <c r="C43" s="566"/>
      <c r="D43" s="566"/>
      <c r="E43" s="566"/>
      <c r="F43" s="566"/>
      <c r="G43" s="566"/>
      <c r="H43" s="566"/>
      <c r="I43" s="566"/>
      <c r="J43" s="566"/>
      <c r="K43" s="566"/>
      <c r="L43" s="566"/>
      <c r="M43" s="567"/>
      <c r="O43"/>
      <c r="P43"/>
      <c r="Q43"/>
      <c r="R43"/>
      <c r="S43"/>
      <c r="T43" s="650" t="s">
        <v>1114</v>
      </c>
      <c r="U43" s="584"/>
      <c r="V43" s="584"/>
      <c r="W43" s="656">
        <f>SUM(W41:W42)</f>
        <v>0</v>
      </c>
      <c r="X43" s="655"/>
    </row>
    <row r="44" spans="1:24" s="264" customFormat="1" ht="13.5" customHeight="1">
      <c r="A44" s="263"/>
      <c r="B44" s="575" t="s">
        <v>1055</v>
      </c>
      <c r="C44" s="563"/>
      <c r="D44" s="374">
        <f t="shared" ref="D44:L44" si="8">D42+D29</f>
        <v>10521655</v>
      </c>
      <c r="E44" s="374">
        <f t="shared" si="8"/>
        <v>41095868</v>
      </c>
      <c r="F44" s="374">
        <f t="shared" si="8"/>
        <v>9564506</v>
      </c>
      <c r="G44" s="374">
        <f t="shared" si="8"/>
        <v>0</v>
      </c>
      <c r="H44" s="374">
        <f t="shared" si="8"/>
        <v>0</v>
      </c>
      <c r="I44" s="374">
        <f t="shared" si="8"/>
        <v>0</v>
      </c>
      <c r="J44" s="374">
        <f t="shared" si="8"/>
        <v>0</v>
      </c>
      <c r="K44" s="374">
        <f t="shared" si="8"/>
        <v>0</v>
      </c>
      <c r="L44" s="374">
        <f t="shared" si="8"/>
        <v>0</v>
      </c>
      <c r="M44" s="374">
        <f>D44+E44+F44+G44+H44+I44+J44+K44+L44</f>
        <v>61182029</v>
      </c>
      <c r="O44"/>
      <c r="P44"/>
      <c r="Q44"/>
      <c r="R44"/>
      <c r="S44"/>
      <c r="T44" s="560"/>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0"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0" t="s">
        <v>1112</v>
      </c>
      <c r="U46" s="266"/>
      <c r="V46" s="266"/>
      <c r="W46" s="430">
        <f>(M25+M38)*-1</f>
        <v>0</v>
      </c>
      <c r="X46" s="425"/>
    </row>
    <row r="47" spans="1:24">
      <c r="A47" s="184">
        <v>30</v>
      </c>
      <c r="B47" s="176" t="s">
        <v>7</v>
      </c>
      <c r="C47" s="176"/>
      <c r="D47" s="375">
        <f>Input!$ID$21</f>
        <v>1131406</v>
      </c>
      <c r="E47" s="375">
        <f>Input!$IE$21</f>
        <v>937887</v>
      </c>
      <c r="F47" s="375">
        <f>Input!$IF$21</f>
        <v>0</v>
      </c>
      <c r="G47" s="375">
        <f>Input!$IG$21</f>
        <v>32103883</v>
      </c>
      <c r="H47" s="375">
        <f>Input!$IH$21</f>
        <v>0</v>
      </c>
      <c r="I47" s="375">
        <f>Input!$II$21</f>
        <v>0</v>
      </c>
      <c r="J47" s="375">
        <f>Input!$IJ$21</f>
        <v>0</v>
      </c>
      <c r="K47" s="375">
        <f>Input!$IK$21</f>
        <v>0</v>
      </c>
      <c r="L47" s="375">
        <f>Input!$IL$21</f>
        <v>0</v>
      </c>
      <c r="M47" s="374">
        <f>D47+E47+F47+G47+H47+I47+J47+K47+L47</f>
        <v>34173176</v>
      </c>
      <c r="N47" s="160"/>
      <c r="O47"/>
      <c r="P47"/>
      <c r="Q47"/>
      <c r="R47"/>
      <c r="S47"/>
      <c r="T47" s="657" t="s">
        <v>1115</v>
      </c>
      <c r="U47" s="27"/>
      <c r="V47" s="27"/>
      <c r="W47" s="656">
        <f>SUM(W45:W46)</f>
        <v>0</v>
      </c>
      <c r="X47" s="655"/>
    </row>
    <row r="48" spans="1:24">
      <c r="A48" s="184">
        <v>31</v>
      </c>
      <c r="B48" s="160"/>
      <c r="C48" s="160"/>
      <c r="D48" s="373"/>
      <c r="E48" s="373"/>
      <c r="F48" s="373"/>
      <c r="G48" s="373"/>
      <c r="H48" s="373"/>
      <c r="I48" s="373"/>
      <c r="J48" s="373"/>
      <c r="K48" s="373"/>
      <c r="L48" s="373"/>
      <c r="M48" s="373"/>
      <c r="N48" s="160"/>
      <c r="O48"/>
      <c r="P48"/>
      <c r="Q48"/>
      <c r="R48"/>
      <c r="S48"/>
      <c r="T48" s="560"/>
      <c r="U48" s="261"/>
      <c r="V48" s="261"/>
      <c r="W48" s="261"/>
      <c r="X48" s="658">
        <f>W43-W47</f>
        <v>0</v>
      </c>
    </row>
    <row r="49" spans="1:28">
      <c r="A49" s="184">
        <v>32</v>
      </c>
      <c r="B49" s="172" t="s">
        <v>8</v>
      </c>
      <c r="C49" s="172"/>
      <c r="D49" s="373"/>
      <c r="E49" s="373"/>
      <c r="F49" s="373"/>
      <c r="G49" s="373"/>
      <c r="H49" s="373"/>
      <c r="I49" s="373"/>
      <c r="J49" s="373"/>
      <c r="K49" s="373"/>
      <c r="L49" s="373"/>
      <c r="M49" s="373"/>
      <c r="N49" s="160"/>
      <c r="O49" s="273"/>
      <c r="T49" s="579" t="s">
        <v>287</v>
      </c>
      <c r="U49" s="511"/>
      <c r="V49" s="580"/>
      <c r="W49" s="580"/>
      <c r="X49" s="574">
        <f>SUM(X23:X48)</f>
        <v>99645335</v>
      </c>
    </row>
    <row r="50" spans="1:28">
      <c r="A50" s="184">
        <v>33</v>
      </c>
      <c r="B50" s="160" t="s">
        <v>42</v>
      </c>
      <c r="C50" s="160"/>
      <c r="D50" s="372">
        <f>Input!$IM$21</f>
        <v>20761</v>
      </c>
      <c r="E50" s="372">
        <f>Input!$IN$21</f>
        <v>6166393</v>
      </c>
      <c r="F50" s="372">
        <f>Input!$IO$21</f>
        <v>0</v>
      </c>
      <c r="G50" s="372">
        <f>Input!$IP$21</f>
        <v>824667</v>
      </c>
      <c r="H50" s="372">
        <f>Input!$IQ$21</f>
        <v>188512</v>
      </c>
      <c r="I50" s="372">
        <f>Input!$IR$21</f>
        <v>4816</v>
      </c>
      <c r="J50" s="372">
        <f>Input!$IS$21</f>
        <v>550456</v>
      </c>
      <c r="K50" s="372">
        <f>Input!$IT$21</f>
        <v>0</v>
      </c>
      <c r="L50" s="372">
        <f>Input!$IU$21</f>
        <v>0</v>
      </c>
      <c r="M50" s="373">
        <f t="shared" ref="M50:M57" si="9">D50+E50+F50+G50+H50+I50+J50+K50+L50</f>
        <v>7755605</v>
      </c>
      <c r="N50" s="160"/>
      <c r="O50" s="273"/>
      <c r="U50" s="275"/>
    </row>
    <row r="51" spans="1:28">
      <c r="A51" s="184">
        <v>34</v>
      </c>
      <c r="B51" s="160" t="s">
        <v>9</v>
      </c>
      <c r="C51" s="160"/>
      <c r="D51" s="372">
        <f>Input!$IV$21</f>
        <v>0</v>
      </c>
      <c r="E51" s="372">
        <f>Input!$IW$21</f>
        <v>0</v>
      </c>
      <c r="F51" s="372">
        <f>Input!$IX$21</f>
        <v>0</v>
      </c>
      <c r="G51" s="372">
        <f>Input!$IY$21</f>
        <v>0</v>
      </c>
      <c r="H51" s="372">
        <f>Input!$IZ$21</f>
        <v>0</v>
      </c>
      <c r="I51" s="372">
        <f>Input!$JA$21</f>
        <v>0</v>
      </c>
      <c r="J51" s="372">
        <f>Input!$JB$21</f>
        <v>0</v>
      </c>
      <c r="K51" s="372">
        <f>Input!$JC$21</f>
        <v>0</v>
      </c>
      <c r="L51" s="372">
        <f>Input!$JD$21</f>
        <v>0</v>
      </c>
      <c r="M51" s="376">
        <f t="shared" si="9"/>
        <v>0</v>
      </c>
      <c r="N51" s="160"/>
      <c r="Y51" s="277"/>
    </row>
    <row r="52" spans="1:28">
      <c r="A52" s="184">
        <v>35</v>
      </c>
      <c r="B52" s="160" t="s">
        <v>10</v>
      </c>
      <c r="C52" s="160"/>
      <c r="D52" s="372">
        <f>Input!$JE$21</f>
        <v>0</v>
      </c>
      <c r="E52" s="372">
        <f>Input!$JF$21</f>
        <v>733994</v>
      </c>
      <c r="F52" s="372">
        <f>Input!$JG$21</f>
        <v>708255</v>
      </c>
      <c r="G52" s="372">
        <f>Input!$JH$21</f>
        <v>6838814</v>
      </c>
      <c r="H52" s="372">
        <f>Input!$JI$21</f>
        <v>0</v>
      </c>
      <c r="I52" s="372">
        <f>Input!$JJ$21</f>
        <v>0</v>
      </c>
      <c r="J52" s="372">
        <f>Input!$JK$21</f>
        <v>84050</v>
      </c>
      <c r="K52" s="372">
        <f>Input!$JL$21</f>
        <v>0</v>
      </c>
      <c r="L52" s="372">
        <f>Input!$JM$21</f>
        <v>0</v>
      </c>
      <c r="M52" s="373">
        <f t="shared" si="9"/>
        <v>8365113</v>
      </c>
      <c r="N52" s="160"/>
      <c r="O52" s="273"/>
      <c r="P52" s="278"/>
    </row>
    <row r="53" spans="1:28">
      <c r="A53" s="184">
        <v>36</v>
      </c>
      <c r="B53" s="160" t="s">
        <v>11</v>
      </c>
      <c r="C53" s="160"/>
      <c r="D53" s="372">
        <f>Input!$JN$21</f>
        <v>44150</v>
      </c>
      <c r="E53" s="372">
        <f>Input!$JO$21</f>
        <v>9095396</v>
      </c>
      <c r="F53" s="372">
        <f>Input!$JP$21</f>
        <v>0</v>
      </c>
      <c r="G53" s="372">
        <f>Input!$JQ$21</f>
        <v>2592804</v>
      </c>
      <c r="H53" s="372">
        <f>Input!$JR$21</f>
        <v>0</v>
      </c>
      <c r="I53" s="372">
        <f>Input!$JS$21</f>
        <v>0</v>
      </c>
      <c r="J53" s="372">
        <f>Input!$JT$21</f>
        <v>0</v>
      </c>
      <c r="K53" s="372">
        <f>Input!$JU$21</f>
        <v>0</v>
      </c>
      <c r="L53" s="372">
        <f>Input!$JV$21</f>
        <v>0</v>
      </c>
      <c r="M53" s="373">
        <f t="shared" si="9"/>
        <v>11732350</v>
      </c>
      <c r="N53" s="160"/>
      <c r="O53" s="273"/>
    </row>
    <row r="54" spans="1:28" ht="13.5" thickBot="1">
      <c r="A54" s="184">
        <v>37</v>
      </c>
      <c r="B54" s="177" t="s">
        <v>2134</v>
      </c>
      <c r="C54" s="177"/>
      <c r="D54" s="372">
        <f>Input!$JW$21</f>
        <v>0</v>
      </c>
      <c r="E54" s="372">
        <f>Input!$JX$21</f>
        <v>0</v>
      </c>
      <c r="F54" s="372">
        <f>Input!$JY$21</f>
        <v>12079249</v>
      </c>
      <c r="G54" s="372">
        <f>Input!$JZ$21</f>
        <v>0</v>
      </c>
      <c r="H54" s="372">
        <f>Input!$KA$21</f>
        <v>0</v>
      </c>
      <c r="I54" s="372">
        <f>Input!$KB$21</f>
        <v>0</v>
      </c>
      <c r="J54" s="372">
        <f>Input!$KC$21</f>
        <v>0</v>
      </c>
      <c r="K54" s="372">
        <f>Input!$KD$21</f>
        <v>0</v>
      </c>
      <c r="L54" s="372">
        <f>Input!$KE$21</f>
        <v>0</v>
      </c>
      <c r="M54" s="373">
        <f t="shared" si="9"/>
        <v>12079249</v>
      </c>
      <c r="N54" s="160"/>
      <c r="O54" s="273"/>
    </row>
    <row r="55" spans="1:28" ht="14.25" thickTop="1" thickBot="1">
      <c r="A55" s="184">
        <v>38</v>
      </c>
      <c r="B55" s="160" t="s">
        <v>43</v>
      </c>
      <c r="C55" s="160"/>
      <c r="D55" s="372">
        <f>Input!$KF$21</f>
        <v>11539</v>
      </c>
      <c r="E55" s="372">
        <f>Input!$KG$21</f>
        <v>717489</v>
      </c>
      <c r="F55" s="372">
        <f>Input!$KH$21</f>
        <v>222430</v>
      </c>
      <c r="G55" s="372">
        <f>Input!$KI$21</f>
        <v>0</v>
      </c>
      <c r="H55" s="372">
        <f>Input!$KJ$21</f>
        <v>54715</v>
      </c>
      <c r="I55" s="372">
        <f>Input!$KK$21</f>
        <v>33443</v>
      </c>
      <c r="J55" s="372">
        <f>Input!$KL$21</f>
        <v>0</v>
      </c>
      <c r="K55" s="372">
        <f>Input!$KM$21</f>
        <v>0</v>
      </c>
      <c r="L55" s="372">
        <f>Input!$KN$21</f>
        <v>0</v>
      </c>
      <c r="M55" s="373">
        <f t="shared" si="9"/>
        <v>1039616</v>
      </c>
      <c r="N55" s="160"/>
      <c r="O55" s="1616" t="s">
        <v>251</v>
      </c>
      <c r="P55" s="1617"/>
      <c r="Q55" s="1617"/>
      <c r="R55" s="1618"/>
      <c r="S55" s="437"/>
      <c r="T55" s="1619" t="s">
        <v>252</v>
      </c>
      <c r="U55" s="1620"/>
      <c r="V55" s="1620"/>
      <c r="W55" s="1620"/>
      <c r="X55" s="1621"/>
      <c r="Y55" s="320"/>
      <c r="Z55" s="1749" t="s">
        <v>1301</v>
      </c>
      <c r="AA55" s="1750"/>
      <c r="AB55" s="1751"/>
    </row>
    <row r="56" spans="1:28" ht="13.5" customHeight="1" thickTop="1">
      <c r="A56" s="184">
        <v>39</v>
      </c>
      <c r="B56" s="176" t="s">
        <v>3</v>
      </c>
      <c r="C56" s="176"/>
      <c r="D56" s="374">
        <f>SUM(D50:D55)</f>
        <v>76450</v>
      </c>
      <c r="E56" s="374">
        <f t="shared" ref="E56:L56" si="10">SUM(E50:E55)</f>
        <v>16713272</v>
      </c>
      <c r="F56" s="374">
        <f t="shared" si="10"/>
        <v>13009934</v>
      </c>
      <c r="G56" s="374">
        <f t="shared" si="10"/>
        <v>10256285</v>
      </c>
      <c r="H56" s="374">
        <f t="shared" si="10"/>
        <v>243227</v>
      </c>
      <c r="I56" s="374">
        <f t="shared" si="10"/>
        <v>38259</v>
      </c>
      <c r="J56" s="374">
        <f t="shared" si="10"/>
        <v>634506</v>
      </c>
      <c r="K56" s="374">
        <f t="shared" si="10"/>
        <v>0</v>
      </c>
      <c r="L56" s="374">
        <f t="shared" si="10"/>
        <v>0</v>
      </c>
      <c r="M56" s="374">
        <f t="shared" si="9"/>
        <v>40971933</v>
      </c>
      <c r="N56" s="160"/>
      <c r="O56" s="1622" t="s">
        <v>1135</v>
      </c>
      <c r="P56" s="1625" t="s">
        <v>254</v>
      </c>
      <c r="Q56" s="1625" t="s">
        <v>292</v>
      </c>
      <c r="R56" s="1628" t="s">
        <v>1063</v>
      </c>
      <c r="S56" s="280"/>
      <c r="T56" s="1739" t="s">
        <v>1136</v>
      </c>
      <c r="U56" s="1637" t="s">
        <v>254</v>
      </c>
      <c r="V56" s="1634" t="s">
        <v>256</v>
      </c>
      <c r="W56" s="1637" t="s">
        <v>257</v>
      </c>
      <c r="X56" s="1638" t="s">
        <v>1064</v>
      </c>
      <c r="Z56" s="1754" t="s">
        <v>1302</v>
      </c>
      <c r="AA56" s="1747" t="s">
        <v>1303</v>
      </c>
      <c r="AB56" s="1752" t="s">
        <v>238</v>
      </c>
    </row>
    <row r="57" spans="1:28">
      <c r="A57" s="184">
        <v>40</v>
      </c>
      <c r="B57" s="162" t="s">
        <v>68</v>
      </c>
      <c r="C57" s="162"/>
      <c r="D57" s="374">
        <f>D15+D44+D47+D56</f>
        <v>60502368</v>
      </c>
      <c r="E57" s="374">
        <f t="shared" ref="E57:L57" si="11">E15+E44+E47+E56</f>
        <v>58786027</v>
      </c>
      <c r="F57" s="374">
        <f t="shared" si="11"/>
        <v>22574440</v>
      </c>
      <c r="G57" s="374">
        <f t="shared" si="11"/>
        <v>48045301</v>
      </c>
      <c r="H57" s="374">
        <f t="shared" si="11"/>
        <v>243227</v>
      </c>
      <c r="I57" s="374">
        <f t="shared" si="11"/>
        <v>38259</v>
      </c>
      <c r="J57" s="374">
        <f t="shared" si="11"/>
        <v>634506</v>
      </c>
      <c r="K57" s="374">
        <f t="shared" si="11"/>
        <v>0</v>
      </c>
      <c r="L57" s="374">
        <f t="shared" si="11"/>
        <v>0</v>
      </c>
      <c r="M57" s="374">
        <f t="shared" si="9"/>
        <v>190824128</v>
      </c>
      <c r="N57" s="160"/>
      <c r="O57" s="1623"/>
      <c r="P57" s="1626"/>
      <c r="Q57" s="1626"/>
      <c r="R57" s="1629"/>
      <c r="S57" s="280"/>
      <c r="T57" s="1740"/>
      <c r="U57" s="1626"/>
      <c r="V57" s="1635"/>
      <c r="W57" s="1626"/>
      <c r="X57" s="1639"/>
      <c r="Z57" s="1755"/>
      <c r="AA57" s="1747"/>
      <c r="AB57" s="1752"/>
    </row>
    <row r="58" spans="1:28">
      <c r="A58" s="184">
        <v>41</v>
      </c>
      <c r="B58" s="160"/>
      <c r="C58" s="160"/>
      <c r="D58" s="373"/>
      <c r="E58" s="373"/>
      <c r="F58" s="373"/>
      <c r="G58" s="373"/>
      <c r="H58" s="373"/>
      <c r="I58" s="373"/>
      <c r="J58" s="373"/>
      <c r="K58" s="373"/>
      <c r="L58" s="373"/>
      <c r="M58" s="373"/>
      <c r="N58" s="160"/>
      <c r="O58" s="1623"/>
      <c r="P58" s="1626"/>
      <c r="Q58" s="1626"/>
      <c r="R58" s="1629"/>
      <c r="S58" s="280"/>
      <c r="T58" s="1740"/>
      <c r="U58" s="1626"/>
      <c r="V58" s="1635"/>
      <c r="W58" s="1626"/>
      <c r="X58" s="1639"/>
      <c r="Z58" s="1755"/>
      <c r="AA58" s="1747"/>
      <c r="AB58" s="1752"/>
    </row>
    <row r="59" spans="1:28" ht="14.25" customHeight="1">
      <c r="A59" s="184">
        <v>42</v>
      </c>
      <c r="B59" s="174" t="s">
        <v>72</v>
      </c>
      <c r="C59" s="174"/>
      <c r="D59" s="377"/>
      <c r="E59" s="377"/>
      <c r="F59" s="377"/>
      <c r="G59" s="1746" t="str">
        <f>IF(OR(P105&gt;0,P106&lt;&gt;0,P107&lt;&gt;0),"Do not Enter Cents - Whole Dollars Only","")</f>
        <v/>
      </c>
      <c r="H59" s="1746"/>
      <c r="I59" s="1746"/>
      <c r="J59" s="1746"/>
      <c r="K59" s="1746"/>
      <c r="L59" s="377"/>
      <c r="M59" s="377"/>
      <c r="N59" s="160"/>
      <c r="O59" s="1624"/>
      <c r="P59" s="1627"/>
      <c r="Q59" s="1627"/>
      <c r="R59" s="1630"/>
      <c r="S59" s="280"/>
      <c r="T59" s="1741"/>
      <c r="U59" s="1627"/>
      <c r="V59" s="1636"/>
      <c r="W59" s="1627"/>
      <c r="X59" s="1640"/>
      <c r="Z59" s="1756"/>
      <c r="AA59" s="1748"/>
      <c r="AB59" s="1753"/>
    </row>
    <row r="60" spans="1:28" ht="13.5" thickBot="1">
      <c r="A60" s="184">
        <v>43</v>
      </c>
      <c r="B60" s="160" t="s">
        <v>14</v>
      </c>
      <c r="C60" s="160"/>
      <c r="D60" s="372">
        <f>Input!$KO$21</f>
        <v>27315248</v>
      </c>
      <c r="E60" s="372">
        <f>Input!$KP$21</f>
        <v>14664205</v>
      </c>
      <c r="F60" s="372">
        <f>Input!$KQ$21</f>
        <v>0</v>
      </c>
      <c r="G60" s="372">
        <f>Input!$KR$21</f>
        <v>467479</v>
      </c>
      <c r="H60" s="372">
        <f>Input!$KS$21</f>
        <v>0</v>
      </c>
      <c r="I60" s="372">
        <f>Input!$KT$21</f>
        <v>0</v>
      </c>
      <c r="J60" s="372">
        <f>Input!$KU$21</f>
        <v>0</v>
      </c>
      <c r="K60" s="372">
        <f>Input!$KV$21</f>
        <v>0</v>
      </c>
      <c r="L60" s="372">
        <f>Input!$KW$21</f>
        <v>0</v>
      </c>
      <c r="M60" s="373">
        <f t="shared" ref="M60:M71" si="12">D60+E60+F60+G60+H60+I60+J60+K60+L60</f>
        <v>42446932</v>
      </c>
      <c r="N60" s="160"/>
      <c r="O60" s="282">
        <f>D60+E60+G60+J60</f>
        <v>42446932</v>
      </c>
      <c r="P60" s="518">
        <f>Input!$SS$21</f>
        <v>287358</v>
      </c>
      <c r="Q60" s="438" t="s">
        <v>259</v>
      </c>
      <c r="R60" s="284">
        <f>SUM(O60:P60)</f>
        <v>42734290</v>
      </c>
      <c r="S60" s="439"/>
      <c r="T60" s="286">
        <f t="shared" ref="T60:T67" si="13">D60+E60+G60</f>
        <v>42446932</v>
      </c>
      <c r="U60" s="287">
        <f t="shared" ref="U60:U67" si="14">P60</f>
        <v>287358</v>
      </c>
      <c r="V60" s="289">
        <f>Input!$TC$21</f>
        <v>0</v>
      </c>
      <c r="W60" s="289">
        <f>Input!$TK$21</f>
        <v>0</v>
      </c>
      <c r="X60" s="290">
        <f t="shared" ref="X60:X66" si="15">T60+U60-V60-W60</f>
        <v>42734290</v>
      </c>
      <c r="Z60" s="292" t="s">
        <v>14</v>
      </c>
      <c r="AA60" s="520">
        <f>Input!$TS$21</f>
        <v>42446932</v>
      </c>
      <c r="AB60" s="293">
        <f t="shared" ref="AB60:AB68" si="16">AA60-M60</f>
        <v>0</v>
      </c>
    </row>
    <row r="61" spans="1:28" ht="14.25" thickTop="1" thickBot="1">
      <c r="A61" s="184">
        <v>44</v>
      </c>
      <c r="B61" s="160" t="s">
        <v>15</v>
      </c>
      <c r="C61" s="160"/>
      <c r="D61" s="372">
        <f>Input!$KX$21</f>
        <v>4328246</v>
      </c>
      <c r="E61" s="372">
        <f>Input!$KY$21</f>
        <v>981040</v>
      </c>
      <c r="F61" s="372">
        <f>Input!$KZ$21</f>
        <v>0</v>
      </c>
      <c r="G61" s="372">
        <f>Input!$LA$21</f>
        <v>2384394</v>
      </c>
      <c r="H61" s="372">
        <f>Input!$LB$21</f>
        <v>0</v>
      </c>
      <c r="I61" s="372">
        <f>Input!$LC$21</f>
        <v>0</v>
      </c>
      <c r="J61" s="372">
        <f>Input!$LD$21</f>
        <v>0</v>
      </c>
      <c r="K61" s="372">
        <f>Input!$LE$21</f>
        <v>0</v>
      </c>
      <c r="L61" s="372">
        <f>Input!$LF$21</f>
        <v>0</v>
      </c>
      <c r="M61" s="373">
        <f t="shared" si="12"/>
        <v>7693680</v>
      </c>
      <c r="N61" s="160"/>
      <c r="O61" s="440">
        <f t="shared" ref="O61:O67" si="17">D61+E61+G61+J61</f>
        <v>7693680</v>
      </c>
      <c r="P61" s="518">
        <f>Input!$ST$21</f>
        <v>1392842</v>
      </c>
      <c r="Q61" s="441" t="s">
        <v>259</v>
      </c>
      <c r="R61" s="295">
        <f>SUM(O61:P61)</f>
        <v>9086522</v>
      </c>
      <c r="S61" s="442"/>
      <c r="T61" s="296">
        <f t="shared" si="13"/>
        <v>7693680</v>
      </c>
      <c r="U61" s="297">
        <f t="shared" si="14"/>
        <v>1392842</v>
      </c>
      <c r="V61" s="299">
        <f>Input!$TD$21</f>
        <v>18191</v>
      </c>
      <c r="W61" s="299">
        <f>Input!$TL$21</f>
        <v>0</v>
      </c>
      <c r="X61" s="300">
        <f t="shared" si="15"/>
        <v>9068331</v>
      </c>
      <c r="Z61" s="292" t="s">
        <v>15</v>
      </c>
      <c r="AA61" s="518">
        <f>Input!$TT$21</f>
        <v>7693680</v>
      </c>
      <c r="AB61" s="301">
        <f t="shared" si="16"/>
        <v>0</v>
      </c>
    </row>
    <row r="62" spans="1:28" ht="13.5" thickTop="1">
      <c r="A62" s="184">
        <v>45</v>
      </c>
      <c r="B62" s="160" t="s">
        <v>16</v>
      </c>
      <c r="C62" s="160"/>
      <c r="D62" s="372">
        <f>Input!$LG$21</f>
        <v>1190865</v>
      </c>
      <c r="E62" s="372">
        <f>Input!$LH$21</f>
        <v>936589</v>
      </c>
      <c r="F62" s="372">
        <f>Input!$LI$21</f>
        <v>0</v>
      </c>
      <c r="G62" s="372">
        <f>Input!$LJ$21</f>
        <v>1906632</v>
      </c>
      <c r="H62" s="372">
        <f>Input!$LK$21</f>
        <v>0</v>
      </c>
      <c r="I62" s="372">
        <f>Input!$LL$21</f>
        <v>0</v>
      </c>
      <c r="J62" s="372">
        <f>Input!$LM$21</f>
        <v>0</v>
      </c>
      <c r="K62" s="372">
        <f>Input!$LN$21</f>
        <v>0</v>
      </c>
      <c r="L62" s="372">
        <f>Input!$LO$21</f>
        <v>0</v>
      </c>
      <c r="M62" s="373">
        <f t="shared" si="12"/>
        <v>4034086</v>
      </c>
      <c r="N62" s="160"/>
      <c r="O62" s="440">
        <f t="shared" si="17"/>
        <v>4034086</v>
      </c>
      <c r="P62" s="518">
        <f>Input!$SU$21</f>
        <v>9995</v>
      </c>
      <c r="Q62" s="441" t="s">
        <v>259</v>
      </c>
      <c r="R62" s="302" t="s">
        <v>259</v>
      </c>
      <c r="S62" s="442"/>
      <c r="T62" s="296">
        <f t="shared" si="13"/>
        <v>4034086</v>
      </c>
      <c r="U62" s="297">
        <f t="shared" si="14"/>
        <v>9995</v>
      </c>
      <c r="V62" s="299">
        <f>Input!$TE$21</f>
        <v>0</v>
      </c>
      <c r="W62" s="299">
        <f>Input!$TM$21</f>
        <v>0</v>
      </c>
      <c r="X62" s="303">
        <f t="shared" si="15"/>
        <v>4044081</v>
      </c>
      <c r="Z62" s="292" t="s">
        <v>16</v>
      </c>
      <c r="AA62" s="518">
        <f>Input!$TU$21</f>
        <v>4034086</v>
      </c>
      <c r="AB62" s="301">
        <f t="shared" si="16"/>
        <v>0</v>
      </c>
    </row>
    <row r="63" spans="1:28">
      <c r="A63" s="184">
        <v>46</v>
      </c>
      <c r="B63" s="160" t="s">
        <v>17</v>
      </c>
      <c r="C63" s="160"/>
      <c r="D63" s="372">
        <f>Input!$LP$21</f>
        <v>7022250</v>
      </c>
      <c r="E63" s="372">
        <f>Input!$LQ$21</f>
        <v>5614682</v>
      </c>
      <c r="F63" s="372">
        <f>Input!$LR$21</f>
        <v>0</v>
      </c>
      <c r="G63" s="372">
        <f>Input!$LS$21</f>
        <v>4350728</v>
      </c>
      <c r="H63" s="372">
        <f>Input!$LT$21</f>
        <v>0</v>
      </c>
      <c r="I63" s="372">
        <f>Input!$LU$21</f>
        <v>0</v>
      </c>
      <c r="J63" s="372">
        <f>Input!$LV$21</f>
        <v>0</v>
      </c>
      <c r="K63" s="372">
        <f>Input!$LW$21</f>
        <v>0</v>
      </c>
      <c r="L63" s="372">
        <f>Input!$LX$21</f>
        <v>0</v>
      </c>
      <c r="M63" s="373">
        <f t="shared" si="12"/>
        <v>16987660</v>
      </c>
      <c r="N63" s="160"/>
      <c r="O63" s="440">
        <f t="shared" si="17"/>
        <v>16987660</v>
      </c>
      <c r="P63" s="518">
        <f>Input!$SV$21</f>
        <v>230977</v>
      </c>
      <c r="Q63" s="441" t="s">
        <v>259</v>
      </c>
      <c r="R63" s="295">
        <f t="shared" ref="R63:R65" si="18">SUM(O63:P63)</f>
        <v>17218637</v>
      </c>
      <c r="S63" s="442"/>
      <c r="T63" s="296">
        <f t="shared" si="13"/>
        <v>16987660</v>
      </c>
      <c r="U63" s="297">
        <f t="shared" si="14"/>
        <v>230977</v>
      </c>
      <c r="V63" s="299">
        <f>Input!$TF$21</f>
        <v>0</v>
      </c>
      <c r="W63" s="299">
        <f>Input!$TN$21</f>
        <v>0</v>
      </c>
      <c r="X63" s="303">
        <f t="shared" si="15"/>
        <v>17218637</v>
      </c>
      <c r="Z63" s="292" t="s">
        <v>17</v>
      </c>
      <c r="AA63" s="518">
        <f>Input!$TV$21</f>
        <v>16987660</v>
      </c>
      <c r="AB63" s="301">
        <f t="shared" si="16"/>
        <v>0</v>
      </c>
    </row>
    <row r="64" spans="1:28">
      <c r="A64" s="184">
        <v>47</v>
      </c>
      <c r="B64" s="160" t="s">
        <v>18</v>
      </c>
      <c r="C64" s="160"/>
      <c r="D64" s="372">
        <f>Input!$LY$21</f>
        <v>2390297</v>
      </c>
      <c r="E64" s="372">
        <f>Input!$LZ$21</f>
        <v>7723298</v>
      </c>
      <c r="F64" s="372">
        <f>Input!$MA$21</f>
        <v>0</v>
      </c>
      <c r="G64" s="372">
        <f>Input!$MB$21</f>
        <v>998399</v>
      </c>
      <c r="H64" s="372">
        <f>Input!$MC$21</f>
        <v>42766</v>
      </c>
      <c r="I64" s="372">
        <f>Input!$MD$21</f>
        <v>0</v>
      </c>
      <c r="J64" s="372">
        <f>Input!$ME$21</f>
        <v>0</v>
      </c>
      <c r="K64" s="372">
        <f>Input!$MF$21</f>
        <v>0</v>
      </c>
      <c r="L64" s="372">
        <f>Input!$MG$21</f>
        <v>0</v>
      </c>
      <c r="M64" s="373">
        <f t="shared" si="12"/>
        <v>11154760</v>
      </c>
      <c r="N64" s="160"/>
      <c r="O64" s="440">
        <f t="shared" si="17"/>
        <v>11111994</v>
      </c>
      <c r="P64" s="518">
        <f>Input!$SW$21</f>
        <v>9321</v>
      </c>
      <c r="Q64" s="518">
        <f>Input!$TB$21</f>
        <v>0</v>
      </c>
      <c r="R64" s="295">
        <f>SUM(O64:P64)-Q64</f>
        <v>11121315</v>
      </c>
      <c r="S64" s="442"/>
      <c r="T64" s="296">
        <f t="shared" si="13"/>
        <v>11111994</v>
      </c>
      <c r="U64" s="297">
        <f t="shared" si="14"/>
        <v>9321</v>
      </c>
      <c r="V64" s="299">
        <f>Input!$TG$21</f>
        <v>0</v>
      </c>
      <c r="W64" s="299">
        <f>Input!$TO$21</f>
        <v>0</v>
      </c>
      <c r="X64" s="303">
        <f t="shared" si="15"/>
        <v>11121315</v>
      </c>
      <c r="Z64" s="292" t="s">
        <v>18</v>
      </c>
      <c r="AA64" s="518">
        <f>Input!$TW$21</f>
        <v>11154760</v>
      </c>
      <c r="AB64" s="301">
        <f t="shared" si="16"/>
        <v>0</v>
      </c>
    </row>
    <row r="65" spans="1:28">
      <c r="A65" s="184">
        <v>48</v>
      </c>
      <c r="B65" s="160" t="s">
        <v>19</v>
      </c>
      <c r="C65" s="160"/>
      <c r="D65" s="372">
        <f>Input!$MH$21</f>
        <v>5297690</v>
      </c>
      <c r="E65" s="372">
        <f>Input!$MI$21</f>
        <v>7927877</v>
      </c>
      <c r="F65" s="372">
        <f>Input!$MJ$21</f>
        <v>0</v>
      </c>
      <c r="G65" s="372">
        <f>Input!$MK$21</f>
        <v>5629</v>
      </c>
      <c r="H65" s="372">
        <f>Input!$ML$21</f>
        <v>0</v>
      </c>
      <c r="I65" s="372">
        <f>Input!$MM$21</f>
        <v>0</v>
      </c>
      <c r="J65" s="372">
        <f>Input!$MN$21</f>
        <v>0</v>
      </c>
      <c r="K65" s="372">
        <f>Input!$MO$21</f>
        <v>0</v>
      </c>
      <c r="L65" s="372">
        <f>Input!$MP$21</f>
        <v>0</v>
      </c>
      <c r="M65" s="373">
        <f t="shared" si="12"/>
        <v>13231196</v>
      </c>
      <c r="N65" s="160"/>
      <c r="O65" s="440">
        <f t="shared" si="17"/>
        <v>13231196</v>
      </c>
      <c r="P65" s="518">
        <f>Input!$SX$21</f>
        <v>332819</v>
      </c>
      <c r="Q65" s="441" t="s">
        <v>259</v>
      </c>
      <c r="R65" s="295">
        <f t="shared" si="18"/>
        <v>13564015</v>
      </c>
      <c r="S65" s="442"/>
      <c r="T65" s="296">
        <f t="shared" si="13"/>
        <v>13231196</v>
      </c>
      <c r="U65" s="297">
        <f t="shared" si="14"/>
        <v>332819</v>
      </c>
      <c r="V65" s="299">
        <f>Input!$TH$21</f>
        <v>0</v>
      </c>
      <c r="W65" s="299">
        <f>Input!$TP$21</f>
        <v>0</v>
      </c>
      <c r="X65" s="303">
        <f t="shared" si="15"/>
        <v>13564015</v>
      </c>
      <c r="Z65" s="292" t="s">
        <v>19</v>
      </c>
      <c r="AA65" s="518">
        <f>Input!$TX$21</f>
        <v>13231196</v>
      </c>
      <c r="AB65" s="301">
        <f t="shared" si="16"/>
        <v>0</v>
      </c>
    </row>
    <row r="66" spans="1:28">
      <c r="A66" s="184">
        <v>49</v>
      </c>
      <c r="B66" s="160" t="s">
        <v>20</v>
      </c>
      <c r="C66" s="160"/>
      <c r="D66" s="372">
        <f>Input!$MQ$21</f>
        <v>4903342</v>
      </c>
      <c r="E66" s="372">
        <f>Input!$MR$21</f>
        <v>11544675</v>
      </c>
      <c r="F66" s="372">
        <f>Input!$MS$21</f>
        <v>0</v>
      </c>
      <c r="G66" s="372">
        <f>Input!$MT$21</f>
        <v>37406</v>
      </c>
      <c r="H66" s="372">
        <f>Input!$MU$21</f>
        <v>0</v>
      </c>
      <c r="I66" s="372">
        <f>Input!$MV$21</f>
        <v>0</v>
      </c>
      <c r="J66" s="372">
        <f>Input!$MW$21</f>
        <v>3490814</v>
      </c>
      <c r="K66" s="372">
        <f>Input!$MX$21</f>
        <v>0</v>
      </c>
      <c r="L66" s="372">
        <f>Input!$MY$21</f>
        <v>0</v>
      </c>
      <c r="M66" s="373">
        <f t="shared" si="12"/>
        <v>19976237</v>
      </c>
      <c r="N66" s="160"/>
      <c r="O66" s="440">
        <f t="shared" si="17"/>
        <v>19976237</v>
      </c>
      <c r="P66" s="518">
        <f>Input!$SY$21</f>
        <v>206665</v>
      </c>
      <c r="Q66" s="441" t="s">
        <v>259</v>
      </c>
      <c r="R66" s="304" t="s">
        <v>259</v>
      </c>
      <c r="S66" s="442"/>
      <c r="T66" s="296">
        <f t="shared" si="13"/>
        <v>16485423</v>
      </c>
      <c r="U66" s="297">
        <f t="shared" si="14"/>
        <v>206665</v>
      </c>
      <c r="V66" s="299">
        <f>Input!$TI$21</f>
        <v>0</v>
      </c>
      <c r="W66" s="299">
        <f>Input!$TQ$21</f>
        <v>0</v>
      </c>
      <c r="X66" s="303">
        <f t="shared" si="15"/>
        <v>16692088</v>
      </c>
      <c r="Z66" s="292" t="s">
        <v>260</v>
      </c>
      <c r="AA66" s="518">
        <f>Input!$TY$21</f>
        <v>19976237</v>
      </c>
      <c r="AB66" s="301">
        <f t="shared" si="16"/>
        <v>0</v>
      </c>
    </row>
    <row r="67" spans="1:28" ht="13.5" thickBot="1">
      <c r="A67" s="184">
        <v>50</v>
      </c>
      <c r="B67" s="160" t="s">
        <v>21</v>
      </c>
      <c r="C67" s="160"/>
      <c r="D67" s="372">
        <f>Input!$MZ$21</f>
        <v>720178</v>
      </c>
      <c r="E67" s="372">
        <f>Input!$NA$21</f>
        <v>5521047</v>
      </c>
      <c r="F67" s="372">
        <f>Input!$NB$21</f>
        <v>0</v>
      </c>
      <c r="G67" s="372">
        <f>Input!$NC$21</f>
        <v>10485593</v>
      </c>
      <c r="H67" s="372">
        <f>Input!$ND$21</f>
        <v>0</v>
      </c>
      <c r="I67" s="372">
        <f>Input!$NE$21</f>
        <v>0</v>
      </c>
      <c r="J67" s="372">
        <f>Input!$NF$21</f>
        <v>0</v>
      </c>
      <c r="K67" s="372">
        <f>Input!$NG$21</f>
        <v>0</v>
      </c>
      <c r="L67" s="372">
        <f>Input!$NH$21</f>
        <v>0</v>
      </c>
      <c r="M67" s="373">
        <f t="shared" si="12"/>
        <v>16726818</v>
      </c>
      <c r="N67" s="160"/>
      <c r="O67" s="440">
        <f t="shared" si="17"/>
        <v>16726818</v>
      </c>
      <c r="P67" s="518">
        <f>Input!$SZ$21</f>
        <v>6197</v>
      </c>
      <c r="Q67" s="441" t="s">
        <v>259</v>
      </c>
      <c r="R67" s="304" t="s">
        <v>259</v>
      </c>
      <c r="S67" s="442"/>
      <c r="T67" s="306">
        <f t="shared" si="13"/>
        <v>16726818</v>
      </c>
      <c r="U67" s="307">
        <f t="shared" si="14"/>
        <v>6197</v>
      </c>
      <c r="V67" s="308">
        <f>Input!$TJ$21</f>
        <v>0</v>
      </c>
      <c r="W67" s="308">
        <f>Input!$TR$21</f>
        <v>0</v>
      </c>
      <c r="X67" s="303">
        <f>U67+T67-V67-W67</f>
        <v>16733015</v>
      </c>
      <c r="Z67" s="292" t="s">
        <v>21</v>
      </c>
      <c r="AA67" s="518">
        <f>Input!$TZ$21</f>
        <v>16726818</v>
      </c>
      <c r="AB67" s="301">
        <f t="shared" si="16"/>
        <v>0</v>
      </c>
    </row>
    <row r="68" spans="1:28" ht="14.25" thickTop="1" thickBot="1">
      <c r="A68" s="184">
        <v>51</v>
      </c>
      <c r="B68" s="160" t="s">
        <v>2135</v>
      </c>
      <c r="C68" s="160"/>
      <c r="D68" s="372">
        <f>Input!$NI$21</f>
        <v>0</v>
      </c>
      <c r="E68" s="372">
        <f>Input!$NJ$21</f>
        <v>0</v>
      </c>
      <c r="F68" s="372">
        <f>Input!$NK$21</f>
        <v>19924182</v>
      </c>
      <c r="G68" s="372">
        <f>Input!$NL$21</f>
        <v>0</v>
      </c>
      <c r="H68" s="372">
        <f>Input!$NM$21</f>
        <v>0</v>
      </c>
      <c r="I68" s="372">
        <f>Input!$NN$21</f>
        <v>0</v>
      </c>
      <c r="J68" s="372">
        <f>Input!$NO$21</f>
        <v>0</v>
      </c>
      <c r="K68" s="372">
        <f>Input!$NP$21</f>
        <v>0</v>
      </c>
      <c r="L68" s="372">
        <f>Input!$NQ$21</f>
        <v>0</v>
      </c>
      <c r="M68" s="373">
        <f t="shared" si="12"/>
        <v>19924182</v>
      </c>
      <c r="N68" s="160"/>
      <c r="O68" s="309" t="s">
        <v>259</v>
      </c>
      <c r="P68" s="519">
        <f>Input!$TA$21</f>
        <v>0</v>
      </c>
      <c r="Q68" s="444" t="s">
        <v>259</v>
      </c>
      <c r="R68" s="311" t="s">
        <v>259</v>
      </c>
      <c r="S68" s="442"/>
      <c r="T68" s="305"/>
      <c r="U68" s="305"/>
      <c r="V68" s="312" t="s">
        <v>261</v>
      </c>
      <c r="W68" s="313"/>
      <c r="X68" s="314">
        <f>SUM(X60:X67)</f>
        <v>131175772</v>
      </c>
      <c r="Z68" s="292" t="s">
        <v>22</v>
      </c>
      <c r="AA68" s="518">
        <f>Input!$UA$21</f>
        <v>19924182</v>
      </c>
      <c r="AB68" s="301">
        <f t="shared" si="16"/>
        <v>0</v>
      </c>
    </row>
    <row r="69" spans="1:28" ht="14.25" thickTop="1" thickBot="1">
      <c r="A69" s="184">
        <v>52</v>
      </c>
      <c r="B69" s="161" t="s">
        <v>59</v>
      </c>
      <c r="C69" s="161"/>
      <c r="D69" s="372">
        <f>Input!$NR$21</f>
        <v>1430315</v>
      </c>
      <c r="E69" s="372">
        <f>Input!$NS$21</f>
        <v>431947</v>
      </c>
      <c r="F69" s="372">
        <f>Input!$NT$21</f>
        <v>6197</v>
      </c>
      <c r="G69" s="372">
        <f>Input!$NU$21</f>
        <v>607715</v>
      </c>
      <c r="H69" s="372">
        <f>Input!$NV$21</f>
        <v>0</v>
      </c>
      <c r="I69" s="372">
        <f>Input!$NW$21</f>
        <v>0</v>
      </c>
      <c r="J69" s="372">
        <f>Input!$NX$21</f>
        <v>0</v>
      </c>
      <c r="K69" s="372">
        <f>Input!$NY$21</f>
        <v>0</v>
      </c>
      <c r="L69" s="372">
        <f>Input!$NZ$21</f>
        <v>0</v>
      </c>
      <c r="M69" s="373">
        <f t="shared" si="12"/>
        <v>2476174</v>
      </c>
      <c r="N69" s="160"/>
      <c r="O69" s="315"/>
      <c r="P69" s="316">
        <f>SUM(P60:P68)</f>
        <v>2476174</v>
      </c>
      <c r="Q69" s="316">
        <f>SUM(Q64:Q68)</f>
        <v>0</v>
      </c>
      <c r="R69" s="317">
        <f>SUM(R60:R65)</f>
        <v>93724779</v>
      </c>
      <c r="S69" s="316"/>
      <c r="T69" s="305"/>
      <c r="U69" s="305"/>
      <c r="V69" s="305"/>
      <c r="W69" s="277"/>
      <c r="X69" s="277"/>
      <c r="Y69" s="277"/>
      <c r="Z69" s="292" t="s">
        <v>285</v>
      </c>
      <c r="AA69" s="445">
        <f>M88*-1</f>
        <v>20263972</v>
      </c>
      <c r="AB69" s="301">
        <f>AA69+M88</f>
        <v>0</v>
      </c>
    </row>
    <row r="70" spans="1:28" ht="14.25" thickTop="1" thickBot="1">
      <c r="A70" s="184">
        <v>53</v>
      </c>
      <c r="B70" s="178" t="s">
        <v>44</v>
      </c>
      <c r="C70" s="178"/>
      <c r="D70" s="378">
        <f>Input!$OA$21</f>
        <v>0</v>
      </c>
      <c r="E70" s="378">
        <f>Input!$OB$21</f>
        <v>517619</v>
      </c>
      <c r="F70" s="378">
        <f>Input!$OC$21</f>
        <v>0</v>
      </c>
      <c r="G70" s="378">
        <f>Input!$OD$21</f>
        <v>0</v>
      </c>
      <c r="H70" s="378">
        <f>Input!$OE$21</f>
        <v>0</v>
      </c>
      <c r="I70" s="378">
        <f>Input!$OF$21</f>
        <v>0</v>
      </c>
      <c r="J70" s="378">
        <f>Input!$OG$21</f>
        <v>0</v>
      </c>
      <c r="K70" s="378">
        <f>Input!$OH$21</f>
        <v>0</v>
      </c>
      <c r="L70" s="378">
        <f>Input!$OI$21</f>
        <v>20000</v>
      </c>
      <c r="M70" s="373">
        <f t="shared" si="12"/>
        <v>537619</v>
      </c>
      <c r="N70" s="160"/>
      <c r="O70" s="320"/>
      <c r="P70" s="516" t="str">
        <f>IF(P69&lt;&gt;M69,"Out of Balance","Balanced")</f>
        <v>Balanced</v>
      </c>
      <c r="Q70" s="318"/>
      <c r="R70" s="305"/>
      <c r="S70" s="305"/>
      <c r="T70" s="305"/>
      <c r="U70" s="277"/>
      <c r="V70" s="1738" t="str">
        <f>IF(X68-INT(X68)&lt;&gt;0,"Whole Dollars Only","")</f>
        <v/>
      </c>
      <c r="W70" s="1738"/>
      <c r="X70" s="537"/>
      <c r="Y70" s="319"/>
      <c r="Z70" s="410" t="s">
        <v>262</v>
      </c>
      <c r="AA70" s="446" t="s">
        <v>259</v>
      </c>
      <c r="AB70" s="411">
        <f>M90</f>
        <v>0</v>
      </c>
    </row>
    <row r="71" spans="1:28" ht="13.5" thickTop="1">
      <c r="A71" s="184">
        <v>54</v>
      </c>
      <c r="B71" s="162" t="s">
        <v>69</v>
      </c>
      <c r="C71" s="162"/>
      <c r="D71" s="374">
        <f>SUM(D60:D70)</f>
        <v>54598431</v>
      </c>
      <c r="E71" s="374">
        <f>SUM(E60:E70)</f>
        <v>55862979</v>
      </c>
      <c r="F71" s="374">
        <f t="shared" ref="F71:L71" si="19">SUM(F60:F70)</f>
        <v>19930379</v>
      </c>
      <c r="G71" s="374">
        <f t="shared" si="19"/>
        <v>21243975</v>
      </c>
      <c r="H71" s="374">
        <f t="shared" si="19"/>
        <v>42766</v>
      </c>
      <c r="I71" s="374">
        <f t="shared" si="19"/>
        <v>0</v>
      </c>
      <c r="J71" s="374">
        <f t="shared" si="19"/>
        <v>3490814</v>
      </c>
      <c r="K71" s="374">
        <f t="shared" si="19"/>
        <v>0</v>
      </c>
      <c r="L71" s="374">
        <f t="shared" si="19"/>
        <v>20000</v>
      </c>
      <c r="M71" s="374">
        <f t="shared" si="12"/>
        <v>155189344</v>
      </c>
      <c r="N71" s="160"/>
      <c r="O71" s="322"/>
      <c r="P71" s="1738" t="str">
        <f>IF(P69-INT(P69)&lt;&gt;0,"Whole Dollars Only","")</f>
        <v/>
      </c>
      <c r="Q71" s="1738"/>
      <c r="R71" s="323"/>
      <c r="S71" s="323"/>
      <c r="T71" s="323"/>
      <c r="U71" s="291"/>
      <c r="V71" s="324"/>
      <c r="W71" s="321"/>
      <c r="X71" s="321"/>
      <c r="Y71" s="321"/>
      <c r="Z71" s="318"/>
      <c r="AA71" s="325">
        <f>SUM(AA60:AA70)</f>
        <v>172439523</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Input!$OJ$21</f>
        <v>0</v>
      </c>
      <c r="E74" s="372">
        <f>Input!$OK$21</f>
        <v>0</v>
      </c>
      <c r="F74" s="372">
        <f>Input!$OL$21</f>
        <v>0</v>
      </c>
      <c r="G74" s="372">
        <f>Input!$OM$21</f>
        <v>0</v>
      </c>
      <c r="H74" s="372">
        <f>Input!$ON$21</f>
        <v>0</v>
      </c>
      <c r="I74" s="372">
        <f>Input!$OO$21</f>
        <v>0</v>
      </c>
      <c r="J74" s="372">
        <f>Input!$OP$21</f>
        <v>-72847</v>
      </c>
      <c r="K74" s="372">
        <f>Input!$OQ$21</f>
        <v>0</v>
      </c>
      <c r="L74" s="372">
        <f>Input!$OR$21</f>
        <v>0</v>
      </c>
      <c r="M74" s="373">
        <f>D74+E74+F74+G74+H74+I74+J74+K74+L74</f>
        <v>-72847</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Input!$OS$21</f>
        <v>2388589</v>
      </c>
      <c r="E75" s="372">
        <f>Input!$OT$21</f>
        <v>12635365</v>
      </c>
      <c r="F75" s="372">
        <f>Input!$OU$21</f>
        <v>3284053</v>
      </c>
      <c r="G75" s="372">
        <f>Input!$OV$21</f>
        <v>-27182395</v>
      </c>
      <c r="H75" s="372">
        <f>Input!$OW$21</f>
        <v>103787</v>
      </c>
      <c r="I75" s="372">
        <f>Input!$OX$21</f>
        <v>1396055</v>
      </c>
      <c r="J75" s="372">
        <f>Input!$OY$21</f>
        <v>9392558</v>
      </c>
      <c r="K75" s="372">
        <f>Input!$OZ$21</f>
        <v>0</v>
      </c>
      <c r="L75" s="372">
        <f>Input!$PA$21</f>
        <v>0</v>
      </c>
      <c r="M75" s="373">
        <f>D75+E75+F75+G75+H75+I75+J75+K75+L75</f>
        <v>2018012</v>
      </c>
      <c r="N75" s="160"/>
      <c r="O75" s="1723" t="str">
        <f>IF(M85&lt;0,"Footnote 11 is N/A - No Data Entry Required","Footnote 11")</f>
        <v>Footnote 11</v>
      </c>
      <c r="P75" s="1724"/>
      <c r="Q75" s="1724"/>
      <c r="R75" s="1725"/>
      <c r="S75" s="330"/>
      <c r="T75" s="330"/>
      <c r="U75" s="327"/>
      <c r="V75" s="276"/>
      <c r="W75" s="331"/>
      <c r="X75" s="331"/>
      <c r="Y75" s="328"/>
      <c r="Z75" s="328"/>
      <c r="AA75" s="276"/>
      <c r="AB75" s="276" t="s">
        <v>293</v>
      </c>
    </row>
    <row r="76" spans="1:28" ht="13.5" thickTop="1">
      <c r="A76" s="184">
        <v>59</v>
      </c>
      <c r="B76" s="160" t="s">
        <v>45</v>
      </c>
      <c r="C76" s="160"/>
      <c r="D76" s="372">
        <f>Input!$PB$21</f>
        <v>0</v>
      </c>
      <c r="E76" s="372">
        <f>Input!$PC$21</f>
        <v>0</v>
      </c>
      <c r="F76" s="372">
        <f>Input!$PD$21</f>
        <v>0</v>
      </c>
      <c r="G76" s="372">
        <f>Input!$PE$21</f>
        <v>0</v>
      </c>
      <c r="H76" s="372">
        <f>Input!$PF$21</f>
        <v>0</v>
      </c>
      <c r="I76" s="372">
        <f>Input!$PG$21</f>
        <v>0</v>
      </c>
      <c r="J76" s="372">
        <f>Input!$PH$21</f>
        <v>0</v>
      </c>
      <c r="K76" s="372">
        <f>Input!$PI$21</f>
        <v>0</v>
      </c>
      <c r="L76" s="372">
        <f>Input!$PJ$21</f>
        <v>0</v>
      </c>
      <c r="M76" s="373">
        <f>D76+E76+F76+G76+H76+I76+J76+K76+L76</f>
        <v>0</v>
      </c>
      <c r="N76" s="160"/>
      <c r="O76" s="487" t="s">
        <v>583</v>
      </c>
      <c r="P76" s="488"/>
      <c r="Q76" s="489"/>
      <c r="R76" s="490">
        <f>IF($M$85&lt;0,"N/A",$M$85)</f>
        <v>41017113</v>
      </c>
      <c r="S76" s="330"/>
      <c r="T76" s="330"/>
      <c r="U76" s="327"/>
      <c r="V76" s="276"/>
      <c r="W76" s="331"/>
      <c r="X76" s="331"/>
      <c r="Y76" s="331"/>
      <c r="Z76" s="331"/>
      <c r="AA76" s="276"/>
      <c r="AB76" s="276"/>
    </row>
    <row r="77" spans="1:28">
      <c r="A77" s="184">
        <v>60</v>
      </c>
      <c r="B77" s="160" t="s">
        <v>46</v>
      </c>
      <c r="C77" s="160"/>
      <c r="D77" s="372">
        <f>Input!$PK$21</f>
        <v>-9033668</v>
      </c>
      <c r="E77" s="372">
        <f>Input!$PL$21</f>
        <v>-380443</v>
      </c>
      <c r="F77" s="372">
        <f>Input!$PM$21</f>
        <v>-6748720</v>
      </c>
      <c r="G77" s="372">
        <f>Input!$PN$21</f>
        <v>0</v>
      </c>
      <c r="H77" s="372">
        <f>Input!$PO$21</f>
        <v>0</v>
      </c>
      <c r="I77" s="372">
        <f>Input!$PP$21</f>
        <v>0</v>
      </c>
      <c r="J77" s="372">
        <f>Input!$PQ$21</f>
        <v>0</v>
      </c>
      <c r="K77" s="372">
        <f>Input!$PR$21</f>
        <v>0</v>
      </c>
      <c r="L77" s="372">
        <f>Input!$PS$21</f>
        <v>0</v>
      </c>
      <c r="M77" s="373">
        <f>D77+E77+F77+G77+H77+I77+J77+K77+L77</f>
        <v>-16162831</v>
      </c>
      <c r="N77" s="160"/>
      <c r="O77" s="491" t="s">
        <v>584</v>
      </c>
      <c r="P77" s="334"/>
      <c r="Q77" s="334"/>
      <c r="R77" s="521">
        <f>Input!$UB$21</f>
        <v>21417118</v>
      </c>
      <c r="S77" s="330"/>
      <c r="T77" s="330"/>
      <c r="U77" s="327"/>
      <c r="V77" s="276"/>
      <c r="W77" s="331"/>
      <c r="X77" s="331"/>
      <c r="Y77" s="331"/>
      <c r="Z77" s="331"/>
      <c r="AA77" s="276"/>
      <c r="AB77" s="276"/>
    </row>
    <row r="78" spans="1:28">
      <c r="A78" s="184">
        <v>61</v>
      </c>
      <c r="B78" s="162" t="s">
        <v>3</v>
      </c>
      <c r="C78" s="162"/>
      <c r="D78" s="374">
        <f t="shared" ref="D78:L78" si="20">SUM(D74:D77)</f>
        <v>-6645079</v>
      </c>
      <c r="E78" s="374">
        <f t="shared" si="20"/>
        <v>12254922</v>
      </c>
      <c r="F78" s="374">
        <f t="shared" si="20"/>
        <v>-3464667</v>
      </c>
      <c r="G78" s="374">
        <f t="shared" si="20"/>
        <v>-27182395</v>
      </c>
      <c r="H78" s="374">
        <f t="shared" si="20"/>
        <v>103787</v>
      </c>
      <c r="I78" s="374">
        <f t="shared" si="20"/>
        <v>1396055</v>
      </c>
      <c r="J78" s="374">
        <f t="shared" si="20"/>
        <v>9319711</v>
      </c>
      <c r="K78" s="374">
        <f t="shared" si="20"/>
        <v>0</v>
      </c>
      <c r="L78" s="374">
        <f t="shared" si="20"/>
        <v>0</v>
      </c>
      <c r="M78" s="374">
        <f>D78+E78+F78+G78+H78+I78+J78+K78+L78</f>
        <v>-14217666</v>
      </c>
      <c r="N78" s="160"/>
      <c r="O78" s="491" t="s">
        <v>585</v>
      </c>
      <c r="P78" s="276"/>
      <c r="Q78" s="334"/>
      <c r="R78" s="492">
        <f>IF($M$85&lt;0,"",$R$76-$R$77)</f>
        <v>19599995</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3"/>
      <c r="P79" s="276"/>
      <c r="Q79" s="334"/>
      <c r="R79" s="494"/>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5" t="s">
        <v>586</v>
      </c>
      <c r="P80" s="276"/>
      <c r="Q80" s="334"/>
      <c r="R80" s="521">
        <f>Input!$UC$21</f>
        <v>19561098</v>
      </c>
      <c r="S80" s="330"/>
      <c r="T80" s="330"/>
      <c r="U80" s="334"/>
      <c r="V80" s="276"/>
      <c r="W80" s="328"/>
      <c r="X80" s="328"/>
      <c r="Y80" s="331"/>
      <c r="Z80" s="331"/>
      <c r="AA80" s="276"/>
      <c r="AB80" s="276"/>
    </row>
    <row r="81" spans="1:28">
      <c r="A81" s="184">
        <v>64</v>
      </c>
      <c r="B81" s="160" t="s">
        <v>47</v>
      </c>
      <c r="C81" s="160"/>
      <c r="D81" s="372">
        <f>Input!$PT$21</f>
        <v>-33644</v>
      </c>
      <c r="E81" s="372">
        <f>Input!$PU$21</f>
        <v>10746236</v>
      </c>
      <c r="F81" s="372">
        <f>Input!$PV$21</f>
        <v>2034607</v>
      </c>
      <c r="G81" s="372">
        <f>Input!$PW$21</f>
        <v>55274</v>
      </c>
      <c r="H81" s="372">
        <f>Input!$PX$21</f>
        <v>0</v>
      </c>
      <c r="I81" s="372">
        <f>Input!$PY$21</f>
        <v>4933091</v>
      </c>
      <c r="J81" s="372">
        <f>Input!$PZ$21</f>
        <v>1825534</v>
      </c>
      <c r="K81" s="372">
        <f>Input!$QA$21</f>
        <v>0</v>
      </c>
      <c r="L81" s="372">
        <f>Input!$QB$21</f>
        <v>0</v>
      </c>
      <c r="M81" s="373">
        <f>D81+E81+F81+G81+H81+I81+J81+K81+L81</f>
        <v>19561098</v>
      </c>
      <c r="N81" s="160"/>
      <c r="O81" s="496" t="s">
        <v>587</v>
      </c>
      <c r="P81" s="276"/>
      <c r="Q81" s="276"/>
      <c r="R81" s="497"/>
      <c r="S81" s="330"/>
      <c r="T81" s="330"/>
      <c r="W81" s="276"/>
      <c r="X81" s="276"/>
      <c r="Y81" s="331"/>
      <c r="Z81" s="331"/>
      <c r="AA81" s="276"/>
      <c r="AB81" s="276"/>
    </row>
    <row r="82" spans="1:28">
      <c r="A82" s="184">
        <v>65</v>
      </c>
      <c r="B82" s="160" t="s">
        <v>48</v>
      </c>
      <c r="C82" s="160"/>
      <c r="D82" s="372">
        <f>Input!$QC$21</f>
        <v>0</v>
      </c>
      <c r="E82" s="372">
        <f>Input!$QD$21</f>
        <v>0</v>
      </c>
      <c r="F82" s="372">
        <f>Input!$QE$21</f>
        <v>0</v>
      </c>
      <c r="G82" s="372">
        <f>Input!$QF$21</f>
        <v>0</v>
      </c>
      <c r="H82" s="372">
        <f>Input!$QG$21</f>
        <v>0</v>
      </c>
      <c r="I82" s="372">
        <f>Input!$QH$21</f>
        <v>38897</v>
      </c>
      <c r="J82" s="372">
        <f>Input!$QI$21</f>
        <v>0</v>
      </c>
      <c r="K82" s="372">
        <f>Input!$QJ$21</f>
        <v>0</v>
      </c>
      <c r="L82" s="372">
        <f>Input!$QK$21</f>
        <v>0</v>
      </c>
      <c r="M82" s="373">
        <f>D82+E82+F82+G82+H82+I82+J82+K82+L82</f>
        <v>38897</v>
      </c>
      <c r="N82" s="160"/>
      <c r="O82" s="498" t="s">
        <v>588</v>
      </c>
      <c r="P82" s="276"/>
      <c r="Q82" s="276"/>
      <c r="R82" s="492">
        <f>IFERROR($R$78-$R$80,"")</f>
        <v>38897</v>
      </c>
      <c r="Y82" s="331"/>
      <c r="Z82" s="401"/>
      <c r="AA82" s="268"/>
      <c r="AB82" s="268"/>
    </row>
    <row r="83" spans="1:28">
      <c r="A83" s="184">
        <v>66</v>
      </c>
      <c r="B83" s="162" t="s">
        <v>3</v>
      </c>
      <c r="C83" s="162"/>
      <c r="D83" s="374">
        <f t="shared" ref="D83:L83" si="21">SUM(D81:D82)</f>
        <v>-33644</v>
      </c>
      <c r="E83" s="374">
        <f t="shared" si="21"/>
        <v>10746236</v>
      </c>
      <c r="F83" s="374">
        <f t="shared" si="21"/>
        <v>2034607</v>
      </c>
      <c r="G83" s="374">
        <f t="shared" si="21"/>
        <v>55274</v>
      </c>
      <c r="H83" s="374">
        <f t="shared" si="21"/>
        <v>0</v>
      </c>
      <c r="I83" s="374">
        <f t="shared" si="21"/>
        <v>4971988</v>
      </c>
      <c r="J83" s="374">
        <f t="shared" si="21"/>
        <v>1825534</v>
      </c>
      <c r="K83" s="374">
        <f t="shared" si="21"/>
        <v>0</v>
      </c>
      <c r="L83" s="374">
        <f t="shared" si="21"/>
        <v>0</v>
      </c>
      <c r="M83" s="374">
        <f>D83+E83+F83+G83+H83+I83+J83+K83+L83</f>
        <v>19599995</v>
      </c>
      <c r="N83" s="160"/>
      <c r="O83" s="493"/>
      <c r="P83" s="276"/>
      <c r="Q83" s="276"/>
      <c r="R83" s="497"/>
      <c r="Y83" s="163"/>
      <c r="Z83" s="447"/>
      <c r="AA83" s="439"/>
      <c r="AB83" s="448"/>
    </row>
    <row r="84" spans="1:28" ht="13.5" thickBot="1">
      <c r="A84" s="184">
        <v>67</v>
      </c>
      <c r="B84" s="160"/>
      <c r="C84" s="160"/>
      <c r="D84" s="373"/>
      <c r="E84" s="373"/>
      <c r="F84" s="373"/>
      <c r="G84" s="373"/>
      <c r="H84" s="373"/>
      <c r="I84" s="373"/>
      <c r="J84" s="373"/>
      <c r="K84" s="373"/>
      <c r="L84" s="373"/>
      <c r="M84" s="373"/>
      <c r="N84" s="160"/>
      <c r="O84" s="499" t="s">
        <v>589</v>
      </c>
      <c r="P84" s="500"/>
      <c r="Q84" s="500"/>
      <c r="R84" s="501">
        <f>IFERROR((R82+R80)-R78,"")</f>
        <v>0</v>
      </c>
      <c r="Y84" s="268"/>
      <c r="Z84" s="447"/>
      <c r="AA84" s="439"/>
      <c r="AB84" s="449"/>
    </row>
    <row r="85" spans="1:28" ht="13.5" thickTop="1">
      <c r="A85" s="184">
        <v>68</v>
      </c>
      <c r="B85" s="162" t="s">
        <v>574</v>
      </c>
      <c r="C85" s="162"/>
      <c r="D85" s="374">
        <f t="shared" ref="D85:L85" si="22">D57-D71+D78+D83</f>
        <v>-774786</v>
      </c>
      <c r="E85" s="374">
        <f t="shared" si="22"/>
        <v>25924206</v>
      </c>
      <c r="F85" s="374">
        <f t="shared" si="22"/>
        <v>1214001</v>
      </c>
      <c r="G85" s="374">
        <f t="shared" si="22"/>
        <v>-325795</v>
      </c>
      <c r="H85" s="374">
        <f t="shared" si="22"/>
        <v>304248</v>
      </c>
      <c r="I85" s="374">
        <f t="shared" si="22"/>
        <v>6406302</v>
      </c>
      <c r="J85" s="374">
        <f t="shared" si="22"/>
        <v>8288937</v>
      </c>
      <c r="K85" s="374">
        <f t="shared" si="22"/>
        <v>0</v>
      </c>
      <c r="L85" s="374">
        <f t="shared" si="22"/>
        <v>-20000</v>
      </c>
      <c r="M85" s="374">
        <f>D85+E85+F85+G85+H85+I85+J85+K85+L85</f>
        <v>41017113</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Input!$QL$21</f>
        <v>0</v>
      </c>
      <c r="E87" s="372">
        <f>Input!$QM$21</f>
        <v>0</v>
      </c>
      <c r="F87" s="372">
        <f>Input!$QN$21</f>
        <v>0</v>
      </c>
      <c r="G87" s="372">
        <f>Input!$QO$21</f>
        <v>0</v>
      </c>
      <c r="H87" s="372">
        <f>Input!$QP$21</f>
        <v>0</v>
      </c>
      <c r="I87" s="372">
        <f>Input!$QQ$21</f>
        <v>0</v>
      </c>
      <c r="J87" s="372">
        <f>Input!$QR$21</f>
        <v>0</v>
      </c>
      <c r="K87" s="372">
        <f>Input!$QS$21</f>
        <v>0</v>
      </c>
      <c r="L87" s="372">
        <f>Input!$QT$21</f>
        <v>0</v>
      </c>
      <c r="M87" s="329">
        <f>D87+E87+F87+G87+H87+I87+J87+K87+L87</f>
        <v>0</v>
      </c>
      <c r="N87" s="160"/>
      <c r="Y87" s="268"/>
      <c r="Z87" s="447"/>
      <c r="AA87" s="439"/>
      <c r="AB87" s="449"/>
    </row>
    <row r="88" spans="1:28">
      <c r="A88" s="184">
        <v>72</v>
      </c>
      <c r="B88" s="160" t="s">
        <v>66</v>
      </c>
      <c r="C88" s="160"/>
      <c r="D88" s="372">
        <f>Input!$QU$21</f>
        <v>0</v>
      </c>
      <c r="E88" s="372">
        <f>Input!$QV$21</f>
        <v>0</v>
      </c>
      <c r="F88" s="372">
        <f>Input!$QW$21</f>
        <v>0</v>
      </c>
      <c r="G88" s="372">
        <f>Input!$QX$21</f>
        <v>0</v>
      </c>
      <c r="H88" s="372">
        <f>Input!$QY$21</f>
        <v>0</v>
      </c>
      <c r="I88" s="372">
        <f>Input!$QZ$21</f>
        <v>0</v>
      </c>
      <c r="J88" s="372">
        <f>Input!$RA$21</f>
        <v>0</v>
      </c>
      <c r="K88" s="372">
        <f>Input!$RB$21</f>
        <v>0</v>
      </c>
      <c r="L88" s="372">
        <f>Input!$RC$21</f>
        <v>-20263972</v>
      </c>
      <c r="M88" s="373">
        <f>D88+E88+F88+G88+H88+I88+J88+K88+L88</f>
        <v>-20263972</v>
      </c>
      <c r="N88" s="160"/>
      <c r="O88" s="270"/>
      <c r="P88" s="335"/>
      <c r="Y88" s="268"/>
      <c r="Z88" s="447"/>
      <c r="AA88" s="439"/>
      <c r="AB88" s="449"/>
    </row>
    <row r="89" spans="1:28" s="264" customFormat="1">
      <c r="A89" s="263"/>
      <c r="B89" s="171" t="s">
        <v>216</v>
      </c>
      <c r="C89" s="171"/>
      <c r="D89" s="372">
        <f>Input!$RD$21</f>
        <v>0</v>
      </c>
      <c r="E89" s="372">
        <f>Input!$RE$21</f>
        <v>0</v>
      </c>
      <c r="F89" s="372">
        <f>Input!$RF$21</f>
        <v>0</v>
      </c>
      <c r="G89" s="372">
        <f>Input!$RG$21</f>
        <v>0</v>
      </c>
      <c r="H89" s="372">
        <f>Input!$RH$21</f>
        <v>0</v>
      </c>
      <c r="I89" s="372">
        <f>Input!$RI$21</f>
        <v>0</v>
      </c>
      <c r="J89" s="372">
        <f>Input!$RJ$21</f>
        <v>0</v>
      </c>
      <c r="K89" s="372">
        <f>Input!$RK$21</f>
        <v>0</v>
      </c>
      <c r="L89" s="372">
        <f>Input!$RL$21</f>
        <v>0</v>
      </c>
      <c r="M89" s="373">
        <f t="shared" ref="M89:M91" si="23">D89+E89+F89+G89+H89+I89+J89+K89+L89</f>
        <v>0</v>
      </c>
      <c r="N89" s="160"/>
      <c r="O89" s="1726" t="s">
        <v>1355</v>
      </c>
      <c r="P89" s="1727"/>
      <c r="Q89" s="1727"/>
      <c r="R89" s="1727"/>
      <c r="S89" s="1727"/>
      <c r="T89" s="1727"/>
      <c r="U89" s="1728"/>
      <c r="Y89" s="268"/>
      <c r="Z89" s="447"/>
      <c r="AA89" s="439"/>
      <c r="AB89" s="449"/>
    </row>
    <row r="90" spans="1:28" s="264" customFormat="1">
      <c r="A90" s="263"/>
      <c r="B90" s="171" t="s">
        <v>105</v>
      </c>
      <c r="C90" s="171"/>
      <c r="D90" s="372">
        <f>Input!$RM$21</f>
        <v>0</v>
      </c>
      <c r="E90" s="372">
        <f>Input!$RN$21</f>
        <v>0</v>
      </c>
      <c r="F90" s="372">
        <f>Input!$RO$21</f>
        <v>0</v>
      </c>
      <c r="G90" s="372">
        <f>Input!$RP$21</f>
        <v>0</v>
      </c>
      <c r="H90" s="372">
        <f>Input!$RQ$21</f>
        <v>0</v>
      </c>
      <c r="I90" s="372">
        <f>Input!$RR$21</f>
        <v>0</v>
      </c>
      <c r="J90" s="372">
        <f>Input!$RS$21</f>
        <v>0</v>
      </c>
      <c r="K90" s="372">
        <f>Input!$RT$21</f>
        <v>0</v>
      </c>
      <c r="L90" s="372">
        <f>Input!$RU$21</f>
        <v>0</v>
      </c>
      <c r="M90" s="373">
        <f t="shared" si="23"/>
        <v>0</v>
      </c>
      <c r="N90" s="160"/>
      <c r="O90" s="502" t="s">
        <v>590</v>
      </c>
      <c r="P90" s="423"/>
      <c r="Q90" s="502" t="s">
        <v>591</v>
      </c>
      <c r="R90" s="423"/>
      <c r="S90" s="503"/>
      <c r="T90" s="502" t="s">
        <v>592</v>
      </c>
      <c r="U90" s="423"/>
      <c r="Y90" s="268"/>
      <c r="Z90" s="447"/>
      <c r="AA90" s="439"/>
      <c r="AB90" s="449"/>
    </row>
    <row r="91" spans="1:28" s="264" customFormat="1">
      <c r="A91" s="263"/>
      <c r="B91" s="171" t="s">
        <v>128</v>
      </c>
      <c r="C91" s="171"/>
      <c r="D91" s="372">
        <f>Input!$RV$21</f>
        <v>0</v>
      </c>
      <c r="E91" s="372">
        <f>Input!$RW$21</f>
        <v>0</v>
      </c>
      <c r="F91" s="372">
        <f>Input!$RX$21</f>
        <v>0</v>
      </c>
      <c r="G91" s="372">
        <f>Input!$RY$21</f>
        <v>0</v>
      </c>
      <c r="H91" s="372">
        <f>Input!$RZ$21</f>
        <v>0</v>
      </c>
      <c r="I91" s="372">
        <f>Input!$SA$21</f>
        <v>0</v>
      </c>
      <c r="J91" s="372">
        <f>Input!$SB$21</f>
        <v>0</v>
      </c>
      <c r="K91" s="372">
        <f>Input!$SC$21</f>
        <v>0</v>
      </c>
      <c r="L91" s="372">
        <f>Input!$SD$21</f>
        <v>0</v>
      </c>
      <c r="M91" s="373">
        <f t="shared" si="23"/>
        <v>0</v>
      </c>
      <c r="N91" s="160"/>
      <c r="O91" s="504"/>
      <c r="P91" s="505"/>
      <c r="Q91" s="504"/>
      <c r="R91" s="426"/>
      <c r="S91" s="276"/>
      <c r="T91" s="506"/>
      <c r="U91" s="426"/>
      <c r="Y91" s="268"/>
      <c r="Z91" s="447"/>
      <c r="AA91" s="439"/>
      <c r="AB91" s="449"/>
    </row>
    <row r="92" spans="1:28" s="264" customFormat="1">
      <c r="A92" s="263"/>
      <c r="B92" s="160" t="s">
        <v>67</v>
      </c>
      <c r="C92" s="160"/>
      <c r="D92" s="372">
        <f>Input!$SE$21</f>
        <v>1430315</v>
      </c>
      <c r="E92" s="372">
        <f>Input!$SF$21</f>
        <v>431947</v>
      </c>
      <c r="F92" s="372">
        <f>Input!$SG$21</f>
        <v>6197</v>
      </c>
      <c r="G92" s="372">
        <f>Input!$SH$21</f>
        <v>607715</v>
      </c>
      <c r="H92" s="372">
        <f>Input!$SI$21</f>
        <v>0</v>
      </c>
      <c r="I92" s="372">
        <f>Input!$SJ$21</f>
        <v>0</v>
      </c>
      <c r="J92" s="372">
        <f>Input!$SK$21</f>
        <v>72847</v>
      </c>
      <c r="K92" s="372">
        <f>Input!$SL$21</f>
        <v>0</v>
      </c>
      <c r="L92" s="372">
        <f>Input!$SM$21</f>
        <v>0</v>
      </c>
      <c r="M92" s="373">
        <f>D92+E92+F92+G92+H92+I92+J92+K92+L92</f>
        <v>2549021</v>
      </c>
      <c r="N92" s="160"/>
      <c r="O92" s="1729" t="str">
        <f>Input!UF$21</f>
        <v>Chris Arrington</v>
      </c>
      <c r="P92" s="1730"/>
      <c r="Q92" s="1729" t="str">
        <f>Input!$UG$21</f>
        <v>979-458-9151</v>
      </c>
      <c r="R92" s="1730"/>
      <c r="S92" s="276"/>
      <c r="T92" s="1731" t="str">
        <f>HYPERLINK("Mailto:"&amp;Input!$UH$21,Input!$UH$21)</f>
        <v>carrington@tamus.edu</v>
      </c>
      <c r="U92" s="1730"/>
      <c r="Y92" s="268"/>
      <c r="Z92" s="447"/>
      <c r="AA92" s="442"/>
      <c r="AB92" s="449"/>
    </row>
    <row r="93" spans="1:28" ht="13.5" thickBot="1">
      <c r="B93" s="179" t="s">
        <v>58</v>
      </c>
      <c r="C93" s="179"/>
      <c r="D93" s="380">
        <f t="shared" ref="D93:K93" si="24">SUM(D85:D92)</f>
        <v>655529</v>
      </c>
      <c r="E93" s="380">
        <f t="shared" si="24"/>
        <v>26356153</v>
      </c>
      <c r="F93" s="380">
        <f t="shared" si="24"/>
        <v>1220198</v>
      </c>
      <c r="G93" s="380">
        <f t="shared" si="24"/>
        <v>281920</v>
      </c>
      <c r="H93" s="380">
        <f t="shared" si="24"/>
        <v>304248</v>
      </c>
      <c r="I93" s="380">
        <f t="shared" si="24"/>
        <v>6406302</v>
      </c>
      <c r="J93" s="380">
        <f t="shared" si="24"/>
        <v>8361784</v>
      </c>
      <c r="K93" s="380">
        <f t="shared" si="24"/>
        <v>0</v>
      </c>
      <c r="L93" s="380">
        <f>SUM(L85:L92)</f>
        <v>-20283972</v>
      </c>
      <c r="M93" s="380">
        <f>D93+E93+F93+G93+H93+I93+J93+K93+L93</f>
        <v>23302162</v>
      </c>
      <c r="N93" s="160"/>
      <c r="O93" s="506"/>
      <c r="P93" s="507"/>
      <c r="Q93" s="276"/>
      <c r="R93" s="276"/>
      <c r="S93" s="276"/>
      <c r="T93" s="507"/>
      <c r="U93" s="508"/>
      <c r="Y93" s="268"/>
      <c r="Z93" s="447"/>
      <c r="AA93" s="442"/>
      <c r="AB93" s="449"/>
    </row>
    <row r="94" spans="1:28" ht="13.5" thickTop="1">
      <c r="C94" s="160"/>
      <c r="D94" s="165"/>
      <c r="E94" s="165"/>
      <c r="F94" s="165"/>
      <c r="G94" s="165"/>
      <c r="H94" s="165"/>
      <c r="I94" s="165"/>
      <c r="J94" s="165"/>
      <c r="K94" s="165"/>
      <c r="L94" s="165"/>
      <c r="M94" s="180"/>
      <c r="N94" s="160"/>
      <c r="O94" s="1720" t="s">
        <v>593</v>
      </c>
      <c r="P94" s="1721"/>
      <c r="Q94" s="1721"/>
      <c r="R94" s="1721"/>
      <c r="S94" s="1721"/>
      <c r="T94" s="1721"/>
      <c r="U94" s="1722"/>
      <c r="Y94" s="268"/>
      <c r="Z94" s="451"/>
      <c r="AA94" s="442"/>
      <c r="AB94" s="449"/>
    </row>
    <row r="95" spans="1:28">
      <c r="B95" s="171" t="s">
        <v>1369</v>
      </c>
      <c r="C95" s="169"/>
      <c r="D95" s="165"/>
      <c r="E95" s="165"/>
      <c r="F95" s="165"/>
      <c r="G95" s="165"/>
      <c r="H95" s="165"/>
      <c r="I95" s="165"/>
      <c r="J95" s="165"/>
      <c r="K95" s="165"/>
      <c r="L95" s="165"/>
      <c r="M95" s="180"/>
      <c r="N95" s="160"/>
      <c r="O95" s="1720"/>
      <c r="P95" s="1721"/>
      <c r="Q95" s="1721"/>
      <c r="R95" s="1721"/>
      <c r="S95" s="1721"/>
      <c r="T95" s="1721"/>
      <c r="U95" s="1722"/>
      <c r="Y95" s="268"/>
      <c r="Z95" s="452"/>
      <c r="AA95" s="453"/>
      <c r="AB95" s="454"/>
    </row>
    <row r="96" spans="1:28">
      <c r="B96" s="169" t="s">
        <v>80</v>
      </c>
      <c r="C96" s="160"/>
      <c r="D96" s="165"/>
      <c r="E96" s="165"/>
      <c r="F96" s="165"/>
      <c r="G96" s="165"/>
      <c r="H96" s="165"/>
      <c r="I96" s="165"/>
      <c r="J96" s="165"/>
      <c r="K96" s="165"/>
      <c r="L96" s="165"/>
      <c r="M96" s="180"/>
      <c r="N96" s="160"/>
      <c r="O96" s="509"/>
      <c r="P96" s="510"/>
      <c r="Q96" s="511"/>
      <c r="R96" s="511"/>
      <c r="S96" s="511"/>
      <c r="T96" s="510"/>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Input!$SN$21</f>
        <v>23302162</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3" t="str">
        <f>IF($L$118&lt;&gt;Input!$F$21,"Out of Balance","Balanced")</f>
        <v>Balanced</v>
      </c>
      <c r="M102" s="517"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95609209</v>
      </c>
      <c r="E105" s="373">
        <f>SUM($E$10:$E$14)+SUM($E$19:$E$28)+SUM($E$32:$E$41)+$E$47+SUM($E$50:$E$55)+SUM($E$60:$E$70)+SUM($E$74:$E$77)+SUM($E$81:$E$82)+SUM($E$87:$E$92)</f>
        <v>138082111</v>
      </c>
      <c r="F105" s="373">
        <f>SUM($F$10:$F$14)+SUM($F$19:$F$28)+SUM($F$32:$F$41)+$F$47+SUM($F$50:$F$55)+SUM($F$60:$F$70)+SUM($F$74:$F$77)+SUM($F$81:$F$82)+SUM($F$87:$F$92)</f>
        <v>41080956</v>
      </c>
      <c r="G105" s="373">
        <f>SUM($G$10:$G$14)+SUM($G$19:$G$28)+SUM($G$32:$G$41)+$G$47+SUM($G$50:$G$55)+SUM($G$60:$G$70)+SUM($G$74:$G$77)+SUM($G$81:$G$82)+SUM($G$87:$G$92)</f>
        <v>42769870</v>
      </c>
      <c r="H105" s="373">
        <f>SUM($H$10:$H$14)+SUM($H$19:$H$28)+SUM($H$32:$H$41)+$H$47+SUM($H$50:$H$55)+SUM($H$60:$H$70)+SUM($H$74:$H$77)+SUM($H$81:$H$82)+SUM($H$87:$H$92)</f>
        <v>389780</v>
      </c>
      <c r="I105" s="373">
        <f>SUM($I$10:$I$14)+SUM($I$19:$I$28)+SUM($I$32:$I$41)+$I$47+SUM($I$50:$I$55)+SUM($I$60:$I$70)+SUM($I$74:$I$77)+SUM($I$81:$I$82)+SUM($I$87:$I$92)</f>
        <v>6406302</v>
      </c>
      <c r="J105" s="373">
        <f>SUM($J$10:$J$14)+SUM($J$19:$J$28)+SUM($J$32:$J$41)+$J$47+SUM($J$50:$J$55)+SUM($J$60:$J$70)+SUM($J$74:$J$77)+SUM($J$81:$J$82)+SUM($J$87:$J$92)</f>
        <v>15343412</v>
      </c>
      <c r="K105" s="373">
        <f>SUM($K$10:$K$14)+SUM($K$19:$K$28)+SUM($K$32:$K$41)+$K$47+SUM($K$50:$K$55)+SUM($K$60:$K$70)+SUM($K$74:$K$77)+SUM($K$81:$K$82)+SUM($K$87:$K$92)</f>
        <v>0</v>
      </c>
      <c r="L105" s="373">
        <f>SUM($L$10:$L$14)+SUM($L$19:$L$28)+SUM($L$32:$L$41)+$L$47+SUM($L$50:$L$55)+SUM($L$60:$L$70)+SUM($L$74:$L$77)+SUM($L$81:$L$82)+SUM($L$87:$L$92)</f>
        <v>-20243972</v>
      </c>
      <c r="M105" s="373"/>
      <c r="N105" s="264"/>
      <c r="O105" s="373"/>
      <c r="P105" s="450">
        <f>M18-INT(M18)</f>
        <v>0</v>
      </c>
    </row>
    <row r="106" spans="2:28">
      <c r="B106" s="261"/>
      <c r="C106" s="261"/>
      <c r="D106" s="261"/>
      <c r="E106" s="261"/>
      <c r="F106" s="261"/>
      <c r="G106" s="261"/>
      <c r="H106" s="261"/>
      <c r="I106" s="261"/>
      <c r="J106" s="261"/>
      <c r="K106" s="261"/>
      <c r="L106" s="373">
        <f>SUM($D$105:$L$105)</f>
        <v>319437668</v>
      </c>
      <c r="M106" s="261"/>
      <c r="N106" s="264"/>
      <c r="O106" s="373"/>
      <c r="P106" s="450">
        <f>M31-INT(M31)</f>
        <v>0</v>
      </c>
    </row>
    <row r="107" spans="2:28">
      <c r="B107" s="261"/>
      <c r="C107" s="261"/>
      <c r="D107" s="261"/>
      <c r="E107" s="261"/>
      <c r="F107" s="261"/>
      <c r="G107" s="261"/>
      <c r="H107" s="261"/>
      <c r="I107" s="261"/>
      <c r="J107" s="261" t="s">
        <v>1299</v>
      </c>
      <c r="K107" s="261"/>
      <c r="L107" s="373">
        <f>$M$100</f>
        <v>23302162</v>
      </c>
      <c r="M107" s="261"/>
      <c r="N107" s="264"/>
      <c r="O107" s="373"/>
      <c r="P107" s="450">
        <f>M93-INT(M93)</f>
        <v>0</v>
      </c>
    </row>
    <row r="108" spans="2:28">
      <c r="B108" s="261"/>
      <c r="C108" s="261"/>
      <c r="D108" s="261"/>
      <c r="E108" s="261"/>
      <c r="F108" s="261"/>
      <c r="G108" s="261"/>
      <c r="H108" s="261"/>
      <c r="I108" s="261"/>
      <c r="J108" s="261" t="s">
        <v>1300</v>
      </c>
      <c r="K108" s="261"/>
      <c r="L108" s="512">
        <f>$Q$32</f>
        <v>85402153</v>
      </c>
      <c r="M108" s="261"/>
      <c r="N108" s="264"/>
      <c r="O108" s="373"/>
    </row>
    <row r="109" spans="2:28">
      <c r="B109" s="261"/>
      <c r="C109" s="261"/>
      <c r="D109" s="261"/>
      <c r="E109" s="261"/>
      <c r="F109" s="261"/>
      <c r="G109" s="261"/>
      <c r="H109" s="261"/>
      <c r="I109" s="261"/>
      <c r="J109" s="261" t="s">
        <v>1300</v>
      </c>
      <c r="K109" s="261"/>
      <c r="L109" s="512">
        <f>$R$34</f>
        <v>-24220124</v>
      </c>
      <c r="M109" s="261"/>
      <c r="N109" s="264"/>
      <c r="O109" s="373"/>
    </row>
    <row r="110" spans="2:28">
      <c r="B110" s="261"/>
      <c r="C110" s="261"/>
      <c r="D110" s="261"/>
      <c r="E110" s="261"/>
      <c r="F110" s="261"/>
      <c r="G110" s="261"/>
      <c r="H110" s="261"/>
      <c r="I110" s="261"/>
      <c r="J110" s="261" t="s">
        <v>29</v>
      </c>
      <c r="K110" s="261"/>
      <c r="L110" s="512">
        <f>SUM($P$60:$P$68)</f>
        <v>2476174</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2">
        <f>SUM($V$60:$V$67)</f>
        <v>18191</v>
      </c>
      <c r="M112" s="261"/>
      <c r="N112" s="264"/>
      <c r="O112" s="373"/>
    </row>
    <row r="113" spans="2:15">
      <c r="B113" s="261"/>
      <c r="C113" s="261"/>
      <c r="D113" s="261"/>
      <c r="E113" s="261"/>
      <c r="F113" s="261"/>
      <c r="G113" s="261"/>
      <c r="H113" s="261"/>
      <c r="I113" s="261"/>
      <c r="J113" s="261" t="s">
        <v>596</v>
      </c>
      <c r="K113" s="261"/>
      <c r="L113" s="512">
        <f>SUM($W$60:$W$67)</f>
        <v>0</v>
      </c>
      <c r="M113" s="261"/>
      <c r="N113" s="264"/>
      <c r="O113" s="373"/>
    </row>
    <row r="114" spans="2:15">
      <c r="B114" s="261"/>
      <c r="C114" s="261"/>
      <c r="D114" s="261"/>
      <c r="E114" s="261"/>
      <c r="F114" s="261"/>
      <c r="G114" s="261"/>
      <c r="H114" s="261"/>
      <c r="I114" s="261"/>
      <c r="J114" s="261" t="s">
        <v>258</v>
      </c>
      <c r="K114" s="261"/>
      <c r="L114" s="512">
        <f>SUM($AA$60:$AA$68)</f>
        <v>152175551</v>
      </c>
      <c r="M114" s="261"/>
      <c r="N114" s="264"/>
      <c r="O114" s="373"/>
    </row>
    <row r="115" spans="2:15">
      <c r="B115" s="261"/>
      <c r="C115" s="261"/>
      <c r="D115" s="261"/>
      <c r="E115" s="261"/>
      <c r="F115" s="261"/>
      <c r="G115" s="261"/>
      <c r="H115" s="261"/>
      <c r="I115" s="261"/>
      <c r="J115" s="261" t="s">
        <v>597</v>
      </c>
      <c r="K115" s="261"/>
      <c r="L115" s="512">
        <f>$R$77</f>
        <v>21417118</v>
      </c>
      <c r="M115" s="261"/>
      <c r="N115" s="264"/>
      <c r="O115" s="373"/>
    </row>
    <row r="116" spans="2:15">
      <c r="B116" s="261"/>
      <c r="C116" s="261"/>
      <c r="D116" s="261"/>
      <c r="E116" s="261"/>
      <c r="F116" s="261"/>
      <c r="G116" s="261"/>
      <c r="H116" s="261"/>
      <c r="I116" s="261"/>
      <c r="J116" s="261" t="s">
        <v>597</v>
      </c>
      <c r="K116" s="261"/>
      <c r="L116" s="512">
        <f>$R$80</f>
        <v>19561098</v>
      </c>
      <c r="M116" s="261"/>
      <c r="N116" s="264"/>
      <c r="O116" s="373"/>
    </row>
    <row r="117" spans="2:15">
      <c r="B117" s="261"/>
      <c r="C117" s="261"/>
      <c r="D117" s="261"/>
      <c r="E117" s="261"/>
      <c r="F117" s="261"/>
      <c r="G117" s="261"/>
      <c r="H117" s="261"/>
      <c r="I117" s="261"/>
      <c r="J117" s="261" t="s">
        <v>1231</v>
      </c>
      <c r="K117" s="261"/>
      <c r="L117" s="1008">
        <f>VLOOKUP(B2,Names!B5:$C$87,2,FALSE)</f>
        <v>3665</v>
      </c>
      <c r="M117" s="261"/>
      <c r="N117" s="264"/>
      <c r="O117" s="373"/>
    </row>
    <row r="118" spans="2:15">
      <c r="B118" s="261"/>
      <c r="C118" s="261"/>
      <c r="D118" s="261"/>
      <c r="E118" s="261"/>
      <c r="F118" s="261"/>
      <c r="G118" s="261"/>
      <c r="H118" s="261"/>
      <c r="I118" s="261"/>
      <c r="J118" s="261"/>
      <c r="K118" s="261"/>
      <c r="L118" s="373">
        <f>SUM(L106:L117)</f>
        <v>599573656</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V56:V59"/>
    <mergeCell ref="W56:W59"/>
    <mergeCell ref="G59:K59"/>
    <mergeCell ref="AA56:AA59"/>
    <mergeCell ref="Z55:AB55"/>
    <mergeCell ref="R56:R59"/>
    <mergeCell ref="O55:R55"/>
    <mergeCell ref="T55:X55"/>
    <mergeCell ref="X56:X59"/>
    <mergeCell ref="AB56:AB59"/>
    <mergeCell ref="Z56:Z59"/>
    <mergeCell ref="B2:F2"/>
    <mergeCell ref="B3:F3"/>
    <mergeCell ref="B4:F4"/>
    <mergeCell ref="B6:M6"/>
    <mergeCell ref="P4:Q4"/>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s>
  <conditionalFormatting sqref="U87:X88 O88:Q88">
    <cfRule type="cellIs" dxfId="883" priority="232" stopIfTrue="1" operator="notEqual">
      <formula>#REF!</formula>
    </cfRule>
  </conditionalFormatting>
  <conditionalFormatting sqref="P70">
    <cfRule type="expression" dxfId="882" priority="211">
      <formula>$P$69&lt;&gt;$M$69</formula>
    </cfRule>
  </conditionalFormatting>
  <conditionalFormatting sqref="AB72">
    <cfRule type="expression" dxfId="881" priority="210">
      <formula>$AB$71&lt;&gt;0</formula>
    </cfRule>
  </conditionalFormatting>
  <conditionalFormatting sqref="P71">
    <cfRule type="expression" dxfId="880" priority="209">
      <formula>P69-INT(P69)</formula>
    </cfRule>
  </conditionalFormatting>
  <conditionalFormatting sqref="V70">
    <cfRule type="expression" dxfId="879" priority="207">
      <formula>X68-INT(X68)</formula>
    </cfRule>
  </conditionalFormatting>
  <conditionalFormatting sqref="O12">
    <cfRule type="expression" dxfId="878" priority="198">
      <formula>$P$12&lt;&gt;$M$12</formula>
    </cfRule>
  </conditionalFormatting>
  <conditionalFormatting sqref="U87:U88 O88:Q88">
    <cfRule type="cellIs" dxfId="877" priority="191" stopIfTrue="1" operator="notEqual">
      <formula>#REF!</formula>
    </cfRule>
  </conditionalFormatting>
  <conditionalFormatting sqref="R84">
    <cfRule type="expression" priority="189" stopIfTrue="1">
      <formula>$M$85&lt;0</formula>
    </cfRule>
    <cfRule type="expression" dxfId="876" priority="190">
      <formula>$S$85&lt;&gt;0</formula>
    </cfRule>
  </conditionalFormatting>
  <conditionalFormatting sqref="R80 R77">
    <cfRule type="expression" dxfId="875" priority="187" stopIfTrue="1">
      <formula>$M$85&gt;=0</formula>
    </cfRule>
    <cfRule type="expression" priority="188">
      <formula>$M$85&lt;0</formula>
    </cfRule>
  </conditionalFormatting>
  <conditionalFormatting sqref="U87:U88 O88:Q88">
    <cfRule type="cellIs" dxfId="874" priority="186" stopIfTrue="1" operator="notEqual">
      <formula>#REF!</formula>
    </cfRule>
  </conditionalFormatting>
  <conditionalFormatting sqref="O13">
    <cfRule type="expression" dxfId="873" priority="170">
      <formula>$P$13&lt;&gt;$M$13</formula>
    </cfRule>
  </conditionalFormatting>
  <conditionalFormatting sqref="U87:U88 O88:Q88">
    <cfRule type="cellIs" dxfId="872" priority="169" stopIfTrue="1" operator="notEqual">
      <formula>#REF!</formula>
    </cfRule>
  </conditionalFormatting>
  <conditionalFormatting sqref="Q36">
    <cfRule type="expression" dxfId="871" priority="27">
      <formula>#REF!&lt;&gt;#REF!</formula>
    </cfRule>
  </conditionalFormatting>
  <conditionalFormatting sqref="R35">
    <cfRule type="expression" dxfId="870" priority="26">
      <formula>#REF!&lt;&gt;0</formula>
    </cfRule>
  </conditionalFormatting>
  <conditionalFormatting sqref="Q35">
    <cfRule type="expression" dxfId="869" priority="25">
      <formula>#REF!&lt;&gt;0</formula>
    </cfRule>
  </conditionalFormatting>
  <conditionalFormatting sqref="R36">
    <cfRule type="expression" dxfId="868" priority="24">
      <formula>#REF!&lt;&gt;#REF!</formula>
    </cfRule>
  </conditionalFormatting>
  <conditionalFormatting sqref="D93:M98 T94:T95 R90:S95 U87:X93 T90:T92 Y90:Y95 O88:O92 P88:Q93">
    <cfRule type="cellIs" dxfId="867" priority="23" stopIfTrue="1" operator="notEqual">
      <formula>#REF!</formula>
    </cfRule>
  </conditionalFormatting>
  <conditionalFormatting sqref="P70">
    <cfRule type="expression" dxfId="866" priority="22">
      <formula>$P$69&lt;&gt;$M$69</formula>
    </cfRule>
  </conditionalFormatting>
  <conditionalFormatting sqref="AB72">
    <cfRule type="expression" dxfId="865" priority="21">
      <formula>$AB$71&lt;&gt;0</formula>
    </cfRule>
  </conditionalFormatting>
  <conditionalFormatting sqref="P71">
    <cfRule type="expression" dxfId="864" priority="20">
      <formula>P69-INT(P69)</formula>
    </cfRule>
  </conditionalFormatting>
  <conditionalFormatting sqref="V70">
    <cfRule type="expression" dxfId="863" priority="19">
      <formula>X68-INT(X68)</formula>
    </cfRule>
  </conditionalFormatting>
  <conditionalFormatting sqref="O12">
    <cfRule type="expression" dxfId="862" priority="18">
      <formula>$P$12&lt;&gt;$M$12</formula>
    </cfRule>
  </conditionalFormatting>
  <conditionalFormatting sqref="T94:T95 R90:S95 U87:U93 T90:T92 O88:O92 P88:Q93">
    <cfRule type="cellIs" dxfId="861" priority="16" stopIfTrue="1" operator="notEqual">
      <formula>#REF!</formula>
    </cfRule>
  </conditionalFormatting>
  <conditionalFormatting sqref="R84">
    <cfRule type="expression" priority="14" stopIfTrue="1">
      <formula>$M$85&lt;0</formula>
    </cfRule>
    <cfRule type="expression" dxfId="860" priority="15">
      <formula>$S$85&lt;&gt;0</formula>
    </cfRule>
  </conditionalFormatting>
  <conditionalFormatting sqref="R80 R77">
    <cfRule type="expression" dxfId="859" priority="12" stopIfTrue="1">
      <formula>$M$85&gt;=0</formula>
    </cfRule>
    <cfRule type="expression" priority="13">
      <formula>$M$85&lt;0</formula>
    </cfRule>
  </conditionalFormatting>
  <conditionalFormatting sqref="U87:U88 R89:U92 O88:Q92">
    <cfRule type="cellIs" dxfId="858" priority="11" stopIfTrue="1" operator="notEqual">
      <formula>#REF!</formula>
    </cfRule>
  </conditionalFormatting>
  <conditionalFormatting sqref="M101">
    <cfRule type="expression" dxfId="857" priority="10">
      <formula>$M$101&lt;&gt;0</formula>
    </cfRule>
  </conditionalFormatting>
  <conditionalFormatting sqref="M102">
    <cfRule type="expression" dxfId="856" priority="9">
      <formula>$M$93&lt;&gt;$M$100</formula>
    </cfRule>
  </conditionalFormatting>
  <conditionalFormatting sqref="U87:U92 R90:T92 O88:Q92">
    <cfRule type="cellIs" dxfId="855" priority="8" stopIfTrue="1" operator="notEqual">
      <formula>#REF!</formula>
    </cfRule>
  </conditionalFormatting>
  <conditionalFormatting sqref="T89:U89 Q91 T90 O89:O90 P89:Q89 R89:S91">
    <cfRule type="cellIs" dxfId="854" priority="7" stopIfTrue="1" operator="notEqual">
      <formula>#REF!</formula>
    </cfRule>
  </conditionalFormatting>
  <conditionalFormatting sqref="Q36">
    <cfRule type="expression" dxfId="853" priority="6">
      <formula>#REF!&lt;&gt;#REF!</formula>
    </cfRule>
  </conditionalFormatting>
  <conditionalFormatting sqref="R35">
    <cfRule type="expression" dxfId="852" priority="5">
      <formula>#REF!&lt;&gt;0</formula>
    </cfRule>
  </conditionalFormatting>
  <conditionalFormatting sqref="Q35">
    <cfRule type="expression" dxfId="851" priority="4">
      <formula>#REF!&lt;&gt;0</formula>
    </cfRule>
  </conditionalFormatting>
  <conditionalFormatting sqref="R36">
    <cfRule type="expression" dxfId="850" priority="3">
      <formula>#REF!&lt;&gt;#REF!</formula>
    </cfRule>
  </conditionalFormatting>
  <conditionalFormatting sqref="G59:K59">
    <cfRule type="expression" dxfId="849" priority="1">
      <formula>OR($P$105&gt;0,$P$106&lt;&gt;0,$P$107&lt;&gt;0)</formula>
    </cfRule>
  </conditionalFormatting>
  <hyperlinks>
    <hyperlink ref="O2" location="Index!A1" display="Return to Index" xr:uid="{00000000-0004-0000-5700-000000000000}"/>
  </hyperlinks>
  <printOptions horizontalCentered="1"/>
  <pageMargins left="0.5" right="0.5" top="0.25" bottom="0.25" header="0" footer="0.25"/>
  <pageSetup scale="10" orientation="landscape"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74"/>
  <dimension ref="A1:G30"/>
  <sheetViews>
    <sheetView showGridLines="0" zoomScale="80" zoomScaleNormal="80" workbookViewId="0">
      <selection activeCell="E74" sqref="E74:F74"/>
    </sheetView>
  </sheetViews>
  <sheetFormatPr defaultColWidth="9.140625" defaultRowHeight="12.75"/>
  <cols>
    <col min="1" max="1" width="7" style="53" customWidth="1"/>
    <col min="2" max="2" width="93.140625" style="53" customWidth="1"/>
    <col min="3" max="3" width="20" style="53" customWidth="1"/>
    <col min="4" max="9" width="9.140625" style="53"/>
    <col min="10" max="10" width="15" style="53" customWidth="1"/>
    <col min="11" max="16384" width="9.140625" style="53"/>
  </cols>
  <sheetData>
    <row r="1" spans="2:6" ht="18.75" thickBot="1">
      <c r="B1" s="466" t="str">
        <f>'WTAMU Chrts'!$A$1</f>
        <v>West Texas A&amp;M University</v>
      </c>
      <c r="C1" s="835" t="s">
        <v>1200</v>
      </c>
    </row>
    <row r="2" spans="2:6">
      <c r="B2" s="393" t="str">
        <f>'Smmy Chrts'!$A$2</f>
        <v>For the Year Ended August 31, 2021</v>
      </c>
    </row>
    <row r="3" spans="2:6">
      <c r="B3" s="393" t="str">
        <f>'Smmy Chrts'!$A$3</f>
        <v>Source: FY 2021 Annual Financial Report</v>
      </c>
    </row>
    <row r="5" spans="2:6" customFormat="1">
      <c r="B5" s="529" t="s">
        <v>705</v>
      </c>
    </row>
    <row r="6" spans="2:6" customFormat="1">
      <c r="B6" s="530"/>
    </row>
    <row r="7" spans="2:6" customFormat="1" ht="226.5" customHeight="1">
      <c r="B7" s="531" t="s">
        <v>706</v>
      </c>
      <c r="C7" s="532"/>
    </row>
    <row r="8" spans="2:6" customFormat="1" ht="263.25" customHeight="1">
      <c r="B8" s="531" t="s">
        <v>707</v>
      </c>
    </row>
    <row r="9" spans="2:6" ht="64.5" customHeight="1">
      <c r="B9" s="533" t="str">
        <f>IF('WTAMU FGD'!$R$76="N/A","FN11.  N/A",$B$20&amp;$B$21&amp;$B$22&amp;$B$23&amp;$B$24&amp;$B$25&amp;$B$26&amp;$B$27&amp;$B$28&amp;$B$29&amp;$B$30)</f>
        <v>FN11: Of the net increase of $41,017,113 approximately $21.4 million represents revenues received but not yet expended. This income is fully committed to program expenditures and capital disbursements. The remaining $19.6 million represents non-expendable funds from unrealized gains and additions to permanent endowments of approximately $19.6 million and $39 thousand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TEXT(IF('WTAMU FGD'!$M$85&lt;0,"N/A",'WTAMU FGD'!$M$85),"$* #,##0;$* (#,##0)")</f>
        <v>$41,017,113</v>
      </c>
      <c r="C21" s="480"/>
      <c r="D21" s="480"/>
      <c r="E21" s="480"/>
      <c r="G21" s="105"/>
    </row>
    <row r="22" spans="1:7">
      <c r="B22" s="105" t="s">
        <v>682</v>
      </c>
    </row>
    <row r="23" spans="1:7">
      <c r="A23" s="53">
        <v>61</v>
      </c>
      <c r="B23" s="515" t="str">
        <f>IF(ABS('WTAMU FGD'!$R$77)&gt;=1000000,TEXT('WTAMU FGD'!$R$77/1000000,"$* #,##0.0;$* (#,##0.0)")&amp;" million",IF(ABS('WTAMU FGD'!$R$77)&lt;1000,TEXT('WTAMU FGD'!$R$77,"$* #,##0;$* (#,##0)"),TEXT('WTAMU FGD'!$R$77/1000,"$* #,##0;$* (#,##0)")&amp;" thousand"))</f>
        <v>$21.4 million</v>
      </c>
      <c r="C23" s="515"/>
      <c r="E23" s="515"/>
    </row>
    <row r="24" spans="1:7">
      <c r="B24" s="105" t="s">
        <v>708</v>
      </c>
    </row>
    <row r="25" spans="1:7">
      <c r="A25" s="53">
        <v>62</v>
      </c>
      <c r="B25" s="515" t="str">
        <f>IF(ABS('WTAMU FGD'!$R$78)&gt;=1000000,TEXT('WTAMU FGD'!$R$78/1000000,"$* #,##0.0;$* (#,##0.0)")&amp;" million",IF(ABS('WTAMU FGD'!$R$78)&lt;1000,TEXT('WTAMU FGD'!$R$78,"$* #,##0;$* (#,##0)"),TEXT('WTAMU FGD'!$R$78/1000,"$* #,##0;$* (#,##0)")&amp;" thousand"))</f>
        <v>$19.6 million</v>
      </c>
      <c r="C25" s="515"/>
      <c r="E25" s="515"/>
    </row>
    <row r="26" spans="1:7">
      <c r="B26" s="105" t="s">
        <v>683</v>
      </c>
    </row>
    <row r="27" spans="1:7">
      <c r="A27" s="53">
        <v>64</v>
      </c>
      <c r="B27" s="515" t="str">
        <f>IF(ABS('WTAMU FGD'!$R$80)&gt;=1000000,TEXT('WTAMU FGD'!$R$80/1000000,"$* #,##0.0;$* (#,##0.0)")&amp;" million",IF(ABS('WTAMU FGD'!$R$80)&lt;1000,TEXT('WTAMU FGD'!$R$80,"$* #,##0;$* (#,##0)"),TEXT('WTAMU FGD'!$R$80/1000,"$* #,##0;$* (#,##0)")&amp;" thousand"))</f>
        <v>$19.6 million</v>
      </c>
      <c r="C27" s="515"/>
      <c r="E27" s="515"/>
    </row>
    <row r="28" spans="1:7">
      <c r="B28" s="105" t="s">
        <v>684</v>
      </c>
    </row>
    <row r="29" spans="1:7">
      <c r="A29" s="53">
        <v>66</v>
      </c>
      <c r="B29" s="515" t="str">
        <f>IF(ABS('WTAMU FGD'!$R$82)&gt;=1000000,TEXT('WTAMU FGD'!$R$82/1000000,"$* #,##0.0;$* (#,##0.0)")&amp;" million",IF(ABS('WTAMU FGD'!$R$82)&lt;1000,TEXT('WTAMU FGD'!$R$82,"$* #,##0;$* (#,##0)"),TEXT('WTAMU FGD'!$R$82/1000,"$* #,##0;$* (#,##0)")&amp;" thousand"))</f>
        <v>$39 thousand</v>
      </c>
      <c r="C29" s="515"/>
      <c r="E29" s="515"/>
    </row>
    <row r="30" spans="1:7">
      <c r="B30" s="105" t="s">
        <v>709</v>
      </c>
    </row>
  </sheetData>
  <hyperlinks>
    <hyperlink ref="C1" location="Index!A1" display="Return to Index" xr:uid="{00000000-0004-0000-5800-000000000000}"/>
  </hyperlinks>
  <pageMargins left="0.25" right="0.25" top="0.25" bottom="0.25" header="0" footer="0.25"/>
  <pageSetup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7C80"/>
    <pageSetUpPr fitToPage="1"/>
  </sheetPr>
  <dimension ref="A1:S806"/>
  <sheetViews>
    <sheetView showGridLines="0" zoomScale="85" zoomScaleNormal="85" workbookViewId="0">
      <pane xSplit="5" ySplit="10" topLeftCell="F11" activePane="bottomRight" state="frozen"/>
      <selection activeCell="R2" sqref="R2"/>
      <selection pane="topRight" activeCell="R2" sqref="R2"/>
      <selection pane="bottomLeft" activeCell="R2" sqref="R2"/>
      <selection pane="bottomRight" activeCell="G6" sqref="G6"/>
    </sheetView>
  </sheetViews>
  <sheetFormatPr defaultColWidth="9.140625" defaultRowHeight="12.75"/>
  <cols>
    <col min="1" max="1" width="6.85546875" style="480" customWidth="1"/>
    <col min="2" max="2" width="8.85546875" style="480" customWidth="1"/>
    <col min="3" max="3" width="8.140625" style="53" customWidth="1"/>
    <col min="4" max="4" width="6.7109375" style="53" customWidth="1"/>
    <col min="5" max="5" width="25.140625" style="53" customWidth="1"/>
    <col min="6" max="6" width="15.5703125" style="154" customWidth="1"/>
    <col min="7" max="7" width="15.28515625" style="53" customWidth="1"/>
    <col min="8" max="8" width="13.28515625" style="154" customWidth="1"/>
    <col min="9" max="9" width="14.28515625" style="53" customWidth="1"/>
    <col min="10" max="11" width="13.28515625" style="53" customWidth="1"/>
    <col min="12" max="12" width="17" style="53" customWidth="1"/>
    <col min="13" max="13" width="17.7109375" style="53" customWidth="1"/>
    <col min="14" max="14" width="14.85546875" style="53" customWidth="1"/>
    <col min="15" max="15" width="13.28515625" style="480" customWidth="1"/>
    <col min="16" max="16" width="10.7109375" style="53" customWidth="1"/>
    <col min="17" max="17" width="16.85546875" style="53" customWidth="1"/>
    <col min="18" max="18" width="20.140625" style="53" customWidth="1"/>
    <col min="19" max="19" width="16.42578125" style="53" customWidth="1"/>
    <col min="20" max="20" width="26" style="53" customWidth="1"/>
    <col min="21" max="16384" width="9.140625" style="53"/>
  </cols>
  <sheetData>
    <row r="1" spans="1:19" ht="13.5" thickBot="1">
      <c r="B1" s="468" t="s">
        <v>2220</v>
      </c>
      <c r="F1" s="114"/>
      <c r="H1" s="659" t="s">
        <v>131</v>
      </c>
      <c r="I1" s="114"/>
      <c r="L1" s="855" t="s">
        <v>1200</v>
      </c>
    </row>
    <row r="2" spans="1:19">
      <c r="F2" s="114"/>
      <c r="H2" s="659" t="s">
        <v>2219</v>
      </c>
      <c r="I2" s="114"/>
    </row>
    <row r="3" spans="1:19">
      <c r="F3" s="114"/>
      <c r="H3" s="908"/>
      <c r="I3" s="114"/>
    </row>
    <row r="4" spans="1:19">
      <c r="B4" s="667" t="s">
        <v>1116</v>
      </c>
      <c r="F4" s="114"/>
      <c r="H4" s="114"/>
      <c r="I4" s="114"/>
    </row>
    <row r="5" spans="1:19">
      <c r="C5" s="215"/>
      <c r="F5" s="114"/>
      <c r="H5" s="114"/>
      <c r="I5" s="114"/>
    </row>
    <row r="6" spans="1:19">
      <c r="C6" s="215"/>
      <c r="F6" s="114"/>
      <c r="H6" s="114"/>
      <c r="I6" s="114"/>
    </row>
    <row r="7" spans="1:19">
      <c r="A7" s="480" t="s">
        <v>1125</v>
      </c>
      <c r="C7" s="215"/>
      <c r="F7" s="114"/>
      <c r="H7" s="114"/>
      <c r="I7" s="114"/>
    </row>
    <row r="8" spans="1:19">
      <c r="A8" s="480" t="s">
        <v>1124</v>
      </c>
      <c r="C8" s="215"/>
      <c r="D8" s="53" t="s">
        <v>2195</v>
      </c>
      <c r="F8" s="53"/>
      <c r="H8" s="53"/>
    </row>
    <row r="9" spans="1:19" ht="15.75" customHeight="1">
      <c r="A9" s="480" t="s">
        <v>1337</v>
      </c>
      <c r="C9" s="215"/>
      <c r="F9" s="1652" t="s">
        <v>1044</v>
      </c>
      <c r="G9" s="1653"/>
      <c r="H9" s="1652" t="s">
        <v>1117</v>
      </c>
      <c r="I9" s="1653"/>
      <c r="J9" s="1652" t="s">
        <v>1118</v>
      </c>
      <c r="K9" s="1653"/>
      <c r="Q9" s="1649" t="s">
        <v>1084</v>
      </c>
      <c r="R9" s="1650"/>
      <c r="S9" s="1651"/>
    </row>
    <row r="10" spans="1:19" s="123" customFormat="1" ht="51.75" customHeight="1">
      <c r="A10" s="906" t="s">
        <v>1123</v>
      </c>
      <c r="B10" s="670" t="s">
        <v>1095</v>
      </c>
      <c r="C10" s="118" t="s">
        <v>132</v>
      </c>
      <c r="D10" s="118" t="s">
        <v>133</v>
      </c>
      <c r="E10" s="118"/>
      <c r="F10" s="671" t="s">
        <v>1130</v>
      </c>
      <c r="G10" s="671" t="s">
        <v>1131</v>
      </c>
      <c r="H10" s="671" t="s">
        <v>1119</v>
      </c>
      <c r="I10" s="671" t="s">
        <v>1120</v>
      </c>
      <c r="J10" s="671" t="s">
        <v>1119</v>
      </c>
      <c r="K10" s="672" t="s">
        <v>1089</v>
      </c>
      <c r="L10" s="662" t="s">
        <v>1121</v>
      </c>
      <c r="M10" s="660" t="s">
        <v>1122</v>
      </c>
      <c r="N10" s="663" t="s">
        <v>287</v>
      </c>
      <c r="O10" s="661"/>
      <c r="Q10" s="641" t="s">
        <v>299</v>
      </c>
      <c r="R10" s="642" t="s">
        <v>703</v>
      </c>
      <c r="S10" s="641" t="s">
        <v>704</v>
      </c>
    </row>
    <row r="11" spans="1:19" ht="12.75" customHeight="1">
      <c r="A11" s="480">
        <v>40</v>
      </c>
      <c r="C11" s="1000">
        <v>3656</v>
      </c>
      <c r="D11" s="481" t="str">
        <f t="shared" ref="D11:D46" si="0">$D$8</f>
        <v>FY 17</v>
      </c>
      <c r="E11" s="53" t="s">
        <v>176</v>
      </c>
      <c r="F11" s="127">
        <f>'ARL FGD'!$W$21</f>
        <v>348479934</v>
      </c>
      <c r="G11" s="131">
        <f>'ARL FGD'!$W$22</f>
        <v>115642532</v>
      </c>
      <c r="H11" s="127">
        <f>'ARL FGD'!$W$27</f>
        <v>14272686</v>
      </c>
      <c r="I11" s="127">
        <f>'ARL FGD'!$W$30</f>
        <v>0</v>
      </c>
      <c r="J11" s="127">
        <f>'ARL FGD'!$W$35</f>
        <v>33009886</v>
      </c>
      <c r="K11" s="127">
        <f>'ARL FGD'!$W$38</f>
        <v>0</v>
      </c>
      <c r="L11" s="127">
        <f>'ARL FGD'!$W$43</f>
        <v>0</v>
      </c>
      <c r="M11" s="127">
        <f>'ARL FGD'!$W$47</f>
        <v>0</v>
      </c>
      <c r="N11" s="127">
        <f>'ARL FGD'!$X$49</f>
        <v>497132352</v>
      </c>
      <c r="O11" s="665" t="str">
        <f t="shared" ref="O11:O46" si="1">IF((F11+G11+J11+K11+L11-M11)&lt;&gt;N11,"Error","Balanced")</f>
        <v>Balanced</v>
      </c>
      <c r="Q11" s="528" t="str">
        <f>'ARL FGD'!$O$92</f>
        <v>Ting Chen</v>
      </c>
      <c r="R11" s="528" t="str">
        <f>'ARL FGD'!$Q$92</f>
        <v>817-272-7489</v>
      </c>
      <c r="S11" s="528" t="str">
        <f>'ARL FGD'!$T$92</f>
        <v>ting.chen@uta.edu</v>
      </c>
    </row>
    <row r="12" spans="1:19">
      <c r="A12" s="480">
        <v>50</v>
      </c>
      <c r="C12" s="1000">
        <v>3658</v>
      </c>
      <c r="D12" s="481" t="str">
        <f t="shared" si="0"/>
        <v>FY 17</v>
      </c>
      <c r="E12" s="1130" t="s">
        <v>1404</v>
      </c>
      <c r="F12" s="664">
        <f>'AUS1 FGD'!$W$21</f>
        <v>521364736</v>
      </c>
      <c r="G12" s="664">
        <f>'AUS1 FGD'!$W$22</f>
        <v>191843729</v>
      </c>
      <c r="H12" s="664">
        <f>'AUS1 FGD'!$W$27</f>
        <v>19782424</v>
      </c>
      <c r="I12" s="664">
        <f>'AUS1 FGD'!$W$30</f>
        <v>0</v>
      </c>
      <c r="J12" s="131">
        <f>'AUS1 FGD'!$W$35</f>
        <v>62509153</v>
      </c>
      <c r="K12" s="131">
        <f>'AUS1 FGD'!$W$38</f>
        <v>0</v>
      </c>
      <c r="L12" s="131">
        <f>'AUS1 FGD'!$W$43</f>
        <v>0</v>
      </c>
      <c r="M12" s="131">
        <f>'AUS1 FGD'!$W$47</f>
        <v>0</v>
      </c>
      <c r="N12" s="131">
        <f>'AUS1 FGD'!$X$49</f>
        <v>775717618</v>
      </c>
      <c r="O12" s="665" t="str">
        <f t="shared" si="1"/>
        <v>Balanced</v>
      </c>
      <c r="Q12" s="528" t="str">
        <f>'AUS1 FGD'!$O$92</f>
        <v>Marcy Lowther</v>
      </c>
      <c r="R12" s="528" t="str">
        <f>'AUS1 FGD'!$Q$92</f>
        <v>512-471-2808</v>
      </c>
      <c r="S12" s="528" t="str">
        <f>'AUS1 FGD'!$T$92</f>
        <v>mlowther@austin.utexas.edu</v>
      </c>
    </row>
    <row r="13" spans="1:19">
      <c r="A13" s="480">
        <v>60</v>
      </c>
      <c r="C13" s="1000">
        <v>9741</v>
      </c>
      <c r="D13" s="481" t="str">
        <f t="shared" si="0"/>
        <v>FY 17</v>
      </c>
      <c r="E13" s="53" t="s">
        <v>186</v>
      </c>
      <c r="F13" s="131">
        <f>'DAL FGD'!$W$21</f>
        <v>299924258</v>
      </c>
      <c r="G13" s="131">
        <f>'DAL FGD'!$W$22</f>
        <v>139406920</v>
      </c>
      <c r="H13" s="131">
        <f>'DAL FGD'!$W$27</f>
        <v>8748947</v>
      </c>
      <c r="I13" s="131">
        <f>'DAL FGD'!$W$30</f>
        <v>0</v>
      </c>
      <c r="J13" s="131">
        <f>'DAL FGD'!$W$35</f>
        <v>44231588</v>
      </c>
      <c r="K13" s="131">
        <f>'DAL FGD'!$W$38</f>
        <v>0</v>
      </c>
      <c r="L13" s="131">
        <f>'DAL FGD'!$W$43</f>
        <v>-1157</v>
      </c>
      <c r="M13" s="131">
        <f>'DAL FGD'!$W$47</f>
        <v>0</v>
      </c>
      <c r="N13" s="131">
        <f>'DAL FGD'!$X$49</f>
        <v>483561609</v>
      </c>
      <c r="O13" s="665" t="str">
        <f t="shared" si="1"/>
        <v>Balanced</v>
      </c>
      <c r="Q13" s="528" t="str">
        <f>'DAL FGD'!$O$92</f>
        <v>Cindy Milligan</v>
      </c>
      <c r="R13" s="528" t="str">
        <f>'DAL FGD'!$Q$92</f>
        <v>(972) 883-2632</v>
      </c>
      <c r="S13" s="528" t="str">
        <f>'DAL FGD'!$T$92</f>
        <v>cxm133830@utdallas.edu</v>
      </c>
    </row>
    <row r="14" spans="1:19">
      <c r="A14" s="480">
        <v>70</v>
      </c>
      <c r="C14" s="1000">
        <v>3661</v>
      </c>
      <c r="D14" s="481" t="str">
        <f t="shared" si="0"/>
        <v>FY 17</v>
      </c>
      <c r="E14" s="53" t="s">
        <v>180</v>
      </c>
      <c r="F14" s="131">
        <f>'E-P FGD'!$W$21</f>
        <v>148988894</v>
      </c>
      <c r="G14" s="131">
        <f>'E-P FGD'!$W$22</f>
        <v>55242741</v>
      </c>
      <c r="H14" s="131">
        <f>'E-P FGD'!$W$27</f>
        <v>6922249</v>
      </c>
      <c r="I14" s="131">
        <f>'E-P FGD'!$W$30</f>
        <v>0</v>
      </c>
      <c r="J14" s="131">
        <f>'E-P FGD'!$W$35</f>
        <v>20430559</v>
      </c>
      <c r="K14" s="131">
        <f>'E-P FGD'!$W$38</f>
        <v>0</v>
      </c>
      <c r="L14" s="131">
        <f>'E-P FGD'!$W$43</f>
        <v>0</v>
      </c>
      <c r="M14" s="131">
        <f>'E-P FGD'!$W$47</f>
        <v>0</v>
      </c>
      <c r="N14" s="131">
        <f>'E-P FGD'!$X$49</f>
        <v>224662194</v>
      </c>
      <c r="O14" s="665" t="str">
        <f t="shared" si="1"/>
        <v>Balanced</v>
      </c>
      <c r="Q14" s="528" t="str">
        <f>'E-P FGD'!$O$92</f>
        <v>Daniel Dominguez</v>
      </c>
      <c r="R14" s="528" t="str">
        <f>'E-P FGD'!$Q$92</f>
        <v>(915)747-5083</v>
      </c>
      <c r="S14" s="528" t="str">
        <f>'E-P FGD'!$T$92</f>
        <v>drdominguez@utep.edu</v>
      </c>
    </row>
    <row r="15" spans="1:19">
      <c r="A15" s="480">
        <v>90</v>
      </c>
      <c r="C15" s="1000">
        <v>3599</v>
      </c>
      <c r="D15" s="481" t="str">
        <f t="shared" si="0"/>
        <v>FY 17</v>
      </c>
      <c r="E15" s="116" t="s">
        <v>1403</v>
      </c>
      <c r="F15" s="131">
        <f>'RGV1 FGD'!$W$21</f>
        <v>139918937</v>
      </c>
      <c r="G15" s="131">
        <f>'RGV1 FGD'!$W$22</f>
        <v>137356154</v>
      </c>
      <c r="H15" s="131">
        <f>'RGV1 FGD'!$W$27</f>
        <v>9064135</v>
      </c>
      <c r="I15" s="131">
        <f>'RGV1 FGD'!$W$30</f>
        <v>0</v>
      </c>
      <c r="J15" s="131">
        <f>'RGV1 FGD'!$W$35</f>
        <v>7967341</v>
      </c>
      <c r="K15" s="131">
        <f>'RGV1 FGD'!$W$38</f>
        <v>5458</v>
      </c>
      <c r="L15" s="131">
        <f>'RGV1 FGD'!$W$43</f>
        <v>0</v>
      </c>
      <c r="M15" s="131">
        <f>'RGV1 FGD'!$W$47</f>
        <v>0</v>
      </c>
      <c r="N15" s="131">
        <f>'RGV1 FGD'!$X$49</f>
        <v>285247890</v>
      </c>
      <c r="O15" s="665" t="str">
        <f t="shared" si="1"/>
        <v>Balanced</v>
      </c>
      <c r="Q15" s="528" t="str">
        <f>'RGV1 FGD'!$O$92</f>
        <v>Lilia M. St. Clair</v>
      </c>
      <c r="R15" s="528" t="str">
        <f>'RGV1 FGD'!$Q$92</f>
        <v>956-665-7906</v>
      </c>
      <c r="S15" s="528" t="str">
        <f>'RGV1 FGD'!$T$92</f>
        <v>lilia.stclair@utrgv.edu</v>
      </c>
    </row>
    <row r="16" spans="1:19">
      <c r="A16" s="480">
        <v>100</v>
      </c>
      <c r="C16" s="1000">
        <v>9930</v>
      </c>
      <c r="D16" s="481" t="str">
        <f t="shared" si="0"/>
        <v>FY 17</v>
      </c>
      <c r="E16" s="53" t="s">
        <v>188</v>
      </c>
      <c r="F16" s="131">
        <f>'P-B FGD'!$W$21</f>
        <v>32513106</v>
      </c>
      <c r="G16" s="131">
        <f>'P-B FGD'!$W$22</f>
        <v>11617046</v>
      </c>
      <c r="H16" s="131">
        <f>'P-B FGD'!$W$27</f>
        <v>1747386</v>
      </c>
      <c r="I16" s="131">
        <f>'P-B FGD'!$W$30</f>
        <v>0</v>
      </c>
      <c r="J16" s="131">
        <f>'P-B FGD'!$W$35</f>
        <v>1887262</v>
      </c>
      <c r="K16" s="131">
        <f>'P-B FGD'!$W$38</f>
        <v>0</v>
      </c>
      <c r="L16" s="131">
        <f>'P-B FGD'!$W$43</f>
        <v>0</v>
      </c>
      <c r="M16" s="131">
        <f>'P-B FGD'!$W$47</f>
        <v>0</v>
      </c>
      <c r="N16" s="131">
        <f>'P-B FGD'!$X$49</f>
        <v>46017414</v>
      </c>
      <c r="O16" s="665" t="str">
        <f t="shared" si="1"/>
        <v>Balanced</v>
      </c>
      <c r="Q16" s="528" t="str">
        <f>'P-B FGD'!$O$92</f>
        <v>Jana Juarez</v>
      </c>
      <c r="R16" s="528" t="str">
        <f>'P-B FGD'!$Q$92</f>
        <v>432-552-2717</v>
      </c>
      <c r="S16" s="528" t="str">
        <f>'P-B FGD'!$T$92</f>
        <v>juarez_j@utpb.edu</v>
      </c>
    </row>
    <row r="17" spans="1:19">
      <c r="A17" s="480">
        <v>110</v>
      </c>
      <c r="C17" s="1000">
        <v>10115</v>
      </c>
      <c r="D17" s="481" t="str">
        <f t="shared" si="0"/>
        <v>FY 17</v>
      </c>
      <c r="E17" s="53" t="s">
        <v>190</v>
      </c>
      <c r="F17" s="131">
        <f>'S-A FGD'!$W$21</f>
        <v>251699436</v>
      </c>
      <c r="G17" s="131">
        <f>'S-A FGD'!$W$22</f>
        <v>112875355</v>
      </c>
      <c r="H17" s="131">
        <f>'S-A FGD'!$W$27</f>
        <v>23139124</v>
      </c>
      <c r="I17" s="131">
        <f>'S-A FGD'!$W$30</f>
        <v>0</v>
      </c>
      <c r="J17" s="131">
        <f>'S-A FGD'!$W$35</f>
        <v>11667359</v>
      </c>
      <c r="K17" s="131">
        <f>'S-A FGD'!$W$38</f>
        <v>0</v>
      </c>
      <c r="L17" s="131">
        <f>'S-A FGD'!$W$43</f>
        <v>0</v>
      </c>
      <c r="M17" s="131">
        <f>'S-A FGD'!$W$47</f>
        <v>0</v>
      </c>
      <c r="N17" s="131">
        <f>'S-A FGD'!$X$49</f>
        <v>376242150</v>
      </c>
      <c r="O17" s="665" t="str">
        <f t="shared" si="1"/>
        <v>Balanced</v>
      </c>
      <c r="Q17" s="528" t="str">
        <f>'S-A FGD'!$O$92</f>
        <v>Sheri Hardison</v>
      </c>
      <c r="R17" s="528" t="str">
        <f>'S-A FGD'!$Q$92</f>
        <v>210-458-6774</v>
      </c>
      <c r="S17" s="528" t="str">
        <f>'S-A FGD'!$T$92</f>
        <v>sheri.hardison@utsa.edu</v>
      </c>
    </row>
    <row r="18" spans="1:19">
      <c r="A18" s="480">
        <v>120</v>
      </c>
      <c r="C18" s="1000">
        <v>11163</v>
      </c>
      <c r="D18" s="481" t="str">
        <f t="shared" si="0"/>
        <v>FY 17</v>
      </c>
      <c r="E18" s="53" t="s">
        <v>196</v>
      </c>
      <c r="F18" s="131">
        <f>'TYL FGD'!$W$21</f>
        <v>57341915</v>
      </c>
      <c r="G18" s="131">
        <f>'TYL FGD'!$W$22</f>
        <v>30039820</v>
      </c>
      <c r="H18" s="131">
        <f>'TYL FGD'!$W$27</f>
        <v>4296120</v>
      </c>
      <c r="I18" s="131">
        <f>'TYL FGD'!$W$30</f>
        <v>2265399</v>
      </c>
      <c r="J18" s="131">
        <f>'TYL FGD'!$W$35</f>
        <v>3042502</v>
      </c>
      <c r="K18" s="131">
        <f>'TYL FGD'!$W$38</f>
        <v>0</v>
      </c>
      <c r="L18" s="131">
        <f>'TYL FGD'!$W$43</f>
        <v>0</v>
      </c>
      <c r="M18" s="131">
        <f>'TYL FGD'!$W$47</f>
        <v>0</v>
      </c>
      <c r="N18" s="131">
        <f>'TYL FGD'!$X$49</f>
        <v>90424237</v>
      </c>
      <c r="O18" s="665" t="str">
        <f t="shared" si="1"/>
        <v>Balanced</v>
      </c>
      <c r="Q18" s="528" t="str">
        <f>'TYL FGD'!$O$92</f>
        <v>Brenda Golemon</v>
      </c>
      <c r="R18" s="528" t="str">
        <f>'TYL FGD'!$Q$92</f>
        <v>903-566-7319</v>
      </c>
      <c r="S18" s="528" t="str">
        <f>'TYL FGD'!$T$92</f>
        <v>bgolemon@gmail.com</v>
      </c>
    </row>
    <row r="19" spans="1:19">
      <c r="A19" s="480">
        <v>130</v>
      </c>
      <c r="C19" s="1000">
        <v>3632</v>
      </c>
      <c r="D19" s="481" t="str">
        <f t="shared" si="0"/>
        <v>FY 17</v>
      </c>
      <c r="E19" s="53" t="s">
        <v>164</v>
      </c>
      <c r="F19" s="131">
        <f>'TAMU FGD'!$W$21</f>
        <v>679630868</v>
      </c>
      <c r="G19" s="131">
        <f>'TAMU FGD'!$W$22</f>
        <v>193858077</v>
      </c>
      <c r="H19" s="131">
        <f>'TAMU FGD'!$W$27</f>
        <v>39233485</v>
      </c>
      <c r="I19" s="131">
        <f>'TAMU FGD'!$W$30</f>
        <v>0</v>
      </c>
      <c r="J19" s="131">
        <f>'TAMU FGD'!$W$35</f>
        <v>74753135</v>
      </c>
      <c r="K19" s="131">
        <f>'TAMU FGD'!$W$38</f>
        <v>1118334</v>
      </c>
      <c r="L19" s="131">
        <f>'TAMU FGD'!$W$43</f>
        <v>0</v>
      </c>
      <c r="M19" s="131">
        <f>'TAMU FGD'!$W$47</f>
        <v>0</v>
      </c>
      <c r="N19" s="131">
        <f>'TAMU FGD'!$X$49</f>
        <v>949360414</v>
      </c>
      <c r="O19" s="665" t="str">
        <f t="shared" si="1"/>
        <v>Balanced</v>
      </c>
      <c r="Q19" s="528" t="str">
        <f>'TAMU FGD'!$O$92</f>
        <v>Chris Arrington</v>
      </c>
      <c r="R19" s="528" t="str">
        <f>'TAMU FGD'!$Q$92</f>
        <v>979-458-9151</v>
      </c>
      <c r="S19" s="528" t="str">
        <f>'TAMU FGD'!$T$92</f>
        <v>carrington@tamus.edu</v>
      </c>
    </row>
    <row r="20" spans="1:19">
      <c r="A20" s="480">
        <v>140</v>
      </c>
      <c r="C20" s="1000">
        <v>10298</v>
      </c>
      <c r="D20" s="481" t="str">
        <f t="shared" si="0"/>
        <v>FY 17</v>
      </c>
      <c r="E20" s="53" t="s">
        <v>192</v>
      </c>
      <c r="F20" s="131">
        <f>'TAMUG FGD'!$W$21</f>
        <v>21352720</v>
      </c>
      <c r="G20" s="131">
        <f>'TAMUG FGD'!$W$22</f>
        <v>4418506</v>
      </c>
      <c r="H20" s="131">
        <f>'TAMUG FGD'!$W$27</f>
        <v>1688259</v>
      </c>
      <c r="I20" s="131">
        <f>'TAMUG FGD'!$W$30</f>
        <v>0</v>
      </c>
      <c r="J20" s="131">
        <f>'TAMUG FGD'!$W$35</f>
        <v>1046841</v>
      </c>
      <c r="K20" s="131">
        <f>'TAMUG FGD'!$W$38</f>
        <v>82185</v>
      </c>
      <c r="L20" s="131">
        <f>'TAMUG FGD'!$W$43</f>
        <v>0</v>
      </c>
      <c r="M20" s="131">
        <f>'TAMUG FGD'!$W$47</f>
        <v>0</v>
      </c>
      <c r="N20" s="131">
        <f>'TAMUG FGD'!$X$49</f>
        <v>26900252</v>
      </c>
      <c r="O20" s="665" t="str">
        <f t="shared" si="1"/>
        <v>Balanced</v>
      </c>
      <c r="Q20" s="528" t="str">
        <f>'TAMUG FGD'!$O$92</f>
        <v>Chris Arrington</v>
      </c>
      <c r="R20" s="528" t="str">
        <f>'TAMUG FGD'!$Q$92</f>
        <v>979-458-9151</v>
      </c>
      <c r="S20" s="528" t="str">
        <f>'TAMUG FGD'!$T$92</f>
        <v>carrington@tamus.edu</v>
      </c>
    </row>
    <row r="21" spans="1:19">
      <c r="A21" s="480">
        <v>150</v>
      </c>
      <c r="C21" s="1000">
        <v>3630</v>
      </c>
      <c r="D21" s="481" t="str">
        <f t="shared" si="0"/>
        <v>FY 17</v>
      </c>
      <c r="E21" s="53" t="s">
        <v>160</v>
      </c>
      <c r="F21" s="131">
        <f>'PVAMU FGD'!$W$21</f>
        <v>58606512</v>
      </c>
      <c r="G21" s="131">
        <f>'PVAMU FGD'!$W$22</f>
        <v>41278880</v>
      </c>
      <c r="H21" s="131">
        <f>'PVAMU FGD'!$W$27</f>
        <v>4537459</v>
      </c>
      <c r="I21" s="131">
        <f>'PVAMU FGD'!$W$30</f>
        <v>0</v>
      </c>
      <c r="J21" s="131">
        <f>'PVAMU FGD'!$W$35</f>
        <v>6328824</v>
      </c>
      <c r="K21" s="131">
        <f>'PVAMU FGD'!$W$38</f>
        <v>0</v>
      </c>
      <c r="L21" s="131">
        <f>'PVAMU FGD'!$W$43</f>
        <v>0</v>
      </c>
      <c r="M21" s="131">
        <f>'PVAMU FGD'!$W$47</f>
        <v>0</v>
      </c>
      <c r="N21" s="131">
        <f>'PVAMU FGD'!$X$49</f>
        <v>106214216</v>
      </c>
      <c r="O21" s="665" t="str">
        <f t="shared" si="1"/>
        <v>Balanced</v>
      </c>
      <c r="Q21" s="528" t="str">
        <f>'TARLST FGD'!$O$92</f>
        <v>Chris Arrington</v>
      </c>
      <c r="R21" s="528" t="str">
        <f>'TARLST FGD'!$Q$92</f>
        <v>254-968-1643</v>
      </c>
      <c r="S21" s="528" t="str">
        <f>'TARLST FGD'!$T$92</f>
        <v>fincher@tarleton.edu</v>
      </c>
    </row>
    <row r="22" spans="1:19">
      <c r="A22" s="480">
        <v>160</v>
      </c>
      <c r="C22" s="1000">
        <v>3631</v>
      </c>
      <c r="D22" s="481" t="str">
        <f t="shared" si="0"/>
        <v>FY 17</v>
      </c>
      <c r="E22" s="53" t="s">
        <v>162</v>
      </c>
      <c r="F22" s="131">
        <f>'TARLST FGD'!$W$21</f>
        <v>95089628</v>
      </c>
      <c r="G22" s="131">
        <f>'TARLST FGD'!$W$22</f>
        <v>31491222</v>
      </c>
      <c r="H22" s="131">
        <f>'TARLST FGD'!$W$27</f>
        <v>8137405</v>
      </c>
      <c r="I22" s="131">
        <f>'TARLST FGD'!$W$30</f>
        <v>277625</v>
      </c>
      <c r="J22" s="131">
        <f>'TARLST FGD'!$W$35</f>
        <v>3086314</v>
      </c>
      <c r="K22" s="131">
        <f>'TARLST FGD'!$W$38</f>
        <v>0</v>
      </c>
      <c r="L22" s="131">
        <f>'TARLST FGD'!$W$43</f>
        <v>0</v>
      </c>
      <c r="M22" s="131">
        <f>'TARLST FGD'!$W$47</f>
        <v>0</v>
      </c>
      <c r="N22" s="131">
        <f>'TARLST FGD'!$X$49</f>
        <v>129667164</v>
      </c>
      <c r="O22" s="665" t="str">
        <f t="shared" si="1"/>
        <v>Balanced</v>
      </c>
      <c r="Q22" s="528" t="str">
        <f>'TARLST FGD'!$O$92</f>
        <v>Chris Arrington</v>
      </c>
      <c r="R22" s="528" t="str">
        <f>'TARLST FGD'!$Q$92</f>
        <v>254-968-1643</v>
      </c>
      <c r="S22" s="528" t="str">
        <f>'TARLST FGD'!$T$92</f>
        <v>fincher@tarleton.edu</v>
      </c>
    </row>
    <row r="23" spans="1:19">
      <c r="A23" s="480">
        <v>170</v>
      </c>
      <c r="C23" s="1000">
        <v>11161</v>
      </c>
      <c r="D23" s="481" t="str">
        <f t="shared" si="0"/>
        <v>FY 17</v>
      </c>
      <c r="E23" s="53" t="s">
        <v>194</v>
      </c>
      <c r="F23" s="131">
        <f>'TAMUCC FGD'!$W$21</f>
        <v>82142445</v>
      </c>
      <c r="G23" s="131">
        <f>'TAMUCC FGD'!$W$22</f>
        <v>31293676</v>
      </c>
      <c r="H23" s="131">
        <f>'TAMUCC FGD'!$W$27</f>
        <v>10358748</v>
      </c>
      <c r="I23" s="131">
        <f>'TAMUCC FGD'!$W$30</f>
        <v>0</v>
      </c>
      <c r="J23" s="131">
        <f>'TAMUCC FGD'!$W$35</f>
        <v>3381213</v>
      </c>
      <c r="K23" s="131">
        <f>'TAMUCC FGD'!$W$38</f>
        <v>0</v>
      </c>
      <c r="L23" s="131">
        <f>'TAMUCC FGD'!$W$43</f>
        <v>0</v>
      </c>
      <c r="M23" s="131">
        <f>'TAMUCC FGD'!$W$47</f>
        <v>160211</v>
      </c>
      <c r="N23" s="131">
        <f>'TAMUCC FGD'!$X$49</f>
        <v>116657123</v>
      </c>
      <c r="O23" s="665" t="str">
        <f t="shared" si="1"/>
        <v>Balanced</v>
      </c>
      <c r="Q23" s="528" t="str">
        <f>'TAMUCC FGD'!$O$92</f>
        <v>Chris Arrington</v>
      </c>
      <c r="R23" s="528" t="str">
        <f>'TAMUCC FGD'!$Q$92</f>
        <v>979-458-9151</v>
      </c>
      <c r="S23" s="528" t="str">
        <f>'TAMUCC FGD'!$T$92</f>
        <v>carrington@tamus.edu</v>
      </c>
    </row>
    <row r="24" spans="1:19">
      <c r="A24" s="480">
        <v>180</v>
      </c>
      <c r="C24" s="1000">
        <v>3639</v>
      </c>
      <c r="D24" s="481" t="str">
        <f t="shared" si="0"/>
        <v>FY 17</v>
      </c>
      <c r="E24" s="53" t="s">
        <v>166</v>
      </c>
      <c r="F24" s="131">
        <f>'TAMUK FGD'!$W$21</f>
        <v>39587132</v>
      </c>
      <c r="G24" s="131">
        <f>'TAMUK FGD'!$W$22</f>
        <v>20744568</v>
      </c>
      <c r="H24" s="131">
        <f>'TAMUK FGD'!$W$27</f>
        <v>3562875</v>
      </c>
      <c r="I24" s="131">
        <f>'TAMUK FGD'!$W$30</f>
        <v>0</v>
      </c>
      <c r="J24" s="131">
        <f>'TAMUK FGD'!$W$35</f>
        <v>2361533</v>
      </c>
      <c r="K24" s="131">
        <f>'TAMUK FGD'!$W$38</f>
        <v>0</v>
      </c>
      <c r="L24" s="131">
        <f>'TAMUK FGD'!$W$43</f>
        <v>0</v>
      </c>
      <c r="M24" s="131">
        <f>'TAMUK FGD'!$W$47</f>
        <v>2721</v>
      </c>
      <c r="N24" s="131">
        <f>'TAMUK FGD'!$X$49</f>
        <v>62690512</v>
      </c>
      <c r="O24" s="665" t="str">
        <f t="shared" si="1"/>
        <v>Balanced</v>
      </c>
      <c r="Q24" s="528" t="str">
        <f>'TAMUK FGD'!$O$92</f>
        <v>Chris Arrington</v>
      </c>
      <c r="R24" s="528" t="str">
        <f>'TAMUK FGD'!$Q$92</f>
        <v>979-458-9151</v>
      </c>
      <c r="S24" s="528" t="str">
        <f>'TAMUK FGD'!$T$92</f>
        <v>carrington@tamus.edu</v>
      </c>
    </row>
    <row r="25" spans="1:19">
      <c r="A25" s="480">
        <v>190</v>
      </c>
      <c r="C25" s="1000">
        <v>9651</v>
      </c>
      <c r="D25" s="481" t="str">
        <f t="shared" si="0"/>
        <v>FY 17</v>
      </c>
      <c r="E25" s="53" t="s">
        <v>184</v>
      </c>
      <c r="F25" s="131">
        <f>'TAMIU FGD'!$W$21</f>
        <v>35768010</v>
      </c>
      <c r="G25" s="131">
        <f>'TAMIU FGD'!$W$22</f>
        <v>30653539</v>
      </c>
      <c r="H25" s="131">
        <f>'TAMIU FGD'!$W$27</f>
        <v>5102847</v>
      </c>
      <c r="I25" s="131">
        <f>'TAMIU FGD'!$W$30</f>
        <v>0</v>
      </c>
      <c r="J25" s="131">
        <f>'TAMIU FGD'!$W$35</f>
        <v>2575910</v>
      </c>
      <c r="K25" s="131">
        <f>'TAMIU FGD'!$W$38</f>
        <v>0</v>
      </c>
      <c r="L25" s="131">
        <f>'TAMIU FGD'!$W$43</f>
        <v>3040743</v>
      </c>
      <c r="M25" s="131">
        <f>'TAMIU FGD'!$W$47</f>
        <v>0</v>
      </c>
      <c r="N25" s="131">
        <f>'TAMIU FGD'!$X$49</f>
        <v>72038202</v>
      </c>
      <c r="O25" s="665" t="str">
        <f t="shared" si="1"/>
        <v>Balanced</v>
      </c>
      <c r="Q25" s="528" t="str">
        <f>'TAMIU FGD'!$O$92</f>
        <v>Chris Arrington</v>
      </c>
      <c r="R25" s="528" t="str">
        <f>'TAMIU FGD'!$Q$92</f>
        <v>979-458-9151</v>
      </c>
      <c r="S25" s="528" t="str">
        <f>'TAMIU FGD'!$T$92</f>
        <v>carrington@tamus.edu</v>
      </c>
    </row>
    <row r="26" spans="1:19">
      <c r="A26" s="480">
        <v>200</v>
      </c>
      <c r="C26" s="1001">
        <v>3665</v>
      </c>
      <c r="D26" s="481" t="str">
        <f t="shared" si="0"/>
        <v>FY 17</v>
      </c>
      <c r="E26" s="56" t="s">
        <v>182</v>
      </c>
      <c r="F26" s="644">
        <f>'WTAMU FGD'!$W$21</f>
        <v>61182029</v>
      </c>
      <c r="G26" s="644">
        <f>'WTAMU FGD'!$W$22</f>
        <v>24220124</v>
      </c>
      <c r="H26" s="644">
        <f>'WTAMU FGD'!$W$27</f>
        <v>6819763</v>
      </c>
      <c r="I26" s="644">
        <f>'WTAMU FGD'!$W$30</f>
        <v>0</v>
      </c>
      <c r="J26" s="131">
        <f>'WTAMU FGD'!$W$35</f>
        <v>14243182</v>
      </c>
      <c r="K26" s="131">
        <f>'WTAMU FGD'!$W$38</f>
        <v>0</v>
      </c>
      <c r="L26" s="131">
        <f>'WTAMU FGD'!$W$43</f>
        <v>0</v>
      </c>
      <c r="M26" s="131">
        <f>'WTAMU FGD'!$W$47</f>
        <v>0</v>
      </c>
      <c r="N26" s="131">
        <f>'WTAMU FGD'!$X$49</f>
        <v>99645335</v>
      </c>
      <c r="O26" s="665" t="str">
        <f t="shared" si="1"/>
        <v>Balanced</v>
      </c>
      <c r="Q26" s="528" t="str">
        <f>'WTAMU FGD'!$O$92</f>
        <v>Chris Arrington</v>
      </c>
      <c r="R26" s="528" t="str">
        <f>'WTAMU FGD'!$Q$92</f>
        <v>979-458-9151</v>
      </c>
      <c r="S26" s="528" t="str">
        <f>'WTAMU FGD'!$T$92</f>
        <v>carrington@tamus.edu</v>
      </c>
    </row>
    <row r="27" spans="1:19">
      <c r="A27" s="480">
        <v>210</v>
      </c>
      <c r="C27" s="1000">
        <v>3565</v>
      </c>
      <c r="D27" s="481" t="str">
        <f t="shared" si="0"/>
        <v>FY 17</v>
      </c>
      <c r="E27" s="53" t="s">
        <v>142</v>
      </c>
      <c r="F27" s="131">
        <f>'TAMUC FGD'!$W$21</f>
        <v>80100693</v>
      </c>
      <c r="G27" s="131">
        <f>'TAMUC FGD'!$W$22</f>
        <v>25976202</v>
      </c>
      <c r="H27" s="131">
        <f>'TAMUC FGD'!$W$27</f>
        <v>4850378</v>
      </c>
      <c r="I27" s="131">
        <f>'TAMUC FGD'!$W$30</f>
        <v>0</v>
      </c>
      <c r="J27" s="131">
        <f>'TAMUC FGD'!$W$35</f>
        <v>7863359</v>
      </c>
      <c r="K27" s="131">
        <f>'TAMUC FGD'!$W$38</f>
        <v>0</v>
      </c>
      <c r="L27" s="131">
        <f>'TAMUC FGD'!$W$43</f>
        <v>0</v>
      </c>
      <c r="M27" s="131">
        <f>'TAMUC FGD'!$W$47</f>
        <v>0</v>
      </c>
      <c r="N27" s="131">
        <f>'TAMUC FGD'!$X$49</f>
        <v>113940254</v>
      </c>
      <c r="O27" s="665" t="str">
        <f t="shared" si="1"/>
        <v>Balanced</v>
      </c>
      <c r="Q27" s="528" t="str">
        <f>'TAMUC FGD'!$O$92</f>
        <v>Chris Arrington</v>
      </c>
      <c r="R27" s="528" t="str">
        <f>'TAMUC FGD'!$Q$92</f>
        <v>979-458-9151</v>
      </c>
      <c r="S27" s="528" t="str">
        <f>'TAMUC FGD'!$T$92</f>
        <v>carrington@tamus.edu</v>
      </c>
    </row>
    <row r="28" spans="1:19">
      <c r="A28" s="480">
        <v>220</v>
      </c>
      <c r="C28" s="1000">
        <v>29269</v>
      </c>
      <c r="D28" s="481" t="str">
        <f t="shared" si="0"/>
        <v>FY 17</v>
      </c>
      <c r="E28" s="53" t="s">
        <v>204</v>
      </c>
      <c r="F28" s="131">
        <f>'TAMUT FGD'!$W$21</f>
        <v>11361521</v>
      </c>
      <c r="G28" s="131">
        <f>'TAMUT FGD'!$W$22</f>
        <v>4285619</v>
      </c>
      <c r="H28" s="131">
        <f>'TAMUT FGD'!$W$27</f>
        <v>885911</v>
      </c>
      <c r="I28" s="131">
        <f>'TAMUT FGD'!$W$30</f>
        <v>0</v>
      </c>
      <c r="J28" s="131">
        <f>'TAMUT FGD'!$W$35</f>
        <v>4518700</v>
      </c>
      <c r="K28" s="131">
        <f>'TAMUT FGD'!$W$38</f>
        <v>0</v>
      </c>
      <c r="L28" s="131">
        <f>'TAMUT FGD'!$W$43</f>
        <v>0</v>
      </c>
      <c r="M28" s="131">
        <f>'TAMUT FGD'!$W$47</f>
        <v>0</v>
      </c>
      <c r="N28" s="131">
        <f>'TAMUT FGD'!$X$49</f>
        <v>20165840</v>
      </c>
      <c r="O28" s="665" t="str">
        <f t="shared" si="1"/>
        <v>Balanced</v>
      </c>
      <c r="Q28" s="528" t="str">
        <f>'TAMUT FGD'!$O$92</f>
        <v>Chris Arrington</v>
      </c>
      <c r="R28" s="528" t="str">
        <f>'TAMUT FGD'!$Q$92</f>
        <v>979-458-9151</v>
      </c>
      <c r="S28" s="528" t="str">
        <f>'TAMUT FGD'!$T$92</f>
        <v>carrington@tamus.edu</v>
      </c>
    </row>
    <row r="29" spans="1:19">
      <c r="A29" s="480">
        <v>223</v>
      </c>
      <c r="C29" s="1000">
        <v>42295</v>
      </c>
      <c r="D29" s="481" t="str">
        <f t="shared" si="0"/>
        <v>FY 17</v>
      </c>
      <c r="E29" s="53" t="s">
        <v>278</v>
      </c>
      <c r="F29" s="131">
        <f>'TAMUCT FGD'!$W$21</f>
        <v>12660399</v>
      </c>
      <c r="G29" s="131">
        <f>'TAMUCT FGD'!$W$22</f>
        <v>4312520</v>
      </c>
      <c r="H29" s="131">
        <f>'TAMUCT FGD'!$W$27</f>
        <v>1567660</v>
      </c>
      <c r="I29" s="131">
        <f>'TAMUCT FGD'!$W$30</f>
        <v>0</v>
      </c>
      <c r="J29" s="131">
        <f>'TAMUCT FGD'!$W$35</f>
        <v>861313</v>
      </c>
      <c r="K29" s="131">
        <f>'TAMUCT FGD'!$W$38</f>
        <v>0</v>
      </c>
      <c r="L29" s="131">
        <f>'TAMUCT FGD'!$W$43</f>
        <v>0</v>
      </c>
      <c r="M29" s="131">
        <f>'TAMUCT FGD'!$W$47</f>
        <v>0</v>
      </c>
      <c r="N29" s="131">
        <f>'TAMUCT FGD'!$X$49</f>
        <v>17834232</v>
      </c>
      <c r="O29" s="665" t="str">
        <f t="shared" si="1"/>
        <v>Balanced</v>
      </c>
      <c r="Q29" s="528" t="str">
        <f>'TAMUCT FGD'!$O$92</f>
        <v>Chris Arrington</v>
      </c>
      <c r="R29" s="528" t="str">
        <f>'TAMUCT FGD'!$Q$92</f>
        <v>979-458-9151</v>
      </c>
      <c r="S29" s="528" t="str">
        <f>'TAMUCT FGD'!$T$92</f>
        <v>fincher@tarleton.edu</v>
      </c>
    </row>
    <row r="30" spans="1:19">
      <c r="A30" s="480">
        <v>226</v>
      </c>
      <c r="C30" s="1000">
        <v>42485</v>
      </c>
      <c r="D30" s="481" t="str">
        <f t="shared" si="0"/>
        <v>FY 17</v>
      </c>
      <c r="E30" s="53" t="s">
        <v>279</v>
      </c>
      <c r="F30" s="131">
        <f>'TAMUSA FGD'!$W$21</f>
        <v>29496374</v>
      </c>
      <c r="G30" s="131">
        <f>'TAMUSA FGD'!$W$22</f>
        <v>15575640</v>
      </c>
      <c r="H30" s="131">
        <f>'TAMUSA FGD'!$W$27</f>
        <v>3972317</v>
      </c>
      <c r="I30" s="131">
        <f>'TAMUSA FGD'!$W$30</f>
        <v>0</v>
      </c>
      <c r="J30" s="131">
        <f>'TAMUSA FGD'!$W$35</f>
        <v>249081</v>
      </c>
      <c r="K30" s="131">
        <f>'TAMUSA FGD'!$W$38</f>
        <v>0</v>
      </c>
      <c r="L30" s="131">
        <f>'TAMUSA FGD'!$W$43</f>
        <v>0</v>
      </c>
      <c r="M30" s="131">
        <f>'TAMUSA FGD'!$W$47</f>
        <v>0</v>
      </c>
      <c r="N30" s="131">
        <f>'TAMUSA FGD'!$X$49</f>
        <v>45321095</v>
      </c>
      <c r="O30" s="665" t="str">
        <f t="shared" si="1"/>
        <v>Balanced</v>
      </c>
      <c r="Q30" s="528" t="str">
        <f>'TAMUSA FGD'!$O$92</f>
        <v>Chris Arrington</v>
      </c>
      <c r="R30" s="528" t="str">
        <f>'TAMUSA FGD'!$Q$92</f>
        <v>979-458-9151</v>
      </c>
      <c r="S30" s="528" t="str">
        <f>'TAMUSA FGD'!$T$92</f>
        <v>carrington@tamus.edu</v>
      </c>
    </row>
    <row r="31" spans="1:19">
      <c r="A31" s="480">
        <v>230</v>
      </c>
      <c r="C31" s="1000">
        <v>3652</v>
      </c>
      <c r="D31" s="481" t="str">
        <f t="shared" si="0"/>
        <v>FY 17</v>
      </c>
      <c r="E31" s="53" t="s">
        <v>174</v>
      </c>
      <c r="F31" s="131">
        <f>'UH1 FGD'!$W$21</f>
        <v>400572093</v>
      </c>
      <c r="G31" s="131">
        <f>'UH1 FGD'!$W$22</f>
        <v>162659266</v>
      </c>
      <c r="H31" s="131">
        <f>'UH1 FGD'!$W$27</f>
        <v>14424607</v>
      </c>
      <c r="I31" s="131">
        <f>'UH1 FGD'!$W$30</f>
        <v>0</v>
      </c>
      <c r="J31" s="131">
        <f>'UH1 FGD'!$W$35</f>
        <v>31195694</v>
      </c>
      <c r="K31" s="131">
        <f>'UH1 FGD'!$W$38</f>
        <v>0</v>
      </c>
      <c r="L31" s="131">
        <f>'UH1 FGD'!$W$43</f>
        <v>0</v>
      </c>
      <c r="M31" s="131">
        <f>'UH1 FGD'!$W$47</f>
        <v>0</v>
      </c>
      <c r="N31" s="131">
        <f>'UH1 FGD'!$X$49</f>
        <v>594427053</v>
      </c>
      <c r="O31" s="665" t="str">
        <f t="shared" si="1"/>
        <v>Balanced</v>
      </c>
      <c r="Q31" s="528" t="str">
        <f>'UH1 FGD'!$O$92</f>
        <v>CHARLOTTE HOTZ</v>
      </c>
      <c r="R31" s="528" t="str">
        <f>'UH1 FGD'!$Q$92</f>
        <v>713.743.5296</v>
      </c>
      <c r="S31" s="528" t="str">
        <f>'UH1 FGD'!$T$92</f>
        <v>cahotz@uh.edu</v>
      </c>
    </row>
    <row r="32" spans="1:19">
      <c r="A32" s="480">
        <v>240</v>
      </c>
      <c r="C32" s="1000">
        <v>11711</v>
      </c>
      <c r="D32" s="481" t="str">
        <f t="shared" si="0"/>
        <v>FY 17</v>
      </c>
      <c r="E32" s="53" t="s">
        <v>198</v>
      </c>
      <c r="F32" s="131">
        <f>'UHCL FGD'!$W$21</f>
        <v>57336848</v>
      </c>
      <c r="G32" s="131">
        <f>'UHCL FGD'!$W$22</f>
        <v>21575476</v>
      </c>
      <c r="H32" s="131">
        <f>'UHCL FGD'!$W$27</f>
        <v>2519600</v>
      </c>
      <c r="I32" s="131">
        <f>'UHCL FGD'!$W$30</f>
        <v>0</v>
      </c>
      <c r="J32" s="131">
        <f>'UHCL FGD'!$W$35</f>
        <v>3018873</v>
      </c>
      <c r="K32" s="131">
        <f>'UHCL FGD'!$W$38</f>
        <v>0</v>
      </c>
      <c r="L32" s="131">
        <f>'UHCL FGD'!$W$43</f>
        <v>0</v>
      </c>
      <c r="M32" s="131">
        <f>'UHCL FGD'!$W$47</f>
        <v>0</v>
      </c>
      <c r="N32" s="131">
        <f>'UHCL FGD'!$X$49</f>
        <v>81931197</v>
      </c>
      <c r="O32" s="665" t="str">
        <f t="shared" si="1"/>
        <v>Balanced</v>
      </c>
      <c r="Q32" s="528" t="str">
        <f>'UHCL FGD'!$O$92</f>
        <v>Mila Bautista</v>
      </c>
      <c r="R32" s="528" t="str">
        <f>'UHCL FGD'!$Q$92</f>
        <v>281-283-2129</v>
      </c>
      <c r="S32" s="528" t="str">
        <f>'UHCL FGD'!$T$92</f>
        <v>BautistaM@uhcl.edu</v>
      </c>
    </row>
    <row r="33" spans="1:19">
      <c r="A33" s="480">
        <v>250</v>
      </c>
      <c r="C33" s="1000">
        <v>12826</v>
      </c>
      <c r="D33" s="481" t="str">
        <f t="shared" si="0"/>
        <v>FY 17</v>
      </c>
      <c r="E33" s="53" t="s">
        <v>200</v>
      </c>
      <c r="F33" s="131">
        <f>'UHD FGD'!$W$21</f>
        <v>72089010</v>
      </c>
      <c r="G33" s="131">
        <f>'UHD FGD'!$W$22</f>
        <v>46954284</v>
      </c>
      <c r="H33" s="131">
        <f>'UHD FGD'!$W$27</f>
        <v>3891770</v>
      </c>
      <c r="I33" s="131">
        <f>'UHD FGD'!$W$30</f>
        <v>0</v>
      </c>
      <c r="J33" s="131">
        <f>'UHD FGD'!$W$35</f>
        <v>614543</v>
      </c>
      <c r="K33" s="131">
        <f>'UHD FGD'!$W$38</f>
        <v>0</v>
      </c>
      <c r="L33" s="131">
        <f>'UHD FGD'!$W$43</f>
        <v>0</v>
      </c>
      <c r="M33" s="131">
        <f>'UHD FGD'!$W$47</f>
        <v>0</v>
      </c>
      <c r="N33" s="131">
        <f>'UHD FGD'!$X$49</f>
        <v>119657837</v>
      </c>
      <c r="O33" s="665" t="str">
        <f t="shared" si="1"/>
        <v>Balanced</v>
      </c>
      <c r="Q33" s="528" t="str">
        <f>'UHD FGD'!$O$92</f>
        <v>Alice Tsai</v>
      </c>
      <c r="R33" s="528" t="str">
        <f>'UHD FGD'!$Q$92</f>
        <v>713-221-8098</v>
      </c>
      <c r="S33" s="528" t="str">
        <f>'UHD FGD'!$T$92</f>
        <v>Tsaia@uhd.edu</v>
      </c>
    </row>
    <row r="34" spans="1:19">
      <c r="A34" s="480">
        <v>260</v>
      </c>
      <c r="C34" s="1000">
        <v>13231</v>
      </c>
      <c r="D34" s="481" t="str">
        <f t="shared" si="0"/>
        <v>FY 17</v>
      </c>
      <c r="E34" s="53" t="s">
        <v>202</v>
      </c>
      <c r="F34" s="131">
        <f>'UHV FGD'!$W$21</f>
        <v>26804338</v>
      </c>
      <c r="G34" s="131">
        <f>'UHV FGD'!$W$22</f>
        <v>9762925</v>
      </c>
      <c r="H34" s="131">
        <f>'UHV FGD'!$W$27</f>
        <v>1624886</v>
      </c>
      <c r="I34" s="131">
        <f>'UHV FGD'!$W$30</f>
        <v>0</v>
      </c>
      <c r="J34" s="131">
        <f>'UHV FGD'!$W$35</f>
        <v>488714</v>
      </c>
      <c r="K34" s="131">
        <f>'UHV FGD'!$W$38</f>
        <v>0</v>
      </c>
      <c r="L34" s="131">
        <f>'UHV FGD'!$W$43</f>
        <v>0</v>
      </c>
      <c r="M34" s="131">
        <f>'UHV FGD'!$W$47</f>
        <v>0</v>
      </c>
      <c r="N34" s="131">
        <f>'UHV FGD'!$X$49</f>
        <v>37055977</v>
      </c>
      <c r="O34" s="665" t="str">
        <f t="shared" si="1"/>
        <v>Balanced</v>
      </c>
      <c r="Q34" s="528" t="str">
        <f>'UHV FGD'!$O$92</f>
        <v>June Nelson</v>
      </c>
      <c r="R34" s="528" t="str">
        <f>'UHV FGD'!$Q$92</f>
        <v>361-570-4873</v>
      </c>
      <c r="S34" s="528" t="str">
        <f>'UHV FGD'!$T$92</f>
        <v>nelsonj@uhv.edu</v>
      </c>
    </row>
    <row r="35" spans="1:19">
      <c r="A35" s="480">
        <v>270</v>
      </c>
      <c r="C35" s="1000">
        <v>3581</v>
      </c>
      <c r="D35" s="481" t="str">
        <f t="shared" si="0"/>
        <v>FY 17</v>
      </c>
      <c r="E35" s="53" t="s">
        <v>144</v>
      </c>
      <c r="F35" s="131">
        <f>'LU FGD'!$W$21</f>
        <v>112190515</v>
      </c>
      <c r="G35" s="131">
        <f>'LU FGD'!$W$22</f>
        <v>27608034</v>
      </c>
      <c r="H35" s="131">
        <f>'LU FGD'!$W$27</f>
        <v>6195694</v>
      </c>
      <c r="I35" s="131">
        <f>'LU FGD'!$W$30</f>
        <v>0</v>
      </c>
      <c r="J35" s="131">
        <f>'LU FGD'!$W$35</f>
        <v>4406982</v>
      </c>
      <c r="K35" s="131">
        <f>'LU FGD'!$W$38</f>
        <v>0</v>
      </c>
      <c r="L35" s="131">
        <f>'LU FGD'!$W$43</f>
        <v>0</v>
      </c>
      <c r="M35" s="131">
        <f>'LU FGD'!$W$47</f>
        <v>0</v>
      </c>
      <c r="N35" s="131">
        <f>'LU FGD'!$X$49</f>
        <v>144205531</v>
      </c>
      <c r="O35" s="665" t="str">
        <f t="shared" si="1"/>
        <v>Balanced</v>
      </c>
      <c r="Q35" s="528" t="str">
        <f>'LU FGD'!$O$92</f>
        <v>Cynthia Brown</v>
      </c>
      <c r="R35" s="528" t="str">
        <f>'LU FGD'!$Q$92</f>
        <v>409-880-7925</v>
      </c>
      <c r="S35" s="528" t="str">
        <f>'LU FGD'!$T$92</f>
        <v>clbrown@lamar.edu</v>
      </c>
    </row>
    <row r="36" spans="1:19">
      <c r="A36" s="480">
        <v>280</v>
      </c>
      <c r="C36" s="1000">
        <v>3606</v>
      </c>
      <c r="D36" s="481" t="str">
        <f t="shared" si="0"/>
        <v>FY 17</v>
      </c>
      <c r="E36" s="53" t="s">
        <v>152</v>
      </c>
      <c r="F36" s="131">
        <f>'shsu1 FGD'!$W$21</f>
        <v>176866747</v>
      </c>
      <c r="G36" s="131">
        <f>'shsu1 FGD'!$W$22</f>
        <v>65302118</v>
      </c>
      <c r="H36" s="131">
        <f>'shsu1 FGD'!$W$27</f>
        <v>17892700</v>
      </c>
      <c r="I36" s="131">
        <f>'shsu1 FGD'!$W$30</f>
        <v>0</v>
      </c>
      <c r="J36" s="131">
        <f>'shsu1 FGD'!$W$35</f>
        <v>5119780</v>
      </c>
      <c r="K36" s="131">
        <f>'shsu1 FGD'!$W$38</f>
        <v>0</v>
      </c>
      <c r="L36" s="131">
        <f>'shsu1 FGD'!$W$43</f>
        <v>0</v>
      </c>
      <c r="M36" s="131">
        <f>'shsu1 FGD'!$W$47</f>
        <v>5119780</v>
      </c>
      <c r="N36" s="131">
        <f>'shsu1 FGD'!$X$49</f>
        <v>242168865</v>
      </c>
      <c r="O36" s="665" t="str">
        <f t="shared" si="1"/>
        <v>Balanced</v>
      </c>
      <c r="Q36" s="528" t="str">
        <f>'UNT FGD'!$O$92</f>
        <v>Leydi Carter</v>
      </c>
      <c r="R36" s="528" t="str">
        <f>'UNT FGD'!$Q$92</f>
        <v>(940) 369-5089</v>
      </c>
      <c r="S36" s="528" t="str">
        <f>'UNT FGD'!$T$92</f>
        <v>Leydi.Carter@untsystem.edu</v>
      </c>
    </row>
    <row r="37" spans="1:19">
      <c r="A37" s="480">
        <v>290</v>
      </c>
      <c r="C37" s="1000">
        <v>3615</v>
      </c>
      <c r="D37" s="481" t="str">
        <f t="shared" si="0"/>
        <v>FY 17</v>
      </c>
      <c r="E37" s="53" t="s">
        <v>2155</v>
      </c>
      <c r="F37" s="131">
        <f>'TXST FGD'!$W$21</f>
        <v>285682007</v>
      </c>
      <c r="G37" s="131">
        <f>'TXST FGD'!$W$22</f>
        <v>119664877</v>
      </c>
      <c r="H37" s="131">
        <f>'TXST FGD'!$W$27</f>
        <v>37279890</v>
      </c>
      <c r="I37" s="131">
        <f>'TXST FGD'!$W$30</f>
        <v>0</v>
      </c>
      <c r="J37" s="131">
        <f>'TXST FGD'!$W$35</f>
        <v>7880881</v>
      </c>
      <c r="K37" s="131">
        <f>'TXST FGD'!$W$38</f>
        <v>0</v>
      </c>
      <c r="L37" s="131">
        <f>'TXST FGD'!$W$43</f>
        <v>0</v>
      </c>
      <c r="M37" s="131">
        <f>'TXST FGD'!$W$47</f>
        <v>0</v>
      </c>
      <c r="N37" s="131">
        <f>'TXST FGD'!$X$49</f>
        <v>413227765</v>
      </c>
      <c r="O37" s="665" t="str">
        <f t="shared" si="1"/>
        <v>Balanced</v>
      </c>
      <c r="Q37" s="528" t="str">
        <f>'TXST FGD'!$O$92</f>
        <v>Cindy Haley</v>
      </c>
      <c r="R37" s="528" t="str">
        <f>'TXST FGD'!$Q$92</f>
        <v>512-245-2087</v>
      </c>
      <c r="S37" s="528" t="str">
        <f>'TXST FGD'!$T$92</f>
        <v>cindy.haley@txstate.edu</v>
      </c>
    </row>
    <row r="38" spans="1:19">
      <c r="A38" s="480">
        <v>300</v>
      </c>
      <c r="C38" s="1000">
        <v>3625</v>
      </c>
      <c r="D38" s="481" t="str">
        <f t="shared" si="0"/>
        <v>FY 17</v>
      </c>
      <c r="E38" s="53" t="s">
        <v>158</v>
      </c>
      <c r="F38" s="131">
        <f>'SRSU FGD'!$W$21</f>
        <v>9678587</v>
      </c>
      <c r="G38" s="131">
        <f>'SRSU FGD'!$W$22</f>
        <v>5494266</v>
      </c>
      <c r="H38" s="131">
        <f>'SRSU FGD'!$W$27</f>
        <v>747761</v>
      </c>
      <c r="I38" s="131">
        <f>'SRSU FGD'!$W$30</f>
        <v>0</v>
      </c>
      <c r="J38" s="131">
        <f>'SRSU FGD'!$W$35</f>
        <v>917820</v>
      </c>
      <c r="K38" s="131">
        <f>'SRSU FGD'!$W$38</f>
        <v>13704</v>
      </c>
      <c r="L38" s="131">
        <f>'SRSU FGD'!$W$43</f>
        <v>0</v>
      </c>
      <c r="M38" s="131">
        <f>'SRSU FGD'!$W$47</f>
        <v>931524</v>
      </c>
      <c r="N38" s="131">
        <f>'SRSU FGD'!$X$49</f>
        <v>15172853</v>
      </c>
      <c r="O38" s="665" t="str">
        <f t="shared" si="1"/>
        <v>Balanced</v>
      </c>
      <c r="Q38" s="528" t="str">
        <f>'AUS FGD'!$O$99</f>
        <v>Marcy Lowther</v>
      </c>
      <c r="R38" s="528" t="str">
        <f>'AUS FGD'!$Q$99</f>
        <v>512-471-2808</v>
      </c>
      <c r="S38" s="528" t="str">
        <f>'AUS FGD'!$T$99</f>
        <v>mlowther@austin.utexas.edu</v>
      </c>
    </row>
    <row r="39" spans="1:19">
      <c r="A39" s="480">
        <v>310</v>
      </c>
      <c r="C39" s="1000">
        <v>3644</v>
      </c>
      <c r="D39" s="481" t="str">
        <f t="shared" si="0"/>
        <v>FY 17</v>
      </c>
      <c r="E39" s="53" t="s">
        <v>170</v>
      </c>
      <c r="F39" s="131">
        <f>'TTU FGD'!$W$21</f>
        <v>357294838</v>
      </c>
      <c r="G39" s="131">
        <f>'TTU FGD'!$W$22</f>
        <v>121055562</v>
      </c>
      <c r="H39" s="131">
        <f>'TTU FGD'!$W$27</f>
        <v>27030086</v>
      </c>
      <c r="I39" s="131">
        <f>'TTU FGD'!$W$30</f>
        <v>0</v>
      </c>
      <c r="J39" s="131">
        <f>'TTU FGD'!$W$35</f>
        <v>39328111</v>
      </c>
      <c r="K39" s="131">
        <f>'TTU FGD'!$W$38</f>
        <v>0</v>
      </c>
      <c r="L39" s="131">
        <f>'TTU FGD'!$W$43</f>
        <v>0</v>
      </c>
      <c r="M39" s="131">
        <f>'TTU FGD'!$W$47</f>
        <v>0</v>
      </c>
      <c r="N39" s="131">
        <f>'TTU FGD'!$X$49</f>
        <v>517678511</v>
      </c>
      <c r="O39" s="665" t="str">
        <f t="shared" si="1"/>
        <v>Balanced</v>
      </c>
      <c r="Q39" s="528" t="str">
        <f>'TTU FGD'!$O$92</f>
        <v>Lori Eppler</v>
      </c>
      <c r="R39" s="528" t="str">
        <f>'TTU FGD'!$Q$92</f>
        <v>806-834-4640</v>
      </c>
      <c r="S39" s="528" t="str">
        <f>'TTU FGD'!$T$92</f>
        <v>lori.eppler@ttu.edu</v>
      </c>
    </row>
    <row r="40" spans="1:19">
      <c r="A40" s="480">
        <v>320</v>
      </c>
      <c r="C40" s="1000">
        <v>3541</v>
      </c>
      <c r="D40" s="481" t="str">
        <f t="shared" si="0"/>
        <v>FY 17</v>
      </c>
      <c r="E40" s="53" t="s">
        <v>140</v>
      </c>
      <c r="F40" s="131">
        <f>'ASU FGD'!$W$21</f>
        <v>44743500</v>
      </c>
      <c r="G40" s="131">
        <f>'ASU FGD'!$W$22</f>
        <v>23936911</v>
      </c>
      <c r="H40" s="131">
        <f>'ASU FGD'!$W$27</f>
        <v>4372243</v>
      </c>
      <c r="I40" s="131">
        <f>'ASU FGD'!$W$30</f>
        <v>67883</v>
      </c>
      <c r="J40" s="131">
        <f>'ASU FGD'!$W$35</f>
        <v>3874804</v>
      </c>
      <c r="K40" s="131">
        <f>'ASU FGD'!$W$38</f>
        <v>1522154</v>
      </c>
      <c r="L40" s="131">
        <f>'ASU FGD'!$W$43</f>
        <v>0</v>
      </c>
      <c r="M40" s="131">
        <f>'ASU FGD'!$W$47</f>
        <v>0</v>
      </c>
      <c r="N40" s="131">
        <f>'ASU FGD'!$X$49</f>
        <v>74077369</v>
      </c>
      <c r="O40" s="665" t="str">
        <f t="shared" si="1"/>
        <v>Balanced</v>
      </c>
      <c r="Q40" s="528" t="str">
        <f>'ASU FGD'!$O$92</f>
        <v>Janet Coleman</v>
      </c>
      <c r="R40" s="528" t="str">
        <f>'ASU FGD'!$Q$92</f>
        <v>325-942-2014</v>
      </c>
      <c r="S40" s="528" t="str">
        <f>'ASU FGD'!$T$92</f>
        <v>janet.coleman@angelo.edu</v>
      </c>
    </row>
    <row r="41" spans="1:19">
      <c r="A41" s="480">
        <v>330</v>
      </c>
      <c r="C41" s="1000">
        <v>3594</v>
      </c>
      <c r="D41" s="481" t="str">
        <f t="shared" si="0"/>
        <v>FY 17</v>
      </c>
      <c r="E41" s="53" t="s">
        <v>148</v>
      </c>
      <c r="F41" s="131">
        <f>'UNT FGD'!$W$21</f>
        <v>363524651</v>
      </c>
      <c r="G41" s="131">
        <f>'UNT FGD'!$W$22</f>
        <v>128260331</v>
      </c>
      <c r="H41" s="131">
        <f>'UNT FGD'!$W$27</f>
        <v>21164253</v>
      </c>
      <c r="I41" s="131">
        <f>'UNT FGD'!$W$30</f>
        <v>3897437</v>
      </c>
      <c r="J41" s="131">
        <f>'UNT FGD'!$W$35</f>
        <v>25644131</v>
      </c>
      <c r="K41" s="131">
        <f>'UNT FGD'!$W$38</f>
        <v>1510689</v>
      </c>
      <c r="L41" s="131">
        <f>'UNT FGD'!$W$43</f>
        <v>25061690</v>
      </c>
      <c r="M41" s="131">
        <f>'UNT FGD'!$W$47</f>
        <v>0</v>
      </c>
      <c r="N41" s="131">
        <f>'UNT FGD'!$X$49</f>
        <v>544001492</v>
      </c>
      <c r="O41" s="665" t="str">
        <f t="shared" si="1"/>
        <v>Balanced</v>
      </c>
      <c r="Q41" s="528" t="str">
        <f>'UNT FGD'!$O$92</f>
        <v>Leydi Carter</v>
      </c>
      <c r="R41" s="528" t="str">
        <f>'UNT FGD'!$Q$92</f>
        <v>(940) 369-5089</v>
      </c>
      <c r="S41" s="528" t="str">
        <f>'UNT FGD'!$T$92</f>
        <v>Leydi.Carter@untsystem.edu</v>
      </c>
    </row>
    <row r="42" spans="1:19">
      <c r="A42" s="480">
        <v>333</v>
      </c>
      <c r="C42" s="1001">
        <v>42421</v>
      </c>
      <c r="D42" s="481" t="str">
        <f t="shared" si="0"/>
        <v>FY 17</v>
      </c>
      <c r="E42" s="56" t="s">
        <v>276</v>
      </c>
      <c r="F42" s="131">
        <f>'UNTD FGD'!$W$21</f>
        <v>30361512</v>
      </c>
      <c r="G42" s="131">
        <f>'UNTD FGD'!$W$22</f>
        <v>7385299</v>
      </c>
      <c r="H42" s="131">
        <f>'UNTD FGD'!$W$27</f>
        <v>1519131</v>
      </c>
      <c r="I42" s="131">
        <f>'UNTD FGD'!$W$30</f>
        <v>0</v>
      </c>
      <c r="J42" s="131">
        <f>'UNTD FGD'!$W$35</f>
        <v>145362</v>
      </c>
      <c r="K42" s="131">
        <f>'UNTD FGD'!$W$38</f>
        <v>0</v>
      </c>
      <c r="L42" s="131">
        <f>'UNTD FGD'!$W$43</f>
        <v>1519131</v>
      </c>
      <c r="M42" s="131">
        <f>'UNTD FGD'!$W$47</f>
        <v>0</v>
      </c>
      <c r="N42" s="131">
        <f>'UNTD FGD'!$X$49</f>
        <v>39411304</v>
      </c>
      <c r="O42" s="665" t="str">
        <f t="shared" si="1"/>
        <v>Balanced</v>
      </c>
      <c r="Q42" s="528" t="str">
        <f>'UNTD FGD'!$O$92</f>
        <v>Gia Doss</v>
      </c>
      <c r="R42" s="528">
        <f>'UNTD FGD'!$Q$92</f>
        <v>0</v>
      </c>
      <c r="S42" s="528" t="str">
        <f>'UNTD FGD'!$T$92</f>
        <v>Gia.Doss@untsystem.edu</v>
      </c>
    </row>
    <row r="43" spans="1:19">
      <c r="A43" s="480">
        <v>340</v>
      </c>
      <c r="C43" s="1000">
        <v>3592</v>
      </c>
      <c r="D43" s="481" t="str">
        <f t="shared" si="0"/>
        <v>FY 17</v>
      </c>
      <c r="E43" s="53" t="s">
        <v>146</v>
      </c>
      <c r="F43" s="131">
        <f>'MidWST FGD'!$W$21</f>
        <v>33832780</v>
      </c>
      <c r="G43" s="131">
        <f>'MidWST FGD'!$W$22</f>
        <v>18667785</v>
      </c>
      <c r="H43" s="131">
        <f>'MidWST FGD'!$W$27</f>
        <v>2676420</v>
      </c>
      <c r="I43" s="131">
        <f>'MidWST FGD'!$W$30</f>
        <v>1264227</v>
      </c>
      <c r="J43" s="131">
        <f>'MidWST FGD'!$W$35</f>
        <v>3442502</v>
      </c>
      <c r="K43" s="131">
        <f>'MidWST FGD'!$W$38</f>
        <v>0</v>
      </c>
      <c r="L43" s="131">
        <f>'MidWST FGD'!$W$43</f>
        <v>0</v>
      </c>
      <c r="M43" s="131">
        <f>'MidWST FGD'!$W$47</f>
        <v>0</v>
      </c>
      <c r="N43" s="131">
        <f>'MidWST FGD'!$X$49</f>
        <v>55943067</v>
      </c>
      <c r="O43" s="665" t="str">
        <f t="shared" si="1"/>
        <v>Balanced</v>
      </c>
      <c r="Q43" s="528" t="str">
        <f>'MidWST FGD'!$O$92</f>
        <v>Chris Stovall</v>
      </c>
      <c r="R43" s="528" t="str">
        <f>'MidWST FGD'!$Q$92</f>
        <v>(940) 397-4273</v>
      </c>
      <c r="S43" s="528" t="str">
        <f>'MidWST FGD'!$T$92</f>
        <v>chris.stovall@msutexas.edu</v>
      </c>
    </row>
    <row r="44" spans="1:19">
      <c r="A44" s="480">
        <v>350</v>
      </c>
      <c r="C44" s="1000">
        <v>3624</v>
      </c>
      <c r="D44" s="481" t="str">
        <f t="shared" si="0"/>
        <v>FY 17</v>
      </c>
      <c r="E44" s="53" t="s">
        <v>156</v>
      </c>
      <c r="F44" s="131">
        <f>'SFA FGD'!$W$21</f>
        <v>80528042</v>
      </c>
      <c r="G44" s="131">
        <f>'SFA FGD'!$W$22</f>
        <v>47773232</v>
      </c>
      <c r="H44" s="131">
        <f>'SFA FGD'!$W$27</f>
        <v>16240364</v>
      </c>
      <c r="I44" s="131">
        <f>'SFA FGD'!$W$30</f>
        <v>0</v>
      </c>
      <c r="J44" s="131">
        <f>'SFA FGD'!$W$35</f>
        <v>329901</v>
      </c>
      <c r="K44" s="131">
        <f>'SFA FGD'!$W$38</f>
        <v>0</v>
      </c>
      <c r="L44" s="131">
        <f>'SFA FGD'!$W$43</f>
        <v>0</v>
      </c>
      <c r="M44" s="131">
        <f>'SFA FGD'!$W$47</f>
        <v>0</v>
      </c>
      <c r="N44" s="131">
        <f>'SFA FGD'!$X$49</f>
        <v>128631175</v>
      </c>
      <c r="O44" s="665" t="str">
        <f t="shared" si="1"/>
        <v>Balanced</v>
      </c>
      <c r="Q44" s="528" t="str">
        <f>'UNTD FGD'!$O$92</f>
        <v>Gia Doss</v>
      </c>
      <c r="R44" s="528">
        <f>'UNTD FGD'!$Q$92</f>
        <v>0</v>
      </c>
      <c r="S44" s="528" t="str">
        <f>'UNTD FGD'!$T$92</f>
        <v>Gia.Doss@untsystem.edu</v>
      </c>
    </row>
    <row r="45" spans="1:19">
      <c r="A45" s="480">
        <v>360</v>
      </c>
      <c r="C45" s="1000">
        <v>3642</v>
      </c>
      <c r="D45" s="481" t="str">
        <f t="shared" si="0"/>
        <v>FY 17</v>
      </c>
      <c r="E45" s="53" t="s">
        <v>168</v>
      </c>
      <c r="F45" s="131">
        <f>'TSU FGD'!$W$21</f>
        <v>53649894</v>
      </c>
      <c r="G45" s="131">
        <f>'TSU FGD'!$W$22</f>
        <v>24582417</v>
      </c>
      <c r="H45" s="131">
        <f>'TSU FGD'!$W$27</f>
        <v>3192164</v>
      </c>
      <c r="I45" s="131">
        <f>'TSU FGD'!$W$30</f>
        <v>0</v>
      </c>
      <c r="J45" s="131">
        <f>'TSU FGD'!$W$35</f>
        <v>4872104</v>
      </c>
      <c r="K45" s="131">
        <f>'TSU FGD'!$W$38</f>
        <v>0</v>
      </c>
      <c r="L45" s="131">
        <f>'TSU FGD'!$W$43</f>
        <v>0</v>
      </c>
      <c r="M45" s="131">
        <f>'TSU FGD'!$W$47</f>
        <v>0</v>
      </c>
      <c r="N45" s="131">
        <f>'TSU FGD'!$X$49</f>
        <v>83104415</v>
      </c>
      <c r="O45" s="665" t="str">
        <f t="shared" si="1"/>
        <v>Balanced</v>
      </c>
      <c r="Q45" s="528" t="str">
        <f>'TSU FGD'!$O$92</f>
        <v>Bobbie Phelps</v>
      </c>
      <c r="R45" s="528" t="str">
        <f>'TSU FGD'!$Q$92</f>
        <v>713-313-6890</v>
      </c>
      <c r="S45" s="528" t="str">
        <f>'TSU FGD'!$T$92</f>
        <v>bobbie.phelps@tsu.edu</v>
      </c>
    </row>
    <row r="46" spans="1:19">
      <c r="A46" s="480">
        <v>370</v>
      </c>
      <c r="C46" s="1002">
        <v>3646</v>
      </c>
      <c r="D46" s="481" t="str">
        <f t="shared" si="0"/>
        <v>FY 17</v>
      </c>
      <c r="E46" s="133" t="s">
        <v>172</v>
      </c>
      <c r="F46" s="131">
        <f>'TWU FGD'!$W$21</f>
        <v>89161334</v>
      </c>
      <c r="G46" s="131">
        <f>'TWU FGD'!$W$22</f>
        <v>54386428</v>
      </c>
      <c r="H46" s="131">
        <f>'TWU FGD'!$W$27</f>
        <v>5555756</v>
      </c>
      <c r="I46" s="131">
        <f>'TWU FGD'!$W$30</f>
        <v>2882444</v>
      </c>
      <c r="J46" s="131">
        <f>'TWU FGD'!$W$35</f>
        <v>6045732</v>
      </c>
      <c r="K46" s="131">
        <f>'TWU FGD'!$W$38</f>
        <v>42549</v>
      </c>
      <c r="L46" s="131">
        <f>'TWU FGD'!$W$43</f>
        <v>0</v>
      </c>
      <c r="M46" s="131">
        <f>'TWU FGD'!$W$47</f>
        <v>6088281</v>
      </c>
      <c r="N46" s="131">
        <f>'TWU FGD'!$X$49</f>
        <v>143547762</v>
      </c>
      <c r="O46" s="665" t="str">
        <f t="shared" si="1"/>
        <v>Balanced</v>
      </c>
      <c r="Q46" s="528" t="str">
        <f>'TWU FGD'!$O$92</f>
        <v>June Orth</v>
      </c>
      <c r="R46" s="528" t="str">
        <f>'TWU FGD'!$Q$92</f>
        <v>940-898-3522</v>
      </c>
      <c r="S46" s="528" t="str">
        <f>'TWU FGD'!$T$92</f>
        <v>borth@twu.edu</v>
      </c>
    </row>
    <row r="47" spans="1:19" ht="13.5" thickBot="1">
      <c r="A47" s="139"/>
      <c r="B47" s="139"/>
      <c r="C47" s="1370"/>
      <c r="D47" s="139">
        <f>COUNTA(D11:D46)</f>
        <v>36</v>
      </c>
      <c r="E47" s="140" t="s">
        <v>207</v>
      </c>
      <c r="F47" s="142">
        <f t="shared" ref="F47:N47" si="2">SUM(F11:F46)</f>
        <v>5201526243</v>
      </c>
      <c r="G47" s="668">
        <f t="shared" si="2"/>
        <v>2107202081</v>
      </c>
      <c r="H47" s="142">
        <f t="shared" si="2"/>
        <v>345017503</v>
      </c>
      <c r="I47" s="142">
        <f t="shared" si="2"/>
        <v>10655015</v>
      </c>
      <c r="J47" s="142">
        <f t="shared" si="2"/>
        <v>443340989</v>
      </c>
      <c r="K47" s="142">
        <f t="shared" si="2"/>
        <v>4295073</v>
      </c>
      <c r="L47" s="142">
        <f t="shared" si="2"/>
        <v>29620407</v>
      </c>
      <c r="M47" s="142">
        <f t="shared" si="2"/>
        <v>12302517</v>
      </c>
      <c r="N47" s="142">
        <f t="shared" si="2"/>
        <v>7773682276</v>
      </c>
    </row>
    <row r="48" spans="1:19" s="114" customFormat="1" ht="13.5" thickTop="1">
      <c r="A48" s="145"/>
      <c r="B48" s="145"/>
      <c r="O48" s="145"/>
    </row>
    <row r="49" spans="1:15" s="114" customFormat="1">
      <c r="A49" s="145"/>
      <c r="B49" s="145"/>
      <c r="C49" s="1037">
        <f>SUM(C11:C48)</f>
        <v>345995</v>
      </c>
      <c r="D49" s="114" t="s">
        <v>1397</v>
      </c>
      <c r="O49" s="145"/>
    </row>
    <row r="50" spans="1:15" s="114" customFormat="1">
      <c r="A50" s="145"/>
      <c r="B50" s="145"/>
      <c r="C50" s="114">
        <f>Names!$I$74</f>
        <v>0</v>
      </c>
      <c r="E50" s="146"/>
      <c r="O50" s="145"/>
    </row>
    <row r="51" spans="1:15" s="114" customFormat="1">
      <c r="A51" s="145"/>
      <c r="B51" s="145"/>
      <c r="C51" s="1037">
        <f>C49-C50</f>
        <v>345995</v>
      </c>
      <c r="O51" s="145"/>
    </row>
    <row r="52" spans="1:15" s="114" customFormat="1">
      <c r="A52" s="145"/>
      <c r="B52" s="145"/>
      <c r="O52" s="145"/>
    </row>
    <row r="53" spans="1:15" s="114" customFormat="1">
      <c r="A53" s="145"/>
      <c r="B53" s="145"/>
      <c r="O53" s="145"/>
    </row>
    <row r="54" spans="1:15" s="114" customFormat="1">
      <c r="A54" s="145"/>
      <c r="B54" s="145"/>
      <c r="O54" s="145"/>
    </row>
    <row r="55" spans="1:15" s="114" customFormat="1">
      <c r="A55" s="145"/>
      <c r="B55" s="145"/>
      <c r="O55" s="145"/>
    </row>
    <row r="56" spans="1:15" s="114" customFormat="1">
      <c r="A56" s="145"/>
      <c r="B56" s="145"/>
      <c r="O56" s="145"/>
    </row>
    <row r="57" spans="1:15" s="114" customFormat="1">
      <c r="A57" s="145"/>
      <c r="B57" s="145"/>
      <c r="O57" s="145"/>
    </row>
    <row r="58" spans="1:15" s="114" customFormat="1">
      <c r="A58" s="145"/>
      <c r="B58" s="145"/>
      <c r="O58" s="145"/>
    </row>
    <row r="59" spans="1:15" s="114" customFormat="1">
      <c r="A59" s="145"/>
      <c r="B59" s="145"/>
      <c r="O59" s="145"/>
    </row>
    <row r="60" spans="1:15" s="114" customFormat="1">
      <c r="A60" s="145"/>
      <c r="B60" s="145"/>
      <c r="O60" s="145"/>
    </row>
    <row r="61" spans="1:15" s="114" customFormat="1">
      <c r="A61" s="145"/>
      <c r="B61" s="145"/>
      <c r="C61" s="145"/>
      <c r="D61" s="158"/>
      <c r="O61" s="145"/>
    </row>
    <row r="62" spans="1:15" s="114" customFormat="1">
      <c r="A62" s="145"/>
      <c r="B62" s="145"/>
      <c r="C62" s="145"/>
      <c r="G62" s="158"/>
      <c r="O62" s="145"/>
    </row>
    <row r="63" spans="1:15" s="114" customFormat="1">
      <c r="A63" s="145"/>
      <c r="B63" s="145"/>
      <c r="C63" s="53"/>
      <c r="D63" s="53"/>
      <c r="E63" s="53"/>
      <c r="F63" s="528"/>
      <c r="G63" s="528"/>
      <c r="O63" s="145"/>
    </row>
    <row r="64" spans="1:15" s="114" customFormat="1">
      <c r="A64" s="145"/>
      <c r="B64" s="145"/>
      <c r="C64" s="53"/>
      <c r="D64" s="53"/>
      <c r="E64" s="53"/>
      <c r="F64" s="528"/>
      <c r="G64" s="528"/>
      <c r="O64" s="145"/>
    </row>
    <row r="65" spans="1:15" s="114" customFormat="1">
      <c r="A65" s="145"/>
      <c r="B65" s="145"/>
      <c r="C65" s="53" t="s">
        <v>1422</v>
      </c>
      <c r="D65" s="53"/>
      <c r="E65" s="53"/>
      <c r="F65" s="528"/>
      <c r="G65" s="528"/>
      <c r="O65" s="145"/>
    </row>
    <row r="66" spans="1:15" s="114" customFormat="1" ht="13.5" thickBot="1">
      <c r="A66" s="145"/>
      <c r="B66" s="145"/>
      <c r="C66" s="53"/>
      <c r="D66" s="53">
        <v>37</v>
      </c>
      <c r="E66" s="53" t="s">
        <v>1348</v>
      </c>
      <c r="F66" s="142">
        <v>4433334692</v>
      </c>
      <c r="G66" s="668">
        <v>1485452582</v>
      </c>
      <c r="H66" s="142">
        <v>249606258</v>
      </c>
      <c r="I66" s="142">
        <v>2075063</v>
      </c>
      <c r="J66" s="142">
        <v>383776926</v>
      </c>
      <c r="K66" s="142">
        <v>3793203</v>
      </c>
      <c r="L66" s="142">
        <v>18726049</v>
      </c>
      <c r="M66" s="142">
        <v>20640616</v>
      </c>
      <c r="N66" s="142">
        <v>6304442836</v>
      </c>
      <c r="O66" s="145"/>
    </row>
    <row r="67" spans="1:15" s="114" customFormat="1" ht="13.5" thickTop="1">
      <c r="A67" s="145"/>
      <c r="B67" s="145"/>
      <c r="C67" s="53"/>
      <c r="D67" s="53"/>
      <c r="E67" s="53"/>
      <c r="F67" s="528"/>
      <c r="G67" s="528"/>
      <c r="O67" s="145"/>
    </row>
    <row r="68" spans="1:15" s="114" customFormat="1">
      <c r="A68" s="145"/>
      <c r="B68" s="145"/>
      <c r="C68" s="53"/>
      <c r="D68" s="53"/>
      <c r="E68" s="53"/>
      <c r="F68" s="528">
        <f>F66-F47</f>
        <v>-768191551</v>
      </c>
      <c r="G68" s="528">
        <f t="shared" ref="G68:N68" si="3">G66-G47</f>
        <v>-621749499</v>
      </c>
      <c r="H68" s="528">
        <f t="shared" si="3"/>
        <v>-95411245</v>
      </c>
      <c r="I68" s="528">
        <f t="shared" si="3"/>
        <v>-8579952</v>
      </c>
      <c r="J68" s="528">
        <f t="shared" si="3"/>
        <v>-59564063</v>
      </c>
      <c r="K68" s="528">
        <f t="shared" si="3"/>
        <v>-501870</v>
      </c>
      <c r="L68" s="528">
        <f t="shared" si="3"/>
        <v>-10894358</v>
      </c>
      <c r="M68" s="528">
        <f t="shared" si="3"/>
        <v>8338099</v>
      </c>
      <c r="N68" s="528">
        <f t="shared" si="3"/>
        <v>-1469239440</v>
      </c>
      <c r="O68" s="145"/>
    </row>
    <row r="69" spans="1:15" s="114" customFormat="1">
      <c r="A69" s="145"/>
      <c r="B69" s="145"/>
      <c r="O69" s="145"/>
    </row>
    <row r="70" spans="1:15" s="114" customFormat="1">
      <c r="A70" s="145"/>
      <c r="B70" s="145"/>
      <c r="O70" s="145"/>
    </row>
    <row r="71" spans="1:15" s="114" customFormat="1">
      <c r="A71" s="145"/>
      <c r="B71" s="145"/>
      <c r="O71" s="145"/>
    </row>
    <row r="72" spans="1:15" s="114" customFormat="1">
      <c r="A72" s="145"/>
      <c r="B72" s="145"/>
      <c r="O72" s="145"/>
    </row>
    <row r="73" spans="1:15" s="114" customFormat="1">
      <c r="A73" s="145"/>
      <c r="B73" s="145"/>
      <c r="O73" s="145"/>
    </row>
    <row r="74" spans="1:15" s="114" customFormat="1">
      <c r="A74" s="145"/>
      <c r="B74" s="145"/>
      <c r="O74" s="145"/>
    </row>
    <row r="75" spans="1:15" s="114" customFormat="1">
      <c r="A75" s="145"/>
      <c r="B75" s="145"/>
      <c r="O75" s="145"/>
    </row>
    <row r="76" spans="1:15" s="114" customFormat="1">
      <c r="A76" s="145"/>
      <c r="B76" s="145"/>
      <c r="O76" s="145"/>
    </row>
    <row r="77" spans="1:15" s="114" customFormat="1">
      <c r="A77" s="145"/>
      <c r="B77" s="145"/>
      <c r="O77" s="145"/>
    </row>
    <row r="78" spans="1:15" s="114" customFormat="1">
      <c r="A78" s="145"/>
      <c r="B78" s="145"/>
      <c r="O78" s="145"/>
    </row>
    <row r="79" spans="1:15" s="114" customFormat="1">
      <c r="A79" s="145"/>
      <c r="B79" s="145"/>
      <c r="O79" s="145"/>
    </row>
    <row r="80" spans="1:15" s="114" customFormat="1">
      <c r="A80" s="145"/>
      <c r="B80" s="145"/>
      <c r="O80" s="145"/>
    </row>
    <row r="81" spans="1:15" s="114" customFormat="1">
      <c r="A81" s="145"/>
      <c r="B81" s="145"/>
      <c r="O81" s="145"/>
    </row>
    <row r="82" spans="1:15" s="114" customFormat="1">
      <c r="A82" s="145"/>
      <c r="B82" s="145"/>
      <c r="O82" s="145"/>
    </row>
    <row r="83" spans="1:15" s="114" customFormat="1">
      <c r="A83" s="145"/>
      <c r="B83" s="145"/>
      <c r="O83" s="145"/>
    </row>
    <row r="84" spans="1:15" s="114" customFormat="1">
      <c r="A84" s="145"/>
      <c r="B84" s="145"/>
      <c r="O84" s="145"/>
    </row>
    <row r="85" spans="1:15" s="114" customFormat="1">
      <c r="A85" s="145"/>
      <c r="B85" s="145"/>
      <c r="O85" s="145"/>
    </row>
    <row r="86" spans="1:15" s="114" customFormat="1">
      <c r="A86" s="145"/>
      <c r="B86" s="145"/>
      <c r="O86" s="145"/>
    </row>
    <row r="87" spans="1:15" s="114" customFormat="1">
      <c r="A87" s="145"/>
      <c r="B87" s="145"/>
      <c r="O87" s="145"/>
    </row>
    <row r="88" spans="1:15" s="114" customFormat="1">
      <c r="A88" s="145"/>
      <c r="B88" s="145"/>
      <c r="O88" s="145"/>
    </row>
    <row r="89" spans="1:15" s="114" customFormat="1">
      <c r="A89" s="145"/>
      <c r="B89" s="145"/>
      <c r="O89" s="145"/>
    </row>
    <row r="90" spans="1:15" s="114" customFormat="1">
      <c r="A90" s="145"/>
      <c r="B90" s="145"/>
      <c r="O90" s="145"/>
    </row>
    <row r="91" spans="1:15" s="114" customFormat="1">
      <c r="A91" s="145"/>
      <c r="B91" s="145"/>
      <c r="O91" s="145"/>
    </row>
    <row r="92" spans="1:15" s="114" customFormat="1">
      <c r="A92" s="145"/>
      <c r="B92" s="145"/>
      <c r="O92" s="145"/>
    </row>
    <row r="93" spans="1:15" s="114" customFormat="1">
      <c r="A93" s="145"/>
      <c r="B93" s="145"/>
      <c r="O93" s="145"/>
    </row>
    <row r="94" spans="1:15" s="114" customFormat="1">
      <c r="A94" s="145"/>
      <c r="B94" s="145"/>
      <c r="O94" s="145"/>
    </row>
    <row r="95" spans="1:15" s="114" customFormat="1">
      <c r="A95" s="145"/>
      <c r="B95" s="145"/>
      <c r="O95" s="145"/>
    </row>
    <row r="96" spans="1:15" s="114" customFormat="1">
      <c r="A96" s="145"/>
      <c r="B96" s="145"/>
      <c r="O96" s="145"/>
    </row>
    <row r="97" spans="1:15" s="114" customFormat="1">
      <c r="A97" s="145"/>
      <c r="B97" s="145"/>
      <c r="O97" s="145"/>
    </row>
    <row r="98" spans="1:15" s="114" customFormat="1">
      <c r="A98" s="145"/>
      <c r="B98" s="145"/>
      <c r="O98" s="145"/>
    </row>
    <row r="99" spans="1:15" s="114" customFormat="1">
      <c r="A99" s="145"/>
      <c r="B99" s="145"/>
      <c r="O99" s="145"/>
    </row>
    <row r="100" spans="1:15" s="114" customFormat="1">
      <c r="A100" s="145"/>
      <c r="B100" s="145"/>
      <c r="O100" s="145"/>
    </row>
    <row r="101" spans="1:15" s="114" customFormat="1">
      <c r="A101" s="145"/>
      <c r="B101" s="145"/>
      <c r="O101" s="145"/>
    </row>
    <row r="102" spans="1:15" s="114" customFormat="1">
      <c r="A102" s="145"/>
      <c r="B102" s="145"/>
      <c r="O102" s="145"/>
    </row>
    <row r="103" spans="1:15" s="114" customFormat="1">
      <c r="A103" s="145"/>
      <c r="B103" s="145"/>
      <c r="O103" s="145"/>
    </row>
    <row r="104" spans="1:15" s="114" customFormat="1">
      <c r="A104" s="145"/>
      <c r="B104" s="145"/>
      <c r="O104" s="145"/>
    </row>
    <row r="105" spans="1:15" s="114" customFormat="1">
      <c r="A105" s="145"/>
      <c r="B105" s="145"/>
      <c r="O105" s="145"/>
    </row>
    <row r="106" spans="1:15" s="114" customFormat="1">
      <c r="A106" s="145"/>
      <c r="B106" s="145"/>
      <c r="O106" s="145"/>
    </row>
    <row r="107" spans="1:15" s="114" customFormat="1">
      <c r="A107" s="145"/>
      <c r="B107" s="145"/>
      <c r="O107" s="145"/>
    </row>
    <row r="108" spans="1:15" s="114" customFormat="1">
      <c r="A108" s="145"/>
      <c r="B108" s="145"/>
      <c r="O108" s="145"/>
    </row>
    <row r="109" spans="1:15" s="114" customFormat="1">
      <c r="A109" s="145"/>
      <c r="B109" s="145"/>
      <c r="O109" s="145"/>
    </row>
    <row r="110" spans="1:15" s="114" customFormat="1">
      <c r="A110" s="145"/>
      <c r="B110" s="145"/>
      <c r="O110" s="145"/>
    </row>
    <row r="111" spans="1:15" s="114" customFormat="1">
      <c r="A111" s="145"/>
      <c r="B111" s="145"/>
      <c r="O111" s="145"/>
    </row>
    <row r="112" spans="1:15" s="114" customFormat="1">
      <c r="A112" s="145"/>
      <c r="B112" s="145"/>
      <c r="O112" s="145"/>
    </row>
    <row r="113" spans="1:15" s="114" customFormat="1">
      <c r="A113" s="145"/>
      <c r="B113" s="145"/>
      <c r="O113" s="145"/>
    </row>
    <row r="114" spans="1:15" s="114" customFormat="1">
      <c r="A114" s="145"/>
      <c r="B114" s="145"/>
      <c r="O114" s="145"/>
    </row>
    <row r="115" spans="1:15" s="114" customFormat="1">
      <c r="A115" s="145"/>
      <c r="B115" s="145"/>
      <c r="O115" s="145"/>
    </row>
    <row r="116" spans="1:15" s="114" customFormat="1">
      <c r="A116" s="145"/>
      <c r="B116" s="145"/>
      <c r="O116" s="145"/>
    </row>
    <row r="117" spans="1:15" s="114" customFormat="1">
      <c r="A117" s="145"/>
      <c r="B117" s="145"/>
      <c r="O117" s="145"/>
    </row>
    <row r="118" spans="1:15" s="114" customFormat="1">
      <c r="A118" s="145"/>
      <c r="B118" s="145"/>
      <c r="O118" s="145"/>
    </row>
    <row r="119" spans="1:15" s="114" customFormat="1">
      <c r="A119" s="145"/>
      <c r="B119" s="145"/>
      <c r="O119" s="145"/>
    </row>
    <row r="120" spans="1:15" s="114" customFormat="1">
      <c r="A120" s="145"/>
      <c r="B120" s="145"/>
      <c r="O120" s="145"/>
    </row>
    <row r="121" spans="1:15" s="114" customFormat="1">
      <c r="A121" s="145"/>
      <c r="B121" s="145"/>
      <c r="O121" s="145"/>
    </row>
    <row r="122" spans="1:15" s="114" customFormat="1">
      <c r="A122" s="145"/>
      <c r="B122" s="145"/>
      <c r="O122" s="145"/>
    </row>
    <row r="123" spans="1:15" s="114" customFormat="1">
      <c r="A123" s="145"/>
      <c r="B123" s="145"/>
      <c r="O123" s="145"/>
    </row>
    <row r="124" spans="1:15" s="114" customFormat="1">
      <c r="A124" s="145"/>
      <c r="B124" s="145"/>
      <c r="O124" s="145"/>
    </row>
    <row r="125" spans="1:15" s="114" customFormat="1">
      <c r="A125" s="145"/>
      <c r="B125" s="145"/>
      <c r="O125" s="145"/>
    </row>
    <row r="126" spans="1:15" s="114" customFormat="1">
      <c r="A126" s="145"/>
      <c r="B126" s="145"/>
      <c r="O126" s="145"/>
    </row>
    <row r="127" spans="1:15" s="114" customFormat="1">
      <c r="A127" s="145"/>
      <c r="B127" s="145"/>
      <c r="O127" s="145"/>
    </row>
    <row r="128" spans="1:15" s="114" customFormat="1">
      <c r="A128" s="145"/>
      <c r="B128" s="145"/>
      <c r="O128" s="145"/>
    </row>
    <row r="129" spans="1:15" s="114" customFormat="1">
      <c r="A129" s="145"/>
      <c r="B129" s="145"/>
      <c r="O129" s="145"/>
    </row>
    <row r="130" spans="1:15" s="114" customFormat="1">
      <c r="A130" s="145"/>
      <c r="B130" s="145"/>
      <c r="O130" s="145"/>
    </row>
    <row r="131" spans="1:15" s="114" customFormat="1">
      <c r="A131" s="145"/>
      <c r="B131" s="145"/>
      <c r="O131" s="145"/>
    </row>
    <row r="132" spans="1:15" s="114" customFormat="1">
      <c r="A132" s="145"/>
      <c r="B132" s="145"/>
      <c r="O132" s="145"/>
    </row>
    <row r="133" spans="1:15" s="114" customFormat="1">
      <c r="A133" s="145"/>
      <c r="B133" s="145"/>
      <c r="O133" s="145"/>
    </row>
    <row r="134" spans="1:15" s="114" customFormat="1">
      <c r="A134" s="145"/>
      <c r="B134" s="145"/>
      <c r="O134" s="145"/>
    </row>
    <row r="135" spans="1:15" s="114" customFormat="1">
      <c r="A135" s="145"/>
      <c r="B135" s="145"/>
      <c r="O135" s="145"/>
    </row>
    <row r="136" spans="1:15" s="114" customFormat="1">
      <c r="A136" s="145"/>
      <c r="B136" s="145"/>
      <c r="O136" s="145"/>
    </row>
    <row r="137" spans="1:15" s="114" customFormat="1">
      <c r="A137" s="145"/>
      <c r="B137" s="145"/>
      <c r="O137" s="145"/>
    </row>
    <row r="138" spans="1:15" s="114" customFormat="1">
      <c r="A138" s="145"/>
      <c r="B138" s="145"/>
      <c r="O138" s="145"/>
    </row>
    <row r="139" spans="1:15" s="114" customFormat="1">
      <c r="A139" s="145"/>
      <c r="B139" s="145"/>
      <c r="O139" s="145"/>
    </row>
    <row r="140" spans="1:15" s="114" customFormat="1">
      <c r="A140" s="145"/>
      <c r="B140" s="145"/>
      <c r="O140" s="145"/>
    </row>
    <row r="141" spans="1:15" s="114" customFormat="1">
      <c r="A141" s="145"/>
      <c r="B141" s="145"/>
      <c r="O141" s="145"/>
    </row>
    <row r="142" spans="1:15" s="114" customFormat="1">
      <c r="A142" s="145"/>
      <c r="B142" s="145"/>
      <c r="O142" s="145"/>
    </row>
    <row r="143" spans="1:15" s="114" customFormat="1">
      <c r="A143" s="145"/>
      <c r="B143" s="145"/>
      <c r="O143" s="145"/>
    </row>
    <row r="144" spans="1:15" s="114" customFormat="1">
      <c r="A144" s="145"/>
      <c r="B144" s="145"/>
      <c r="O144" s="145"/>
    </row>
    <row r="145" spans="1:15" s="114" customFormat="1">
      <c r="A145" s="145"/>
      <c r="B145" s="145"/>
      <c r="O145" s="145"/>
    </row>
    <row r="146" spans="1:15" s="114" customFormat="1">
      <c r="A146" s="145"/>
      <c r="B146" s="145"/>
      <c r="O146" s="145"/>
    </row>
    <row r="147" spans="1:15" s="114" customFormat="1">
      <c r="A147" s="145"/>
      <c r="B147" s="145"/>
      <c r="O147" s="145"/>
    </row>
    <row r="148" spans="1:15" s="114" customFormat="1">
      <c r="A148" s="145"/>
      <c r="B148" s="145"/>
      <c r="O148" s="145"/>
    </row>
    <row r="149" spans="1:15" s="114" customFormat="1">
      <c r="A149" s="145"/>
      <c r="B149" s="145"/>
      <c r="O149" s="145"/>
    </row>
    <row r="150" spans="1:15" s="114" customFormat="1">
      <c r="A150" s="145"/>
      <c r="B150" s="145"/>
      <c r="O150" s="145"/>
    </row>
    <row r="151" spans="1:15" s="114" customFormat="1">
      <c r="A151" s="145"/>
      <c r="B151" s="145"/>
      <c r="O151" s="145"/>
    </row>
    <row r="152" spans="1:15" s="114" customFormat="1">
      <c r="A152" s="145"/>
      <c r="B152" s="145"/>
      <c r="O152" s="145"/>
    </row>
    <row r="153" spans="1:15" s="114" customFormat="1">
      <c r="A153" s="145"/>
      <c r="B153" s="145"/>
      <c r="O153" s="145"/>
    </row>
    <row r="154" spans="1:15" s="114" customFormat="1">
      <c r="A154" s="145"/>
      <c r="B154" s="145"/>
      <c r="O154" s="145"/>
    </row>
    <row r="155" spans="1:15" s="114" customFormat="1">
      <c r="A155" s="145"/>
      <c r="B155" s="145"/>
      <c r="O155" s="145"/>
    </row>
    <row r="156" spans="1:15" s="114" customFormat="1">
      <c r="A156" s="145"/>
      <c r="B156" s="145"/>
      <c r="O156" s="145"/>
    </row>
    <row r="157" spans="1:15" s="114" customFormat="1">
      <c r="A157" s="145"/>
      <c r="B157" s="145"/>
      <c r="O157" s="145"/>
    </row>
    <row r="158" spans="1:15" s="114" customFormat="1">
      <c r="A158" s="145"/>
      <c r="B158" s="145"/>
      <c r="O158" s="145"/>
    </row>
    <row r="159" spans="1:15" s="114" customFormat="1">
      <c r="A159" s="145"/>
      <c r="B159" s="145"/>
      <c r="O159" s="145"/>
    </row>
    <row r="160" spans="1:15" s="114" customFormat="1">
      <c r="A160" s="145"/>
      <c r="B160" s="145"/>
      <c r="O160" s="145"/>
    </row>
    <row r="161" spans="1:15" s="114" customFormat="1">
      <c r="A161" s="145"/>
      <c r="B161" s="145"/>
      <c r="O161" s="145"/>
    </row>
    <row r="162" spans="1:15" s="114" customFormat="1">
      <c r="A162" s="145"/>
      <c r="B162" s="145"/>
      <c r="O162" s="145"/>
    </row>
    <row r="163" spans="1:15" s="114" customFormat="1">
      <c r="A163" s="145"/>
      <c r="B163" s="145"/>
      <c r="O163" s="145"/>
    </row>
    <row r="164" spans="1:15" s="114" customFormat="1">
      <c r="A164" s="145"/>
      <c r="B164" s="145"/>
      <c r="O164" s="145"/>
    </row>
    <row r="165" spans="1:15" s="114" customFormat="1">
      <c r="A165" s="145"/>
      <c r="B165" s="145"/>
      <c r="O165" s="145"/>
    </row>
    <row r="166" spans="1:15" s="114" customFormat="1">
      <c r="A166" s="145"/>
      <c r="B166" s="145"/>
      <c r="O166" s="145"/>
    </row>
    <row r="167" spans="1:15" s="114" customFormat="1">
      <c r="A167" s="145"/>
      <c r="B167" s="145"/>
      <c r="O167" s="145"/>
    </row>
    <row r="168" spans="1:15" s="114" customFormat="1">
      <c r="A168" s="145"/>
      <c r="B168" s="145"/>
      <c r="O168" s="145"/>
    </row>
    <row r="169" spans="1:15" s="114" customFormat="1">
      <c r="A169" s="145"/>
      <c r="B169" s="145"/>
      <c r="O169" s="145"/>
    </row>
    <row r="170" spans="1:15" s="114" customFormat="1">
      <c r="A170" s="145"/>
      <c r="B170" s="145"/>
      <c r="O170" s="145"/>
    </row>
    <row r="171" spans="1:15" s="114" customFormat="1">
      <c r="A171" s="145"/>
      <c r="B171" s="145"/>
      <c r="O171" s="145"/>
    </row>
    <row r="172" spans="1:15" s="114" customFormat="1">
      <c r="A172" s="145"/>
      <c r="B172" s="145"/>
      <c r="O172" s="145"/>
    </row>
    <row r="173" spans="1:15" s="114" customFormat="1">
      <c r="A173" s="145"/>
      <c r="B173" s="145"/>
      <c r="O173" s="145"/>
    </row>
    <row r="174" spans="1:15" s="114" customFormat="1">
      <c r="A174" s="145"/>
      <c r="B174" s="145"/>
      <c r="O174" s="145"/>
    </row>
    <row r="175" spans="1:15" s="114" customFormat="1">
      <c r="A175" s="145"/>
      <c r="B175" s="145"/>
      <c r="O175" s="145"/>
    </row>
    <row r="176" spans="1:15" s="114" customFormat="1">
      <c r="A176" s="145"/>
      <c r="B176" s="145"/>
      <c r="O176" s="145"/>
    </row>
    <row r="177" spans="1:15" s="114" customFormat="1">
      <c r="A177" s="145"/>
      <c r="B177" s="145"/>
      <c r="O177" s="145"/>
    </row>
    <row r="178" spans="1:15" s="114" customFormat="1">
      <c r="A178" s="145"/>
      <c r="B178" s="145"/>
      <c r="O178" s="145"/>
    </row>
    <row r="179" spans="1:15" s="114" customFormat="1">
      <c r="A179" s="145"/>
      <c r="B179" s="145"/>
      <c r="O179" s="145"/>
    </row>
    <row r="180" spans="1:15" s="114" customFormat="1">
      <c r="A180" s="145"/>
      <c r="B180" s="145"/>
      <c r="O180" s="145"/>
    </row>
    <row r="181" spans="1:15" s="114" customFormat="1">
      <c r="A181" s="145"/>
      <c r="B181" s="145"/>
      <c r="O181" s="145"/>
    </row>
    <row r="182" spans="1:15" s="114" customFormat="1">
      <c r="A182" s="145"/>
      <c r="B182" s="145"/>
      <c r="O182" s="145"/>
    </row>
    <row r="183" spans="1:15" s="114" customFormat="1">
      <c r="A183" s="145"/>
      <c r="B183" s="145"/>
      <c r="O183" s="145"/>
    </row>
    <row r="184" spans="1:15" s="114" customFormat="1">
      <c r="A184" s="145"/>
      <c r="B184" s="145"/>
      <c r="O184" s="145"/>
    </row>
    <row r="185" spans="1:15" s="114" customFormat="1">
      <c r="A185" s="145"/>
      <c r="B185" s="145"/>
      <c r="O185" s="145"/>
    </row>
    <row r="186" spans="1:15" s="114" customFormat="1">
      <c r="A186" s="145"/>
      <c r="B186" s="145"/>
      <c r="O186" s="145"/>
    </row>
    <row r="187" spans="1:15" s="114" customFormat="1">
      <c r="A187" s="145"/>
      <c r="B187" s="145"/>
      <c r="O187" s="145"/>
    </row>
    <row r="188" spans="1:15" s="114" customFormat="1">
      <c r="A188" s="145"/>
      <c r="B188" s="145"/>
      <c r="O188" s="145"/>
    </row>
    <row r="189" spans="1:15" s="114" customFormat="1">
      <c r="A189" s="145"/>
      <c r="B189" s="145"/>
      <c r="O189" s="145"/>
    </row>
    <row r="190" spans="1:15" s="114" customFormat="1">
      <c r="A190" s="145"/>
      <c r="B190" s="145"/>
      <c r="O190" s="145"/>
    </row>
    <row r="191" spans="1:15" s="114" customFormat="1">
      <c r="A191" s="145"/>
      <c r="B191" s="145"/>
      <c r="O191" s="145"/>
    </row>
    <row r="192" spans="1:15" s="114" customFormat="1">
      <c r="A192" s="145"/>
      <c r="B192" s="145"/>
      <c r="O192" s="145"/>
    </row>
    <row r="193" spans="1:15" s="114" customFormat="1">
      <c r="A193" s="145"/>
      <c r="B193" s="145"/>
      <c r="O193" s="145"/>
    </row>
    <row r="194" spans="1:15" s="114" customFormat="1">
      <c r="A194" s="145"/>
      <c r="B194" s="145"/>
      <c r="O194" s="145"/>
    </row>
    <row r="195" spans="1:15" s="114" customFormat="1">
      <c r="A195" s="145"/>
      <c r="B195" s="145"/>
      <c r="O195" s="145"/>
    </row>
    <row r="196" spans="1:15" s="114" customFormat="1">
      <c r="A196" s="145"/>
      <c r="B196" s="145"/>
      <c r="O196" s="145"/>
    </row>
    <row r="197" spans="1:15" s="114" customFormat="1">
      <c r="A197" s="145"/>
      <c r="B197" s="145"/>
      <c r="O197" s="145"/>
    </row>
    <row r="198" spans="1:15" s="114" customFormat="1">
      <c r="A198" s="145"/>
      <c r="B198" s="145"/>
      <c r="O198" s="145"/>
    </row>
    <row r="199" spans="1:15" s="114" customFormat="1">
      <c r="A199" s="145"/>
      <c r="B199" s="145"/>
      <c r="O199" s="145"/>
    </row>
    <row r="200" spans="1:15" s="114" customFormat="1">
      <c r="A200" s="145"/>
      <c r="B200" s="145"/>
      <c r="O200" s="145"/>
    </row>
    <row r="201" spans="1:15" s="114" customFormat="1">
      <c r="A201" s="145"/>
      <c r="B201" s="145"/>
      <c r="O201" s="145"/>
    </row>
    <row r="202" spans="1:15" s="114" customFormat="1">
      <c r="A202" s="145"/>
      <c r="B202" s="145"/>
      <c r="O202" s="145"/>
    </row>
    <row r="203" spans="1:15" s="114" customFormat="1">
      <c r="A203" s="145"/>
      <c r="B203" s="145"/>
      <c r="O203" s="145"/>
    </row>
    <row r="204" spans="1:15" s="114" customFormat="1">
      <c r="A204" s="145"/>
      <c r="B204" s="145"/>
      <c r="O204" s="145"/>
    </row>
    <row r="205" spans="1:15" s="114" customFormat="1">
      <c r="A205" s="145"/>
      <c r="B205" s="145"/>
      <c r="O205" s="145"/>
    </row>
    <row r="206" spans="1:15" s="114" customFormat="1">
      <c r="A206" s="145"/>
      <c r="B206" s="145"/>
      <c r="O206" s="145"/>
    </row>
    <row r="207" spans="1:15" s="114" customFormat="1">
      <c r="A207" s="145"/>
      <c r="B207" s="145"/>
      <c r="O207" s="145"/>
    </row>
    <row r="208" spans="1:15" s="114" customFormat="1">
      <c r="A208" s="145"/>
      <c r="B208" s="145"/>
      <c r="O208" s="145"/>
    </row>
    <row r="209" spans="1:15" s="114" customFormat="1">
      <c r="A209" s="145"/>
      <c r="B209" s="145"/>
      <c r="O209" s="145"/>
    </row>
    <row r="210" spans="1:15" s="114" customFormat="1">
      <c r="A210" s="145"/>
      <c r="B210" s="145"/>
      <c r="O210" s="145"/>
    </row>
    <row r="211" spans="1:15" s="114" customFormat="1">
      <c r="A211" s="145"/>
      <c r="B211" s="145"/>
      <c r="O211" s="145"/>
    </row>
    <row r="212" spans="1:15" s="114" customFormat="1">
      <c r="A212" s="145"/>
      <c r="B212" s="145"/>
      <c r="O212" s="145"/>
    </row>
    <row r="213" spans="1:15" s="114" customFormat="1">
      <c r="A213" s="145"/>
      <c r="B213" s="145"/>
      <c r="O213" s="145"/>
    </row>
    <row r="214" spans="1:15" s="114" customFormat="1">
      <c r="A214" s="145"/>
      <c r="B214" s="145"/>
      <c r="O214" s="145"/>
    </row>
    <row r="215" spans="1:15" s="114" customFormat="1">
      <c r="A215" s="145"/>
      <c r="B215" s="145"/>
      <c r="O215" s="145"/>
    </row>
    <row r="216" spans="1:15" s="114" customFormat="1">
      <c r="A216" s="145"/>
      <c r="B216" s="145"/>
      <c r="O216" s="145"/>
    </row>
    <row r="217" spans="1:15" s="114" customFormat="1">
      <c r="A217" s="145"/>
      <c r="B217" s="145"/>
      <c r="O217" s="145"/>
    </row>
    <row r="218" spans="1:15" s="114" customFormat="1">
      <c r="A218" s="145"/>
      <c r="B218" s="145"/>
      <c r="O218" s="145"/>
    </row>
    <row r="219" spans="1:15" s="114" customFormat="1">
      <c r="A219" s="145"/>
      <c r="B219" s="145"/>
      <c r="O219" s="145"/>
    </row>
    <row r="220" spans="1:15" s="114" customFormat="1">
      <c r="A220" s="145"/>
      <c r="B220" s="145"/>
      <c r="O220" s="145"/>
    </row>
    <row r="221" spans="1:15" s="114" customFormat="1">
      <c r="A221" s="145"/>
      <c r="B221" s="145"/>
      <c r="O221" s="145"/>
    </row>
    <row r="222" spans="1:15" s="114" customFormat="1">
      <c r="A222" s="145"/>
      <c r="B222" s="145"/>
      <c r="O222" s="145"/>
    </row>
    <row r="223" spans="1:15" s="114" customFormat="1">
      <c r="A223" s="145"/>
      <c r="B223" s="145"/>
      <c r="O223" s="145"/>
    </row>
    <row r="224" spans="1:15" s="114" customFormat="1">
      <c r="A224" s="145"/>
      <c r="B224" s="145"/>
      <c r="O224" s="145"/>
    </row>
    <row r="225" spans="1:15" s="114" customFormat="1">
      <c r="A225" s="145"/>
      <c r="B225" s="145"/>
      <c r="O225" s="145"/>
    </row>
    <row r="226" spans="1:15" s="114" customFormat="1">
      <c r="A226" s="145"/>
      <c r="B226" s="145"/>
      <c r="O226" s="145"/>
    </row>
    <row r="227" spans="1:15" s="114" customFormat="1">
      <c r="A227" s="145"/>
      <c r="B227" s="145"/>
      <c r="O227" s="145"/>
    </row>
    <row r="228" spans="1:15" s="114" customFormat="1">
      <c r="A228" s="145"/>
      <c r="B228" s="145"/>
      <c r="O228" s="145"/>
    </row>
    <row r="229" spans="1:15" s="114" customFormat="1">
      <c r="A229" s="145"/>
      <c r="B229" s="145"/>
      <c r="O229" s="145"/>
    </row>
    <row r="230" spans="1:15" s="114" customFormat="1">
      <c r="A230" s="145"/>
      <c r="B230" s="145"/>
      <c r="O230" s="145"/>
    </row>
    <row r="231" spans="1:15" s="114" customFormat="1">
      <c r="A231" s="145"/>
      <c r="B231" s="145"/>
      <c r="O231" s="145"/>
    </row>
    <row r="232" spans="1:15" s="114" customFormat="1">
      <c r="A232" s="145"/>
      <c r="B232" s="145"/>
      <c r="O232" s="145"/>
    </row>
    <row r="233" spans="1:15" s="114" customFormat="1">
      <c r="A233" s="145"/>
      <c r="B233" s="145"/>
      <c r="O233" s="145"/>
    </row>
    <row r="234" spans="1:15" s="114" customFormat="1">
      <c r="A234" s="145"/>
      <c r="B234" s="145"/>
      <c r="O234" s="145"/>
    </row>
    <row r="235" spans="1:15" s="114" customFormat="1">
      <c r="A235" s="145"/>
      <c r="B235" s="145"/>
      <c r="O235" s="145"/>
    </row>
    <row r="236" spans="1:15" s="114" customFormat="1">
      <c r="A236" s="145"/>
      <c r="B236" s="145"/>
      <c r="O236" s="145"/>
    </row>
    <row r="237" spans="1:15" s="114" customFormat="1">
      <c r="A237" s="145"/>
      <c r="B237" s="145"/>
      <c r="O237" s="145"/>
    </row>
    <row r="238" spans="1:15" s="114" customFormat="1">
      <c r="A238" s="145"/>
      <c r="B238" s="145"/>
      <c r="O238" s="145"/>
    </row>
    <row r="239" spans="1:15" s="114" customFormat="1">
      <c r="A239" s="145"/>
      <c r="B239" s="145"/>
      <c r="O239" s="145"/>
    </row>
    <row r="240" spans="1:15" s="114" customFormat="1">
      <c r="A240" s="145"/>
      <c r="B240" s="145"/>
      <c r="O240" s="145"/>
    </row>
    <row r="241" spans="1:15" s="114" customFormat="1">
      <c r="A241" s="145"/>
      <c r="B241" s="145"/>
      <c r="O241" s="145"/>
    </row>
    <row r="242" spans="1:15" s="114" customFormat="1">
      <c r="A242" s="145"/>
      <c r="B242" s="145"/>
      <c r="O242" s="145"/>
    </row>
    <row r="243" spans="1:15" s="114" customFormat="1">
      <c r="A243" s="145"/>
      <c r="B243" s="145"/>
      <c r="O243" s="145"/>
    </row>
    <row r="244" spans="1:15" s="114" customFormat="1">
      <c r="A244" s="145"/>
      <c r="B244" s="145"/>
      <c r="O244" s="145"/>
    </row>
    <row r="245" spans="1:15" s="114" customFormat="1">
      <c r="A245" s="145"/>
      <c r="B245" s="145"/>
      <c r="O245" s="145"/>
    </row>
    <row r="246" spans="1:15" s="114" customFormat="1">
      <c r="A246" s="145"/>
      <c r="B246" s="145"/>
      <c r="O246" s="145"/>
    </row>
    <row r="247" spans="1:15" s="114" customFormat="1">
      <c r="A247" s="145"/>
      <c r="B247" s="145"/>
      <c r="O247" s="145"/>
    </row>
    <row r="248" spans="1:15" s="114" customFormat="1">
      <c r="A248" s="145"/>
      <c r="B248" s="145"/>
      <c r="O248" s="145"/>
    </row>
    <row r="249" spans="1:15" s="114" customFormat="1">
      <c r="A249" s="145"/>
      <c r="B249" s="145"/>
      <c r="O249" s="145"/>
    </row>
    <row r="250" spans="1:15" s="114" customFormat="1">
      <c r="A250" s="145"/>
      <c r="B250" s="145"/>
      <c r="O250" s="145"/>
    </row>
    <row r="251" spans="1:15" s="114" customFormat="1">
      <c r="A251" s="145"/>
      <c r="B251" s="145"/>
      <c r="O251" s="145"/>
    </row>
    <row r="252" spans="1:15" s="114" customFormat="1">
      <c r="A252" s="145"/>
      <c r="B252" s="145"/>
      <c r="O252" s="145"/>
    </row>
    <row r="253" spans="1:15" s="114" customFormat="1">
      <c r="A253" s="145"/>
      <c r="B253" s="145"/>
      <c r="O253" s="145"/>
    </row>
    <row r="254" spans="1:15" s="114" customFormat="1">
      <c r="A254" s="145"/>
      <c r="B254" s="145"/>
      <c r="O254" s="145"/>
    </row>
    <row r="255" spans="1:15" s="114" customFormat="1">
      <c r="A255" s="145"/>
      <c r="B255" s="145"/>
      <c r="O255" s="145"/>
    </row>
    <row r="256" spans="1:15" s="114" customFormat="1">
      <c r="A256" s="145"/>
      <c r="B256" s="145"/>
      <c r="O256" s="145"/>
    </row>
    <row r="257" spans="1:15" s="114" customFormat="1">
      <c r="A257" s="145"/>
      <c r="B257" s="145"/>
      <c r="O257" s="145"/>
    </row>
    <row r="258" spans="1:15" s="114" customFormat="1">
      <c r="A258" s="145"/>
      <c r="B258" s="145"/>
      <c r="O258" s="145"/>
    </row>
    <row r="259" spans="1:15" s="114" customFormat="1">
      <c r="A259" s="145"/>
      <c r="B259" s="145"/>
      <c r="O259" s="145"/>
    </row>
    <row r="260" spans="1:15" s="114" customFormat="1">
      <c r="A260" s="145"/>
      <c r="B260" s="145"/>
      <c r="O260" s="145"/>
    </row>
    <row r="261" spans="1:15" s="114" customFormat="1">
      <c r="A261" s="145"/>
      <c r="B261" s="145"/>
      <c r="O261" s="145"/>
    </row>
    <row r="262" spans="1:15" s="114" customFormat="1">
      <c r="A262" s="145"/>
      <c r="B262" s="145"/>
      <c r="O262" s="145"/>
    </row>
    <row r="263" spans="1:15" s="114" customFormat="1">
      <c r="A263" s="145"/>
      <c r="B263" s="145"/>
      <c r="O263" s="145"/>
    </row>
    <row r="264" spans="1:15" s="114" customFormat="1">
      <c r="A264" s="145"/>
      <c r="B264" s="145"/>
      <c r="O264" s="145"/>
    </row>
    <row r="265" spans="1:15" s="114" customFormat="1">
      <c r="A265" s="145"/>
      <c r="B265" s="145"/>
      <c r="O265" s="145"/>
    </row>
    <row r="266" spans="1:15" s="114" customFormat="1">
      <c r="A266" s="145"/>
      <c r="B266" s="145"/>
      <c r="O266" s="145"/>
    </row>
    <row r="267" spans="1:15" s="114" customFormat="1">
      <c r="A267" s="145"/>
      <c r="B267" s="145"/>
      <c r="O267" s="145"/>
    </row>
    <row r="268" spans="1:15" s="114" customFormat="1">
      <c r="A268" s="145"/>
      <c r="B268" s="145"/>
      <c r="O268" s="145"/>
    </row>
    <row r="269" spans="1:15" s="114" customFormat="1">
      <c r="A269" s="145"/>
      <c r="B269" s="145"/>
      <c r="O269" s="145"/>
    </row>
    <row r="270" spans="1:15" s="114" customFormat="1">
      <c r="A270" s="145"/>
      <c r="B270" s="145"/>
      <c r="O270" s="145"/>
    </row>
    <row r="271" spans="1:15" s="114" customFormat="1">
      <c r="A271" s="145"/>
      <c r="B271" s="145"/>
      <c r="O271" s="145"/>
    </row>
    <row r="272" spans="1:15" s="114" customFormat="1">
      <c r="A272" s="145"/>
      <c r="B272" s="145"/>
      <c r="O272" s="145"/>
    </row>
    <row r="273" spans="1:15" s="114" customFormat="1">
      <c r="A273" s="145"/>
      <c r="B273" s="145"/>
      <c r="O273" s="145"/>
    </row>
    <row r="274" spans="1:15" s="114" customFormat="1">
      <c r="A274" s="145"/>
      <c r="B274" s="145"/>
      <c r="O274" s="145"/>
    </row>
    <row r="275" spans="1:15" s="114" customFormat="1">
      <c r="A275" s="145"/>
      <c r="B275" s="145"/>
      <c r="O275" s="145"/>
    </row>
    <row r="276" spans="1:15" s="114" customFormat="1">
      <c r="A276" s="145"/>
      <c r="B276" s="145"/>
      <c r="O276" s="145"/>
    </row>
    <row r="277" spans="1:15" s="114" customFormat="1">
      <c r="A277" s="145"/>
      <c r="B277" s="145"/>
      <c r="O277" s="145"/>
    </row>
    <row r="278" spans="1:15" s="114" customFormat="1">
      <c r="A278" s="145"/>
      <c r="B278" s="145"/>
      <c r="O278" s="145"/>
    </row>
    <row r="279" spans="1:15" s="114" customFormat="1">
      <c r="A279" s="145"/>
      <c r="B279" s="145"/>
      <c r="O279" s="145"/>
    </row>
    <row r="280" spans="1:15" s="114" customFormat="1">
      <c r="A280" s="145"/>
      <c r="B280" s="145"/>
      <c r="O280" s="145"/>
    </row>
    <row r="281" spans="1:15" s="114" customFormat="1">
      <c r="A281" s="145"/>
      <c r="B281" s="145"/>
      <c r="O281" s="145"/>
    </row>
    <row r="282" spans="1:15" s="114" customFormat="1">
      <c r="A282" s="145"/>
      <c r="B282" s="145"/>
      <c r="O282" s="145"/>
    </row>
    <row r="283" spans="1:15" s="114" customFormat="1">
      <c r="A283" s="145"/>
      <c r="B283" s="145"/>
      <c r="O283" s="145"/>
    </row>
    <row r="284" spans="1:15" s="114" customFormat="1">
      <c r="A284" s="145"/>
      <c r="B284" s="145"/>
      <c r="O284" s="145"/>
    </row>
    <row r="285" spans="1:15" s="114" customFormat="1">
      <c r="A285" s="145"/>
      <c r="B285" s="145"/>
      <c r="O285" s="145"/>
    </row>
    <row r="286" spans="1:15" s="114" customFormat="1">
      <c r="A286" s="145"/>
      <c r="B286" s="145"/>
      <c r="O286" s="145"/>
    </row>
    <row r="287" spans="1:15" s="114" customFormat="1">
      <c r="A287" s="145"/>
      <c r="B287" s="145"/>
      <c r="O287" s="145"/>
    </row>
    <row r="288" spans="1:15" s="114" customFormat="1">
      <c r="A288" s="145"/>
      <c r="B288" s="145"/>
      <c r="O288" s="145"/>
    </row>
    <row r="289" spans="1:15" s="114" customFormat="1">
      <c r="A289" s="145"/>
      <c r="B289" s="145"/>
      <c r="O289" s="145"/>
    </row>
    <row r="290" spans="1:15" s="114" customFormat="1">
      <c r="A290" s="145"/>
      <c r="B290" s="145"/>
      <c r="O290" s="145"/>
    </row>
    <row r="291" spans="1:15" s="114" customFormat="1">
      <c r="A291" s="145"/>
      <c r="B291" s="145"/>
      <c r="O291" s="145"/>
    </row>
    <row r="292" spans="1:15" s="114" customFormat="1">
      <c r="A292" s="145"/>
      <c r="B292" s="145"/>
      <c r="O292" s="145"/>
    </row>
    <row r="293" spans="1:15" s="114" customFormat="1">
      <c r="A293" s="145"/>
      <c r="B293" s="145"/>
      <c r="O293" s="145"/>
    </row>
    <row r="294" spans="1:15" s="114" customFormat="1">
      <c r="A294" s="145"/>
      <c r="B294" s="145"/>
      <c r="O294" s="145"/>
    </row>
    <row r="295" spans="1:15" s="114" customFormat="1">
      <c r="A295" s="145"/>
      <c r="B295" s="145"/>
      <c r="O295" s="145"/>
    </row>
    <row r="296" spans="1:15" s="114" customFormat="1">
      <c r="A296" s="145"/>
      <c r="B296" s="145"/>
      <c r="O296" s="145"/>
    </row>
    <row r="297" spans="1:15" s="114" customFormat="1">
      <c r="A297" s="145"/>
      <c r="B297" s="145"/>
      <c r="O297" s="145"/>
    </row>
    <row r="298" spans="1:15" s="114" customFormat="1">
      <c r="A298" s="145"/>
      <c r="B298" s="145"/>
      <c r="O298" s="145"/>
    </row>
    <row r="299" spans="1:15" s="114" customFormat="1">
      <c r="A299" s="145"/>
      <c r="B299" s="145"/>
      <c r="O299" s="145"/>
    </row>
    <row r="300" spans="1:15" s="114" customFormat="1">
      <c r="A300" s="145"/>
      <c r="B300" s="145"/>
      <c r="O300" s="145"/>
    </row>
    <row r="301" spans="1:15" s="114" customFormat="1">
      <c r="A301" s="145"/>
      <c r="B301" s="145"/>
      <c r="O301" s="145"/>
    </row>
    <row r="302" spans="1:15" s="114" customFormat="1">
      <c r="A302" s="145"/>
      <c r="B302" s="145"/>
      <c r="O302" s="145"/>
    </row>
    <row r="303" spans="1:15" s="114" customFormat="1">
      <c r="A303" s="145"/>
      <c r="B303" s="145"/>
      <c r="O303" s="145"/>
    </row>
    <row r="304" spans="1:15" s="114" customFormat="1">
      <c r="A304" s="145"/>
      <c r="B304" s="145"/>
      <c r="O304" s="145"/>
    </row>
    <row r="305" spans="1:15" s="114" customFormat="1">
      <c r="A305" s="145"/>
      <c r="B305" s="145"/>
      <c r="O305" s="145"/>
    </row>
    <row r="306" spans="1:15" s="114" customFormat="1">
      <c r="A306" s="145"/>
      <c r="B306" s="145"/>
      <c r="O306" s="145"/>
    </row>
    <row r="307" spans="1:15" s="114" customFormat="1">
      <c r="A307" s="145"/>
      <c r="B307" s="145"/>
      <c r="O307" s="145"/>
    </row>
    <row r="308" spans="1:15" s="114" customFormat="1">
      <c r="A308" s="145"/>
      <c r="B308" s="145"/>
      <c r="O308" s="145"/>
    </row>
    <row r="309" spans="1:15" s="114" customFormat="1">
      <c r="A309" s="145"/>
      <c r="B309" s="145"/>
      <c r="O309" s="145"/>
    </row>
    <row r="310" spans="1:15" s="114" customFormat="1">
      <c r="A310" s="145"/>
      <c r="B310" s="145"/>
      <c r="O310" s="145"/>
    </row>
    <row r="311" spans="1:15" s="114" customFormat="1">
      <c r="A311" s="145"/>
      <c r="B311" s="145"/>
      <c r="O311" s="145"/>
    </row>
    <row r="312" spans="1:15" s="114" customFormat="1">
      <c r="A312" s="145"/>
      <c r="B312" s="145"/>
      <c r="O312" s="145"/>
    </row>
    <row r="313" spans="1:15" s="114" customFormat="1">
      <c r="A313" s="145"/>
      <c r="B313" s="145"/>
      <c r="O313" s="145"/>
    </row>
    <row r="314" spans="1:15" s="114" customFormat="1">
      <c r="A314" s="145"/>
      <c r="B314" s="145"/>
      <c r="O314" s="145"/>
    </row>
    <row r="315" spans="1:15" s="114" customFormat="1">
      <c r="A315" s="145"/>
      <c r="B315" s="145"/>
      <c r="O315" s="145"/>
    </row>
    <row r="316" spans="1:15" s="114" customFormat="1">
      <c r="A316" s="145"/>
      <c r="B316" s="145"/>
      <c r="O316" s="145"/>
    </row>
    <row r="317" spans="1:15" s="114" customFormat="1">
      <c r="A317" s="145"/>
      <c r="B317" s="145"/>
      <c r="O317" s="145"/>
    </row>
    <row r="318" spans="1:15" s="114" customFormat="1">
      <c r="A318" s="145"/>
      <c r="B318" s="145"/>
      <c r="O318" s="145"/>
    </row>
    <row r="319" spans="1:15" s="114" customFormat="1">
      <c r="A319" s="145"/>
      <c r="B319" s="145"/>
      <c r="O319" s="145"/>
    </row>
    <row r="320" spans="1:15" s="114" customFormat="1">
      <c r="A320" s="145"/>
      <c r="B320" s="145"/>
      <c r="O320" s="145"/>
    </row>
    <row r="321" spans="1:15" s="114" customFormat="1">
      <c r="A321" s="145"/>
      <c r="B321" s="145"/>
      <c r="O321" s="145"/>
    </row>
    <row r="322" spans="1:15" s="114" customFormat="1">
      <c r="A322" s="145"/>
      <c r="B322" s="145"/>
      <c r="O322" s="145"/>
    </row>
    <row r="323" spans="1:15" s="114" customFormat="1">
      <c r="A323" s="145"/>
      <c r="B323" s="145"/>
      <c r="O323" s="145"/>
    </row>
    <row r="324" spans="1:15" s="114" customFormat="1">
      <c r="A324" s="145"/>
      <c r="B324" s="145"/>
      <c r="O324" s="145"/>
    </row>
    <row r="325" spans="1:15" s="114" customFormat="1">
      <c r="A325" s="145"/>
      <c r="B325" s="145"/>
      <c r="O325" s="145"/>
    </row>
    <row r="326" spans="1:15" s="114" customFormat="1">
      <c r="A326" s="145"/>
      <c r="B326" s="145"/>
      <c r="O326" s="145"/>
    </row>
    <row r="327" spans="1:15" s="114" customFormat="1">
      <c r="A327" s="145"/>
      <c r="B327" s="145"/>
      <c r="O327" s="145"/>
    </row>
    <row r="328" spans="1:15" s="114" customFormat="1">
      <c r="A328" s="145"/>
      <c r="B328" s="145"/>
      <c r="O328" s="145"/>
    </row>
    <row r="329" spans="1:15" s="114" customFormat="1">
      <c r="A329" s="145"/>
      <c r="B329" s="145"/>
      <c r="O329" s="145"/>
    </row>
    <row r="330" spans="1:15" s="114" customFormat="1">
      <c r="A330" s="145"/>
      <c r="B330" s="145"/>
      <c r="O330" s="145"/>
    </row>
    <row r="331" spans="1:15" s="114" customFormat="1">
      <c r="A331" s="145"/>
      <c r="B331" s="145"/>
      <c r="O331" s="145"/>
    </row>
    <row r="332" spans="1:15" s="114" customFormat="1">
      <c r="A332" s="145"/>
      <c r="B332" s="145"/>
      <c r="O332" s="145"/>
    </row>
    <row r="333" spans="1:15" s="114" customFormat="1">
      <c r="A333" s="145"/>
      <c r="B333" s="145"/>
      <c r="O333" s="145"/>
    </row>
    <row r="334" spans="1:15" s="114" customFormat="1">
      <c r="A334" s="145"/>
      <c r="B334" s="145"/>
      <c r="O334" s="145"/>
    </row>
    <row r="335" spans="1:15" s="114" customFormat="1">
      <c r="A335" s="145"/>
      <c r="B335" s="145"/>
      <c r="O335" s="145"/>
    </row>
    <row r="336" spans="1:15" s="114" customFormat="1">
      <c r="A336" s="145"/>
      <c r="B336" s="145"/>
      <c r="O336" s="145"/>
    </row>
    <row r="337" spans="1:15" s="114" customFormat="1">
      <c r="A337" s="145"/>
      <c r="B337" s="145"/>
      <c r="O337" s="145"/>
    </row>
    <row r="338" spans="1:15" s="114" customFormat="1">
      <c r="A338" s="145"/>
      <c r="B338" s="145"/>
      <c r="O338" s="145"/>
    </row>
    <row r="339" spans="1:15" s="114" customFormat="1">
      <c r="A339" s="145"/>
      <c r="B339" s="145"/>
      <c r="O339" s="145"/>
    </row>
    <row r="340" spans="1:15" s="114" customFormat="1">
      <c r="A340" s="145"/>
      <c r="B340" s="145"/>
      <c r="O340" s="145"/>
    </row>
    <row r="341" spans="1:15" s="114" customFormat="1">
      <c r="A341" s="145"/>
      <c r="B341" s="145"/>
      <c r="O341" s="145"/>
    </row>
    <row r="342" spans="1:15" s="114" customFormat="1">
      <c r="A342" s="145"/>
      <c r="B342" s="145"/>
      <c r="O342" s="145"/>
    </row>
    <row r="343" spans="1:15" s="114" customFormat="1">
      <c r="A343" s="145"/>
      <c r="B343" s="145"/>
      <c r="O343" s="145"/>
    </row>
    <row r="344" spans="1:15" s="114" customFormat="1">
      <c r="A344" s="145"/>
      <c r="B344" s="145"/>
      <c r="O344" s="145"/>
    </row>
    <row r="345" spans="1:15" s="114" customFormat="1">
      <c r="A345" s="145"/>
      <c r="B345" s="145"/>
      <c r="O345" s="145"/>
    </row>
    <row r="346" spans="1:15" s="114" customFormat="1">
      <c r="A346" s="145"/>
      <c r="B346" s="145"/>
      <c r="O346" s="145"/>
    </row>
    <row r="347" spans="1:15" s="114" customFormat="1">
      <c r="A347" s="145"/>
      <c r="B347" s="145"/>
      <c r="O347" s="145"/>
    </row>
    <row r="348" spans="1:15" s="114" customFormat="1">
      <c r="A348" s="145"/>
      <c r="B348" s="145"/>
      <c r="O348" s="145"/>
    </row>
    <row r="349" spans="1:15" s="114" customFormat="1">
      <c r="A349" s="145"/>
      <c r="B349" s="145"/>
      <c r="O349" s="145"/>
    </row>
    <row r="350" spans="1:15" s="114" customFormat="1">
      <c r="A350" s="145"/>
      <c r="B350" s="145"/>
      <c r="O350" s="145"/>
    </row>
    <row r="351" spans="1:15" s="114" customFormat="1">
      <c r="A351" s="145"/>
      <c r="B351" s="145"/>
      <c r="O351" s="145"/>
    </row>
    <row r="352" spans="1:15" s="114" customFormat="1">
      <c r="A352" s="145"/>
      <c r="B352" s="145"/>
      <c r="O352" s="145"/>
    </row>
    <row r="353" spans="1:15" s="114" customFormat="1">
      <c r="A353" s="145"/>
      <c r="B353" s="145"/>
      <c r="O353" s="145"/>
    </row>
    <row r="354" spans="1:15" s="114" customFormat="1">
      <c r="A354" s="145"/>
      <c r="B354" s="145"/>
      <c r="O354" s="145"/>
    </row>
    <row r="355" spans="1:15" s="114" customFormat="1">
      <c r="A355" s="145"/>
      <c r="B355" s="145"/>
      <c r="O355" s="145"/>
    </row>
    <row r="356" spans="1:15" s="114" customFormat="1">
      <c r="A356" s="145"/>
      <c r="B356" s="145"/>
      <c r="O356" s="145"/>
    </row>
    <row r="357" spans="1:15" s="114" customFormat="1">
      <c r="A357" s="145"/>
      <c r="B357" s="145"/>
      <c r="O357" s="145"/>
    </row>
    <row r="358" spans="1:15" s="114" customFormat="1">
      <c r="A358" s="145"/>
      <c r="B358" s="145"/>
      <c r="O358" s="145"/>
    </row>
    <row r="359" spans="1:15" s="114" customFormat="1">
      <c r="A359" s="145"/>
      <c r="B359" s="145"/>
      <c r="O359" s="145"/>
    </row>
    <row r="360" spans="1:15" s="114" customFormat="1">
      <c r="A360" s="145"/>
      <c r="B360" s="145"/>
      <c r="O360" s="145"/>
    </row>
    <row r="361" spans="1:15" s="114" customFormat="1">
      <c r="A361" s="145"/>
      <c r="B361" s="145"/>
      <c r="O361" s="145"/>
    </row>
    <row r="362" spans="1:15" s="114" customFormat="1">
      <c r="A362" s="145"/>
      <c r="B362" s="145"/>
      <c r="O362" s="145"/>
    </row>
    <row r="363" spans="1:15" s="114" customFormat="1">
      <c r="A363" s="145"/>
      <c r="B363" s="145"/>
      <c r="O363" s="145"/>
    </row>
    <row r="364" spans="1:15" s="114" customFormat="1">
      <c r="A364" s="145"/>
      <c r="B364" s="145"/>
      <c r="O364" s="145"/>
    </row>
    <row r="365" spans="1:15" s="114" customFormat="1">
      <c r="A365" s="145"/>
      <c r="B365" s="145"/>
      <c r="O365" s="145"/>
    </row>
    <row r="366" spans="1:15" s="114" customFormat="1">
      <c r="A366" s="145"/>
      <c r="B366" s="145"/>
      <c r="O366" s="145"/>
    </row>
    <row r="367" spans="1:15" s="114" customFormat="1">
      <c r="A367" s="145"/>
      <c r="B367" s="145"/>
      <c r="O367" s="145"/>
    </row>
    <row r="368" spans="1:15" s="114" customFormat="1">
      <c r="A368" s="145"/>
      <c r="B368" s="145"/>
      <c r="O368" s="145"/>
    </row>
    <row r="369" spans="1:15" s="114" customFormat="1">
      <c r="A369" s="145"/>
      <c r="B369" s="145"/>
      <c r="O369" s="145"/>
    </row>
    <row r="370" spans="1:15" s="114" customFormat="1">
      <c r="A370" s="145"/>
      <c r="B370" s="145"/>
      <c r="O370" s="145"/>
    </row>
    <row r="371" spans="1:15" s="114" customFormat="1">
      <c r="A371" s="145"/>
      <c r="B371" s="145"/>
      <c r="O371" s="145"/>
    </row>
    <row r="372" spans="1:15" s="114" customFormat="1">
      <c r="A372" s="145"/>
      <c r="B372" s="145"/>
      <c r="O372" s="145"/>
    </row>
    <row r="373" spans="1:15" s="114" customFormat="1">
      <c r="A373" s="145"/>
      <c r="B373" s="145"/>
      <c r="O373" s="145"/>
    </row>
    <row r="374" spans="1:15" s="114" customFormat="1">
      <c r="A374" s="145"/>
      <c r="B374" s="145"/>
      <c r="O374" s="145"/>
    </row>
    <row r="375" spans="1:15" s="114" customFormat="1">
      <c r="A375" s="145"/>
      <c r="B375" s="145"/>
      <c r="O375" s="145"/>
    </row>
    <row r="376" spans="1:15" s="114" customFormat="1">
      <c r="A376" s="145"/>
      <c r="B376" s="145"/>
      <c r="O376" s="145"/>
    </row>
    <row r="377" spans="1:15" s="114" customFormat="1">
      <c r="A377" s="145"/>
      <c r="B377" s="145"/>
      <c r="O377" s="145"/>
    </row>
    <row r="378" spans="1:15" s="114" customFormat="1">
      <c r="A378" s="145"/>
      <c r="B378" s="145"/>
      <c r="O378" s="145"/>
    </row>
    <row r="379" spans="1:15" s="114" customFormat="1">
      <c r="A379" s="145"/>
      <c r="B379" s="145"/>
      <c r="O379" s="145"/>
    </row>
    <row r="380" spans="1:15" s="114" customFormat="1">
      <c r="A380" s="145"/>
      <c r="B380" s="145"/>
      <c r="O380" s="145"/>
    </row>
    <row r="381" spans="1:15" s="114" customFormat="1">
      <c r="A381" s="145"/>
      <c r="B381" s="145"/>
      <c r="O381" s="145"/>
    </row>
    <row r="382" spans="1:15" s="114" customFormat="1">
      <c r="A382" s="145"/>
      <c r="B382" s="145"/>
      <c r="O382" s="145"/>
    </row>
    <row r="383" spans="1:15" s="114" customFormat="1">
      <c r="A383" s="145"/>
      <c r="B383" s="145"/>
      <c r="O383" s="145"/>
    </row>
    <row r="384" spans="1:15" s="114" customFormat="1">
      <c r="A384" s="145"/>
      <c r="B384" s="145"/>
      <c r="O384" s="145"/>
    </row>
    <row r="385" spans="1:15" s="114" customFormat="1">
      <c r="A385" s="145"/>
      <c r="B385" s="145"/>
      <c r="O385" s="145"/>
    </row>
    <row r="386" spans="1:15" s="114" customFormat="1">
      <c r="A386" s="145"/>
      <c r="B386" s="145"/>
      <c r="O386" s="145"/>
    </row>
    <row r="387" spans="1:15" s="114" customFormat="1">
      <c r="A387" s="145"/>
      <c r="B387" s="145"/>
      <c r="O387" s="145"/>
    </row>
    <row r="388" spans="1:15" s="114" customFormat="1">
      <c r="A388" s="145"/>
      <c r="B388" s="145"/>
      <c r="O388" s="145"/>
    </row>
    <row r="389" spans="1:15" s="114" customFormat="1">
      <c r="A389" s="145"/>
      <c r="B389" s="145"/>
      <c r="O389" s="145"/>
    </row>
    <row r="390" spans="1:15" s="114" customFormat="1">
      <c r="A390" s="145"/>
      <c r="B390" s="145"/>
      <c r="O390" s="145"/>
    </row>
    <row r="391" spans="1:15" s="114" customFormat="1">
      <c r="A391" s="145"/>
      <c r="B391" s="145"/>
      <c r="O391" s="145"/>
    </row>
    <row r="392" spans="1:15" s="114" customFormat="1">
      <c r="A392" s="145"/>
      <c r="B392" s="145"/>
      <c r="O392" s="145"/>
    </row>
    <row r="393" spans="1:15" s="114" customFormat="1">
      <c r="A393" s="145"/>
      <c r="B393" s="145"/>
      <c r="O393" s="145"/>
    </row>
    <row r="394" spans="1:15" s="114" customFormat="1">
      <c r="A394" s="145"/>
      <c r="B394" s="145"/>
      <c r="O394" s="145"/>
    </row>
    <row r="395" spans="1:15" s="114" customFormat="1">
      <c r="A395" s="145"/>
      <c r="B395" s="145"/>
      <c r="O395" s="145"/>
    </row>
    <row r="396" spans="1:15" s="114" customFormat="1">
      <c r="A396" s="145"/>
      <c r="B396" s="145"/>
      <c r="O396" s="145"/>
    </row>
    <row r="397" spans="1:15" s="114" customFormat="1">
      <c r="A397" s="145"/>
      <c r="B397" s="145"/>
      <c r="O397" s="145"/>
    </row>
    <row r="398" spans="1:15" s="114" customFormat="1">
      <c r="A398" s="145"/>
      <c r="B398" s="145"/>
      <c r="O398" s="145"/>
    </row>
    <row r="399" spans="1:15" s="114" customFormat="1">
      <c r="A399" s="145"/>
      <c r="B399" s="145"/>
      <c r="O399" s="145"/>
    </row>
    <row r="400" spans="1:15" s="114" customFormat="1">
      <c r="A400" s="145"/>
      <c r="B400" s="145"/>
      <c r="O400" s="145"/>
    </row>
    <row r="401" spans="1:15" s="114" customFormat="1">
      <c r="A401" s="145"/>
      <c r="B401" s="145"/>
      <c r="O401" s="145"/>
    </row>
    <row r="402" spans="1:15" s="114" customFormat="1">
      <c r="A402" s="145"/>
      <c r="B402" s="145"/>
      <c r="O402" s="145"/>
    </row>
    <row r="403" spans="1:15" s="114" customFormat="1">
      <c r="A403" s="145"/>
      <c r="B403" s="145"/>
      <c r="O403" s="145"/>
    </row>
    <row r="404" spans="1:15" s="114" customFormat="1">
      <c r="A404" s="145"/>
      <c r="B404" s="145"/>
      <c r="O404" s="145"/>
    </row>
    <row r="405" spans="1:15" s="114" customFormat="1">
      <c r="A405" s="145"/>
      <c r="B405" s="145"/>
      <c r="O405" s="145"/>
    </row>
    <row r="406" spans="1:15" s="114" customFormat="1">
      <c r="A406" s="145"/>
      <c r="B406" s="145"/>
      <c r="O406" s="145"/>
    </row>
    <row r="407" spans="1:15" s="114" customFormat="1">
      <c r="A407" s="145"/>
      <c r="B407" s="145"/>
      <c r="O407" s="145"/>
    </row>
    <row r="408" spans="1:15" s="114" customFormat="1">
      <c r="A408" s="145"/>
      <c r="B408" s="145"/>
      <c r="O408" s="145"/>
    </row>
    <row r="409" spans="1:15" s="114" customFormat="1">
      <c r="A409" s="145"/>
      <c r="B409" s="145"/>
      <c r="O409" s="145"/>
    </row>
    <row r="410" spans="1:15" s="114" customFormat="1">
      <c r="A410" s="145"/>
      <c r="B410" s="145"/>
      <c r="O410" s="145"/>
    </row>
    <row r="411" spans="1:15" s="114" customFormat="1">
      <c r="A411" s="145"/>
      <c r="B411" s="145"/>
      <c r="O411" s="145"/>
    </row>
    <row r="412" spans="1:15" s="114" customFormat="1">
      <c r="A412" s="145"/>
      <c r="B412" s="145"/>
      <c r="O412" s="145"/>
    </row>
    <row r="413" spans="1:15" s="114" customFormat="1">
      <c r="A413" s="145"/>
      <c r="B413" s="145"/>
      <c r="O413" s="145"/>
    </row>
    <row r="414" spans="1:15" s="114" customFormat="1">
      <c r="A414" s="145"/>
      <c r="B414" s="145"/>
      <c r="O414" s="145"/>
    </row>
    <row r="415" spans="1:15" s="114" customFormat="1">
      <c r="A415" s="145"/>
      <c r="B415" s="145"/>
      <c r="O415" s="145"/>
    </row>
    <row r="416" spans="1:15" s="114" customFormat="1">
      <c r="A416" s="145"/>
      <c r="B416" s="145"/>
      <c r="O416" s="145"/>
    </row>
    <row r="417" spans="1:15" s="114" customFormat="1">
      <c r="A417" s="145"/>
      <c r="B417" s="145"/>
      <c r="O417" s="145"/>
    </row>
    <row r="418" spans="1:15" s="114" customFormat="1">
      <c r="A418" s="145"/>
      <c r="B418" s="145"/>
      <c r="O418" s="145"/>
    </row>
    <row r="419" spans="1:15" s="114" customFormat="1">
      <c r="A419" s="145"/>
      <c r="B419" s="145"/>
      <c r="O419" s="145"/>
    </row>
    <row r="420" spans="1:15" s="114" customFormat="1">
      <c r="A420" s="145"/>
      <c r="B420" s="145"/>
      <c r="O420" s="145"/>
    </row>
    <row r="421" spans="1:15" s="114" customFormat="1">
      <c r="A421" s="145"/>
      <c r="B421" s="145"/>
      <c r="O421" s="145"/>
    </row>
    <row r="422" spans="1:15" s="114" customFormat="1">
      <c r="A422" s="145"/>
      <c r="B422" s="145"/>
      <c r="O422" s="145"/>
    </row>
    <row r="423" spans="1:15" s="114" customFormat="1">
      <c r="A423" s="145"/>
      <c r="B423" s="145"/>
      <c r="O423" s="145"/>
    </row>
    <row r="424" spans="1:15" s="114" customFormat="1">
      <c r="A424" s="145"/>
      <c r="B424" s="145"/>
      <c r="O424" s="145"/>
    </row>
    <row r="425" spans="1:15" s="114" customFormat="1">
      <c r="A425" s="145"/>
      <c r="B425" s="145"/>
      <c r="O425" s="145"/>
    </row>
    <row r="426" spans="1:15" s="114" customFormat="1">
      <c r="A426" s="145"/>
      <c r="B426" s="145"/>
      <c r="O426" s="145"/>
    </row>
    <row r="427" spans="1:15" s="114" customFormat="1">
      <c r="A427" s="145"/>
      <c r="B427" s="145"/>
      <c r="O427" s="145"/>
    </row>
    <row r="428" spans="1:15" s="114" customFormat="1">
      <c r="A428" s="145"/>
      <c r="B428" s="145"/>
      <c r="O428" s="145"/>
    </row>
    <row r="429" spans="1:15" s="114" customFormat="1">
      <c r="A429" s="145"/>
      <c r="B429" s="145"/>
      <c r="O429" s="145"/>
    </row>
    <row r="430" spans="1:15" s="114" customFormat="1">
      <c r="A430" s="145"/>
      <c r="B430" s="145"/>
      <c r="O430" s="145"/>
    </row>
    <row r="431" spans="1:15" s="114" customFormat="1">
      <c r="A431" s="145"/>
      <c r="B431" s="145"/>
      <c r="O431" s="145"/>
    </row>
    <row r="432" spans="1:15" s="114" customFormat="1">
      <c r="A432" s="145"/>
      <c r="B432" s="145"/>
      <c r="O432" s="145"/>
    </row>
    <row r="433" spans="1:15" s="114" customFormat="1">
      <c r="A433" s="145"/>
      <c r="B433" s="145"/>
      <c r="O433" s="145"/>
    </row>
    <row r="434" spans="1:15" s="114" customFormat="1">
      <c r="A434" s="145"/>
      <c r="B434" s="145"/>
      <c r="O434" s="145"/>
    </row>
    <row r="435" spans="1:15" s="114" customFormat="1">
      <c r="A435" s="145"/>
      <c r="B435" s="145"/>
      <c r="O435" s="145"/>
    </row>
    <row r="436" spans="1:15" s="114" customFormat="1">
      <c r="A436" s="145"/>
      <c r="B436" s="145"/>
      <c r="O436" s="145"/>
    </row>
    <row r="437" spans="1:15" s="114" customFormat="1">
      <c r="A437" s="145"/>
      <c r="B437" s="145"/>
      <c r="O437" s="145"/>
    </row>
    <row r="438" spans="1:15" s="114" customFormat="1">
      <c r="A438" s="145"/>
      <c r="B438" s="145"/>
      <c r="O438" s="145"/>
    </row>
    <row r="439" spans="1:15" s="114" customFormat="1">
      <c r="A439" s="145"/>
      <c r="B439" s="145"/>
      <c r="O439" s="145"/>
    </row>
    <row r="440" spans="1:15" s="114" customFormat="1">
      <c r="A440" s="145"/>
      <c r="B440" s="145"/>
      <c r="O440" s="145"/>
    </row>
    <row r="441" spans="1:15" s="114" customFormat="1">
      <c r="A441" s="145"/>
      <c r="B441" s="145"/>
      <c r="O441" s="145"/>
    </row>
    <row r="442" spans="1:15" s="114" customFormat="1">
      <c r="A442" s="145"/>
      <c r="B442" s="145"/>
      <c r="O442" s="145"/>
    </row>
    <row r="443" spans="1:15" s="114" customFormat="1">
      <c r="A443" s="145"/>
      <c r="B443" s="145"/>
      <c r="O443" s="145"/>
    </row>
    <row r="444" spans="1:15" s="114" customFormat="1">
      <c r="A444" s="145"/>
      <c r="B444" s="145"/>
      <c r="O444" s="145"/>
    </row>
    <row r="445" spans="1:15" s="114" customFormat="1">
      <c r="A445" s="145"/>
      <c r="B445" s="145"/>
      <c r="O445" s="145"/>
    </row>
    <row r="446" spans="1:15" s="114" customFormat="1">
      <c r="A446" s="145"/>
      <c r="B446" s="145"/>
      <c r="O446" s="145"/>
    </row>
    <row r="447" spans="1:15" s="114" customFormat="1">
      <c r="A447" s="145"/>
      <c r="B447" s="145"/>
      <c r="O447" s="145"/>
    </row>
    <row r="448" spans="1:15" s="114" customFormat="1">
      <c r="A448" s="145"/>
      <c r="B448" s="145"/>
      <c r="O448" s="145"/>
    </row>
    <row r="449" spans="1:15" s="114" customFormat="1">
      <c r="A449" s="145"/>
      <c r="B449" s="145"/>
      <c r="O449" s="145"/>
    </row>
    <row r="450" spans="1:15" s="114" customFormat="1">
      <c r="A450" s="145"/>
      <c r="B450" s="145"/>
      <c r="O450" s="145"/>
    </row>
    <row r="451" spans="1:15" s="114" customFormat="1">
      <c r="A451" s="145"/>
      <c r="B451" s="145"/>
      <c r="O451" s="145"/>
    </row>
    <row r="452" spans="1:15" s="114" customFormat="1">
      <c r="A452" s="145"/>
      <c r="B452" s="145"/>
      <c r="O452" s="145"/>
    </row>
    <row r="453" spans="1:15" s="114" customFormat="1">
      <c r="A453" s="145"/>
      <c r="B453" s="145"/>
      <c r="O453" s="145"/>
    </row>
    <row r="454" spans="1:15" s="114" customFormat="1">
      <c r="A454" s="145"/>
      <c r="B454" s="145"/>
      <c r="O454" s="145"/>
    </row>
    <row r="455" spans="1:15" s="114" customFormat="1">
      <c r="A455" s="145"/>
      <c r="B455" s="145"/>
      <c r="O455" s="145"/>
    </row>
    <row r="456" spans="1:15" s="114" customFormat="1">
      <c r="A456" s="145"/>
      <c r="B456" s="145"/>
      <c r="O456" s="145"/>
    </row>
    <row r="457" spans="1:15" s="114" customFormat="1">
      <c r="A457" s="145"/>
      <c r="B457" s="145"/>
      <c r="O457" s="145"/>
    </row>
    <row r="458" spans="1:15" s="114" customFormat="1">
      <c r="A458" s="145"/>
      <c r="B458" s="145"/>
      <c r="O458" s="145"/>
    </row>
    <row r="459" spans="1:15" s="114" customFormat="1">
      <c r="A459" s="145"/>
      <c r="B459" s="145"/>
      <c r="O459" s="145"/>
    </row>
    <row r="460" spans="1:15" s="114" customFormat="1">
      <c r="A460" s="145"/>
      <c r="B460" s="145"/>
      <c r="O460" s="145"/>
    </row>
    <row r="461" spans="1:15" s="114" customFormat="1">
      <c r="A461" s="145"/>
      <c r="B461" s="145"/>
      <c r="O461" s="145"/>
    </row>
    <row r="462" spans="1:15" s="114" customFormat="1">
      <c r="A462" s="145"/>
      <c r="B462" s="145"/>
      <c r="O462" s="145"/>
    </row>
    <row r="463" spans="1:15" s="114" customFormat="1">
      <c r="A463" s="145"/>
      <c r="B463" s="145"/>
      <c r="O463" s="145"/>
    </row>
    <row r="464" spans="1:15" s="114" customFormat="1">
      <c r="A464" s="145"/>
      <c r="B464" s="145"/>
      <c r="O464" s="145"/>
    </row>
    <row r="465" spans="1:15" s="114" customFormat="1">
      <c r="A465" s="145"/>
      <c r="B465" s="145"/>
      <c r="O465" s="145"/>
    </row>
    <row r="466" spans="1:15" s="114" customFormat="1">
      <c r="A466" s="145"/>
      <c r="B466" s="145"/>
      <c r="O466" s="145"/>
    </row>
    <row r="467" spans="1:15" s="114" customFormat="1">
      <c r="A467" s="145"/>
      <c r="B467" s="145"/>
      <c r="O467" s="145"/>
    </row>
    <row r="468" spans="1:15" s="114" customFormat="1">
      <c r="A468" s="145"/>
      <c r="B468" s="145"/>
      <c r="O468" s="145"/>
    </row>
    <row r="469" spans="1:15" s="114" customFormat="1">
      <c r="A469" s="145"/>
      <c r="B469" s="145"/>
      <c r="O469" s="145"/>
    </row>
    <row r="470" spans="1:15" s="114" customFormat="1">
      <c r="A470" s="145"/>
      <c r="B470" s="145"/>
      <c r="O470" s="145"/>
    </row>
    <row r="471" spans="1:15" s="114" customFormat="1">
      <c r="A471" s="145"/>
      <c r="B471" s="145"/>
      <c r="O471" s="145"/>
    </row>
    <row r="472" spans="1:15" s="114" customFormat="1">
      <c r="A472" s="145"/>
      <c r="B472" s="145"/>
      <c r="O472" s="145"/>
    </row>
    <row r="473" spans="1:15" s="114" customFormat="1">
      <c r="A473" s="145"/>
      <c r="B473" s="145"/>
      <c r="O473" s="145"/>
    </row>
    <row r="474" spans="1:15" s="114" customFormat="1">
      <c r="A474" s="145"/>
      <c r="B474" s="145"/>
      <c r="O474" s="145"/>
    </row>
    <row r="475" spans="1:15" s="114" customFormat="1">
      <c r="A475" s="145"/>
      <c r="B475" s="145"/>
      <c r="O475" s="145"/>
    </row>
    <row r="476" spans="1:15" s="114" customFormat="1">
      <c r="A476" s="145"/>
      <c r="B476" s="145"/>
      <c r="O476" s="145"/>
    </row>
    <row r="477" spans="1:15" s="114" customFormat="1">
      <c r="A477" s="145"/>
      <c r="B477" s="145"/>
      <c r="O477" s="145"/>
    </row>
    <row r="478" spans="1:15" s="114" customFormat="1">
      <c r="A478" s="145"/>
      <c r="B478" s="145"/>
      <c r="O478" s="145"/>
    </row>
    <row r="479" spans="1:15" s="114" customFormat="1">
      <c r="A479" s="145"/>
      <c r="B479" s="145"/>
      <c r="O479" s="145"/>
    </row>
    <row r="480" spans="1:15" s="114" customFormat="1">
      <c r="A480" s="145"/>
      <c r="B480" s="145"/>
      <c r="O480" s="145"/>
    </row>
    <row r="481" spans="1:15" s="114" customFormat="1">
      <c r="A481" s="145"/>
      <c r="B481" s="145"/>
      <c r="O481" s="145"/>
    </row>
    <row r="482" spans="1:15" s="114" customFormat="1">
      <c r="A482" s="145"/>
      <c r="B482" s="145"/>
      <c r="O482" s="145"/>
    </row>
    <row r="483" spans="1:15" s="114" customFormat="1">
      <c r="A483" s="145"/>
      <c r="B483" s="145"/>
      <c r="O483" s="145"/>
    </row>
    <row r="484" spans="1:15" s="114" customFormat="1">
      <c r="A484" s="145"/>
      <c r="B484" s="145"/>
      <c r="O484" s="145"/>
    </row>
    <row r="485" spans="1:15" s="114" customFormat="1">
      <c r="A485" s="145"/>
      <c r="B485" s="145"/>
      <c r="O485" s="145"/>
    </row>
    <row r="486" spans="1:15" s="114" customFormat="1">
      <c r="A486" s="145"/>
      <c r="B486" s="145"/>
      <c r="O486" s="145"/>
    </row>
    <row r="487" spans="1:15" s="114" customFormat="1">
      <c r="A487" s="145"/>
      <c r="B487" s="145"/>
      <c r="O487" s="145"/>
    </row>
    <row r="488" spans="1:15" s="114" customFormat="1">
      <c r="A488" s="145"/>
      <c r="B488" s="145"/>
      <c r="O488" s="145"/>
    </row>
    <row r="489" spans="1:15" s="114" customFormat="1">
      <c r="A489" s="145"/>
      <c r="B489" s="145"/>
      <c r="O489" s="145"/>
    </row>
    <row r="490" spans="1:15" s="114" customFormat="1">
      <c r="A490" s="145"/>
      <c r="B490" s="145"/>
      <c r="O490" s="145"/>
    </row>
    <row r="491" spans="1:15" s="114" customFormat="1">
      <c r="A491" s="145"/>
      <c r="B491" s="145"/>
      <c r="O491" s="145"/>
    </row>
    <row r="492" spans="1:15" s="114" customFormat="1">
      <c r="A492" s="145"/>
      <c r="B492" s="145"/>
      <c r="O492" s="145"/>
    </row>
    <row r="493" spans="1:15" s="114" customFormat="1">
      <c r="A493" s="145"/>
      <c r="B493" s="145"/>
      <c r="O493" s="145"/>
    </row>
    <row r="494" spans="1:15" s="114" customFormat="1">
      <c r="A494" s="145"/>
      <c r="B494" s="145"/>
      <c r="O494" s="145"/>
    </row>
    <row r="495" spans="1:15" s="114" customFormat="1">
      <c r="A495" s="145"/>
      <c r="B495" s="145"/>
      <c r="O495" s="145"/>
    </row>
    <row r="496" spans="1:15" s="114" customFormat="1">
      <c r="A496" s="145"/>
      <c r="B496" s="145"/>
      <c r="O496" s="145"/>
    </row>
    <row r="497" spans="1:15" s="114" customFormat="1">
      <c r="A497" s="145"/>
      <c r="B497" s="145"/>
      <c r="O497" s="145"/>
    </row>
    <row r="498" spans="1:15" s="114" customFormat="1">
      <c r="A498" s="145"/>
      <c r="B498" s="145"/>
      <c r="O498" s="145"/>
    </row>
    <row r="499" spans="1:15" s="114" customFormat="1">
      <c r="A499" s="145"/>
      <c r="B499" s="145"/>
      <c r="O499" s="145"/>
    </row>
    <row r="500" spans="1:15" s="114" customFormat="1">
      <c r="A500" s="145"/>
      <c r="B500" s="145"/>
      <c r="O500" s="145"/>
    </row>
    <row r="501" spans="1:15" s="114" customFormat="1">
      <c r="A501" s="145"/>
      <c r="B501" s="145"/>
      <c r="O501" s="145"/>
    </row>
    <row r="502" spans="1:15" s="114" customFormat="1">
      <c r="A502" s="145"/>
      <c r="B502" s="145"/>
      <c r="O502" s="145"/>
    </row>
    <row r="503" spans="1:15" s="114" customFormat="1">
      <c r="A503" s="145"/>
      <c r="B503" s="145"/>
      <c r="O503" s="145"/>
    </row>
    <row r="504" spans="1:15" s="114" customFormat="1">
      <c r="A504" s="145"/>
      <c r="B504" s="145"/>
      <c r="O504" s="145"/>
    </row>
    <row r="505" spans="1:15" s="114" customFormat="1">
      <c r="A505" s="145"/>
      <c r="B505" s="145"/>
      <c r="O505" s="145"/>
    </row>
    <row r="506" spans="1:15" s="114" customFormat="1">
      <c r="A506" s="145"/>
      <c r="B506" s="145"/>
      <c r="O506" s="145"/>
    </row>
    <row r="507" spans="1:15" s="114" customFormat="1">
      <c r="A507" s="145"/>
      <c r="B507" s="145"/>
      <c r="O507" s="145"/>
    </row>
    <row r="508" spans="1:15" s="114" customFormat="1">
      <c r="A508" s="145"/>
      <c r="B508" s="145"/>
      <c r="O508" s="145"/>
    </row>
    <row r="509" spans="1:15" s="114" customFormat="1">
      <c r="A509" s="145"/>
      <c r="B509" s="145"/>
      <c r="O509" s="145"/>
    </row>
    <row r="510" spans="1:15" s="114" customFormat="1">
      <c r="A510" s="145"/>
      <c r="B510" s="145"/>
      <c r="O510" s="145"/>
    </row>
    <row r="511" spans="1:15" s="114" customFormat="1">
      <c r="A511" s="145"/>
      <c r="B511" s="145"/>
      <c r="O511" s="145"/>
    </row>
    <row r="512" spans="1:15" s="114" customFormat="1">
      <c r="A512" s="145"/>
      <c r="B512" s="145"/>
      <c r="O512" s="145"/>
    </row>
    <row r="513" spans="1:15" s="114" customFormat="1">
      <c r="A513" s="145"/>
      <c r="B513" s="145"/>
      <c r="O513" s="145"/>
    </row>
    <row r="514" spans="1:15" s="114" customFormat="1">
      <c r="A514" s="145"/>
      <c r="B514" s="145"/>
      <c r="O514" s="145"/>
    </row>
    <row r="515" spans="1:15" s="114" customFormat="1">
      <c r="A515" s="145"/>
      <c r="B515" s="145"/>
      <c r="O515" s="145"/>
    </row>
    <row r="516" spans="1:15" s="114" customFormat="1">
      <c r="A516" s="145"/>
      <c r="B516" s="145"/>
      <c r="O516" s="145"/>
    </row>
    <row r="517" spans="1:15" s="114" customFormat="1">
      <c r="A517" s="145"/>
      <c r="B517" s="145"/>
      <c r="O517" s="145"/>
    </row>
    <row r="518" spans="1:15" s="114" customFormat="1">
      <c r="A518" s="145"/>
      <c r="B518" s="145"/>
      <c r="O518" s="145"/>
    </row>
    <row r="519" spans="1:15" s="114" customFormat="1">
      <c r="A519" s="145"/>
      <c r="B519" s="145"/>
      <c r="O519" s="145"/>
    </row>
    <row r="520" spans="1:15" s="114" customFormat="1">
      <c r="A520" s="145"/>
      <c r="B520" s="145"/>
      <c r="O520" s="145"/>
    </row>
    <row r="521" spans="1:15" s="114" customFormat="1">
      <c r="A521" s="145"/>
      <c r="B521" s="145"/>
      <c r="O521" s="145"/>
    </row>
    <row r="522" spans="1:15" s="114" customFormat="1">
      <c r="A522" s="145"/>
      <c r="B522" s="145"/>
      <c r="O522" s="145"/>
    </row>
    <row r="523" spans="1:15" s="114" customFormat="1">
      <c r="A523" s="145"/>
      <c r="B523" s="145"/>
      <c r="O523" s="145"/>
    </row>
    <row r="524" spans="1:15" s="114" customFormat="1">
      <c r="A524" s="145"/>
      <c r="B524" s="145"/>
      <c r="O524" s="145"/>
    </row>
    <row r="525" spans="1:15" s="114" customFormat="1">
      <c r="A525" s="145"/>
      <c r="B525" s="145"/>
      <c r="O525" s="145"/>
    </row>
    <row r="526" spans="1:15" s="114" customFormat="1">
      <c r="A526" s="145"/>
      <c r="B526" s="145"/>
      <c r="O526" s="145"/>
    </row>
    <row r="527" spans="1:15" s="114" customFormat="1">
      <c r="A527" s="145"/>
      <c r="B527" s="145"/>
      <c r="O527" s="145"/>
    </row>
    <row r="528" spans="1:15" s="114" customFormat="1">
      <c r="A528" s="145"/>
      <c r="B528" s="145"/>
      <c r="O528" s="145"/>
    </row>
    <row r="529" spans="1:15" s="114" customFormat="1">
      <c r="A529" s="145"/>
      <c r="B529" s="145"/>
      <c r="O529" s="145"/>
    </row>
    <row r="530" spans="1:15" s="114" customFormat="1">
      <c r="A530" s="145"/>
      <c r="B530" s="145"/>
      <c r="O530" s="145"/>
    </row>
    <row r="531" spans="1:15" s="114" customFormat="1">
      <c r="A531" s="145"/>
      <c r="B531" s="145"/>
      <c r="O531" s="145"/>
    </row>
    <row r="532" spans="1:15" s="114" customFormat="1">
      <c r="A532" s="145"/>
      <c r="B532" s="145"/>
      <c r="O532" s="145"/>
    </row>
    <row r="533" spans="1:15" s="114" customFormat="1">
      <c r="A533" s="145"/>
      <c r="B533" s="145"/>
      <c r="O533" s="145"/>
    </row>
    <row r="534" spans="1:15" s="114" customFormat="1">
      <c r="A534" s="145"/>
      <c r="B534" s="145"/>
      <c r="O534" s="145"/>
    </row>
    <row r="535" spans="1:15" s="114" customFormat="1">
      <c r="A535" s="145"/>
      <c r="B535" s="145"/>
      <c r="O535" s="145"/>
    </row>
    <row r="536" spans="1:15" s="114" customFormat="1">
      <c r="A536" s="145"/>
      <c r="B536" s="145"/>
      <c r="O536" s="145"/>
    </row>
    <row r="537" spans="1:15" s="114" customFormat="1">
      <c r="A537" s="145"/>
      <c r="B537" s="145"/>
      <c r="O537" s="145"/>
    </row>
    <row r="538" spans="1:15" s="114" customFormat="1">
      <c r="A538" s="145"/>
      <c r="B538" s="145"/>
      <c r="O538" s="145"/>
    </row>
    <row r="539" spans="1:15" s="114" customFormat="1">
      <c r="A539" s="145"/>
      <c r="B539" s="145"/>
      <c r="O539" s="145"/>
    </row>
    <row r="540" spans="1:15" s="114" customFormat="1">
      <c r="A540" s="145"/>
      <c r="B540" s="145"/>
      <c r="O540" s="145"/>
    </row>
    <row r="541" spans="1:15" s="114" customFormat="1">
      <c r="A541" s="145"/>
      <c r="B541" s="145"/>
      <c r="O541" s="145"/>
    </row>
    <row r="542" spans="1:15" s="114" customFormat="1">
      <c r="A542" s="145"/>
      <c r="B542" s="145"/>
      <c r="O542" s="145"/>
    </row>
    <row r="543" spans="1:15" s="114" customFormat="1">
      <c r="A543" s="145"/>
      <c r="B543" s="145"/>
      <c r="O543" s="145"/>
    </row>
    <row r="544" spans="1:15" s="114" customFormat="1">
      <c r="A544" s="145"/>
      <c r="B544" s="145"/>
      <c r="O544" s="145"/>
    </row>
    <row r="545" spans="1:15" s="114" customFormat="1">
      <c r="A545" s="145"/>
      <c r="B545" s="145"/>
      <c r="O545" s="145"/>
    </row>
    <row r="546" spans="1:15" s="114" customFormat="1">
      <c r="A546" s="145"/>
      <c r="B546" s="145"/>
      <c r="O546" s="145"/>
    </row>
    <row r="547" spans="1:15" s="114" customFormat="1">
      <c r="A547" s="145"/>
      <c r="B547" s="145"/>
      <c r="O547" s="145"/>
    </row>
    <row r="548" spans="1:15" s="114" customFormat="1">
      <c r="A548" s="145"/>
      <c r="B548" s="145"/>
      <c r="O548" s="145"/>
    </row>
    <row r="549" spans="1:15" s="114" customFormat="1">
      <c r="A549" s="145"/>
      <c r="B549" s="145"/>
      <c r="O549" s="145"/>
    </row>
    <row r="550" spans="1:15" s="114" customFormat="1">
      <c r="A550" s="145"/>
      <c r="B550" s="145"/>
      <c r="O550" s="145"/>
    </row>
    <row r="551" spans="1:15" s="114" customFormat="1">
      <c r="A551" s="145"/>
      <c r="B551" s="145"/>
      <c r="O551" s="145"/>
    </row>
    <row r="552" spans="1:15" s="114" customFormat="1">
      <c r="A552" s="145"/>
      <c r="B552" s="145"/>
      <c r="O552" s="145"/>
    </row>
    <row r="553" spans="1:15" s="114" customFormat="1">
      <c r="A553" s="145"/>
      <c r="B553" s="145"/>
      <c r="O553" s="145"/>
    </row>
    <row r="554" spans="1:15" s="114" customFormat="1">
      <c r="A554" s="145"/>
      <c r="B554" s="145"/>
      <c r="O554" s="145"/>
    </row>
    <row r="555" spans="1:15" s="114" customFormat="1">
      <c r="A555" s="145"/>
      <c r="B555" s="145"/>
      <c r="O555" s="145"/>
    </row>
    <row r="556" spans="1:15" s="114" customFormat="1">
      <c r="A556" s="145"/>
      <c r="B556" s="145"/>
      <c r="O556" s="145"/>
    </row>
    <row r="557" spans="1:15" s="114" customFormat="1">
      <c r="A557" s="145"/>
      <c r="B557" s="145"/>
      <c r="O557" s="145"/>
    </row>
    <row r="558" spans="1:15" s="114" customFormat="1">
      <c r="A558" s="145"/>
      <c r="B558" s="145"/>
      <c r="O558" s="145"/>
    </row>
    <row r="559" spans="1:15" s="114" customFormat="1">
      <c r="A559" s="145"/>
      <c r="B559" s="145"/>
      <c r="O559" s="145"/>
    </row>
    <row r="560" spans="1:15" s="114" customFormat="1">
      <c r="A560" s="145"/>
      <c r="B560" s="145"/>
      <c r="O560" s="145"/>
    </row>
    <row r="561" spans="1:15" s="114" customFormat="1">
      <c r="A561" s="145"/>
      <c r="B561" s="145"/>
      <c r="O561" s="145"/>
    </row>
    <row r="562" spans="1:15" s="114" customFormat="1">
      <c r="A562" s="145"/>
      <c r="B562" s="145"/>
      <c r="O562" s="145"/>
    </row>
    <row r="563" spans="1:15" s="114" customFormat="1">
      <c r="A563" s="145"/>
      <c r="B563" s="145"/>
      <c r="O563" s="145"/>
    </row>
    <row r="564" spans="1:15" s="114" customFormat="1">
      <c r="A564" s="145"/>
      <c r="B564" s="145"/>
      <c r="O564" s="145"/>
    </row>
    <row r="565" spans="1:15" s="114" customFormat="1">
      <c r="A565" s="145"/>
      <c r="B565" s="145"/>
      <c r="O565" s="145"/>
    </row>
    <row r="566" spans="1:15" s="114" customFormat="1">
      <c r="A566" s="145"/>
      <c r="B566" s="145"/>
      <c r="O566" s="145"/>
    </row>
    <row r="567" spans="1:15" s="114" customFormat="1">
      <c r="A567" s="145"/>
      <c r="B567" s="145"/>
      <c r="O567" s="145"/>
    </row>
    <row r="568" spans="1:15" s="114" customFormat="1">
      <c r="A568" s="145"/>
      <c r="B568" s="145"/>
      <c r="O568" s="145"/>
    </row>
    <row r="569" spans="1:15" s="114" customFormat="1">
      <c r="A569" s="145"/>
      <c r="B569" s="145"/>
      <c r="O569" s="145"/>
    </row>
    <row r="570" spans="1:15" s="114" customFormat="1">
      <c r="A570" s="145"/>
      <c r="B570" s="145"/>
      <c r="O570" s="145"/>
    </row>
    <row r="571" spans="1:15" s="114" customFormat="1">
      <c r="A571" s="145"/>
      <c r="B571" s="145"/>
      <c r="O571" s="145"/>
    </row>
    <row r="572" spans="1:15" s="114" customFormat="1">
      <c r="A572" s="145"/>
      <c r="B572" s="145"/>
      <c r="O572" s="145"/>
    </row>
    <row r="573" spans="1:15" s="114" customFormat="1">
      <c r="A573" s="145"/>
      <c r="B573" s="145"/>
      <c r="O573" s="145"/>
    </row>
    <row r="574" spans="1:15" s="114" customFormat="1">
      <c r="A574" s="145"/>
      <c r="B574" s="145"/>
      <c r="O574" s="145"/>
    </row>
    <row r="575" spans="1:15" s="114" customFormat="1">
      <c r="A575" s="145"/>
      <c r="B575" s="145"/>
      <c r="O575" s="145"/>
    </row>
    <row r="576" spans="1:15" s="114" customFormat="1">
      <c r="A576" s="145"/>
      <c r="B576" s="145"/>
      <c r="O576" s="145"/>
    </row>
    <row r="577" spans="1:15" s="114" customFormat="1">
      <c r="A577" s="145"/>
      <c r="B577" s="145"/>
      <c r="O577" s="145"/>
    </row>
    <row r="578" spans="1:15" s="114" customFormat="1">
      <c r="A578" s="145"/>
      <c r="B578" s="145"/>
      <c r="O578" s="145"/>
    </row>
    <row r="579" spans="1:15" s="114" customFormat="1">
      <c r="A579" s="145"/>
      <c r="B579" s="145"/>
      <c r="O579" s="145"/>
    </row>
    <row r="580" spans="1:15" s="114" customFormat="1">
      <c r="A580" s="145"/>
      <c r="B580" s="145"/>
      <c r="O580" s="145"/>
    </row>
    <row r="581" spans="1:15" s="114" customFormat="1">
      <c r="A581" s="145"/>
      <c r="B581" s="145"/>
      <c r="O581" s="145"/>
    </row>
    <row r="582" spans="1:15" s="114" customFormat="1">
      <c r="A582" s="145"/>
      <c r="B582" s="145"/>
      <c r="O582" s="145"/>
    </row>
    <row r="583" spans="1:15" s="114" customFormat="1">
      <c r="A583" s="145"/>
      <c r="B583" s="145"/>
      <c r="O583" s="145"/>
    </row>
    <row r="584" spans="1:15" s="114" customFormat="1">
      <c r="A584" s="145"/>
      <c r="B584" s="145"/>
      <c r="O584" s="145"/>
    </row>
    <row r="585" spans="1:15" s="114" customFormat="1">
      <c r="A585" s="145"/>
      <c r="B585" s="145"/>
      <c r="O585" s="145"/>
    </row>
    <row r="586" spans="1:15" s="114" customFormat="1">
      <c r="A586" s="145"/>
      <c r="B586" s="145"/>
      <c r="O586" s="145"/>
    </row>
    <row r="587" spans="1:15" s="114" customFormat="1">
      <c r="A587" s="145"/>
      <c r="B587" s="145"/>
      <c r="O587" s="145"/>
    </row>
    <row r="588" spans="1:15" s="114" customFormat="1">
      <c r="A588" s="145"/>
      <c r="B588" s="145"/>
      <c r="O588" s="145"/>
    </row>
    <row r="589" spans="1:15" s="114" customFormat="1">
      <c r="A589" s="145"/>
      <c r="B589" s="145"/>
      <c r="O589" s="145"/>
    </row>
    <row r="590" spans="1:15" s="114" customFormat="1">
      <c r="A590" s="145"/>
      <c r="B590" s="145"/>
      <c r="O590" s="145"/>
    </row>
    <row r="591" spans="1:15" s="114" customFormat="1">
      <c r="A591" s="145"/>
      <c r="B591" s="145"/>
      <c r="O591" s="145"/>
    </row>
    <row r="592" spans="1:15" s="114" customFormat="1">
      <c r="A592" s="145"/>
      <c r="B592" s="145"/>
      <c r="O592" s="145"/>
    </row>
    <row r="593" spans="1:15" s="114" customFormat="1">
      <c r="A593" s="145"/>
      <c r="B593" s="145"/>
      <c r="O593" s="145"/>
    </row>
    <row r="594" spans="1:15" s="114" customFormat="1">
      <c r="A594" s="145"/>
      <c r="B594" s="145"/>
      <c r="O594" s="145"/>
    </row>
    <row r="595" spans="1:15" s="114" customFormat="1">
      <c r="A595" s="145"/>
      <c r="B595" s="145"/>
      <c r="O595" s="145"/>
    </row>
    <row r="596" spans="1:15" s="114" customFormat="1">
      <c r="A596" s="145"/>
      <c r="B596" s="145"/>
      <c r="O596" s="145"/>
    </row>
    <row r="597" spans="1:15" s="114" customFormat="1">
      <c r="A597" s="145"/>
      <c r="B597" s="145"/>
      <c r="O597" s="145"/>
    </row>
    <row r="598" spans="1:15" s="114" customFormat="1">
      <c r="A598" s="145"/>
      <c r="B598" s="145"/>
      <c r="O598" s="145"/>
    </row>
    <row r="599" spans="1:15" s="114" customFormat="1">
      <c r="A599" s="145"/>
      <c r="B599" s="145"/>
      <c r="O599" s="145"/>
    </row>
    <row r="600" spans="1:15" s="114" customFormat="1">
      <c r="A600" s="145"/>
      <c r="B600" s="145"/>
      <c r="O600" s="145"/>
    </row>
    <row r="601" spans="1:15" s="114" customFormat="1">
      <c r="A601" s="145"/>
      <c r="B601" s="145"/>
      <c r="O601" s="145"/>
    </row>
    <row r="602" spans="1:15" s="114" customFormat="1">
      <c r="A602" s="145"/>
      <c r="B602" s="145"/>
      <c r="O602" s="145"/>
    </row>
    <row r="603" spans="1:15" s="114" customFormat="1">
      <c r="A603" s="145"/>
      <c r="B603" s="145"/>
      <c r="O603" s="145"/>
    </row>
    <row r="604" spans="1:15" s="114" customFormat="1">
      <c r="A604" s="145"/>
      <c r="B604" s="145"/>
      <c r="O604" s="145"/>
    </row>
    <row r="605" spans="1:15" s="114" customFormat="1">
      <c r="A605" s="145"/>
      <c r="B605" s="145"/>
      <c r="O605" s="145"/>
    </row>
    <row r="606" spans="1:15" s="114" customFormat="1">
      <c r="A606" s="145"/>
      <c r="B606" s="145"/>
      <c r="O606" s="145"/>
    </row>
    <row r="607" spans="1:15" s="114" customFormat="1">
      <c r="A607" s="145"/>
      <c r="B607" s="145"/>
      <c r="O607" s="145"/>
    </row>
    <row r="608" spans="1:15" s="114" customFormat="1">
      <c r="A608" s="145"/>
      <c r="B608" s="145"/>
      <c r="O608" s="145"/>
    </row>
    <row r="609" spans="1:15" s="114" customFormat="1">
      <c r="A609" s="145"/>
      <c r="B609" s="145"/>
      <c r="O609" s="145"/>
    </row>
    <row r="610" spans="1:15" s="114" customFormat="1">
      <c r="A610" s="145"/>
      <c r="B610" s="145"/>
      <c r="O610" s="145"/>
    </row>
    <row r="611" spans="1:15" s="114" customFormat="1">
      <c r="A611" s="145"/>
      <c r="B611" s="145"/>
      <c r="O611" s="145"/>
    </row>
    <row r="612" spans="1:15" s="114" customFormat="1">
      <c r="A612" s="145"/>
      <c r="B612" s="145"/>
      <c r="O612" s="145"/>
    </row>
    <row r="613" spans="1:15" s="114" customFormat="1">
      <c r="A613" s="145"/>
      <c r="B613" s="145"/>
      <c r="O613" s="145"/>
    </row>
    <row r="614" spans="1:15" s="114" customFormat="1">
      <c r="A614" s="145"/>
      <c r="B614" s="145"/>
      <c r="O614" s="145"/>
    </row>
    <row r="615" spans="1:15" s="114" customFormat="1">
      <c r="A615" s="145"/>
      <c r="B615" s="145"/>
      <c r="O615" s="145"/>
    </row>
    <row r="616" spans="1:15" s="114" customFormat="1">
      <c r="A616" s="145"/>
      <c r="B616" s="145"/>
      <c r="O616" s="145"/>
    </row>
    <row r="617" spans="1:15" s="114" customFormat="1">
      <c r="A617" s="145"/>
      <c r="B617" s="145"/>
      <c r="O617" s="145"/>
    </row>
    <row r="618" spans="1:15" s="114" customFormat="1">
      <c r="A618" s="145"/>
      <c r="B618" s="145"/>
      <c r="O618" s="145"/>
    </row>
    <row r="619" spans="1:15" s="114" customFormat="1">
      <c r="A619" s="145"/>
      <c r="B619" s="145"/>
      <c r="O619" s="145"/>
    </row>
    <row r="620" spans="1:15" s="114" customFormat="1">
      <c r="A620" s="145"/>
      <c r="B620" s="145"/>
      <c r="O620" s="145"/>
    </row>
    <row r="621" spans="1:15" s="114" customFormat="1">
      <c r="A621" s="145"/>
      <c r="B621" s="145"/>
      <c r="O621" s="145"/>
    </row>
    <row r="622" spans="1:15" s="114" customFormat="1">
      <c r="A622" s="145"/>
      <c r="B622" s="145"/>
      <c r="O622" s="145"/>
    </row>
    <row r="623" spans="1:15" s="114" customFormat="1">
      <c r="A623" s="145"/>
      <c r="B623" s="145"/>
      <c r="O623" s="145"/>
    </row>
    <row r="624" spans="1:15" s="114" customFormat="1">
      <c r="A624" s="145"/>
      <c r="B624" s="145"/>
      <c r="O624" s="145"/>
    </row>
    <row r="625" spans="1:15" s="114" customFormat="1">
      <c r="A625" s="145"/>
      <c r="B625" s="145"/>
      <c r="O625" s="145"/>
    </row>
    <row r="626" spans="1:15" s="114" customFormat="1">
      <c r="A626" s="145"/>
      <c r="B626" s="145"/>
      <c r="O626" s="145"/>
    </row>
    <row r="627" spans="1:15" s="114" customFormat="1">
      <c r="A627" s="145"/>
      <c r="B627" s="145"/>
      <c r="O627" s="145"/>
    </row>
    <row r="628" spans="1:15" s="114" customFormat="1">
      <c r="A628" s="145"/>
      <c r="B628" s="145"/>
      <c r="O628" s="145"/>
    </row>
    <row r="629" spans="1:15" s="114" customFormat="1">
      <c r="A629" s="145"/>
      <c r="B629" s="145"/>
      <c r="O629" s="145"/>
    </row>
    <row r="630" spans="1:15" s="114" customFormat="1">
      <c r="A630" s="145"/>
      <c r="B630" s="145"/>
      <c r="O630" s="145"/>
    </row>
    <row r="631" spans="1:15" s="114" customFormat="1">
      <c r="A631" s="145"/>
      <c r="B631" s="145"/>
      <c r="O631" s="145"/>
    </row>
    <row r="632" spans="1:15" s="114" customFormat="1">
      <c r="A632" s="145"/>
      <c r="B632" s="145"/>
      <c r="O632" s="145"/>
    </row>
    <row r="633" spans="1:15" s="114" customFormat="1">
      <c r="A633" s="145"/>
      <c r="B633" s="145"/>
      <c r="O633" s="145"/>
    </row>
    <row r="634" spans="1:15" s="114" customFormat="1">
      <c r="A634" s="145"/>
      <c r="B634" s="145"/>
      <c r="O634" s="145"/>
    </row>
    <row r="635" spans="1:15" s="114" customFormat="1">
      <c r="A635" s="145"/>
      <c r="B635" s="145"/>
      <c r="O635" s="145"/>
    </row>
    <row r="636" spans="1:15" s="114" customFormat="1">
      <c r="A636" s="145"/>
      <c r="B636" s="145"/>
      <c r="O636" s="145"/>
    </row>
    <row r="637" spans="1:15" s="114" customFormat="1">
      <c r="A637" s="145"/>
      <c r="B637" s="145"/>
      <c r="O637" s="145"/>
    </row>
    <row r="638" spans="1:15" s="114" customFormat="1">
      <c r="A638" s="145"/>
      <c r="B638" s="145"/>
      <c r="O638" s="145"/>
    </row>
    <row r="639" spans="1:15" s="114" customFormat="1">
      <c r="A639" s="145"/>
      <c r="B639" s="145"/>
      <c r="O639" s="145"/>
    </row>
    <row r="640" spans="1:15" s="114" customFormat="1">
      <c r="A640" s="145"/>
      <c r="B640" s="145"/>
      <c r="O640" s="145"/>
    </row>
    <row r="641" spans="1:15" s="114" customFormat="1">
      <c r="A641" s="145"/>
      <c r="B641" s="145"/>
      <c r="O641" s="145"/>
    </row>
    <row r="642" spans="1:15" s="114" customFormat="1">
      <c r="A642" s="145"/>
      <c r="B642" s="145"/>
      <c r="O642" s="145"/>
    </row>
    <row r="643" spans="1:15" s="114" customFormat="1">
      <c r="A643" s="145"/>
      <c r="B643" s="145"/>
      <c r="O643" s="145"/>
    </row>
    <row r="644" spans="1:15" s="114" customFormat="1">
      <c r="A644" s="145"/>
      <c r="B644" s="145"/>
      <c r="O644" s="145"/>
    </row>
    <row r="645" spans="1:15" s="114" customFormat="1">
      <c r="A645" s="145"/>
      <c r="B645" s="145"/>
      <c r="O645" s="145"/>
    </row>
    <row r="646" spans="1:15" s="114" customFormat="1">
      <c r="A646" s="145"/>
      <c r="B646" s="145"/>
      <c r="O646" s="145"/>
    </row>
    <row r="647" spans="1:15" s="114" customFormat="1">
      <c r="A647" s="145"/>
      <c r="B647" s="145"/>
      <c r="O647" s="145"/>
    </row>
    <row r="648" spans="1:15" s="114" customFormat="1">
      <c r="A648" s="145"/>
      <c r="B648" s="145"/>
      <c r="O648" s="145"/>
    </row>
    <row r="649" spans="1:15" s="114" customFormat="1">
      <c r="A649" s="145"/>
      <c r="B649" s="145"/>
      <c r="O649" s="145"/>
    </row>
    <row r="650" spans="1:15" s="114" customFormat="1">
      <c r="A650" s="145"/>
      <c r="B650" s="145"/>
      <c r="O650" s="145"/>
    </row>
    <row r="651" spans="1:15" s="114" customFormat="1">
      <c r="A651" s="145"/>
      <c r="B651" s="145"/>
      <c r="O651" s="145"/>
    </row>
    <row r="652" spans="1:15" s="114" customFormat="1">
      <c r="A652" s="145"/>
      <c r="B652" s="145"/>
      <c r="O652" s="145"/>
    </row>
    <row r="653" spans="1:15" s="114" customFormat="1">
      <c r="A653" s="145"/>
      <c r="B653" s="145"/>
      <c r="O653" s="145"/>
    </row>
    <row r="654" spans="1:15" s="114" customFormat="1">
      <c r="A654" s="145"/>
      <c r="B654" s="145"/>
      <c r="O654" s="145"/>
    </row>
    <row r="655" spans="1:15" s="114" customFormat="1">
      <c r="A655" s="145"/>
      <c r="B655" s="145"/>
      <c r="O655" s="145"/>
    </row>
    <row r="656" spans="1:15" s="114" customFormat="1">
      <c r="A656" s="145"/>
      <c r="B656" s="145"/>
      <c r="O656" s="145"/>
    </row>
    <row r="657" spans="1:15" s="114" customFormat="1">
      <c r="A657" s="145"/>
      <c r="B657" s="145"/>
      <c r="O657" s="145"/>
    </row>
    <row r="658" spans="1:15" s="114" customFormat="1">
      <c r="A658" s="145"/>
      <c r="B658" s="145"/>
      <c r="O658" s="145"/>
    </row>
    <row r="659" spans="1:15" s="114" customFormat="1">
      <c r="A659" s="145"/>
      <c r="B659" s="145"/>
      <c r="O659" s="145"/>
    </row>
    <row r="660" spans="1:15" s="114" customFormat="1">
      <c r="A660" s="145"/>
      <c r="B660" s="145"/>
      <c r="O660" s="145"/>
    </row>
    <row r="661" spans="1:15" s="114" customFormat="1">
      <c r="A661" s="145"/>
      <c r="B661" s="145"/>
      <c r="O661" s="145"/>
    </row>
    <row r="662" spans="1:15" s="114" customFormat="1">
      <c r="A662" s="145"/>
      <c r="B662" s="145"/>
      <c r="O662" s="145"/>
    </row>
    <row r="663" spans="1:15" s="114" customFormat="1">
      <c r="A663" s="145"/>
      <c r="B663" s="145"/>
      <c r="O663" s="145"/>
    </row>
    <row r="664" spans="1:15" s="114" customFormat="1">
      <c r="A664" s="145"/>
      <c r="B664" s="145"/>
      <c r="O664" s="145"/>
    </row>
    <row r="665" spans="1:15" s="114" customFormat="1">
      <c r="A665" s="145"/>
      <c r="B665" s="145"/>
      <c r="O665" s="145"/>
    </row>
    <row r="666" spans="1:15" s="114" customFormat="1">
      <c r="A666" s="145"/>
      <c r="B666" s="145"/>
      <c r="O666" s="145"/>
    </row>
    <row r="667" spans="1:15" s="114" customFormat="1">
      <c r="A667" s="145"/>
      <c r="B667" s="145"/>
      <c r="O667" s="145"/>
    </row>
    <row r="668" spans="1:15" s="114" customFormat="1">
      <c r="A668" s="145"/>
      <c r="B668" s="145"/>
      <c r="O668" s="145"/>
    </row>
    <row r="669" spans="1:15" s="114" customFormat="1">
      <c r="A669" s="145"/>
      <c r="B669" s="145"/>
      <c r="O669" s="145"/>
    </row>
    <row r="670" spans="1:15" s="114" customFormat="1">
      <c r="A670" s="145"/>
      <c r="B670" s="145"/>
      <c r="O670" s="145"/>
    </row>
    <row r="671" spans="1:15" s="114" customFormat="1">
      <c r="A671" s="145"/>
      <c r="B671" s="145"/>
      <c r="O671" s="145"/>
    </row>
    <row r="672" spans="1:15" s="114" customFormat="1">
      <c r="A672" s="145"/>
      <c r="B672" s="145"/>
      <c r="O672" s="145"/>
    </row>
    <row r="673" spans="1:15" s="114" customFormat="1">
      <c r="A673" s="145"/>
      <c r="B673" s="145"/>
      <c r="O673" s="145"/>
    </row>
    <row r="674" spans="1:15" s="114" customFormat="1">
      <c r="A674" s="145"/>
      <c r="B674" s="145"/>
      <c r="O674" s="145"/>
    </row>
    <row r="675" spans="1:15" s="114" customFormat="1">
      <c r="A675" s="145"/>
      <c r="B675" s="145"/>
      <c r="O675" s="145"/>
    </row>
    <row r="676" spans="1:15" s="114" customFormat="1">
      <c r="A676" s="145"/>
      <c r="B676" s="145"/>
      <c r="O676" s="145"/>
    </row>
    <row r="677" spans="1:15" s="114" customFormat="1">
      <c r="A677" s="145"/>
      <c r="B677" s="145"/>
      <c r="O677" s="145"/>
    </row>
    <row r="678" spans="1:15" s="114" customFormat="1">
      <c r="A678" s="145"/>
      <c r="B678" s="145"/>
      <c r="O678" s="145"/>
    </row>
    <row r="679" spans="1:15" s="114" customFormat="1">
      <c r="A679" s="145"/>
      <c r="B679" s="145"/>
      <c r="O679" s="145"/>
    </row>
    <row r="680" spans="1:15" s="114" customFormat="1">
      <c r="A680" s="145"/>
      <c r="B680" s="145"/>
      <c r="O680" s="145"/>
    </row>
    <row r="681" spans="1:15" s="114" customFormat="1">
      <c r="A681" s="145"/>
      <c r="B681" s="145"/>
      <c r="O681" s="145"/>
    </row>
    <row r="682" spans="1:15" s="114" customFormat="1">
      <c r="A682" s="145"/>
      <c r="B682" s="145"/>
      <c r="O682" s="145"/>
    </row>
    <row r="683" spans="1:15" s="114" customFormat="1">
      <c r="A683" s="145"/>
      <c r="B683" s="145"/>
      <c r="O683" s="145"/>
    </row>
    <row r="684" spans="1:15" s="114" customFormat="1">
      <c r="A684" s="145"/>
      <c r="B684" s="145"/>
      <c r="O684" s="145"/>
    </row>
    <row r="685" spans="1:15" s="114" customFormat="1">
      <c r="A685" s="145"/>
      <c r="B685" s="145"/>
      <c r="O685" s="145"/>
    </row>
    <row r="686" spans="1:15" s="114" customFormat="1">
      <c r="A686" s="145"/>
      <c r="B686" s="145"/>
      <c r="O686" s="145"/>
    </row>
    <row r="687" spans="1:15" s="114" customFormat="1">
      <c r="A687" s="145"/>
      <c r="B687" s="145"/>
      <c r="O687" s="145"/>
    </row>
    <row r="688" spans="1:15" s="114" customFormat="1">
      <c r="A688" s="145"/>
      <c r="B688" s="145"/>
      <c r="O688" s="145"/>
    </row>
    <row r="689" spans="1:15" s="114" customFormat="1">
      <c r="A689" s="145"/>
      <c r="B689" s="145"/>
      <c r="O689" s="145"/>
    </row>
    <row r="690" spans="1:15" s="114" customFormat="1">
      <c r="A690" s="145"/>
      <c r="B690" s="145"/>
      <c r="O690" s="145"/>
    </row>
    <row r="691" spans="1:15" s="114" customFormat="1">
      <c r="A691" s="145"/>
      <c r="B691" s="145"/>
      <c r="O691" s="145"/>
    </row>
    <row r="692" spans="1:15" s="114" customFormat="1">
      <c r="A692" s="145"/>
      <c r="B692" s="145"/>
      <c r="O692" s="145"/>
    </row>
    <row r="693" spans="1:15" s="114" customFormat="1">
      <c r="A693" s="145"/>
      <c r="B693" s="145"/>
      <c r="O693" s="145"/>
    </row>
    <row r="694" spans="1:15" s="114" customFormat="1">
      <c r="A694" s="145"/>
      <c r="B694" s="145"/>
      <c r="O694" s="145"/>
    </row>
    <row r="695" spans="1:15" s="114" customFormat="1">
      <c r="A695" s="145"/>
      <c r="B695" s="145"/>
      <c r="O695" s="145"/>
    </row>
    <row r="696" spans="1:15" s="114" customFormat="1">
      <c r="A696" s="145"/>
      <c r="B696" s="145"/>
      <c r="O696" s="145"/>
    </row>
    <row r="697" spans="1:15" s="114" customFormat="1">
      <c r="A697" s="145"/>
      <c r="B697" s="145"/>
      <c r="O697" s="145"/>
    </row>
    <row r="698" spans="1:15" s="114" customFormat="1">
      <c r="A698" s="145"/>
      <c r="B698" s="145"/>
      <c r="O698" s="145"/>
    </row>
    <row r="699" spans="1:15" s="114" customFormat="1">
      <c r="A699" s="145"/>
      <c r="B699" s="145"/>
      <c r="O699" s="145"/>
    </row>
    <row r="700" spans="1:15" s="114" customFormat="1">
      <c r="A700" s="145"/>
      <c r="B700" s="145"/>
      <c r="O700" s="145"/>
    </row>
    <row r="701" spans="1:15" s="114" customFormat="1">
      <c r="A701" s="145"/>
      <c r="B701" s="145"/>
      <c r="O701" s="145"/>
    </row>
    <row r="702" spans="1:15" s="114" customFormat="1">
      <c r="A702" s="145"/>
      <c r="B702" s="145"/>
      <c r="O702" s="145"/>
    </row>
    <row r="703" spans="1:15" s="114" customFormat="1">
      <c r="A703" s="145"/>
      <c r="B703" s="145"/>
      <c r="O703" s="145"/>
    </row>
    <row r="704" spans="1:15" s="114" customFormat="1">
      <c r="A704" s="145"/>
      <c r="B704" s="145"/>
      <c r="O704" s="145"/>
    </row>
    <row r="705" spans="1:15" s="114" customFormat="1">
      <c r="A705" s="145"/>
      <c r="B705" s="145"/>
      <c r="O705" s="145"/>
    </row>
    <row r="706" spans="1:15" s="114" customFormat="1">
      <c r="A706" s="145"/>
      <c r="B706" s="145"/>
      <c r="O706" s="145"/>
    </row>
    <row r="707" spans="1:15" s="114" customFormat="1">
      <c r="A707" s="145"/>
      <c r="B707" s="145"/>
      <c r="O707" s="145"/>
    </row>
    <row r="708" spans="1:15" s="114" customFormat="1">
      <c r="A708" s="145"/>
      <c r="B708" s="145"/>
      <c r="O708" s="145"/>
    </row>
    <row r="709" spans="1:15" s="114" customFormat="1">
      <c r="A709" s="145"/>
      <c r="B709" s="145"/>
      <c r="O709" s="145"/>
    </row>
    <row r="710" spans="1:15" s="114" customFormat="1">
      <c r="A710" s="145"/>
      <c r="B710" s="145"/>
      <c r="O710" s="145"/>
    </row>
    <row r="711" spans="1:15" s="114" customFormat="1">
      <c r="A711" s="145"/>
      <c r="B711" s="145"/>
      <c r="O711" s="145"/>
    </row>
    <row r="712" spans="1:15" s="114" customFormat="1">
      <c r="A712" s="145"/>
      <c r="B712" s="145"/>
      <c r="O712" s="145"/>
    </row>
    <row r="713" spans="1:15" s="114" customFormat="1">
      <c r="A713" s="145"/>
      <c r="B713" s="145"/>
      <c r="O713" s="145"/>
    </row>
    <row r="714" spans="1:15" s="114" customFormat="1">
      <c r="A714" s="145"/>
      <c r="B714" s="145"/>
      <c r="O714" s="145"/>
    </row>
    <row r="715" spans="1:15" s="114" customFormat="1">
      <c r="A715" s="145"/>
      <c r="B715" s="145"/>
      <c r="O715" s="145"/>
    </row>
    <row r="716" spans="1:15" s="114" customFormat="1">
      <c r="A716" s="145"/>
      <c r="B716" s="145"/>
      <c r="O716" s="145"/>
    </row>
    <row r="717" spans="1:15" s="114" customFormat="1">
      <c r="A717" s="145"/>
      <c r="B717" s="145"/>
      <c r="O717" s="145"/>
    </row>
    <row r="718" spans="1:15" s="114" customFormat="1">
      <c r="A718" s="145"/>
      <c r="B718" s="145"/>
      <c r="O718" s="145"/>
    </row>
    <row r="719" spans="1:15" s="114" customFormat="1">
      <c r="A719" s="145"/>
      <c r="B719" s="145"/>
      <c r="O719" s="145"/>
    </row>
    <row r="720" spans="1:15" s="114" customFormat="1">
      <c r="A720" s="145"/>
      <c r="B720" s="145"/>
      <c r="O720" s="145"/>
    </row>
    <row r="721" spans="1:15" s="114" customFormat="1">
      <c r="A721" s="145"/>
      <c r="B721" s="145"/>
      <c r="O721" s="145"/>
    </row>
    <row r="722" spans="1:15" s="114" customFormat="1">
      <c r="A722" s="145"/>
      <c r="B722" s="145"/>
      <c r="O722" s="145"/>
    </row>
    <row r="723" spans="1:15" s="114" customFormat="1">
      <c r="A723" s="145"/>
      <c r="B723" s="145"/>
      <c r="O723" s="145"/>
    </row>
    <row r="724" spans="1:15" s="114" customFormat="1">
      <c r="A724" s="145"/>
      <c r="B724" s="145"/>
      <c r="O724" s="145"/>
    </row>
    <row r="725" spans="1:15" s="114" customFormat="1">
      <c r="A725" s="145"/>
      <c r="B725" s="145"/>
      <c r="O725" s="145"/>
    </row>
    <row r="726" spans="1:15" s="114" customFormat="1">
      <c r="A726" s="145"/>
      <c r="B726" s="145"/>
      <c r="O726" s="145"/>
    </row>
    <row r="727" spans="1:15" s="114" customFormat="1">
      <c r="A727" s="145"/>
      <c r="B727" s="145"/>
      <c r="O727" s="145"/>
    </row>
    <row r="728" spans="1:15" s="114" customFormat="1">
      <c r="A728" s="145"/>
      <c r="B728" s="145"/>
      <c r="O728" s="145"/>
    </row>
    <row r="729" spans="1:15" s="114" customFormat="1">
      <c r="A729" s="145"/>
      <c r="B729" s="145"/>
      <c r="O729" s="145"/>
    </row>
    <row r="730" spans="1:15" s="114" customFormat="1">
      <c r="A730" s="145"/>
      <c r="B730" s="145"/>
      <c r="O730" s="145"/>
    </row>
    <row r="731" spans="1:15" s="114" customFormat="1">
      <c r="A731" s="145"/>
      <c r="B731" s="145"/>
      <c r="O731" s="145"/>
    </row>
    <row r="732" spans="1:15" s="114" customFormat="1">
      <c r="A732" s="145"/>
      <c r="B732" s="145"/>
      <c r="O732" s="145"/>
    </row>
    <row r="733" spans="1:15" s="114" customFormat="1">
      <c r="A733" s="145"/>
      <c r="B733" s="145"/>
      <c r="O733" s="145"/>
    </row>
    <row r="734" spans="1:15" s="114" customFormat="1">
      <c r="A734" s="145"/>
      <c r="B734" s="145"/>
      <c r="O734" s="145"/>
    </row>
    <row r="735" spans="1:15" s="114" customFormat="1">
      <c r="A735" s="145"/>
      <c r="B735" s="145"/>
      <c r="O735" s="145"/>
    </row>
    <row r="736" spans="1:15" s="114" customFormat="1">
      <c r="A736" s="145"/>
      <c r="B736" s="145"/>
      <c r="O736" s="145"/>
    </row>
    <row r="737" spans="1:15" s="114" customFormat="1">
      <c r="A737" s="145"/>
      <c r="B737" s="145"/>
      <c r="O737" s="145"/>
    </row>
    <row r="738" spans="1:15" s="114" customFormat="1">
      <c r="A738" s="145"/>
      <c r="B738" s="145"/>
      <c r="O738" s="145"/>
    </row>
    <row r="739" spans="1:15" s="114" customFormat="1">
      <c r="A739" s="145"/>
      <c r="B739" s="145"/>
      <c r="O739" s="145"/>
    </row>
    <row r="740" spans="1:15" s="114" customFormat="1">
      <c r="A740" s="145"/>
      <c r="B740" s="145"/>
      <c r="O740" s="145"/>
    </row>
    <row r="741" spans="1:15" s="114" customFormat="1">
      <c r="A741" s="145"/>
      <c r="B741" s="145"/>
      <c r="O741" s="145"/>
    </row>
    <row r="742" spans="1:15" s="114" customFormat="1">
      <c r="A742" s="145"/>
      <c r="B742" s="145"/>
      <c r="O742" s="145"/>
    </row>
    <row r="743" spans="1:15" s="114" customFormat="1">
      <c r="A743" s="145"/>
      <c r="B743" s="145"/>
      <c r="O743" s="145"/>
    </row>
    <row r="744" spans="1:15" s="114" customFormat="1">
      <c r="A744" s="145"/>
      <c r="B744" s="145"/>
      <c r="O744" s="145"/>
    </row>
    <row r="745" spans="1:15" s="114" customFormat="1">
      <c r="A745" s="145"/>
      <c r="B745" s="145"/>
      <c r="O745" s="145"/>
    </row>
    <row r="746" spans="1:15" s="114" customFormat="1">
      <c r="A746" s="145"/>
      <c r="B746" s="145"/>
      <c r="O746" s="145"/>
    </row>
    <row r="747" spans="1:15" s="114" customFormat="1">
      <c r="A747" s="145"/>
      <c r="B747" s="145"/>
      <c r="O747" s="145"/>
    </row>
    <row r="748" spans="1:15" s="114" customFormat="1">
      <c r="A748" s="145"/>
      <c r="B748" s="145"/>
      <c r="O748" s="145"/>
    </row>
    <row r="749" spans="1:15" s="114" customFormat="1">
      <c r="A749" s="145"/>
      <c r="B749" s="145"/>
      <c r="O749" s="145"/>
    </row>
    <row r="750" spans="1:15" s="114" customFormat="1">
      <c r="A750" s="145"/>
      <c r="B750" s="145"/>
      <c r="O750" s="145"/>
    </row>
    <row r="751" spans="1:15" s="114" customFormat="1">
      <c r="A751" s="145"/>
      <c r="B751" s="145"/>
      <c r="O751" s="145"/>
    </row>
    <row r="752" spans="1:15" s="114" customFormat="1">
      <c r="A752" s="145"/>
      <c r="B752" s="145"/>
      <c r="O752" s="145"/>
    </row>
    <row r="753" spans="1:15" s="114" customFormat="1">
      <c r="A753" s="145"/>
      <c r="B753" s="145"/>
      <c r="O753" s="145"/>
    </row>
    <row r="754" spans="1:15" s="114" customFormat="1">
      <c r="A754" s="145"/>
      <c r="B754" s="145"/>
      <c r="O754" s="145"/>
    </row>
    <row r="755" spans="1:15" s="114" customFormat="1">
      <c r="A755" s="145"/>
      <c r="B755" s="145"/>
      <c r="O755" s="145"/>
    </row>
    <row r="756" spans="1:15" s="114" customFormat="1">
      <c r="A756" s="145"/>
      <c r="B756" s="145"/>
      <c r="O756" s="145"/>
    </row>
    <row r="757" spans="1:15" s="114" customFormat="1">
      <c r="A757" s="145"/>
      <c r="B757" s="145"/>
      <c r="O757" s="145"/>
    </row>
    <row r="758" spans="1:15" s="114" customFormat="1">
      <c r="A758" s="145"/>
      <c r="B758" s="145"/>
      <c r="O758" s="145"/>
    </row>
    <row r="759" spans="1:15" s="114" customFormat="1">
      <c r="A759" s="145"/>
      <c r="B759" s="145"/>
      <c r="O759" s="145"/>
    </row>
    <row r="760" spans="1:15" s="114" customFormat="1">
      <c r="A760" s="145"/>
      <c r="B760" s="145"/>
      <c r="O760" s="145"/>
    </row>
    <row r="761" spans="1:15" s="114" customFormat="1">
      <c r="A761" s="145"/>
      <c r="B761" s="145"/>
      <c r="O761" s="145"/>
    </row>
    <row r="762" spans="1:15" s="114" customFormat="1">
      <c r="A762" s="145"/>
      <c r="B762" s="145"/>
      <c r="O762" s="145"/>
    </row>
    <row r="763" spans="1:15" s="114" customFormat="1">
      <c r="A763" s="145"/>
      <c r="B763" s="145"/>
      <c r="O763" s="145"/>
    </row>
    <row r="764" spans="1:15" s="114" customFormat="1">
      <c r="A764" s="145"/>
      <c r="B764" s="145"/>
      <c r="O764" s="145"/>
    </row>
    <row r="765" spans="1:15" s="114" customFormat="1">
      <c r="A765" s="145"/>
      <c r="B765" s="145"/>
      <c r="O765" s="145"/>
    </row>
    <row r="766" spans="1:15" s="114" customFormat="1">
      <c r="A766" s="145"/>
      <c r="B766" s="145"/>
      <c r="O766" s="145"/>
    </row>
    <row r="767" spans="1:15" s="114" customFormat="1">
      <c r="A767" s="145"/>
      <c r="B767" s="145"/>
      <c r="O767" s="145"/>
    </row>
    <row r="768" spans="1:15" s="114" customFormat="1">
      <c r="A768" s="145"/>
      <c r="B768" s="145"/>
      <c r="O768" s="145"/>
    </row>
    <row r="769" spans="1:15" s="114" customFormat="1">
      <c r="A769" s="145"/>
      <c r="B769" s="145"/>
      <c r="O769" s="145"/>
    </row>
    <row r="770" spans="1:15" s="114" customFormat="1">
      <c r="A770" s="145"/>
      <c r="B770" s="145"/>
      <c r="O770" s="145"/>
    </row>
    <row r="771" spans="1:15" s="114" customFormat="1">
      <c r="A771" s="145"/>
      <c r="B771" s="145"/>
      <c r="O771" s="145"/>
    </row>
    <row r="772" spans="1:15" s="114" customFormat="1">
      <c r="A772" s="145"/>
      <c r="B772" s="145"/>
      <c r="O772" s="145"/>
    </row>
    <row r="773" spans="1:15" s="114" customFormat="1">
      <c r="A773" s="145"/>
      <c r="B773" s="145"/>
      <c r="O773" s="145"/>
    </row>
    <row r="774" spans="1:15" s="114" customFormat="1">
      <c r="A774" s="145"/>
      <c r="B774" s="145"/>
      <c r="O774" s="145"/>
    </row>
    <row r="775" spans="1:15" s="114" customFormat="1">
      <c r="A775" s="145"/>
      <c r="B775" s="145"/>
      <c r="O775" s="145"/>
    </row>
    <row r="776" spans="1:15" s="114" customFormat="1">
      <c r="A776" s="145"/>
      <c r="B776" s="145"/>
      <c r="O776" s="145"/>
    </row>
    <row r="777" spans="1:15" s="114" customFormat="1">
      <c r="A777" s="145"/>
      <c r="B777" s="145"/>
      <c r="O777" s="145"/>
    </row>
    <row r="778" spans="1:15" s="114" customFormat="1">
      <c r="A778" s="145"/>
      <c r="B778" s="145"/>
      <c r="O778" s="145"/>
    </row>
    <row r="779" spans="1:15" s="114" customFormat="1">
      <c r="A779" s="145"/>
      <c r="B779" s="145"/>
      <c r="O779" s="145"/>
    </row>
    <row r="780" spans="1:15" s="114" customFormat="1">
      <c r="A780" s="145"/>
      <c r="B780" s="145"/>
      <c r="O780" s="145"/>
    </row>
    <row r="781" spans="1:15" s="114" customFormat="1">
      <c r="A781" s="145"/>
      <c r="B781" s="145"/>
      <c r="O781" s="145"/>
    </row>
    <row r="782" spans="1:15" s="114" customFormat="1">
      <c r="A782" s="145"/>
      <c r="B782" s="145"/>
      <c r="O782" s="145"/>
    </row>
    <row r="783" spans="1:15" s="114" customFormat="1">
      <c r="A783" s="145"/>
      <c r="B783" s="145"/>
      <c r="O783" s="145"/>
    </row>
    <row r="784" spans="1:15" s="114" customFormat="1">
      <c r="A784" s="145"/>
      <c r="B784" s="145"/>
      <c r="O784" s="145"/>
    </row>
    <row r="785" spans="1:15" s="114" customFormat="1">
      <c r="A785" s="145"/>
      <c r="B785" s="145"/>
      <c r="O785" s="145"/>
    </row>
    <row r="786" spans="1:15" s="114" customFormat="1">
      <c r="A786" s="145"/>
      <c r="B786" s="145"/>
      <c r="O786" s="145"/>
    </row>
    <row r="787" spans="1:15" s="114" customFormat="1">
      <c r="A787" s="145"/>
      <c r="B787" s="145"/>
      <c r="O787" s="145"/>
    </row>
    <row r="788" spans="1:15" s="114" customFormat="1">
      <c r="A788" s="145"/>
      <c r="B788" s="145"/>
      <c r="O788" s="145"/>
    </row>
    <row r="789" spans="1:15" s="114" customFormat="1">
      <c r="A789" s="145"/>
      <c r="B789" s="145"/>
      <c r="O789" s="145"/>
    </row>
    <row r="790" spans="1:15" s="114" customFormat="1">
      <c r="A790" s="145"/>
      <c r="B790" s="145"/>
      <c r="O790" s="145"/>
    </row>
    <row r="791" spans="1:15" s="114" customFormat="1">
      <c r="A791" s="145"/>
      <c r="B791" s="145"/>
      <c r="O791" s="145"/>
    </row>
    <row r="792" spans="1:15" s="114" customFormat="1">
      <c r="A792" s="145"/>
      <c r="B792" s="145"/>
      <c r="O792" s="145"/>
    </row>
    <row r="793" spans="1:15" s="114" customFormat="1">
      <c r="A793" s="145"/>
      <c r="B793" s="145"/>
      <c r="O793" s="145"/>
    </row>
    <row r="794" spans="1:15" s="114" customFormat="1">
      <c r="A794" s="145"/>
      <c r="B794" s="145"/>
      <c r="O794" s="145"/>
    </row>
    <row r="795" spans="1:15" s="114" customFormat="1">
      <c r="A795" s="145"/>
      <c r="B795" s="145"/>
      <c r="O795" s="145"/>
    </row>
    <row r="796" spans="1:15" s="114" customFormat="1">
      <c r="A796" s="145"/>
      <c r="B796" s="145"/>
      <c r="O796" s="145"/>
    </row>
    <row r="797" spans="1:15" s="114" customFormat="1">
      <c r="A797" s="145"/>
      <c r="B797" s="145"/>
      <c r="O797" s="145"/>
    </row>
    <row r="798" spans="1:15" s="114" customFormat="1">
      <c r="A798" s="145"/>
      <c r="B798" s="145"/>
      <c r="O798" s="145"/>
    </row>
    <row r="799" spans="1:15" s="114" customFormat="1">
      <c r="A799" s="145"/>
      <c r="B799" s="145"/>
      <c r="O799" s="145"/>
    </row>
    <row r="800" spans="1:15" s="114" customFormat="1">
      <c r="A800" s="145"/>
      <c r="B800" s="145"/>
      <c r="O800" s="145"/>
    </row>
    <row r="801" spans="1:19" s="114" customFormat="1">
      <c r="A801" s="145"/>
      <c r="B801" s="145"/>
      <c r="O801" s="145"/>
    </row>
    <row r="802" spans="1:19" s="114" customFormat="1">
      <c r="A802" s="145"/>
      <c r="B802" s="145"/>
      <c r="O802" s="145"/>
    </row>
    <row r="803" spans="1:19" s="114" customFormat="1">
      <c r="A803" s="145"/>
      <c r="B803" s="145"/>
      <c r="O803" s="145"/>
    </row>
    <row r="804" spans="1:19" s="114" customFormat="1">
      <c r="A804" s="145"/>
      <c r="B804" s="145"/>
      <c r="O804" s="145"/>
    </row>
    <row r="805" spans="1:19" s="114" customFormat="1">
      <c r="A805" s="145"/>
      <c r="B805" s="145"/>
      <c r="O805" s="145"/>
    </row>
    <row r="806" spans="1:19" s="154" customFormat="1">
      <c r="A806" s="666"/>
      <c r="B806" s="480"/>
      <c r="C806" s="53"/>
      <c r="D806" s="53"/>
      <c r="E806" s="114"/>
      <c r="F806" s="114"/>
      <c r="G806" s="114"/>
      <c r="I806" s="53"/>
      <c r="J806" s="53"/>
      <c r="K806" s="53"/>
      <c r="L806" s="53"/>
      <c r="M806" s="53"/>
      <c r="N806" s="53"/>
      <c r="O806" s="480"/>
      <c r="P806" s="53"/>
      <c r="Q806" s="53"/>
      <c r="R806" s="53"/>
      <c r="S806" s="53"/>
    </row>
  </sheetData>
  <sortState xmlns:xlrd2="http://schemas.microsoft.com/office/spreadsheetml/2017/richdata2" ref="A11:O47">
    <sortCondition ref="A11:A47"/>
  </sortState>
  <mergeCells count="4">
    <mergeCell ref="Q9:S9"/>
    <mergeCell ref="F9:G9"/>
    <mergeCell ref="H9:I9"/>
    <mergeCell ref="J9:K9"/>
  </mergeCells>
  <hyperlinks>
    <hyperlink ref="L1" location="Index!A1" display="Return to Index" xr:uid="{00000000-0004-0000-0800-000000000000}"/>
  </hyperlinks>
  <printOptions horizontalCentered="1"/>
  <pageMargins left="0.25" right="0.25" top="0.5" bottom="0.5" header="0.5" footer="0.5"/>
  <pageSetup scale="14" orientation="landscape" horizontalDpi="1200" verticalDpi="1200" r:id="rId1"/>
  <headerFooter alignWithMargins="0">
    <oddFooter>&amp;L&amp;8Planning &amp; Accountability&amp;R&amp;8&amp;D</oddFooter>
  </headerFooter>
  <rowBreaks count="1" manualBreakCount="1">
    <brk id="48" max="13" man="1"/>
  </rowBreak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Sheet75">
    <tabColor indexed="47"/>
    <pageSetUpPr fitToPage="1"/>
  </sheetPr>
  <dimension ref="A1:E165"/>
  <sheetViews>
    <sheetView showGridLines="0" zoomScale="65" zoomScaleNormal="65" zoomScaleSheetLayoutView="65" workbookViewId="0">
      <selection activeCell="B24" sqref="B24"/>
    </sheetView>
  </sheetViews>
  <sheetFormatPr defaultColWidth="9.140625" defaultRowHeight="12.75" customHeight="1"/>
  <cols>
    <col min="1" max="1" width="158.7109375" style="53" customWidth="1"/>
    <col min="2" max="2" width="22.28515625" style="53" customWidth="1"/>
    <col min="3" max="3" width="54.7109375" style="53" customWidth="1"/>
    <col min="4" max="4" width="20.7109375" style="53" customWidth="1"/>
    <col min="5" max="5" width="9.140625" style="679"/>
    <col min="6" max="16384" width="9.140625" style="53"/>
  </cols>
  <sheetData>
    <row r="1" spans="1:5" ht="28.5" thickBot="1">
      <c r="A1" s="159" t="s">
        <v>113</v>
      </c>
      <c r="B1" s="835" t="s">
        <v>1200</v>
      </c>
      <c r="C1" s="53" t="s">
        <v>1329</v>
      </c>
    </row>
    <row r="2" spans="1:5" ht="27.75">
      <c r="A2" s="54" t="str">
        <f>'Smmy Chrts'!$A$2</f>
        <v>For the Year Ended August 31, 2021</v>
      </c>
      <c r="C2" s="55" t="s">
        <v>63</v>
      </c>
    </row>
    <row r="3" spans="1:5" ht="27.75">
      <c r="A3" s="54" t="str">
        <f>'Smmy Chrts'!$A$3</f>
        <v>Source: FY 2021 Annual Financial Report</v>
      </c>
      <c r="C3" s="53" t="s">
        <v>64</v>
      </c>
    </row>
    <row r="4" spans="1:5" ht="12.75" customHeight="1">
      <c r="C4" s="53" t="s">
        <v>267</v>
      </c>
    </row>
    <row r="5" spans="1:5" ht="12.75" customHeight="1">
      <c r="C5" s="53" t="s">
        <v>268</v>
      </c>
    </row>
    <row r="7" spans="1:5" ht="12.75" customHeight="1">
      <c r="C7" s="1687" t="s">
        <v>25</v>
      </c>
      <c r="D7" s="1687"/>
    </row>
    <row r="8" spans="1:5" ht="12.75" customHeight="1">
      <c r="C8" s="57"/>
      <c r="D8" s="58"/>
    </row>
    <row r="9" spans="1:5" ht="12.75" customHeight="1">
      <c r="C9" s="59" t="str">
        <f>'TAMUC Sum'!A9</f>
        <v>State of Texas</v>
      </c>
      <c r="D9" s="60">
        <f>'TAMUC Sum'!B15</f>
        <v>70211986</v>
      </c>
      <c r="E9" s="680">
        <f>ROUND(D9/$D$14,3)</f>
        <v>0.29799999999999999</v>
      </c>
    </row>
    <row r="10" spans="1:5" ht="12.75" customHeight="1">
      <c r="C10" s="59" t="str">
        <f>'TAMUC Sum'!A17</f>
        <v>Student &amp; Parent</v>
      </c>
      <c r="D10" s="60">
        <f>'TAMUC Sum'!B20</f>
        <v>80100693</v>
      </c>
      <c r="E10" s="680">
        <f t="shared" ref="E10:E12" si="0">ROUND(D10/$D$14,3)</f>
        <v>0.34</v>
      </c>
    </row>
    <row r="11" spans="1:5" ht="12.75" customHeight="1">
      <c r="C11" s="59" t="str">
        <f>'TAMUC Sum'!A22</f>
        <v>Federal Government</v>
      </c>
      <c r="D11" s="60">
        <f>'TAMUC Sum'!B23</f>
        <v>44440614</v>
      </c>
      <c r="E11" s="680">
        <f t="shared" si="0"/>
        <v>0.188</v>
      </c>
    </row>
    <row r="12" spans="1:5" ht="12.75" customHeight="1">
      <c r="C12" s="59" t="str">
        <f>'TAMUC Sum'!A25</f>
        <v>Institutional Resources</v>
      </c>
      <c r="D12" s="60">
        <f>'TAMUC Sum'!B32</f>
        <v>41010726</v>
      </c>
      <c r="E12" s="680">
        <f t="shared" si="0"/>
        <v>0.17399999999999999</v>
      </c>
    </row>
    <row r="13" spans="1:5" ht="12.75" customHeight="1">
      <c r="C13" s="57"/>
      <c r="D13" s="58"/>
      <c r="E13" s="680"/>
    </row>
    <row r="14" spans="1:5" ht="12.75" customHeight="1">
      <c r="C14" s="61" t="s">
        <v>68</v>
      </c>
      <c r="D14" s="62">
        <f>SUM(D9:D13)</f>
        <v>235764019</v>
      </c>
      <c r="E14" s="680">
        <f>SUM(E9:E13)</f>
        <v>1</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86" t="str">
        <f>C14&amp;" "&amp;TEXT(D14,"$#,###")</f>
        <v>Total Operating Sources $235,764,019</v>
      </c>
    </row>
    <row r="48" spans="1:1" ht="12.75" customHeight="1">
      <c r="A48" s="1686"/>
    </row>
    <row r="49" spans="1:5" ht="12.75" customHeight="1">
      <c r="A49" s="56"/>
    </row>
    <row r="52" spans="1:5" ht="12.75" customHeight="1">
      <c r="C52" s="63" t="s">
        <v>25</v>
      </c>
      <c r="D52" s="58"/>
    </row>
    <row r="54" spans="1:5" ht="12.75" customHeight="1">
      <c r="C54" s="59" t="s">
        <v>1</v>
      </c>
      <c r="D54" s="60">
        <f>'TAMUC Sum'!B10</f>
        <v>51928693</v>
      </c>
      <c r="E54" s="680">
        <f>ROUND(D54/$D$67,3)</f>
        <v>0.22</v>
      </c>
    </row>
    <row r="55" spans="1:5" ht="12.75" customHeight="1">
      <c r="C55" s="59" t="s">
        <v>221</v>
      </c>
      <c r="D55" s="60">
        <f>'TAMUC Sum'!B11</f>
        <v>7159434</v>
      </c>
      <c r="E55" s="680">
        <f t="shared" ref="E55:E66" si="1">ROUND(D55/$D$67,3)</f>
        <v>0.03</v>
      </c>
    </row>
    <row r="56" spans="1:5" ht="12.75" customHeight="1">
      <c r="C56" s="59"/>
      <c r="D56" s="60"/>
      <c r="E56" s="680"/>
    </row>
    <row r="57" spans="1:5" ht="12.75" customHeight="1">
      <c r="C57" s="59" t="str">
        <f>'TAMUC Sum'!A13</f>
        <v>Higher Education Fund</v>
      </c>
      <c r="D57" s="60">
        <f>'TAMUC Sum'!B13</f>
        <v>11123859</v>
      </c>
      <c r="E57" s="680">
        <f t="shared" si="1"/>
        <v>4.7E-2</v>
      </c>
    </row>
    <row r="58" spans="1:5" ht="12.75" customHeight="1">
      <c r="C58" s="1069" t="s">
        <v>41</v>
      </c>
      <c r="D58" s="60">
        <f>'TAMUC Sum'!B14</f>
        <v>0</v>
      </c>
      <c r="E58" s="680">
        <f t="shared" si="1"/>
        <v>0</v>
      </c>
    </row>
    <row r="59" spans="1:5" ht="12.75" customHeight="1">
      <c r="C59" s="59" t="s">
        <v>87</v>
      </c>
      <c r="D59" s="60">
        <f>'TAMUC Sum'!B20</f>
        <v>80100693</v>
      </c>
      <c r="E59" s="680">
        <f t="shared" si="1"/>
        <v>0.34</v>
      </c>
    </row>
    <row r="60" spans="1:5" ht="12.75" customHeight="1">
      <c r="C60" s="64" t="s">
        <v>74</v>
      </c>
      <c r="D60" s="60">
        <f>'TAMUC Sum'!B23</f>
        <v>44440614</v>
      </c>
      <c r="E60" s="680">
        <f t="shared" si="1"/>
        <v>0.188</v>
      </c>
    </row>
    <row r="61" spans="1:5" ht="12.75" customHeight="1">
      <c r="C61" s="59" t="s">
        <v>75</v>
      </c>
      <c r="D61" s="60">
        <f>'TAMUC Sum'!B26</f>
        <v>10321873</v>
      </c>
      <c r="E61" s="680">
        <f t="shared" si="1"/>
        <v>4.3999999999999997E-2</v>
      </c>
    </row>
    <row r="62" spans="1:5" ht="12.75" customHeight="1">
      <c r="C62" s="1069" t="s">
        <v>27</v>
      </c>
      <c r="D62" s="60">
        <f>'TAMUC Sum'!B27</f>
        <v>0</v>
      </c>
      <c r="E62" s="680">
        <f t="shared" si="1"/>
        <v>0</v>
      </c>
    </row>
    <row r="63" spans="1:5" ht="12.75" customHeight="1">
      <c r="C63" s="59" t="s">
        <v>76</v>
      </c>
      <c r="D63" s="60">
        <f>'TAMUC Sum'!B28</f>
        <v>9818579</v>
      </c>
      <c r="E63" s="680">
        <f t="shared" si="1"/>
        <v>4.2000000000000003E-2</v>
      </c>
    </row>
    <row r="64" spans="1:5" ht="12.75" customHeight="1">
      <c r="C64" s="59" t="s">
        <v>77</v>
      </c>
      <c r="D64" s="967">
        <f>'TAMUC Sum'!B29</f>
        <v>-1970304</v>
      </c>
      <c r="E64" s="680">
        <f t="shared" si="1"/>
        <v>-8.0000000000000002E-3</v>
      </c>
    </row>
    <row r="65" spans="1:5" ht="12.75" customHeight="1">
      <c r="C65" s="59" t="s">
        <v>220</v>
      </c>
      <c r="D65" s="60">
        <f>'TAMUC Sum'!B30</f>
        <v>19244309</v>
      </c>
      <c r="E65" s="680">
        <f t="shared" si="1"/>
        <v>8.2000000000000003E-2</v>
      </c>
    </row>
    <row r="66" spans="1:5" ht="12.75" customHeight="1">
      <c r="C66" s="64" t="s">
        <v>52</v>
      </c>
      <c r="D66" s="60">
        <f>'TAMUC Sum'!B31</f>
        <v>3596269</v>
      </c>
      <c r="E66" s="680">
        <f t="shared" si="1"/>
        <v>1.4999999999999999E-2</v>
      </c>
    </row>
    <row r="67" spans="1:5" ht="12.75" customHeight="1">
      <c r="C67" s="61" t="s">
        <v>68</v>
      </c>
      <c r="D67" s="62">
        <f>SUM(D54:D66)</f>
        <v>235764019</v>
      </c>
      <c r="E67" s="681">
        <f>SUM(E54:E66)</f>
        <v>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86" t="str">
        <f>C67&amp;" "&amp;TEXT(D67,"$#,###")</f>
        <v>Total Operating Sources $235,764,019</v>
      </c>
    </row>
    <row r="93" spans="1:5" ht="12.75" customHeight="1">
      <c r="A93" s="1686"/>
    </row>
    <row r="94" spans="1:5" ht="12.75" customHeight="1">
      <c r="A94" s="65"/>
    </row>
    <row r="95" spans="1:5" s="68" customFormat="1" ht="12.75" customHeight="1">
      <c r="A95" s="66"/>
      <c r="E95" s="682"/>
    </row>
    <row r="96" spans="1:5" ht="12.75" customHeight="1">
      <c r="A96" s="65"/>
    </row>
    <row r="97" spans="1:5" ht="12.75" customHeight="1">
      <c r="A97" s="65"/>
    </row>
    <row r="98" spans="1:5" ht="12.75" customHeight="1">
      <c r="A98" s="65"/>
    </row>
    <row r="100" spans="1:5" ht="12.75" customHeight="1">
      <c r="C100" s="1687" t="s">
        <v>13</v>
      </c>
      <c r="D100" s="1687"/>
    </row>
    <row r="101" spans="1:5" ht="12.75" customHeight="1">
      <c r="C101" s="1687"/>
      <c r="D101" s="1687"/>
    </row>
    <row r="102" spans="1:5" ht="12.75" customHeight="1">
      <c r="C102" s="69" t="s">
        <v>14</v>
      </c>
      <c r="D102" s="60">
        <f>'TAMUC Sum'!B36</f>
        <v>57170362</v>
      </c>
      <c r="E102" s="680">
        <f>ROUND(D102/$D$114,3)</f>
        <v>0.32300000000000001</v>
      </c>
    </row>
    <row r="103" spans="1:5" ht="12.75" customHeight="1">
      <c r="C103" s="69" t="s">
        <v>15</v>
      </c>
      <c r="D103" s="60">
        <f>'TAMUC Sum'!B37</f>
        <v>3052205</v>
      </c>
      <c r="E103" s="680">
        <f t="shared" ref="E103:E112" si="2">ROUND(D103/$D$114,3)</f>
        <v>1.7000000000000001E-2</v>
      </c>
    </row>
    <row r="104" spans="1:5" ht="12.75" customHeight="1">
      <c r="C104" s="69" t="s">
        <v>16</v>
      </c>
      <c r="D104" s="60">
        <f>'TAMUC Sum'!B38</f>
        <v>1585884</v>
      </c>
      <c r="E104" s="680">
        <f t="shared" si="2"/>
        <v>8.9999999999999993E-3</v>
      </c>
    </row>
    <row r="105" spans="1:5" ht="12.75" customHeight="1">
      <c r="C105" s="69" t="s">
        <v>17</v>
      </c>
      <c r="D105" s="60">
        <f>'TAMUC Sum'!B39</f>
        <v>16210496</v>
      </c>
      <c r="E105" s="680">
        <f t="shared" si="2"/>
        <v>9.0999999999999998E-2</v>
      </c>
    </row>
    <row r="106" spans="1:5" ht="12.75" customHeight="1">
      <c r="C106" s="69" t="s">
        <v>18</v>
      </c>
      <c r="D106" s="60">
        <f>'TAMUC Sum'!B40</f>
        <v>16432661</v>
      </c>
      <c r="E106" s="680">
        <f t="shared" si="2"/>
        <v>9.2999999999999999E-2</v>
      </c>
    </row>
    <row r="107" spans="1:5" ht="12.75" customHeight="1">
      <c r="C107" s="69" t="s">
        <v>19</v>
      </c>
      <c r="D107" s="60">
        <f>'TAMUC Sum'!B41</f>
        <v>12671933</v>
      </c>
      <c r="E107" s="680">
        <f t="shared" si="2"/>
        <v>7.0999999999999994E-2</v>
      </c>
    </row>
    <row r="108" spans="1:5" ht="12.75" customHeight="1">
      <c r="C108" s="69" t="s">
        <v>78</v>
      </c>
      <c r="D108" s="60">
        <f>'TAMUC Sum'!B42</f>
        <v>15761447</v>
      </c>
      <c r="E108" s="680">
        <f t="shared" si="2"/>
        <v>8.8999999999999996E-2</v>
      </c>
    </row>
    <row r="109" spans="1:5" ht="12.75" customHeight="1">
      <c r="C109" s="69" t="s">
        <v>79</v>
      </c>
      <c r="D109" s="60">
        <f>'TAMUC Sum'!B43</f>
        <v>23934325</v>
      </c>
      <c r="E109" s="680">
        <f t="shared" si="2"/>
        <v>0.13500000000000001</v>
      </c>
    </row>
    <row r="110" spans="1:5" ht="12.75" customHeight="1">
      <c r="C110" s="69" t="s">
        <v>22</v>
      </c>
      <c r="D110" s="60">
        <f>'TAMUC Sum'!B44</f>
        <v>27852359</v>
      </c>
      <c r="E110" s="680">
        <f t="shared" si="2"/>
        <v>0.157</v>
      </c>
    </row>
    <row r="111" spans="1:5" ht="12.75" customHeight="1">
      <c r="C111" s="64" t="s">
        <v>29</v>
      </c>
      <c r="D111" s="60">
        <f>'TAMUC Sum'!B45</f>
        <v>1628904</v>
      </c>
      <c r="E111" s="680">
        <f t="shared" si="2"/>
        <v>8.9999999999999993E-3</v>
      </c>
    </row>
    <row r="112" spans="1:5" ht="12.75" customHeight="1">
      <c r="C112" s="64" t="s">
        <v>53</v>
      </c>
      <c r="D112" s="60">
        <f>'TAMUC Sum'!B46</f>
        <v>934708</v>
      </c>
      <c r="E112" s="680">
        <f t="shared" si="2"/>
        <v>5.0000000000000001E-3</v>
      </c>
    </row>
    <row r="113" spans="3:5" ht="12.75" customHeight="1">
      <c r="C113" s="57"/>
      <c r="D113" s="57"/>
    </row>
    <row r="114" spans="3:5" ht="12.75" customHeight="1">
      <c r="C114" s="70" t="s">
        <v>69</v>
      </c>
      <c r="D114" s="62">
        <f>SUM(D102:D113)</f>
        <v>177235284</v>
      </c>
      <c r="E114" s="681">
        <f>SUM(E102:E113)</f>
        <v>0.999</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86" t="str">
        <f>C114&amp;" "&amp;TEXT(D114,"$#,###")</f>
        <v>Total Operating Uses $177,235,284</v>
      </c>
    </row>
    <row r="137" spans="1:1" ht="12.75" customHeight="1">
      <c r="A137" s="1686"/>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59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transitionEvaluation="1" transitionEntry="1" codeName="Sheet76">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'TAMUC Chrts'!$A$1</f>
        <v>Texas A&amp;M University - Commerce</v>
      </c>
      <c r="B1" s="74"/>
      <c r="C1" s="1"/>
      <c r="D1" s="1704" t="s">
        <v>1200</v>
      </c>
      <c r="E1" s="1705"/>
      <c r="F1" s="1757" t="s">
        <v>1196</v>
      </c>
      <c r="G1" s="1706"/>
      <c r="H1" s="1706"/>
      <c r="I1" s="1706"/>
      <c r="J1" s="1707" t="s">
        <v>1197</v>
      </c>
      <c r="K1" s="1695"/>
      <c r="L1" s="1695"/>
      <c r="M1" s="1695"/>
      <c r="N1" s="1695"/>
      <c r="O1" s="1696"/>
    </row>
    <row r="2" spans="1:15" ht="15.75">
      <c r="A2" s="76" t="str">
        <f>'Smmy Chrts'!$A$2</f>
        <v>For the Year Ended August 31, 2021</v>
      </c>
      <c r="B2" s="74"/>
      <c r="C2" s="1"/>
      <c r="D2" s="37"/>
      <c r="E2" s="37"/>
      <c r="F2" s="37"/>
      <c r="J2" s="37"/>
      <c r="K2" s="37"/>
      <c r="L2" s="37"/>
      <c r="M2" s="37"/>
    </row>
    <row r="3" spans="1:15" ht="15.75">
      <c r="A3" s="76" t="str">
        <f>'Smmy Chrts'!$A$3</f>
        <v>Source: FY 2021 Annual Financial Report</v>
      </c>
      <c r="B3" s="74"/>
      <c r="C3" s="1"/>
    </row>
    <row r="4" spans="1:15" ht="13.5" customHeight="1">
      <c r="B4" s="77"/>
      <c r="C4" s="4"/>
      <c r="D4" s="1711" t="s">
        <v>1142</v>
      </c>
      <c r="E4" s="1711" t="s">
        <v>1143</v>
      </c>
      <c r="F4" s="266"/>
    </row>
    <row r="5" spans="1:15" ht="18">
      <c r="A5" s="39" t="str">
        <f>'Smmy Chrts'!$C$35</f>
        <v>Summary Worksheet FY 2021</v>
      </c>
      <c r="B5" s="40" t="s">
        <v>86</v>
      </c>
      <c r="C5" s="40" t="s">
        <v>129</v>
      </c>
      <c r="D5" s="1712"/>
      <c r="E5" s="1712"/>
      <c r="F5" s="266"/>
      <c r="G5" s="799" t="s">
        <v>1198</v>
      </c>
      <c r="I5" s="822" t="s">
        <v>2157</v>
      </c>
      <c r="J5" s="792" t="s">
        <v>1144</v>
      </c>
    </row>
    <row r="6" spans="1:15" ht="13.5" customHeight="1">
      <c r="A6" s="78" t="s">
        <v>266</v>
      </c>
      <c r="B6" s="41"/>
      <c r="C6" s="42">
        <f>VLOOKUP($A$1,FTSELU,12,FALSE)</f>
        <v>9311.4500000000007</v>
      </c>
      <c r="J6" s="712"/>
    </row>
    <row r="7" spans="1:15">
      <c r="I7" s="824" t="s">
        <v>1162</v>
      </c>
      <c r="J7" s="827"/>
    </row>
    <row r="8" spans="1:15">
      <c r="A8" s="81" t="s">
        <v>71</v>
      </c>
      <c r="B8" s="81"/>
      <c r="C8" s="24"/>
      <c r="I8" s="896">
        <f>VLOOKUP(A1,FTSELU,14,FALSE)</f>
        <v>659.05</v>
      </c>
      <c r="J8" s="712"/>
    </row>
    <row r="9" spans="1:15" ht="12.75" customHeight="1" thickBot="1">
      <c r="A9" s="78" t="s">
        <v>0</v>
      </c>
      <c r="B9" s="82"/>
      <c r="C9" s="7"/>
      <c r="J9" s="712"/>
    </row>
    <row r="10" spans="1:15" ht="12.75" customHeight="1" thickTop="1">
      <c r="A10" s="75" t="s">
        <v>1</v>
      </c>
      <c r="B10" s="83">
        <f>'TAMUC FGD'!M10</f>
        <v>51928693</v>
      </c>
      <c r="C10" s="83">
        <f>ROUND(B10/$C$6,0)</f>
        <v>5577</v>
      </c>
      <c r="D10" s="512">
        <f>'TAMUC FGD'!F10</f>
        <v>0</v>
      </c>
      <c r="E10" s="512"/>
      <c r="F10" s="84">
        <f>B10-(SUM(D10:E10))</f>
        <v>51928693</v>
      </c>
      <c r="G10" s="1143" t="s">
        <v>1</v>
      </c>
      <c r="H10" s="1144"/>
      <c r="I10" s="825" t="s">
        <v>1161</v>
      </c>
      <c r="J10" s="713">
        <f>ROUND(F10/$C$6,0)</f>
        <v>5577</v>
      </c>
    </row>
    <row r="11" spans="1:15" ht="12.75" customHeight="1" thickBot="1">
      <c r="A11" s="75" t="s">
        <v>2</v>
      </c>
      <c r="B11" s="86">
        <f>'TAMUC FGD'!M11</f>
        <v>7159434</v>
      </c>
      <c r="C11" s="87">
        <f t="shared" ref="C11:C14" si="0">ROUND(B11/$C$6,0)</f>
        <v>769</v>
      </c>
      <c r="D11" s="86">
        <f>'TAMUC FGD'!F11</f>
        <v>0</v>
      </c>
      <c r="E11" s="74"/>
      <c r="F11" s="606">
        <f t="shared" ref="F11:F14" si="1">B11-(SUM(D11:E11))</f>
        <v>7159434</v>
      </c>
      <c r="G11" s="1148">
        <f>SUM(F10:F11)</f>
        <v>59088127</v>
      </c>
      <c r="H11" s="715"/>
      <c r="I11" s="1373">
        <f>ROUND($G$11/$C$6,0)</f>
        <v>6346</v>
      </c>
      <c r="J11" s="716">
        <f t="shared" ref="J11:J14" si="2">ROUND(F11/$C$6,0)</f>
        <v>769</v>
      </c>
    </row>
    <row r="12" spans="1:15" ht="12.75" hidden="1" customHeight="1" thickTop="1" thickBot="1">
      <c r="A12" s="75" t="s">
        <v>1410</v>
      </c>
      <c r="B12" s="86"/>
      <c r="C12" s="87"/>
      <c r="D12" s="86"/>
      <c r="E12" s="74"/>
      <c r="F12" s="607"/>
      <c r="J12" s="716"/>
      <c r="O12" s="608"/>
    </row>
    <row r="13" spans="1:15" ht="12.75" customHeight="1" thickTop="1">
      <c r="A13" s="75" t="s">
        <v>1368</v>
      </c>
      <c r="B13" s="86">
        <f>'TAMUC FGD'!M13</f>
        <v>11123859</v>
      </c>
      <c r="C13" s="87">
        <f t="shared" si="0"/>
        <v>1195</v>
      </c>
      <c r="D13" s="86">
        <f>'TAMUC FGD'!F13</f>
        <v>0</v>
      </c>
      <c r="E13" s="74"/>
      <c r="F13" s="893">
        <f t="shared" si="1"/>
        <v>11123859</v>
      </c>
      <c r="G13" s="882" t="s">
        <v>81</v>
      </c>
      <c r="H13" s="894"/>
      <c r="I13" s="826" t="s">
        <v>1163</v>
      </c>
      <c r="J13" s="716">
        <f t="shared" si="2"/>
        <v>1195</v>
      </c>
    </row>
    <row r="14" spans="1:15" ht="12.75" customHeight="1" thickBot="1">
      <c r="A14" s="75" t="s">
        <v>49</v>
      </c>
      <c r="B14" s="86">
        <f>'TAMUC FGD'!M14</f>
        <v>0</v>
      </c>
      <c r="C14" s="87">
        <f t="shared" si="0"/>
        <v>0</v>
      </c>
      <c r="D14" s="86">
        <f>'TAMUC FGD'!F14</f>
        <v>0</v>
      </c>
      <c r="E14" s="74"/>
      <c r="F14" s="607">
        <f t="shared" si="1"/>
        <v>0</v>
      </c>
      <c r="G14" s="800">
        <f>SUM(F13:F14)</f>
        <v>11123859</v>
      </c>
      <c r="H14" s="895"/>
      <c r="I14" s="1377">
        <f>ROUND($G$11/$I$8,0)</f>
        <v>89657</v>
      </c>
      <c r="J14" s="828">
        <f t="shared" si="2"/>
        <v>0</v>
      </c>
    </row>
    <row r="15" spans="1:15" ht="12.75" customHeight="1" thickTop="1">
      <c r="A15" s="88" t="s">
        <v>3</v>
      </c>
      <c r="B15" s="89">
        <f>SUM(B10:B14)</f>
        <v>70211986</v>
      </c>
      <c r="C15" s="89">
        <f>SUM(C10:C14)</f>
        <v>7541</v>
      </c>
      <c r="D15" s="89">
        <f>SUM(D10:D14)</f>
        <v>0</v>
      </c>
      <c r="E15" s="89">
        <f>SUM(E10:E14)</f>
        <v>0</v>
      </c>
      <c r="F15" s="216">
        <f>SUM(F10:F14)</f>
        <v>70211986</v>
      </c>
      <c r="I15" s="1372"/>
      <c r="J15" s="757">
        <f>SUM(J10:J14)</f>
        <v>7541</v>
      </c>
    </row>
    <row r="16" spans="1:15">
      <c r="B16" s="48"/>
      <c r="C16" s="75"/>
      <c r="J16" s="712"/>
    </row>
    <row r="17" spans="1:31" ht="12.75" customHeight="1">
      <c r="A17" s="78" t="s">
        <v>4</v>
      </c>
      <c r="B17" s="86"/>
      <c r="C17" s="75"/>
      <c r="J17" s="712"/>
    </row>
    <row r="18" spans="1:31">
      <c r="A18" s="75" t="s">
        <v>39</v>
      </c>
      <c r="B18" s="83">
        <f>'TAMUC FGD'!M29</f>
        <v>34192712</v>
      </c>
      <c r="C18" s="83">
        <f t="shared" ref="C18:C19" si="3">ROUND(B18/$C$6,0)</f>
        <v>3672</v>
      </c>
      <c r="D18" s="512">
        <f>'TAMUC FGD'!$F$29</f>
        <v>0</v>
      </c>
      <c r="E18" s="512"/>
      <c r="F18" s="512">
        <f t="shared" ref="F18:F19" si="4">B18-(SUM(D18:E18))</f>
        <v>34192712</v>
      </c>
      <c r="G18" s="337"/>
      <c r="H18" s="337"/>
      <c r="I18" s="337"/>
      <c r="J18" s="713">
        <f>ROUND(F18/$C$6,0)</f>
        <v>3672</v>
      </c>
    </row>
    <row r="19" spans="1:31" ht="13.5" thickBot="1">
      <c r="A19" s="75" t="s">
        <v>40</v>
      </c>
      <c r="B19" s="86">
        <f>'TAMUC FGD'!M42</f>
        <v>45907981</v>
      </c>
      <c r="C19" s="87">
        <f t="shared" si="3"/>
        <v>4930</v>
      </c>
      <c r="D19" s="74">
        <f>'TAMUC FGD'!$F$42</f>
        <v>13799746</v>
      </c>
      <c r="E19" s="74"/>
      <c r="F19" s="74">
        <f t="shared" si="4"/>
        <v>32108235</v>
      </c>
      <c r="G19" s="337"/>
      <c r="H19" s="337"/>
      <c r="I19" s="337"/>
      <c r="J19" s="716">
        <f>ROUND(F19/$C$6,0)</f>
        <v>3448</v>
      </c>
    </row>
    <row r="20" spans="1:31" ht="14.25" thickTop="1" thickBot="1">
      <c r="A20" s="88" t="s">
        <v>5</v>
      </c>
      <c r="B20" s="89">
        <f>SUM(B18:B19)</f>
        <v>80100693</v>
      </c>
      <c r="C20" s="89">
        <f>SUM(C18:C19)</f>
        <v>8602</v>
      </c>
      <c r="D20" s="717">
        <f>SUM(D18:D19)</f>
        <v>13799746</v>
      </c>
      <c r="E20" s="718">
        <f>SUM(E18:E19)</f>
        <v>0</v>
      </c>
      <c r="F20" s="801">
        <f>SUM(F18:F19)</f>
        <v>66300947</v>
      </c>
      <c r="G20" s="720" t="s">
        <v>26</v>
      </c>
      <c r="H20" s="366"/>
      <c r="I20" s="367"/>
      <c r="J20" s="721">
        <f>SUM(J18:J19)</f>
        <v>7120</v>
      </c>
    </row>
    <row r="21" spans="1:31" ht="12.75" customHeight="1" thickTop="1">
      <c r="B21" s="91"/>
      <c r="C21" s="75"/>
      <c r="F21" s="804"/>
      <c r="J21" s="712"/>
    </row>
    <row r="22" spans="1:31" ht="14.25" customHeight="1" thickBot="1">
      <c r="A22" s="78" t="s">
        <v>6</v>
      </c>
      <c r="B22" s="91"/>
      <c r="C22" s="75"/>
      <c r="J22" s="712"/>
    </row>
    <row r="23" spans="1:31" ht="14.25" thickTop="1" thickBot="1">
      <c r="A23" s="88" t="s">
        <v>7</v>
      </c>
      <c r="B23" s="92">
        <f>'TAMUC FGD'!M47</f>
        <v>44440614</v>
      </c>
      <c r="C23" s="89">
        <f t="shared" ref="C23" si="5">ROUND(B23/$C$6,0)</f>
        <v>4773</v>
      </c>
      <c r="D23" s="717">
        <f>'TAMUC FGD'!F47</f>
        <v>0</v>
      </c>
      <c r="E23" s="718"/>
      <c r="F23" s="801">
        <f>B23-(SUM(D23:E23))</f>
        <v>44440614</v>
      </c>
      <c r="G23" s="722" t="s">
        <v>74</v>
      </c>
      <c r="H23" s="366"/>
      <c r="I23" s="367"/>
      <c r="J23" s="756">
        <f>ROUND(F23/$C$6,0)</f>
        <v>4773</v>
      </c>
    </row>
    <row r="24" spans="1:31" ht="13.5" thickTop="1">
      <c r="B24" s="91"/>
      <c r="C24" s="75"/>
      <c r="J24" s="712"/>
    </row>
    <row r="25" spans="1:31">
      <c r="A25" s="78" t="s">
        <v>8</v>
      </c>
      <c r="B25" s="91"/>
      <c r="C25" s="75"/>
      <c r="J25" s="712"/>
    </row>
    <row r="26" spans="1:31">
      <c r="A26" s="75" t="s">
        <v>42</v>
      </c>
      <c r="B26" s="83">
        <f>'TAMUC FGD'!M50</f>
        <v>10321873</v>
      </c>
      <c r="C26" s="83">
        <f t="shared" ref="C26:C31" si="6">ROUND(B26/$C$6,0)</f>
        <v>1109</v>
      </c>
      <c r="D26" s="512">
        <f>'TAMUC FGD'!F50</f>
        <v>355938</v>
      </c>
      <c r="E26" s="512"/>
      <c r="F26" s="512">
        <f t="shared" ref="F26:F31" si="7">B26-(SUM(D26:E26))</f>
        <v>9965935</v>
      </c>
      <c r="G26" s="337"/>
      <c r="H26" s="337"/>
      <c r="I26" s="337"/>
      <c r="J26" s="713">
        <f>ROUND(F26/$C$6,0)</f>
        <v>1070</v>
      </c>
    </row>
    <row r="27" spans="1:31">
      <c r="A27" s="75" t="s">
        <v>9</v>
      </c>
      <c r="B27" s="86">
        <f>'TAMUC FGD'!M51</f>
        <v>0</v>
      </c>
      <c r="C27" s="87">
        <f t="shared" si="6"/>
        <v>0</v>
      </c>
      <c r="D27" s="86">
        <f>'TAMUC FGD'!F51</f>
        <v>0</v>
      </c>
      <c r="E27" s="74"/>
      <c r="F27" s="74">
        <f t="shared" si="7"/>
        <v>0</v>
      </c>
      <c r="G27" s="337"/>
      <c r="H27" s="337"/>
      <c r="I27" s="337"/>
      <c r="J27" s="716">
        <f t="shared" ref="J27:J31" si="8">ROUND(F27/$C$6,0)</f>
        <v>0</v>
      </c>
    </row>
    <row r="28" spans="1:31" ht="13.5" thickBot="1">
      <c r="A28" s="75" t="s">
        <v>10</v>
      </c>
      <c r="B28" s="86">
        <f>'TAMUC FGD'!M52</f>
        <v>9818579</v>
      </c>
      <c r="C28" s="87">
        <f t="shared" si="6"/>
        <v>1054</v>
      </c>
      <c r="D28" s="86">
        <f>'TAMUC FGD'!F52</f>
        <v>0</v>
      </c>
      <c r="E28" s="74"/>
      <c r="F28" s="74">
        <f t="shared" si="7"/>
        <v>9818579</v>
      </c>
      <c r="G28" s="337"/>
      <c r="H28" s="337"/>
      <c r="I28" s="337"/>
      <c r="J28" s="716">
        <f t="shared" si="8"/>
        <v>1054</v>
      </c>
    </row>
    <row r="29" spans="1:31" ht="13.5" thickBot="1">
      <c r="A29" s="75" t="s">
        <v>11</v>
      </c>
      <c r="B29" s="86">
        <f>'TAMUC FGD'!M53</f>
        <v>-1970304</v>
      </c>
      <c r="C29" s="87">
        <f t="shared" si="6"/>
        <v>-212</v>
      </c>
      <c r="D29" s="86">
        <f>'TAMUC FGD'!F53</f>
        <v>0</v>
      </c>
      <c r="E29" s="74"/>
      <c r="F29" s="74">
        <f t="shared" si="7"/>
        <v>-1970304</v>
      </c>
      <c r="G29" s="337"/>
      <c r="H29" s="337"/>
      <c r="I29" s="337"/>
      <c r="J29" s="716">
        <f t="shared" si="8"/>
        <v>-212</v>
      </c>
      <c r="K29" s="1694" t="s">
        <v>1065</v>
      </c>
      <c r="L29" s="1695"/>
      <c r="M29" s="1695"/>
      <c r="N29" s="1695"/>
      <c r="O29" s="1696"/>
    </row>
    <row r="30" spans="1:31" ht="13.5" thickBot="1">
      <c r="A30" s="93" t="s">
        <v>2134</v>
      </c>
      <c r="B30" s="94">
        <f>'TAMUC FGD'!M54</f>
        <v>19244309</v>
      </c>
      <c r="C30" s="87">
        <f t="shared" si="6"/>
        <v>2067</v>
      </c>
      <c r="D30" s="729">
        <f>B30</f>
        <v>19244309</v>
      </c>
      <c r="E30" s="74"/>
      <c r="F30" s="74">
        <f t="shared" si="7"/>
        <v>0</v>
      </c>
      <c r="G30" s="337"/>
      <c r="H30" s="337"/>
      <c r="I30" s="337"/>
      <c r="J30" s="716">
        <f t="shared" si="8"/>
        <v>0</v>
      </c>
      <c r="K30" s="1694" t="s">
        <v>1070</v>
      </c>
      <c r="L30" s="1695"/>
      <c r="M30" s="1695"/>
      <c r="N30" s="1695"/>
      <c r="O30" s="1696"/>
    </row>
    <row r="31" spans="1:31" ht="13.5" customHeight="1" thickBot="1">
      <c r="A31" s="95" t="s">
        <v>43</v>
      </c>
      <c r="B31" s="86">
        <f>'TAMUC FGD'!M55</f>
        <v>3596269</v>
      </c>
      <c r="C31" s="87">
        <f t="shared" si="6"/>
        <v>386</v>
      </c>
      <c r="D31" s="86">
        <f>'TAMUC FGD'!F55</f>
        <v>-558114</v>
      </c>
      <c r="E31" s="74"/>
      <c r="F31" s="74">
        <f t="shared" si="7"/>
        <v>4154383</v>
      </c>
      <c r="G31" s="35"/>
      <c r="H31" s="35"/>
      <c r="I31" s="38"/>
      <c r="J31" s="716">
        <f t="shared" si="8"/>
        <v>446</v>
      </c>
      <c r="K31" s="1697" t="s">
        <v>1073</v>
      </c>
      <c r="L31" s="1697" t="s">
        <v>1071</v>
      </c>
      <c r="M31" s="1697" t="s">
        <v>1072</v>
      </c>
      <c r="N31" s="1697" t="s">
        <v>1240</v>
      </c>
      <c r="O31" s="1697"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41010726</v>
      </c>
      <c r="C32" s="89">
        <f>SUM(C26:C31)</f>
        <v>4404</v>
      </c>
      <c r="D32" s="723">
        <f>SUM(D26:D31)</f>
        <v>19042133</v>
      </c>
      <c r="E32" s="723">
        <f>SUM(E26:E31)</f>
        <v>0</v>
      </c>
      <c r="F32" s="802">
        <f>SUM(F26:F31)</f>
        <v>21968593</v>
      </c>
      <c r="G32" s="1708" t="s">
        <v>8</v>
      </c>
      <c r="H32" s="1709"/>
      <c r="I32" s="783" t="s">
        <v>1166</v>
      </c>
      <c r="J32" s="725">
        <f>SUM(J26:J31)</f>
        <v>2358</v>
      </c>
      <c r="K32" s="1698"/>
      <c r="L32" s="1698"/>
      <c r="M32" s="1698"/>
      <c r="N32" s="1698" t="s">
        <v>1074</v>
      </c>
      <c r="O32" s="1698" t="s">
        <v>1075</v>
      </c>
    </row>
    <row r="33" spans="1:31" ht="14.25" thickTop="1" thickBot="1">
      <c r="A33" s="97" t="s">
        <v>68</v>
      </c>
      <c r="B33" s="52">
        <f>B15+B20+B23+B32</f>
        <v>235764019</v>
      </c>
      <c r="C33" s="45">
        <f>C15+C20+C23+C32</f>
        <v>25320</v>
      </c>
      <c r="D33" s="52">
        <f>D15+D20+D23+D32</f>
        <v>32841879</v>
      </c>
      <c r="E33" s="52">
        <f>E15+E20+E23+E32</f>
        <v>0</v>
      </c>
      <c r="F33" s="724">
        <f>F15+F20+F23+F32</f>
        <v>202922140</v>
      </c>
      <c r="G33" s="1758" t="s">
        <v>84</v>
      </c>
      <c r="H33" s="1759"/>
      <c r="I33" s="1375">
        <f>ROUND($G$35/$C$6,0)</f>
        <v>20598</v>
      </c>
      <c r="J33" s="726">
        <f>J15+J20+J23+J32</f>
        <v>21792</v>
      </c>
      <c r="K33" s="1698"/>
      <c r="L33" s="1698"/>
      <c r="M33" s="1698"/>
      <c r="N33" s="1698"/>
      <c r="O33" s="1698"/>
    </row>
    <row r="34" spans="1:31" ht="14.25" thickTop="1" thickBot="1">
      <c r="B34" s="98"/>
      <c r="C34" s="75"/>
      <c r="D34" s="337"/>
      <c r="E34" s="337"/>
      <c r="F34" s="337" t="s">
        <v>1199</v>
      </c>
      <c r="G34" s="787">
        <f>G14*-1</f>
        <v>-11123859</v>
      </c>
      <c r="H34" s="337"/>
      <c r="I34" s="783" t="s">
        <v>1167</v>
      </c>
      <c r="J34" s="727"/>
      <c r="K34" s="1699"/>
      <c r="L34" s="1699"/>
      <c r="M34" s="1699"/>
      <c r="N34" s="1699"/>
      <c r="O34" s="1699"/>
    </row>
    <row r="35" spans="1:31" ht="14.25" thickTop="1" thickBot="1">
      <c r="A35" s="81" t="s">
        <v>72</v>
      </c>
      <c r="B35" s="81"/>
      <c r="C35" s="81"/>
      <c r="D35" s="728"/>
      <c r="E35" s="728"/>
      <c r="F35" s="788" t="s">
        <v>1165</v>
      </c>
      <c r="G35" s="803">
        <f>F33+G34</f>
        <v>191798281</v>
      </c>
      <c r="I35" s="1376">
        <f>ROUND($G$35/$I$8,0)</f>
        <v>291022</v>
      </c>
      <c r="K35" s="609"/>
      <c r="L35" s="609"/>
      <c r="M35" s="609"/>
      <c r="N35" s="609"/>
      <c r="O35" s="609"/>
    </row>
    <row r="36" spans="1:31" ht="13.5" thickTop="1">
      <c r="A36" s="99" t="s">
        <v>14</v>
      </c>
      <c r="B36" s="83">
        <f>'TAMUC FGD'!M60</f>
        <v>57170362</v>
      </c>
      <c r="C36" s="83">
        <f t="shared" ref="C36:C46" si="9">ROUND(B36/$C$6,0)</f>
        <v>6140</v>
      </c>
      <c r="D36" s="512">
        <f>'TAMUC FGD'!F60</f>
        <v>0</v>
      </c>
      <c r="E36" s="512"/>
      <c r="F36" s="512">
        <f t="shared" ref="F36:F46" si="10">B36-(SUM(D36:E36))</f>
        <v>57170362</v>
      </c>
      <c r="G36" s="337"/>
      <c r="H36" s="1378" t="s">
        <v>2158</v>
      </c>
      <c r="I36" s="1379">
        <f>ROUND(F36/$C$6,0)</f>
        <v>6140</v>
      </c>
      <c r="J36" s="337" t="s">
        <v>752</v>
      </c>
      <c r="K36" s="512">
        <f>F36</f>
        <v>57170362</v>
      </c>
      <c r="L36" s="512">
        <f>K36</f>
        <v>57170362</v>
      </c>
      <c r="M36" s="512"/>
      <c r="N36" s="512"/>
      <c r="O36" s="512"/>
    </row>
    <row r="37" spans="1:31">
      <c r="A37" s="99" t="s">
        <v>15</v>
      </c>
      <c r="B37" s="86">
        <f>'TAMUC FGD'!M61</f>
        <v>3052205</v>
      </c>
      <c r="C37" s="87">
        <f t="shared" si="9"/>
        <v>328</v>
      </c>
      <c r="D37" s="86">
        <f>'TAMUC FGD'!F61</f>
        <v>0</v>
      </c>
      <c r="E37" s="74"/>
      <c r="F37" s="74">
        <f t="shared" si="10"/>
        <v>3052205</v>
      </c>
      <c r="G37" s="337"/>
      <c r="H37" s="337"/>
      <c r="J37" s="337" t="s">
        <v>1076</v>
      </c>
      <c r="K37" s="373">
        <f>F37</f>
        <v>3052205</v>
      </c>
      <c r="L37" s="373">
        <f>K37</f>
        <v>3052205</v>
      </c>
      <c r="M37" s="373"/>
      <c r="N37" s="373"/>
      <c r="O37" s="373"/>
    </row>
    <row r="38" spans="1:31">
      <c r="A38" s="99" t="s">
        <v>16</v>
      </c>
      <c r="B38" s="86">
        <f>'TAMUC FGD'!M62</f>
        <v>1585884</v>
      </c>
      <c r="C38" s="87">
        <f t="shared" si="9"/>
        <v>170</v>
      </c>
      <c r="D38" s="86">
        <f>'TAMUC FGD'!F62</f>
        <v>0</v>
      </c>
      <c r="E38" s="86">
        <f>B38-D38</f>
        <v>1585884</v>
      </c>
      <c r="F38" s="74">
        <f t="shared" si="10"/>
        <v>0</v>
      </c>
      <c r="G38" s="337"/>
      <c r="H38" s="337"/>
      <c r="I38" s="337"/>
      <c r="J38" s="337" t="s">
        <v>1077</v>
      </c>
      <c r="K38" s="736"/>
      <c r="L38" s="737"/>
      <c r="M38" s="737" t="s">
        <v>1152</v>
      </c>
      <c r="N38" s="737"/>
      <c r="O38" s="738"/>
    </row>
    <row r="39" spans="1:31">
      <c r="A39" s="99" t="s">
        <v>17</v>
      </c>
      <c r="B39" s="86">
        <f>'TAMUC FGD'!M63</f>
        <v>16210496</v>
      </c>
      <c r="C39" s="87">
        <f t="shared" si="9"/>
        <v>1741</v>
      </c>
      <c r="D39" s="86">
        <f>'TAMUC FGD'!F63</f>
        <v>0</v>
      </c>
      <c r="E39" s="74"/>
      <c r="F39" s="74">
        <f t="shared" si="10"/>
        <v>16210496</v>
      </c>
      <c r="G39" s="337"/>
      <c r="H39" s="1378" t="s">
        <v>2159</v>
      </c>
      <c r="I39" s="1379">
        <f>ROUND(F39/$C$6,0)</f>
        <v>1741</v>
      </c>
      <c r="J39" s="337" t="s">
        <v>1078</v>
      </c>
      <c r="K39" s="373">
        <f t="shared" ref="K39:K43" si="11">F39</f>
        <v>16210496</v>
      </c>
      <c r="L39" s="373">
        <f>K39</f>
        <v>16210496</v>
      </c>
      <c r="M39" s="373"/>
      <c r="N39" s="373"/>
      <c r="O39" s="373"/>
    </row>
    <row r="40" spans="1:31">
      <c r="A40" s="99" t="s">
        <v>18</v>
      </c>
      <c r="B40" s="86">
        <f>'TAMUC FGD'!M64</f>
        <v>16432661</v>
      </c>
      <c r="C40" s="87">
        <f t="shared" si="9"/>
        <v>1765</v>
      </c>
      <c r="D40" s="86">
        <f>'TAMUC FGD'!F64</f>
        <v>0</v>
      </c>
      <c r="E40" s="74"/>
      <c r="F40" s="74">
        <f t="shared" si="10"/>
        <v>16432661</v>
      </c>
      <c r="G40" s="337"/>
      <c r="J40" s="337" t="s">
        <v>1079</v>
      </c>
      <c r="K40" s="373">
        <f t="shared" si="11"/>
        <v>16432661</v>
      </c>
      <c r="L40" s="373"/>
      <c r="M40" s="373">
        <f>K40</f>
        <v>16432661</v>
      </c>
      <c r="N40" s="373"/>
      <c r="O40" s="373"/>
    </row>
    <row r="41" spans="1:31">
      <c r="A41" s="99" t="s">
        <v>19</v>
      </c>
      <c r="B41" s="86">
        <f>'TAMUC FGD'!M65</f>
        <v>12671933</v>
      </c>
      <c r="C41" s="87">
        <f t="shared" si="9"/>
        <v>1361</v>
      </c>
      <c r="D41" s="86">
        <f>'TAMUC FGD'!F65</f>
        <v>0</v>
      </c>
      <c r="E41" s="74"/>
      <c r="F41" s="74">
        <f t="shared" si="10"/>
        <v>12671933</v>
      </c>
      <c r="G41" s="337"/>
      <c r="H41" s="1378" t="s">
        <v>2160</v>
      </c>
      <c r="I41" s="1379">
        <f>ROUND(F41/$C$6,0)</f>
        <v>1361</v>
      </c>
      <c r="J41" s="337" t="s">
        <v>757</v>
      </c>
      <c r="K41" s="373">
        <f t="shared" si="11"/>
        <v>12671933</v>
      </c>
      <c r="L41" s="373"/>
      <c r="M41" s="373"/>
      <c r="N41" s="373">
        <f>K41</f>
        <v>12671933</v>
      </c>
      <c r="O41" s="373"/>
    </row>
    <row r="42" spans="1:31">
      <c r="A42" s="99" t="s">
        <v>20</v>
      </c>
      <c r="B42" s="86">
        <f>'TAMUC FGD'!M66</f>
        <v>15761447</v>
      </c>
      <c r="C42" s="87">
        <f t="shared" si="9"/>
        <v>1693</v>
      </c>
      <c r="D42" s="86">
        <f>'TAMUC FGD'!F66</f>
        <v>0</v>
      </c>
      <c r="E42" s="74"/>
      <c r="F42" s="74">
        <f t="shared" si="10"/>
        <v>15761447</v>
      </c>
      <c r="G42" s="337"/>
      <c r="J42" s="337" t="s">
        <v>758</v>
      </c>
      <c r="K42" s="373">
        <f t="shared" si="11"/>
        <v>15761447</v>
      </c>
      <c r="L42" s="373"/>
      <c r="M42" s="373"/>
      <c r="N42" s="373">
        <f>K42</f>
        <v>15761447</v>
      </c>
      <c r="O42" s="373"/>
    </row>
    <row r="43" spans="1:31">
      <c r="A43" s="99" t="s">
        <v>21</v>
      </c>
      <c r="B43" s="86">
        <f>'TAMUC FGD'!M67</f>
        <v>23934325</v>
      </c>
      <c r="C43" s="87">
        <f t="shared" si="9"/>
        <v>2570</v>
      </c>
      <c r="D43" s="86">
        <f>'TAMUC FGD'!F67</f>
        <v>0</v>
      </c>
      <c r="E43" s="74"/>
      <c r="F43" s="74">
        <f t="shared" si="10"/>
        <v>23934325</v>
      </c>
      <c r="G43" s="337"/>
      <c r="H43" s="337"/>
      <c r="I43" s="337"/>
      <c r="J43" s="337" t="s">
        <v>1145</v>
      </c>
      <c r="K43" s="373">
        <f t="shared" si="11"/>
        <v>23934325</v>
      </c>
      <c r="L43" s="373"/>
      <c r="M43" s="373">
        <f>K43</f>
        <v>23934325</v>
      </c>
      <c r="N43" s="373"/>
      <c r="O43" s="373"/>
    </row>
    <row r="44" spans="1:31">
      <c r="A44" s="99" t="s">
        <v>2135</v>
      </c>
      <c r="B44" s="86">
        <f>'TAMUC FGD'!M68</f>
        <v>27852359</v>
      </c>
      <c r="C44" s="87">
        <f t="shared" si="9"/>
        <v>2991</v>
      </c>
      <c r="D44" s="729">
        <f>B44</f>
        <v>27852359</v>
      </c>
      <c r="E44" s="74"/>
      <c r="F44" s="74">
        <f t="shared" si="10"/>
        <v>0</v>
      </c>
      <c r="G44" s="337"/>
      <c r="H44" s="337"/>
      <c r="I44" s="337"/>
      <c r="J44" s="337" t="s">
        <v>743</v>
      </c>
      <c r="K44" s="736"/>
      <c r="L44" s="737"/>
      <c r="M44" s="737" t="s">
        <v>1152</v>
      </c>
      <c r="N44" s="737"/>
      <c r="O44" s="738"/>
    </row>
    <row r="45" spans="1:31">
      <c r="A45" s="99" t="s">
        <v>61</v>
      </c>
      <c r="B45" s="86">
        <f>'TAMUC FGD'!M69</f>
        <v>1628904</v>
      </c>
      <c r="C45" s="87">
        <f t="shared" si="9"/>
        <v>175</v>
      </c>
      <c r="D45" s="86">
        <f>'TAMUC FGD'!F69</f>
        <v>17912</v>
      </c>
      <c r="E45" s="74"/>
      <c r="F45" s="74">
        <f t="shared" si="10"/>
        <v>1610992</v>
      </c>
      <c r="G45" s="337"/>
      <c r="H45" s="337"/>
      <c r="I45" s="337"/>
      <c r="J45" s="337" t="s">
        <v>1080</v>
      </c>
      <c r="K45" s="373">
        <f t="shared" ref="K45:K46" si="12">F45</f>
        <v>1610992</v>
      </c>
      <c r="L45" s="373"/>
      <c r="M45" s="373"/>
      <c r="N45" s="373"/>
      <c r="O45" s="373">
        <f>K45</f>
        <v>1610992</v>
      </c>
    </row>
    <row r="46" spans="1:31" ht="13.5" thickBot="1">
      <c r="A46" s="75" t="s">
        <v>50</v>
      </c>
      <c r="B46" s="86">
        <f>'TAMUC FGD'!M70</f>
        <v>934708</v>
      </c>
      <c r="C46" s="87">
        <f t="shared" si="9"/>
        <v>100</v>
      </c>
      <c r="D46" s="86">
        <f>'TAMUC FGD'!F70</f>
        <v>0</v>
      </c>
      <c r="E46" s="74"/>
      <c r="F46" s="74">
        <f t="shared" si="10"/>
        <v>934708</v>
      </c>
      <c r="G46" s="35"/>
      <c r="H46" s="1378" t="s">
        <v>2161</v>
      </c>
      <c r="I46" s="1379">
        <f>ROUND(SUM(F37+F40+F42+F43+F45+F46)/$C$6,0)</f>
        <v>6629</v>
      </c>
      <c r="J46" s="610" t="s">
        <v>1075</v>
      </c>
      <c r="K46" s="373">
        <f t="shared" si="12"/>
        <v>934708</v>
      </c>
      <c r="L46" s="611"/>
      <c r="M46" s="611"/>
      <c r="N46" s="611"/>
      <c r="O46" s="373">
        <f>K46</f>
        <v>934708</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177235284</v>
      </c>
      <c r="C47" s="45">
        <f>SUM(C36:C46)</f>
        <v>19034</v>
      </c>
      <c r="D47" s="730">
        <f>SUM(D36:D46)</f>
        <v>27870271</v>
      </c>
      <c r="E47" s="731">
        <f>SUM(E36:E46)</f>
        <v>1585884</v>
      </c>
      <c r="F47" s="719">
        <f>SUM(F36:F46)</f>
        <v>147779129</v>
      </c>
      <c r="G47" s="1688" t="s">
        <v>1176</v>
      </c>
      <c r="H47" s="1689"/>
      <c r="I47" s="785" t="s">
        <v>1164</v>
      </c>
      <c r="J47" s="610" t="s">
        <v>1081</v>
      </c>
      <c r="K47" s="612">
        <f>SUM(K36:K46)</f>
        <v>147779129</v>
      </c>
      <c r="L47" s="612">
        <f>SUM(L36:L46)</f>
        <v>76433063</v>
      </c>
      <c r="M47" s="612">
        <f>SUM(M36:M46)</f>
        <v>40366986</v>
      </c>
      <c r="N47" s="612">
        <f>SUM(N36:N46)</f>
        <v>28433380</v>
      </c>
      <c r="O47" s="612">
        <f>SUM(O36:O46)</f>
        <v>2545700</v>
      </c>
    </row>
    <row r="48" spans="1:31" ht="14.25" thickTop="1" thickBot="1">
      <c r="A48" s="93"/>
      <c r="B48" s="98"/>
      <c r="C48" s="75"/>
      <c r="F48" s="613"/>
      <c r="G48" s="1690"/>
      <c r="H48" s="1691"/>
      <c r="I48" s="823">
        <f>ROUND(F47/C6,0)</f>
        <v>15871</v>
      </c>
      <c r="J48" s="1700" t="s">
        <v>1082</v>
      </c>
      <c r="K48" s="611"/>
      <c r="L48" s="611"/>
      <c r="M48" s="611"/>
      <c r="N48" s="611"/>
      <c r="O48" s="611"/>
    </row>
    <row r="49" spans="1:31" ht="13.5" thickBot="1">
      <c r="A49" s="78" t="s">
        <v>23</v>
      </c>
      <c r="B49" s="82"/>
      <c r="C49" s="75"/>
      <c r="F49" s="614"/>
      <c r="G49" s="1690"/>
      <c r="H49" s="1691"/>
      <c r="I49" s="811"/>
      <c r="J49" s="1700"/>
      <c r="K49" s="615">
        <f>ROUND(K47/$C$6,2)</f>
        <v>15870.69</v>
      </c>
      <c r="L49" s="615">
        <f t="shared" ref="L49:O49" si="13">ROUND(L47/$C$6,2)</f>
        <v>8208.5</v>
      </c>
      <c r="M49" s="615">
        <f t="shared" si="13"/>
        <v>4335.2</v>
      </c>
      <c r="N49" s="615">
        <f t="shared" si="13"/>
        <v>3053.59</v>
      </c>
      <c r="O49" s="615">
        <f t="shared" si="13"/>
        <v>273.39</v>
      </c>
      <c r="P49" s="35"/>
      <c r="Q49" s="96"/>
      <c r="R49" s="96"/>
      <c r="S49" s="96"/>
      <c r="T49" s="96"/>
      <c r="U49" s="96"/>
      <c r="V49" s="96"/>
      <c r="W49" s="96"/>
      <c r="X49" s="96"/>
      <c r="Y49" s="96"/>
      <c r="Z49" s="96"/>
      <c r="AA49" s="96"/>
      <c r="AB49" s="96"/>
      <c r="AC49" s="96"/>
      <c r="AD49" s="96"/>
      <c r="AE49" s="96"/>
    </row>
    <row r="50" spans="1:31" ht="13.5" thickBot="1">
      <c r="A50" s="75" t="s">
        <v>62</v>
      </c>
      <c r="B50" s="86">
        <f>'TAMUC FGD'!M74</f>
        <v>-5658587</v>
      </c>
      <c r="C50" s="83">
        <f t="shared" ref="C50:C53" si="14">ROUND(B50/$C$6,0)</f>
        <v>-608</v>
      </c>
      <c r="D50" s="512">
        <f>'TAMUC FGD'!F74</f>
        <v>0</v>
      </c>
      <c r="E50" s="512"/>
      <c r="F50" s="732">
        <f t="shared" ref="F50:F53" si="15">B50-(SUM(D50:E50))</f>
        <v>-5658587</v>
      </c>
      <c r="G50" s="1692"/>
      <c r="H50" s="1693"/>
      <c r="I50" s="808"/>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'TAMUC FGD'!M75</f>
        <v>708952</v>
      </c>
      <c r="C51" s="87">
        <f t="shared" si="14"/>
        <v>76</v>
      </c>
      <c r="D51" s="91">
        <f>'TAMUC FGD'!F75</f>
        <v>3354267</v>
      </c>
      <c r="E51" s="82"/>
      <c r="F51" s="74">
        <f t="shared" si="15"/>
        <v>-2645315</v>
      </c>
      <c r="G51" s="337"/>
      <c r="J51" s="337"/>
      <c r="K51" s="616"/>
      <c r="L51" s="616"/>
      <c r="M51" s="616"/>
      <c r="N51" s="616"/>
      <c r="O51" s="616"/>
    </row>
    <row r="52" spans="1:31">
      <c r="A52" s="75" t="s">
        <v>51</v>
      </c>
      <c r="B52" s="86">
        <f>'TAMUC FGD'!M76</f>
        <v>0</v>
      </c>
      <c r="C52" s="87">
        <f t="shared" si="14"/>
        <v>0</v>
      </c>
      <c r="D52" s="91">
        <f>'TAMUC FGD'!F76</f>
        <v>0</v>
      </c>
      <c r="E52" s="82"/>
      <c r="F52" s="74">
        <f t="shared" si="15"/>
        <v>0</v>
      </c>
      <c r="G52" s="337"/>
      <c r="J52" s="733"/>
      <c r="K52" s="733"/>
      <c r="L52" s="733"/>
      <c r="M52" s="733"/>
      <c r="N52" s="733"/>
      <c r="O52" s="733"/>
    </row>
    <row r="53" spans="1:31" ht="12" customHeight="1">
      <c r="A53" s="75" t="s">
        <v>46</v>
      </c>
      <c r="B53" s="86">
        <f>'TAMUC FGD'!M77</f>
        <v>-12760583</v>
      </c>
      <c r="C53" s="87">
        <f t="shared" si="14"/>
        <v>-1370</v>
      </c>
      <c r="D53" s="91">
        <f>'TAMUC FGD'!F77</f>
        <v>-6233138</v>
      </c>
      <c r="E53" s="82"/>
      <c r="F53" s="74">
        <f t="shared" si="15"/>
        <v>-6527445</v>
      </c>
      <c r="G53" s="35"/>
      <c r="J53" s="733"/>
      <c r="K53" s="733"/>
      <c r="L53" s="733"/>
      <c r="M53" s="733"/>
      <c r="N53" s="733"/>
      <c r="O53" s="733"/>
      <c r="P53" s="35"/>
      <c r="Q53" s="96"/>
      <c r="R53" s="96"/>
      <c r="S53" s="96"/>
      <c r="T53" s="96"/>
      <c r="U53" s="96"/>
      <c r="V53" s="96"/>
      <c r="W53" s="96"/>
      <c r="X53" s="96"/>
      <c r="Y53" s="96"/>
      <c r="Z53" s="96"/>
      <c r="AA53" s="96"/>
      <c r="AB53" s="96"/>
      <c r="AC53" s="96"/>
      <c r="AD53" s="96"/>
      <c r="AE53" s="96"/>
    </row>
    <row r="54" spans="1:31">
      <c r="A54" s="88" t="s">
        <v>3</v>
      </c>
      <c r="B54" s="89">
        <f>SUM(B50:B53)</f>
        <v>-17710218</v>
      </c>
      <c r="C54" s="89">
        <f>SUM(C50:C53)</f>
        <v>-1902</v>
      </c>
      <c r="D54" s="89">
        <f>SUM(D50:D53)</f>
        <v>-2878871</v>
      </c>
      <c r="E54" s="89">
        <f>SUM(E50:E53)</f>
        <v>0</v>
      </c>
      <c r="F54" s="102">
        <f>SUM(F50:F53)</f>
        <v>-14831347</v>
      </c>
      <c r="G54" s="337"/>
      <c r="H54" s="337"/>
      <c r="I54" s="337"/>
      <c r="J54" s="733"/>
      <c r="K54" s="733"/>
      <c r="L54" s="733"/>
      <c r="M54" s="733"/>
      <c r="N54" s="733"/>
      <c r="O54" s="733"/>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'TAMUC FGD'!M81</f>
        <v>18932688</v>
      </c>
      <c r="C57" s="83">
        <f>ROUND(B57/$C$6,0)</f>
        <v>2033</v>
      </c>
      <c r="D57" s="512">
        <f>'TAMUC FGD'!F81</f>
        <v>2799243</v>
      </c>
      <c r="E57" s="512"/>
      <c r="F57" s="512">
        <f t="shared" ref="F57:F58" si="16">B57-(SUM(D57:E57))</f>
        <v>16133445</v>
      </c>
      <c r="G57" s="337"/>
      <c r="H57" s="337"/>
      <c r="I57" s="337"/>
      <c r="J57" s="337"/>
    </row>
    <row r="58" spans="1:31">
      <c r="A58" s="75" t="s">
        <v>48</v>
      </c>
      <c r="B58" s="86">
        <f>'TAMUC FGD'!M82</f>
        <v>0</v>
      </c>
      <c r="C58" s="87">
        <f>ROUND(B58/$C$6,0)</f>
        <v>0</v>
      </c>
      <c r="D58" s="91">
        <f>'TAMUC FGD'!F82</f>
        <v>0</v>
      </c>
      <c r="E58" s="82"/>
      <c r="F58" s="74">
        <f t="shared" si="16"/>
        <v>0</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18932688</v>
      </c>
      <c r="C59" s="89">
        <f>SUM(C57:C58)</f>
        <v>2033</v>
      </c>
      <c r="D59" s="89">
        <f>SUM(D57:D58)</f>
        <v>2799243</v>
      </c>
      <c r="E59" s="89">
        <f>SUM(E57:E58)</f>
        <v>0</v>
      </c>
      <c r="F59" s="89">
        <f>SUM(F57:F58)</f>
        <v>16133445</v>
      </c>
      <c r="G59" s="367"/>
      <c r="H59" s="367"/>
      <c r="I59" s="367"/>
      <c r="J59" s="367"/>
      <c r="K59" s="266"/>
      <c r="L59" s="266"/>
      <c r="M59" s="266"/>
      <c r="N59" s="266"/>
      <c r="O59" s="266"/>
      <c r="P59" s="266"/>
    </row>
    <row r="60" spans="1:31">
      <c r="B60" s="82"/>
      <c r="C60" s="75"/>
    </row>
    <row r="61" spans="1:31" ht="13.5" thickBot="1">
      <c r="A61" s="103" t="s">
        <v>573</v>
      </c>
      <c r="B61" s="46">
        <f>B33-B47+B54+B59</f>
        <v>59751205</v>
      </c>
      <c r="C61" s="46">
        <f>C33-C47+C54+C59</f>
        <v>6417</v>
      </c>
      <c r="D61" s="46">
        <f>D33-D47+D54+D59</f>
        <v>4891980</v>
      </c>
      <c r="E61" s="46">
        <f>E33-E47+E54+E59</f>
        <v>-1585884</v>
      </c>
      <c r="F61" s="46">
        <f>F33-F47+F54+F59</f>
        <v>56445109</v>
      </c>
    </row>
    <row r="62" spans="1:31" ht="13.5" thickTop="1"/>
    <row r="63" spans="1:31">
      <c r="D63" s="512"/>
    </row>
    <row r="65" spans="2:16">
      <c r="B65" s="734">
        <f>'TAMUC FGD'!$M$85</f>
        <v>59751205</v>
      </c>
      <c r="C65" s="75"/>
      <c r="D65" s="734">
        <f>'TAMUC FGD'!$F$85</f>
        <v>4891980</v>
      </c>
      <c r="E65" s="734">
        <f>'TAMUC FGD'!$M$62*-1</f>
        <v>-1585884</v>
      </c>
      <c r="F65" s="75"/>
    </row>
    <row r="66" spans="2:16">
      <c r="B66" s="734"/>
      <c r="C66" s="75"/>
      <c r="D66" s="734">
        <f>'TAMUC FGD'!$F$68</f>
        <v>27852359</v>
      </c>
      <c r="E66" s="734">
        <f>+$D$38</f>
        <v>0</v>
      </c>
      <c r="F66" s="734"/>
    </row>
    <row r="67" spans="2:16">
      <c r="B67" s="759"/>
      <c r="C67" s="75"/>
      <c r="D67" s="759">
        <f>-'TAMUC FGD'!$M$68</f>
        <v>-27852359</v>
      </c>
      <c r="E67" s="759"/>
      <c r="F67" s="734"/>
    </row>
    <row r="68" spans="2:16">
      <c r="B68" s="734">
        <f>SUM(B65:B67)</f>
        <v>59751205</v>
      </c>
      <c r="C68" s="75"/>
      <c r="D68" s="734">
        <f>SUM(D65:D67)</f>
        <v>4891980</v>
      </c>
      <c r="E68" s="734">
        <f>SUM(E65:E67)</f>
        <v>-1585884</v>
      </c>
      <c r="F68" s="734">
        <f>B68-D68-E68</f>
        <v>56445109</v>
      </c>
    </row>
    <row r="69" spans="2:16">
      <c r="B69" s="734"/>
      <c r="C69" s="75"/>
      <c r="D69" s="734">
        <f>'TAMUC FGD'!F54*-1</f>
        <v>-19244309</v>
      </c>
      <c r="E69" s="734"/>
      <c r="F69" s="734"/>
    </row>
    <row r="70" spans="2:16" ht="12.75" customHeight="1">
      <c r="B70" s="759"/>
      <c r="C70" s="95"/>
      <c r="D70" s="759">
        <f>'TAMUC FGD'!M54</f>
        <v>19244309</v>
      </c>
      <c r="E70" s="759"/>
      <c r="F70" s="759">
        <f>-D70-D69</f>
        <v>0</v>
      </c>
    </row>
    <row r="71" spans="2:16" ht="12.75" customHeight="1">
      <c r="B71" s="734">
        <f>SUM(B68:B70)</f>
        <v>59751205</v>
      </c>
      <c r="C71" s="75"/>
      <c r="D71" s="734">
        <f>SUM(D68:D70)</f>
        <v>4891980</v>
      </c>
      <c r="E71" s="734">
        <f>SUM(E68:E70)</f>
        <v>-1585884</v>
      </c>
      <c r="F71" s="734">
        <f>SUM(F68:F70)</f>
        <v>56445109</v>
      </c>
    </row>
    <row r="72" spans="2:16" ht="12.75" customHeight="1">
      <c r="B72" s="734"/>
      <c r="C72" s="75"/>
      <c r="D72" s="734"/>
      <c r="E72" s="734"/>
      <c r="F72" s="734"/>
    </row>
    <row r="73" spans="2:16" ht="12.75" customHeight="1">
      <c r="B73" s="512">
        <f>B61-B71</f>
        <v>0</v>
      </c>
      <c r="C73" s="75"/>
      <c r="D73" s="512">
        <f>D61-D71</f>
        <v>0</v>
      </c>
      <c r="E73" s="512">
        <f>E61-E71</f>
        <v>0</v>
      </c>
      <c r="F73" s="512">
        <f>F61-F71</f>
        <v>0</v>
      </c>
    </row>
    <row r="74" spans="2:16" ht="12.75" customHeight="1">
      <c r="C74" s="75"/>
      <c r="F74" s="617"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G47:H50"/>
    <mergeCell ref="K30:O30"/>
    <mergeCell ref="M31:M34"/>
    <mergeCell ref="G32:H32"/>
    <mergeCell ref="G33:H33"/>
    <mergeCell ref="L31:L34"/>
    <mergeCell ref="K31:K34"/>
    <mergeCell ref="N31:N34"/>
    <mergeCell ref="O31:O34"/>
    <mergeCell ref="J48:J49"/>
    <mergeCell ref="F1:I1"/>
    <mergeCell ref="J1:O1"/>
    <mergeCell ref="D1:E1"/>
    <mergeCell ref="K29:O29"/>
    <mergeCell ref="D4:D5"/>
    <mergeCell ref="E4:E5"/>
  </mergeCells>
  <hyperlinks>
    <hyperlink ref="D1:E1" location="Index!A1" display="Return to Index" xr:uid="{00000000-0004-0000-5A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77">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D10" sqref="D10"/>
    </sheetView>
  </sheetViews>
  <sheetFormatPr defaultColWidth="9.140625"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5.140625" style="164" customWidth="1"/>
    <col min="15" max="15" width="14.42578125" style="261" customWidth="1"/>
    <col min="16" max="16" width="25.7109375" style="264" customWidth="1"/>
    <col min="17" max="17" width="16.42578125" style="264" customWidth="1"/>
    <col min="18" max="18" width="16.85546875" style="264" customWidth="1"/>
    <col min="19" max="19" width="1.7109375" style="264" customWidth="1"/>
    <col min="20" max="20" width="17.140625" style="264" customWidth="1"/>
    <col min="21" max="21" width="16.85546875" style="264" customWidth="1"/>
    <col min="22" max="23" width="19.28515625" style="264" customWidth="1"/>
    <col min="24" max="24" width="16.855468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13" t="str">
        <f>'TAMUC Chrts'!$A$1</f>
        <v>Texas A&amp;M University - Commerce</v>
      </c>
      <c r="C2" s="1713"/>
      <c r="D2" s="1713"/>
      <c r="E2" s="1713"/>
      <c r="F2" s="1742"/>
      <c r="G2" s="160"/>
      <c r="H2" s="161"/>
      <c r="I2" s="320" t="str">
        <f>IF($B$2&lt;&gt;Input!$B$22,"Name Mismatch","")</f>
        <v/>
      </c>
      <c r="J2" s="168"/>
      <c r="K2" s="169"/>
      <c r="L2" s="169"/>
      <c r="M2" s="170"/>
      <c r="O2" s="835" t="s">
        <v>1200</v>
      </c>
      <c r="P2" s="36"/>
    </row>
    <row r="3" spans="1:28" ht="20.25">
      <c r="A3" s="184">
        <v>2</v>
      </c>
      <c r="B3" s="1713" t="str">
        <f>'Smmy Chrts'!$A$2</f>
        <v>For the Year Ended August 31, 2021</v>
      </c>
      <c r="C3" s="1713"/>
      <c r="D3" s="1713"/>
      <c r="E3" s="1713"/>
      <c r="F3" s="1742"/>
      <c r="G3" s="161"/>
      <c r="H3" s="161"/>
      <c r="I3" s="169"/>
      <c r="J3" s="168"/>
      <c r="K3" s="169"/>
      <c r="L3" s="169"/>
      <c r="M3" s="170"/>
      <c r="O3" s="74"/>
    </row>
    <row r="4" spans="1:28" ht="20.25">
      <c r="A4" s="184">
        <v>3</v>
      </c>
      <c r="B4" s="1713" t="str">
        <f>'Smmy Chrts'!$A$3</f>
        <v>Source: FY 2021 Annual Financial Report</v>
      </c>
      <c r="C4" s="1713"/>
      <c r="D4" s="1713"/>
      <c r="E4" s="1713"/>
      <c r="F4" s="1742"/>
      <c r="G4" s="161"/>
      <c r="H4" s="161"/>
      <c r="I4" s="169"/>
      <c r="J4" s="168"/>
      <c r="K4" s="169"/>
      <c r="L4" s="169"/>
      <c r="M4" s="170"/>
      <c r="O4" s="74"/>
      <c r="P4" s="1744" t="s">
        <v>93</v>
      </c>
      <c r="Q4" s="1745"/>
      <c r="T4" s="36" t="s">
        <v>250</v>
      </c>
    </row>
    <row r="5" spans="1:28">
      <c r="A5" s="184">
        <v>4</v>
      </c>
      <c r="B5" s="160"/>
      <c r="C5" s="160"/>
      <c r="D5" s="160"/>
      <c r="E5" s="160"/>
      <c r="F5" s="160"/>
      <c r="G5" s="160"/>
      <c r="H5" s="160"/>
      <c r="I5" s="160"/>
      <c r="J5" s="160"/>
      <c r="K5" s="160"/>
      <c r="L5" s="160"/>
      <c r="M5" s="166"/>
      <c r="O5" s="262"/>
    </row>
    <row r="6" spans="1:28">
      <c r="A6" s="184">
        <v>5</v>
      </c>
      <c r="B6" s="1715" t="str">
        <f>'Smmy Chrts'!$C$32</f>
        <v>Detail Worksheet FY 2021</v>
      </c>
      <c r="C6" s="1715"/>
      <c r="D6" s="1743"/>
      <c r="E6" s="1743"/>
      <c r="F6" s="1743"/>
      <c r="G6" s="1743"/>
      <c r="H6" s="1743"/>
      <c r="I6" s="1743"/>
      <c r="J6" s="1743"/>
      <c r="K6" s="1743"/>
      <c r="L6" s="1743"/>
      <c r="M6" s="1743"/>
      <c r="O6" s="265"/>
    </row>
    <row r="7" spans="1:28">
      <c r="A7" s="184">
        <v>6</v>
      </c>
      <c r="B7" s="172"/>
      <c r="C7" s="172"/>
      <c r="D7" s="160"/>
      <c r="E7" s="160"/>
      <c r="F7" s="160"/>
      <c r="G7" s="160"/>
      <c r="H7" s="160"/>
      <c r="I7" s="160"/>
      <c r="J7" s="160"/>
      <c r="K7" s="160"/>
      <c r="L7" s="160"/>
      <c r="M7" s="173" t="str">
        <f>'Smmy Chrts'!$C$33</f>
        <v>FY 2021</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Input!$M$22</f>
        <v>51928693</v>
      </c>
      <c r="E10" s="372">
        <f>Input!$N$22</f>
        <v>0</v>
      </c>
      <c r="F10" s="372">
        <f>Input!$O$22</f>
        <v>0</v>
      </c>
      <c r="G10" s="372">
        <f>Input!$P$22</f>
        <v>0</v>
      </c>
      <c r="H10" s="372">
        <f>Input!$Q$22</f>
        <v>0</v>
      </c>
      <c r="I10" s="372">
        <f>Input!$R$22</f>
        <v>0</v>
      </c>
      <c r="J10" s="372">
        <f>Input!$S$22</f>
        <v>0</v>
      </c>
      <c r="K10" s="372">
        <f>Input!$T$22</f>
        <v>0</v>
      </c>
      <c r="L10" s="372">
        <f>Input!$U$22</f>
        <v>0</v>
      </c>
      <c r="M10" s="373">
        <f t="shared" ref="M10:M15" si="0">D10+E10+F10+G10+H10+I10+J10+K10+L10</f>
        <v>51928693</v>
      </c>
      <c r="N10" s="160"/>
      <c r="O10" s="271"/>
      <c r="P10" s="1718" t="s">
        <v>575</v>
      </c>
      <c r="U10" s="268"/>
    </row>
    <row r="11" spans="1:28">
      <c r="A11" s="184">
        <v>10</v>
      </c>
      <c r="B11" s="160" t="s">
        <v>2</v>
      </c>
      <c r="C11" s="160"/>
      <c r="D11" s="372">
        <f>Input!$V$22</f>
        <v>108918</v>
      </c>
      <c r="E11" s="372">
        <f>Input!$W$22</f>
        <v>73228</v>
      </c>
      <c r="F11" s="372">
        <f>Input!$X$22</f>
        <v>0</v>
      </c>
      <c r="G11" s="372">
        <f>Input!$Y$22</f>
        <v>6977288</v>
      </c>
      <c r="H11" s="372">
        <f>Input!$Z$22</f>
        <v>0</v>
      </c>
      <c r="I11" s="372">
        <f>Input!$AA$22</f>
        <v>0</v>
      </c>
      <c r="J11" s="372">
        <f>Input!$AB$22</f>
        <v>0</v>
      </c>
      <c r="K11" s="372">
        <f>Input!$AC$22</f>
        <v>0</v>
      </c>
      <c r="L11" s="372">
        <f>Input!$AD$22</f>
        <v>0</v>
      </c>
      <c r="M11" s="373">
        <f t="shared" si="0"/>
        <v>7159434</v>
      </c>
      <c r="N11" s="160"/>
      <c r="O11" s="482"/>
      <c r="P11" s="1719"/>
      <c r="U11" s="268"/>
    </row>
    <row r="12" spans="1:28" ht="12.75" hidden="1" customHeight="1">
      <c r="B12" s="160" t="s">
        <v>1410</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Input!$AN$22</f>
        <v>11123859</v>
      </c>
      <c r="E13" s="372">
        <f>Input!$AO$22</f>
        <v>0</v>
      </c>
      <c r="F13" s="372">
        <f>Input!$AP$22</f>
        <v>0</v>
      </c>
      <c r="G13" s="372">
        <f>Input!$AQ$22</f>
        <v>0</v>
      </c>
      <c r="H13" s="372">
        <f>Input!$AR$22</f>
        <v>0</v>
      </c>
      <c r="I13" s="372">
        <f>Input!$AS$22</f>
        <v>0</v>
      </c>
      <c r="J13" s="372">
        <f>Input!$AT$22</f>
        <v>0</v>
      </c>
      <c r="K13" s="372">
        <f>Input!$AU$22</f>
        <v>0</v>
      </c>
      <c r="L13" s="372">
        <f>Input!$AV$22</f>
        <v>0</v>
      </c>
      <c r="M13" s="373">
        <f t="shared" si="0"/>
        <v>11123859</v>
      </c>
      <c r="N13" s="160"/>
      <c r="O13" s="482" t="str">
        <f>IF(P13&lt;&gt;M13,"Out of Balance","Balanced")</f>
        <v>Balanced</v>
      </c>
      <c r="P13" s="484">
        <f>IFERROR(VLOOKUP($B$2,AMTLU,6,FALSE),0)</f>
        <v>11123859</v>
      </c>
      <c r="U13" s="268"/>
    </row>
    <row r="14" spans="1:28">
      <c r="A14" s="184">
        <v>13</v>
      </c>
      <c r="B14" s="160" t="s">
        <v>49</v>
      </c>
      <c r="C14" s="160"/>
      <c r="D14" s="372">
        <f>Input!$AW$22</f>
        <v>0</v>
      </c>
      <c r="E14" s="372">
        <f>Input!$AX$22</f>
        <v>0</v>
      </c>
      <c r="F14" s="372">
        <f>Input!$AY$22</f>
        <v>0</v>
      </c>
      <c r="G14" s="372">
        <f>Input!$AZ$22</f>
        <v>0</v>
      </c>
      <c r="H14" s="372">
        <f>Input!$BA$22</f>
        <v>0</v>
      </c>
      <c r="I14" s="372">
        <f>Input!$BB$22</f>
        <v>0</v>
      </c>
      <c r="J14" s="372">
        <f>Input!$BC$22</f>
        <v>0</v>
      </c>
      <c r="K14" s="372">
        <f>Input!$BD$22</f>
        <v>0</v>
      </c>
      <c r="L14" s="372">
        <f>Input!$BE$22</f>
        <v>0</v>
      </c>
      <c r="M14" s="373">
        <f t="shared" si="0"/>
        <v>0</v>
      </c>
      <c r="N14" s="160"/>
      <c r="O14" s="482"/>
      <c r="P14" s="485"/>
    </row>
    <row r="15" spans="1:28" ht="15">
      <c r="A15" s="184">
        <v>14</v>
      </c>
      <c r="B15" s="176" t="s">
        <v>3</v>
      </c>
      <c r="C15" s="176"/>
      <c r="D15" s="374">
        <f t="shared" ref="D15:L15" si="1">SUM(D10:D14)</f>
        <v>63161470</v>
      </c>
      <c r="E15" s="374">
        <f t="shared" si="1"/>
        <v>73228</v>
      </c>
      <c r="F15" s="374">
        <f t="shared" si="1"/>
        <v>0</v>
      </c>
      <c r="G15" s="374">
        <f t="shared" si="1"/>
        <v>6977288</v>
      </c>
      <c r="H15" s="374">
        <f t="shared" si="1"/>
        <v>0</v>
      </c>
      <c r="I15" s="374">
        <f t="shared" si="1"/>
        <v>0</v>
      </c>
      <c r="J15" s="374">
        <f t="shared" si="1"/>
        <v>0</v>
      </c>
      <c r="K15" s="374">
        <f t="shared" si="1"/>
        <v>0</v>
      </c>
      <c r="L15" s="374">
        <f t="shared" si="1"/>
        <v>0</v>
      </c>
      <c r="M15" s="374">
        <f t="shared" si="0"/>
        <v>70211986</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58" t="s">
        <v>1042</v>
      </c>
      <c r="C18" s="558"/>
      <c r="D18" s="374">
        <f t="shared" ref="D18:L18" si="2">D23-SUM(D19:D22)</f>
        <v>18536675</v>
      </c>
      <c r="E18" s="374">
        <f t="shared" si="2"/>
        <v>29675591</v>
      </c>
      <c r="F18" s="374">
        <f t="shared" si="2"/>
        <v>0</v>
      </c>
      <c r="G18" s="374">
        <f t="shared" si="2"/>
        <v>-1141176</v>
      </c>
      <c r="H18" s="374">
        <f t="shared" si="2"/>
        <v>0</v>
      </c>
      <c r="I18" s="374">
        <f t="shared" si="2"/>
        <v>0</v>
      </c>
      <c r="J18" s="374">
        <f t="shared" si="2"/>
        <v>0</v>
      </c>
      <c r="K18" s="374">
        <f t="shared" si="2"/>
        <v>0</v>
      </c>
      <c r="L18" s="374">
        <f t="shared" si="2"/>
        <v>0</v>
      </c>
      <c r="M18" s="374">
        <f t="shared" ref="M18:M29" si="3">D18+E18+F18+G18+H18+I18+J18+K18+L18</f>
        <v>47071090</v>
      </c>
      <c r="V18" s="327"/>
      <c r="X18" s="330"/>
    </row>
    <row r="19" spans="1:26" s="264" customFormat="1" ht="12.75" customHeight="1" thickTop="1" thickBot="1">
      <c r="A19" s="263"/>
      <c r="B19" s="261" t="s">
        <v>722</v>
      </c>
      <c r="C19" s="261"/>
      <c r="D19" s="372">
        <f>Input!$BF$22</f>
        <v>-1809864</v>
      </c>
      <c r="E19" s="372">
        <f>Input!$BG$22</f>
        <v>0</v>
      </c>
      <c r="F19" s="372">
        <f>Input!$BH$22</f>
        <v>0</v>
      </c>
      <c r="G19" s="372">
        <f>Input!$BI$22</f>
        <v>0</v>
      </c>
      <c r="H19" s="372">
        <f>Input!$BJ$22</f>
        <v>0</v>
      </c>
      <c r="I19" s="372">
        <f>Input!$BK$22</f>
        <v>0</v>
      </c>
      <c r="J19" s="372">
        <f>Input!$BL$22</f>
        <v>0</v>
      </c>
      <c r="K19" s="372">
        <f>Input!$BM$22</f>
        <v>0</v>
      </c>
      <c r="L19" s="372">
        <f>Input!$BN$22</f>
        <v>0</v>
      </c>
      <c r="M19" s="373">
        <f t="shared" si="3"/>
        <v>-1809864</v>
      </c>
      <c r="O19" s="1732" t="s">
        <v>1294</v>
      </c>
      <c r="P19" s="1733"/>
      <c r="Q19" s="1733"/>
      <c r="R19" s="1734"/>
      <c r="T19" s="1735" t="s">
        <v>1043</v>
      </c>
      <c r="U19" s="1736"/>
      <c r="V19" s="1736"/>
      <c r="W19" s="1736"/>
      <c r="X19" s="1737"/>
    </row>
    <row r="20" spans="1:26" s="264" customFormat="1" ht="12.75" customHeight="1" thickTop="1">
      <c r="A20" s="263"/>
      <c r="B20" s="261" t="s">
        <v>723</v>
      </c>
      <c r="C20" s="261"/>
      <c r="D20" s="372">
        <f>Input!$BO$22</f>
        <v>0</v>
      </c>
      <c r="E20" s="372">
        <f>Input!$BP$22</f>
        <v>0</v>
      </c>
      <c r="F20" s="372">
        <f>Input!$BQ$22</f>
        <v>0</v>
      </c>
      <c r="G20" s="372">
        <f>Input!$BR$22</f>
        <v>0</v>
      </c>
      <c r="H20" s="372">
        <f>Input!$BS$22</f>
        <v>0</v>
      </c>
      <c r="I20" s="372">
        <f>Input!$BT$22</f>
        <v>0</v>
      </c>
      <c r="J20" s="372">
        <f>Input!$BU$22</f>
        <v>0</v>
      </c>
      <c r="K20" s="372">
        <f>Input!$BV$22</f>
        <v>0</v>
      </c>
      <c r="L20" s="372">
        <f>Input!$BW$22</f>
        <v>0</v>
      </c>
      <c r="M20" s="373">
        <f t="shared" si="3"/>
        <v>0</v>
      </c>
      <c r="O20" s="421" t="s">
        <v>288</v>
      </c>
      <c r="P20" s="422"/>
      <c r="Q20" s="414"/>
      <c r="R20" s="559"/>
      <c r="T20" s="560" t="s">
        <v>1044</v>
      </c>
      <c r="U20" s="266"/>
      <c r="V20" s="266"/>
      <c r="X20" s="425"/>
    </row>
    <row r="21" spans="1:26" s="264" customFormat="1">
      <c r="A21" s="263"/>
      <c r="B21" s="261" t="s">
        <v>724</v>
      </c>
      <c r="C21" s="261"/>
      <c r="D21" s="372">
        <f>Input!$BX$22</f>
        <v>0</v>
      </c>
      <c r="E21" s="372">
        <f>Input!$BY$22</f>
        <v>0</v>
      </c>
      <c r="F21" s="372">
        <f>Input!$BZ$22</f>
        <v>0</v>
      </c>
      <c r="G21" s="372">
        <f>Input!$CA$22</f>
        <v>0</v>
      </c>
      <c r="H21" s="372">
        <f>Input!$CB$22</f>
        <v>0</v>
      </c>
      <c r="I21" s="372">
        <f>Input!$CC$22</f>
        <v>0</v>
      </c>
      <c r="J21" s="372">
        <f>Input!$CD$22</f>
        <v>0</v>
      </c>
      <c r="K21" s="372">
        <f>Input!$CE$22</f>
        <v>0</v>
      </c>
      <c r="L21" s="372">
        <f>Input!$CF$22</f>
        <v>0</v>
      </c>
      <c r="M21" s="373">
        <f t="shared" si="3"/>
        <v>0</v>
      </c>
      <c r="O21" s="434"/>
      <c r="R21" s="561"/>
      <c r="T21" s="650" t="s">
        <v>1045</v>
      </c>
      <c r="U21" s="266"/>
      <c r="V21" s="266"/>
      <c r="W21" s="651">
        <f>M44</f>
        <v>80100693</v>
      </c>
      <c r="X21" s="425"/>
      <c r="Z21" s="330"/>
    </row>
    <row r="22" spans="1:26" s="264" customFormat="1">
      <c r="A22" s="263"/>
      <c r="B22" s="261" t="s">
        <v>725</v>
      </c>
      <c r="C22" s="261"/>
      <c r="D22" s="372">
        <f>Input!$CG$22</f>
        <v>0</v>
      </c>
      <c r="E22" s="372">
        <f>Input!$CH$22</f>
        <v>0</v>
      </c>
      <c r="F22" s="372">
        <f>Input!$CI$22</f>
        <v>0</v>
      </c>
      <c r="G22" s="372">
        <f>Input!$CJ$22</f>
        <v>0</v>
      </c>
      <c r="H22" s="372">
        <f>Input!$CK$22</f>
        <v>0</v>
      </c>
      <c r="I22" s="372">
        <f>Input!$CL$22</f>
        <v>0</v>
      </c>
      <c r="J22" s="372">
        <f>Input!$CM$22</f>
        <v>0</v>
      </c>
      <c r="K22" s="372">
        <f>Input!$CN$22</f>
        <v>0</v>
      </c>
      <c r="L22" s="372">
        <f>Input!$CO$22</f>
        <v>0</v>
      </c>
      <c r="M22" s="373">
        <f t="shared" si="3"/>
        <v>0</v>
      </c>
      <c r="N22" s="270"/>
      <c r="O22" s="434" t="s">
        <v>1046</v>
      </c>
      <c r="P22" s="276"/>
      <c r="Q22" s="424">
        <f>M23</f>
        <v>45261226</v>
      </c>
      <c r="R22" s="562"/>
      <c r="T22" s="650" t="s">
        <v>1047</v>
      </c>
      <c r="U22" s="266"/>
      <c r="V22" s="266"/>
      <c r="W22" s="652">
        <f>R30*-1</f>
        <v>25976202</v>
      </c>
      <c r="X22" s="425"/>
    </row>
    <row r="23" spans="1:26" s="264" customFormat="1" ht="12.75" customHeight="1">
      <c r="A23" s="263"/>
      <c r="B23" s="558" t="s">
        <v>726</v>
      </c>
      <c r="C23" s="563"/>
      <c r="D23" s="564">
        <f>Input!$CP$22</f>
        <v>16726811</v>
      </c>
      <c r="E23" s="564">
        <f>Input!$CQ$22</f>
        <v>29675591</v>
      </c>
      <c r="F23" s="564">
        <f>Input!$CR$22</f>
        <v>0</v>
      </c>
      <c r="G23" s="564">
        <f>Input!$CS$22</f>
        <v>-1141176</v>
      </c>
      <c r="H23" s="564">
        <f>Input!$CT$22</f>
        <v>0</v>
      </c>
      <c r="I23" s="564">
        <f>Input!$CU$22</f>
        <v>0</v>
      </c>
      <c r="J23" s="564">
        <f>Input!$CV$22</f>
        <v>0</v>
      </c>
      <c r="K23" s="564">
        <f>Input!$CW$22</f>
        <v>0</v>
      </c>
      <c r="L23" s="564">
        <f>Input!$CX$22</f>
        <v>0</v>
      </c>
      <c r="M23" s="565">
        <f t="shared" si="3"/>
        <v>45261226</v>
      </c>
      <c r="O23" s="434"/>
      <c r="P23" s="276"/>
      <c r="Q23" s="424"/>
      <c r="R23" s="562"/>
      <c r="T23" s="560" t="s">
        <v>1230</v>
      </c>
      <c r="U23" s="266"/>
      <c r="V23" s="266"/>
      <c r="W23" s="276"/>
      <c r="X23" s="425">
        <f>SUM(W21:W22)</f>
        <v>106076895</v>
      </c>
      <c r="Z23" s="330"/>
    </row>
    <row r="24" spans="1:26" s="264" customFormat="1" ht="12.75" customHeight="1">
      <c r="A24" s="263"/>
      <c r="B24" s="261" t="s">
        <v>727</v>
      </c>
      <c r="C24" s="566"/>
      <c r="D24" s="372">
        <f>Input!$CY$22</f>
        <v>0</v>
      </c>
      <c r="E24" s="372">
        <f>Input!$CZ$22</f>
        <v>0</v>
      </c>
      <c r="F24" s="372">
        <f>Input!$DA$22</f>
        <v>0</v>
      </c>
      <c r="G24" s="372">
        <f>Input!$DB$22</f>
        <v>0</v>
      </c>
      <c r="H24" s="372">
        <f>Input!$DC$22</f>
        <v>0</v>
      </c>
      <c r="I24" s="372">
        <f>Input!$DD$22</f>
        <v>0</v>
      </c>
      <c r="J24" s="372">
        <f>Input!$DE$22</f>
        <v>0</v>
      </c>
      <c r="K24" s="372">
        <f>Input!$DF$22</f>
        <v>0</v>
      </c>
      <c r="L24" s="372">
        <f>Input!$DG$22</f>
        <v>0</v>
      </c>
      <c r="M24" s="567">
        <f t="shared" si="3"/>
        <v>0</v>
      </c>
      <c r="O24" s="417" t="s">
        <v>1048</v>
      </c>
      <c r="P24" s="276"/>
      <c r="Q24" s="327"/>
      <c r="R24" s="646">
        <f>SUM(M24:M28)</f>
        <v>-11068514</v>
      </c>
      <c r="T24" s="560"/>
      <c r="U24" s="266"/>
      <c r="V24" s="266"/>
      <c r="X24" s="425"/>
      <c r="Z24" s="330"/>
    </row>
    <row r="25" spans="1:26" s="264" customFormat="1" ht="12.75" customHeight="1">
      <c r="A25" s="263"/>
      <c r="B25" s="261" t="s">
        <v>728</v>
      </c>
      <c r="C25" s="566"/>
      <c r="D25" s="372">
        <f>Input!$DH$22</f>
        <v>0</v>
      </c>
      <c r="E25" s="372">
        <f>Input!$DI$22</f>
        <v>0</v>
      </c>
      <c r="F25" s="372">
        <f>Input!$DJ$22</f>
        <v>0</v>
      </c>
      <c r="G25" s="372">
        <f>Input!$DK$22</f>
        <v>0</v>
      </c>
      <c r="H25" s="372">
        <f>Input!$DL$22</f>
        <v>0</v>
      </c>
      <c r="I25" s="372">
        <f>Input!$DM$22</f>
        <v>0</v>
      </c>
      <c r="J25" s="372">
        <f>Input!$DN$22</f>
        <v>0</v>
      </c>
      <c r="K25" s="372">
        <f>Input!$DO$22</f>
        <v>0</v>
      </c>
      <c r="L25" s="372">
        <f>Input!$DP$22</f>
        <v>0</v>
      </c>
      <c r="M25" s="567">
        <f t="shared" si="3"/>
        <v>0</v>
      </c>
      <c r="O25" s="434"/>
      <c r="P25" s="276"/>
      <c r="Q25" s="327"/>
      <c r="R25" s="646"/>
      <c r="T25" s="568" t="s">
        <v>1103</v>
      </c>
      <c r="U25" s="569"/>
      <c r="V25" s="569"/>
      <c r="W25" s="653">
        <f>(M26+M39)*-1</f>
        <v>4850378</v>
      </c>
      <c r="X25" s="425"/>
      <c r="Z25" s="330"/>
    </row>
    <row r="26" spans="1:26" s="264" customFormat="1" ht="12.75" customHeight="1">
      <c r="A26" s="263"/>
      <c r="B26" s="261" t="s">
        <v>729</v>
      </c>
      <c r="C26" s="566"/>
      <c r="D26" s="372">
        <f>Input!$DQ$22</f>
        <v>-761863</v>
      </c>
      <c r="E26" s="372">
        <f>Input!$DR$22</f>
        <v>-3441466</v>
      </c>
      <c r="F26" s="372">
        <f>Input!$DS$22</f>
        <v>0</v>
      </c>
      <c r="G26" s="372">
        <f>Input!$DT$22</f>
        <v>0</v>
      </c>
      <c r="H26" s="372">
        <f>Input!$DU$22</f>
        <v>0</v>
      </c>
      <c r="I26" s="372">
        <f>Input!$DV$22</f>
        <v>0</v>
      </c>
      <c r="J26" s="372">
        <f>Input!$DW$22</f>
        <v>0</v>
      </c>
      <c r="K26" s="372">
        <f>Input!$DX$22</f>
        <v>0</v>
      </c>
      <c r="L26" s="372">
        <f>Input!$DY$22</f>
        <v>0</v>
      </c>
      <c r="M26" s="567">
        <f t="shared" si="3"/>
        <v>-4203329</v>
      </c>
      <c r="O26" s="434" t="s">
        <v>1049</v>
      </c>
      <c r="P26" s="276"/>
      <c r="Q26" s="427">
        <f>M36</f>
        <v>60815669</v>
      </c>
      <c r="R26" s="570"/>
      <c r="T26" s="560" t="s">
        <v>1104</v>
      </c>
      <c r="U26" s="266"/>
      <c r="V26" s="266"/>
      <c r="W26" s="571">
        <f>(M21+M34)*-1</f>
        <v>0</v>
      </c>
      <c r="X26" s="425"/>
      <c r="Z26" s="330"/>
    </row>
    <row r="27" spans="1:26" s="264" customFormat="1">
      <c r="A27" s="263"/>
      <c r="B27" s="261" t="s">
        <v>730</v>
      </c>
      <c r="C27" s="566"/>
      <c r="D27" s="372">
        <f>Input!$DZ$22</f>
        <v>0</v>
      </c>
      <c r="E27" s="372">
        <f>Input!$EA$22</f>
        <v>0</v>
      </c>
      <c r="F27" s="372">
        <f>Input!$EB$22</f>
        <v>0</v>
      </c>
      <c r="G27" s="372">
        <f>Input!$EC$22</f>
        <v>0</v>
      </c>
      <c r="H27" s="372">
        <f>Input!$ED$22</f>
        <v>0</v>
      </c>
      <c r="I27" s="372">
        <f>Input!$EE$22</f>
        <v>0</v>
      </c>
      <c r="J27" s="372">
        <f>Input!$EF$22</f>
        <v>0</v>
      </c>
      <c r="K27" s="372">
        <f>Input!$EG$22</f>
        <v>0</v>
      </c>
      <c r="L27" s="372">
        <f>Input!EH6</f>
        <v>0</v>
      </c>
      <c r="M27" s="567">
        <f t="shared" si="3"/>
        <v>0</v>
      </c>
      <c r="O27" s="434"/>
      <c r="P27" s="276"/>
      <c r="Q27" s="427"/>
      <c r="R27" s="570"/>
      <c r="T27" s="650" t="s">
        <v>1105</v>
      </c>
      <c r="U27" s="584"/>
      <c r="V27" s="584"/>
      <c r="W27" s="654">
        <f>SUM(W25:W26)</f>
        <v>4850378</v>
      </c>
      <c r="X27" s="655"/>
    </row>
    <row r="28" spans="1:26" s="264" customFormat="1">
      <c r="A28" s="263"/>
      <c r="B28" s="261" t="s">
        <v>2133</v>
      </c>
      <c r="C28" s="566"/>
      <c r="D28" s="372">
        <f>Input!$EI$22</f>
        <v>-3228037</v>
      </c>
      <c r="E28" s="372">
        <f>Input!$EJ$22</f>
        <v>-3637148</v>
      </c>
      <c r="F28" s="372">
        <f>Input!$EK$22</f>
        <v>0</v>
      </c>
      <c r="G28" s="372">
        <f>Input!$EL$22</f>
        <v>0</v>
      </c>
      <c r="H28" s="372">
        <f>Input!$EM$22</f>
        <v>0</v>
      </c>
      <c r="I28" s="372">
        <f>Input!$EN$22</f>
        <v>0</v>
      </c>
      <c r="J28" s="372">
        <f>Input!$EO$22</f>
        <v>0</v>
      </c>
      <c r="K28" s="372">
        <f>Input!$EP$22</f>
        <v>0</v>
      </c>
      <c r="L28" s="372">
        <f>Input!$EQ$22</f>
        <v>0</v>
      </c>
      <c r="M28" s="567">
        <f t="shared" si="3"/>
        <v>-6865185</v>
      </c>
      <c r="O28" s="417" t="s">
        <v>1050</v>
      </c>
      <c r="Q28" s="429"/>
      <c r="R28" s="646">
        <f>SUM(M37:M41)</f>
        <v>-14907688</v>
      </c>
      <c r="T28" s="560" t="s">
        <v>1106</v>
      </c>
      <c r="U28" s="266"/>
      <c r="V28" s="266"/>
      <c r="W28" s="425">
        <f>(M27+M40)*-1</f>
        <v>0</v>
      </c>
      <c r="X28" s="655"/>
      <c r="Z28" s="330"/>
    </row>
    <row r="29" spans="1:26" s="264" customFormat="1" ht="12" customHeight="1">
      <c r="A29" s="263"/>
      <c r="B29" s="575" t="s">
        <v>39</v>
      </c>
      <c r="C29" s="563"/>
      <c r="D29" s="374">
        <f t="shared" ref="D29:L29" si="4">SUM(D23:D28)</f>
        <v>12736911</v>
      </c>
      <c r="E29" s="374">
        <f t="shared" si="4"/>
        <v>22596977</v>
      </c>
      <c r="F29" s="374">
        <f t="shared" si="4"/>
        <v>0</v>
      </c>
      <c r="G29" s="374">
        <f t="shared" si="4"/>
        <v>-1141176</v>
      </c>
      <c r="H29" s="374">
        <f t="shared" si="4"/>
        <v>0</v>
      </c>
      <c r="I29" s="374">
        <f t="shared" si="4"/>
        <v>0</v>
      </c>
      <c r="J29" s="374">
        <f t="shared" si="4"/>
        <v>0</v>
      </c>
      <c r="K29" s="374">
        <f t="shared" si="4"/>
        <v>0</v>
      </c>
      <c r="L29" s="374">
        <f t="shared" si="4"/>
        <v>0</v>
      </c>
      <c r="M29" s="374">
        <f t="shared" si="3"/>
        <v>34192712</v>
      </c>
      <c r="O29" s="417"/>
      <c r="Q29" s="429"/>
      <c r="R29" s="576"/>
      <c r="T29" s="560" t="s">
        <v>1107</v>
      </c>
      <c r="U29" s="266"/>
      <c r="V29" s="266"/>
      <c r="W29" s="571">
        <f>(M22+M35)*-1</f>
        <v>0</v>
      </c>
      <c r="X29" s="655"/>
    </row>
    <row r="30" spans="1:26" s="264" customFormat="1" ht="16.5" customHeight="1">
      <c r="A30" s="263"/>
      <c r="B30" s="261"/>
      <c r="C30" s="566"/>
      <c r="D30" s="566"/>
      <c r="E30" s="566"/>
      <c r="F30" s="566"/>
      <c r="G30" s="566"/>
      <c r="H30" s="566"/>
      <c r="I30" s="566"/>
      <c r="J30" s="566"/>
      <c r="K30" s="566"/>
      <c r="L30" s="566"/>
      <c r="M30" s="567"/>
      <c r="O30" s="431" t="s">
        <v>289</v>
      </c>
      <c r="P30" s="432"/>
      <c r="Q30" s="433">
        <f>Q26+Q22</f>
        <v>106076895</v>
      </c>
      <c r="R30" s="647">
        <f>R28+R24</f>
        <v>-25976202</v>
      </c>
      <c r="T30" s="650" t="s">
        <v>1108</v>
      </c>
      <c r="U30" s="584"/>
      <c r="V30" s="584"/>
      <c r="W30" s="654">
        <f>SUM(W28:W29)</f>
        <v>0</v>
      </c>
      <c r="X30" s="655"/>
    </row>
    <row r="31" spans="1:26" s="264" customFormat="1" ht="12.75" customHeight="1">
      <c r="A31" s="263"/>
      <c r="B31" s="558" t="s">
        <v>1052</v>
      </c>
      <c r="C31" s="558"/>
      <c r="D31" s="374">
        <f t="shared" ref="D31:L31" si="5">D36-SUM(D32:D35)</f>
        <v>368684</v>
      </c>
      <c r="E31" s="374">
        <f t="shared" si="5"/>
        <v>50059555</v>
      </c>
      <c r="F31" s="374">
        <f t="shared" si="5"/>
        <v>18122584</v>
      </c>
      <c r="G31" s="374">
        <f t="shared" si="5"/>
        <v>-1681659</v>
      </c>
      <c r="H31" s="374">
        <f t="shared" si="5"/>
        <v>0</v>
      </c>
      <c r="I31" s="374">
        <f t="shared" si="5"/>
        <v>0</v>
      </c>
      <c r="J31" s="374">
        <f t="shared" si="5"/>
        <v>0</v>
      </c>
      <c r="K31" s="374">
        <f t="shared" si="5"/>
        <v>0</v>
      </c>
      <c r="L31" s="374">
        <f t="shared" si="5"/>
        <v>0</v>
      </c>
      <c r="M31" s="374">
        <f t="shared" ref="M31:M42" si="6">D31+E31+F31+G31+H31+I31+J31+K31+L31</f>
        <v>66869164</v>
      </c>
      <c r="O31" s="434" t="s">
        <v>290</v>
      </c>
      <c r="P31" s="276"/>
      <c r="Q31" s="335"/>
      <c r="R31" s="562"/>
      <c r="T31" s="572" t="s">
        <v>1109</v>
      </c>
      <c r="U31" s="573"/>
      <c r="V31" s="573"/>
      <c r="W31" s="574">
        <f>W27+W30</f>
        <v>4850378</v>
      </c>
      <c r="X31" s="425"/>
      <c r="Z31" s="330"/>
    </row>
    <row r="32" spans="1:26" s="264" customFormat="1" ht="12.75" customHeight="1">
      <c r="A32" s="263"/>
      <c r="B32" s="261" t="s">
        <v>722</v>
      </c>
      <c r="C32" s="261"/>
      <c r="D32" s="372">
        <f>Input!$ER$22</f>
        <v>0</v>
      </c>
      <c r="E32" s="372">
        <f>Input!$ES$22</f>
        <v>-6053495</v>
      </c>
      <c r="F32" s="372">
        <f>Input!$ET$22</f>
        <v>0</v>
      </c>
      <c r="G32" s="372">
        <f>Input!$EU$22</f>
        <v>0</v>
      </c>
      <c r="H32" s="372">
        <f>Input!$EV$22</f>
        <v>0</v>
      </c>
      <c r="I32" s="372">
        <f>Input!$EW$22</f>
        <v>0</v>
      </c>
      <c r="J32" s="372">
        <f>Input!$EX$22</f>
        <v>0</v>
      </c>
      <c r="K32" s="372">
        <f>Input!$EY$22</f>
        <v>0</v>
      </c>
      <c r="L32" s="372">
        <f>Input!$EZ$22</f>
        <v>0</v>
      </c>
      <c r="M32" s="567">
        <f t="shared" si="6"/>
        <v>-6053495</v>
      </c>
      <c r="O32" s="415" t="s">
        <v>1295</v>
      </c>
      <c r="P32" s="416"/>
      <c r="Q32" s="577">
        <f>Input!$SQ$22</f>
        <v>106076895</v>
      </c>
      <c r="R32" s="578"/>
      <c r="T32" s="560"/>
      <c r="U32" s="266"/>
      <c r="V32" s="266"/>
      <c r="X32" s="425"/>
      <c r="Z32" s="330"/>
    </row>
    <row r="33" spans="1:24" s="264" customFormat="1">
      <c r="A33" s="263"/>
      <c r="B33" s="261" t="s">
        <v>723</v>
      </c>
      <c r="C33" s="261"/>
      <c r="D33" s="372">
        <f>Input!$FA$22</f>
        <v>0</v>
      </c>
      <c r="E33" s="372">
        <f>Input!$FB$22</f>
        <v>0</v>
      </c>
      <c r="F33" s="372">
        <f>Input!$FC$22</f>
        <v>0</v>
      </c>
      <c r="G33" s="372">
        <f>Input!$FD$22</f>
        <v>0</v>
      </c>
      <c r="H33" s="372">
        <f>Input!$FE$22</f>
        <v>0</v>
      </c>
      <c r="I33" s="372">
        <f>Input!$FF$22</f>
        <v>0</v>
      </c>
      <c r="J33" s="372">
        <f>Input!$FG$22</f>
        <v>0</v>
      </c>
      <c r="K33" s="372">
        <f>Input!$FH$22</f>
        <v>0</v>
      </c>
      <c r="L33" s="372">
        <f>Input!$FI$22</f>
        <v>0</v>
      </c>
      <c r="M33" s="567">
        <f t="shared" si="6"/>
        <v>0</v>
      </c>
      <c r="O33" s="415"/>
      <c r="P33" s="416"/>
      <c r="Q33" s="327"/>
      <c r="R33" s="578"/>
      <c r="T33" s="560" t="s">
        <v>1051</v>
      </c>
      <c r="U33" s="266"/>
      <c r="V33" s="266"/>
      <c r="W33" s="334">
        <f>(M19+M32)*-1</f>
        <v>7863359</v>
      </c>
      <c r="X33" s="425"/>
    </row>
    <row r="34" spans="1:24" s="264" customFormat="1">
      <c r="A34" s="263"/>
      <c r="B34" s="261" t="s">
        <v>724</v>
      </c>
      <c r="C34" s="261"/>
      <c r="D34" s="372">
        <f>Input!$FJ$22</f>
        <v>0</v>
      </c>
      <c r="E34" s="372">
        <f>Input!$FK$22</f>
        <v>0</v>
      </c>
      <c r="F34" s="372">
        <f>Input!$FL$22</f>
        <v>0</v>
      </c>
      <c r="G34" s="372">
        <f>Input!$FM$22</f>
        <v>0</v>
      </c>
      <c r="H34" s="372">
        <f>Input!$FN$22</f>
        <v>0</v>
      </c>
      <c r="I34" s="372">
        <f>Input!$FO$22</f>
        <v>0</v>
      </c>
      <c r="J34" s="372">
        <f>Input!$FP$22</f>
        <v>0</v>
      </c>
      <c r="K34" s="372">
        <f>Input!$FQ$22</f>
        <v>0</v>
      </c>
      <c r="L34" s="372">
        <f>Input!$FR$22</f>
        <v>0</v>
      </c>
      <c r="M34" s="567">
        <f t="shared" si="6"/>
        <v>0</v>
      </c>
      <c r="O34" s="435" t="s">
        <v>1296</v>
      </c>
      <c r="P34" s="436"/>
      <c r="Q34" s="264" t="s">
        <v>291</v>
      </c>
      <c r="R34" s="648">
        <f>Input!$SR$22</f>
        <v>-25976202</v>
      </c>
      <c r="T34" s="560" t="s">
        <v>1110</v>
      </c>
      <c r="U34" s="266"/>
      <c r="V34" s="266"/>
      <c r="W34" s="430">
        <f>(M24+M37)*-1</f>
        <v>0</v>
      </c>
      <c r="X34" s="425"/>
    </row>
    <row r="35" spans="1:24" s="264" customFormat="1" ht="13.5" thickBot="1">
      <c r="A35" s="263"/>
      <c r="B35" s="261" t="s">
        <v>725</v>
      </c>
      <c r="C35" s="261"/>
      <c r="D35" s="372">
        <f>Input!$FS$22</f>
        <v>0</v>
      </c>
      <c r="E35" s="372">
        <f>Input!$FT$22</f>
        <v>0</v>
      </c>
      <c r="F35" s="372">
        <f>Input!$FU$22</f>
        <v>0</v>
      </c>
      <c r="G35" s="372">
        <f>Input!$FV$22</f>
        <v>0</v>
      </c>
      <c r="H35" s="372">
        <f>Input!$FW$22</f>
        <v>0</v>
      </c>
      <c r="I35" s="372">
        <f>Input!$FX$22</f>
        <v>0</v>
      </c>
      <c r="J35" s="372">
        <f>Input!$FY$22</f>
        <v>0</v>
      </c>
      <c r="K35" s="372">
        <f>Input!$FZ$22</f>
        <v>0</v>
      </c>
      <c r="L35" s="372">
        <f>Input!$GA$22</f>
        <v>0</v>
      </c>
      <c r="M35" s="567">
        <f t="shared" si="6"/>
        <v>0</v>
      </c>
      <c r="O35" s="418" t="s">
        <v>286</v>
      </c>
      <c r="P35" s="419"/>
      <c r="Q35" s="420">
        <f>Q30-Q32</f>
        <v>0</v>
      </c>
      <c r="R35" s="649">
        <f>R30-R34</f>
        <v>0</v>
      </c>
      <c r="T35" s="650" t="s">
        <v>1111</v>
      </c>
      <c r="U35" s="584"/>
      <c r="V35" s="584"/>
      <c r="W35" s="656">
        <f>SUM(W33:W34)</f>
        <v>7863359</v>
      </c>
      <c r="X35" s="655"/>
    </row>
    <row r="36" spans="1:24" s="264" customFormat="1" ht="13.5" thickTop="1">
      <c r="A36" s="263"/>
      <c r="B36" s="558" t="s">
        <v>732</v>
      </c>
      <c r="C36" s="563"/>
      <c r="D36" s="564">
        <f>Input!$GB$22</f>
        <v>368684</v>
      </c>
      <c r="E36" s="564">
        <f>Input!$GC$22</f>
        <v>44006060</v>
      </c>
      <c r="F36" s="564">
        <f>Input!$GD$22</f>
        <v>18122584</v>
      </c>
      <c r="G36" s="564">
        <f>Input!$GE$22</f>
        <v>-1681659</v>
      </c>
      <c r="H36" s="564">
        <f>Input!$GF$22</f>
        <v>0</v>
      </c>
      <c r="I36" s="564">
        <f>Input!$GG$22</f>
        <v>0</v>
      </c>
      <c r="J36" s="564">
        <f>Input!$GH$22</f>
        <v>0</v>
      </c>
      <c r="K36" s="564">
        <f>Input!$GI$22</f>
        <v>0</v>
      </c>
      <c r="L36" s="564">
        <f>Input!$GJ$22</f>
        <v>0</v>
      </c>
      <c r="M36" s="565">
        <f t="shared" si="6"/>
        <v>60815669</v>
      </c>
      <c r="O36" s="261"/>
      <c r="Q36" s="412" t="str">
        <f>IF(Q30&lt;&gt;Q32,"Out of Balance","Balanced")</f>
        <v>Balanced</v>
      </c>
      <c r="R36" s="412" t="str">
        <f>IF(R30&lt;&gt;R34,"Out of Balance","Balanced")</f>
        <v>Balanced</v>
      </c>
      <c r="T36" s="560" t="s">
        <v>1053</v>
      </c>
      <c r="U36" s="266"/>
      <c r="V36" s="266"/>
      <c r="W36" s="334">
        <f>(M20+M33)*-1</f>
        <v>0</v>
      </c>
      <c r="X36" s="425"/>
    </row>
    <row r="37" spans="1:24" s="264" customFormat="1">
      <c r="A37" s="263"/>
      <c r="B37" s="261" t="s">
        <v>727</v>
      </c>
      <c r="C37" s="566"/>
      <c r="D37" s="372">
        <f>Input!$GK$22</f>
        <v>0</v>
      </c>
      <c r="E37" s="372">
        <f>Input!$GL$22</f>
        <v>0</v>
      </c>
      <c r="F37" s="372">
        <f>Input!$GM$22</f>
        <v>0</v>
      </c>
      <c r="G37" s="372">
        <f>Input!$GN$22</f>
        <v>0</v>
      </c>
      <c r="H37" s="372">
        <f>Input!$GO$22</f>
        <v>0</v>
      </c>
      <c r="I37" s="372">
        <f>Input!$GP$22</f>
        <v>0</v>
      </c>
      <c r="J37" s="372">
        <f>Input!$GQ$22</f>
        <v>0</v>
      </c>
      <c r="K37" s="372">
        <f>Input!$GR$22</f>
        <v>0</v>
      </c>
      <c r="L37" s="372">
        <f>Input!$GS$22</f>
        <v>0</v>
      </c>
      <c r="M37" s="567">
        <f t="shared" si="6"/>
        <v>0</v>
      </c>
      <c r="O37" s="261"/>
      <c r="T37" s="560" t="s">
        <v>1112</v>
      </c>
      <c r="U37" s="266"/>
      <c r="V37" s="266"/>
      <c r="W37" s="430">
        <f>(M25+M38)*-1</f>
        <v>0</v>
      </c>
      <c r="X37" s="655"/>
    </row>
    <row r="38" spans="1:24" s="264" customFormat="1">
      <c r="A38" s="263"/>
      <c r="B38" s="261" t="s">
        <v>728</v>
      </c>
      <c r="C38" s="566"/>
      <c r="D38" s="372">
        <f>Input!$GT$22</f>
        <v>0</v>
      </c>
      <c r="E38" s="372">
        <f>Input!$GU$22</f>
        <v>0</v>
      </c>
      <c r="F38" s="372">
        <f>Input!$GV$22</f>
        <v>0</v>
      </c>
      <c r="G38" s="372">
        <f>Input!$GW$22</f>
        <v>0</v>
      </c>
      <c r="H38" s="372">
        <f>Input!$GX$22</f>
        <v>0</v>
      </c>
      <c r="I38" s="372">
        <f>Input!$GY$22</f>
        <v>0</v>
      </c>
      <c r="J38" s="372">
        <f>Input!$GZ$22</f>
        <v>0</v>
      </c>
      <c r="K38" s="372">
        <f>Input!$HA$22</f>
        <v>0</v>
      </c>
      <c r="L38" s="372">
        <f>Input!$HB$22</f>
        <v>0</v>
      </c>
      <c r="M38" s="567">
        <f t="shared" si="6"/>
        <v>0</v>
      </c>
      <c r="O38" s="261"/>
      <c r="T38" s="650" t="s">
        <v>1113</v>
      </c>
      <c r="U38" s="584"/>
      <c r="V38" s="584"/>
      <c r="W38" s="656">
        <f>SUM(W36:W37)</f>
        <v>0</v>
      </c>
      <c r="X38" s="425"/>
    </row>
    <row r="39" spans="1:24" s="264" customFormat="1">
      <c r="A39" s="263"/>
      <c r="B39" s="261" t="s">
        <v>729</v>
      </c>
      <c r="C39" s="566"/>
      <c r="D39" s="372">
        <f>Input!$HC$22</f>
        <v>0</v>
      </c>
      <c r="E39" s="372">
        <f>Input!$HD$22</f>
        <v>0</v>
      </c>
      <c r="F39" s="372">
        <f>Input!$HE$22</f>
        <v>-647049</v>
      </c>
      <c r="G39" s="372">
        <f>Input!$HF$22</f>
        <v>0</v>
      </c>
      <c r="H39" s="372">
        <f>Input!$HG$22</f>
        <v>0</v>
      </c>
      <c r="I39" s="372">
        <f>Input!$HH$22</f>
        <v>0</v>
      </c>
      <c r="J39" s="372">
        <f>Input!$HI$22</f>
        <v>0</v>
      </c>
      <c r="K39" s="372">
        <f>Input!$HJ$22</f>
        <v>0</v>
      </c>
      <c r="L39" s="372">
        <f>Input!$HK$22</f>
        <v>0</v>
      </c>
      <c r="M39" s="567">
        <f t="shared" si="6"/>
        <v>-647049</v>
      </c>
      <c r="O39" s="261"/>
      <c r="T39" s="560" t="s">
        <v>1054</v>
      </c>
      <c r="U39" s="266"/>
      <c r="V39" s="266"/>
      <c r="W39" s="334"/>
      <c r="X39" s="425">
        <f>W38+W35</f>
        <v>7863359</v>
      </c>
    </row>
    <row r="40" spans="1:24" s="264" customFormat="1">
      <c r="A40" s="263"/>
      <c r="B40" s="261" t="s">
        <v>730</v>
      </c>
      <c r="C40" s="566"/>
      <c r="D40" s="372">
        <f>Input!$HL$22</f>
        <v>0</v>
      </c>
      <c r="E40" s="372">
        <f>Input!$HM$22</f>
        <v>0</v>
      </c>
      <c r="F40" s="372">
        <f>Input!$HN$22</f>
        <v>0</v>
      </c>
      <c r="G40" s="372">
        <f>Input!$HO$22</f>
        <v>0</v>
      </c>
      <c r="H40" s="372">
        <f>Input!$HP$22</f>
        <v>0</v>
      </c>
      <c r="I40" s="372">
        <f>Input!$HQ$22</f>
        <v>0</v>
      </c>
      <c r="J40" s="372">
        <f>Input!$HR$22</f>
        <v>0</v>
      </c>
      <c r="K40" s="372">
        <f>Input!$HS$22</f>
        <v>0</v>
      </c>
      <c r="L40" s="372">
        <f>Input!$HT$22</f>
        <v>0</v>
      </c>
      <c r="M40" s="567">
        <f t="shared" si="6"/>
        <v>0</v>
      </c>
      <c r="O40" s="261"/>
      <c r="T40" s="560"/>
      <c r="U40" s="261"/>
      <c r="V40" s="261"/>
      <c r="W40" s="261"/>
      <c r="X40" s="655"/>
    </row>
    <row r="41" spans="1:24" s="264" customFormat="1">
      <c r="A41" s="263"/>
      <c r="B41" s="261" t="s">
        <v>2133</v>
      </c>
      <c r="C41" s="566"/>
      <c r="D41" s="372">
        <f>Input!$HU$22</f>
        <v>-87943</v>
      </c>
      <c r="E41" s="372">
        <f>Input!$HV$22</f>
        <v>-10496907</v>
      </c>
      <c r="F41" s="372">
        <f>Input!$HW$22</f>
        <v>-3675789</v>
      </c>
      <c r="G41" s="372">
        <f>Input!$HX$22</f>
        <v>0</v>
      </c>
      <c r="H41" s="372">
        <f>Input!$HY$22</f>
        <v>0</v>
      </c>
      <c r="I41" s="372">
        <f>Input!$HZ$22</f>
        <v>0</v>
      </c>
      <c r="J41" s="372">
        <f>Input!$IA$22</f>
        <v>0</v>
      </c>
      <c r="K41" s="372">
        <f>Input!$IB$22</f>
        <v>0</v>
      </c>
      <c r="L41" s="372">
        <f>Input!$IC$22</f>
        <v>0</v>
      </c>
      <c r="M41" s="567">
        <f t="shared" si="6"/>
        <v>-14260639</v>
      </c>
      <c r="O41"/>
      <c r="P41"/>
      <c r="Q41"/>
      <c r="R41"/>
      <c r="S41"/>
      <c r="T41" s="560" t="s">
        <v>1104</v>
      </c>
      <c r="U41" s="266"/>
      <c r="V41" s="266"/>
      <c r="W41" s="330">
        <f>(M21+M34)*-1</f>
        <v>0</v>
      </c>
      <c r="X41" s="425"/>
    </row>
    <row r="42" spans="1:24" s="264" customFormat="1">
      <c r="A42" s="263"/>
      <c r="B42" s="575" t="s">
        <v>40</v>
      </c>
      <c r="C42" s="563"/>
      <c r="D42" s="374">
        <f t="shared" ref="D42:L42" si="7">SUM(D36:D41)</f>
        <v>280741</v>
      </c>
      <c r="E42" s="374">
        <f t="shared" si="7"/>
        <v>33509153</v>
      </c>
      <c r="F42" s="374">
        <f t="shared" si="7"/>
        <v>13799746</v>
      </c>
      <c r="G42" s="374">
        <f t="shared" si="7"/>
        <v>-1681659</v>
      </c>
      <c r="H42" s="374">
        <f t="shared" si="7"/>
        <v>0</v>
      </c>
      <c r="I42" s="374">
        <f t="shared" si="7"/>
        <v>0</v>
      </c>
      <c r="J42" s="374">
        <f t="shared" si="7"/>
        <v>0</v>
      </c>
      <c r="K42" s="374">
        <f t="shared" si="7"/>
        <v>0</v>
      </c>
      <c r="L42" s="374">
        <f t="shared" si="7"/>
        <v>0</v>
      </c>
      <c r="M42" s="374">
        <f t="shared" si="6"/>
        <v>45907981</v>
      </c>
      <c r="O42"/>
      <c r="P42"/>
      <c r="Q42"/>
      <c r="R42"/>
      <c r="S42"/>
      <c r="T42" s="560" t="s">
        <v>1107</v>
      </c>
      <c r="U42" s="266"/>
      <c r="V42" s="266"/>
      <c r="W42" s="430">
        <f>(M22+M35)*-1</f>
        <v>0</v>
      </c>
      <c r="X42" s="425"/>
    </row>
    <row r="43" spans="1:24" s="264" customFormat="1">
      <c r="A43" s="263"/>
      <c r="B43" s="261"/>
      <c r="C43" s="566"/>
      <c r="D43" s="566"/>
      <c r="E43" s="566"/>
      <c r="F43" s="566"/>
      <c r="G43" s="566"/>
      <c r="H43" s="566"/>
      <c r="I43" s="566"/>
      <c r="J43" s="566"/>
      <c r="K43" s="566"/>
      <c r="L43" s="566"/>
      <c r="M43" s="567"/>
      <c r="O43"/>
      <c r="P43"/>
      <c r="Q43"/>
      <c r="R43"/>
      <c r="S43"/>
      <c r="T43" s="650" t="s">
        <v>1114</v>
      </c>
      <c r="U43" s="584"/>
      <c r="V43" s="584"/>
      <c r="W43" s="656">
        <f>SUM(W41:W42)</f>
        <v>0</v>
      </c>
      <c r="X43" s="655"/>
    </row>
    <row r="44" spans="1:24" s="264" customFormat="1" ht="13.5" customHeight="1">
      <c r="A44" s="263"/>
      <c r="B44" s="575" t="s">
        <v>1055</v>
      </c>
      <c r="C44" s="563"/>
      <c r="D44" s="374">
        <f t="shared" ref="D44:L44" si="8">D42+D29</f>
        <v>13017652</v>
      </c>
      <c r="E44" s="374">
        <f t="shared" si="8"/>
        <v>56106130</v>
      </c>
      <c r="F44" s="374">
        <f t="shared" si="8"/>
        <v>13799746</v>
      </c>
      <c r="G44" s="374">
        <f t="shared" si="8"/>
        <v>-2822835</v>
      </c>
      <c r="H44" s="374">
        <f t="shared" si="8"/>
        <v>0</v>
      </c>
      <c r="I44" s="374">
        <f t="shared" si="8"/>
        <v>0</v>
      </c>
      <c r="J44" s="374">
        <f t="shared" si="8"/>
        <v>0</v>
      </c>
      <c r="K44" s="374">
        <f t="shared" si="8"/>
        <v>0</v>
      </c>
      <c r="L44" s="374">
        <f t="shared" si="8"/>
        <v>0</v>
      </c>
      <c r="M44" s="374">
        <f>D44+E44+F44+G44+H44+I44+J44+K44+L44</f>
        <v>80100693</v>
      </c>
      <c r="O44"/>
      <c r="P44"/>
      <c r="Q44"/>
      <c r="R44"/>
      <c r="S44"/>
      <c r="T44" s="560"/>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0"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0" t="s">
        <v>1112</v>
      </c>
      <c r="U46" s="266"/>
      <c r="V46" s="266"/>
      <c r="W46" s="430">
        <f>(M25+M38)*-1</f>
        <v>0</v>
      </c>
      <c r="X46" s="425"/>
    </row>
    <row r="47" spans="1:24">
      <c r="A47" s="184">
        <v>30</v>
      </c>
      <c r="B47" s="176" t="s">
        <v>7</v>
      </c>
      <c r="C47" s="176"/>
      <c r="D47" s="375">
        <f>Input!$ID$22</f>
        <v>1631662</v>
      </c>
      <c r="E47" s="375">
        <f>Input!$IE$22</f>
        <v>763670</v>
      </c>
      <c r="F47" s="375">
        <f>Input!$IF$22</f>
        <v>0</v>
      </c>
      <c r="G47" s="375">
        <f>Input!$IG$22</f>
        <v>42045282</v>
      </c>
      <c r="H47" s="375">
        <f>Input!$IH$22</f>
        <v>0</v>
      </c>
      <c r="I47" s="375">
        <f>Input!$II$22</f>
        <v>0</v>
      </c>
      <c r="J47" s="375">
        <f>Input!$IJ$22</f>
        <v>0</v>
      </c>
      <c r="K47" s="375">
        <f>Input!$IK$22</f>
        <v>0</v>
      </c>
      <c r="L47" s="375">
        <f>Input!$IL$22</f>
        <v>0</v>
      </c>
      <c r="M47" s="374">
        <f>D47+E47+F47+G47+H47+I47+J47+K47+L47</f>
        <v>44440614</v>
      </c>
      <c r="N47" s="160"/>
      <c r="O47"/>
      <c r="P47"/>
      <c r="Q47"/>
      <c r="R47"/>
      <c r="S47"/>
      <c r="T47" s="657" t="s">
        <v>1115</v>
      </c>
      <c r="U47" s="27"/>
      <c r="V47" s="27"/>
      <c r="W47" s="656">
        <f>SUM(W45:W46)</f>
        <v>0</v>
      </c>
      <c r="X47" s="655"/>
    </row>
    <row r="48" spans="1:24">
      <c r="A48" s="184">
        <v>31</v>
      </c>
      <c r="B48" s="160"/>
      <c r="C48" s="160"/>
      <c r="D48" s="373"/>
      <c r="E48" s="373"/>
      <c r="F48" s="373"/>
      <c r="G48" s="373"/>
      <c r="H48" s="373"/>
      <c r="I48" s="373"/>
      <c r="J48" s="373"/>
      <c r="K48" s="373"/>
      <c r="L48" s="373"/>
      <c r="M48" s="373"/>
      <c r="N48" s="160"/>
      <c r="O48"/>
      <c r="P48"/>
      <c r="Q48"/>
      <c r="R48"/>
      <c r="S48"/>
      <c r="T48" s="560"/>
      <c r="U48" s="261"/>
      <c r="V48" s="261"/>
      <c r="W48" s="261"/>
      <c r="X48" s="658">
        <f>W43-W47</f>
        <v>0</v>
      </c>
    </row>
    <row r="49" spans="1:28">
      <c r="A49" s="184">
        <v>32</v>
      </c>
      <c r="B49" s="172" t="s">
        <v>8</v>
      </c>
      <c r="C49" s="172"/>
      <c r="D49" s="373"/>
      <c r="E49" s="373"/>
      <c r="F49" s="373"/>
      <c r="G49" s="373"/>
      <c r="H49" s="373"/>
      <c r="I49" s="373"/>
      <c r="J49" s="373"/>
      <c r="K49" s="373"/>
      <c r="L49" s="373"/>
      <c r="M49" s="373"/>
      <c r="N49" s="160"/>
      <c r="O49" s="273"/>
      <c r="T49" s="579" t="s">
        <v>287</v>
      </c>
      <c r="U49" s="511"/>
      <c r="V49" s="580"/>
      <c r="W49" s="580"/>
      <c r="X49" s="574">
        <f>SUM(X23:X48)</f>
        <v>113940254</v>
      </c>
    </row>
    <row r="50" spans="1:28">
      <c r="A50" s="184">
        <v>33</v>
      </c>
      <c r="B50" s="160" t="s">
        <v>42</v>
      </c>
      <c r="C50" s="160"/>
      <c r="D50" s="372">
        <f>Input!$IM$22</f>
        <v>20490</v>
      </c>
      <c r="E50" s="372">
        <f>Input!$IN$22</f>
        <v>9842946</v>
      </c>
      <c r="F50" s="372">
        <f>Input!$IO$22</f>
        <v>355938</v>
      </c>
      <c r="G50" s="372">
        <f>Input!$IP$22</f>
        <v>89672</v>
      </c>
      <c r="H50" s="372">
        <f>Input!$IQ$22</f>
        <v>12827</v>
      </c>
      <c r="I50" s="372">
        <f>Input!$IR$22</f>
        <v>0</v>
      </c>
      <c r="J50" s="372">
        <f>Input!$IS$22</f>
        <v>0</v>
      </c>
      <c r="K50" s="372">
        <f>Input!$IT$22</f>
        <v>0</v>
      </c>
      <c r="L50" s="372">
        <f>Input!$IU$22</f>
        <v>0</v>
      </c>
      <c r="M50" s="373">
        <f t="shared" ref="M50:M57" si="9">D50+E50+F50+G50+H50+I50+J50+K50+L50</f>
        <v>10321873</v>
      </c>
      <c r="N50" s="160"/>
      <c r="O50" s="273"/>
      <c r="U50" s="275"/>
    </row>
    <row r="51" spans="1:28">
      <c r="A51" s="184">
        <v>34</v>
      </c>
      <c r="B51" s="160" t="s">
        <v>9</v>
      </c>
      <c r="C51" s="160"/>
      <c r="D51" s="372">
        <f>Input!$IV$22</f>
        <v>0</v>
      </c>
      <c r="E51" s="372">
        <f>Input!$IW$22</f>
        <v>0</v>
      </c>
      <c r="F51" s="372">
        <f>Input!$IX$22</f>
        <v>0</v>
      </c>
      <c r="G51" s="372">
        <f>Input!$IY$22</f>
        <v>0</v>
      </c>
      <c r="H51" s="372">
        <f>Input!$IZ$22</f>
        <v>0</v>
      </c>
      <c r="I51" s="372">
        <f>Input!$JA$22</f>
        <v>0</v>
      </c>
      <c r="J51" s="372">
        <f>Input!$JB$22</f>
        <v>0</v>
      </c>
      <c r="K51" s="372">
        <f>Input!$JC$22</f>
        <v>0</v>
      </c>
      <c r="L51" s="372">
        <f>Input!$JD$22</f>
        <v>0</v>
      </c>
      <c r="M51" s="376">
        <f t="shared" si="9"/>
        <v>0</v>
      </c>
      <c r="N51" s="160"/>
      <c r="Y51" s="277"/>
    </row>
    <row r="52" spans="1:28">
      <c r="A52" s="184">
        <v>35</v>
      </c>
      <c r="B52" s="160" t="s">
        <v>10</v>
      </c>
      <c r="C52" s="160"/>
      <c r="D52" s="372">
        <f>Input!$JE$22</f>
        <v>0</v>
      </c>
      <c r="E52" s="372">
        <f>Input!$JF$22</f>
        <v>83926</v>
      </c>
      <c r="F52" s="372">
        <f>Input!$JG$22</f>
        <v>0</v>
      </c>
      <c r="G52" s="372">
        <f>Input!$JH$22</f>
        <v>9729653</v>
      </c>
      <c r="H52" s="372">
        <f>Input!$JI$22</f>
        <v>0</v>
      </c>
      <c r="I52" s="372">
        <f>Input!$JJ$22</f>
        <v>0</v>
      </c>
      <c r="J52" s="372">
        <f>Input!$JK$22</f>
        <v>5000</v>
      </c>
      <c r="K52" s="372">
        <f>Input!$JL$22</f>
        <v>0</v>
      </c>
      <c r="L52" s="372">
        <f>Input!$JM$22</f>
        <v>0</v>
      </c>
      <c r="M52" s="373">
        <f t="shared" si="9"/>
        <v>9818579</v>
      </c>
      <c r="N52" s="160"/>
      <c r="O52" s="273"/>
      <c r="P52" s="278"/>
    </row>
    <row r="53" spans="1:28">
      <c r="A53" s="184">
        <v>36</v>
      </c>
      <c r="B53" s="160" t="s">
        <v>11</v>
      </c>
      <c r="C53" s="160"/>
      <c r="D53" s="372">
        <f>Input!$JN$22</f>
        <v>70397</v>
      </c>
      <c r="E53" s="372">
        <f>Input!$JO$22</f>
        <v>3880943</v>
      </c>
      <c r="F53" s="372">
        <f>Input!$JP$22</f>
        <v>0</v>
      </c>
      <c r="G53" s="372">
        <f>Input!$JQ$22</f>
        <v>-5921644</v>
      </c>
      <c r="H53" s="372">
        <f>Input!$JR$22</f>
        <v>0</v>
      </c>
      <c r="I53" s="372">
        <f>Input!$JS$22</f>
        <v>0</v>
      </c>
      <c r="J53" s="372">
        <f>Input!$JT$22</f>
        <v>0</v>
      </c>
      <c r="K53" s="372">
        <f>Input!$JU$22</f>
        <v>0</v>
      </c>
      <c r="L53" s="372">
        <f>Input!$JV$22</f>
        <v>0</v>
      </c>
      <c r="M53" s="373">
        <f t="shared" si="9"/>
        <v>-1970304</v>
      </c>
      <c r="N53" s="160"/>
      <c r="O53" s="273"/>
    </row>
    <row r="54" spans="1:28" ht="13.5" thickBot="1">
      <c r="A54" s="184">
        <v>37</v>
      </c>
      <c r="B54" s="177" t="s">
        <v>2134</v>
      </c>
      <c r="C54" s="177"/>
      <c r="D54" s="372">
        <f>Input!$JW$22</f>
        <v>0</v>
      </c>
      <c r="E54" s="372">
        <f>Input!$JX$22</f>
        <v>0</v>
      </c>
      <c r="F54" s="372">
        <f>Input!$JY$22</f>
        <v>19244309</v>
      </c>
      <c r="G54" s="372">
        <f>Input!$JZ$22</f>
        <v>0</v>
      </c>
      <c r="H54" s="372">
        <f>Input!$KA$22</f>
        <v>0</v>
      </c>
      <c r="I54" s="372">
        <f>Input!$KB$22</f>
        <v>0</v>
      </c>
      <c r="J54" s="372">
        <f>Input!$KC$22</f>
        <v>0</v>
      </c>
      <c r="K54" s="372">
        <f>Input!$KD$22</f>
        <v>0</v>
      </c>
      <c r="L54" s="372">
        <f>Input!$KE$22</f>
        <v>0</v>
      </c>
      <c r="M54" s="373">
        <f t="shared" si="9"/>
        <v>19244309</v>
      </c>
      <c r="N54" s="160"/>
      <c r="O54" s="273"/>
    </row>
    <row r="55" spans="1:28" ht="14.25" thickTop="1" thickBot="1">
      <c r="A55" s="184">
        <v>38</v>
      </c>
      <c r="B55" s="160" t="s">
        <v>43</v>
      </c>
      <c r="C55" s="160"/>
      <c r="D55" s="372">
        <f>Input!$KF$22</f>
        <v>1173</v>
      </c>
      <c r="E55" s="372">
        <f>Input!$KG$22</f>
        <v>7690469</v>
      </c>
      <c r="F55" s="372">
        <f>Input!$KH$22</f>
        <v>-558114</v>
      </c>
      <c r="G55" s="372">
        <f>Input!$KI$22</f>
        <v>-3632120</v>
      </c>
      <c r="H55" s="372">
        <f>Input!$KJ$22</f>
        <v>26564</v>
      </c>
      <c r="I55" s="372">
        <f>Input!$KK$22</f>
        <v>0</v>
      </c>
      <c r="J55" s="372">
        <f>Input!$KL$22</f>
        <v>0</v>
      </c>
      <c r="K55" s="372">
        <f>Input!$KM$22</f>
        <v>0</v>
      </c>
      <c r="L55" s="372">
        <f>Input!$KN$22</f>
        <v>68297</v>
      </c>
      <c r="M55" s="373">
        <f t="shared" si="9"/>
        <v>3596269</v>
      </c>
      <c r="N55" s="160"/>
      <c r="O55" s="1616" t="s">
        <v>251</v>
      </c>
      <c r="P55" s="1617"/>
      <c r="Q55" s="1617"/>
      <c r="R55" s="1618"/>
      <c r="S55" s="437"/>
      <c r="T55" s="1619" t="s">
        <v>252</v>
      </c>
      <c r="U55" s="1620"/>
      <c r="V55" s="1620"/>
      <c r="W55" s="1620"/>
      <c r="X55" s="1621"/>
      <c r="Y55" s="320"/>
      <c r="Z55" s="1749" t="s">
        <v>1301</v>
      </c>
      <c r="AA55" s="1750"/>
      <c r="AB55" s="1751"/>
    </row>
    <row r="56" spans="1:28" ht="13.5" customHeight="1" thickTop="1">
      <c r="A56" s="184">
        <v>39</v>
      </c>
      <c r="B56" s="176" t="s">
        <v>3</v>
      </c>
      <c r="C56" s="176"/>
      <c r="D56" s="374">
        <f>SUM(D50:D55)</f>
        <v>92060</v>
      </c>
      <c r="E56" s="374">
        <f t="shared" ref="E56:L56" si="10">SUM(E50:E55)</f>
        <v>21498284</v>
      </c>
      <c r="F56" s="374">
        <f t="shared" si="10"/>
        <v>19042133</v>
      </c>
      <c r="G56" s="374">
        <f t="shared" si="10"/>
        <v>265561</v>
      </c>
      <c r="H56" s="374">
        <f t="shared" si="10"/>
        <v>39391</v>
      </c>
      <c r="I56" s="374">
        <f t="shared" si="10"/>
        <v>0</v>
      </c>
      <c r="J56" s="374">
        <f t="shared" si="10"/>
        <v>5000</v>
      </c>
      <c r="K56" s="374">
        <f t="shared" si="10"/>
        <v>0</v>
      </c>
      <c r="L56" s="374">
        <f t="shared" si="10"/>
        <v>68297</v>
      </c>
      <c r="M56" s="374">
        <f t="shared" si="9"/>
        <v>41010726</v>
      </c>
      <c r="N56" s="160"/>
      <c r="O56" s="1622" t="s">
        <v>1135</v>
      </c>
      <c r="P56" s="1625" t="s">
        <v>254</v>
      </c>
      <c r="Q56" s="1625" t="s">
        <v>292</v>
      </c>
      <c r="R56" s="1628" t="s">
        <v>1063</v>
      </c>
      <c r="S56" s="280"/>
      <c r="T56" s="1739" t="s">
        <v>1136</v>
      </c>
      <c r="U56" s="1637" t="s">
        <v>254</v>
      </c>
      <c r="V56" s="1634" t="s">
        <v>256</v>
      </c>
      <c r="W56" s="1637" t="s">
        <v>257</v>
      </c>
      <c r="X56" s="1638" t="s">
        <v>1064</v>
      </c>
      <c r="Z56" s="1754" t="s">
        <v>1302</v>
      </c>
      <c r="AA56" s="1747" t="s">
        <v>1303</v>
      </c>
      <c r="AB56" s="1752" t="s">
        <v>238</v>
      </c>
    </row>
    <row r="57" spans="1:28">
      <c r="A57" s="184">
        <v>40</v>
      </c>
      <c r="B57" s="162" t="s">
        <v>68</v>
      </c>
      <c r="C57" s="162"/>
      <c r="D57" s="374">
        <f>D15+D44+D47+D56</f>
        <v>77902844</v>
      </c>
      <c r="E57" s="374">
        <f t="shared" ref="E57:L57" si="11">E15+E44+E47+E56</f>
        <v>78441312</v>
      </c>
      <c r="F57" s="374">
        <f t="shared" si="11"/>
        <v>32841879</v>
      </c>
      <c r="G57" s="374">
        <f t="shared" si="11"/>
        <v>46465296</v>
      </c>
      <c r="H57" s="374">
        <f t="shared" si="11"/>
        <v>39391</v>
      </c>
      <c r="I57" s="374">
        <f t="shared" si="11"/>
        <v>0</v>
      </c>
      <c r="J57" s="374">
        <f t="shared" si="11"/>
        <v>5000</v>
      </c>
      <c r="K57" s="374">
        <f t="shared" si="11"/>
        <v>0</v>
      </c>
      <c r="L57" s="374">
        <f t="shared" si="11"/>
        <v>68297</v>
      </c>
      <c r="M57" s="374">
        <f t="shared" si="9"/>
        <v>235764019</v>
      </c>
      <c r="N57" s="160"/>
      <c r="O57" s="1623"/>
      <c r="P57" s="1626"/>
      <c r="Q57" s="1626"/>
      <c r="R57" s="1629"/>
      <c r="S57" s="280"/>
      <c r="T57" s="1740"/>
      <c r="U57" s="1626"/>
      <c r="V57" s="1635"/>
      <c r="W57" s="1626"/>
      <c r="X57" s="1639"/>
      <c r="Z57" s="1755"/>
      <c r="AA57" s="1747"/>
      <c r="AB57" s="1752"/>
    </row>
    <row r="58" spans="1:28">
      <c r="A58" s="184">
        <v>41</v>
      </c>
      <c r="B58" s="160"/>
      <c r="C58" s="160"/>
      <c r="D58" s="373"/>
      <c r="E58" s="373"/>
      <c r="F58" s="373"/>
      <c r="G58" s="373"/>
      <c r="H58" s="373"/>
      <c r="I58" s="373"/>
      <c r="J58" s="373"/>
      <c r="K58" s="373"/>
      <c r="L58" s="373"/>
      <c r="M58" s="373"/>
      <c r="N58" s="160"/>
      <c r="O58" s="1623"/>
      <c r="P58" s="1626"/>
      <c r="Q58" s="1626"/>
      <c r="R58" s="1629"/>
      <c r="S58" s="280"/>
      <c r="T58" s="1740"/>
      <c r="U58" s="1626"/>
      <c r="V58" s="1635"/>
      <c r="W58" s="1626"/>
      <c r="X58" s="1639"/>
      <c r="Z58" s="1755"/>
      <c r="AA58" s="1747"/>
      <c r="AB58" s="1752"/>
    </row>
    <row r="59" spans="1:28" ht="14.25" customHeight="1">
      <c r="A59" s="184">
        <v>42</v>
      </c>
      <c r="B59" s="174" t="s">
        <v>72</v>
      </c>
      <c r="C59" s="174"/>
      <c r="D59" s="377"/>
      <c r="E59" s="377"/>
      <c r="F59" s="377"/>
      <c r="G59" s="1746" t="str">
        <f>IF(OR(P105&gt;0,P106&lt;&gt;0,P107&lt;&gt;0),"Do not Enter Cents - Whole Dollars Only","")</f>
        <v/>
      </c>
      <c r="H59" s="1746"/>
      <c r="I59" s="1746"/>
      <c r="J59" s="1746"/>
      <c r="K59" s="1746"/>
      <c r="L59" s="377"/>
      <c r="M59" s="377"/>
      <c r="N59" s="160"/>
      <c r="O59" s="1624"/>
      <c r="P59" s="1627"/>
      <c r="Q59" s="1627"/>
      <c r="R59" s="1630"/>
      <c r="S59" s="280"/>
      <c r="T59" s="1741"/>
      <c r="U59" s="1627"/>
      <c r="V59" s="1636"/>
      <c r="W59" s="1627"/>
      <c r="X59" s="1640"/>
      <c r="Z59" s="1756"/>
      <c r="AA59" s="1748"/>
      <c r="AB59" s="1753"/>
    </row>
    <row r="60" spans="1:28" ht="13.5" thickBot="1">
      <c r="A60" s="184">
        <v>43</v>
      </c>
      <c r="B60" s="160" t="s">
        <v>14</v>
      </c>
      <c r="C60" s="160"/>
      <c r="D60" s="372">
        <f>Input!$KO$22</f>
        <v>48730274</v>
      </c>
      <c r="E60" s="372">
        <f>Input!$KP$22</f>
        <v>8075536</v>
      </c>
      <c r="F60" s="372">
        <f>Input!$KQ$22</f>
        <v>0</v>
      </c>
      <c r="G60" s="372">
        <f>Input!$KR$22</f>
        <v>364552</v>
      </c>
      <c r="H60" s="372">
        <f>Input!$KS$22</f>
        <v>0</v>
      </c>
      <c r="I60" s="372">
        <f>Input!$KT$22</f>
        <v>0</v>
      </c>
      <c r="J60" s="372">
        <f>Input!$KU$22</f>
        <v>0</v>
      </c>
      <c r="K60" s="372">
        <f>Input!$KV$22</f>
        <v>0</v>
      </c>
      <c r="L60" s="372">
        <f>Input!$KW$22</f>
        <v>0</v>
      </c>
      <c r="M60" s="373">
        <f t="shared" ref="M60:M71" si="12">D60+E60+F60+G60+H60+I60+J60+K60+L60</f>
        <v>57170362</v>
      </c>
      <c r="N60" s="160"/>
      <c r="O60" s="282">
        <f>D60+E60+G60+J60</f>
        <v>57170362</v>
      </c>
      <c r="P60" s="518">
        <f>Input!$SS$22</f>
        <v>650068</v>
      </c>
      <c r="Q60" s="438" t="s">
        <v>259</v>
      </c>
      <c r="R60" s="284">
        <f>SUM(O60:P60)</f>
        <v>57820430</v>
      </c>
      <c r="S60" s="439"/>
      <c r="T60" s="286">
        <f t="shared" ref="T60:T67" si="13">D60+E60+G60</f>
        <v>57170362</v>
      </c>
      <c r="U60" s="287">
        <f t="shared" ref="U60:U67" si="14">P60</f>
        <v>650068</v>
      </c>
      <c r="V60" s="289">
        <f>Input!$TC$22</f>
        <v>0</v>
      </c>
      <c r="W60" s="289">
        <f>Input!$TK$22</f>
        <v>0</v>
      </c>
      <c r="X60" s="290">
        <f t="shared" ref="X60:X66" si="15">T60+U60-V60-W60</f>
        <v>57820430</v>
      </c>
      <c r="Z60" s="292" t="s">
        <v>14</v>
      </c>
      <c r="AA60" s="520">
        <f>Input!$TS$22</f>
        <v>57170362</v>
      </c>
      <c r="AB60" s="293">
        <f t="shared" ref="AB60:AB68" si="16">AA60-M60</f>
        <v>0</v>
      </c>
    </row>
    <row r="61" spans="1:28" ht="14.25" thickTop="1" thickBot="1">
      <c r="A61" s="184">
        <v>44</v>
      </c>
      <c r="B61" s="160" t="s">
        <v>15</v>
      </c>
      <c r="C61" s="160"/>
      <c r="D61" s="372">
        <f>Input!$KX$22</f>
        <v>931815</v>
      </c>
      <c r="E61" s="372">
        <f>Input!$KY$22</f>
        <v>830290</v>
      </c>
      <c r="F61" s="372">
        <f>Input!$KZ$22</f>
        <v>0</v>
      </c>
      <c r="G61" s="372">
        <f>Input!$LA$22</f>
        <v>1288896</v>
      </c>
      <c r="H61" s="372">
        <f>Input!$LB$22</f>
        <v>0</v>
      </c>
      <c r="I61" s="372">
        <f>Input!$LC$22</f>
        <v>0</v>
      </c>
      <c r="J61" s="372">
        <f>Input!$LD$22</f>
        <v>1204</v>
      </c>
      <c r="K61" s="372">
        <f>Input!$LE$22</f>
        <v>0</v>
      </c>
      <c r="L61" s="372">
        <f>Input!$LF$22</f>
        <v>0</v>
      </c>
      <c r="M61" s="373">
        <f t="shared" si="12"/>
        <v>3052205</v>
      </c>
      <c r="N61" s="160"/>
      <c r="O61" s="440">
        <f t="shared" ref="O61:O67" si="17">D61+E61+G61+J61</f>
        <v>3052205</v>
      </c>
      <c r="P61" s="518">
        <f>Input!$ST$22</f>
        <v>30281</v>
      </c>
      <c r="Q61" s="441" t="s">
        <v>259</v>
      </c>
      <c r="R61" s="295">
        <f>SUM(O61:P61)</f>
        <v>3082486</v>
      </c>
      <c r="S61" s="442"/>
      <c r="T61" s="296">
        <f t="shared" si="13"/>
        <v>3051001</v>
      </c>
      <c r="U61" s="297">
        <f t="shared" si="14"/>
        <v>30281</v>
      </c>
      <c r="V61" s="299">
        <f>Input!$TD$22</f>
        <v>55691</v>
      </c>
      <c r="W61" s="299">
        <f>Input!$TL$22</f>
        <v>0</v>
      </c>
      <c r="X61" s="300">
        <f t="shared" si="15"/>
        <v>3025591</v>
      </c>
      <c r="Z61" s="292" t="s">
        <v>15</v>
      </c>
      <c r="AA61" s="518">
        <f>Input!$TT$22</f>
        <v>3052205</v>
      </c>
      <c r="AB61" s="301">
        <f t="shared" si="16"/>
        <v>0</v>
      </c>
    </row>
    <row r="62" spans="1:28" ht="13.5" thickTop="1">
      <c r="A62" s="184">
        <v>45</v>
      </c>
      <c r="B62" s="160" t="s">
        <v>16</v>
      </c>
      <c r="C62" s="160"/>
      <c r="D62" s="372">
        <f>Input!$LG$22</f>
        <v>938449</v>
      </c>
      <c r="E62" s="372">
        <f>Input!$LH$22</f>
        <v>260898</v>
      </c>
      <c r="F62" s="372">
        <f>Input!$LI$22</f>
        <v>0</v>
      </c>
      <c r="G62" s="372">
        <f>Input!$LJ$22</f>
        <v>386537</v>
      </c>
      <c r="H62" s="372">
        <f>Input!$LK$22</f>
        <v>0</v>
      </c>
      <c r="I62" s="372">
        <f>Input!$LL$22</f>
        <v>0</v>
      </c>
      <c r="J62" s="372">
        <f>Input!$LM$22</f>
        <v>0</v>
      </c>
      <c r="K62" s="372">
        <f>Input!$LN$22</f>
        <v>0</v>
      </c>
      <c r="L62" s="372">
        <f>Input!$LO$22</f>
        <v>0</v>
      </c>
      <c r="M62" s="373">
        <f t="shared" si="12"/>
        <v>1585884</v>
      </c>
      <c r="N62" s="160"/>
      <c r="O62" s="440">
        <f t="shared" si="17"/>
        <v>1585884</v>
      </c>
      <c r="P62" s="518">
        <f>Input!$SU$22</f>
        <v>0</v>
      </c>
      <c r="Q62" s="441" t="s">
        <v>259</v>
      </c>
      <c r="R62" s="302" t="s">
        <v>259</v>
      </c>
      <c r="S62" s="442"/>
      <c r="T62" s="296">
        <f t="shared" si="13"/>
        <v>1585884</v>
      </c>
      <c r="U62" s="297">
        <f t="shared" si="14"/>
        <v>0</v>
      </c>
      <c r="V62" s="299">
        <f>Input!$TE$22</f>
        <v>0</v>
      </c>
      <c r="W62" s="299">
        <f>Input!$TM$22</f>
        <v>0</v>
      </c>
      <c r="X62" s="303">
        <f t="shared" si="15"/>
        <v>1585884</v>
      </c>
      <c r="Z62" s="292" t="s">
        <v>16</v>
      </c>
      <c r="AA62" s="518">
        <f>Input!$TU$22</f>
        <v>1585884</v>
      </c>
      <c r="AB62" s="301">
        <f t="shared" si="16"/>
        <v>0</v>
      </c>
    </row>
    <row r="63" spans="1:28">
      <c r="A63" s="184">
        <v>46</v>
      </c>
      <c r="B63" s="160" t="s">
        <v>17</v>
      </c>
      <c r="C63" s="160"/>
      <c r="D63" s="372">
        <f>Input!$LP$22</f>
        <v>5418033</v>
      </c>
      <c r="E63" s="372">
        <f>Input!$LQ$22</f>
        <v>9673999</v>
      </c>
      <c r="F63" s="372">
        <f>Input!$LR$22</f>
        <v>0</v>
      </c>
      <c r="G63" s="372">
        <f>Input!$LS$22</f>
        <v>1118464</v>
      </c>
      <c r="H63" s="372">
        <f>Input!$LT$22</f>
        <v>0</v>
      </c>
      <c r="I63" s="372">
        <f>Input!$LU$22</f>
        <v>0</v>
      </c>
      <c r="J63" s="372">
        <f>Input!$LV$22</f>
        <v>0</v>
      </c>
      <c r="K63" s="372">
        <f>Input!$LW$22</f>
        <v>0</v>
      </c>
      <c r="L63" s="372">
        <f>Input!$LX$22</f>
        <v>0</v>
      </c>
      <c r="M63" s="373">
        <f t="shared" si="12"/>
        <v>16210496</v>
      </c>
      <c r="N63" s="160"/>
      <c r="O63" s="440">
        <f t="shared" si="17"/>
        <v>16210496</v>
      </c>
      <c r="P63" s="518">
        <f>Input!$SV$22</f>
        <v>215029</v>
      </c>
      <c r="Q63" s="441" t="s">
        <v>259</v>
      </c>
      <c r="R63" s="295">
        <f t="shared" ref="R63:R65" si="18">SUM(O63:P63)</f>
        <v>16425525</v>
      </c>
      <c r="S63" s="442"/>
      <c r="T63" s="296">
        <f t="shared" si="13"/>
        <v>16210496</v>
      </c>
      <c r="U63" s="297">
        <f t="shared" si="14"/>
        <v>215029</v>
      </c>
      <c r="V63" s="299">
        <f>Input!$TF$22</f>
        <v>0</v>
      </c>
      <c r="W63" s="299">
        <f>Input!$TN$22</f>
        <v>0</v>
      </c>
      <c r="X63" s="303">
        <f t="shared" si="15"/>
        <v>16425525</v>
      </c>
      <c r="Z63" s="292" t="s">
        <v>17</v>
      </c>
      <c r="AA63" s="518">
        <f>Input!$TV$22</f>
        <v>16210496</v>
      </c>
      <c r="AB63" s="301">
        <f t="shared" si="16"/>
        <v>0</v>
      </c>
    </row>
    <row r="64" spans="1:28">
      <c r="A64" s="184">
        <v>47</v>
      </c>
      <c r="B64" s="160" t="s">
        <v>18</v>
      </c>
      <c r="C64" s="160"/>
      <c r="D64" s="372">
        <f>Input!$LY$22</f>
        <v>4252653</v>
      </c>
      <c r="E64" s="372">
        <f>Input!$LZ$22</f>
        <v>8506033</v>
      </c>
      <c r="F64" s="372">
        <f>Input!$MA$22</f>
        <v>0</v>
      </c>
      <c r="G64" s="372">
        <f>Input!$MB$22</f>
        <v>3429195</v>
      </c>
      <c r="H64" s="372">
        <f>Input!$MC$22</f>
        <v>244780</v>
      </c>
      <c r="I64" s="372">
        <f>Input!$MD$22</f>
        <v>0</v>
      </c>
      <c r="J64" s="372">
        <f>Input!$ME$22</f>
        <v>0</v>
      </c>
      <c r="K64" s="372">
        <f>Input!$MF$22</f>
        <v>0</v>
      </c>
      <c r="L64" s="372">
        <f>Input!$MG$22</f>
        <v>0</v>
      </c>
      <c r="M64" s="373">
        <f t="shared" si="12"/>
        <v>16432661</v>
      </c>
      <c r="N64" s="160"/>
      <c r="O64" s="440">
        <f t="shared" si="17"/>
        <v>16187881</v>
      </c>
      <c r="P64" s="518">
        <f>Input!$SW$22</f>
        <v>389784</v>
      </c>
      <c r="Q64" s="518">
        <f>Input!$TB$22</f>
        <v>510269</v>
      </c>
      <c r="R64" s="295">
        <f>SUM(O64:P64)-Q64</f>
        <v>16067396</v>
      </c>
      <c r="S64" s="442"/>
      <c r="T64" s="296">
        <f t="shared" si="13"/>
        <v>16187881</v>
      </c>
      <c r="U64" s="297">
        <f t="shared" si="14"/>
        <v>389784</v>
      </c>
      <c r="V64" s="299">
        <f>Input!$TG$22</f>
        <v>0</v>
      </c>
      <c r="W64" s="299">
        <f>Input!$TO$22</f>
        <v>0</v>
      </c>
      <c r="X64" s="303">
        <f t="shared" si="15"/>
        <v>16577665</v>
      </c>
      <c r="Z64" s="292" t="s">
        <v>18</v>
      </c>
      <c r="AA64" s="518">
        <f>Input!$TW$22</f>
        <v>16432661</v>
      </c>
      <c r="AB64" s="301">
        <f t="shared" si="16"/>
        <v>0</v>
      </c>
    </row>
    <row r="65" spans="1:28">
      <c r="A65" s="184">
        <v>48</v>
      </c>
      <c r="B65" s="160" t="s">
        <v>19</v>
      </c>
      <c r="C65" s="160"/>
      <c r="D65" s="372">
        <f>Input!$MH$22</f>
        <v>4891586</v>
      </c>
      <c r="E65" s="372">
        <f>Input!$MI$22</f>
        <v>7596000</v>
      </c>
      <c r="F65" s="372">
        <f>Input!$MJ$22</f>
        <v>0</v>
      </c>
      <c r="G65" s="372">
        <f>Input!$MK$22</f>
        <v>184347</v>
      </c>
      <c r="H65" s="372">
        <f>Input!$ML$22</f>
        <v>0</v>
      </c>
      <c r="I65" s="372">
        <f>Input!$MM$22</f>
        <v>0</v>
      </c>
      <c r="J65" s="372">
        <f>Input!$MN$22</f>
        <v>0</v>
      </c>
      <c r="K65" s="372">
        <f>Input!$MO$22</f>
        <v>0</v>
      </c>
      <c r="L65" s="372">
        <f>Input!$MP$22</f>
        <v>0</v>
      </c>
      <c r="M65" s="373">
        <f t="shared" si="12"/>
        <v>12671933</v>
      </c>
      <c r="N65" s="160"/>
      <c r="O65" s="440">
        <f t="shared" si="17"/>
        <v>12671933</v>
      </c>
      <c r="P65" s="518">
        <f>Input!$SX$22</f>
        <v>13150</v>
      </c>
      <c r="Q65" s="441" t="s">
        <v>259</v>
      </c>
      <c r="R65" s="295">
        <f t="shared" si="18"/>
        <v>12685083</v>
      </c>
      <c r="S65" s="442"/>
      <c r="T65" s="296">
        <f t="shared" si="13"/>
        <v>12671933</v>
      </c>
      <c r="U65" s="297">
        <f t="shared" si="14"/>
        <v>13150</v>
      </c>
      <c r="V65" s="299">
        <f>Input!$TH$22</f>
        <v>0</v>
      </c>
      <c r="W65" s="299">
        <f>Input!$TP$22</f>
        <v>0</v>
      </c>
      <c r="X65" s="303">
        <f t="shared" si="15"/>
        <v>12685083</v>
      </c>
      <c r="Z65" s="292" t="s">
        <v>19</v>
      </c>
      <c r="AA65" s="518">
        <f>Input!$TX$22</f>
        <v>12671933</v>
      </c>
      <c r="AB65" s="301">
        <f t="shared" si="16"/>
        <v>0</v>
      </c>
    </row>
    <row r="66" spans="1:28">
      <c r="A66" s="184">
        <v>49</v>
      </c>
      <c r="B66" s="160" t="s">
        <v>20</v>
      </c>
      <c r="C66" s="160"/>
      <c r="D66" s="372">
        <f>Input!$MQ$22</f>
        <v>3311429</v>
      </c>
      <c r="E66" s="372">
        <f>Input!$MR$22</f>
        <v>10489178</v>
      </c>
      <c r="F66" s="372">
        <f>Input!$MS$22</f>
        <v>0</v>
      </c>
      <c r="G66" s="372">
        <f>Input!$MT$22</f>
        <v>6108</v>
      </c>
      <c r="H66" s="372">
        <f>Input!$MU$22</f>
        <v>0</v>
      </c>
      <c r="I66" s="372">
        <f>Input!$MV$22</f>
        <v>0</v>
      </c>
      <c r="J66" s="372">
        <f>Input!$MW$22</f>
        <v>1954732</v>
      </c>
      <c r="K66" s="372">
        <f>Input!$MX$22</f>
        <v>0</v>
      </c>
      <c r="L66" s="372">
        <f>Input!$MY$22</f>
        <v>0</v>
      </c>
      <c r="M66" s="373">
        <f t="shared" si="12"/>
        <v>15761447</v>
      </c>
      <c r="N66" s="160"/>
      <c r="O66" s="440">
        <f t="shared" si="17"/>
        <v>15761447</v>
      </c>
      <c r="P66" s="518">
        <f>Input!$SY$22</f>
        <v>311809</v>
      </c>
      <c r="Q66" s="441" t="s">
        <v>259</v>
      </c>
      <c r="R66" s="304" t="s">
        <v>259</v>
      </c>
      <c r="S66" s="442"/>
      <c r="T66" s="296">
        <f t="shared" si="13"/>
        <v>13806715</v>
      </c>
      <c r="U66" s="297">
        <f t="shared" si="14"/>
        <v>311809</v>
      </c>
      <c r="V66" s="299">
        <f>Input!$TI$22</f>
        <v>0</v>
      </c>
      <c r="W66" s="299">
        <f>Input!$TQ$22</f>
        <v>0</v>
      </c>
      <c r="X66" s="303">
        <f t="shared" si="15"/>
        <v>14118524</v>
      </c>
      <c r="Z66" s="292" t="s">
        <v>260</v>
      </c>
      <c r="AA66" s="518">
        <f>Input!$TY$22</f>
        <v>15761447</v>
      </c>
      <c r="AB66" s="301">
        <f t="shared" si="16"/>
        <v>0</v>
      </c>
    </row>
    <row r="67" spans="1:28" ht="13.5" thickBot="1">
      <c r="A67" s="184">
        <v>50</v>
      </c>
      <c r="B67" s="160" t="s">
        <v>21</v>
      </c>
      <c r="C67" s="160"/>
      <c r="D67" s="372">
        <f>Input!$MZ$22</f>
        <v>1444077</v>
      </c>
      <c r="E67" s="372">
        <f>Input!$NA$22</f>
        <v>6949965</v>
      </c>
      <c r="F67" s="372">
        <f>Input!$NB$22</f>
        <v>0</v>
      </c>
      <c r="G67" s="372">
        <f>Input!$NC$22</f>
        <v>15540283</v>
      </c>
      <c r="H67" s="372">
        <f>Input!$ND$22</f>
        <v>0</v>
      </c>
      <c r="I67" s="372">
        <f>Input!$NE$22</f>
        <v>0</v>
      </c>
      <c r="J67" s="372">
        <f>Input!$NF$22</f>
        <v>0</v>
      </c>
      <c r="K67" s="372">
        <f>Input!$NG$22</f>
        <v>0</v>
      </c>
      <c r="L67" s="372">
        <f>Input!$NH$22</f>
        <v>0</v>
      </c>
      <c r="M67" s="373">
        <f t="shared" si="12"/>
        <v>23934325</v>
      </c>
      <c r="N67" s="160"/>
      <c r="O67" s="440">
        <f t="shared" si="17"/>
        <v>23934325</v>
      </c>
      <c r="P67" s="518">
        <f>Input!$SZ$22</f>
        <v>871</v>
      </c>
      <c r="Q67" s="441" t="s">
        <v>259</v>
      </c>
      <c r="R67" s="304" t="s">
        <v>259</v>
      </c>
      <c r="S67" s="442"/>
      <c r="T67" s="306">
        <f t="shared" si="13"/>
        <v>23934325</v>
      </c>
      <c r="U67" s="307">
        <f t="shared" si="14"/>
        <v>871</v>
      </c>
      <c r="V67" s="308">
        <f>Input!$TJ$22</f>
        <v>0</v>
      </c>
      <c r="W67" s="308">
        <f>Input!$TR$22</f>
        <v>0</v>
      </c>
      <c r="X67" s="303">
        <f>U67+T67-V67-W67</f>
        <v>23935196</v>
      </c>
      <c r="Z67" s="292" t="s">
        <v>21</v>
      </c>
      <c r="AA67" s="518">
        <f>Input!$TZ$22</f>
        <v>23934325</v>
      </c>
      <c r="AB67" s="301">
        <f t="shared" si="16"/>
        <v>0</v>
      </c>
    </row>
    <row r="68" spans="1:28" ht="14.25" thickTop="1" thickBot="1">
      <c r="A68" s="184">
        <v>51</v>
      </c>
      <c r="B68" s="160" t="s">
        <v>2135</v>
      </c>
      <c r="C68" s="160"/>
      <c r="D68" s="372">
        <f>Input!$NI$22</f>
        <v>0</v>
      </c>
      <c r="E68" s="372">
        <f>Input!$NJ$22</f>
        <v>0</v>
      </c>
      <c r="F68" s="372">
        <f>Input!$NK$22</f>
        <v>27852359</v>
      </c>
      <c r="G68" s="372">
        <f>Input!$NL$22</f>
        <v>0</v>
      </c>
      <c r="H68" s="372">
        <f>Input!$NM$22</f>
        <v>0</v>
      </c>
      <c r="I68" s="372">
        <f>Input!$NN$22</f>
        <v>0</v>
      </c>
      <c r="J68" s="372">
        <f>Input!$NO$22</f>
        <v>0</v>
      </c>
      <c r="K68" s="372">
        <f>Input!$NP$22</f>
        <v>0</v>
      </c>
      <c r="L68" s="372">
        <f>Input!$NQ$22</f>
        <v>0</v>
      </c>
      <c r="M68" s="373">
        <f t="shared" si="12"/>
        <v>27852359</v>
      </c>
      <c r="N68" s="160"/>
      <c r="O68" s="309" t="s">
        <v>259</v>
      </c>
      <c r="P68" s="519">
        <f>Input!$TA$22</f>
        <v>17912</v>
      </c>
      <c r="Q68" s="444" t="s">
        <v>259</v>
      </c>
      <c r="R68" s="311" t="s">
        <v>259</v>
      </c>
      <c r="S68" s="442"/>
      <c r="T68" s="305"/>
      <c r="U68" s="305"/>
      <c r="V68" s="312" t="s">
        <v>261</v>
      </c>
      <c r="W68" s="313"/>
      <c r="X68" s="314">
        <f>SUM(X60:X67)</f>
        <v>146173898</v>
      </c>
      <c r="Z68" s="292" t="s">
        <v>22</v>
      </c>
      <c r="AA68" s="518">
        <f>Input!$UA$22</f>
        <v>27852359</v>
      </c>
      <c r="AB68" s="301">
        <f t="shared" si="16"/>
        <v>0</v>
      </c>
    </row>
    <row r="69" spans="1:28" ht="14.25" thickTop="1" thickBot="1">
      <c r="A69" s="184">
        <v>52</v>
      </c>
      <c r="B69" s="161" t="s">
        <v>59</v>
      </c>
      <c r="C69" s="161"/>
      <c r="D69" s="372">
        <f>Input!$NR$22</f>
        <v>1082531</v>
      </c>
      <c r="E69" s="372">
        <f>Input!$NS$22</f>
        <v>161461</v>
      </c>
      <c r="F69" s="372">
        <f>Input!$NT$22</f>
        <v>17912</v>
      </c>
      <c r="G69" s="372">
        <f>Input!$NU$22</f>
        <v>367000</v>
      </c>
      <c r="H69" s="372">
        <f>Input!$NV$22</f>
        <v>0</v>
      </c>
      <c r="I69" s="372">
        <f>Input!$NW$22</f>
        <v>0</v>
      </c>
      <c r="J69" s="372">
        <f>Input!$NX$22</f>
        <v>0</v>
      </c>
      <c r="K69" s="372">
        <f>Input!$NY$22</f>
        <v>0</v>
      </c>
      <c r="L69" s="372">
        <f>Input!$NZ$22</f>
        <v>0</v>
      </c>
      <c r="M69" s="373">
        <f t="shared" si="12"/>
        <v>1628904</v>
      </c>
      <c r="N69" s="160"/>
      <c r="O69" s="315"/>
      <c r="P69" s="316">
        <f>SUM(P60:P68)</f>
        <v>1628904</v>
      </c>
      <c r="Q69" s="316">
        <f>SUM(Q64:Q68)</f>
        <v>510269</v>
      </c>
      <c r="R69" s="317">
        <f>SUM(R60:R65)</f>
        <v>106080920</v>
      </c>
      <c r="S69" s="316"/>
      <c r="T69" s="305"/>
      <c r="U69" s="305"/>
      <c r="V69" s="305"/>
      <c r="W69" s="277"/>
      <c r="X69" s="277"/>
      <c r="Y69" s="277"/>
      <c r="Z69" s="292" t="s">
        <v>285</v>
      </c>
      <c r="AA69" s="445">
        <f>M88*-1</f>
        <v>11902932</v>
      </c>
      <c r="AB69" s="301">
        <f>AA69+M88</f>
        <v>0</v>
      </c>
    </row>
    <row r="70" spans="1:28" ht="14.25" thickTop="1" thickBot="1">
      <c r="A70" s="184">
        <v>53</v>
      </c>
      <c r="B70" s="178" t="s">
        <v>44</v>
      </c>
      <c r="C70" s="178"/>
      <c r="D70" s="378">
        <f>Input!$OA$22</f>
        <v>0</v>
      </c>
      <c r="E70" s="378">
        <f>Input!$OB$22</f>
        <v>907208</v>
      </c>
      <c r="F70" s="378">
        <f>Input!$OC$22</f>
        <v>0</v>
      </c>
      <c r="G70" s="378">
        <f>Input!$OD$22</f>
        <v>0</v>
      </c>
      <c r="H70" s="378">
        <f>Input!$OE$22</f>
        <v>6823</v>
      </c>
      <c r="I70" s="378">
        <f>Input!$OF$22</f>
        <v>0</v>
      </c>
      <c r="J70" s="378">
        <f>Input!$OG$22</f>
        <v>0</v>
      </c>
      <c r="K70" s="378">
        <f>Input!$OH$22</f>
        <v>0</v>
      </c>
      <c r="L70" s="378">
        <f>Input!$OI$22</f>
        <v>20677</v>
      </c>
      <c r="M70" s="373">
        <f t="shared" si="12"/>
        <v>934708</v>
      </c>
      <c r="N70" s="160"/>
      <c r="O70" s="320"/>
      <c r="P70" s="516" t="str">
        <f>IF(P69&lt;&gt;M69,"Out of Balance","Balanced")</f>
        <v>Balanced</v>
      </c>
      <c r="Q70" s="318"/>
      <c r="R70" s="305"/>
      <c r="S70" s="305"/>
      <c r="T70" s="305"/>
      <c r="U70" s="277"/>
      <c r="V70" s="1738" t="str">
        <f>IF(X68-INT(X68)&lt;&gt;0,"Whole Dollars Only","")</f>
        <v/>
      </c>
      <c r="W70" s="1738"/>
      <c r="X70" s="537"/>
      <c r="Y70" s="319"/>
      <c r="Z70" s="410" t="s">
        <v>262</v>
      </c>
      <c r="AA70" s="446" t="s">
        <v>259</v>
      </c>
      <c r="AB70" s="411">
        <f>M90</f>
        <v>0</v>
      </c>
    </row>
    <row r="71" spans="1:28" ht="13.5" thickTop="1">
      <c r="A71" s="184">
        <v>54</v>
      </c>
      <c r="B71" s="162" t="s">
        <v>69</v>
      </c>
      <c r="C71" s="162"/>
      <c r="D71" s="374">
        <f>SUM(D60:D70)</f>
        <v>71000847</v>
      </c>
      <c r="E71" s="374">
        <f>SUM(E60:E70)</f>
        <v>53450568</v>
      </c>
      <c r="F71" s="374">
        <f t="shared" ref="F71:L71" si="19">SUM(F60:F70)</f>
        <v>27870271</v>
      </c>
      <c r="G71" s="374">
        <f t="shared" si="19"/>
        <v>22685382</v>
      </c>
      <c r="H71" s="374">
        <f t="shared" si="19"/>
        <v>251603</v>
      </c>
      <c r="I71" s="374">
        <f t="shared" si="19"/>
        <v>0</v>
      </c>
      <c r="J71" s="374">
        <f t="shared" si="19"/>
        <v>1955936</v>
      </c>
      <c r="K71" s="374">
        <f t="shared" si="19"/>
        <v>0</v>
      </c>
      <c r="L71" s="374">
        <f t="shared" si="19"/>
        <v>20677</v>
      </c>
      <c r="M71" s="374">
        <f t="shared" si="12"/>
        <v>177235284</v>
      </c>
      <c r="N71" s="160"/>
      <c r="O71" s="322"/>
      <c r="P71" s="1738" t="str">
        <f>IF(P69-INT(P69)&lt;&gt;0,"Whole Dollars Only","")</f>
        <v/>
      </c>
      <c r="Q71" s="1738"/>
      <c r="R71" s="323"/>
      <c r="S71" s="323"/>
      <c r="T71" s="323"/>
      <c r="U71" s="291"/>
      <c r="V71" s="324"/>
      <c r="W71" s="321"/>
      <c r="X71" s="321"/>
      <c r="Y71" s="321"/>
      <c r="Z71" s="318"/>
      <c r="AA71" s="325">
        <f>SUM(AA60:AA70)</f>
        <v>186574604</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Input!$OJ$22</f>
        <v>0</v>
      </c>
      <c r="E74" s="372">
        <f>Input!$OK$22</f>
        <v>0</v>
      </c>
      <c r="F74" s="372">
        <f>Input!$OL$22</f>
        <v>0</v>
      </c>
      <c r="G74" s="372">
        <f>Input!$OM$22</f>
        <v>0</v>
      </c>
      <c r="H74" s="372">
        <f>Input!$ON$22</f>
        <v>0</v>
      </c>
      <c r="I74" s="372">
        <f>Input!$OO$22</f>
        <v>0</v>
      </c>
      <c r="J74" s="372">
        <f>Input!$OP$22</f>
        <v>-5658587</v>
      </c>
      <c r="K74" s="372">
        <f>Input!$OQ$22</f>
        <v>0</v>
      </c>
      <c r="L74" s="372">
        <f>Input!$OR$22</f>
        <v>0</v>
      </c>
      <c r="M74" s="373">
        <f>D74+E74+F74+G74+H74+I74+J74+K74+L74</f>
        <v>-5658587</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Input!$OS$22</f>
        <v>-694946</v>
      </c>
      <c r="E75" s="372">
        <f>Input!$OT$22</f>
        <v>-2817570</v>
      </c>
      <c r="F75" s="372">
        <f>Input!$OU$22</f>
        <v>3354267</v>
      </c>
      <c r="G75" s="372">
        <f>Input!$OV$22</f>
        <v>-17197172</v>
      </c>
      <c r="H75" s="372">
        <f>Input!$OW$22</f>
        <v>-5269</v>
      </c>
      <c r="I75" s="372">
        <f>Input!$OX$22</f>
        <v>40610</v>
      </c>
      <c r="J75" s="372">
        <f>Input!$OY$22</f>
        <v>18029032</v>
      </c>
      <c r="K75" s="372">
        <f>Input!$OZ$22</f>
        <v>0</v>
      </c>
      <c r="L75" s="372">
        <f>Input!$PA$22</f>
        <v>0</v>
      </c>
      <c r="M75" s="373">
        <f>D75+E75+F75+G75+H75+I75+J75+K75+L75</f>
        <v>708952</v>
      </c>
      <c r="N75" s="160"/>
      <c r="O75" s="1723" t="str">
        <f>IF(M85&lt;0,"Footnote 11 is N/A - No Data Entry Required","Footnote 11")</f>
        <v>Footnote 11</v>
      </c>
      <c r="P75" s="1724"/>
      <c r="Q75" s="1724"/>
      <c r="R75" s="1725"/>
      <c r="S75" s="330"/>
      <c r="T75" s="330"/>
      <c r="U75" s="327"/>
      <c r="V75" s="276"/>
      <c r="W75" s="331"/>
      <c r="X75" s="331"/>
      <c r="Y75" s="328"/>
      <c r="Z75" s="328"/>
      <c r="AA75" s="276"/>
      <c r="AB75" s="276" t="s">
        <v>293</v>
      </c>
    </row>
    <row r="76" spans="1:28" ht="13.5" thickTop="1">
      <c r="A76" s="184">
        <v>59</v>
      </c>
      <c r="B76" s="160" t="s">
        <v>45</v>
      </c>
      <c r="C76" s="160"/>
      <c r="D76" s="372">
        <f>Input!$PB$22</f>
        <v>0</v>
      </c>
      <c r="E76" s="372">
        <f>Input!$PC$22</f>
        <v>0</v>
      </c>
      <c r="F76" s="372">
        <f>Input!$PD$22</f>
        <v>0</v>
      </c>
      <c r="G76" s="372">
        <f>Input!$PE$22</f>
        <v>0</v>
      </c>
      <c r="H76" s="372">
        <f>Input!$PF$22</f>
        <v>0</v>
      </c>
      <c r="I76" s="372">
        <f>Input!$PG$22</f>
        <v>0</v>
      </c>
      <c r="J76" s="372">
        <f>Input!$PH$22</f>
        <v>0</v>
      </c>
      <c r="K76" s="372">
        <f>Input!$PI$22</f>
        <v>0</v>
      </c>
      <c r="L76" s="372">
        <f>Input!$PJ$22</f>
        <v>0</v>
      </c>
      <c r="M76" s="373">
        <f>D76+E76+F76+G76+H76+I76+J76+K76+L76</f>
        <v>0</v>
      </c>
      <c r="N76" s="160"/>
      <c r="O76" s="487" t="s">
        <v>583</v>
      </c>
      <c r="P76" s="488"/>
      <c r="Q76" s="489"/>
      <c r="R76" s="490">
        <f>IF($M$85&lt;0,"N/A",$M$85)</f>
        <v>59751205</v>
      </c>
      <c r="S76" s="330"/>
      <c r="T76" s="330"/>
      <c r="U76" s="327"/>
      <c r="V76" s="276"/>
      <c r="W76" s="331"/>
      <c r="X76" s="331"/>
      <c r="Y76" s="331"/>
      <c r="Z76" s="331"/>
      <c r="AA76" s="276"/>
      <c r="AB76" s="276"/>
    </row>
    <row r="77" spans="1:28">
      <c r="A77" s="184">
        <v>60</v>
      </c>
      <c r="B77" s="160" t="s">
        <v>46</v>
      </c>
      <c r="C77" s="160"/>
      <c r="D77" s="372">
        <f>Input!$PK$22</f>
        <v>-5818983</v>
      </c>
      <c r="E77" s="372">
        <f>Input!$PL$22</f>
        <v>-708462</v>
      </c>
      <c r="F77" s="372">
        <f>Input!$PM$22</f>
        <v>-6233138</v>
      </c>
      <c r="G77" s="372">
        <f>Input!$PN$22</f>
        <v>0</v>
      </c>
      <c r="H77" s="372">
        <f>Input!$PO$22</f>
        <v>0</v>
      </c>
      <c r="I77" s="372">
        <f>Input!$PP$22</f>
        <v>0</v>
      </c>
      <c r="J77" s="372">
        <f>Input!$PQ$22</f>
        <v>0</v>
      </c>
      <c r="K77" s="372">
        <f>Input!$PR$22</f>
        <v>0</v>
      </c>
      <c r="L77" s="372">
        <f>Input!$PS$22</f>
        <v>0</v>
      </c>
      <c r="M77" s="373">
        <f>D77+E77+F77+G77+H77+I77+J77+K77+L77</f>
        <v>-12760583</v>
      </c>
      <c r="N77" s="160"/>
      <c r="O77" s="491" t="s">
        <v>584</v>
      </c>
      <c r="P77" s="334"/>
      <c r="Q77" s="334"/>
      <c r="R77" s="521">
        <f>Input!$UB$22</f>
        <v>40818517</v>
      </c>
      <c r="S77" s="330"/>
      <c r="T77" s="330"/>
      <c r="U77" s="327"/>
      <c r="V77" s="276"/>
      <c r="W77" s="331"/>
      <c r="X77" s="331"/>
      <c r="Y77" s="331"/>
      <c r="Z77" s="331"/>
      <c r="AA77" s="276"/>
      <c r="AB77" s="276"/>
    </row>
    <row r="78" spans="1:28">
      <c r="A78" s="184">
        <v>61</v>
      </c>
      <c r="B78" s="162" t="s">
        <v>3</v>
      </c>
      <c r="C78" s="162"/>
      <c r="D78" s="374">
        <f t="shared" ref="D78:L78" si="20">SUM(D74:D77)</f>
        <v>-6513929</v>
      </c>
      <c r="E78" s="374">
        <f t="shared" si="20"/>
        <v>-3526032</v>
      </c>
      <c r="F78" s="374">
        <f t="shared" si="20"/>
        <v>-2878871</v>
      </c>
      <c r="G78" s="374">
        <f t="shared" si="20"/>
        <v>-17197172</v>
      </c>
      <c r="H78" s="374">
        <f t="shared" si="20"/>
        <v>-5269</v>
      </c>
      <c r="I78" s="374">
        <f t="shared" si="20"/>
        <v>40610</v>
      </c>
      <c r="J78" s="374">
        <f t="shared" si="20"/>
        <v>12370445</v>
      </c>
      <c r="K78" s="374">
        <f t="shared" si="20"/>
        <v>0</v>
      </c>
      <c r="L78" s="374">
        <f t="shared" si="20"/>
        <v>0</v>
      </c>
      <c r="M78" s="374">
        <f>D78+E78+F78+G78+H78+I78+J78+K78+L78</f>
        <v>-17710218</v>
      </c>
      <c r="N78" s="160"/>
      <c r="O78" s="491" t="s">
        <v>585</v>
      </c>
      <c r="P78" s="276"/>
      <c r="Q78" s="334"/>
      <c r="R78" s="492">
        <f>IF($M$85&lt;0,"",$R$76-$R$77)</f>
        <v>18932688</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3"/>
      <c r="P79" s="276"/>
      <c r="Q79" s="334"/>
      <c r="R79" s="494"/>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5" t="s">
        <v>586</v>
      </c>
      <c r="P80" s="276"/>
      <c r="Q80" s="334"/>
      <c r="R80" s="521">
        <f>Input!$UC$22</f>
        <v>18932688</v>
      </c>
      <c r="S80" s="330"/>
      <c r="T80" s="330"/>
      <c r="U80" s="334"/>
      <c r="V80" s="276"/>
      <c r="W80" s="328"/>
      <c r="X80" s="328"/>
      <c r="Y80" s="331"/>
      <c r="Z80" s="331"/>
      <c r="AA80" s="276"/>
      <c r="AB80" s="276"/>
    </row>
    <row r="81" spans="1:28">
      <c r="A81" s="184">
        <v>64</v>
      </c>
      <c r="B81" s="160" t="s">
        <v>47</v>
      </c>
      <c r="C81" s="160"/>
      <c r="D81" s="372">
        <f>Input!$PT$22</f>
        <v>-163818</v>
      </c>
      <c r="E81" s="372">
        <f>Input!$PU$22</f>
        <v>12062293</v>
      </c>
      <c r="F81" s="372">
        <f>Input!$PV$22</f>
        <v>2799243</v>
      </c>
      <c r="G81" s="372">
        <f>Input!$PW$22</f>
        <v>879266</v>
      </c>
      <c r="H81" s="372">
        <f>Input!$PX$22</f>
        <v>168701</v>
      </c>
      <c r="I81" s="372">
        <f>Input!$PY$22</f>
        <v>276923</v>
      </c>
      <c r="J81" s="372">
        <f>Input!$PZ$22</f>
        <v>2910080</v>
      </c>
      <c r="K81" s="372">
        <f>Input!$QA$22</f>
        <v>0</v>
      </c>
      <c r="L81" s="372">
        <f>Input!$QB$22</f>
        <v>0</v>
      </c>
      <c r="M81" s="373">
        <f>D81+E81+F81+G81+H81+I81+J81+K81+L81</f>
        <v>18932688</v>
      </c>
      <c r="N81" s="160"/>
      <c r="O81" s="496" t="s">
        <v>587</v>
      </c>
      <c r="P81" s="276"/>
      <c r="Q81" s="276"/>
      <c r="R81" s="497"/>
      <c r="S81" s="330"/>
      <c r="T81" s="330"/>
      <c r="W81" s="276"/>
      <c r="X81" s="276"/>
      <c r="Y81" s="331"/>
      <c r="Z81" s="331"/>
      <c r="AA81" s="276"/>
      <c r="AB81" s="276"/>
    </row>
    <row r="82" spans="1:28">
      <c r="A82" s="184">
        <v>65</v>
      </c>
      <c r="B82" s="160" t="s">
        <v>48</v>
      </c>
      <c r="C82" s="160"/>
      <c r="D82" s="372">
        <f>Input!$QC$22</f>
        <v>0</v>
      </c>
      <c r="E82" s="372">
        <f>Input!$QD$22</f>
        <v>0</v>
      </c>
      <c r="F82" s="372">
        <f>Input!$QE$22</f>
        <v>0</v>
      </c>
      <c r="G82" s="372">
        <f>Input!$QF$22</f>
        <v>0</v>
      </c>
      <c r="H82" s="372">
        <f>Input!$QG$22</f>
        <v>0</v>
      </c>
      <c r="I82" s="372">
        <f>Input!$QH$22</f>
        <v>0</v>
      </c>
      <c r="J82" s="372">
        <f>Input!$QI$22</f>
        <v>0</v>
      </c>
      <c r="K82" s="372">
        <f>Input!$QJ$22</f>
        <v>0</v>
      </c>
      <c r="L82" s="372">
        <f>Input!$QK$22</f>
        <v>0</v>
      </c>
      <c r="M82" s="373">
        <f>D82+E82+F82+G82+H82+I82+J82+K82+L82</f>
        <v>0</v>
      </c>
      <c r="N82" s="160"/>
      <c r="O82" s="498" t="s">
        <v>588</v>
      </c>
      <c r="P82" s="276"/>
      <c r="Q82" s="276"/>
      <c r="R82" s="492">
        <f>IFERROR($R$78-$R$80,"")</f>
        <v>0</v>
      </c>
      <c r="Y82" s="331"/>
      <c r="Z82" s="401"/>
      <c r="AA82" s="268"/>
      <c r="AB82" s="268"/>
    </row>
    <row r="83" spans="1:28">
      <c r="A83" s="184">
        <v>66</v>
      </c>
      <c r="B83" s="162" t="s">
        <v>3</v>
      </c>
      <c r="C83" s="162"/>
      <c r="D83" s="374">
        <f t="shared" ref="D83:L83" si="21">SUM(D81:D82)</f>
        <v>-163818</v>
      </c>
      <c r="E83" s="374">
        <f t="shared" si="21"/>
        <v>12062293</v>
      </c>
      <c r="F83" s="374">
        <f t="shared" si="21"/>
        <v>2799243</v>
      </c>
      <c r="G83" s="374">
        <f t="shared" si="21"/>
        <v>879266</v>
      </c>
      <c r="H83" s="374">
        <f t="shared" si="21"/>
        <v>168701</v>
      </c>
      <c r="I83" s="374">
        <f t="shared" si="21"/>
        <v>276923</v>
      </c>
      <c r="J83" s="374">
        <f t="shared" si="21"/>
        <v>2910080</v>
      </c>
      <c r="K83" s="374">
        <f t="shared" si="21"/>
        <v>0</v>
      </c>
      <c r="L83" s="374">
        <f t="shared" si="21"/>
        <v>0</v>
      </c>
      <c r="M83" s="374">
        <f>D83+E83+F83+G83+H83+I83+J83+K83+L83</f>
        <v>18932688</v>
      </c>
      <c r="N83" s="160"/>
      <c r="O83" s="493"/>
      <c r="P83" s="276"/>
      <c r="Q83" s="276"/>
      <c r="R83" s="497"/>
      <c r="Y83" s="163"/>
      <c r="Z83" s="447"/>
      <c r="AA83" s="439"/>
      <c r="AB83" s="448"/>
    </row>
    <row r="84" spans="1:28" ht="13.5" thickBot="1">
      <c r="A84" s="184">
        <v>67</v>
      </c>
      <c r="B84" s="160"/>
      <c r="C84" s="160"/>
      <c r="D84" s="373"/>
      <c r="E84" s="373"/>
      <c r="F84" s="373"/>
      <c r="G84" s="373"/>
      <c r="H84" s="373"/>
      <c r="I84" s="373"/>
      <c r="J84" s="373"/>
      <c r="K84" s="373"/>
      <c r="L84" s="373"/>
      <c r="M84" s="373"/>
      <c r="N84" s="160"/>
      <c r="O84" s="499" t="s">
        <v>589</v>
      </c>
      <c r="P84" s="500"/>
      <c r="Q84" s="500"/>
      <c r="R84" s="501">
        <f>IFERROR((R82+R80)-R78,"")</f>
        <v>0</v>
      </c>
      <c r="Y84" s="268"/>
      <c r="Z84" s="447"/>
      <c r="AA84" s="439"/>
      <c r="AB84" s="449"/>
    </row>
    <row r="85" spans="1:28" ht="13.5" thickTop="1">
      <c r="A85" s="184">
        <v>68</v>
      </c>
      <c r="B85" s="162" t="s">
        <v>574</v>
      </c>
      <c r="C85" s="162"/>
      <c r="D85" s="374">
        <f t="shared" ref="D85:L85" si="22">D57-D71+D78+D83</f>
        <v>224250</v>
      </c>
      <c r="E85" s="374">
        <f t="shared" si="22"/>
        <v>33527005</v>
      </c>
      <c r="F85" s="374">
        <f t="shared" si="22"/>
        <v>4891980</v>
      </c>
      <c r="G85" s="374">
        <f t="shared" si="22"/>
        <v>7462008</v>
      </c>
      <c r="H85" s="374">
        <f t="shared" si="22"/>
        <v>-48780</v>
      </c>
      <c r="I85" s="374">
        <f t="shared" si="22"/>
        <v>317533</v>
      </c>
      <c r="J85" s="374">
        <f t="shared" si="22"/>
        <v>13329589</v>
      </c>
      <c r="K85" s="374">
        <f t="shared" si="22"/>
        <v>0</v>
      </c>
      <c r="L85" s="374">
        <f t="shared" si="22"/>
        <v>47620</v>
      </c>
      <c r="M85" s="374">
        <f>D85+E85+F85+G85+H85+I85+J85+K85+L85</f>
        <v>59751205</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Input!$QL$22</f>
        <v>0</v>
      </c>
      <c r="E87" s="372">
        <f>Input!$QM$22</f>
        <v>0</v>
      </c>
      <c r="F87" s="372">
        <f>Input!$QN$22</f>
        <v>0</v>
      </c>
      <c r="G87" s="372">
        <f>Input!$QO$22</f>
        <v>0</v>
      </c>
      <c r="H87" s="372">
        <f>Input!$QP$22</f>
        <v>0</v>
      </c>
      <c r="I87" s="372">
        <f>Input!$QQ$22</f>
        <v>0</v>
      </c>
      <c r="J87" s="372">
        <f>Input!$QR$22</f>
        <v>0</v>
      </c>
      <c r="K87" s="372">
        <f>Input!$QS$22</f>
        <v>0</v>
      </c>
      <c r="L87" s="372">
        <f>Input!$QT$22</f>
        <v>0</v>
      </c>
      <c r="M87" s="329">
        <f>D87+E87+F87+G87+H87+I87+J87+K87+L87</f>
        <v>0</v>
      </c>
      <c r="N87" s="160"/>
      <c r="Y87" s="268"/>
      <c r="Z87" s="447"/>
      <c r="AA87" s="439"/>
      <c r="AB87" s="449"/>
    </row>
    <row r="88" spans="1:28">
      <c r="A88" s="184">
        <v>72</v>
      </c>
      <c r="B88" s="160" t="s">
        <v>66</v>
      </c>
      <c r="C88" s="160"/>
      <c r="D88" s="372">
        <f>Input!$QU$22</f>
        <v>0</v>
      </c>
      <c r="E88" s="372">
        <f>Input!$QV$22</f>
        <v>0</v>
      </c>
      <c r="F88" s="372">
        <f>Input!$QW$22</f>
        <v>0</v>
      </c>
      <c r="G88" s="372">
        <f>Input!$QX$22</f>
        <v>0</v>
      </c>
      <c r="H88" s="372">
        <f>Input!$QY$22</f>
        <v>0</v>
      </c>
      <c r="I88" s="372">
        <f>Input!$QZ$22</f>
        <v>0</v>
      </c>
      <c r="J88" s="372">
        <f>Input!$RA$22</f>
        <v>0</v>
      </c>
      <c r="K88" s="372">
        <f>Input!$RB$22</f>
        <v>0</v>
      </c>
      <c r="L88" s="372">
        <f>Input!$RC$22</f>
        <v>-11902932</v>
      </c>
      <c r="M88" s="373">
        <f>D88+E88+F88+G88+H88+I88+J88+K88+L88</f>
        <v>-11902932</v>
      </c>
      <c r="N88" s="160"/>
      <c r="O88" s="270"/>
      <c r="P88" s="335"/>
      <c r="Y88" s="268"/>
      <c r="Z88" s="447"/>
      <c r="AA88" s="439"/>
      <c r="AB88" s="449"/>
    </row>
    <row r="89" spans="1:28" s="264" customFormat="1">
      <c r="A89" s="263"/>
      <c r="B89" s="171" t="s">
        <v>216</v>
      </c>
      <c r="C89" s="171"/>
      <c r="D89" s="372">
        <f>Input!$RD$22</f>
        <v>0</v>
      </c>
      <c r="E89" s="372">
        <f>Input!$RE$22</f>
        <v>0</v>
      </c>
      <c r="F89" s="372">
        <f>Input!$RF$22</f>
        <v>0</v>
      </c>
      <c r="G89" s="372">
        <f>Input!$RG$22</f>
        <v>0</v>
      </c>
      <c r="H89" s="372">
        <f>Input!$RH$22</f>
        <v>0</v>
      </c>
      <c r="I89" s="372">
        <f>Input!$RI$22</f>
        <v>0</v>
      </c>
      <c r="J89" s="372">
        <f>Input!$RJ$22</f>
        <v>0</v>
      </c>
      <c r="K89" s="372">
        <f>Input!$RK$22</f>
        <v>0</v>
      </c>
      <c r="L89" s="372">
        <f>Input!$RL$22</f>
        <v>0</v>
      </c>
      <c r="M89" s="373">
        <f t="shared" ref="M89:M91" si="23">D89+E89+F89+G89+H89+I89+J89+K89+L89</f>
        <v>0</v>
      </c>
      <c r="N89" s="160"/>
      <c r="O89" s="1726" t="s">
        <v>1355</v>
      </c>
      <c r="P89" s="1727"/>
      <c r="Q89" s="1727"/>
      <c r="R89" s="1727"/>
      <c r="S89" s="1727"/>
      <c r="T89" s="1727"/>
      <c r="U89" s="1728"/>
      <c r="Y89" s="268"/>
      <c r="Z89" s="447"/>
      <c r="AA89" s="439"/>
      <c r="AB89" s="449"/>
    </row>
    <row r="90" spans="1:28" s="264" customFormat="1">
      <c r="A90" s="263"/>
      <c r="B90" s="171" t="s">
        <v>105</v>
      </c>
      <c r="C90" s="171"/>
      <c r="D90" s="372">
        <f>Input!$RM$22</f>
        <v>0</v>
      </c>
      <c r="E90" s="372">
        <f>Input!$RN$22</f>
        <v>0</v>
      </c>
      <c r="F90" s="372">
        <f>Input!$RO$22</f>
        <v>0</v>
      </c>
      <c r="G90" s="372">
        <f>Input!$RP$22</f>
        <v>0</v>
      </c>
      <c r="H90" s="372">
        <f>Input!$RQ$22</f>
        <v>0</v>
      </c>
      <c r="I90" s="372">
        <f>Input!$RR$22</f>
        <v>0</v>
      </c>
      <c r="J90" s="372">
        <f>Input!$RS$22</f>
        <v>0</v>
      </c>
      <c r="K90" s="372">
        <f>Input!$RT$22</f>
        <v>0</v>
      </c>
      <c r="L90" s="372">
        <f>Input!$RU$22</f>
        <v>0</v>
      </c>
      <c r="M90" s="373">
        <f t="shared" si="23"/>
        <v>0</v>
      </c>
      <c r="N90" s="160"/>
      <c r="O90" s="502" t="s">
        <v>590</v>
      </c>
      <c r="P90" s="423"/>
      <c r="Q90" s="502" t="s">
        <v>591</v>
      </c>
      <c r="R90" s="423"/>
      <c r="S90" s="503"/>
      <c r="T90" s="502" t="s">
        <v>592</v>
      </c>
      <c r="U90" s="423"/>
      <c r="Y90" s="268"/>
      <c r="Z90" s="447"/>
      <c r="AA90" s="439"/>
      <c r="AB90" s="449"/>
    </row>
    <row r="91" spans="1:28" s="264" customFormat="1">
      <c r="A91" s="263"/>
      <c r="B91" s="171" t="s">
        <v>128</v>
      </c>
      <c r="C91" s="171"/>
      <c r="D91" s="372">
        <f>Input!$RV$22</f>
        <v>0</v>
      </c>
      <c r="E91" s="372">
        <f>Input!$RW$22</f>
        <v>0</v>
      </c>
      <c r="F91" s="372">
        <f>Input!$RX$22</f>
        <v>0</v>
      </c>
      <c r="G91" s="372">
        <f>Input!$RY$22</f>
        <v>0</v>
      </c>
      <c r="H91" s="372">
        <f>Input!$RZ$22</f>
        <v>0</v>
      </c>
      <c r="I91" s="372">
        <f>Input!$SA$22</f>
        <v>0</v>
      </c>
      <c r="J91" s="372">
        <f>Input!$SB$22</f>
        <v>0</v>
      </c>
      <c r="K91" s="372">
        <f>Input!$SC$22</f>
        <v>0</v>
      </c>
      <c r="L91" s="372">
        <f>Input!$SD$22</f>
        <v>45795</v>
      </c>
      <c r="M91" s="373">
        <f t="shared" si="23"/>
        <v>45795</v>
      </c>
      <c r="N91" s="160"/>
      <c r="O91" s="504"/>
      <c r="P91" s="505"/>
      <c r="Q91" s="504"/>
      <c r="R91" s="426"/>
      <c r="S91" s="276"/>
      <c r="T91" s="506"/>
      <c r="U91" s="426"/>
      <c r="Y91" s="268"/>
      <c r="Z91" s="447"/>
      <c r="AA91" s="439"/>
      <c r="AB91" s="449"/>
    </row>
    <row r="92" spans="1:28" s="264" customFormat="1">
      <c r="A92" s="263"/>
      <c r="B92" s="160" t="s">
        <v>67</v>
      </c>
      <c r="C92" s="160"/>
      <c r="D92" s="372">
        <f>Input!$SE$22</f>
        <v>1082531</v>
      </c>
      <c r="E92" s="372">
        <f>Input!$SF$22</f>
        <v>161461</v>
      </c>
      <c r="F92" s="372">
        <f>Input!$SG$22</f>
        <v>17912</v>
      </c>
      <c r="G92" s="372">
        <f>Input!$SH$22</f>
        <v>367000</v>
      </c>
      <c r="H92" s="372">
        <f>Input!$SI$22</f>
        <v>0</v>
      </c>
      <c r="I92" s="372">
        <f>Input!$SJ$22</f>
        <v>0</v>
      </c>
      <c r="J92" s="372">
        <f>Input!$SK$22</f>
        <v>5658587</v>
      </c>
      <c r="K92" s="372">
        <f>Input!$SL$22</f>
        <v>0</v>
      </c>
      <c r="L92" s="372">
        <f>Input!$SM$22</f>
        <v>0</v>
      </c>
      <c r="M92" s="373">
        <f>D92+E92+F92+G92+H92+I92+J92+K92+L92</f>
        <v>7287491</v>
      </c>
      <c r="N92" s="160"/>
      <c r="O92" s="1729" t="str">
        <f>Input!UF$22</f>
        <v>Chris Arrington</v>
      </c>
      <c r="P92" s="1730"/>
      <c r="Q92" s="1729" t="str">
        <f>Input!$UG$22</f>
        <v>979-458-9151</v>
      </c>
      <c r="R92" s="1730"/>
      <c r="S92" s="276"/>
      <c r="T92" s="1731" t="str">
        <f>HYPERLINK("Mailto:"&amp;Input!$UH$22,Input!$UH$22)</f>
        <v>carrington@tamus.edu</v>
      </c>
      <c r="U92" s="1730"/>
      <c r="Y92" s="268"/>
      <c r="Z92" s="447"/>
      <c r="AA92" s="442"/>
      <c r="AB92" s="449"/>
    </row>
    <row r="93" spans="1:28" ht="13.5" thickBot="1">
      <c r="B93" s="179" t="s">
        <v>58</v>
      </c>
      <c r="C93" s="179"/>
      <c r="D93" s="380">
        <f t="shared" ref="D93:K93" si="24">SUM(D85:D92)</f>
        <v>1306781</v>
      </c>
      <c r="E93" s="380">
        <f t="shared" si="24"/>
        <v>33688466</v>
      </c>
      <c r="F93" s="380">
        <f t="shared" si="24"/>
        <v>4909892</v>
      </c>
      <c r="G93" s="380">
        <f t="shared" si="24"/>
        <v>7829008</v>
      </c>
      <c r="H93" s="380">
        <f t="shared" si="24"/>
        <v>-48780</v>
      </c>
      <c r="I93" s="380">
        <f t="shared" si="24"/>
        <v>317533</v>
      </c>
      <c r="J93" s="380">
        <f t="shared" si="24"/>
        <v>18988176</v>
      </c>
      <c r="K93" s="380">
        <f t="shared" si="24"/>
        <v>0</v>
      </c>
      <c r="L93" s="380">
        <f>SUM(L85:L92)</f>
        <v>-11809517</v>
      </c>
      <c r="M93" s="380">
        <f>D93+E93+F93+G93+H93+I93+J93+K93+L93</f>
        <v>55181559</v>
      </c>
      <c r="N93" s="160"/>
      <c r="O93" s="506"/>
      <c r="P93" s="507"/>
      <c r="Q93" s="276"/>
      <c r="R93" s="276"/>
      <c r="S93" s="276"/>
      <c r="T93" s="507"/>
      <c r="U93" s="508"/>
      <c r="Y93" s="268"/>
      <c r="Z93" s="447"/>
      <c r="AA93" s="442"/>
      <c r="AB93" s="449"/>
    </row>
    <row r="94" spans="1:28" ht="13.5" thickTop="1">
      <c r="C94" s="160"/>
      <c r="D94" s="165"/>
      <c r="E94" s="165"/>
      <c r="F94" s="165"/>
      <c r="G94" s="165"/>
      <c r="H94" s="165"/>
      <c r="I94" s="165"/>
      <c r="J94" s="165"/>
      <c r="K94" s="165"/>
      <c r="L94" s="165"/>
      <c r="M94" s="180"/>
      <c r="N94" s="160"/>
      <c r="O94" s="1720" t="s">
        <v>593</v>
      </c>
      <c r="P94" s="1721"/>
      <c r="Q94" s="1721"/>
      <c r="R94" s="1721"/>
      <c r="S94" s="1721"/>
      <c r="T94" s="1721"/>
      <c r="U94" s="1722"/>
      <c r="Y94" s="268"/>
      <c r="Z94" s="451"/>
      <c r="AA94" s="442"/>
      <c r="AB94" s="449"/>
    </row>
    <row r="95" spans="1:28">
      <c r="B95" s="171" t="s">
        <v>1369</v>
      </c>
      <c r="C95" s="169"/>
      <c r="D95" s="165"/>
      <c r="E95" s="165"/>
      <c r="F95" s="165"/>
      <c r="G95" s="165"/>
      <c r="H95" s="165"/>
      <c r="I95" s="165"/>
      <c r="J95" s="165"/>
      <c r="K95" s="165"/>
      <c r="L95" s="165"/>
      <c r="M95" s="180"/>
      <c r="N95" s="160"/>
      <c r="O95" s="1720"/>
      <c r="P95" s="1721"/>
      <c r="Q95" s="1721"/>
      <c r="R95" s="1721"/>
      <c r="S95" s="1721"/>
      <c r="T95" s="1721"/>
      <c r="U95" s="1722"/>
      <c r="Y95" s="268"/>
      <c r="Z95" s="452"/>
      <c r="AA95" s="453"/>
      <c r="AB95" s="454"/>
    </row>
    <row r="96" spans="1:28">
      <c r="B96" s="169" t="s">
        <v>80</v>
      </c>
      <c r="C96" s="160"/>
      <c r="D96" s="165"/>
      <c r="E96" s="165"/>
      <c r="F96" s="165"/>
      <c r="G96" s="165"/>
      <c r="H96" s="165"/>
      <c r="I96" s="165"/>
      <c r="J96" s="165"/>
      <c r="K96" s="165"/>
      <c r="L96" s="165"/>
      <c r="M96" s="180"/>
      <c r="N96" s="160"/>
      <c r="O96" s="509"/>
      <c r="P96" s="510"/>
      <c r="Q96" s="511"/>
      <c r="R96" s="511"/>
      <c r="S96" s="511"/>
      <c r="T96" s="510"/>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Input!$SN$22</f>
        <v>55181559</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3" t="str">
        <f>IF($L$118&lt;&gt;Input!$F$22,"Out of Balance","Balanced")</f>
        <v>Balanced</v>
      </c>
      <c r="M102" s="517"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141498611</v>
      </c>
      <c r="E105" s="373">
        <f>SUM($E$10:$E$14)+SUM($E$19:$E$28)+SUM($E$32:$E$41)+$E$47+SUM($E$50:$E$55)+SUM($E$60:$E$70)+SUM($E$74:$E$77)+SUM($E$81:$E$82)+SUM($E$87:$E$92)</f>
        <v>134536107</v>
      </c>
      <c r="F105" s="373">
        <f>SUM($F$10:$F$14)+SUM($F$19:$F$28)+SUM($F$32:$F$41)+$F$47+SUM($F$50:$F$55)+SUM($F$60:$F$70)+SUM($F$74:$F$77)+SUM($F$81:$F$82)+SUM($F$87:$F$92)</f>
        <v>60650434</v>
      </c>
      <c r="G105" s="373">
        <f>SUM($G$10:$G$14)+SUM($G$19:$G$28)+SUM($G$32:$G$41)+$G$47+SUM($G$50:$G$55)+SUM($G$60:$G$70)+SUM($G$74:$G$77)+SUM($G$81:$G$82)+SUM($G$87:$G$92)</f>
        <v>53199772</v>
      </c>
      <c r="H105" s="373">
        <f>SUM($H$10:$H$14)+SUM($H$19:$H$28)+SUM($H$32:$H$41)+$H$47+SUM($H$50:$H$55)+SUM($H$60:$H$70)+SUM($H$74:$H$77)+SUM($H$81:$H$82)+SUM($H$87:$H$92)</f>
        <v>454426</v>
      </c>
      <c r="I105" s="373">
        <f>SUM($I$10:$I$14)+SUM($I$19:$I$28)+SUM($I$32:$I$41)+$I$47+SUM($I$50:$I$55)+SUM($I$60:$I$70)+SUM($I$74:$I$77)+SUM($I$81:$I$82)+SUM($I$87:$I$92)</f>
        <v>317533</v>
      </c>
      <c r="J105" s="373">
        <f>SUM($J$10:$J$14)+SUM($J$19:$J$28)+SUM($J$32:$J$41)+$J$47+SUM($J$50:$J$55)+SUM($J$60:$J$70)+SUM($J$74:$J$77)+SUM($J$81:$J$82)+SUM($J$87:$J$92)</f>
        <v>22900048</v>
      </c>
      <c r="K105" s="373">
        <f>SUM($K$10:$K$14)+SUM($K$19:$K$28)+SUM($K$32:$K$41)+$K$47+SUM($K$50:$K$55)+SUM($K$60:$K$70)+SUM($K$74:$K$77)+SUM($K$81:$K$82)+SUM($K$87:$K$92)</f>
        <v>0</v>
      </c>
      <c r="L105" s="373">
        <f>SUM($L$10:$L$14)+SUM($L$19:$L$28)+SUM($L$32:$L$41)+$L$47+SUM($L$50:$L$55)+SUM($L$60:$L$70)+SUM($L$74:$L$77)+SUM($L$81:$L$82)+SUM($L$87:$L$92)</f>
        <v>-11768163</v>
      </c>
      <c r="M105" s="373"/>
      <c r="N105" s="264"/>
      <c r="O105" s="373"/>
      <c r="P105" s="450">
        <f>M18-INT(M18)</f>
        <v>0</v>
      </c>
    </row>
    <row r="106" spans="2:28">
      <c r="B106" s="261"/>
      <c r="C106" s="261"/>
      <c r="D106" s="261"/>
      <c r="E106" s="261"/>
      <c r="F106" s="261"/>
      <c r="G106" s="261"/>
      <c r="H106" s="261"/>
      <c r="I106" s="261"/>
      <c r="J106" s="261"/>
      <c r="K106" s="261"/>
      <c r="L106" s="373">
        <f>SUM($D$105:$L$105)</f>
        <v>401788768</v>
      </c>
      <c r="M106" s="261"/>
      <c r="N106" s="264"/>
      <c r="O106" s="373"/>
      <c r="P106" s="450">
        <f>M31-INT(M31)</f>
        <v>0</v>
      </c>
    </row>
    <row r="107" spans="2:28">
      <c r="B107" s="261"/>
      <c r="C107" s="261"/>
      <c r="D107" s="261"/>
      <c r="E107" s="261"/>
      <c r="F107" s="261"/>
      <c r="G107" s="261"/>
      <c r="H107" s="261"/>
      <c r="I107" s="261"/>
      <c r="J107" s="261" t="s">
        <v>1299</v>
      </c>
      <c r="K107" s="261"/>
      <c r="L107" s="373">
        <f>$M$100</f>
        <v>55181559</v>
      </c>
      <c r="M107" s="261"/>
      <c r="N107" s="264"/>
      <c r="O107" s="373"/>
      <c r="P107" s="450">
        <f>M93-INT(M93)</f>
        <v>0</v>
      </c>
    </row>
    <row r="108" spans="2:28">
      <c r="B108" s="261"/>
      <c r="C108" s="261"/>
      <c r="D108" s="261"/>
      <c r="E108" s="261"/>
      <c r="F108" s="261"/>
      <c r="G108" s="261"/>
      <c r="H108" s="261"/>
      <c r="I108" s="261"/>
      <c r="J108" s="261" t="s">
        <v>1300</v>
      </c>
      <c r="K108" s="261"/>
      <c r="L108" s="512">
        <f>$Q$32</f>
        <v>106076895</v>
      </c>
      <c r="M108" s="261"/>
      <c r="N108" s="264"/>
      <c r="O108" s="373"/>
    </row>
    <row r="109" spans="2:28">
      <c r="B109" s="261"/>
      <c r="C109" s="261"/>
      <c r="D109" s="261"/>
      <c r="E109" s="261"/>
      <c r="F109" s="261"/>
      <c r="G109" s="261"/>
      <c r="H109" s="261"/>
      <c r="I109" s="261"/>
      <c r="J109" s="261" t="s">
        <v>1300</v>
      </c>
      <c r="K109" s="261"/>
      <c r="L109" s="512">
        <f>$R$34</f>
        <v>-25976202</v>
      </c>
      <c r="M109" s="261"/>
      <c r="N109" s="264"/>
      <c r="O109" s="373"/>
    </row>
    <row r="110" spans="2:28">
      <c r="B110" s="261"/>
      <c r="C110" s="261"/>
      <c r="D110" s="261"/>
      <c r="E110" s="261"/>
      <c r="F110" s="261"/>
      <c r="G110" s="261"/>
      <c r="H110" s="261"/>
      <c r="I110" s="261"/>
      <c r="J110" s="261" t="s">
        <v>29</v>
      </c>
      <c r="K110" s="261"/>
      <c r="L110" s="512">
        <f>SUM($P$60:$P$68)</f>
        <v>1628904</v>
      </c>
      <c r="M110" s="261"/>
      <c r="N110" s="264"/>
      <c r="O110" s="373"/>
    </row>
    <row r="111" spans="2:28">
      <c r="B111" s="261"/>
      <c r="C111" s="261"/>
      <c r="D111" s="261"/>
      <c r="E111" s="261"/>
      <c r="F111" s="261"/>
      <c r="G111" s="261"/>
      <c r="H111" s="261"/>
      <c r="I111" s="261"/>
      <c r="J111" s="261" t="s">
        <v>594</v>
      </c>
      <c r="K111" s="261"/>
      <c r="L111" s="373">
        <f>$Q$64</f>
        <v>510269</v>
      </c>
      <c r="M111" s="261"/>
      <c r="N111" s="264"/>
      <c r="O111" s="373"/>
    </row>
    <row r="112" spans="2:28">
      <c r="B112" s="261"/>
      <c r="C112" s="261"/>
      <c r="D112" s="261"/>
      <c r="E112" s="261"/>
      <c r="F112" s="261"/>
      <c r="G112" s="261"/>
      <c r="H112" s="261"/>
      <c r="I112" s="261"/>
      <c r="J112" s="261" t="s">
        <v>595</v>
      </c>
      <c r="K112" s="261"/>
      <c r="L112" s="512">
        <f>SUM($V$60:$V$67)</f>
        <v>55691</v>
      </c>
      <c r="M112" s="261"/>
      <c r="N112" s="264"/>
      <c r="O112" s="373"/>
    </row>
    <row r="113" spans="2:15">
      <c r="B113" s="261"/>
      <c r="C113" s="261"/>
      <c r="D113" s="261"/>
      <c r="E113" s="261"/>
      <c r="F113" s="261"/>
      <c r="G113" s="261"/>
      <c r="H113" s="261"/>
      <c r="I113" s="261"/>
      <c r="J113" s="261" t="s">
        <v>596</v>
      </c>
      <c r="K113" s="261"/>
      <c r="L113" s="512">
        <f>SUM($W$60:$W$67)</f>
        <v>0</v>
      </c>
      <c r="M113" s="261"/>
      <c r="N113" s="264"/>
      <c r="O113" s="373"/>
    </row>
    <row r="114" spans="2:15">
      <c r="B114" s="261"/>
      <c r="C114" s="261"/>
      <c r="D114" s="261"/>
      <c r="E114" s="261"/>
      <c r="F114" s="261"/>
      <c r="G114" s="261"/>
      <c r="H114" s="261"/>
      <c r="I114" s="261"/>
      <c r="J114" s="261" t="s">
        <v>258</v>
      </c>
      <c r="K114" s="261"/>
      <c r="L114" s="512">
        <f>SUM($AA$60:$AA$68)</f>
        <v>174671672</v>
      </c>
      <c r="M114" s="261"/>
      <c r="N114" s="264"/>
      <c r="O114" s="373"/>
    </row>
    <row r="115" spans="2:15">
      <c r="B115" s="261"/>
      <c r="C115" s="261"/>
      <c r="D115" s="261"/>
      <c r="E115" s="261"/>
      <c r="F115" s="261"/>
      <c r="G115" s="261"/>
      <c r="H115" s="261"/>
      <c r="I115" s="261"/>
      <c r="J115" s="261" t="s">
        <v>597</v>
      </c>
      <c r="K115" s="261"/>
      <c r="L115" s="512">
        <f>$R$77</f>
        <v>40818517</v>
      </c>
      <c r="M115" s="261"/>
      <c r="N115" s="264"/>
      <c r="O115" s="373"/>
    </row>
    <row r="116" spans="2:15">
      <c r="B116" s="261"/>
      <c r="C116" s="261"/>
      <c r="D116" s="261"/>
      <c r="E116" s="261"/>
      <c r="F116" s="261"/>
      <c r="G116" s="261"/>
      <c r="H116" s="261"/>
      <c r="I116" s="261"/>
      <c r="J116" s="261" t="s">
        <v>597</v>
      </c>
      <c r="K116" s="261"/>
      <c r="L116" s="512">
        <f>$R$80</f>
        <v>18932688</v>
      </c>
      <c r="M116" s="261"/>
      <c r="N116" s="264"/>
      <c r="O116" s="373"/>
    </row>
    <row r="117" spans="2:15">
      <c r="B117" s="261"/>
      <c r="C117" s="261"/>
      <c r="D117" s="261"/>
      <c r="E117" s="261"/>
      <c r="F117" s="261"/>
      <c r="G117" s="261"/>
      <c r="H117" s="261"/>
      <c r="I117" s="261"/>
      <c r="J117" s="261" t="s">
        <v>1231</v>
      </c>
      <c r="K117" s="261"/>
      <c r="L117" s="1008">
        <f>VLOOKUP(B2,Names!B5:$C$87,2,FALSE)</f>
        <v>3565</v>
      </c>
      <c r="M117" s="261"/>
      <c r="N117" s="264"/>
      <c r="O117" s="373"/>
    </row>
    <row r="118" spans="2:15">
      <c r="B118" s="261"/>
      <c r="C118" s="261"/>
      <c r="D118" s="261"/>
      <c r="E118" s="261"/>
      <c r="F118" s="261"/>
      <c r="G118" s="261"/>
      <c r="H118" s="261"/>
      <c r="I118" s="261"/>
      <c r="J118" s="261"/>
      <c r="K118" s="261"/>
      <c r="L118" s="373">
        <f>SUM(L106:L117)</f>
        <v>773692326</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V56:V59"/>
    <mergeCell ref="W56:W59"/>
    <mergeCell ref="G59:K59"/>
    <mergeCell ref="AA56:AA59"/>
    <mergeCell ref="Z55:AB55"/>
    <mergeCell ref="R56:R59"/>
    <mergeCell ref="O55:R55"/>
    <mergeCell ref="T55:X55"/>
    <mergeCell ref="X56:X59"/>
    <mergeCell ref="AB56:AB59"/>
    <mergeCell ref="Z56:Z59"/>
    <mergeCell ref="B2:F2"/>
    <mergeCell ref="B3:F3"/>
    <mergeCell ref="B4:F4"/>
    <mergeCell ref="B6:M6"/>
    <mergeCell ref="P4:Q4"/>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s>
  <conditionalFormatting sqref="U87:X88 O88:Q88">
    <cfRule type="cellIs" dxfId="848" priority="226" stopIfTrue="1" operator="notEqual">
      <formula>#REF!</formula>
    </cfRule>
  </conditionalFormatting>
  <conditionalFormatting sqref="P70">
    <cfRule type="expression" dxfId="847" priority="205">
      <formula>$P$69&lt;&gt;$M$69</formula>
    </cfRule>
  </conditionalFormatting>
  <conditionalFormatting sqref="AB72">
    <cfRule type="expression" dxfId="846" priority="204">
      <formula>$AB$71&lt;&gt;0</formula>
    </cfRule>
  </conditionalFormatting>
  <conditionalFormatting sqref="P71">
    <cfRule type="expression" dxfId="845" priority="203">
      <formula>P69-INT(P69)</formula>
    </cfRule>
  </conditionalFormatting>
  <conditionalFormatting sqref="V70">
    <cfRule type="expression" dxfId="844" priority="201">
      <formula>X68-INT(X68)</formula>
    </cfRule>
  </conditionalFormatting>
  <conditionalFormatting sqref="O12">
    <cfRule type="expression" dxfId="843" priority="192">
      <formula>$P$12&lt;&gt;$M$12</formula>
    </cfRule>
  </conditionalFormatting>
  <conditionalFormatting sqref="U87:U88 O88:Q88">
    <cfRule type="cellIs" dxfId="842" priority="185" stopIfTrue="1" operator="notEqual">
      <formula>#REF!</formula>
    </cfRule>
  </conditionalFormatting>
  <conditionalFormatting sqref="R84">
    <cfRule type="expression" priority="183" stopIfTrue="1">
      <formula>$M$85&lt;0</formula>
    </cfRule>
    <cfRule type="expression" dxfId="841" priority="184">
      <formula>$S$85&lt;&gt;0</formula>
    </cfRule>
  </conditionalFormatting>
  <conditionalFormatting sqref="R80 R77">
    <cfRule type="expression" dxfId="840" priority="181" stopIfTrue="1">
      <formula>$M$85&gt;=0</formula>
    </cfRule>
    <cfRule type="expression" priority="182">
      <formula>$M$85&lt;0</formula>
    </cfRule>
  </conditionalFormatting>
  <conditionalFormatting sqref="U87:U88 O88:Q88">
    <cfRule type="cellIs" dxfId="839" priority="180" stopIfTrue="1" operator="notEqual">
      <formula>#REF!</formula>
    </cfRule>
  </conditionalFormatting>
  <conditionalFormatting sqref="O13">
    <cfRule type="expression" dxfId="838" priority="164">
      <formula>$P$13&lt;&gt;$M$13</formula>
    </cfRule>
  </conditionalFormatting>
  <conditionalFormatting sqref="U87:U88 O88:Q88">
    <cfRule type="cellIs" dxfId="837" priority="162" stopIfTrue="1" operator="notEqual">
      <formula>#REF!</formula>
    </cfRule>
  </conditionalFormatting>
  <conditionalFormatting sqref="Q36">
    <cfRule type="expression" dxfId="836" priority="27">
      <formula>#REF!&lt;&gt;#REF!</formula>
    </cfRule>
  </conditionalFormatting>
  <conditionalFormatting sqref="R35">
    <cfRule type="expression" dxfId="835" priority="26">
      <formula>#REF!&lt;&gt;0</formula>
    </cfRule>
  </conditionalFormatting>
  <conditionalFormatting sqref="Q35">
    <cfRule type="expression" dxfId="834" priority="25">
      <formula>#REF!&lt;&gt;0</formula>
    </cfRule>
  </conditionalFormatting>
  <conditionalFormatting sqref="R36">
    <cfRule type="expression" dxfId="833" priority="24">
      <formula>#REF!&lt;&gt;#REF!</formula>
    </cfRule>
  </conditionalFormatting>
  <conditionalFormatting sqref="D93:M98 T94:T95 R90:S95 U87:X93 T90:T92 Y90:Y95 O88:O92 P88:Q93">
    <cfRule type="cellIs" dxfId="832" priority="23" stopIfTrue="1" operator="notEqual">
      <formula>#REF!</formula>
    </cfRule>
  </conditionalFormatting>
  <conditionalFormatting sqref="P70">
    <cfRule type="expression" dxfId="831" priority="22">
      <formula>$P$69&lt;&gt;$M$69</formula>
    </cfRule>
  </conditionalFormatting>
  <conditionalFormatting sqref="AB72">
    <cfRule type="expression" dxfId="830" priority="21">
      <formula>$AB$71&lt;&gt;0</formula>
    </cfRule>
  </conditionalFormatting>
  <conditionalFormatting sqref="P71">
    <cfRule type="expression" dxfId="829" priority="20">
      <formula>P69-INT(P69)</formula>
    </cfRule>
  </conditionalFormatting>
  <conditionalFormatting sqref="V70">
    <cfRule type="expression" dxfId="828" priority="19">
      <formula>X68-INT(X68)</formula>
    </cfRule>
  </conditionalFormatting>
  <conditionalFormatting sqref="O12">
    <cfRule type="expression" dxfId="827" priority="18">
      <formula>$P$12&lt;&gt;$M$12</formula>
    </cfRule>
  </conditionalFormatting>
  <conditionalFormatting sqref="T94:T95 R90:S95 U87:U93 T90:T92 O88:O92 P88:Q93">
    <cfRule type="cellIs" dxfId="826" priority="16" stopIfTrue="1" operator="notEqual">
      <formula>#REF!</formula>
    </cfRule>
  </conditionalFormatting>
  <conditionalFormatting sqref="R84">
    <cfRule type="expression" priority="14" stopIfTrue="1">
      <formula>$M$85&lt;0</formula>
    </cfRule>
    <cfRule type="expression" dxfId="825" priority="15">
      <formula>$S$85&lt;&gt;0</formula>
    </cfRule>
  </conditionalFormatting>
  <conditionalFormatting sqref="R80 R77">
    <cfRule type="expression" dxfId="824" priority="12" stopIfTrue="1">
      <formula>$M$85&gt;=0</formula>
    </cfRule>
    <cfRule type="expression" priority="13">
      <formula>$M$85&lt;0</formula>
    </cfRule>
  </conditionalFormatting>
  <conditionalFormatting sqref="U87:U88 R89:U92 O88:Q92">
    <cfRule type="cellIs" dxfId="823" priority="11" stopIfTrue="1" operator="notEqual">
      <formula>#REF!</formula>
    </cfRule>
  </conditionalFormatting>
  <conditionalFormatting sqref="M101">
    <cfRule type="expression" dxfId="822" priority="10">
      <formula>$M$101&lt;&gt;0</formula>
    </cfRule>
  </conditionalFormatting>
  <conditionalFormatting sqref="M102">
    <cfRule type="expression" dxfId="821" priority="9">
      <formula>$M$93&lt;&gt;$M$100</formula>
    </cfRule>
  </conditionalFormatting>
  <conditionalFormatting sqref="U87:U92 R90:T92 O88:Q92">
    <cfRule type="cellIs" dxfId="820" priority="8" stopIfTrue="1" operator="notEqual">
      <formula>#REF!</formula>
    </cfRule>
  </conditionalFormatting>
  <conditionalFormatting sqref="T89:U89 Q91 T90 O89:O90 P89:Q89 R89:S91">
    <cfRule type="cellIs" dxfId="819" priority="7" stopIfTrue="1" operator="notEqual">
      <formula>#REF!</formula>
    </cfRule>
  </conditionalFormatting>
  <conditionalFormatting sqref="Q36">
    <cfRule type="expression" dxfId="818" priority="6">
      <formula>#REF!&lt;&gt;#REF!</formula>
    </cfRule>
  </conditionalFormatting>
  <conditionalFormatting sqref="R35">
    <cfRule type="expression" dxfId="817" priority="5">
      <formula>#REF!&lt;&gt;0</formula>
    </cfRule>
  </conditionalFormatting>
  <conditionalFormatting sqref="Q35">
    <cfRule type="expression" dxfId="816" priority="4">
      <formula>#REF!&lt;&gt;0</formula>
    </cfRule>
  </conditionalFormatting>
  <conditionalFormatting sqref="R36">
    <cfRule type="expression" dxfId="815" priority="3">
      <formula>#REF!&lt;&gt;#REF!</formula>
    </cfRule>
  </conditionalFormatting>
  <conditionalFormatting sqref="G59:K59">
    <cfRule type="expression" dxfId="814" priority="1">
      <formula>OR($P$105&gt;0,$P$106&lt;&gt;0,$P$107&lt;&gt;0)</formula>
    </cfRule>
  </conditionalFormatting>
  <hyperlinks>
    <hyperlink ref="O2" location="Index!A1" display="Return to Index" xr:uid="{00000000-0004-0000-5B00-000000000000}"/>
  </hyperlinks>
  <printOptions horizontalCentered="1"/>
  <pageMargins left="0.5" right="0.5" top="0.25" bottom="0.25" header="0" footer="0.25"/>
  <pageSetup scale="10" orientation="landscape"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78"/>
  <dimension ref="A1:G30"/>
  <sheetViews>
    <sheetView showGridLines="0" zoomScale="80" zoomScaleNormal="80" workbookViewId="0">
      <selection activeCell="E74" sqref="E74:F74"/>
    </sheetView>
  </sheetViews>
  <sheetFormatPr defaultColWidth="9.140625" defaultRowHeight="12.75"/>
  <cols>
    <col min="1" max="1" width="7" style="53" customWidth="1"/>
    <col min="2" max="2" width="93.140625" style="53" customWidth="1"/>
    <col min="3" max="3" width="18.85546875" style="53" customWidth="1"/>
    <col min="4" max="9" width="9.140625" style="53"/>
    <col min="10" max="10" width="15" style="53" customWidth="1"/>
    <col min="11" max="16384" width="9.140625" style="53"/>
  </cols>
  <sheetData>
    <row r="1" spans="2:6" ht="18.75" thickBot="1">
      <c r="B1" s="466" t="str">
        <f>'TAMUC Chrts'!$A$1</f>
        <v>Texas A&amp;M University - Commerce</v>
      </c>
      <c r="C1" s="835" t="s">
        <v>1200</v>
      </c>
    </row>
    <row r="2" spans="2:6">
      <c r="B2" s="393" t="str">
        <f>'Smmy Chrts'!$A$2</f>
        <v>For the Year Ended August 31, 2021</v>
      </c>
    </row>
    <row r="3" spans="2:6">
      <c r="B3" s="393" t="str">
        <f>'Smmy Chrts'!$A$3</f>
        <v>Source: FY 2021 Annual Financial Report</v>
      </c>
    </row>
    <row r="5" spans="2:6" customFormat="1">
      <c r="B5" s="529" t="s">
        <v>705</v>
      </c>
    </row>
    <row r="6" spans="2:6" customFormat="1">
      <c r="B6" s="530"/>
    </row>
    <row r="7" spans="2:6" customFormat="1" ht="226.5" customHeight="1">
      <c r="B7" s="531" t="s">
        <v>706</v>
      </c>
      <c r="C7" s="532"/>
    </row>
    <row r="8" spans="2:6" customFormat="1" ht="263.25" customHeight="1">
      <c r="B8" s="531" t="s">
        <v>707</v>
      </c>
    </row>
    <row r="9" spans="2:6" ht="64.5" customHeight="1">
      <c r="B9" s="533" t="str">
        <f>IF('TAMUC FGD'!$R$76="N/A","FN11.  N/A",$B$20&amp;$B$21&amp;$B$22&amp;$B$23&amp;$B$24&amp;$B$25&amp;$B$26&amp;$B$27&amp;$B$28&amp;$B$29&amp;$B$30)</f>
        <v>FN11: Of the net increase of $59,751,205 approximately $40.8 million represents revenues received but not yet expended. This income is fully committed to program expenditures and capital disbursements. The remaining $18.9 million represents non-expendable funds from unrealized gains and additions to permanent endowments of approximately $18.9 million and $0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TEXT(IF('TAMUC FGD'!$M$85&lt;0,"N/A",'TAMUC FGD'!$M$85),"$* #,##0;$* (#,##0)")</f>
        <v>$59,751,205</v>
      </c>
      <c r="C21" s="480"/>
      <c r="D21" s="480"/>
      <c r="E21" s="480"/>
      <c r="G21" s="105"/>
    </row>
    <row r="22" spans="1:7">
      <c r="B22" s="105" t="s">
        <v>682</v>
      </c>
    </row>
    <row r="23" spans="1:7">
      <c r="A23" s="53">
        <v>61</v>
      </c>
      <c r="B23" s="515" t="str">
        <f>IF(ABS('TAMUC FGD'!$R$77)&gt;=1000000,TEXT('TAMUC FGD'!$R$77/1000000,"$* #,##0.0;$* (#,##0.0)")&amp;" million",IF(ABS('TAMUC FGD'!$R$77)&lt;1000,TEXT('TAMUC FGD'!$R$77,"$* #,##0;$* (#,##0)"),TEXT('TAMUC FGD'!$R$77/1000,"$* #,##0;$* (#,##0)")&amp;" thousand"))</f>
        <v>$40.8 million</v>
      </c>
      <c r="C23" s="515"/>
      <c r="E23" s="515"/>
    </row>
    <row r="24" spans="1:7">
      <c r="B24" s="105" t="s">
        <v>708</v>
      </c>
    </row>
    <row r="25" spans="1:7">
      <c r="A25" s="53">
        <v>62</v>
      </c>
      <c r="B25" s="515" t="str">
        <f>IF(ABS('TAMUC FGD'!$R$78)&gt;=1000000,TEXT('TAMUC FGD'!$R$78/1000000,"$* #,##0.0;$* (#,##0.0)")&amp;" million",IF(ABS('TAMUC FGD'!$R$78)&lt;1000,TEXT('TAMUC FGD'!$R$78,"$* #,##0;$* (#,##0)"),TEXT('TAMUC FGD'!$R$78/1000,"$* #,##0;$* (#,##0)")&amp;" thousand"))</f>
        <v>$18.9 million</v>
      </c>
      <c r="C25" s="515"/>
      <c r="E25" s="515"/>
    </row>
    <row r="26" spans="1:7">
      <c r="B26" s="105" t="s">
        <v>683</v>
      </c>
    </row>
    <row r="27" spans="1:7">
      <c r="A27" s="53">
        <v>64</v>
      </c>
      <c r="B27" s="515" t="str">
        <f>IF(ABS('TAMUC FGD'!$R$80)&gt;=1000000,TEXT('TAMUC FGD'!$R$80/1000000,"$* #,##0.0;$* (#,##0.0)")&amp;" million",IF(ABS('TAMUC FGD'!$R$80)&lt;1000,TEXT('TAMUC FGD'!$R$80,"$* #,##0;$* (#,##0)"),TEXT('TAMUC FGD'!$R$80/1000,"$* #,##0;$* (#,##0)")&amp;" thousand"))</f>
        <v>$18.9 million</v>
      </c>
      <c r="C27" s="515"/>
      <c r="E27" s="515"/>
    </row>
    <row r="28" spans="1:7">
      <c r="B28" s="105" t="s">
        <v>684</v>
      </c>
    </row>
    <row r="29" spans="1:7">
      <c r="A29" s="53">
        <v>66</v>
      </c>
      <c r="B29" s="515" t="str">
        <f>IF(ABS('TAMUC FGD'!$R$82)&gt;=1000000,TEXT('TAMUC FGD'!$R$82/1000000,"$* #,##0.0;$* (#,##0.0)")&amp;" million",IF(ABS('TAMUC FGD'!$R$82)&lt;1000,TEXT('TAMUC FGD'!$R$82,"$* #,##0;$* (#,##0)"),TEXT('TAMUC FGD'!$R$82/1000,"$* #,##0;$* (#,##0)")&amp;" thousand"))</f>
        <v>$0</v>
      </c>
      <c r="C29" s="515"/>
      <c r="E29" s="515"/>
    </row>
    <row r="30" spans="1:7">
      <c r="B30" s="105" t="s">
        <v>709</v>
      </c>
    </row>
  </sheetData>
  <hyperlinks>
    <hyperlink ref="C1" location="Index!A1" display="Return to Index" xr:uid="{00000000-0004-0000-5C00-000000000000}"/>
  </hyperlinks>
  <pageMargins left="0.25" right="0.25" top="0.25" bottom="0.25" header="0" footer="0.25"/>
  <pageSetup orientation="portrait"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79">
    <tabColor indexed="47"/>
    <pageSetUpPr fitToPage="1"/>
  </sheetPr>
  <dimension ref="A1:E165"/>
  <sheetViews>
    <sheetView showGridLines="0" zoomScale="65" zoomScaleNormal="65" zoomScaleSheetLayoutView="65" workbookViewId="0">
      <selection activeCell="B118" sqref="B118"/>
    </sheetView>
  </sheetViews>
  <sheetFormatPr defaultColWidth="9.140625" defaultRowHeight="12.75" customHeight="1"/>
  <cols>
    <col min="1" max="1" width="158.7109375" style="53" customWidth="1"/>
    <col min="2" max="2" width="21.28515625" style="53" customWidth="1"/>
    <col min="3" max="3" width="48.5703125" style="53" customWidth="1"/>
    <col min="4" max="4" width="20.7109375" style="53" customWidth="1"/>
    <col min="5" max="5" width="9.140625" style="679"/>
    <col min="6" max="16384" width="9.140625" style="53"/>
  </cols>
  <sheetData>
    <row r="1" spans="1:5" ht="28.5" thickBot="1">
      <c r="A1" s="159" t="s">
        <v>114</v>
      </c>
      <c r="B1" s="835" t="s">
        <v>1200</v>
      </c>
      <c r="C1" s="53" t="s">
        <v>1329</v>
      </c>
    </row>
    <row r="2" spans="1:5" ht="27.75">
      <c r="A2" s="54" t="str">
        <f>'Smmy Chrts'!$A$2</f>
        <v>For the Year Ended August 31, 2021</v>
      </c>
      <c r="C2" s="55" t="s">
        <v>63</v>
      </c>
    </row>
    <row r="3" spans="1:5" ht="27.75">
      <c r="A3" s="54" t="str">
        <f>'Smmy Chrts'!$A$3</f>
        <v>Source: FY 2021 Annual Financial Report</v>
      </c>
      <c r="C3" s="53" t="s">
        <v>64</v>
      </c>
    </row>
    <row r="4" spans="1:5" ht="12.75" customHeight="1">
      <c r="C4" s="53" t="s">
        <v>267</v>
      </c>
    </row>
    <row r="5" spans="1:5" ht="12.75" customHeight="1">
      <c r="C5" s="53" t="s">
        <v>268</v>
      </c>
    </row>
    <row r="7" spans="1:5" ht="12.75" customHeight="1">
      <c r="C7" s="1687" t="s">
        <v>25</v>
      </c>
      <c r="D7" s="1687"/>
    </row>
    <row r="8" spans="1:5" ht="12.75" customHeight="1">
      <c r="C8" s="57"/>
      <c r="D8" s="58"/>
    </row>
    <row r="9" spans="1:5" ht="12.75" customHeight="1">
      <c r="C9" s="59" t="str">
        <f>'TAMUT Sum'!A9</f>
        <v>State of Texas</v>
      </c>
      <c r="D9" s="60">
        <f>'TAMUT Sum'!B15</f>
        <v>28577033</v>
      </c>
      <c r="E9" s="680">
        <f>ROUND(D9/$D$14,3)</f>
        <v>0.51300000000000001</v>
      </c>
    </row>
    <row r="10" spans="1:5" ht="12.75" customHeight="1">
      <c r="C10" s="59" t="str">
        <f>'TAMUT Sum'!A17</f>
        <v>Student &amp; Parent</v>
      </c>
      <c r="D10" s="60">
        <f>'TAMUT Sum'!B20</f>
        <v>11361521</v>
      </c>
      <c r="E10" s="680">
        <f t="shared" ref="E10:E12" si="0">ROUND(D10/$D$14,3)</f>
        <v>0.20399999999999999</v>
      </c>
    </row>
    <row r="11" spans="1:5" ht="12.75" customHeight="1">
      <c r="C11" s="59" t="str">
        <f>'TAMUT Sum'!A22</f>
        <v>Federal Government</v>
      </c>
      <c r="D11" s="60">
        <f>'TAMUT Sum'!B23</f>
        <v>9745130</v>
      </c>
      <c r="E11" s="680">
        <f t="shared" si="0"/>
        <v>0.17499999999999999</v>
      </c>
    </row>
    <row r="12" spans="1:5" ht="12.75" customHeight="1">
      <c r="C12" s="59" t="str">
        <f>'TAMUT Sum'!A25</f>
        <v>Institutional Resources</v>
      </c>
      <c r="D12" s="60">
        <f>'TAMUT Sum'!B32</f>
        <v>6014808</v>
      </c>
      <c r="E12" s="680">
        <f t="shared" si="0"/>
        <v>0.108</v>
      </c>
    </row>
    <row r="13" spans="1:5" ht="12.75" customHeight="1">
      <c r="C13" s="57"/>
      <c r="D13" s="58"/>
      <c r="E13" s="680"/>
    </row>
    <row r="14" spans="1:5" ht="12.75" customHeight="1">
      <c r="C14" s="61" t="s">
        <v>68</v>
      </c>
      <c r="D14" s="62">
        <f>SUM(D9:D13)</f>
        <v>55698492</v>
      </c>
      <c r="E14" s="680">
        <f>SUM(E9:E13)</f>
        <v>0.99999999999999989</v>
      </c>
    </row>
    <row r="20" spans="1:3" ht="12.75" customHeight="1">
      <c r="C20" s="53" t="s">
        <v>88</v>
      </c>
    </row>
    <row r="21" spans="1:3" ht="12.75" customHeight="1">
      <c r="C21" s="53" t="s">
        <v>89</v>
      </c>
    </row>
    <row r="22" spans="1:3" ht="12.75" customHeight="1">
      <c r="C22" s="53" t="s">
        <v>90</v>
      </c>
    </row>
    <row r="23" spans="1:3" ht="12.75" customHeight="1">
      <c r="A23" s="56"/>
      <c r="C23" s="53" t="s">
        <v>91</v>
      </c>
    </row>
    <row r="24" spans="1:3" ht="12.75" customHeight="1">
      <c r="A24" s="56"/>
    </row>
    <row r="25" spans="1:3" ht="12.75" customHeight="1">
      <c r="A25" s="56"/>
    </row>
    <row r="26" spans="1:3" ht="12.75" customHeight="1">
      <c r="A26" s="56"/>
    </row>
    <row r="27" spans="1:3" ht="12.75" customHeight="1">
      <c r="A27" s="56"/>
    </row>
    <row r="28" spans="1:3" ht="12.75" customHeight="1">
      <c r="A28" s="56"/>
      <c r="C28" s="53"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86" t="str">
        <f>C14&amp;" "&amp;TEXT(D14,"$#,###")</f>
        <v>Total Operating Sources $55,698,492</v>
      </c>
    </row>
    <row r="48" spans="1:1" ht="12.75" customHeight="1">
      <c r="A48" s="1686"/>
    </row>
    <row r="49" spans="1:5" ht="12.75" customHeight="1">
      <c r="A49" s="56"/>
    </row>
    <row r="52" spans="1:5" ht="12.75" customHeight="1">
      <c r="C52" s="63" t="s">
        <v>25</v>
      </c>
      <c r="D52" s="58"/>
    </row>
    <row r="54" spans="1:5" ht="12.75" customHeight="1">
      <c r="C54" s="59" t="s">
        <v>1</v>
      </c>
      <c r="D54" s="60">
        <f>'TAMUT Sum'!B10</f>
        <v>25514271</v>
      </c>
      <c r="E54" s="680">
        <f>ROUND(D54/$D$67,3)</f>
        <v>0.45800000000000002</v>
      </c>
    </row>
    <row r="55" spans="1:5" ht="12.75" customHeight="1">
      <c r="C55" s="59" t="s">
        <v>221</v>
      </c>
      <c r="D55" s="60">
        <f>'TAMUT Sum'!B11</f>
        <v>1012489</v>
      </c>
      <c r="E55" s="680">
        <f t="shared" ref="E55:E66" si="1">ROUND(D55/$D$67,3)</f>
        <v>1.7999999999999999E-2</v>
      </c>
    </row>
    <row r="56" spans="1:5" ht="12.75" customHeight="1">
      <c r="C56" s="59"/>
      <c r="D56" s="60"/>
      <c r="E56" s="680"/>
    </row>
    <row r="57" spans="1:5" ht="12.75" customHeight="1">
      <c r="C57" s="59" t="str">
        <f>'TAMUT Sum'!A13</f>
        <v>Higher Education Fund</v>
      </c>
      <c r="D57" s="60">
        <f>'TAMUT Sum'!B13</f>
        <v>2050273</v>
      </c>
      <c r="E57" s="680">
        <f t="shared" si="1"/>
        <v>3.6999999999999998E-2</v>
      </c>
    </row>
    <row r="58" spans="1:5" ht="12.75" customHeight="1">
      <c r="C58" s="1069" t="s">
        <v>41</v>
      </c>
      <c r="D58" s="60">
        <f>'TAMUT Sum'!B14</f>
        <v>0</v>
      </c>
      <c r="E58" s="680">
        <f t="shared" si="1"/>
        <v>0</v>
      </c>
    </row>
    <row r="59" spans="1:5" ht="12.75" customHeight="1">
      <c r="C59" s="59" t="s">
        <v>87</v>
      </c>
      <c r="D59" s="60">
        <f>'TAMUT Sum'!B20</f>
        <v>11361521</v>
      </c>
      <c r="E59" s="680">
        <f t="shared" si="1"/>
        <v>0.20399999999999999</v>
      </c>
    </row>
    <row r="60" spans="1:5" ht="12.75" customHeight="1">
      <c r="C60" s="64" t="s">
        <v>74</v>
      </c>
      <c r="D60" s="60">
        <f>'TAMUT Sum'!B23</f>
        <v>9745130</v>
      </c>
      <c r="E60" s="680">
        <f t="shared" si="1"/>
        <v>0.17499999999999999</v>
      </c>
    </row>
    <row r="61" spans="1:5" ht="12.75" customHeight="1">
      <c r="C61" s="59" t="s">
        <v>75</v>
      </c>
      <c r="D61" s="60">
        <f>'TAMUT Sum'!B26</f>
        <v>1296304</v>
      </c>
      <c r="E61" s="680">
        <f t="shared" si="1"/>
        <v>2.3E-2</v>
      </c>
    </row>
    <row r="62" spans="1:5" ht="12.75" customHeight="1">
      <c r="C62" s="1069" t="s">
        <v>27</v>
      </c>
      <c r="D62" s="60">
        <f>'TAMUT Sum'!B27</f>
        <v>0</v>
      </c>
      <c r="E62" s="680">
        <f t="shared" si="1"/>
        <v>0</v>
      </c>
    </row>
    <row r="63" spans="1:5" ht="12.75" customHeight="1">
      <c r="C63" s="59" t="s">
        <v>76</v>
      </c>
      <c r="D63" s="60">
        <f>'TAMUT Sum'!B28</f>
        <v>181139</v>
      </c>
      <c r="E63" s="680">
        <f t="shared" si="1"/>
        <v>3.0000000000000001E-3</v>
      </c>
    </row>
    <row r="64" spans="1:5" ht="12.75" customHeight="1">
      <c r="C64" s="59" t="s">
        <v>77</v>
      </c>
      <c r="D64" s="967">
        <f>'TAMUT Sum'!B29</f>
        <v>2088968</v>
      </c>
      <c r="E64" s="680">
        <f t="shared" si="1"/>
        <v>3.7999999999999999E-2</v>
      </c>
    </row>
    <row r="65" spans="1:5" ht="12.75" customHeight="1">
      <c r="C65" s="59" t="s">
        <v>220</v>
      </c>
      <c r="D65" s="60">
        <f>'TAMUT Sum'!B30</f>
        <v>1485345</v>
      </c>
      <c r="E65" s="680">
        <f t="shared" si="1"/>
        <v>2.7E-2</v>
      </c>
    </row>
    <row r="66" spans="1:5" ht="12.75" customHeight="1">
      <c r="C66" s="64" t="s">
        <v>52</v>
      </c>
      <c r="D66" s="60">
        <f>'TAMUT Sum'!B31</f>
        <v>963052</v>
      </c>
      <c r="E66" s="680">
        <f t="shared" si="1"/>
        <v>1.7000000000000001E-2</v>
      </c>
    </row>
    <row r="67" spans="1:5" ht="12.75" customHeight="1">
      <c r="C67" s="61" t="s">
        <v>68</v>
      </c>
      <c r="D67" s="62">
        <f>SUM(D54:D66)</f>
        <v>55698492</v>
      </c>
      <c r="E67" s="681">
        <f>SUM(E54:E66)</f>
        <v>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86" t="str">
        <f>C67&amp;" "&amp;TEXT(D67,"$#,###")</f>
        <v>Total Operating Sources $55,698,492</v>
      </c>
    </row>
    <row r="93" spans="1:5" ht="12.75" customHeight="1">
      <c r="A93" s="1686"/>
    </row>
    <row r="94" spans="1:5" ht="12.75" customHeight="1">
      <c r="A94" s="65"/>
    </row>
    <row r="95" spans="1:5" s="68" customFormat="1" ht="12.75" customHeight="1">
      <c r="A95" s="66"/>
      <c r="E95" s="682"/>
    </row>
    <row r="96" spans="1:5" ht="12.75" customHeight="1">
      <c r="A96" s="65"/>
    </row>
    <row r="97" spans="1:5" ht="12.75" customHeight="1">
      <c r="A97" s="65"/>
    </row>
    <row r="98" spans="1:5" ht="12.75" customHeight="1">
      <c r="A98" s="65"/>
    </row>
    <row r="100" spans="1:5" ht="12.75" customHeight="1">
      <c r="C100" s="1687" t="s">
        <v>13</v>
      </c>
      <c r="D100" s="1687"/>
    </row>
    <row r="101" spans="1:5" ht="12.75" customHeight="1">
      <c r="C101" s="1687"/>
      <c r="D101" s="1687"/>
    </row>
    <row r="102" spans="1:5" ht="12.75" customHeight="1">
      <c r="C102" s="69" t="s">
        <v>14</v>
      </c>
      <c r="D102" s="60">
        <f>'TAMUT Sum'!B36</f>
        <v>15713897</v>
      </c>
      <c r="E102" s="680">
        <f>ROUND(D102/$D$114,3)</f>
        <v>0.378</v>
      </c>
    </row>
    <row r="103" spans="1:5" ht="12.75" customHeight="1">
      <c r="C103" s="69" t="s">
        <v>15</v>
      </c>
      <c r="D103" s="60">
        <f>'TAMUT Sum'!B37</f>
        <v>36898</v>
      </c>
      <c r="E103" s="680">
        <f t="shared" ref="E103:E112" si="2">ROUND(D103/$D$114,3)</f>
        <v>1E-3</v>
      </c>
    </row>
    <row r="104" spans="1:5" ht="12.75" customHeight="1">
      <c r="C104" s="69" t="s">
        <v>16</v>
      </c>
      <c r="D104" s="60">
        <f>'TAMUT Sum'!B38</f>
        <v>9026</v>
      </c>
      <c r="E104" s="680">
        <f t="shared" si="2"/>
        <v>0</v>
      </c>
    </row>
    <row r="105" spans="1:5" ht="12.75" customHeight="1">
      <c r="C105" s="69" t="s">
        <v>17</v>
      </c>
      <c r="D105" s="60">
        <f>'TAMUT Sum'!B39</f>
        <v>4250274</v>
      </c>
      <c r="E105" s="680">
        <f t="shared" si="2"/>
        <v>0.10199999999999999</v>
      </c>
    </row>
    <row r="106" spans="1:5" ht="12.75" customHeight="1">
      <c r="C106" s="69" t="s">
        <v>18</v>
      </c>
      <c r="D106" s="60">
        <f>'TAMUT Sum'!B40</f>
        <v>4390762</v>
      </c>
      <c r="E106" s="680">
        <f t="shared" si="2"/>
        <v>0.106</v>
      </c>
    </row>
    <row r="107" spans="1:5" ht="12.75" customHeight="1">
      <c r="C107" s="69" t="s">
        <v>19</v>
      </c>
      <c r="D107" s="60">
        <f>'TAMUT Sum'!B41</f>
        <v>4818785</v>
      </c>
      <c r="E107" s="680">
        <f t="shared" si="2"/>
        <v>0.11600000000000001</v>
      </c>
    </row>
    <row r="108" spans="1:5" ht="12.75" customHeight="1">
      <c r="C108" s="69" t="s">
        <v>78</v>
      </c>
      <c r="D108" s="60">
        <f>'TAMUT Sum'!B42</f>
        <v>2363504</v>
      </c>
      <c r="E108" s="680">
        <f t="shared" si="2"/>
        <v>5.7000000000000002E-2</v>
      </c>
    </row>
    <row r="109" spans="1:5" ht="12.75" customHeight="1">
      <c r="C109" s="69" t="s">
        <v>79</v>
      </c>
      <c r="D109" s="60">
        <f>'TAMUT Sum'!B43</f>
        <v>4735525</v>
      </c>
      <c r="E109" s="680">
        <f t="shared" si="2"/>
        <v>0.114</v>
      </c>
    </row>
    <row r="110" spans="1:5" ht="12.75" customHeight="1">
      <c r="C110" s="69" t="s">
        <v>22</v>
      </c>
      <c r="D110" s="60">
        <f>'TAMUT Sum'!B44</f>
        <v>2544788</v>
      </c>
      <c r="E110" s="680">
        <f t="shared" si="2"/>
        <v>6.0999999999999999E-2</v>
      </c>
    </row>
    <row r="111" spans="1:5" ht="12.75" customHeight="1">
      <c r="C111" s="64" t="s">
        <v>29</v>
      </c>
      <c r="D111" s="60">
        <f>'TAMUT Sum'!B45</f>
        <v>598517</v>
      </c>
      <c r="E111" s="680">
        <f t="shared" si="2"/>
        <v>1.4E-2</v>
      </c>
    </row>
    <row r="112" spans="1:5" ht="12.75" customHeight="1">
      <c r="C112" s="64" t="s">
        <v>53</v>
      </c>
      <c r="D112" s="60">
        <f>'TAMUT Sum'!B46</f>
        <v>2138272</v>
      </c>
      <c r="E112" s="680">
        <f t="shared" si="2"/>
        <v>5.0999999999999997E-2</v>
      </c>
    </row>
    <row r="113" spans="3:5" ht="12.75" customHeight="1">
      <c r="C113" s="57"/>
      <c r="D113" s="57"/>
    </row>
    <row r="114" spans="3:5" ht="12.75" customHeight="1">
      <c r="C114" s="70" t="s">
        <v>69</v>
      </c>
      <c r="D114" s="62">
        <f>SUM(D102:D113)</f>
        <v>41600248</v>
      </c>
      <c r="E114" s="681">
        <f>SUM(E102:E113)</f>
        <v>1</v>
      </c>
    </row>
    <row r="115" spans="3:5" ht="12.75" customHeight="1">
      <c r="D115" s="56"/>
    </row>
    <row r="116" spans="3:5" ht="12.75" customHeight="1">
      <c r="C116" s="71" t="s">
        <v>55</v>
      </c>
      <c r="D116" s="56"/>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86" t="str">
        <f>C114&amp;" "&amp;TEXT(D114,"$#,###")</f>
        <v>Total Operating Uses $41,600,248</v>
      </c>
    </row>
    <row r="137" spans="1:1" ht="12.75" customHeight="1">
      <c r="A137" s="1686"/>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47:A48"/>
    <mergeCell ref="A92:A93"/>
    <mergeCell ref="C101:D101"/>
    <mergeCell ref="A136:A137"/>
    <mergeCell ref="C7:D7"/>
    <mergeCell ref="C100:D100"/>
  </mergeCells>
  <hyperlinks>
    <hyperlink ref="B1" location="Index!A1" display="Return to Index" xr:uid="{00000000-0004-0000-5D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9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transitionEvaluation="1" transitionEntry="1" codeName="Sheet80">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'TAMUT Chrts'!$A$1</f>
        <v>Texas A&amp;M University - Texarkana</v>
      </c>
      <c r="B1" s="74"/>
      <c r="C1" s="1"/>
      <c r="D1" s="1704" t="s">
        <v>1200</v>
      </c>
      <c r="E1" s="1705"/>
      <c r="F1" s="1757" t="s">
        <v>1196</v>
      </c>
      <c r="G1" s="1706"/>
      <c r="H1" s="1706"/>
      <c r="I1" s="1706"/>
      <c r="J1" s="1707" t="s">
        <v>1197</v>
      </c>
      <c r="K1" s="1695"/>
      <c r="L1" s="1695"/>
      <c r="M1" s="1695"/>
      <c r="N1" s="1695"/>
      <c r="O1" s="1696"/>
    </row>
    <row r="2" spans="1:15" ht="15.75">
      <c r="A2" s="76" t="str">
        <f>'Smmy Chrts'!$A$2</f>
        <v>For the Year Ended August 31, 2021</v>
      </c>
      <c r="B2" s="74"/>
      <c r="C2" s="1"/>
      <c r="D2" s="37"/>
      <c r="E2" s="37"/>
      <c r="F2" s="37"/>
      <c r="J2" s="37"/>
      <c r="K2" s="37"/>
      <c r="L2" s="37"/>
      <c r="M2" s="37"/>
    </row>
    <row r="3" spans="1:15" ht="15.75">
      <c r="A3" s="76" t="str">
        <f>'Smmy Chrts'!$A$3</f>
        <v>Source: FY 2021 Annual Financial Report</v>
      </c>
      <c r="B3" s="74"/>
      <c r="C3" s="1"/>
    </row>
    <row r="4" spans="1:15" ht="13.5" customHeight="1">
      <c r="B4" s="77"/>
      <c r="C4" s="4"/>
      <c r="D4" s="1711" t="s">
        <v>1142</v>
      </c>
      <c r="E4" s="1711" t="s">
        <v>1143</v>
      </c>
      <c r="F4" s="266"/>
    </row>
    <row r="5" spans="1:15" ht="18">
      <c r="A5" s="39" t="str">
        <f>'Smmy Chrts'!$C$35</f>
        <v>Summary Worksheet FY 2021</v>
      </c>
      <c r="B5" s="40" t="s">
        <v>86</v>
      </c>
      <c r="C5" s="40" t="s">
        <v>129</v>
      </c>
      <c r="D5" s="1712"/>
      <c r="E5" s="1712"/>
      <c r="F5" s="266"/>
      <c r="G5" s="799" t="s">
        <v>1198</v>
      </c>
      <c r="I5" s="822" t="s">
        <v>2157</v>
      </c>
      <c r="J5" s="792" t="s">
        <v>1144</v>
      </c>
    </row>
    <row r="6" spans="1:15" ht="13.5" customHeight="1">
      <c r="A6" s="78" t="s">
        <v>266</v>
      </c>
      <c r="B6" s="41"/>
      <c r="C6" s="42">
        <f>VLOOKUP($A$1,FTSELU,12,FALSE)</f>
        <v>1651.54</v>
      </c>
      <c r="J6" s="712"/>
    </row>
    <row r="7" spans="1:15">
      <c r="I7" s="824" t="s">
        <v>1162</v>
      </c>
      <c r="J7" s="827"/>
    </row>
    <row r="8" spans="1:15">
      <c r="A8" s="81" t="s">
        <v>71</v>
      </c>
      <c r="B8" s="81"/>
      <c r="C8" s="24"/>
      <c r="I8" s="896">
        <f>VLOOKUP(A1,FTSELU,14,FALSE)</f>
        <v>219.21</v>
      </c>
      <c r="J8" s="712"/>
    </row>
    <row r="9" spans="1:15" ht="12.75" customHeight="1" thickBot="1">
      <c r="A9" s="78" t="s">
        <v>0</v>
      </c>
      <c r="B9" s="82"/>
      <c r="C9" s="7"/>
      <c r="J9" s="712"/>
    </row>
    <row r="10" spans="1:15" ht="12.75" customHeight="1" thickTop="1">
      <c r="A10" s="75" t="s">
        <v>1</v>
      </c>
      <c r="B10" s="83">
        <f>'TAMUT FGD'!M10</f>
        <v>25514271</v>
      </c>
      <c r="C10" s="83">
        <f>ROUND(B10/$C$6,0)</f>
        <v>15449</v>
      </c>
      <c r="D10" s="512">
        <f>'TAMUT FGD'!F10</f>
        <v>0</v>
      </c>
      <c r="E10" s="512"/>
      <c r="F10" s="84">
        <f>B10-(SUM(D10:E10))</f>
        <v>25514271</v>
      </c>
      <c r="G10" s="1143" t="s">
        <v>1</v>
      </c>
      <c r="H10" s="1144"/>
      <c r="I10" s="825" t="s">
        <v>1161</v>
      </c>
      <c r="J10" s="713">
        <f>ROUND(F10/$C$6,0)</f>
        <v>15449</v>
      </c>
    </row>
    <row r="11" spans="1:15" ht="12.75" customHeight="1" thickBot="1">
      <c r="A11" s="75" t="s">
        <v>2</v>
      </c>
      <c r="B11" s="86">
        <f>'TAMUT FGD'!M11</f>
        <v>1012489</v>
      </c>
      <c r="C11" s="87">
        <f t="shared" ref="C11:C14" si="0">ROUND(B11/$C$6,0)</f>
        <v>613</v>
      </c>
      <c r="D11" s="86">
        <f>'TAMUT FGD'!F11</f>
        <v>0</v>
      </c>
      <c r="E11" s="74"/>
      <c r="F11" s="606">
        <f t="shared" ref="F11:F14" si="1">B11-(SUM(D11:E11))</f>
        <v>1012489</v>
      </c>
      <c r="G11" s="1148">
        <f>SUM(F10:F11)</f>
        <v>26526760</v>
      </c>
      <c r="H11" s="715"/>
      <c r="I11" s="1373">
        <f>ROUND($G$11/$C$6,0)</f>
        <v>16062</v>
      </c>
      <c r="J11" s="716">
        <f t="shared" ref="J11:J14" si="2">ROUND(F11/$C$6,0)</f>
        <v>613</v>
      </c>
    </row>
    <row r="12" spans="1:15" ht="12.75" hidden="1" customHeight="1" thickTop="1" thickBot="1">
      <c r="A12" s="75" t="s">
        <v>1410</v>
      </c>
      <c r="B12" s="86"/>
      <c r="C12" s="87"/>
      <c r="D12" s="86"/>
      <c r="E12" s="74"/>
      <c r="F12" s="607"/>
      <c r="J12" s="716"/>
      <c r="O12" s="608"/>
    </row>
    <row r="13" spans="1:15" ht="12.75" customHeight="1" thickTop="1">
      <c r="A13" s="75" t="s">
        <v>1368</v>
      </c>
      <c r="B13" s="86">
        <f>'TAMUT FGD'!M13</f>
        <v>2050273</v>
      </c>
      <c r="C13" s="87">
        <f t="shared" si="0"/>
        <v>1241</v>
      </c>
      <c r="D13" s="86">
        <f>'TAMUT FGD'!F13</f>
        <v>0</v>
      </c>
      <c r="E13" s="74"/>
      <c r="F13" s="893">
        <f t="shared" si="1"/>
        <v>2050273</v>
      </c>
      <c r="G13" s="882" t="s">
        <v>81</v>
      </c>
      <c r="H13" s="894"/>
      <c r="I13" s="826" t="s">
        <v>1163</v>
      </c>
      <c r="J13" s="716">
        <f t="shared" si="2"/>
        <v>1241</v>
      </c>
    </row>
    <row r="14" spans="1:15" ht="12.75" customHeight="1" thickBot="1">
      <c r="A14" s="75" t="s">
        <v>49</v>
      </c>
      <c r="B14" s="86">
        <f>'TAMUT FGD'!M14</f>
        <v>0</v>
      </c>
      <c r="C14" s="87">
        <f t="shared" si="0"/>
        <v>0</v>
      </c>
      <c r="D14" s="86">
        <f>'TAMUT FGD'!F14</f>
        <v>0</v>
      </c>
      <c r="E14" s="74"/>
      <c r="F14" s="607">
        <f t="shared" si="1"/>
        <v>0</v>
      </c>
      <c r="G14" s="800">
        <f>SUM(F13:F14)</f>
        <v>2050273</v>
      </c>
      <c r="H14" s="895"/>
      <c r="I14" s="1377">
        <f>ROUND($G$11/$I$8,0)</f>
        <v>121011</v>
      </c>
      <c r="J14" s="828">
        <f t="shared" si="2"/>
        <v>0</v>
      </c>
    </row>
    <row r="15" spans="1:15" ht="12.75" customHeight="1" thickTop="1">
      <c r="A15" s="88" t="s">
        <v>3</v>
      </c>
      <c r="B15" s="89">
        <f>SUM(B10:B14)</f>
        <v>28577033</v>
      </c>
      <c r="C15" s="89">
        <f>SUM(C10:C14)</f>
        <v>17303</v>
      </c>
      <c r="D15" s="89">
        <f>SUM(D10:D14)</f>
        <v>0</v>
      </c>
      <c r="E15" s="89">
        <f>SUM(E10:E14)</f>
        <v>0</v>
      </c>
      <c r="F15" s="216">
        <f>SUM(F10:F14)</f>
        <v>28577033</v>
      </c>
      <c r="I15" s="1372"/>
      <c r="J15" s="757">
        <f>SUM(J10:J14)</f>
        <v>17303</v>
      </c>
    </row>
    <row r="16" spans="1:15">
      <c r="B16" s="48"/>
      <c r="C16" s="75"/>
      <c r="J16" s="712"/>
    </row>
    <row r="17" spans="1:31" ht="12.75" customHeight="1">
      <c r="A17" s="78" t="s">
        <v>4</v>
      </c>
      <c r="B17" s="86"/>
      <c r="C17" s="75"/>
      <c r="J17" s="712"/>
    </row>
    <row r="18" spans="1:31">
      <c r="A18" s="75" t="s">
        <v>39</v>
      </c>
      <c r="B18" s="83">
        <f>'TAMUT FGD'!M29</f>
        <v>7649046</v>
      </c>
      <c r="C18" s="83">
        <f t="shared" ref="C18:C19" si="3">ROUND(B18/$C$6,0)</f>
        <v>4631</v>
      </c>
      <c r="D18" s="512">
        <f>'TAMUT FGD'!$F$29</f>
        <v>0</v>
      </c>
      <c r="E18" s="512"/>
      <c r="F18" s="512">
        <f t="shared" ref="F18:F19" si="4">B18-(SUM(D18:E18))</f>
        <v>7649046</v>
      </c>
      <c r="G18" s="337"/>
      <c r="H18" s="337"/>
      <c r="I18" s="337"/>
      <c r="J18" s="713">
        <f>ROUND(F18/$C$6,0)</f>
        <v>4631</v>
      </c>
    </row>
    <row r="19" spans="1:31" ht="13.5" thickBot="1">
      <c r="A19" s="75" t="s">
        <v>40</v>
      </c>
      <c r="B19" s="86">
        <f>'TAMUT FGD'!M42</f>
        <v>3712475</v>
      </c>
      <c r="C19" s="87">
        <f t="shared" si="3"/>
        <v>2248</v>
      </c>
      <c r="D19" s="74">
        <f>'TAMUT FGD'!$F$42</f>
        <v>735402</v>
      </c>
      <c r="E19" s="74"/>
      <c r="F19" s="74">
        <f t="shared" si="4"/>
        <v>2977073</v>
      </c>
      <c r="G19" s="337"/>
      <c r="H19" s="337"/>
      <c r="I19" s="337"/>
      <c r="J19" s="716">
        <f>ROUND(F19/$C$6,0)</f>
        <v>1803</v>
      </c>
    </row>
    <row r="20" spans="1:31" ht="14.25" thickTop="1" thickBot="1">
      <c r="A20" s="88" t="s">
        <v>5</v>
      </c>
      <c r="B20" s="89">
        <f>SUM(B18:B19)</f>
        <v>11361521</v>
      </c>
      <c r="C20" s="89">
        <f>SUM(C18:C19)</f>
        <v>6879</v>
      </c>
      <c r="D20" s="717">
        <f>SUM(D18:D19)</f>
        <v>735402</v>
      </c>
      <c r="E20" s="718">
        <f>SUM(E18:E19)</f>
        <v>0</v>
      </c>
      <c r="F20" s="801">
        <f>SUM(F18:F19)</f>
        <v>10626119</v>
      </c>
      <c r="G20" s="720" t="s">
        <v>26</v>
      </c>
      <c r="H20" s="366"/>
      <c r="I20" s="367"/>
      <c r="J20" s="721">
        <f>SUM(J18:J19)</f>
        <v>6434</v>
      </c>
    </row>
    <row r="21" spans="1:31" ht="12.75" customHeight="1" thickTop="1">
      <c r="B21" s="91"/>
      <c r="C21" s="75"/>
      <c r="F21" s="804"/>
      <c r="J21" s="712"/>
    </row>
    <row r="22" spans="1:31" ht="14.25" customHeight="1" thickBot="1">
      <c r="A22" s="78" t="s">
        <v>6</v>
      </c>
      <c r="B22" s="91"/>
      <c r="C22" s="75"/>
      <c r="J22" s="712"/>
    </row>
    <row r="23" spans="1:31" ht="14.25" thickTop="1" thickBot="1">
      <c r="A23" s="88" t="s">
        <v>7</v>
      </c>
      <c r="B23" s="92">
        <f>'TAMUT FGD'!M47</f>
        <v>9745130</v>
      </c>
      <c r="C23" s="89">
        <f t="shared" ref="C23" si="5">ROUND(B23/$C$6,0)</f>
        <v>5901</v>
      </c>
      <c r="D23" s="717">
        <f>'TAMUT FGD'!F47</f>
        <v>0</v>
      </c>
      <c r="E23" s="718"/>
      <c r="F23" s="801">
        <f>B23-(SUM(D23:E23))</f>
        <v>9745130</v>
      </c>
      <c r="G23" s="722" t="s">
        <v>74</v>
      </c>
      <c r="H23" s="366"/>
      <c r="I23" s="367"/>
      <c r="J23" s="756">
        <f>ROUND(F23/$C$6,0)</f>
        <v>5901</v>
      </c>
    </row>
    <row r="24" spans="1:31" ht="13.5" thickTop="1">
      <c r="B24" s="91"/>
      <c r="C24" s="75"/>
      <c r="J24" s="712"/>
    </row>
    <row r="25" spans="1:31">
      <c r="A25" s="78" t="s">
        <v>8</v>
      </c>
      <c r="B25" s="91"/>
      <c r="C25" s="75"/>
      <c r="J25" s="712"/>
    </row>
    <row r="26" spans="1:31">
      <c r="A26" s="75" t="s">
        <v>42</v>
      </c>
      <c r="B26" s="83">
        <f>'TAMUT FGD'!M50</f>
        <v>1296304</v>
      </c>
      <c r="C26" s="83">
        <f t="shared" ref="C26:C31" si="6">ROUND(B26/$C$6,0)</f>
        <v>785</v>
      </c>
      <c r="D26" s="512">
        <f>'TAMUT FGD'!F50</f>
        <v>100062</v>
      </c>
      <c r="E26" s="512"/>
      <c r="F26" s="512">
        <f t="shared" ref="F26:F31" si="7">B26-(SUM(D26:E26))</f>
        <v>1196242</v>
      </c>
      <c r="G26" s="337"/>
      <c r="H26" s="337"/>
      <c r="I26" s="337"/>
      <c r="J26" s="713">
        <f>ROUND(F26/$C$6,0)</f>
        <v>724</v>
      </c>
    </row>
    <row r="27" spans="1:31">
      <c r="A27" s="75" t="s">
        <v>9</v>
      </c>
      <c r="B27" s="86">
        <f>'TAMUT FGD'!M51</f>
        <v>0</v>
      </c>
      <c r="C27" s="87">
        <f t="shared" si="6"/>
        <v>0</v>
      </c>
      <c r="D27" s="86">
        <f>'TAMUT FGD'!F51</f>
        <v>0</v>
      </c>
      <c r="E27" s="74"/>
      <c r="F27" s="74">
        <f t="shared" si="7"/>
        <v>0</v>
      </c>
      <c r="G27" s="337"/>
      <c r="H27" s="337"/>
      <c r="I27" s="337"/>
      <c r="J27" s="716">
        <f t="shared" ref="J27:J31" si="8">ROUND(F27/$C$6,0)</f>
        <v>0</v>
      </c>
    </row>
    <row r="28" spans="1:31" ht="13.5" thickBot="1">
      <c r="A28" s="75" t="s">
        <v>10</v>
      </c>
      <c r="B28" s="86">
        <f>'TAMUT FGD'!M52</f>
        <v>181139</v>
      </c>
      <c r="C28" s="87">
        <f t="shared" si="6"/>
        <v>110</v>
      </c>
      <c r="D28" s="86">
        <f>'TAMUT FGD'!F52</f>
        <v>372</v>
      </c>
      <c r="E28" s="74"/>
      <c r="F28" s="74">
        <f t="shared" si="7"/>
        <v>180767</v>
      </c>
      <c r="G28" s="337"/>
      <c r="H28" s="337"/>
      <c r="I28" s="337"/>
      <c r="J28" s="716">
        <f t="shared" si="8"/>
        <v>109</v>
      </c>
    </row>
    <row r="29" spans="1:31" ht="13.5" thickBot="1">
      <c r="A29" s="75" t="s">
        <v>11</v>
      </c>
      <c r="B29" s="86">
        <f>'TAMUT FGD'!M53</f>
        <v>2088968</v>
      </c>
      <c r="C29" s="87">
        <f t="shared" si="6"/>
        <v>1265</v>
      </c>
      <c r="D29" s="86">
        <f>'TAMUT FGD'!F53</f>
        <v>0</v>
      </c>
      <c r="E29" s="74"/>
      <c r="F29" s="74">
        <f t="shared" si="7"/>
        <v>2088968</v>
      </c>
      <c r="G29" s="337"/>
      <c r="H29" s="337"/>
      <c r="I29" s="337"/>
      <c r="J29" s="716">
        <f t="shared" si="8"/>
        <v>1265</v>
      </c>
      <c r="K29" s="1694" t="s">
        <v>1065</v>
      </c>
      <c r="L29" s="1695"/>
      <c r="M29" s="1695"/>
      <c r="N29" s="1695"/>
      <c r="O29" s="1696"/>
    </row>
    <row r="30" spans="1:31" ht="13.5" thickBot="1">
      <c r="A30" s="93" t="s">
        <v>2134</v>
      </c>
      <c r="B30" s="94">
        <f>'TAMUT FGD'!M54</f>
        <v>1485345</v>
      </c>
      <c r="C30" s="87">
        <f t="shared" si="6"/>
        <v>899</v>
      </c>
      <c r="D30" s="729">
        <f>B30</f>
        <v>1485345</v>
      </c>
      <c r="E30" s="74"/>
      <c r="F30" s="74">
        <f t="shared" si="7"/>
        <v>0</v>
      </c>
      <c r="G30" s="337"/>
      <c r="H30" s="337"/>
      <c r="I30" s="337"/>
      <c r="J30" s="716">
        <f t="shared" si="8"/>
        <v>0</v>
      </c>
      <c r="K30" s="1694" t="s">
        <v>1070</v>
      </c>
      <c r="L30" s="1695"/>
      <c r="M30" s="1695"/>
      <c r="N30" s="1695"/>
      <c r="O30" s="1696"/>
    </row>
    <row r="31" spans="1:31" ht="13.5" customHeight="1" thickBot="1">
      <c r="A31" s="95" t="s">
        <v>43</v>
      </c>
      <c r="B31" s="86">
        <f>'TAMUT FGD'!M55</f>
        <v>963052</v>
      </c>
      <c r="C31" s="87">
        <f t="shared" si="6"/>
        <v>583</v>
      </c>
      <c r="D31" s="86">
        <f>'TAMUT FGD'!F55</f>
        <v>62411</v>
      </c>
      <c r="E31" s="74"/>
      <c r="F31" s="74">
        <f t="shared" si="7"/>
        <v>900641</v>
      </c>
      <c r="G31" s="35"/>
      <c r="H31" s="35"/>
      <c r="I31" s="38"/>
      <c r="J31" s="716">
        <f t="shared" si="8"/>
        <v>545</v>
      </c>
      <c r="K31" s="1697" t="s">
        <v>1073</v>
      </c>
      <c r="L31" s="1697" t="s">
        <v>1071</v>
      </c>
      <c r="M31" s="1697" t="s">
        <v>1072</v>
      </c>
      <c r="N31" s="1697" t="s">
        <v>1240</v>
      </c>
      <c r="O31" s="1697"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6014808</v>
      </c>
      <c r="C32" s="89">
        <f>SUM(C26:C31)</f>
        <v>3642</v>
      </c>
      <c r="D32" s="723">
        <f>SUM(D26:D31)</f>
        <v>1648190</v>
      </c>
      <c r="E32" s="723">
        <f>SUM(E26:E31)</f>
        <v>0</v>
      </c>
      <c r="F32" s="802">
        <f>SUM(F26:F31)</f>
        <v>4366618</v>
      </c>
      <c r="G32" s="1708" t="s">
        <v>8</v>
      </c>
      <c r="H32" s="1709"/>
      <c r="I32" s="783" t="s">
        <v>1166</v>
      </c>
      <c r="J32" s="725">
        <f>SUM(J26:J31)</f>
        <v>2643</v>
      </c>
      <c r="K32" s="1698"/>
      <c r="L32" s="1698"/>
      <c r="M32" s="1698"/>
      <c r="N32" s="1698" t="s">
        <v>1074</v>
      </c>
      <c r="O32" s="1698" t="s">
        <v>1075</v>
      </c>
    </row>
    <row r="33" spans="1:31" ht="14.25" thickTop="1" thickBot="1">
      <c r="A33" s="97" t="s">
        <v>68</v>
      </c>
      <c r="B33" s="52">
        <f>B15+B20+B23+B32</f>
        <v>55698492</v>
      </c>
      <c r="C33" s="45">
        <f>C15+C20+C23+C32</f>
        <v>33725</v>
      </c>
      <c r="D33" s="52">
        <f>D15+D20+D23+D32</f>
        <v>2383592</v>
      </c>
      <c r="E33" s="52">
        <f>E15+E20+E23+E32</f>
        <v>0</v>
      </c>
      <c r="F33" s="724">
        <f>F15+F20+F23+F32</f>
        <v>53314900</v>
      </c>
      <c r="G33" s="1758" t="s">
        <v>84</v>
      </c>
      <c r="H33" s="1759"/>
      <c r="I33" s="1375">
        <f>ROUND($G$35/$C$6,0)</f>
        <v>31040</v>
      </c>
      <c r="J33" s="726">
        <f>J15+J20+J23+J32</f>
        <v>32281</v>
      </c>
      <c r="K33" s="1698"/>
      <c r="L33" s="1698"/>
      <c r="M33" s="1698"/>
      <c r="N33" s="1698"/>
      <c r="O33" s="1698"/>
    </row>
    <row r="34" spans="1:31" ht="14.25" thickTop="1" thickBot="1">
      <c r="B34" s="98"/>
      <c r="C34" s="75"/>
      <c r="D34" s="337"/>
      <c r="E34" s="337"/>
      <c r="F34" s="337" t="s">
        <v>1199</v>
      </c>
      <c r="G34" s="787">
        <f>G14*-1</f>
        <v>-2050273</v>
      </c>
      <c r="H34" s="337"/>
      <c r="I34" s="783" t="s">
        <v>1167</v>
      </c>
      <c r="J34" s="727"/>
      <c r="K34" s="1699"/>
      <c r="L34" s="1699"/>
      <c r="M34" s="1699"/>
      <c r="N34" s="1699"/>
      <c r="O34" s="1699"/>
    </row>
    <row r="35" spans="1:31" ht="14.25" thickTop="1" thickBot="1">
      <c r="A35" s="81" t="s">
        <v>72</v>
      </c>
      <c r="B35" s="81"/>
      <c r="C35" s="81"/>
      <c r="D35" s="728"/>
      <c r="E35" s="728"/>
      <c r="F35" s="788" t="s">
        <v>1165</v>
      </c>
      <c r="G35" s="803">
        <f>F33+G34</f>
        <v>51264627</v>
      </c>
      <c r="I35" s="1376">
        <f>ROUND($G$35/$I$8,0)</f>
        <v>233861</v>
      </c>
      <c r="K35" s="609"/>
      <c r="L35" s="609"/>
      <c r="M35" s="609"/>
      <c r="N35" s="609"/>
      <c r="O35" s="609"/>
    </row>
    <row r="36" spans="1:31" ht="13.5" thickTop="1">
      <c r="A36" s="99" t="s">
        <v>14</v>
      </c>
      <c r="B36" s="83">
        <f>'TAMUT FGD'!M60</f>
        <v>15713897</v>
      </c>
      <c r="C36" s="83">
        <f t="shared" ref="C36:C46" si="9">ROUND(B36/$C$6,0)</f>
        <v>9515</v>
      </c>
      <c r="D36" s="512">
        <f>'TAMUT FGD'!F60</f>
        <v>0</v>
      </c>
      <c r="E36" s="512"/>
      <c r="F36" s="512">
        <f t="shared" ref="F36:F46" si="10">B36-(SUM(D36:E36))</f>
        <v>15713897</v>
      </c>
      <c r="G36" s="337"/>
      <c r="H36" s="1378" t="s">
        <v>2158</v>
      </c>
      <c r="I36" s="1379">
        <f>ROUND(F36/$C$6,0)</f>
        <v>9515</v>
      </c>
      <c r="J36" s="337" t="s">
        <v>752</v>
      </c>
      <c r="K36" s="512">
        <f>F36</f>
        <v>15713897</v>
      </c>
      <c r="L36" s="512">
        <f>K36</f>
        <v>15713897</v>
      </c>
      <c r="M36" s="512"/>
      <c r="N36" s="512"/>
      <c r="O36" s="512"/>
    </row>
    <row r="37" spans="1:31">
      <c r="A37" s="99" t="s">
        <v>15</v>
      </c>
      <c r="B37" s="86">
        <f>'TAMUT FGD'!M61</f>
        <v>36898</v>
      </c>
      <c r="C37" s="87">
        <f t="shared" si="9"/>
        <v>22</v>
      </c>
      <c r="D37" s="86">
        <f>'TAMUT FGD'!F61</f>
        <v>0</v>
      </c>
      <c r="E37" s="74"/>
      <c r="F37" s="74">
        <f t="shared" si="10"/>
        <v>36898</v>
      </c>
      <c r="G37" s="337"/>
      <c r="H37" s="337"/>
      <c r="J37" s="337" t="s">
        <v>1076</v>
      </c>
      <c r="K37" s="373">
        <f>F37</f>
        <v>36898</v>
      </c>
      <c r="L37" s="373">
        <f>K37</f>
        <v>36898</v>
      </c>
      <c r="M37" s="373"/>
      <c r="N37" s="373"/>
      <c r="O37" s="373"/>
    </row>
    <row r="38" spans="1:31">
      <c r="A38" s="99" t="s">
        <v>16</v>
      </c>
      <c r="B38" s="86">
        <f>'TAMUT FGD'!M62</f>
        <v>9026</v>
      </c>
      <c r="C38" s="87">
        <f t="shared" si="9"/>
        <v>5</v>
      </c>
      <c r="D38" s="86">
        <f>'TAMUT FGD'!F62</f>
        <v>0</v>
      </c>
      <c r="E38" s="86">
        <f>B38-D38</f>
        <v>9026</v>
      </c>
      <c r="F38" s="74">
        <f t="shared" si="10"/>
        <v>0</v>
      </c>
      <c r="G38" s="337"/>
      <c r="H38" s="337"/>
      <c r="I38" s="337"/>
      <c r="J38" s="337" t="s">
        <v>1077</v>
      </c>
      <c r="K38" s="736"/>
      <c r="L38" s="737"/>
      <c r="M38" s="737" t="s">
        <v>1152</v>
      </c>
      <c r="N38" s="737"/>
      <c r="O38" s="738"/>
    </row>
    <row r="39" spans="1:31">
      <c r="A39" s="99" t="s">
        <v>17</v>
      </c>
      <c r="B39" s="86">
        <f>'TAMUT FGD'!M63</f>
        <v>4250274</v>
      </c>
      <c r="C39" s="87">
        <f t="shared" si="9"/>
        <v>2574</v>
      </c>
      <c r="D39" s="86">
        <f>'TAMUT FGD'!F63</f>
        <v>0</v>
      </c>
      <c r="E39" s="74"/>
      <c r="F39" s="74">
        <f t="shared" si="10"/>
        <v>4250274</v>
      </c>
      <c r="G39" s="337"/>
      <c r="H39" s="1378" t="s">
        <v>2159</v>
      </c>
      <c r="I39" s="1379">
        <f>ROUND(F39/$C$6,0)</f>
        <v>2574</v>
      </c>
      <c r="J39" s="337" t="s">
        <v>1078</v>
      </c>
      <c r="K39" s="373">
        <f t="shared" ref="K39:K43" si="11">F39</f>
        <v>4250274</v>
      </c>
      <c r="L39" s="373">
        <f>K39</f>
        <v>4250274</v>
      </c>
      <c r="M39" s="373"/>
      <c r="N39" s="373"/>
      <c r="O39" s="373"/>
    </row>
    <row r="40" spans="1:31">
      <c r="A40" s="99" t="s">
        <v>18</v>
      </c>
      <c r="B40" s="86">
        <f>'TAMUT FGD'!M64</f>
        <v>4390762</v>
      </c>
      <c r="C40" s="87">
        <f t="shared" si="9"/>
        <v>2659</v>
      </c>
      <c r="D40" s="86">
        <f>'TAMUT FGD'!F64</f>
        <v>0</v>
      </c>
      <c r="E40" s="74"/>
      <c r="F40" s="74">
        <f t="shared" si="10"/>
        <v>4390762</v>
      </c>
      <c r="G40" s="337"/>
      <c r="J40" s="337" t="s">
        <v>1079</v>
      </c>
      <c r="K40" s="373">
        <f t="shared" si="11"/>
        <v>4390762</v>
      </c>
      <c r="L40" s="373"/>
      <c r="M40" s="373">
        <f>K40</f>
        <v>4390762</v>
      </c>
      <c r="N40" s="373"/>
      <c r="O40" s="373"/>
    </row>
    <row r="41" spans="1:31">
      <c r="A41" s="99" t="s">
        <v>19</v>
      </c>
      <c r="B41" s="86">
        <f>'TAMUT FGD'!M65</f>
        <v>4818785</v>
      </c>
      <c r="C41" s="87">
        <f t="shared" si="9"/>
        <v>2918</v>
      </c>
      <c r="D41" s="86">
        <f>'TAMUT FGD'!F65</f>
        <v>0</v>
      </c>
      <c r="E41" s="74"/>
      <c r="F41" s="74">
        <f t="shared" si="10"/>
        <v>4818785</v>
      </c>
      <c r="G41" s="337"/>
      <c r="H41" s="1378" t="s">
        <v>2160</v>
      </c>
      <c r="I41" s="1379">
        <f>ROUND(F41/$C$6,0)</f>
        <v>2918</v>
      </c>
      <c r="J41" s="337" t="s">
        <v>757</v>
      </c>
      <c r="K41" s="373">
        <f t="shared" si="11"/>
        <v>4818785</v>
      </c>
      <c r="L41" s="373"/>
      <c r="M41" s="373"/>
      <c r="N41" s="373">
        <f>K41</f>
        <v>4818785</v>
      </c>
      <c r="O41" s="373"/>
    </row>
    <row r="42" spans="1:31">
      <c r="A42" s="99" t="s">
        <v>20</v>
      </c>
      <c r="B42" s="86">
        <f>'TAMUT FGD'!M66</f>
        <v>2363504</v>
      </c>
      <c r="C42" s="87">
        <f t="shared" si="9"/>
        <v>1431</v>
      </c>
      <c r="D42" s="86">
        <f>'TAMUT FGD'!F66</f>
        <v>0</v>
      </c>
      <c r="E42" s="74"/>
      <c r="F42" s="74">
        <f t="shared" si="10"/>
        <v>2363504</v>
      </c>
      <c r="G42" s="337"/>
      <c r="J42" s="337" t="s">
        <v>758</v>
      </c>
      <c r="K42" s="373">
        <f t="shared" si="11"/>
        <v>2363504</v>
      </c>
      <c r="L42" s="373"/>
      <c r="M42" s="373"/>
      <c r="N42" s="373">
        <f>K42</f>
        <v>2363504</v>
      </c>
      <c r="O42" s="373"/>
    </row>
    <row r="43" spans="1:31">
      <c r="A43" s="99" t="s">
        <v>21</v>
      </c>
      <c r="B43" s="86">
        <f>'TAMUT FGD'!M67</f>
        <v>4735525</v>
      </c>
      <c r="C43" s="87">
        <f t="shared" si="9"/>
        <v>2867</v>
      </c>
      <c r="D43" s="86">
        <f>'TAMUT FGD'!F67</f>
        <v>0</v>
      </c>
      <c r="E43" s="74"/>
      <c r="F43" s="74">
        <f t="shared" si="10"/>
        <v>4735525</v>
      </c>
      <c r="G43" s="337"/>
      <c r="H43" s="337"/>
      <c r="I43" s="337"/>
      <c r="J43" s="337" t="s">
        <v>1145</v>
      </c>
      <c r="K43" s="373">
        <f t="shared" si="11"/>
        <v>4735525</v>
      </c>
      <c r="L43" s="373"/>
      <c r="M43" s="373">
        <f>K43</f>
        <v>4735525</v>
      </c>
      <c r="N43" s="373"/>
      <c r="O43" s="373"/>
    </row>
    <row r="44" spans="1:31">
      <c r="A44" s="99" t="s">
        <v>2135</v>
      </c>
      <c r="B44" s="86">
        <f>'TAMUT FGD'!M68</f>
        <v>2544788</v>
      </c>
      <c r="C44" s="87">
        <f t="shared" si="9"/>
        <v>1541</v>
      </c>
      <c r="D44" s="729">
        <f>B44</f>
        <v>2544788</v>
      </c>
      <c r="E44" s="74"/>
      <c r="F44" s="74">
        <f t="shared" si="10"/>
        <v>0</v>
      </c>
      <c r="G44" s="337"/>
      <c r="H44" s="337"/>
      <c r="I44" s="337"/>
      <c r="J44" s="337" t="s">
        <v>743</v>
      </c>
      <c r="K44" s="736"/>
      <c r="L44" s="737"/>
      <c r="M44" s="737" t="s">
        <v>1152</v>
      </c>
      <c r="N44" s="737"/>
      <c r="O44" s="738"/>
    </row>
    <row r="45" spans="1:31">
      <c r="A45" s="99" t="s">
        <v>61</v>
      </c>
      <c r="B45" s="86">
        <f>'TAMUT FGD'!M69</f>
        <v>598517</v>
      </c>
      <c r="C45" s="87">
        <f t="shared" si="9"/>
        <v>362</v>
      </c>
      <c r="D45" s="86">
        <f>'TAMUT FGD'!F69</f>
        <v>0</v>
      </c>
      <c r="E45" s="74"/>
      <c r="F45" s="74">
        <f t="shared" si="10"/>
        <v>598517</v>
      </c>
      <c r="G45" s="337"/>
      <c r="H45" s="337"/>
      <c r="I45" s="337"/>
      <c r="J45" s="337" t="s">
        <v>1080</v>
      </c>
      <c r="K45" s="373">
        <f t="shared" ref="K45:K46" si="12">F45</f>
        <v>598517</v>
      </c>
      <c r="L45" s="373"/>
      <c r="M45" s="373"/>
      <c r="N45" s="373"/>
      <c r="O45" s="373">
        <f>K45</f>
        <v>598517</v>
      </c>
    </row>
    <row r="46" spans="1:31" ht="13.5" thickBot="1">
      <c r="A46" s="75" t="s">
        <v>50</v>
      </c>
      <c r="B46" s="86">
        <f>'TAMUT FGD'!M70</f>
        <v>2138272</v>
      </c>
      <c r="C46" s="87">
        <f t="shared" si="9"/>
        <v>1295</v>
      </c>
      <c r="D46" s="86">
        <f>'TAMUT FGD'!F70</f>
        <v>0</v>
      </c>
      <c r="E46" s="74"/>
      <c r="F46" s="74">
        <f t="shared" si="10"/>
        <v>2138272</v>
      </c>
      <c r="G46" s="35"/>
      <c r="H46" s="1378" t="s">
        <v>2161</v>
      </c>
      <c r="I46" s="1379">
        <f>ROUND(SUM(F37+F40+F42+F43+F45+F46)/$C$6,0)</f>
        <v>8636</v>
      </c>
      <c r="J46" s="610" t="s">
        <v>1075</v>
      </c>
      <c r="K46" s="373">
        <f t="shared" si="12"/>
        <v>2138272</v>
      </c>
      <c r="L46" s="611"/>
      <c r="M46" s="611"/>
      <c r="N46" s="611"/>
      <c r="O46" s="373">
        <f>K46</f>
        <v>2138272</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41600248</v>
      </c>
      <c r="C47" s="45">
        <f>SUM(C36:C46)</f>
        <v>25189</v>
      </c>
      <c r="D47" s="730">
        <f>SUM(D36:D46)</f>
        <v>2544788</v>
      </c>
      <c r="E47" s="731">
        <f>SUM(E36:E46)</f>
        <v>9026</v>
      </c>
      <c r="F47" s="719">
        <f>SUM(F36:F46)</f>
        <v>39046434</v>
      </c>
      <c r="G47" s="1688" t="s">
        <v>1176</v>
      </c>
      <c r="H47" s="1689"/>
      <c r="I47" s="785" t="s">
        <v>1164</v>
      </c>
      <c r="J47" s="610" t="s">
        <v>1081</v>
      </c>
      <c r="K47" s="612">
        <f>SUM(K36:K46)</f>
        <v>39046434</v>
      </c>
      <c r="L47" s="612">
        <f>SUM(L36:L46)</f>
        <v>20001069</v>
      </c>
      <c r="M47" s="612">
        <f>SUM(M36:M46)</f>
        <v>9126287</v>
      </c>
      <c r="N47" s="612">
        <f>SUM(N36:N46)</f>
        <v>7182289</v>
      </c>
      <c r="O47" s="612">
        <f>SUM(O36:O46)</f>
        <v>2736789</v>
      </c>
    </row>
    <row r="48" spans="1:31" ht="14.25" thickTop="1" thickBot="1">
      <c r="A48" s="93"/>
      <c r="B48" s="98"/>
      <c r="C48" s="75"/>
      <c r="F48" s="613"/>
      <c r="G48" s="1690"/>
      <c r="H48" s="1691"/>
      <c r="I48" s="823">
        <f>ROUND(F47/C6,0)</f>
        <v>23642</v>
      </c>
      <c r="J48" s="1700" t="s">
        <v>1082</v>
      </c>
      <c r="K48" s="611"/>
      <c r="L48" s="611"/>
      <c r="M48" s="611"/>
      <c r="N48" s="611"/>
      <c r="O48" s="611"/>
    </row>
    <row r="49" spans="1:31" ht="13.5" thickBot="1">
      <c r="A49" s="78" t="s">
        <v>23</v>
      </c>
      <c r="B49" s="82"/>
      <c r="C49" s="75"/>
      <c r="F49" s="614"/>
      <c r="G49" s="1690"/>
      <c r="H49" s="1691"/>
      <c r="I49" s="811"/>
      <c r="J49" s="1700"/>
      <c r="K49" s="615">
        <f>ROUND(K47/$C$6,2)</f>
        <v>23642.44</v>
      </c>
      <c r="L49" s="615">
        <f t="shared" ref="L49:O49" si="13">ROUND(L47/$C$6,2)</f>
        <v>12110.56</v>
      </c>
      <c r="M49" s="615">
        <f t="shared" si="13"/>
        <v>5525.93</v>
      </c>
      <c r="N49" s="615">
        <f t="shared" si="13"/>
        <v>4348.84</v>
      </c>
      <c r="O49" s="615">
        <f t="shared" si="13"/>
        <v>1657.11</v>
      </c>
      <c r="P49" s="35"/>
      <c r="Q49" s="96"/>
      <c r="R49" s="96"/>
      <c r="S49" s="96"/>
      <c r="T49" s="96"/>
      <c r="U49" s="96"/>
      <c r="V49" s="96"/>
      <c r="W49" s="96"/>
      <c r="X49" s="96"/>
      <c r="Y49" s="96"/>
      <c r="Z49" s="96"/>
      <c r="AA49" s="96"/>
      <c r="AB49" s="96"/>
      <c r="AC49" s="96"/>
      <c r="AD49" s="96"/>
      <c r="AE49" s="96"/>
    </row>
    <row r="50" spans="1:31" ht="13.5" thickBot="1">
      <c r="A50" s="75" t="s">
        <v>62</v>
      </c>
      <c r="B50" s="86">
        <f>'TAMUT FGD'!M74</f>
        <v>-1784827</v>
      </c>
      <c r="C50" s="83">
        <f t="shared" ref="C50:C53" si="14">ROUND(B50/$C$6,0)</f>
        <v>-1081</v>
      </c>
      <c r="D50" s="512">
        <f>'TAMUT FGD'!F74</f>
        <v>0</v>
      </c>
      <c r="E50" s="512"/>
      <c r="F50" s="732">
        <f t="shared" ref="F50:F53" si="15">B50-(SUM(D50:E50))</f>
        <v>-1784827</v>
      </c>
      <c r="G50" s="1692"/>
      <c r="H50" s="1693"/>
      <c r="I50" s="808"/>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'TAMUT FGD'!M75</f>
        <v>1140042</v>
      </c>
      <c r="C51" s="87">
        <f t="shared" si="14"/>
        <v>690</v>
      </c>
      <c r="D51" s="91">
        <f>'TAMUT FGD'!F75</f>
        <v>2157503</v>
      </c>
      <c r="E51" s="82"/>
      <c r="F51" s="74">
        <f t="shared" si="15"/>
        <v>-1017461</v>
      </c>
      <c r="G51" s="337"/>
      <c r="J51" s="337"/>
      <c r="K51" s="616"/>
      <c r="L51" s="616"/>
      <c r="M51" s="616"/>
      <c r="N51" s="616"/>
      <c r="O51" s="616"/>
    </row>
    <row r="52" spans="1:31">
      <c r="A52" s="75" t="s">
        <v>51</v>
      </c>
      <c r="B52" s="86">
        <f>'TAMUT FGD'!M76</f>
        <v>0</v>
      </c>
      <c r="C52" s="87">
        <f t="shared" si="14"/>
        <v>0</v>
      </c>
      <c r="D52" s="91">
        <f>'TAMUT FGD'!F76</f>
        <v>0</v>
      </c>
      <c r="E52" s="82"/>
      <c r="F52" s="74">
        <f t="shared" si="15"/>
        <v>0</v>
      </c>
      <c r="G52" s="337"/>
      <c r="J52" s="733"/>
      <c r="K52" s="733"/>
      <c r="L52" s="733"/>
      <c r="M52" s="733"/>
      <c r="N52" s="733"/>
      <c r="O52" s="733"/>
    </row>
    <row r="53" spans="1:31" ht="12" customHeight="1">
      <c r="A53" s="75" t="s">
        <v>46</v>
      </c>
      <c r="B53" s="86">
        <f>'TAMUT FGD'!M77</f>
        <v>-8634749</v>
      </c>
      <c r="C53" s="87">
        <f t="shared" si="14"/>
        <v>-5228</v>
      </c>
      <c r="D53" s="91">
        <f>'TAMUT FGD'!F77</f>
        <v>-958150</v>
      </c>
      <c r="E53" s="82"/>
      <c r="F53" s="74">
        <f t="shared" si="15"/>
        <v>-7676599</v>
      </c>
      <c r="G53" s="35"/>
      <c r="J53" s="733"/>
      <c r="K53" s="733"/>
      <c r="L53" s="733"/>
      <c r="M53" s="733"/>
      <c r="N53" s="733"/>
      <c r="O53" s="733"/>
      <c r="P53" s="35"/>
      <c r="Q53" s="96"/>
      <c r="R53" s="96"/>
      <c r="S53" s="96"/>
      <c r="T53" s="96"/>
      <c r="U53" s="96"/>
      <c r="V53" s="96"/>
      <c r="W53" s="96"/>
      <c r="X53" s="96"/>
      <c r="Y53" s="96"/>
      <c r="Z53" s="96"/>
      <c r="AA53" s="96"/>
      <c r="AB53" s="96"/>
      <c r="AC53" s="96"/>
      <c r="AD53" s="96"/>
      <c r="AE53" s="96"/>
    </row>
    <row r="54" spans="1:31">
      <c r="A54" s="88" t="s">
        <v>3</v>
      </c>
      <c r="B54" s="89">
        <f>SUM(B50:B53)</f>
        <v>-9279534</v>
      </c>
      <c r="C54" s="89">
        <f>SUM(C50:C53)</f>
        <v>-5619</v>
      </c>
      <c r="D54" s="89">
        <f>SUM(D50:D53)</f>
        <v>1199353</v>
      </c>
      <c r="E54" s="89">
        <f>SUM(E50:E53)</f>
        <v>0</v>
      </c>
      <c r="F54" s="102">
        <f>SUM(F50:F53)</f>
        <v>-10478887</v>
      </c>
      <c r="G54" s="337"/>
      <c r="H54" s="337"/>
      <c r="I54" s="337"/>
      <c r="J54" s="733"/>
      <c r="K54" s="733"/>
      <c r="L54" s="733"/>
      <c r="M54" s="733"/>
      <c r="N54" s="733"/>
      <c r="O54" s="733"/>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'TAMUT FGD'!M81</f>
        <v>4406832</v>
      </c>
      <c r="C57" s="83">
        <f>ROUND(B57/$C$6,0)</f>
        <v>2668</v>
      </c>
      <c r="D57" s="512">
        <f>'TAMUT FGD'!F81</f>
        <v>216082</v>
      </c>
      <c r="E57" s="512"/>
      <c r="F57" s="512">
        <f t="shared" ref="F57:F58" si="16">B57-(SUM(D57:E57))</f>
        <v>4190750</v>
      </c>
      <c r="G57" s="337"/>
      <c r="H57" s="337"/>
      <c r="I57" s="337"/>
      <c r="J57" s="337"/>
    </row>
    <row r="58" spans="1:31">
      <c r="A58" s="75" t="s">
        <v>48</v>
      </c>
      <c r="B58" s="86">
        <f>'TAMUT FGD'!M82</f>
        <v>310369</v>
      </c>
      <c r="C58" s="87">
        <f>ROUND(B58/$C$6,0)</f>
        <v>188</v>
      </c>
      <c r="D58" s="91">
        <f>'TAMUT FGD'!F82</f>
        <v>0</v>
      </c>
      <c r="E58" s="82"/>
      <c r="F58" s="74">
        <f t="shared" si="16"/>
        <v>310369</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4717201</v>
      </c>
      <c r="C59" s="89">
        <f>SUM(C57:C58)</f>
        <v>2856</v>
      </c>
      <c r="D59" s="89">
        <f>SUM(D57:D58)</f>
        <v>216082</v>
      </c>
      <c r="E59" s="89">
        <f>SUM(E57:E58)</f>
        <v>0</v>
      </c>
      <c r="F59" s="89">
        <f>SUM(F57:F58)</f>
        <v>4501119</v>
      </c>
      <c r="G59" s="367"/>
      <c r="H59" s="367"/>
      <c r="I59" s="367"/>
      <c r="J59" s="367"/>
      <c r="K59" s="266"/>
      <c r="L59" s="266"/>
      <c r="M59" s="266"/>
      <c r="N59" s="266"/>
      <c r="O59" s="266"/>
      <c r="P59" s="266"/>
    </row>
    <row r="60" spans="1:31">
      <c r="B60" s="82"/>
      <c r="C60" s="75"/>
    </row>
    <row r="61" spans="1:31" ht="13.5" thickBot="1">
      <c r="A61" s="103" t="s">
        <v>573</v>
      </c>
      <c r="B61" s="46">
        <f>B33-B47+B54+B59</f>
        <v>9535911</v>
      </c>
      <c r="C61" s="46">
        <f>C33-C47+C54+C59</f>
        <v>5773</v>
      </c>
      <c r="D61" s="46">
        <f>D33-D47+D54+D59</f>
        <v>1254239</v>
      </c>
      <c r="E61" s="46">
        <f>E33-E47+E54+E59</f>
        <v>-9026</v>
      </c>
      <c r="F61" s="46">
        <f>F33-F47+F54+F59</f>
        <v>8290698</v>
      </c>
    </row>
    <row r="62" spans="1:31" ht="13.5" thickTop="1"/>
    <row r="63" spans="1:31">
      <c r="D63" s="512"/>
    </row>
    <row r="65" spans="2:16">
      <c r="B65" s="734">
        <f>'TAMUT FGD'!$M$85</f>
        <v>9535911</v>
      </c>
      <c r="C65" s="75"/>
      <c r="D65" s="734">
        <f>'TAMUT FGD'!$F$85</f>
        <v>1254239</v>
      </c>
      <c r="E65" s="734">
        <f>'TAMUT FGD'!$M$62*-1</f>
        <v>-9026</v>
      </c>
      <c r="F65" s="75"/>
    </row>
    <row r="66" spans="2:16">
      <c r="B66" s="734"/>
      <c r="C66" s="75"/>
      <c r="D66" s="734">
        <f>'TAMUT FGD'!$F$68</f>
        <v>2544788</v>
      </c>
      <c r="E66" s="734">
        <f>+$D$38</f>
        <v>0</v>
      </c>
      <c r="F66" s="734"/>
    </row>
    <row r="67" spans="2:16">
      <c r="B67" s="759"/>
      <c r="C67" s="75"/>
      <c r="D67" s="759">
        <f>-'TAMUT FGD'!$M$68</f>
        <v>-2544788</v>
      </c>
      <c r="E67" s="759"/>
      <c r="F67" s="734"/>
    </row>
    <row r="68" spans="2:16">
      <c r="B68" s="734">
        <f>SUM(B65:B67)</f>
        <v>9535911</v>
      </c>
      <c r="C68" s="75"/>
      <c r="D68" s="734">
        <f>SUM(D65:D67)</f>
        <v>1254239</v>
      </c>
      <c r="E68" s="734">
        <f>SUM(E65:E67)</f>
        <v>-9026</v>
      </c>
      <c r="F68" s="734">
        <f>B68-D68-E68</f>
        <v>8290698</v>
      </c>
    </row>
    <row r="69" spans="2:16">
      <c r="B69" s="734"/>
      <c r="C69" s="75"/>
      <c r="D69" s="734">
        <f>'TAMUT FGD'!F54*-1</f>
        <v>-1485345</v>
      </c>
      <c r="E69" s="734"/>
      <c r="F69" s="734"/>
    </row>
    <row r="70" spans="2:16" ht="12.75" customHeight="1">
      <c r="B70" s="759"/>
      <c r="C70" s="95"/>
      <c r="D70" s="759">
        <f>'TAMUT FGD'!M54</f>
        <v>1485345</v>
      </c>
      <c r="E70" s="759"/>
      <c r="F70" s="759">
        <f>-D70-D69</f>
        <v>0</v>
      </c>
    </row>
    <row r="71" spans="2:16" ht="12.75" customHeight="1">
      <c r="B71" s="734">
        <f>SUM(B68:B70)</f>
        <v>9535911</v>
      </c>
      <c r="C71" s="75"/>
      <c r="D71" s="734">
        <f>SUM(D68:D70)</f>
        <v>1254239</v>
      </c>
      <c r="E71" s="734">
        <f>SUM(E68:E70)</f>
        <v>-9026</v>
      </c>
      <c r="F71" s="734">
        <f>SUM(F68:F70)</f>
        <v>8290698</v>
      </c>
    </row>
    <row r="72" spans="2:16" ht="12.75" customHeight="1">
      <c r="B72" s="734"/>
      <c r="C72" s="75"/>
      <c r="D72" s="734"/>
      <c r="E72" s="734"/>
      <c r="F72" s="734"/>
    </row>
    <row r="73" spans="2:16" ht="12.75" customHeight="1">
      <c r="B73" s="512">
        <f>B61-B71</f>
        <v>0</v>
      </c>
      <c r="C73" s="75"/>
      <c r="D73" s="512">
        <f>D61-D71</f>
        <v>0</v>
      </c>
      <c r="E73" s="512">
        <f>E61-E71</f>
        <v>0</v>
      </c>
      <c r="F73" s="512">
        <f>F61-F71</f>
        <v>0</v>
      </c>
    </row>
    <row r="74" spans="2:16" ht="12.75" customHeight="1">
      <c r="C74" s="75"/>
      <c r="F74" s="617"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G47:H50"/>
    <mergeCell ref="K30:O30"/>
    <mergeCell ref="M31:M34"/>
    <mergeCell ref="G32:H32"/>
    <mergeCell ref="G33:H33"/>
    <mergeCell ref="L31:L34"/>
    <mergeCell ref="K31:K34"/>
    <mergeCell ref="N31:N34"/>
    <mergeCell ref="O31:O34"/>
    <mergeCell ref="J48:J49"/>
    <mergeCell ref="F1:I1"/>
    <mergeCell ref="J1:O1"/>
    <mergeCell ref="D1:E1"/>
    <mergeCell ref="K29:O29"/>
    <mergeCell ref="D4:D5"/>
    <mergeCell ref="E4:E5"/>
  </mergeCells>
  <hyperlinks>
    <hyperlink ref="D1:E1" location="Index!A1" display="Return to Index" xr:uid="{00000000-0004-0000-5E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81">
    <tabColor indexed="11"/>
    <pageSetUpPr fitToPage="1"/>
  </sheetPr>
  <dimension ref="A1:AB122"/>
  <sheetViews>
    <sheetView showGridLines="0" zoomScale="75" zoomScaleNormal="75" workbookViewId="0">
      <pane xSplit="2" ySplit="8" topLeftCell="D9"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7" style="184" hidden="1" customWidth="1"/>
    <col min="2" max="2" width="60.140625" style="164" customWidth="1"/>
    <col min="3" max="3" width="9.140625" style="164" hidden="1" customWidth="1"/>
    <col min="4" max="4" width="15.5703125" style="164" customWidth="1"/>
    <col min="5" max="5" width="14.7109375" style="164" customWidth="1"/>
    <col min="6" max="6" width="15.140625" style="164" customWidth="1"/>
    <col min="7" max="7" width="16" style="164" customWidth="1"/>
    <col min="8" max="8" width="12.7109375" style="164" customWidth="1"/>
    <col min="9" max="9" width="17.42578125" style="164" customWidth="1"/>
    <col min="10" max="10" width="15.5703125" style="164" customWidth="1"/>
    <col min="11" max="11" width="16" style="164" customWidth="1"/>
    <col min="12" max="12" width="15.5703125" style="164" customWidth="1"/>
    <col min="13" max="13" width="21.140625" style="164" customWidth="1"/>
    <col min="14" max="14" width="4.85546875" style="164" customWidth="1"/>
    <col min="15" max="15" width="14.42578125" style="261" customWidth="1"/>
    <col min="16" max="16" width="25.7109375" style="264" customWidth="1"/>
    <col min="17" max="17" width="16.42578125" style="264" customWidth="1"/>
    <col min="18" max="18" width="17.28515625" style="264" customWidth="1"/>
    <col min="19" max="19" width="1.7109375" style="264" customWidth="1"/>
    <col min="20" max="20" width="17.140625" style="264" customWidth="1"/>
    <col min="21" max="21" width="16.85546875" style="264" customWidth="1"/>
    <col min="22" max="23" width="19.28515625" style="264" customWidth="1"/>
    <col min="24" max="24" width="16.85546875" style="264" customWidth="1"/>
    <col min="25" max="25" width="1.85546875" style="264" customWidth="1"/>
    <col min="26" max="26" width="26.42578125" style="264" customWidth="1"/>
    <col min="27" max="27" width="19.85546875" style="264" customWidth="1"/>
    <col min="28" max="28" width="16.7109375" style="264" customWidth="1"/>
    <col min="29" max="29" width="19.140625" style="164" customWidth="1"/>
    <col min="30" max="16384" width="9.140625" style="164"/>
  </cols>
  <sheetData>
    <row r="1" spans="1:28" s="184" customFormat="1" hidden="1">
      <c r="A1" s="184">
        <v>0</v>
      </c>
      <c r="B1" s="184">
        <v>1</v>
      </c>
      <c r="D1" s="184">
        <v>2</v>
      </c>
      <c r="E1" s="184">
        <v>3</v>
      </c>
      <c r="F1" s="184">
        <v>4</v>
      </c>
      <c r="G1" s="184">
        <v>5</v>
      </c>
      <c r="H1" s="184">
        <v>6</v>
      </c>
      <c r="I1" s="184">
        <v>7</v>
      </c>
      <c r="J1" s="184">
        <v>8</v>
      </c>
      <c r="K1" s="184">
        <v>9</v>
      </c>
      <c r="L1" s="184">
        <v>10</v>
      </c>
      <c r="M1" s="184">
        <v>11</v>
      </c>
      <c r="N1" s="184">
        <v>12</v>
      </c>
      <c r="O1" s="262"/>
      <c r="P1" s="263"/>
      <c r="Q1" s="263"/>
      <c r="R1" s="263"/>
      <c r="S1" s="263"/>
      <c r="T1" s="263"/>
      <c r="U1" s="263"/>
      <c r="V1" s="263"/>
      <c r="W1" s="263"/>
      <c r="X1" s="263"/>
      <c r="Y1" s="263"/>
      <c r="Z1" s="263"/>
      <c r="AA1" s="263"/>
      <c r="AB1" s="263"/>
    </row>
    <row r="2" spans="1:28" ht="21" thickBot="1">
      <c r="A2" s="184">
        <v>1</v>
      </c>
      <c r="B2" s="1713" t="str">
        <f>'TAMUT Chrts'!$A$1</f>
        <v>Texas A&amp;M University - Texarkana</v>
      </c>
      <c r="C2" s="1713"/>
      <c r="D2" s="1713"/>
      <c r="E2" s="1713"/>
      <c r="F2" s="1742"/>
      <c r="G2" s="160"/>
      <c r="H2" s="161"/>
      <c r="I2" s="320" t="str">
        <f>IF($B$2&lt;&gt;Input!$B$23,"Name Mismatch","")</f>
        <v/>
      </c>
      <c r="J2" s="168"/>
      <c r="K2" s="169"/>
      <c r="L2" s="169"/>
      <c r="M2" s="170"/>
      <c r="O2" s="835" t="s">
        <v>1200</v>
      </c>
      <c r="P2" s="36"/>
    </row>
    <row r="3" spans="1:28" ht="20.25">
      <c r="A3" s="184">
        <v>2</v>
      </c>
      <c r="B3" s="1713" t="str">
        <f>'Smmy Chrts'!$A$2</f>
        <v>For the Year Ended August 31, 2021</v>
      </c>
      <c r="C3" s="1713"/>
      <c r="D3" s="1713"/>
      <c r="E3" s="1713"/>
      <c r="F3" s="1742"/>
      <c r="G3" s="161"/>
      <c r="H3" s="161"/>
      <c r="I3" s="169"/>
      <c r="J3" s="168"/>
      <c r="K3" s="169"/>
      <c r="L3" s="169"/>
      <c r="M3" s="170"/>
      <c r="O3" s="74"/>
    </row>
    <row r="4" spans="1:28" ht="20.25">
      <c r="A4" s="184">
        <v>3</v>
      </c>
      <c r="B4" s="1713" t="str">
        <f>'Smmy Chrts'!$A$3</f>
        <v>Source: FY 2021 Annual Financial Report</v>
      </c>
      <c r="C4" s="1713"/>
      <c r="D4" s="1713"/>
      <c r="E4" s="1713"/>
      <c r="F4" s="1742"/>
      <c r="G4" s="161"/>
      <c r="H4" s="161"/>
      <c r="I4" s="169"/>
      <c r="J4" s="168"/>
      <c r="K4" s="169"/>
      <c r="L4" s="169"/>
      <c r="M4" s="170"/>
      <c r="O4" s="74"/>
      <c r="P4" s="1744" t="s">
        <v>93</v>
      </c>
      <c r="Q4" s="1745"/>
      <c r="T4" s="36" t="s">
        <v>250</v>
      </c>
    </row>
    <row r="5" spans="1:28">
      <c r="A5" s="184">
        <v>4</v>
      </c>
      <c r="B5" s="160"/>
      <c r="C5" s="160"/>
      <c r="D5" s="160"/>
      <c r="E5" s="160"/>
      <c r="F5" s="160"/>
      <c r="G5" s="160"/>
      <c r="H5" s="160"/>
      <c r="I5" s="160"/>
      <c r="J5" s="160"/>
      <c r="K5" s="160"/>
      <c r="L5" s="160"/>
      <c r="M5" s="166"/>
      <c r="O5" s="262"/>
    </row>
    <row r="6" spans="1:28">
      <c r="A6" s="184">
        <v>5</v>
      </c>
      <c r="B6" s="1715" t="str">
        <f>'Smmy Chrts'!$C$32</f>
        <v>Detail Worksheet FY 2021</v>
      </c>
      <c r="C6" s="1715"/>
      <c r="D6" s="1743"/>
      <c r="E6" s="1743"/>
      <c r="F6" s="1743"/>
      <c r="G6" s="1743"/>
      <c r="H6" s="1743"/>
      <c r="I6" s="1743"/>
      <c r="J6" s="1743"/>
      <c r="K6" s="1743"/>
      <c r="L6" s="1743"/>
      <c r="M6" s="1743"/>
      <c r="O6" s="265"/>
    </row>
    <row r="7" spans="1:28">
      <c r="A7" s="184">
        <v>6</v>
      </c>
      <c r="B7" s="172"/>
      <c r="C7" s="172"/>
      <c r="D7" s="160"/>
      <c r="E7" s="160"/>
      <c r="F7" s="160"/>
      <c r="G7" s="160"/>
      <c r="H7" s="160"/>
      <c r="I7" s="160"/>
      <c r="J7" s="160"/>
      <c r="K7" s="160"/>
      <c r="L7" s="160"/>
      <c r="M7" s="173" t="str">
        <f>'Smmy Chrts'!$C$33</f>
        <v>FY 2021</v>
      </c>
      <c r="O7" s="266"/>
      <c r="P7" s="267"/>
      <c r="Q7" s="268"/>
      <c r="R7" s="268"/>
      <c r="S7" s="268"/>
      <c r="T7" s="268"/>
      <c r="U7" s="268"/>
    </row>
    <row r="8" spans="1:28" ht="38.25">
      <c r="A8" s="184">
        <v>7</v>
      </c>
      <c r="B8" s="185" t="s">
        <v>71</v>
      </c>
      <c r="C8" s="185"/>
      <c r="D8" s="186" t="s">
        <v>30</v>
      </c>
      <c r="E8" s="186" t="s">
        <v>31</v>
      </c>
      <c r="F8" s="186" t="s">
        <v>22</v>
      </c>
      <c r="G8" s="186" t="s">
        <v>32</v>
      </c>
      <c r="H8" s="186" t="s">
        <v>33</v>
      </c>
      <c r="I8" s="186" t="s">
        <v>34</v>
      </c>
      <c r="J8" s="186" t="s">
        <v>35</v>
      </c>
      <c r="K8" s="186" t="s">
        <v>36</v>
      </c>
      <c r="L8" s="186" t="s">
        <v>37</v>
      </c>
      <c r="M8" s="186" t="s">
        <v>38</v>
      </c>
      <c r="O8" s="266"/>
      <c r="P8" s="269"/>
      <c r="Q8" s="268"/>
      <c r="R8" s="268"/>
      <c r="S8" s="268"/>
      <c r="T8" s="268"/>
      <c r="U8" s="268"/>
    </row>
    <row r="9" spans="1:28">
      <c r="A9" s="184">
        <v>8</v>
      </c>
      <c r="B9" s="172" t="s">
        <v>0</v>
      </c>
      <c r="C9" s="172"/>
      <c r="D9" s="379"/>
      <c r="E9" s="379"/>
      <c r="F9" s="379"/>
      <c r="G9" s="379"/>
      <c r="H9" s="379"/>
      <c r="I9" s="379"/>
      <c r="J9" s="379"/>
      <c r="K9" s="379"/>
      <c r="L9" s="379"/>
      <c r="M9" s="379"/>
      <c r="N9" s="160"/>
      <c r="O9" s="266"/>
      <c r="P9" s="269"/>
      <c r="U9" s="268"/>
    </row>
    <row r="10" spans="1:28" ht="12.75" customHeight="1">
      <c r="A10" s="184">
        <v>9</v>
      </c>
      <c r="B10" s="160" t="s">
        <v>1</v>
      </c>
      <c r="C10" s="160"/>
      <c r="D10" s="372">
        <f>Input!$M$23</f>
        <v>25514271</v>
      </c>
      <c r="E10" s="372">
        <f>Input!$N$23</f>
        <v>0</v>
      </c>
      <c r="F10" s="372">
        <f>Input!$O$23</f>
        <v>0</v>
      </c>
      <c r="G10" s="372">
        <f>Input!$P$23</f>
        <v>0</v>
      </c>
      <c r="H10" s="372">
        <f>Input!$Q$23</f>
        <v>0</v>
      </c>
      <c r="I10" s="372">
        <f>Input!$R$23</f>
        <v>0</v>
      </c>
      <c r="J10" s="372">
        <f>Input!$S$23</f>
        <v>0</v>
      </c>
      <c r="K10" s="372">
        <f>Input!$T$23</f>
        <v>0</v>
      </c>
      <c r="L10" s="372">
        <f>Input!$U$23</f>
        <v>0</v>
      </c>
      <c r="M10" s="373">
        <f t="shared" ref="M10:M15" si="0">D10+E10+F10+G10+H10+I10+J10+K10+L10</f>
        <v>25514271</v>
      </c>
      <c r="N10" s="160"/>
      <c r="O10" s="271"/>
      <c r="P10" s="1718" t="s">
        <v>575</v>
      </c>
      <c r="U10" s="268"/>
    </row>
    <row r="11" spans="1:28">
      <c r="A11" s="184">
        <v>10</v>
      </c>
      <c r="B11" s="160" t="s">
        <v>2</v>
      </c>
      <c r="C11" s="160"/>
      <c r="D11" s="372">
        <f>Input!$V$23</f>
        <v>986487</v>
      </c>
      <c r="E11" s="372">
        <f>Input!$W$23</f>
        <v>14024</v>
      </c>
      <c r="F11" s="372">
        <f>Input!$X$23</f>
        <v>0</v>
      </c>
      <c r="G11" s="372">
        <f>Input!$Y$23</f>
        <v>11978</v>
      </c>
      <c r="H11" s="372">
        <f>Input!$Z$23</f>
        <v>0</v>
      </c>
      <c r="I11" s="372">
        <f>Input!$AA$23</f>
        <v>0</v>
      </c>
      <c r="J11" s="372">
        <f>Input!$AB$23</f>
        <v>0</v>
      </c>
      <c r="K11" s="372">
        <f>Input!$AC$23</f>
        <v>0</v>
      </c>
      <c r="L11" s="372">
        <f>Input!$AD$23</f>
        <v>0</v>
      </c>
      <c r="M11" s="373">
        <f t="shared" si="0"/>
        <v>1012489</v>
      </c>
      <c r="N11" s="160"/>
      <c r="O11" s="482"/>
      <c r="P11" s="1719"/>
      <c r="U11" s="268"/>
    </row>
    <row r="12" spans="1:28" ht="12.75" hidden="1" customHeight="1">
      <c r="B12" s="160" t="s">
        <v>1410</v>
      </c>
      <c r="C12" s="160"/>
      <c r="D12" s="372"/>
      <c r="E12" s="372"/>
      <c r="F12" s="372"/>
      <c r="G12" s="372"/>
      <c r="H12" s="372"/>
      <c r="I12" s="372"/>
      <c r="J12" s="372"/>
      <c r="K12" s="372"/>
      <c r="L12" s="372"/>
      <c r="M12" s="373"/>
      <c r="N12" s="171"/>
      <c r="O12" s="482"/>
      <c r="P12" s="483"/>
      <c r="U12" s="272"/>
    </row>
    <row r="13" spans="1:28">
      <c r="A13" s="184">
        <v>12</v>
      </c>
      <c r="B13" s="160" t="s">
        <v>1368</v>
      </c>
      <c r="C13" s="160"/>
      <c r="D13" s="372">
        <f>Input!$AN$23</f>
        <v>2050273</v>
      </c>
      <c r="E13" s="372">
        <f>Input!$AO$23</f>
        <v>0</v>
      </c>
      <c r="F13" s="372">
        <f>Input!$AP$23</f>
        <v>0</v>
      </c>
      <c r="G13" s="372">
        <f>Input!$AQ$23</f>
        <v>0</v>
      </c>
      <c r="H13" s="372">
        <f>Input!$AR$23</f>
        <v>0</v>
      </c>
      <c r="I13" s="372">
        <f>Input!$AS$23</f>
        <v>0</v>
      </c>
      <c r="J13" s="372">
        <f>Input!$AT$23</f>
        <v>0</v>
      </c>
      <c r="K13" s="372">
        <f>Input!$AU$23</f>
        <v>0</v>
      </c>
      <c r="L13" s="372">
        <f>Input!$AV$23</f>
        <v>0</v>
      </c>
      <c r="M13" s="373">
        <f t="shared" si="0"/>
        <v>2050273</v>
      </c>
      <c r="N13" s="160"/>
      <c r="O13" s="482" t="str">
        <f>IF(P13&lt;&gt;M13,"Out of Balance","Balanced")</f>
        <v>Balanced</v>
      </c>
      <c r="P13" s="484">
        <f>IFERROR(VLOOKUP($B$2,AMTLU,6,FALSE),0)</f>
        <v>2050273</v>
      </c>
      <c r="U13" s="268"/>
    </row>
    <row r="14" spans="1:28">
      <c r="A14" s="184">
        <v>13</v>
      </c>
      <c r="B14" s="160" t="s">
        <v>49</v>
      </c>
      <c r="C14" s="160"/>
      <c r="D14" s="372">
        <f>Input!$AW$23</f>
        <v>0</v>
      </c>
      <c r="E14" s="372">
        <f>Input!$AX$23</f>
        <v>0</v>
      </c>
      <c r="F14" s="372">
        <f>Input!$AY$23</f>
        <v>0</v>
      </c>
      <c r="G14" s="372">
        <f>Input!$AZ$23</f>
        <v>0</v>
      </c>
      <c r="H14" s="372">
        <f>Input!$BA$23</f>
        <v>0</v>
      </c>
      <c r="I14" s="372">
        <f>Input!$BB$23</f>
        <v>0</v>
      </c>
      <c r="J14" s="372">
        <f>Input!$BC$23</f>
        <v>0</v>
      </c>
      <c r="K14" s="372">
        <f>Input!$BD$23</f>
        <v>0</v>
      </c>
      <c r="L14" s="372">
        <f>Input!$BE$23</f>
        <v>0</v>
      </c>
      <c r="M14" s="373">
        <f t="shared" si="0"/>
        <v>0</v>
      </c>
      <c r="N14" s="160"/>
      <c r="O14" s="482"/>
      <c r="P14" s="485"/>
    </row>
    <row r="15" spans="1:28" ht="15">
      <c r="A15" s="184">
        <v>14</v>
      </c>
      <c r="B15" s="176" t="s">
        <v>3</v>
      </c>
      <c r="C15" s="176"/>
      <c r="D15" s="374">
        <f t="shared" ref="D15:L15" si="1">SUM(D10:D14)</f>
        <v>28551031</v>
      </c>
      <c r="E15" s="374">
        <f t="shared" si="1"/>
        <v>14024</v>
      </c>
      <c r="F15" s="374">
        <f t="shared" si="1"/>
        <v>0</v>
      </c>
      <c r="G15" s="374">
        <f t="shared" si="1"/>
        <v>11978</v>
      </c>
      <c r="H15" s="374">
        <f t="shared" si="1"/>
        <v>0</v>
      </c>
      <c r="I15" s="374">
        <f t="shared" si="1"/>
        <v>0</v>
      </c>
      <c r="J15" s="374">
        <f t="shared" si="1"/>
        <v>0</v>
      </c>
      <c r="K15" s="374">
        <f t="shared" si="1"/>
        <v>0</v>
      </c>
      <c r="L15" s="374">
        <f t="shared" si="1"/>
        <v>0</v>
      </c>
      <c r="M15" s="374">
        <f t="shared" si="0"/>
        <v>28577033</v>
      </c>
      <c r="N15" s="160"/>
      <c r="O15" s="270"/>
      <c r="P15" s="36"/>
    </row>
    <row r="16" spans="1:28" ht="15.75">
      <c r="A16" s="184">
        <v>15</v>
      </c>
      <c r="B16" s="160"/>
      <c r="C16" s="160"/>
      <c r="D16" s="373"/>
      <c r="E16" s="373"/>
      <c r="F16" s="373"/>
      <c r="G16" s="373"/>
      <c r="H16" s="373"/>
      <c r="I16" s="373"/>
      <c r="J16" s="373"/>
      <c r="K16" s="373"/>
      <c r="L16" s="373"/>
      <c r="M16" s="373"/>
      <c r="N16" s="160"/>
      <c r="O16" s="273"/>
      <c r="P16" s="274"/>
      <c r="Q16" s="267"/>
      <c r="R16" s="268"/>
      <c r="S16" s="268"/>
      <c r="T16" s="268"/>
      <c r="U16" s="268"/>
      <c r="V16" s="268"/>
    </row>
    <row r="17" spans="1:26" s="264" customFormat="1" ht="14.25" customHeight="1">
      <c r="A17" s="263">
        <v>16</v>
      </c>
      <c r="B17" s="5" t="s">
        <v>4</v>
      </c>
      <c r="C17" s="5"/>
      <c r="D17" s="373"/>
      <c r="E17" s="373"/>
      <c r="F17" s="373"/>
      <c r="G17" s="373"/>
      <c r="H17" s="373"/>
      <c r="I17" s="373"/>
      <c r="J17" s="373"/>
      <c r="K17" s="373"/>
      <c r="L17" s="373"/>
      <c r="M17" s="373"/>
      <c r="O17" s="35"/>
      <c r="P17" s="35"/>
      <c r="Q17" s="35"/>
      <c r="R17" s="35"/>
      <c r="S17" s="35"/>
      <c r="T17" s="268" t="s">
        <v>1102</v>
      </c>
    </row>
    <row r="18" spans="1:26" s="264" customFormat="1" ht="13.5" customHeight="1" thickBot="1">
      <c r="A18" s="263"/>
      <c r="B18" s="558" t="s">
        <v>1042</v>
      </c>
      <c r="C18" s="558"/>
      <c r="D18" s="374">
        <f t="shared" ref="D18:L18" si="2">D23-SUM(D19:D22)</f>
        <v>7142334</v>
      </c>
      <c r="E18" s="374">
        <f t="shared" si="2"/>
        <v>7910668</v>
      </c>
      <c r="F18" s="374">
        <f t="shared" si="2"/>
        <v>0</v>
      </c>
      <c r="G18" s="374">
        <f t="shared" si="2"/>
        <v>0</v>
      </c>
      <c r="H18" s="374">
        <f t="shared" si="2"/>
        <v>0</v>
      </c>
      <c r="I18" s="374">
        <f t="shared" si="2"/>
        <v>0</v>
      </c>
      <c r="J18" s="374">
        <f t="shared" si="2"/>
        <v>0</v>
      </c>
      <c r="K18" s="374">
        <f t="shared" si="2"/>
        <v>0</v>
      </c>
      <c r="L18" s="374">
        <f t="shared" si="2"/>
        <v>0</v>
      </c>
      <c r="M18" s="374">
        <f t="shared" ref="M18:M29" si="3">D18+E18+F18+G18+H18+I18+J18+K18+L18</f>
        <v>15053002</v>
      </c>
      <c r="V18" s="327"/>
      <c r="X18" s="330"/>
    </row>
    <row r="19" spans="1:26" s="264" customFormat="1" ht="12.75" customHeight="1" thickTop="1" thickBot="1">
      <c r="A19" s="263"/>
      <c r="B19" s="261" t="s">
        <v>722</v>
      </c>
      <c r="C19" s="261"/>
      <c r="D19" s="372">
        <f>Input!$BF$23</f>
        <v>-4518700</v>
      </c>
      <c r="E19" s="372">
        <f>Input!$BG$23</f>
        <v>0</v>
      </c>
      <c r="F19" s="372">
        <f>Input!$BH$23</f>
        <v>0</v>
      </c>
      <c r="G19" s="372">
        <f>Input!$BI$23</f>
        <v>0</v>
      </c>
      <c r="H19" s="372">
        <f>Input!$BJ$23</f>
        <v>0</v>
      </c>
      <c r="I19" s="372">
        <f>Input!$BK$23</f>
        <v>0</v>
      </c>
      <c r="J19" s="372">
        <f>Input!$BL$23</f>
        <v>0</v>
      </c>
      <c r="K19" s="372">
        <f>Input!$BM$23</f>
        <v>0</v>
      </c>
      <c r="L19" s="372">
        <f>Input!$BN$23</f>
        <v>0</v>
      </c>
      <c r="M19" s="373">
        <f t="shared" si="3"/>
        <v>-4518700</v>
      </c>
      <c r="O19" s="1732" t="s">
        <v>1294</v>
      </c>
      <c r="P19" s="1733"/>
      <c r="Q19" s="1733"/>
      <c r="R19" s="1734"/>
      <c r="T19" s="1735" t="s">
        <v>1043</v>
      </c>
      <c r="U19" s="1736"/>
      <c r="V19" s="1736"/>
      <c r="W19" s="1736"/>
      <c r="X19" s="1737"/>
    </row>
    <row r="20" spans="1:26" s="264" customFormat="1" ht="12.75" customHeight="1" thickTop="1">
      <c r="A20" s="263"/>
      <c r="B20" s="261" t="s">
        <v>723</v>
      </c>
      <c r="C20" s="261"/>
      <c r="D20" s="372">
        <f>Input!$BO$23</f>
        <v>0</v>
      </c>
      <c r="E20" s="372">
        <f>Input!$BP$23</f>
        <v>0</v>
      </c>
      <c r="F20" s="372">
        <f>Input!$BQ$23</f>
        <v>0</v>
      </c>
      <c r="G20" s="372">
        <f>Input!$BR$23</f>
        <v>0</v>
      </c>
      <c r="H20" s="372">
        <f>Input!$BS$23</f>
        <v>0</v>
      </c>
      <c r="I20" s="372">
        <f>Input!$BT$23</f>
        <v>0</v>
      </c>
      <c r="J20" s="372">
        <f>Input!$BU$23</f>
        <v>0</v>
      </c>
      <c r="K20" s="372">
        <f>Input!$BV$23</f>
        <v>0</v>
      </c>
      <c r="L20" s="372">
        <f>Input!$BW$23</f>
        <v>0</v>
      </c>
      <c r="M20" s="373">
        <f t="shared" si="3"/>
        <v>0</v>
      </c>
      <c r="O20" s="421" t="s">
        <v>288</v>
      </c>
      <c r="P20" s="422"/>
      <c r="Q20" s="414"/>
      <c r="R20" s="559"/>
      <c r="T20" s="560" t="s">
        <v>1044</v>
      </c>
      <c r="U20" s="266"/>
      <c r="V20" s="266"/>
      <c r="X20" s="425"/>
    </row>
    <row r="21" spans="1:26" s="264" customFormat="1">
      <c r="A21" s="263"/>
      <c r="B21" s="261" t="s">
        <v>724</v>
      </c>
      <c r="C21" s="261"/>
      <c r="D21" s="372">
        <f>Input!$BX$23</f>
        <v>0</v>
      </c>
      <c r="E21" s="372">
        <f>Input!$BY$23</f>
        <v>0</v>
      </c>
      <c r="F21" s="372">
        <f>Input!$BZ$23</f>
        <v>0</v>
      </c>
      <c r="G21" s="372">
        <f>Input!$CA$23</f>
        <v>0</v>
      </c>
      <c r="H21" s="372">
        <f>Input!$CB$23</f>
        <v>0</v>
      </c>
      <c r="I21" s="372">
        <f>Input!$CC$23</f>
        <v>0</v>
      </c>
      <c r="J21" s="372">
        <f>Input!$CD$23</f>
        <v>0</v>
      </c>
      <c r="K21" s="372">
        <f>Input!$CE$23</f>
        <v>0</v>
      </c>
      <c r="L21" s="372">
        <f>Input!$CF$23</f>
        <v>0</v>
      </c>
      <c r="M21" s="373">
        <f t="shared" si="3"/>
        <v>0</v>
      </c>
      <c r="O21" s="434"/>
      <c r="R21" s="561"/>
      <c r="T21" s="650" t="s">
        <v>1045</v>
      </c>
      <c r="U21" s="266"/>
      <c r="V21" s="266"/>
      <c r="W21" s="651">
        <f>M44</f>
        <v>11361521</v>
      </c>
      <c r="X21" s="425"/>
      <c r="Z21" s="330"/>
    </row>
    <row r="22" spans="1:26" s="264" customFormat="1">
      <c r="A22" s="263"/>
      <c r="B22" s="261" t="s">
        <v>725</v>
      </c>
      <c r="C22" s="261"/>
      <c r="D22" s="372">
        <f>Input!$CG$23</f>
        <v>0</v>
      </c>
      <c r="E22" s="372">
        <f>Input!$CH$23</f>
        <v>0</v>
      </c>
      <c r="F22" s="372">
        <f>Input!$CI$23</f>
        <v>0</v>
      </c>
      <c r="G22" s="372">
        <f>Input!$CJ$23</f>
        <v>0</v>
      </c>
      <c r="H22" s="372">
        <f>Input!$CK$23</f>
        <v>0</v>
      </c>
      <c r="I22" s="372">
        <f>Input!$CL$23</f>
        <v>0</v>
      </c>
      <c r="J22" s="372">
        <f>Input!$CM$23</f>
        <v>0</v>
      </c>
      <c r="K22" s="372">
        <f>Input!$CN$23</f>
        <v>0</v>
      </c>
      <c r="L22" s="372">
        <f>Input!$CO$23</f>
        <v>0</v>
      </c>
      <c r="M22" s="373">
        <f t="shared" si="3"/>
        <v>0</v>
      </c>
      <c r="N22" s="270"/>
      <c r="O22" s="434" t="s">
        <v>1046</v>
      </c>
      <c r="P22" s="276"/>
      <c r="Q22" s="424">
        <f>M23</f>
        <v>10534302</v>
      </c>
      <c r="R22" s="562"/>
      <c r="T22" s="650" t="s">
        <v>1047</v>
      </c>
      <c r="U22" s="266"/>
      <c r="V22" s="266"/>
      <c r="W22" s="652">
        <f>R30*-1</f>
        <v>4285619</v>
      </c>
      <c r="X22" s="425"/>
    </row>
    <row r="23" spans="1:26" s="264" customFormat="1" ht="12.75" customHeight="1">
      <c r="A23" s="263"/>
      <c r="B23" s="558" t="s">
        <v>726</v>
      </c>
      <c r="C23" s="563"/>
      <c r="D23" s="564">
        <f>Input!$CP$23</f>
        <v>2623634</v>
      </c>
      <c r="E23" s="564">
        <f>Input!$CQ$23</f>
        <v>7910668</v>
      </c>
      <c r="F23" s="564">
        <f>Input!$CR$23</f>
        <v>0</v>
      </c>
      <c r="G23" s="564">
        <f>Input!$CS$23</f>
        <v>0</v>
      </c>
      <c r="H23" s="564">
        <f>Input!$CT$23</f>
        <v>0</v>
      </c>
      <c r="I23" s="564">
        <f>Input!$CU$23</f>
        <v>0</v>
      </c>
      <c r="J23" s="564">
        <f>Input!$CV$23</f>
        <v>0</v>
      </c>
      <c r="K23" s="564">
        <f>Input!$CW$23</f>
        <v>0</v>
      </c>
      <c r="L23" s="564">
        <f>Input!$CX$23</f>
        <v>0</v>
      </c>
      <c r="M23" s="565">
        <f t="shared" si="3"/>
        <v>10534302</v>
      </c>
      <c r="O23" s="434"/>
      <c r="P23" s="276"/>
      <c r="Q23" s="424"/>
      <c r="R23" s="562"/>
      <c r="T23" s="560" t="s">
        <v>1230</v>
      </c>
      <c r="U23" s="266"/>
      <c r="V23" s="266"/>
      <c r="W23" s="276"/>
      <c r="X23" s="425">
        <f>SUM(W21:W22)</f>
        <v>15647140</v>
      </c>
      <c r="Z23" s="330"/>
    </row>
    <row r="24" spans="1:26" s="264" customFormat="1" ht="12.75" customHeight="1">
      <c r="A24" s="263"/>
      <c r="B24" s="261" t="s">
        <v>727</v>
      </c>
      <c r="C24" s="566"/>
      <c r="D24" s="372">
        <f>Input!$CY$23</f>
        <v>0</v>
      </c>
      <c r="E24" s="372">
        <f>Input!$CZ$23</f>
        <v>0</v>
      </c>
      <c r="F24" s="372">
        <f>Input!$DA$23</f>
        <v>0</v>
      </c>
      <c r="G24" s="372">
        <f>Input!$DB$23</f>
        <v>0</v>
      </c>
      <c r="H24" s="372">
        <f>Input!$DC$23</f>
        <v>0</v>
      </c>
      <c r="I24" s="372">
        <f>Input!$DD$23</f>
        <v>0</v>
      </c>
      <c r="J24" s="372">
        <f>Input!$DE$23</f>
        <v>0</v>
      </c>
      <c r="K24" s="372">
        <f>Input!$DF$23</f>
        <v>0</v>
      </c>
      <c r="L24" s="372">
        <f>Input!$DG$23</f>
        <v>0</v>
      </c>
      <c r="M24" s="567">
        <f t="shared" si="3"/>
        <v>0</v>
      </c>
      <c r="O24" s="417" t="s">
        <v>1048</v>
      </c>
      <c r="P24" s="276"/>
      <c r="Q24" s="327"/>
      <c r="R24" s="646">
        <f>SUM(M24:M28)</f>
        <v>-2885256</v>
      </c>
      <c r="T24" s="560"/>
      <c r="U24" s="266"/>
      <c r="V24" s="266"/>
      <c r="X24" s="425"/>
      <c r="Z24" s="330"/>
    </row>
    <row r="25" spans="1:26" s="264" customFormat="1" ht="12.75" customHeight="1">
      <c r="A25" s="263"/>
      <c r="B25" s="261" t="s">
        <v>728</v>
      </c>
      <c r="C25" s="566"/>
      <c r="D25" s="372">
        <f>Input!$DH$23</f>
        <v>0</v>
      </c>
      <c r="E25" s="372">
        <f>Input!$DI$23</f>
        <v>0</v>
      </c>
      <c r="F25" s="372">
        <f>Input!$DJ$23</f>
        <v>0</v>
      </c>
      <c r="G25" s="372">
        <f>Input!$DK$23</f>
        <v>0</v>
      </c>
      <c r="H25" s="372">
        <f>Input!$DL$23</f>
        <v>0</v>
      </c>
      <c r="I25" s="372">
        <f>Input!$DM$23</f>
        <v>0</v>
      </c>
      <c r="J25" s="372">
        <f>Input!$DN$23</f>
        <v>0</v>
      </c>
      <c r="K25" s="372">
        <f>Input!$DO$23</f>
        <v>0</v>
      </c>
      <c r="L25" s="372">
        <f>Input!$DP$23</f>
        <v>0</v>
      </c>
      <c r="M25" s="567">
        <f t="shared" si="3"/>
        <v>0</v>
      </c>
      <c r="O25" s="434"/>
      <c r="P25" s="276"/>
      <c r="Q25" s="327"/>
      <c r="R25" s="646"/>
      <c r="T25" s="568" t="s">
        <v>1103</v>
      </c>
      <c r="U25" s="569"/>
      <c r="V25" s="569"/>
      <c r="W25" s="653">
        <f>(M26+M39)*-1</f>
        <v>885911</v>
      </c>
      <c r="X25" s="425"/>
      <c r="Z25" s="330"/>
    </row>
    <row r="26" spans="1:26" s="264" customFormat="1" ht="12.75" customHeight="1">
      <c r="A26" s="263"/>
      <c r="B26" s="261" t="s">
        <v>729</v>
      </c>
      <c r="C26" s="566"/>
      <c r="D26" s="372">
        <f>Input!$DQ$23</f>
        <v>-141609</v>
      </c>
      <c r="E26" s="372">
        <f>Input!$DR$23</f>
        <v>-460517</v>
      </c>
      <c r="F26" s="372">
        <f>Input!$DS$23</f>
        <v>0</v>
      </c>
      <c r="G26" s="372">
        <f>Input!$DT$23</f>
        <v>0</v>
      </c>
      <c r="H26" s="372">
        <f>Input!$DU$23</f>
        <v>0</v>
      </c>
      <c r="I26" s="372">
        <f>Input!$DV$23</f>
        <v>0</v>
      </c>
      <c r="J26" s="372">
        <f>Input!$DW$23</f>
        <v>0</v>
      </c>
      <c r="K26" s="372">
        <f>Input!$DX$23</f>
        <v>0</v>
      </c>
      <c r="L26" s="372">
        <f>Input!$DY$23</f>
        <v>0</v>
      </c>
      <c r="M26" s="567">
        <f t="shared" si="3"/>
        <v>-602126</v>
      </c>
      <c r="O26" s="434" t="s">
        <v>1049</v>
      </c>
      <c r="P26" s="276"/>
      <c r="Q26" s="427">
        <f>M36</f>
        <v>5112838</v>
      </c>
      <c r="R26" s="570"/>
      <c r="T26" s="560" t="s">
        <v>1104</v>
      </c>
      <c r="U26" s="266"/>
      <c r="V26" s="266"/>
      <c r="W26" s="571">
        <f>(M21+M34)*-1</f>
        <v>0</v>
      </c>
      <c r="X26" s="425"/>
      <c r="Z26" s="330"/>
    </row>
    <row r="27" spans="1:26" s="264" customFormat="1">
      <c r="A27" s="263"/>
      <c r="B27" s="261" t="s">
        <v>730</v>
      </c>
      <c r="C27" s="566"/>
      <c r="D27" s="372">
        <f>Input!$DZ$23</f>
        <v>0</v>
      </c>
      <c r="E27" s="372">
        <f>Input!$EA$23</f>
        <v>0</v>
      </c>
      <c r="F27" s="372">
        <f>Input!$EB$23</f>
        <v>0</v>
      </c>
      <c r="G27" s="372">
        <f>Input!$EC$23</f>
        <v>0</v>
      </c>
      <c r="H27" s="372">
        <f>Input!$ED$23</f>
        <v>0</v>
      </c>
      <c r="I27" s="372">
        <f>Input!$EE$23</f>
        <v>0</v>
      </c>
      <c r="J27" s="372">
        <f>Input!$EF$23</f>
        <v>0</v>
      </c>
      <c r="K27" s="372">
        <f>Input!$EG$23</f>
        <v>0</v>
      </c>
      <c r="L27" s="372">
        <f>Input!EH6</f>
        <v>0</v>
      </c>
      <c r="M27" s="567">
        <f t="shared" si="3"/>
        <v>0</v>
      </c>
      <c r="O27" s="434"/>
      <c r="P27" s="276"/>
      <c r="Q27" s="427"/>
      <c r="R27" s="570"/>
      <c r="T27" s="650" t="s">
        <v>1105</v>
      </c>
      <c r="U27" s="584"/>
      <c r="V27" s="584"/>
      <c r="W27" s="654">
        <f>SUM(W25:W26)</f>
        <v>885911</v>
      </c>
      <c r="X27" s="655"/>
    </row>
    <row r="28" spans="1:26" s="264" customFormat="1">
      <c r="A28" s="263"/>
      <c r="B28" s="261" t="s">
        <v>2133</v>
      </c>
      <c r="C28" s="566"/>
      <c r="D28" s="372">
        <f>Input!$EI$23</f>
        <v>-576982</v>
      </c>
      <c r="E28" s="372">
        <f>Input!$EJ$23</f>
        <v>-1706148</v>
      </c>
      <c r="F28" s="372">
        <f>Input!$EK$23</f>
        <v>0</v>
      </c>
      <c r="G28" s="372">
        <f>Input!$EL$23</f>
        <v>0</v>
      </c>
      <c r="H28" s="372">
        <f>Input!$EM$23</f>
        <v>0</v>
      </c>
      <c r="I28" s="372">
        <f>Input!$EN$23</f>
        <v>0</v>
      </c>
      <c r="J28" s="372">
        <f>Input!$EO$23</f>
        <v>0</v>
      </c>
      <c r="K28" s="372">
        <f>Input!$EP$23</f>
        <v>0</v>
      </c>
      <c r="L28" s="372">
        <f>Input!$EQ$23</f>
        <v>0</v>
      </c>
      <c r="M28" s="567">
        <f t="shared" si="3"/>
        <v>-2283130</v>
      </c>
      <c r="O28" s="417" t="s">
        <v>1050</v>
      </c>
      <c r="Q28" s="429"/>
      <c r="R28" s="646">
        <f>SUM(M37:M41)</f>
        <v>-1400363</v>
      </c>
      <c r="T28" s="560" t="s">
        <v>1106</v>
      </c>
      <c r="U28" s="266"/>
      <c r="V28" s="266"/>
      <c r="W28" s="425">
        <f>(M27+M40)*-1</f>
        <v>0</v>
      </c>
      <c r="X28" s="655"/>
      <c r="Z28" s="330"/>
    </row>
    <row r="29" spans="1:26" s="264" customFormat="1" ht="12" customHeight="1">
      <c r="A29" s="263"/>
      <c r="B29" s="575" t="s">
        <v>39</v>
      </c>
      <c r="C29" s="563"/>
      <c r="D29" s="374">
        <f t="shared" ref="D29:L29" si="4">SUM(D23:D28)</f>
        <v>1905043</v>
      </c>
      <c r="E29" s="374">
        <f t="shared" si="4"/>
        <v>5744003</v>
      </c>
      <c r="F29" s="374">
        <f t="shared" si="4"/>
        <v>0</v>
      </c>
      <c r="G29" s="374">
        <f t="shared" si="4"/>
        <v>0</v>
      </c>
      <c r="H29" s="374">
        <f t="shared" si="4"/>
        <v>0</v>
      </c>
      <c r="I29" s="374">
        <f t="shared" si="4"/>
        <v>0</v>
      </c>
      <c r="J29" s="374">
        <f t="shared" si="4"/>
        <v>0</v>
      </c>
      <c r="K29" s="374">
        <f t="shared" si="4"/>
        <v>0</v>
      </c>
      <c r="L29" s="374">
        <f t="shared" si="4"/>
        <v>0</v>
      </c>
      <c r="M29" s="374">
        <f t="shared" si="3"/>
        <v>7649046</v>
      </c>
      <c r="O29" s="417"/>
      <c r="Q29" s="429"/>
      <c r="R29" s="576"/>
      <c r="T29" s="560" t="s">
        <v>1107</v>
      </c>
      <c r="U29" s="266"/>
      <c r="V29" s="266"/>
      <c r="W29" s="571">
        <f>(M22+M35)*-1</f>
        <v>0</v>
      </c>
      <c r="X29" s="655"/>
    </row>
    <row r="30" spans="1:26" s="264" customFormat="1" ht="16.5" customHeight="1">
      <c r="A30" s="263"/>
      <c r="B30" s="261"/>
      <c r="C30" s="566"/>
      <c r="D30" s="566"/>
      <c r="E30" s="566"/>
      <c r="F30" s="566"/>
      <c r="G30" s="566"/>
      <c r="H30" s="566"/>
      <c r="I30" s="566"/>
      <c r="J30" s="566"/>
      <c r="K30" s="566"/>
      <c r="L30" s="566"/>
      <c r="M30" s="567"/>
      <c r="O30" s="431" t="s">
        <v>289</v>
      </c>
      <c r="P30" s="432"/>
      <c r="Q30" s="433">
        <f>Q26+Q22</f>
        <v>15647140</v>
      </c>
      <c r="R30" s="647">
        <f>R28+R24</f>
        <v>-4285619</v>
      </c>
      <c r="T30" s="650" t="s">
        <v>1108</v>
      </c>
      <c r="U30" s="584"/>
      <c r="V30" s="584"/>
      <c r="W30" s="654">
        <f>SUM(W28:W29)</f>
        <v>0</v>
      </c>
      <c r="X30" s="655"/>
    </row>
    <row r="31" spans="1:26" s="264" customFormat="1" ht="12.75" customHeight="1">
      <c r="A31" s="263"/>
      <c r="B31" s="558" t="s">
        <v>1052</v>
      </c>
      <c r="C31" s="558"/>
      <c r="D31" s="374">
        <f t="shared" ref="D31:L31" si="5">D36-SUM(D32:D35)</f>
        <v>248</v>
      </c>
      <c r="E31" s="374">
        <f t="shared" si="5"/>
        <v>4099791</v>
      </c>
      <c r="F31" s="374">
        <f t="shared" si="5"/>
        <v>1012799</v>
      </c>
      <c r="G31" s="374">
        <f t="shared" si="5"/>
        <v>0</v>
      </c>
      <c r="H31" s="374">
        <f t="shared" si="5"/>
        <v>0</v>
      </c>
      <c r="I31" s="374">
        <f t="shared" si="5"/>
        <v>0</v>
      </c>
      <c r="J31" s="374">
        <f t="shared" si="5"/>
        <v>0</v>
      </c>
      <c r="K31" s="374">
        <f t="shared" si="5"/>
        <v>0</v>
      </c>
      <c r="L31" s="374">
        <f t="shared" si="5"/>
        <v>0</v>
      </c>
      <c r="M31" s="374">
        <f t="shared" ref="M31:M42" si="6">D31+E31+F31+G31+H31+I31+J31+K31+L31</f>
        <v>5112838</v>
      </c>
      <c r="O31" s="434" t="s">
        <v>290</v>
      </c>
      <c r="P31" s="276"/>
      <c r="Q31" s="335"/>
      <c r="R31" s="562"/>
      <c r="T31" s="572" t="s">
        <v>1109</v>
      </c>
      <c r="U31" s="573"/>
      <c r="V31" s="573"/>
      <c r="W31" s="574">
        <f>W27+W30</f>
        <v>885911</v>
      </c>
      <c r="X31" s="425"/>
      <c r="Z31" s="330"/>
    </row>
    <row r="32" spans="1:26" s="264" customFormat="1" ht="12.75" customHeight="1">
      <c r="A32" s="263"/>
      <c r="B32" s="261" t="s">
        <v>722</v>
      </c>
      <c r="C32" s="261"/>
      <c r="D32" s="372">
        <f>Input!$ER$23</f>
        <v>0</v>
      </c>
      <c r="E32" s="372">
        <f>Input!$ES$23</f>
        <v>0</v>
      </c>
      <c r="F32" s="372">
        <f>Input!$ET$23</f>
        <v>0</v>
      </c>
      <c r="G32" s="372">
        <f>Input!$EU$23</f>
        <v>0</v>
      </c>
      <c r="H32" s="372">
        <f>Input!$EV$23</f>
        <v>0</v>
      </c>
      <c r="I32" s="372">
        <f>Input!$EW$23</f>
        <v>0</v>
      </c>
      <c r="J32" s="372">
        <f>Input!$EX$23</f>
        <v>0</v>
      </c>
      <c r="K32" s="372">
        <f>Input!$EY$23</f>
        <v>0</v>
      </c>
      <c r="L32" s="372">
        <f>Input!$EZ$23</f>
        <v>0</v>
      </c>
      <c r="M32" s="567">
        <f t="shared" si="6"/>
        <v>0</v>
      </c>
      <c r="O32" s="415" t="s">
        <v>1295</v>
      </c>
      <c r="P32" s="416"/>
      <c r="Q32" s="577">
        <f>Input!$SQ$23</f>
        <v>15647140</v>
      </c>
      <c r="R32" s="578"/>
      <c r="T32" s="560"/>
      <c r="U32" s="266"/>
      <c r="V32" s="266"/>
      <c r="X32" s="425"/>
      <c r="Z32" s="330"/>
    </row>
    <row r="33" spans="1:24" s="264" customFormat="1">
      <c r="A33" s="263"/>
      <c r="B33" s="261" t="s">
        <v>723</v>
      </c>
      <c r="C33" s="261"/>
      <c r="D33" s="372">
        <f>Input!$FA$23</f>
        <v>0</v>
      </c>
      <c r="E33" s="372">
        <f>Input!$FB$23</f>
        <v>0</v>
      </c>
      <c r="F33" s="372">
        <f>Input!$FC$23</f>
        <v>0</v>
      </c>
      <c r="G33" s="372">
        <f>Input!$FD$23</f>
        <v>0</v>
      </c>
      <c r="H33" s="372">
        <f>Input!$FE$23</f>
        <v>0</v>
      </c>
      <c r="I33" s="372">
        <f>Input!$FF$23</f>
        <v>0</v>
      </c>
      <c r="J33" s="372">
        <f>Input!$FG$23</f>
        <v>0</v>
      </c>
      <c r="K33" s="372">
        <f>Input!$FH$23</f>
        <v>0</v>
      </c>
      <c r="L33" s="372">
        <f>Input!$FI$23</f>
        <v>0</v>
      </c>
      <c r="M33" s="567">
        <f t="shared" si="6"/>
        <v>0</v>
      </c>
      <c r="O33" s="415"/>
      <c r="P33" s="416"/>
      <c r="Q33" s="327"/>
      <c r="R33" s="578"/>
      <c r="T33" s="560" t="s">
        <v>1051</v>
      </c>
      <c r="U33" s="266"/>
      <c r="V33" s="266"/>
      <c r="W33" s="334">
        <f>(M19+M32)*-1</f>
        <v>4518700</v>
      </c>
      <c r="X33" s="425"/>
    </row>
    <row r="34" spans="1:24" s="264" customFormat="1">
      <c r="A34" s="263"/>
      <c r="B34" s="261" t="s">
        <v>724</v>
      </c>
      <c r="C34" s="261"/>
      <c r="D34" s="372">
        <f>Input!$FJ$23</f>
        <v>0</v>
      </c>
      <c r="E34" s="372">
        <f>Input!$FK$23</f>
        <v>0</v>
      </c>
      <c r="F34" s="372">
        <f>Input!$FL$23</f>
        <v>0</v>
      </c>
      <c r="G34" s="372">
        <f>Input!$FM$23</f>
        <v>0</v>
      </c>
      <c r="H34" s="372">
        <f>Input!$FN$23</f>
        <v>0</v>
      </c>
      <c r="I34" s="372">
        <f>Input!$FO$23</f>
        <v>0</v>
      </c>
      <c r="J34" s="372">
        <f>Input!$FP$23</f>
        <v>0</v>
      </c>
      <c r="K34" s="372">
        <f>Input!$FQ$23</f>
        <v>0</v>
      </c>
      <c r="L34" s="372">
        <f>Input!$FR$23</f>
        <v>0</v>
      </c>
      <c r="M34" s="567">
        <f t="shared" si="6"/>
        <v>0</v>
      </c>
      <c r="O34" s="435" t="s">
        <v>1296</v>
      </c>
      <c r="P34" s="436"/>
      <c r="Q34" s="264" t="s">
        <v>291</v>
      </c>
      <c r="R34" s="648">
        <f>Input!$SR$23</f>
        <v>-4285619</v>
      </c>
      <c r="T34" s="560" t="s">
        <v>1110</v>
      </c>
      <c r="U34" s="266"/>
      <c r="V34" s="266"/>
      <c r="W34" s="430">
        <f>(M24+M37)*-1</f>
        <v>0</v>
      </c>
      <c r="X34" s="425"/>
    </row>
    <row r="35" spans="1:24" s="264" customFormat="1" ht="13.5" thickBot="1">
      <c r="A35" s="263"/>
      <c r="B35" s="261" t="s">
        <v>725</v>
      </c>
      <c r="C35" s="261"/>
      <c r="D35" s="372">
        <f>Input!$FS$23</f>
        <v>0</v>
      </c>
      <c r="E35" s="372">
        <f>Input!$FT$23</f>
        <v>0</v>
      </c>
      <c r="F35" s="372">
        <f>Input!$FU$23</f>
        <v>0</v>
      </c>
      <c r="G35" s="372">
        <f>Input!$FV$23</f>
        <v>0</v>
      </c>
      <c r="H35" s="372">
        <f>Input!$FW$23</f>
        <v>0</v>
      </c>
      <c r="I35" s="372">
        <f>Input!$FX$23</f>
        <v>0</v>
      </c>
      <c r="J35" s="372">
        <f>Input!$FY$23</f>
        <v>0</v>
      </c>
      <c r="K35" s="372">
        <f>Input!$FZ$23</f>
        <v>0</v>
      </c>
      <c r="L35" s="372">
        <f>Input!$GA$23</f>
        <v>0</v>
      </c>
      <c r="M35" s="567">
        <f t="shared" si="6"/>
        <v>0</v>
      </c>
      <c r="O35" s="418" t="s">
        <v>286</v>
      </c>
      <c r="P35" s="419"/>
      <c r="Q35" s="420">
        <f>Q30-Q32</f>
        <v>0</v>
      </c>
      <c r="R35" s="649">
        <f>R30-R34</f>
        <v>0</v>
      </c>
      <c r="T35" s="650" t="s">
        <v>1111</v>
      </c>
      <c r="U35" s="584"/>
      <c r="V35" s="584"/>
      <c r="W35" s="656">
        <f>SUM(W33:W34)</f>
        <v>4518700</v>
      </c>
      <c r="X35" s="655"/>
    </row>
    <row r="36" spans="1:24" s="264" customFormat="1" ht="13.5" thickTop="1">
      <c r="A36" s="263"/>
      <c r="B36" s="558" t="s">
        <v>732</v>
      </c>
      <c r="C36" s="563"/>
      <c r="D36" s="564">
        <f>Input!$GB$23</f>
        <v>248</v>
      </c>
      <c r="E36" s="564">
        <f>Input!$GC$23</f>
        <v>4099791</v>
      </c>
      <c r="F36" s="564">
        <f>Input!$GD$23</f>
        <v>1012799</v>
      </c>
      <c r="G36" s="564">
        <f>Input!$GE$23</f>
        <v>0</v>
      </c>
      <c r="H36" s="564">
        <f>Input!$GF$23</f>
        <v>0</v>
      </c>
      <c r="I36" s="564">
        <f>Input!$GG$23</f>
        <v>0</v>
      </c>
      <c r="J36" s="564">
        <f>Input!$GH$23</f>
        <v>0</v>
      </c>
      <c r="K36" s="564">
        <f>Input!$GI$23</f>
        <v>0</v>
      </c>
      <c r="L36" s="564">
        <f>Input!$GJ$23</f>
        <v>0</v>
      </c>
      <c r="M36" s="565">
        <f t="shared" si="6"/>
        <v>5112838</v>
      </c>
      <c r="O36" s="261"/>
      <c r="Q36" s="412" t="str">
        <f>IF(Q30&lt;&gt;Q32,"Out of Balance","Balanced")</f>
        <v>Balanced</v>
      </c>
      <c r="R36" s="412" t="str">
        <f>IF(R30&lt;&gt;R34,"Out of Balance","Balanced")</f>
        <v>Balanced</v>
      </c>
      <c r="T36" s="560" t="s">
        <v>1053</v>
      </c>
      <c r="U36" s="266"/>
      <c r="V36" s="266"/>
      <c r="W36" s="334">
        <f>(M20+M33)*-1</f>
        <v>0</v>
      </c>
      <c r="X36" s="425"/>
    </row>
    <row r="37" spans="1:24" s="264" customFormat="1">
      <c r="A37" s="263"/>
      <c r="B37" s="261" t="s">
        <v>727</v>
      </c>
      <c r="C37" s="566"/>
      <c r="D37" s="372">
        <f>Input!$GK$23</f>
        <v>0</v>
      </c>
      <c r="E37" s="372">
        <f>Input!$GL$23</f>
        <v>0</v>
      </c>
      <c r="F37" s="372">
        <f>Input!$GM$23</f>
        <v>0</v>
      </c>
      <c r="G37" s="372">
        <f>Input!$GN$23</f>
        <v>0</v>
      </c>
      <c r="H37" s="372">
        <f>Input!$GO$23</f>
        <v>0</v>
      </c>
      <c r="I37" s="372">
        <f>Input!$GP$23</f>
        <v>0</v>
      </c>
      <c r="J37" s="372">
        <f>Input!$GQ$23</f>
        <v>0</v>
      </c>
      <c r="K37" s="372">
        <f>Input!$GR$23</f>
        <v>0</v>
      </c>
      <c r="L37" s="372">
        <f>Input!$GS$23</f>
        <v>0</v>
      </c>
      <c r="M37" s="567">
        <f t="shared" si="6"/>
        <v>0</v>
      </c>
      <c r="O37" s="261"/>
      <c r="T37" s="560" t="s">
        <v>1112</v>
      </c>
      <c r="U37" s="266"/>
      <c r="V37" s="266"/>
      <c r="W37" s="430">
        <f>(M25+M38)*-1</f>
        <v>0</v>
      </c>
      <c r="X37" s="655"/>
    </row>
    <row r="38" spans="1:24" s="264" customFormat="1">
      <c r="A38" s="263"/>
      <c r="B38" s="261" t="s">
        <v>728</v>
      </c>
      <c r="C38" s="566"/>
      <c r="D38" s="372">
        <f>Input!$GT$23</f>
        <v>0</v>
      </c>
      <c r="E38" s="372">
        <f>Input!$GU$23</f>
        <v>0</v>
      </c>
      <c r="F38" s="372">
        <f>Input!$GV$23</f>
        <v>0</v>
      </c>
      <c r="G38" s="372">
        <f>Input!$GW$23</f>
        <v>0</v>
      </c>
      <c r="H38" s="372">
        <f>Input!$GX$23</f>
        <v>0</v>
      </c>
      <c r="I38" s="372">
        <f>Input!$GY$23</f>
        <v>0</v>
      </c>
      <c r="J38" s="372">
        <f>Input!$GZ$23</f>
        <v>0</v>
      </c>
      <c r="K38" s="372">
        <f>Input!$HA$23</f>
        <v>0</v>
      </c>
      <c r="L38" s="372">
        <f>Input!$HB$23</f>
        <v>0</v>
      </c>
      <c r="M38" s="567">
        <f t="shared" si="6"/>
        <v>0</v>
      </c>
      <c r="O38" s="261"/>
      <c r="T38" s="650" t="s">
        <v>1113</v>
      </c>
      <c r="U38" s="584"/>
      <c r="V38" s="584"/>
      <c r="W38" s="656">
        <f>SUM(W36:W37)</f>
        <v>0</v>
      </c>
      <c r="X38" s="425"/>
    </row>
    <row r="39" spans="1:24" s="264" customFormat="1">
      <c r="A39" s="263"/>
      <c r="B39" s="261" t="s">
        <v>729</v>
      </c>
      <c r="C39" s="566"/>
      <c r="D39" s="372">
        <f>Input!$HC$23</f>
        <v>-13</v>
      </c>
      <c r="E39" s="372">
        <f>Input!$HD$23</f>
        <v>-233920</v>
      </c>
      <c r="F39" s="372">
        <f>Input!$HE$23</f>
        <v>-49852</v>
      </c>
      <c r="G39" s="372">
        <f>Input!$HF$23</f>
        <v>0</v>
      </c>
      <c r="H39" s="372">
        <f>Input!$HG$23</f>
        <v>0</v>
      </c>
      <c r="I39" s="372">
        <f>Input!$HH$23</f>
        <v>0</v>
      </c>
      <c r="J39" s="372">
        <f>Input!$HI$23</f>
        <v>0</v>
      </c>
      <c r="K39" s="372">
        <f>Input!$HJ$23</f>
        <v>0</v>
      </c>
      <c r="L39" s="372">
        <f>Input!$HK$23</f>
        <v>0</v>
      </c>
      <c r="M39" s="567">
        <f t="shared" si="6"/>
        <v>-283785</v>
      </c>
      <c r="O39" s="261"/>
      <c r="T39" s="560" t="s">
        <v>1054</v>
      </c>
      <c r="U39" s="266"/>
      <c r="V39" s="266"/>
      <c r="W39" s="334"/>
      <c r="X39" s="425">
        <f>W38+W35</f>
        <v>4518700</v>
      </c>
    </row>
    <row r="40" spans="1:24" s="264" customFormat="1">
      <c r="A40" s="263"/>
      <c r="B40" s="261" t="s">
        <v>730</v>
      </c>
      <c r="C40" s="566"/>
      <c r="D40" s="372">
        <f>Input!$HL$23</f>
        <v>0</v>
      </c>
      <c r="E40" s="372">
        <f>Input!$HM$23</f>
        <v>0</v>
      </c>
      <c r="F40" s="372">
        <f>Input!$HN$23</f>
        <v>0</v>
      </c>
      <c r="G40" s="372">
        <f>Input!$HO$23</f>
        <v>0</v>
      </c>
      <c r="H40" s="372">
        <f>Input!$HP$23</f>
        <v>0</v>
      </c>
      <c r="I40" s="372">
        <f>Input!$HQ$23</f>
        <v>0</v>
      </c>
      <c r="J40" s="372">
        <f>Input!$HR$23</f>
        <v>0</v>
      </c>
      <c r="K40" s="372">
        <f>Input!$HS$23</f>
        <v>0</v>
      </c>
      <c r="L40" s="372">
        <f>Input!$HT$23</f>
        <v>0</v>
      </c>
      <c r="M40" s="567">
        <f t="shared" si="6"/>
        <v>0</v>
      </c>
      <c r="O40" s="261"/>
      <c r="T40" s="560"/>
      <c r="U40" s="261"/>
      <c r="V40" s="261"/>
      <c r="W40" s="261"/>
      <c r="X40" s="655"/>
    </row>
    <row r="41" spans="1:24" s="264" customFormat="1">
      <c r="A41" s="263"/>
      <c r="B41" s="261" t="s">
        <v>2133</v>
      </c>
      <c r="C41" s="566"/>
      <c r="D41" s="372">
        <f>Input!$HU$23</f>
        <v>-55</v>
      </c>
      <c r="E41" s="372">
        <f>Input!$HV$23</f>
        <v>-888978</v>
      </c>
      <c r="F41" s="372">
        <f>Input!$HW$23</f>
        <v>-227545</v>
      </c>
      <c r="G41" s="372">
        <f>Input!$HX$23</f>
        <v>0</v>
      </c>
      <c r="H41" s="372">
        <f>Input!$HY$23</f>
        <v>0</v>
      </c>
      <c r="I41" s="372">
        <f>Input!$HZ$23</f>
        <v>0</v>
      </c>
      <c r="J41" s="372">
        <f>Input!$IA$23</f>
        <v>0</v>
      </c>
      <c r="K41" s="372">
        <f>Input!$IB$23</f>
        <v>0</v>
      </c>
      <c r="L41" s="372">
        <f>Input!$IC$23</f>
        <v>0</v>
      </c>
      <c r="M41" s="567">
        <f t="shared" si="6"/>
        <v>-1116578</v>
      </c>
      <c r="O41"/>
      <c r="P41"/>
      <c r="Q41"/>
      <c r="R41"/>
      <c r="S41"/>
      <c r="T41" s="560" t="s">
        <v>1104</v>
      </c>
      <c r="U41" s="266"/>
      <c r="V41" s="266"/>
      <c r="W41" s="330">
        <f>(M21+M34)*-1</f>
        <v>0</v>
      </c>
      <c r="X41" s="425"/>
    </row>
    <row r="42" spans="1:24" s="264" customFormat="1">
      <c r="A42" s="263"/>
      <c r="B42" s="575" t="s">
        <v>40</v>
      </c>
      <c r="C42" s="563"/>
      <c r="D42" s="374">
        <f t="shared" ref="D42:L42" si="7">SUM(D36:D41)</f>
        <v>180</v>
      </c>
      <c r="E42" s="374">
        <f t="shared" si="7"/>
        <v>2976893</v>
      </c>
      <c r="F42" s="374">
        <f t="shared" si="7"/>
        <v>735402</v>
      </c>
      <c r="G42" s="374">
        <f t="shared" si="7"/>
        <v>0</v>
      </c>
      <c r="H42" s="374">
        <f t="shared" si="7"/>
        <v>0</v>
      </c>
      <c r="I42" s="374">
        <f t="shared" si="7"/>
        <v>0</v>
      </c>
      <c r="J42" s="374">
        <f t="shared" si="7"/>
        <v>0</v>
      </c>
      <c r="K42" s="374">
        <f t="shared" si="7"/>
        <v>0</v>
      </c>
      <c r="L42" s="374">
        <f t="shared" si="7"/>
        <v>0</v>
      </c>
      <c r="M42" s="374">
        <f t="shared" si="6"/>
        <v>3712475</v>
      </c>
      <c r="O42"/>
      <c r="P42"/>
      <c r="Q42"/>
      <c r="R42"/>
      <c r="S42"/>
      <c r="T42" s="560" t="s">
        <v>1107</v>
      </c>
      <c r="U42" s="266"/>
      <c r="V42" s="266"/>
      <c r="W42" s="430">
        <f>(M22+M35)*-1</f>
        <v>0</v>
      </c>
      <c r="X42" s="425"/>
    </row>
    <row r="43" spans="1:24" s="264" customFormat="1">
      <c r="A43" s="263"/>
      <c r="B43" s="261"/>
      <c r="C43" s="566"/>
      <c r="D43" s="566"/>
      <c r="E43" s="566"/>
      <c r="F43" s="566"/>
      <c r="G43" s="566"/>
      <c r="H43" s="566"/>
      <c r="I43" s="566"/>
      <c r="J43" s="566"/>
      <c r="K43" s="566"/>
      <c r="L43" s="566"/>
      <c r="M43" s="567"/>
      <c r="O43"/>
      <c r="P43"/>
      <c r="Q43"/>
      <c r="R43"/>
      <c r="S43"/>
      <c r="T43" s="650" t="s">
        <v>1114</v>
      </c>
      <c r="U43" s="584"/>
      <c r="V43" s="584"/>
      <c r="W43" s="656">
        <f>SUM(W41:W42)</f>
        <v>0</v>
      </c>
      <c r="X43" s="655"/>
    </row>
    <row r="44" spans="1:24" s="264" customFormat="1" ht="13.5" customHeight="1">
      <c r="A44" s="263"/>
      <c r="B44" s="575" t="s">
        <v>1055</v>
      </c>
      <c r="C44" s="563"/>
      <c r="D44" s="374">
        <f t="shared" ref="D44:L44" si="8">D42+D29</f>
        <v>1905223</v>
      </c>
      <c r="E44" s="374">
        <f t="shared" si="8"/>
        <v>8720896</v>
      </c>
      <c r="F44" s="374">
        <f t="shared" si="8"/>
        <v>735402</v>
      </c>
      <c r="G44" s="374">
        <f t="shared" si="8"/>
        <v>0</v>
      </c>
      <c r="H44" s="374">
        <f t="shared" si="8"/>
        <v>0</v>
      </c>
      <c r="I44" s="374">
        <f t="shared" si="8"/>
        <v>0</v>
      </c>
      <c r="J44" s="374">
        <f t="shared" si="8"/>
        <v>0</v>
      </c>
      <c r="K44" s="374">
        <f t="shared" si="8"/>
        <v>0</v>
      </c>
      <c r="L44" s="374">
        <f t="shared" si="8"/>
        <v>0</v>
      </c>
      <c r="M44" s="374">
        <f>D44+E44+F44+G44+H44+I44+J44+K44+L44</f>
        <v>11361521</v>
      </c>
      <c r="O44"/>
      <c r="P44"/>
      <c r="Q44"/>
      <c r="R44"/>
      <c r="S44"/>
      <c r="T44" s="560"/>
      <c r="U44" s="266"/>
      <c r="V44" s="266"/>
      <c r="W44" s="276"/>
      <c r="X44" s="425"/>
    </row>
    <row r="45" spans="1:24">
      <c r="A45" s="184">
        <v>28</v>
      </c>
      <c r="B45" s="160"/>
      <c r="C45" s="160"/>
      <c r="D45" s="373"/>
      <c r="E45" s="373"/>
      <c r="F45" s="373"/>
      <c r="G45" s="373"/>
      <c r="H45" s="373"/>
      <c r="I45" s="373"/>
      <c r="J45" s="373"/>
      <c r="K45" s="373"/>
      <c r="L45" s="373"/>
      <c r="M45" s="373"/>
      <c r="N45" s="160"/>
      <c r="O45"/>
      <c r="P45"/>
      <c r="Q45"/>
      <c r="R45"/>
      <c r="S45"/>
      <c r="T45" s="560" t="s">
        <v>1110</v>
      </c>
      <c r="U45" s="266"/>
      <c r="V45" s="266"/>
      <c r="W45" s="334">
        <f>(M24+M37)*-1</f>
        <v>0</v>
      </c>
      <c r="X45" s="425"/>
    </row>
    <row r="46" spans="1:24">
      <c r="A46" s="184">
        <v>29</v>
      </c>
      <c r="B46" s="172" t="s">
        <v>6</v>
      </c>
      <c r="C46" s="172"/>
      <c r="D46" s="373"/>
      <c r="E46" s="373"/>
      <c r="F46" s="373"/>
      <c r="G46" s="373"/>
      <c r="H46" s="373"/>
      <c r="I46" s="373"/>
      <c r="J46" s="373"/>
      <c r="K46" s="373"/>
      <c r="L46" s="373"/>
      <c r="M46" s="373"/>
      <c r="N46" s="160"/>
      <c r="O46"/>
      <c r="P46"/>
      <c r="Q46"/>
      <c r="R46"/>
      <c r="S46"/>
      <c r="T46" s="560" t="s">
        <v>1112</v>
      </c>
      <c r="U46" s="266"/>
      <c r="V46" s="266"/>
      <c r="W46" s="430">
        <f>(M25+M38)*-1</f>
        <v>0</v>
      </c>
      <c r="X46" s="425"/>
    </row>
    <row r="47" spans="1:24">
      <c r="A47" s="184">
        <v>30</v>
      </c>
      <c r="B47" s="176" t="s">
        <v>7</v>
      </c>
      <c r="C47" s="176"/>
      <c r="D47" s="375">
        <f>Input!$ID$23</f>
        <v>335153</v>
      </c>
      <c r="E47" s="375">
        <f>Input!$IE$23</f>
        <v>265724</v>
      </c>
      <c r="F47" s="375">
        <f>Input!$IF$23</f>
        <v>0</v>
      </c>
      <c r="G47" s="375">
        <f>Input!$IG$23</f>
        <v>9144253</v>
      </c>
      <c r="H47" s="375">
        <f>Input!$IH$23</f>
        <v>0</v>
      </c>
      <c r="I47" s="375">
        <f>Input!$II$23</f>
        <v>0</v>
      </c>
      <c r="J47" s="375">
        <f>Input!$IJ$23</f>
        <v>0</v>
      </c>
      <c r="K47" s="375">
        <f>Input!$IK$23</f>
        <v>0</v>
      </c>
      <c r="L47" s="375">
        <f>Input!$IL$23</f>
        <v>0</v>
      </c>
      <c r="M47" s="374">
        <f>D47+E47+F47+G47+H47+I47+J47+K47+L47</f>
        <v>9745130</v>
      </c>
      <c r="N47" s="160"/>
      <c r="O47"/>
      <c r="P47"/>
      <c r="Q47"/>
      <c r="R47"/>
      <c r="S47"/>
      <c r="T47" s="657" t="s">
        <v>1115</v>
      </c>
      <c r="U47" s="27"/>
      <c r="V47" s="27"/>
      <c r="W47" s="656">
        <f>SUM(W45:W46)</f>
        <v>0</v>
      </c>
      <c r="X47" s="655"/>
    </row>
    <row r="48" spans="1:24">
      <c r="A48" s="184">
        <v>31</v>
      </c>
      <c r="B48" s="160"/>
      <c r="C48" s="160"/>
      <c r="D48" s="373"/>
      <c r="E48" s="373"/>
      <c r="F48" s="373"/>
      <c r="G48" s="373"/>
      <c r="H48" s="373"/>
      <c r="I48" s="373"/>
      <c r="J48" s="373"/>
      <c r="K48" s="373"/>
      <c r="L48" s="373"/>
      <c r="M48" s="373"/>
      <c r="N48" s="160"/>
      <c r="O48"/>
      <c r="P48"/>
      <c r="Q48"/>
      <c r="R48"/>
      <c r="S48"/>
      <c r="T48" s="560"/>
      <c r="U48" s="261"/>
      <c r="V48" s="261"/>
      <c r="W48" s="261"/>
      <c r="X48" s="658">
        <f>W43-W47</f>
        <v>0</v>
      </c>
    </row>
    <row r="49" spans="1:28">
      <c r="A49" s="184">
        <v>32</v>
      </c>
      <c r="B49" s="172" t="s">
        <v>8</v>
      </c>
      <c r="C49" s="172"/>
      <c r="D49" s="373"/>
      <c r="E49" s="373"/>
      <c r="F49" s="373"/>
      <c r="G49" s="373"/>
      <c r="H49" s="373"/>
      <c r="I49" s="373"/>
      <c r="J49" s="373"/>
      <c r="K49" s="373"/>
      <c r="L49" s="373"/>
      <c r="M49" s="373"/>
      <c r="N49" s="160"/>
      <c r="O49" s="273"/>
      <c r="T49" s="579" t="s">
        <v>287</v>
      </c>
      <c r="U49" s="511"/>
      <c r="V49" s="580"/>
      <c r="W49" s="580"/>
      <c r="X49" s="574">
        <f>SUM(X23:X48)</f>
        <v>20165840</v>
      </c>
    </row>
    <row r="50" spans="1:28">
      <c r="A50" s="184">
        <v>33</v>
      </c>
      <c r="B50" s="160" t="s">
        <v>42</v>
      </c>
      <c r="C50" s="160"/>
      <c r="D50" s="372">
        <f>Input!$IM$23</f>
        <v>11999</v>
      </c>
      <c r="E50" s="372">
        <f>Input!$IN$23</f>
        <v>1082492</v>
      </c>
      <c r="F50" s="372">
        <f>Input!$IO$23</f>
        <v>100062</v>
      </c>
      <c r="G50" s="372">
        <f>Input!$IP$23</f>
        <v>100700</v>
      </c>
      <c r="H50" s="372">
        <f>Input!$IQ$23</f>
        <v>0</v>
      </c>
      <c r="I50" s="372">
        <f>Input!$IR$23</f>
        <v>1051</v>
      </c>
      <c r="J50" s="372">
        <f>Input!$IS$23</f>
        <v>0</v>
      </c>
      <c r="K50" s="372">
        <f>Input!$IT$23</f>
        <v>0</v>
      </c>
      <c r="L50" s="372">
        <f>Input!$IU$23</f>
        <v>0</v>
      </c>
      <c r="M50" s="373">
        <f t="shared" ref="M50:M57" si="9">D50+E50+F50+G50+H50+I50+J50+K50+L50</f>
        <v>1296304</v>
      </c>
      <c r="N50" s="160"/>
      <c r="O50" s="273"/>
      <c r="U50" s="275"/>
    </row>
    <row r="51" spans="1:28">
      <c r="A51" s="184">
        <v>34</v>
      </c>
      <c r="B51" s="160" t="s">
        <v>9</v>
      </c>
      <c r="C51" s="160"/>
      <c r="D51" s="372">
        <f>Input!$IV$23</f>
        <v>0</v>
      </c>
      <c r="E51" s="372">
        <f>Input!$IW$23</f>
        <v>0</v>
      </c>
      <c r="F51" s="372">
        <f>Input!$IX$23</f>
        <v>0</v>
      </c>
      <c r="G51" s="372">
        <f>Input!$IY$23</f>
        <v>0</v>
      </c>
      <c r="H51" s="372">
        <f>Input!$IZ$23</f>
        <v>0</v>
      </c>
      <c r="I51" s="372">
        <f>Input!$JA$23</f>
        <v>0</v>
      </c>
      <c r="J51" s="372">
        <f>Input!$JB$23</f>
        <v>0</v>
      </c>
      <c r="K51" s="372">
        <f>Input!$JC$23</f>
        <v>0</v>
      </c>
      <c r="L51" s="372">
        <f>Input!$JD$23</f>
        <v>0</v>
      </c>
      <c r="M51" s="376">
        <f t="shared" si="9"/>
        <v>0</v>
      </c>
      <c r="N51" s="160"/>
      <c r="Y51" s="277"/>
    </row>
    <row r="52" spans="1:28">
      <c r="A52" s="184">
        <v>35</v>
      </c>
      <c r="B52" s="160" t="s">
        <v>10</v>
      </c>
      <c r="C52" s="160"/>
      <c r="D52" s="372">
        <f>Input!$JE$23</f>
        <v>0</v>
      </c>
      <c r="E52" s="372">
        <f>Input!$JF$23</f>
        <v>50</v>
      </c>
      <c r="F52" s="372">
        <f>Input!$JG$23</f>
        <v>372</v>
      </c>
      <c r="G52" s="372">
        <f>Input!$JH$23</f>
        <v>180717</v>
      </c>
      <c r="H52" s="372">
        <f>Input!$JI$23</f>
        <v>0</v>
      </c>
      <c r="I52" s="372">
        <f>Input!$JJ$23</f>
        <v>0</v>
      </c>
      <c r="J52" s="372">
        <f>Input!$JK$23</f>
        <v>0</v>
      </c>
      <c r="K52" s="372">
        <f>Input!$JL$23</f>
        <v>0</v>
      </c>
      <c r="L52" s="372">
        <f>Input!$JM$23</f>
        <v>0</v>
      </c>
      <c r="M52" s="373">
        <f t="shared" si="9"/>
        <v>181139</v>
      </c>
      <c r="N52" s="160"/>
      <c r="O52" s="273"/>
      <c r="P52" s="278"/>
    </row>
    <row r="53" spans="1:28">
      <c r="A53" s="184">
        <v>36</v>
      </c>
      <c r="B53" s="160" t="s">
        <v>11</v>
      </c>
      <c r="C53" s="160"/>
      <c r="D53" s="372">
        <f>Input!$JN$23</f>
        <v>0</v>
      </c>
      <c r="E53" s="372">
        <f>Input!$JO$23</f>
        <v>2082268</v>
      </c>
      <c r="F53" s="372">
        <f>Input!$JP$23</f>
        <v>0</v>
      </c>
      <c r="G53" s="372">
        <f>Input!$JQ$23</f>
        <v>6700</v>
      </c>
      <c r="H53" s="372">
        <f>Input!$JR$23</f>
        <v>0</v>
      </c>
      <c r="I53" s="372">
        <f>Input!$JS$23</f>
        <v>0</v>
      </c>
      <c r="J53" s="372">
        <f>Input!$JT$23</f>
        <v>0</v>
      </c>
      <c r="K53" s="372">
        <f>Input!$JU$23</f>
        <v>0</v>
      </c>
      <c r="L53" s="372">
        <f>Input!$JV$23</f>
        <v>0</v>
      </c>
      <c r="M53" s="373">
        <f t="shared" si="9"/>
        <v>2088968</v>
      </c>
      <c r="N53" s="160"/>
      <c r="O53" s="273"/>
    </row>
    <row r="54" spans="1:28" ht="13.5" thickBot="1">
      <c r="A54" s="184">
        <v>37</v>
      </c>
      <c r="B54" s="177" t="s">
        <v>2134</v>
      </c>
      <c r="C54" s="177"/>
      <c r="D54" s="372">
        <f>Input!$JW$23</f>
        <v>0</v>
      </c>
      <c r="E54" s="372">
        <f>Input!$JX$23</f>
        <v>0</v>
      </c>
      <c r="F54" s="372">
        <f>Input!$JY$23</f>
        <v>1485345</v>
      </c>
      <c r="G54" s="372">
        <f>Input!$JZ$23</f>
        <v>0</v>
      </c>
      <c r="H54" s="372">
        <f>Input!$KA$23</f>
        <v>0</v>
      </c>
      <c r="I54" s="372">
        <f>Input!$KB$23</f>
        <v>0</v>
      </c>
      <c r="J54" s="372">
        <f>Input!$KC$23</f>
        <v>0</v>
      </c>
      <c r="K54" s="372">
        <f>Input!$KD$23</f>
        <v>0</v>
      </c>
      <c r="L54" s="372">
        <f>Input!$KE$23</f>
        <v>0</v>
      </c>
      <c r="M54" s="373">
        <f t="shared" si="9"/>
        <v>1485345</v>
      </c>
      <c r="N54" s="160"/>
      <c r="O54" s="273"/>
    </row>
    <row r="55" spans="1:28" ht="14.25" thickTop="1" thickBot="1">
      <c r="A55" s="184">
        <v>38</v>
      </c>
      <c r="B55" s="160" t="s">
        <v>43</v>
      </c>
      <c r="C55" s="160"/>
      <c r="D55" s="372">
        <f>Input!$KF$23</f>
        <v>0</v>
      </c>
      <c r="E55" s="372">
        <f>Input!$KG$23</f>
        <v>2969389</v>
      </c>
      <c r="F55" s="372">
        <f>Input!$KH$23</f>
        <v>62411</v>
      </c>
      <c r="G55" s="372">
        <f>Input!$KI$23</f>
        <v>-1499368</v>
      </c>
      <c r="H55" s="372">
        <f>Input!$KJ$23</f>
        <v>1040</v>
      </c>
      <c r="I55" s="372">
        <f>Input!$KK$23</f>
        <v>176673</v>
      </c>
      <c r="J55" s="372">
        <f>Input!$KL$23</f>
        <v>0</v>
      </c>
      <c r="K55" s="372">
        <f>Input!$KM$23</f>
        <v>0</v>
      </c>
      <c r="L55" s="372">
        <f>Input!$KN$23</f>
        <v>-747093</v>
      </c>
      <c r="M55" s="373">
        <f t="shared" si="9"/>
        <v>963052</v>
      </c>
      <c r="N55" s="160"/>
      <c r="O55" s="1616" t="s">
        <v>251</v>
      </c>
      <c r="P55" s="1617"/>
      <c r="Q55" s="1617"/>
      <c r="R55" s="1618"/>
      <c r="S55" s="437"/>
      <c r="T55" s="1619" t="s">
        <v>252</v>
      </c>
      <c r="U55" s="1620"/>
      <c r="V55" s="1620"/>
      <c r="W55" s="1620"/>
      <c r="X55" s="1621"/>
      <c r="Y55" s="320"/>
      <c r="Z55" s="1749" t="s">
        <v>1301</v>
      </c>
      <c r="AA55" s="1750"/>
      <c r="AB55" s="1751"/>
    </row>
    <row r="56" spans="1:28" ht="13.5" customHeight="1" thickTop="1">
      <c r="A56" s="184">
        <v>39</v>
      </c>
      <c r="B56" s="176" t="s">
        <v>3</v>
      </c>
      <c r="C56" s="176"/>
      <c r="D56" s="374">
        <f>SUM(D50:D55)</f>
        <v>11999</v>
      </c>
      <c r="E56" s="374">
        <f t="shared" ref="E56:L56" si="10">SUM(E50:E55)</f>
        <v>6134199</v>
      </c>
      <c r="F56" s="374">
        <f t="shared" si="10"/>
        <v>1648190</v>
      </c>
      <c r="G56" s="374">
        <f t="shared" si="10"/>
        <v>-1211251</v>
      </c>
      <c r="H56" s="374">
        <f t="shared" si="10"/>
        <v>1040</v>
      </c>
      <c r="I56" s="374">
        <f t="shared" si="10"/>
        <v>177724</v>
      </c>
      <c r="J56" s="374">
        <f t="shared" si="10"/>
        <v>0</v>
      </c>
      <c r="K56" s="374">
        <f t="shared" si="10"/>
        <v>0</v>
      </c>
      <c r="L56" s="374">
        <f t="shared" si="10"/>
        <v>-747093</v>
      </c>
      <c r="M56" s="374">
        <f t="shared" si="9"/>
        <v>6014808</v>
      </c>
      <c r="N56" s="160"/>
      <c r="O56" s="1622" t="s">
        <v>1135</v>
      </c>
      <c r="P56" s="1625" t="s">
        <v>254</v>
      </c>
      <c r="Q56" s="1625" t="s">
        <v>292</v>
      </c>
      <c r="R56" s="1628" t="s">
        <v>1063</v>
      </c>
      <c r="S56" s="280"/>
      <c r="T56" s="1739" t="s">
        <v>1136</v>
      </c>
      <c r="U56" s="1637" t="s">
        <v>254</v>
      </c>
      <c r="V56" s="1634" t="s">
        <v>256</v>
      </c>
      <c r="W56" s="1637" t="s">
        <v>257</v>
      </c>
      <c r="X56" s="1638" t="s">
        <v>1064</v>
      </c>
      <c r="Z56" s="1754" t="s">
        <v>1302</v>
      </c>
      <c r="AA56" s="1747" t="s">
        <v>1303</v>
      </c>
      <c r="AB56" s="1752" t="s">
        <v>238</v>
      </c>
    </row>
    <row r="57" spans="1:28">
      <c r="A57" s="184">
        <v>40</v>
      </c>
      <c r="B57" s="162" t="s">
        <v>68</v>
      </c>
      <c r="C57" s="162"/>
      <c r="D57" s="374">
        <f>D15+D44+D47+D56</f>
        <v>30803406</v>
      </c>
      <c r="E57" s="374">
        <f t="shared" ref="E57:L57" si="11">E15+E44+E47+E56</f>
        <v>15134843</v>
      </c>
      <c r="F57" s="374">
        <f t="shared" si="11"/>
        <v>2383592</v>
      </c>
      <c r="G57" s="374">
        <f t="shared" si="11"/>
        <v>7944980</v>
      </c>
      <c r="H57" s="374">
        <f t="shared" si="11"/>
        <v>1040</v>
      </c>
      <c r="I57" s="374">
        <f t="shared" si="11"/>
        <v>177724</v>
      </c>
      <c r="J57" s="374">
        <f t="shared" si="11"/>
        <v>0</v>
      </c>
      <c r="K57" s="374">
        <f t="shared" si="11"/>
        <v>0</v>
      </c>
      <c r="L57" s="374">
        <f t="shared" si="11"/>
        <v>-747093</v>
      </c>
      <c r="M57" s="374">
        <f t="shared" si="9"/>
        <v>55698492</v>
      </c>
      <c r="N57" s="160"/>
      <c r="O57" s="1623"/>
      <c r="P57" s="1626"/>
      <c r="Q57" s="1626"/>
      <c r="R57" s="1629"/>
      <c r="S57" s="280"/>
      <c r="T57" s="1740"/>
      <c r="U57" s="1626"/>
      <c r="V57" s="1635"/>
      <c r="W57" s="1626"/>
      <c r="X57" s="1639"/>
      <c r="Z57" s="1755"/>
      <c r="AA57" s="1747"/>
      <c r="AB57" s="1752"/>
    </row>
    <row r="58" spans="1:28">
      <c r="A58" s="184">
        <v>41</v>
      </c>
      <c r="B58" s="160"/>
      <c r="C58" s="160"/>
      <c r="D58" s="373"/>
      <c r="E58" s="373"/>
      <c r="F58" s="373"/>
      <c r="G58" s="373"/>
      <c r="H58" s="373"/>
      <c r="I58" s="373"/>
      <c r="J58" s="373"/>
      <c r="K58" s="373"/>
      <c r="L58" s="373"/>
      <c r="M58" s="373"/>
      <c r="N58" s="160"/>
      <c r="O58" s="1623"/>
      <c r="P58" s="1626"/>
      <c r="Q58" s="1626"/>
      <c r="R58" s="1629"/>
      <c r="S58" s="280"/>
      <c r="T58" s="1740"/>
      <c r="U58" s="1626"/>
      <c r="V58" s="1635"/>
      <c r="W58" s="1626"/>
      <c r="X58" s="1639"/>
      <c r="Z58" s="1755"/>
      <c r="AA58" s="1747"/>
      <c r="AB58" s="1752"/>
    </row>
    <row r="59" spans="1:28" ht="14.25" customHeight="1">
      <c r="A59" s="184">
        <v>42</v>
      </c>
      <c r="B59" s="174" t="s">
        <v>72</v>
      </c>
      <c r="C59" s="174"/>
      <c r="D59" s="377"/>
      <c r="E59" s="377"/>
      <c r="F59" s="377"/>
      <c r="G59" s="1746" t="str">
        <f>IF(OR(P105&gt;0,P106&lt;&gt;0,P107&lt;&gt;0),"Do not Enter Cents - Whole Dollars Only","")</f>
        <v/>
      </c>
      <c r="H59" s="1746"/>
      <c r="I59" s="1746"/>
      <c r="J59" s="1746"/>
      <c r="K59" s="1746"/>
      <c r="L59" s="377"/>
      <c r="M59" s="377"/>
      <c r="N59" s="160"/>
      <c r="O59" s="1624"/>
      <c r="P59" s="1627"/>
      <c r="Q59" s="1627"/>
      <c r="R59" s="1630"/>
      <c r="S59" s="280"/>
      <c r="T59" s="1741"/>
      <c r="U59" s="1627"/>
      <c r="V59" s="1636"/>
      <c r="W59" s="1627"/>
      <c r="X59" s="1640"/>
      <c r="Z59" s="1756"/>
      <c r="AA59" s="1748"/>
      <c r="AB59" s="1753"/>
    </row>
    <row r="60" spans="1:28" ht="13.5" thickBot="1">
      <c r="A60" s="184">
        <v>43</v>
      </c>
      <c r="B60" s="160" t="s">
        <v>14</v>
      </c>
      <c r="C60" s="160"/>
      <c r="D60" s="372">
        <f>Input!$KO$23</f>
        <v>11963940</v>
      </c>
      <c r="E60" s="372">
        <f>Input!$KP$23</f>
        <v>3746707</v>
      </c>
      <c r="F60" s="372">
        <f>Input!$KQ$23</f>
        <v>0</v>
      </c>
      <c r="G60" s="372">
        <f>Input!$KR$23</f>
        <v>3250</v>
      </c>
      <c r="H60" s="372">
        <f>Input!$KS$23</f>
        <v>0</v>
      </c>
      <c r="I60" s="372">
        <f>Input!$KT$23</f>
        <v>0</v>
      </c>
      <c r="J60" s="372">
        <f>Input!$KU$23</f>
        <v>0</v>
      </c>
      <c r="K60" s="372">
        <f>Input!$KV$23</f>
        <v>0</v>
      </c>
      <c r="L60" s="372">
        <f>Input!$KW$23</f>
        <v>0</v>
      </c>
      <c r="M60" s="373">
        <f t="shared" ref="M60:M71" si="12">D60+E60+F60+G60+H60+I60+J60+K60+L60</f>
        <v>15713897</v>
      </c>
      <c r="N60" s="160"/>
      <c r="O60" s="282">
        <f>D60+E60+G60+J60</f>
        <v>15713897</v>
      </c>
      <c r="P60" s="518">
        <f>Input!$SS$23</f>
        <v>431314</v>
      </c>
      <c r="Q60" s="438" t="s">
        <v>259</v>
      </c>
      <c r="R60" s="284">
        <f>SUM(O60:P60)</f>
        <v>16145211</v>
      </c>
      <c r="S60" s="439"/>
      <c r="T60" s="286">
        <f t="shared" ref="T60:T67" si="13">D60+E60+G60</f>
        <v>15713897</v>
      </c>
      <c r="U60" s="287">
        <f t="shared" ref="U60:U67" si="14">P60</f>
        <v>431314</v>
      </c>
      <c r="V60" s="289">
        <f>Input!$TC$23</f>
        <v>0</v>
      </c>
      <c r="W60" s="289">
        <f>Input!$TK$23</f>
        <v>0</v>
      </c>
      <c r="X60" s="290">
        <f t="shared" ref="X60:X66" si="15">T60+U60-V60-W60</f>
        <v>16145211</v>
      </c>
      <c r="Z60" s="292" t="s">
        <v>14</v>
      </c>
      <c r="AA60" s="520">
        <f>Input!$TS$23</f>
        <v>15713897</v>
      </c>
      <c r="AB60" s="293">
        <f t="shared" ref="AB60:AB68" si="16">AA60-M60</f>
        <v>0</v>
      </c>
    </row>
    <row r="61" spans="1:28" ht="14.25" thickTop="1" thickBot="1">
      <c r="A61" s="184">
        <v>44</v>
      </c>
      <c r="B61" s="160" t="s">
        <v>15</v>
      </c>
      <c r="C61" s="160"/>
      <c r="D61" s="372">
        <f>Input!$KX$23</f>
        <v>766</v>
      </c>
      <c r="E61" s="372">
        <f>Input!$KY$23</f>
        <v>7635</v>
      </c>
      <c r="F61" s="372">
        <f>Input!$KZ$23</f>
        <v>0</v>
      </c>
      <c r="G61" s="372">
        <f>Input!$LA$23</f>
        <v>28497</v>
      </c>
      <c r="H61" s="372">
        <f>Input!$LB$23</f>
        <v>0</v>
      </c>
      <c r="I61" s="372">
        <f>Input!$LC$23</f>
        <v>0</v>
      </c>
      <c r="J61" s="372">
        <f>Input!$LD$23</f>
        <v>0</v>
      </c>
      <c r="K61" s="372">
        <f>Input!$LE$23</f>
        <v>0</v>
      </c>
      <c r="L61" s="372">
        <f>Input!$LF$23</f>
        <v>0</v>
      </c>
      <c r="M61" s="373">
        <f t="shared" si="12"/>
        <v>36898</v>
      </c>
      <c r="N61" s="160"/>
      <c r="O61" s="440">
        <f t="shared" ref="O61:O67" si="17">D61+E61+G61+J61</f>
        <v>36898</v>
      </c>
      <c r="P61" s="518">
        <f>Input!$ST$23</f>
        <v>0</v>
      </c>
      <c r="Q61" s="441" t="s">
        <v>259</v>
      </c>
      <c r="R61" s="295">
        <f>SUM(O61:P61)</f>
        <v>36898</v>
      </c>
      <c r="S61" s="442"/>
      <c r="T61" s="296">
        <f t="shared" si="13"/>
        <v>36898</v>
      </c>
      <c r="U61" s="297">
        <f t="shared" si="14"/>
        <v>0</v>
      </c>
      <c r="V61" s="299">
        <f>Input!$TD$23</f>
        <v>0</v>
      </c>
      <c r="W61" s="299">
        <f>Input!$TL$23</f>
        <v>0</v>
      </c>
      <c r="X61" s="300">
        <f t="shared" si="15"/>
        <v>36898</v>
      </c>
      <c r="Z61" s="292" t="s">
        <v>15</v>
      </c>
      <c r="AA61" s="518">
        <f>Input!$TT$23</f>
        <v>36898</v>
      </c>
      <c r="AB61" s="301">
        <f t="shared" si="16"/>
        <v>0</v>
      </c>
    </row>
    <row r="62" spans="1:28" ht="13.5" thickTop="1">
      <c r="A62" s="184">
        <v>45</v>
      </c>
      <c r="B62" s="160" t="s">
        <v>16</v>
      </c>
      <c r="C62" s="160"/>
      <c r="D62" s="372">
        <f>Input!$LG$23</f>
        <v>0</v>
      </c>
      <c r="E62" s="372">
        <f>Input!$LH$23</f>
        <v>0</v>
      </c>
      <c r="F62" s="372">
        <f>Input!$LI$23</f>
        <v>0</v>
      </c>
      <c r="G62" s="372">
        <f>Input!$LJ$23</f>
        <v>9026</v>
      </c>
      <c r="H62" s="372">
        <f>Input!$LK$23</f>
        <v>0</v>
      </c>
      <c r="I62" s="372">
        <f>Input!$LL$23</f>
        <v>0</v>
      </c>
      <c r="J62" s="372">
        <f>Input!$LM$23</f>
        <v>0</v>
      </c>
      <c r="K62" s="372">
        <f>Input!$LN$23</f>
        <v>0</v>
      </c>
      <c r="L62" s="372">
        <f>Input!$LO$23</f>
        <v>0</v>
      </c>
      <c r="M62" s="373">
        <f t="shared" si="12"/>
        <v>9026</v>
      </c>
      <c r="N62" s="160"/>
      <c r="O62" s="440">
        <f t="shared" si="17"/>
        <v>9026</v>
      </c>
      <c r="P62" s="518">
        <f>Input!$SU$23</f>
        <v>0</v>
      </c>
      <c r="Q62" s="441" t="s">
        <v>259</v>
      </c>
      <c r="R62" s="302" t="s">
        <v>259</v>
      </c>
      <c r="S62" s="442"/>
      <c r="T62" s="296">
        <f t="shared" si="13"/>
        <v>9026</v>
      </c>
      <c r="U62" s="297">
        <f t="shared" si="14"/>
        <v>0</v>
      </c>
      <c r="V62" s="299">
        <f>Input!$TE$23</f>
        <v>0</v>
      </c>
      <c r="W62" s="299">
        <f>Input!$TM$23</f>
        <v>0</v>
      </c>
      <c r="X62" s="303">
        <f t="shared" si="15"/>
        <v>9026</v>
      </c>
      <c r="Z62" s="292" t="s">
        <v>16</v>
      </c>
      <c r="AA62" s="518">
        <f>Input!$TU$23</f>
        <v>9026</v>
      </c>
      <c r="AB62" s="301">
        <f t="shared" si="16"/>
        <v>0</v>
      </c>
    </row>
    <row r="63" spans="1:28">
      <c r="A63" s="184">
        <v>46</v>
      </c>
      <c r="B63" s="160" t="s">
        <v>17</v>
      </c>
      <c r="C63" s="160"/>
      <c r="D63" s="372">
        <f>Input!$LP$23</f>
        <v>2264329</v>
      </c>
      <c r="E63" s="372">
        <f>Input!$LQ$23</f>
        <v>673445</v>
      </c>
      <c r="F63" s="372">
        <f>Input!$LR$23</f>
        <v>0</v>
      </c>
      <c r="G63" s="372">
        <f>Input!$LS$23</f>
        <v>1312500</v>
      </c>
      <c r="H63" s="372">
        <f>Input!$LT$23</f>
        <v>0</v>
      </c>
      <c r="I63" s="372">
        <f>Input!$LU$23</f>
        <v>0</v>
      </c>
      <c r="J63" s="372">
        <f>Input!$LV$23</f>
        <v>0</v>
      </c>
      <c r="K63" s="372">
        <f>Input!$LW$23</f>
        <v>0</v>
      </c>
      <c r="L63" s="372">
        <f>Input!$LX$23</f>
        <v>0</v>
      </c>
      <c r="M63" s="373">
        <f t="shared" si="12"/>
        <v>4250274</v>
      </c>
      <c r="N63" s="160"/>
      <c r="O63" s="440">
        <f t="shared" si="17"/>
        <v>4250274</v>
      </c>
      <c r="P63" s="518">
        <f>Input!$SV$23</f>
        <v>163136</v>
      </c>
      <c r="Q63" s="441" t="s">
        <v>259</v>
      </c>
      <c r="R63" s="295">
        <f t="shared" ref="R63:R65" si="18">SUM(O63:P63)</f>
        <v>4413410</v>
      </c>
      <c r="S63" s="442"/>
      <c r="T63" s="296">
        <f t="shared" si="13"/>
        <v>4250274</v>
      </c>
      <c r="U63" s="297">
        <f t="shared" si="14"/>
        <v>163136</v>
      </c>
      <c r="V63" s="299">
        <f>Input!$TF$23</f>
        <v>0</v>
      </c>
      <c r="W63" s="299">
        <f>Input!$TN$23</f>
        <v>0</v>
      </c>
      <c r="X63" s="303">
        <f t="shared" si="15"/>
        <v>4413410</v>
      </c>
      <c r="Z63" s="292" t="s">
        <v>17</v>
      </c>
      <c r="AA63" s="518">
        <f>Input!$TV$23</f>
        <v>4250274</v>
      </c>
      <c r="AB63" s="301">
        <f t="shared" si="16"/>
        <v>0</v>
      </c>
    </row>
    <row r="64" spans="1:28">
      <c r="A64" s="184">
        <v>47</v>
      </c>
      <c r="B64" s="160" t="s">
        <v>18</v>
      </c>
      <c r="C64" s="160"/>
      <c r="D64" s="372">
        <f>Input!$LY$23</f>
        <v>2092989</v>
      </c>
      <c r="E64" s="372">
        <f>Input!$LZ$23</f>
        <v>1639632</v>
      </c>
      <c r="F64" s="372">
        <f>Input!$MA$23</f>
        <v>0</v>
      </c>
      <c r="G64" s="372">
        <f>Input!$MB$23</f>
        <v>663908</v>
      </c>
      <c r="H64" s="372">
        <f>Input!$MC$23</f>
        <v>-5767</v>
      </c>
      <c r="I64" s="372">
        <f>Input!$MD$23</f>
        <v>0</v>
      </c>
      <c r="J64" s="372">
        <f>Input!$ME$23</f>
        <v>0</v>
      </c>
      <c r="K64" s="372">
        <f>Input!$MF$23</f>
        <v>0</v>
      </c>
      <c r="L64" s="372">
        <f>Input!$MG$23</f>
        <v>0</v>
      </c>
      <c r="M64" s="373">
        <f t="shared" si="12"/>
        <v>4390762</v>
      </c>
      <c r="N64" s="160"/>
      <c r="O64" s="440">
        <f t="shared" si="17"/>
        <v>4396529</v>
      </c>
      <c r="P64" s="518">
        <f>Input!$SW$23</f>
        <v>4067</v>
      </c>
      <c r="Q64" s="518">
        <f>Input!$TB$23</f>
        <v>0</v>
      </c>
      <c r="R64" s="295">
        <f>SUM(O64:P64)-Q64</f>
        <v>4400596</v>
      </c>
      <c r="S64" s="442"/>
      <c r="T64" s="296">
        <f t="shared" si="13"/>
        <v>4396529</v>
      </c>
      <c r="U64" s="297">
        <f t="shared" si="14"/>
        <v>4067</v>
      </c>
      <c r="V64" s="299">
        <f>Input!$TG$23</f>
        <v>0</v>
      </c>
      <c r="W64" s="299">
        <f>Input!$TO$23</f>
        <v>0</v>
      </c>
      <c r="X64" s="303">
        <f t="shared" si="15"/>
        <v>4400596</v>
      </c>
      <c r="Z64" s="292" t="s">
        <v>18</v>
      </c>
      <c r="AA64" s="518">
        <f>Input!$TW$23</f>
        <v>4390762</v>
      </c>
      <c r="AB64" s="301">
        <f t="shared" si="16"/>
        <v>0</v>
      </c>
    </row>
    <row r="65" spans="1:28">
      <c r="A65" s="184">
        <v>48</v>
      </c>
      <c r="B65" s="160" t="s">
        <v>19</v>
      </c>
      <c r="C65" s="160"/>
      <c r="D65" s="372">
        <f>Input!$MH$23</f>
        <v>2971893</v>
      </c>
      <c r="E65" s="372">
        <f>Input!$MI$23</f>
        <v>1865328</v>
      </c>
      <c r="F65" s="372">
        <f>Input!$MJ$23</f>
        <v>0</v>
      </c>
      <c r="G65" s="372">
        <f>Input!$MK$23</f>
        <v>-18436</v>
      </c>
      <c r="H65" s="372">
        <f>Input!$ML$23</f>
        <v>0</v>
      </c>
      <c r="I65" s="372">
        <f>Input!$MM$23</f>
        <v>0</v>
      </c>
      <c r="J65" s="372">
        <f>Input!$MN$23</f>
        <v>0</v>
      </c>
      <c r="K65" s="372">
        <f>Input!$MO$23</f>
        <v>0</v>
      </c>
      <c r="L65" s="372">
        <f>Input!$MP$23</f>
        <v>0</v>
      </c>
      <c r="M65" s="373">
        <f t="shared" si="12"/>
        <v>4818785</v>
      </c>
      <c r="N65" s="160"/>
      <c r="O65" s="440">
        <f t="shared" si="17"/>
        <v>4818785</v>
      </c>
      <c r="P65" s="518">
        <f>Input!$SX$23</f>
        <v>0</v>
      </c>
      <c r="Q65" s="441" t="s">
        <v>259</v>
      </c>
      <c r="R65" s="295">
        <f t="shared" si="18"/>
        <v>4818785</v>
      </c>
      <c r="S65" s="442"/>
      <c r="T65" s="296">
        <f t="shared" si="13"/>
        <v>4818785</v>
      </c>
      <c r="U65" s="297">
        <f t="shared" si="14"/>
        <v>0</v>
      </c>
      <c r="V65" s="299">
        <f>Input!$TH$23</f>
        <v>0</v>
      </c>
      <c r="W65" s="299">
        <f>Input!$TP$23</f>
        <v>0</v>
      </c>
      <c r="X65" s="303">
        <f t="shared" si="15"/>
        <v>4818785</v>
      </c>
      <c r="Z65" s="292" t="s">
        <v>19</v>
      </c>
      <c r="AA65" s="518">
        <f>Input!$TX$23</f>
        <v>4818785</v>
      </c>
      <c r="AB65" s="301">
        <f t="shared" si="16"/>
        <v>0</v>
      </c>
    </row>
    <row r="66" spans="1:28">
      <c r="A66" s="184">
        <v>49</v>
      </c>
      <c r="B66" s="160" t="s">
        <v>20</v>
      </c>
      <c r="C66" s="160"/>
      <c r="D66" s="372">
        <f>Input!$MQ$23</f>
        <v>1817999</v>
      </c>
      <c r="E66" s="372">
        <f>Input!$MR$23</f>
        <v>542027</v>
      </c>
      <c r="F66" s="372">
        <f>Input!$MS$23</f>
        <v>0</v>
      </c>
      <c r="G66" s="372">
        <f>Input!$MT$23</f>
        <v>0</v>
      </c>
      <c r="H66" s="372">
        <f>Input!$MU$23</f>
        <v>0</v>
      </c>
      <c r="I66" s="372">
        <f>Input!$MV$23</f>
        <v>0</v>
      </c>
      <c r="J66" s="372">
        <f>Input!$MW$23</f>
        <v>3478</v>
      </c>
      <c r="K66" s="372">
        <f>Input!$MX$23</f>
        <v>0</v>
      </c>
      <c r="L66" s="372">
        <f>Input!$MY$23</f>
        <v>0</v>
      </c>
      <c r="M66" s="373">
        <f t="shared" si="12"/>
        <v>2363504</v>
      </c>
      <c r="N66" s="160"/>
      <c r="O66" s="440">
        <f t="shared" si="17"/>
        <v>2363504</v>
      </c>
      <c r="P66" s="518">
        <f>Input!$SY$23</f>
        <v>0</v>
      </c>
      <c r="Q66" s="441" t="s">
        <v>259</v>
      </c>
      <c r="R66" s="304" t="s">
        <v>259</v>
      </c>
      <c r="S66" s="442"/>
      <c r="T66" s="296">
        <f t="shared" si="13"/>
        <v>2360026</v>
      </c>
      <c r="U66" s="297">
        <f t="shared" si="14"/>
        <v>0</v>
      </c>
      <c r="V66" s="299">
        <f>Input!$TI$23</f>
        <v>0</v>
      </c>
      <c r="W66" s="299">
        <f>Input!$TQ$23</f>
        <v>0</v>
      </c>
      <c r="X66" s="303">
        <f t="shared" si="15"/>
        <v>2360026</v>
      </c>
      <c r="Z66" s="292" t="s">
        <v>260</v>
      </c>
      <c r="AA66" s="518">
        <f>Input!$TY$23</f>
        <v>2363504</v>
      </c>
      <c r="AB66" s="301">
        <f t="shared" si="16"/>
        <v>0</v>
      </c>
    </row>
    <row r="67" spans="1:28" ht="13.5" thickBot="1">
      <c r="A67" s="184">
        <v>50</v>
      </c>
      <c r="B67" s="160" t="s">
        <v>21</v>
      </c>
      <c r="C67" s="160"/>
      <c r="D67" s="372">
        <f>Input!$MZ$23</f>
        <v>765320</v>
      </c>
      <c r="E67" s="372">
        <f>Input!$NA$23</f>
        <v>892462</v>
      </c>
      <c r="F67" s="372">
        <f>Input!$NB$23</f>
        <v>0</v>
      </c>
      <c r="G67" s="372">
        <f>Input!$NC$23</f>
        <v>3077743</v>
      </c>
      <c r="H67" s="372">
        <f>Input!$ND$23</f>
        <v>0</v>
      </c>
      <c r="I67" s="372">
        <f>Input!$NE$23</f>
        <v>0</v>
      </c>
      <c r="J67" s="372">
        <f>Input!$NF$23</f>
        <v>0</v>
      </c>
      <c r="K67" s="372">
        <f>Input!$NG$23</f>
        <v>0</v>
      </c>
      <c r="L67" s="372">
        <f>Input!$NH$23</f>
        <v>0</v>
      </c>
      <c r="M67" s="373">
        <f t="shared" si="12"/>
        <v>4735525</v>
      </c>
      <c r="N67" s="160"/>
      <c r="O67" s="440">
        <f t="shared" si="17"/>
        <v>4735525</v>
      </c>
      <c r="P67" s="518">
        <f>Input!$SZ$23</f>
        <v>0</v>
      </c>
      <c r="Q67" s="441" t="s">
        <v>259</v>
      </c>
      <c r="R67" s="304" t="s">
        <v>259</v>
      </c>
      <c r="S67" s="442"/>
      <c r="T67" s="306">
        <f t="shared" si="13"/>
        <v>4735525</v>
      </c>
      <c r="U67" s="307">
        <f t="shared" si="14"/>
        <v>0</v>
      </c>
      <c r="V67" s="308">
        <f>Input!$TJ$23</f>
        <v>0</v>
      </c>
      <c r="W67" s="308">
        <f>Input!$TR$23</f>
        <v>0</v>
      </c>
      <c r="X67" s="303">
        <f>U67+T67-V67-W67</f>
        <v>4735525</v>
      </c>
      <c r="Z67" s="292" t="s">
        <v>21</v>
      </c>
      <c r="AA67" s="518">
        <f>Input!$TZ$23</f>
        <v>4735525</v>
      </c>
      <c r="AB67" s="301">
        <f t="shared" si="16"/>
        <v>0</v>
      </c>
    </row>
    <row r="68" spans="1:28" ht="14.25" thickTop="1" thickBot="1">
      <c r="A68" s="184">
        <v>51</v>
      </c>
      <c r="B68" s="160" t="s">
        <v>2135</v>
      </c>
      <c r="C68" s="160"/>
      <c r="D68" s="372">
        <f>Input!$NI$23</f>
        <v>0</v>
      </c>
      <c r="E68" s="372">
        <f>Input!$NJ$23</f>
        <v>0</v>
      </c>
      <c r="F68" s="372">
        <f>Input!$NK$23</f>
        <v>2544788</v>
      </c>
      <c r="G68" s="372">
        <f>Input!$NL$23</f>
        <v>0</v>
      </c>
      <c r="H68" s="372">
        <f>Input!$NM$23</f>
        <v>0</v>
      </c>
      <c r="I68" s="372">
        <f>Input!$NN$23</f>
        <v>0</v>
      </c>
      <c r="J68" s="372">
        <f>Input!$NO$23</f>
        <v>0</v>
      </c>
      <c r="K68" s="372">
        <f>Input!$NP$23</f>
        <v>0</v>
      </c>
      <c r="L68" s="372">
        <f>Input!$NQ$23</f>
        <v>0</v>
      </c>
      <c r="M68" s="373">
        <f t="shared" si="12"/>
        <v>2544788</v>
      </c>
      <c r="N68" s="160"/>
      <c r="O68" s="309" t="s">
        <v>259</v>
      </c>
      <c r="P68" s="519">
        <f>Input!$TA$23</f>
        <v>0</v>
      </c>
      <c r="Q68" s="444" t="s">
        <v>259</v>
      </c>
      <c r="R68" s="311" t="s">
        <v>259</v>
      </c>
      <c r="S68" s="442"/>
      <c r="T68" s="305"/>
      <c r="U68" s="305"/>
      <c r="V68" s="312" t="s">
        <v>261</v>
      </c>
      <c r="W68" s="313"/>
      <c r="X68" s="314">
        <f>SUM(X60:X67)</f>
        <v>36919477</v>
      </c>
      <c r="Z68" s="292" t="s">
        <v>22</v>
      </c>
      <c r="AA68" s="518">
        <f>Input!$UA$23</f>
        <v>2544788</v>
      </c>
      <c r="AB68" s="301">
        <f t="shared" si="16"/>
        <v>0</v>
      </c>
    </row>
    <row r="69" spans="1:28" ht="14.25" thickTop="1" thickBot="1">
      <c r="A69" s="184">
        <v>52</v>
      </c>
      <c r="B69" s="161" t="s">
        <v>59</v>
      </c>
      <c r="C69" s="161"/>
      <c r="D69" s="372">
        <f>Input!$NR$23</f>
        <v>576320</v>
      </c>
      <c r="E69" s="372">
        <f>Input!$NS$23</f>
        <v>4372</v>
      </c>
      <c r="F69" s="372">
        <f>Input!$NT$23</f>
        <v>0</v>
      </c>
      <c r="G69" s="372">
        <f>Input!$NU$23</f>
        <v>17825</v>
      </c>
      <c r="H69" s="372">
        <f>Input!$NV$23</f>
        <v>0</v>
      </c>
      <c r="I69" s="372">
        <f>Input!$NW$23</f>
        <v>0</v>
      </c>
      <c r="J69" s="372">
        <f>Input!$NX$23</f>
        <v>0</v>
      </c>
      <c r="K69" s="372">
        <f>Input!$NY$23</f>
        <v>0</v>
      </c>
      <c r="L69" s="372">
        <f>Input!$NZ$23</f>
        <v>0</v>
      </c>
      <c r="M69" s="373">
        <f t="shared" si="12"/>
        <v>598517</v>
      </c>
      <c r="N69" s="160"/>
      <c r="O69" s="315"/>
      <c r="P69" s="316">
        <f>SUM(P60:P68)</f>
        <v>598517</v>
      </c>
      <c r="Q69" s="316">
        <f>SUM(Q64:Q68)</f>
        <v>0</v>
      </c>
      <c r="R69" s="317">
        <f>SUM(R60:R65)</f>
        <v>29814900</v>
      </c>
      <c r="S69" s="316"/>
      <c r="T69" s="305"/>
      <c r="U69" s="305"/>
      <c r="V69" s="305"/>
      <c r="W69" s="277"/>
      <c r="X69" s="277"/>
      <c r="Y69" s="277"/>
      <c r="Z69" s="292" t="s">
        <v>285</v>
      </c>
      <c r="AA69" s="445">
        <f>M88*-1</f>
        <v>8818600</v>
      </c>
      <c r="AB69" s="301">
        <f>AA69+M88</f>
        <v>0</v>
      </c>
    </row>
    <row r="70" spans="1:28" ht="14.25" thickTop="1" thickBot="1">
      <c r="A70" s="184">
        <v>53</v>
      </c>
      <c r="B70" s="178" t="s">
        <v>44</v>
      </c>
      <c r="C70" s="178"/>
      <c r="D70" s="378">
        <f>Input!$OA$23</f>
        <v>0</v>
      </c>
      <c r="E70" s="378">
        <f>Input!$OB$23</f>
        <v>105278</v>
      </c>
      <c r="F70" s="378">
        <f>Input!$OC$23</f>
        <v>0</v>
      </c>
      <c r="G70" s="378">
        <f>Input!$OD$23</f>
        <v>216734</v>
      </c>
      <c r="H70" s="378">
        <f>Input!$OE$23</f>
        <v>0</v>
      </c>
      <c r="I70" s="378">
        <f>Input!$OF$23</f>
        <v>0</v>
      </c>
      <c r="J70" s="378">
        <f>Input!$OG$23</f>
        <v>0</v>
      </c>
      <c r="K70" s="378">
        <f>Input!$OH$23</f>
        <v>0</v>
      </c>
      <c r="L70" s="378">
        <f>Input!$OI$23</f>
        <v>1816260</v>
      </c>
      <c r="M70" s="373">
        <f t="shared" si="12"/>
        <v>2138272</v>
      </c>
      <c r="N70" s="160"/>
      <c r="O70" s="320"/>
      <c r="P70" s="516" t="str">
        <f>IF(P69&lt;&gt;M69,"Out of Balance","Balanced")</f>
        <v>Balanced</v>
      </c>
      <c r="Q70" s="318"/>
      <c r="R70" s="305"/>
      <c r="S70" s="305"/>
      <c r="T70" s="305"/>
      <c r="U70" s="277"/>
      <c r="V70" s="1738" t="str">
        <f>IF(X68-INT(X68)&lt;&gt;0,"Whole Dollars Only","")</f>
        <v/>
      </c>
      <c r="W70" s="1738"/>
      <c r="X70" s="537"/>
      <c r="Y70" s="319"/>
      <c r="Z70" s="410" t="s">
        <v>262</v>
      </c>
      <c r="AA70" s="446" t="s">
        <v>259</v>
      </c>
      <c r="AB70" s="411">
        <f>M90</f>
        <v>0</v>
      </c>
    </row>
    <row r="71" spans="1:28" ht="13.5" thickTop="1">
      <c r="A71" s="184">
        <v>54</v>
      </c>
      <c r="B71" s="162" t="s">
        <v>69</v>
      </c>
      <c r="C71" s="162"/>
      <c r="D71" s="374">
        <f>SUM(D60:D70)</f>
        <v>22453556</v>
      </c>
      <c r="E71" s="374">
        <f>SUM(E60:E70)</f>
        <v>9476886</v>
      </c>
      <c r="F71" s="374">
        <f t="shared" ref="F71:L71" si="19">SUM(F60:F70)</f>
        <v>2544788</v>
      </c>
      <c r="G71" s="374">
        <f t="shared" si="19"/>
        <v>5311047</v>
      </c>
      <c r="H71" s="374">
        <f t="shared" si="19"/>
        <v>-5767</v>
      </c>
      <c r="I71" s="374">
        <f t="shared" si="19"/>
        <v>0</v>
      </c>
      <c r="J71" s="374">
        <f t="shared" si="19"/>
        <v>3478</v>
      </c>
      <c r="K71" s="374">
        <f t="shared" si="19"/>
        <v>0</v>
      </c>
      <c r="L71" s="374">
        <f t="shared" si="19"/>
        <v>1816260</v>
      </c>
      <c r="M71" s="374">
        <f t="shared" si="12"/>
        <v>41600248</v>
      </c>
      <c r="N71" s="160"/>
      <c r="O71" s="322"/>
      <c r="P71" s="1738" t="str">
        <f>IF(P69-INT(P69)&lt;&gt;0,"Whole Dollars Only","")</f>
        <v/>
      </c>
      <c r="Q71" s="1738"/>
      <c r="R71" s="323"/>
      <c r="S71" s="323"/>
      <c r="T71" s="323"/>
      <c r="U71" s="291"/>
      <c r="V71" s="324"/>
      <c r="W71" s="321"/>
      <c r="X71" s="321"/>
      <c r="Y71" s="321"/>
      <c r="Z71" s="318"/>
      <c r="AA71" s="325">
        <f>SUM(AA60:AA70)</f>
        <v>47682059</v>
      </c>
      <c r="AB71" s="326">
        <f>SUM(AB60:AB70)</f>
        <v>0</v>
      </c>
    </row>
    <row r="72" spans="1:28">
      <c r="A72" s="184">
        <v>55</v>
      </c>
      <c r="B72" s="160"/>
      <c r="C72" s="160"/>
      <c r="D72" s="373"/>
      <c r="E72" s="373"/>
      <c r="F72" s="373"/>
      <c r="G72" s="373"/>
      <c r="H72" s="373"/>
      <c r="I72" s="373"/>
      <c r="J72" s="373"/>
      <c r="K72" s="373"/>
      <c r="L72" s="373"/>
      <c r="M72" s="373"/>
      <c r="N72" s="160"/>
      <c r="O72" s="285"/>
      <c r="P72" s="318"/>
      <c r="Q72" s="321"/>
      <c r="R72" s="318"/>
      <c r="S72" s="318"/>
      <c r="T72" s="318"/>
      <c r="U72" s="327"/>
      <c r="V72" s="276"/>
      <c r="W72" s="328"/>
      <c r="X72" s="328"/>
      <c r="Y72" s="318"/>
      <c r="Z72" s="318"/>
      <c r="AA72" s="318"/>
      <c r="AB72" s="412" t="str">
        <f>IF(AB71&lt;&gt;0,"Out of Balance","Balanced")</f>
        <v>Balanced</v>
      </c>
    </row>
    <row r="73" spans="1:28">
      <c r="A73" s="184">
        <v>56</v>
      </c>
      <c r="B73" s="172" t="s">
        <v>23</v>
      </c>
      <c r="C73" s="172"/>
      <c r="D73" s="373"/>
      <c r="E73" s="373"/>
      <c r="F73" s="373"/>
      <c r="G73" s="373"/>
      <c r="H73" s="373"/>
      <c r="I73" s="373"/>
      <c r="J73" s="373"/>
      <c r="K73" s="373"/>
      <c r="L73" s="373"/>
      <c r="M73" s="373"/>
      <c r="N73" s="160"/>
      <c r="O73" s="329"/>
      <c r="Q73" s="330"/>
      <c r="R73" s="321"/>
      <c r="S73" s="321"/>
      <c r="T73" s="321"/>
      <c r="U73" s="327"/>
      <c r="V73" s="276"/>
      <c r="W73" s="331"/>
      <c r="X73" s="331"/>
      <c r="Y73" s="321"/>
      <c r="Z73" s="321"/>
      <c r="AA73" s="318"/>
      <c r="AB73" s="332"/>
    </row>
    <row r="74" spans="1:28" ht="13.5" thickBot="1">
      <c r="A74" s="184">
        <v>57</v>
      </c>
      <c r="B74" s="160" t="s">
        <v>60</v>
      </c>
      <c r="C74" s="160"/>
      <c r="D74" s="372">
        <f>Input!$OJ$23</f>
        <v>0</v>
      </c>
      <c r="E74" s="372">
        <f>Input!$OK$23</f>
        <v>0</v>
      </c>
      <c r="F74" s="372">
        <f>Input!$OL$23</f>
        <v>0</v>
      </c>
      <c r="G74" s="372">
        <f>Input!$OM$23</f>
        <v>0</v>
      </c>
      <c r="H74" s="372">
        <f>Input!$ON$23</f>
        <v>0</v>
      </c>
      <c r="I74" s="372">
        <f>Input!$OO$23</f>
        <v>0</v>
      </c>
      <c r="J74" s="372">
        <f>Input!$OP$23</f>
        <v>-1784827</v>
      </c>
      <c r="K74" s="372">
        <f>Input!$OQ$23</f>
        <v>0</v>
      </c>
      <c r="L74" s="372">
        <f>Input!$OR$23</f>
        <v>0</v>
      </c>
      <c r="M74" s="373">
        <f>D74+E74+F74+G74+H74+I74+J74+K74+L74</f>
        <v>-1784827</v>
      </c>
      <c r="N74" s="160"/>
      <c r="O74" s="329"/>
      <c r="Q74" s="330"/>
      <c r="R74" s="321"/>
      <c r="S74" s="321"/>
      <c r="T74" s="321"/>
      <c r="U74" s="327"/>
      <c r="V74" s="276"/>
      <c r="W74" s="331"/>
      <c r="X74" s="331"/>
      <c r="Y74" s="321"/>
      <c r="Z74" s="333"/>
      <c r="AA74" s="318"/>
      <c r="AB74" s="332"/>
    </row>
    <row r="75" spans="1:28" ht="14.25" thickTop="1" thickBot="1">
      <c r="A75" s="184">
        <v>58</v>
      </c>
      <c r="B75" s="171" t="s">
        <v>572</v>
      </c>
      <c r="C75" s="171"/>
      <c r="D75" s="372">
        <f>Input!$OS$23</f>
        <v>-1218860</v>
      </c>
      <c r="E75" s="372">
        <f>Input!$OT$23</f>
        <v>-2748224</v>
      </c>
      <c r="F75" s="372">
        <f>Input!$OU$23</f>
        <v>2157503</v>
      </c>
      <c r="G75" s="372">
        <f>Input!$OV$23</f>
        <v>1473011</v>
      </c>
      <c r="H75" s="372">
        <f>Input!$OW$23</f>
        <v>31674</v>
      </c>
      <c r="I75" s="372">
        <f>Input!$OX$23</f>
        <v>594718</v>
      </c>
      <c r="J75" s="372">
        <f>Input!$OY$23</f>
        <v>850220</v>
      </c>
      <c r="K75" s="372">
        <f>Input!$OZ$23</f>
        <v>0</v>
      </c>
      <c r="L75" s="372">
        <f>Input!$PA$23</f>
        <v>0</v>
      </c>
      <c r="M75" s="373">
        <f>D75+E75+F75+G75+H75+I75+J75+K75+L75</f>
        <v>1140042</v>
      </c>
      <c r="N75" s="160"/>
      <c r="O75" s="1723" t="str">
        <f>IF(M85&lt;0,"Footnote 11 is N/A - No Data Entry Required","Footnote 11")</f>
        <v>Footnote 11</v>
      </c>
      <c r="P75" s="1724"/>
      <c r="Q75" s="1724"/>
      <c r="R75" s="1725"/>
      <c r="S75" s="330"/>
      <c r="T75" s="330"/>
      <c r="U75" s="327"/>
      <c r="V75" s="276"/>
      <c r="W75" s="331"/>
      <c r="X75" s="331"/>
      <c r="Y75" s="328"/>
      <c r="Z75" s="328"/>
      <c r="AA75" s="276"/>
      <c r="AB75" s="276" t="s">
        <v>293</v>
      </c>
    </row>
    <row r="76" spans="1:28" ht="13.5" thickTop="1">
      <c r="A76" s="184">
        <v>59</v>
      </c>
      <c r="B76" s="160" t="s">
        <v>45</v>
      </c>
      <c r="C76" s="160"/>
      <c r="D76" s="372">
        <f>Input!$PB$23</f>
        <v>0</v>
      </c>
      <c r="E76" s="372">
        <f>Input!$PC$23</f>
        <v>0</v>
      </c>
      <c r="F76" s="372">
        <f>Input!$PD$23</f>
        <v>0</v>
      </c>
      <c r="G76" s="372">
        <f>Input!$PE$23</f>
        <v>0</v>
      </c>
      <c r="H76" s="372">
        <f>Input!$PF$23</f>
        <v>0</v>
      </c>
      <c r="I76" s="372">
        <f>Input!$PG$23</f>
        <v>0</v>
      </c>
      <c r="J76" s="372">
        <f>Input!$PH$23</f>
        <v>0</v>
      </c>
      <c r="K76" s="372">
        <f>Input!$PI$23</f>
        <v>0</v>
      </c>
      <c r="L76" s="372">
        <f>Input!$PJ$23</f>
        <v>0</v>
      </c>
      <c r="M76" s="373">
        <f>D76+E76+F76+G76+H76+I76+J76+K76+L76</f>
        <v>0</v>
      </c>
      <c r="N76" s="160"/>
      <c r="O76" s="487" t="s">
        <v>583</v>
      </c>
      <c r="P76" s="488"/>
      <c r="Q76" s="489"/>
      <c r="R76" s="490">
        <f>IF($M$85&lt;0,"N/A",$M$85)</f>
        <v>9535911</v>
      </c>
      <c r="S76" s="330"/>
      <c r="T76" s="330"/>
      <c r="U76" s="327"/>
      <c r="V76" s="276"/>
      <c r="W76" s="331"/>
      <c r="X76" s="331"/>
      <c r="Y76" s="331"/>
      <c r="Z76" s="331"/>
      <c r="AA76" s="276"/>
      <c r="AB76" s="276"/>
    </row>
    <row r="77" spans="1:28">
      <c r="A77" s="184">
        <v>60</v>
      </c>
      <c r="B77" s="160" t="s">
        <v>46</v>
      </c>
      <c r="C77" s="160"/>
      <c r="D77" s="372">
        <f>Input!$PK$23</f>
        <v>-7676599</v>
      </c>
      <c r="E77" s="372">
        <f>Input!$PL$23</f>
        <v>0</v>
      </c>
      <c r="F77" s="372">
        <f>Input!$PM$23</f>
        <v>-958150</v>
      </c>
      <c r="G77" s="372">
        <f>Input!$PN$23</f>
        <v>0</v>
      </c>
      <c r="H77" s="372">
        <f>Input!$PO$23</f>
        <v>0</v>
      </c>
      <c r="I77" s="372">
        <f>Input!$PP$23</f>
        <v>0</v>
      </c>
      <c r="J77" s="372">
        <f>Input!$PQ$23</f>
        <v>0</v>
      </c>
      <c r="K77" s="372">
        <f>Input!$PR$23</f>
        <v>0</v>
      </c>
      <c r="L77" s="372">
        <f>Input!$PS$23</f>
        <v>0</v>
      </c>
      <c r="M77" s="373">
        <f>D77+E77+F77+G77+H77+I77+J77+K77+L77</f>
        <v>-8634749</v>
      </c>
      <c r="N77" s="160"/>
      <c r="O77" s="491" t="s">
        <v>584</v>
      </c>
      <c r="P77" s="334"/>
      <c r="Q77" s="334"/>
      <c r="R77" s="521">
        <f>Input!$UB$23</f>
        <v>4818710</v>
      </c>
      <c r="S77" s="330"/>
      <c r="T77" s="330"/>
      <c r="U77" s="327"/>
      <c r="V77" s="276"/>
      <c r="W77" s="331"/>
      <c r="X77" s="331"/>
      <c r="Y77" s="331"/>
      <c r="Z77" s="331"/>
      <c r="AA77" s="276"/>
      <c r="AB77" s="276"/>
    </row>
    <row r="78" spans="1:28">
      <c r="A78" s="184">
        <v>61</v>
      </c>
      <c r="B78" s="162" t="s">
        <v>3</v>
      </c>
      <c r="C78" s="162"/>
      <c r="D78" s="374">
        <f t="shared" ref="D78:L78" si="20">SUM(D74:D77)</f>
        <v>-8895459</v>
      </c>
      <c r="E78" s="374">
        <f t="shared" si="20"/>
        <v>-2748224</v>
      </c>
      <c r="F78" s="374">
        <f t="shared" si="20"/>
        <v>1199353</v>
      </c>
      <c r="G78" s="374">
        <f t="shared" si="20"/>
        <v>1473011</v>
      </c>
      <c r="H78" s="374">
        <f t="shared" si="20"/>
        <v>31674</v>
      </c>
      <c r="I78" s="374">
        <f t="shared" si="20"/>
        <v>594718</v>
      </c>
      <c r="J78" s="374">
        <f t="shared" si="20"/>
        <v>-934607</v>
      </c>
      <c r="K78" s="374">
        <f t="shared" si="20"/>
        <v>0</v>
      </c>
      <c r="L78" s="374">
        <f t="shared" si="20"/>
        <v>0</v>
      </c>
      <c r="M78" s="374">
        <f>D78+E78+F78+G78+H78+I78+J78+K78+L78</f>
        <v>-9279534</v>
      </c>
      <c r="N78" s="160"/>
      <c r="O78" s="491" t="s">
        <v>585</v>
      </c>
      <c r="P78" s="276"/>
      <c r="Q78" s="334"/>
      <c r="R78" s="492">
        <f>IF($M$85&lt;0,"",$R$76-$R$77)</f>
        <v>4717201</v>
      </c>
      <c r="S78" s="330"/>
      <c r="T78" s="330"/>
      <c r="U78" s="327"/>
      <c r="V78" s="276"/>
      <c r="W78" s="331"/>
      <c r="X78" s="331"/>
      <c r="Y78" s="331"/>
      <c r="Z78" s="331"/>
      <c r="AA78" s="276"/>
      <c r="AB78" s="276"/>
    </row>
    <row r="79" spans="1:28">
      <c r="A79" s="184">
        <v>62</v>
      </c>
      <c r="B79" s="160"/>
      <c r="C79" s="160"/>
      <c r="D79" s="373"/>
      <c r="E79" s="373"/>
      <c r="F79" s="373"/>
      <c r="G79" s="373"/>
      <c r="H79" s="373"/>
      <c r="I79" s="373"/>
      <c r="J79" s="373"/>
      <c r="K79" s="373"/>
      <c r="L79" s="373"/>
      <c r="M79" s="373"/>
      <c r="N79" s="160"/>
      <c r="O79" s="493"/>
      <c r="P79" s="276"/>
      <c r="Q79" s="334"/>
      <c r="R79" s="494"/>
      <c r="S79" s="330"/>
      <c r="T79" s="330"/>
      <c r="U79" s="327"/>
      <c r="V79" s="276"/>
      <c r="W79" s="331"/>
      <c r="X79" s="331"/>
      <c r="Y79" s="331"/>
      <c r="Z79" s="331"/>
      <c r="AA79" s="276"/>
      <c r="AB79" s="276"/>
    </row>
    <row r="80" spans="1:28">
      <c r="A80" s="184">
        <v>63</v>
      </c>
      <c r="B80" s="172" t="s">
        <v>24</v>
      </c>
      <c r="C80" s="172"/>
      <c r="D80" s="373"/>
      <c r="E80" s="373"/>
      <c r="F80" s="373"/>
      <c r="G80" s="373"/>
      <c r="H80" s="373"/>
      <c r="I80" s="373"/>
      <c r="J80" s="373"/>
      <c r="K80" s="373"/>
      <c r="L80" s="373"/>
      <c r="M80" s="373"/>
      <c r="N80" s="160"/>
      <c r="O80" s="495" t="s">
        <v>586</v>
      </c>
      <c r="P80" s="276"/>
      <c r="Q80" s="334"/>
      <c r="R80" s="521">
        <f>Input!$UC$23</f>
        <v>4406832</v>
      </c>
      <c r="S80" s="330"/>
      <c r="T80" s="330"/>
      <c r="U80" s="334"/>
      <c r="V80" s="276"/>
      <c r="W80" s="328"/>
      <c r="X80" s="328"/>
      <c r="Y80" s="331"/>
      <c r="Z80" s="331"/>
      <c r="AA80" s="276"/>
      <c r="AB80" s="276"/>
    </row>
    <row r="81" spans="1:28">
      <c r="A81" s="184">
        <v>64</v>
      </c>
      <c r="B81" s="160" t="s">
        <v>47</v>
      </c>
      <c r="C81" s="160"/>
      <c r="D81" s="372">
        <f>Input!$PT$23</f>
        <v>0</v>
      </c>
      <c r="E81" s="372">
        <f>Input!$PU$23</f>
        <v>2766919</v>
      </c>
      <c r="F81" s="372">
        <f>Input!$PV$23</f>
        <v>216082</v>
      </c>
      <c r="G81" s="372">
        <f>Input!$PW$23</f>
        <v>-52437</v>
      </c>
      <c r="H81" s="372">
        <f>Input!$PX$23</f>
        <v>0</v>
      </c>
      <c r="I81" s="372">
        <f>Input!$PY$23</f>
        <v>1476268</v>
      </c>
      <c r="J81" s="372">
        <f>Input!$PZ$23</f>
        <v>0</v>
      </c>
      <c r="K81" s="372">
        <f>Input!$QA$23</f>
        <v>0</v>
      </c>
      <c r="L81" s="372">
        <f>Input!$QB$23</f>
        <v>0</v>
      </c>
      <c r="M81" s="373">
        <f>D81+E81+F81+G81+H81+I81+J81+K81+L81</f>
        <v>4406832</v>
      </c>
      <c r="N81" s="160"/>
      <c r="O81" s="496" t="s">
        <v>587</v>
      </c>
      <c r="P81" s="276"/>
      <c r="Q81" s="276"/>
      <c r="R81" s="497"/>
      <c r="S81" s="330"/>
      <c r="T81" s="330"/>
      <c r="W81" s="276"/>
      <c r="X81" s="276"/>
      <c r="Y81" s="331"/>
      <c r="Z81" s="331"/>
      <c r="AA81" s="276"/>
      <c r="AB81" s="276"/>
    </row>
    <row r="82" spans="1:28">
      <c r="A82" s="184">
        <v>65</v>
      </c>
      <c r="B82" s="160" t="s">
        <v>48</v>
      </c>
      <c r="C82" s="160"/>
      <c r="D82" s="372">
        <f>Input!$QC$23</f>
        <v>0</v>
      </c>
      <c r="E82" s="372">
        <f>Input!$QD$23</f>
        <v>0</v>
      </c>
      <c r="F82" s="372">
        <f>Input!$QE$23</f>
        <v>0</v>
      </c>
      <c r="G82" s="372">
        <f>Input!$QF$23</f>
        <v>0</v>
      </c>
      <c r="H82" s="372">
        <f>Input!$QG$23</f>
        <v>0</v>
      </c>
      <c r="I82" s="372">
        <f>Input!$QH$23</f>
        <v>310369</v>
      </c>
      <c r="J82" s="372">
        <f>Input!$QI$23</f>
        <v>0</v>
      </c>
      <c r="K82" s="372">
        <f>Input!$QJ$23</f>
        <v>0</v>
      </c>
      <c r="L82" s="372">
        <f>Input!$QK$23</f>
        <v>0</v>
      </c>
      <c r="M82" s="373">
        <f>D82+E82+F82+G82+H82+I82+J82+K82+L82</f>
        <v>310369</v>
      </c>
      <c r="N82" s="160"/>
      <c r="O82" s="498" t="s">
        <v>588</v>
      </c>
      <c r="P82" s="276"/>
      <c r="Q82" s="276"/>
      <c r="R82" s="492">
        <f>IFERROR($R$78-$R$80,"")</f>
        <v>310369</v>
      </c>
      <c r="Y82" s="331"/>
      <c r="Z82" s="401"/>
      <c r="AA82" s="268"/>
      <c r="AB82" s="268"/>
    </row>
    <row r="83" spans="1:28">
      <c r="A83" s="184">
        <v>66</v>
      </c>
      <c r="B83" s="162" t="s">
        <v>3</v>
      </c>
      <c r="C83" s="162"/>
      <c r="D83" s="374">
        <f t="shared" ref="D83:L83" si="21">SUM(D81:D82)</f>
        <v>0</v>
      </c>
      <c r="E83" s="374">
        <f t="shared" si="21"/>
        <v>2766919</v>
      </c>
      <c r="F83" s="374">
        <f t="shared" si="21"/>
        <v>216082</v>
      </c>
      <c r="G83" s="374">
        <f t="shared" si="21"/>
        <v>-52437</v>
      </c>
      <c r="H83" s="374">
        <f t="shared" si="21"/>
        <v>0</v>
      </c>
      <c r="I83" s="374">
        <f t="shared" si="21"/>
        <v>1786637</v>
      </c>
      <c r="J83" s="374">
        <f t="shared" si="21"/>
        <v>0</v>
      </c>
      <c r="K83" s="374">
        <f t="shared" si="21"/>
        <v>0</v>
      </c>
      <c r="L83" s="374">
        <f t="shared" si="21"/>
        <v>0</v>
      </c>
      <c r="M83" s="374">
        <f>D83+E83+F83+G83+H83+I83+J83+K83+L83</f>
        <v>4717201</v>
      </c>
      <c r="N83" s="160"/>
      <c r="O83" s="493"/>
      <c r="P83" s="276"/>
      <c r="Q83" s="276"/>
      <c r="R83" s="497"/>
      <c r="Y83" s="163"/>
      <c r="Z83" s="447"/>
      <c r="AA83" s="439"/>
      <c r="AB83" s="448"/>
    </row>
    <row r="84" spans="1:28" ht="13.5" thickBot="1">
      <c r="A84" s="184">
        <v>67</v>
      </c>
      <c r="B84" s="160"/>
      <c r="C84" s="160"/>
      <c r="D84" s="373"/>
      <c r="E84" s="373"/>
      <c r="F84" s="373"/>
      <c r="G84" s="373"/>
      <c r="H84" s="373"/>
      <c r="I84" s="373"/>
      <c r="J84" s="373"/>
      <c r="K84" s="373"/>
      <c r="L84" s="373"/>
      <c r="M84" s="373"/>
      <c r="N84" s="160"/>
      <c r="O84" s="499" t="s">
        <v>589</v>
      </c>
      <c r="P84" s="500"/>
      <c r="Q84" s="500"/>
      <c r="R84" s="501">
        <f>IFERROR((R82+R80)-R78,"")</f>
        <v>0</v>
      </c>
      <c r="Y84" s="268"/>
      <c r="Z84" s="447"/>
      <c r="AA84" s="439"/>
      <c r="AB84" s="449"/>
    </row>
    <row r="85" spans="1:28" ht="13.5" thickTop="1">
      <c r="A85" s="184">
        <v>68</v>
      </c>
      <c r="B85" s="162" t="s">
        <v>574</v>
      </c>
      <c r="C85" s="162"/>
      <c r="D85" s="374">
        <f t="shared" ref="D85:L85" si="22">D57-D71+D78+D83</f>
        <v>-545609</v>
      </c>
      <c r="E85" s="374">
        <f t="shared" si="22"/>
        <v>5676652</v>
      </c>
      <c r="F85" s="374">
        <f t="shared" si="22"/>
        <v>1254239</v>
      </c>
      <c r="G85" s="374">
        <f t="shared" si="22"/>
        <v>4054507</v>
      </c>
      <c r="H85" s="374">
        <f t="shared" si="22"/>
        <v>38481</v>
      </c>
      <c r="I85" s="374">
        <f t="shared" si="22"/>
        <v>2559079</v>
      </c>
      <c r="J85" s="374">
        <f t="shared" si="22"/>
        <v>-938085</v>
      </c>
      <c r="K85" s="374">
        <f t="shared" si="22"/>
        <v>0</v>
      </c>
      <c r="L85" s="374">
        <f t="shared" si="22"/>
        <v>-2563353</v>
      </c>
      <c r="M85" s="374">
        <f>D85+E85+F85+G85+H85+I85+J85+K85+L85</f>
        <v>9535911</v>
      </c>
      <c r="N85" s="160"/>
      <c r="Y85" s="268"/>
      <c r="Z85" s="447"/>
      <c r="AA85" s="439"/>
      <c r="AB85" s="449"/>
    </row>
    <row r="86" spans="1:28">
      <c r="A86" s="184">
        <v>69</v>
      </c>
      <c r="B86" s="163"/>
      <c r="C86" s="163"/>
      <c r="D86" s="329"/>
      <c r="E86" s="329"/>
      <c r="F86" s="329"/>
      <c r="G86" s="329"/>
      <c r="H86" s="329"/>
      <c r="I86" s="329"/>
      <c r="J86" s="329"/>
      <c r="K86" s="329"/>
      <c r="L86" s="329"/>
      <c r="M86" s="329"/>
      <c r="N86" s="160"/>
      <c r="Y86" s="268"/>
      <c r="Z86" s="447"/>
      <c r="AA86" s="439"/>
      <c r="AB86" s="449"/>
    </row>
    <row r="87" spans="1:28">
      <c r="A87" s="184">
        <v>70</v>
      </c>
      <c r="B87" s="161" t="s">
        <v>65</v>
      </c>
      <c r="C87" s="161"/>
      <c r="D87" s="372">
        <f>Input!$QL$23</f>
        <v>0</v>
      </c>
      <c r="E87" s="372">
        <f>Input!$QM$23</f>
        <v>0</v>
      </c>
      <c r="F87" s="372">
        <f>Input!$QN$23</f>
        <v>0</v>
      </c>
      <c r="G87" s="372">
        <f>Input!$QO$23</f>
        <v>0</v>
      </c>
      <c r="H87" s="372">
        <f>Input!$QP$23</f>
        <v>0</v>
      </c>
      <c r="I87" s="372">
        <f>Input!$QQ$23</f>
        <v>0</v>
      </c>
      <c r="J87" s="372">
        <f>Input!$QR$23</f>
        <v>0</v>
      </c>
      <c r="K87" s="372">
        <f>Input!$QS$23</f>
        <v>0</v>
      </c>
      <c r="L87" s="372">
        <f>Input!$QT$23</f>
        <v>0</v>
      </c>
      <c r="M87" s="329">
        <f>D87+E87+F87+G87+H87+I87+J87+K87+L87</f>
        <v>0</v>
      </c>
      <c r="N87" s="160"/>
      <c r="Y87" s="268"/>
      <c r="Z87" s="447"/>
      <c r="AA87" s="439"/>
      <c r="AB87" s="449"/>
    </row>
    <row r="88" spans="1:28">
      <c r="A88" s="184">
        <v>72</v>
      </c>
      <c r="B88" s="160" t="s">
        <v>66</v>
      </c>
      <c r="C88" s="160"/>
      <c r="D88" s="372">
        <f>Input!$QU$23</f>
        <v>0</v>
      </c>
      <c r="E88" s="372">
        <f>Input!$QV$23</f>
        <v>0</v>
      </c>
      <c r="F88" s="372">
        <f>Input!$QW$23</f>
        <v>0</v>
      </c>
      <c r="G88" s="372">
        <f>Input!$QX$23</f>
        <v>0</v>
      </c>
      <c r="H88" s="372">
        <f>Input!$QY$23</f>
        <v>0</v>
      </c>
      <c r="I88" s="372">
        <f>Input!$QZ$23</f>
        <v>0</v>
      </c>
      <c r="J88" s="372">
        <f>Input!$RA$23</f>
        <v>0</v>
      </c>
      <c r="K88" s="372">
        <f>Input!$RB$23</f>
        <v>0</v>
      </c>
      <c r="L88" s="372">
        <f>Input!$RC$23</f>
        <v>-8818600</v>
      </c>
      <c r="M88" s="373">
        <f>D88+E88+F88+G88+H88+I88+J88+K88+L88</f>
        <v>-8818600</v>
      </c>
      <c r="N88" s="160"/>
      <c r="O88" s="270"/>
      <c r="P88" s="335"/>
      <c r="Y88" s="268"/>
      <c r="Z88" s="447"/>
      <c r="AA88" s="439"/>
      <c r="AB88" s="449"/>
    </row>
    <row r="89" spans="1:28" s="264" customFormat="1">
      <c r="A89" s="263"/>
      <c r="B89" s="171" t="s">
        <v>216</v>
      </c>
      <c r="C89" s="171"/>
      <c r="D89" s="372">
        <f>Input!$RD$23</f>
        <v>0</v>
      </c>
      <c r="E89" s="372">
        <f>Input!$RE$23</f>
        <v>0</v>
      </c>
      <c r="F89" s="372">
        <f>Input!$RF$23</f>
        <v>0</v>
      </c>
      <c r="G89" s="372">
        <f>Input!$RG$23</f>
        <v>0</v>
      </c>
      <c r="H89" s="372">
        <f>Input!$RH$23</f>
        <v>0</v>
      </c>
      <c r="I89" s="372">
        <f>Input!$RI$23</f>
        <v>0</v>
      </c>
      <c r="J89" s="372">
        <f>Input!$RJ$23</f>
        <v>0</v>
      </c>
      <c r="K89" s="372">
        <f>Input!$RK$23</f>
        <v>0</v>
      </c>
      <c r="L89" s="372">
        <f>Input!$RL$23</f>
        <v>5263846</v>
      </c>
      <c r="M89" s="373">
        <f t="shared" ref="M89:M91" si="23">D89+E89+F89+G89+H89+I89+J89+K89+L89</f>
        <v>5263846</v>
      </c>
      <c r="N89" s="160"/>
      <c r="O89" s="1726" t="s">
        <v>1355</v>
      </c>
      <c r="P89" s="1727"/>
      <c r="Q89" s="1727"/>
      <c r="R89" s="1727"/>
      <c r="S89" s="1727"/>
      <c r="T89" s="1727"/>
      <c r="U89" s="1728"/>
      <c r="Y89" s="268"/>
      <c r="Z89" s="447"/>
      <c r="AA89" s="439"/>
      <c r="AB89" s="449"/>
    </row>
    <row r="90" spans="1:28" s="264" customFormat="1">
      <c r="A90" s="263"/>
      <c r="B90" s="171" t="s">
        <v>105</v>
      </c>
      <c r="C90" s="171"/>
      <c r="D90" s="372">
        <f>Input!$RM$23</f>
        <v>0</v>
      </c>
      <c r="E90" s="372">
        <f>Input!$RN$23</f>
        <v>0</v>
      </c>
      <c r="F90" s="372">
        <f>Input!$RO$23</f>
        <v>0</v>
      </c>
      <c r="G90" s="372">
        <f>Input!$RP$23</f>
        <v>0</v>
      </c>
      <c r="H90" s="372">
        <f>Input!$RQ$23</f>
        <v>0</v>
      </c>
      <c r="I90" s="372">
        <f>Input!$RR$23</f>
        <v>0</v>
      </c>
      <c r="J90" s="372">
        <f>Input!$RS$23</f>
        <v>0</v>
      </c>
      <c r="K90" s="372">
        <f>Input!$RT$23</f>
        <v>0</v>
      </c>
      <c r="L90" s="372">
        <f>Input!$RU$23</f>
        <v>0</v>
      </c>
      <c r="M90" s="373">
        <f t="shared" si="23"/>
        <v>0</v>
      </c>
      <c r="N90" s="160"/>
      <c r="O90" s="502" t="s">
        <v>590</v>
      </c>
      <c r="P90" s="423"/>
      <c r="Q90" s="502" t="s">
        <v>591</v>
      </c>
      <c r="R90" s="423"/>
      <c r="S90" s="503"/>
      <c r="T90" s="502" t="s">
        <v>592</v>
      </c>
      <c r="U90" s="423"/>
      <c r="Y90" s="268"/>
      <c r="Z90" s="447"/>
      <c r="AA90" s="439"/>
      <c r="AB90" s="449"/>
    </row>
    <row r="91" spans="1:28" s="264" customFormat="1">
      <c r="A91" s="263"/>
      <c r="B91" s="171" t="s">
        <v>128</v>
      </c>
      <c r="C91" s="171"/>
      <c r="D91" s="372">
        <f>Input!$RV$23</f>
        <v>0</v>
      </c>
      <c r="E91" s="372">
        <f>Input!$RW$23</f>
        <v>0</v>
      </c>
      <c r="F91" s="372">
        <f>Input!$RX$23</f>
        <v>0</v>
      </c>
      <c r="G91" s="372">
        <f>Input!$RY$23</f>
        <v>0</v>
      </c>
      <c r="H91" s="372">
        <f>Input!$RZ$23</f>
        <v>0</v>
      </c>
      <c r="I91" s="372">
        <f>Input!$SA$23</f>
        <v>0</v>
      </c>
      <c r="J91" s="372">
        <f>Input!$SB$23</f>
        <v>0</v>
      </c>
      <c r="K91" s="372">
        <f>Input!$SC$23</f>
        <v>0</v>
      </c>
      <c r="L91" s="372">
        <f>Input!$SD$23</f>
        <v>0</v>
      </c>
      <c r="M91" s="373">
        <f t="shared" si="23"/>
        <v>0</v>
      </c>
      <c r="N91" s="160"/>
      <c r="O91" s="504"/>
      <c r="P91" s="505"/>
      <c r="Q91" s="504"/>
      <c r="R91" s="426"/>
      <c r="S91" s="276"/>
      <c r="T91" s="506"/>
      <c r="U91" s="426"/>
      <c r="Y91" s="268"/>
      <c r="Z91" s="447"/>
      <c r="AA91" s="439"/>
      <c r="AB91" s="449"/>
    </row>
    <row r="92" spans="1:28" s="264" customFormat="1">
      <c r="A92" s="263"/>
      <c r="B92" s="160" t="s">
        <v>67</v>
      </c>
      <c r="C92" s="160"/>
      <c r="D92" s="372">
        <f>Input!$SE$23</f>
        <v>576320</v>
      </c>
      <c r="E92" s="372">
        <f>Input!$SF$23</f>
        <v>4372</v>
      </c>
      <c r="F92" s="372">
        <f>Input!$SG$23</f>
        <v>0</v>
      </c>
      <c r="G92" s="372">
        <f>Input!$SH$23</f>
        <v>17825</v>
      </c>
      <c r="H92" s="372">
        <f>Input!$SI$23</f>
        <v>0</v>
      </c>
      <c r="I92" s="372">
        <f>Input!$SJ$23</f>
        <v>0</v>
      </c>
      <c r="J92" s="372">
        <f>Input!$SK$23</f>
        <v>1784827</v>
      </c>
      <c r="K92" s="372">
        <f>Input!$SL$23</f>
        <v>0</v>
      </c>
      <c r="L92" s="372">
        <f>Input!$SM$23</f>
        <v>0</v>
      </c>
      <c r="M92" s="373">
        <f>D92+E92+F92+G92+H92+I92+J92+K92+L92</f>
        <v>2383344</v>
      </c>
      <c r="N92" s="160"/>
      <c r="O92" s="1729" t="str">
        <f>Input!UF$23</f>
        <v>Chris Arrington</v>
      </c>
      <c r="P92" s="1730"/>
      <c r="Q92" s="1729" t="str">
        <f>Input!$UG$23</f>
        <v>979-458-9151</v>
      </c>
      <c r="R92" s="1730"/>
      <c r="S92" s="276"/>
      <c r="T92" s="1731" t="str">
        <f>HYPERLINK("Mailto:"&amp;Input!$UH$23,Input!$UH$23)</f>
        <v>carrington@tamus.edu</v>
      </c>
      <c r="U92" s="1730"/>
      <c r="Y92" s="268"/>
      <c r="Z92" s="447"/>
      <c r="AA92" s="442"/>
      <c r="AB92" s="449"/>
    </row>
    <row r="93" spans="1:28" ht="13.5" thickBot="1">
      <c r="B93" s="179" t="s">
        <v>58</v>
      </c>
      <c r="C93" s="179"/>
      <c r="D93" s="380">
        <f t="shared" ref="D93:K93" si="24">SUM(D85:D92)</f>
        <v>30711</v>
      </c>
      <c r="E93" s="380">
        <f t="shared" si="24"/>
        <v>5681024</v>
      </c>
      <c r="F93" s="380">
        <f t="shared" si="24"/>
        <v>1254239</v>
      </c>
      <c r="G93" s="380">
        <f t="shared" si="24"/>
        <v>4072332</v>
      </c>
      <c r="H93" s="380">
        <f t="shared" si="24"/>
        <v>38481</v>
      </c>
      <c r="I93" s="380">
        <f t="shared" si="24"/>
        <v>2559079</v>
      </c>
      <c r="J93" s="380">
        <f t="shared" si="24"/>
        <v>846742</v>
      </c>
      <c r="K93" s="380">
        <f t="shared" si="24"/>
        <v>0</v>
      </c>
      <c r="L93" s="380">
        <f>SUM(L85:L92)</f>
        <v>-6118107</v>
      </c>
      <c r="M93" s="380">
        <f>D93+E93+F93+G93+H93+I93+J93+K93+L93</f>
        <v>8364501</v>
      </c>
      <c r="N93" s="160"/>
      <c r="O93" s="506"/>
      <c r="P93" s="507"/>
      <c r="Q93" s="276"/>
      <c r="R93" s="276"/>
      <c r="S93" s="276"/>
      <c r="T93" s="507"/>
      <c r="U93" s="508"/>
      <c r="Y93" s="268"/>
      <c r="Z93" s="447"/>
      <c r="AA93" s="442"/>
      <c r="AB93" s="449"/>
    </row>
    <row r="94" spans="1:28" ht="13.5" thickTop="1">
      <c r="C94" s="160"/>
      <c r="D94" s="165"/>
      <c r="E94" s="165"/>
      <c r="F94" s="165"/>
      <c r="G94" s="165"/>
      <c r="H94" s="165"/>
      <c r="I94" s="165"/>
      <c r="J94" s="165"/>
      <c r="K94" s="165"/>
      <c r="L94" s="165"/>
      <c r="M94" s="180"/>
      <c r="N94" s="160"/>
      <c r="O94" s="1720" t="s">
        <v>593</v>
      </c>
      <c r="P94" s="1721"/>
      <c r="Q94" s="1721"/>
      <c r="R94" s="1721"/>
      <c r="S94" s="1721"/>
      <c r="T94" s="1721"/>
      <c r="U94" s="1722"/>
      <c r="Y94" s="268"/>
      <c r="Z94" s="451"/>
      <c r="AA94" s="442"/>
      <c r="AB94" s="449"/>
    </row>
    <row r="95" spans="1:28">
      <c r="B95" s="171" t="s">
        <v>1369</v>
      </c>
      <c r="C95" s="169"/>
      <c r="D95" s="165"/>
      <c r="E95" s="165"/>
      <c r="F95" s="165"/>
      <c r="G95" s="165"/>
      <c r="H95" s="165"/>
      <c r="I95" s="165"/>
      <c r="J95" s="165"/>
      <c r="K95" s="165"/>
      <c r="L95" s="165"/>
      <c r="M95" s="180"/>
      <c r="N95" s="160"/>
      <c r="O95" s="1720"/>
      <c r="P95" s="1721"/>
      <c r="Q95" s="1721"/>
      <c r="R95" s="1721"/>
      <c r="S95" s="1721"/>
      <c r="T95" s="1721"/>
      <c r="U95" s="1722"/>
      <c r="Y95" s="268"/>
      <c r="Z95" s="452"/>
      <c r="AA95" s="453"/>
      <c r="AB95" s="454"/>
    </row>
    <row r="96" spans="1:28">
      <c r="B96" s="169" t="s">
        <v>80</v>
      </c>
      <c r="C96" s="160"/>
      <c r="D96" s="165"/>
      <c r="E96" s="165"/>
      <c r="F96" s="165"/>
      <c r="G96" s="165"/>
      <c r="H96" s="165"/>
      <c r="I96" s="165"/>
      <c r="J96" s="165"/>
      <c r="K96" s="165"/>
      <c r="L96" s="165"/>
      <c r="M96" s="180"/>
      <c r="N96" s="160"/>
      <c r="O96" s="509"/>
      <c r="P96" s="510"/>
      <c r="Q96" s="511"/>
      <c r="R96" s="511"/>
      <c r="S96" s="511"/>
      <c r="T96" s="510"/>
      <c r="U96" s="428"/>
      <c r="V96" s="336"/>
      <c r="W96" s="336"/>
      <c r="X96" s="336"/>
      <c r="Y96" s="268"/>
      <c r="Z96" s="268"/>
      <c r="AA96" s="268"/>
      <c r="AB96" s="268"/>
    </row>
    <row r="97" spans="2:28">
      <c r="B97" s="261" t="s">
        <v>1297</v>
      </c>
      <c r="C97" s="160"/>
      <c r="D97" s="165"/>
      <c r="E97" s="165"/>
      <c r="F97" s="165"/>
      <c r="G97" s="165"/>
      <c r="H97" s="165"/>
      <c r="I97" s="165"/>
      <c r="J97" s="165"/>
      <c r="K97" s="165"/>
      <c r="L97" s="165"/>
      <c r="M97" s="180"/>
      <c r="N97" s="160"/>
      <c r="O97" s="337"/>
      <c r="P97" s="336"/>
      <c r="Q97" s="336"/>
      <c r="U97" s="336"/>
      <c r="V97" s="336"/>
      <c r="W97" s="336"/>
      <c r="X97" s="336"/>
      <c r="Y97" s="268"/>
    </row>
    <row r="98" spans="2:28">
      <c r="B98" s="160"/>
      <c r="C98" s="160"/>
      <c r="D98" s="165"/>
      <c r="E98" s="165"/>
      <c r="F98" s="165"/>
      <c r="G98" s="165"/>
      <c r="H98" s="165"/>
      <c r="I98" s="165"/>
      <c r="J98" s="165"/>
      <c r="K98" s="165"/>
      <c r="L98" s="165"/>
      <c r="M98" s="180"/>
      <c r="N98" s="160"/>
      <c r="O98" s="75"/>
      <c r="P98" s="336"/>
      <c r="Q98" s="336"/>
    </row>
    <row r="99" spans="2:28">
      <c r="B99" s="160"/>
      <c r="C99" s="160"/>
      <c r="D99" s="160"/>
      <c r="E99" s="160"/>
      <c r="F99" s="160"/>
      <c r="G99" s="160"/>
      <c r="H99" s="160"/>
      <c r="I99" s="160"/>
      <c r="J99" s="160"/>
      <c r="K99" s="160"/>
      <c r="L99" s="160"/>
      <c r="M99" s="181" t="s">
        <v>93</v>
      </c>
      <c r="N99" s="160"/>
      <c r="O99" s="338"/>
      <c r="R99" s="336"/>
      <c r="S99" s="336"/>
      <c r="Y99" s="336"/>
      <c r="Z99" s="336"/>
      <c r="AA99" s="336"/>
      <c r="AB99" s="336"/>
    </row>
    <row r="100" spans="2:28">
      <c r="B100" s="261" t="s">
        <v>1298</v>
      </c>
      <c r="C100" s="160"/>
      <c r="D100" s="160"/>
      <c r="E100" s="160"/>
      <c r="F100" s="160"/>
      <c r="G100" s="160"/>
      <c r="H100" s="160"/>
      <c r="I100" s="160"/>
      <c r="J100" s="160"/>
      <c r="K100" s="160"/>
      <c r="L100" s="160"/>
      <c r="M100" s="372">
        <f>Input!$SN$23</f>
        <v>8364501</v>
      </c>
      <c r="N100" s="160"/>
      <c r="O100" s="338"/>
      <c r="R100" s="336"/>
      <c r="S100" s="336"/>
      <c r="T100" s="336"/>
      <c r="Y100" s="336"/>
      <c r="Z100" s="336"/>
      <c r="AA100" s="336"/>
      <c r="AB100" s="336"/>
    </row>
    <row r="101" spans="2:28">
      <c r="B101" s="160" t="s">
        <v>92</v>
      </c>
      <c r="C101" s="160"/>
      <c r="D101" s="182"/>
      <c r="E101" s="182"/>
      <c r="F101" s="182"/>
      <c r="G101" s="182"/>
      <c r="H101" s="182"/>
      <c r="I101" s="182"/>
      <c r="J101" s="182"/>
      <c r="K101" s="182"/>
      <c r="L101" s="183"/>
      <c r="M101" s="342">
        <f>M93-M100</f>
        <v>0</v>
      </c>
      <c r="N101" s="160"/>
      <c r="O101" s="339"/>
    </row>
    <row r="102" spans="2:28">
      <c r="B102" s="160"/>
      <c r="C102" s="160"/>
      <c r="D102" s="182"/>
      <c r="E102" s="182"/>
      <c r="F102" s="182"/>
      <c r="G102" s="182"/>
      <c r="H102" s="182"/>
      <c r="I102" s="182"/>
      <c r="J102" s="182"/>
      <c r="K102" s="182"/>
      <c r="L102" s="513" t="str">
        <f>IF($L$118&lt;&gt;Input!$F$23,"Out of Balance","Balanced")</f>
        <v>Balanced</v>
      </c>
      <c r="M102" s="517" t="str">
        <f>IF(M100&lt;&gt;M93,"Out of Balance","Balanced")</f>
        <v>Balanced</v>
      </c>
      <c r="N102" s="160"/>
      <c r="O102" s="339"/>
    </row>
    <row r="103" spans="2:28">
      <c r="B103" s="160"/>
      <c r="C103" s="160"/>
      <c r="D103" s="160"/>
      <c r="E103" s="160"/>
      <c r="F103" s="160"/>
      <c r="G103" s="160"/>
      <c r="H103" s="160"/>
      <c r="I103" s="160"/>
      <c r="J103" s="160"/>
      <c r="K103" s="160"/>
      <c r="L103" s="160"/>
      <c r="M103" s="160"/>
      <c r="N103" s="160"/>
      <c r="O103" s="75"/>
    </row>
    <row r="104" spans="2:28">
      <c r="B104" s="160"/>
      <c r="C104" s="160"/>
      <c r="D104" s="160"/>
      <c r="E104" s="160"/>
      <c r="F104" s="160"/>
      <c r="G104" s="160"/>
      <c r="H104" s="160"/>
      <c r="I104" s="160"/>
      <c r="J104" s="160"/>
      <c r="K104" s="160"/>
      <c r="L104" s="160"/>
      <c r="M104" s="160"/>
      <c r="N104" s="160"/>
      <c r="O104" s="75"/>
    </row>
    <row r="105" spans="2:28">
      <c r="B105" s="261"/>
      <c r="C105" s="261"/>
      <c r="D105" s="373">
        <f>SUM($D$10:$D$14)+SUM($D$19:$D$28)+SUM($D$32:$D$41)+$D$47+SUM($D$50:$D$55)+SUM($D$60:$D$70)+SUM($D$74:$D$77)+SUM($D$81:$D$82)+SUM($D$87:$D$92)</f>
        <v>40419123</v>
      </c>
      <c r="E105" s="373">
        <f>SUM($E$10:$E$14)+SUM($E$19:$E$28)+SUM($E$32:$E$41)+$E$47+SUM($E$50:$E$55)+SUM($E$60:$E$70)+SUM($E$74:$E$77)+SUM($E$81:$E$82)+SUM($E$87:$E$92)</f>
        <v>24634796</v>
      </c>
      <c r="F105" s="373">
        <f>SUM($F$10:$F$14)+SUM($F$19:$F$28)+SUM($F$32:$F$41)+$F$47+SUM($F$50:$F$55)+SUM($F$60:$F$70)+SUM($F$74:$F$77)+SUM($F$81:$F$82)+SUM($F$87:$F$92)</f>
        <v>6343815</v>
      </c>
      <c r="G105" s="373">
        <f>SUM($G$10:$G$14)+SUM($G$19:$G$28)+SUM($G$32:$G$41)+$G$47+SUM($G$50:$G$55)+SUM($G$60:$G$70)+SUM($G$74:$G$77)+SUM($G$81:$G$82)+SUM($G$87:$G$92)</f>
        <v>14694426</v>
      </c>
      <c r="H105" s="373">
        <f>SUM($H$10:$H$14)+SUM($H$19:$H$28)+SUM($H$32:$H$41)+$H$47+SUM($H$50:$H$55)+SUM($H$60:$H$70)+SUM($H$74:$H$77)+SUM($H$81:$H$82)+SUM($H$87:$H$92)</f>
        <v>26947</v>
      </c>
      <c r="I105" s="373">
        <f>SUM($I$10:$I$14)+SUM($I$19:$I$28)+SUM($I$32:$I$41)+$I$47+SUM($I$50:$I$55)+SUM($I$60:$I$70)+SUM($I$74:$I$77)+SUM($I$81:$I$82)+SUM($I$87:$I$92)</f>
        <v>2559079</v>
      </c>
      <c r="J105" s="373">
        <f>SUM($J$10:$J$14)+SUM($J$19:$J$28)+SUM($J$32:$J$41)+$J$47+SUM($J$50:$J$55)+SUM($J$60:$J$70)+SUM($J$74:$J$77)+SUM($J$81:$J$82)+SUM($J$87:$J$92)</f>
        <v>853698</v>
      </c>
      <c r="K105" s="373">
        <f>SUM($K$10:$K$14)+SUM($K$19:$K$28)+SUM($K$32:$K$41)+$K$47+SUM($K$50:$K$55)+SUM($K$60:$K$70)+SUM($K$74:$K$77)+SUM($K$81:$K$82)+SUM($K$87:$K$92)</f>
        <v>0</v>
      </c>
      <c r="L105" s="373">
        <f>SUM($L$10:$L$14)+SUM($L$19:$L$28)+SUM($L$32:$L$41)+$L$47+SUM($L$50:$L$55)+SUM($L$60:$L$70)+SUM($L$74:$L$77)+SUM($L$81:$L$82)+SUM($L$87:$L$92)</f>
        <v>-2485587</v>
      </c>
      <c r="M105" s="373"/>
      <c r="N105" s="264"/>
      <c r="O105" s="373"/>
      <c r="P105" s="450">
        <f>M18-INT(M18)</f>
        <v>0</v>
      </c>
    </row>
    <row r="106" spans="2:28">
      <c r="B106" s="261"/>
      <c r="C106" s="261"/>
      <c r="D106" s="261"/>
      <c r="E106" s="261"/>
      <c r="F106" s="261"/>
      <c r="G106" s="261"/>
      <c r="H106" s="261"/>
      <c r="I106" s="261"/>
      <c r="J106" s="261"/>
      <c r="K106" s="261"/>
      <c r="L106" s="373">
        <f>SUM($D$105:$L$105)</f>
        <v>87046297</v>
      </c>
      <c r="M106" s="261"/>
      <c r="N106" s="264"/>
      <c r="O106" s="373"/>
      <c r="P106" s="450">
        <f>M31-INT(M31)</f>
        <v>0</v>
      </c>
    </row>
    <row r="107" spans="2:28">
      <c r="B107" s="261"/>
      <c r="C107" s="261"/>
      <c r="D107" s="261"/>
      <c r="E107" s="261"/>
      <c r="F107" s="261"/>
      <c r="G107" s="261"/>
      <c r="H107" s="261"/>
      <c r="I107" s="261"/>
      <c r="J107" s="261" t="s">
        <v>1299</v>
      </c>
      <c r="K107" s="261"/>
      <c r="L107" s="373">
        <f>$M$100</f>
        <v>8364501</v>
      </c>
      <c r="M107" s="261"/>
      <c r="N107" s="264"/>
      <c r="O107" s="373"/>
      <c r="P107" s="450">
        <f>M93-INT(M93)</f>
        <v>0</v>
      </c>
    </row>
    <row r="108" spans="2:28">
      <c r="B108" s="261"/>
      <c r="C108" s="261"/>
      <c r="D108" s="261"/>
      <c r="E108" s="261"/>
      <c r="F108" s="261"/>
      <c r="G108" s="261"/>
      <c r="H108" s="261"/>
      <c r="I108" s="261"/>
      <c r="J108" s="261" t="s">
        <v>1300</v>
      </c>
      <c r="K108" s="261"/>
      <c r="L108" s="512">
        <f>$Q$32</f>
        <v>15647140</v>
      </c>
      <c r="M108" s="261"/>
      <c r="N108" s="264"/>
      <c r="O108" s="373"/>
    </row>
    <row r="109" spans="2:28">
      <c r="B109" s="261"/>
      <c r="C109" s="261"/>
      <c r="D109" s="261"/>
      <c r="E109" s="261"/>
      <c r="F109" s="261"/>
      <c r="G109" s="261"/>
      <c r="H109" s="261"/>
      <c r="I109" s="261"/>
      <c r="J109" s="261" t="s">
        <v>1300</v>
      </c>
      <c r="K109" s="261"/>
      <c r="L109" s="512">
        <f>$R$34</f>
        <v>-4285619</v>
      </c>
      <c r="M109" s="261"/>
      <c r="N109" s="264"/>
      <c r="O109" s="373"/>
    </row>
    <row r="110" spans="2:28">
      <c r="B110" s="261"/>
      <c r="C110" s="261"/>
      <c r="D110" s="261"/>
      <c r="E110" s="261"/>
      <c r="F110" s="261"/>
      <c r="G110" s="261"/>
      <c r="H110" s="261"/>
      <c r="I110" s="261"/>
      <c r="J110" s="261" t="s">
        <v>29</v>
      </c>
      <c r="K110" s="261"/>
      <c r="L110" s="512">
        <f>SUM($P$60:$P$68)</f>
        <v>598517</v>
      </c>
      <c r="M110" s="261"/>
      <c r="N110" s="264"/>
      <c r="O110" s="373"/>
    </row>
    <row r="111" spans="2:28">
      <c r="B111" s="261"/>
      <c r="C111" s="261"/>
      <c r="D111" s="261"/>
      <c r="E111" s="261"/>
      <c r="F111" s="261"/>
      <c r="G111" s="261"/>
      <c r="H111" s="261"/>
      <c r="I111" s="261"/>
      <c r="J111" s="261" t="s">
        <v>594</v>
      </c>
      <c r="K111" s="261"/>
      <c r="L111" s="373">
        <f>$Q$64</f>
        <v>0</v>
      </c>
      <c r="M111" s="261"/>
      <c r="N111" s="264"/>
      <c r="O111" s="373"/>
    </row>
    <row r="112" spans="2:28">
      <c r="B112" s="261"/>
      <c r="C112" s="261"/>
      <c r="D112" s="261"/>
      <c r="E112" s="261"/>
      <c r="F112" s="261"/>
      <c r="G112" s="261"/>
      <c r="H112" s="261"/>
      <c r="I112" s="261"/>
      <c r="J112" s="261" t="s">
        <v>595</v>
      </c>
      <c r="K112" s="261"/>
      <c r="L112" s="512">
        <f>SUM($V$60:$V$67)</f>
        <v>0</v>
      </c>
      <c r="M112" s="261"/>
      <c r="N112" s="264"/>
      <c r="O112" s="373"/>
    </row>
    <row r="113" spans="2:15">
      <c r="B113" s="261"/>
      <c r="C113" s="261"/>
      <c r="D113" s="261"/>
      <c r="E113" s="261"/>
      <c r="F113" s="261"/>
      <c r="G113" s="261"/>
      <c r="H113" s="261"/>
      <c r="I113" s="261"/>
      <c r="J113" s="261" t="s">
        <v>596</v>
      </c>
      <c r="K113" s="261"/>
      <c r="L113" s="512">
        <f>SUM($W$60:$W$67)</f>
        <v>0</v>
      </c>
      <c r="M113" s="261"/>
      <c r="N113" s="264"/>
      <c r="O113" s="373"/>
    </row>
    <row r="114" spans="2:15">
      <c r="B114" s="261"/>
      <c r="C114" s="261"/>
      <c r="D114" s="261"/>
      <c r="E114" s="261"/>
      <c r="F114" s="261"/>
      <c r="G114" s="261"/>
      <c r="H114" s="261"/>
      <c r="I114" s="261"/>
      <c r="J114" s="261" t="s">
        <v>258</v>
      </c>
      <c r="K114" s="261"/>
      <c r="L114" s="512">
        <f>SUM($AA$60:$AA$68)</f>
        <v>38863459</v>
      </c>
      <c r="M114" s="261"/>
      <c r="N114" s="264"/>
      <c r="O114" s="373"/>
    </row>
    <row r="115" spans="2:15">
      <c r="B115" s="261"/>
      <c r="C115" s="261"/>
      <c r="D115" s="261"/>
      <c r="E115" s="261"/>
      <c r="F115" s="261"/>
      <c r="G115" s="261"/>
      <c r="H115" s="261"/>
      <c r="I115" s="261"/>
      <c r="J115" s="261" t="s">
        <v>597</v>
      </c>
      <c r="K115" s="261"/>
      <c r="L115" s="512">
        <f>$R$77</f>
        <v>4818710</v>
      </c>
      <c r="M115" s="261"/>
      <c r="N115" s="264"/>
      <c r="O115" s="373"/>
    </row>
    <row r="116" spans="2:15">
      <c r="B116" s="261"/>
      <c r="C116" s="261"/>
      <c r="D116" s="261"/>
      <c r="E116" s="261"/>
      <c r="F116" s="261"/>
      <c r="G116" s="261"/>
      <c r="H116" s="261"/>
      <c r="I116" s="261"/>
      <c r="J116" s="261" t="s">
        <v>597</v>
      </c>
      <c r="K116" s="261"/>
      <c r="L116" s="512">
        <f>$R$80</f>
        <v>4406832</v>
      </c>
      <c r="M116" s="261"/>
      <c r="N116" s="264"/>
      <c r="O116" s="373"/>
    </row>
    <row r="117" spans="2:15">
      <c r="B117" s="261"/>
      <c r="C117" s="261"/>
      <c r="D117" s="261"/>
      <c r="E117" s="261"/>
      <c r="F117" s="261"/>
      <c r="G117" s="261"/>
      <c r="H117" s="261"/>
      <c r="I117" s="261"/>
      <c r="J117" s="261" t="s">
        <v>1231</v>
      </c>
      <c r="K117" s="261"/>
      <c r="L117" s="1008">
        <f>VLOOKUP(B2,Names!B5:$C$87,2,FALSE)</f>
        <v>29269</v>
      </c>
      <c r="M117" s="261"/>
      <c r="N117" s="264"/>
      <c r="O117" s="373"/>
    </row>
    <row r="118" spans="2:15">
      <c r="B118" s="261"/>
      <c r="C118" s="261"/>
      <c r="D118" s="261"/>
      <c r="E118" s="261"/>
      <c r="F118" s="261"/>
      <c r="G118" s="261"/>
      <c r="H118" s="261"/>
      <c r="I118" s="261"/>
      <c r="J118" s="261"/>
      <c r="K118" s="261"/>
      <c r="L118" s="373">
        <f>SUM(L106:L117)</f>
        <v>155489106</v>
      </c>
      <c r="M118" s="261"/>
      <c r="N118" s="264"/>
    </row>
    <row r="119" spans="2:15">
      <c r="B119" s="261"/>
      <c r="C119" s="261"/>
      <c r="D119" s="261"/>
      <c r="E119" s="261"/>
      <c r="F119" s="261"/>
      <c r="G119" s="261"/>
      <c r="H119" s="261"/>
      <c r="I119" s="261"/>
      <c r="J119" s="261"/>
      <c r="K119" s="261"/>
      <c r="L119" s="261"/>
      <c r="M119" s="261"/>
      <c r="N119" s="264"/>
    </row>
    <row r="120" spans="2:15">
      <c r="B120" s="261"/>
      <c r="C120" s="261"/>
      <c r="D120" s="261"/>
      <c r="E120" s="261"/>
      <c r="F120" s="261"/>
      <c r="G120" s="261"/>
      <c r="H120" s="261"/>
      <c r="I120" s="261"/>
      <c r="J120" s="160"/>
      <c r="K120" s="160"/>
      <c r="L120" s="160"/>
      <c r="M120" s="261"/>
      <c r="N120" s="264"/>
    </row>
    <row r="121" spans="2:15">
      <c r="B121" s="261"/>
      <c r="C121" s="261"/>
      <c r="D121" s="261"/>
      <c r="E121" s="261"/>
      <c r="F121" s="261"/>
      <c r="G121" s="261"/>
      <c r="H121" s="261"/>
      <c r="I121" s="261"/>
      <c r="J121" s="160"/>
      <c r="K121" s="160"/>
      <c r="L121" s="160"/>
      <c r="M121" s="261"/>
      <c r="N121" s="264"/>
    </row>
    <row r="122" spans="2:15">
      <c r="B122" s="261"/>
      <c r="C122" s="261"/>
      <c r="D122" s="261"/>
      <c r="E122" s="261"/>
      <c r="F122" s="261"/>
      <c r="G122" s="261"/>
      <c r="H122" s="261"/>
      <c r="I122" s="261"/>
      <c r="J122" s="160"/>
      <c r="K122" s="160"/>
      <c r="L122" s="160"/>
      <c r="M122" s="261"/>
      <c r="N122" s="264"/>
    </row>
  </sheetData>
  <mergeCells count="32">
    <mergeCell ref="V56:V59"/>
    <mergeCell ref="W56:W59"/>
    <mergeCell ref="G59:K59"/>
    <mergeCell ref="AA56:AA59"/>
    <mergeCell ref="Z55:AB55"/>
    <mergeCell ref="R56:R59"/>
    <mergeCell ref="O55:R55"/>
    <mergeCell ref="T55:X55"/>
    <mergeCell ref="X56:X59"/>
    <mergeCell ref="AB56:AB59"/>
    <mergeCell ref="Z56:Z59"/>
    <mergeCell ref="B2:F2"/>
    <mergeCell ref="B3:F3"/>
    <mergeCell ref="B4:F4"/>
    <mergeCell ref="B6:M6"/>
    <mergeCell ref="P4:Q4"/>
    <mergeCell ref="P10:P11"/>
    <mergeCell ref="O94:U95"/>
    <mergeCell ref="O75:R75"/>
    <mergeCell ref="O89:U89"/>
    <mergeCell ref="O92:P92"/>
    <mergeCell ref="Q92:R92"/>
    <mergeCell ref="T92:U92"/>
    <mergeCell ref="O19:R19"/>
    <mergeCell ref="T19:X19"/>
    <mergeCell ref="P71:Q71"/>
    <mergeCell ref="O56:O59"/>
    <mergeCell ref="P56:P59"/>
    <mergeCell ref="Q56:Q59"/>
    <mergeCell ref="V70:W70"/>
    <mergeCell ref="T56:T59"/>
    <mergeCell ref="U56:U59"/>
  </mergeCells>
  <conditionalFormatting sqref="U87:X88 O88:Q88">
    <cfRule type="cellIs" dxfId="813" priority="219" stopIfTrue="1" operator="notEqual">
      <formula>#REF!</formula>
    </cfRule>
  </conditionalFormatting>
  <conditionalFormatting sqref="P70">
    <cfRule type="expression" dxfId="812" priority="198">
      <formula>$P$69&lt;&gt;$M$69</formula>
    </cfRule>
  </conditionalFormatting>
  <conditionalFormatting sqref="AB72">
    <cfRule type="expression" dxfId="811" priority="197">
      <formula>$AB$71&lt;&gt;0</formula>
    </cfRule>
  </conditionalFormatting>
  <conditionalFormatting sqref="P71">
    <cfRule type="expression" dxfId="810" priority="196">
      <formula>P69-INT(P69)</formula>
    </cfRule>
  </conditionalFormatting>
  <conditionalFormatting sqref="V70">
    <cfRule type="expression" dxfId="809" priority="194">
      <formula>X68-INT(X68)</formula>
    </cfRule>
  </conditionalFormatting>
  <conditionalFormatting sqref="O12">
    <cfRule type="expression" dxfId="808" priority="185">
      <formula>$P$12&lt;&gt;$M$12</formula>
    </cfRule>
  </conditionalFormatting>
  <conditionalFormatting sqref="U87:U88 O88:Q88">
    <cfRule type="cellIs" dxfId="807" priority="178" stopIfTrue="1" operator="notEqual">
      <formula>#REF!</formula>
    </cfRule>
  </conditionalFormatting>
  <conditionalFormatting sqref="R84">
    <cfRule type="expression" priority="176" stopIfTrue="1">
      <formula>$M$85&lt;0</formula>
    </cfRule>
    <cfRule type="expression" dxfId="806" priority="177">
      <formula>$S$85&lt;&gt;0</formula>
    </cfRule>
  </conditionalFormatting>
  <conditionalFormatting sqref="R80 R77">
    <cfRule type="expression" dxfId="805" priority="174" stopIfTrue="1">
      <formula>$M$85&gt;=0</formula>
    </cfRule>
    <cfRule type="expression" priority="175">
      <formula>$M$85&lt;0</formula>
    </cfRule>
  </conditionalFormatting>
  <conditionalFormatting sqref="U87:U88 O88:Q88">
    <cfRule type="cellIs" dxfId="804" priority="173" stopIfTrue="1" operator="notEqual">
      <formula>#REF!</formula>
    </cfRule>
  </conditionalFormatting>
  <conditionalFormatting sqref="O13">
    <cfRule type="expression" dxfId="803" priority="157">
      <formula>$P$13&lt;&gt;$M$13</formula>
    </cfRule>
  </conditionalFormatting>
  <conditionalFormatting sqref="U87:U88 O88:Q88">
    <cfRule type="cellIs" dxfId="802" priority="156" stopIfTrue="1" operator="notEqual">
      <formula>#REF!</formula>
    </cfRule>
  </conditionalFormatting>
  <conditionalFormatting sqref="Q36">
    <cfRule type="expression" dxfId="801" priority="27">
      <formula>#REF!&lt;&gt;#REF!</formula>
    </cfRule>
  </conditionalFormatting>
  <conditionalFormatting sqref="R35">
    <cfRule type="expression" dxfId="800" priority="26">
      <formula>#REF!&lt;&gt;0</formula>
    </cfRule>
  </conditionalFormatting>
  <conditionalFormatting sqref="Q35">
    <cfRule type="expression" dxfId="799" priority="25">
      <formula>#REF!&lt;&gt;0</formula>
    </cfRule>
  </conditionalFormatting>
  <conditionalFormatting sqref="R36">
    <cfRule type="expression" dxfId="798" priority="24">
      <formula>#REF!&lt;&gt;#REF!</formula>
    </cfRule>
  </conditionalFormatting>
  <conditionalFormatting sqref="D93:M98 T94:T95 R90:S95 U87:X93 T90:T92 Y90:Y95 O88:O92 P88:Q93">
    <cfRule type="cellIs" dxfId="797" priority="23" stopIfTrue="1" operator="notEqual">
      <formula>#REF!</formula>
    </cfRule>
  </conditionalFormatting>
  <conditionalFormatting sqref="P70">
    <cfRule type="expression" dxfId="796" priority="22">
      <formula>$P$69&lt;&gt;$M$69</formula>
    </cfRule>
  </conditionalFormatting>
  <conditionalFormatting sqref="AB72">
    <cfRule type="expression" dxfId="795" priority="21">
      <formula>$AB$71&lt;&gt;0</formula>
    </cfRule>
  </conditionalFormatting>
  <conditionalFormatting sqref="P71">
    <cfRule type="expression" dxfId="794" priority="20">
      <formula>P69-INT(P69)</formula>
    </cfRule>
  </conditionalFormatting>
  <conditionalFormatting sqref="V70">
    <cfRule type="expression" dxfId="793" priority="19">
      <formula>X68-INT(X68)</formula>
    </cfRule>
  </conditionalFormatting>
  <conditionalFormatting sqref="O12">
    <cfRule type="expression" dxfId="792" priority="18">
      <formula>$P$12&lt;&gt;$M$12</formula>
    </cfRule>
  </conditionalFormatting>
  <conditionalFormatting sqref="T94:T95 R90:S95 U87:U93 T90:T92 O88:O92 P88:Q93">
    <cfRule type="cellIs" dxfId="791" priority="16" stopIfTrue="1" operator="notEqual">
      <formula>#REF!</formula>
    </cfRule>
  </conditionalFormatting>
  <conditionalFormatting sqref="R84">
    <cfRule type="expression" priority="14" stopIfTrue="1">
      <formula>$M$85&lt;0</formula>
    </cfRule>
    <cfRule type="expression" dxfId="790" priority="15">
      <formula>$S$85&lt;&gt;0</formula>
    </cfRule>
  </conditionalFormatting>
  <conditionalFormatting sqref="R80 R77">
    <cfRule type="expression" dxfId="789" priority="12" stopIfTrue="1">
      <formula>$M$85&gt;=0</formula>
    </cfRule>
    <cfRule type="expression" priority="13">
      <formula>$M$85&lt;0</formula>
    </cfRule>
  </conditionalFormatting>
  <conditionalFormatting sqref="U87:U88 R89:U92 O88:Q92">
    <cfRule type="cellIs" dxfId="788" priority="11" stopIfTrue="1" operator="notEqual">
      <formula>#REF!</formula>
    </cfRule>
  </conditionalFormatting>
  <conditionalFormatting sqref="M101">
    <cfRule type="expression" dxfId="787" priority="10">
      <formula>$M$101&lt;&gt;0</formula>
    </cfRule>
  </conditionalFormatting>
  <conditionalFormatting sqref="M102">
    <cfRule type="expression" dxfId="786" priority="9">
      <formula>$M$93&lt;&gt;$M$100</formula>
    </cfRule>
  </conditionalFormatting>
  <conditionalFormatting sqref="U87:U92 R90:T92 O88:Q92">
    <cfRule type="cellIs" dxfId="785" priority="8" stopIfTrue="1" operator="notEqual">
      <formula>#REF!</formula>
    </cfRule>
  </conditionalFormatting>
  <conditionalFormatting sqref="T89:U89 Q91 T90 O89:O90 P89:Q89 R89:S91">
    <cfRule type="cellIs" dxfId="784" priority="7" stopIfTrue="1" operator="notEqual">
      <formula>#REF!</formula>
    </cfRule>
  </conditionalFormatting>
  <conditionalFormatting sqref="Q36">
    <cfRule type="expression" dxfId="783" priority="6">
      <formula>#REF!&lt;&gt;#REF!</formula>
    </cfRule>
  </conditionalFormatting>
  <conditionalFormatting sqref="R35">
    <cfRule type="expression" dxfId="782" priority="5">
      <formula>#REF!&lt;&gt;0</formula>
    </cfRule>
  </conditionalFormatting>
  <conditionalFormatting sqref="Q35">
    <cfRule type="expression" dxfId="781" priority="4">
      <formula>#REF!&lt;&gt;0</formula>
    </cfRule>
  </conditionalFormatting>
  <conditionalFormatting sqref="R36">
    <cfRule type="expression" dxfId="780" priority="3">
      <formula>#REF!&lt;&gt;#REF!</formula>
    </cfRule>
  </conditionalFormatting>
  <conditionalFormatting sqref="G59:K59">
    <cfRule type="expression" dxfId="779" priority="1">
      <formula>OR($P$105&gt;0,$P$106&lt;&gt;0,$P$107&lt;&gt;0)</formula>
    </cfRule>
  </conditionalFormatting>
  <hyperlinks>
    <hyperlink ref="O2" location="Index!A1" display="Return to Index" xr:uid="{00000000-0004-0000-5F00-000000000000}"/>
  </hyperlinks>
  <printOptions horizontalCentered="1"/>
  <pageMargins left="0.5" right="0.5" top="0.25" bottom="0.25" header="0" footer="0.25"/>
  <pageSetup scale="10" orientation="landscape"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82"/>
  <dimension ref="A1:G30"/>
  <sheetViews>
    <sheetView showGridLines="0" zoomScale="80" zoomScaleNormal="80" workbookViewId="0">
      <selection activeCell="E74" sqref="E74:F74"/>
    </sheetView>
  </sheetViews>
  <sheetFormatPr defaultColWidth="9.140625" defaultRowHeight="12.75"/>
  <cols>
    <col min="1" max="1" width="7" style="53" customWidth="1"/>
    <col min="2" max="2" width="93.140625" style="53" customWidth="1"/>
    <col min="3" max="3" width="19.28515625" style="53" customWidth="1"/>
    <col min="4" max="9" width="9.140625" style="53"/>
    <col min="10" max="10" width="14.28515625" style="53" customWidth="1"/>
    <col min="11" max="16384" width="9.140625" style="53"/>
  </cols>
  <sheetData>
    <row r="1" spans="2:6" ht="18.75" thickBot="1">
      <c r="B1" s="466" t="str">
        <f>'TAMUT Chrts'!$A$1</f>
        <v>Texas A&amp;M University - Texarkana</v>
      </c>
      <c r="C1" s="835" t="s">
        <v>1200</v>
      </c>
    </row>
    <row r="2" spans="2:6">
      <c r="B2" s="393" t="str">
        <f>'Smmy Chrts'!$A$2</f>
        <v>For the Year Ended August 31, 2021</v>
      </c>
    </row>
    <row r="3" spans="2:6">
      <c r="B3" s="393" t="str">
        <f>'Smmy Chrts'!$A$3</f>
        <v>Source: FY 2021 Annual Financial Report</v>
      </c>
    </row>
    <row r="5" spans="2:6" customFormat="1">
      <c r="B5" s="529" t="s">
        <v>705</v>
      </c>
    </row>
    <row r="6" spans="2:6" customFormat="1">
      <c r="B6" s="530"/>
    </row>
    <row r="7" spans="2:6" customFormat="1" ht="226.5" customHeight="1">
      <c r="B7" s="531" t="s">
        <v>706</v>
      </c>
      <c r="C7" s="532"/>
    </row>
    <row r="8" spans="2:6" customFormat="1" ht="263.25" customHeight="1">
      <c r="B8" s="531" t="s">
        <v>707</v>
      </c>
    </row>
    <row r="9" spans="2:6" ht="64.5" customHeight="1">
      <c r="B9" s="533" t="str">
        <f>IF('TAMUT FGD'!$R$76="N/A","FN11.  N/A",$B$20&amp;$B$21&amp;$B$22&amp;$B$23&amp;$B$24&amp;$B$25&amp;$B$26&amp;$B$27&amp;$B$28&amp;$B$29&amp;$B$30)</f>
        <v>FN11: Of the net increase of $9,535,911 approximately $4.8 million represents revenues received but not yet expended. This income is fully committed to program expenditures and capital disbursements. The remaining $4.7 million represents non-expendable funds from unrealized gains and additions to permanent endowments of approximately $4.4 million and $310 thousand respectively. Unrealized gains and additions to permanent endowments do not contribute to the availability of the institution's operating cash as discussed in FN6 and FN7.</v>
      </c>
      <c r="E9" s="131"/>
      <c r="F9" s="105"/>
    </row>
    <row r="20" spans="1:7">
      <c r="B20" s="105" t="s">
        <v>681</v>
      </c>
      <c r="G20" s="105"/>
    </row>
    <row r="21" spans="1:7">
      <c r="A21" s="53">
        <v>69</v>
      </c>
      <c r="B21" s="131" t="str">
        <f>TEXT(IF('TAMUT FGD'!$M$85&lt;0,"N/A",'TAMUT FGD'!$M$85),"$* #,##0;$* (#,##0)")</f>
        <v>$9,535,911</v>
      </c>
      <c r="C21" s="480"/>
      <c r="D21" s="480"/>
      <c r="E21" s="480"/>
      <c r="G21" s="105"/>
    </row>
    <row r="22" spans="1:7">
      <c r="B22" s="105" t="s">
        <v>682</v>
      </c>
    </row>
    <row r="23" spans="1:7">
      <c r="A23" s="53">
        <v>61</v>
      </c>
      <c r="B23" s="515" t="str">
        <f>IF(ABS('TAMUT FGD'!$R$77)&gt;=1000000,TEXT('TAMUT FGD'!$R$77/1000000,"$* #,##0.0;$* (#,##0.0)")&amp;" million",IF(ABS('TAMUT FGD'!$R$77)&lt;1000,TEXT('TAMUT FGD'!$R$77,"$* #,##0;$* (#,##0)"),TEXT('TAMUT FGD'!$R$77/1000,"$* #,##0;$* (#,##0)")&amp;" thousand"))</f>
        <v>$4.8 million</v>
      </c>
      <c r="C23" s="515"/>
      <c r="E23" s="515"/>
    </row>
    <row r="24" spans="1:7">
      <c r="B24" s="105" t="s">
        <v>708</v>
      </c>
    </row>
    <row r="25" spans="1:7">
      <c r="A25" s="53">
        <v>62</v>
      </c>
      <c r="B25" s="515" t="str">
        <f>IF(ABS('TAMUT FGD'!$R$78)&gt;=1000000,TEXT('TAMUT FGD'!$R$78/1000000,"$* #,##0.0;$* (#,##0.0)")&amp;" million",IF(ABS('TAMUT FGD'!$R$78)&lt;1000,TEXT('TAMUT FGD'!$R$78,"$* #,##0;$* (#,##0)"),TEXT('TAMUT FGD'!$R$78/1000,"$* #,##0;$* (#,##0)")&amp;" thousand"))</f>
        <v>$4.7 million</v>
      </c>
      <c r="C25" s="515"/>
      <c r="E25" s="515"/>
    </row>
    <row r="26" spans="1:7">
      <c r="B26" s="105" t="s">
        <v>683</v>
      </c>
    </row>
    <row r="27" spans="1:7">
      <c r="A27" s="53">
        <v>64</v>
      </c>
      <c r="B27" s="515" t="str">
        <f>IF(ABS('TAMUT FGD'!$R$80)&gt;=1000000,TEXT('TAMUT FGD'!$R$80/1000000,"$* #,##0.0;$* (#,##0.0)")&amp;" million",IF(ABS('TAMUT FGD'!$R$80)&lt;1000,TEXT('TAMUT FGD'!$R$80,"$* #,##0;$* (#,##0)"),TEXT('TAMUT FGD'!$R$80/1000,"$* #,##0;$* (#,##0)")&amp;" thousand"))</f>
        <v>$4.4 million</v>
      </c>
      <c r="C27" s="515"/>
      <c r="E27" s="515"/>
    </row>
    <row r="28" spans="1:7">
      <c r="B28" s="105" t="s">
        <v>684</v>
      </c>
    </row>
    <row r="29" spans="1:7">
      <c r="A29" s="53">
        <v>66</v>
      </c>
      <c r="B29" s="515" t="str">
        <f>IF(ABS('TAMUT FGD'!$R$82)&gt;=1000000,TEXT('TAMUT FGD'!$R$82/1000000,"$* #,##0.0;$* (#,##0.0)")&amp;" million",IF(ABS('TAMUT FGD'!$R$82)&lt;1000,TEXT('TAMUT FGD'!$R$82,"$* #,##0;$* (#,##0)"),TEXT('TAMUT FGD'!$R$82/1000,"$* #,##0;$* (#,##0)")&amp;" thousand"))</f>
        <v>$310 thousand</v>
      </c>
      <c r="C29" s="515"/>
      <c r="E29" s="515"/>
    </row>
    <row r="30" spans="1:7">
      <c r="B30" s="105" t="s">
        <v>709</v>
      </c>
    </row>
  </sheetData>
  <hyperlinks>
    <hyperlink ref="C1" location="Index!A1" display="Return to Index" xr:uid="{00000000-0004-0000-6000-000000000000}"/>
  </hyperlinks>
  <pageMargins left="0.25" right="0.25" top="0.25" bottom="0.25" header="0" footer="0.25"/>
  <pageSetup orientation="portrait"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tabColor indexed="47"/>
    <pageSetUpPr fitToPage="1"/>
  </sheetPr>
  <dimension ref="A1:E165"/>
  <sheetViews>
    <sheetView showGridLines="0" zoomScale="65" zoomScaleNormal="65" zoomScaleSheetLayoutView="65" workbookViewId="0">
      <selection activeCell="B78" sqref="B78"/>
    </sheetView>
  </sheetViews>
  <sheetFormatPr defaultColWidth="9.140625" defaultRowHeight="12.75" customHeight="1"/>
  <cols>
    <col min="1" max="1" width="158.7109375" style="53" customWidth="1"/>
    <col min="2" max="2" width="22.28515625" style="53" customWidth="1"/>
    <col min="3" max="3" width="50.5703125" style="679" customWidth="1"/>
    <col min="4" max="4" width="20.7109375" style="679" customWidth="1"/>
    <col min="5" max="5" width="9.140625" style="679"/>
    <col min="6" max="16384" width="9.140625" style="53"/>
  </cols>
  <sheetData>
    <row r="1" spans="1:5" ht="28.5" thickBot="1">
      <c r="A1" s="159" t="s">
        <v>271</v>
      </c>
      <c r="B1" s="835" t="s">
        <v>1200</v>
      </c>
      <c r="C1" s="679" t="s">
        <v>1329</v>
      </c>
    </row>
    <row r="2" spans="1:5" ht="27.75">
      <c r="A2" s="54" t="str">
        <f>'Smmy Chrts'!$A$2</f>
        <v>For the Year Ended August 31, 2021</v>
      </c>
      <c r="C2" s="679" t="s">
        <v>63</v>
      </c>
    </row>
    <row r="3" spans="1:5" ht="27.75">
      <c r="A3" s="54" t="str">
        <f>'Smmy Chrts'!$A$3</f>
        <v>Source: FY 2021 Annual Financial Report</v>
      </c>
      <c r="C3" s="679" t="s">
        <v>64</v>
      </c>
    </row>
    <row r="4" spans="1:5" ht="12.75" customHeight="1">
      <c r="C4" s="679" t="s">
        <v>267</v>
      </c>
    </row>
    <row r="5" spans="1:5" ht="12.75" customHeight="1">
      <c r="C5" s="679" t="s">
        <v>268</v>
      </c>
    </row>
    <row r="7" spans="1:5" ht="12.75" customHeight="1">
      <c r="C7" s="1760" t="s">
        <v>25</v>
      </c>
      <c r="D7" s="1760"/>
    </row>
    <row r="8" spans="1:5" ht="12.75" customHeight="1">
      <c r="C8" s="683"/>
      <c r="D8" s="684"/>
    </row>
    <row r="9" spans="1:5" ht="12.75" customHeight="1">
      <c r="C9" s="685" t="str">
        <f>'TAMUCT Sum'!A9</f>
        <v>State of Texas</v>
      </c>
      <c r="D9" s="686">
        <f>'TAMUCT Sum'!B15</f>
        <v>18794464</v>
      </c>
      <c r="E9" s="680">
        <f>ROUND(D9/$D$14,3)</f>
        <v>0.45100000000000001</v>
      </c>
    </row>
    <row r="10" spans="1:5" ht="12.75" customHeight="1">
      <c r="C10" s="685" t="str">
        <f>'TAMUCT Sum'!A17</f>
        <v>Student &amp; Parent</v>
      </c>
      <c r="D10" s="686">
        <f>'TAMUCT Sum'!B20</f>
        <v>12660399</v>
      </c>
      <c r="E10" s="680">
        <f t="shared" ref="E10:E12" si="0">ROUND(D10/$D$14,3)</f>
        <v>0.30399999999999999</v>
      </c>
    </row>
    <row r="11" spans="1:5" ht="12.75" customHeight="1">
      <c r="C11" s="685" t="str">
        <f>'TAMUCT Sum'!A22</f>
        <v>Federal Government</v>
      </c>
      <c r="D11" s="686">
        <f>'TAMUCT Sum'!B23</f>
        <v>8130294</v>
      </c>
      <c r="E11" s="680">
        <f t="shared" si="0"/>
        <v>0.19500000000000001</v>
      </c>
    </row>
    <row r="12" spans="1:5" ht="12.75" customHeight="1">
      <c r="C12" s="685" t="str">
        <f>'TAMUCT Sum'!A25</f>
        <v>Institutional Resources</v>
      </c>
      <c r="D12" s="686">
        <f>'TAMUCT Sum'!B32</f>
        <v>2120145</v>
      </c>
      <c r="E12" s="680">
        <f t="shared" si="0"/>
        <v>5.0999999999999997E-2</v>
      </c>
    </row>
    <row r="13" spans="1:5" ht="12.75" customHeight="1">
      <c r="C13" s="683"/>
      <c r="D13" s="684"/>
      <c r="E13" s="680"/>
    </row>
    <row r="14" spans="1:5" ht="12.75" customHeight="1">
      <c r="C14" s="687" t="s">
        <v>68</v>
      </c>
      <c r="D14" s="688">
        <f>SUM(D9:D13)</f>
        <v>41705302</v>
      </c>
      <c r="E14" s="680">
        <f>SUM(E9:E13)</f>
        <v>1.0009999999999999</v>
      </c>
    </row>
    <row r="20" spans="1:3" ht="12.75" customHeight="1">
      <c r="C20" s="679" t="s">
        <v>88</v>
      </c>
    </row>
    <row r="21" spans="1:3" ht="12.75" customHeight="1">
      <c r="C21" s="679" t="s">
        <v>89</v>
      </c>
    </row>
    <row r="22" spans="1:3" ht="12.75" customHeight="1">
      <c r="C22" s="679" t="s">
        <v>90</v>
      </c>
    </row>
    <row r="23" spans="1:3" ht="12.75" customHeight="1">
      <c r="A23" s="56"/>
      <c r="C23" s="679" t="s">
        <v>91</v>
      </c>
    </row>
    <row r="24" spans="1:3" ht="12.75" customHeight="1">
      <c r="A24" s="56"/>
    </row>
    <row r="25" spans="1:3" ht="12.75" customHeight="1">
      <c r="A25" s="56"/>
    </row>
    <row r="26" spans="1:3" ht="12.75" customHeight="1">
      <c r="A26" s="56"/>
    </row>
    <row r="27" spans="1:3" ht="12.75" customHeight="1">
      <c r="A27" s="56"/>
    </row>
    <row r="28" spans="1:3" ht="12.75" customHeight="1">
      <c r="A28" s="56"/>
      <c r="C28" s="679" t="s">
        <v>269</v>
      </c>
    </row>
    <row r="29" spans="1:3" ht="12.75" customHeight="1">
      <c r="A29" s="56"/>
    </row>
    <row r="30" spans="1:3" ht="12.75" customHeight="1">
      <c r="A30" s="56"/>
    </row>
    <row r="31" spans="1:3" ht="12.75" customHeight="1">
      <c r="A31" s="56"/>
    </row>
    <row r="32" spans="1:3" ht="12.75" customHeight="1">
      <c r="A32" s="56"/>
    </row>
    <row r="33" spans="1:1" ht="12.75" customHeight="1">
      <c r="A33" s="56"/>
    </row>
    <row r="34" spans="1:1" ht="12.75" customHeight="1">
      <c r="A34" s="56"/>
    </row>
    <row r="35" spans="1:1" ht="12.75" customHeight="1">
      <c r="A35" s="56"/>
    </row>
    <row r="36" spans="1:1" ht="12.75" customHeight="1">
      <c r="A36" s="56"/>
    </row>
    <row r="37" spans="1:1" ht="12.75" customHeight="1">
      <c r="A37" s="56"/>
    </row>
    <row r="38" spans="1:1" ht="12.75" customHeight="1">
      <c r="A38" s="56"/>
    </row>
    <row r="39" spans="1:1" ht="12.75" customHeight="1">
      <c r="A39" s="56"/>
    </row>
    <row r="40" spans="1:1" ht="12.75" customHeight="1">
      <c r="A40" s="56"/>
    </row>
    <row r="41" spans="1:1" ht="12.75" customHeight="1">
      <c r="A41" s="56"/>
    </row>
    <row r="42" spans="1:1" ht="12.75" customHeight="1">
      <c r="A42" s="56"/>
    </row>
    <row r="43" spans="1:1" ht="12.75" customHeight="1">
      <c r="A43" s="56"/>
    </row>
    <row r="44" spans="1:1" ht="12.75" customHeight="1">
      <c r="A44" s="56"/>
    </row>
    <row r="45" spans="1:1" ht="12.75" customHeight="1">
      <c r="A45" s="56"/>
    </row>
    <row r="46" spans="1:1" ht="12.75" customHeight="1">
      <c r="A46" s="56"/>
    </row>
    <row r="47" spans="1:1" ht="12.75" customHeight="1">
      <c r="A47" s="1686" t="str">
        <f>C14&amp;" "&amp;TEXT(D14,"$#,###")</f>
        <v>Total Operating Sources $41,705,302</v>
      </c>
    </row>
    <row r="48" spans="1:1" ht="12.75" customHeight="1">
      <c r="A48" s="1686"/>
    </row>
    <row r="49" spans="1:5" ht="12.75" customHeight="1">
      <c r="A49" s="56"/>
    </row>
    <row r="52" spans="1:5" ht="12.75" customHeight="1">
      <c r="C52" s="689" t="s">
        <v>25</v>
      </c>
      <c r="D52" s="684"/>
    </row>
    <row r="54" spans="1:5" ht="12.75" customHeight="1">
      <c r="C54" s="685" t="s">
        <v>1</v>
      </c>
      <c r="D54" s="686">
        <f>'TAMUCT Sum'!B10</f>
        <v>18317955</v>
      </c>
      <c r="E54" s="680">
        <f>ROUND(D54/$D$67,3)</f>
        <v>0.439</v>
      </c>
    </row>
    <row r="55" spans="1:5" ht="12.75" customHeight="1">
      <c r="C55" s="685" t="s">
        <v>221</v>
      </c>
      <c r="D55" s="686">
        <f>'TAMUCT Sum'!B11</f>
        <v>476509</v>
      </c>
      <c r="E55" s="680">
        <f t="shared" ref="E55:E66" si="1">ROUND(D55/$D$67,3)</f>
        <v>1.0999999999999999E-2</v>
      </c>
    </row>
    <row r="56" spans="1:5" ht="12.75" customHeight="1">
      <c r="C56" s="1070"/>
      <c r="D56" s="686"/>
      <c r="E56" s="680"/>
    </row>
    <row r="57" spans="1:5" ht="12.75" customHeight="1">
      <c r="C57" s="1070" t="str">
        <f>'TAMUCT Sum'!A13</f>
        <v>Higher Education Fund</v>
      </c>
      <c r="D57" s="686">
        <f>'TAMUCT Sum'!B13</f>
        <v>0</v>
      </c>
      <c r="E57" s="680">
        <f t="shared" si="1"/>
        <v>0</v>
      </c>
    </row>
    <row r="58" spans="1:5" ht="12.75" customHeight="1">
      <c r="C58" s="1070" t="s">
        <v>41</v>
      </c>
      <c r="D58" s="686">
        <f>'TAMUCT Sum'!B14</f>
        <v>0</v>
      </c>
      <c r="E58" s="680">
        <f t="shared" si="1"/>
        <v>0</v>
      </c>
    </row>
    <row r="59" spans="1:5" ht="12.75" customHeight="1">
      <c r="C59" s="685" t="s">
        <v>87</v>
      </c>
      <c r="D59" s="686">
        <f>'TAMUCT Sum'!B20</f>
        <v>12660399</v>
      </c>
      <c r="E59" s="680">
        <f t="shared" si="1"/>
        <v>0.30399999999999999</v>
      </c>
    </row>
    <row r="60" spans="1:5" ht="12.75" customHeight="1">
      <c r="C60" s="690" t="s">
        <v>74</v>
      </c>
      <c r="D60" s="686">
        <f>'TAMUCT Sum'!B23</f>
        <v>8130294</v>
      </c>
      <c r="E60" s="680">
        <f t="shared" si="1"/>
        <v>0.19500000000000001</v>
      </c>
    </row>
    <row r="61" spans="1:5" ht="12.75" customHeight="1">
      <c r="C61" s="685" t="s">
        <v>75</v>
      </c>
      <c r="D61" s="686">
        <f>'TAMUCT Sum'!B26</f>
        <v>1014308</v>
      </c>
      <c r="E61" s="680">
        <f t="shared" si="1"/>
        <v>2.4E-2</v>
      </c>
    </row>
    <row r="62" spans="1:5" ht="12.75" customHeight="1">
      <c r="C62" s="1070" t="s">
        <v>27</v>
      </c>
      <c r="D62" s="686">
        <f>'TAMUCT Sum'!B27</f>
        <v>0</v>
      </c>
      <c r="E62" s="680">
        <f t="shared" si="1"/>
        <v>0</v>
      </c>
    </row>
    <row r="63" spans="1:5" ht="12.75" customHeight="1">
      <c r="C63" s="685" t="s">
        <v>76</v>
      </c>
      <c r="D63" s="686">
        <f>'TAMUCT Sum'!B28</f>
        <v>630515</v>
      </c>
      <c r="E63" s="680">
        <f t="shared" si="1"/>
        <v>1.4999999999999999E-2</v>
      </c>
    </row>
    <row r="64" spans="1:5" ht="12.75" customHeight="1">
      <c r="C64" s="685" t="s">
        <v>77</v>
      </c>
      <c r="D64" s="686">
        <f>'TAMUCT Sum'!B29</f>
        <v>260882</v>
      </c>
      <c r="E64" s="680">
        <f t="shared" si="1"/>
        <v>6.0000000000000001E-3</v>
      </c>
    </row>
    <row r="65" spans="1:5" ht="12.75" customHeight="1">
      <c r="C65" s="685" t="s">
        <v>220</v>
      </c>
      <c r="D65" s="686">
        <f>'TAMUCT Sum'!B30</f>
        <v>50756</v>
      </c>
      <c r="E65" s="680">
        <f t="shared" si="1"/>
        <v>1E-3</v>
      </c>
    </row>
    <row r="66" spans="1:5" ht="12.75" customHeight="1">
      <c r="C66" s="690" t="s">
        <v>52</v>
      </c>
      <c r="D66" s="686">
        <f>'TAMUCT Sum'!B31</f>
        <v>163684</v>
      </c>
      <c r="E66" s="680">
        <f t="shared" si="1"/>
        <v>4.0000000000000001E-3</v>
      </c>
    </row>
    <row r="67" spans="1:5" ht="12.75" customHeight="1">
      <c r="C67" s="687" t="s">
        <v>68</v>
      </c>
      <c r="D67" s="688">
        <f>SUM(D54:D66)</f>
        <v>41705302</v>
      </c>
      <c r="E67" s="681">
        <f>SUM(E54:E66)</f>
        <v>0.99900000000000011</v>
      </c>
    </row>
    <row r="76" spans="1:5" ht="12.75" customHeight="1">
      <c r="A76" s="56"/>
    </row>
    <row r="77" spans="1:5" ht="12.75" customHeight="1">
      <c r="A77" s="56"/>
    </row>
    <row r="78" spans="1:5" ht="12.75" customHeight="1">
      <c r="A78" s="56"/>
    </row>
    <row r="79" spans="1:5" ht="12.75" customHeight="1">
      <c r="A79" s="56"/>
    </row>
    <row r="80" spans="1:5" ht="12.75" customHeight="1">
      <c r="A80" s="65"/>
    </row>
    <row r="81" spans="1:5" ht="12.75" customHeight="1">
      <c r="A81" s="65"/>
    </row>
    <row r="82" spans="1:5" ht="12.75" customHeight="1">
      <c r="A82" s="65"/>
    </row>
    <row r="83" spans="1:5" ht="12.75" customHeight="1">
      <c r="A83" s="65"/>
    </row>
    <row r="84" spans="1:5" ht="12.75" customHeight="1">
      <c r="A84" s="65"/>
    </row>
    <row r="85" spans="1:5" ht="12.75" customHeight="1">
      <c r="A85" s="65"/>
    </row>
    <row r="86" spans="1:5" ht="12.75" customHeight="1">
      <c r="A86" s="65"/>
    </row>
    <row r="87" spans="1:5" ht="12.75" customHeight="1">
      <c r="A87" s="65"/>
    </row>
    <row r="88" spans="1:5" ht="12.75" customHeight="1">
      <c r="A88" s="65"/>
    </row>
    <row r="89" spans="1:5" ht="12.75" customHeight="1">
      <c r="A89" s="65"/>
    </row>
    <row r="90" spans="1:5" ht="12.75" customHeight="1">
      <c r="A90" s="65"/>
    </row>
    <row r="91" spans="1:5" ht="12.75" customHeight="1">
      <c r="A91" s="65"/>
    </row>
    <row r="92" spans="1:5" ht="12.75" customHeight="1">
      <c r="A92" s="1686" t="str">
        <f>C67&amp;" "&amp;TEXT(D67,"$#,###")</f>
        <v>Total Operating Sources $41,705,302</v>
      </c>
    </row>
    <row r="93" spans="1:5" ht="12.75" customHeight="1">
      <c r="A93" s="1686"/>
    </row>
    <row r="94" spans="1:5" ht="12.75" customHeight="1">
      <c r="A94" s="65"/>
    </row>
    <row r="95" spans="1:5" s="68" customFormat="1" ht="12.75" customHeight="1">
      <c r="A95" s="66"/>
      <c r="C95" s="682"/>
      <c r="D95" s="682"/>
      <c r="E95" s="682"/>
    </row>
    <row r="96" spans="1:5" ht="12.75" customHeight="1">
      <c r="A96" s="65"/>
    </row>
    <row r="97" spans="1:5" ht="12.75" customHeight="1">
      <c r="A97" s="65"/>
    </row>
    <row r="98" spans="1:5" ht="12.75" customHeight="1">
      <c r="A98" s="65"/>
    </row>
    <row r="100" spans="1:5" ht="12.75" customHeight="1">
      <c r="C100" s="1760" t="s">
        <v>13</v>
      </c>
      <c r="D100" s="1760"/>
    </row>
    <row r="101" spans="1:5" ht="12.75" customHeight="1">
      <c r="C101" s="1760"/>
      <c r="D101" s="1760"/>
    </row>
    <row r="102" spans="1:5" ht="12.75" customHeight="1">
      <c r="C102" s="691" t="s">
        <v>14</v>
      </c>
      <c r="D102" s="686">
        <f>'TAMUCT Sum'!B36</f>
        <v>10849521</v>
      </c>
      <c r="E102" s="680">
        <f>ROUND(D102/$D$114,3)</f>
        <v>0.307</v>
      </c>
    </row>
    <row r="103" spans="1:5" ht="12.75" customHeight="1">
      <c r="C103" s="691" t="s">
        <v>15</v>
      </c>
      <c r="D103" s="686">
        <f>'TAMUCT Sum'!B37</f>
        <v>1121634</v>
      </c>
      <c r="E103" s="680">
        <f t="shared" ref="E103:E112" si="2">ROUND(D103/$D$114,3)</f>
        <v>3.2000000000000001E-2</v>
      </c>
    </row>
    <row r="104" spans="1:5" ht="12.75" customHeight="1">
      <c r="C104" s="691" t="s">
        <v>16</v>
      </c>
      <c r="D104" s="686">
        <f>'TAMUCT Sum'!B38</f>
        <v>22434</v>
      </c>
      <c r="E104" s="680">
        <f t="shared" si="2"/>
        <v>1E-3</v>
      </c>
    </row>
    <row r="105" spans="1:5" ht="12.75" customHeight="1">
      <c r="C105" s="691" t="s">
        <v>17</v>
      </c>
      <c r="D105" s="686">
        <f>'TAMUCT Sum'!B39</f>
        <v>5750444</v>
      </c>
      <c r="E105" s="680">
        <f t="shared" si="2"/>
        <v>0.16200000000000001</v>
      </c>
    </row>
    <row r="106" spans="1:5" ht="12.75" customHeight="1">
      <c r="C106" s="691" t="s">
        <v>18</v>
      </c>
      <c r="D106" s="686">
        <f>'TAMUCT Sum'!B40</f>
        <v>5704958</v>
      </c>
      <c r="E106" s="680">
        <f t="shared" si="2"/>
        <v>0.161</v>
      </c>
    </row>
    <row r="107" spans="1:5" ht="12.75" customHeight="1">
      <c r="C107" s="691" t="s">
        <v>19</v>
      </c>
      <c r="D107" s="686">
        <f>'TAMUCT Sum'!B41</f>
        <v>4251515</v>
      </c>
      <c r="E107" s="680">
        <f t="shared" si="2"/>
        <v>0.12</v>
      </c>
    </row>
    <row r="108" spans="1:5" ht="12.75" customHeight="1">
      <c r="C108" s="691" t="s">
        <v>78</v>
      </c>
      <c r="D108" s="686">
        <f>'TAMUCT Sum'!B42</f>
        <v>2329908</v>
      </c>
      <c r="E108" s="680">
        <f t="shared" si="2"/>
        <v>6.6000000000000003E-2</v>
      </c>
    </row>
    <row r="109" spans="1:5" ht="12.75" customHeight="1">
      <c r="C109" s="691" t="s">
        <v>79</v>
      </c>
      <c r="D109" s="686">
        <f>'TAMUCT Sum'!B43</f>
        <v>3828798</v>
      </c>
      <c r="E109" s="680">
        <f t="shared" si="2"/>
        <v>0.108</v>
      </c>
    </row>
    <row r="110" spans="1:5" ht="12.75" customHeight="1">
      <c r="C110" s="691" t="s">
        <v>22</v>
      </c>
      <c r="D110" s="686">
        <f>'TAMUCT Sum'!B44</f>
        <v>148590</v>
      </c>
      <c r="E110" s="680">
        <f t="shared" si="2"/>
        <v>4.0000000000000001E-3</v>
      </c>
    </row>
    <row r="111" spans="1:5" ht="12.75" customHeight="1">
      <c r="C111" s="690" t="s">
        <v>29</v>
      </c>
      <c r="D111" s="686">
        <f>'TAMUCT Sum'!B45</f>
        <v>257227</v>
      </c>
      <c r="E111" s="680">
        <f t="shared" si="2"/>
        <v>7.0000000000000001E-3</v>
      </c>
    </row>
    <row r="112" spans="1:5" ht="12.75" customHeight="1">
      <c r="C112" s="690" t="s">
        <v>53</v>
      </c>
      <c r="D112" s="686">
        <f>'TAMUCT Sum'!B46</f>
        <v>1130973</v>
      </c>
      <c r="E112" s="680">
        <f t="shared" si="2"/>
        <v>3.2000000000000001E-2</v>
      </c>
    </row>
    <row r="113" spans="3:5" ht="12.75" customHeight="1">
      <c r="C113" s="683"/>
      <c r="D113" s="683"/>
    </row>
    <row r="114" spans="3:5" ht="12.75" customHeight="1">
      <c r="C114" s="692" t="s">
        <v>69</v>
      </c>
      <c r="D114" s="688">
        <f>SUM(D102:D113)</f>
        <v>35396002</v>
      </c>
      <c r="E114" s="681">
        <f>SUM(E102:E113)</f>
        <v>1</v>
      </c>
    </row>
    <row r="115" spans="3:5" ht="12.75" customHeight="1">
      <c r="D115" s="683"/>
    </row>
    <row r="116" spans="3:5" ht="12.75" customHeight="1">
      <c r="C116" s="693" t="s">
        <v>55</v>
      </c>
      <c r="D116" s="683"/>
    </row>
    <row r="131" spans="1:1" ht="12.75" customHeight="1">
      <c r="A131" s="64"/>
    </row>
    <row r="132" spans="1:1" ht="12.75" customHeight="1">
      <c r="A132" s="56"/>
    </row>
    <row r="133" spans="1:1" ht="12.75" customHeight="1">
      <c r="A133" s="56"/>
    </row>
    <row r="134" spans="1:1" ht="12.75" customHeight="1">
      <c r="A134" s="56"/>
    </row>
    <row r="135" spans="1:1" ht="12.75" customHeight="1">
      <c r="A135" s="56"/>
    </row>
    <row r="136" spans="1:1" ht="12.75" customHeight="1">
      <c r="A136" s="1686" t="str">
        <f>C114&amp;" "&amp;TEXT(D114,"$#,###")</f>
        <v>Total Operating Uses $35,396,002</v>
      </c>
    </row>
    <row r="137" spans="1:1" ht="12.75" customHeight="1">
      <c r="A137" s="1686"/>
    </row>
    <row r="138" spans="1:1" ht="12.75" customHeight="1">
      <c r="A138" s="56"/>
    </row>
    <row r="139" spans="1:1" ht="16.5" customHeight="1">
      <c r="A139" s="72" t="s">
        <v>70</v>
      </c>
    </row>
    <row r="140" spans="1:1" ht="19.5" customHeight="1">
      <c r="A140" s="59" t="s">
        <v>56</v>
      </c>
    </row>
    <row r="141" spans="1:1" ht="13.5" customHeight="1">
      <c r="A141" s="56"/>
    </row>
    <row r="142" spans="1:1" ht="13.5" customHeight="1">
      <c r="A142" s="56"/>
    </row>
    <row r="143" spans="1:1" ht="13.5" customHeight="1">
      <c r="A143" s="56"/>
    </row>
    <row r="144" spans="1:1" ht="13.5" customHeight="1">
      <c r="A144" s="56"/>
    </row>
    <row r="145" spans="1:1" ht="13.5" customHeight="1">
      <c r="A145" s="56"/>
    </row>
    <row r="146" spans="1:1" ht="12.75" customHeight="1">
      <c r="A146" s="73"/>
    </row>
    <row r="147" spans="1:1" ht="12.75" customHeight="1">
      <c r="A147" s="73"/>
    </row>
    <row r="148" spans="1:1" ht="12.75" customHeight="1">
      <c r="A148" s="73"/>
    </row>
    <row r="149" spans="1:1" ht="12.75" customHeight="1">
      <c r="A149" s="67"/>
    </row>
    <row r="150" spans="1:1" ht="12.75" customHeight="1">
      <c r="A150" s="67"/>
    </row>
    <row r="151" spans="1:1" ht="12.75" customHeight="1">
      <c r="A151" s="67"/>
    </row>
    <row r="152" spans="1:1" ht="12.75" customHeight="1">
      <c r="A152" s="67"/>
    </row>
    <row r="153" spans="1:1" ht="12.75" customHeight="1">
      <c r="A153" s="67"/>
    </row>
    <row r="154" spans="1:1" ht="12.75" customHeight="1">
      <c r="A154" s="67"/>
    </row>
    <row r="155" spans="1:1" ht="12.75" customHeight="1">
      <c r="A155" s="67"/>
    </row>
    <row r="156" spans="1:1" ht="12.75" customHeight="1">
      <c r="A156" s="67"/>
    </row>
    <row r="157" spans="1:1" ht="12.75" customHeight="1">
      <c r="A157" s="67"/>
    </row>
    <row r="158" spans="1:1" ht="12.75" customHeight="1">
      <c r="A158" s="67"/>
    </row>
    <row r="159" spans="1:1" ht="12.75" customHeight="1">
      <c r="A159" s="67"/>
    </row>
    <row r="160" spans="1:1" ht="12.75" customHeight="1">
      <c r="A160" s="67"/>
    </row>
    <row r="161" spans="1:1" ht="12.75" customHeight="1">
      <c r="A161" s="67"/>
    </row>
    <row r="162" spans="1:1" ht="12.75" customHeight="1">
      <c r="A162" s="67"/>
    </row>
    <row r="163" spans="1:1" ht="12.75" customHeight="1">
      <c r="A163" s="67"/>
    </row>
    <row r="164" spans="1:1" ht="12.75" customHeight="1">
      <c r="A164" s="67"/>
    </row>
    <row r="165" spans="1:1" ht="12.75" customHeight="1">
      <c r="A165" s="67"/>
    </row>
  </sheetData>
  <mergeCells count="6">
    <mergeCell ref="A136:A137"/>
    <mergeCell ref="C7:D7"/>
    <mergeCell ref="A47:A48"/>
    <mergeCell ref="A92:A93"/>
    <mergeCell ref="C100:D100"/>
    <mergeCell ref="C101:D101"/>
  </mergeCells>
  <hyperlinks>
    <hyperlink ref="B1" location="Index!A1" display="Return to Index" xr:uid="{00000000-0004-0000-6100-000000000000}"/>
  </hyperlinks>
  <printOptions horizontalCentered="1"/>
  <pageMargins left="0.5" right="0.5" top="0.25" bottom="0.25" header="0.25" footer="0.25"/>
  <pageSetup scale="42" orientation="portrait" r:id="rId1"/>
  <headerFooter alignWithMargins="0"/>
  <rowBreaks count="1" manualBreakCount="1">
    <brk id="118" max="16383" man="1"/>
  </rowBreaks>
  <drawing r:id="rId2"/>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transitionEvaluation="1" transitionEntry="1">
    <tabColor indexed="13"/>
  </sheetPr>
  <dimension ref="A1:AE79"/>
  <sheetViews>
    <sheetView showGridLines="0" zoomScale="85" zoomScaleNormal="85" workbookViewId="0">
      <pane xSplit="1" ySplit="6" topLeftCell="B7" activePane="bottomRight" state="frozen"/>
      <selection activeCell="E74" sqref="E74:F74"/>
      <selection pane="topRight" activeCell="E74" sqref="E74:F74"/>
      <selection pane="bottomLeft" activeCell="E74" sqref="E74:F74"/>
      <selection pane="bottomRight" activeCell="E74" sqref="E74:F74"/>
    </sheetView>
  </sheetViews>
  <sheetFormatPr defaultColWidth="9.140625" defaultRowHeight="12.75"/>
  <cols>
    <col min="1" max="1" width="61.7109375" style="75" customWidth="1"/>
    <col min="2" max="2" width="17.85546875" style="75" customWidth="1"/>
    <col min="3" max="3" width="14.7109375" style="2" customWidth="1"/>
    <col min="4" max="4" width="14" style="261" customWidth="1"/>
    <col min="5" max="5" width="13.140625" style="261" customWidth="1"/>
    <col min="6" max="6" width="17" style="261" customWidth="1"/>
    <col min="7" max="7" width="18.28515625" style="261" customWidth="1"/>
    <col min="8" max="8" width="22.5703125" style="261" customWidth="1"/>
    <col min="9" max="9" width="16" style="261" customWidth="1"/>
    <col min="10" max="10" width="14.28515625" style="261" customWidth="1"/>
    <col min="11" max="11" width="15.7109375" style="261" customWidth="1"/>
    <col min="12" max="12" width="15.42578125" style="261" customWidth="1"/>
    <col min="13" max="13" width="14.42578125" style="261" customWidth="1"/>
    <col min="14" max="15" width="14.28515625" style="261" customWidth="1"/>
    <col min="16" max="16" width="9.140625" style="261"/>
    <col min="17" max="16384" width="9.140625" style="75"/>
  </cols>
  <sheetData>
    <row r="1" spans="1:15" ht="17.25" thickTop="1" thickBot="1">
      <c r="A1" s="156" t="str">
        <f>'TAMUCT Chrts'!$A$1</f>
        <v>Texas A&amp;M University - Central Texas</v>
      </c>
      <c r="B1" s="74"/>
      <c r="C1" s="1"/>
      <c r="D1" s="1704" t="s">
        <v>1200</v>
      </c>
      <c r="E1" s="1705"/>
      <c r="F1" s="1757" t="s">
        <v>1196</v>
      </c>
      <c r="G1" s="1706"/>
      <c r="H1" s="1706"/>
      <c r="I1" s="1706"/>
      <c r="J1" s="1707" t="s">
        <v>1197</v>
      </c>
      <c r="K1" s="1695"/>
      <c r="L1" s="1695"/>
      <c r="M1" s="1695"/>
      <c r="N1" s="1695"/>
      <c r="O1" s="1696"/>
    </row>
    <row r="2" spans="1:15" ht="15.75">
      <c r="A2" s="76" t="str">
        <f>'Smmy Chrts'!$A$2</f>
        <v>For the Year Ended August 31, 2021</v>
      </c>
      <c r="B2" s="74"/>
      <c r="C2" s="1"/>
      <c r="D2" s="37"/>
      <c r="E2" s="37"/>
      <c r="F2" s="37"/>
      <c r="J2" s="37"/>
      <c r="K2" s="37"/>
      <c r="L2" s="37"/>
      <c r="M2" s="37"/>
    </row>
    <row r="3" spans="1:15" ht="15.75">
      <c r="A3" s="76" t="str">
        <f>'Smmy Chrts'!$A$3</f>
        <v>Source: FY 2021 Annual Financial Report</v>
      </c>
      <c r="B3" s="74"/>
      <c r="C3" s="1"/>
    </row>
    <row r="4" spans="1:15" ht="13.5" customHeight="1">
      <c r="B4" s="77"/>
      <c r="C4" s="4"/>
      <c r="D4" s="1711" t="s">
        <v>1142</v>
      </c>
      <c r="E4" s="1711" t="s">
        <v>1143</v>
      </c>
      <c r="F4" s="266"/>
    </row>
    <row r="5" spans="1:15" ht="18">
      <c r="A5" s="39" t="str">
        <f>'Smmy Chrts'!$C$35</f>
        <v>Summary Worksheet FY 2021</v>
      </c>
      <c r="B5" s="40" t="s">
        <v>86</v>
      </c>
      <c r="C5" s="40" t="s">
        <v>129</v>
      </c>
      <c r="D5" s="1712"/>
      <c r="E5" s="1712"/>
      <c r="F5" s="266"/>
      <c r="G5" s="799" t="s">
        <v>1198</v>
      </c>
      <c r="I5" s="822" t="s">
        <v>2157</v>
      </c>
      <c r="J5" s="792" t="s">
        <v>1144</v>
      </c>
    </row>
    <row r="6" spans="1:15" ht="13.5" customHeight="1">
      <c r="A6" s="78" t="s">
        <v>266</v>
      </c>
      <c r="B6" s="41"/>
      <c r="C6" s="42">
        <f>VLOOKUP($A$1,FTSELU,12,FALSE)</f>
        <v>1606.96</v>
      </c>
      <c r="J6" s="712"/>
    </row>
    <row r="7" spans="1:15">
      <c r="I7" s="824" t="s">
        <v>1162</v>
      </c>
      <c r="J7" s="827"/>
    </row>
    <row r="8" spans="1:15">
      <c r="A8" s="81" t="s">
        <v>71</v>
      </c>
      <c r="B8" s="81"/>
      <c r="C8" s="24"/>
      <c r="I8" s="896">
        <f>VLOOKUP(A1,FTSELU,14,FALSE)</f>
        <v>196.74</v>
      </c>
      <c r="J8" s="712"/>
    </row>
    <row r="9" spans="1:15" ht="12.75" customHeight="1" thickBot="1">
      <c r="A9" s="78" t="s">
        <v>0</v>
      </c>
      <c r="B9" s="82"/>
      <c r="C9" s="7"/>
      <c r="J9" s="712"/>
    </row>
    <row r="10" spans="1:15" ht="12.75" customHeight="1" thickTop="1">
      <c r="A10" s="75" t="s">
        <v>1</v>
      </c>
      <c r="B10" s="83">
        <f>'TAMUCT FGD'!M10</f>
        <v>18317955</v>
      </c>
      <c r="C10" s="83">
        <f>ROUND(B10/$C$6,0)</f>
        <v>11399</v>
      </c>
      <c r="D10" s="512">
        <f>'TAMUCT FGD'!F10</f>
        <v>0</v>
      </c>
      <c r="E10" s="512"/>
      <c r="F10" s="84">
        <f>B10-(SUM(D10:E10))</f>
        <v>18317955</v>
      </c>
      <c r="G10" s="1143" t="s">
        <v>1</v>
      </c>
      <c r="H10" s="1144"/>
      <c r="I10" s="825" t="s">
        <v>1161</v>
      </c>
      <c r="J10" s="713">
        <f>ROUND(F10/$C$6,0)</f>
        <v>11399</v>
      </c>
    </row>
    <row r="11" spans="1:15" ht="12.75" customHeight="1" thickBot="1">
      <c r="A11" s="75" t="s">
        <v>2</v>
      </c>
      <c r="B11" s="86">
        <f>'TAMUCT FGD'!M11</f>
        <v>476509</v>
      </c>
      <c r="C11" s="87">
        <f t="shared" ref="C11:C14" si="0">ROUND(B11/$C$6,0)</f>
        <v>297</v>
      </c>
      <c r="D11" s="86">
        <f>'TAMUCT FGD'!F11</f>
        <v>0</v>
      </c>
      <c r="E11" s="74"/>
      <c r="F11" s="606">
        <f t="shared" ref="F11:F14" si="1">B11-(SUM(D11:E11))</f>
        <v>476509</v>
      </c>
      <c r="G11" s="1148">
        <f>SUM(F10:F11)</f>
        <v>18794464</v>
      </c>
      <c r="H11" s="715"/>
      <c r="I11" s="1373">
        <f>ROUND($G$11/$C$6,0)</f>
        <v>11696</v>
      </c>
      <c r="J11" s="716">
        <f t="shared" ref="J11:J14" si="2">ROUND(F11/$C$6,0)</f>
        <v>297</v>
      </c>
    </row>
    <row r="12" spans="1:15" ht="12.75" hidden="1" customHeight="1" thickTop="1" thickBot="1">
      <c r="A12" s="75" t="s">
        <v>1410</v>
      </c>
      <c r="B12" s="86"/>
      <c r="C12" s="87"/>
      <c r="D12" s="86"/>
      <c r="E12" s="74"/>
      <c r="F12" s="607"/>
      <c r="J12" s="716"/>
      <c r="O12" s="608"/>
    </row>
    <row r="13" spans="1:15" ht="12.75" customHeight="1" thickTop="1">
      <c r="A13" s="75" t="s">
        <v>1368</v>
      </c>
      <c r="B13" s="86">
        <f>'TAMUCT FGD'!M13</f>
        <v>0</v>
      </c>
      <c r="C13" s="87">
        <f t="shared" si="0"/>
        <v>0</v>
      </c>
      <c r="D13" s="86">
        <f>'TAMUCT FGD'!F13</f>
        <v>0</v>
      </c>
      <c r="E13" s="74"/>
      <c r="F13" s="893">
        <f t="shared" si="1"/>
        <v>0</v>
      </c>
      <c r="G13" s="882" t="s">
        <v>81</v>
      </c>
      <c r="H13" s="894"/>
      <c r="I13" s="826" t="s">
        <v>1163</v>
      </c>
      <c r="J13" s="716">
        <f t="shared" si="2"/>
        <v>0</v>
      </c>
    </row>
    <row r="14" spans="1:15" ht="12.75" customHeight="1" thickBot="1">
      <c r="A14" s="75" t="s">
        <v>49</v>
      </c>
      <c r="B14" s="86">
        <f>'TAMUCT FGD'!M14</f>
        <v>0</v>
      </c>
      <c r="C14" s="87">
        <f t="shared" si="0"/>
        <v>0</v>
      </c>
      <c r="D14" s="86">
        <f>'TAMUCT FGD'!F14</f>
        <v>0</v>
      </c>
      <c r="E14" s="74"/>
      <c r="F14" s="607">
        <f t="shared" si="1"/>
        <v>0</v>
      </c>
      <c r="G14" s="800">
        <f>SUM(F13:F14)</f>
        <v>0</v>
      </c>
      <c r="H14" s="895"/>
      <c r="I14" s="1377">
        <f>ROUND($G$11/$I$8,0)</f>
        <v>95529</v>
      </c>
      <c r="J14" s="828">
        <f t="shared" si="2"/>
        <v>0</v>
      </c>
    </row>
    <row r="15" spans="1:15" ht="12.75" customHeight="1" thickTop="1">
      <c r="A15" s="88" t="s">
        <v>3</v>
      </c>
      <c r="B15" s="89">
        <f>SUM(B10:B14)</f>
        <v>18794464</v>
      </c>
      <c r="C15" s="89">
        <f>SUM(C10:C14)</f>
        <v>11696</v>
      </c>
      <c r="D15" s="89">
        <f>SUM(D10:D14)</f>
        <v>0</v>
      </c>
      <c r="E15" s="89">
        <f>SUM(E10:E14)</f>
        <v>0</v>
      </c>
      <c r="F15" s="216">
        <f>SUM(F10:F14)</f>
        <v>18794464</v>
      </c>
      <c r="I15" s="1372"/>
      <c r="J15" s="757">
        <f>SUM(J10:J14)</f>
        <v>11696</v>
      </c>
    </row>
    <row r="16" spans="1:15">
      <c r="B16" s="48"/>
      <c r="C16" s="75"/>
      <c r="J16" s="712"/>
    </row>
    <row r="17" spans="1:31" ht="12.75" customHeight="1">
      <c r="A17" s="78" t="s">
        <v>4</v>
      </c>
      <c r="B17" s="86"/>
      <c r="C17" s="75"/>
      <c r="J17" s="712"/>
    </row>
    <row r="18" spans="1:31">
      <c r="A18" s="75" t="s">
        <v>39</v>
      </c>
      <c r="B18" s="83">
        <f>'TAMUCT FGD'!M29</f>
        <v>8775268</v>
      </c>
      <c r="C18" s="83">
        <f t="shared" ref="C18:C19" si="3">ROUND(B18/$C$6,0)</f>
        <v>5461</v>
      </c>
      <c r="D18" s="512">
        <f>'TAMUCT FGD'!$F$29</f>
        <v>0</v>
      </c>
      <c r="E18" s="512"/>
      <c r="F18" s="512">
        <f t="shared" ref="F18:F19" si="4">B18-(SUM(D18:E18))</f>
        <v>8775268</v>
      </c>
      <c r="G18" s="337"/>
      <c r="H18" s="337"/>
      <c r="I18" s="337"/>
      <c r="J18" s="713">
        <f>ROUND(F18/$C$6,0)</f>
        <v>5461</v>
      </c>
    </row>
    <row r="19" spans="1:31" ht="13.5" thickBot="1">
      <c r="A19" s="75" t="s">
        <v>40</v>
      </c>
      <c r="B19" s="86">
        <f>'TAMUCT FGD'!M42</f>
        <v>3885131</v>
      </c>
      <c r="C19" s="87">
        <f t="shared" si="3"/>
        <v>2418</v>
      </c>
      <c r="D19" s="74">
        <f>'TAMUCT FGD'!$F$42</f>
        <v>0</v>
      </c>
      <c r="E19" s="74"/>
      <c r="F19" s="74">
        <f t="shared" si="4"/>
        <v>3885131</v>
      </c>
      <c r="G19" s="337"/>
      <c r="H19" s="337"/>
      <c r="I19" s="337"/>
      <c r="J19" s="716">
        <f>ROUND(F19/$C$6,0)</f>
        <v>2418</v>
      </c>
    </row>
    <row r="20" spans="1:31" ht="14.25" thickTop="1" thickBot="1">
      <c r="A20" s="88" t="s">
        <v>5</v>
      </c>
      <c r="B20" s="89">
        <f>SUM(B18:B19)</f>
        <v>12660399</v>
      </c>
      <c r="C20" s="89">
        <f>SUM(C18:C19)</f>
        <v>7879</v>
      </c>
      <c r="D20" s="717">
        <f>SUM(D18:D19)</f>
        <v>0</v>
      </c>
      <c r="E20" s="718">
        <f>SUM(E18:E19)</f>
        <v>0</v>
      </c>
      <c r="F20" s="801">
        <f>SUM(F18:F19)</f>
        <v>12660399</v>
      </c>
      <c r="G20" s="720" t="s">
        <v>26</v>
      </c>
      <c r="H20" s="366"/>
      <c r="I20" s="367"/>
      <c r="J20" s="721">
        <f>SUM(J18:J19)</f>
        <v>7879</v>
      </c>
    </row>
    <row r="21" spans="1:31" ht="12.75" customHeight="1" thickTop="1">
      <c r="B21" s="91"/>
      <c r="C21" s="75"/>
      <c r="F21" s="804"/>
      <c r="J21" s="712"/>
    </row>
    <row r="22" spans="1:31" ht="14.25" customHeight="1" thickBot="1">
      <c r="A22" s="78" t="s">
        <v>6</v>
      </c>
      <c r="B22" s="91"/>
      <c r="C22" s="75"/>
      <c r="J22" s="712"/>
    </row>
    <row r="23" spans="1:31" ht="14.25" thickTop="1" thickBot="1">
      <c r="A23" s="88" t="s">
        <v>7</v>
      </c>
      <c r="B23" s="92">
        <f>'TAMUCT FGD'!M47</f>
        <v>8130294</v>
      </c>
      <c r="C23" s="89">
        <f t="shared" ref="C23" si="5">ROUND(B23/$C$6,0)</f>
        <v>5059</v>
      </c>
      <c r="D23" s="717">
        <f>'TAMUCT FGD'!F47</f>
        <v>0</v>
      </c>
      <c r="E23" s="718"/>
      <c r="F23" s="801">
        <f>B23-(SUM(D23:E23))</f>
        <v>8130294</v>
      </c>
      <c r="G23" s="722" t="s">
        <v>74</v>
      </c>
      <c r="H23" s="366"/>
      <c r="I23" s="367"/>
      <c r="J23" s="756">
        <f>ROUND(F23/$C$6,0)</f>
        <v>5059</v>
      </c>
    </row>
    <row r="24" spans="1:31" ht="13.5" thickTop="1">
      <c r="B24" s="91"/>
      <c r="C24" s="75"/>
      <c r="J24" s="712"/>
    </row>
    <row r="25" spans="1:31">
      <c r="A25" s="78" t="s">
        <v>8</v>
      </c>
      <c r="B25" s="91"/>
      <c r="C25" s="75"/>
      <c r="J25" s="712"/>
    </row>
    <row r="26" spans="1:31">
      <c r="A26" s="75" t="s">
        <v>42</v>
      </c>
      <c r="B26" s="83">
        <f>'TAMUCT FGD'!M50</f>
        <v>1014308</v>
      </c>
      <c r="C26" s="83">
        <f t="shared" ref="C26:C31" si="6">ROUND(B26/$C$6,0)</f>
        <v>631</v>
      </c>
      <c r="D26" s="512">
        <f>'TAMUCT FGD'!F50</f>
        <v>0</v>
      </c>
      <c r="E26" s="512"/>
      <c r="F26" s="512">
        <f t="shared" ref="F26:F31" si="7">B26-(SUM(D26:E26))</f>
        <v>1014308</v>
      </c>
      <c r="G26" s="337"/>
      <c r="H26" s="337"/>
      <c r="I26" s="337"/>
      <c r="J26" s="713">
        <f>ROUND(F26/$C$6,0)</f>
        <v>631</v>
      </c>
    </row>
    <row r="27" spans="1:31">
      <c r="A27" s="75" t="s">
        <v>9</v>
      </c>
      <c r="B27" s="86">
        <f>'TAMUCT FGD'!M51</f>
        <v>0</v>
      </c>
      <c r="C27" s="87">
        <f t="shared" si="6"/>
        <v>0</v>
      </c>
      <c r="D27" s="86">
        <f>'TAMUCT FGD'!F51</f>
        <v>0</v>
      </c>
      <c r="E27" s="74"/>
      <c r="F27" s="74">
        <f t="shared" si="7"/>
        <v>0</v>
      </c>
      <c r="G27" s="337"/>
      <c r="H27" s="337"/>
      <c r="I27" s="337"/>
      <c r="J27" s="716">
        <f t="shared" ref="J27:J31" si="8">ROUND(F27/$C$6,0)</f>
        <v>0</v>
      </c>
    </row>
    <row r="28" spans="1:31" ht="13.5" thickBot="1">
      <c r="A28" s="75" t="s">
        <v>10</v>
      </c>
      <c r="B28" s="86">
        <f>'TAMUCT FGD'!M52</f>
        <v>630515</v>
      </c>
      <c r="C28" s="87">
        <f t="shared" si="6"/>
        <v>392</v>
      </c>
      <c r="D28" s="86">
        <f>'TAMUCT FGD'!F52</f>
        <v>0</v>
      </c>
      <c r="E28" s="74"/>
      <c r="F28" s="74">
        <f t="shared" si="7"/>
        <v>630515</v>
      </c>
      <c r="G28" s="337"/>
      <c r="H28" s="337"/>
      <c r="I28" s="337"/>
      <c r="J28" s="716">
        <f t="shared" si="8"/>
        <v>392</v>
      </c>
    </row>
    <row r="29" spans="1:31" ht="13.5" thickBot="1">
      <c r="A29" s="75" t="s">
        <v>11</v>
      </c>
      <c r="B29" s="86">
        <f>'TAMUCT FGD'!M53</f>
        <v>260882</v>
      </c>
      <c r="C29" s="87">
        <f t="shared" si="6"/>
        <v>162</v>
      </c>
      <c r="D29" s="86">
        <f>'TAMUCT FGD'!F53</f>
        <v>0</v>
      </c>
      <c r="E29" s="74"/>
      <c r="F29" s="74">
        <f t="shared" si="7"/>
        <v>260882</v>
      </c>
      <c r="G29" s="337"/>
      <c r="H29" s="337"/>
      <c r="I29" s="337"/>
      <c r="J29" s="716">
        <f t="shared" si="8"/>
        <v>162</v>
      </c>
      <c r="K29" s="1694" t="s">
        <v>1065</v>
      </c>
      <c r="L29" s="1695"/>
      <c r="M29" s="1695"/>
      <c r="N29" s="1695"/>
      <c r="O29" s="1696"/>
    </row>
    <row r="30" spans="1:31" ht="13.5" thickBot="1">
      <c r="A30" s="93" t="s">
        <v>2134</v>
      </c>
      <c r="B30" s="94">
        <f>'TAMUCT FGD'!M54</f>
        <v>50756</v>
      </c>
      <c r="C30" s="87">
        <f t="shared" si="6"/>
        <v>32</v>
      </c>
      <c r="D30" s="729">
        <f>B30</f>
        <v>50756</v>
      </c>
      <c r="E30" s="74"/>
      <c r="F30" s="74">
        <f t="shared" si="7"/>
        <v>0</v>
      </c>
      <c r="G30" s="337"/>
      <c r="H30" s="337"/>
      <c r="I30" s="337"/>
      <c r="J30" s="716">
        <f t="shared" si="8"/>
        <v>0</v>
      </c>
      <c r="K30" s="1694" t="s">
        <v>1070</v>
      </c>
      <c r="L30" s="1695"/>
      <c r="M30" s="1695"/>
      <c r="N30" s="1695"/>
      <c r="O30" s="1696"/>
    </row>
    <row r="31" spans="1:31" ht="13.5" customHeight="1" thickBot="1">
      <c r="A31" s="95" t="s">
        <v>43</v>
      </c>
      <c r="B31" s="86">
        <f>'TAMUCT FGD'!M55</f>
        <v>163684</v>
      </c>
      <c r="C31" s="87">
        <f t="shared" si="6"/>
        <v>102</v>
      </c>
      <c r="D31" s="86">
        <f>'TAMUCT FGD'!F55</f>
        <v>1390</v>
      </c>
      <c r="E31" s="74"/>
      <c r="F31" s="74">
        <f t="shared" si="7"/>
        <v>162294</v>
      </c>
      <c r="G31" s="35"/>
      <c r="H31" s="35"/>
      <c r="I31" s="38"/>
      <c r="J31" s="716">
        <f t="shared" si="8"/>
        <v>101</v>
      </c>
      <c r="K31" s="1697" t="s">
        <v>1073</v>
      </c>
      <c r="L31" s="1697" t="s">
        <v>1071</v>
      </c>
      <c r="M31" s="1697" t="s">
        <v>1072</v>
      </c>
      <c r="N31" s="1697" t="s">
        <v>1240</v>
      </c>
      <c r="O31" s="1697" t="s">
        <v>1075</v>
      </c>
      <c r="P31" s="35"/>
      <c r="Q31" s="96"/>
      <c r="R31" s="96"/>
      <c r="S31" s="96"/>
      <c r="T31" s="96"/>
      <c r="U31" s="96"/>
      <c r="V31" s="96"/>
      <c r="W31" s="96"/>
      <c r="X31" s="96"/>
      <c r="Y31" s="96"/>
      <c r="Z31" s="96"/>
      <c r="AA31" s="96"/>
      <c r="AB31" s="96"/>
      <c r="AC31" s="96"/>
      <c r="AD31" s="96"/>
      <c r="AE31" s="96"/>
    </row>
    <row r="32" spans="1:31" ht="14.25" customHeight="1" thickTop="1" thickBot="1">
      <c r="A32" s="88" t="s">
        <v>3</v>
      </c>
      <c r="B32" s="89">
        <f>SUM(B26:B31)</f>
        <v>2120145</v>
      </c>
      <c r="C32" s="89">
        <f>SUM(C26:C31)</f>
        <v>1319</v>
      </c>
      <c r="D32" s="723">
        <f>SUM(D26:D31)</f>
        <v>52146</v>
      </c>
      <c r="E32" s="723">
        <f>SUM(E26:E31)</f>
        <v>0</v>
      </c>
      <c r="F32" s="802">
        <f>SUM(F26:F31)</f>
        <v>2067999</v>
      </c>
      <c r="G32" s="1708" t="s">
        <v>8</v>
      </c>
      <c r="H32" s="1709"/>
      <c r="I32" s="783" t="s">
        <v>1166</v>
      </c>
      <c r="J32" s="725">
        <f>SUM(J26:J31)</f>
        <v>1286</v>
      </c>
      <c r="K32" s="1698"/>
      <c r="L32" s="1698"/>
      <c r="M32" s="1698"/>
      <c r="N32" s="1698" t="s">
        <v>1074</v>
      </c>
      <c r="O32" s="1698" t="s">
        <v>1075</v>
      </c>
    </row>
    <row r="33" spans="1:31" ht="14.25" thickTop="1" thickBot="1">
      <c r="A33" s="97" t="s">
        <v>68</v>
      </c>
      <c r="B33" s="52">
        <f>B15+B20+B23+B32</f>
        <v>41705302</v>
      </c>
      <c r="C33" s="45">
        <f>C15+C20+C23+C32</f>
        <v>25953</v>
      </c>
      <c r="D33" s="52">
        <f>D15+D20+D23+D32</f>
        <v>52146</v>
      </c>
      <c r="E33" s="52">
        <f>E15+E20+E23+E32</f>
        <v>0</v>
      </c>
      <c r="F33" s="724">
        <f>F15+F20+F23+F32</f>
        <v>41653156</v>
      </c>
      <c r="G33" s="1758" t="s">
        <v>84</v>
      </c>
      <c r="H33" s="1759"/>
      <c r="I33" s="1375">
        <f>ROUND($G$35/$C$6,0)</f>
        <v>25920</v>
      </c>
      <c r="J33" s="726">
        <f>J15+J20+J23+J32</f>
        <v>25920</v>
      </c>
      <c r="K33" s="1698"/>
      <c r="L33" s="1698"/>
      <c r="M33" s="1698"/>
      <c r="N33" s="1698"/>
      <c r="O33" s="1698"/>
    </row>
    <row r="34" spans="1:31" ht="14.25" thickTop="1" thickBot="1">
      <c r="B34" s="98"/>
      <c r="C34" s="75"/>
      <c r="D34" s="337"/>
      <c r="E34" s="337"/>
      <c r="F34" s="337" t="s">
        <v>1199</v>
      </c>
      <c r="G34" s="787">
        <f>G14*-1</f>
        <v>0</v>
      </c>
      <c r="H34" s="337"/>
      <c r="I34" s="783" t="s">
        <v>1167</v>
      </c>
      <c r="J34" s="727"/>
      <c r="K34" s="1699"/>
      <c r="L34" s="1699"/>
      <c r="M34" s="1699"/>
      <c r="N34" s="1699"/>
      <c r="O34" s="1699"/>
    </row>
    <row r="35" spans="1:31" ht="14.25" thickTop="1" thickBot="1">
      <c r="A35" s="81" t="s">
        <v>72</v>
      </c>
      <c r="B35" s="81"/>
      <c r="C35" s="81"/>
      <c r="D35" s="728"/>
      <c r="E35" s="728"/>
      <c r="F35" s="788" t="s">
        <v>1165</v>
      </c>
      <c r="G35" s="803">
        <f>F33+G34</f>
        <v>41653156</v>
      </c>
      <c r="I35" s="1376">
        <f>ROUND($G$35/$I$8,0)</f>
        <v>211717</v>
      </c>
      <c r="K35" s="609"/>
      <c r="L35" s="609"/>
      <c r="M35" s="609"/>
      <c r="N35" s="609"/>
      <c r="O35" s="609"/>
    </row>
    <row r="36" spans="1:31" ht="13.5" thickTop="1">
      <c r="A36" s="99" t="s">
        <v>14</v>
      </c>
      <c r="B36" s="83">
        <f>'TAMUCT FGD'!M60</f>
        <v>10849521</v>
      </c>
      <c r="C36" s="83">
        <f t="shared" ref="C36:C46" si="9">ROUND(B36/$C$6,0)</f>
        <v>6752</v>
      </c>
      <c r="D36" s="512">
        <f>'TAMUCT FGD'!F60</f>
        <v>0</v>
      </c>
      <c r="E36" s="512"/>
      <c r="F36" s="512">
        <f t="shared" ref="F36:F46" si="10">B36-(SUM(D36:E36))</f>
        <v>10849521</v>
      </c>
      <c r="G36" s="337"/>
      <c r="H36" s="1378" t="s">
        <v>2158</v>
      </c>
      <c r="I36" s="1379">
        <f>ROUND(F36/$C$6,0)</f>
        <v>6752</v>
      </c>
      <c r="J36" s="337" t="s">
        <v>752</v>
      </c>
      <c r="K36" s="512">
        <f>F36</f>
        <v>10849521</v>
      </c>
      <c r="L36" s="512">
        <f>K36</f>
        <v>10849521</v>
      </c>
      <c r="M36" s="512"/>
      <c r="N36" s="512"/>
      <c r="O36" s="512"/>
    </row>
    <row r="37" spans="1:31">
      <c r="A37" s="99" t="s">
        <v>15</v>
      </c>
      <c r="B37" s="86">
        <f>'TAMUCT FGD'!M61</f>
        <v>1121634</v>
      </c>
      <c r="C37" s="87">
        <f t="shared" si="9"/>
        <v>698</v>
      </c>
      <c r="D37" s="86">
        <f>'TAMUCT FGD'!F61</f>
        <v>0</v>
      </c>
      <c r="E37" s="74"/>
      <c r="F37" s="74">
        <f t="shared" si="10"/>
        <v>1121634</v>
      </c>
      <c r="G37" s="337"/>
      <c r="H37" s="337"/>
      <c r="J37" s="337" t="s">
        <v>1076</v>
      </c>
      <c r="K37" s="373">
        <f>F37</f>
        <v>1121634</v>
      </c>
      <c r="L37" s="373">
        <f>K37</f>
        <v>1121634</v>
      </c>
      <c r="M37" s="373"/>
      <c r="N37" s="373"/>
      <c r="O37" s="373"/>
    </row>
    <row r="38" spans="1:31">
      <c r="A38" s="99" t="s">
        <v>16</v>
      </c>
      <c r="B38" s="86">
        <f>'TAMUCT FGD'!M62</f>
        <v>22434</v>
      </c>
      <c r="C38" s="87">
        <f t="shared" si="9"/>
        <v>14</v>
      </c>
      <c r="D38" s="86">
        <f>'TAMUCT FGD'!F62</f>
        <v>0</v>
      </c>
      <c r="E38" s="86">
        <f>B38-D38</f>
        <v>22434</v>
      </c>
      <c r="F38" s="74">
        <f t="shared" si="10"/>
        <v>0</v>
      </c>
      <c r="G38" s="337"/>
      <c r="H38" s="337"/>
      <c r="I38" s="337"/>
      <c r="J38" s="337" t="s">
        <v>1077</v>
      </c>
      <c r="K38" s="736"/>
      <c r="L38" s="737"/>
      <c r="M38" s="737" t="s">
        <v>1152</v>
      </c>
      <c r="N38" s="737"/>
      <c r="O38" s="738"/>
    </row>
    <row r="39" spans="1:31">
      <c r="A39" s="99" t="s">
        <v>17</v>
      </c>
      <c r="B39" s="86">
        <f>'TAMUCT FGD'!M63</f>
        <v>5750444</v>
      </c>
      <c r="C39" s="87">
        <f t="shared" si="9"/>
        <v>3578</v>
      </c>
      <c r="D39" s="86">
        <f>'TAMUCT FGD'!F63</f>
        <v>0</v>
      </c>
      <c r="E39" s="74"/>
      <c r="F39" s="74">
        <f t="shared" si="10"/>
        <v>5750444</v>
      </c>
      <c r="G39" s="337"/>
      <c r="H39" s="1378" t="s">
        <v>2159</v>
      </c>
      <c r="I39" s="1379">
        <f>ROUND(F39/$C$6,0)</f>
        <v>3578</v>
      </c>
      <c r="J39" s="337" t="s">
        <v>1078</v>
      </c>
      <c r="K39" s="373">
        <f t="shared" ref="K39:K43" si="11">F39</f>
        <v>5750444</v>
      </c>
      <c r="L39" s="373">
        <f>K39</f>
        <v>5750444</v>
      </c>
      <c r="M39" s="373"/>
      <c r="N39" s="373"/>
      <c r="O39" s="373"/>
    </row>
    <row r="40" spans="1:31">
      <c r="A40" s="99" t="s">
        <v>18</v>
      </c>
      <c r="B40" s="86">
        <f>'TAMUCT FGD'!M64</f>
        <v>5704958</v>
      </c>
      <c r="C40" s="87">
        <f t="shared" si="9"/>
        <v>3550</v>
      </c>
      <c r="D40" s="86">
        <f>'TAMUCT FGD'!F64</f>
        <v>0</v>
      </c>
      <c r="E40" s="74"/>
      <c r="F40" s="74">
        <f t="shared" si="10"/>
        <v>5704958</v>
      </c>
      <c r="G40" s="337"/>
      <c r="J40" s="337" t="s">
        <v>1079</v>
      </c>
      <c r="K40" s="373">
        <f t="shared" si="11"/>
        <v>5704958</v>
      </c>
      <c r="L40" s="373"/>
      <c r="M40" s="373">
        <f>K40</f>
        <v>5704958</v>
      </c>
      <c r="N40" s="373"/>
      <c r="O40" s="373"/>
    </row>
    <row r="41" spans="1:31">
      <c r="A41" s="99" t="s">
        <v>19</v>
      </c>
      <c r="B41" s="86">
        <f>'TAMUCT FGD'!M65</f>
        <v>4251515</v>
      </c>
      <c r="C41" s="87">
        <f t="shared" si="9"/>
        <v>2646</v>
      </c>
      <c r="D41" s="86">
        <f>'TAMUCT FGD'!F65</f>
        <v>0</v>
      </c>
      <c r="E41" s="74"/>
      <c r="F41" s="74">
        <f t="shared" si="10"/>
        <v>4251515</v>
      </c>
      <c r="G41" s="337"/>
      <c r="H41" s="1378" t="s">
        <v>2160</v>
      </c>
      <c r="I41" s="1379">
        <f>ROUND(F41/$C$6,0)</f>
        <v>2646</v>
      </c>
      <c r="J41" s="337" t="s">
        <v>757</v>
      </c>
      <c r="K41" s="373">
        <f t="shared" si="11"/>
        <v>4251515</v>
      </c>
      <c r="L41" s="373"/>
      <c r="M41" s="373"/>
      <c r="N41" s="373">
        <f>K41</f>
        <v>4251515</v>
      </c>
      <c r="O41" s="373"/>
    </row>
    <row r="42" spans="1:31">
      <c r="A42" s="99" t="s">
        <v>20</v>
      </c>
      <c r="B42" s="86">
        <f>'TAMUCT FGD'!M66</f>
        <v>2329908</v>
      </c>
      <c r="C42" s="87">
        <f t="shared" si="9"/>
        <v>1450</v>
      </c>
      <c r="D42" s="86">
        <f>'TAMUCT FGD'!F66</f>
        <v>0</v>
      </c>
      <c r="E42" s="74"/>
      <c r="F42" s="74">
        <f t="shared" si="10"/>
        <v>2329908</v>
      </c>
      <c r="G42" s="337"/>
      <c r="J42" s="337" t="s">
        <v>758</v>
      </c>
      <c r="K42" s="373">
        <f t="shared" si="11"/>
        <v>2329908</v>
      </c>
      <c r="L42" s="373"/>
      <c r="M42" s="373"/>
      <c r="N42" s="373">
        <f>K42</f>
        <v>2329908</v>
      </c>
      <c r="O42" s="373"/>
    </row>
    <row r="43" spans="1:31">
      <c r="A43" s="99" t="s">
        <v>21</v>
      </c>
      <c r="B43" s="86">
        <f>'TAMUCT FGD'!M67</f>
        <v>3828798</v>
      </c>
      <c r="C43" s="87">
        <f t="shared" si="9"/>
        <v>2383</v>
      </c>
      <c r="D43" s="86">
        <f>'TAMUCT FGD'!F67</f>
        <v>0</v>
      </c>
      <c r="E43" s="74"/>
      <c r="F43" s="74">
        <f t="shared" si="10"/>
        <v>3828798</v>
      </c>
      <c r="G43" s="337"/>
      <c r="H43" s="337"/>
      <c r="I43" s="337"/>
      <c r="J43" s="337" t="s">
        <v>1145</v>
      </c>
      <c r="K43" s="373">
        <f t="shared" si="11"/>
        <v>3828798</v>
      </c>
      <c r="L43" s="373"/>
      <c r="M43" s="373">
        <f>K43</f>
        <v>3828798</v>
      </c>
      <c r="N43" s="373"/>
      <c r="O43" s="373"/>
    </row>
    <row r="44" spans="1:31">
      <c r="A44" s="99" t="s">
        <v>2135</v>
      </c>
      <c r="B44" s="86">
        <f>'TAMUCT FGD'!M68</f>
        <v>148590</v>
      </c>
      <c r="C44" s="87">
        <f t="shared" si="9"/>
        <v>92</v>
      </c>
      <c r="D44" s="729">
        <f>B44</f>
        <v>148590</v>
      </c>
      <c r="E44" s="74"/>
      <c r="F44" s="74">
        <f t="shared" si="10"/>
        <v>0</v>
      </c>
      <c r="G44" s="337"/>
      <c r="H44" s="337"/>
      <c r="I44" s="337"/>
      <c r="J44" s="337" t="s">
        <v>743</v>
      </c>
      <c r="K44" s="736"/>
      <c r="L44" s="737"/>
      <c r="M44" s="737" t="s">
        <v>1152</v>
      </c>
      <c r="N44" s="737"/>
      <c r="O44" s="738"/>
    </row>
    <row r="45" spans="1:31">
      <c r="A45" s="99" t="s">
        <v>61</v>
      </c>
      <c r="B45" s="86">
        <f>'TAMUCT FGD'!M69</f>
        <v>257227</v>
      </c>
      <c r="C45" s="87">
        <f t="shared" si="9"/>
        <v>160</v>
      </c>
      <c r="D45" s="86">
        <f>'TAMUCT FGD'!F69</f>
        <v>0</v>
      </c>
      <c r="E45" s="74"/>
      <c r="F45" s="74">
        <f t="shared" si="10"/>
        <v>257227</v>
      </c>
      <c r="G45" s="337"/>
      <c r="H45" s="337"/>
      <c r="I45" s="337"/>
      <c r="J45" s="337" t="s">
        <v>1080</v>
      </c>
      <c r="K45" s="373">
        <f t="shared" ref="K45:K46" si="12">F45</f>
        <v>257227</v>
      </c>
      <c r="L45" s="373"/>
      <c r="M45" s="373"/>
      <c r="N45" s="373"/>
      <c r="O45" s="373">
        <f>K45</f>
        <v>257227</v>
      </c>
    </row>
    <row r="46" spans="1:31" ht="13.5" thickBot="1">
      <c r="A46" s="75" t="s">
        <v>50</v>
      </c>
      <c r="B46" s="86">
        <f>'TAMUCT FGD'!M70</f>
        <v>1130973</v>
      </c>
      <c r="C46" s="87">
        <f t="shared" si="9"/>
        <v>704</v>
      </c>
      <c r="D46" s="86">
        <f>'TAMUCT FGD'!F70</f>
        <v>0</v>
      </c>
      <c r="E46" s="74"/>
      <c r="F46" s="74">
        <f t="shared" si="10"/>
        <v>1130973</v>
      </c>
      <c r="G46" s="35"/>
      <c r="H46" s="1378" t="s">
        <v>2161</v>
      </c>
      <c r="I46" s="1379">
        <f>ROUND(SUM(F37+F40+F42+F43+F45+F46)/$C$6,0)</f>
        <v>8945</v>
      </c>
      <c r="J46" s="610" t="s">
        <v>1075</v>
      </c>
      <c r="K46" s="373">
        <f t="shared" si="12"/>
        <v>1130973</v>
      </c>
      <c r="L46" s="611"/>
      <c r="M46" s="611"/>
      <c r="N46" s="611"/>
      <c r="O46" s="373">
        <f>K46</f>
        <v>1130973</v>
      </c>
      <c r="P46" s="35"/>
      <c r="Q46" s="96"/>
      <c r="R46" s="96"/>
      <c r="S46" s="96"/>
      <c r="T46" s="96"/>
      <c r="U46" s="96"/>
      <c r="V46" s="96"/>
      <c r="W46" s="96"/>
      <c r="X46" s="96"/>
      <c r="Y46" s="96"/>
      <c r="Z46" s="96"/>
      <c r="AA46" s="96"/>
      <c r="AB46" s="96"/>
      <c r="AC46" s="96"/>
      <c r="AD46" s="96"/>
      <c r="AE46" s="96"/>
    </row>
    <row r="47" spans="1:31" ht="14.25" customHeight="1" thickTop="1" thickBot="1">
      <c r="A47" s="100" t="s">
        <v>69</v>
      </c>
      <c r="B47" s="45">
        <f>SUM(B36:B46)</f>
        <v>35396002</v>
      </c>
      <c r="C47" s="45">
        <f>SUM(C36:C46)</f>
        <v>22027</v>
      </c>
      <c r="D47" s="730">
        <f>SUM(D36:D46)</f>
        <v>148590</v>
      </c>
      <c r="E47" s="731">
        <f>SUM(E36:E46)</f>
        <v>22434</v>
      </c>
      <c r="F47" s="719">
        <f>SUM(F36:F46)</f>
        <v>35224978</v>
      </c>
      <c r="G47" s="1688" t="s">
        <v>1176</v>
      </c>
      <c r="H47" s="1689"/>
      <c r="I47" s="785" t="s">
        <v>1164</v>
      </c>
      <c r="J47" s="610" t="s">
        <v>1081</v>
      </c>
      <c r="K47" s="612">
        <f>SUM(K36:K46)</f>
        <v>35224978</v>
      </c>
      <c r="L47" s="612">
        <f>SUM(L36:L46)</f>
        <v>17721599</v>
      </c>
      <c r="M47" s="612">
        <f>SUM(M36:M46)</f>
        <v>9533756</v>
      </c>
      <c r="N47" s="612">
        <f>SUM(N36:N46)</f>
        <v>6581423</v>
      </c>
      <c r="O47" s="612">
        <f>SUM(O36:O46)</f>
        <v>1388200</v>
      </c>
    </row>
    <row r="48" spans="1:31" ht="14.25" thickTop="1" thickBot="1">
      <c r="A48" s="93"/>
      <c r="B48" s="98"/>
      <c r="C48" s="75"/>
      <c r="F48" s="613"/>
      <c r="G48" s="1690"/>
      <c r="H48" s="1691"/>
      <c r="I48" s="823">
        <f>ROUND(F47/C6,0)</f>
        <v>21920</v>
      </c>
      <c r="J48" s="1700" t="s">
        <v>1082</v>
      </c>
      <c r="K48" s="611"/>
      <c r="L48" s="611"/>
      <c r="M48" s="611"/>
      <c r="N48" s="611"/>
      <c r="O48" s="611"/>
    </row>
    <row r="49" spans="1:31" ht="13.5" thickBot="1">
      <c r="A49" s="78" t="s">
        <v>23</v>
      </c>
      <c r="B49" s="82"/>
      <c r="C49" s="75"/>
      <c r="F49" s="614"/>
      <c r="G49" s="1690"/>
      <c r="H49" s="1691"/>
      <c r="I49" s="811"/>
      <c r="J49" s="1700"/>
      <c r="K49" s="615">
        <f>ROUND(K47/$C$6,2)</f>
        <v>21920.26</v>
      </c>
      <c r="L49" s="615">
        <f t="shared" ref="L49:O49" si="13">ROUND(L47/$C$6,2)</f>
        <v>11028.03</v>
      </c>
      <c r="M49" s="615">
        <f t="shared" si="13"/>
        <v>5932.79</v>
      </c>
      <c r="N49" s="615">
        <f t="shared" si="13"/>
        <v>4095.57</v>
      </c>
      <c r="O49" s="615">
        <f t="shared" si="13"/>
        <v>863.87</v>
      </c>
      <c r="P49" s="35"/>
      <c r="Q49" s="96"/>
      <c r="R49" s="96"/>
      <c r="S49" s="96"/>
      <c r="T49" s="96"/>
      <c r="U49" s="96"/>
      <c r="V49" s="96"/>
      <c r="W49" s="96"/>
      <c r="X49" s="96"/>
      <c r="Y49" s="96"/>
      <c r="Z49" s="96"/>
      <c r="AA49" s="96"/>
      <c r="AB49" s="96"/>
      <c r="AC49" s="96"/>
      <c r="AD49" s="96"/>
      <c r="AE49" s="96"/>
    </row>
    <row r="50" spans="1:31" ht="13.5" thickBot="1">
      <c r="A50" s="75" t="s">
        <v>62</v>
      </c>
      <c r="B50" s="86">
        <f>'TAMUCT FGD'!M74</f>
        <v>0</v>
      </c>
      <c r="C50" s="83">
        <f t="shared" ref="C50:C53" si="14">ROUND(B50/$C$6,0)</f>
        <v>0</v>
      </c>
      <c r="D50" s="512">
        <f>'TAMUCT FGD'!F74</f>
        <v>0</v>
      </c>
      <c r="E50" s="512"/>
      <c r="F50" s="732">
        <f t="shared" ref="F50:F53" si="15">B50-(SUM(D50:E50))</f>
        <v>0</v>
      </c>
      <c r="G50" s="1692"/>
      <c r="H50" s="1693"/>
      <c r="I50" s="808"/>
      <c r="J50" s="38"/>
      <c r="K50" s="35"/>
      <c r="L50" s="35"/>
      <c r="M50" s="35"/>
      <c r="N50" s="35"/>
      <c r="O50" s="35"/>
      <c r="P50" s="35"/>
      <c r="Q50" s="96"/>
      <c r="R50" s="96"/>
      <c r="S50" s="96"/>
      <c r="T50" s="96"/>
      <c r="U50" s="96"/>
      <c r="V50" s="96"/>
      <c r="W50" s="96"/>
      <c r="X50" s="96"/>
      <c r="Y50" s="96"/>
      <c r="Z50" s="96"/>
      <c r="AA50" s="96"/>
      <c r="AB50" s="96"/>
      <c r="AC50" s="96"/>
      <c r="AD50" s="96"/>
      <c r="AE50" s="96"/>
    </row>
    <row r="51" spans="1:31" ht="13.5" thickTop="1">
      <c r="A51" s="75" t="s">
        <v>572</v>
      </c>
      <c r="B51" s="86">
        <f>'TAMUCT FGD'!M75</f>
        <v>2172032</v>
      </c>
      <c r="C51" s="87">
        <f t="shared" si="14"/>
        <v>1352</v>
      </c>
      <c r="D51" s="91">
        <f>'TAMUCT FGD'!F75</f>
        <v>96655</v>
      </c>
      <c r="E51" s="82"/>
      <c r="F51" s="74">
        <f t="shared" si="15"/>
        <v>2075377</v>
      </c>
      <c r="G51" s="337"/>
      <c r="J51" s="337"/>
      <c r="K51" s="616"/>
      <c r="L51" s="616"/>
      <c r="M51" s="616"/>
      <c r="N51" s="616"/>
      <c r="O51" s="616"/>
    </row>
    <row r="52" spans="1:31">
      <c r="A52" s="75" t="s">
        <v>51</v>
      </c>
      <c r="B52" s="86">
        <f>'TAMUCT FGD'!M76</f>
        <v>0</v>
      </c>
      <c r="C52" s="87">
        <f t="shared" si="14"/>
        <v>0</v>
      </c>
      <c r="D52" s="91">
        <f>'TAMUCT FGD'!F76</f>
        <v>0</v>
      </c>
      <c r="E52" s="82"/>
      <c r="F52" s="74">
        <f t="shared" si="15"/>
        <v>0</v>
      </c>
      <c r="G52" s="337"/>
      <c r="J52" s="733"/>
      <c r="K52" s="733"/>
      <c r="L52" s="733"/>
      <c r="M52" s="733"/>
      <c r="N52" s="733"/>
      <c r="O52" s="733"/>
    </row>
    <row r="53" spans="1:31" ht="12" customHeight="1">
      <c r="A53" s="75" t="s">
        <v>46</v>
      </c>
      <c r="B53" s="86">
        <f>'TAMUCT FGD'!M77</f>
        <v>-4539061</v>
      </c>
      <c r="C53" s="87">
        <f t="shared" si="14"/>
        <v>-2825</v>
      </c>
      <c r="D53" s="91">
        <f>'TAMUCT FGD'!F77</f>
        <v>0</v>
      </c>
      <c r="E53" s="82"/>
      <c r="F53" s="74">
        <f t="shared" si="15"/>
        <v>-4539061</v>
      </c>
      <c r="G53" s="35"/>
      <c r="J53" s="733"/>
      <c r="K53" s="733"/>
      <c r="L53" s="733"/>
      <c r="M53" s="733"/>
      <c r="N53" s="733"/>
      <c r="O53" s="733"/>
      <c r="P53" s="35"/>
      <c r="Q53" s="96"/>
      <c r="R53" s="96"/>
      <c r="S53" s="96"/>
      <c r="T53" s="96"/>
      <c r="U53" s="96"/>
      <c r="V53" s="96"/>
      <c r="W53" s="96"/>
      <c r="X53" s="96"/>
      <c r="Y53" s="96"/>
      <c r="Z53" s="96"/>
      <c r="AA53" s="96"/>
      <c r="AB53" s="96"/>
      <c r="AC53" s="96"/>
      <c r="AD53" s="96"/>
      <c r="AE53" s="96"/>
    </row>
    <row r="54" spans="1:31">
      <c r="A54" s="88" t="s">
        <v>3</v>
      </c>
      <c r="B54" s="89">
        <f>SUM(B50:B53)</f>
        <v>-2367029</v>
      </c>
      <c r="C54" s="89">
        <f>SUM(C50:C53)</f>
        <v>-1473</v>
      </c>
      <c r="D54" s="89">
        <f>SUM(D50:D53)</f>
        <v>96655</v>
      </c>
      <c r="E54" s="89">
        <f>SUM(E50:E53)</f>
        <v>0</v>
      </c>
      <c r="F54" s="102">
        <f>SUM(F50:F53)</f>
        <v>-2463684</v>
      </c>
      <c r="G54" s="337"/>
      <c r="H54" s="337"/>
      <c r="I54" s="337"/>
      <c r="J54" s="733"/>
      <c r="K54" s="733"/>
      <c r="L54" s="733"/>
      <c r="M54" s="733"/>
      <c r="N54" s="733"/>
      <c r="O54" s="733"/>
    </row>
    <row r="55" spans="1:31">
      <c r="B55" s="82"/>
      <c r="C55" s="75"/>
    </row>
    <row r="56" spans="1:31">
      <c r="A56" s="78" t="s">
        <v>24</v>
      </c>
      <c r="B56" s="82"/>
      <c r="C56" s="75"/>
      <c r="F56" s="368"/>
      <c r="G56" s="35"/>
      <c r="H56" s="35"/>
      <c r="I56" s="35"/>
      <c r="J56" s="35"/>
      <c r="K56" s="35"/>
      <c r="L56" s="35"/>
      <c r="M56" s="35"/>
      <c r="N56" s="35"/>
      <c r="O56" s="35"/>
      <c r="P56" s="35"/>
      <c r="Q56" s="96"/>
      <c r="R56" s="96"/>
      <c r="S56" s="96"/>
      <c r="T56" s="96"/>
      <c r="U56" s="96"/>
      <c r="V56" s="96"/>
      <c r="W56" s="96"/>
      <c r="X56" s="96"/>
      <c r="Y56" s="96"/>
      <c r="Z56" s="96"/>
      <c r="AA56" s="96"/>
      <c r="AB56" s="96"/>
      <c r="AC56" s="96"/>
      <c r="AD56" s="96"/>
      <c r="AE56" s="96"/>
    </row>
    <row r="57" spans="1:31">
      <c r="A57" s="75" t="s">
        <v>47</v>
      </c>
      <c r="B57" s="86">
        <f>'TAMUCT FGD'!M81</f>
        <v>2544892</v>
      </c>
      <c r="C57" s="83">
        <f>ROUND(B57/$C$6,0)</f>
        <v>1584</v>
      </c>
      <c r="D57" s="512">
        <f>'TAMUCT FGD'!F81</f>
        <v>0</v>
      </c>
      <c r="E57" s="512"/>
      <c r="F57" s="512">
        <f t="shared" ref="F57:F58" si="16">B57-(SUM(D57:E57))</f>
        <v>2544892</v>
      </c>
      <c r="G57" s="337"/>
      <c r="H57" s="337"/>
      <c r="I57" s="337"/>
      <c r="J57" s="337"/>
    </row>
    <row r="58" spans="1:31">
      <c r="A58" s="75" t="s">
        <v>48</v>
      </c>
      <c r="B58" s="86">
        <f>'TAMUCT FGD'!M82</f>
        <v>33210</v>
      </c>
      <c r="C58" s="87">
        <f>ROUND(B58/$C$6,0)</f>
        <v>21</v>
      </c>
      <c r="D58" s="91">
        <f>'TAMUCT FGD'!F82</f>
        <v>0</v>
      </c>
      <c r="E58" s="82"/>
      <c r="F58" s="74">
        <f t="shared" si="16"/>
        <v>33210</v>
      </c>
      <c r="G58" s="35"/>
      <c r="H58" s="35"/>
      <c r="I58" s="35"/>
      <c r="J58" s="35"/>
      <c r="K58" s="35"/>
      <c r="L58" s="35"/>
      <c r="M58" s="35"/>
      <c r="N58" s="35"/>
      <c r="O58" s="35"/>
      <c r="P58" s="35"/>
      <c r="Q58" s="96"/>
      <c r="R58" s="96"/>
      <c r="S58" s="96"/>
      <c r="T58" s="96"/>
      <c r="U58" s="96"/>
      <c r="V58" s="96"/>
      <c r="W58" s="96"/>
      <c r="X58" s="96"/>
      <c r="Y58" s="96"/>
      <c r="Z58" s="96"/>
      <c r="AA58" s="96"/>
      <c r="AB58" s="96"/>
      <c r="AC58" s="96"/>
      <c r="AD58" s="96"/>
      <c r="AE58" s="96"/>
    </row>
    <row r="59" spans="1:31" s="93" customFormat="1">
      <c r="A59" s="88" t="s">
        <v>3</v>
      </c>
      <c r="B59" s="89">
        <f>SUM(B57:B58)</f>
        <v>2578102</v>
      </c>
      <c r="C59" s="89">
        <f>SUM(C57:C58)</f>
        <v>1605</v>
      </c>
      <c r="D59" s="89">
        <f>SUM(D57:D58)</f>
        <v>0</v>
      </c>
      <c r="E59" s="89">
        <f>SUM(E57:E58)</f>
        <v>0</v>
      </c>
      <c r="F59" s="89">
        <f>SUM(F57:F58)</f>
        <v>2578102</v>
      </c>
      <c r="G59" s="367"/>
      <c r="H59" s="367"/>
      <c r="I59" s="367"/>
      <c r="J59" s="367"/>
      <c r="K59" s="266"/>
      <c r="L59" s="266"/>
      <c r="M59" s="266"/>
      <c r="N59" s="266"/>
      <c r="O59" s="266"/>
      <c r="P59" s="266"/>
    </row>
    <row r="60" spans="1:31">
      <c r="B60" s="82"/>
      <c r="C60" s="75"/>
    </row>
    <row r="61" spans="1:31" ht="13.5" thickBot="1">
      <c r="A61" s="103" t="s">
        <v>573</v>
      </c>
      <c r="B61" s="46">
        <f>B33-B47+B54+B59</f>
        <v>6520373</v>
      </c>
      <c r="C61" s="46">
        <f>C33-C47+C54+C59</f>
        <v>4058</v>
      </c>
      <c r="D61" s="46">
        <f>D33-D47+D54+D59</f>
        <v>211</v>
      </c>
      <c r="E61" s="46">
        <f>E33-E47+E54+E59</f>
        <v>-22434</v>
      </c>
      <c r="F61" s="46">
        <f>F33-F47+F54+F59</f>
        <v>6542596</v>
      </c>
    </row>
    <row r="62" spans="1:31" ht="13.5" thickTop="1"/>
    <row r="63" spans="1:31">
      <c r="D63" s="512"/>
    </row>
    <row r="65" spans="2:16">
      <c r="B65" s="734">
        <f>'TAMUCT FGD'!$M$85</f>
        <v>6520373</v>
      </c>
      <c r="C65" s="75"/>
      <c r="D65" s="734">
        <f>'TAMUCT FGD'!$F$85</f>
        <v>211</v>
      </c>
      <c r="E65" s="734">
        <f>'TAMUCT FGD'!$M$62*-1</f>
        <v>-22434</v>
      </c>
      <c r="F65" s="75"/>
    </row>
    <row r="66" spans="2:16">
      <c r="B66" s="734"/>
      <c r="C66" s="75"/>
      <c r="D66" s="734">
        <f>'TAMUCT FGD'!$F$68</f>
        <v>148590</v>
      </c>
      <c r="E66" s="734">
        <f>+$D$38</f>
        <v>0</v>
      </c>
      <c r="F66" s="734"/>
    </row>
    <row r="67" spans="2:16">
      <c r="B67" s="759"/>
      <c r="C67" s="75"/>
      <c r="D67" s="759">
        <f>-'TAMUCT FGD'!$M$68</f>
        <v>-148590</v>
      </c>
      <c r="E67" s="759"/>
      <c r="F67" s="734"/>
    </row>
    <row r="68" spans="2:16">
      <c r="B68" s="734">
        <f>SUM(B65:B67)</f>
        <v>6520373</v>
      </c>
      <c r="C68" s="75"/>
      <c r="D68" s="734">
        <f>SUM(D65:D67)</f>
        <v>211</v>
      </c>
      <c r="E68" s="734">
        <f>SUM(E65:E67)</f>
        <v>-22434</v>
      </c>
      <c r="F68" s="734">
        <f>B68-D68-E68</f>
        <v>6542596</v>
      </c>
    </row>
    <row r="69" spans="2:16">
      <c r="B69" s="734"/>
      <c r="C69" s="75"/>
      <c r="D69" s="734">
        <f>'TAMUCT FGD'!F54*-1</f>
        <v>-50756</v>
      </c>
      <c r="E69" s="734"/>
      <c r="F69" s="734"/>
    </row>
    <row r="70" spans="2:16" ht="12.75" customHeight="1">
      <c r="B70" s="759"/>
      <c r="C70" s="95"/>
      <c r="D70" s="759">
        <f>'TAMUCT FGD'!M54</f>
        <v>50756</v>
      </c>
      <c r="E70" s="759"/>
      <c r="F70" s="759">
        <f>-D70-D69</f>
        <v>0</v>
      </c>
    </row>
    <row r="71" spans="2:16" ht="12.75" customHeight="1">
      <c r="B71" s="734">
        <f>SUM(B68:B70)</f>
        <v>6520373</v>
      </c>
      <c r="C71" s="75"/>
      <c r="D71" s="734">
        <f>SUM(D68:D70)</f>
        <v>211</v>
      </c>
      <c r="E71" s="734">
        <f>SUM(E68:E70)</f>
        <v>-22434</v>
      </c>
      <c r="F71" s="734">
        <f>SUM(F68:F70)</f>
        <v>6542596</v>
      </c>
    </row>
    <row r="72" spans="2:16" ht="12.75" customHeight="1">
      <c r="B72" s="734"/>
      <c r="C72" s="75"/>
      <c r="D72" s="734"/>
      <c r="E72" s="734"/>
      <c r="F72" s="734"/>
    </row>
    <row r="73" spans="2:16" ht="12.75" customHeight="1">
      <c r="B73" s="512">
        <f>B61-B71</f>
        <v>0</v>
      </c>
      <c r="C73" s="75"/>
      <c r="D73" s="512">
        <f>D61-D71</f>
        <v>0</v>
      </c>
      <c r="E73" s="512">
        <f>E61-E71</f>
        <v>0</v>
      </c>
      <c r="F73" s="512">
        <f>F61-F71</f>
        <v>0</v>
      </c>
    </row>
    <row r="74" spans="2:16" ht="12.75" customHeight="1">
      <c r="C74" s="75"/>
      <c r="F74" s="617" t="str">
        <f>IF(F73=0,"Balanced","Error")</f>
        <v>Balanced</v>
      </c>
    </row>
    <row r="76" spans="2:16" s="85" customFormat="1">
      <c r="C76" s="25"/>
      <c r="D76" s="337"/>
      <c r="E76" s="337"/>
      <c r="F76" s="337"/>
      <c r="G76" s="337"/>
      <c r="H76" s="337"/>
      <c r="I76" s="337"/>
      <c r="J76" s="337"/>
      <c r="K76" s="337"/>
      <c r="L76" s="337"/>
      <c r="M76" s="337"/>
      <c r="N76" s="337"/>
      <c r="O76" s="337"/>
      <c r="P76" s="337"/>
    </row>
    <row r="77" spans="2:16" s="85" customFormat="1">
      <c r="C77" s="25"/>
      <c r="D77" s="337"/>
      <c r="E77" s="337"/>
      <c r="F77" s="337"/>
      <c r="G77" s="337"/>
      <c r="H77" s="337"/>
      <c r="I77" s="337"/>
      <c r="J77" s="337"/>
      <c r="K77" s="337"/>
      <c r="L77" s="337"/>
      <c r="M77" s="337"/>
      <c r="N77" s="337"/>
      <c r="O77" s="337"/>
      <c r="P77" s="337"/>
    </row>
    <row r="79" spans="2:16" s="85" customFormat="1">
      <c r="C79" s="25"/>
      <c r="D79" s="337"/>
      <c r="E79" s="337"/>
      <c r="F79" s="337"/>
      <c r="G79" s="337"/>
      <c r="H79" s="337"/>
      <c r="I79" s="337"/>
      <c r="J79" s="337"/>
      <c r="K79" s="337"/>
      <c r="L79" s="337"/>
      <c r="M79" s="337"/>
      <c r="N79" s="337"/>
      <c r="O79" s="337"/>
      <c r="P79" s="337"/>
    </row>
  </sheetData>
  <mergeCells count="16">
    <mergeCell ref="G47:H50"/>
    <mergeCell ref="K30:O30"/>
    <mergeCell ref="M31:M34"/>
    <mergeCell ref="G32:H32"/>
    <mergeCell ref="G33:H33"/>
    <mergeCell ref="L31:L34"/>
    <mergeCell ref="K31:K34"/>
    <mergeCell ref="N31:N34"/>
    <mergeCell ref="O31:O34"/>
    <mergeCell ref="J48:J49"/>
    <mergeCell ref="F1:I1"/>
    <mergeCell ref="J1:O1"/>
    <mergeCell ref="D1:E1"/>
    <mergeCell ref="K29:O29"/>
    <mergeCell ref="D4:D5"/>
    <mergeCell ref="E4:E5"/>
  </mergeCells>
  <hyperlinks>
    <hyperlink ref="D1:E1" location="Index!A1" display="Return to Index" xr:uid="{00000000-0004-0000-6200-000000000000}"/>
  </hyperlinks>
  <printOptions horizontalCentered="1"/>
  <pageMargins left="0.5" right="0.5" top="0.25" bottom="0.25" header="0" footer="0.25"/>
  <pageSetup scale="92" orientation="portrait" r:id="rId1"/>
  <headerFooter alignWithMargins="0"/>
  <rowBreaks count="1" manualBreakCount="1">
    <brk id="62" max="1"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191</vt:i4>
      </vt:variant>
      <vt:variant>
        <vt:lpstr>Named Ranges</vt:lpstr>
      </vt:variant>
      <vt:variant>
        <vt:i4>186</vt:i4>
      </vt:variant>
    </vt:vector>
  </HeadingPairs>
  <TitlesOfParts>
    <vt:vector size="377" baseType="lpstr">
      <vt:lpstr>Index</vt:lpstr>
      <vt:lpstr>SREB Input</vt:lpstr>
      <vt:lpstr>Acad Space Model</vt:lpstr>
      <vt:lpstr>Acad Cost Study</vt:lpstr>
      <vt:lpstr>CS &amp; SP Smmy</vt:lpstr>
      <vt:lpstr>Acad CTG Costs</vt:lpstr>
      <vt:lpstr>ICUT Survey</vt:lpstr>
      <vt:lpstr>IFRS Smmy (2)</vt:lpstr>
      <vt:lpstr>IFRS Smmy</vt:lpstr>
      <vt:lpstr>Almanac 1</vt:lpstr>
      <vt:lpstr>Almanac 2</vt:lpstr>
      <vt:lpstr>Eval U</vt:lpstr>
      <vt:lpstr>T&amp;F Summary</vt:lpstr>
      <vt:lpstr>Univ_IE_Context</vt:lpstr>
      <vt:lpstr>Univ_IE_Keys</vt:lpstr>
      <vt:lpstr>Univ Context NA</vt:lpstr>
      <vt:lpstr>Univ_IE_Keys NA</vt:lpstr>
      <vt:lpstr>Academic Acct Smmy</vt:lpstr>
      <vt:lpstr>ComRpt</vt:lpstr>
      <vt:lpstr>SP</vt:lpstr>
      <vt:lpstr>Smmy Acad SbS</vt:lpstr>
      <vt:lpstr>Smmy Chrts</vt:lpstr>
      <vt:lpstr>Smmy Sum</vt:lpstr>
      <vt:lpstr>Smmy FGD</vt:lpstr>
      <vt:lpstr>Smmy Fnts</vt:lpstr>
      <vt:lpstr>ARL Chrts</vt:lpstr>
      <vt:lpstr>ARL Sum</vt:lpstr>
      <vt:lpstr>ARL FGD</vt:lpstr>
      <vt:lpstr>ARL Fnts</vt:lpstr>
      <vt:lpstr>AUS1 Chrts</vt:lpstr>
      <vt:lpstr>AUS1 Sum</vt:lpstr>
      <vt:lpstr>AUS1 FGD</vt:lpstr>
      <vt:lpstr>AUS1 Fnts</vt:lpstr>
      <vt:lpstr>DAL Chrts</vt:lpstr>
      <vt:lpstr>DAL Sum</vt:lpstr>
      <vt:lpstr>DAL FGD</vt:lpstr>
      <vt:lpstr>DAL Fnts</vt:lpstr>
      <vt:lpstr>E-P Chrts</vt:lpstr>
      <vt:lpstr>E-P Sum</vt:lpstr>
      <vt:lpstr>E-P FGD</vt:lpstr>
      <vt:lpstr>E-P Fnts</vt:lpstr>
      <vt:lpstr>RGV1 Chrts</vt:lpstr>
      <vt:lpstr>RGV1 Sum</vt:lpstr>
      <vt:lpstr>RGV1 FGD</vt:lpstr>
      <vt:lpstr>RGV1 Fnts</vt:lpstr>
      <vt:lpstr>P-B Chrts</vt:lpstr>
      <vt:lpstr>P-B Sum</vt:lpstr>
      <vt:lpstr>P-B FGD</vt:lpstr>
      <vt:lpstr>P-B Fnts</vt:lpstr>
      <vt:lpstr>S-A Chrts</vt:lpstr>
      <vt:lpstr>S-A Sum</vt:lpstr>
      <vt:lpstr>S-A FGD</vt:lpstr>
      <vt:lpstr>S-A Fnts</vt:lpstr>
      <vt:lpstr>TYL Chrts</vt:lpstr>
      <vt:lpstr>TYL Sum</vt:lpstr>
      <vt:lpstr>TYL FGD</vt:lpstr>
      <vt:lpstr>TYL Fnts</vt:lpstr>
      <vt:lpstr>TAMU Chrts</vt:lpstr>
      <vt:lpstr>TAMU Sum</vt:lpstr>
      <vt:lpstr>TAMU FGD</vt:lpstr>
      <vt:lpstr>TAMU Fnts</vt:lpstr>
      <vt:lpstr>TAMUG Chrts</vt:lpstr>
      <vt:lpstr>TAMUG Sum</vt:lpstr>
      <vt:lpstr>TAMUG FGD</vt:lpstr>
      <vt:lpstr>TAMUG Fnts</vt:lpstr>
      <vt:lpstr>PVAMU Chrts</vt:lpstr>
      <vt:lpstr>PVAMU Sum</vt:lpstr>
      <vt:lpstr>PVAMU FGD</vt:lpstr>
      <vt:lpstr>PVAMU Fnts</vt:lpstr>
      <vt:lpstr>TARLST Chrts</vt:lpstr>
      <vt:lpstr>TARLST Sum</vt:lpstr>
      <vt:lpstr>TARLST FGD</vt:lpstr>
      <vt:lpstr>TARLST Fnts</vt:lpstr>
      <vt:lpstr>TAMUCC Chrts</vt:lpstr>
      <vt:lpstr>TAMUCC Sum</vt:lpstr>
      <vt:lpstr>TAMUCC FGD</vt:lpstr>
      <vt:lpstr>TAMUCC Fnts</vt:lpstr>
      <vt:lpstr>TAMUK Chrts</vt:lpstr>
      <vt:lpstr>TAMUK Sum</vt:lpstr>
      <vt:lpstr>TAMUK FGD</vt:lpstr>
      <vt:lpstr>TAMUK Fnts</vt:lpstr>
      <vt:lpstr>TAMIU Chrts</vt:lpstr>
      <vt:lpstr>TAMIU Sum</vt:lpstr>
      <vt:lpstr>TAMIU FGD</vt:lpstr>
      <vt:lpstr>TAMIU Fnts</vt:lpstr>
      <vt:lpstr>WTAMU Chrts</vt:lpstr>
      <vt:lpstr>WTAMU Sum</vt:lpstr>
      <vt:lpstr>WTAMU FGD</vt:lpstr>
      <vt:lpstr>WTAMU Fnts</vt:lpstr>
      <vt:lpstr>TAMUC Chrts</vt:lpstr>
      <vt:lpstr>TAMUC Sum</vt:lpstr>
      <vt:lpstr>TAMUC FGD</vt:lpstr>
      <vt:lpstr>TAMUC Fnts</vt:lpstr>
      <vt:lpstr>TAMUT Chrts</vt:lpstr>
      <vt:lpstr>TAMUT Sum</vt:lpstr>
      <vt:lpstr>TAMUT FGD</vt:lpstr>
      <vt:lpstr>TAMUT Fnts</vt:lpstr>
      <vt:lpstr>TAMUCT Chrts</vt:lpstr>
      <vt:lpstr>TAMUCT Sum</vt:lpstr>
      <vt:lpstr>TAMUCT FGD</vt:lpstr>
      <vt:lpstr>TAMUCT Fnts</vt:lpstr>
      <vt:lpstr>TAMUSA Chrts</vt:lpstr>
      <vt:lpstr>TAMUSA Sum</vt:lpstr>
      <vt:lpstr>TAMUSA FGD</vt:lpstr>
      <vt:lpstr>TAMUSA Fnts</vt:lpstr>
      <vt:lpstr>UH1 Chrts</vt:lpstr>
      <vt:lpstr>UH1 Sum</vt:lpstr>
      <vt:lpstr>UH1 FGD</vt:lpstr>
      <vt:lpstr>UH1 Fnts</vt:lpstr>
      <vt:lpstr>UHCL Chrts</vt:lpstr>
      <vt:lpstr>UHCL Sum</vt:lpstr>
      <vt:lpstr>UHCL FGD</vt:lpstr>
      <vt:lpstr>UHCL Fnts</vt:lpstr>
      <vt:lpstr>UHD Chrts</vt:lpstr>
      <vt:lpstr>UHD Sum</vt:lpstr>
      <vt:lpstr>UHD FGD</vt:lpstr>
      <vt:lpstr>UHD Fnts</vt:lpstr>
      <vt:lpstr>UHV Chrts</vt:lpstr>
      <vt:lpstr>UHV Sum</vt:lpstr>
      <vt:lpstr>UHV FGD</vt:lpstr>
      <vt:lpstr>UHV Fnts</vt:lpstr>
      <vt:lpstr>LU Chrts</vt:lpstr>
      <vt:lpstr>LU Sum</vt:lpstr>
      <vt:lpstr>LU FGD</vt:lpstr>
      <vt:lpstr>LU Fnts</vt:lpstr>
      <vt:lpstr>shsu1 Chrts</vt:lpstr>
      <vt:lpstr>shsu1 Sum</vt:lpstr>
      <vt:lpstr>shsu1 FGD</vt:lpstr>
      <vt:lpstr>shsu1 Fnts</vt:lpstr>
      <vt:lpstr>TXST Chrts</vt:lpstr>
      <vt:lpstr>TXST Sum</vt:lpstr>
      <vt:lpstr>TXST FGD</vt:lpstr>
      <vt:lpstr>TXST Fnts</vt:lpstr>
      <vt:lpstr>SRSU Chrts</vt:lpstr>
      <vt:lpstr>SRSU Sum</vt:lpstr>
      <vt:lpstr>SRSU FGD</vt:lpstr>
      <vt:lpstr>SRSU Fnts</vt:lpstr>
      <vt:lpstr>TTU Chrts</vt:lpstr>
      <vt:lpstr>TTU Sum</vt:lpstr>
      <vt:lpstr>TTU FGD</vt:lpstr>
      <vt:lpstr>TTU Fnts</vt:lpstr>
      <vt:lpstr>ASU Chrts</vt:lpstr>
      <vt:lpstr>ASU Sum</vt:lpstr>
      <vt:lpstr>ASU FGD</vt:lpstr>
      <vt:lpstr>ASU Fnts</vt:lpstr>
      <vt:lpstr>UNT Chrts</vt:lpstr>
      <vt:lpstr>UNT Sum</vt:lpstr>
      <vt:lpstr>UNT FGD</vt:lpstr>
      <vt:lpstr>UNT Fnts</vt:lpstr>
      <vt:lpstr>UNTD Chrts</vt:lpstr>
      <vt:lpstr>UNTD Sum</vt:lpstr>
      <vt:lpstr>UNTD FGD</vt:lpstr>
      <vt:lpstr>UNTD Fnts</vt:lpstr>
      <vt:lpstr>MidWST Chrts</vt:lpstr>
      <vt:lpstr>MidWST Sum</vt:lpstr>
      <vt:lpstr>MidWST FGD</vt:lpstr>
      <vt:lpstr>MidWST Fnts</vt:lpstr>
      <vt:lpstr>SFA Chrts</vt:lpstr>
      <vt:lpstr>SFA Sum</vt:lpstr>
      <vt:lpstr>SFA FGD</vt:lpstr>
      <vt:lpstr>SFA Fnts</vt:lpstr>
      <vt:lpstr>TSU Chrts</vt:lpstr>
      <vt:lpstr>TSU Sum</vt:lpstr>
      <vt:lpstr>TSU FGD</vt:lpstr>
      <vt:lpstr>TSU Fnts</vt:lpstr>
      <vt:lpstr>TWU Chrts</vt:lpstr>
      <vt:lpstr>TWU Sum</vt:lpstr>
      <vt:lpstr>TWU FGD</vt:lpstr>
      <vt:lpstr>TWU Fnts</vt:lpstr>
      <vt:lpstr>AUS Chrts</vt:lpstr>
      <vt:lpstr>AUS Sum</vt:lpstr>
      <vt:lpstr>AUS FGD</vt:lpstr>
      <vt:lpstr>AUS Fnts</vt:lpstr>
      <vt:lpstr>RGV Chrts</vt:lpstr>
      <vt:lpstr>RGV Sum</vt:lpstr>
      <vt:lpstr>RGV FGD</vt:lpstr>
      <vt:lpstr>RGV Fnts</vt:lpstr>
      <vt:lpstr>UH Chrts</vt:lpstr>
      <vt:lpstr>UH Sum</vt:lpstr>
      <vt:lpstr>UH FGD</vt:lpstr>
      <vt:lpstr>UH Fnts</vt:lpstr>
      <vt:lpstr>Shsu Chrts</vt:lpstr>
      <vt:lpstr>Shsu Sum</vt:lpstr>
      <vt:lpstr>Shsu FGD</vt:lpstr>
      <vt:lpstr>Shsu Fnts</vt:lpstr>
      <vt:lpstr>Names</vt:lpstr>
      <vt:lpstr>Input</vt:lpstr>
      <vt:lpstr>FTSE</vt:lpstr>
      <vt:lpstr>PeerGroups</vt:lpstr>
      <vt:lpstr>SystemGroups</vt:lpstr>
      <vt:lpstr>Balancing</vt:lpstr>
      <vt:lpstr>'IFRS Smmy (2)'!AMTLU</vt:lpstr>
      <vt:lpstr>AMTLU</vt:lpstr>
      <vt:lpstr>'IFRS Smmy (2)'!FTSELU</vt:lpstr>
      <vt:lpstr>'T&amp;F Summary'!FTSELU</vt:lpstr>
      <vt:lpstr>FTSELU</vt:lpstr>
      <vt:lpstr>NamesLU</vt:lpstr>
      <vt:lpstr>'Acad CTG Costs'!Print_Area</vt:lpstr>
      <vt:lpstr>'Academic Acct Smmy'!Print_Area</vt:lpstr>
      <vt:lpstr>'Almanac 1'!Print_Area</vt:lpstr>
      <vt:lpstr>'Almanac 2'!Print_Area</vt:lpstr>
      <vt:lpstr>'ARL Chrts'!Print_Area</vt:lpstr>
      <vt:lpstr>'ARL FGD'!Print_Area</vt:lpstr>
      <vt:lpstr>'ARL Fnts'!Print_Area</vt:lpstr>
      <vt:lpstr>'ARL Sum'!Print_Area</vt:lpstr>
      <vt:lpstr>'ASU Chrts'!Print_Area</vt:lpstr>
      <vt:lpstr>'ASU FGD'!Print_Area</vt:lpstr>
      <vt:lpstr>'ASU Fnts'!Print_Area</vt:lpstr>
      <vt:lpstr>'ASU Sum'!Print_Area</vt:lpstr>
      <vt:lpstr>'AUS Chrts'!Print_Area</vt:lpstr>
      <vt:lpstr>'AUS FGD'!Print_Area</vt:lpstr>
      <vt:lpstr>'AUS Fnts'!Print_Area</vt:lpstr>
      <vt:lpstr>'AUS Sum'!Print_Area</vt:lpstr>
      <vt:lpstr>'AUS1 Chrts'!Print_Area</vt:lpstr>
      <vt:lpstr>'AUS1 FGD'!Print_Area</vt:lpstr>
      <vt:lpstr>'AUS1 Fnts'!Print_Area</vt:lpstr>
      <vt:lpstr>'AUS1 Sum'!Print_Area</vt:lpstr>
      <vt:lpstr>'DAL Chrts'!Print_Area</vt:lpstr>
      <vt:lpstr>'DAL FGD'!Print_Area</vt:lpstr>
      <vt:lpstr>'DAL Fnts'!Print_Area</vt:lpstr>
      <vt:lpstr>'DAL Sum'!Print_Area</vt:lpstr>
      <vt:lpstr>'E-P Chrts'!Print_Area</vt:lpstr>
      <vt:lpstr>'E-P FGD'!Print_Area</vt:lpstr>
      <vt:lpstr>'E-P Fnts'!Print_Area</vt:lpstr>
      <vt:lpstr>'E-P Sum'!Print_Area</vt:lpstr>
      <vt:lpstr>'Eval U'!Print_Area</vt:lpstr>
      <vt:lpstr>'ICUT Survey'!Print_Area</vt:lpstr>
      <vt:lpstr>'IFRS Smmy'!Print_Area</vt:lpstr>
      <vt:lpstr>'IFRS Smmy (2)'!Print_Area</vt:lpstr>
      <vt:lpstr>'LU Chrts'!Print_Area</vt:lpstr>
      <vt:lpstr>'LU FGD'!Print_Area</vt:lpstr>
      <vt:lpstr>'LU Fnts'!Print_Area</vt:lpstr>
      <vt:lpstr>'LU Sum'!Print_Area</vt:lpstr>
      <vt:lpstr>'MidWST Chrts'!Print_Area</vt:lpstr>
      <vt:lpstr>'MidWST FGD'!Print_Area</vt:lpstr>
      <vt:lpstr>'MidWST Fnts'!Print_Area</vt:lpstr>
      <vt:lpstr>'MidWST Sum'!Print_Area</vt:lpstr>
      <vt:lpstr>Names!Print_Area</vt:lpstr>
      <vt:lpstr>'P-B Chrts'!Print_Area</vt:lpstr>
      <vt:lpstr>'P-B FGD'!Print_Area</vt:lpstr>
      <vt:lpstr>'P-B Fnts'!Print_Area</vt:lpstr>
      <vt:lpstr>'P-B Sum'!Print_Area</vt:lpstr>
      <vt:lpstr>'PVAMU Chrts'!Print_Area</vt:lpstr>
      <vt:lpstr>'PVAMU FGD'!Print_Area</vt:lpstr>
      <vt:lpstr>'PVAMU Fnts'!Print_Area</vt:lpstr>
      <vt:lpstr>'PVAMU Sum'!Print_Area</vt:lpstr>
      <vt:lpstr>'RGV Chrts'!Print_Area</vt:lpstr>
      <vt:lpstr>'RGV FGD'!Print_Area</vt:lpstr>
      <vt:lpstr>'RGV Fnts'!Print_Area</vt:lpstr>
      <vt:lpstr>'RGV Sum'!Print_Area</vt:lpstr>
      <vt:lpstr>'RGV1 Chrts'!Print_Area</vt:lpstr>
      <vt:lpstr>'RGV1 FGD'!Print_Area</vt:lpstr>
      <vt:lpstr>'RGV1 Fnts'!Print_Area</vt:lpstr>
      <vt:lpstr>'RGV1 Sum'!Print_Area</vt:lpstr>
      <vt:lpstr>'S-A Chrts'!Print_Area</vt:lpstr>
      <vt:lpstr>'S-A FGD'!Print_Area</vt:lpstr>
      <vt:lpstr>'S-A Fnts'!Print_Area</vt:lpstr>
      <vt:lpstr>'S-A Sum'!Print_Area</vt:lpstr>
      <vt:lpstr>'SFA Chrts'!Print_Area</vt:lpstr>
      <vt:lpstr>'SFA FGD'!Print_Area</vt:lpstr>
      <vt:lpstr>'SFA Fnts'!Print_Area</vt:lpstr>
      <vt:lpstr>'SFA Sum'!Print_Area</vt:lpstr>
      <vt:lpstr>'Shsu Chrts'!Print_Area</vt:lpstr>
      <vt:lpstr>'Shsu FGD'!Print_Area</vt:lpstr>
      <vt:lpstr>'Shsu Fnts'!Print_Area</vt:lpstr>
      <vt:lpstr>'Shsu Sum'!Print_Area</vt:lpstr>
      <vt:lpstr>'shsu1 Chrts'!Print_Area</vt:lpstr>
      <vt:lpstr>'shsu1 FGD'!Print_Area</vt:lpstr>
      <vt:lpstr>'shsu1 Fnts'!Print_Area</vt:lpstr>
      <vt:lpstr>'shsu1 Sum'!Print_Area</vt:lpstr>
      <vt:lpstr>'Smmy Acad SbS'!Print_Area</vt:lpstr>
      <vt:lpstr>'Smmy Chrts'!Print_Area</vt:lpstr>
      <vt:lpstr>'Smmy FGD'!Print_Area</vt:lpstr>
      <vt:lpstr>'Smmy Fnts'!Print_Area</vt:lpstr>
      <vt:lpstr>'Smmy Sum'!Print_Area</vt:lpstr>
      <vt:lpstr>'SRSU Chrts'!Print_Area</vt:lpstr>
      <vt:lpstr>'SRSU FGD'!Print_Area</vt:lpstr>
      <vt:lpstr>'SRSU Fnts'!Print_Area</vt:lpstr>
      <vt:lpstr>'SRSU Sum'!Print_Area</vt:lpstr>
      <vt:lpstr>'T&amp;F Summary'!Print_Area</vt:lpstr>
      <vt:lpstr>'TAMIU Chrts'!Print_Area</vt:lpstr>
      <vt:lpstr>'TAMIU FGD'!Print_Area</vt:lpstr>
      <vt:lpstr>'TAMIU Fnts'!Print_Area</vt:lpstr>
      <vt:lpstr>'TAMIU Sum'!Print_Area</vt:lpstr>
      <vt:lpstr>'TAMU Chrts'!Print_Area</vt:lpstr>
      <vt:lpstr>'TAMU FGD'!Print_Area</vt:lpstr>
      <vt:lpstr>'TAMU Fnts'!Print_Area</vt:lpstr>
      <vt:lpstr>'TAMU Sum'!Print_Area</vt:lpstr>
      <vt:lpstr>'TAMUC Chrts'!Print_Area</vt:lpstr>
      <vt:lpstr>'TAMUC FGD'!Print_Area</vt:lpstr>
      <vt:lpstr>'TAMUC Fnts'!Print_Area</vt:lpstr>
      <vt:lpstr>'TAMUC Sum'!Print_Area</vt:lpstr>
      <vt:lpstr>'TAMUCC Chrts'!Print_Area</vt:lpstr>
      <vt:lpstr>'TAMUCC FGD'!Print_Area</vt:lpstr>
      <vt:lpstr>'TAMUCC Fnts'!Print_Area</vt:lpstr>
      <vt:lpstr>'TAMUCC Sum'!Print_Area</vt:lpstr>
      <vt:lpstr>'TAMUCT Chrts'!Print_Area</vt:lpstr>
      <vt:lpstr>'TAMUCT FGD'!Print_Area</vt:lpstr>
      <vt:lpstr>'TAMUCT Fnts'!Print_Area</vt:lpstr>
      <vt:lpstr>'TAMUCT Sum'!Print_Area</vt:lpstr>
      <vt:lpstr>'TAMUG Chrts'!Print_Area</vt:lpstr>
      <vt:lpstr>'TAMUG FGD'!Print_Area</vt:lpstr>
      <vt:lpstr>'TAMUG Fnts'!Print_Area</vt:lpstr>
      <vt:lpstr>'TAMUG Sum'!Print_Area</vt:lpstr>
      <vt:lpstr>'TAMUK Chrts'!Print_Area</vt:lpstr>
      <vt:lpstr>'TAMUK FGD'!Print_Area</vt:lpstr>
      <vt:lpstr>'TAMUK Fnts'!Print_Area</vt:lpstr>
      <vt:lpstr>'TAMUK Sum'!Print_Area</vt:lpstr>
      <vt:lpstr>'TAMUSA Chrts'!Print_Area</vt:lpstr>
      <vt:lpstr>'TAMUSA FGD'!Print_Area</vt:lpstr>
      <vt:lpstr>'TAMUSA Fnts'!Print_Area</vt:lpstr>
      <vt:lpstr>'TAMUSA Sum'!Print_Area</vt:lpstr>
      <vt:lpstr>'TAMUT Chrts'!Print_Area</vt:lpstr>
      <vt:lpstr>'TAMUT FGD'!Print_Area</vt:lpstr>
      <vt:lpstr>'TAMUT Fnts'!Print_Area</vt:lpstr>
      <vt:lpstr>'TAMUT Sum'!Print_Area</vt:lpstr>
      <vt:lpstr>'TARLST Chrts'!Print_Area</vt:lpstr>
      <vt:lpstr>'TARLST FGD'!Print_Area</vt:lpstr>
      <vt:lpstr>'TARLST Fnts'!Print_Area</vt:lpstr>
      <vt:lpstr>'TARLST Sum'!Print_Area</vt:lpstr>
      <vt:lpstr>'TSU Chrts'!Print_Area</vt:lpstr>
      <vt:lpstr>'TSU FGD'!Print_Area</vt:lpstr>
      <vt:lpstr>'TSU Fnts'!Print_Area</vt:lpstr>
      <vt:lpstr>'TSU Sum'!Print_Area</vt:lpstr>
      <vt:lpstr>'TTU Chrts'!Print_Area</vt:lpstr>
      <vt:lpstr>'TTU FGD'!Print_Area</vt:lpstr>
      <vt:lpstr>'TTU Fnts'!Print_Area</vt:lpstr>
      <vt:lpstr>'TTU Sum'!Print_Area</vt:lpstr>
      <vt:lpstr>'TWU Chrts'!Print_Area</vt:lpstr>
      <vt:lpstr>'TWU FGD'!Print_Area</vt:lpstr>
      <vt:lpstr>'TWU Fnts'!Print_Area</vt:lpstr>
      <vt:lpstr>'TWU Sum'!Print_Area</vt:lpstr>
      <vt:lpstr>'TXST Chrts'!Print_Area</vt:lpstr>
      <vt:lpstr>'TXST FGD'!Print_Area</vt:lpstr>
      <vt:lpstr>'TXST Fnts'!Print_Area</vt:lpstr>
      <vt:lpstr>'TXST Sum'!Print_Area</vt:lpstr>
      <vt:lpstr>'TYL Chrts'!Print_Area</vt:lpstr>
      <vt:lpstr>'TYL FGD'!Print_Area</vt:lpstr>
      <vt:lpstr>'TYL Fnts'!Print_Area</vt:lpstr>
      <vt:lpstr>'TYL Sum'!Print_Area</vt:lpstr>
      <vt:lpstr>'UH Chrts'!Print_Area</vt:lpstr>
      <vt:lpstr>'UH FGD'!Print_Area</vt:lpstr>
      <vt:lpstr>'UH Fnts'!Print_Area</vt:lpstr>
      <vt:lpstr>'UH Sum'!Print_Area</vt:lpstr>
      <vt:lpstr>'UH1 Chrts'!Print_Area</vt:lpstr>
      <vt:lpstr>'UH1 FGD'!Print_Area</vt:lpstr>
      <vt:lpstr>'UH1 Fnts'!Print_Area</vt:lpstr>
      <vt:lpstr>'UH1 Sum'!Print_Area</vt:lpstr>
      <vt:lpstr>'UHCL Chrts'!Print_Area</vt:lpstr>
      <vt:lpstr>'UHCL FGD'!Print_Area</vt:lpstr>
      <vt:lpstr>'UHCL Fnts'!Print_Area</vt:lpstr>
      <vt:lpstr>'UHCL Sum'!Print_Area</vt:lpstr>
      <vt:lpstr>'UHD Chrts'!Print_Area</vt:lpstr>
      <vt:lpstr>'UHD FGD'!Print_Area</vt:lpstr>
      <vt:lpstr>'UHD Fnts'!Print_Area</vt:lpstr>
      <vt:lpstr>'UHD Sum'!Print_Area</vt:lpstr>
      <vt:lpstr>'UHV Chrts'!Print_Area</vt:lpstr>
      <vt:lpstr>'UHV FGD'!Print_Area</vt:lpstr>
      <vt:lpstr>'UHV Fnts'!Print_Area</vt:lpstr>
      <vt:lpstr>'UHV Sum'!Print_Area</vt:lpstr>
      <vt:lpstr>'Univ Context NA'!Print_Area</vt:lpstr>
      <vt:lpstr>Univ_IE_Context!Print_Area</vt:lpstr>
      <vt:lpstr>Univ_IE_Keys!Print_Area</vt:lpstr>
      <vt:lpstr>'Univ_IE_Keys NA'!Print_Area</vt:lpstr>
      <vt:lpstr>'UNT Chrts'!Print_Area</vt:lpstr>
      <vt:lpstr>'UNT FGD'!Print_Area</vt:lpstr>
      <vt:lpstr>'UNT Fnts'!Print_Area</vt:lpstr>
      <vt:lpstr>'UNT Sum'!Print_Area</vt:lpstr>
      <vt:lpstr>'UNTD Chrts'!Print_Area</vt:lpstr>
      <vt:lpstr>'UNTD FGD'!Print_Area</vt:lpstr>
      <vt:lpstr>'UNTD Fnts'!Print_Area</vt:lpstr>
      <vt:lpstr>'UNTD Sum'!Print_Area</vt:lpstr>
      <vt:lpstr>'WTAMU Chrts'!Print_Area</vt:lpstr>
      <vt:lpstr>'WTAMU FGD'!Print_Area</vt:lpstr>
      <vt:lpstr>'WTAMU Fnts'!Print_Area</vt:lpstr>
      <vt:lpstr>'WTAMU Sum'!Print_Area</vt:lpstr>
      <vt:lpstr>'Smmy Acad SbS'!Print_Titles</vt:lpstr>
    </vt:vector>
  </TitlesOfParts>
  <Company>THECB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Sources and Uses Detail Universities - FY 2021</dc:title>
  <dc:subject>Sources and Uses of Funds</dc:subject>
  <dc:creator>Funding and Resource Planning</dc:creator>
  <cp:keywords>Sources and Uses, Universities</cp:keywords>
  <cp:lastModifiedBy>King, Clifford</cp:lastModifiedBy>
  <cp:lastPrinted>2020-03-03T14:31:43Z</cp:lastPrinted>
  <dcterms:created xsi:type="dcterms:W3CDTF">2004-08-05T19:38:30Z</dcterms:created>
  <dcterms:modified xsi:type="dcterms:W3CDTF">2022-05-16T17:06:06Z</dcterms:modified>
</cp:coreProperties>
</file>